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mc:AlternateContent xmlns:mc="http://schemas.openxmlformats.org/markup-compatibility/2006">
    <mc:Choice Requires="x15">
      <x15ac:absPath xmlns:x15ac="http://schemas.microsoft.com/office/spreadsheetml/2010/11/ac" url="https://o2power.sharepoint.com/sites/O2PDMS/NewBusinesses/Shared Documents/Backup/"/>
    </mc:Choice>
  </mc:AlternateContent>
  <xr:revisionPtr revIDLastSave="2" documentId="13_ncr:1_{67AAB4F8-DFE0-490A-BF67-D6CD0FD090D8}" xr6:coauthVersionLast="47" xr6:coauthVersionMax="47" xr10:uidLastSave="{B7AE8043-4185-47B2-BFA9-5B0789C85AB0}"/>
  <bookViews>
    <workbookView xWindow="-110" yWindow="-110" windowWidth="19420" windowHeight="10300" tabRatio="718" firstSheet="6" activeTab="12" xr2:uid="{00000000-000D-0000-FFFF-FFFF00000000}"/>
  </bookViews>
  <sheets>
    <sheet name="O2Summary" sheetId="11" r:id="rId1"/>
    <sheet name="MonthlyKPI" sheetId="9" r:id="rId2"/>
    <sheet name="Daily KPI" sheetId="14" r:id="rId3"/>
    <sheet name="AnnualKPI" sheetId="10" r:id="rId4"/>
    <sheet name="Analytices" sheetId="12" r:id="rId5"/>
    <sheet name="WTG Reactive Power" sheetId="16" r:id="rId6"/>
    <sheet name="Input_Raw" sheetId="1" r:id="rId7"/>
    <sheet name="WTG_BD" sheetId="18" r:id="rId8"/>
    <sheet name="IGA_BD" sheetId="19" r:id="rId9"/>
    <sheet name="Grid_BD" sheetId="20" r:id="rId10"/>
    <sheet name="WTG-PM" sheetId="17" r:id="rId11"/>
    <sheet name="SLDC certailment data " sheetId="21" r:id="rId12"/>
    <sheet name="Modelling New" sheetId="15" r:id="rId13"/>
    <sheet name="Sheet1" sheetId="13" state="hidden" r:id="rId14"/>
    <sheet name="Modelling" sheetId="7" state="hidden" r:id="rId15"/>
    <sheet name="Basic Data" sheetId="4" state="hidden" r:id="rId16"/>
  </sheets>
  <externalReferences>
    <externalReference r:id="rId17"/>
    <externalReference r:id="rId18"/>
    <externalReference r:id="rId19"/>
    <externalReference r:id="rId20"/>
  </externalReferences>
  <definedNames>
    <definedName name="_xlnm._FilterDatabase" localSheetId="15" hidden="1">'Basic Data'!$AA$1:$AJ$875</definedName>
    <definedName name="_xlnm._FilterDatabase" localSheetId="13" hidden="1">Sheet1!$L$8:$P$48</definedName>
    <definedName name="BD_Relation" localSheetId="2">[1]Basic_Data!$B$3:$B$14</definedName>
    <definedName name="BD_Relation" localSheetId="12">[1]Basic_Data!$B$3:$B$14</definedName>
    <definedName name="BD_Relation" localSheetId="5">#REF!</definedName>
    <definedName name="BD_Relation">[1]Basic_Data!$B$3:$B$14</definedName>
    <definedName name="Date" localSheetId="2">[1]Basic_Data!$D$3:$D$33</definedName>
    <definedName name="Date" localSheetId="12">[1]Basic_Data!$D$3:$D$33</definedName>
    <definedName name="Date" localSheetId="5">#REF!</definedName>
    <definedName name="Date">[1]Basic_Data!$D$3:$D$33</definedName>
    <definedName name="dccap" localSheetId="2">[2]DGR!$D$7:$D$14</definedName>
    <definedName name="dccap" localSheetId="12">[2]DGR!$D$7:$D$14</definedName>
    <definedName name="dccap" localSheetId="5">#REF!</definedName>
    <definedName name="dccap">[2]DGR!$D$7:$D$14</definedName>
    <definedName name="Digos" localSheetId="2">'[3]Basic Data'!#REF!</definedName>
    <definedName name="Digos" localSheetId="12">'[3]Basic Data'!#REF!</definedName>
    <definedName name="Digos" localSheetId="5">#REF!</definedName>
    <definedName name="Digos">'[3]Basic Data'!#REF!</definedName>
    <definedName name="engg" localSheetId="2">[1]Basic_Data!$L$3:$L$16</definedName>
    <definedName name="engg" localSheetId="12">[1]Basic_Data!$L$3:$L$16</definedName>
    <definedName name="engg" localSheetId="5">#REF!</definedName>
    <definedName name="engg">[1]Basic_Data!$L$3:$L$16</definedName>
    <definedName name="Equipment" localSheetId="2">[1]Basic_Data!$F$3:$F$5</definedName>
    <definedName name="Equipment" localSheetId="12">[1]Basic_Data!$F$3:$F$5</definedName>
    <definedName name="Equipment" localSheetId="5">#REF!</definedName>
    <definedName name="Equipment">[1]Basic_Data!$F$3:$F$5</definedName>
    <definedName name="error" localSheetId="2">[1]Basic_Data!$M$3:$M$33</definedName>
    <definedName name="error" localSheetId="12">[1]Basic_Data!$M$3:$M$33</definedName>
    <definedName name="error" localSheetId="5">#REF!</definedName>
    <definedName name="error">[1]Basic_Data!$M$3:$M$33</definedName>
    <definedName name="Gstc" localSheetId="4">#REF!</definedName>
    <definedName name="Gstc" localSheetId="3">#REF!</definedName>
    <definedName name="Gstc" localSheetId="1">#REF!</definedName>
    <definedName name="Gstc" localSheetId="0">#REF!</definedName>
    <definedName name="Gstc">#REF!</definedName>
    <definedName name="Inverter" localSheetId="2">[1]Basic_Data!$H$3:$H$8</definedName>
    <definedName name="Inverter" localSheetId="12">[1]Basic_Data!$H$3:$H$8</definedName>
    <definedName name="Inverter" localSheetId="5">#REF!</definedName>
    <definedName name="Inverter">[1]Basic_Data!$H$3:$H$8</definedName>
    <definedName name="invlook" localSheetId="2">[2]DGR!$B$7:$D$14</definedName>
    <definedName name="invlook" localSheetId="12">[2]DGR!$B$7:$D$14</definedName>
    <definedName name="invlook" localSheetId="5">#REF!</definedName>
    <definedName name="invlook">[2]DGR!$B$7:$D$14</definedName>
    <definedName name="JB" localSheetId="2">[1]Basic_Data!$I$3:$I$68</definedName>
    <definedName name="JB" localSheetId="12">[1]Basic_Data!$I$3:$I$68</definedName>
    <definedName name="JB" localSheetId="5">#REF!</definedName>
    <definedName name="JB">[1]Basic_Data!$I$3:$I$68</definedName>
    <definedName name="jbp" localSheetId="2">[2]Basic_Data!$I$3:$J$66</definedName>
    <definedName name="jbp" localSheetId="12">[2]Basic_Data!$I$3:$J$66</definedName>
    <definedName name="jbp" localSheetId="5">#REF!</definedName>
    <definedName name="jbp">[2]Basic_Data!$I$3:$J$66</definedName>
    <definedName name="P1_SnW4240" localSheetId="2">'[3]Basic Data'!#REF!</definedName>
    <definedName name="P1_SnW4240" localSheetId="12">'[3]Basic Data'!#REF!</definedName>
    <definedName name="P1_SnW4240" localSheetId="5">#REF!</definedName>
    <definedName name="P1_SnW4240">'[3]Basic Data'!#REF!</definedName>
    <definedName name="P1SnW4240" localSheetId="2">'[3]Basic Data'!#REF!</definedName>
    <definedName name="P1SnW4240" localSheetId="12">'[3]Basic Data'!#REF!</definedName>
    <definedName name="P1SnW4240" localSheetId="5">#REF!</definedName>
    <definedName name="P1SnW4240">'[3]Basic Data'!#REF!</definedName>
    <definedName name="P1SnW51" localSheetId="2">'[3]Basic Data'!#REF!</definedName>
    <definedName name="P1SnW51" localSheetId="12">'[3]Basic Data'!#REF!</definedName>
    <definedName name="P1SnW51" localSheetId="5">#REF!</definedName>
    <definedName name="P1SnW51">'[3]Basic Data'!#REF!</definedName>
    <definedName name="P1SnW68" localSheetId="2">'[3]Basic Data'!#REF!</definedName>
    <definedName name="P1SnW68" localSheetId="12">'[3]Basic Data'!#REF!</definedName>
    <definedName name="P1SnW68" localSheetId="5">#REF!</definedName>
    <definedName name="P1SnW68">'[3]Basic Data'!#REF!</definedName>
    <definedName name="Pstc" localSheetId="4">#REF!</definedName>
    <definedName name="Pstc" localSheetId="3">#REF!</definedName>
    <definedName name="Pstc" localSheetId="1">#REF!</definedName>
    <definedName name="Pstc" localSheetId="0">#REF!</definedName>
    <definedName name="Pstc">#REF!</definedName>
    <definedName name="SCDA" localSheetId="2">'[3]Basic Data'!#REF!</definedName>
    <definedName name="SCDA" localSheetId="12">'[3]Basic Data'!#REF!</definedName>
    <definedName name="SCDA" localSheetId="0">'[3]Basic Data'!#REF!</definedName>
    <definedName name="SCDA" localSheetId="5">#REF!</definedName>
    <definedName name="SCDA">'[3]Basic Data'!#REF!</definedName>
    <definedName name="Slicer_Month">#N/A</definedName>
    <definedName name="Slicer_Operating_Year">#N/A</definedName>
    <definedName name="status" localSheetId="2">[1]Basic_Data!$K$3:$K$4</definedName>
    <definedName name="status" localSheetId="12">[1]Basic_Data!$K$3:$K$4</definedName>
    <definedName name="status" localSheetId="5">#REF!</definedName>
    <definedName name="status">[1]Basic_Data!$K$3:$K$4</definedName>
    <definedName name="stp" localSheetId="2">[2]Basic_Data!$K$3:$L$32</definedName>
    <definedName name="stp" localSheetId="12">[2]Basic_Data!$K$3:$L$32</definedName>
    <definedName name="stp" localSheetId="5">#REF!</definedName>
    <definedName name="stp">[2]Basic_Data!$K$3:$L$32</definedName>
    <definedName name="String" localSheetId="2">[1]Basic_Data!$J$3:$J$1019</definedName>
    <definedName name="String" localSheetId="12">[1]Basic_Data!$J$3:$J$1019</definedName>
    <definedName name="String" localSheetId="5">#REF!</definedName>
    <definedName name="String">[1]Basic_Data!$J$3:$J$1019</definedName>
    <definedName name="zzzzz" localSheetId="2">[4]Basic_Data!$F$3:$F$5</definedName>
    <definedName name="zzzzz" localSheetId="12">[4]Basic_Data!$F$3:$F$5</definedName>
    <definedName name="zzzzz" localSheetId="5">#REF!</definedName>
    <definedName name="zzzzz">[4]Basic_Data!$F$3:$F$5</definedName>
  </definedNames>
  <calcPr calcId="191028"/>
  <pivotCaches>
    <pivotCache cacheId="2" r:id="rId21"/>
  </pivotCaches>
  <extLs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02" i="18" l="1"/>
  <c r="B1603" i="18"/>
  <c r="B1604" i="18"/>
  <c r="B1605" i="18"/>
  <c r="B1606" i="18"/>
  <c r="C1602" i="18"/>
  <c r="C1603" i="18"/>
  <c r="C1604" i="18"/>
  <c r="C1605" i="18"/>
  <c r="C1606" i="18"/>
  <c r="E1602" i="18"/>
  <c r="E1603" i="18"/>
  <c r="E1604" i="18"/>
  <c r="E1605" i="18"/>
  <c r="E1606" i="18"/>
  <c r="H1602" i="18"/>
  <c r="H1603" i="18"/>
  <c r="H1604" i="18"/>
  <c r="H1605" i="18"/>
  <c r="H1606" i="18"/>
  <c r="I1602" i="18"/>
  <c r="I1603" i="18"/>
  <c r="I1604" i="18"/>
  <c r="I1605" i="18"/>
  <c r="I1606" i="18"/>
  <c r="J1602" i="18"/>
  <c r="J1603" i="18"/>
  <c r="J1604" i="18"/>
  <c r="J1605" i="18"/>
  <c r="J1606" i="18"/>
  <c r="W1606" i="18" s="1"/>
  <c r="L1602" i="18"/>
  <c r="L1603" i="18"/>
  <c r="L1604" i="18"/>
  <c r="L1605" i="18"/>
  <c r="L1606" i="18"/>
  <c r="R1602" i="18"/>
  <c r="R1603" i="18"/>
  <c r="R1604" i="18"/>
  <c r="R1605" i="18"/>
  <c r="R1606" i="18"/>
  <c r="S1602" i="18"/>
  <c r="S1603" i="18"/>
  <c r="S1604" i="18"/>
  <c r="S1605" i="18"/>
  <c r="S1606" i="18"/>
  <c r="T1602" i="18"/>
  <c r="AA1602" i="18" s="1"/>
  <c r="T1603" i="18"/>
  <c r="AA1603" i="18" s="1"/>
  <c r="T1604" i="18"/>
  <c r="W1604" i="18" s="1"/>
  <c r="T1605" i="18"/>
  <c r="AA1605" i="18" s="1"/>
  <c r="T1606" i="18"/>
  <c r="AA1606" i="18"/>
  <c r="B121" i="1"/>
  <c r="C121" i="1"/>
  <c r="D121" i="1"/>
  <c r="E121" i="1"/>
  <c r="BF121" i="1"/>
  <c r="BM121" i="1" s="1"/>
  <c r="BG121" i="1"/>
  <c r="BL121" i="1"/>
  <c r="W1605" i="18" l="1"/>
  <c r="AA1604" i="18"/>
  <c r="W1603" i="18"/>
  <c r="W1602" i="18"/>
  <c r="BN121" i="1"/>
  <c r="B1601" i="18" l="1"/>
  <c r="C1601" i="18"/>
  <c r="E1601" i="18"/>
  <c r="H1601" i="18"/>
  <c r="I1601" i="18"/>
  <c r="J1601" i="18"/>
  <c r="L1601" i="18"/>
  <c r="R1601" i="18"/>
  <c r="S1601" i="18"/>
  <c r="T1601" i="18"/>
  <c r="AA1601" i="18" s="1"/>
  <c r="B1599" i="18"/>
  <c r="B1600" i="18"/>
  <c r="C1599" i="18"/>
  <c r="C1600" i="18"/>
  <c r="E1599" i="18"/>
  <c r="E1600" i="18"/>
  <c r="H1599" i="18"/>
  <c r="H1600" i="18"/>
  <c r="I1599" i="18"/>
  <c r="I1600" i="18"/>
  <c r="J1599" i="18"/>
  <c r="J1600" i="18"/>
  <c r="L1599" i="18"/>
  <c r="L1600" i="18"/>
  <c r="R1599" i="18"/>
  <c r="R1600" i="18"/>
  <c r="S1599" i="18"/>
  <c r="S1600" i="18"/>
  <c r="T1599" i="18"/>
  <c r="AA1599" i="18" s="1"/>
  <c r="T1600" i="18"/>
  <c r="AA1600" i="18" s="1"/>
  <c r="W1601" i="18" l="1"/>
  <c r="W1599" i="18"/>
  <c r="W1600" i="18"/>
  <c r="BF120" i="1"/>
  <c r="BM120" i="1" s="1"/>
  <c r="BG120" i="1"/>
  <c r="BL120" i="1"/>
  <c r="X157" i="19"/>
  <c r="X156" i="19"/>
  <c r="BF119" i="1"/>
  <c r="BM119" i="1" s="1"/>
  <c r="BG119" i="1"/>
  <c r="BL119" i="1"/>
  <c r="BN120" i="1" l="1"/>
  <c r="BN119" i="1"/>
  <c r="C155" i="19" l="1"/>
  <c r="C156" i="19"/>
  <c r="C157" i="19"/>
  <c r="B155" i="19"/>
  <c r="B156" i="19"/>
  <c r="B157" i="19"/>
  <c r="E156" i="19"/>
  <c r="E157" i="19"/>
  <c r="H156" i="19"/>
  <c r="H157" i="19"/>
  <c r="I156" i="19"/>
  <c r="I157" i="19"/>
  <c r="J156" i="19"/>
  <c r="J157" i="19"/>
  <c r="O156" i="19"/>
  <c r="O157" i="19"/>
  <c r="P156" i="19"/>
  <c r="P157" i="19"/>
  <c r="Q156" i="19"/>
  <c r="Q157" i="19"/>
  <c r="E155" i="19"/>
  <c r="H155" i="19"/>
  <c r="I155" i="19"/>
  <c r="J155" i="19"/>
  <c r="O155" i="19"/>
  <c r="P155" i="19"/>
  <c r="Q155" i="19"/>
  <c r="X155" i="19" s="1"/>
  <c r="T155" i="19"/>
  <c r="B1598" i="18"/>
  <c r="C1598" i="18"/>
  <c r="E1598" i="18"/>
  <c r="H1598" i="18"/>
  <c r="I1598" i="18"/>
  <c r="J1598" i="18"/>
  <c r="L1598" i="18"/>
  <c r="R1598" i="18"/>
  <c r="S1598" i="18"/>
  <c r="T1598" i="18"/>
  <c r="AA1598" i="18" s="1"/>
  <c r="B1589" i="18"/>
  <c r="B1590" i="18"/>
  <c r="B1591" i="18"/>
  <c r="B1592" i="18"/>
  <c r="B1593" i="18"/>
  <c r="B1594" i="18"/>
  <c r="B1595" i="18"/>
  <c r="B1596" i="18"/>
  <c r="B1597" i="18"/>
  <c r="C1589" i="18"/>
  <c r="C1590" i="18"/>
  <c r="C1591" i="18"/>
  <c r="C1592" i="18"/>
  <c r="C1593" i="18"/>
  <c r="C1594" i="18"/>
  <c r="C1595" i="18"/>
  <c r="C1596" i="18"/>
  <c r="C1597" i="18"/>
  <c r="E1589" i="18"/>
  <c r="E1590" i="18"/>
  <c r="E1591" i="18"/>
  <c r="E1592" i="18"/>
  <c r="E1593" i="18"/>
  <c r="E1594" i="18"/>
  <c r="E1595" i="18"/>
  <c r="E1596" i="18"/>
  <c r="E1597" i="18"/>
  <c r="H1589" i="18"/>
  <c r="H1590" i="18"/>
  <c r="H1591" i="18"/>
  <c r="H1592" i="18"/>
  <c r="H1593" i="18"/>
  <c r="H1594" i="18"/>
  <c r="H1595" i="18"/>
  <c r="H1596" i="18"/>
  <c r="H1597" i="18"/>
  <c r="I1589" i="18"/>
  <c r="I1590" i="18"/>
  <c r="I1591" i="18"/>
  <c r="I1592" i="18"/>
  <c r="I1593" i="18"/>
  <c r="I1594" i="18"/>
  <c r="I1595" i="18"/>
  <c r="I1596" i="18"/>
  <c r="I1597" i="18"/>
  <c r="J1589" i="18"/>
  <c r="J1590" i="18"/>
  <c r="J1591" i="18"/>
  <c r="J1592" i="18"/>
  <c r="J1593" i="18"/>
  <c r="J1594" i="18"/>
  <c r="J1595" i="18"/>
  <c r="J1596" i="18"/>
  <c r="J1597" i="18"/>
  <c r="L1589" i="18"/>
  <c r="L1590" i="18"/>
  <c r="L1591" i="18"/>
  <c r="L1592" i="18"/>
  <c r="L1593" i="18"/>
  <c r="L1594" i="18"/>
  <c r="L1595" i="18"/>
  <c r="L1596" i="18"/>
  <c r="L1597" i="18"/>
  <c r="R1589" i="18"/>
  <c r="R1590" i="18"/>
  <c r="R1591" i="18"/>
  <c r="R1592" i="18"/>
  <c r="R1593" i="18"/>
  <c r="R1594" i="18"/>
  <c r="R1595" i="18"/>
  <c r="R1596" i="18"/>
  <c r="R1597" i="18"/>
  <c r="S1589" i="18"/>
  <c r="S1590" i="18"/>
  <c r="S1591" i="18"/>
  <c r="S1592" i="18"/>
  <c r="S1593" i="18"/>
  <c r="S1594" i="18"/>
  <c r="S1595" i="18"/>
  <c r="S1596" i="18"/>
  <c r="S1597" i="18"/>
  <c r="T1589" i="18"/>
  <c r="AA1589" i="18" s="1"/>
  <c r="T1590" i="18"/>
  <c r="AA1590" i="18" s="1"/>
  <c r="T1591" i="18"/>
  <c r="AA1591" i="18" s="1"/>
  <c r="T1592" i="18"/>
  <c r="AA1592" i="18" s="1"/>
  <c r="T1593" i="18"/>
  <c r="AA1593" i="18" s="1"/>
  <c r="T1594" i="18"/>
  <c r="AA1594" i="18" s="1"/>
  <c r="T1595" i="18"/>
  <c r="T1596" i="18"/>
  <c r="T1597" i="18"/>
  <c r="B1585" i="18"/>
  <c r="B1586" i="18"/>
  <c r="B1587" i="18"/>
  <c r="B1588" i="18"/>
  <c r="C1585" i="18"/>
  <c r="C1586" i="18"/>
  <c r="C1587" i="18"/>
  <c r="C1588" i="18"/>
  <c r="E1585" i="18"/>
  <c r="E1586" i="18"/>
  <c r="E1587" i="18"/>
  <c r="E1588" i="18"/>
  <c r="H1585" i="18"/>
  <c r="H1586" i="18"/>
  <c r="H1587" i="18"/>
  <c r="H1588" i="18"/>
  <c r="I1585" i="18"/>
  <c r="I1586" i="18"/>
  <c r="I1587" i="18"/>
  <c r="I1588" i="18"/>
  <c r="J1585" i="18"/>
  <c r="J1586" i="18"/>
  <c r="J1587" i="18"/>
  <c r="J1588" i="18"/>
  <c r="L1585" i="18"/>
  <c r="L1586" i="18"/>
  <c r="L1587" i="18"/>
  <c r="L1588" i="18"/>
  <c r="R1585" i="18"/>
  <c r="R1586" i="18"/>
  <c r="R1587" i="18"/>
  <c r="R1588" i="18"/>
  <c r="S1585" i="18"/>
  <c r="S1586" i="18"/>
  <c r="S1587" i="18"/>
  <c r="S1588" i="18"/>
  <c r="T1585" i="18"/>
  <c r="T1586" i="18"/>
  <c r="AA1586" i="18" s="1"/>
  <c r="T1587" i="18"/>
  <c r="AA1587" i="18" s="1"/>
  <c r="T1588" i="18"/>
  <c r="AA1588" i="18" s="1"/>
  <c r="B1583" i="18"/>
  <c r="B1584" i="18"/>
  <c r="C1583" i="18"/>
  <c r="C1584" i="18"/>
  <c r="E1583" i="18"/>
  <c r="E1584" i="18"/>
  <c r="H1583" i="18"/>
  <c r="H1584" i="18"/>
  <c r="I1583" i="18"/>
  <c r="I1584" i="18"/>
  <c r="J1583" i="18"/>
  <c r="J1584" i="18"/>
  <c r="L1583" i="18"/>
  <c r="L1584" i="18"/>
  <c r="R1583" i="18"/>
  <c r="R1584" i="18"/>
  <c r="S1583" i="18"/>
  <c r="S1584" i="18"/>
  <c r="T1583" i="18"/>
  <c r="T1584" i="18"/>
  <c r="AA1584" i="18" s="1"/>
  <c r="B1579" i="18"/>
  <c r="B1580" i="18"/>
  <c r="B1581" i="18"/>
  <c r="B1582" i="18"/>
  <c r="C1579" i="18"/>
  <c r="C1580" i="18"/>
  <c r="C1581" i="18"/>
  <c r="C1582" i="18"/>
  <c r="E1579" i="18"/>
  <c r="E1580" i="18"/>
  <c r="E1581" i="18"/>
  <c r="E1582" i="18"/>
  <c r="H1579" i="18"/>
  <c r="H1580" i="18"/>
  <c r="H1581" i="18"/>
  <c r="H1582" i="18"/>
  <c r="I1579" i="18"/>
  <c r="I1580" i="18"/>
  <c r="I1581" i="18"/>
  <c r="I1582" i="18"/>
  <c r="J1579" i="18"/>
  <c r="J1580" i="18"/>
  <c r="J1581" i="18"/>
  <c r="J1582" i="18"/>
  <c r="L1579" i="18"/>
  <c r="L1580" i="18"/>
  <c r="L1581" i="18"/>
  <c r="L1582" i="18"/>
  <c r="R1579" i="18"/>
  <c r="R1580" i="18"/>
  <c r="R1581" i="18"/>
  <c r="R1582" i="18"/>
  <c r="S1579" i="18"/>
  <c r="S1580" i="18"/>
  <c r="S1581" i="18"/>
  <c r="S1582" i="18"/>
  <c r="T1579" i="18"/>
  <c r="AA1579" i="18" s="1"/>
  <c r="T1580" i="18"/>
  <c r="AA1580" i="18" s="1"/>
  <c r="T1581" i="18"/>
  <c r="AA1581" i="18" s="1"/>
  <c r="T1582" i="18"/>
  <c r="AA1582" i="18" s="1"/>
  <c r="BF118" i="1"/>
  <c r="BM118" i="1" s="1"/>
  <c r="BG118" i="1"/>
  <c r="BL118" i="1"/>
  <c r="B1574" i="18"/>
  <c r="B1575" i="18"/>
  <c r="B1576" i="18"/>
  <c r="B1577" i="18"/>
  <c r="B1578" i="18"/>
  <c r="C1574" i="18"/>
  <c r="C1575" i="18"/>
  <c r="C1576" i="18"/>
  <c r="C1577" i="18"/>
  <c r="C1578" i="18"/>
  <c r="E1574" i="18"/>
  <c r="E1575" i="18"/>
  <c r="E1576" i="18"/>
  <c r="E1577" i="18"/>
  <c r="E1578" i="18"/>
  <c r="H1574" i="18"/>
  <c r="H1575" i="18"/>
  <c r="H1576" i="18"/>
  <c r="H1577" i="18"/>
  <c r="H1578" i="18"/>
  <c r="I1574" i="18"/>
  <c r="I1575" i="18"/>
  <c r="I1576" i="18"/>
  <c r="I1577" i="18"/>
  <c r="I1578" i="18"/>
  <c r="J1574" i="18"/>
  <c r="J1575" i="18"/>
  <c r="J1576" i="18"/>
  <c r="J1577" i="18"/>
  <c r="J1578" i="18"/>
  <c r="L1574" i="18"/>
  <c r="L1575" i="18"/>
  <c r="L1576" i="18"/>
  <c r="L1577" i="18"/>
  <c r="L1578" i="18"/>
  <c r="R1574" i="18"/>
  <c r="R1575" i="18"/>
  <c r="R1576" i="18"/>
  <c r="R1577" i="18"/>
  <c r="R1578" i="18"/>
  <c r="S1574" i="18"/>
  <c r="S1575" i="18"/>
  <c r="S1576" i="18"/>
  <c r="S1577" i="18"/>
  <c r="S1578" i="18"/>
  <c r="T1574" i="18"/>
  <c r="AA1574" i="18" s="1"/>
  <c r="T1575" i="18"/>
  <c r="AA1575" i="18" s="1"/>
  <c r="T1576" i="18"/>
  <c r="T1577" i="18"/>
  <c r="AA1577" i="18" s="1"/>
  <c r="T1578" i="18"/>
  <c r="AA1578" i="18" s="1"/>
  <c r="BF117" i="1"/>
  <c r="BM117" i="1" s="1"/>
  <c r="BG117" i="1"/>
  <c r="BL117" i="1"/>
  <c r="B1489" i="18"/>
  <c r="C1489" i="18"/>
  <c r="E1489" i="18"/>
  <c r="H1489" i="18"/>
  <c r="I1489" i="18"/>
  <c r="J1489" i="18"/>
  <c r="L1489" i="18"/>
  <c r="R1489" i="18"/>
  <c r="S1489" i="18"/>
  <c r="T1489" i="18"/>
  <c r="AA1489" i="18" s="1"/>
  <c r="B1488" i="18"/>
  <c r="C1488" i="18"/>
  <c r="E1488" i="18"/>
  <c r="H1488" i="18"/>
  <c r="I1488" i="18"/>
  <c r="J1488" i="18"/>
  <c r="L1488" i="18"/>
  <c r="R1488" i="18"/>
  <c r="S1488" i="18"/>
  <c r="T1488" i="18"/>
  <c r="AA1488" i="18" s="1"/>
  <c r="B1475" i="18"/>
  <c r="C1475" i="18"/>
  <c r="E1475" i="18"/>
  <c r="H1475" i="18"/>
  <c r="I1475" i="18"/>
  <c r="J1475" i="18"/>
  <c r="L1475" i="18"/>
  <c r="R1475" i="18"/>
  <c r="S1475" i="18"/>
  <c r="T1475" i="18"/>
  <c r="AA1475" i="18" s="1"/>
  <c r="B1466" i="18"/>
  <c r="C1466" i="18"/>
  <c r="E1466" i="18"/>
  <c r="H1466" i="18"/>
  <c r="I1466" i="18"/>
  <c r="J1466" i="18"/>
  <c r="L1466" i="18"/>
  <c r="R1466" i="18"/>
  <c r="S1466" i="18"/>
  <c r="T1466" i="18"/>
  <c r="AA1466" i="18" s="1"/>
  <c r="B1460" i="18"/>
  <c r="C1460" i="18"/>
  <c r="E1460" i="18"/>
  <c r="H1460" i="18"/>
  <c r="I1460" i="18"/>
  <c r="J1460" i="18"/>
  <c r="L1460" i="18"/>
  <c r="R1460" i="18"/>
  <c r="S1460" i="18"/>
  <c r="T1460" i="18"/>
  <c r="AA1460" i="18" s="1"/>
  <c r="B1458" i="18"/>
  <c r="C1458" i="18"/>
  <c r="E1458" i="18"/>
  <c r="H1458" i="18"/>
  <c r="I1458" i="18"/>
  <c r="J1458" i="18"/>
  <c r="L1458" i="18"/>
  <c r="R1458" i="18"/>
  <c r="S1458" i="18"/>
  <c r="T1458" i="18"/>
  <c r="AA1458" i="18" s="1"/>
  <c r="B1454" i="18"/>
  <c r="C1454" i="18"/>
  <c r="E1454" i="18"/>
  <c r="H1454" i="18"/>
  <c r="I1454" i="18"/>
  <c r="J1454" i="18"/>
  <c r="L1454" i="18"/>
  <c r="R1454" i="18"/>
  <c r="S1454" i="18"/>
  <c r="T1454" i="18"/>
  <c r="AA1454" i="18" s="1"/>
  <c r="B1439" i="18"/>
  <c r="C1439" i="18"/>
  <c r="E1439" i="18"/>
  <c r="H1439" i="18"/>
  <c r="I1439" i="18"/>
  <c r="J1439" i="18"/>
  <c r="L1439" i="18"/>
  <c r="R1439" i="18"/>
  <c r="S1439" i="18"/>
  <c r="T1439" i="18"/>
  <c r="AA1439" i="18" s="1"/>
  <c r="B1430" i="18"/>
  <c r="C1430" i="18"/>
  <c r="E1430" i="18"/>
  <c r="H1430" i="18"/>
  <c r="I1430" i="18"/>
  <c r="J1430" i="18"/>
  <c r="L1430" i="18"/>
  <c r="R1430" i="18"/>
  <c r="S1430" i="18"/>
  <c r="T1430" i="18"/>
  <c r="B1396" i="18"/>
  <c r="C1396" i="18"/>
  <c r="E1396" i="18"/>
  <c r="H1396" i="18"/>
  <c r="I1396" i="18"/>
  <c r="J1396" i="18"/>
  <c r="L1396" i="18"/>
  <c r="R1396" i="18"/>
  <c r="S1396" i="18"/>
  <c r="T1396" i="18"/>
  <c r="AA1396" i="18" s="1"/>
  <c r="B1356" i="18"/>
  <c r="C1356" i="18"/>
  <c r="E1356" i="18"/>
  <c r="H1356" i="18"/>
  <c r="I1356" i="18"/>
  <c r="J1356" i="18"/>
  <c r="L1356" i="18"/>
  <c r="R1356" i="18"/>
  <c r="S1356" i="18"/>
  <c r="T1356" i="18"/>
  <c r="AA1356" i="18" s="1"/>
  <c r="B1338" i="18"/>
  <c r="C1338" i="18"/>
  <c r="E1338" i="18"/>
  <c r="H1338" i="18"/>
  <c r="I1338" i="18"/>
  <c r="J1338" i="18"/>
  <c r="L1338" i="18"/>
  <c r="R1338" i="18"/>
  <c r="S1338" i="18"/>
  <c r="T1338" i="18"/>
  <c r="AA1338" i="18" s="1"/>
  <c r="B1320" i="18"/>
  <c r="C1320" i="18"/>
  <c r="E1320" i="18"/>
  <c r="H1320" i="18"/>
  <c r="I1320" i="18"/>
  <c r="J1320" i="18"/>
  <c r="L1320" i="18"/>
  <c r="R1320" i="18"/>
  <c r="S1320" i="18"/>
  <c r="T1320" i="18"/>
  <c r="AA1320" i="18" s="1"/>
  <c r="B1315" i="18"/>
  <c r="C1315" i="18"/>
  <c r="E1315" i="18"/>
  <c r="H1315" i="18"/>
  <c r="I1315" i="18"/>
  <c r="J1315" i="18"/>
  <c r="L1315" i="18"/>
  <c r="R1315" i="18"/>
  <c r="S1315" i="18"/>
  <c r="T1315" i="18"/>
  <c r="AA1315" i="18" s="1"/>
  <c r="B1290" i="18"/>
  <c r="C1290" i="18"/>
  <c r="E1290" i="18"/>
  <c r="H1290" i="18"/>
  <c r="I1290" i="18"/>
  <c r="J1290" i="18"/>
  <c r="L1290" i="18"/>
  <c r="R1290" i="18"/>
  <c r="S1290" i="18"/>
  <c r="T1290" i="18"/>
  <c r="AA1290" i="18" s="1"/>
  <c r="B1280" i="18"/>
  <c r="C1280" i="18"/>
  <c r="E1280" i="18"/>
  <c r="H1280" i="18"/>
  <c r="I1280" i="18"/>
  <c r="J1280" i="18"/>
  <c r="L1280" i="18"/>
  <c r="R1280" i="18"/>
  <c r="S1280" i="18"/>
  <c r="T1280" i="18"/>
  <c r="AA1280" i="18" s="1"/>
  <c r="B1273" i="18"/>
  <c r="C1273" i="18"/>
  <c r="E1273" i="18"/>
  <c r="H1273" i="18"/>
  <c r="I1273" i="18"/>
  <c r="J1273" i="18"/>
  <c r="L1273" i="18"/>
  <c r="R1273" i="18"/>
  <c r="S1273" i="18"/>
  <c r="T1273" i="18"/>
  <c r="AA1273" i="18" s="1"/>
  <c r="B1256" i="18"/>
  <c r="C1256" i="18"/>
  <c r="E1256" i="18"/>
  <c r="H1256" i="18"/>
  <c r="I1256" i="18"/>
  <c r="J1256" i="18"/>
  <c r="L1256" i="18"/>
  <c r="R1256" i="18"/>
  <c r="S1256" i="18"/>
  <c r="T1256" i="18"/>
  <c r="AA1256" i="18" s="1"/>
  <c r="B1230" i="18"/>
  <c r="C1230" i="18"/>
  <c r="E1230" i="18"/>
  <c r="H1230" i="18"/>
  <c r="I1230" i="18"/>
  <c r="J1230" i="18"/>
  <c r="L1230" i="18"/>
  <c r="R1230" i="18"/>
  <c r="S1230" i="18"/>
  <c r="T1230" i="18"/>
  <c r="AA1230" i="18" s="1"/>
  <c r="B1219" i="18"/>
  <c r="C1219" i="18"/>
  <c r="E1219" i="18"/>
  <c r="H1219" i="18"/>
  <c r="I1219" i="18"/>
  <c r="J1219" i="18"/>
  <c r="L1219" i="18"/>
  <c r="R1219" i="18"/>
  <c r="S1219" i="18"/>
  <c r="T1219" i="18"/>
  <c r="AA1219" i="18" s="1"/>
  <c r="X154" i="19"/>
  <c r="E154" i="19"/>
  <c r="C154" i="19"/>
  <c r="B154" i="19"/>
  <c r="H154" i="19"/>
  <c r="I154" i="19"/>
  <c r="J154" i="19"/>
  <c r="T154" i="19" s="1"/>
  <c r="O154" i="19"/>
  <c r="P154" i="19"/>
  <c r="Q154" i="19"/>
  <c r="B1572" i="18"/>
  <c r="B1573" i="18"/>
  <c r="C1572" i="18"/>
  <c r="C1573" i="18"/>
  <c r="E1572" i="18"/>
  <c r="E1573" i="18"/>
  <c r="H1572" i="18"/>
  <c r="H1573" i="18"/>
  <c r="I1572" i="18"/>
  <c r="I1573" i="18"/>
  <c r="J1572" i="18"/>
  <c r="J1573" i="18"/>
  <c r="L1572" i="18"/>
  <c r="L1573" i="18"/>
  <c r="R1572" i="18"/>
  <c r="R1573" i="18"/>
  <c r="S1572" i="18"/>
  <c r="S1573" i="18"/>
  <c r="T1572" i="18"/>
  <c r="AA1572" i="18" s="1"/>
  <c r="T1573" i="18"/>
  <c r="AA1573" i="18" s="1"/>
  <c r="BF116" i="1"/>
  <c r="BM116" i="1" s="1"/>
  <c r="BG116" i="1"/>
  <c r="BL116" i="1"/>
  <c r="B1568" i="18"/>
  <c r="B1569" i="18"/>
  <c r="B1570" i="18"/>
  <c r="B1571" i="18"/>
  <c r="C1568" i="18"/>
  <c r="C1569" i="18"/>
  <c r="C1570" i="18"/>
  <c r="C1571" i="18"/>
  <c r="E1568" i="18"/>
  <c r="E1569" i="18"/>
  <c r="E1570" i="18"/>
  <c r="E1571" i="18"/>
  <c r="H1568" i="18"/>
  <c r="H1569" i="18"/>
  <c r="H1570" i="18"/>
  <c r="H1571" i="18"/>
  <c r="I1568" i="18"/>
  <c r="I1569" i="18"/>
  <c r="I1570" i="18"/>
  <c r="I1571" i="18"/>
  <c r="J1568" i="18"/>
  <c r="J1569" i="18"/>
  <c r="J1570" i="18"/>
  <c r="J1571" i="18"/>
  <c r="L1568" i="18"/>
  <c r="L1569" i="18"/>
  <c r="L1570" i="18"/>
  <c r="L1571" i="18"/>
  <c r="R1568" i="18"/>
  <c r="R1569" i="18"/>
  <c r="R1570" i="18"/>
  <c r="R1571" i="18"/>
  <c r="S1568" i="18"/>
  <c r="S1569" i="18"/>
  <c r="S1570" i="18"/>
  <c r="S1571" i="18"/>
  <c r="T1568" i="18"/>
  <c r="AA1568" i="18" s="1"/>
  <c r="T1569" i="18"/>
  <c r="AA1569" i="18" s="1"/>
  <c r="T1570" i="18"/>
  <c r="AA1570" i="18" s="1"/>
  <c r="T1571" i="18"/>
  <c r="AA1571" i="18" s="1"/>
  <c r="BF115" i="1"/>
  <c r="BM115" i="1" s="1"/>
  <c r="BG115" i="1"/>
  <c r="BL115" i="1"/>
  <c r="B1565" i="18"/>
  <c r="B1566" i="18"/>
  <c r="B1567" i="18"/>
  <c r="C1565" i="18"/>
  <c r="C1566" i="18"/>
  <c r="C1567" i="18"/>
  <c r="E1565" i="18"/>
  <c r="E1566" i="18"/>
  <c r="E1567" i="18"/>
  <c r="H1565" i="18"/>
  <c r="H1566" i="18"/>
  <c r="H1567" i="18"/>
  <c r="I1565" i="18"/>
  <c r="I1566" i="18"/>
  <c r="I1567" i="18"/>
  <c r="J1565" i="18"/>
  <c r="J1566" i="18"/>
  <c r="J1567" i="18"/>
  <c r="L1565" i="18"/>
  <c r="L1566" i="18"/>
  <c r="L1567" i="18"/>
  <c r="R1565" i="18"/>
  <c r="R1566" i="18"/>
  <c r="R1567" i="18"/>
  <c r="S1565" i="18"/>
  <c r="S1566" i="18"/>
  <c r="S1567" i="18"/>
  <c r="T1565" i="18"/>
  <c r="AA1565" i="18" s="1"/>
  <c r="T1566" i="18"/>
  <c r="AA1566" i="18" s="1"/>
  <c r="T1567" i="18"/>
  <c r="BF114" i="1"/>
  <c r="BN114" i="1" s="1"/>
  <c r="BG114" i="1"/>
  <c r="BL114" i="1"/>
  <c r="B1562" i="18"/>
  <c r="B1563" i="18"/>
  <c r="B1564" i="18"/>
  <c r="C1562" i="18"/>
  <c r="C1563" i="18"/>
  <c r="C1564" i="18"/>
  <c r="E1562" i="18"/>
  <c r="E1563" i="18"/>
  <c r="E1564" i="18"/>
  <c r="H1562" i="18"/>
  <c r="H1563" i="18"/>
  <c r="H1564" i="18"/>
  <c r="I1562" i="18"/>
  <c r="I1563" i="18"/>
  <c r="I1564" i="18"/>
  <c r="J1562" i="18"/>
  <c r="J1563" i="18"/>
  <c r="J1564" i="18"/>
  <c r="L1562" i="18"/>
  <c r="L1563" i="18"/>
  <c r="L1564" i="18"/>
  <c r="R1562" i="18"/>
  <c r="R1563" i="18"/>
  <c r="R1564" i="18"/>
  <c r="S1562" i="18"/>
  <c r="S1563" i="18"/>
  <c r="S1564" i="18"/>
  <c r="T1562" i="18"/>
  <c r="AA1562" i="18" s="1"/>
  <c r="T1563" i="18"/>
  <c r="AA1563" i="18" s="1"/>
  <c r="T1564" i="18"/>
  <c r="AA1564" i="18" s="1"/>
  <c r="BF113" i="1"/>
  <c r="BM113" i="1" s="1"/>
  <c r="BG113" i="1"/>
  <c r="BL113" i="1"/>
  <c r="B1555" i="18"/>
  <c r="B1556" i="18"/>
  <c r="B1557" i="18"/>
  <c r="B1558" i="18"/>
  <c r="B1559" i="18"/>
  <c r="B1560" i="18"/>
  <c r="B1561" i="18"/>
  <c r="C1555" i="18"/>
  <c r="C1556" i="18"/>
  <c r="C1557" i="18"/>
  <c r="C1558" i="18"/>
  <c r="C1559" i="18"/>
  <c r="C1560" i="18"/>
  <c r="C1561" i="18"/>
  <c r="E1555" i="18"/>
  <c r="E1556" i="18"/>
  <c r="E1557" i="18"/>
  <c r="E1558" i="18"/>
  <c r="E1559" i="18"/>
  <c r="E1560" i="18"/>
  <c r="E1561" i="18"/>
  <c r="H1555" i="18"/>
  <c r="H1556" i="18"/>
  <c r="H1557" i="18"/>
  <c r="H1558" i="18"/>
  <c r="H1559" i="18"/>
  <c r="H1560" i="18"/>
  <c r="H1561" i="18"/>
  <c r="I1555" i="18"/>
  <c r="I1556" i="18"/>
  <c r="I1557" i="18"/>
  <c r="I1558" i="18"/>
  <c r="I1559" i="18"/>
  <c r="I1560" i="18"/>
  <c r="I1561" i="18"/>
  <c r="J1555" i="18"/>
  <c r="J1556" i="18"/>
  <c r="J1557" i="18"/>
  <c r="J1558" i="18"/>
  <c r="J1559" i="18"/>
  <c r="J1560" i="18"/>
  <c r="J1561" i="18"/>
  <c r="L1555" i="18"/>
  <c r="L1556" i="18"/>
  <c r="L1557" i="18"/>
  <c r="L1558" i="18"/>
  <c r="L1559" i="18"/>
  <c r="L1560" i="18"/>
  <c r="L1561" i="18"/>
  <c r="R1555" i="18"/>
  <c r="R1556" i="18"/>
  <c r="R1557" i="18"/>
  <c r="R1558" i="18"/>
  <c r="R1559" i="18"/>
  <c r="R1560" i="18"/>
  <c r="R1561" i="18"/>
  <c r="S1555" i="18"/>
  <c r="S1556" i="18"/>
  <c r="S1557" i="18"/>
  <c r="S1558" i="18"/>
  <c r="S1559" i="18"/>
  <c r="S1560" i="18"/>
  <c r="S1561" i="18"/>
  <c r="T1555" i="18"/>
  <c r="AA1555" i="18" s="1"/>
  <c r="T1556" i="18"/>
  <c r="AA1556" i="18" s="1"/>
  <c r="T1557" i="18"/>
  <c r="T1558" i="18"/>
  <c r="AA1558" i="18" s="1"/>
  <c r="T1559" i="18"/>
  <c r="T1560" i="18"/>
  <c r="AA1560" i="18" s="1"/>
  <c r="T1561" i="18"/>
  <c r="AA1561" i="18" s="1"/>
  <c r="BF112" i="1"/>
  <c r="BN112" i="1" s="1"/>
  <c r="BG112" i="1"/>
  <c r="BL112" i="1"/>
  <c r="X151" i="19"/>
  <c r="E150" i="19"/>
  <c r="E151" i="19"/>
  <c r="E152" i="19"/>
  <c r="E153" i="19"/>
  <c r="B150" i="19"/>
  <c r="B151" i="19"/>
  <c r="B152" i="19"/>
  <c r="B153" i="19"/>
  <c r="C150" i="19"/>
  <c r="C151" i="19"/>
  <c r="C152" i="19"/>
  <c r="C153" i="19"/>
  <c r="H150" i="19"/>
  <c r="H151" i="19"/>
  <c r="H152" i="19"/>
  <c r="H153" i="19"/>
  <c r="I150" i="19"/>
  <c r="I151" i="19"/>
  <c r="I152" i="19"/>
  <c r="I153" i="19"/>
  <c r="J150" i="19"/>
  <c r="J151" i="19"/>
  <c r="J152" i="19"/>
  <c r="J153" i="19"/>
  <c r="O150" i="19"/>
  <c r="O151" i="19"/>
  <c r="O152" i="19"/>
  <c r="O153" i="19"/>
  <c r="P150" i="19"/>
  <c r="P151" i="19"/>
  <c r="P152" i="19"/>
  <c r="P153" i="19"/>
  <c r="Q150" i="19"/>
  <c r="T150" i="19" s="1"/>
  <c r="Q151" i="19"/>
  <c r="T151" i="19" s="1"/>
  <c r="Q152" i="19"/>
  <c r="X152" i="19" s="1"/>
  <c r="Q153" i="19"/>
  <c r="X153" i="19" s="1"/>
  <c r="B1544" i="18"/>
  <c r="B1545" i="18"/>
  <c r="B1546" i="18"/>
  <c r="B1547" i="18"/>
  <c r="B1548" i="18"/>
  <c r="B1549" i="18"/>
  <c r="B1550" i="18"/>
  <c r="B1551" i="18"/>
  <c r="B1552" i="18"/>
  <c r="B1553" i="18"/>
  <c r="B1554" i="18"/>
  <c r="C1544" i="18"/>
  <c r="C1545" i="18"/>
  <c r="C1546" i="18"/>
  <c r="C1547" i="18"/>
  <c r="C1548" i="18"/>
  <c r="C1549" i="18"/>
  <c r="C1550" i="18"/>
  <c r="C1551" i="18"/>
  <c r="C1552" i="18"/>
  <c r="C1553" i="18"/>
  <c r="C1554" i="18"/>
  <c r="E1544" i="18"/>
  <c r="E1545" i="18"/>
  <c r="E1546" i="18"/>
  <c r="E1547" i="18"/>
  <c r="E1548" i="18"/>
  <c r="E1549" i="18"/>
  <c r="E1550" i="18"/>
  <c r="E1551" i="18"/>
  <c r="E1552" i="18"/>
  <c r="E1553" i="18"/>
  <c r="E1554" i="18"/>
  <c r="H1544" i="18"/>
  <c r="H1545" i="18"/>
  <c r="H1546" i="18"/>
  <c r="H1547" i="18"/>
  <c r="H1548" i="18"/>
  <c r="H1549" i="18"/>
  <c r="H1550" i="18"/>
  <c r="H1551" i="18"/>
  <c r="H1552" i="18"/>
  <c r="H1553" i="18"/>
  <c r="H1554" i="18"/>
  <c r="I1544" i="18"/>
  <c r="I1545" i="18"/>
  <c r="I1546" i="18"/>
  <c r="I1547" i="18"/>
  <c r="I1548" i="18"/>
  <c r="I1549" i="18"/>
  <c r="I1550" i="18"/>
  <c r="I1551" i="18"/>
  <c r="I1552" i="18"/>
  <c r="I1553" i="18"/>
  <c r="I1554" i="18"/>
  <c r="J1544" i="18"/>
  <c r="J1545" i="18"/>
  <c r="J1546" i="18"/>
  <c r="J1547" i="18"/>
  <c r="J1548" i="18"/>
  <c r="J1549" i="18"/>
  <c r="J1550" i="18"/>
  <c r="J1551" i="18"/>
  <c r="J1552" i="18"/>
  <c r="J1553" i="18"/>
  <c r="J1554" i="18"/>
  <c r="L1544" i="18"/>
  <c r="L1545" i="18"/>
  <c r="L1546" i="18"/>
  <c r="L1547" i="18"/>
  <c r="L1548" i="18"/>
  <c r="L1549" i="18"/>
  <c r="L1550" i="18"/>
  <c r="L1551" i="18"/>
  <c r="L1552" i="18"/>
  <c r="L1553" i="18"/>
  <c r="L1554" i="18"/>
  <c r="R1544" i="18"/>
  <c r="R1545" i="18"/>
  <c r="R1546" i="18"/>
  <c r="R1547" i="18"/>
  <c r="R1548" i="18"/>
  <c r="R1549" i="18"/>
  <c r="R1550" i="18"/>
  <c r="R1551" i="18"/>
  <c r="R1552" i="18"/>
  <c r="R1553" i="18"/>
  <c r="R1554" i="18"/>
  <c r="S1544" i="18"/>
  <c r="S1545" i="18"/>
  <c r="S1546" i="18"/>
  <c r="S1547" i="18"/>
  <c r="S1548" i="18"/>
  <c r="S1549" i="18"/>
  <c r="S1550" i="18"/>
  <c r="S1551" i="18"/>
  <c r="S1552" i="18"/>
  <c r="S1553" i="18"/>
  <c r="S1554" i="18"/>
  <c r="T1544" i="18"/>
  <c r="T1545" i="18"/>
  <c r="AA1545" i="18" s="1"/>
  <c r="T1546" i="18"/>
  <c r="AA1546" i="18" s="1"/>
  <c r="T1547" i="18"/>
  <c r="AA1547" i="18" s="1"/>
  <c r="T1548" i="18"/>
  <c r="AA1548" i="18" s="1"/>
  <c r="T1549" i="18"/>
  <c r="AA1549" i="18" s="1"/>
  <c r="T1550" i="18"/>
  <c r="AA1550" i="18" s="1"/>
  <c r="T1551" i="18"/>
  <c r="T1552" i="18"/>
  <c r="AA1552" i="18" s="1"/>
  <c r="T1553" i="18"/>
  <c r="AA1553" i="18" s="1"/>
  <c r="T1554" i="18"/>
  <c r="AA1554" i="18" s="1"/>
  <c r="BF111" i="1"/>
  <c r="BM111" i="1" s="1"/>
  <c r="BG111" i="1"/>
  <c r="BL111" i="1"/>
  <c r="C149" i="19"/>
  <c r="C148" i="19"/>
  <c r="B149" i="19"/>
  <c r="E149" i="19"/>
  <c r="H149" i="19"/>
  <c r="I149" i="19"/>
  <c r="J149" i="19"/>
  <c r="O149" i="19"/>
  <c r="P149" i="19"/>
  <c r="Q149" i="19"/>
  <c r="X149" i="19" s="1"/>
  <c r="B146" i="19"/>
  <c r="B147" i="19"/>
  <c r="B148" i="19"/>
  <c r="C146" i="19"/>
  <c r="C147" i="19"/>
  <c r="E146" i="19"/>
  <c r="E147" i="19"/>
  <c r="E148" i="19"/>
  <c r="H146" i="19"/>
  <c r="H147" i="19"/>
  <c r="H148" i="19"/>
  <c r="I146" i="19"/>
  <c r="I147" i="19"/>
  <c r="I148" i="19"/>
  <c r="J146" i="19"/>
  <c r="J147" i="19"/>
  <c r="J148" i="19"/>
  <c r="O146" i="19"/>
  <c r="O147" i="19"/>
  <c r="O148" i="19"/>
  <c r="P146" i="19"/>
  <c r="P147" i="19"/>
  <c r="P148" i="19"/>
  <c r="Q146" i="19"/>
  <c r="X146" i="19" s="1"/>
  <c r="Q147" i="19"/>
  <c r="X147" i="19" s="1"/>
  <c r="Q148" i="19"/>
  <c r="X148" i="19" s="1"/>
  <c r="B136" i="19"/>
  <c r="B137" i="19"/>
  <c r="B138" i="19"/>
  <c r="B139" i="19"/>
  <c r="B140" i="19"/>
  <c r="B141" i="19"/>
  <c r="B142" i="19"/>
  <c r="B143" i="19"/>
  <c r="B144" i="19"/>
  <c r="B145" i="19"/>
  <c r="T157" i="19" l="1"/>
  <c r="T156" i="19"/>
  <c r="W1598" i="18"/>
  <c r="W1592" i="18"/>
  <c r="W1594" i="18"/>
  <c r="W1593" i="18"/>
  <c r="W1595" i="18"/>
  <c r="W1597" i="18"/>
  <c r="W1596" i="18"/>
  <c r="AA1595" i="18"/>
  <c r="AA1597" i="18"/>
  <c r="AA1596" i="18"/>
  <c r="W1591" i="18"/>
  <c r="W1590" i="18"/>
  <c r="W1589" i="18"/>
  <c r="W1585" i="18"/>
  <c r="W1588" i="18"/>
  <c r="W1587" i="18"/>
  <c r="W1586" i="18"/>
  <c r="AA1585" i="18"/>
  <c r="W1583" i="18"/>
  <c r="W1584" i="18"/>
  <c r="AA1583" i="18"/>
  <c r="W1580" i="18"/>
  <c r="W1579" i="18"/>
  <c r="W1582" i="18"/>
  <c r="W1581" i="18"/>
  <c r="W1578" i="18"/>
  <c r="W1475" i="18"/>
  <c r="BN118" i="1"/>
  <c r="BN117" i="1"/>
  <c r="W1577" i="18"/>
  <c r="W1576" i="18"/>
  <c r="AA1576" i="18"/>
  <c r="W1575" i="18"/>
  <c r="W1574" i="18"/>
  <c r="BN116" i="1"/>
  <c r="W1489" i="18"/>
  <c r="W1488" i="18"/>
  <c r="W1466" i="18"/>
  <c r="W1458" i="18"/>
  <c r="W1460" i="18"/>
  <c r="W1430" i="18"/>
  <c r="W1454" i="18"/>
  <c r="AA1430" i="18"/>
  <c r="W1439" i="18"/>
  <c r="W1396" i="18"/>
  <c r="W1338" i="18"/>
  <c r="W1356" i="18"/>
  <c r="W1273" i="18"/>
  <c r="W1315" i="18"/>
  <c r="W1320" i="18"/>
  <c r="W1573" i="18"/>
  <c r="W1290" i="18"/>
  <c r="W1219" i="18"/>
  <c r="W1280" i="18"/>
  <c r="W1230" i="18"/>
  <c r="W1572" i="18"/>
  <c r="W1256" i="18"/>
  <c r="W1567" i="18"/>
  <c r="W1571" i="18"/>
  <c r="W1569" i="18"/>
  <c r="W1570" i="18"/>
  <c r="AA1567" i="18"/>
  <c r="W1568" i="18"/>
  <c r="BN115" i="1"/>
  <c r="BM114" i="1"/>
  <c r="W1566" i="18"/>
  <c r="W1565" i="18"/>
  <c r="W1563" i="18"/>
  <c r="W1564" i="18"/>
  <c r="W1562" i="18"/>
  <c r="W1559" i="18"/>
  <c r="W1557" i="18"/>
  <c r="BN113" i="1"/>
  <c r="BM112" i="1"/>
  <c r="W1555" i="18"/>
  <c r="AA1559" i="18"/>
  <c r="AA1557" i="18"/>
  <c r="W1556" i="18"/>
  <c r="W1561" i="18"/>
  <c r="W1558" i="18"/>
  <c r="W1560" i="18"/>
  <c r="W1544" i="18"/>
  <c r="W1554" i="18"/>
  <c r="BN111" i="1"/>
  <c r="X150" i="19"/>
  <c r="T153" i="19"/>
  <c r="T152" i="19"/>
  <c r="T148" i="19"/>
  <c r="W1553" i="18"/>
  <c r="AA1544" i="18"/>
  <c r="W1551" i="18"/>
  <c r="W1552" i="18"/>
  <c r="AA1551" i="18"/>
  <c r="W1550" i="18"/>
  <c r="W1549" i="18"/>
  <c r="W1548" i="18"/>
  <c r="W1547" i="18"/>
  <c r="W1546" i="18"/>
  <c r="W1545" i="18"/>
  <c r="T149" i="19"/>
  <c r="T147" i="19"/>
  <c r="T146" i="19"/>
  <c r="B1529" i="18" l="1"/>
  <c r="B1530" i="18"/>
  <c r="B1531" i="18"/>
  <c r="B1532" i="18"/>
  <c r="B1533" i="18"/>
  <c r="B1534" i="18"/>
  <c r="B1535" i="18"/>
  <c r="B1536" i="18"/>
  <c r="B1537" i="18"/>
  <c r="B1538" i="18"/>
  <c r="B1539" i="18"/>
  <c r="B1540" i="18"/>
  <c r="B1541" i="18"/>
  <c r="B1542" i="18"/>
  <c r="B1543" i="18"/>
  <c r="C1529" i="18"/>
  <c r="C1530" i="18"/>
  <c r="C1531" i="18"/>
  <c r="C1532" i="18"/>
  <c r="C1533" i="18"/>
  <c r="C1534" i="18"/>
  <c r="C1535" i="18"/>
  <c r="C1536" i="18"/>
  <c r="C1537" i="18"/>
  <c r="C1538" i="18"/>
  <c r="C1539" i="18"/>
  <c r="C1540" i="18"/>
  <c r="C1541" i="18"/>
  <c r="C1542" i="18"/>
  <c r="C1543" i="18"/>
  <c r="E1529" i="18"/>
  <c r="E1530" i="18"/>
  <c r="E1531" i="18"/>
  <c r="E1532" i="18"/>
  <c r="E1533" i="18"/>
  <c r="E1534" i="18"/>
  <c r="E1535" i="18"/>
  <c r="E1536" i="18"/>
  <c r="E1537" i="18"/>
  <c r="E1538" i="18"/>
  <c r="E1539" i="18"/>
  <c r="E1540" i="18"/>
  <c r="E1541" i="18"/>
  <c r="E1542" i="18"/>
  <c r="E1543" i="18"/>
  <c r="H1529" i="18"/>
  <c r="H1530" i="18"/>
  <c r="H1531" i="18"/>
  <c r="H1532" i="18"/>
  <c r="H1533" i="18"/>
  <c r="H1534" i="18"/>
  <c r="H1535" i="18"/>
  <c r="H1536" i="18"/>
  <c r="H1537" i="18"/>
  <c r="H1538" i="18"/>
  <c r="H1539" i="18"/>
  <c r="H1540" i="18"/>
  <c r="H1541" i="18"/>
  <c r="H1542" i="18"/>
  <c r="H1543" i="18"/>
  <c r="I1529" i="18"/>
  <c r="I1530" i="18"/>
  <c r="I1531" i="18"/>
  <c r="I1532" i="18"/>
  <c r="I1533" i="18"/>
  <c r="I1534" i="18"/>
  <c r="I1535" i="18"/>
  <c r="I1536" i="18"/>
  <c r="I1537" i="18"/>
  <c r="I1538" i="18"/>
  <c r="I1539" i="18"/>
  <c r="I1540" i="18"/>
  <c r="I1541" i="18"/>
  <c r="I1542" i="18"/>
  <c r="I1543" i="18"/>
  <c r="J1529" i="18"/>
  <c r="J1530" i="18"/>
  <c r="J1531" i="18"/>
  <c r="J1532" i="18"/>
  <c r="J1533" i="18"/>
  <c r="J1534" i="18"/>
  <c r="J1535" i="18"/>
  <c r="J1536" i="18"/>
  <c r="J1537" i="18"/>
  <c r="J1538" i="18"/>
  <c r="J1539" i="18"/>
  <c r="J1540" i="18"/>
  <c r="J1541" i="18"/>
  <c r="J1542" i="18"/>
  <c r="J1543" i="18"/>
  <c r="L1529" i="18"/>
  <c r="L1530" i="18"/>
  <c r="L1531" i="18"/>
  <c r="L1532" i="18"/>
  <c r="L1533" i="18"/>
  <c r="L1534" i="18"/>
  <c r="L1535" i="18"/>
  <c r="L1536" i="18"/>
  <c r="L1537" i="18"/>
  <c r="L1538" i="18"/>
  <c r="L1539" i="18"/>
  <c r="L1540" i="18"/>
  <c r="L1541" i="18"/>
  <c r="L1542" i="18"/>
  <c r="L1543" i="18"/>
  <c r="R1529" i="18"/>
  <c r="R1530" i="18"/>
  <c r="R1531" i="18"/>
  <c r="R1532" i="18"/>
  <c r="R1533" i="18"/>
  <c r="R1534" i="18"/>
  <c r="R1535" i="18"/>
  <c r="R1536" i="18"/>
  <c r="R1537" i="18"/>
  <c r="R1538" i="18"/>
  <c r="R1539" i="18"/>
  <c r="R1540" i="18"/>
  <c r="R1541" i="18"/>
  <c r="R1542" i="18"/>
  <c r="R1543" i="18"/>
  <c r="S1529" i="18"/>
  <c r="S1530" i="18"/>
  <c r="S1531" i="18"/>
  <c r="S1532" i="18"/>
  <c r="S1533" i="18"/>
  <c r="S1534" i="18"/>
  <c r="S1535" i="18"/>
  <c r="S1536" i="18"/>
  <c r="S1537" i="18"/>
  <c r="S1538" i="18"/>
  <c r="S1539" i="18"/>
  <c r="S1540" i="18"/>
  <c r="S1541" i="18"/>
  <c r="S1542" i="18"/>
  <c r="S1543" i="18"/>
  <c r="T1529" i="18"/>
  <c r="W1529" i="18" s="1"/>
  <c r="T1530" i="18"/>
  <c r="T1531" i="18"/>
  <c r="AA1531" i="18" s="1"/>
  <c r="T1532" i="18"/>
  <c r="AA1532" i="18" s="1"/>
  <c r="T1533" i="18"/>
  <c r="AA1533" i="18" s="1"/>
  <c r="T1534" i="18"/>
  <c r="AA1534" i="18" s="1"/>
  <c r="T1535" i="18"/>
  <c r="T1536" i="18"/>
  <c r="T1537" i="18"/>
  <c r="T1538" i="18"/>
  <c r="AA1538" i="18" s="1"/>
  <c r="T1539" i="18"/>
  <c r="AA1539" i="18" s="1"/>
  <c r="T1540" i="18"/>
  <c r="AA1540" i="18" s="1"/>
  <c r="T1541" i="18"/>
  <c r="W1541" i="18" s="1"/>
  <c r="T1542" i="18"/>
  <c r="AA1542" i="18" s="1"/>
  <c r="T1543" i="18"/>
  <c r="AA1543" i="18" s="1"/>
  <c r="W1530" i="18" l="1"/>
  <c r="AA1530" i="18"/>
  <c r="W1542" i="18"/>
  <c r="AA1529" i="18"/>
  <c r="AA1541" i="18"/>
  <c r="W1534" i="18"/>
  <c r="W1533" i="18"/>
  <c r="W1532" i="18"/>
  <c r="W1543" i="18"/>
  <c r="W1531" i="18"/>
  <c r="W1538" i="18"/>
  <c r="W1540" i="18"/>
  <c r="W1537" i="18"/>
  <c r="W1536" i="18"/>
  <c r="W1539" i="18"/>
  <c r="W1535" i="18"/>
  <c r="AA1537" i="18"/>
  <c r="AA1536" i="18"/>
  <c r="AA1535" i="18"/>
  <c r="BF110" i="1"/>
  <c r="BM110" i="1" s="1"/>
  <c r="BG110" i="1"/>
  <c r="BL110" i="1"/>
  <c r="B1520" i="18"/>
  <c r="B1521" i="18"/>
  <c r="B1522" i="18"/>
  <c r="B1523" i="18"/>
  <c r="B1524" i="18"/>
  <c r="B1525" i="18"/>
  <c r="B1526" i="18"/>
  <c r="B1527" i="18"/>
  <c r="B1528" i="18"/>
  <c r="C1520" i="18"/>
  <c r="C1521" i="18"/>
  <c r="C1522" i="18"/>
  <c r="C1523" i="18"/>
  <c r="C1524" i="18"/>
  <c r="C1525" i="18"/>
  <c r="C1526" i="18"/>
  <c r="C1527" i="18"/>
  <c r="C1528" i="18"/>
  <c r="E1520" i="18"/>
  <c r="E1521" i="18"/>
  <c r="E1522" i="18"/>
  <c r="E1523" i="18"/>
  <c r="E1524" i="18"/>
  <c r="E1525" i="18"/>
  <c r="E1526" i="18"/>
  <c r="E1527" i="18"/>
  <c r="E1528" i="18"/>
  <c r="H1520" i="18"/>
  <c r="H1521" i="18"/>
  <c r="H1522" i="18"/>
  <c r="H1523" i="18"/>
  <c r="H1524" i="18"/>
  <c r="H1525" i="18"/>
  <c r="H1526" i="18"/>
  <c r="H1527" i="18"/>
  <c r="H1528" i="18"/>
  <c r="I1520" i="18"/>
  <c r="I1521" i="18"/>
  <c r="I1522" i="18"/>
  <c r="I1523" i="18"/>
  <c r="I1524" i="18"/>
  <c r="I1525" i="18"/>
  <c r="I1526" i="18"/>
  <c r="I1527" i="18"/>
  <c r="I1528" i="18"/>
  <c r="J1520" i="18"/>
  <c r="J1521" i="18"/>
  <c r="J1522" i="18"/>
  <c r="J1523" i="18"/>
  <c r="J1524" i="18"/>
  <c r="J1525" i="18"/>
  <c r="J1526" i="18"/>
  <c r="J1527" i="18"/>
  <c r="J1528" i="18"/>
  <c r="L1520" i="18"/>
  <c r="L1521" i="18"/>
  <c r="L1522" i="18"/>
  <c r="L1523" i="18"/>
  <c r="L1524" i="18"/>
  <c r="L1525" i="18"/>
  <c r="L1526" i="18"/>
  <c r="L1527" i="18"/>
  <c r="L1528" i="18"/>
  <c r="R1520" i="18"/>
  <c r="R1521" i="18"/>
  <c r="R1522" i="18"/>
  <c r="R1523" i="18"/>
  <c r="R1524" i="18"/>
  <c r="R1525" i="18"/>
  <c r="R1526" i="18"/>
  <c r="R1527" i="18"/>
  <c r="R1528" i="18"/>
  <c r="S1520" i="18"/>
  <c r="S1521" i="18"/>
  <c r="S1522" i="18"/>
  <c r="S1523" i="18"/>
  <c r="S1524" i="18"/>
  <c r="S1525" i="18"/>
  <c r="S1526" i="18"/>
  <c r="S1527" i="18"/>
  <c r="S1528" i="18"/>
  <c r="T1520" i="18"/>
  <c r="AA1520" i="18" s="1"/>
  <c r="T1521" i="18"/>
  <c r="AA1521" i="18" s="1"/>
  <c r="T1522" i="18"/>
  <c r="AA1522" i="18" s="1"/>
  <c r="T1523" i="18"/>
  <c r="AA1523" i="18" s="1"/>
  <c r="T1524" i="18"/>
  <c r="AA1524" i="18" s="1"/>
  <c r="T1525" i="18"/>
  <c r="AA1525" i="18" s="1"/>
  <c r="T1526" i="18"/>
  <c r="AA1526" i="18" s="1"/>
  <c r="T1527" i="18"/>
  <c r="AA1527" i="18" s="1"/>
  <c r="T1528" i="18"/>
  <c r="AA1528" i="18" s="1"/>
  <c r="BF109" i="1"/>
  <c r="BM109" i="1" s="1"/>
  <c r="BG109" i="1"/>
  <c r="BL109" i="1"/>
  <c r="B1513" i="18"/>
  <c r="B1514" i="18"/>
  <c r="B1515" i="18"/>
  <c r="B1516" i="18"/>
  <c r="B1517" i="18"/>
  <c r="B1518" i="18"/>
  <c r="B1519" i="18"/>
  <c r="C1513" i="18"/>
  <c r="C1514" i="18"/>
  <c r="C1515" i="18"/>
  <c r="C1516" i="18"/>
  <c r="C1517" i="18"/>
  <c r="C1518" i="18"/>
  <c r="C1519" i="18"/>
  <c r="E1513" i="18"/>
  <c r="E1514" i="18"/>
  <c r="E1515" i="18"/>
  <c r="E1516" i="18"/>
  <c r="E1517" i="18"/>
  <c r="E1518" i="18"/>
  <c r="E1519" i="18"/>
  <c r="H1513" i="18"/>
  <c r="H1514" i="18"/>
  <c r="H1515" i="18"/>
  <c r="H1516" i="18"/>
  <c r="H1517" i="18"/>
  <c r="H1518" i="18"/>
  <c r="H1519" i="18"/>
  <c r="I1513" i="18"/>
  <c r="I1514" i="18"/>
  <c r="I1515" i="18"/>
  <c r="I1516" i="18"/>
  <c r="I1517" i="18"/>
  <c r="I1518" i="18"/>
  <c r="I1519" i="18"/>
  <c r="J1513" i="18"/>
  <c r="J1514" i="18"/>
  <c r="J1515" i="18"/>
  <c r="J1516" i="18"/>
  <c r="J1517" i="18"/>
  <c r="J1518" i="18"/>
  <c r="J1519" i="18"/>
  <c r="L1513" i="18"/>
  <c r="L1514" i="18"/>
  <c r="L1515" i="18"/>
  <c r="L1516" i="18"/>
  <c r="L1517" i="18"/>
  <c r="L1518" i="18"/>
  <c r="L1519" i="18"/>
  <c r="R1513" i="18"/>
  <c r="R1514" i="18"/>
  <c r="R1515" i="18"/>
  <c r="R1516" i="18"/>
  <c r="R1517" i="18"/>
  <c r="R1518" i="18"/>
  <c r="R1519" i="18"/>
  <c r="S1513" i="18"/>
  <c r="S1514" i="18"/>
  <c r="S1515" i="18"/>
  <c r="S1516" i="18"/>
  <c r="S1517" i="18"/>
  <c r="S1518" i="18"/>
  <c r="S1519" i="18"/>
  <c r="T1513" i="18"/>
  <c r="AA1513" i="18" s="1"/>
  <c r="T1514" i="18"/>
  <c r="AA1514" i="18" s="1"/>
  <c r="T1515" i="18"/>
  <c r="AA1515" i="18" s="1"/>
  <c r="T1516" i="18"/>
  <c r="T1517" i="18"/>
  <c r="T1518" i="18"/>
  <c r="AA1518" i="18" s="1"/>
  <c r="T1519" i="18"/>
  <c r="AA1519" i="18" s="1"/>
  <c r="BF108" i="1"/>
  <c r="BN108" i="1" s="1"/>
  <c r="BG108" i="1"/>
  <c r="BL108" i="1"/>
  <c r="L1500" i="18"/>
  <c r="B1500" i="18"/>
  <c r="C1500" i="18"/>
  <c r="E1500" i="18"/>
  <c r="H1500" i="18"/>
  <c r="I1500" i="18"/>
  <c r="J1500" i="18"/>
  <c r="R1500" i="18"/>
  <c r="S1500" i="18"/>
  <c r="T1500" i="18"/>
  <c r="L41" i="18"/>
  <c r="B41" i="18"/>
  <c r="C41" i="18"/>
  <c r="E41" i="18"/>
  <c r="H41" i="18"/>
  <c r="I41" i="18"/>
  <c r="J41" i="18"/>
  <c r="R41" i="18"/>
  <c r="S41" i="18"/>
  <c r="T41" i="18"/>
  <c r="AA41" i="18" s="1"/>
  <c r="B1504" i="18"/>
  <c r="B1505" i="18"/>
  <c r="B1506" i="18"/>
  <c r="B1507" i="18"/>
  <c r="B1508" i="18"/>
  <c r="B1509" i="18"/>
  <c r="B1510" i="18"/>
  <c r="B1511" i="18"/>
  <c r="B1512" i="18"/>
  <c r="C1504" i="18"/>
  <c r="C1505" i="18"/>
  <c r="C1506" i="18"/>
  <c r="C1507" i="18"/>
  <c r="C1508" i="18"/>
  <c r="C1509" i="18"/>
  <c r="C1510" i="18"/>
  <c r="C1511" i="18"/>
  <c r="C1512" i="18"/>
  <c r="E1504" i="18"/>
  <c r="E1505" i="18"/>
  <c r="E1506" i="18"/>
  <c r="E1507" i="18"/>
  <c r="E1508" i="18"/>
  <c r="E1509" i="18"/>
  <c r="E1510" i="18"/>
  <c r="E1511" i="18"/>
  <c r="E1512" i="18"/>
  <c r="H1504" i="18"/>
  <c r="H1505" i="18"/>
  <c r="H1506" i="18"/>
  <c r="H1507" i="18"/>
  <c r="H1508" i="18"/>
  <c r="H1509" i="18"/>
  <c r="H1510" i="18"/>
  <c r="H1511" i="18"/>
  <c r="H1512" i="18"/>
  <c r="I1504" i="18"/>
  <c r="I1505" i="18"/>
  <c r="I1506" i="18"/>
  <c r="I1507" i="18"/>
  <c r="I1508" i="18"/>
  <c r="I1509" i="18"/>
  <c r="I1510" i="18"/>
  <c r="I1511" i="18"/>
  <c r="I1512" i="18"/>
  <c r="J1504" i="18"/>
  <c r="J1505" i="18"/>
  <c r="J1506" i="18"/>
  <c r="J1507" i="18"/>
  <c r="J1508" i="18"/>
  <c r="J1509" i="18"/>
  <c r="J1510" i="18"/>
  <c r="J1511" i="18"/>
  <c r="J1512" i="18"/>
  <c r="L1504" i="18"/>
  <c r="L1505" i="18"/>
  <c r="L1506" i="18"/>
  <c r="L1507" i="18"/>
  <c r="L1508" i="18"/>
  <c r="L1509" i="18"/>
  <c r="L1510" i="18"/>
  <c r="L1511" i="18"/>
  <c r="L1512" i="18"/>
  <c r="R1504" i="18"/>
  <c r="R1505" i="18"/>
  <c r="R1506" i="18"/>
  <c r="R1507" i="18"/>
  <c r="R1508" i="18"/>
  <c r="R1509" i="18"/>
  <c r="R1510" i="18"/>
  <c r="R1511" i="18"/>
  <c r="R1512" i="18"/>
  <c r="S1504" i="18"/>
  <c r="S1505" i="18"/>
  <c r="S1506" i="18"/>
  <c r="S1507" i="18"/>
  <c r="S1508" i="18"/>
  <c r="S1509" i="18"/>
  <c r="S1510" i="18"/>
  <c r="S1511" i="18"/>
  <c r="S1512" i="18"/>
  <c r="T1504" i="18"/>
  <c r="AA1504" i="18" s="1"/>
  <c r="T1505" i="18"/>
  <c r="AA1505" i="18" s="1"/>
  <c r="T1506" i="18"/>
  <c r="AA1506" i="18" s="1"/>
  <c r="T1507" i="18"/>
  <c r="T1508" i="18"/>
  <c r="T1509" i="18"/>
  <c r="AA1509" i="18" s="1"/>
  <c r="T1510" i="18"/>
  <c r="AA1510" i="18" s="1"/>
  <c r="T1511" i="18"/>
  <c r="AA1511" i="18" s="1"/>
  <c r="T1512" i="18"/>
  <c r="BF107" i="1"/>
  <c r="BN107" i="1" s="1"/>
  <c r="BG107" i="1"/>
  <c r="BL107" i="1"/>
  <c r="B1494" i="18"/>
  <c r="B1495" i="18"/>
  <c r="B1496" i="18"/>
  <c r="B1497" i="18"/>
  <c r="B1498" i="18"/>
  <c r="B1499" i="18"/>
  <c r="B1501" i="18"/>
  <c r="B1502" i="18"/>
  <c r="B1503" i="18"/>
  <c r="C1494" i="18"/>
  <c r="C1495" i="18"/>
  <c r="C1496" i="18"/>
  <c r="C1497" i="18"/>
  <c r="C1498" i="18"/>
  <c r="C1499" i="18"/>
  <c r="C1501" i="18"/>
  <c r="C1502" i="18"/>
  <c r="C1503" i="18"/>
  <c r="E1494" i="18"/>
  <c r="E1495" i="18"/>
  <c r="E1496" i="18"/>
  <c r="E1497" i="18"/>
  <c r="E1498" i="18"/>
  <c r="E1499" i="18"/>
  <c r="E1501" i="18"/>
  <c r="E1502" i="18"/>
  <c r="E1503" i="18"/>
  <c r="H1494" i="18"/>
  <c r="H1495" i="18"/>
  <c r="H1496" i="18"/>
  <c r="H1497" i="18"/>
  <c r="H1498" i="18"/>
  <c r="H1499" i="18"/>
  <c r="H1501" i="18"/>
  <c r="H1502" i="18"/>
  <c r="H1503" i="18"/>
  <c r="I1494" i="18"/>
  <c r="I1495" i="18"/>
  <c r="I1496" i="18"/>
  <c r="I1497" i="18"/>
  <c r="I1498" i="18"/>
  <c r="I1499" i="18"/>
  <c r="I1501" i="18"/>
  <c r="I1502" i="18"/>
  <c r="I1503" i="18"/>
  <c r="J1494" i="18"/>
  <c r="J1495" i="18"/>
  <c r="J1496" i="18"/>
  <c r="J1497" i="18"/>
  <c r="J1498" i="18"/>
  <c r="J1499" i="18"/>
  <c r="J1501" i="18"/>
  <c r="J1502" i="18"/>
  <c r="J1503" i="18"/>
  <c r="L1494" i="18"/>
  <c r="L1495" i="18"/>
  <c r="L1496" i="18"/>
  <c r="L1497" i="18"/>
  <c r="L1498" i="18"/>
  <c r="L1499" i="18"/>
  <c r="L1501" i="18"/>
  <c r="L1502" i="18"/>
  <c r="L1503" i="18"/>
  <c r="R1494" i="18"/>
  <c r="R1495" i="18"/>
  <c r="R1496" i="18"/>
  <c r="R1497" i="18"/>
  <c r="R1498" i="18"/>
  <c r="R1499" i="18"/>
  <c r="R1501" i="18"/>
  <c r="R1502" i="18"/>
  <c r="R1503" i="18"/>
  <c r="S1494" i="18"/>
  <c r="S1495" i="18"/>
  <c r="S1496" i="18"/>
  <c r="S1497" i="18"/>
  <c r="S1498" i="18"/>
  <c r="S1499" i="18"/>
  <c r="S1501" i="18"/>
  <c r="S1502" i="18"/>
  <c r="S1503" i="18"/>
  <c r="T1494" i="18"/>
  <c r="T1495" i="18"/>
  <c r="AA1495" i="18" s="1"/>
  <c r="T1496" i="18"/>
  <c r="T1497" i="18"/>
  <c r="T1498" i="18"/>
  <c r="T1499" i="18"/>
  <c r="AA1499" i="18" s="1"/>
  <c r="T1501" i="18"/>
  <c r="AA1501" i="18" s="1"/>
  <c r="T1502" i="18"/>
  <c r="AA1502" i="18" s="1"/>
  <c r="T1503" i="18"/>
  <c r="AA1503" i="18" s="1"/>
  <c r="BL106" i="1"/>
  <c r="C145" i="19"/>
  <c r="E145" i="19"/>
  <c r="H145" i="19"/>
  <c r="I145" i="19"/>
  <c r="J145" i="19"/>
  <c r="O145" i="19"/>
  <c r="P145" i="19"/>
  <c r="Q145" i="19"/>
  <c r="B1481" i="18"/>
  <c r="B1482" i="18"/>
  <c r="B1483" i="18"/>
  <c r="B1484" i="18"/>
  <c r="B1485" i="18"/>
  <c r="B1486" i="18"/>
  <c r="B1487" i="18"/>
  <c r="B1490" i="18"/>
  <c r="B1491" i="18"/>
  <c r="B1492" i="18"/>
  <c r="B1493" i="18"/>
  <c r="C1481" i="18"/>
  <c r="C1482" i="18"/>
  <c r="C1483" i="18"/>
  <c r="C1484" i="18"/>
  <c r="C1485" i="18"/>
  <c r="C1486" i="18"/>
  <c r="C1487" i="18"/>
  <c r="C1490" i="18"/>
  <c r="C1491" i="18"/>
  <c r="C1492" i="18"/>
  <c r="C1493" i="18"/>
  <c r="E1481" i="18"/>
  <c r="E1482" i="18"/>
  <c r="E1483" i="18"/>
  <c r="E1484" i="18"/>
  <c r="E1485" i="18"/>
  <c r="E1486" i="18"/>
  <c r="E1487" i="18"/>
  <c r="E1490" i="18"/>
  <c r="E1491" i="18"/>
  <c r="E1492" i="18"/>
  <c r="E1493" i="18"/>
  <c r="H1481" i="18"/>
  <c r="H1482" i="18"/>
  <c r="H1483" i="18"/>
  <c r="H1484" i="18"/>
  <c r="H1485" i="18"/>
  <c r="H1486" i="18"/>
  <c r="H1487" i="18"/>
  <c r="H1490" i="18"/>
  <c r="H1491" i="18"/>
  <c r="H1492" i="18"/>
  <c r="H1493" i="18"/>
  <c r="I1481" i="18"/>
  <c r="I1482" i="18"/>
  <c r="I1483" i="18"/>
  <c r="I1484" i="18"/>
  <c r="I1485" i="18"/>
  <c r="I1486" i="18"/>
  <c r="I1487" i="18"/>
  <c r="I1490" i="18"/>
  <c r="I1491" i="18"/>
  <c r="I1492" i="18"/>
  <c r="I1493" i="18"/>
  <c r="J1481" i="18"/>
  <c r="J1482" i="18"/>
  <c r="J1483" i="18"/>
  <c r="J1484" i="18"/>
  <c r="J1485" i="18"/>
  <c r="J1486" i="18"/>
  <c r="J1487" i="18"/>
  <c r="J1490" i="18"/>
  <c r="J1491" i="18"/>
  <c r="J1492" i="18"/>
  <c r="J1493" i="18"/>
  <c r="L1481" i="18"/>
  <c r="L1482" i="18"/>
  <c r="L1483" i="18"/>
  <c r="L1484" i="18"/>
  <c r="L1485" i="18"/>
  <c r="L1486" i="18"/>
  <c r="L1487" i="18"/>
  <c r="L1490" i="18"/>
  <c r="L1491" i="18"/>
  <c r="L1492" i="18"/>
  <c r="L1493" i="18"/>
  <c r="R1481" i="18"/>
  <c r="R1482" i="18"/>
  <c r="R1483" i="18"/>
  <c r="R1484" i="18"/>
  <c r="R1485" i="18"/>
  <c r="R1486" i="18"/>
  <c r="R1487" i="18"/>
  <c r="R1490" i="18"/>
  <c r="R1491" i="18"/>
  <c r="R1492" i="18"/>
  <c r="R1493" i="18"/>
  <c r="S1481" i="18"/>
  <c r="S1482" i="18"/>
  <c r="S1483" i="18"/>
  <c r="S1484" i="18"/>
  <c r="S1485" i="18"/>
  <c r="S1486" i="18"/>
  <c r="S1487" i="18"/>
  <c r="S1490" i="18"/>
  <c r="S1491" i="18"/>
  <c r="S1492" i="18"/>
  <c r="S1493" i="18"/>
  <c r="T1481" i="18"/>
  <c r="AA1481" i="18" s="1"/>
  <c r="T1482" i="18"/>
  <c r="AA1482" i="18" s="1"/>
  <c r="T1483" i="18"/>
  <c r="AA1483" i="18" s="1"/>
  <c r="T1484" i="18"/>
  <c r="AA1484" i="18" s="1"/>
  <c r="T1485" i="18"/>
  <c r="AA1485" i="18" s="1"/>
  <c r="T1486" i="18"/>
  <c r="T1487" i="18"/>
  <c r="T1490" i="18"/>
  <c r="AA1490" i="18" s="1"/>
  <c r="T1491" i="18"/>
  <c r="T1492" i="18"/>
  <c r="AA1492" i="18" s="1"/>
  <c r="T1493" i="18"/>
  <c r="AA1493" i="18" s="1"/>
  <c r="BF105" i="1"/>
  <c r="BM105" i="1" s="1"/>
  <c r="BG105" i="1"/>
  <c r="BL105" i="1"/>
  <c r="I26" i="21"/>
  <c r="H26" i="21"/>
  <c r="E26" i="21"/>
  <c r="H25" i="21"/>
  <c r="I25" i="21" s="1"/>
  <c r="E25" i="21"/>
  <c r="I24" i="21"/>
  <c r="H24" i="21"/>
  <c r="E24" i="21"/>
  <c r="E23" i="21"/>
  <c r="H22" i="21"/>
  <c r="I22" i="21" s="1"/>
  <c r="E22" i="21"/>
  <c r="H21" i="21"/>
  <c r="I21" i="21" s="1"/>
  <c r="E21" i="21"/>
  <c r="I20" i="21"/>
  <c r="H20" i="21"/>
  <c r="E20" i="21"/>
  <c r="H19" i="21"/>
  <c r="I19" i="21" s="1"/>
  <c r="E19" i="21"/>
  <c r="I18" i="21"/>
  <c r="H18" i="21"/>
  <c r="E18" i="21"/>
  <c r="H17" i="21"/>
  <c r="I17" i="21" s="1"/>
  <c r="E17" i="21"/>
  <c r="H16" i="21"/>
  <c r="I16" i="21" s="1"/>
  <c r="E16" i="21"/>
  <c r="H15" i="21"/>
  <c r="I15" i="21" s="1"/>
  <c r="E15" i="21"/>
  <c r="I14" i="21"/>
  <c r="H14" i="21"/>
  <c r="E14" i="21"/>
  <c r="H13" i="21"/>
  <c r="I13" i="21" s="1"/>
  <c r="E13" i="21"/>
  <c r="H12" i="21"/>
  <c r="E12" i="21"/>
  <c r="I11" i="21"/>
  <c r="H11" i="21"/>
  <c r="E11" i="21"/>
  <c r="H10" i="21"/>
  <c r="I10" i="21" s="1"/>
  <c r="E10" i="21"/>
  <c r="H9" i="21"/>
  <c r="I9" i="21" s="1"/>
  <c r="E9" i="21"/>
  <c r="H8" i="21"/>
  <c r="I8" i="21" s="1"/>
  <c r="E8" i="21"/>
  <c r="I7" i="21"/>
  <c r="H7" i="21"/>
  <c r="E7" i="21"/>
  <c r="E6" i="21"/>
  <c r="I5" i="21"/>
  <c r="H5" i="21"/>
  <c r="E5" i="21"/>
  <c r="H4" i="21"/>
  <c r="I4" i="21" s="1"/>
  <c r="E4" i="21"/>
  <c r="H3" i="21"/>
  <c r="I3" i="21" s="1"/>
  <c r="E3" i="21"/>
  <c r="O143" i="19"/>
  <c r="P143" i="19"/>
  <c r="Q143" i="19"/>
  <c r="X143" i="19" s="1"/>
  <c r="O144" i="19"/>
  <c r="P144" i="19"/>
  <c r="Q144" i="19"/>
  <c r="X144" i="19" s="1"/>
  <c r="H143" i="19"/>
  <c r="I143" i="19"/>
  <c r="J143" i="19"/>
  <c r="H144" i="19"/>
  <c r="I144" i="19"/>
  <c r="J144" i="19"/>
  <c r="E143" i="19"/>
  <c r="E144" i="19"/>
  <c r="C143" i="19"/>
  <c r="C144" i="19"/>
  <c r="W1508" i="18" l="1"/>
  <c r="W1497" i="18"/>
  <c r="BN110" i="1"/>
  <c r="W1507" i="18"/>
  <c r="BM107" i="1"/>
  <c r="T145" i="19"/>
  <c r="T144" i="19"/>
  <c r="W1526" i="18"/>
  <c r="W1525" i="18"/>
  <c r="W1524" i="18"/>
  <c r="W1496" i="18"/>
  <c r="W1528" i="18"/>
  <c r="W1523" i="18"/>
  <c r="W1527" i="18"/>
  <c r="W1521" i="18"/>
  <c r="W1520" i="18"/>
  <c r="W1522" i="18"/>
  <c r="W1512" i="18"/>
  <c r="W1517" i="18"/>
  <c r="W1516" i="18"/>
  <c r="AA1517" i="18"/>
  <c r="W1519" i="18"/>
  <c r="BN109" i="1"/>
  <c r="W1513" i="18"/>
  <c r="W1515" i="18"/>
  <c r="W1514" i="18"/>
  <c r="AA1516" i="18"/>
  <c r="W1518" i="18"/>
  <c r="W1494" i="18"/>
  <c r="W1500" i="18"/>
  <c r="BM108" i="1"/>
  <c r="AA1500" i="18"/>
  <c r="W41" i="18"/>
  <c r="AA1507" i="18"/>
  <c r="W1510" i="18"/>
  <c r="W1509" i="18"/>
  <c r="W1498" i="18"/>
  <c r="AA1508" i="18"/>
  <c r="AA1512" i="18"/>
  <c r="W1511" i="18"/>
  <c r="W1506" i="18"/>
  <c r="W1505" i="18"/>
  <c r="W1504" i="18"/>
  <c r="AA1494" i="18"/>
  <c r="W1493" i="18"/>
  <c r="AA1498" i="18"/>
  <c r="BG106" i="1"/>
  <c r="BF106" i="1"/>
  <c r="BM106" i="1" s="1"/>
  <c r="AA1497" i="18"/>
  <c r="W1503" i="18"/>
  <c r="W1502" i="18"/>
  <c r="W1499" i="18"/>
  <c r="W1501" i="18"/>
  <c r="W1495" i="18"/>
  <c r="AA1496" i="18"/>
  <c r="W1492" i="18"/>
  <c r="X145" i="19"/>
  <c r="T143" i="19"/>
  <c r="W1481" i="18"/>
  <c r="W1487" i="18"/>
  <c r="W1491" i="18"/>
  <c r="W1486" i="18"/>
  <c r="AA1491" i="18"/>
  <c r="W1490" i="18"/>
  <c r="W1484" i="18"/>
  <c r="AA1487" i="18"/>
  <c r="AA1486" i="18"/>
  <c r="W1483" i="18"/>
  <c r="W1482" i="18"/>
  <c r="W1485" i="18"/>
  <c r="BN105" i="1"/>
  <c r="B1470" i="18"/>
  <c r="B1471" i="18"/>
  <c r="B1472" i="18"/>
  <c r="B1473" i="18"/>
  <c r="B1474" i="18"/>
  <c r="B1476" i="18"/>
  <c r="B1477" i="18"/>
  <c r="B1478" i="18"/>
  <c r="B1479" i="18"/>
  <c r="B1480" i="18"/>
  <c r="C1470" i="18"/>
  <c r="C1471" i="18"/>
  <c r="C1472" i="18"/>
  <c r="C1473" i="18"/>
  <c r="C1474" i="18"/>
  <c r="C1476" i="18"/>
  <c r="C1477" i="18"/>
  <c r="C1478" i="18"/>
  <c r="C1479" i="18"/>
  <c r="C1480" i="18"/>
  <c r="E1470" i="18"/>
  <c r="E1471" i="18"/>
  <c r="E1472" i="18"/>
  <c r="E1473" i="18"/>
  <c r="E1474" i="18"/>
  <c r="E1476" i="18"/>
  <c r="E1477" i="18"/>
  <c r="E1478" i="18"/>
  <c r="E1479" i="18"/>
  <c r="E1480" i="18"/>
  <c r="H1470" i="18"/>
  <c r="H1471" i="18"/>
  <c r="H1472" i="18"/>
  <c r="H1473" i="18"/>
  <c r="H1474" i="18"/>
  <c r="H1476" i="18"/>
  <c r="H1477" i="18"/>
  <c r="H1478" i="18"/>
  <c r="H1479" i="18"/>
  <c r="H1480" i="18"/>
  <c r="I1470" i="18"/>
  <c r="I1471" i="18"/>
  <c r="I1472" i="18"/>
  <c r="I1473" i="18"/>
  <c r="I1474" i="18"/>
  <c r="I1476" i="18"/>
  <c r="I1477" i="18"/>
  <c r="I1478" i="18"/>
  <c r="I1479" i="18"/>
  <c r="I1480" i="18"/>
  <c r="J1470" i="18"/>
  <c r="J1471" i="18"/>
  <c r="J1472" i="18"/>
  <c r="J1473" i="18"/>
  <c r="J1474" i="18"/>
  <c r="J1476" i="18"/>
  <c r="J1477" i="18"/>
  <c r="J1478" i="18"/>
  <c r="J1479" i="18"/>
  <c r="J1480" i="18"/>
  <c r="L1470" i="18"/>
  <c r="L1471" i="18"/>
  <c r="L1472" i="18"/>
  <c r="L1473" i="18"/>
  <c r="L1474" i="18"/>
  <c r="L1476" i="18"/>
  <c r="L1477" i="18"/>
  <c r="L1478" i="18"/>
  <c r="L1479" i="18"/>
  <c r="L1480" i="18"/>
  <c r="R1470" i="18"/>
  <c r="R1471" i="18"/>
  <c r="R1472" i="18"/>
  <c r="R1473" i="18"/>
  <c r="R1474" i="18"/>
  <c r="R1476" i="18"/>
  <c r="R1477" i="18"/>
  <c r="R1478" i="18"/>
  <c r="R1479" i="18"/>
  <c r="R1480" i="18"/>
  <c r="S1470" i="18"/>
  <c r="S1471" i="18"/>
  <c r="S1472" i="18"/>
  <c r="S1473" i="18"/>
  <c r="S1474" i="18"/>
  <c r="S1476" i="18"/>
  <c r="S1477" i="18"/>
  <c r="S1478" i="18"/>
  <c r="S1479" i="18"/>
  <c r="S1480" i="18"/>
  <c r="T1470" i="18"/>
  <c r="T1471" i="18"/>
  <c r="T1472" i="18"/>
  <c r="T1473" i="18"/>
  <c r="AA1473" i="18" s="1"/>
  <c r="T1474" i="18"/>
  <c r="AA1474" i="18" s="1"/>
  <c r="T1476" i="18"/>
  <c r="AA1476" i="18" s="1"/>
  <c r="T1477" i="18"/>
  <c r="AA1477" i="18" s="1"/>
  <c r="T1478" i="18"/>
  <c r="AA1478" i="18" s="1"/>
  <c r="T1479" i="18"/>
  <c r="AA1479" i="18" s="1"/>
  <c r="T1480" i="18"/>
  <c r="AA1480" i="18" s="1"/>
  <c r="BF104" i="1"/>
  <c r="BM104" i="1" s="1"/>
  <c r="BG104" i="1"/>
  <c r="BL104" i="1"/>
  <c r="B1462" i="18"/>
  <c r="B1463" i="18"/>
  <c r="B1464" i="18"/>
  <c r="B1465" i="18"/>
  <c r="B1467" i="18"/>
  <c r="B1468" i="18"/>
  <c r="B1469" i="18"/>
  <c r="C1462" i="18"/>
  <c r="C1463" i="18"/>
  <c r="C1464" i="18"/>
  <c r="C1465" i="18"/>
  <c r="C1467" i="18"/>
  <c r="C1468" i="18"/>
  <c r="C1469" i="18"/>
  <c r="E1462" i="18"/>
  <c r="E1463" i="18"/>
  <c r="E1464" i="18"/>
  <c r="E1465" i="18"/>
  <c r="E1467" i="18"/>
  <c r="E1468" i="18"/>
  <c r="E1469" i="18"/>
  <c r="H1462" i="18"/>
  <c r="H1463" i="18"/>
  <c r="H1464" i="18"/>
  <c r="H1465" i="18"/>
  <c r="H1467" i="18"/>
  <c r="H1468" i="18"/>
  <c r="H1469" i="18"/>
  <c r="I1462" i="18"/>
  <c r="I1463" i="18"/>
  <c r="I1464" i="18"/>
  <c r="I1465" i="18"/>
  <c r="I1467" i="18"/>
  <c r="I1468" i="18"/>
  <c r="I1469" i="18"/>
  <c r="J1462" i="18"/>
  <c r="J1463" i="18"/>
  <c r="J1464" i="18"/>
  <c r="J1465" i="18"/>
  <c r="J1467" i="18"/>
  <c r="J1468" i="18"/>
  <c r="J1469" i="18"/>
  <c r="L1462" i="18"/>
  <c r="L1463" i="18"/>
  <c r="L1464" i="18"/>
  <c r="L1465" i="18"/>
  <c r="L1467" i="18"/>
  <c r="L1468" i="18"/>
  <c r="L1469" i="18"/>
  <c r="R1462" i="18"/>
  <c r="R1463" i="18"/>
  <c r="R1464" i="18"/>
  <c r="R1465" i="18"/>
  <c r="R1467" i="18"/>
  <c r="R1468" i="18"/>
  <c r="R1469" i="18"/>
  <c r="S1462" i="18"/>
  <c r="S1463" i="18"/>
  <c r="S1464" i="18"/>
  <c r="S1465" i="18"/>
  <c r="S1467" i="18"/>
  <c r="S1468" i="18"/>
  <c r="S1469" i="18"/>
  <c r="T1462" i="18"/>
  <c r="AA1462" i="18" s="1"/>
  <c r="T1463" i="18"/>
  <c r="T1464" i="18"/>
  <c r="T1465" i="18"/>
  <c r="T1467" i="18"/>
  <c r="T1468" i="18"/>
  <c r="T1469" i="18"/>
  <c r="BF103" i="1"/>
  <c r="BM103" i="1" s="1"/>
  <c r="BG103" i="1"/>
  <c r="BL103" i="1"/>
  <c r="B1459" i="18"/>
  <c r="B1461" i="18"/>
  <c r="C1459" i="18"/>
  <c r="C1461" i="18"/>
  <c r="E1459" i="18"/>
  <c r="E1461" i="18"/>
  <c r="H1459" i="18"/>
  <c r="H1461" i="18"/>
  <c r="I1459" i="18"/>
  <c r="I1461" i="18"/>
  <c r="J1459" i="18"/>
  <c r="J1461" i="18"/>
  <c r="L1459" i="18"/>
  <c r="L1461" i="18"/>
  <c r="R1459" i="18"/>
  <c r="R1461" i="18"/>
  <c r="S1459" i="18"/>
  <c r="S1461" i="18"/>
  <c r="T1459" i="18"/>
  <c r="AA1459" i="18" s="1"/>
  <c r="T1461" i="18"/>
  <c r="AA1461" i="18" s="1"/>
  <c r="BF102" i="1"/>
  <c r="BM102" i="1" s="1"/>
  <c r="BG102" i="1"/>
  <c r="BL102" i="1"/>
  <c r="B1455" i="18"/>
  <c r="B1456" i="18"/>
  <c r="B1457" i="18"/>
  <c r="C1455" i="18"/>
  <c r="C1456" i="18"/>
  <c r="C1457" i="18"/>
  <c r="E1455" i="18"/>
  <c r="E1456" i="18"/>
  <c r="E1457" i="18"/>
  <c r="H1455" i="18"/>
  <c r="H1456" i="18"/>
  <c r="H1457" i="18"/>
  <c r="I1455" i="18"/>
  <c r="I1456" i="18"/>
  <c r="I1457" i="18"/>
  <c r="J1455" i="18"/>
  <c r="J1456" i="18"/>
  <c r="J1457" i="18"/>
  <c r="L1455" i="18"/>
  <c r="L1456" i="18"/>
  <c r="L1457" i="18"/>
  <c r="R1455" i="18"/>
  <c r="R1456" i="18"/>
  <c r="R1457" i="18"/>
  <c r="S1455" i="18"/>
  <c r="S1456" i="18"/>
  <c r="S1457" i="18"/>
  <c r="T1455" i="18"/>
  <c r="AA1455" i="18" s="1"/>
  <c r="T1456" i="18"/>
  <c r="AA1456" i="18" s="1"/>
  <c r="T1457" i="18"/>
  <c r="AA1457" i="18" s="1"/>
  <c r="BF101" i="1"/>
  <c r="BM101" i="1" s="1"/>
  <c r="BG101" i="1"/>
  <c r="BL101" i="1"/>
  <c r="L1333" i="18"/>
  <c r="B1333" i="18"/>
  <c r="C1333" i="18"/>
  <c r="E1333" i="18"/>
  <c r="H1333" i="18"/>
  <c r="I1333" i="18"/>
  <c r="J1333" i="18"/>
  <c r="R1333" i="18"/>
  <c r="S1333" i="18"/>
  <c r="T1333" i="18"/>
  <c r="AA1333" i="18" s="1"/>
  <c r="C142" i="19"/>
  <c r="E142" i="19"/>
  <c r="H142" i="19"/>
  <c r="I142" i="19"/>
  <c r="J142" i="19"/>
  <c r="O142" i="19"/>
  <c r="P142" i="19"/>
  <c r="Q142" i="19"/>
  <c r="C141" i="19"/>
  <c r="E141" i="19"/>
  <c r="H141" i="19"/>
  <c r="I141" i="19"/>
  <c r="J141" i="19"/>
  <c r="O141" i="19"/>
  <c r="P141" i="19"/>
  <c r="Q141" i="19"/>
  <c r="X141" i="19" s="1"/>
  <c r="C1446" i="18"/>
  <c r="C1447" i="18"/>
  <c r="C1448" i="18"/>
  <c r="C1449" i="18"/>
  <c r="C1450" i="18"/>
  <c r="C1451" i="18"/>
  <c r="C1452" i="18"/>
  <c r="C1453" i="18"/>
  <c r="B1446" i="18"/>
  <c r="B1447" i="18"/>
  <c r="B1448" i="18"/>
  <c r="B1449" i="18"/>
  <c r="B1450" i="18"/>
  <c r="B1451" i="18"/>
  <c r="B1452" i="18"/>
  <c r="B1453" i="18"/>
  <c r="E1446" i="18"/>
  <c r="E1447" i="18"/>
  <c r="E1448" i="18"/>
  <c r="E1449" i="18"/>
  <c r="E1450" i="18"/>
  <c r="E1451" i="18"/>
  <c r="E1452" i="18"/>
  <c r="E1453" i="18"/>
  <c r="H1446" i="18"/>
  <c r="H1447" i="18"/>
  <c r="H1448" i="18"/>
  <c r="H1449" i="18"/>
  <c r="H1450" i="18"/>
  <c r="H1451" i="18"/>
  <c r="H1452" i="18"/>
  <c r="H1453" i="18"/>
  <c r="I1446" i="18"/>
  <c r="I1447" i="18"/>
  <c r="I1448" i="18"/>
  <c r="I1449" i="18"/>
  <c r="I1450" i="18"/>
  <c r="I1451" i="18"/>
  <c r="I1452" i="18"/>
  <c r="I1453" i="18"/>
  <c r="J1446" i="18"/>
  <c r="J1447" i="18"/>
  <c r="J1448" i="18"/>
  <c r="J1449" i="18"/>
  <c r="J1450" i="18"/>
  <c r="J1451" i="18"/>
  <c r="J1452" i="18"/>
  <c r="J1453" i="18"/>
  <c r="L1446" i="18"/>
  <c r="L1447" i="18"/>
  <c r="L1448" i="18"/>
  <c r="L1449" i="18"/>
  <c r="L1450" i="18"/>
  <c r="L1451" i="18"/>
  <c r="L1452" i="18"/>
  <c r="L1453" i="18"/>
  <c r="R1446" i="18"/>
  <c r="R1447" i="18"/>
  <c r="R1448" i="18"/>
  <c r="R1449" i="18"/>
  <c r="R1450" i="18"/>
  <c r="R1451" i="18"/>
  <c r="R1452" i="18"/>
  <c r="R1453" i="18"/>
  <c r="S1446" i="18"/>
  <c r="S1447" i="18"/>
  <c r="S1448" i="18"/>
  <c r="S1449" i="18"/>
  <c r="S1450" i="18"/>
  <c r="S1451" i="18"/>
  <c r="S1452" i="18"/>
  <c r="S1453" i="18"/>
  <c r="T1446" i="18"/>
  <c r="T1447" i="18"/>
  <c r="T1448" i="18"/>
  <c r="AA1448" i="18" s="1"/>
  <c r="T1449" i="18"/>
  <c r="AA1449" i="18" s="1"/>
  <c r="T1450" i="18"/>
  <c r="AA1450" i="18" s="1"/>
  <c r="T1451" i="18"/>
  <c r="AA1451" i="18" s="1"/>
  <c r="T1452" i="18"/>
  <c r="AA1452" i="18" s="1"/>
  <c r="T1453" i="18"/>
  <c r="AA1453" i="18" s="1"/>
  <c r="BN106" i="1" l="1"/>
  <c r="W1472" i="18"/>
  <c r="W1471" i="18"/>
  <c r="W1478" i="18"/>
  <c r="W1477" i="18"/>
  <c r="W1470" i="18"/>
  <c r="W1463" i="18"/>
  <c r="AA1470" i="18"/>
  <c r="AA1472" i="18"/>
  <c r="AA1471" i="18"/>
  <c r="W1480" i="18"/>
  <c r="W1479" i="18"/>
  <c r="W1476" i="18"/>
  <c r="W1474" i="18"/>
  <c r="W1473" i="18"/>
  <c r="W1465" i="18"/>
  <c r="W1464" i="18"/>
  <c r="AA1463" i="18"/>
  <c r="W1462" i="18"/>
  <c r="W1469" i="18"/>
  <c r="W1468" i="18"/>
  <c r="W1467" i="18"/>
  <c r="BN104" i="1"/>
  <c r="BN103" i="1"/>
  <c r="AA1469" i="18"/>
  <c r="AA1468" i="18"/>
  <c r="AA1467" i="18"/>
  <c r="AA1465" i="18"/>
  <c r="AA1464" i="18"/>
  <c r="W1461" i="18"/>
  <c r="W1459" i="18"/>
  <c r="W1446" i="18"/>
  <c r="BN102" i="1"/>
  <c r="W1456" i="18"/>
  <c r="W1457" i="18"/>
  <c r="W1455" i="18"/>
  <c r="BN101" i="1"/>
  <c r="T142" i="19"/>
  <c r="X142" i="19"/>
  <c r="W1333" i="18"/>
  <c r="W1449" i="18"/>
  <c r="W1452" i="18"/>
  <c r="W1450" i="18"/>
  <c r="W1447" i="18"/>
  <c r="W1453" i="18"/>
  <c r="T141" i="19"/>
  <c r="W1451" i="18"/>
  <c r="W1448" i="18"/>
  <c r="AA1447" i="18"/>
  <c r="AA1446" i="18"/>
  <c r="BF100" i="1" l="1"/>
  <c r="BM100" i="1" s="1"/>
  <c r="BG100" i="1"/>
  <c r="BL100" i="1"/>
  <c r="BN100" i="1" l="1"/>
  <c r="C137" i="19"/>
  <c r="C138" i="19"/>
  <c r="C139" i="19"/>
  <c r="E137" i="19"/>
  <c r="H137" i="19"/>
  <c r="I137" i="19"/>
  <c r="J137" i="19"/>
  <c r="O137" i="19"/>
  <c r="P137" i="19"/>
  <c r="Q137" i="19"/>
  <c r="X137" i="19" s="1"/>
  <c r="E138" i="19"/>
  <c r="H138" i="19"/>
  <c r="I138" i="19"/>
  <c r="J138" i="19"/>
  <c r="O138" i="19"/>
  <c r="P138" i="19"/>
  <c r="Q138" i="19"/>
  <c r="X138" i="19" s="1"/>
  <c r="E139" i="19"/>
  <c r="H139" i="19"/>
  <c r="I139" i="19"/>
  <c r="J139" i="19"/>
  <c r="O139" i="19"/>
  <c r="P139" i="19"/>
  <c r="Q139" i="19"/>
  <c r="X139" i="19" s="1"/>
  <c r="T139" i="19" l="1"/>
  <c r="T138" i="19"/>
  <c r="T137" i="19"/>
  <c r="B1445" i="18" l="1"/>
  <c r="C1445" i="18"/>
  <c r="E1445" i="18"/>
  <c r="H1445" i="18"/>
  <c r="I1445" i="18"/>
  <c r="J1445" i="18"/>
  <c r="L1445" i="18"/>
  <c r="R1445" i="18"/>
  <c r="S1445" i="18"/>
  <c r="T1445" i="18"/>
  <c r="AA1445" i="18" s="1"/>
  <c r="W1445" i="18" l="1"/>
  <c r="C140" i="19"/>
  <c r="E140" i="19"/>
  <c r="H140" i="19"/>
  <c r="I140" i="19"/>
  <c r="J140" i="19"/>
  <c r="O140" i="19"/>
  <c r="P140" i="19"/>
  <c r="Q140" i="19"/>
  <c r="X140" i="19" s="1"/>
  <c r="B1431" i="18"/>
  <c r="B1432" i="18"/>
  <c r="B1433" i="18"/>
  <c r="B1434" i="18"/>
  <c r="B1435" i="18"/>
  <c r="B1436" i="18"/>
  <c r="B1437" i="18"/>
  <c r="B1438" i="18"/>
  <c r="B1440" i="18"/>
  <c r="B1441" i="18"/>
  <c r="B1442" i="18"/>
  <c r="B1443" i="18"/>
  <c r="B1444" i="18"/>
  <c r="C1431" i="18"/>
  <c r="C1432" i="18"/>
  <c r="C1433" i="18"/>
  <c r="C1434" i="18"/>
  <c r="C1435" i="18"/>
  <c r="C1436" i="18"/>
  <c r="C1437" i="18"/>
  <c r="C1438" i="18"/>
  <c r="C1440" i="18"/>
  <c r="C1441" i="18"/>
  <c r="C1442" i="18"/>
  <c r="C1443" i="18"/>
  <c r="C1444" i="18"/>
  <c r="E1431" i="18"/>
  <c r="E1432" i="18"/>
  <c r="E1433" i="18"/>
  <c r="E1434" i="18"/>
  <c r="E1435" i="18"/>
  <c r="E1436" i="18"/>
  <c r="E1437" i="18"/>
  <c r="E1438" i="18"/>
  <c r="E1440" i="18"/>
  <c r="E1441" i="18"/>
  <c r="E1442" i="18"/>
  <c r="E1443" i="18"/>
  <c r="E1444" i="18"/>
  <c r="H1431" i="18"/>
  <c r="H1432" i="18"/>
  <c r="H1433" i="18"/>
  <c r="H1434" i="18"/>
  <c r="H1435" i="18"/>
  <c r="H1436" i="18"/>
  <c r="H1437" i="18"/>
  <c r="H1438" i="18"/>
  <c r="H1440" i="18"/>
  <c r="H1441" i="18"/>
  <c r="H1442" i="18"/>
  <c r="H1443" i="18"/>
  <c r="H1444" i="18"/>
  <c r="I1431" i="18"/>
  <c r="I1432" i="18"/>
  <c r="I1433" i="18"/>
  <c r="I1434" i="18"/>
  <c r="I1435" i="18"/>
  <c r="I1436" i="18"/>
  <c r="I1437" i="18"/>
  <c r="I1438" i="18"/>
  <c r="I1440" i="18"/>
  <c r="I1441" i="18"/>
  <c r="I1442" i="18"/>
  <c r="I1443" i="18"/>
  <c r="I1444" i="18"/>
  <c r="J1431" i="18"/>
  <c r="J1432" i="18"/>
  <c r="J1433" i="18"/>
  <c r="J1434" i="18"/>
  <c r="J1435" i="18"/>
  <c r="J1436" i="18"/>
  <c r="J1437" i="18"/>
  <c r="J1438" i="18"/>
  <c r="J1440" i="18"/>
  <c r="J1441" i="18"/>
  <c r="J1442" i="18"/>
  <c r="J1443" i="18"/>
  <c r="J1444" i="18"/>
  <c r="L1431" i="18"/>
  <c r="L1432" i="18"/>
  <c r="L1433" i="18"/>
  <c r="L1434" i="18"/>
  <c r="L1435" i="18"/>
  <c r="L1436" i="18"/>
  <c r="L1437" i="18"/>
  <c r="L1438" i="18"/>
  <c r="L1440" i="18"/>
  <c r="L1441" i="18"/>
  <c r="L1442" i="18"/>
  <c r="L1443" i="18"/>
  <c r="L1444" i="18"/>
  <c r="R1431" i="18"/>
  <c r="R1432" i="18"/>
  <c r="R1433" i="18"/>
  <c r="R1434" i="18"/>
  <c r="R1435" i="18"/>
  <c r="R1436" i="18"/>
  <c r="R1437" i="18"/>
  <c r="R1438" i="18"/>
  <c r="R1440" i="18"/>
  <c r="R1441" i="18"/>
  <c r="R1442" i="18"/>
  <c r="R1443" i="18"/>
  <c r="R1444" i="18"/>
  <c r="S1431" i="18"/>
  <c r="S1432" i="18"/>
  <c r="S1433" i="18"/>
  <c r="S1434" i="18"/>
  <c r="S1435" i="18"/>
  <c r="S1436" i="18"/>
  <c r="S1437" i="18"/>
  <c r="S1438" i="18"/>
  <c r="S1440" i="18"/>
  <c r="S1441" i="18"/>
  <c r="S1442" i="18"/>
  <c r="S1443" i="18"/>
  <c r="S1444" i="18"/>
  <c r="T1431" i="18"/>
  <c r="AA1431" i="18" s="1"/>
  <c r="T1432" i="18"/>
  <c r="AA1432" i="18" s="1"/>
  <c r="T1433" i="18"/>
  <c r="AA1433" i="18" s="1"/>
  <c r="T1434" i="18"/>
  <c r="AA1434" i="18" s="1"/>
  <c r="T1435" i="18"/>
  <c r="T1436" i="18"/>
  <c r="T1437" i="18"/>
  <c r="T1438" i="18"/>
  <c r="T1440" i="18"/>
  <c r="AA1440" i="18" s="1"/>
  <c r="T1441" i="18"/>
  <c r="T1442" i="18"/>
  <c r="AA1442" i="18" s="1"/>
  <c r="T1443" i="18"/>
  <c r="AA1443" i="18" s="1"/>
  <c r="T1444" i="18"/>
  <c r="AA1444" i="18" s="1"/>
  <c r="BF99" i="1"/>
  <c r="BM99" i="1" s="1"/>
  <c r="BG99" i="1"/>
  <c r="BL99" i="1"/>
  <c r="B1429" i="18"/>
  <c r="C1429" i="18"/>
  <c r="E1429" i="18"/>
  <c r="H1429" i="18"/>
  <c r="I1429" i="18"/>
  <c r="J1429" i="18"/>
  <c r="L1429" i="18"/>
  <c r="R1429" i="18"/>
  <c r="S1429" i="18"/>
  <c r="T1429" i="18"/>
  <c r="AA1429" i="18" s="1"/>
  <c r="B1407" i="18"/>
  <c r="B1408" i="18"/>
  <c r="B1409" i="18"/>
  <c r="B1410" i="18"/>
  <c r="B1411" i="18"/>
  <c r="B1412" i="18"/>
  <c r="B1413" i="18"/>
  <c r="B1414" i="18"/>
  <c r="B1415" i="18"/>
  <c r="B1416" i="18"/>
  <c r="B1417" i="18"/>
  <c r="B1418" i="18"/>
  <c r="B1419" i="18"/>
  <c r="B1420" i="18"/>
  <c r="B1421" i="18"/>
  <c r="B1422" i="18"/>
  <c r="B1423" i="18"/>
  <c r="B1424" i="18"/>
  <c r="B1425" i="18"/>
  <c r="B1426" i="18"/>
  <c r="B1427" i="18"/>
  <c r="B1428" i="18"/>
  <c r="C1407" i="18"/>
  <c r="C1408" i="18"/>
  <c r="C1409" i="18"/>
  <c r="C1410" i="18"/>
  <c r="C1411" i="18"/>
  <c r="C1412" i="18"/>
  <c r="C1413" i="18"/>
  <c r="C1414" i="18"/>
  <c r="C1415" i="18"/>
  <c r="C1416" i="18"/>
  <c r="C1417" i="18"/>
  <c r="C1418" i="18"/>
  <c r="C1419" i="18"/>
  <c r="C1420" i="18"/>
  <c r="C1421" i="18"/>
  <c r="C1422" i="18"/>
  <c r="C1423" i="18"/>
  <c r="C1424" i="18"/>
  <c r="C1425" i="18"/>
  <c r="C1426" i="18"/>
  <c r="C1427" i="18"/>
  <c r="C1428" i="18"/>
  <c r="E1407" i="18"/>
  <c r="E1408" i="18"/>
  <c r="E1409" i="18"/>
  <c r="E1410" i="18"/>
  <c r="E1411" i="18"/>
  <c r="E1412" i="18"/>
  <c r="E1413" i="18"/>
  <c r="E1414" i="18"/>
  <c r="E1415" i="18"/>
  <c r="E1416" i="18"/>
  <c r="E1417" i="18"/>
  <c r="E1418" i="18"/>
  <c r="E1419" i="18"/>
  <c r="E1420" i="18"/>
  <c r="E1421" i="18"/>
  <c r="E1422" i="18"/>
  <c r="E1423" i="18"/>
  <c r="E1424" i="18"/>
  <c r="E1425" i="18"/>
  <c r="E1426" i="18"/>
  <c r="E1427" i="18"/>
  <c r="E1428" i="18"/>
  <c r="H1407" i="18"/>
  <c r="H1408" i="18"/>
  <c r="H1409" i="18"/>
  <c r="H1410" i="18"/>
  <c r="H1411" i="18"/>
  <c r="H1412" i="18"/>
  <c r="H1413" i="18"/>
  <c r="H1414" i="18"/>
  <c r="H1415" i="18"/>
  <c r="H1416" i="18"/>
  <c r="H1417" i="18"/>
  <c r="H1418" i="18"/>
  <c r="H1419" i="18"/>
  <c r="H1420" i="18"/>
  <c r="H1421" i="18"/>
  <c r="H1422" i="18"/>
  <c r="H1423" i="18"/>
  <c r="H1424" i="18"/>
  <c r="H1425" i="18"/>
  <c r="H1426" i="18"/>
  <c r="H1427" i="18"/>
  <c r="H1428" i="18"/>
  <c r="I1407" i="18"/>
  <c r="I1408" i="18"/>
  <c r="I1409" i="18"/>
  <c r="I1410" i="18"/>
  <c r="I1411" i="18"/>
  <c r="I1412" i="18"/>
  <c r="I1413" i="18"/>
  <c r="I1414" i="18"/>
  <c r="I1415" i="18"/>
  <c r="I1416" i="18"/>
  <c r="I1417" i="18"/>
  <c r="I1418" i="18"/>
  <c r="I1419" i="18"/>
  <c r="I1420" i="18"/>
  <c r="I1421" i="18"/>
  <c r="I1422" i="18"/>
  <c r="I1423" i="18"/>
  <c r="I1424" i="18"/>
  <c r="I1425" i="18"/>
  <c r="I1426" i="18"/>
  <c r="I1427" i="18"/>
  <c r="I1428" i="18"/>
  <c r="J1407" i="18"/>
  <c r="J1408" i="18"/>
  <c r="J1409" i="18"/>
  <c r="J1410" i="18"/>
  <c r="J1411" i="18"/>
  <c r="J1412" i="18"/>
  <c r="J1413" i="18"/>
  <c r="J1414" i="18"/>
  <c r="J1415" i="18"/>
  <c r="J1416" i="18"/>
  <c r="J1417" i="18"/>
  <c r="J1418" i="18"/>
  <c r="J1419" i="18"/>
  <c r="J1420" i="18"/>
  <c r="J1421" i="18"/>
  <c r="J1422" i="18"/>
  <c r="J1423" i="18"/>
  <c r="J1424" i="18"/>
  <c r="J1425" i="18"/>
  <c r="J1426" i="18"/>
  <c r="J1427" i="18"/>
  <c r="J1428" i="18"/>
  <c r="L1407" i="18"/>
  <c r="L1408" i="18"/>
  <c r="L1409" i="18"/>
  <c r="L1410" i="18"/>
  <c r="L1411" i="18"/>
  <c r="L1412" i="18"/>
  <c r="L1413" i="18"/>
  <c r="L1414" i="18"/>
  <c r="L1415" i="18"/>
  <c r="L1416" i="18"/>
  <c r="L1417" i="18"/>
  <c r="L1418" i="18"/>
  <c r="L1419" i="18"/>
  <c r="L1420" i="18"/>
  <c r="L1421" i="18"/>
  <c r="L1422" i="18"/>
  <c r="L1423" i="18"/>
  <c r="L1424" i="18"/>
  <c r="L1425" i="18"/>
  <c r="L1426" i="18"/>
  <c r="L1427" i="18"/>
  <c r="L1428" i="18"/>
  <c r="R1407" i="18"/>
  <c r="R1408" i="18"/>
  <c r="R1409" i="18"/>
  <c r="R1410" i="18"/>
  <c r="R1411" i="18"/>
  <c r="R1412" i="18"/>
  <c r="R1413" i="18"/>
  <c r="R1414" i="18"/>
  <c r="R1415" i="18"/>
  <c r="R1416" i="18"/>
  <c r="R1417" i="18"/>
  <c r="R1418" i="18"/>
  <c r="R1419" i="18"/>
  <c r="R1420" i="18"/>
  <c r="R1421" i="18"/>
  <c r="R1422" i="18"/>
  <c r="R1423" i="18"/>
  <c r="R1424" i="18"/>
  <c r="R1425" i="18"/>
  <c r="R1426" i="18"/>
  <c r="R1427" i="18"/>
  <c r="R1428" i="18"/>
  <c r="S1407" i="18"/>
  <c r="S1408" i="18"/>
  <c r="S1409" i="18"/>
  <c r="S1410" i="18"/>
  <c r="S1411" i="18"/>
  <c r="S1412" i="18"/>
  <c r="S1413" i="18"/>
  <c r="S1414" i="18"/>
  <c r="S1415" i="18"/>
  <c r="S1416" i="18"/>
  <c r="S1417" i="18"/>
  <c r="S1418" i="18"/>
  <c r="S1419" i="18"/>
  <c r="S1420" i="18"/>
  <c r="S1421" i="18"/>
  <c r="S1422" i="18"/>
  <c r="S1423" i="18"/>
  <c r="S1424" i="18"/>
  <c r="S1425" i="18"/>
  <c r="S1426" i="18"/>
  <c r="S1427" i="18"/>
  <c r="S1428" i="18"/>
  <c r="T1407" i="18"/>
  <c r="AA1407" i="18" s="1"/>
  <c r="T1408" i="18"/>
  <c r="AA1408" i="18" s="1"/>
  <c r="T1409" i="18"/>
  <c r="AA1409" i="18" s="1"/>
  <c r="T1410" i="18"/>
  <c r="T1411" i="18"/>
  <c r="AA1411" i="18" s="1"/>
  <c r="T1412" i="18"/>
  <c r="AA1412" i="18" s="1"/>
  <c r="T1413" i="18"/>
  <c r="AA1413" i="18" s="1"/>
  <c r="T1414" i="18"/>
  <c r="AA1414" i="18" s="1"/>
  <c r="T1415" i="18"/>
  <c r="AA1415" i="18" s="1"/>
  <c r="T1416" i="18"/>
  <c r="AA1416" i="18" s="1"/>
  <c r="T1417" i="18"/>
  <c r="AA1417" i="18" s="1"/>
  <c r="T1418" i="18"/>
  <c r="AA1418" i="18" s="1"/>
  <c r="T1419" i="18"/>
  <c r="AA1419" i="18" s="1"/>
  <c r="T1420" i="18"/>
  <c r="AA1420" i="18" s="1"/>
  <c r="T1421" i="18"/>
  <c r="AA1421" i="18" s="1"/>
  <c r="T1422" i="18"/>
  <c r="AA1422" i="18" s="1"/>
  <c r="T1423" i="18"/>
  <c r="AA1423" i="18" s="1"/>
  <c r="T1424" i="18"/>
  <c r="AA1424" i="18" s="1"/>
  <c r="T1425" i="18"/>
  <c r="AA1425" i="18" s="1"/>
  <c r="T1426" i="18"/>
  <c r="AA1426" i="18" s="1"/>
  <c r="T1427" i="18"/>
  <c r="AA1427" i="18" s="1"/>
  <c r="T1428" i="18"/>
  <c r="AA1428" i="18" s="1"/>
  <c r="BF98" i="1"/>
  <c r="BN98" i="1" s="1"/>
  <c r="BG98" i="1"/>
  <c r="BL98" i="1"/>
  <c r="B1404" i="18"/>
  <c r="B1405" i="18"/>
  <c r="B1406" i="18"/>
  <c r="C1404" i="18"/>
  <c r="C1405" i="18"/>
  <c r="C1406" i="18"/>
  <c r="E1404" i="18"/>
  <c r="E1405" i="18"/>
  <c r="E1406" i="18"/>
  <c r="H1404" i="18"/>
  <c r="H1405" i="18"/>
  <c r="H1406" i="18"/>
  <c r="I1404" i="18"/>
  <c r="I1405" i="18"/>
  <c r="I1406" i="18"/>
  <c r="J1404" i="18"/>
  <c r="J1405" i="18"/>
  <c r="J1406" i="18"/>
  <c r="L1404" i="18"/>
  <c r="L1405" i="18"/>
  <c r="L1406" i="18"/>
  <c r="R1404" i="18"/>
  <c r="R1405" i="18"/>
  <c r="R1406" i="18"/>
  <c r="S1404" i="18"/>
  <c r="S1405" i="18"/>
  <c r="S1406" i="18"/>
  <c r="T1404" i="18"/>
  <c r="AA1404" i="18" s="1"/>
  <c r="T1405" i="18"/>
  <c r="AA1405" i="18" s="1"/>
  <c r="T1406" i="18"/>
  <c r="AA1406" i="18" s="1"/>
  <c r="B1374" i="18"/>
  <c r="B1375" i="18"/>
  <c r="B1376" i="18"/>
  <c r="B1377" i="18"/>
  <c r="B1378" i="18"/>
  <c r="B1379" i="18"/>
  <c r="B1380" i="18"/>
  <c r="B1381" i="18"/>
  <c r="B1382" i="18"/>
  <c r="B1383" i="18"/>
  <c r="B1384" i="18"/>
  <c r="B1385" i="18"/>
  <c r="B1386" i="18"/>
  <c r="B1387" i="18"/>
  <c r="B1388" i="18"/>
  <c r="B1389" i="18"/>
  <c r="B1390" i="18"/>
  <c r="B1391" i="18"/>
  <c r="B1392" i="18"/>
  <c r="B1393" i="18"/>
  <c r="B1394" i="18"/>
  <c r="B1395" i="18"/>
  <c r="B1397" i="18"/>
  <c r="B1398" i="18"/>
  <c r="B1399" i="18"/>
  <c r="B1400" i="18"/>
  <c r="B1401" i="18"/>
  <c r="B1402" i="18"/>
  <c r="B1403" i="18"/>
  <c r="C1374" i="18"/>
  <c r="C1375" i="18"/>
  <c r="C1376" i="18"/>
  <c r="C1377" i="18"/>
  <c r="C1378" i="18"/>
  <c r="C1379" i="18"/>
  <c r="C1380" i="18"/>
  <c r="C1381" i="18"/>
  <c r="C1382" i="18"/>
  <c r="C1383" i="18"/>
  <c r="C1384" i="18"/>
  <c r="C1385" i="18"/>
  <c r="C1386" i="18"/>
  <c r="C1387" i="18"/>
  <c r="C1388" i="18"/>
  <c r="C1389" i="18"/>
  <c r="C1390" i="18"/>
  <c r="C1391" i="18"/>
  <c r="C1392" i="18"/>
  <c r="C1393" i="18"/>
  <c r="C1394" i="18"/>
  <c r="C1395" i="18"/>
  <c r="C1397" i="18"/>
  <c r="C1398" i="18"/>
  <c r="C1399" i="18"/>
  <c r="C1400" i="18"/>
  <c r="C1401" i="18"/>
  <c r="C1402" i="18"/>
  <c r="C1403" i="18"/>
  <c r="E1374" i="18"/>
  <c r="E1375" i="18"/>
  <c r="E1376" i="18"/>
  <c r="E1377" i="18"/>
  <c r="E1378" i="18"/>
  <c r="E1379" i="18"/>
  <c r="E1380" i="18"/>
  <c r="E1381" i="18"/>
  <c r="E1382" i="18"/>
  <c r="E1383" i="18"/>
  <c r="E1384" i="18"/>
  <c r="E1385" i="18"/>
  <c r="E1386" i="18"/>
  <c r="E1387" i="18"/>
  <c r="E1388" i="18"/>
  <c r="E1389" i="18"/>
  <c r="E1390" i="18"/>
  <c r="E1391" i="18"/>
  <c r="E1392" i="18"/>
  <c r="E1393" i="18"/>
  <c r="E1394" i="18"/>
  <c r="E1395" i="18"/>
  <c r="E1397" i="18"/>
  <c r="E1398" i="18"/>
  <c r="E1399" i="18"/>
  <c r="E1400" i="18"/>
  <c r="E1401" i="18"/>
  <c r="E1402" i="18"/>
  <c r="E1403" i="18"/>
  <c r="H1374" i="18"/>
  <c r="H1375" i="18"/>
  <c r="H1376" i="18"/>
  <c r="H1377" i="18"/>
  <c r="H1378" i="18"/>
  <c r="H1379" i="18"/>
  <c r="H1380" i="18"/>
  <c r="H1381" i="18"/>
  <c r="H1382" i="18"/>
  <c r="H1383" i="18"/>
  <c r="H1384" i="18"/>
  <c r="H1385" i="18"/>
  <c r="H1386" i="18"/>
  <c r="H1387" i="18"/>
  <c r="H1388" i="18"/>
  <c r="H1389" i="18"/>
  <c r="H1390" i="18"/>
  <c r="H1391" i="18"/>
  <c r="H1392" i="18"/>
  <c r="H1393" i="18"/>
  <c r="H1394" i="18"/>
  <c r="H1395" i="18"/>
  <c r="H1397" i="18"/>
  <c r="H1398" i="18"/>
  <c r="H1399" i="18"/>
  <c r="H1400" i="18"/>
  <c r="H1401" i="18"/>
  <c r="H1402" i="18"/>
  <c r="H1403" i="18"/>
  <c r="I1374" i="18"/>
  <c r="I1375" i="18"/>
  <c r="I1376" i="18"/>
  <c r="I1377" i="18"/>
  <c r="I1378" i="18"/>
  <c r="I1379" i="18"/>
  <c r="I1380" i="18"/>
  <c r="I1381" i="18"/>
  <c r="I1382" i="18"/>
  <c r="I1383" i="18"/>
  <c r="I1384" i="18"/>
  <c r="I1385" i="18"/>
  <c r="I1386" i="18"/>
  <c r="I1387" i="18"/>
  <c r="I1388" i="18"/>
  <c r="I1389" i="18"/>
  <c r="I1390" i="18"/>
  <c r="I1391" i="18"/>
  <c r="I1392" i="18"/>
  <c r="I1393" i="18"/>
  <c r="I1394" i="18"/>
  <c r="I1395" i="18"/>
  <c r="I1397" i="18"/>
  <c r="I1398" i="18"/>
  <c r="I1399" i="18"/>
  <c r="I1400" i="18"/>
  <c r="I1401" i="18"/>
  <c r="I1402" i="18"/>
  <c r="I1403" i="18"/>
  <c r="J1374" i="18"/>
  <c r="J1375" i="18"/>
  <c r="J1376" i="18"/>
  <c r="J1377" i="18"/>
  <c r="J1378" i="18"/>
  <c r="J1379" i="18"/>
  <c r="J1380" i="18"/>
  <c r="J1381" i="18"/>
  <c r="J1382" i="18"/>
  <c r="J1383" i="18"/>
  <c r="J1384" i="18"/>
  <c r="J1385" i="18"/>
  <c r="J1386" i="18"/>
  <c r="J1387" i="18"/>
  <c r="J1388" i="18"/>
  <c r="J1389" i="18"/>
  <c r="J1390" i="18"/>
  <c r="J1391" i="18"/>
  <c r="J1392" i="18"/>
  <c r="J1393" i="18"/>
  <c r="J1394" i="18"/>
  <c r="J1395" i="18"/>
  <c r="J1397" i="18"/>
  <c r="J1398" i="18"/>
  <c r="J1399" i="18"/>
  <c r="J1400" i="18"/>
  <c r="J1401" i="18"/>
  <c r="J1402" i="18"/>
  <c r="J1403" i="18"/>
  <c r="L1374" i="18"/>
  <c r="L1375" i="18"/>
  <c r="L1376" i="18"/>
  <c r="L1377" i="18"/>
  <c r="L1378" i="18"/>
  <c r="L1379" i="18"/>
  <c r="L1380" i="18"/>
  <c r="L1381" i="18"/>
  <c r="L1382" i="18"/>
  <c r="L1383" i="18"/>
  <c r="L1384" i="18"/>
  <c r="L1385" i="18"/>
  <c r="L1386" i="18"/>
  <c r="L1387" i="18"/>
  <c r="L1388" i="18"/>
  <c r="L1389" i="18"/>
  <c r="L1390" i="18"/>
  <c r="L1391" i="18"/>
  <c r="L1392" i="18"/>
  <c r="L1393" i="18"/>
  <c r="L1394" i="18"/>
  <c r="L1395" i="18"/>
  <c r="L1397" i="18"/>
  <c r="L1398" i="18"/>
  <c r="L1399" i="18"/>
  <c r="L1400" i="18"/>
  <c r="L1401" i="18"/>
  <c r="L1402" i="18"/>
  <c r="L1403" i="18"/>
  <c r="R1374" i="18"/>
  <c r="R1375" i="18"/>
  <c r="R1376" i="18"/>
  <c r="R1377" i="18"/>
  <c r="R1378" i="18"/>
  <c r="R1379" i="18"/>
  <c r="R1380" i="18"/>
  <c r="R1381" i="18"/>
  <c r="R1382" i="18"/>
  <c r="R1383" i="18"/>
  <c r="R1384" i="18"/>
  <c r="R1385" i="18"/>
  <c r="R1386" i="18"/>
  <c r="R1387" i="18"/>
  <c r="R1388" i="18"/>
  <c r="R1389" i="18"/>
  <c r="R1390" i="18"/>
  <c r="R1391" i="18"/>
  <c r="R1392" i="18"/>
  <c r="R1393" i="18"/>
  <c r="R1394" i="18"/>
  <c r="R1395" i="18"/>
  <c r="R1397" i="18"/>
  <c r="R1398" i="18"/>
  <c r="R1399" i="18"/>
  <c r="R1400" i="18"/>
  <c r="R1401" i="18"/>
  <c r="R1402" i="18"/>
  <c r="R1403" i="18"/>
  <c r="S1374" i="18"/>
  <c r="S1375" i="18"/>
  <c r="S1376" i="18"/>
  <c r="S1377" i="18"/>
  <c r="S1378" i="18"/>
  <c r="S1379" i="18"/>
  <c r="S1380" i="18"/>
  <c r="S1381" i="18"/>
  <c r="S1382" i="18"/>
  <c r="S1383" i="18"/>
  <c r="S1384" i="18"/>
  <c r="S1385" i="18"/>
  <c r="S1386" i="18"/>
  <c r="S1387" i="18"/>
  <c r="S1388" i="18"/>
  <c r="S1389" i="18"/>
  <c r="S1390" i="18"/>
  <c r="S1391" i="18"/>
  <c r="S1392" i="18"/>
  <c r="S1393" i="18"/>
  <c r="S1394" i="18"/>
  <c r="S1395" i="18"/>
  <c r="S1397" i="18"/>
  <c r="S1398" i="18"/>
  <c r="S1399" i="18"/>
  <c r="S1400" i="18"/>
  <c r="S1401" i="18"/>
  <c r="S1402" i="18"/>
  <c r="S1403" i="18"/>
  <c r="T1374" i="18"/>
  <c r="T1375" i="18"/>
  <c r="T1376" i="18"/>
  <c r="AA1376" i="18" s="1"/>
  <c r="T1377" i="18"/>
  <c r="AA1377" i="18" s="1"/>
  <c r="T1378" i="18"/>
  <c r="AA1378" i="18" s="1"/>
  <c r="T1379" i="18"/>
  <c r="AA1379" i="18" s="1"/>
  <c r="T1380" i="18"/>
  <c r="AA1380" i="18" s="1"/>
  <c r="T1381" i="18"/>
  <c r="AA1381" i="18" s="1"/>
  <c r="T1382" i="18"/>
  <c r="AA1382" i="18" s="1"/>
  <c r="T1383" i="18"/>
  <c r="AA1383" i="18" s="1"/>
  <c r="T1384" i="18"/>
  <c r="T1385" i="18"/>
  <c r="T1386" i="18"/>
  <c r="T1387" i="18"/>
  <c r="T1388" i="18"/>
  <c r="AA1388" i="18" s="1"/>
  <c r="T1389" i="18"/>
  <c r="AA1389" i="18" s="1"/>
  <c r="T1390" i="18"/>
  <c r="T1391" i="18"/>
  <c r="AA1391" i="18" s="1"/>
  <c r="T1392" i="18"/>
  <c r="AA1392" i="18" s="1"/>
  <c r="T1393" i="18"/>
  <c r="AA1393" i="18" s="1"/>
  <c r="T1394" i="18"/>
  <c r="AA1394" i="18" s="1"/>
  <c r="T1395" i="18"/>
  <c r="AA1395" i="18" s="1"/>
  <c r="T1397" i="18"/>
  <c r="T1398" i="18"/>
  <c r="T1399" i="18"/>
  <c r="T1400" i="18"/>
  <c r="T1401" i="18"/>
  <c r="T1402" i="18"/>
  <c r="AA1402" i="18" s="1"/>
  <c r="T1403" i="18"/>
  <c r="BF97" i="1"/>
  <c r="BM97" i="1" s="1"/>
  <c r="BG97" i="1"/>
  <c r="BL97" i="1"/>
  <c r="B1345" i="18"/>
  <c r="B1346" i="18"/>
  <c r="B1347" i="18"/>
  <c r="B1348" i="18"/>
  <c r="B1349" i="18"/>
  <c r="B1350" i="18"/>
  <c r="B1351" i="18"/>
  <c r="B1352" i="18"/>
  <c r="B1353" i="18"/>
  <c r="B1354" i="18"/>
  <c r="B1355" i="18"/>
  <c r="B1357" i="18"/>
  <c r="B1358" i="18"/>
  <c r="B1359" i="18"/>
  <c r="B1360" i="18"/>
  <c r="B1361" i="18"/>
  <c r="B1362" i="18"/>
  <c r="B1363" i="18"/>
  <c r="B1364" i="18"/>
  <c r="B1365" i="18"/>
  <c r="B1366" i="18"/>
  <c r="B1367" i="18"/>
  <c r="B1368" i="18"/>
  <c r="B1369" i="18"/>
  <c r="B1370" i="18"/>
  <c r="B1371" i="18"/>
  <c r="B1372" i="18"/>
  <c r="B1373" i="18"/>
  <c r="C1345" i="18"/>
  <c r="C1346" i="18"/>
  <c r="C1347" i="18"/>
  <c r="C1348" i="18"/>
  <c r="C1349" i="18"/>
  <c r="C1350" i="18"/>
  <c r="C1351" i="18"/>
  <c r="C1352" i="18"/>
  <c r="C1353" i="18"/>
  <c r="C1354" i="18"/>
  <c r="C1355" i="18"/>
  <c r="C1357" i="18"/>
  <c r="C1358" i="18"/>
  <c r="C1359" i="18"/>
  <c r="C1360" i="18"/>
  <c r="C1361" i="18"/>
  <c r="C1362" i="18"/>
  <c r="C1363" i="18"/>
  <c r="C1364" i="18"/>
  <c r="C1365" i="18"/>
  <c r="C1366" i="18"/>
  <c r="C1367" i="18"/>
  <c r="C1368" i="18"/>
  <c r="C1369" i="18"/>
  <c r="C1370" i="18"/>
  <c r="C1371" i="18"/>
  <c r="C1372" i="18"/>
  <c r="C1373" i="18"/>
  <c r="E1345" i="18"/>
  <c r="E1346" i="18"/>
  <c r="E1347" i="18"/>
  <c r="E1348" i="18"/>
  <c r="E1349" i="18"/>
  <c r="E1350" i="18"/>
  <c r="E1351" i="18"/>
  <c r="E1352" i="18"/>
  <c r="E1353" i="18"/>
  <c r="E1354" i="18"/>
  <c r="E1355" i="18"/>
  <c r="E1357" i="18"/>
  <c r="E1358" i="18"/>
  <c r="E1359" i="18"/>
  <c r="E1360" i="18"/>
  <c r="E1361" i="18"/>
  <c r="E1362" i="18"/>
  <c r="E1363" i="18"/>
  <c r="E1364" i="18"/>
  <c r="E1365" i="18"/>
  <c r="E1366" i="18"/>
  <c r="E1367" i="18"/>
  <c r="E1368" i="18"/>
  <c r="E1369" i="18"/>
  <c r="E1370" i="18"/>
  <c r="E1371" i="18"/>
  <c r="E1372" i="18"/>
  <c r="E1373" i="18"/>
  <c r="H1345" i="18"/>
  <c r="H1346" i="18"/>
  <c r="H1347" i="18"/>
  <c r="H1348" i="18"/>
  <c r="H1349" i="18"/>
  <c r="H1350" i="18"/>
  <c r="H1351" i="18"/>
  <c r="H1352" i="18"/>
  <c r="H1353" i="18"/>
  <c r="H1354" i="18"/>
  <c r="H1355" i="18"/>
  <c r="H1357" i="18"/>
  <c r="H1358" i="18"/>
  <c r="H1359" i="18"/>
  <c r="H1360" i="18"/>
  <c r="H1361" i="18"/>
  <c r="H1362" i="18"/>
  <c r="H1363" i="18"/>
  <c r="H1364" i="18"/>
  <c r="H1365" i="18"/>
  <c r="H1366" i="18"/>
  <c r="H1367" i="18"/>
  <c r="H1368" i="18"/>
  <c r="H1369" i="18"/>
  <c r="H1370" i="18"/>
  <c r="H1371" i="18"/>
  <c r="H1372" i="18"/>
  <c r="H1373" i="18"/>
  <c r="I1345" i="18"/>
  <c r="I1346" i="18"/>
  <c r="I1347" i="18"/>
  <c r="I1348" i="18"/>
  <c r="I1349" i="18"/>
  <c r="I1350" i="18"/>
  <c r="I1351" i="18"/>
  <c r="I1352" i="18"/>
  <c r="I1353" i="18"/>
  <c r="I1354" i="18"/>
  <c r="I1355" i="18"/>
  <c r="I1357" i="18"/>
  <c r="I1358" i="18"/>
  <c r="I1359" i="18"/>
  <c r="I1360" i="18"/>
  <c r="I1361" i="18"/>
  <c r="I1362" i="18"/>
  <c r="I1363" i="18"/>
  <c r="I1364" i="18"/>
  <c r="I1365" i="18"/>
  <c r="I1366" i="18"/>
  <c r="I1367" i="18"/>
  <c r="I1368" i="18"/>
  <c r="I1369" i="18"/>
  <c r="I1370" i="18"/>
  <c r="I1371" i="18"/>
  <c r="I1372" i="18"/>
  <c r="I1373" i="18"/>
  <c r="J1345" i="18"/>
  <c r="J1346" i="18"/>
  <c r="J1347" i="18"/>
  <c r="J1348" i="18"/>
  <c r="J1349" i="18"/>
  <c r="J1350" i="18"/>
  <c r="J1351" i="18"/>
  <c r="J1352" i="18"/>
  <c r="J1353" i="18"/>
  <c r="J1354" i="18"/>
  <c r="J1355" i="18"/>
  <c r="J1357" i="18"/>
  <c r="J1358" i="18"/>
  <c r="J1359" i="18"/>
  <c r="J1360" i="18"/>
  <c r="J1361" i="18"/>
  <c r="J1362" i="18"/>
  <c r="J1363" i="18"/>
  <c r="J1364" i="18"/>
  <c r="J1365" i="18"/>
  <c r="J1366" i="18"/>
  <c r="J1367" i="18"/>
  <c r="J1368" i="18"/>
  <c r="J1369" i="18"/>
  <c r="J1370" i="18"/>
  <c r="J1371" i="18"/>
  <c r="J1372" i="18"/>
  <c r="J1373" i="18"/>
  <c r="L1345" i="18"/>
  <c r="L1346" i="18"/>
  <c r="L1347" i="18"/>
  <c r="L1348" i="18"/>
  <c r="L1349" i="18"/>
  <c r="L1350" i="18"/>
  <c r="L1351" i="18"/>
  <c r="L1352" i="18"/>
  <c r="L1353" i="18"/>
  <c r="L1354" i="18"/>
  <c r="L1355" i="18"/>
  <c r="L1357" i="18"/>
  <c r="L1358" i="18"/>
  <c r="L1359" i="18"/>
  <c r="L1360" i="18"/>
  <c r="L1361" i="18"/>
  <c r="L1362" i="18"/>
  <c r="L1363" i="18"/>
  <c r="L1364" i="18"/>
  <c r="L1365" i="18"/>
  <c r="L1366" i="18"/>
  <c r="L1367" i="18"/>
  <c r="L1368" i="18"/>
  <c r="L1369" i="18"/>
  <c r="L1370" i="18"/>
  <c r="L1371" i="18"/>
  <c r="L1372" i="18"/>
  <c r="L1373" i="18"/>
  <c r="R1345" i="18"/>
  <c r="R1346" i="18"/>
  <c r="R1347" i="18"/>
  <c r="R1348" i="18"/>
  <c r="R1349" i="18"/>
  <c r="R1350" i="18"/>
  <c r="R1351" i="18"/>
  <c r="R1352" i="18"/>
  <c r="R1353" i="18"/>
  <c r="R1354" i="18"/>
  <c r="R1355" i="18"/>
  <c r="R1357" i="18"/>
  <c r="R1358" i="18"/>
  <c r="R1359" i="18"/>
  <c r="R1360" i="18"/>
  <c r="R1361" i="18"/>
  <c r="R1362" i="18"/>
  <c r="R1363" i="18"/>
  <c r="R1364" i="18"/>
  <c r="R1365" i="18"/>
  <c r="R1366" i="18"/>
  <c r="R1367" i="18"/>
  <c r="R1368" i="18"/>
  <c r="R1369" i="18"/>
  <c r="R1370" i="18"/>
  <c r="R1371" i="18"/>
  <c r="R1372" i="18"/>
  <c r="R1373" i="18"/>
  <c r="S1345" i="18"/>
  <c r="S1346" i="18"/>
  <c r="S1347" i="18"/>
  <c r="S1348" i="18"/>
  <c r="S1349" i="18"/>
  <c r="S1350" i="18"/>
  <c r="S1351" i="18"/>
  <c r="S1352" i="18"/>
  <c r="S1353" i="18"/>
  <c r="S1354" i="18"/>
  <c r="S1355" i="18"/>
  <c r="S1357" i="18"/>
  <c r="S1358" i="18"/>
  <c r="S1359" i="18"/>
  <c r="S1360" i="18"/>
  <c r="S1361" i="18"/>
  <c r="S1362" i="18"/>
  <c r="S1363" i="18"/>
  <c r="S1364" i="18"/>
  <c r="S1365" i="18"/>
  <c r="S1366" i="18"/>
  <c r="S1367" i="18"/>
  <c r="S1368" i="18"/>
  <c r="S1369" i="18"/>
  <c r="S1370" i="18"/>
  <c r="S1371" i="18"/>
  <c r="S1372" i="18"/>
  <c r="S1373" i="18"/>
  <c r="T1345" i="18"/>
  <c r="AA1345" i="18" s="1"/>
  <c r="T1346" i="18"/>
  <c r="AA1346" i="18" s="1"/>
  <c r="T1347" i="18"/>
  <c r="AA1347" i="18" s="1"/>
  <c r="T1348" i="18"/>
  <c r="AA1348" i="18" s="1"/>
  <c r="T1349" i="18"/>
  <c r="AA1349" i="18" s="1"/>
  <c r="T1350" i="18"/>
  <c r="AA1350" i="18" s="1"/>
  <c r="T1351" i="18"/>
  <c r="AA1351" i="18" s="1"/>
  <c r="T1352" i="18"/>
  <c r="AA1352" i="18" s="1"/>
  <c r="T1353" i="18"/>
  <c r="T1354" i="18"/>
  <c r="AA1354" i="18" s="1"/>
  <c r="T1355" i="18"/>
  <c r="AA1355" i="18" s="1"/>
  <c r="T1357" i="18"/>
  <c r="AA1357" i="18" s="1"/>
  <c r="T1358" i="18"/>
  <c r="AA1358" i="18" s="1"/>
  <c r="T1359" i="18"/>
  <c r="AA1359" i="18" s="1"/>
  <c r="T1360" i="18"/>
  <c r="AA1360" i="18" s="1"/>
  <c r="T1361" i="18"/>
  <c r="AA1361" i="18" s="1"/>
  <c r="T1362" i="18"/>
  <c r="AA1362" i="18" s="1"/>
  <c r="T1363" i="18"/>
  <c r="AA1363" i="18" s="1"/>
  <c r="T1364" i="18"/>
  <c r="AA1364" i="18" s="1"/>
  <c r="T1365" i="18"/>
  <c r="AA1365" i="18" s="1"/>
  <c r="T1366" i="18"/>
  <c r="T1367" i="18"/>
  <c r="T1368" i="18"/>
  <c r="T1369" i="18"/>
  <c r="T1370" i="18"/>
  <c r="AA1370" i="18" s="1"/>
  <c r="T1371" i="18"/>
  <c r="AA1371" i="18" s="1"/>
  <c r="T1372" i="18"/>
  <c r="AA1372" i="18" s="1"/>
  <c r="T1373" i="18"/>
  <c r="AA1373" i="18" s="1"/>
  <c r="BF96" i="1"/>
  <c r="BM96" i="1" s="1"/>
  <c r="AE456" i="16"/>
  <c r="BG96" i="1"/>
  <c r="BL96" i="1"/>
  <c r="W1434" i="18" l="1"/>
  <c r="W1435" i="18"/>
  <c r="T140" i="19"/>
  <c r="W1442" i="18"/>
  <c r="W1440" i="18"/>
  <c r="W1438" i="18"/>
  <c r="W1441" i="18"/>
  <c r="W1436" i="18"/>
  <c r="W1443" i="18"/>
  <c r="W1433" i="18"/>
  <c r="AA1441" i="18"/>
  <c r="W1432" i="18"/>
  <c r="W1444" i="18"/>
  <c r="W1431" i="18"/>
  <c r="W1437" i="18"/>
  <c r="AA1438" i="18"/>
  <c r="AA1437" i="18"/>
  <c r="AA1436" i="18"/>
  <c r="AA1435" i="18"/>
  <c r="W1429" i="18"/>
  <c r="BN99" i="1"/>
  <c r="W1408" i="18"/>
  <c r="W1410" i="18"/>
  <c r="W1426" i="18"/>
  <c r="W1414" i="18"/>
  <c r="AA1410" i="18"/>
  <c r="W1425" i="18"/>
  <c r="W1413" i="18"/>
  <c r="W1420" i="18"/>
  <c r="W1409" i="18"/>
  <c r="W1421" i="18"/>
  <c r="W1419" i="18"/>
  <c r="W1407" i="18"/>
  <c r="W1422" i="18"/>
  <c r="W1428" i="18"/>
  <c r="W1416" i="18"/>
  <c r="W1427" i="18"/>
  <c r="W1415" i="18"/>
  <c r="W1424" i="18"/>
  <c r="W1412" i="18"/>
  <c r="W1423" i="18"/>
  <c r="W1411" i="18"/>
  <c r="W1418" i="18"/>
  <c r="W1417" i="18"/>
  <c r="BM98" i="1"/>
  <c r="W1394" i="18"/>
  <c r="W1405" i="18"/>
  <c r="W1406" i="18"/>
  <c r="W1404" i="18"/>
  <c r="W1379" i="18"/>
  <c r="W1402" i="18"/>
  <c r="W1387" i="18"/>
  <c r="W1375" i="18"/>
  <c r="W1403" i="18"/>
  <c r="W1390" i="18"/>
  <c r="W1378" i="18"/>
  <c r="W1400" i="18"/>
  <c r="W1398" i="18"/>
  <c r="W1385" i="18"/>
  <c r="W1383" i="18"/>
  <c r="W1397" i="18"/>
  <c r="W1384" i="18"/>
  <c r="W1382" i="18"/>
  <c r="W1381" i="18"/>
  <c r="W1389" i="18"/>
  <c r="W1377" i="18"/>
  <c r="AA1403" i="18"/>
  <c r="W1380" i="18"/>
  <c r="W1393" i="18"/>
  <c r="W1392" i="18"/>
  <c r="AA1390" i="18"/>
  <c r="W1391" i="18"/>
  <c r="W1401" i="18"/>
  <c r="W1395" i="18"/>
  <c r="W1399" i="18"/>
  <c r="W1386" i="18"/>
  <c r="W1374" i="18"/>
  <c r="AA1401" i="18"/>
  <c r="AA1387" i="18"/>
  <c r="AA1399" i="18"/>
  <c r="AA1386" i="18"/>
  <c r="AA1374" i="18"/>
  <c r="W1361" i="18"/>
  <c r="AA1398" i="18"/>
  <c r="AA1385" i="18"/>
  <c r="W1360" i="18"/>
  <c r="AA1397" i="18"/>
  <c r="AA1384" i="18"/>
  <c r="W1373" i="18"/>
  <c r="W1348" i="18"/>
  <c r="W1372" i="18"/>
  <c r="W1347" i="18"/>
  <c r="W1371" i="18"/>
  <c r="W1359" i="18"/>
  <c r="W1346" i="18"/>
  <c r="W1388" i="18"/>
  <c r="W1376" i="18"/>
  <c r="AA1400" i="18"/>
  <c r="AA1375" i="18"/>
  <c r="BN97" i="1"/>
  <c r="BN96" i="1"/>
  <c r="W1363" i="18"/>
  <c r="W1350" i="18"/>
  <c r="W1362" i="18"/>
  <c r="W1349" i="18"/>
  <c r="W1365" i="18"/>
  <c r="W1352" i="18"/>
  <c r="W1364" i="18"/>
  <c r="W1351" i="18"/>
  <c r="W1345" i="18"/>
  <c r="W1367" i="18"/>
  <c r="W1368" i="18"/>
  <c r="W1370" i="18"/>
  <c r="W1358" i="18"/>
  <c r="W1369" i="18"/>
  <c r="W1366" i="18"/>
  <c r="W1353" i="18"/>
  <c r="AA1369" i="18"/>
  <c r="AA1368" i="18"/>
  <c r="AA1366" i="18"/>
  <c r="AA1353" i="18"/>
  <c r="W1357" i="18"/>
  <c r="AA1367" i="18"/>
  <c r="W1355" i="18"/>
  <c r="W1354" i="18"/>
  <c r="B1334" i="18" l="1"/>
  <c r="B1335" i="18"/>
  <c r="B1336" i="18"/>
  <c r="B1337" i="18"/>
  <c r="B1339" i="18"/>
  <c r="B1340" i="18"/>
  <c r="B1341" i="18"/>
  <c r="B1342" i="18"/>
  <c r="B1343" i="18"/>
  <c r="B1344" i="18"/>
  <c r="C1334" i="18"/>
  <c r="C1335" i="18"/>
  <c r="C1336" i="18"/>
  <c r="C1337" i="18"/>
  <c r="C1339" i="18"/>
  <c r="C1340" i="18"/>
  <c r="C1341" i="18"/>
  <c r="C1342" i="18"/>
  <c r="C1343" i="18"/>
  <c r="C1344" i="18"/>
  <c r="E1334" i="18"/>
  <c r="E1335" i="18"/>
  <c r="E1336" i="18"/>
  <c r="E1337" i="18"/>
  <c r="E1339" i="18"/>
  <c r="E1340" i="18"/>
  <c r="E1341" i="18"/>
  <c r="E1342" i="18"/>
  <c r="E1343" i="18"/>
  <c r="E1344" i="18"/>
  <c r="H1334" i="18"/>
  <c r="H1335" i="18"/>
  <c r="H1336" i="18"/>
  <c r="H1337" i="18"/>
  <c r="H1339" i="18"/>
  <c r="H1340" i="18"/>
  <c r="H1341" i="18"/>
  <c r="H1342" i="18"/>
  <c r="H1343" i="18"/>
  <c r="H1344" i="18"/>
  <c r="I1334" i="18"/>
  <c r="I1335" i="18"/>
  <c r="I1336" i="18"/>
  <c r="I1337" i="18"/>
  <c r="I1339" i="18"/>
  <c r="I1340" i="18"/>
  <c r="I1341" i="18"/>
  <c r="I1342" i="18"/>
  <c r="I1343" i="18"/>
  <c r="I1344" i="18"/>
  <c r="J1334" i="18"/>
  <c r="J1335" i="18"/>
  <c r="J1336" i="18"/>
  <c r="J1337" i="18"/>
  <c r="J1339" i="18"/>
  <c r="J1340" i="18"/>
  <c r="J1341" i="18"/>
  <c r="J1342" i="18"/>
  <c r="J1343" i="18"/>
  <c r="J1344" i="18"/>
  <c r="L1334" i="18"/>
  <c r="L1335" i="18"/>
  <c r="L1336" i="18"/>
  <c r="L1337" i="18"/>
  <c r="L1339" i="18"/>
  <c r="L1340" i="18"/>
  <c r="L1341" i="18"/>
  <c r="L1342" i="18"/>
  <c r="L1343" i="18"/>
  <c r="L1344" i="18"/>
  <c r="R1334" i="18"/>
  <c r="R1335" i="18"/>
  <c r="R1336" i="18"/>
  <c r="R1337" i="18"/>
  <c r="R1339" i="18"/>
  <c r="R1340" i="18"/>
  <c r="R1341" i="18"/>
  <c r="R1342" i="18"/>
  <c r="R1343" i="18"/>
  <c r="R1344" i="18"/>
  <c r="S1334" i="18"/>
  <c r="S1335" i="18"/>
  <c r="S1336" i="18"/>
  <c r="S1337" i="18"/>
  <c r="S1339" i="18"/>
  <c r="S1340" i="18"/>
  <c r="S1341" i="18"/>
  <c r="S1342" i="18"/>
  <c r="S1343" i="18"/>
  <c r="S1344" i="18"/>
  <c r="T1334" i="18"/>
  <c r="AA1334" i="18" s="1"/>
  <c r="T1335" i="18"/>
  <c r="T1336" i="18"/>
  <c r="AA1336" i="18" s="1"/>
  <c r="T1337" i="18"/>
  <c r="T1339" i="18"/>
  <c r="AA1339" i="18" s="1"/>
  <c r="T1340" i="18"/>
  <c r="T1341" i="18"/>
  <c r="AA1341" i="18" s="1"/>
  <c r="T1342" i="18"/>
  <c r="AA1342" i="18" s="1"/>
  <c r="T1343" i="18"/>
  <c r="AA1343" i="18" s="1"/>
  <c r="T1344" i="18"/>
  <c r="AA1344" i="18" s="1"/>
  <c r="BF95" i="1"/>
  <c r="BN95" i="1" s="1"/>
  <c r="BG95" i="1"/>
  <c r="BL95" i="1"/>
  <c r="BF94" i="1"/>
  <c r="BM94" i="1" s="1"/>
  <c r="BG94" i="1"/>
  <c r="BL94" i="1"/>
  <c r="B1324" i="18"/>
  <c r="B1325" i="18"/>
  <c r="B1326" i="18"/>
  <c r="B1327" i="18"/>
  <c r="B1328" i="18"/>
  <c r="B1329" i="18"/>
  <c r="B1330" i="18"/>
  <c r="B1331" i="18"/>
  <c r="B1332" i="18"/>
  <c r="C1324" i="18"/>
  <c r="C1325" i="18"/>
  <c r="C1326" i="18"/>
  <c r="C1327" i="18"/>
  <c r="C1328" i="18"/>
  <c r="C1329" i="18"/>
  <c r="C1330" i="18"/>
  <c r="C1331" i="18"/>
  <c r="C1332" i="18"/>
  <c r="E1324" i="18"/>
  <c r="E1325" i="18"/>
  <c r="E1326" i="18"/>
  <c r="E1327" i="18"/>
  <c r="E1328" i="18"/>
  <c r="E1329" i="18"/>
  <c r="E1330" i="18"/>
  <c r="E1331" i="18"/>
  <c r="E1332" i="18"/>
  <c r="H1324" i="18"/>
  <c r="H1325" i="18"/>
  <c r="H1326" i="18"/>
  <c r="H1327" i="18"/>
  <c r="H1328" i="18"/>
  <c r="H1329" i="18"/>
  <c r="H1330" i="18"/>
  <c r="H1331" i="18"/>
  <c r="H1332" i="18"/>
  <c r="I1324" i="18"/>
  <c r="I1325" i="18"/>
  <c r="I1326" i="18"/>
  <c r="I1327" i="18"/>
  <c r="I1328" i="18"/>
  <c r="I1329" i="18"/>
  <c r="I1330" i="18"/>
  <c r="I1331" i="18"/>
  <c r="I1332" i="18"/>
  <c r="J1324" i="18"/>
  <c r="J1325" i="18"/>
  <c r="J1326" i="18"/>
  <c r="J1327" i="18"/>
  <c r="J1328" i="18"/>
  <c r="J1329" i="18"/>
  <c r="J1330" i="18"/>
  <c r="J1331" i="18"/>
  <c r="J1332" i="18"/>
  <c r="L1324" i="18"/>
  <c r="L1325" i="18"/>
  <c r="L1326" i="18"/>
  <c r="L1327" i="18"/>
  <c r="L1328" i="18"/>
  <c r="L1329" i="18"/>
  <c r="L1330" i="18"/>
  <c r="L1331" i="18"/>
  <c r="L1332" i="18"/>
  <c r="R1324" i="18"/>
  <c r="R1325" i="18"/>
  <c r="R1326" i="18"/>
  <c r="R1327" i="18"/>
  <c r="R1328" i="18"/>
  <c r="R1329" i="18"/>
  <c r="R1330" i="18"/>
  <c r="R1331" i="18"/>
  <c r="R1332" i="18"/>
  <c r="S1324" i="18"/>
  <c r="S1325" i="18"/>
  <c r="S1326" i="18"/>
  <c r="S1327" i="18"/>
  <c r="S1328" i="18"/>
  <c r="S1329" i="18"/>
  <c r="S1330" i="18"/>
  <c r="S1331" i="18"/>
  <c r="S1332" i="18"/>
  <c r="T1324" i="18"/>
  <c r="AA1324" i="18" s="1"/>
  <c r="T1325" i="18"/>
  <c r="AA1325" i="18" s="1"/>
  <c r="T1326" i="18"/>
  <c r="AA1326" i="18" s="1"/>
  <c r="T1327" i="18"/>
  <c r="AA1327" i="18" s="1"/>
  <c r="T1328" i="18"/>
  <c r="AA1328" i="18" s="1"/>
  <c r="T1329" i="18"/>
  <c r="AA1329" i="18" s="1"/>
  <c r="T1330" i="18"/>
  <c r="AA1330" i="18" s="1"/>
  <c r="T1331" i="18"/>
  <c r="AA1331" i="18" s="1"/>
  <c r="T1332" i="18"/>
  <c r="AA1332" i="18" s="1"/>
  <c r="B1317" i="18"/>
  <c r="B1318" i="18"/>
  <c r="B1319" i="18"/>
  <c r="B1321" i="18"/>
  <c r="B1322" i="18"/>
  <c r="B1323" i="18"/>
  <c r="C1317" i="18"/>
  <c r="C1318" i="18"/>
  <c r="C1319" i="18"/>
  <c r="C1321" i="18"/>
  <c r="C1322" i="18"/>
  <c r="C1323" i="18"/>
  <c r="E1317" i="18"/>
  <c r="E1318" i="18"/>
  <c r="E1319" i="18"/>
  <c r="E1321" i="18"/>
  <c r="E1322" i="18"/>
  <c r="E1323" i="18"/>
  <c r="H1317" i="18"/>
  <c r="H1318" i="18"/>
  <c r="H1319" i="18"/>
  <c r="H1321" i="18"/>
  <c r="H1322" i="18"/>
  <c r="H1323" i="18"/>
  <c r="I1317" i="18"/>
  <c r="I1318" i="18"/>
  <c r="I1319" i="18"/>
  <c r="I1321" i="18"/>
  <c r="I1322" i="18"/>
  <c r="I1323" i="18"/>
  <c r="J1317" i="18"/>
  <c r="J1318" i="18"/>
  <c r="J1319" i="18"/>
  <c r="J1321" i="18"/>
  <c r="J1322" i="18"/>
  <c r="J1323" i="18"/>
  <c r="L1317" i="18"/>
  <c r="L1318" i="18"/>
  <c r="L1319" i="18"/>
  <c r="L1321" i="18"/>
  <c r="L1322" i="18"/>
  <c r="L1323" i="18"/>
  <c r="R1317" i="18"/>
  <c r="R1318" i="18"/>
  <c r="R1319" i="18"/>
  <c r="R1321" i="18"/>
  <c r="R1322" i="18"/>
  <c r="R1323" i="18"/>
  <c r="S1317" i="18"/>
  <c r="S1318" i="18"/>
  <c r="S1319" i="18"/>
  <c r="S1321" i="18"/>
  <c r="S1322" i="18"/>
  <c r="S1323" i="18"/>
  <c r="T1317" i="18"/>
  <c r="T1318" i="18"/>
  <c r="T1319" i="18"/>
  <c r="AA1319" i="18" s="1"/>
  <c r="T1321" i="18"/>
  <c r="T1322" i="18"/>
  <c r="AA1322" i="18" s="1"/>
  <c r="T1323" i="18"/>
  <c r="AA1323" i="18" s="1"/>
  <c r="W1337" i="18" l="1"/>
  <c r="W1344" i="18"/>
  <c r="W1343" i="18"/>
  <c r="BM95" i="1"/>
  <c r="W1341" i="18"/>
  <c r="W1342" i="18"/>
  <c r="W1340" i="18"/>
  <c r="W1335" i="18"/>
  <c r="AA1337" i="18"/>
  <c r="W1334" i="18"/>
  <c r="AA1335" i="18"/>
  <c r="W1339" i="18"/>
  <c r="W1336" i="18"/>
  <c r="AA1340" i="18"/>
  <c r="BN94" i="1"/>
  <c r="W1332" i="18"/>
  <c r="W1331" i="18"/>
  <c r="W1330" i="18"/>
  <c r="W1329" i="18"/>
  <c r="W1328" i="18"/>
  <c r="W1326" i="18"/>
  <c r="W1325" i="18"/>
  <c r="W1327" i="18"/>
  <c r="W1324" i="18"/>
  <c r="AA1317" i="18"/>
  <c r="AA1321" i="18"/>
  <c r="AA1318" i="18"/>
  <c r="W1323" i="18"/>
  <c r="W1322" i="18"/>
  <c r="W1318" i="18"/>
  <c r="W1317" i="18"/>
  <c r="W1321" i="18"/>
  <c r="W1319" i="18"/>
  <c r="BF93" i="1"/>
  <c r="BN93" i="1" s="1"/>
  <c r="BG93" i="1"/>
  <c r="BL93" i="1"/>
  <c r="BF92" i="1"/>
  <c r="BM92" i="1" s="1"/>
  <c r="BG92" i="1"/>
  <c r="BL92" i="1"/>
  <c r="B1316" i="18"/>
  <c r="C1316" i="18"/>
  <c r="E1316" i="18"/>
  <c r="H1316" i="18"/>
  <c r="I1316" i="18"/>
  <c r="J1316" i="18"/>
  <c r="L1316" i="18"/>
  <c r="R1316" i="18"/>
  <c r="S1316" i="18"/>
  <c r="T1316" i="18"/>
  <c r="AA1316" i="18" s="1"/>
  <c r="B1310" i="18"/>
  <c r="B1311" i="18"/>
  <c r="B1312" i="18"/>
  <c r="B1313" i="18"/>
  <c r="B1314" i="18"/>
  <c r="C1310" i="18"/>
  <c r="C1311" i="18"/>
  <c r="C1312" i="18"/>
  <c r="C1313" i="18"/>
  <c r="C1314" i="18"/>
  <c r="E1310" i="18"/>
  <c r="E1311" i="18"/>
  <c r="E1312" i="18"/>
  <c r="E1313" i="18"/>
  <c r="E1314" i="18"/>
  <c r="H1310" i="18"/>
  <c r="H1311" i="18"/>
  <c r="H1312" i="18"/>
  <c r="H1313" i="18"/>
  <c r="H1314" i="18"/>
  <c r="I1310" i="18"/>
  <c r="I1311" i="18"/>
  <c r="I1312" i="18"/>
  <c r="I1313" i="18"/>
  <c r="I1314" i="18"/>
  <c r="J1310" i="18"/>
  <c r="J1311" i="18"/>
  <c r="J1312" i="18"/>
  <c r="J1313" i="18"/>
  <c r="J1314" i="18"/>
  <c r="L1310" i="18"/>
  <c r="L1311" i="18"/>
  <c r="L1312" i="18"/>
  <c r="L1313" i="18"/>
  <c r="L1314" i="18"/>
  <c r="R1310" i="18"/>
  <c r="R1311" i="18"/>
  <c r="R1312" i="18"/>
  <c r="R1313" i="18"/>
  <c r="R1314" i="18"/>
  <c r="S1310" i="18"/>
  <c r="S1311" i="18"/>
  <c r="S1312" i="18"/>
  <c r="S1313" i="18"/>
  <c r="S1314" i="18"/>
  <c r="T1310" i="18"/>
  <c r="T1311" i="18"/>
  <c r="AA1311" i="18" s="1"/>
  <c r="T1312" i="18"/>
  <c r="T1313" i="18"/>
  <c r="AA1313" i="18" s="1"/>
  <c r="T1314" i="18"/>
  <c r="AA1314" i="18" s="1"/>
  <c r="B1295" i="18"/>
  <c r="B1296" i="18"/>
  <c r="B1297" i="18"/>
  <c r="B1298" i="18"/>
  <c r="B1299" i="18"/>
  <c r="B1300" i="18"/>
  <c r="B1301" i="18"/>
  <c r="B1302" i="18"/>
  <c r="B1303" i="18"/>
  <c r="B1304" i="18"/>
  <c r="B1305" i="18"/>
  <c r="B1306" i="18"/>
  <c r="B1307" i="18"/>
  <c r="B1308" i="18"/>
  <c r="B1309" i="18"/>
  <c r="C1295" i="18"/>
  <c r="C1296" i="18"/>
  <c r="C1297" i="18"/>
  <c r="C1298" i="18"/>
  <c r="C1299" i="18"/>
  <c r="C1300" i="18"/>
  <c r="C1301" i="18"/>
  <c r="C1302" i="18"/>
  <c r="C1303" i="18"/>
  <c r="C1304" i="18"/>
  <c r="C1305" i="18"/>
  <c r="C1306" i="18"/>
  <c r="C1307" i="18"/>
  <c r="C1308" i="18"/>
  <c r="C1309" i="18"/>
  <c r="E1295" i="18"/>
  <c r="E1296" i="18"/>
  <c r="E1297" i="18"/>
  <c r="E1298" i="18"/>
  <c r="E1299" i="18"/>
  <c r="E1300" i="18"/>
  <c r="E1301" i="18"/>
  <c r="E1302" i="18"/>
  <c r="E1303" i="18"/>
  <c r="E1304" i="18"/>
  <c r="E1305" i="18"/>
  <c r="E1306" i="18"/>
  <c r="E1307" i="18"/>
  <c r="E1308" i="18"/>
  <c r="E1309" i="18"/>
  <c r="H1295" i="18"/>
  <c r="H1296" i="18"/>
  <c r="H1297" i="18"/>
  <c r="H1298" i="18"/>
  <c r="H1299" i="18"/>
  <c r="H1300" i="18"/>
  <c r="H1301" i="18"/>
  <c r="H1302" i="18"/>
  <c r="H1303" i="18"/>
  <c r="H1304" i="18"/>
  <c r="H1305" i="18"/>
  <c r="H1306" i="18"/>
  <c r="H1307" i="18"/>
  <c r="H1308" i="18"/>
  <c r="H1309" i="18"/>
  <c r="I1295" i="18"/>
  <c r="I1296" i="18"/>
  <c r="I1297" i="18"/>
  <c r="I1298" i="18"/>
  <c r="I1299" i="18"/>
  <c r="I1300" i="18"/>
  <c r="I1301" i="18"/>
  <c r="I1302" i="18"/>
  <c r="I1303" i="18"/>
  <c r="I1304" i="18"/>
  <c r="I1305" i="18"/>
  <c r="I1306" i="18"/>
  <c r="I1307" i="18"/>
  <c r="I1308" i="18"/>
  <c r="I1309" i="18"/>
  <c r="J1295" i="18"/>
  <c r="J1296" i="18"/>
  <c r="J1297" i="18"/>
  <c r="J1298" i="18"/>
  <c r="J1299" i="18"/>
  <c r="J1300" i="18"/>
  <c r="J1301" i="18"/>
  <c r="J1302" i="18"/>
  <c r="J1303" i="18"/>
  <c r="J1304" i="18"/>
  <c r="J1305" i="18"/>
  <c r="J1306" i="18"/>
  <c r="J1307" i="18"/>
  <c r="J1308" i="18"/>
  <c r="J1309" i="18"/>
  <c r="L1295" i="18"/>
  <c r="L1296" i="18"/>
  <c r="L1297" i="18"/>
  <c r="L1298" i="18"/>
  <c r="L1299" i="18"/>
  <c r="L1300" i="18"/>
  <c r="L1301" i="18"/>
  <c r="L1302" i="18"/>
  <c r="L1303" i="18"/>
  <c r="L1304" i="18"/>
  <c r="L1305" i="18"/>
  <c r="L1306" i="18"/>
  <c r="L1307" i="18"/>
  <c r="L1308" i="18"/>
  <c r="L1309" i="18"/>
  <c r="R1295" i="18"/>
  <c r="R1296" i="18"/>
  <c r="R1297" i="18"/>
  <c r="R1298" i="18"/>
  <c r="R1299" i="18"/>
  <c r="R1300" i="18"/>
  <c r="R1301" i="18"/>
  <c r="R1302" i="18"/>
  <c r="R1303" i="18"/>
  <c r="R1304" i="18"/>
  <c r="R1305" i="18"/>
  <c r="R1306" i="18"/>
  <c r="R1307" i="18"/>
  <c r="R1308" i="18"/>
  <c r="R1309" i="18"/>
  <c r="S1295" i="18"/>
  <c r="S1296" i="18"/>
  <c r="S1297" i="18"/>
  <c r="S1298" i="18"/>
  <c r="S1299" i="18"/>
  <c r="S1300" i="18"/>
  <c r="S1301" i="18"/>
  <c r="S1302" i="18"/>
  <c r="S1303" i="18"/>
  <c r="S1304" i="18"/>
  <c r="S1305" i="18"/>
  <c r="S1306" i="18"/>
  <c r="S1307" i="18"/>
  <c r="S1308" i="18"/>
  <c r="S1309" i="18"/>
  <c r="T1295" i="18"/>
  <c r="T1296" i="18"/>
  <c r="T1297" i="18"/>
  <c r="T1298" i="18"/>
  <c r="AA1298" i="18" s="1"/>
  <c r="T1299" i="18"/>
  <c r="AA1299" i="18" s="1"/>
  <c r="T1300" i="18"/>
  <c r="AA1300" i="18" s="1"/>
  <c r="T1301" i="18"/>
  <c r="T1302" i="18"/>
  <c r="T1303" i="18"/>
  <c r="AA1303" i="18" s="1"/>
  <c r="T1304" i="18"/>
  <c r="AA1304" i="18" s="1"/>
  <c r="T1305" i="18"/>
  <c r="AA1305" i="18" s="1"/>
  <c r="T1306" i="18"/>
  <c r="AA1306" i="18" s="1"/>
  <c r="T1307" i="18"/>
  <c r="AA1307" i="18" s="1"/>
  <c r="T1308" i="18"/>
  <c r="AA1308" i="18" s="1"/>
  <c r="T1309" i="18"/>
  <c r="AA1309" i="18" s="1"/>
  <c r="BF91" i="1"/>
  <c r="BM91" i="1" s="1"/>
  <c r="BG91" i="1"/>
  <c r="BL91" i="1"/>
  <c r="B1291" i="18"/>
  <c r="B1292" i="18"/>
  <c r="B1293" i="18"/>
  <c r="B1294" i="18"/>
  <c r="C1291" i="18"/>
  <c r="C1292" i="18"/>
  <c r="C1293" i="18"/>
  <c r="C1294" i="18"/>
  <c r="E1291" i="18"/>
  <c r="E1292" i="18"/>
  <c r="E1293" i="18"/>
  <c r="E1294" i="18"/>
  <c r="H1291" i="18"/>
  <c r="H1292" i="18"/>
  <c r="H1293" i="18"/>
  <c r="H1294" i="18"/>
  <c r="I1291" i="18"/>
  <c r="I1292" i="18"/>
  <c r="I1293" i="18"/>
  <c r="I1294" i="18"/>
  <c r="J1291" i="18"/>
  <c r="J1292" i="18"/>
  <c r="J1293" i="18"/>
  <c r="J1294" i="18"/>
  <c r="L1291" i="18"/>
  <c r="L1292" i="18"/>
  <c r="L1293" i="18"/>
  <c r="L1294" i="18"/>
  <c r="R1291" i="18"/>
  <c r="R1292" i="18"/>
  <c r="R1293" i="18"/>
  <c r="R1294" i="18"/>
  <c r="S1291" i="18"/>
  <c r="S1292" i="18"/>
  <c r="S1293" i="18"/>
  <c r="S1294" i="18"/>
  <c r="T1291" i="18"/>
  <c r="T1292" i="18"/>
  <c r="T1293" i="18"/>
  <c r="AA1293" i="18" s="1"/>
  <c r="T1294" i="18"/>
  <c r="AA1294" i="18" s="1"/>
  <c r="BM93" i="1" l="1"/>
  <c r="W1292" i="18"/>
  <c r="BN92" i="1"/>
  <c r="W1316" i="18"/>
  <c r="W1309" i="18"/>
  <c r="W1306" i="18"/>
  <c r="W1308" i="18"/>
  <c r="W1305" i="18"/>
  <c r="W1304" i="18"/>
  <c r="W1307" i="18"/>
  <c r="W1313" i="18"/>
  <c r="W1311" i="18"/>
  <c r="W1299" i="18"/>
  <c r="W1300" i="18"/>
  <c r="W1314" i="18"/>
  <c r="W1312" i="18"/>
  <c r="W1310" i="18"/>
  <c r="W1297" i="18"/>
  <c r="W1296" i="18"/>
  <c r="W1295" i="18"/>
  <c r="AA1312" i="18"/>
  <c r="W1298" i="18"/>
  <c r="W1301" i="18"/>
  <c r="AA1297" i="18"/>
  <c r="AA1296" i="18"/>
  <c r="AA1310" i="18"/>
  <c r="W1302" i="18"/>
  <c r="AA1295" i="18"/>
  <c r="AA1302" i="18"/>
  <c r="AA1301" i="18"/>
  <c r="W1303" i="18"/>
  <c r="W1291" i="18"/>
  <c r="BN91" i="1"/>
  <c r="W1294" i="18"/>
  <c r="W1293" i="18"/>
  <c r="AA1292" i="18"/>
  <c r="AA1291" i="18"/>
  <c r="B1285" i="18" l="1"/>
  <c r="B1286" i="18"/>
  <c r="B1287" i="18"/>
  <c r="B1288" i="18"/>
  <c r="B1289" i="18"/>
  <c r="C1285" i="18"/>
  <c r="C1286" i="18"/>
  <c r="C1287" i="18"/>
  <c r="C1288" i="18"/>
  <c r="C1289" i="18"/>
  <c r="E1285" i="18" l="1"/>
  <c r="E1286" i="18"/>
  <c r="E1287" i="18"/>
  <c r="E1288" i="18"/>
  <c r="E1289" i="18"/>
  <c r="H1285" i="18"/>
  <c r="H1286" i="18"/>
  <c r="H1287" i="18"/>
  <c r="H1288" i="18"/>
  <c r="H1289" i="18"/>
  <c r="I1285" i="18"/>
  <c r="I1286" i="18"/>
  <c r="I1287" i="18"/>
  <c r="I1288" i="18"/>
  <c r="I1289" i="18"/>
  <c r="J1285" i="18"/>
  <c r="J1286" i="18"/>
  <c r="J1287" i="18"/>
  <c r="J1288" i="18"/>
  <c r="J1289" i="18"/>
  <c r="L1285" i="18"/>
  <c r="L1286" i="18"/>
  <c r="L1287" i="18"/>
  <c r="L1288" i="18"/>
  <c r="L1289" i="18"/>
  <c r="R1285" i="18"/>
  <c r="R1286" i="18"/>
  <c r="R1287" i="18"/>
  <c r="R1288" i="18"/>
  <c r="R1289" i="18"/>
  <c r="S1285" i="18"/>
  <c r="S1286" i="18"/>
  <c r="S1287" i="18"/>
  <c r="S1288" i="18"/>
  <c r="S1289" i="18"/>
  <c r="T1285" i="18"/>
  <c r="AA1285" i="18" s="1"/>
  <c r="T1286" i="18"/>
  <c r="T1287" i="18"/>
  <c r="T1288" i="18"/>
  <c r="T1289" i="18"/>
  <c r="AA1289" i="18" s="1"/>
  <c r="BF90" i="1"/>
  <c r="BM90" i="1" s="1"/>
  <c r="BG90" i="1"/>
  <c r="BL90" i="1"/>
  <c r="BF88" i="1"/>
  <c r="BM88" i="1" s="1"/>
  <c r="BF89" i="1"/>
  <c r="BM89" i="1" s="1"/>
  <c r="BG88" i="1"/>
  <c r="BG89" i="1"/>
  <c r="BL88" i="1"/>
  <c r="BL89" i="1"/>
  <c r="A3" i="20"/>
  <c r="H3" i="20"/>
  <c r="I3" i="20"/>
  <c r="J3" i="20"/>
  <c r="P3" i="20"/>
  <c r="Q3" i="20"/>
  <c r="R3" i="20"/>
  <c r="U3" i="20" s="1"/>
  <c r="Y3" i="20"/>
  <c r="A6" i="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B1242" i="18"/>
  <c r="B1243" i="18"/>
  <c r="B1244" i="18"/>
  <c r="B1245" i="18"/>
  <c r="B1246" i="18"/>
  <c r="B1247" i="18"/>
  <c r="B1248" i="18"/>
  <c r="B1249" i="18"/>
  <c r="B1250" i="18"/>
  <c r="B1251" i="18"/>
  <c r="B1252" i="18"/>
  <c r="B1253" i="18"/>
  <c r="B1254" i="18"/>
  <c r="B1255" i="18"/>
  <c r="B1257" i="18"/>
  <c r="B1258" i="18"/>
  <c r="B1259" i="18"/>
  <c r="B1260" i="18"/>
  <c r="B1261" i="18"/>
  <c r="B1262" i="18"/>
  <c r="B1263" i="18"/>
  <c r="B1264" i="18"/>
  <c r="B1265" i="18"/>
  <c r="B1266" i="18"/>
  <c r="B1267" i="18"/>
  <c r="B1268" i="18"/>
  <c r="B1269" i="18"/>
  <c r="B1270" i="18"/>
  <c r="B1271" i="18"/>
  <c r="B1272" i="18"/>
  <c r="B1274" i="18"/>
  <c r="B1275" i="18"/>
  <c r="B1276" i="18"/>
  <c r="B1277" i="18"/>
  <c r="B1278" i="18"/>
  <c r="B1279" i="18"/>
  <c r="B1281" i="18"/>
  <c r="B1282" i="18"/>
  <c r="B1283" i="18"/>
  <c r="B1284" i="18"/>
  <c r="C1242" i="18"/>
  <c r="C1243" i="18"/>
  <c r="C1244" i="18"/>
  <c r="C1245" i="18"/>
  <c r="C1246" i="18"/>
  <c r="C1247" i="18"/>
  <c r="C1248" i="18"/>
  <c r="C1249" i="18"/>
  <c r="C1250" i="18"/>
  <c r="C1251" i="18"/>
  <c r="C1252" i="18"/>
  <c r="C1253" i="18"/>
  <c r="C1254" i="18"/>
  <c r="C1255" i="18"/>
  <c r="C1257" i="18"/>
  <c r="C1258" i="18"/>
  <c r="C1259" i="18"/>
  <c r="C1260" i="18"/>
  <c r="C1261" i="18"/>
  <c r="C1262" i="18"/>
  <c r="C1263" i="18"/>
  <c r="C1264" i="18"/>
  <c r="C1265" i="18"/>
  <c r="C1266" i="18"/>
  <c r="C1267" i="18"/>
  <c r="C1268" i="18"/>
  <c r="C1269" i="18"/>
  <c r="C1270" i="18"/>
  <c r="C1271" i="18"/>
  <c r="C1272" i="18"/>
  <c r="C1274" i="18"/>
  <c r="C1275" i="18"/>
  <c r="C1276" i="18"/>
  <c r="C1277" i="18"/>
  <c r="C1278" i="18"/>
  <c r="C1279" i="18"/>
  <c r="C1281" i="18"/>
  <c r="C1282" i="18"/>
  <c r="C1283" i="18"/>
  <c r="C1284" i="18"/>
  <c r="E1242" i="18"/>
  <c r="E1243" i="18"/>
  <c r="E1244" i="18"/>
  <c r="E1245" i="18"/>
  <c r="E1246" i="18"/>
  <c r="E1247" i="18"/>
  <c r="E1248" i="18"/>
  <c r="E1249" i="18"/>
  <c r="E1250" i="18"/>
  <c r="E1251" i="18"/>
  <c r="E1252" i="18"/>
  <c r="E1253" i="18"/>
  <c r="E1254" i="18"/>
  <c r="E1255" i="18"/>
  <c r="E1257" i="18"/>
  <c r="E1258" i="18"/>
  <c r="E1259" i="18"/>
  <c r="E1260" i="18"/>
  <c r="E1261" i="18"/>
  <c r="E1262" i="18"/>
  <c r="E1263" i="18"/>
  <c r="E1264" i="18"/>
  <c r="E1265" i="18"/>
  <c r="E1266" i="18"/>
  <c r="E1267" i="18"/>
  <c r="E1268" i="18"/>
  <c r="E1269" i="18"/>
  <c r="E1270" i="18"/>
  <c r="E1271" i="18"/>
  <c r="E1272" i="18"/>
  <c r="E1274" i="18"/>
  <c r="E1275" i="18"/>
  <c r="E1276" i="18"/>
  <c r="E1277" i="18"/>
  <c r="E1278" i="18"/>
  <c r="E1279" i="18"/>
  <c r="E1281" i="18"/>
  <c r="E1282" i="18"/>
  <c r="E1283" i="18"/>
  <c r="E1284" i="18"/>
  <c r="H1242" i="18"/>
  <c r="H1243" i="18"/>
  <c r="H1244" i="18"/>
  <c r="H1245" i="18"/>
  <c r="H1246" i="18"/>
  <c r="H1247" i="18"/>
  <c r="H1248" i="18"/>
  <c r="H1249" i="18"/>
  <c r="H1250" i="18"/>
  <c r="H1251" i="18"/>
  <c r="H1252" i="18"/>
  <c r="H1253" i="18"/>
  <c r="H1254" i="18"/>
  <c r="H1255" i="18"/>
  <c r="H1257" i="18"/>
  <c r="H1258" i="18"/>
  <c r="H1259" i="18"/>
  <c r="H1260" i="18"/>
  <c r="H1261" i="18"/>
  <c r="H1262" i="18"/>
  <c r="H1263" i="18"/>
  <c r="H1264" i="18"/>
  <c r="H1265" i="18"/>
  <c r="H1266" i="18"/>
  <c r="H1267" i="18"/>
  <c r="H1268" i="18"/>
  <c r="H1269" i="18"/>
  <c r="H1270" i="18"/>
  <c r="H1271" i="18"/>
  <c r="H1272" i="18"/>
  <c r="H1274" i="18"/>
  <c r="H1275" i="18"/>
  <c r="H1276" i="18"/>
  <c r="H1277" i="18"/>
  <c r="H1278" i="18"/>
  <c r="H1279" i="18"/>
  <c r="H1281" i="18"/>
  <c r="H1282" i="18"/>
  <c r="H1283" i="18"/>
  <c r="H1284" i="18"/>
  <c r="I1242" i="18"/>
  <c r="I1243" i="18"/>
  <c r="I1244" i="18"/>
  <c r="I1245" i="18"/>
  <c r="I1246" i="18"/>
  <c r="I1247" i="18"/>
  <c r="I1248" i="18"/>
  <c r="I1249" i="18"/>
  <c r="I1250" i="18"/>
  <c r="I1251" i="18"/>
  <c r="I1252" i="18"/>
  <c r="I1253" i="18"/>
  <c r="I1254" i="18"/>
  <c r="I1255" i="18"/>
  <c r="I1257" i="18"/>
  <c r="I1258" i="18"/>
  <c r="I1259" i="18"/>
  <c r="I1260" i="18"/>
  <c r="I1261" i="18"/>
  <c r="I1262" i="18"/>
  <c r="I1263" i="18"/>
  <c r="I1264" i="18"/>
  <c r="I1265" i="18"/>
  <c r="I1266" i="18"/>
  <c r="I1267" i="18"/>
  <c r="I1268" i="18"/>
  <c r="I1269" i="18"/>
  <c r="I1270" i="18"/>
  <c r="I1271" i="18"/>
  <c r="I1272" i="18"/>
  <c r="I1274" i="18"/>
  <c r="I1275" i="18"/>
  <c r="I1276" i="18"/>
  <c r="I1277" i="18"/>
  <c r="I1278" i="18"/>
  <c r="I1279" i="18"/>
  <c r="I1281" i="18"/>
  <c r="I1282" i="18"/>
  <c r="I1283" i="18"/>
  <c r="I1284" i="18"/>
  <c r="J1242" i="18"/>
  <c r="J1243" i="18"/>
  <c r="J1244" i="18"/>
  <c r="J1245" i="18"/>
  <c r="J1246" i="18"/>
  <c r="J1247" i="18"/>
  <c r="J1248" i="18"/>
  <c r="J1249" i="18"/>
  <c r="J1250" i="18"/>
  <c r="J1251" i="18"/>
  <c r="J1252" i="18"/>
  <c r="J1253" i="18"/>
  <c r="J1254" i="18"/>
  <c r="J1255" i="18"/>
  <c r="J1257" i="18"/>
  <c r="J1258" i="18"/>
  <c r="J1259" i="18"/>
  <c r="J1260" i="18"/>
  <c r="J1261" i="18"/>
  <c r="J1262" i="18"/>
  <c r="J1263" i="18"/>
  <c r="J1264" i="18"/>
  <c r="J1265" i="18"/>
  <c r="J1266" i="18"/>
  <c r="J1267" i="18"/>
  <c r="J1268" i="18"/>
  <c r="J1269" i="18"/>
  <c r="J1270" i="18"/>
  <c r="J1271" i="18"/>
  <c r="J1272" i="18"/>
  <c r="J1274" i="18"/>
  <c r="J1275" i="18"/>
  <c r="J1276" i="18"/>
  <c r="J1277" i="18"/>
  <c r="J1278" i="18"/>
  <c r="J1279" i="18"/>
  <c r="J1281" i="18"/>
  <c r="J1282" i="18"/>
  <c r="J1283" i="18"/>
  <c r="J1284" i="18"/>
  <c r="L1242" i="18"/>
  <c r="L1243" i="18"/>
  <c r="L1244" i="18"/>
  <c r="L1245" i="18"/>
  <c r="L1246" i="18"/>
  <c r="L1247" i="18"/>
  <c r="L1248" i="18"/>
  <c r="L1249" i="18"/>
  <c r="L1250" i="18"/>
  <c r="L1251" i="18"/>
  <c r="L1252" i="18"/>
  <c r="L1253" i="18"/>
  <c r="L1254" i="18"/>
  <c r="L1255" i="18"/>
  <c r="L1257" i="18"/>
  <c r="L1258" i="18"/>
  <c r="L1259" i="18"/>
  <c r="L1260" i="18"/>
  <c r="L1261" i="18"/>
  <c r="L1262" i="18"/>
  <c r="L1263" i="18"/>
  <c r="L1264" i="18"/>
  <c r="L1265" i="18"/>
  <c r="L1266" i="18"/>
  <c r="L1267" i="18"/>
  <c r="L1268" i="18"/>
  <c r="L1269" i="18"/>
  <c r="L1270" i="18"/>
  <c r="L1271" i="18"/>
  <c r="L1272" i="18"/>
  <c r="L1274" i="18"/>
  <c r="L1275" i="18"/>
  <c r="L1276" i="18"/>
  <c r="L1277" i="18"/>
  <c r="L1278" i="18"/>
  <c r="L1279" i="18"/>
  <c r="L1281" i="18"/>
  <c r="L1282" i="18"/>
  <c r="L1283" i="18"/>
  <c r="L1284" i="18"/>
  <c r="R1242" i="18"/>
  <c r="R1243" i="18"/>
  <c r="R1244" i="18"/>
  <c r="R1245" i="18"/>
  <c r="R1246" i="18"/>
  <c r="R1247" i="18"/>
  <c r="R1248" i="18"/>
  <c r="R1249" i="18"/>
  <c r="R1250" i="18"/>
  <c r="R1251" i="18"/>
  <c r="R1252" i="18"/>
  <c r="R1253" i="18"/>
  <c r="R1254" i="18"/>
  <c r="R1255" i="18"/>
  <c r="R1257" i="18"/>
  <c r="R1258" i="18"/>
  <c r="R1259" i="18"/>
  <c r="R1260" i="18"/>
  <c r="R1261" i="18"/>
  <c r="R1262" i="18"/>
  <c r="R1263" i="18"/>
  <c r="R1264" i="18"/>
  <c r="R1265" i="18"/>
  <c r="R1266" i="18"/>
  <c r="R1267" i="18"/>
  <c r="R1268" i="18"/>
  <c r="R1269" i="18"/>
  <c r="R1270" i="18"/>
  <c r="R1271" i="18"/>
  <c r="R1272" i="18"/>
  <c r="R1274" i="18"/>
  <c r="R1275" i="18"/>
  <c r="R1276" i="18"/>
  <c r="R1277" i="18"/>
  <c r="R1278" i="18"/>
  <c r="R1279" i="18"/>
  <c r="R1281" i="18"/>
  <c r="R1282" i="18"/>
  <c r="R1283" i="18"/>
  <c r="R1284" i="18"/>
  <c r="S1242" i="18"/>
  <c r="S1243" i="18"/>
  <c r="S1244" i="18"/>
  <c r="S1245" i="18"/>
  <c r="S1246" i="18"/>
  <c r="S1247" i="18"/>
  <c r="S1248" i="18"/>
  <c r="S1249" i="18"/>
  <c r="S1250" i="18"/>
  <c r="S1251" i="18"/>
  <c r="S1252" i="18"/>
  <c r="S1253" i="18"/>
  <c r="S1254" i="18"/>
  <c r="S1255" i="18"/>
  <c r="S1257" i="18"/>
  <c r="S1258" i="18"/>
  <c r="S1259" i="18"/>
  <c r="S1260" i="18"/>
  <c r="S1261" i="18"/>
  <c r="S1262" i="18"/>
  <c r="S1263" i="18"/>
  <c r="S1264" i="18"/>
  <c r="S1265" i="18"/>
  <c r="S1266" i="18"/>
  <c r="S1267" i="18"/>
  <c r="S1268" i="18"/>
  <c r="S1269" i="18"/>
  <c r="S1270" i="18"/>
  <c r="S1271" i="18"/>
  <c r="S1272" i="18"/>
  <c r="S1274" i="18"/>
  <c r="S1275" i="18"/>
  <c r="S1276" i="18"/>
  <c r="S1277" i="18"/>
  <c r="S1278" i="18"/>
  <c r="S1279" i="18"/>
  <c r="S1281" i="18"/>
  <c r="S1282" i="18"/>
  <c r="S1283" i="18"/>
  <c r="S1284" i="18"/>
  <c r="T1242" i="18"/>
  <c r="T1243" i="18"/>
  <c r="AA1243" i="18" s="1"/>
  <c r="T1244" i="18"/>
  <c r="AA1244" i="18" s="1"/>
  <c r="T1245" i="18"/>
  <c r="AA1245" i="18" s="1"/>
  <c r="T1246" i="18"/>
  <c r="AA1246" i="18" s="1"/>
  <c r="T1247" i="18"/>
  <c r="AA1247" i="18" s="1"/>
  <c r="T1248" i="18"/>
  <c r="AA1248" i="18" s="1"/>
  <c r="T1249" i="18"/>
  <c r="AA1249" i="18" s="1"/>
  <c r="T1250" i="18"/>
  <c r="AA1250" i="18" s="1"/>
  <c r="T1251" i="18"/>
  <c r="T1252" i="18"/>
  <c r="AA1252" i="18" s="1"/>
  <c r="T1253" i="18"/>
  <c r="AA1253" i="18" s="1"/>
  <c r="T1254" i="18"/>
  <c r="T1255" i="18"/>
  <c r="AA1255" i="18" s="1"/>
  <c r="T1257" i="18"/>
  <c r="AA1257" i="18" s="1"/>
  <c r="T1258" i="18"/>
  <c r="AA1258" i="18" s="1"/>
  <c r="T1259" i="18"/>
  <c r="AA1259" i="18" s="1"/>
  <c r="T1260" i="18"/>
  <c r="AA1260" i="18" s="1"/>
  <c r="T1261" i="18"/>
  <c r="AA1261" i="18" s="1"/>
  <c r="T1262" i="18"/>
  <c r="AA1262" i="18" s="1"/>
  <c r="T1263" i="18"/>
  <c r="AA1263" i="18" s="1"/>
  <c r="T1264" i="18"/>
  <c r="T1265" i="18"/>
  <c r="AA1265" i="18" s="1"/>
  <c r="T1266" i="18"/>
  <c r="AA1266" i="18" s="1"/>
  <c r="T1267" i="18"/>
  <c r="T1268" i="18"/>
  <c r="T1269" i="18"/>
  <c r="AA1269" i="18" s="1"/>
  <c r="T1270" i="18"/>
  <c r="AA1270" i="18" s="1"/>
  <c r="T1271" i="18"/>
  <c r="AA1271" i="18" s="1"/>
  <c r="T1272" i="18"/>
  <c r="AA1272" i="18" s="1"/>
  <c r="T1274" i="18"/>
  <c r="AA1274" i="18" s="1"/>
  <c r="T1275" i="18"/>
  <c r="AA1275" i="18" s="1"/>
  <c r="T1276" i="18"/>
  <c r="AA1276" i="18" s="1"/>
  <c r="T1277" i="18"/>
  <c r="T1278" i="18"/>
  <c r="AA1278" i="18" s="1"/>
  <c r="T1279" i="18"/>
  <c r="AA1279" i="18" s="1"/>
  <c r="T1281" i="18"/>
  <c r="T1282" i="18"/>
  <c r="AA1282" i="18" s="1"/>
  <c r="T1283" i="18"/>
  <c r="AA1283" i="18" s="1"/>
  <c r="T1284" i="18"/>
  <c r="AA1284" i="18" s="1"/>
  <c r="W1270" i="18" l="1"/>
  <c r="W1268" i="18"/>
  <c r="BN88" i="1"/>
  <c r="W1288" i="18"/>
  <c r="W1286" i="18"/>
  <c r="AA1288" i="18"/>
  <c r="W1289" i="18"/>
  <c r="W1287" i="18"/>
  <c r="AA1287" i="18"/>
  <c r="W1247" i="18"/>
  <c r="W1242" i="18"/>
  <c r="W1259" i="18"/>
  <c r="W1284" i="18"/>
  <c r="W1258" i="18"/>
  <c r="W1245" i="18"/>
  <c r="W1285" i="18"/>
  <c r="AA1286" i="18"/>
  <c r="W1272" i="18"/>
  <c r="W1260" i="18"/>
  <c r="W1246" i="18"/>
  <c r="W1277" i="18"/>
  <c r="W1264" i="18"/>
  <c r="W1251" i="18"/>
  <c r="W1271" i="18"/>
  <c r="W1255" i="18"/>
  <c r="W1278" i="18"/>
  <c r="W1265" i="18"/>
  <c r="W1252" i="18"/>
  <c r="W1257" i="18"/>
  <c r="W1282" i="18"/>
  <c r="W1243" i="18"/>
  <c r="AA1268" i="18"/>
  <c r="W1281" i="18"/>
  <c r="W1267" i="18"/>
  <c r="W1254" i="18"/>
  <c r="BN90" i="1"/>
  <c r="A89" i="1"/>
  <c r="B88" i="1"/>
  <c r="C88" i="1"/>
  <c r="D88" i="1"/>
  <c r="E88" i="1"/>
  <c r="BN89" i="1"/>
  <c r="W1244" i="18"/>
  <c r="AA1281" i="18"/>
  <c r="W1269" i="18"/>
  <c r="AA1254" i="18"/>
  <c r="W1279" i="18"/>
  <c r="W1266" i="18"/>
  <c r="W1253" i="18"/>
  <c r="AA1267" i="18"/>
  <c r="AA1242" i="18"/>
  <c r="W1283" i="18"/>
  <c r="W1276" i="18"/>
  <c r="W1263" i="18"/>
  <c r="W1250" i="18"/>
  <c r="W1275" i="18"/>
  <c r="W1262" i="18"/>
  <c r="W1249" i="18"/>
  <c r="W1274" i="18"/>
  <c r="W1261" i="18"/>
  <c r="W1248" i="18"/>
  <c r="AA1277" i="18"/>
  <c r="AA1251" i="18"/>
  <c r="AA1264" i="18"/>
  <c r="A90" i="1" l="1"/>
  <c r="B89" i="1"/>
  <c r="C89" i="1"/>
  <c r="D89" i="1"/>
  <c r="E89" i="1"/>
  <c r="A91" i="1" l="1"/>
  <c r="E90" i="1"/>
  <c r="B90" i="1"/>
  <c r="C90" i="1"/>
  <c r="D90" i="1"/>
  <c r="R2" i="20"/>
  <c r="Q2" i="20"/>
  <c r="P2" i="20"/>
  <c r="J2" i="20"/>
  <c r="I2" i="20"/>
  <c r="H2" i="20"/>
  <c r="E2" i="20"/>
  <c r="E2" i="19"/>
  <c r="E3" i="19"/>
  <c r="E4" i="19"/>
  <c r="E5" i="19"/>
  <c r="E6" i="19"/>
  <c r="E7" i="19"/>
  <c r="E8" i="19"/>
  <c r="E9" i="19"/>
  <c r="E10" i="19"/>
  <c r="E11" i="19"/>
  <c r="E12" i="19"/>
  <c r="E13" i="19"/>
  <c r="E14" i="19"/>
  <c r="E15" i="19"/>
  <c r="E16" i="19"/>
  <c r="E17" i="19"/>
  <c r="E18" i="19"/>
  <c r="E19" i="19"/>
  <c r="E20" i="19"/>
  <c r="E21" i="19"/>
  <c r="E22" i="19"/>
  <c r="E23" i="19"/>
  <c r="E24" i="19"/>
  <c r="E25" i="19"/>
  <c r="E26" i="19"/>
  <c r="E27" i="19"/>
  <c r="E28" i="19"/>
  <c r="E29" i="19"/>
  <c r="E30" i="19"/>
  <c r="E31" i="19"/>
  <c r="E32" i="19"/>
  <c r="E33" i="19"/>
  <c r="E34" i="19"/>
  <c r="E35" i="19"/>
  <c r="E36" i="19"/>
  <c r="E37" i="19"/>
  <c r="E38" i="19"/>
  <c r="E39" i="19"/>
  <c r="E40" i="19"/>
  <c r="E41" i="19"/>
  <c r="E42" i="19"/>
  <c r="E43" i="19"/>
  <c r="E44" i="19"/>
  <c r="E45" i="19"/>
  <c r="E46" i="19"/>
  <c r="E47" i="19"/>
  <c r="E48" i="19"/>
  <c r="E49" i="19"/>
  <c r="E50" i="19"/>
  <c r="E51" i="19"/>
  <c r="E52" i="19"/>
  <c r="E53" i="19"/>
  <c r="E54" i="19"/>
  <c r="E55" i="19"/>
  <c r="E56" i="19"/>
  <c r="E57" i="19"/>
  <c r="E58" i="19"/>
  <c r="E59" i="19"/>
  <c r="E60" i="19"/>
  <c r="E61" i="19"/>
  <c r="E62" i="19"/>
  <c r="E63" i="19"/>
  <c r="E64" i="19"/>
  <c r="E65" i="19"/>
  <c r="E66" i="19"/>
  <c r="E67" i="19"/>
  <c r="E68" i="19"/>
  <c r="E69" i="19"/>
  <c r="E70" i="19"/>
  <c r="E71" i="19"/>
  <c r="E72" i="19"/>
  <c r="E73" i="19"/>
  <c r="E74" i="19"/>
  <c r="E75" i="19"/>
  <c r="E76" i="19"/>
  <c r="E77" i="19"/>
  <c r="E78" i="19"/>
  <c r="E79" i="19"/>
  <c r="E80" i="19"/>
  <c r="E81" i="19"/>
  <c r="E82" i="19"/>
  <c r="E83" i="19"/>
  <c r="E84" i="19"/>
  <c r="E85" i="19"/>
  <c r="E86" i="19"/>
  <c r="E87" i="19"/>
  <c r="E88" i="19"/>
  <c r="E89" i="19"/>
  <c r="E90" i="19"/>
  <c r="E91" i="19"/>
  <c r="E92" i="19"/>
  <c r="E93" i="19"/>
  <c r="E94" i="19"/>
  <c r="E95" i="19"/>
  <c r="E96" i="19"/>
  <c r="E97" i="19"/>
  <c r="E98" i="19"/>
  <c r="E99" i="19"/>
  <c r="E100" i="19"/>
  <c r="E101" i="19"/>
  <c r="E102" i="19"/>
  <c r="E103" i="19"/>
  <c r="E104" i="19"/>
  <c r="E105" i="19"/>
  <c r="E106" i="19"/>
  <c r="E107" i="19"/>
  <c r="E108" i="19"/>
  <c r="E109" i="19"/>
  <c r="E110" i="19"/>
  <c r="E111" i="19"/>
  <c r="E112" i="19"/>
  <c r="E113" i="19"/>
  <c r="E114" i="19"/>
  <c r="E115" i="19"/>
  <c r="E116" i="19"/>
  <c r="E117" i="19"/>
  <c r="E118" i="19"/>
  <c r="E119" i="19"/>
  <c r="E120" i="19"/>
  <c r="E121" i="19"/>
  <c r="E122" i="19"/>
  <c r="E123" i="19"/>
  <c r="E124" i="19"/>
  <c r="E125" i="19"/>
  <c r="E126" i="19"/>
  <c r="E127" i="19"/>
  <c r="E128" i="19"/>
  <c r="E129" i="19"/>
  <c r="E130" i="19"/>
  <c r="E131" i="19"/>
  <c r="E132" i="19"/>
  <c r="E133" i="19"/>
  <c r="E134" i="19"/>
  <c r="E135" i="19"/>
  <c r="E136" i="19"/>
  <c r="E2" i="18"/>
  <c r="E3" i="18"/>
  <c r="E4" i="18"/>
  <c r="E5" i="18"/>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2" i="18"/>
  <c r="E43" i="18"/>
  <c r="E44" i="18"/>
  <c r="E45" i="18"/>
  <c r="E46" i="18"/>
  <c r="E47" i="18"/>
  <c r="E48" i="18"/>
  <c r="E49" i="18"/>
  <c r="E50" i="18"/>
  <c r="E51" i="18"/>
  <c r="E52" i="18"/>
  <c r="E53" i="18"/>
  <c r="E54" i="18"/>
  <c r="E55" i="18"/>
  <c r="E56" i="18"/>
  <c r="E57" i="18"/>
  <c r="E58" i="18"/>
  <c r="E59" i="18"/>
  <c r="E60" i="18"/>
  <c r="E61" i="18"/>
  <c r="E62" i="18"/>
  <c r="E63" i="18"/>
  <c r="E64" i="18"/>
  <c r="E65" i="18"/>
  <c r="E66" i="18"/>
  <c r="E67" i="18"/>
  <c r="E68" i="18"/>
  <c r="E69" i="18"/>
  <c r="E70" i="18"/>
  <c r="E71" i="18"/>
  <c r="E72" i="18"/>
  <c r="E73" i="18"/>
  <c r="E74" i="18"/>
  <c r="E75" i="18"/>
  <c r="E76" i="18"/>
  <c r="E77" i="18"/>
  <c r="E78" i="18"/>
  <c r="E79" i="18"/>
  <c r="E80" i="18"/>
  <c r="E81" i="18"/>
  <c r="E82" i="18"/>
  <c r="E83" i="18"/>
  <c r="E84" i="18"/>
  <c r="E85" i="18"/>
  <c r="E86" i="18"/>
  <c r="E87" i="18"/>
  <c r="E88" i="18"/>
  <c r="E89" i="18"/>
  <c r="E90" i="18"/>
  <c r="E91" i="18"/>
  <c r="E92" i="18"/>
  <c r="E93" i="18"/>
  <c r="E94" i="18"/>
  <c r="E95" i="18"/>
  <c r="E96" i="18"/>
  <c r="E97" i="18"/>
  <c r="E98" i="18"/>
  <c r="E99" i="18"/>
  <c r="E100" i="18"/>
  <c r="E101" i="18"/>
  <c r="E102" i="18"/>
  <c r="E103" i="18"/>
  <c r="E104" i="18"/>
  <c r="E105" i="18"/>
  <c r="E106" i="18"/>
  <c r="E107" i="18"/>
  <c r="E108" i="18"/>
  <c r="E109" i="18"/>
  <c r="E110" i="18"/>
  <c r="E111" i="18"/>
  <c r="E112" i="18"/>
  <c r="E113" i="18"/>
  <c r="E114" i="18"/>
  <c r="E115" i="18"/>
  <c r="E116" i="18"/>
  <c r="E117" i="18"/>
  <c r="E118" i="18"/>
  <c r="E119" i="18"/>
  <c r="E120" i="18"/>
  <c r="E121" i="18"/>
  <c r="E122" i="18"/>
  <c r="E123" i="18"/>
  <c r="E124" i="18"/>
  <c r="E125" i="18"/>
  <c r="E126" i="18"/>
  <c r="E127" i="18"/>
  <c r="E128" i="18"/>
  <c r="E129" i="18"/>
  <c r="E130" i="18"/>
  <c r="E131" i="18"/>
  <c r="E132" i="18"/>
  <c r="E133" i="18"/>
  <c r="E134" i="18"/>
  <c r="E135" i="18"/>
  <c r="E136" i="18"/>
  <c r="E137" i="18"/>
  <c r="E138" i="18"/>
  <c r="E139" i="18"/>
  <c r="E140" i="18"/>
  <c r="E141" i="18"/>
  <c r="E142" i="18"/>
  <c r="E143" i="18"/>
  <c r="E144" i="18"/>
  <c r="E145" i="18"/>
  <c r="E146" i="18"/>
  <c r="E147" i="18"/>
  <c r="E148" i="18"/>
  <c r="E149" i="18"/>
  <c r="E150" i="18"/>
  <c r="E151" i="18"/>
  <c r="E152" i="18"/>
  <c r="E153" i="18"/>
  <c r="E154" i="18"/>
  <c r="E155" i="18"/>
  <c r="E156" i="18"/>
  <c r="E157" i="18"/>
  <c r="E158" i="18"/>
  <c r="E159" i="18"/>
  <c r="E160" i="18"/>
  <c r="E161" i="18"/>
  <c r="E162" i="18"/>
  <c r="E163" i="18"/>
  <c r="E164" i="18"/>
  <c r="E165" i="18"/>
  <c r="E166" i="18"/>
  <c r="E167" i="18"/>
  <c r="E168" i="18"/>
  <c r="E169" i="18"/>
  <c r="E170" i="18"/>
  <c r="E171" i="18"/>
  <c r="E172" i="18"/>
  <c r="E173" i="18"/>
  <c r="E174" i="18"/>
  <c r="E175" i="18"/>
  <c r="E176" i="18"/>
  <c r="E177" i="18"/>
  <c r="E178" i="18"/>
  <c r="E179" i="18"/>
  <c r="E180" i="18"/>
  <c r="E181" i="18"/>
  <c r="E182" i="18"/>
  <c r="E183" i="18"/>
  <c r="E184" i="18"/>
  <c r="E185" i="18"/>
  <c r="E186" i="18"/>
  <c r="E187" i="18"/>
  <c r="E188" i="18"/>
  <c r="E189" i="18"/>
  <c r="E190" i="18"/>
  <c r="E191" i="18"/>
  <c r="E192" i="18"/>
  <c r="E193" i="18"/>
  <c r="E194" i="18"/>
  <c r="E195" i="18"/>
  <c r="E196" i="18"/>
  <c r="E197" i="18"/>
  <c r="E198" i="18"/>
  <c r="E199" i="18"/>
  <c r="E200" i="18"/>
  <c r="E201" i="18"/>
  <c r="E202" i="18"/>
  <c r="E203" i="18"/>
  <c r="E204" i="18"/>
  <c r="E205" i="18"/>
  <c r="E206" i="18"/>
  <c r="E207" i="18"/>
  <c r="E208" i="18"/>
  <c r="E209" i="18"/>
  <c r="E210" i="18"/>
  <c r="E211" i="18"/>
  <c r="E212" i="18"/>
  <c r="E213" i="18"/>
  <c r="E214" i="18"/>
  <c r="E215" i="18"/>
  <c r="E216" i="18"/>
  <c r="E217" i="18"/>
  <c r="E218" i="18"/>
  <c r="E219" i="18"/>
  <c r="E220" i="18"/>
  <c r="E221" i="18"/>
  <c r="E222" i="18"/>
  <c r="E223" i="18"/>
  <c r="E224" i="18"/>
  <c r="E225" i="18"/>
  <c r="E226" i="18"/>
  <c r="E227" i="18"/>
  <c r="E228" i="18"/>
  <c r="E229" i="18"/>
  <c r="E230" i="18"/>
  <c r="E231" i="18"/>
  <c r="E232" i="18"/>
  <c r="E233" i="18"/>
  <c r="E234" i="18"/>
  <c r="E235" i="18"/>
  <c r="E236" i="18"/>
  <c r="E237" i="18"/>
  <c r="E238" i="18"/>
  <c r="E239" i="18"/>
  <c r="E240" i="18"/>
  <c r="E241" i="18"/>
  <c r="E242" i="18"/>
  <c r="E243" i="18"/>
  <c r="E244" i="18"/>
  <c r="E245" i="18"/>
  <c r="E246" i="18"/>
  <c r="E247" i="18"/>
  <c r="E248" i="18"/>
  <c r="E249" i="18"/>
  <c r="E250" i="18"/>
  <c r="E251" i="18"/>
  <c r="E252" i="18"/>
  <c r="E253" i="18"/>
  <c r="E254" i="18"/>
  <c r="E255" i="18"/>
  <c r="E256" i="18"/>
  <c r="E257" i="18"/>
  <c r="E258" i="18"/>
  <c r="E259" i="18"/>
  <c r="E260" i="18"/>
  <c r="E261" i="18"/>
  <c r="E262" i="18"/>
  <c r="E263" i="18"/>
  <c r="E264" i="18"/>
  <c r="E265" i="18"/>
  <c r="E266" i="18"/>
  <c r="E267" i="18"/>
  <c r="E268" i="18"/>
  <c r="E269" i="18"/>
  <c r="E270" i="18"/>
  <c r="E271" i="18"/>
  <c r="E272" i="18"/>
  <c r="E273" i="18"/>
  <c r="E274" i="18"/>
  <c r="E275" i="18"/>
  <c r="E276" i="18"/>
  <c r="E277" i="18"/>
  <c r="E278" i="18"/>
  <c r="E279" i="18"/>
  <c r="E280" i="18"/>
  <c r="E281" i="18"/>
  <c r="E282" i="18"/>
  <c r="E283" i="18"/>
  <c r="E284" i="18"/>
  <c r="E285" i="18"/>
  <c r="E286" i="18"/>
  <c r="E287" i="18"/>
  <c r="E288" i="18"/>
  <c r="E289" i="18"/>
  <c r="E290" i="18"/>
  <c r="E291" i="18"/>
  <c r="E292" i="18"/>
  <c r="E293" i="18"/>
  <c r="E294" i="18"/>
  <c r="E295" i="18"/>
  <c r="E296" i="18"/>
  <c r="E297" i="18"/>
  <c r="E298" i="18"/>
  <c r="E299" i="18"/>
  <c r="E300" i="18"/>
  <c r="E301" i="18"/>
  <c r="E302" i="18"/>
  <c r="E303" i="18"/>
  <c r="E304" i="18"/>
  <c r="E305" i="18"/>
  <c r="E306" i="18"/>
  <c r="E307" i="18"/>
  <c r="E308" i="18"/>
  <c r="E309" i="18"/>
  <c r="E310" i="18"/>
  <c r="E311" i="18"/>
  <c r="E312" i="18"/>
  <c r="E313" i="18"/>
  <c r="E314" i="18"/>
  <c r="E315" i="18"/>
  <c r="E316" i="18"/>
  <c r="E317" i="18"/>
  <c r="E318" i="18"/>
  <c r="E319" i="18"/>
  <c r="E320" i="18"/>
  <c r="E321" i="18"/>
  <c r="E322" i="18"/>
  <c r="E323" i="18"/>
  <c r="E324" i="18"/>
  <c r="E325" i="18"/>
  <c r="E326" i="18"/>
  <c r="E327" i="18"/>
  <c r="E328" i="18"/>
  <c r="E329" i="18"/>
  <c r="E330" i="18"/>
  <c r="E331" i="18"/>
  <c r="E332" i="18"/>
  <c r="E333" i="18"/>
  <c r="E334" i="18"/>
  <c r="E335" i="18"/>
  <c r="E336" i="18"/>
  <c r="E337" i="18"/>
  <c r="E338" i="18"/>
  <c r="E339" i="18"/>
  <c r="E340" i="18"/>
  <c r="E341" i="18"/>
  <c r="E342" i="18"/>
  <c r="E343" i="18"/>
  <c r="E344" i="18"/>
  <c r="E345" i="18"/>
  <c r="E346" i="18"/>
  <c r="E347" i="18"/>
  <c r="E348" i="18"/>
  <c r="E349" i="18"/>
  <c r="E350" i="18"/>
  <c r="E351" i="18"/>
  <c r="E352" i="18"/>
  <c r="E353" i="18"/>
  <c r="E354" i="18"/>
  <c r="E355" i="18"/>
  <c r="E356" i="18"/>
  <c r="E357" i="18"/>
  <c r="E358" i="18"/>
  <c r="E359" i="18"/>
  <c r="E360" i="18"/>
  <c r="E361" i="18"/>
  <c r="E362" i="18"/>
  <c r="E363" i="18"/>
  <c r="E364" i="18"/>
  <c r="E365" i="18"/>
  <c r="E366" i="18"/>
  <c r="E367" i="18"/>
  <c r="E368" i="18"/>
  <c r="E369" i="18"/>
  <c r="E370" i="18"/>
  <c r="E371" i="18"/>
  <c r="E372" i="18"/>
  <c r="E373" i="18"/>
  <c r="E374" i="18"/>
  <c r="E375" i="18"/>
  <c r="E376" i="18"/>
  <c r="E377" i="18"/>
  <c r="E378" i="18"/>
  <c r="E379" i="18"/>
  <c r="E380" i="18"/>
  <c r="E381" i="18"/>
  <c r="E382" i="18"/>
  <c r="E383" i="18"/>
  <c r="E384" i="18"/>
  <c r="E385" i="18"/>
  <c r="E386" i="18"/>
  <c r="E387" i="18"/>
  <c r="E388" i="18"/>
  <c r="E389" i="18"/>
  <c r="E390" i="18"/>
  <c r="E391" i="18"/>
  <c r="E392" i="18"/>
  <c r="E393" i="18"/>
  <c r="E394" i="18"/>
  <c r="E395" i="18"/>
  <c r="E396" i="18"/>
  <c r="E397" i="18"/>
  <c r="E398" i="18"/>
  <c r="E399" i="18"/>
  <c r="E400" i="18"/>
  <c r="E401" i="18"/>
  <c r="E402" i="18"/>
  <c r="E403" i="18"/>
  <c r="E404" i="18"/>
  <c r="E405" i="18"/>
  <c r="E406" i="18"/>
  <c r="E407" i="18"/>
  <c r="E408" i="18"/>
  <c r="E409" i="18"/>
  <c r="E410" i="18"/>
  <c r="E411" i="18"/>
  <c r="E412" i="18"/>
  <c r="E413" i="18"/>
  <c r="E414" i="18"/>
  <c r="E415" i="18"/>
  <c r="E416" i="18"/>
  <c r="E417" i="18"/>
  <c r="E418" i="18"/>
  <c r="E419" i="18"/>
  <c r="E420" i="18"/>
  <c r="E421" i="18"/>
  <c r="E422" i="18"/>
  <c r="E423" i="18"/>
  <c r="E424" i="18"/>
  <c r="E425" i="18"/>
  <c r="E426" i="18"/>
  <c r="E427" i="18"/>
  <c r="E428" i="18"/>
  <c r="E429" i="18"/>
  <c r="E430" i="18"/>
  <c r="E431" i="18"/>
  <c r="E432" i="18"/>
  <c r="E433" i="18"/>
  <c r="E434" i="18"/>
  <c r="E435" i="18"/>
  <c r="E436" i="18"/>
  <c r="E437" i="18"/>
  <c r="E438" i="18"/>
  <c r="E439" i="18"/>
  <c r="E440" i="18"/>
  <c r="E441" i="18"/>
  <c r="E442" i="18"/>
  <c r="E443" i="18"/>
  <c r="E444" i="18"/>
  <c r="E445" i="18"/>
  <c r="E446" i="18"/>
  <c r="E447" i="18"/>
  <c r="E448" i="18"/>
  <c r="E449" i="18"/>
  <c r="E450" i="18"/>
  <c r="E451" i="18"/>
  <c r="E452" i="18"/>
  <c r="E453" i="18"/>
  <c r="E454" i="18"/>
  <c r="E455" i="18"/>
  <c r="E456" i="18"/>
  <c r="E457" i="18"/>
  <c r="E458" i="18"/>
  <c r="E459" i="18"/>
  <c r="E460" i="18"/>
  <c r="E461" i="18"/>
  <c r="E462" i="18"/>
  <c r="E463" i="18"/>
  <c r="E464" i="18"/>
  <c r="E465" i="18"/>
  <c r="E466" i="18"/>
  <c r="E467" i="18"/>
  <c r="E468" i="18"/>
  <c r="E469" i="18"/>
  <c r="E470" i="18"/>
  <c r="E471" i="18"/>
  <c r="E472" i="18"/>
  <c r="E473" i="18"/>
  <c r="E474" i="18"/>
  <c r="E475" i="18"/>
  <c r="E476" i="18"/>
  <c r="E477" i="18"/>
  <c r="E478" i="18"/>
  <c r="E479" i="18"/>
  <c r="E480" i="18"/>
  <c r="E481" i="18"/>
  <c r="E482" i="18"/>
  <c r="E483" i="18"/>
  <c r="E484" i="18"/>
  <c r="E485" i="18"/>
  <c r="E486" i="18"/>
  <c r="E487" i="18"/>
  <c r="E488" i="18"/>
  <c r="E489" i="18"/>
  <c r="E490" i="18"/>
  <c r="E491" i="18"/>
  <c r="E492" i="18"/>
  <c r="E493" i="18"/>
  <c r="E494" i="18"/>
  <c r="E495" i="18"/>
  <c r="E496" i="18"/>
  <c r="E497" i="18"/>
  <c r="E498" i="18"/>
  <c r="E499" i="18"/>
  <c r="E500" i="18"/>
  <c r="E501" i="18"/>
  <c r="E502" i="18"/>
  <c r="E503" i="18"/>
  <c r="E504" i="18"/>
  <c r="E505" i="18"/>
  <c r="E506" i="18"/>
  <c r="E507" i="18"/>
  <c r="E508" i="18"/>
  <c r="E509" i="18"/>
  <c r="E510" i="18"/>
  <c r="E511" i="18"/>
  <c r="E512" i="18"/>
  <c r="E513" i="18"/>
  <c r="E514" i="18"/>
  <c r="E515" i="18"/>
  <c r="E516" i="18"/>
  <c r="E517" i="18"/>
  <c r="E518" i="18"/>
  <c r="E519" i="18"/>
  <c r="E520" i="18"/>
  <c r="E521" i="18"/>
  <c r="E522" i="18"/>
  <c r="E523" i="18"/>
  <c r="E524" i="18"/>
  <c r="E525" i="18"/>
  <c r="E526" i="18"/>
  <c r="E527" i="18"/>
  <c r="E528" i="18"/>
  <c r="E529" i="18"/>
  <c r="E530" i="18"/>
  <c r="E531" i="18"/>
  <c r="E532" i="18"/>
  <c r="E533" i="18"/>
  <c r="E534" i="18"/>
  <c r="E535" i="18"/>
  <c r="E536" i="18"/>
  <c r="E537" i="18"/>
  <c r="E538" i="18"/>
  <c r="E539" i="18"/>
  <c r="E540" i="18"/>
  <c r="E541" i="18"/>
  <c r="E542" i="18"/>
  <c r="E543" i="18"/>
  <c r="E544" i="18"/>
  <c r="E545" i="18"/>
  <c r="E546" i="18"/>
  <c r="E547" i="18"/>
  <c r="E548" i="18"/>
  <c r="E549" i="18"/>
  <c r="E550" i="18"/>
  <c r="E551" i="18"/>
  <c r="E552" i="18"/>
  <c r="E553" i="18"/>
  <c r="E554" i="18"/>
  <c r="E555" i="18"/>
  <c r="E556" i="18"/>
  <c r="E557" i="18"/>
  <c r="E558" i="18"/>
  <c r="E559" i="18"/>
  <c r="E560" i="18"/>
  <c r="E561" i="18"/>
  <c r="E562" i="18"/>
  <c r="E563" i="18"/>
  <c r="E564" i="18"/>
  <c r="E565" i="18"/>
  <c r="E566" i="18"/>
  <c r="E567" i="18"/>
  <c r="E568" i="18"/>
  <c r="E569" i="18"/>
  <c r="E570" i="18"/>
  <c r="E571" i="18"/>
  <c r="E572" i="18"/>
  <c r="E573" i="18"/>
  <c r="E574" i="18"/>
  <c r="E575" i="18"/>
  <c r="E576" i="18"/>
  <c r="E577" i="18"/>
  <c r="E578" i="18"/>
  <c r="E579" i="18"/>
  <c r="E580" i="18"/>
  <c r="E581" i="18"/>
  <c r="E582" i="18"/>
  <c r="E583" i="18"/>
  <c r="E584" i="18"/>
  <c r="E585" i="18"/>
  <c r="E586" i="18"/>
  <c r="E587" i="18"/>
  <c r="E588" i="18"/>
  <c r="E589" i="18"/>
  <c r="E590" i="18"/>
  <c r="E591" i="18"/>
  <c r="E592" i="18"/>
  <c r="E593" i="18"/>
  <c r="E594" i="18"/>
  <c r="E595" i="18"/>
  <c r="E596" i="18"/>
  <c r="E597" i="18"/>
  <c r="E598" i="18"/>
  <c r="E599" i="18"/>
  <c r="E600" i="18"/>
  <c r="E601" i="18"/>
  <c r="E602" i="18"/>
  <c r="E603" i="18"/>
  <c r="E604" i="18"/>
  <c r="E605" i="18"/>
  <c r="E606" i="18"/>
  <c r="E607" i="18"/>
  <c r="E608" i="18"/>
  <c r="E609" i="18"/>
  <c r="E610" i="18"/>
  <c r="E611" i="18"/>
  <c r="E612" i="18"/>
  <c r="E613" i="18"/>
  <c r="E614" i="18"/>
  <c r="E615" i="18"/>
  <c r="E616" i="18"/>
  <c r="E617" i="18"/>
  <c r="E618" i="18"/>
  <c r="E619" i="18"/>
  <c r="E620" i="18"/>
  <c r="E621" i="18"/>
  <c r="E622" i="18"/>
  <c r="E623" i="18"/>
  <c r="E624" i="18"/>
  <c r="E625" i="18"/>
  <c r="E626" i="18"/>
  <c r="E627" i="18"/>
  <c r="E628" i="18"/>
  <c r="E629" i="18"/>
  <c r="E630" i="18"/>
  <c r="E631" i="18"/>
  <c r="E632" i="18"/>
  <c r="E633" i="18"/>
  <c r="E634" i="18"/>
  <c r="E635" i="18"/>
  <c r="E636" i="18"/>
  <c r="E637" i="18"/>
  <c r="E638" i="18"/>
  <c r="E639" i="18"/>
  <c r="E640" i="18"/>
  <c r="E641" i="18"/>
  <c r="E642" i="18"/>
  <c r="E643" i="18"/>
  <c r="E644" i="18"/>
  <c r="E645" i="18"/>
  <c r="E646" i="18"/>
  <c r="E647" i="18"/>
  <c r="E648" i="18"/>
  <c r="E649" i="18"/>
  <c r="E650" i="18"/>
  <c r="E651" i="18"/>
  <c r="E652" i="18"/>
  <c r="E653" i="18"/>
  <c r="E654" i="18"/>
  <c r="E655" i="18"/>
  <c r="E656" i="18"/>
  <c r="E657" i="18"/>
  <c r="E658" i="18"/>
  <c r="E659" i="18"/>
  <c r="E660" i="18"/>
  <c r="E661" i="18"/>
  <c r="E662" i="18"/>
  <c r="E663" i="18"/>
  <c r="E664" i="18"/>
  <c r="E665" i="18"/>
  <c r="E666" i="18"/>
  <c r="E667" i="18"/>
  <c r="E668" i="18"/>
  <c r="E669" i="18"/>
  <c r="E670" i="18"/>
  <c r="E671" i="18"/>
  <c r="E672" i="18"/>
  <c r="E673" i="18"/>
  <c r="E674" i="18"/>
  <c r="E675" i="18"/>
  <c r="E676" i="18"/>
  <c r="E677" i="18"/>
  <c r="E678" i="18"/>
  <c r="E679" i="18"/>
  <c r="E680" i="18"/>
  <c r="E681" i="18"/>
  <c r="E682" i="18"/>
  <c r="E683" i="18"/>
  <c r="E684" i="18"/>
  <c r="E685" i="18"/>
  <c r="E686" i="18"/>
  <c r="E687" i="18"/>
  <c r="E688" i="18"/>
  <c r="E689" i="18"/>
  <c r="E690" i="18"/>
  <c r="E691" i="18"/>
  <c r="E692" i="18"/>
  <c r="E693" i="18"/>
  <c r="E694" i="18"/>
  <c r="E695" i="18"/>
  <c r="E696" i="18"/>
  <c r="E697" i="18"/>
  <c r="E698" i="18"/>
  <c r="E699" i="18"/>
  <c r="E700" i="18"/>
  <c r="E701" i="18"/>
  <c r="E702" i="18"/>
  <c r="E703" i="18"/>
  <c r="E704" i="18"/>
  <c r="E705" i="18"/>
  <c r="E706" i="18"/>
  <c r="E707" i="18"/>
  <c r="E708" i="18"/>
  <c r="E709" i="18"/>
  <c r="E710" i="18"/>
  <c r="E711" i="18"/>
  <c r="E712" i="18"/>
  <c r="E713" i="18"/>
  <c r="E714" i="18"/>
  <c r="E715" i="18"/>
  <c r="E716" i="18"/>
  <c r="E717" i="18"/>
  <c r="E718" i="18"/>
  <c r="E719" i="18"/>
  <c r="E720" i="18"/>
  <c r="E721" i="18"/>
  <c r="E722" i="18"/>
  <c r="E723" i="18"/>
  <c r="E724" i="18"/>
  <c r="E725" i="18"/>
  <c r="E726" i="18"/>
  <c r="E727" i="18"/>
  <c r="E728" i="18"/>
  <c r="E729" i="18"/>
  <c r="E730" i="18"/>
  <c r="E731" i="18"/>
  <c r="E732" i="18"/>
  <c r="E733" i="18"/>
  <c r="E734" i="18"/>
  <c r="E735" i="18"/>
  <c r="E736" i="18"/>
  <c r="E737" i="18"/>
  <c r="E738" i="18"/>
  <c r="E739" i="18"/>
  <c r="E740" i="18"/>
  <c r="E741" i="18"/>
  <c r="E742" i="18"/>
  <c r="E743" i="18"/>
  <c r="E744" i="18"/>
  <c r="E745" i="18"/>
  <c r="E746" i="18"/>
  <c r="E747" i="18"/>
  <c r="E748" i="18"/>
  <c r="E749" i="18"/>
  <c r="E750" i="18"/>
  <c r="E751" i="18"/>
  <c r="E752" i="18"/>
  <c r="E753" i="18"/>
  <c r="E754" i="18"/>
  <c r="E755" i="18"/>
  <c r="E756" i="18"/>
  <c r="E757" i="18"/>
  <c r="E758" i="18"/>
  <c r="E759" i="18"/>
  <c r="E760" i="18"/>
  <c r="E761" i="18"/>
  <c r="E762" i="18"/>
  <c r="E763" i="18"/>
  <c r="E764" i="18"/>
  <c r="E765" i="18"/>
  <c r="E766" i="18"/>
  <c r="E767" i="18"/>
  <c r="E768" i="18"/>
  <c r="E769" i="18"/>
  <c r="E770" i="18"/>
  <c r="E771" i="18"/>
  <c r="E772" i="18"/>
  <c r="E773" i="18"/>
  <c r="E774" i="18"/>
  <c r="E775" i="18"/>
  <c r="E776" i="18"/>
  <c r="E777" i="18"/>
  <c r="E778" i="18"/>
  <c r="E779" i="18"/>
  <c r="E780" i="18"/>
  <c r="E781" i="18"/>
  <c r="E782" i="18"/>
  <c r="E783" i="18"/>
  <c r="E784" i="18"/>
  <c r="E785" i="18"/>
  <c r="E786" i="18"/>
  <c r="E787" i="18"/>
  <c r="E788" i="18"/>
  <c r="E789" i="18"/>
  <c r="E790" i="18"/>
  <c r="E791" i="18"/>
  <c r="E792" i="18"/>
  <c r="E793" i="18"/>
  <c r="E794" i="18"/>
  <c r="E795" i="18"/>
  <c r="E796" i="18"/>
  <c r="E797" i="18"/>
  <c r="E798" i="18"/>
  <c r="E799" i="18"/>
  <c r="E800" i="18"/>
  <c r="E801" i="18"/>
  <c r="E802" i="18"/>
  <c r="E803" i="18"/>
  <c r="E804" i="18"/>
  <c r="E805" i="18"/>
  <c r="E806" i="18"/>
  <c r="E807" i="18"/>
  <c r="E808" i="18"/>
  <c r="E809" i="18"/>
  <c r="E810" i="18"/>
  <c r="E811" i="18"/>
  <c r="E812" i="18"/>
  <c r="E813" i="18"/>
  <c r="E814" i="18"/>
  <c r="E815" i="18"/>
  <c r="E816" i="18"/>
  <c r="E817" i="18"/>
  <c r="E818" i="18"/>
  <c r="E819" i="18"/>
  <c r="E820" i="18"/>
  <c r="E821" i="18"/>
  <c r="E822" i="18"/>
  <c r="E823" i="18"/>
  <c r="E824" i="18"/>
  <c r="E825" i="18"/>
  <c r="E826" i="18"/>
  <c r="E827" i="18"/>
  <c r="E828" i="18"/>
  <c r="E829" i="18"/>
  <c r="E830" i="18"/>
  <c r="E831" i="18"/>
  <c r="E832" i="18"/>
  <c r="E833" i="18"/>
  <c r="E834" i="18"/>
  <c r="E835" i="18"/>
  <c r="E836" i="18"/>
  <c r="E837" i="18"/>
  <c r="E838" i="18"/>
  <c r="E839" i="18"/>
  <c r="E840" i="18"/>
  <c r="E841" i="18"/>
  <c r="E842" i="18"/>
  <c r="E843" i="18"/>
  <c r="E844" i="18"/>
  <c r="E845" i="18"/>
  <c r="E846" i="18"/>
  <c r="E847" i="18"/>
  <c r="E848" i="18"/>
  <c r="E849" i="18"/>
  <c r="E850" i="18"/>
  <c r="E851" i="18"/>
  <c r="E852" i="18"/>
  <c r="E853" i="18"/>
  <c r="E854" i="18"/>
  <c r="E855" i="18"/>
  <c r="E856" i="18"/>
  <c r="E857" i="18"/>
  <c r="E858" i="18"/>
  <c r="E859" i="18"/>
  <c r="E860" i="18"/>
  <c r="E861" i="18"/>
  <c r="E862" i="18"/>
  <c r="E863" i="18"/>
  <c r="E864" i="18"/>
  <c r="E865" i="18"/>
  <c r="E866" i="18"/>
  <c r="E867" i="18"/>
  <c r="E868" i="18"/>
  <c r="E869" i="18"/>
  <c r="E870" i="18"/>
  <c r="E871" i="18"/>
  <c r="E872" i="18"/>
  <c r="E873" i="18"/>
  <c r="E874" i="18"/>
  <c r="E875" i="18"/>
  <c r="E876" i="18"/>
  <c r="E877" i="18"/>
  <c r="E878" i="18"/>
  <c r="E879" i="18"/>
  <c r="E880" i="18"/>
  <c r="E881" i="18"/>
  <c r="E882" i="18"/>
  <c r="E883" i="18"/>
  <c r="E884" i="18"/>
  <c r="E885" i="18"/>
  <c r="E886" i="18"/>
  <c r="E887" i="18"/>
  <c r="E888" i="18"/>
  <c r="E889" i="18"/>
  <c r="E890" i="18"/>
  <c r="E891" i="18"/>
  <c r="E892" i="18"/>
  <c r="E893" i="18"/>
  <c r="E894" i="18"/>
  <c r="E895" i="18"/>
  <c r="E896" i="18"/>
  <c r="E897" i="18"/>
  <c r="E898" i="18"/>
  <c r="E899" i="18"/>
  <c r="E900" i="18"/>
  <c r="E901" i="18"/>
  <c r="E902" i="18"/>
  <c r="E903" i="18"/>
  <c r="E904" i="18"/>
  <c r="E905" i="18"/>
  <c r="E906" i="18"/>
  <c r="E907" i="18"/>
  <c r="E908" i="18"/>
  <c r="E909" i="18"/>
  <c r="E910" i="18"/>
  <c r="E911" i="18"/>
  <c r="E912" i="18"/>
  <c r="E913" i="18"/>
  <c r="E914" i="18"/>
  <c r="E915" i="18"/>
  <c r="E916" i="18"/>
  <c r="E917" i="18"/>
  <c r="E918" i="18"/>
  <c r="E919" i="18"/>
  <c r="E920" i="18"/>
  <c r="E921" i="18"/>
  <c r="E922" i="18"/>
  <c r="E923" i="18"/>
  <c r="E924" i="18"/>
  <c r="E925" i="18"/>
  <c r="E926" i="18"/>
  <c r="E927" i="18"/>
  <c r="E928" i="18"/>
  <c r="E929" i="18"/>
  <c r="E930" i="18"/>
  <c r="E931" i="18"/>
  <c r="E932" i="18"/>
  <c r="E933" i="18"/>
  <c r="E934" i="18"/>
  <c r="E935" i="18"/>
  <c r="E936" i="18"/>
  <c r="E937" i="18"/>
  <c r="E938" i="18"/>
  <c r="E939" i="18"/>
  <c r="E940" i="18"/>
  <c r="E941" i="18"/>
  <c r="E942" i="18"/>
  <c r="E943" i="18"/>
  <c r="E944" i="18"/>
  <c r="E945" i="18"/>
  <c r="E946" i="18"/>
  <c r="E947" i="18"/>
  <c r="E948" i="18"/>
  <c r="E949" i="18"/>
  <c r="E950" i="18"/>
  <c r="E951" i="18"/>
  <c r="E952" i="18"/>
  <c r="E953" i="18"/>
  <c r="E954" i="18"/>
  <c r="E955" i="18"/>
  <c r="E956" i="18"/>
  <c r="E957" i="18"/>
  <c r="E958" i="18"/>
  <c r="E959" i="18"/>
  <c r="E960" i="18"/>
  <c r="E961" i="18"/>
  <c r="E962" i="18"/>
  <c r="E963" i="18"/>
  <c r="E964" i="18"/>
  <c r="E965" i="18"/>
  <c r="E966" i="18"/>
  <c r="E967" i="18"/>
  <c r="E968" i="18"/>
  <c r="E969" i="18"/>
  <c r="E970" i="18"/>
  <c r="E971" i="18"/>
  <c r="E972" i="18"/>
  <c r="E973" i="18"/>
  <c r="E974" i="18"/>
  <c r="E975" i="18"/>
  <c r="E976" i="18"/>
  <c r="E977" i="18"/>
  <c r="E978" i="18"/>
  <c r="E979" i="18"/>
  <c r="E980" i="18"/>
  <c r="E981" i="18"/>
  <c r="E982" i="18"/>
  <c r="E983" i="18"/>
  <c r="E984" i="18"/>
  <c r="E985" i="18"/>
  <c r="E986" i="18"/>
  <c r="E987" i="18"/>
  <c r="E988" i="18"/>
  <c r="E989" i="18"/>
  <c r="E990" i="18"/>
  <c r="E991" i="18"/>
  <c r="E992" i="18"/>
  <c r="E993" i="18"/>
  <c r="E994" i="18"/>
  <c r="E995" i="18"/>
  <c r="E996" i="18"/>
  <c r="E997" i="18"/>
  <c r="E998" i="18"/>
  <c r="E999" i="18"/>
  <c r="E1000" i="18"/>
  <c r="E1001" i="18"/>
  <c r="E1002" i="18"/>
  <c r="E1003" i="18"/>
  <c r="E1004" i="18"/>
  <c r="E1005" i="18"/>
  <c r="E1006" i="18"/>
  <c r="E1007" i="18"/>
  <c r="E1008" i="18"/>
  <c r="E1009" i="18"/>
  <c r="E1010" i="18"/>
  <c r="E1011" i="18"/>
  <c r="E1012" i="18"/>
  <c r="E1013" i="18"/>
  <c r="E1014" i="18"/>
  <c r="E1015" i="18"/>
  <c r="E1016" i="18"/>
  <c r="E1017" i="18"/>
  <c r="E1018" i="18"/>
  <c r="E1019" i="18"/>
  <c r="E1020" i="18"/>
  <c r="E1021" i="18"/>
  <c r="E1022" i="18"/>
  <c r="E1023" i="18"/>
  <c r="E1024" i="18"/>
  <c r="E1025" i="18"/>
  <c r="E1026" i="18"/>
  <c r="E1027" i="18"/>
  <c r="E1028" i="18"/>
  <c r="E1029" i="18"/>
  <c r="E1030" i="18"/>
  <c r="E1031" i="18"/>
  <c r="E1032" i="18"/>
  <c r="E1033" i="18"/>
  <c r="E1034" i="18"/>
  <c r="E1035" i="18"/>
  <c r="E1036" i="18"/>
  <c r="E1037" i="18"/>
  <c r="E1038" i="18"/>
  <c r="E1039" i="18"/>
  <c r="E1040" i="18"/>
  <c r="E1041" i="18"/>
  <c r="E1042" i="18"/>
  <c r="E1043" i="18"/>
  <c r="E1044" i="18"/>
  <c r="E1045" i="18"/>
  <c r="E1046" i="18"/>
  <c r="E1047" i="18"/>
  <c r="E1048" i="18"/>
  <c r="E1049" i="18"/>
  <c r="E1050" i="18"/>
  <c r="E1051" i="18"/>
  <c r="E1052" i="18"/>
  <c r="E1053" i="18"/>
  <c r="E1054" i="18"/>
  <c r="E1055" i="18"/>
  <c r="E1056" i="18"/>
  <c r="E1057" i="18"/>
  <c r="E1058" i="18"/>
  <c r="E1059" i="18"/>
  <c r="E1060" i="18"/>
  <c r="E1061" i="18"/>
  <c r="E1062" i="18"/>
  <c r="E1063" i="18"/>
  <c r="E1064" i="18"/>
  <c r="E1065" i="18"/>
  <c r="E1066" i="18"/>
  <c r="E1067" i="18"/>
  <c r="E1068" i="18"/>
  <c r="E1069" i="18"/>
  <c r="E1070" i="18"/>
  <c r="E1071" i="18"/>
  <c r="E1072" i="18"/>
  <c r="E1073" i="18"/>
  <c r="E1074" i="18"/>
  <c r="E1075" i="18"/>
  <c r="E1076" i="18"/>
  <c r="E1077" i="18"/>
  <c r="E1078" i="18"/>
  <c r="E1079" i="18"/>
  <c r="E1080" i="18"/>
  <c r="E1081" i="18"/>
  <c r="E1082" i="18"/>
  <c r="E1083" i="18"/>
  <c r="E1084" i="18"/>
  <c r="E1085" i="18"/>
  <c r="E1086" i="18"/>
  <c r="E1087" i="18"/>
  <c r="E1088" i="18"/>
  <c r="E1089" i="18"/>
  <c r="E1090" i="18"/>
  <c r="E1091" i="18"/>
  <c r="E1092" i="18"/>
  <c r="E1093" i="18"/>
  <c r="E1094" i="18"/>
  <c r="E1095" i="18"/>
  <c r="E1096" i="18"/>
  <c r="E1097" i="18"/>
  <c r="E1098" i="18"/>
  <c r="E1099" i="18"/>
  <c r="E1100" i="18"/>
  <c r="E1101" i="18"/>
  <c r="E1102" i="18"/>
  <c r="E1103" i="18"/>
  <c r="E1104" i="18"/>
  <c r="E1105" i="18"/>
  <c r="E1106" i="18"/>
  <c r="E1107" i="18"/>
  <c r="E1108" i="18"/>
  <c r="E1109" i="18"/>
  <c r="E1110" i="18"/>
  <c r="E1111" i="18"/>
  <c r="E1112" i="18"/>
  <c r="E1113" i="18"/>
  <c r="E1114" i="18"/>
  <c r="E1115" i="18"/>
  <c r="E1116" i="18"/>
  <c r="E1117" i="18"/>
  <c r="E1118" i="18"/>
  <c r="E1119" i="18"/>
  <c r="E1120" i="18"/>
  <c r="E1121" i="18"/>
  <c r="E1122" i="18"/>
  <c r="E1123" i="18"/>
  <c r="E1124" i="18"/>
  <c r="E1125" i="18"/>
  <c r="E1126" i="18"/>
  <c r="E1127" i="18"/>
  <c r="E1128" i="18"/>
  <c r="E1129" i="18"/>
  <c r="E1130" i="18"/>
  <c r="E1131" i="18"/>
  <c r="E1132" i="18"/>
  <c r="E1133" i="18"/>
  <c r="E1134" i="18"/>
  <c r="E1135" i="18"/>
  <c r="E1136" i="18"/>
  <c r="E1137" i="18"/>
  <c r="E1138" i="18"/>
  <c r="E1139" i="18"/>
  <c r="E1140" i="18"/>
  <c r="E1141" i="18"/>
  <c r="E1142" i="18"/>
  <c r="E1143" i="18"/>
  <c r="E1144" i="18"/>
  <c r="E1145" i="18"/>
  <c r="E1146" i="18"/>
  <c r="E1147" i="18"/>
  <c r="E1148" i="18"/>
  <c r="E1149" i="18"/>
  <c r="E1150" i="18"/>
  <c r="E1151" i="18"/>
  <c r="E1152" i="18"/>
  <c r="E1153" i="18"/>
  <c r="E1154" i="18"/>
  <c r="E1155" i="18"/>
  <c r="E1156" i="18"/>
  <c r="E1157" i="18"/>
  <c r="E1158" i="18"/>
  <c r="E1159" i="18"/>
  <c r="E1160" i="18"/>
  <c r="E1161" i="18"/>
  <c r="E1162" i="18"/>
  <c r="E1163" i="18"/>
  <c r="E1164" i="18"/>
  <c r="E1165" i="18"/>
  <c r="E1166" i="18"/>
  <c r="E1167" i="18"/>
  <c r="E1168" i="18"/>
  <c r="E1169" i="18"/>
  <c r="E1170" i="18"/>
  <c r="E1171" i="18"/>
  <c r="E1172" i="18"/>
  <c r="E1173" i="18"/>
  <c r="E1174" i="18"/>
  <c r="E1175" i="18"/>
  <c r="E1176" i="18"/>
  <c r="E1177" i="18"/>
  <c r="E1178" i="18"/>
  <c r="E1179" i="18"/>
  <c r="E1180" i="18"/>
  <c r="E1181" i="18"/>
  <c r="E1182" i="18"/>
  <c r="E1183" i="18"/>
  <c r="E1184" i="18"/>
  <c r="E1185" i="18"/>
  <c r="E1186" i="18"/>
  <c r="E1187" i="18"/>
  <c r="E1188" i="18"/>
  <c r="E1189" i="18"/>
  <c r="E1190" i="18"/>
  <c r="E1191" i="18"/>
  <c r="E1192" i="18"/>
  <c r="E1193" i="18"/>
  <c r="E1194" i="18"/>
  <c r="E1195" i="18"/>
  <c r="E1196" i="18"/>
  <c r="E1197" i="18"/>
  <c r="E1198" i="18"/>
  <c r="E1199" i="18"/>
  <c r="E1200" i="18"/>
  <c r="E1201" i="18"/>
  <c r="E1202" i="18"/>
  <c r="E1203" i="18"/>
  <c r="E1204" i="18"/>
  <c r="E1205" i="18"/>
  <c r="E1206" i="18"/>
  <c r="E1207" i="18"/>
  <c r="E1208" i="18"/>
  <c r="E1209" i="18"/>
  <c r="E1210" i="18"/>
  <c r="E1211" i="18"/>
  <c r="E1212" i="18"/>
  <c r="E1213" i="18"/>
  <c r="E1214" i="18"/>
  <c r="E1215" i="18"/>
  <c r="E1216" i="18"/>
  <c r="E1217" i="18"/>
  <c r="E1218" i="18"/>
  <c r="E1220" i="18"/>
  <c r="E1221" i="18"/>
  <c r="E1222" i="18"/>
  <c r="E1223" i="18"/>
  <c r="E1224" i="18"/>
  <c r="E1225" i="18"/>
  <c r="E1226" i="18"/>
  <c r="E1227" i="18"/>
  <c r="E1228" i="18"/>
  <c r="E1229" i="18"/>
  <c r="E1231" i="18"/>
  <c r="E1232" i="18"/>
  <c r="E1233" i="18"/>
  <c r="E1234" i="18"/>
  <c r="E1235" i="18"/>
  <c r="E1236" i="18"/>
  <c r="E1237" i="18"/>
  <c r="E1238" i="18"/>
  <c r="E1239" i="18"/>
  <c r="E1240" i="18"/>
  <c r="E1241" i="18"/>
  <c r="C2" i="20"/>
  <c r="B2" i="20"/>
  <c r="A92" i="1" l="1"/>
  <c r="C91" i="1"/>
  <c r="D91" i="1"/>
  <c r="E91" i="1"/>
  <c r="B91" i="1"/>
  <c r="U2" i="20"/>
  <c r="Y2" i="20"/>
  <c r="Q2" i="19"/>
  <c r="X2" i="19" s="1"/>
  <c r="Q3" i="19"/>
  <c r="X3" i="19" s="1"/>
  <c r="Q4" i="19"/>
  <c r="X4" i="19" s="1"/>
  <c r="Q5" i="19"/>
  <c r="X5" i="19" s="1"/>
  <c r="Q6" i="19"/>
  <c r="X6" i="19" s="1"/>
  <c r="Q7" i="19"/>
  <c r="X7" i="19" s="1"/>
  <c r="Q8" i="19"/>
  <c r="X8" i="19" s="1"/>
  <c r="Q9" i="19"/>
  <c r="X9" i="19" s="1"/>
  <c r="Q10" i="19"/>
  <c r="X10" i="19" s="1"/>
  <c r="Q11" i="19"/>
  <c r="X11" i="19" s="1"/>
  <c r="Q12" i="19"/>
  <c r="X12" i="19" s="1"/>
  <c r="Q13" i="19"/>
  <c r="X13" i="19" s="1"/>
  <c r="Q14" i="19"/>
  <c r="X14" i="19" s="1"/>
  <c r="Q15" i="19"/>
  <c r="X15" i="19" s="1"/>
  <c r="Q16" i="19"/>
  <c r="X16" i="19" s="1"/>
  <c r="Q17" i="19"/>
  <c r="X17" i="19" s="1"/>
  <c r="Q18" i="19"/>
  <c r="X18" i="19" s="1"/>
  <c r="Q19" i="19"/>
  <c r="X19" i="19" s="1"/>
  <c r="Q20" i="19"/>
  <c r="X20" i="19" s="1"/>
  <c r="Q21" i="19"/>
  <c r="X21" i="19" s="1"/>
  <c r="Q22" i="19"/>
  <c r="X22" i="19" s="1"/>
  <c r="Q23" i="19"/>
  <c r="X23" i="19" s="1"/>
  <c r="Q24" i="19"/>
  <c r="X24" i="19" s="1"/>
  <c r="Q25" i="19"/>
  <c r="X25" i="19" s="1"/>
  <c r="Q26" i="19"/>
  <c r="X26" i="19" s="1"/>
  <c r="Q27" i="19"/>
  <c r="X27" i="19" s="1"/>
  <c r="Q28" i="19"/>
  <c r="X28" i="19" s="1"/>
  <c r="Q29" i="19"/>
  <c r="X29" i="19" s="1"/>
  <c r="Q30" i="19"/>
  <c r="X30" i="19" s="1"/>
  <c r="Q31" i="19"/>
  <c r="X31" i="19" s="1"/>
  <c r="Q32" i="19"/>
  <c r="X32" i="19" s="1"/>
  <c r="Q33" i="19"/>
  <c r="X33" i="19" s="1"/>
  <c r="Q34" i="19"/>
  <c r="X34" i="19" s="1"/>
  <c r="Q35" i="19"/>
  <c r="X35" i="19" s="1"/>
  <c r="Q36" i="19"/>
  <c r="X36" i="19" s="1"/>
  <c r="Q37" i="19"/>
  <c r="X37" i="19" s="1"/>
  <c r="Q38" i="19"/>
  <c r="X38" i="19" s="1"/>
  <c r="Q39" i="19"/>
  <c r="X39" i="19" s="1"/>
  <c r="Q40" i="19"/>
  <c r="X40" i="19" s="1"/>
  <c r="Q41" i="19"/>
  <c r="X41" i="19" s="1"/>
  <c r="Q42" i="19"/>
  <c r="X42" i="19" s="1"/>
  <c r="Q43" i="19"/>
  <c r="X43" i="19" s="1"/>
  <c r="Q44" i="19"/>
  <c r="X44" i="19" s="1"/>
  <c r="Q45" i="19"/>
  <c r="X45" i="19" s="1"/>
  <c r="Q46" i="19"/>
  <c r="X46" i="19" s="1"/>
  <c r="Q47" i="19"/>
  <c r="X47" i="19" s="1"/>
  <c r="Q48" i="19"/>
  <c r="X48" i="19" s="1"/>
  <c r="Q49" i="19"/>
  <c r="X49" i="19" s="1"/>
  <c r="Q50" i="19"/>
  <c r="X50" i="19" s="1"/>
  <c r="Q51" i="19"/>
  <c r="X51" i="19" s="1"/>
  <c r="Q52" i="19"/>
  <c r="X52" i="19" s="1"/>
  <c r="Q53" i="19"/>
  <c r="X53" i="19" s="1"/>
  <c r="Q54" i="19"/>
  <c r="X54" i="19" s="1"/>
  <c r="Q55" i="19"/>
  <c r="X55" i="19" s="1"/>
  <c r="Q56" i="19"/>
  <c r="X56" i="19" s="1"/>
  <c r="Q57" i="19"/>
  <c r="X57" i="19" s="1"/>
  <c r="Q58" i="19"/>
  <c r="X58" i="19" s="1"/>
  <c r="Q59" i="19"/>
  <c r="X59" i="19" s="1"/>
  <c r="Q60" i="19"/>
  <c r="X60" i="19" s="1"/>
  <c r="Q61" i="19"/>
  <c r="X61" i="19" s="1"/>
  <c r="Q62" i="19"/>
  <c r="X62" i="19" s="1"/>
  <c r="Q63" i="19"/>
  <c r="X63" i="19" s="1"/>
  <c r="Q64" i="19"/>
  <c r="X64" i="19" s="1"/>
  <c r="Q65" i="19"/>
  <c r="X65" i="19" s="1"/>
  <c r="Q66" i="19"/>
  <c r="X66" i="19" s="1"/>
  <c r="Q67" i="19"/>
  <c r="X67" i="19" s="1"/>
  <c r="Q68" i="19"/>
  <c r="X68" i="19" s="1"/>
  <c r="Q69" i="19"/>
  <c r="X69" i="19" s="1"/>
  <c r="Q70" i="19"/>
  <c r="X70" i="19" s="1"/>
  <c r="Q71" i="19"/>
  <c r="X71" i="19" s="1"/>
  <c r="Q72" i="19"/>
  <c r="X72" i="19" s="1"/>
  <c r="Q73" i="19"/>
  <c r="X73" i="19" s="1"/>
  <c r="Q74" i="19"/>
  <c r="X74" i="19" s="1"/>
  <c r="Q75" i="19"/>
  <c r="X75" i="19" s="1"/>
  <c r="Q76" i="19"/>
  <c r="X76" i="19" s="1"/>
  <c r="Q77" i="19"/>
  <c r="X77" i="19" s="1"/>
  <c r="Q78" i="19"/>
  <c r="X78" i="19" s="1"/>
  <c r="Q79" i="19"/>
  <c r="X79" i="19" s="1"/>
  <c r="Q80" i="19"/>
  <c r="X80" i="19" s="1"/>
  <c r="Q81" i="19"/>
  <c r="X81" i="19" s="1"/>
  <c r="Q82" i="19"/>
  <c r="X82" i="19" s="1"/>
  <c r="Q83" i="19"/>
  <c r="X83" i="19" s="1"/>
  <c r="Q84" i="19"/>
  <c r="X84" i="19" s="1"/>
  <c r="Q85" i="19"/>
  <c r="X85" i="19" s="1"/>
  <c r="Q86" i="19"/>
  <c r="X86" i="19" s="1"/>
  <c r="Q87" i="19"/>
  <c r="X87" i="19" s="1"/>
  <c r="Q88" i="19"/>
  <c r="X88" i="19" s="1"/>
  <c r="Q89" i="19"/>
  <c r="X89" i="19" s="1"/>
  <c r="Q90" i="19"/>
  <c r="X90" i="19" s="1"/>
  <c r="Q91" i="19"/>
  <c r="X91" i="19" s="1"/>
  <c r="Q92" i="19"/>
  <c r="X92" i="19" s="1"/>
  <c r="Q93" i="19"/>
  <c r="X93" i="19" s="1"/>
  <c r="Q94" i="19"/>
  <c r="X94" i="19" s="1"/>
  <c r="Q95" i="19"/>
  <c r="X95" i="19" s="1"/>
  <c r="Q96" i="19"/>
  <c r="X96" i="19" s="1"/>
  <c r="Q97" i="19"/>
  <c r="X97" i="19" s="1"/>
  <c r="Q98" i="19"/>
  <c r="X98" i="19" s="1"/>
  <c r="Q99" i="19"/>
  <c r="X99" i="19" s="1"/>
  <c r="Q100" i="19"/>
  <c r="X100" i="19" s="1"/>
  <c r="Q101" i="19"/>
  <c r="X101" i="19" s="1"/>
  <c r="Q102" i="19"/>
  <c r="X102" i="19" s="1"/>
  <c r="Q103" i="19"/>
  <c r="X103" i="19" s="1"/>
  <c r="Q104" i="19"/>
  <c r="X104" i="19" s="1"/>
  <c r="Q105" i="19"/>
  <c r="X105" i="19" s="1"/>
  <c r="Q106" i="19"/>
  <c r="X106" i="19" s="1"/>
  <c r="Q107" i="19"/>
  <c r="X107" i="19" s="1"/>
  <c r="Q108" i="19"/>
  <c r="X108" i="19" s="1"/>
  <c r="Q109" i="19"/>
  <c r="X109" i="19" s="1"/>
  <c r="Q110" i="19"/>
  <c r="X110" i="19" s="1"/>
  <c r="Q111" i="19"/>
  <c r="X111" i="19" s="1"/>
  <c r="Q112" i="19"/>
  <c r="X112" i="19" s="1"/>
  <c r="Q113" i="19"/>
  <c r="X113" i="19" s="1"/>
  <c r="Q114" i="19"/>
  <c r="X114" i="19" s="1"/>
  <c r="Q115" i="19"/>
  <c r="X115" i="19" s="1"/>
  <c r="Q116" i="19"/>
  <c r="X116" i="19" s="1"/>
  <c r="Q117" i="19"/>
  <c r="X117" i="19" s="1"/>
  <c r="Q118" i="19"/>
  <c r="X118" i="19" s="1"/>
  <c r="Q119" i="19"/>
  <c r="X119" i="19" s="1"/>
  <c r="Q120" i="19"/>
  <c r="X120" i="19" s="1"/>
  <c r="Q121" i="19"/>
  <c r="X121" i="19" s="1"/>
  <c r="Q122" i="19"/>
  <c r="X122" i="19" s="1"/>
  <c r="Q123" i="19"/>
  <c r="X123" i="19" s="1"/>
  <c r="Q124" i="19"/>
  <c r="X124" i="19" s="1"/>
  <c r="Q125" i="19"/>
  <c r="X125" i="19" s="1"/>
  <c r="Q126" i="19"/>
  <c r="X126" i="19" s="1"/>
  <c r="Q127" i="19"/>
  <c r="X127" i="19" s="1"/>
  <c r="Q128" i="19"/>
  <c r="X128" i="19" s="1"/>
  <c r="Q129" i="19"/>
  <c r="X129" i="19" s="1"/>
  <c r="Q130" i="19"/>
  <c r="X130" i="19" s="1"/>
  <c r="Q131" i="19"/>
  <c r="X131" i="19" s="1"/>
  <c r="Q132" i="19"/>
  <c r="X132" i="19" s="1"/>
  <c r="Q133" i="19"/>
  <c r="X133" i="19" s="1"/>
  <c r="Q134" i="19"/>
  <c r="X134" i="19" s="1"/>
  <c r="Q135" i="19"/>
  <c r="X135" i="19" s="1"/>
  <c r="Q136" i="19"/>
  <c r="X136" i="19" s="1"/>
  <c r="P2" i="19"/>
  <c r="P3" i="19"/>
  <c r="P4" i="19"/>
  <c r="P5" i="19"/>
  <c r="P6" i="19"/>
  <c r="P7" i="19"/>
  <c r="P8" i="19"/>
  <c r="P9" i="19"/>
  <c r="P10" i="19"/>
  <c r="P11" i="19"/>
  <c r="P12" i="19"/>
  <c r="P13" i="19"/>
  <c r="P14" i="19"/>
  <c r="P15" i="19"/>
  <c r="P16" i="19"/>
  <c r="P17" i="19"/>
  <c r="P18" i="19"/>
  <c r="P19" i="19"/>
  <c r="P20" i="19"/>
  <c r="P21" i="19"/>
  <c r="P22" i="19"/>
  <c r="P23" i="19"/>
  <c r="P24" i="19"/>
  <c r="P25" i="19"/>
  <c r="P26" i="19"/>
  <c r="P27" i="19"/>
  <c r="P28" i="19"/>
  <c r="P29" i="19"/>
  <c r="P30" i="19"/>
  <c r="P31" i="19"/>
  <c r="P32" i="19"/>
  <c r="P33" i="19"/>
  <c r="P34" i="19"/>
  <c r="P35" i="19"/>
  <c r="P36" i="19"/>
  <c r="P37" i="19"/>
  <c r="P38" i="19"/>
  <c r="P39" i="19"/>
  <c r="P40" i="19"/>
  <c r="P41" i="19"/>
  <c r="P42" i="19"/>
  <c r="P43" i="19"/>
  <c r="P44" i="19"/>
  <c r="P45" i="19"/>
  <c r="P46" i="19"/>
  <c r="P47" i="19"/>
  <c r="P48" i="19"/>
  <c r="P49" i="19"/>
  <c r="P50" i="19"/>
  <c r="P51" i="19"/>
  <c r="P52" i="19"/>
  <c r="P53" i="19"/>
  <c r="P54" i="19"/>
  <c r="P55" i="19"/>
  <c r="P56" i="19"/>
  <c r="P57" i="19"/>
  <c r="P58" i="19"/>
  <c r="P59" i="19"/>
  <c r="P60" i="19"/>
  <c r="P61" i="19"/>
  <c r="P62" i="19"/>
  <c r="P63" i="19"/>
  <c r="P64" i="19"/>
  <c r="P65" i="19"/>
  <c r="P66" i="19"/>
  <c r="P67" i="19"/>
  <c r="P68" i="19"/>
  <c r="P69" i="19"/>
  <c r="P70" i="19"/>
  <c r="P71" i="19"/>
  <c r="P72" i="19"/>
  <c r="P73" i="19"/>
  <c r="P74" i="19"/>
  <c r="P75" i="19"/>
  <c r="P76" i="19"/>
  <c r="P77" i="19"/>
  <c r="P78" i="19"/>
  <c r="P79" i="19"/>
  <c r="P80" i="19"/>
  <c r="P81" i="19"/>
  <c r="P82" i="19"/>
  <c r="P83" i="19"/>
  <c r="P84" i="19"/>
  <c r="P85" i="19"/>
  <c r="P86" i="19"/>
  <c r="P87" i="19"/>
  <c r="P88" i="19"/>
  <c r="P89" i="19"/>
  <c r="P90" i="19"/>
  <c r="P91" i="19"/>
  <c r="P92" i="19"/>
  <c r="P93" i="19"/>
  <c r="P94" i="19"/>
  <c r="P95" i="19"/>
  <c r="P96" i="19"/>
  <c r="P97" i="19"/>
  <c r="P98" i="19"/>
  <c r="P99" i="19"/>
  <c r="P100" i="19"/>
  <c r="P101" i="19"/>
  <c r="P102" i="19"/>
  <c r="P103" i="19"/>
  <c r="P104" i="19"/>
  <c r="P105" i="19"/>
  <c r="P106" i="19"/>
  <c r="P107" i="19"/>
  <c r="P108" i="19"/>
  <c r="P109" i="19"/>
  <c r="P110" i="19"/>
  <c r="P111" i="19"/>
  <c r="P112" i="19"/>
  <c r="P113" i="19"/>
  <c r="P114" i="19"/>
  <c r="P115" i="19"/>
  <c r="P116" i="19"/>
  <c r="P117" i="19"/>
  <c r="P118" i="19"/>
  <c r="P119" i="19"/>
  <c r="P120" i="19"/>
  <c r="P121" i="19"/>
  <c r="P122" i="19"/>
  <c r="P123" i="19"/>
  <c r="P124" i="19"/>
  <c r="P125" i="19"/>
  <c r="P126" i="19"/>
  <c r="P127" i="19"/>
  <c r="P128" i="19"/>
  <c r="P129" i="19"/>
  <c r="P130" i="19"/>
  <c r="P131" i="19"/>
  <c r="P132" i="19"/>
  <c r="P133" i="19"/>
  <c r="P134" i="19"/>
  <c r="P135" i="19"/>
  <c r="P136" i="19"/>
  <c r="O2" i="19"/>
  <c r="O3" i="19"/>
  <c r="O4" i="19"/>
  <c r="O5" i="19"/>
  <c r="O6" i="19"/>
  <c r="O7" i="19"/>
  <c r="O8" i="19"/>
  <c r="O9" i="19"/>
  <c r="O10" i="19"/>
  <c r="O11" i="19"/>
  <c r="O12" i="19"/>
  <c r="O13" i="19"/>
  <c r="O14" i="19"/>
  <c r="O15" i="19"/>
  <c r="O16" i="19"/>
  <c r="O17" i="19"/>
  <c r="O18" i="19"/>
  <c r="O19" i="19"/>
  <c r="O20" i="19"/>
  <c r="O21" i="19"/>
  <c r="O22" i="19"/>
  <c r="O23" i="19"/>
  <c r="O24" i="19"/>
  <c r="O25" i="19"/>
  <c r="O26" i="19"/>
  <c r="O27" i="19"/>
  <c r="O28" i="19"/>
  <c r="O29" i="19"/>
  <c r="O30" i="19"/>
  <c r="O31" i="19"/>
  <c r="O32" i="19"/>
  <c r="O33" i="19"/>
  <c r="O34" i="19"/>
  <c r="O35" i="19"/>
  <c r="O36" i="19"/>
  <c r="O37" i="19"/>
  <c r="O38" i="19"/>
  <c r="O39" i="19"/>
  <c r="O40" i="19"/>
  <c r="O41" i="19"/>
  <c r="O42" i="19"/>
  <c r="O43" i="19"/>
  <c r="O44" i="19"/>
  <c r="O45" i="19"/>
  <c r="O46" i="19"/>
  <c r="O47" i="19"/>
  <c r="O48" i="19"/>
  <c r="O49" i="19"/>
  <c r="O50" i="19"/>
  <c r="O51" i="19"/>
  <c r="O52" i="19"/>
  <c r="O53" i="19"/>
  <c r="O54" i="19"/>
  <c r="O55" i="19"/>
  <c r="O56" i="19"/>
  <c r="O57" i="19"/>
  <c r="O58" i="19"/>
  <c r="O59" i="19"/>
  <c r="O60" i="19"/>
  <c r="O61" i="19"/>
  <c r="O62" i="19"/>
  <c r="O63" i="19"/>
  <c r="O64" i="19"/>
  <c r="O65" i="19"/>
  <c r="O66" i="19"/>
  <c r="O67" i="19"/>
  <c r="O68" i="19"/>
  <c r="O69" i="19"/>
  <c r="O70" i="19"/>
  <c r="O71" i="19"/>
  <c r="O72" i="19"/>
  <c r="O73" i="19"/>
  <c r="O74" i="19"/>
  <c r="O75" i="19"/>
  <c r="O76" i="19"/>
  <c r="O77" i="19"/>
  <c r="O78" i="19"/>
  <c r="O79" i="19"/>
  <c r="O80" i="19"/>
  <c r="O81" i="19"/>
  <c r="O82" i="19"/>
  <c r="O83" i="19"/>
  <c r="O84" i="19"/>
  <c r="O85" i="19"/>
  <c r="O86" i="19"/>
  <c r="O87" i="19"/>
  <c r="O88" i="19"/>
  <c r="O89" i="19"/>
  <c r="O90" i="19"/>
  <c r="O91" i="19"/>
  <c r="O92" i="19"/>
  <c r="O93" i="19"/>
  <c r="O94" i="19"/>
  <c r="O95" i="19"/>
  <c r="O96" i="19"/>
  <c r="O97" i="19"/>
  <c r="O98" i="19"/>
  <c r="O99" i="19"/>
  <c r="O100" i="19"/>
  <c r="O101" i="19"/>
  <c r="O102" i="19"/>
  <c r="O103" i="19"/>
  <c r="O104" i="19"/>
  <c r="O105" i="19"/>
  <c r="O106" i="19"/>
  <c r="O107" i="19"/>
  <c r="O108" i="19"/>
  <c r="O109" i="19"/>
  <c r="O110" i="19"/>
  <c r="O111" i="19"/>
  <c r="O112" i="19"/>
  <c r="O113" i="19"/>
  <c r="O114" i="19"/>
  <c r="O115" i="19"/>
  <c r="O116" i="19"/>
  <c r="O117" i="19"/>
  <c r="O118" i="19"/>
  <c r="O119" i="19"/>
  <c r="O120" i="19"/>
  <c r="O121" i="19"/>
  <c r="O122" i="19"/>
  <c r="O123" i="19"/>
  <c r="O124" i="19"/>
  <c r="O125" i="19"/>
  <c r="O126" i="19"/>
  <c r="O127" i="19"/>
  <c r="O128" i="19"/>
  <c r="O129" i="19"/>
  <c r="O130" i="19"/>
  <c r="O131" i="19"/>
  <c r="O132" i="19"/>
  <c r="O133" i="19"/>
  <c r="O134" i="19"/>
  <c r="O135" i="19"/>
  <c r="O136" i="19"/>
  <c r="E43" i="4"/>
  <c r="J2" i="19"/>
  <c r="J3" i="19"/>
  <c r="J4" i="19"/>
  <c r="J5" i="19"/>
  <c r="J6" i="19"/>
  <c r="J7" i="19"/>
  <c r="J8" i="19"/>
  <c r="J9" i="19"/>
  <c r="J10" i="19"/>
  <c r="J11" i="19"/>
  <c r="J12" i="19"/>
  <c r="J13" i="19"/>
  <c r="J14" i="19"/>
  <c r="J15" i="19"/>
  <c r="J16" i="19"/>
  <c r="J17" i="19"/>
  <c r="J18" i="19"/>
  <c r="J19" i="19"/>
  <c r="J20" i="19"/>
  <c r="J21" i="19"/>
  <c r="J22" i="19"/>
  <c r="J23" i="19"/>
  <c r="J24" i="19"/>
  <c r="J25" i="19"/>
  <c r="J26" i="19"/>
  <c r="J27" i="19"/>
  <c r="J28" i="19"/>
  <c r="J29" i="19"/>
  <c r="J30" i="19"/>
  <c r="J31" i="19"/>
  <c r="J32" i="19"/>
  <c r="J33" i="19"/>
  <c r="J34" i="19"/>
  <c r="J35" i="19"/>
  <c r="J36" i="19"/>
  <c r="J37" i="19"/>
  <c r="J38" i="19"/>
  <c r="J39" i="19"/>
  <c r="J40" i="19"/>
  <c r="J41" i="19"/>
  <c r="J42" i="19"/>
  <c r="J43" i="19"/>
  <c r="J44" i="19"/>
  <c r="J45" i="19"/>
  <c r="J46" i="19"/>
  <c r="J47" i="19"/>
  <c r="J48" i="19"/>
  <c r="J49" i="19"/>
  <c r="J50" i="19"/>
  <c r="J51" i="19"/>
  <c r="J52" i="19"/>
  <c r="J53" i="19"/>
  <c r="J54" i="19"/>
  <c r="J55" i="19"/>
  <c r="J56" i="19"/>
  <c r="J57" i="19"/>
  <c r="J58" i="19"/>
  <c r="J59" i="19"/>
  <c r="J60" i="19"/>
  <c r="J61" i="19"/>
  <c r="J62" i="19"/>
  <c r="J63" i="19"/>
  <c r="J64" i="19"/>
  <c r="J65" i="19"/>
  <c r="J66" i="19"/>
  <c r="J67" i="19"/>
  <c r="J68" i="19"/>
  <c r="J69" i="19"/>
  <c r="J70" i="19"/>
  <c r="J71" i="19"/>
  <c r="J72" i="19"/>
  <c r="J73" i="19"/>
  <c r="J74" i="19"/>
  <c r="J75" i="19"/>
  <c r="J76" i="19"/>
  <c r="J77" i="19"/>
  <c r="J78" i="19"/>
  <c r="J79" i="19"/>
  <c r="J80" i="19"/>
  <c r="J81" i="19"/>
  <c r="J82" i="19"/>
  <c r="J83" i="19"/>
  <c r="J84" i="19"/>
  <c r="J85" i="19"/>
  <c r="J86" i="19"/>
  <c r="J87" i="19"/>
  <c r="J88" i="19"/>
  <c r="J89" i="19"/>
  <c r="J90" i="19"/>
  <c r="J91" i="19"/>
  <c r="J92" i="19"/>
  <c r="J93" i="19"/>
  <c r="J94" i="19"/>
  <c r="J95" i="19"/>
  <c r="J96" i="19"/>
  <c r="J97" i="19"/>
  <c r="J98" i="19"/>
  <c r="J99" i="19"/>
  <c r="J100" i="19"/>
  <c r="J101" i="19"/>
  <c r="J102" i="19"/>
  <c r="J103" i="19"/>
  <c r="J104" i="19"/>
  <c r="J105" i="19"/>
  <c r="J106" i="19"/>
  <c r="J107" i="19"/>
  <c r="J108" i="19"/>
  <c r="J109" i="19"/>
  <c r="J110" i="19"/>
  <c r="J111" i="19"/>
  <c r="J112" i="19"/>
  <c r="J113" i="19"/>
  <c r="J114" i="19"/>
  <c r="J115" i="19"/>
  <c r="J116" i="19"/>
  <c r="J117" i="19"/>
  <c r="J118" i="19"/>
  <c r="J119" i="19"/>
  <c r="J120" i="19"/>
  <c r="J121" i="19"/>
  <c r="J122" i="19"/>
  <c r="J123" i="19"/>
  <c r="J124" i="19"/>
  <c r="J125" i="19"/>
  <c r="J126" i="19"/>
  <c r="J127" i="19"/>
  <c r="J128" i="19"/>
  <c r="J129" i="19"/>
  <c r="J130" i="19"/>
  <c r="J131" i="19"/>
  <c r="J132" i="19"/>
  <c r="J133" i="19"/>
  <c r="J134" i="19"/>
  <c r="J135" i="19"/>
  <c r="J136" i="19"/>
  <c r="I2" i="19"/>
  <c r="I3" i="19"/>
  <c r="I4" i="19"/>
  <c r="I5" i="19"/>
  <c r="I6" i="19"/>
  <c r="I7" i="19"/>
  <c r="I8" i="19"/>
  <c r="I9" i="19"/>
  <c r="I10" i="19"/>
  <c r="I11" i="19"/>
  <c r="I12" i="19"/>
  <c r="I13" i="19"/>
  <c r="I14" i="19"/>
  <c r="I15" i="19"/>
  <c r="I16" i="19"/>
  <c r="I17" i="19"/>
  <c r="I18" i="19"/>
  <c r="I19" i="19"/>
  <c r="I20" i="19"/>
  <c r="I21" i="19"/>
  <c r="I22" i="19"/>
  <c r="I23" i="19"/>
  <c r="I24" i="19"/>
  <c r="I25" i="19"/>
  <c r="I26" i="19"/>
  <c r="I27" i="19"/>
  <c r="I28" i="19"/>
  <c r="I29" i="19"/>
  <c r="I30" i="19"/>
  <c r="I31" i="19"/>
  <c r="I32" i="19"/>
  <c r="I33" i="19"/>
  <c r="I34" i="19"/>
  <c r="I35" i="19"/>
  <c r="I36" i="19"/>
  <c r="I37" i="19"/>
  <c r="I38" i="19"/>
  <c r="I39" i="19"/>
  <c r="I40" i="19"/>
  <c r="I41" i="19"/>
  <c r="I42" i="19"/>
  <c r="I43" i="19"/>
  <c r="I44" i="19"/>
  <c r="I45" i="19"/>
  <c r="I46" i="19"/>
  <c r="I47" i="19"/>
  <c r="I48" i="19"/>
  <c r="I49" i="19"/>
  <c r="I50" i="19"/>
  <c r="I51" i="19"/>
  <c r="I52" i="19"/>
  <c r="I53" i="19"/>
  <c r="I54" i="19"/>
  <c r="I55" i="19"/>
  <c r="I56" i="19"/>
  <c r="I57" i="19"/>
  <c r="I58" i="19"/>
  <c r="I59" i="19"/>
  <c r="I60" i="19"/>
  <c r="I61" i="19"/>
  <c r="I62" i="19"/>
  <c r="I63" i="19"/>
  <c r="I64" i="19"/>
  <c r="I65" i="19"/>
  <c r="I66" i="19"/>
  <c r="I67" i="19"/>
  <c r="I68" i="19"/>
  <c r="I69" i="19"/>
  <c r="I70" i="19"/>
  <c r="I71" i="19"/>
  <c r="I72" i="19"/>
  <c r="I73" i="19"/>
  <c r="I74" i="19"/>
  <c r="I75" i="19"/>
  <c r="I76" i="19"/>
  <c r="I77" i="19"/>
  <c r="I78" i="19"/>
  <c r="I79" i="19"/>
  <c r="I80" i="19"/>
  <c r="I81" i="19"/>
  <c r="I82" i="19"/>
  <c r="I83" i="19"/>
  <c r="I84" i="19"/>
  <c r="I85" i="19"/>
  <c r="I86" i="19"/>
  <c r="I87" i="19"/>
  <c r="I88" i="19"/>
  <c r="I89" i="19"/>
  <c r="I90" i="19"/>
  <c r="I91" i="19"/>
  <c r="I92" i="19"/>
  <c r="I93" i="19"/>
  <c r="I94" i="19"/>
  <c r="I95" i="19"/>
  <c r="I96" i="19"/>
  <c r="I97" i="19"/>
  <c r="I98" i="19"/>
  <c r="I99" i="19"/>
  <c r="I100" i="19"/>
  <c r="I101" i="19"/>
  <c r="I102" i="19"/>
  <c r="I103" i="19"/>
  <c r="I104" i="19"/>
  <c r="I105" i="19"/>
  <c r="I106" i="19"/>
  <c r="I107" i="19"/>
  <c r="I108" i="19"/>
  <c r="I109" i="19"/>
  <c r="I110" i="19"/>
  <c r="I111" i="19"/>
  <c r="I112" i="19"/>
  <c r="I113" i="19"/>
  <c r="I114" i="19"/>
  <c r="I115" i="19"/>
  <c r="I116" i="19"/>
  <c r="I117" i="19"/>
  <c r="I118" i="19"/>
  <c r="I119" i="19"/>
  <c r="I120" i="19"/>
  <c r="I121" i="19"/>
  <c r="I122" i="19"/>
  <c r="I123" i="19"/>
  <c r="I124" i="19"/>
  <c r="I125" i="19"/>
  <c r="I126" i="19"/>
  <c r="I127" i="19"/>
  <c r="I128" i="19"/>
  <c r="I129" i="19"/>
  <c r="I130" i="19"/>
  <c r="I131" i="19"/>
  <c r="I132" i="19"/>
  <c r="I133" i="19"/>
  <c r="I134" i="19"/>
  <c r="I135" i="19"/>
  <c r="I136" i="19"/>
  <c r="H2" i="19"/>
  <c r="H3" i="19"/>
  <c r="H4" i="19"/>
  <c r="H5" i="19"/>
  <c r="H6" i="19"/>
  <c r="H7" i="19"/>
  <c r="H8" i="19"/>
  <c r="H9" i="19"/>
  <c r="H10" i="19"/>
  <c r="H11" i="19"/>
  <c r="H12" i="19"/>
  <c r="H13" i="19"/>
  <c r="H14" i="19"/>
  <c r="H15" i="19"/>
  <c r="H16" i="19"/>
  <c r="H17" i="19"/>
  <c r="H18" i="19"/>
  <c r="H19" i="19"/>
  <c r="H20" i="19"/>
  <c r="H21" i="19"/>
  <c r="H22" i="19"/>
  <c r="H23" i="19"/>
  <c r="H24" i="19"/>
  <c r="H25" i="19"/>
  <c r="H26" i="19"/>
  <c r="H27" i="19"/>
  <c r="H28" i="19"/>
  <c r="H29" i="19"/>
  <c r="H30" i="19"/>
  <c r="H31" i="19"/>
  <c r="H32" i="19"/>
  <c r="H33" i="19"/>
  <c r="H34" i="19"/>
  <c r="H35" i="19"/>
  <c r="H36" i="19"/>
  <c r="H37" i="19"/>
  <c r="H38" i="19"/>
  <c r="H39" i="19"/>
  <c r="H40" i="19"/>
  <c r="H41" i="19"/>
  <c r="H42" i="19"/>
  <c r="H43" i="19"/>
  <c r="H44" i="19"/>
  <c r="H45" i="19"/>
  <c r="H46" i="19"/>
  <c r="H47" i="19"/>
  <c r="H48" i="19"/>
  <c r="H49" i="19"/>
  <c r="H50" i="19"/>
  <c r="H51" i="19"/>
  <c r="H52" i="19"/>
  <c r="H53" i="19"/>
  <c r="H54" i="19"/>
  <c r="H55" i="19"/>
  <c r="H56" i="19"/>
  <c r="H57" i="19"/>
  <c r="H58" i="19"/>
  <c r="H59" i="19"/>
  <c r="H60" i="19"/>
  <c r="H61" i="19"/>
  <c r="H62" i="19"/>
  <c r="H63" i="19"/>
  <c r="H64" i="19"/>
  <c r="H65" i="19"/>
  <c r="H66" i="19"/>
  <c r="H67" i="19"/>
  <c r="H68" i="19"/>
  <c r="H69" i="19"/>
  <c r="H70" i="19"/>
  <c r="H71" i="19"/>
  <c r="H72" i="19"/>
  <c r="H73" i="19"/>
  <c r="H74" i="19"/>
  <c r="H75" i="19"/>
  <c r="H76" i="19"/>
  <c r="H77" i="19"/>
  <c r="H78" i="19"/>
  <c r="H79" i="19"/>
  <c r="H80" i="19"/>
  <c r="H81" i="19"/>
  <c r="H82" i="19"/>
  <c r="H83" i="19"/>
  <c r="H84" i="19"/>
  <c r="H85" i="19"/>
  <c r="H86" i="19"/>
  <c r="H87" i="19"/>
  <c r="H88" i="19"/>
  <c r="H89" i="19"/>
  <c r="H90" i="19"/>
  <c r="H91" i="19"/>
  <c r="H92" i="19"/>
  <c r="H93" i="19"/>
  <c r="H94" i="19"/>
  <c r="H95" i="19"/>
  <c r="H96" i="19"/>
  <c r="H97" i="19"/>
  <c r="H98" i="19"/>
  <c r="H99" i="19"/>
  <c r="H100" i="19"/>
  <c r="H101" i="19"/>
  <c r="H102" i="19"/>
  <c r="H103" i="19"/>
  <c r="H104" i="19"/>
  <c r="H105" i="19"/>
  <c r="H106" i="19"/>
  <c r="H107" i="19"/>
  <c r="H108" i="19"/>
  <c r="H109" i="19"/>
  <c r="H110" i="19"/>
  <c r="H111" i="19"/>
  <c r="H112" i="19"/>
  <c r="H113" i="19"/>
  <c r="H114" i="19"/>
  <c r="H115" i="19"/>
  <c r="H116" i="19"/>
  <c r="H117" i="19"/>
  <c r="H118" i="19"/>
  <c r="H119" i="19"/>
  <c r="H120" i="19"/>
  <c r="H121" i="19"/>
  <c r="H122" i="19"/>
  <c r="H123" i="19"/>
  <c r="H124" i="19"/>
  <c r="H125" i="19"/>
  <c r="H126" i="19"/>
  <c r="H127" i="19"/>
  <c r="H128" i="19"/>
  <c r="H129" i="19"/>
  <c r="H130" i="19"/>
  <c r="H131" i="19"/>
  <c r="H132" i="19"/>
  <c r="H133" i="19"/>
  <c r="H134" i="19"/>
  <c r="H135" i="19"/>
  <c r="H136" i="19"/>
  <c r="A3" i="19"/>
  <c r="A4" i="19" s="1"/>
  <c r="A5" i="19" s="1"/>
  <c r="A6" i="19" s="1"/>
  <c r="A7" i="19" s="1"/>
  <c r="A8" i="19" s="1"/>
  <c r="A9" i="19" s="1"/>
  <c r="A10" i="19" s="1"/>
  <c r="A11" i="19" s="1"/>
  <c r="A12" i="19" s="1"/>
  <c r="A13" i="19" s="1"/>
  <c r="A14" i="19" s="1"/>
  <c r="A15" i="19" s="1"/>
  <c r="A16" i="19" s="1"/>
  <c r="A17" i="19" s="1"/>
  <c r="A18" i="19" s="1"/>
  <c r="A19" i="19" s="1"/>
  <c r="A20" i="19" s="1"/>
  <c r="A21" i="19" s="1"/>
  <c r="A22" i="19" s="1"/>
  <c r="A23" i="19" s="1"/>
  <c r="A24" i="19" s="1"/>
  <c r="A25" i="19" s="1"/>
  <c r="A26" i="19" s="1"/>
  <c r="A27" i="19" s="1"/>
  <c r="A28" i="19" s="1"/>
  <c r="A29" i="19" s="1"/>
  <c r="A30" i="19" s="1"/>
  <c r="A31" i="19" s="1"/>
  <c r="A32" i="19" s="1"/>
  <c r="A33" i="19" s="1"/>
  <c r="A34" i="19" s="1"/>
  <c r="A35" i="19" s="1"/>
  <c r="A36" i="19" s="1"/>
  <c r="A37" i="19" s="1"/>
  <c r="A38" i="19" s="1"/>
  <c r="A39" i="19" s="1"/>
  <c r="A40" i="19" s="1"/>
  <c r="A41" i="19" s="1"/>
  <c r="A42" i="19" s="1"/>
  <c r="A43" i="19" s="1"/>
  <c r="A44" i="19" s="1"/>
  <c r="A45" i="19" s="1"/>
  <c r="A46" i="19" s="1"/>
  <c r="A47" i="19" s="1"/>
  <c r="A48" i="19" s="1"/>
  <c r="A49" i="19" s="1"/>
  <c r="A50" i="19" s="1"/>
  <c r="A51" i="19" s="1"/>
  <c r="A52" i="19" s="1"/>
  <c r="A53" i="19" s="1"/>
  <c r="A54" i="19" s="1"/>
  <c r="A55" i="19" s="1"/>
  <c r="A56" i="19" s="1"/>
  <c r="A57" i="19" s="1"/>
  <c r="A58" i="19" s="1"/>
  <c r="A59" i="19" s="1"/>
  <c r="A60" i="19" s="1"/>
  <c r="A61" i="19" s="1"/>
  <c r="A62" i="19" s="1"/>
  <c r="A63" i="19" s="1"/>
  <c r="A64" i="19" s="1"/>
  <c r="A65" i="19" s="1"/>
  <c r="A66" i="19" s="1"/>
  <c r="A67" i="19" s="1"/>
  <c r="A68" i="19" s="1"/>
  <c r="A69" i="19" s="1"/>
  <c r="A70" i="19" s="1"/>
  <c r="A71" i="19" s="1"/>
  <c r="A72" i="19" s="1"/>
  <c r="A73" i="19" s="1"/>
  <c r="A74" i="19" s="1"/>
  <c r="A75" i="19" s="1"/>
  <c r="A76" i="19" s="1"/>
  <c r="A77" i="19" s="1"/>
  <c r="A78" i="19" s="1"/>
  <c r="A79" i="19" s="1"/>
  <c r="A80" i="19" s="1"/>
  <c r="A81" i="19" s="1"/>
  <c r="A82" i="19" s="1"/>
  <c r="A83" i="19" s="1"/>
  <c r="A84" i="19" s="1"/>
  <c r="A85" i="19" s="1"/>
  <c r="A86" i="19" s="1"/>
  <c r="A87" i="19" s="1"/>
  <c r="A88" i="19" s="1"/>
  <c r="A89" i="19" s="1"/>
  <c r="A90" i="19" s="1"/>
  <c r="A91" i="19" s="1"/>
  <c r="A92" i="19" s="1"/>
  <c r="A93" i="19" s="1"/>
  <c r="A94" i="19" s="1"/>
  <c r="A95" i="19" s="1"/>
  <c r="A96" i="19" s="1"/>
  <c r="A97" i="19" s="1"/>
  <c r="A98" i="19" s="1"/>
  <c r="A99" i="19" s="1"/>
  <c r="A100" i="19" s="1"/>
  <c r="A101" i="19" s="1"/>
  <c r="A102" i="19" s="1"/>
  <c r="A103" i="19" s="1"/>
  <c r="A104" i="19" s="1"/>
  <c r="A105" i="19" s="1"/>
  <c r="A106" i="19" s="1"/>
  <c r="A107" i="19" s="1"/>
  <c r="A108" i="19" s="1"/>
  <c r="A109" i="19" s="1"/>
  <c r="A110" i="19" s="1"/>
  <c r="A111" i="19" s="1"/>
  <c r="A112" i="19" s="1"/>
  <c r="A113" i="19" s="1"/>
  <c r="A114" i="19" s="1"/>
  <c r="A115" i="19" s="1"/>
  <c r="A116" i="19" s="1"/>
  <c r="A117" i="19" s="1"/>
  <c r="A118" i="19" s="1"/>
  <c r="A119" i="19" s="1"/>
  <c r="A120" i="19" s="1"/>
  <c r="A121" i="19" s="1"/>
  <c r="A122" i="19" s="1"/>
  <c r="A123" i="19" s="1"/>
  <c r="A124" i="19" s="1"/>
  <c r="A125" i="19" s="1"/>
  <c r="A126" i="19" s="1"/>
  <c r="A127" i="19" s="1"/>
  <c r="A128" i="19" s="1"/>
  <c r="A129" i="19" s="1"/>
  <c r="A130" i="19" s="1"/>
  <c r="A131" i="19" s="1"/>
  <c r="A132" i="19" s="1"/>
  <c r="A133" i="19" s="1"/>
  <c r="A134" i="19" s="1"/>
  <c r="A135" i="19" s="1"/>
  <c r="A136" i="19" s="1"/>
  <c r="A137" i="19" s="1"/>
  <c r="A138" i="19" s="1"/>
  <c r="A139" i="19" s="1"/>
  <c r="A140" i="19" s="1"/>
  <c r="C2" i="19"/>
  <c r="C3" i="19"/>
  <c r="C4" i="19"/>
  <c r="C5" i="19"/>
  <c r="C6" i="19"/>
  <c r="C7" i="19"/>
  <c r="C8" i="19"/>
  <c r="C9" i="19"/>
  <c r="C10" i="19"/>
  <c r="C11" i="19"/>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C69" i="19"/>
  <c r="C70" i="19"/>
  <c r="C71" i="19"/>
  <c r="C72" i="19"/>
  <c r="C73" i="19"/>
  <c r="C74" i="19"/>
  <c r="C75" i="19"/>
  <c r="C76" i="19"/>
  <c r="C77" i="19"/>
  <c r="C78" i="19"/>
  <c r="C79" i="19"/>
  <c r="C80" i="19"/>
  <c r="C81" i="19"/>
  <c r="C82" i="19"/>
  <c r="C83" i="19"/>
  <c r="C84" i="19"/>
  <c r="C85" i="19"/>
  <c r="C86" i="19"/>
  <c r="C87" i="19"/>
  <c r="C88" i="19"/>
  <c r="C89" i="19"/>
  <c r="C90" i="19"/>
  <c r="C91" i="19"/>
  <c r="C92" i="19"/>
  <c r="C93" i="19"/>
  <c r="C94" i="19"/>
  <c r="C95" i="19"/>
  <c r="C96" i="19"/>
  <c r="C97" i="19"/>
  <c r="C98" i="19"/>
  <c r="C99" i="19"/>
  <c r="C100" i="19"/>
  <c r="C101" i="19"/>
  <c r="C102" i="19"/>
  <c r="C103" i="19"/>
  <c r="C104" i="19"/>
  <c r="C105" i="19"/>
  <c r="C106" i="19"/>
  <c r="C107" i="19"/>
  <c r="C108" i="19"/>
  <c r="C109" i="19"/>
  <c r="C110" i="19"/>
  <c r="C111" i="19"/>
  <c r="C112" i="19"/>
  <c r="C113" i="19"/>
  <c r="C114" i="19"/>
  <c r="C115" i="19"/>
  <c r="C116" i="19"/>
  <c r="C117" i="19"/>
  <c r="C118" i="19"/>
  <c r="C119" i="19"/>
  <c r="C120" i="19"/>
  <c r="C121" i="19"/>
  <c r="C122" i="19"/>
  <c r="C123" i="19"/>
  <c r="C124" i="19"/>
  <c r="C125" i="19"/>
  <c r="C126" i="19"/>
  <c r="C127" i="19"/>
  <c r="C128" i="19"/>
  <c r="C129" i="19"/>
  <c r="C130" i="19"/>
  <c r="C131" i="19"/>
  <c r="C132" i="19"/>
  <c r="C133" i="19"/>
  <c r="C134" i="19"/>
  <c r="C135" i="19"/>
  <c r="C136" i="19"/>
  <c r="B2" i="19"/>
  <c r="B3" i="19"/>
  <c r="B4" i="19"/>
  <c r="B5" i="19"/>
  <c r="B6" i="19"/>
  <c r="B7" i="19"/>
  <c r="B8" i="19"/>
  <c r="B9" i="19"/>
  <c r="B10" i="19"/>
  <c r="B11" i="19"/>
  <c r="B12" i="19"/>
  <c r="B13" i="19"/>
  <c r="B14" i="19"/>
  <c r="B15" i="19"/>
  <c r="B16" i="19"/>
  <c r="B17" i="19"/>
  <c r="B18" i="19"/>
  <c r="B19" i="19"/>
  <c r="B20" i="19"/>
  <c r="B21" i="19"/>
  <c r="B22" i="19"/>
  <c r="B23" i="19"/>
  <c r="B24" i="19"/>
  <c r="B25" i="19"/>
  <c r="B26" i="19"/>
  <c r="B27" i="19"/>
  <c r="B28" i="19"/>
  <c r="B29" i="19"/>
  <c r="B30" i="19"/>
  <c r="B31" i="19"/>
  <c r="B32" i="19"/>
  <c r="B33" i="19"/>
  <c r="B34" i="19"/>
  <c r="B35" i="19"/>
  <c r="B36" i="19"/>
  <c r="B37" i="19"/>
  <c r="B38" i="19"/>
  <c r="B39" i="19"/>
  <c r="B40" i="19"/>
  <c r="B41" i="19"/>
  <c r="B42" i="19"/>
  <c r="B43" i="19"/>
  <c r="B44" i="19"/>
  <c r="B45" i="19"/>
  <c r="B46" i="19"/>
  <c r="B47" i="19"/>
  <c r="B48" i="19"/>
  <c r="B49" i="19"/>
  <c r="B50" i="19"/>
  <c r="B51" i="19"/>
  <c r="B52" i="19"/>
  <c r="B53" i="19"/>
  <c r="B54" i="19"/>
  <c r="B55" i="19"/>
  <c r="B56" i="19"/>
  <c r="B57" i="19"/>
  <c r="B58" i="19"/>
  <c r="B59" i="19"/>
  <c r="B60" i="19"/>
  <c r="B61" i="19"/>
  <c r="B62" i="19"/>
  <c r="B63" i="19"/>
  <c r="B64" i="19"/>
  <c r="B65" i="19"/>
  <c r="B66" i="19"/>
  <c r="B67" i="19"/>
  <c r="B68" i="19"/>
  <c r="B69" i="19"/>
  <c r="B70" i="19"/>
  <c r="B71" i="19"/>
  <c r="B72" i="19"/>
  <c r="B73" i="19"/>
  <c r="B74" i="19"/>
  <c r="B75" i="19"/>
  <c r="B76" i="19"/>
  <c r="B77" i="19"/>
  <c r="B78" i="19"/>
  <c r="B79" i="19"/>
  <c r="B80" i="19"/>
  <c r="B81" i="19"/>
  <c r="B82" i="19"/>
  <c r="B83" i="19"/>
  <c r="B84" i="19"/>
  <c r="B85" i="19"/>
  <c r="B86" i="19"/>
  <c r="B87" i="19"/>
  <c r="B88" i="19"/>
  <c r="B89" i="19"/>
  <c r="B90" i="19"/>
  <c r="B91" i="19"/>
  <c r="B92" i="19"/>
  <c r="B93" i="19"/>
  <c r="B94" i="19"/>
  <c r="B95" i="19"/>
  <c r="B96" i="19"/>
  <c r="B97" i="19"/>
  <c r="B98" i="19"/>
  <c r="B99" i="19"/>
  <c r="B100" i="19"/>
  <c r="B101" i="19"/>
  <c r="B102" i="19"/>
  <c r="B103" i="19"/>
  <c r="B104" i="19"/>
  <c r="B105" i="19"/>
  <c r="B106" i="19"/>
  <c r="B107" i="19"/>
  <c r="B108" i="19"/>
  <c r="B109" i="19"/>
  <c r="B110" i="19"/>
  <c r="B111" i="19"/>
  <c r="B112" i="19"/>
  <c r="B113" i="19"/>
  <c r="B114" i="19"/>
  <c r="B115" i="19"/>
  <c r="B116" i="19"/>
  <c r="B117" i="19"/>
  <c r="B118" i="19"/>
  <c r="B119" i="19"/>
  <c r="B120" i="19"/>
  <c r="B121" i="19"/>
  <c r="B122" i="19"/>
  <c r="B123" i="19"/>
  <c r="B124" i="19"/>
  <c r="B125" i="19"/>
  <c r="B126" i="19"/>
  <c r="B127" i="19"/>
  <c r="B128" i="19"/>
  <c r="B129" i="19"/>
  <c r="B130" i="19"/>
  <c r="B131" i="19"/>
  <c r="B132" i="19"/>
  <c r="B133" i="19"/>
  <c r="B134" i="19"/>
  <c r="B135" i="19"/>
  <c r="T2" i="18"/>
  <c r="T3" i="18"/>
  <c r="T4" i="18"/>
  <c r="T5" i="18"/>
  <c r="T6" i="18"/>
  <c r="T7" i="18"/>
  <c r="T8" i="18"/>
  <c r="T9" i="18"/>
  <c r="T10" i="18"/>
  <c r="T11" i="18"/>
  <c r="T12" i="18"/>
  <c r="T13" i="18"/>
  <c r="T14" i="18"/>
  <c r="T15" i="18"/>
  <c r="T16" i="18"/>
  <c r="AA16" i="18" s="1"/>
  <c r="T17" i="18"/>
  <c r="T18" i="18"/>
  <c r="T19" i="18"/>
  <c r="T20" i="18"/>
  <c r="T21" i="18"/>
  <c r="T22" i="18"/>
  <c r="T23" i="18"/>
  <c r="T24" i="18"/>
  <c r="T25" i="18"/>
  <c r="T26" i="18"/>
  <c r="T27" i="18"/>
  <c r="T28" i="18"/>
  <c r="T29" i="18"/>
  <c r="T30" i="18"/>
  <c r="T31" i="18"/>
  <c r="T32" i="18"/>
  <c r="T33" i="18"/>
  <c r="T34" i="18"/>
  <c r="T35" i="18"/>
  <c r="T36" i="18"/>
  <c r="T37" i="18"/>
  <c r="T38" i="18"/>
  <c r="AA38" i="18" s="1"/>
  <c r="T39" i="18"/>
  <c r="T40" i="18"/>
  <c r="T42" i="18"/>
  <c r="T43" i="18"/>
  <c r="T44" i="18"/>
  <c r="T45" i="18"/>
  <c r="T46" i="18"/>
  <c r="T47" i="18"/>
  <c r="T48" i="18"/>
  <c r="T49" i="18"/>
  <c r="T50" i="18"/>
  <c r="T51" i="18"/>
  <c r="T52" i="18"/>
  <c r="T53" i="18"/>
  <c r="T54" i="18"/>
  <c r="T55" i="18"/>
  <c r="T56" i="18"/>
  <c r="T57" i="18"/>
  <c r="T58" i="18"/>
  <c r="T59" i="18"/>
  <c r="AA59" i="18" s="1"/>
  <c r="T60" i="18"/>
  <c r="T61" i="18"/>
  <c r="T62" i="18"/>
  <c r="T63" i="18"/>
  <c r="T64" i="18"/>
  <c r="T65" i="18"/>
  <c r="T66" i="18"/>
  <c r="T67" i="18"/>
  <c r="T68" i="18"/>
  <c r="T69" i="18"/>
  <c r="T70" i="18"/>
  <c r="T71" i="18"/>
  <c r="T72" i="18"/>
  <c r="T73" i="18"/>
  <c r="T74" i="18"/>
  <c r="T75" i="18"/>
  <c r="T76" i="18"/>
  <c r="T77" i="18"/>
  <c r="T78" i="18"/>
  <c r="T79" i="18"/>
  <c r="T80" i="18"/>
  <c r="AA80" i="18" s="1"/>
  <c r="T81" i="18"/>
  <c r="T82" i="18"/>
  <c r="T83" i="18"/>
  <c r="T84" i="18"/>
  <c r="T85" i="18"/>
  <c r="T86" i="18"/>
  <c r="T87" i="18"/>
  <c r="T88" i="18"/>
  <c r="T89" i="18"/>
  <c r="T90" i="18"/>
  <c r="T91" i="18"/>
  <c r="T92" i="18"/>
  <c r="T93" i="18"/>
  <c r="T94" i="18"/>
  <c r="T95" i="18"/>
  <c r="T96" i="18"/>
  <c r="T97" i="18"/>
  <c r="T98" i="18"/>
  <c r="T99" i="18"/>
  <c r="T100" i="18"/>
  <c r="T101" i="18"/>
  <c r="AA101" i="18" s="1"/>
  <c r="T102" i="18"/>
  <c r="T103" i="18"/>
  <c r="T104" i="18"/>
  <c r="T105" i="18"/>
  <c r="T106" i="18"/>
  <c r="T107" i="18"/>
  <c r="T108" i="18"/>
  <c r="T109" i="18"/>
  <c r="T110" i="18"/>
  <c r="T111" i="18"/>
  <c r="T112" i="18"/>
  <c r="T113" i="18"/>
  <c r="T114" i="18"/>
  <c r="T115" i="18"/>
  <c r="T116" i="18"/>
  <c r="T117" i="18"/>
  <c r="T118" i="18"/>
  <c r="T119" i="18"/>
  <c r="T120" i="18"/>
  <c r="T121" i="18"/>
  <c r="T122" i="18"/>
  <c r="T123" i="18"/>
  <c r="T124" i="18"/>
  <c r="AA124" i="18" s="1"/>
  <c r="T125" i="18"/>
  <c r="T126" i="18"/>
  <c r="T127" i="18"/>
  <c r="T128" i="18"/>
  <c r="T129" i="18"/>
  <c r="T130" i="18"/>
  <c r="T131" i="18"/>
  <c r="T132" i="18"/>
  <c r="T133" i="18"/>
  <c r="T134" i="18"/>
  <c r="T135" i="18"/>
  <c r="T136" i="18"/>
  <c r="T137" i="18"/>
  <c r="T138" i="18"/>
  <c r="T139" i="18"/>
  <c r="T140" i="18"/>
  <c r="T141" i="18"/>
  <c r="T142" i="18"/>
  <c r="T143" i="18"/>
  <c r="T144" i="18"/>
  <c r="T145" i="18"/>
  <c r="T146" i="18"/>
  <c r="AA146" i="18" s="1"/>
  <c r="T147" i="18"/>
  <c r="T148" i="18"/>
  <c r="T149" i="18"/>
  <c r="T150" i="18"/>
  <c r="T151" i="18"/>
  <c r="T152" i="18"/>
  <c r="T153" i="18"/>
  <c r="T154" i="18"/>
  <c r="T155" i="18"/>
  <c r="T156" i="18"/>
  <c r="T157" i="18"/>
  <c r="T158" i="18"/>
  <c r="T159" i="18"/>
  <c r="T160" i="18"/>
  <c r="T161" i="18"/>
  <c r="T162" i="18"/>
  <c r="T163" i="18"/>
  <c r="T164" i="18"/>
  <c r="T165" i="18"/>
  <c r="T166" i="18"/>
  <c r="AA166" i="18" s="1"/>
  <c r="T167" i="18"/>
  <c r="T168" i="18"/>
  <c r="T169" i="18"/>
  <c r="T170" i="18"/>
  <c r="T171" i="18"/>
  <c r="T172" i="18"/>
  <c r="T173" i="18"/>
  <c r="T174" i="18"/>
  <c r="T175" i="18"/>
  <c r="T176" i="18"/>
  <c r="T177" i="18"/>
  <c r="T178" i="18"/>
  <c r="T179" i="18"/>
  <c r="T180" i="18"/>
  <c r="T181" i="18"/>
  <c r="T182" i="18"/>
  <c r="T183" i="18"/>
  <c r="T184" i="18"/>
  <c r="T185" i="18"/>
  <c r="T186" i="18"/>
  <c r="T187" i="18"/>
  <c r="AA187" i="18" s="1"/>
  <c r="T188" i="18"/>
  <c r="T189" i="18"/>
  <c r="T190" i="18"/>
  <c r="T191" i="18"/>
  <c r="T192" i="18"/>
  <c r="T193" i="18"/>
  <c r="T194" i="18"/>
  <c r="T195" i="18"/>
  <c r="T196" i="18"/>
  <c r="T197" i="18"/>
  <c r="T198" i="18"/>
  <c r="T199" i="18"/>
  <c r="T200" i="18"/>
  <c r="T201" i="18"/>
  <c r="T202" i="18"/>
  <c r="T203" i="18"/>
  <c r="T204" i="18"/>
  <c r="T205" i="18"/>
  <c r="T206" i="18"/>
  <c r="T207" i="18"/>
  <c r="T208" i="18"/>
  <c r="T209" i="18"/>
  <c r="AA209" i="18" s="1"/>
  <c r="T210" i="18"/>
  <c r="T211" i="18"/>
  <c r="T212" i="18"/>
  <c r="T213" i="18"/>
  <c r="T214" i="18"/>
  <c r="T215" i="18"/>
  <c r="T216" i="18"/>
  <c r="T217" i="18"/>
  <c r="T218" i="18"/>
  <c r="T219" i="18"/>
  <c r="T220" i="18"/>
  <c r="T221" i="18"/>
  <c r="T222" i="18"/>
  <c r="T223" i="18"/>
  <c r="T224" i="18"/>
  <c r="T225" i="18"/>
  <c r="T226" i="18"/>
  <c r="T227" i="18"/>
  <c r="T228" i="18"/>
  <c r="T229" i="18"/>
  <c r="T230" i="18"/>
  <c r="T231" i="18"/>
  <c r="T232" i="18"/>
  <c r="AA232" i="18" s="1"/>
  <c r="T233" i="18"/>
  <c r="T234" i="18"/>
  <c r="T235" i="18"/>
  <c r="T236" i="18"/>
  <c r="T237" i="18"/>
  <c r="T238" i="18"/>
  <c r="T239" i="18"/>
  <c r="T240" i="18"/>
  <c r="T241" i="18"/>
  <c r="T242" i="18"/>
  <c r="T243" i="18"/>
  <c r="T244" i="18"/>
  <c r="T245" i="18"/>
  <c r="T246" i="18"/>
  <c r="T247" i="18"/>
  <c r="T248" i="18"/>
  <c r="T249" i="18"/>
  <c r="T250" i="18"/>
  <c r="T251" i="18"/>
  <c r="T252" i="18"/>
  <c r="T253" i="18"/>
  <c r="T254" i="18"/>
  <c r="AA254" i="18" s="1"/>
  <c r="T255" i="18"/>
  <c r="T256" i="18"/>
  <c r="T257" i="18"/>
  <c r="T258" i="18"/>
  <c r="T259" i="18"/>
  <c r="T260" i="18"/>
  <c r="T261" i="18"/>
  <c r="T262" i="18"/>
  <c r="T263" i="18"/>
  <c r="T264" i="18"/>
  <c r="T265" i="18"/>
  <c r="T266" i="18"/>
  <c r="T267" i="18"/>
  <c r="T268" i="18"/>
  <c r="T269" i="18"/>
  <c r="T270" i="18"/>
  <c r="T271" i="18"/>
  <c r="T272" i="18"/>
  <c r="T273" i="18"/>
  <c r="T274" i="18"/>
  <c r="AA274" i="18" s="1"/>
  <c r="T275" i="18"/>
  <c r="T276" i="18"/>
  <c r="T277" i="18"/>
  <c r="T278" i="18"/>
  <c r="T279" i="18"/>
  <c r="T280" i="18"/>
  <c r="T281" i="18"/>
  <c r="T282" i="18"/>
  <c r="T283" i="18"/>
  <c r="T284" i="18"/>
  <c r="T285" i="18"/>
  <c r="T286" i="18"/>
  <c r="T287" i="18"/>
  <c r="T288" i="18"/>
  <c r="T289" i="18"/>
  <c r="T290" i="18"/>
  <c r="T291" i="18"/>
  <c r="T292" i="18"/>
  <c r="T293" i="18"/>
  <c r="T294" i="18"/>
  <c r="T295" i="18"/>
  <c r="AA295" i="18" s="1"/>
  <c r="T296" i="18"/>
  <c r="T297" i="18"/>
  <c r="T298" i="18"/>
  <c r="T299" i="18"/>
  <c r="T300" i="18"/>
  <c r="T301" i="18"/>
  <c r="T302" i="18"/>
  <c r="T303" i="18"/>
  <c r="T304" i="18"/>
  <c r="T305" i="18"/>
  <c r="T306" i="18"/>
  <c r="T307" i="18"/>
  <c r="T308" i="18"/>
  <c r="T309" i="18"/>
  <c r="AA309" i="18" s="1"/>
  <c r="T310" i="18"/>
  <c r="T311" i="18"/>
  <c r="T312" i="18"/>
  <c r="T313" i="18"/>
  <c r="T314" i="18"/>
  <c r="T315" i="18"/>
  <c r="T316" i="18"/>
  <c r="T317" i="18"/>
  <c r="T318" i="18"/>
  <c r="T319" i="18"/>
  <c r="T320" i="18"/>
  <c r="T321" i="18"/>
  <c r="T322" i="18"/>
  <c r="T323" i="18"/>
  <c r="T324" i="18"/>
  <c r="AA324" i="18" s="1"/>
  <c r="T325" i="18"/>
  <c r="T326" i="18"/>
  <c r="T327" i="18"/>
  <c r="T328" i="18"/>
  <c r="T329" i="18"/>
  <c r="T330" i="18"/>
  <c r="T331" i="18"/>
  <c r="T332" i="18"/>
  <c r="T333" i="18"/>
  <c r="T334" i="18"/>
  <c r="T335" i="18"/>
  <c r="T336" i="18"/>
  <c r="AA336" i="18" s="1"/>
  <c r="T337" i="18"/>
  <c r="T338" i="18"/>
  <c r="AA338" i="18" s="1"/>
  <c r="T339" i="18"/>
  <c r="T340" i="18"/>
  <c r="T341" i="18"/>
  <c r="T342" i="18"/>
  <c r="T343" i="18"/>
  <c r="T344" i="18"/>
  <c r="T345" i="18"/>
  <c r="T346" i="18"/>
  <c r="T347" i="18"/>
  <c r="T348" i="18"/>
  <c r="T349" i="18"/>
  <c r="T350" i="18"/>
  <c r="AA350" i="18" s="1"/>
  <c r="T351" i="18"/>
  <c r="T352" i="18"/>
  <c r="AA352" i="18" s="1"/>
  <c r="T353" i="18"/>
  <c r="T354" i="18"/>
  <c r="T355" i="18"/>
  <c r="T356" i="18"/>
  <c r="T357" i="18"/>
  <c r="T358" i="18"/>
  <c r="T359" i="18"/>
  <c r="T360" i="18"/>
  <c r="T361" i="18"/>
  <c r="T362" i="18"/>
  <c r="T363" i="18"/>
  <c r="T364" i="18"/>
  <c r="AA364" i="18" s="1"/>
  <c r="T365" i="18"/>
  <c r="T366" i="18"/>
  <c r="T367" i="18"/>
  <c r="AA367" i="18" s="1"/>
  <c r="T368" i="18"/>
  <c r="T369" i="18"/>
  <c r="T370" i="18"/>
  <c r="T371" i="18"/>
  <c r="T372" i="18"/>
  <c r="T373" i="18"/>
  <c r="T374" i="18"/>
  <c r="T375" i="18"/>
  <c r="T376" i="18"/>
  <c r="T377" i="18"/>
  <c r="T378" i="18"/>
  <c r="T379" i="18"/>
  <c r="AA379" i="18" s="1"/>
  <c r="T380" i="18"/>
  <c r="T381" i="18"/>
  <c r="AA381" i="18" s="1"/>
  <c r="T382" i="18"/>
  <c r="T383" i="18"/>
  <c r="T384" i="18"/>
  <c r="T385" i="18"/>
  <c r="T386" i="18"/>
  <c r="T387" i="18"/>
  <c r="T388" i="18"/>
  <c r="T389" i="18"/>
  <c r="T390" i="18"/>
  <c r="T391" i="18"/>
  <c r="T392" i="18"/>
  <c r="AA392" i="18" s="1"/>
  <c r="T393" i="18"/>
  <c r="T394" i="18"/>
  <c r="AA394" i="18" s="1"/>
  <c r="T395" i="18"/>
  <c r="T396" i="18"/>
  <c r="T397" i="18"/>
  <c r="T398" i="18"/>
  <c r="T399" i="18"/>
  <c r="T400" i="18"/>
  <c r="T401" i="18"/>
  <c r="T402" i="18"/>
  <c r="T403" i="18"/>
  <c r="T404" i="18"/>
  <c r="T405" i="18"/>
  <c r="AA405" i="18" s="1"/>
  <c r="T406" i="18"/>
  <c r="T407" i="18"/>
  <c r="T408" i="18"/>
  <c r="AA408" i="18" s="1"/>
  <c r="T409" i="18"/>
  <c r="T410" i="18"/>
  <c r="T411" i="18"/>
  <c r="T412" i="18"/>
  <c r="T413" i="18"/>
  <c r="T414" i="18"/>
  <c r="T415" i="18"/>
  <c r="T416" i="18"/>
  <c r="T417" i="18"/>
  <c r="T418" i="18"/>
  <c r="AA418" i="18" s="1"/>
  <c r="T419" i="18"/>
  <c r="T420" i="18"/>
  <c r="T421" i="18"/>
  <c r="AA421" i="18" s="1"/>
  <c r="T422" i="18"/>
  <c r="T423" i="18"/>
  <c r="T424" i="18"/>
  <c r="T425" i="18"/>
  <c r="T426" i="18"/>
  <c r="T427" i="18"/>
  <c r="T428" i="18"/>
  <c r="T429" i="18"/>
  <c r="T430" i="18"/>
  <c r="T431" i="18"/>
  <c r="T432" i="18"/>
  <c r="AA432" i="18" s="1"/>
  <c r="T433" i="18"/>
  <c r="T434" i="18"/>
  <c r="AA434" i="18" s="1"/>
  <c r="T435" i="18"/>
  <c r="T436" i="18"/>
  <c r="T437" i="18"/>
  <c r="T438" i="18"/>
  <c r="T439" i="18"/>
  <c r="T440" i="18"/>
  <c r="T441" i="18"/>
  <c r="T442" i="18"/>
  <c r="T443" i="18"/>
  <c r="T444" i="18"/>
  <c r="T445" i="18"/>
  <c r="AA445" i="18" s="1"/>
  <c r="T446" i="18"/>
  <c r="T447" i="18"/>
  <c r="AA447" i="18" s="1"/>
  <c r="T448" i="18"/>
  <c r="T449" i="18"/>
  <c r="T450" i="18"/>
  <c r="T451" i="18"/>
  <c r="T452" i="18"/>
  <c r="T453" i="18"/>
  <c r="T454" i="18"/>
  <c r="T455" i="18"/>
  <c r="T456" i="18"/>
  <c r="T457" i="18"/>
  <c r="T458" i="18"/>
  <c r="AA458" i="18" s="1"/>
  <c r="T459" i="18"/>
  <c r="T460" i="18"/>
  <c r="AA460" i="18" s="1"/>
  <c r="T461" i="18"/>
  <c r="T462" i="18"/>
  <c r="T463" i="18"/>
  <c r="T464" i="18"/>
  <c r="T465" i="18"/>
  <c r="T466" i="18"/>
  <c r="T467" i="18"/>
  <c r="T468" i="18"/>
  <c r="T469" i="18"/>
  <c r="T470" i="18"/>
  <c r="T471" i="18"/>
  <c r="AA471" i="18" s="1"/>
  <c r="T472" i="18"/>
  <c r="T473" i="18"/>
  <c r="AA473" i="18" s="1"/>
  <c r="T474" i="18"/>
  <c r="T475" i="18"/>
  <c r="T476" i="18"/>
  <c r="T477" i="18"/>
  <c r="T478" i="18"/>
  <c r="T479" i="18"/>
  <c r="T480" i="18"/>
  <c r="T481" i="18"/>
  <c r="T482" i="18"/>
  <c r="T483" i="18"/>
  <c r="T484" i="18"/>
  <c r="AA484" i="18" s="1"/>
  <c r="T485" i="18"/>
  <c r="T486" i="18"/>
  <c r="AA486" i="18" s="1"/>
  <c r="T487" i="18"/>
  <c r="T488" i="18"/>
  <c r="T489" i="18"/>
  <c r="T490" i="18"/>
  <c r="T491" i="18"/>
  <c r="T492" i="18"/>
  <c r="T493" i="18"/>
  <c r="T494" i="18"/>
  <c r="T495" i="18"/>
  <c r="T496" i="18"/>
  <c r="T497" i="18"/>
  <c r="AA497" i="18" s="1"/>
  <c r="T498" i="18"/>
  <c r="T499" i="18"/>
  <c r="AA499" i="18" s="1"/>
  <c r="T500" i="18"/>
  <c r="T501" i="18"/>
  <c r="T502" i="18"/>
  <c r="T503" i="18"/>
  <c r="T504" i="18"/>
  <c r="T505" i="18"/>
  <c r="T506" i="18"/>
  <c r="T507" i="18"/>
  <c r="T508" i="18"/>
  <c r="T509" i="18"/>
  <c r="T510" i="18"/>
  <c r="AA510" i="18" s="1"/>
  <c r="T511" i="18"/>
  <c r="T512" i="18"/>
  <c r="AA512" i="18" s="1"/>
  <c r="T513" i="18"/>
  <c r="T514" i="18"/>
  <c r="T515" i="18"/>
  <c r="T516" i="18"/>
  <c r="T517" i="18"/>
  <c r="T518" i="18"/>
  <c r="T519" i="18"/>
  <c r="T520" i="18"/>
  <c r="T521" i="18"/>
  <c r="T522" i="18"/>
  <c r="T523" i="18"/>
  <c r="AA523" i="18" s="1"/>
  <c r="T524" i="18"/>
  <c r="T525" i="18"/>
  <c r="AA525" i="18" s="1"/>
  <c r="T526" i="18"/>
  <c r="T527" i="18"/>
  <c r="T528" i="18"/>
  <c r="T529" i="18"/>
  <c r="T530" i="18"/>
  <c r="T531" i="18"/>
  <c r="T532" i="18"/>
  <c r="T533" i="18"/>
  <c r="T534" i="18"/>
  <c r="T535" i="18"/>
  <c r="T536" i="18"/>
  <c r="AA536" i="18" s="1"/>
  <c r="T537" i="18"/>
  <c r="T538" i="18"/>
  <c r="AA538" i="18" s="1"/>
  <c r="T539" i="18"/>
  <c r="T540" i="18"/>
  <c r="T541" i="18"/>
  <c r="T542" i="18"/>
  <c r="T543" i="18"/>
  <c r="T544" i="18"/>
  <c r="T545" i="18"/>
  <c r="T546" i="18"/>
  <c r="T547" i="18"/>
  <c r="T548" i="18"/>
  <c r="T549" i="18"/>
  <c r="AA549" i="18" s="1"/>
  <c r="T550" i="18"/>
  <c r="T551" i="18"/>
  <c r="T552" i="18"/>
  <c r="AA552" i="18" s="1"/>
  <c r="T553" i="18"/>
  <c r="T554" i="18"/>
  <c r="T555" i="18"/>
  <c r="T556" i="18"/>
  <c r="T557" i="18"/>
  <c r="T558" i="18"/>
  <c r="T559" i="18"/>
  <c r="T560" i="18"/>
  <c r="T561" i="18"/>
  <c r="T562" i="18"/>
  <c r="AA562" i="18" s="1"/>
  <c r="T563" i="18"/>
  <c r="T564" i="18"/>
  <c r="T565" i="18"/>
  <c r="AA565" i="18" s="1"/>
  <c r="T566" i="18"/>
  <c r="T567" i="18"/>
  <c r="T568" i="18"/>
  <c r="T569" i="18"/>
  <c r="T570" i="18"/>
  <c r="T571" i="18"/>
  <c r="T572" i="18"/>
  <c r="T573" i="18"/>
  <c r="T574" i="18"/>
  <c r="T575" i="18"/>
  <c r="T576" i="18"/>
  <c r="AA576" i="18" s="1"/>
  <c r="T577" i="18"/>
  <c r="T578" i="18"/>
  <c r="AA578" i="18" s="1"/>
  <c r="T579" i="18"/>
  <c r="T580" i="18"/>
  <c r="T581" i="18"/>
  <c r="T582" i="18"/>
  <c r="T583" i="18"/>
  <c r="T584" i="18"/>
  <c r="T585" i="18"/>
  <c r="T586" i="18"/>
  <c r="T587" i="18"/>
  <c r="T588" i="18"/>
  <c r="T589" i="18"/>
  <c r="AA589" i="18" s="1"/>
  <c r="T590" i="18"/>
  <c r="T591" i="18"/>
  <c r="AA591" i="18" s="1"/>
  <c r="T592" i="18"/>
  <c r="T593" i="18"/>
  <c r="T594" i="18"/>
  <c r="T595" i="18"/>
  <c r="T596" i="18"/>
  <c r="T597" i="18"/>
  <c r="T598" i="18"/>
  <c r="T599" i="18"/>
  <c r="T600" i="18"/>
  <c r="T601" i="18"/>
  <c r="T602" i="18"/>
  <c r="AA602" i="18" s="1"/>
  <c r="T603" i="18"/>
  <c r="T604" i="18"/>
  <c r="AA604" i="18" s="1"/>
  <c r="T605" i="18"/>
  <c r="T606" i="18"/>
  <c r="T607" i="18"/>
  <c r="T608" i="18"/>
  <c r="T609" i="18"/>
  <c r="T610" i="18"/>
  <c r="T611" i="18"/>
  <c r="T612" i="18"/>
  <c r="T613" i="18"/>
  <c r="T614" i="18"/>
  <c r="T615" i="18"/>
  <c r="AA615" i="18" s="1"/>
  <c r="T616" i="18"/>
  <c r="T617" i="18"/>
  <c r="AA617" i="18" s="1"/>
  <c r="T618" i="18"/>
  <c r="T619" i="18"/>
  <c r="T620" i="18"/>
  <c r="T621" i="18"/>
  <c r="T622" i="18"/>
  <c r="T623" i="18"/>
  <c r="T624" i="18"/>
  <c r="T625" i="18"/>
  <c r="T626" i="18"/>
  <c r="T627" i="18"/>
  <c r="T628" i="18"/>
  <c r="AA628" i="18" s="1"/>
  <c r="T629" i="18"/>
  <c r="T630" i="18"/>
  <c r="AA630" i="18" s="1"/>
  <c r="T631" i="18"/>
  <c r="T632" i="18"/>
  <c r="T633" i="18"/>
  <c r="T634" i="18"/>
  <c r="T635" i="18"/>
  <c r="T636" i="18"/>
  <c r="T637" i="18"/>
  <c r="T638" i="18"/>
  <c r="T639" i="18"/>
  <c r="T640" i="18"/>
  <c r="T641" i="18"/>
  <c r="AA641" i="18" s="1"/>
  <c r="T642" i="18"/>
  <c r="T643" i="18"/>
  <c r="AA643" i="18" s="1"/>
  <c r="T644" i="18"/>
  <c r="T645" i="18"/>
  <c r="T646" i="18"/>
  <c r="T647" i="18"/>
  <c r="T648" i="18"/>
  <c r="T649" i="18"/>
  <c r="T650" i="18"/>
  <c r="T651" i="18"/>
  <c r="T652" i="18"/>
  <c r="T653" i="18"/>
  <c r="T654" i="18"/>
  <c r="AA654" i="18" s="1"/>
  <c r="T655" i="18"/>
  <c r="T656" i="18"/>
  <c r="AA656" i="18" s="1"/>
  <c r="T657" i="18"/>
  <c r="T658" i="18"/>
  <c r="T659" i="18"/>
  <c r="T660" i="18"/>
  <c r="T661" i="18"/>
  <c r="T662" i="18"/>
  <c r="T663" i="18"/>
  <c r="T664" i="18"/>
  <c r="T665" i="18"/>
  <c r="T666" i="18"/>
  <c r="T667" i="18"/>
  <c r="AA667" i="18" s="1"/>
  <c r="T668" i="18"/>
  <c r="T669" i="18"/>
  <c r="AA669" i="18" s="1"/>
  <c r="T670" i="18"/>
  <c r="T671" i="18"/>
  <c r="T672" i="18"/>
  <c r="T673" i="18"/>
  <c r="T674" i="18"/>
  <c r="T675" i="18"/>
  <c r="T676" i="18"/>
  <c r="T677" i="18"/>
  <c r="T678" i="18"/>
  <c r="T679" i="18"/>
  <c r="T680" i="18"/>
  <c r="AA680" i="18" s="1"/>
  <c r="T681" i="18"/>
  <c r="T682" i="18"/>
  <c r="AA682" i="18" s="1"/>
  <c r="T683" i="18"/>
  <c r="T684" i="18"/>
  <c r="T685" i="18"/>
  <c r="T686" i="18"/>
  <c r="T687" i="18"/>
  <c r="T688" i="18"/>
  <c r="T689" i="18"/>
  <c r="T690" i="18"/>
  <c r="T691" i="18"/>
  <c r="T692" i="18"/>
  <c r="T693" i="18"/>
  <c r="AA693" i="18" s="1"/>
  <c r="T694" i="18"/>
  <c r="T695" i="18"/>
  <c r="T696" i="18"/>
  <c r="AA696" i="18" s="1"/>
  <c r="T697" i="18"/>
  <c r="T698" i="18"/>
  <c r="T699" i="18"/>
  <c r="T700" i="18"/>
  <c r="T701" i="18"/>
  <c r="T702" i="18"/>
  <c r="T703" i="18"/>
  <c r="T704" i="18"/>
  <c r="T705" i="18"/>
  <c r="T706" i="18"/>
  <c r="AA706" i="18" s="1"/>
  <c r="T707" i="18"/>
  <c r="T708" i="18"/>
  <c r="T709" i="18"/>
  <c r="AA709" i="18" s="1"/>
  <c r="T710" i="18"/>
  <c r="T711" i="18"/>
  <c r="T712" i="18"/>
  <c r="T713" i="18"/>
  <c r="T714" i="18"/>
  <c r="T715" i="18"/>
  <c r="T716" i="18"/>
  <c r="T717" i="18"/>
  <c r="T718" i="18"/>
  <c r="T719" i="18"/>
  <c r="T720" i="18"/>
  <c r="AA720" i="18" s="1"/>
  <c r="T721" i="18"/>
  <c r="T722" i="18"/>
  <c r="AA722" i="18" s="1"/>
  <c r="T723" i="18"/>
  <c r="T724" i="18"/>
  <c r="T725" i="18"/>
  <c r="T726" i="18"/>
  <c r="T727" i="18"/>
  <c r="T728" i="18"/>
  <c r="T729" i="18"/>
  <c r="AA729" i="18" s="1"/>
  <c r="T730" i="18"/>
  <c r="T731" i="18"/>
  <c r="T732" i="18"/>
  <c r="T733" i="18"/>
  <c r="AA733" i="18" s="1"/>
  <c r="T734" i="18"/>
  <c r="T735" i="18"/>
  <c r="AA735" i="18" s="1"/>
  <c r="T736" i="18"/>
  <c r="T737" i="18"/>
  <c r="T738" i="18"/>
  <c r="T739" i="18"/>
  <c r="T740" i="18"/>
  <c r="T741" i="18"/>
  <c r="T742" i="18"/>
  <c r="AA742" i="18" s="1"/>
  <c r="T743" i="18"/>
  <c r="T744" i="18"/>
  <c r="T745" i="18"/>
  <c r="T746" i="18"/>
  <c r="AA746" i="18" s="1"/>
  <c r="T747" i="18"/>
  <c r="T748" i="18"/>
  <c r="AA748" i="18" s="1"/>
  <c r="T749" i="18"/>
  <c r="T750" i="18"/>
  <c r="T751" i="18"/>
  <c r="T752" i="18"/>
  <c r="T753" i="18"/>
  <c r="T754" i="18"/>
  <c r="T755" i="18"/>
  <c r="T756" i="18"/>
  <c r="AA756" i="18" s="1"/>
  <c r="T757" i="18"/>
  <c r="T758" i="18"/>
  <c r="T759" i="18"/>
  <c r="AA759" i="18" s="1"/>
  <c r="T760" i="18"/>
  <c r="T761" i="18"/>
  <c r="AA761" i="18" s="1"/>
  <c r="T762" i="18"/>
  <c r="T763" i="18"/>
  <c r="T764" i="18"/>
  <c r="T765" i="18"/>
  <c r="T766" i="18"/>
  <c r="T767" i="18"/>
  <c r="T768" i="18"/>
  <c r="T769" i="18"/>
  <c r="AA769" i="18" s="1"/>
  <c r="T770" i="18"/>
  <c r="T771" i="18"/>
  <c r="T772" i="18"/>
  <c r="AA772" i="18" s="1"/>
  <c r="T773" i="18"/>
  <c r="T774" i="18"/>
  <c r="AA774" i="18" s="1"/>
  <c r="T775" i="18"/>
  <c r="T776" i="18"/>
  <c r="T777" i="18"/>
  <c r="T778" i="18"/>
  <c r="T779" i="18"/>
  <c r="T780" i="18"/>
  <c r="T781" i="18"/>
  <c r="T782" i="18"/>
  <c r="AA782" i="18" s="1"/>
  <c r="T783" i="18"/>
  <c r="T784" i="18"/>
  <c r="T785" i="18"/>
  <c r="AA785" i="18" s="1"/>
  <c r="T786" i="18"/>
  <c r="T787" i="18"/>
  <c r="AA787" i="18" s="1"/>
  <c r="T788" i="18"/>
  <c r="T789" i="18"/>
  <c r="T790" i="18"/>
  <c r="T791" i="18"/>
  <c r="T792" i="18"/>
  <c r="T793" i="18"/>
  <c r="T794" i="18"/>
  <c r="T795" i="18"/>
  <c r="AA795" i="18" s="1"/>
  <c r="T796" i="18"/>
  <c r="T797" i="18"/>
  <c r="T798" i="18"/>
  <c r="AA798" i="18" s="1"/>
  <c r="T799" i="18"/>
  <c r="T800" i="18"/>
  <c r="AA800" i="18" s="1"/>
  <c r="T801" i="18"/>
  <c r="T802" i="18"/>
  <c r="T803" i="18"/>
  <c r="T804" i="18"/>
  <c r="T805" i="18"/>
  <c r="T806" i="18"/>
  <c r="T807" i="18"/>
  <c r="AA807" i="18" s="1"/>
  <c r="T808" i="18"/>
  <c r="T809" i="18"/>
  <c r="T810" i="18"/>
  <c r="AA810" i="18" s="1"/>
  <c r="T811" i="18"/>
  <c r="T812" i="18"/>
  <c r="AA812" i="18" s="1"/>
  <c r="T813" i="18"/>
  <c r="T814" i="18"/>
  <c r="T815" i="18"/>
  <c r="T816" i="18"/>
  <c r="T817" i="18"/>
  <c r="T818" i="18"/>
  <c r="T819" i="18"/>
  <c r="AA819" i="18" s="1"/>
  <c r="T820" i="18"/>
  <c r="T821" i="18"/>
  <c r="T822" i="18"/>
  <c r="AA822" i="18" s="1"/>
  <c r="T823" i="18"/>
  <c r="T824" i="18"/>
  <c r="AA824" i="18" s="1"/>
  <c r="T825" i="18"/>
  <c r="T826" i="18"/>
  <c r="T827" i="18"/>
  <c r="T828" i="18"/>
  <c r="T829" i="18"/>
  <c r="T830" i="18"/>
  <c r="T831" i="18"/>
  <c r="AA831" i="18" s="1"/>
  <c r="T832" i="18"/>
  <c r="T833" i="18"/>
  <c r="AA833" i="18" s="1"/>
  <c r="T834" i="18"/>
  <c r="AA834" i="18" s="1"/>
  <c r="T835" i="18"/>
  <c r="T836" i="18"/>
  <c r="AA836" i="18" s="1"/>
  <c r="T837" i="18"/>
  <c r="T838" i="18"/>
  <c r="T839" i="18"/>
  <c r="T840" i="18"/>
  <c r="T841" i="18"/>
  <c r="T842" i="18"/>
  <c r="T843" i="18"/>
  <c r="AA843" i="18" s="1"/>
  <c r="T844" i="18"/>
  <c r="T845" i="18"/>
  <c r="AA845" i="18" s="1"/>
  <c r="T846" i="18"/>
  <c r="AA846" i="18" s="1"/>
  <c r="T847" i="18"/>
  <c r="T848" i="18"/>
  <c r="AA848" i="18" s="1"/>
  <c r="T849" i="18"/>
  <c r="T850" i="18"/>
  <c r="T851" i="18"/>
  <c r="T852" i="18"/>
  <c r="T853" i="18"/>
  <c r="T854" i="18"/>
  <c r="T855" i="18"/>
  <c r="AA855" i="18" s="1"/>
  <c r="T856" i="18"/>
  <c r="T857" i="18"/>
  <c r="AA857" i="18" s="1"/>
  <c r="T858" i="18"/>
  <c r="AA858" i="18" s="1"/>
  <c r="T859" i="18"/>
  <c r="T860" i="18"/>
  <c r="AA860" i="18" s="1"/>
  <c r="T861" i="18"/>
  <c r="T862" i="18"/>
  <c r="T863" i="18"/>
  <c r="T864" i="18"/>
  <c r="T865" i="18"/>
  <c r="T866" i="18"/>
  <c r="T867" i="18"/>
  <c r="AA867" i="18" s="1"/>
  <c r="T868" i="18"/>
  <c r="T869" i="18"/>
  <c r="AA869" i="18" s="1"/>
  <c r="T870" i="18"/>
  <c r="AA870" i="18" s="1"/>
  <c r="T871" i="18"/>
  <c r="T872" i="18"/>
  <c r="AA872" i="18" s="1"/>
  <c r="T873" i="18"/>
  <c r="T874" i="18"/>
  <c r="T875" i="18"/>
  <c r="T876" i="18"/>
  <c r="T877" i="18"/>
  <c r="T878" i="18"/>
  <c r="T879" i="18"/>
  <c r="AA879" i="18" s="1"/>
  <c r="T880" i="18"/>
  <c r="T881" i="18"/>
  <c r="AA881" i="18" s="1"/>
  <c r="T882" i="18"/>
  <c r="AA882" i="18" s="1"/>
  <c r="T883" i="18"/>
  <c r="T884" i="18"/>
  <c r="AA884" i="18" s="1"/>
  <c r="T885" i="18"/>
  <c r="T886" i="18"/>
  <c r="T887" i="18"/>
  <c r="T888" i="18"/>
  <c r="T889" i="18"/>
  <c r="T890" i="18"/>
  <c r="T891" i="18"/>
  <c r="AA891" i="18" s="1"/>
  <c r="T892" i="18"/>
  <c r="T893" i="18"/>
  <c r="AA893" i="18" s="1"/>
  <c r="T894" i="18"/>
  <c r="AA894" i="18" s="1"/>
  <c r="T895" i="18"/>
  <c r="T896" i="18"/>
  <c r="AA896" i="18" s="1"/>
  <c r="T897" i="18"/>
  <c r="T898" i="18"/>
  <c r="T899" i="18"/>
  <c r="T900" i="18"/>
  <c r="T901" i="18"/>
  <c r="T902" i="18"/>
  <c r="T903" i="18"/>
  <c r="AA903" i="18" s="1"/>
  <c r="T904" i="18"/>
  <c r="T905" i="18"/>
  <c r="AA905" i="18" s="1"/>
  <c r="T906" i="18"/>
  <c r="AA906" i="18" s="1"/>
  <c r="T907" i="18"/>
  <c r="T908" i="18"/>
  <c r="AA908" i="18" s="1"/>
  <c r="T909" i="18"/>
  <c r="T910" i="18"/>
  <c r="T911" i="18"/>
  <c r="T912" i="18"/>
  <c r="T913" i="18"/>
  <c r="T914" i="18"/>
  <c r="T915" i="18"/>
  <c r="AA915" i="18" s="1"/>
  <c r="T916" i="18"/>
  <c r="T917" i="18"/>
  <c r="AA917" i="18" s="1"/>
  <c r="T918" i="18"/>
  <c r="AA918" i="18" s="1"/>
  <c r="T919" i="18"/>
  <c r="T920" i="18"/>
  <c r="AA920" i="18" s="1"/>
  <c r="T921" i="18"/>
  <c r="T922" i="18"/>
  <c r="T923" i="18"/>
  <c r="T924" i="18"/>
  <c r="T925" i="18"/>
  <c r="T926" i="18"/>
  <c r="T927" i="18"/>
  <c r="AA927" i="18" s="1"/>
  <c r="T928" i="18"/>
  <c r="T929" i="18"/>
  <c r="AA929" i="18" s="1"/>
  <c r="T930" i="18"/>
  <c r="AA930" i="18" s="1"/>
  <c r="T931" i="18"/>
  <c r="T932" i="18"/>
  <c r="AA932" i="18" s="1"/>
  <c r="T933" i="18"/>
  <c r="T934" i="18"/>
  <c r="T935" i="18"/>
  <c r="T936" i="18"/>
  <c r="T937" i="18"/>
  <c r="T938" i="18"/>
  <c r="T939" i="18"/>
  <c r="AA939" i="18" s="1"/>
  <c r="T940" i="18"/>
  <c r="T941" i="18"/>
  <c r="AA941" i="18" s="1"/>
  <c r="T942" i="18"/>
  <c r="AA942" i="18" s="1"/>
  <c r="T943" i="18"/>
  <c r="T944" i="18"/>
  <c r="AA944" i="18" s="1"/>
  <c r="T945" i="18"/>
  <c r="T946" i="18"/>
  <c r="T947" i="18"/>
  <c r="T948" i="18"/>
  <c r="T949" i="18"/>
  <c r="T950" i="18"/>
  <c r="T951" i="18"/>
  <c r="AA951" i="18" s="1"/>
  <c r="T952" i="18"/>
  <c r="T953" i="18"/>
  <c r="AA953" i="18" s="1"/>
  <c r="T954" i="18"/>
  <c r="AA954" i="18" s="1"/>
  <c r="T955" i="18"/>
  <c r="T956" i="18"/>
  <c r="AA956" i="18" s="1"/>
  <c r="T957" i="18"/>
  <c r="T958" i="18"/>
  <c r="T959" i="18"/>
  <c r="T960" i="18"/>
  <c r="T961" i="18"/>
  <c r="T962" i="18"/>
  <c r="T963" i="18"/>
  <c r="AA963" i="18" s="1"/>
  <c r="T964" i="18"/>
  <c r="T965" i="18"/>
  <c r="AA965" i="18" s="1"/>
  <c r="T966" i="18"/>
  <c r="AA966" i="18" s="1"/>
  <c r="T967" i="18"/>
  <c r="T968" i="18"/>
  <c r="AA968" i="18" s="1"/>
  <c r="T969" i="18"/>
  <c r="T970" i="18"/>
  <c r="T971" i="18"/>
  <c r="T972" i="18"/>
  <c r="T973" i="18"/>
  <c r="T974" i="18"/>
  <c r="T975" i="18"/>
  <c r="AA975" i="18" s="1"/>
  <c r="T976" i="18"/>
  <c r="T977" i="18"/>
  <c r="AA977" i="18" s="1"/>
  <c r="T978" i="18"/>
  <c r="AA978" i="18" s="1"/>
  <c r="T979" i="18"/>
  <c r="T980" i="18"/>
  <c r="AA980" i="18" s="1"/>
  <c r="T981" i="18"/>
  <c r="T982" i="18"/>
  <c r="T983" i="18"/>
  <c r="T984" i="18"/>
  <c r="T985" i="18"/>
  <c r="T986" i="18"/>
  <c r="T987" i="18"/>
  <c r="T988" i="18"/>
  <c r="T989" i="18"/>
  <c r="AA989" i="18" s="1"/>
  <c r="T990" i="18"/>
  <c r="T991" i="18"/>
  <c r="T992" i="18"/>
  <c r="T993" i="18"/>
  <c r="T994" i="18"/>
  <c r="T995" i="18"/>
  <c r="T996" i="18"/>
  <c r="T997" i="18"/>
  <c r="T998" i="18"/>
  <c r="T999" i="18"/>
  <c r="T1000" i="18"/>
  <c r="T1001" i="18"/>
  <c r="T1002" i="18"/>
  <c r="T1003" i="18"/>
  <c r="T1004" i="18"/>
  <c r="T1005" i="18"/>
  <c r="T1006" i="18"/>
  <c r="T1007" i="18"/>
  <c r="T1008" i="18"/>
  <c r="T1009" i="18"/>
  <c r="T1010" i="18"/>
  <c r="T1011" i="18"/>
  <c r="T1012" i="18"/>
  <c r="T1013" i="18"/>
  <c r="AA1013" i="18" s="1"/>
  <c r="T1014" i="18"/>
  <c r="AA1014" i="18" s="1"/>
  <c r="T1015" i="18"/>
  <c r="T1016" i="18"/>
  <c r="AA1016" i="18" s="1"/>
  <c r="T1017" i="18"/>
  <c r="T1018" i="18"/>
  <c r="T1019" i="18"/>
  <c r="T1020" i="18"/>
  <c r="T1021" i="18"/>
  <c r="T1022" i="18"/>
  <c r="T1023" i="18"/>
  <c r="AA1023" i="18" s="1"/>
  <c r="T1024" i="18"/>
  <c r="T1025" i="18"/>
  <c r="AA1025" i="18" s="1"/>
  <c r="T1026" i="18"/>
  <c r="AA1026" i="18" s="1"/>
  <c r="T1027" i="18"/>
  <c r="T1028" i="18"/>
  <c r="AA1028" i="18" s="1"/>
  <c r="T1029" i="18"/>
  <c r="T1030" i="18"/>
  <c r="T1031" i="18"/>
  <c r="T1032" i="18"/>
  <c r="T1033" i="18"/>
  <c r="T1034" i="18"/>
  <c r="T1035" i="18"/>
  <c r="AA1035" i="18" s="1"/>
  <c r="T1036" i="18"/>
  <c r="T1037" i="18"/>
  <c r="AA1037" i="18" s="1"/>
  <c r="T1038" i="18"/>
  <c r="AA1038" i="18" s="1"/>
  <c r="T1039" i="18"/>
  <c r="T1040" i="18"/>
  <c r="AA1040" i="18" s="1"/>
  <c r="T1041" i="18"/>
  <c r="T1042" i="18"/>
  <c r="T1043" i="18"/>
  <c r="T1044" i="18"/>
  <c r="T1045" i="18"/>
  <c r="T1046" i="18"/>
  <c r="T1047" i="18"/>
  <c r="AA1047" i="18" s="1"/>
  <c r="T1048" i="18"/>
  <c r="T1049" i="18"/>
  <c r="AA1049" i="18" s="1"/>
  <c r="T1050" i="18"/>
  <c r="AA1050" i="18" s="1"/>
  <c r="T1051" i="18"/>
  <c r="T1052" i="18"/>
  <c r="AA1052" i="18" s="1"/>
  <c r="T1053" i="18"/>
  <c r="T1054" i="18"/>
  <c r="T1055" i="18"/>
  <c r="T1056" i="18"/>
  <c r="T1057" i="18"/>
  <c r="T1058" i="18"/>
  <c r="T1059" i="18"/>
  <c r="AA1059" i="18" s="1"/>
  <c r="T1060" i="18"/>
  <c r="T1061" i="18"/>
  <c r="AA1061" i="18" s="1"/>
  <c r="T1062" i="18"/>
  <c r="AA1062" i="18" s="1"/>
  <c r="T1063" i="18"/>
  <c r="T1064" i="18"/>
  <c r="AA1064" i="18" s="1"/>
  <c r="T1065" i="18"/>
  <c r="T1066" i="18"/>
  <c r="T1067" i="18"/>
  <c r="T1068" i="18"/>
  <c r="T1069" i="18"/>
  <c r="T1070" i="18"/>
  <c r="T1071" i="18"/>
  <c r="T1072" i="18"/>
  <c r="T1073" i="18"/>
  <c r="AA1073" i="18" s="1"/>
  <c r="T1074" i="18"/>
  <c r="T1075" i="18"/>
  <c r="T1076" i="18"/>
  <c r="AA1076" i="18" s="1"/>
  <c r="T1077" i="18"/>
  <c r="T1078" i="18"/>
  <c r="T1079" i="18"/>
  <c r="T1080" i="18"/>
  <c r="T1081" i="18"/>
  <c r="T1082" i="18"/>
  <c r="T1083" i="18"/>
  <c r="AA1083" i="18" s="1"/>
  <c r="T1084" i="18"/>
  <c r="T1085" i="18"/>
  <c r="AA1085" i="18" s="1"/>
  <c r="T1086" i="18"/>
  <c r="AA1086" i="18" s="1"/>
  <c r="T1087" i="18"/>
  <c r="T1088" i="18"/>
  <c r="AA1088" i="18" s="1"/>
  <c r="T1089" i="18"/>
  <c r="T1090" i="18"/>
  <c r="T1091" i="18"/>
  <c r="T1092" i="18"/>
  <c r="T1093" i="18"/>
  <c r="T1094" i="18"/>
  <c r="T1095" i="18"/>
  <c r="AA1095" i="18" s="1"/>
  <c r="T1096" i="18"/>
  <c r="T1097" i="18"/>
  <c r="AA1097" i="18" s="1"/>
  <c r="T1098" i="18"/>
  <c r="AA1098" i="18" s="1"/>
  <c r="T1099" i="18"/>
  <c r="T1100" i="18"/>
  <c r="AA1100" i="18" s="1"/>
  <c r="T1101" i="18"/>
  <c r="T1102" i="18"/>
  <c r="T1103" i="18"/>
  <c r="T1104" i="18"/>
  <c r="T1105" i="18"/>
  <c r="T1106" i="18"/>
  <c r="T1107" i="18"/>
  <c r="AA1107" i="18" s="1"/>
  <c r="T1108" i="18"/>
  <c r="T1109" i="18"/>
  <c r="AA1109" i="18" s="1"/>
  <c r="T1110" i="18"/>
  <c r="AA1110" i="18" s="1"/>
  <c r="T1111" i="18"/>
  <c r="T1112" i="18"/>
  <c r="AA1112" i="18" s="1"/>
  <c r="T1113" i="18"/>
  <c r="T1114" i="18"/>
  <c r="T1115" i="18"/>
  <c r="T1116" i="18"/>
  <c r="T1117" i="18"/>
  <c r="T1118" i="18"/>
  <c r="T1119" i="18"/>
  <c r="AA1119" i="18" s="1"/>
  <c r="T1120" i="18"/>
  <c r="T1121" i="18"/>
  <c r="AA1121" i="18" s="1"/>
  <c r="T1122" i="18"/>
  <c r="T1123" i="18"/>
  <c r="T1124" i="18"/>
  <c r="AA1124" i="18" s="1"/>
  <c r="T1125" i="18"/>
  <c r="T1126" i="18"/>
  <c r="T1127" i="18"/>
  <c r="T1128" i="18"/>
  <c r="T1129" i="18"/>
  <c r="T1130" i="18"/>
  <c r="T1131" i="18"/>
  <c r="AA1131" i="18" s="1"/>
  <c r="T1132" i="18"/>
  <c r="T1133" i="18"/>
  <c r="AA1133" i="18" s="1"/>
  <c r="T1134" i="18"/>
  <c r="AA1134" i="18" s="1"/>
  <c r="T1135" i="18"/>
  <c r="T1136" i="18"/>
  <c r="AA1136" i="18" s="1"/>
  <c r="T1137" i="18"/>
  <c r="T1138" i="18"/>
  <c r="T1139" i="18"/>
  <c r="T1140" i="18"/>
  <c r="T1141" i="18"/>
  <c r="T1142" i="18"/>
  <c r="T1143" i="18"/>
  <c r="AA1143" i="18" s="1"/>
  <c r="T1144" i="18"/>
  <c r="T1145" i="18"/>
  <c r="AA1145" i="18" s="1"/>
  <c r="T1146" i="18"/>
  <c r="AA1146" i="18" s="1"/>
  <c r="T1147" i="18"/>
  <c r="T1148" i="18"/>
  <c r="AA1148" i="18" s="1"/>
  <c r="T1149" i="18"/>
  <c r="T1150" i="18"/>
  <c r="T1151" i="18"/>
  <c r="T1152" i="18"/>
  <c r="T1153" i="18"/>
  <c r="T1154" i="18"/>
  <c r="T1155" i="18"/>
  <c r="AA1155" i="18" s="1"/>
  <c r="T1156" i="18"/>
  <c r="T1157" i="18"/>
  <c r="AA1157" i="18" s="1"/>
  <c r="T1158" i="18"/>
  <c r="AA1158" i="18" s="1"/>
  <c r="T1159" i="18"/>
  <c r="T1160" i="18"/>
  <c r="AA1160" i="18" s="1"/>
  <c r="T1161" i="18"/>
  <c r="T1162" i="18"/>
  <c r="T1163" i="18"/>
  <c r="T1164" i="18"/>
  <c r="T1165" i="18"/>
  <c r="T1166" i="18"/>
  <c r="T1167" i="18"/>
  <c r="AA1167" i="18" s="1"/>
  <c r="T1168" i="18"/>
  <c r="T1169" i="18"/>
  <c r="AA1169" i="18" s="1"/>
  <c r="T1170" i="18"/>
  <c r="AA1170" i="18" s="1"/>
  <c r="T1171" i="18"/>
  <c r="T1172" i="18"/>
  <c r="AA1172" i="18" s="1"/>
  <c r="T1173" i="18"/>
  <c r="T1174" i="18"/>
  <c r="T1175" i="18"/>
  <c r="T1176" i="18"/>
  <c r="T1177" i="18"/>
  <c r="T1178" i="18"/>
  <c r="T1179" i="18"/>
  <c r="AA1179" i="18" s="1"/>
  <c r="T1180" i="18"/>
  <c r="T1181" i="18"/>
  <c r="AA1181" i="18" s="1"/>
  <c r="T1182" i="18"/>
  <c r="AA1182" i="18" s="1"/>
  <c r="T1183" i="18"/>
  <c r="T1184" i="18"/>
  <c r="AA1184" i="18" s="1"/>
  <c r="T1185" i="18"/>
  <c r="T1186" i="18"/>
  <c r="T1187" i="18"/>
  <c r="T1188" i="18"/>
  <c r="T1189" i="18"/>
  <c r="T1190" i="18"/>
  <c r="T1191" i="18"/>
  <c r="AA1191" i="18" s="1"/>
  <c r="T1192" i="18"/>
  <c r="T1193" i="18"/>
  <c r="AA1193" i="18" s="1"/>
  <c r="T1194" i="18"/>
  <c r="AA1194" i="18" s="1"/>
  <c r="T1195" i="18"/>
  <c r="T1196" i="18"/>
  <c r="AA1196" i="18" s="1"/>
  <c r="T1197" i="18"/>
  <c r="T1198" i="18"/>
  <c r="T1199" i="18"/>
  <c r="T1200" i="18"/>
  <c r="T1201" i="18"/>
  <c r="T1202" i="18"/>
  <c r="T1203" i="18"/>
  <c r="AA1203" i="18" s="1"/>
  <c r="T1204" i="18"/>
  <c r="T1205" i="18"/>
  <c r="AA1205" i="18" s="1"/>
  <c r="T1206" i="18"/>
  <c r="AA1206" i="18" s="1"/>
  <c r="T1207" i="18"/>
  <c r="T1208" i="18"/>
  <c r="AA1208" i="18" s="1"/>
  <c r="T1209" i="18"/>
  <c r="T1210" i="18"/>
  <c r="T1211" i="18"/>
  <c r="T1212" i="18"/>
  <c r="T1213" i="18"/>
  <c r="T1214" i="18"/>
  <c r="T1215" i="18"/>
  <c r="AA1215" i="18" s="1"/>
  <c r="T1216" i="18"/>
  <c r="T1217" i="18"/>
  <c r="AA1217" i="18" s="1"/>
  <c r="T1218" i="18"/>
  <c r="AA1218" i="18" s="1"/>
  <c r="T1220" i="18"/>
  <c r="T1221" i="18"/>
  <c r="AA1221" i="18" s="1"/>
  <c r="T1222" i="18"/>
  <c r="T1223" i="18"/>
  <c r="T1224" i="18"/>
  <c r="T1225" i="18"/>
  <c r="T1226" i="18"/>
  <c r="T1227" i="18"/>
  <c r="T1228" i="18"/>
  <c r="AA1228" i="18" s="1"/>
  <c r="T1229" i="18"/>
  <c r="T1231" i="18"/>
  <c r="AA1231" i="18" s="1"/>
  <c r="T1232" i="18"/>
  <c r="AA1232" i="18" s="1"/>
  <c r="T1233" i="18"/>
  <c r="T1234" i="18"/>
  <c r="AA1234" i="18" s="1"/>
  <c r="T1235" i="18"/>
  <c r="T1236" i="18"/>
  <c r="T1237" i="18"/>
  <c r="T1238" i="18"/>
  <c r="T1239" i="18"/>
  <c r="T1240" i="18"/>
  <c r="T1241" i="18"/>
  <c r="AA1241" i="18" s="1"/>
  <c r="S2" i="18"/>
  <c r="S3" i="18"/>
  <c r="S4" i="18"/>
  <c r="S5" i="18"/>
  <c r="S6" i="18"/>
  <c r="S7" i="18"/>
  <c r="S8" i="18"/>
  <c r="S9" i="18"/>
  <c r="S10" i="18"/>
  <c r="S11" i="18"/>
  <c r="S12" i="18"/>
  <c r="S13" i="18"/>
  <c r="S14" i="18"/>
  <c r="S15" i="18"/>
  <c r="S16" i="18"/>
  <c r="S17" i="18"/>
  <c r="S18" i="18"/>
  <c r="S19" i="18"/>
  <c r="S20" i="18"/>
  <c r="S21" i="18"/>
  <c r="S22" i="18"/>
  <c r="S23" i="18"/>
  <c r="S24" i="18"/>
  <c r="S25" i="18"/>
  <c r="S26" i="18"/>
  <c r="S27" i="18"/>
  <c r="S28" i="18"/>
  <c r="S29" i="18"/>
  <c r="S30" i="18"/>
  <c r="S31" i="18"/>
  <c r="S32" i="18"/>
  <c r="S33" i="18"/>
  <c r="S34" i="18"/>
  <c r="S35" i="18"/>
  <c r="S36" i="18"/>
  <c r="S37" i="18"/>
  <c r="S38" i="18"/>
  <c r="S39" i="18"/>
  <c r="S40" i="18"/>
  <c r="S42" i="18"/>
  <c r="S43" i="18"/>
  <c r="S44" i="18"/>
  <c r="S45" i="18"/>
  <c r="S46" i="18"/>
  <c r="S47" i="18"/>
  <c r="S48" i="18"/>
  <c r="S49" i="18"/>
  <c r="S50" i="18"/>
  <c r="S51" i="18"/>
  <c r="S52" i="18"/>
  <c r="S53" i="18"/>
  <c r="S54" i="18"/>
  <c r="S55" i="18"/>
  <c r="S56" i="18"/>
  <c r="S57" i="18"/>
  <c r="S58" i="18"/>
  <c r="S59" i="18"/>
  <c r="S60" i="18"/>
  <c r="S61" i="18"/>
  <c r="S62" i="18"/>
  <c r="S63" i="18"/>
  <c r="S64" i="18"/>
  <c r="S65" i="18"/>
  <c r="S66" i="18"/>
  <c r="S67" i="18"/>
  <c r="S68" i="18"/>
  <c r="S69" i="18"/>
  <c r="S70" i="18"/>
  <c r="S71" i="18"/>
  <c r="S72" i="18"/>
  <c r="S73" i="18"/>
  <c r="S74" i="18"/>
  <c r="S75" i="18"/>
  <c r="S76" i="18"/>
  <c r="S77" i="18"/>
  <c r="S78" i="18"/>
  <c r="S79" i="18"/>
  <c r="S80" i="18"/>
  <c r="S81" i="18"/>
  <c r="S82" i="18"/>
  <c r="S83" i="18"/>
  <c r="S84" i="18"/>
  <c r="S85" i="18"/>
  <c r="S86" i="18"/>
  <c r="S87" i="18"/>
  <c r="S88" i="18"/>
  <c r="S89" i="18"/>
  <c r="S90" i="18"/>
  <c r="S91" i="18"/>
  <c r="S92" i="18"/>
  <c r="S93" i="18"/>
  <c r="S94" i="18"/>
  <c r="S95" i="18"/>
  <c r="S96" i="18"/>
  <c r="S97" i="18"/>
  <c r="S98" i="18"/>
  <c r="S99" i="18"/>
  <c r="S100" i="18"/>
  <c r="S101" i="18"/>
  <c r="S102" i="18"/>
  <c r="S103" i="18"/>
  <c r="S104" i="18"/>
  <c r="S105" i="18"/>
  <c r="S106" i="18"/>
  <c r="S107" i="18"/>
  <c r="S108" i="18"/>
  <c r="S109" i="18"/>
  <c r="S110" i="18"/>
  <c r="S111" i="18"/>
  <c r="S112" i="18"/>
  <c r="S113" i="18"/>
  <c r="S114" i="18"/>
  <c r="S115" i="18"/>
  <c r="S116" i="18"/>
  <c r="S117" i="18"/>
  <c r="S118" i="18"/>
  <c r="S119" i="18"/>
  <c r="S120" i="18"/>
  <c r="S121" i="18"/>
  <c r="S122" i="18"/>
  <c r="S123" i="18"/>
  <c r="S124" i="18"/>
  <c r="S125" i="18"/>
  <c r="S126" i="18"/>
  <c r="S127" i="18"/>
  <c r="S128" i="18"/>
  <c r="S129" i="18"/>
  <c r="S130" i="18"/>
  <c r="S131" i="18"/>
  <c r="S132" i="18"/>
  <c r="S133" i="18"/>
  <c r="S134" i="18"/>
  <c r="S135" i="18"/>
  <c r="S136" i="18"/>
  <c r="S137" i="18"/>
  <c r="S138" i="18"/>
  <c r="S139" i="18"/>
  <c r="S140" i="18"/>
  <c r="S141" i="18"/>
  <c r="S142" i="18"/>
  <c r="S143" i="18"/>
  <c r="S144" i="18"/>
  <c r="S145" i="18"/>
  <c r="S146" i="18"/>
  <c r="S147" i="18"/>
  <c r="S148" i="18"/>
  <c r="S149" i="18"/>
  <c r="S150" i="18"/>
  <c r="S151" i="18"/>
  <c r="S152" i="18"/>
  <c r="S153" i="18"/>
  <c r="S154" i="18"/>
  <c r="S155" i="18"/>
  <c r="S156" i="18"/>
  <c r="S157" i="18"/>
  <c r="S158" i="18"/>
  <c r="S159" i="18"/>
  <c r="S160" i="18"/>
  <c r="S161" i="18"/>
  <c r="S162" i="18"/>
  <c r="S163" i="18"/>
  <c r="S164" i="18"/>
  <c r="S165" i="18"/>
  <c r="S166" i="18"/>
  <c r="S167" i="18"/>
  <c r="S168" i="18"/>
  <c r="S169" i="18"/>
  <c r="S170" i="18"/>
  <c r="S171" i="18"/>
  <c r="S172" i="18"/>
  <c r="S173" i="18"/>
  <c r="S174" i="18"/>
  <c r="S175" i="18"/>
  <c r="S176" i="18"/>
  <c r="S177" i="18"/>
  <c r="S178" i="18"/>
  <c r="S179" i="18"/>
  <c r="S180" i="18"/>
  <c r="S181" i="18"/>
  <c r="S182" i="18"/>
  <c r="S183" i="18"/>
  <c r="S184" i="18"/>
  <c r="S185" i="18"/>
  <c r="S186" i="18"/>
  <c r="S187" i="18"/>
  <c r="S188" i="18"/>
  <c r="S189" i="18"/>
  <c r="S190" i="18"/>
  <c r="S191" i="18"/>
  <c r="S192" i="18"/>
  <c r="S193" i="18"/>
  <c r="S194" i="18"/>
  <c r="S195" i="18"/>
  <c r="S196" i="18"/>
  <c r="S197" i="18"/>
  <c r="S198" i="18"/>
  <c r="S199" i="18"/>
  <c r="S200" i="18"/>
  <c r="S201" i="18"/>
  <c r="S202" i="18"/>
  <c r="S203" i="18"/>
  <c r="S204" i="18"/>
  <c r="S205" i="18"/>
  <c r="S206" i="18"/>
  <c r="S207" i="18"/>
  <c r="S208" i="18"/>
  <c r="S209" i="18"/>
  <c r="S210" i="18"/>
  <c r="S211" i="18"/>
  <c r="S212" i="18"/>
  <c r="S213" i="18"/>
  <c r="S214" i="18"/>
  <c r="S215" i="18"/>
  <c r="S216" i="18"/>
  <c r="S217" i="18"/>
  <c r="S218" i="18"/>
  <c r="S219" i="18"/>
  <c r="S220" i="18"/>
  <c r="S221" i="18"/>
  <c r="S222" i="18"/>
  <c r="S223" i="18"/>
  <c r="S224" i="18"/>
  <c r="S225" i="18"/>
  <c r="S226" i="18"/>
  <c r="S227" i="18"/>
  <c r="S228" i="18"/>
  <c r="S229" i="18"/>
  <c r="S230" i="18"/>
  <c r="S231" i="18"/>
  <c r="S232" i="18"/>
  <c r="S233" i="18"/>
  <c r="S234" i="18"/>
  <c r="S235" i="18"/>
  <c r="S236" i="18"/>
  <c r="S237" i="18"/>
  <c r="S238" i="18"/>
  <c r="S239" i="18"/>
  <c r="S240" i="18"/>
  <c r="S241" i="18"/>
  <c r="S242" i="18"/>
  <c r="S243" i="18"/>
  <c r="S244" i="18"/>
  <c r="S245" i="18"/>
  <c r="S246" i="18"/>
  <c r="S247" i="18"/>
  <c r="S248" i="18"/>
  <c r="S249" i="18"/>
  <c r="S250" i="18"/>
  <c r="S251" i="18"/>
  <c r="S252" i="18"/>
  <c r="S253" i="18"/>
  <c r="S254" i="18"/>
  <c r="S255" i="18"/>
  <c r="S256" i="18"/>
  <c r="S257" i="18"/>
  <c r="S258" i="18"/>
  <c r="S259" i="18"/>
  <c r="S260" i="18"/>
  <c r="S261" i="18"/>
  <c r="S262" i="18"/>
  <c r="S263" i="18"/>
  <c r="S264" i="18"/>
  <c r="S265" i="18"/>
  <c r="S266" i="18"/>
  <c r="S267" i="18"/>
  <c r="S268" i="18"/>
  <c r="S269" i="18"/>
  <c r="S270" i="18"/>
  <c r="S271" i="18"/>
  <c r="S272" i="18"/>
  <c r="S273" i="18"/>
  <c r="S274" i="18"/>
  <c r="S275" i="18"/>
  <c r="S276" i="18"/>
  <c r="S277" i="18"/>
  <c r="S278" i="18"/>
  <c r="S279" i="18"/>
  <c r="S280" i="18"/>
  <c r="S281" i="18"/>
  <c r="S282" i="18"/>
  <c r="S283" i="18"/>
  <c r="S284" i="18"/>
  <c r="S285" i="18"/>
  <c r="S286" i="18"/>
  <c r="S287" i="18"/>
  <c r="S288" i="18"/>
  <c r="S289" i="18"/>
  <c r="S290" i="18"/>
  <c r="S291" i="18"/>
  <c r="S292" i="18"/>
  <c r="S293" i="18"/>
  <c r="S294" i="18"/>
  <c r="S295" i="18"/>
  <c r="S296" i="18"/>
  <c r="S297" i="18"/>
  <c r="S298" i="18"/>
  <c r="S299" i="18"/>
  <c r="S300" i="18"/>
  <c r="S301" i="18"/>
  <c r="S302" i="18"/>
  <c r="S303" i="18"/>
  <c r="S304" i="18"/>
  <c r="S305" i="18"/>
  <c r="S306" i="18"/>
  <c r="S307" i="18"/>
  <c r="S308" i="18"/>
  <c r="S309" i="18"/>
  <c r="S310" i="18"/>
  <c r="S311" i="18"/>
  <c r="S312" i="18"/>
  <c r="S313" i="18"/>
  <c r="S314" i="18"/>
  <c r="S315" i="18"/>
  <c r="S316" i="18"/>
  <c r="S317" i="18"/>
  <c r="S318" i="18"/>
  <c r="S319" i="18"/>
  <c r="S320" i="18"/>
  <c r="S321" i="18"/>
  <c r="S322" i="18"/>
  <c r="S323" i="18"/>
  <c r="S324" i="18"/>
  <c r="S325" i="18"/>
  <c r="S326" i="18"/>
  <c r="S327" i="18"/>
  <c r="S328" i="18"/>
  <c r="S329" i="18"/>
  <c r="S330" i="18"/>
  <c r="S331" i="18"/>
  <c r="S332" i="18"/>
  <c r="S333" i="18"/>
  <c r="S334" i="18"/>
  <c r="S335" i="18"/>
  <c r="S336" i="18"/>
  <c r="S337" i="18"/>
  <c r="S338" i="18"/>
  <c r="S339" i="18"/>
  <c r="S340" i="18"/>
  <c r="S341" i="18"/>
  <c r="S342" i="18"/>
  <c r="S343" i="18"/>
  <c r="S344" i="18"/>
  <c r="S345" i="18"/>
  <c r="S346" i="18"/>
  <c r="S347" i="18"/>
  <c r="S348" i="18"/>
  <c r="S349" i="18"/>
  <c r="S350" i="18"/>
  <c r="S351" i="18"/>
  <c r="S352" i="18"/>
  <c r="S353" i="18"/>
  <c r="S354" i="18"/>
  <c r="S355" i="18"/>
  <c r="S356" i="18"/>
  <c r="S357" i="18"/>
  <c r="S358" i="18"/>
  <c r="S359" i="18"/>
  <c r="S360" i="18"/>
  <c r="S361" i="18"/>
  <c r="S362" i="18"/>
  <c r="S363" i="18"/>
  <c r="S364" i="18"/>
  <c r="S365" i="18"/>
  <c r="S366" i="18"/>
  <c r="S367" i="18"/>
  <c r="S368" i="18"/>
  <c r="S369" i="18"/>
  <c r="S370" i="18"/>
  <c r="S371" i="18"/>
  <c r="S372" i="18"/>
  <c r="S373" i="18"/>
  <c r="S374" i="18"/>
  <c r="S375" i="18"/>
  <c r="S376" i="18"/>
  <c r="S377" i="18"/>
  <c r="S378" i="18"/>
  <c r="S379" i="18"/>
  <c r="S380" i="18"/>
  <c r="S381" i="18"/>
  <c r="S382" i="18"/>
  <c r="S383" i="18"/>
  <c r="S384" i="18"/>
  <c r="S385" i="18"/>
  <c r="S386" i="18"/>
  <c r="S387" i="18"/>
  <c r="S388" i="18"/>
  <c r="S389" i="18"/>
  <c r="S390" i="18"/>
  <c r="S391" i="18"/>
  <c r="S392" i="18"/>
  <c r="S393" i="18"/>
  <c r="S394" i="18"/>
  <c r="S395" i="18"/>
  <c r="S396" i="18"/>
  <c r="S397" i="18"/>
  <c r="S398" i="18"/>
  <c r="S399" i="18"/>
  <c r="S400" i="18"/>
  <c r="S401" i="18"/>
  <c r="S402" i="18"/>
  <c r="S403" i="18"/>
  <c r="S404" i="18"/>
  <c r="S405" i="18"/>
  <c r="S406" i="18"/>
  <c r="S407" i="18"/>
  <c r="S408" i="18"/>
  <c r="S409" i="18"/>
  <c r="S410" i="18"/>
  <c r="S411" i="18"/>
  <c r="S412" i="18"/>
  <c r="S413" i="18"/>
  <c r="S414" i="18"/>
  <c r="S415" i="18"/>
  <c r="S416" i="18"/>
  <c r="S417" i="18"/>
  <c r="S418" i="18"/>
  <c r="S419" i="18"/>
  <c r="S420" i="18"/>
  <c r="S421" i="18"/>
  <c r="S422" i="18"/>
  <c r="S423" i="18"/>
  <c r="S424" i="18"/>
  <c r="S425" i="18"/>
  <c r="S426" i="18"/>
  <c r="S427" i="18"/>
  <c r="S428" i="18"/>
  <c r="S429" i="18"/>
  <c r="S430" i="18"/>
  <c r="S431" i="18"/>
  <c r="S432" i="18"/>
  <c r="S433" i="18"/>
  <c r="S434" i="18"/>
  <c r="S435" i="18"/>
  <c r="S436" i="18"/>
  <c r="S437" i="18"/>
  <c r="S438" i="18"/>
  <c r="S439" i="18"/>
  <c r="S440" i="18"/>
  <c r="S441" i="18"/>
  <c r="S442" i="18"/>
  <c r="S443" i="18"/>
  <c r="S444" i="18"/>
  <c r="S445" i="18"/>
  <c r="S446" i="18"/>
  <c r="S447" i="18"/>
  <c r="S448" i="18"/>
  <c r="S449" i="18"/>
  <c r="S450" i="18"/>
  <c r="S451" i="18"/>
  <c r="S452" i="18"/>
  <c r="S453" i="18"/>
  <c r="S454" i="18"/>
  <c r="S455" i="18"/>
  <c r="S456" i="18"/>
  <c r="S457" i="18"/>
  <c r="S458" i="18"/>
  <c r="S459" i="18"/>
  <c r="S460" i="18"/>
  <c r="S461" i="18"/>
  <c r="S462" i="18"/>
  <c r="S463" i="18"/>
  <c r="S464" i="18"/>
  <c r="S465" i="18"/>
  <c r="S466" i="18"/>
  <c r="S467" i="18"/>
  <c r="S468" i="18"/>
  <c r="S469" i="18"/>
  <c r="S470" i="18"/>
  <c r="S471" i="18"/>
  <c r="S472" i="18"/>
  <c r="S473" i="18"/>
  <c r="S474" i="18"/>
  <c r="S475" i="18"/>
  <c r="S476" i="18"/>
  <c r="S477" i="18"/>
  <c r="S478" i="18"/>
  <c r="S479" i="18"/>
  <c r="S480" i="18"/>
  <c r="S481" i="18"/>
  <c r="S482" i="18"/>
  <c r="S483" i="18"/>
  <c r="S484" i="18"/>
  <c r="S485" i="18"/>
  <c r="S486" i="18"/>
  <c r="S487" i="18"/>
  <c r="S488" i="18"/>
  <c r="S489" i="18"/>
  <c r="S490" i="18"/>
  <c r="S491" i="18"/>
  <c r="S492" i="18"/>
  <c r="S493" i="18"/>
  <c r="S494" i="18"/>
  <c r="S495" i="18"/>
  <c r="S496" i="18"/>
  <c r="S497" i="18"/>
  <c r="S498" i="18"/>
  <c r="S499" i="18"/>
  <c r="S500" i="18"/>
  <c r="S501" i="18"/>
  <c r="S502" i="18"/>
  <c r="S503" i="18"/>
  <c r="S504" i="18"/>
  <c r="S505" i="18"/>
  <c r="S506" i="18"/>
  <c r="S507" i="18"/>
  <c r="S508" i="18"/>
  <c r="S509" i="18"/>
  <c r="S510" i="18"/>
  <c r="S511" i="18"/>
  <c r="S512" i="18"/>
  <c r="S513" i="18"/>
  <c r="S514" i="18"/>
  <c r="S515" i="18"/>
  <c r="S516" i="18"/>
  <c r="S517" i="18"/>
  <c r="S518" i="18"/>
  <c r="S519" i="18"/>
  <c r="S520" i="18"/>
  <c r="S521" i="18"/>
  <c r="S522" i="18"/>
  <c r="S523" i="18"/>
  <c r="S524" i="18"/>
  <c r="S525" i="18"/>
  <c r="S526" i="18"/>
  <c r="S527" i="18"/>
  <c r="S528" i="18"/>
  <c r="S529" i="18"/>
  <c r="S530" i="18"/>
  <c r="S531" i="18"/>
  <c r="S532" i="18"/>
  <c r="S533" i="18"/>
  <c r="S534" i="18"/>
  <c r="S535" i="18"/>
  <c r="S536" i="18"/>
  <c r="S537" i="18"/>
  <c r="S538" i="18"/>
  <c r="S539" i="18"/>
  <c r="S540" i="18"/>
  <c r="S541" i="18"/>
  <c r="S542" i="18"/>
  <c r="S543" i="18"/>
  <c r="S544" i="18"/>
  <c r="S545" i="18"/>
  <c r="S546" i="18"/>
  <c r="S547" i="18"/>
  <c r="S548" i="18"/>
  <c r="S549" i="18"/>
  <c r="S550" i="18"/>
  <c r="S551" i="18"/>
  <c r="S552" i="18"/>
  <c r="S553" i="18"/>
  <c r="S554" i="18"/>
  <c r="S555" i="18"/>
  <c r="S556" i="18"/>
  <c r="S557" i="18"/>
  <c r="S558" i="18"/>
  <c r="S559" i="18"/>
  <c r="S560" i="18"/>
  <c r="S561" i="18"/>
  <c r="S562" i="18"/>
  <c r="S563" i="18"/>
  <c r="S564" i="18"/>
  <c r="S565" i="18"/>
  <c r="S566" i="18"/>
  <c r="S567" i="18"/>
  <c r="S568" i="18"/>
  <c r="S569" i="18"/>
  <c r="S570" i="18"/>
  <c r="S571" i="18"/>
  <c r="S572" i="18"/>
  <c r="S573" i="18"/>
  <c r="S574" i="18"/>
  <c r="S575" i="18"/>
  <c r="S576" i="18"/>
  <c r="S577" i="18"/>
  <c r="S578" i="18"/>
  <c r="S579" i="18"/>
  <c r="S580" i="18"/>
  <c r="S581" i="18"/>
  <c r="S582" i="18"/>
  <c r="S583" i="18"/>
  <c r="S584" i="18"/>
  <c r="S585" i="18"/>
  <c r="S586" i="18"/>
  <c r="S587" i="18"/>
  <c r="S588" i="18"/>
  <c r="S589" i="18"/>
  <c r="S590" i="18"/>
  <c r="S591" i="18"/>
  <c r="S592" i="18"/>
  <c r="S593" i="18"/>
  <c r="S594" i="18"/>
  <c r="S595" i="18"/>
  <c r="S596" i="18"/>
  <c r="S597" i="18"/>
  <c r="S598" i="18"/>
  <c r="S599" i="18"/>
  <c r="S600" i="18"/>
  <c r="S601" i="18"/>
  <c r="S602" i="18"/>
  <c r="S603" i="18"/>
  <c r="S604" i="18"/>
  <c r="S605" i="18"/>
  <c r="S606" i="18"/>
  <c r="S607" i="18"/>
  <c r="S608" i="18"/>
  <c r="S609" i="18"/>
  <c r="S610" i="18"/>
  <c r="S611" i="18"/>
  <c r="S612" i="18"/>
  <c r="S613" i="18"/>
  <c r="S614" i="18"/>
  <c r="S615" i="18"/>
  <c r="S616" i="18"/>
  <c r="S617" i="18"/>
  <c r="S618" i="18"/>
  <c r="S619" i="18"/>
  <c r="S620" i="18"/>
  <c r="S621" i="18"/>
  <c r="S622" i="18"/>
  <c r="S623" i="18"/>
  <c r="S624" i="18"/>
  <c r="S625" i="18"/>
  <c r="S626" i="18"/>
  <c r="S627" i="18"/>
  <c r="S628" i="18"/>
  <c r="S629" i="18"/>
  <c r="S630" i="18"/>
  <c r="S631" i="18"/>
  <c r="S632" i="18"/>
  <c r="S633" i="18"/>
  <c r="S634" i="18"/>
  <c r="S635" i="18"/>
  <c r="S636" i="18"/>
  <c r="S637" i="18"/>
  <c r="S638" i="18"/>
  <c r="S639" i="18"/>
  <c r="S640" i="18"/>
  <c r="S641" i="18"/>
  <c r="S642" i="18"/>
  <c r="S643" i="18"/>
  <c r="S644" i="18"/>
  <c r="S645" i="18"/>
  <c r="S646" i="18"/>
  <c r="S647" i="18"/>
  <c r="S648" i="18"/>
  <c r="S649" i="18"/>
  <c r="S650" i="18"/>
  <c r="S651" i="18"/>
  <c r="S652" i="18"/>
  <c r="S653" i="18"/>
  <c r="S654" i="18"/>
  <c r="S655" i="18"/>
  <c r="S656" i="18"/>
  <c r="S657" i="18"/>
  <c r="S658" i="18"/>
  <c r="S659" i="18"/>
  <c r="S660" i="18"/>
  <c r="S661" i="18"/>
  <c r="S662" i="18"/>
  <c r="S663" i="18"/>
  <c r="S664" i="18"/>
  <c r="S665" i="18"/>
  <c r="S666" i="18"/>
  <c r="S667" i="18"/>
  <c r="S668" i="18"/>
  <c r="S669" i="18"/>
  <c r="S670" i="18"/>
  <c r="S671" i="18"/>
  <c r="S672" i="18"/>
  <c r="S673" i="18"/>
  <c r="S674" i="18"/>
  <c r="S675" i="18"/>
  <c r="S676" i="18"/>
  <c r="S677" i="18"/>
  <c r="S678" i="18"/>
  <c r="S679" i="18"/>
  <c r="S680" i="18"/>
  <c r="S681" i="18"/>
  <c r="S682" i="18"/>
  <c r="S683" i="18"/>
  <c r="S684" i="18"/>
  <c r="S685" i="18"/>
  <c r="S686" i="18"/>
  <c r="S687" i="18"/>
  <c r="S688" i="18"/>
  <c r="S689" i="18"/>
  <c r="S690" i="18"/>
  <c r="S691" i="18"/>
  <c r="S692" i="18"/>
  <c r="S693" i="18"/>
  <c r="S694" i="18"/>
  <c r="S695" i="18"/>
  <c r="S696" i="18"/>
  <c r="S697" i="18"/>
  <c r="S698" i="18"/>
  <c r="S699" i="18"/>
  <c r="S700" i="18"/>
  <c r="S701" i="18"/>
  <c r="S702" i="18"/>
  <c r="S703" i="18"/>
  <c r="S704" i="18"/>
  <c r="S705" i="18"/>
  <c r="S706" i="18"/>
  <c r="S707" i="18"/>
  <c r="S708" i="18"/>
  <c r="S709" i="18"/>
  <c r="S710" i="18"/>
  <c r="S711" i="18"/>
  <c r="S712" i="18"/>
  <c r="S713" i="18"/>
  <c r="S714" i="18"/>
  <c r="S715" i="18"/>
  <c r="S716" i="18"/>
  <c r="S717" i="18"/>
  <c r="S718" i="18"/>
  <c r="S719" i="18"/>
  <c r="S720" i="18"/>
  <c r="S721" i="18"/>
  <c r="S722" i="18"/>
  <c r="S723" i="18"/>
  <c r="S724" i="18"/>
  <c r="S725" i="18"/>
  <c r="S726" i="18"/>
  <c r="S727" i="18"/>
  <c r="S728" i="18"/>
  <c r="S729" i="18"/>
  <c r="S730" i="18"/>
  <c r="S731" i="18"/>
  <c r="S732" i="18"/>
  <c r="S733" i="18"/>
  <c r="S734" i="18"/>
  <c r="S735" i="18"/>
  <c r="S736" i="18"/>
  <c r="S737" i="18"/>
  <c r="S738" i="18"/>
  <c r="S739" i="18"/>
  <c r="S740" i="18"/>
  <c r="S741" i="18"/>
  <c r="S742" i="18"/>
  <c r="S743" i="18"/>
  <c r="S744" i="18"/>
  <c r="S745" i="18"/>
  <c r="S746" i="18"/>
  <c r="S747" i="18"/>
  <c r="S748" i="18"/>
  <c r="S749" i="18"/>
  <c r="S750" i="18"/>
  <c r="S751" i="18"/>
  <c r="S752" i="18"/>
  <c r="S753" i="18"/>
  <c r="S754" i="18"/>
  <c r="S755" i="18"/>
  <c r="S756" i="18"/>
  <c r="S757" i="18"/>
  <c r="S758" i="18"/>
  <c r="S759" i="18"/>
  <c r="S760" i="18"/>
  <c r="S761" i="18"/>
  <c r="S762" i="18"/>
  <c r="S763" i="18"/>
  <c r="S764" i="18"/>
  <c r="S765" i="18"/>
  <c r="S766" i="18"/>
  <c r="S767" i="18"/>
  <c r="S768" i="18"/>
  <c r="S769" i="18"/>
  <c r="S770" i="18"/>
  <c r="S771" i="18"/>
  <c r="S772" i="18"/>
  <c r="S773" i="18"/>
  <c r="S774" i="18"/>
  <c r="S775" i="18"/>
  <c r="S776" i="18"/>
  <c r="S777" i="18"/>
  <c r="S778" i="18"/>
  <c r="S779" i="18"/>
  <c r="S780" i="18"/>
  <c r="S781" i="18"/>
  <c r="S782" i="18"/>
  <c r="S783" i="18"/>
  <c r="S784" i="18"/>
  <c r="S785" i="18"/>
  <c r="S786" i="18"/>
  <c r="S787" i="18"/>
  <c r="S788" i="18"/>
  <c r="S789" i="18"/>
  <c r="S790" i="18"/>
  <c r="S791" i="18"/>
  <c r="S792" i="18"/>
  <c r="S793" i="18"/>
  <c r="S794" i="18"/>
  <c r="S795" i="18"/>
  <c r="S796" i="18"/>
  <c r="S797" i="18"/>
  <c r="S798" i="18"/>
  <c r="S799" i="18"/>
  <c r="S800" i="18"/>
  <c r="S801" i="18"/>
  <c r="S802" i="18"/>
  <c r="S803" i="18"/>
  <c r="S804" i="18"/>
  <c r="S805" i="18"/>
  <c r="S806" i="18"/>
  <c r="S807" i="18"/>
  <c r="S808" i="18"/>
  <c r="S809" i="18"/>
  <c r="S810" i="18"/>
  <c r="S811" i="18"/>
  <c r="S812" i="18"/>
  <c r="S813" i="18"/>
  <c r="S814" i="18"/>
  <c r="S815" i="18"/>
  <c r="S816" i="18"/>
  <c r="S817" i="18"/>
  <c r="S818" i="18"/>
  <c r="S819" i="18"/>
  <c r="S820" i="18"/>
  <c r="S821" i="18"/>
  <c r="S822" i="18"/>
  <c r="S823" i="18"/>
  <c r="S824" i="18"/>
  <c r="S825" i="18"/>
  <c r="S826" i="18"/>
  <c r="S827" i="18"/>
  <c r="S828" i="18"/>
  <c r="S829" i="18"/>
  <c r="S830" i="18"/>
  <c r="S831" i="18"/>
  <c r="S832" i="18"/>
  <c r="S833" i="18"/>
  <c r="S834" i="18"/>
  <c r="S835" i="18"/>
  <c r="S836" i="18"/>
  <c r="S837" i="18"/>
  <c r="S838" i="18"/>
  <c r="S839" i="18"/>
  <c r="S840" i="18"/>
  <c r="S841" i="18"/>
  <c r="S842" i="18"/>
  <c r="S843" i="18"/>
  <c r="S844" i="18"/>
  <c r="S845" i="18"/>
  <c r="S846" i="18"/>
  <c r="S847" i="18"/>
  <c r="S848" i="18"/>
  <c r="S849" i="18"/>
  <c r="S850" i="18"/>
  <c r="S851" i="18"/>
  <c r="S852" i="18"/>
  <c r="S853" i="18"/>
  <c r="S854" i="18"/>
  <c r="S855" i="18"/>
  <c r="S856" i="18"/>
  <c r="S857" i="18"/>
  <c r="S858" i="18"/>
  <c r="S859" i="18"/>
  <c r="S860" i="18"/>
  <c r="S861" i="18"/>
  <c r="S862" i="18"/>
  <c r="S863" i="18"/>
  <c r="S864" i="18"/>
  <c r="S865" i="18"/>
  <c r="S866" i="18"/>
  <c r="S867" i="18"/>
  <c r="S868" i="18"/>
  <c r="S869" i="18"/>
  <c r="S870" i="18"/>
  <c r="S871" i="18"/>
  <c r="S872" i="18"/>
  <c r="S873" i="18"/>
  <c r="S874" i="18"/>
  <c r="S875" i="18"/>
  <c r="S876" i="18"/>
  <c r="S877" i="18"/>
  <c r="S878" i="18"/>
  <c r="S879" i="18"/>
  <c r="S880" i="18"/>
  <c r="S881" i="18"/>
  <c r="S882" i="18"/>
  <c r="S883" i="18"/>
  <c r="S884" i="18"/>
  <c r="S885" i="18"/>
  <c r="S886" i="18"/>
  <c r="S887" i="18"/>
  <c r="S888" i="18"/>
  <c r="S889" i="18"/>
  <c r="S890" i="18"/>
  <c r="S891" i="18"/>
  <c r="S892" i="18"/>
  <c r="S893" i="18"/>
  <c r="S894" i="18"/>
  <c r="S895" i="18"/>
  <c r="S896" i="18"/>
  <c r="S897" i="18"/>
  <c r="S898" i="18"/>
  <c r="S899" i="18"/>
  <c r="S900" i="18"/>
  <c r="S901" i="18"/>
  <c r="S902" i="18"/>
  <c r="S903" i="18"/>
  <c r="S904" i="18"/>
  <c r="S905" i="18"/>
  <c r="S906" i="18"/>
  <c r="S907" i="18"/>
  <c r="S908" i="18"/>
  <c r="S909" i="18"/>
  <c r="S910" i="18"/>
  <c r="S911" i="18"/>
  <c r="S912" i="18"/>
  <c r="S913" i="18"/>
  <c r="S914" i="18"/>
  <c r="S915" i="18"/>
  <c r="S916" i="18"/>
  <c r="S917" i="18"/>
  <c r="S918" i="18"/>
  <c r="S919" i="18"/>
  <c r="S920" i="18"/>
  <c r="S921" i="18"/>
  <c r="S922" i="18"/>
  <c r="S923" i="18"/>
  <c r="S924" i="18"/>
  <c r="S925" i="18"/>
  <c r="S926" i="18"/>
  <c r="S927" i="18"/>
  <c r="S928" i="18"/>
  <c r="S929" i="18"/>
  <c r="S930" i="18"/>
  <c r="S931" i="18"/>
  <c r="S932" i="18"/>
  <c r="S933" i="18"/>
  <c r="S934" i="18"/>
  <c r="S935" i="18"/>
  <c r="S936" i="18"/>
  <c r="S937" i="18"/>
  <c r="S938" i="18"/>
  <c r="S939" i="18"/>
  <c r="S940" i="18"/>
  <c r="S941" i="18"/>
  <c r="S942" i="18"/>
  <c r="S943" i="18"/>
  <c r="S944" i="18"/>
  <c r="S945" i="18"/>
  <c r="S946" i="18"/>
  <c r="S947" i="18"/>
  <c r="S948" i="18"/>
  <c r="S949" i="18"/>
  <c r="S950" i="18"/>
  <c r="S951" i="18"/>
  <c r="S952" i="18"/>
  <c r="S953" i="18"/>
  <c r="S954" i="18"/>
  <c r="S955" i="18"/>
  <c r="S956" i="18"/>
  <c r="S957" i="18"/>
  <c r="S958" i="18"/>
  <c r="S959" i="18"/>
  <c r="S960" i="18"/>
  <c r="S961" i="18"/>
  <c r="S962" i="18"/>
  <c r="S963" i="18"/>
  <c r="S964" i="18"/>
  <c r="S965" i="18"/>
  <c r="S966" i="18"/>
  <c r="S967" i="18"/>
  <c r="S968" i="18"/>
  <c r="S969" i="18"/>
  <c r="S970" i="18"/>
  <c r="S971" i="18"/>
  <c r="S972" i="18"/>
  <c r="S973" i="18"/>
  <c r="S974" i="18"/>
  <c r="S975" i="18"/>
  <c r="S976" i="18"/>
  <c r="S977" i="18"/>
  <c r="S978" i="18"/>
  <c r="S979" i="18"/>
  <c r="S980" i="18"/>
  <c r="S981" i="18"/>
  <c r="S982" i="18"/>
  <c r="S983" i="18"/>
  <c r="S984" i="18"/>
  <c r="S985" i="18"/>
  <c r="S986" i="18"/>
  <c r="S987" i="18"/>
  <c r="S988" i="18"/>
  <c r="S989" i="18"/>
  <c r="S990" i="18"/>
  <c r="S991" i="18"/>
  <c r="S992" i="18"/>
  <c r="S993" i="18"/>
  <c r="S994" i="18"/>
  <c r="S995" i="18"/>
  <c r="S996" i="18"/>
  <c r="S997" i="18"/>
  <c r="S998" i="18"/>
  <c r="S999" i="18"/>
  <c r="S1000" i="18"/>
  <c r="S1001" i="18"/>
  <c r="S1002" i="18"/>
  <c r="S1003" i="18"/>
  <c r="S1004" i="18"/>
  <c r="S1005" i="18"/>
  <c r="S1006" i="18"/>
  <c r="S1007" i="18"/>
  <c r="S1008" i="18"/>
  <c r="S1009" i="18"/>
  <c r="S1010" i="18"/>
  <c r="S1011" i="18"/>
  <c r="S1012" i="18"/>
  <c r="S1013" i="18"/>
  <c r="S1014" i="18"/>
  <c r="S1015" i="18"/>
  <c r="S1016" i="18"/>
  <c r="S1017" i="18"/>
  <c r="S1018" i="18"/>
  <c r="S1019" i="18"/>
  <c r="S1020" i="18"/>
  <c r="S1021" i="18"/>
  <c r="S1022" i="18"/>
  <c r="S1023" i="18"/>
  <c r="S1024" i="18"/>
  <c r="S1025" i="18"/>
  <c r="S1026" i="18"/>
  <c r="S1027" i="18"/>
  <c r="S1028" i="18"/>
  <c r="S1029" i="18"/>
  <c r="S1030" i="18"/>
  <c r="S1031" i="18"/>
  <c r="S1032" i="18"/>
  <c r="S1033" i="18"/>
  <c r="S1034" i="18"/>
  <c r="S1035" i="18"/>
  <c r="S1036" i="18"/>
  <c r="S1037" i="18"/>
  <c r="S1038" i="18"/>
  <c r="S1039" i="18"/>
  <c r="S1040" i="18"/>
  <c r="S1041" i="18"/>
  <c r="S1042" i="18"/>
  <c r="S1043" i="18"/>
  <c r="S1044" i="18"/>
  <c r="S1045" i="18"/>
  <c r="S1046" i="18"/>
  <c r="S1047" i="18"/>
  <c r="S1048" i="18"/>
  <c r="S1049" i="18"/>
  <c r="S1050" i="18"/>
  <c r="S1051" i="18"/>
  <c r="S1052" i="18"/>
  <c r="S1053" i="18"/>
  <c r="S1054" i="18"/>
  <c r="S1055" i="18"/>
  <c r="S1056" i="18"/>
  <c r="S1057" i="18"/>
  <c r="S1058" i="18"/>
  <c r="S1059" i="18"/>
  <c r="S1060" i="18"/>
  <c r="S1061" i="18"/>
  <c r="S1062" i="18"/>
  <c r="S1063" i="18"/>
  <c r="S1064" i="18"/>
  <c r="S1065" i="18"/>
  <c r="S1066" i="18"/>
  <c r="S1067" i="18"/>
  <c r="S1068" i="18"/>
  <c r="S1069" i="18"/>
  <c r="S1070" i="18"/>
  <c r="S1071" i="18"/>
  <c r="S1072" i="18"/>
  <c r="S1073" i="18"/>
  <c r="S1074" i="18"/>
  <c r="S1075" i="18"/>
  <c r="S1076" i="18"/>
  <c r="S1077" i="18"/>
  <c r="S1078" i="18"/>
  <c r="S1079" i="18"/>
  <c r="S1080" i="18"/>
  <c r="S1081" i="18"/>
  <c r="S1082" i="18"/>
  <c r="S1083" i="18"/>
  <c r="S1084" i="18"/>
  <c r="S1085" i="18"/>
  <c r="S1086" i="18"/>
  <c r="S1087" i="18"/>
  <c r="S1088" i="18"/>
  <c r="S1089" i="18"/>
  <c r="S1090" i="18"/>
  <c r="S1091" i="18"/>
  <c r="S1092" i="18"/>
  <c r="S1093" i="18"/>
  <c r="S1094" i="18"/>
  <c r="S1095" i="18"/>
  <c r="S1096" i="18"/>
  <c r="S1097" i="18"/>
  <c r="S1098" i="18"/>
  <c r="S1099" i="18"/>
  <c r="S1100" i="18"/>
  <c r="S1101" i="18"/>
  <c r="S1102" i="18"/>
  <c r="S1103" i="18"/>
  <c r="S1104" i="18"/>
  <c r="S1105" i="18"/>
  <c r="S1106" i="18"/>
  <c r="S1107" i="18"/>
  <c r="S1108" i="18"/>
  <c r="S1109" i="18"/>
  <c r="S1110" i="18"/>
  <c r="S1111" i="18"/>
  <c r="S1112" i="18"/>
  <c r="S1113" i="18"/>
  <c r="S1114" i="18"/>
  <c r="S1115" i="18"/>
  <c r="S1116" i="18"/>
  <c r="S1117" i="18"/>
  <c r="S1118" i="18"/>
  <c r="S1119" i="18"/>
  <c r="S1120" i="18"/>
  <c r="S1121" i="18"/>
  <c r="S1122" i="18"/>
  <c r="S1123" i="18"/>
  <c r="S1124" i="18"/>
  <c r="S1125" i="18"/>
  <c r="S1126" i="18"/>
  <c r="S1127" i="18"/>
  <c r="S1128" i="18"/>
  <c r="S1129" i="18"/>
  <c r="S1130" i="18"/>
  <c r="S1131" i="18"/>
  <c r="S1132" i="18"/>
  <c r="S1133" i="18"/>
  <c r="S1134" i="18"/>
  <c r="S1135" i="18"/>
  <c r="S1136" i="18"/>
  <c r="S1137" i="18"/>
  <c r="S1138" i="18"/>
  <c r="S1139" i="18"/>
  <c r="S1140" i="18"/>
  <c r="S1141" i="18"/>
  <c r="S1142" i="18"/>
  <c r="S1143" i="18"/>
  <c r="S1144" i="18"/>
  <c r="S1145" i="18"/>
  <c r="S1146" i="18"/>
  <c r="S1147" i="18"/>
  <c r="S1148" i="18"/>
  <c r="S1149" i="18"/>
  <c r="S1150" i="18"/>
  <c r="S1151" i="18"/>
  <c r="S1152" i="18"/>
  <c r="S1153" i="18"/>
  <c r="S1154" i="18"/>
  <c r="S1155" i="18"/>
  <c r="S1156" i="18"/>
  <c r="S1157" i="18"/>
  <c r="S1158" i="18"/>
  <c r="S1159" i="18"/>
  <c r="S1160" i="18"/>
  <c r="S1161" i="18"/>
  <c r="S1162" i="18"/>
  <c r="S1163" i="18"/>
  <c r="S1164" i="18"/>
  <c r="S1165" i="18"/>
  <c r="S1166" i="18"/>
  <c r="S1167" i="18"/>
  <c r="S1168" i="18"/>
  <c r="S1169" i="18"/>
  <c r="S1170" i="18"/>
  <c r="S1171" i="18"/>
  <c r="S1172" i="18"/>
  <c r="S1173" i="18"/>
  <c r="S1174" i="18"/>
  <c r="S1175" i="18"/>
  <c r="S1176" i="18"/>
  <c r="S1177" i="18"/>
  <c r="S1178" i="18"/>
  <c r="S1179" i="18"/>
  <c r="S1180" i="18"/>
  <c r="S1181" i="18"/>
  <c r="S1182" i="18"/>
  <c r="S1183" i="18"/>
  <c r="S1184" i="18"/>
  <c r="S1185" i="18"/>
  <c r="S1186" i="18"/>
  <c r="S1187" i="18"/>
  <c r="S1188" i="18"/>
  <c r="S1189" i="18"/>
  <c r="S1190" i="18"/>
  <c r="S1191" i="18"/>
  <c r="S1192" i="18"/>
  <c r="S1193" i="18"/>
  <c r="S1194" i="18"/>
  <c r="S1195" i="18"/>
  <c r="S1196" i="18"/>
  <c r="S1197" i="18"/>
  <c r="S1198" i="18"/>
  <c r="S1199" i="18"/>
  <c r="S1200" i="18"/>
  <c r="S1201" i="18"/>
  <c r="S1202" i="18"/>
  <c r="S1203" i="18"/>
  <c r="S1204" i="18"/>
  <c r="S1205" i="18"/>
  <c r="S1206" i="18"/>
  <c r="S1207" i="18"/>
  <c r="S1208" i="18"/>
  <c r="S1209" i="18"/>
  <c r="S1210" i="18"/>
  <c r="S1211" i="18"/>
  <c r="S1212" i="18"/>
  <c r="S1213" i="18"/>
  <c r="S1214" i="18"/>
  <c r="S1215" i="18"/>
  <c r="S1216" i="18"/>
  <c r="S1217" i="18"/>
  <c r="S1218" i="18"/>
  <c r="S1220" i="18"/>
  <c r="S1221" i="18"/>
  <c r="S1222" i="18"/>
  <c r="S1223" i="18"/>
  <c r="S1224" i="18"/>
  <c r="S1225" i="18"/>
  <c r="S1226" i="18"/>
  <c r="S1227" i="18"/>
  <c r="S1228" i="18"/>
  <c r="S1229" i="18"/>
  <c r="S1231" i="18"/>
  <c r="S1232" i="18"/>
  <c r="S1233" i="18"/>
  <c r="S1234" i="18"/>
  <c r="S1235" i="18"/>
  <c r="S1236" i="18"/>
  <c r="S1237" i="18"/>
  <c r="S1238" i="18"/>
  <c r="S1239" i="18"/>
  <c r="S1240" i="18"/>
  <c r="S1241" i="18"/>
  <c r="R2" i="18"/>
  <c r="R3" i="18"/>
  <c r="R4" i="18"/>
  <c r="R5" i="18"/>
  <c r="R6" i="18"/>
  <c r="R7" i="18"/>
  <c r="R8" i="18"/>
  <c r="R9" i="18"/>
  <c r="R10" i="18"/>
  <c r="R11" i="18"/>
  <c r="R12" i="18"/>
  <c r="R13" i="18"/>
  <c r="R14" i="18"/>
  <c r="R15" i="18"/>
  <c r="R16" i="18"/>
  <c r="R17" i="18"/>
  <c r="R18" i="18"/>
  <c r="R19" i="18"/>
  <c r="R20" i="18"/>
  <c r="R21" i="18"/>
  <c r="R22" i="18"/>
  <c r="R23" i="18"/>
  <c r="R24" i="18"/>
  <c r="R25" i="18"/>
  <c r="R26" i="18"/>
  <c r="R27" i="18"/>
  <c r="R28" i="18"/>
  <c r="R29" i="18"/>
  <c r="R30" i="18"/>
  <c r="R31" i="18"/>
  <c r="R32" i="18"/>
  <c r="R33" i="18"/>
  <c r="R34" i="18"/>
  <c r="R35" i="18"/>
  <c r="R36" i="18"/>
  <c r="R37" i="18"/>
  <c r="R38" i="18"/>
  <c r="R39" i="18"/>
  <c r="R40" i="18"/>
  <c r="R42" i="18"/>
  <c r="R43" i="18"/>
  <c r="R44" i="18"/>
  <c r="R45" i="18"/>
  <c r="R46" i="18"/>
  <c r="R47" i="18"/>
  <c r="R48" i="18"/>
  <c r="R49" i="18"/>
  <c r="R50" i="18"/>
  <c r="R51" i="18"/>
  <c r="R52" i="18"/>
  <c r="R53" i="18"/>
  <c r="R54" i="18"/>
  <c r="R55" i="18"/>
  <c r="R56" i="18"/>
  <c r="R57" i="18"/>
  <c r="R58" i="18"/>
  <c r="R59" i="18"/>
  <c r="R60" i="18"/>
  <c r="R61" i="18"/>
  <c r="R62" i="18"/>
  <c r="R63" i="18"/>
  <c r="R64" i="18"/>
  <c r="R65" i="18"/>
  <c r="R66" i="18"/>
  <c r="R67" i="18"/>
  <c r="R68" i="18"/>
  <c r="R69" i="18"/>
  <c r="R70" i="18"/>
  <c r="R71" i="18"/>
  <c r="R72" i="18"/>
  <c r="R73" i="18"/>
  <c r="R74" i="18"/>
  <c r="R75" i="18"/>
  <c r="R76" i="18"/>
  <c r="R77" i="18"/>
  <c r="R78" i="18"/>
  <c r="R79" i="18"/>
  <c r="R80" i="18"/>
  <c r="R81" i="18"/>
  <c r="R82" i="18"/>
  <c r="R83" i="18"/>
  <c r="R84" i="18"/>
  <c r="R85" i="18"/>
  <c r="R86" i="18"/>
  <c r="R87" i="18"/>
  <c r="R88" i="18"/>
  <c r="R89" i="18"/>
  <c r="R90" i="18"/>
  <c r="R91" i="18"/>
  <c r="R92" i="18"/>
  <c r="R93" i="18"/>
  <c r="R94" i="18"/>
  <c r="R95" i="18"/>
  <c r="R96" i="18"/>
  <c r="R97" i="18"/>
  <c r="R98" i="18"/>
  <c r="R99" i="18"/>
  <c r="R100" i="18"/>
  <c r="R101" i="18"/>
  <c r="R102" i="18"/>
  <c r="R103" i="18"/>
  <c r="R104" i="18"/>
  <c r="R105" i="18"/>
  <c r="R106" i="18"/>
  <c r="R107" i="18"/>
  <c r="R108" i="18"/>
  <c r="R109" i="18"/>
  <c r="R110" i="18"/>
  <c r="R111" i="18"/>
  <c r="R112" i="18"/>
  <c r="R113" i="18"/>
  <c r="R114" i="18"/>
  <c r="R115" i="18"/>
  <c r="R116" i="18"/>
  <c r="R117" i="18"/>
  <c r="R118" i="18"/>
  <c r="R119" i="18"/>
  <c r="R120" i="18"/>
  <c r="R121" i="18"/>
  <c r="R122" i="18"/>
  <c r="R123" i="18"/>
  <c r="R124" i="18"/>
  <c r="R125" i="18"/>
  <c r="R126" i="18"/>
  <c r="R127" i="18"/>
  <c r="R128" i="18"/>
  <c r="R129" i="18"/>
  <c r="R130" i="18"/>
  <c r="R131" i="18"/>
  <c r="R132" i="18"/>
  <c r="R133" i="18"/>
  <c r="R134" i="18"/>
  <c r="R135" i="18"/>
  <c r="R136" i="18"/>
  <c r="R137" i="18"/>
  <c r="R138" i="18"/>
  <c r="R139" i="18"/>
  <c r="R140" i="18"/>
  <c r="R141" i="18"/>
  <c r="R142" i="18"/>
  <c r="R143" i="18"/>
  <c r="R144" i="18"/>
  <c r="R145" i="18"/>
  <c r="R146" i="18"/>
  <c r="R147" i="18"/>
  <c r="R148" i="18"/>
  <c r="R149" i="18"/>
  <c r="R150" i="18"/>
  <c r="R151" i="18"/>
  <c r="R152" i="18"/>
  <c r="R153" i="18"/>
  <c r="R154" i="18"/>
  <c r="R155" i="18"/>
  <c r="R156" i="18"/>
  <c r="R157" i="18"/>
  <c r="R158" i="18"/>
  <c r="R159" i="18"/>
  <c r="R160" i="18"/>
  <c r="R161" i="18"/>
  <c r="R162" i="18"/>
  <c r="R163" i="18"/>
  <c r="R164" i="18"/>
  <c r="R165" i="18"/>
  <c r="R166" i="18"/>
  <c r="R167" i="18"/>
  <c r="R168" i="18"/>
  <c r="R169" i="18"/>
  <c r="R170" i="18"/>
  <c r="R171" i="18"/>
  <c r="R172" i="18"/>
  <c r="R173" i="18"/>
  <c r="R174" i="18"/>
  <c r="R175" i="18"/>
  <c r="R176" i="18"/>
  <c r="R177" i="18"/>
  <c r="R178" i="18"/>
  <c r="R179" i="18"/>
  <c r="R180" i="18"/>
  <c r="R181" i="18"/>
  <c r="R182" i="18"/>
  <c r="R183" i="18"/>
  <c r="R184" i="18"/>
  <c r="R185" i="18"/>
  <c r="R186" i="18"/>
  <c r="R187" i="18"/>
  <c r="R188" i="18"/>
  <c r="R189" i="18"/>
  <c r="R190" i="18"/>
  <c r="R191" i="18"/>
  <c r="R192" i="18"/>
  <c r="R193" i="18"/>
  <c r="R194" i="18"/>
  <c r="R195" i="18"/>
  <c r="R196" i="18"/>
  <c r="R197" i="18"/>
  <c r="R198" i="18"/>
  <c r="R199" i="18"/>
  <c r="R200" i="18"/>
  <c r="R201" i="18"/>
  <c r="R202" i="18"/>
  <c r="R203" i="18"/>
  <c r="R204" i="18"/>
  <c r="R205" i="18"/>
  <c r="R206" i="18"/>
  <c r="R207" i="18"/>
  <c r="R208" i="18"/>
  <c r="R209" i="18"/>
  <c r="R210" i="18"/>
  <c r="R211" i="18"/>
  <c r="R212" i="18"/>
  <c r="R213" i="18"/>
  <c r="R214" i="18"/>
  <c r="R215" i="18"/>
  <c r="R216" i="18"/>
  <c r="R217" i="18"/>
  <c r="R218" i="18"/>
  <c r="R219" i="18"/>
  <c r="R220" i="18"/>
  <c r="R221" i="18"/>
  <c r="R222" i="18"/>
  <c r="R223" i="18"/>
  <c r="R224" i="18"/>
  <c r="R225" i="18"/>
  <c r="R226" i="18"/>
  <c r="R227" i="18"/>
  <c r="R228" i="18"/>
  <c r="R229" i="18"/>
  <c r="R230" i="18"/>
  <c r="R231" i="18"/>
  <c r="R232" i="18"/>
  <c r="R233" i="18"/>
  <c r="R234" i="18"/>
  <c r="R235" i="18"/>
  <c r="R236" i="18"/>
  <c r="R237" i="18"/>
  <c r="R238" i="18"/>
  <c r="R239" i="18"/>
  <c r="R240" i="18"/>
  <c r="R241" i="18"/>
  <c r="R242" i="18"/>
  <c r="R243" i="18"/>
  <c r="R244" i="18"/>
  <c r="R245" i="18"/>
  <c r="R246" i="18"/>
  <c r="R247" i="18"/>
  <c r="R248" i="18"/>
  <c r="R249" i="18"/>
  <c r="R250" i="18"/>
  <c r="R251" i="18"/>
  <c r="R252" i="18"/>
  <c r="R253" i="18"/>
  <c r="R254" i="18"/>
  <c r="R255" i="18"/>
  <c r="R256" i="18"/>
  <c r="R257" i="18"/>
  <c r="R258" i="18"/>
  <c r="R259" i="18"/>
  <c r="R260" i="18"/>
  <c r="R261" i="18"/>
  <c r="R262" i="18"/>
  <c r="R263" i="18"/>
  <c r="R264" i="18"/>
  <c r="R265" i="18"/>
  <c r="R266" i="18"/>
  <c r="R267" i="18"/>
  <c r="R268" i="18"/>
  <c r="R269" i="18"/>
  <c r="R270" i="18"/>
  <c r="R271" i="18"/>
  <c r="R272" i="18"/>
  <c r="R273" i="18"/>
  <c r="R274" i="18"/>
  <c r="R275" i="18"/>
  <c r="R276" i="18"/>
  <c r="R277" i="18"/>
  <c r="R278" i="18"/>
  <c r="R279" i="18"/>
  <c r="R280" i="18"/>
  <c r="R281" i="18"/>
  <c r="R282" i="18"/>
  <c r="R283" i="18"/>
  <c r="R284" i="18"/>
  <c r="R285" i="18"/>
  <c r="R286" i="18"/>
  <c r="R287" i="18"/>
  <c r="R288" i="18"/>
  <c r="R289" i="18"/>
  <c r="R290" i="18"/>
  <c r="R291" i="18"/>
  <c r="R292" i="18"/>
  <c r="R293" i="18"/>
  <c r="R294" i="18"/>
  <c r="R295" i="18"/>
  <c r="R296" i="18"/>
  <c r="R297" i="18"/>
  <c r="R298" i="18"/>
  <c r="R299" i="18"/>
  <c r="R300" i="18"/>
  <c r="R301" i="18"/>
  <c r="R302" i="18"/>
  <c r="R303" i="18"/>
  <c r="R304" i="18"/>
  <c r="R305" i="18"/>
  <c r="R306" i="18"/>
  <c r="R307" i="18"/>
  <c r="R308" i="18"/>
  <c r="R309" i="18"/>
  <c r="R310" i="18"/>
  <c r="R311" i="18"/>
  <c r="R312" i="18"/>
  <c r="R313" i="18"/>
  <c r="R314" i="18"/>
  <c r="R315" i="18"/>
  <c r="R316" i="18"/>
  <c r="R317" i="18"/>
  <c r="R318" i="18"/>
  <c r="R319" i="18"/>
  <c r="R320" i="18"/>
  <c r="R321" i="18"/>
  <c r="R322" i="18"/>
  <c r="R323" i="18"/>
  <c r="R324" i="18"/>
  <c r="R325" i="18"/>
  <c r="R326" i="18"/>
  <c r="R327" i="18"/>
  <c r="R328" i="18"/>
  <c r="R329" i="18"/>
  <c r="R330" i="18"/>
  <c r="R331" i="18"/>
  <c r="R332" i="18"/>
  <c r="R333" i="18"/>
  <c r="R334" i="18"/>
  <c r="R335" i="18"/>
  <c r="R336" i="18"/>
  <c r="R337" i="18"/>
  <c r="R338" i="18"/>
  <c r="R339" i="18"/>
  <c r="R340" i="18"/>
  <c r="R341" i="18"/>
  <c r="R342" i="18"/>
  <c r="R343" i="18"/>
  <c r="R344" i="18"/>
  <c r="R345" i="18"/>
  <c r="R346" i="18"/>
  <c r="R347" i="18"/>
  <c r="R348" i="18"/>
  <c r="R349" i="18"/>
  <c r="R350" i="18"/>
  <c r="R351" i="18"/>
  <c r="R352" i="18"/>
  <c r="R353" i="18"/>
  <c r="R354" i="18"/>
  <c r="R355" i="18"/>
  <c r="R356" i="18"/>
  <c r="R357" i="18"/>
  <c r="R358" i="18"/>
  <c r="R359" i="18"/>
  <c r="R360" i="18"/>
  <c r="R361" i="18"/>
  <c r="R362" i="18"/>
  <c r="R363" i="18"/>
  <c r="R364" i="18"/>
  <c r="R365" i="18"/>
  <c r="R366" i="18"/>
  <c r="R367" i="18"/>
  <c r="R368" i="18"/>
  <c r="R369" i="18"/>
  <c r="R370" i="18"/>
  <c r="R371" i="18"/>
  <c r="R372" i="18"/>
  <c r="R373" i="18"/>
  <c r="R374" i="18"/>
  <c r="R375" i="18"/>
  <c r="R376" i="18"/>
  <c r="R377" i="18"/>
  <c r="R378" i="18"/>
  <c r="R379" i="18"/>
  <c r="R380" i="18"/>
  <c r="R381" i="18"/>
  <c r="R382" i="18"/>
  <c r="R383" i="18"/>
  <c r="R384" i="18"/>
  <c r="R385" i="18"/>
  <c r="R386" i="18"/>
  <c r="R387" i="18"/>
  <c r="R388" i="18"/>
  <c r="R389" i="18"/>
  <c r="R390" i="18"/>
  <c r="R391" i="18"/>
  <c r="R392" i="18"/>
  <c r="R393" i="18"/>
  <c r="R394" i="18"/>
  <c r="R395" i="18"/>
  <c r="R396" i="18"/>
  <c r="R397" i="18"/>
  <c r="R398" i="18"/>
  <c r="R399" i="18"/>
  <c r="R400" i="18"/>
  <c r="R401" i="18"/>
  <c r="R402" i="18"/>
  <c r="R403" i="18"/>
  <c r="R404" i="18"/>
  <c r="R405" i="18"/>
  <c r="R406" i="18"/>
  <c r="R407" i="18"/>
  <c r="R408" i="18"/>
  <c r="R409" i="18"/>
  <c r="R410" i="18"/>
  <c r="R411" i="18"/>
  <c r="R412" i="18"/>
  <c r="R413" i="18"/>
  <c r="R414" i="18"/>
  <c r="R415" i="18"/>
  <c r="R416" i="18"/>
  <c r="R417" i="18"/>
  <c r="R418" i="18"/>
  <c r="R419" i="18"/>
  <c r="R420" i="18"/>
  <c r="R421" i="18"/>
  <c r="R422" i="18"/>
  <c r="R423" i="18"/>
  <c r="R424" i="18"/>
  <c r="R425" i="18"/>
  <c r="R426" i="18"/>
  <c r="R427" i="18"/>
  <c r="R428" i="18"/>
  <c r="R429" i="18"/>
  <c r="R430" i="18"/>
  <c r="R431" i="18"/>
  <c r="R432" i="18"/>
  <c r="R433" i="18"/>
  <c r="R434" i="18"/>
  <c r="R435" i="18"/>
  <c r="R436" i="18"/>
  <c r="R437" i="18"/>
  <c r="R438" i="18"/>
  <c r="R439" i="18"/>
  <c r="R440" i="18"/>
  <c r="R441" i="18"/>
  <c r="R442" i="18"/>
  <c r="R443" i="18"/>
  <c r="R444" i="18"/>
  <c r="R445" i="18"/>
  <c r="R446" i="18"/>
  <c r="R447" i="18"/>
  <c r="R448" i="18"/>
  <c r="R449" i="18"/>
  <c r="R450" i="18"/>
  <c r="R451" i="18"/>
  <c r="R452" i="18"/>
  <c r="R453" i="18"/>
  <c r="R454" i="18"/>
  <c r="R455" i="18"/>
  <c r="R456" i="18"/>
  <c r="R457" i="18"/>
  <c r="R458" i="18"/>
  <c r="R459" i="18"/>
  <c r="R460" i="18"/>
  <c r="R461" i="18"/>
  <c r="R462" i="18"/>
  <c r="R463" i="18"/>
  <c r="R464" i="18"/>
  <c r="R465" i="18"/>
  <c r="R466" i="18"/>
  <c r="R467" i="18"/>
  <c r="R468" i="18"/>
  <c r="R469" i="18"/>
  <c r="R470" i="18"/>
  <c r="R471" i="18"/>
  <c r="R472" i="18"/>
  <c r="R473" i="18"/>
  <c r="R474" i="18"/>
  <c r="R475" i="18"/>
  <c r="R476" i="18"/>
  <c r="R477" i="18"/>
  <c r="R478" i="18"/>
  <c r="R479" i="18"/>
  <c r="R480" i="18"/>
  <c r="R481" i="18"/>
  <c r="R482" i="18"/>
  <c r="R483" i="18"/>
  <c r="R484" i="18"/>
  <c r="R485" i="18"/>
  <c r="R486" i="18"/>
  <c r="R487" i="18"/>
  <c r="R488" i="18"/>
  <c r="R489" i="18"/>
  <c r="R490" i="18"/>
  <c r="R491" i="18"/>
  <c r="R492" i="18"/>
  <c r="R493" i="18"/>
  <c r="R494" i="18"/>
  <c r="R495" i="18"/>
  <c r="R496" i="18"/>
  <c r="R497" i="18"/>
  <c r="R498" i="18"/>
  <c r="R499" i="18"/>
  <c r="R500" i="18"/>
  <c r="R501" i="18"/>
  <c r="R502" i="18"/>
  <c r="R503" i="18"/>
  <c r="R504" i="18"/>
  <c r="R505" i="18"/>
  <c r="R506" i="18"/>
  <c r="R507" i="18"/>
  <c r="R508" i="18"/>
  <c r="R509" i="18"/>
  <c r="R510" i="18"/>
  <c r="R511" i="18"/>
  <c r="R512" i="18"/>
  <c r="R513" i="18"/>
  <c r="R514" i="18"/>
  <c r="R515" i="18"/>
  <c r="R516" i="18"/>
  <c r="R517" i="18"/>
  <c r="R518" i="18"/>
  <c r="R519" i="18"/>
  <c r="R520" i="18"/>
  <c r="R521" i="18"/>
  <c r="R522" i="18"/>
  <c r="R523" i="18"/>
  <c r="R524" i="18"/>
  <c r="R525" i="18"/>
  <c r="R526" i="18"/>
  <c r="R527" i="18"/>
  <c r="R528" i="18"/>
  <c r="R529" i="18"/>
  <c r="R530" i="18"/>
  <c r="R531" i="18"/>
  <c r="R532" i="18"/>
  <c r="R533" i="18"/>
  <c r="R534" i="18"/>
  <c r="R535" i="18"/>
  <c r="R536" i="18"/>
  <c r="R537" i="18"/>
  <c r="R538" i="18"/>
  <c r="R539" i="18"/>
  <c r="R540" i="18"/>
  <c r="R541" i="18"/>
  <c r="R542" i="18"/>
  <c r="R543" i="18"/>
  <c r="R544" i="18"/>
  <c r="R545" i="18"/>
  <c r="R546" i="18"/>
  <c r="R547" i="18"/>
  <c r="R548" i="18"/>
  <c r="R549" i="18"/>
  <c r="R550" i="18"/>
  <c r="R551" i="18"/>
  <c r="R552" i="18"/>
  <c r="R553" i="18"/>
  <c r="R554" i="18"/>
  <c r="R555" i="18"/>
  <c r="R556" i="18"/>
  <c r="R557" i="18"/>
  <c r="R558" i="18"/>
  <c r="R559" i="18"/>
  <c r="R560" i="18"/>
  <c r="R561" i="18"/>
  <c r="R562" i="18"/>
  <c r="R563" i="18"/>
  <c r="R564" i="18"/>
  <c r="R565" i="18"/>
  <c r="R566" i="18"/>
  <c r="R567" i="18"/>
  <c r="R568" i="18"/>
  <c r="R569" i="18"/>
  <c r="R570" i="18"/>
  <c r="R571" i="18"/>
  <c r="R572" i="18"/>
  <c r="R573" i="18"/>
  <c r="R574" i="18"/>
  <c r="R575" i="18"/>
  <c r="R576" i="18"/>
  <c r="R577" i="18"/>
  <c r="R578" i="18"/>
  <c r="R579" i="18"/>
  <c r="R580" i="18"/>
  <c r="R581" i="18"/>
  <c r="R582" i="18"/>
  <c r="R583" i="18"/>
  <c r="R584" i="18"/>
  <c r="R585" i="18"/>
  <c r="R586" i="18"/>
  <c r="R587" i="18"/>
  <c r="R588" i="18"/>
  <c r="R589" i="18"/>
  <c r="R590" i="18"/>
  <c r="R591" i="18"/>
  <c r="R592" i="18"/>
  <c r="R593" i="18"/>
  <c r="R594" i="18"/>
  <c r="R595" i="18"/>
  <c r="R596" i="18"/>
  <c r="R597" i="18"/>
  <c r="R598" i="18"/>
  <c r="R599" i="18"/>
  <c r="R600" i="18"/>
  <c r="R601" i="18"/>
  <c r="R602" i="18"/>
  <c r="R603" i="18"/>
  <c r="R604" i="18"/>
  <c r="R605" i="18"/>
  <c r="R606" i="18"/>
  <c r="R607" i="18"/>
  <c r="R608" i="18"/>
  <c r="R609" i="18"/>
  <c r="R610" i="18"/>
  <c r="R611" i="18"/>
  <c r="R612" i="18"/>
  <c r="R613" i="18"/>
  <c r="R614" i="18"/>
  <c r="R615" i="18"/>
  <c r="R616" i="18"/>
  <c r="R617" i="18"/>
  <c r="R618" i="18"/>
  <c r="R619" i="18"/>
  <c r="R620" i="18"/>
  <c r="R621" i="18"/>
  <c r="R622" i="18"/>
  <c r="R623" i="18"/>
  <c r="R624" i="18"/>
  <c r="R625" i="18"/>
  <c r="R626" i="18"/>
  <c r="R627" i="18"/>
  <c r="R628" i="18"/>
  <c r="R629" i="18"/>
  <c r="R630" i="18"/>
  <c r="R631" i="18"/>
  <c r="R632" i="18"/>
  <c r="R633" i="18"/>
  <c r="R634" i="18"/>
  <c r="R635" i="18"/>
  <c r="R636" i="18"/>
  <c r="R637" i="18"/>
  <c r="R638" i="18"/>
  <c r="R639" i="18"/>
  <c r="R640" i="18"/>
  <c r="R641" i="18"/>
  <c r="R642" i="18"/>
  <c r="R643" i="18"/>
  <c r="R644" i="18"/>
  <c r="R645" i="18"/>
  <c r="R646" i="18"/>
  <c r="R647" i="18"/>
  <c r="R648" i="18"/>
  <c r="R649" i="18"/>
  <c r="R650" i="18"/>
  <c r="R651" i="18"/>
  <c r="R652" i="18"/>
  <c r="R653" i="18"/>
  <c r="R654" i="18"/>
  <c r="R655" i="18"/>
  <c r="R656" i="18"/>
  <c r="R657" i="18"/>
  <c r="R658" i="18"/>
  <c r="R659" i="18"/>
  <c r="R660" i="18"/>
  <c r="R661" i="18"/>
  <c r="R662" i="18"/>
  <c r="R663" i="18"/>
  <c r="R664" i="18"/>
  <c r="R665" i="18"/>
  <c r="R666" i="18"/>
  <c r="R667" i="18"/>
  <c r="R668" i="18"/>
  <c r="R669" i="18"/>
  <c r="R670" i="18"/>
  <c r="R671" i="18"/>
  <c r="R672" i="18"/>
  <c r="R673" i="18"/>
  <c r="R674" i="18"/>
  <c r="R675" i="18"/>
  <c r="R676" i="18"/>
  <c r="R677" i="18"/>
  <c r="R678" i="18"/>
  <c r="R679" i="18"/>
  <c r="R680" i="18"/>
  <c r="R681" i="18"/>
  <c r="R682" i="18"/>
  <c r="R683" i="18"/>
  <c r="R684" i="18"/>
  <c r="R685" i="18"/>
  <c r="R686" i="18"/>
  <c r="R687" i="18"/>
  <c r="R688" i="18"/>
  <c r="R689" i="18"/>
  <c r="R690" i="18"/>
  <c r="R691" i="18"/>
  <c r="R692" i="18"/>
  <c r="R693" i="18"/>
  <c r="R694" i="18"/>
  <c r="R695" i="18"/>
  <c r="R696" i="18"/>
  <c r="R697" i="18"/>
  <c r="R698" i="18"/>
  <c r="R699" i="18"/>
  <c r="R700" i="18"/>
  <c r="R701" i="18"/>
  <c r="R702" i="18"/>
  <c r="R703" i="18"/>
  <c r="R704" i="18"/>
  <c r="R705" i="18"/>
  <c r="R706" i="18"/>
  <c r="R707" i="18"/>
  <c r="R708" i="18"/>
  <c r="R709" i="18"/>
  <c r="R710" i="18"/>
  <c r="R711" i="18"/>
  <c r="R712" i="18"/>
  <c r="R713" i="18"/>
  <c r="R714" i="18"/>
  <c r="R715" i="18"/>
  <c r="R716" i="18"/>
  <c r="R717" i="18"/>
  <c r="R718" i="18"/>
  <c r="R719" i="18"/>
  <c r="R720" i="18"/>
  <c r="R721" i="18"/>
  <c r="R722" i="18"/>
  <c r="R723" i="18"/>
  <c r="R724" i="18"/>
  <c r="R725" i="18"/>
  <c r="R726" i="18"/>
  <c r="R727" i="18"/>
  <c r="R728" i="18"/>
  <c r="R729" i="18"/>
  <c r="R730" i="18"/>
  <c r="R731" i="18"/>
  <c r="R732" i="18"/>
  <c r="R733" i="18"/>
  <c r="R734" i="18"/>
  <c r="R735" i="18"/>
  <c r="R736" i="18"/>
  <c r="R737" i="18"/>
  <c r="R738" i="18"/>
  <c r="R739" i="18"/>
  <c r="R740" i="18"/>
  <c r="R741" i="18"/>
  <c r="R742" i="18"/>
  <c r="R743" i="18"/>
  <c r="R744" i="18"/>
  <c r="R745" i="18"/>
  <c r="R746" i="18"/>
  <c r="R747" i="18"/>
  <c r="R748" i="18"/>
  <c r="R749" i="18"/>
  <c r="R750" i="18"/>
  <c r="R751" i="18"/>
  <c r="R752" i="18"/>
  <c r="R753" i="18"/>
  <c r="R754" i="18"/>
  <c r="R755" i="18"/>
  <c r="R756" i="18"/>
  <c r="R757" i="18"/>
  <c r="R758" i="18"/>
  <c r="R759" i="18"/>
  <c r="R760" i="18"/>
  <c r="R761" i="18"/>
  <c r="R762" i="18"/>
  <c r="R763" i="18"/>
  <c r="R764" i="18"/>
  <c r="R765" i="18"/>
  <c r="R766" i="18"/>
  <c r="R767" i="18"/>
  <c r="R768" i="18"/>
  <c r="R769" i="18"/>
  <c r="R770" i="18"/>
  <c r="R771" i="18"/>
  <c r="R772" i="18"/>
  <c r="R773" i="18"/>
  <c r="R774" i="18"/>
  <c r="R775" i="18"/>
  <c r="R776" i="18"/>
  <c r="R777" i="18"/>
  <c r="R778" i="18"/>
  <c r="R779" i="18"/>
  <c r="R780" i="18"/>
  <c r="R781" i="18"/>
  <c r="R782" i="18"/>
  <c r="R783" i="18"/>
  <c r="R784" i="18"/>
  <c r="R785" i="18"/>
  <c r="R786" i="18"/>
  <c r="R787" i="18"/>
  <c r="R788" i="18"/>
  <c r="R789" i="18"/>
  <c r="R790" i="18"/>
  <c r="R791" i="18"/>
  <c r="R792" i="18"/>
  <c r="R793" i="18"/>
  <c r="R794" i="18"/>
  <c r="R795" i="18"/>
  <c r="R796" i="18"/>
  <c r="R797" i="18"/>
  <c r="R798" i="18"/>
  <c r="R799" i="18"/>
  <c r="R800" i="18"/>
  <c r="R801" i="18"/>
  <c r="R802" i="18"/>
  <c r="R803" i="18"/>
  <c r="R804" i="18"/>
  <c r="R805" i="18"/>
  <c r="R806" i="18"/>
  <c r="R807" i="18"/>
  <c r="R808" i="18"/>
  <c r="R809" i="18"/>
  <c r="R810" i="18"/>
  <c r="R811" i="18"/>
  <c r="R812" i="18"/>
  <c r="R813" i="18"/>
  <c r="R814" i="18"/>
  <c r="R815" i="18"/>
  <c r="R816" i="18"/>
  <c r="R817" i="18"/>
  <c r="R818" i="18"/>
  <c r="R819" i="18"/>
  <c r="R820" i="18"/>
  <c r="R821" i="18"/>
  <c r="R822" i="18"/>
  <c r="R823" i="18"/>
  <c r="R824" i="18"/>
  <c r="R825" i="18"/>
  <c r="R826" i="18"/>
  <c r="R827" i="18"/>
  <c r="R828" i="18"/>
  <c r="R829" i="18"/>
  <c r="R830" i="18"/>
  <c r="R831" i="18"/>
  <c r="R832" i="18"/>
  <c r="R833" i="18"/>
  <c r="R834" i="18"/>
  <c r="R835" i="18"/>
  <c r="R836" i="18"/>
  <c r="R837" i="18"/>
  <c r="R838" i="18"/>
  <c r="R839" i="18"/>
  <c r="R840" i="18"/>
  <c r="R841" i="18"/>
  <c r="R842" i="18"/>
  <c r="R843" i="18"/>
  <c r="R844" i="18"/>
  <c r="R845" i="18"/>
  <c r="R846" i="18"/>
  <c r="R847" i="18"/>
  <c r="R848" i="18"/>
  <c r="R849" i="18"/>
  <c r="R850" i="18"/>
  <c r="R851" i="18"/>
  <c r="R852" i="18"/>
  <c r="R853" i="18"/>
  <c r="R854" i="18"/>
  <c r="R855" i="18"/>
  <c r="R856" i="18"/>
  <c r="R857" i="18"/>
  <c r="R858" i="18"/>
  <c r="R859" i="18"/>
  <c r="R860" i="18"/>
  <c r="R861" i="18"/>
  <c r="R862" i="18"/>
  <c r="R863" i="18"/>
  <c r="R864" i="18"/>
  <c r="R865" i="18"/>
  <c r="R866" i="18"/>
  <c r="R867" i="18"/>
  <c r="R868" i="18"/>
  <c r="R869" i="18"/>
  <c r="R870" i="18"/>
  <c r="R871" i="18"/>
  <c r="R872" i="18"/>
  <c r="R873" i="18"/>
  <c r="R874" i="18"/>
  <c r="R875" i="18"/>
  <c r="R876" i="18"/>
  <c r="R877" i="18"/>
  <c r="R878" i="18"/>
  <c r="R879" i="18"/>
  <c r="R880" i="18"/>
  <c r="R881" i="18"/>
  <c r="R882" i="18"/>
  <c r="R883" i="18"/>
  <c r="R884" i="18"/>
  <c r="R885" i="18"/>
  <c r="R886" i="18"/>
  <c r="R887" i="18"/>
  <c r="R888" i="18"/>
  <c r="R889" i="18"/>
  <c r="R890" i="18"/>
  <c r="R891" i="18"/>
  <c r="R892" i="18"/>
  <c r="R893" i="18"/>
  <c r="R894" i="18"/>
  <c r="R895" i="18"/>
  <c r="R896" i="18"/>
  <c r="R897" i="18"/>
  <c r="R898" i="18"/>
  <c r="R899" i="18"/>
  <c r="R900" i="18"/>
  <c r="R901" i="18"/>
  <c r="R902" i="18"/>
  <c r="R903" i="18"/>
  <c r="R904" i="18"/>
  <c r="R905" i="18"/>
  <c r="R906" i="18"/>
  <c r="R907" i="18"/>
  <c r="R908" i="18"/>
  <c r="R909" i="18"/>
  <c r="R910" i="18"/>
  <c r="R911" i="18"/>
  <c r="R912" i="18"/>
  <c r="R913" i="18"/>
  <c r="R914" i="18"/>
  <c r="R915" i="18"/>
  <c r="R916" i="18"/>
  <c r="R917" i="18"/>
  <c r="R918" i="18"/>
  <c r="R919" i="18"/>
  <c r="R920" i="18"/>
  <c r="R921" i="18"/>
  <c r="R922" i="18"/>
  <c r="R923" i="18"/>
  <c r="R924" i="18"/>
  <c r="R925" i="18"/>
  <c r="R926" i="18"/>
  <c r="R927" i="18"/>
  <c r="R928" i="18"/>
  <c r="R929" i="18"/>
  <c r="R930" i="18"/>
  <c r="R931" i="18"/>
  <c r="R932" i="18"/>
  <c r="R933" i="18"/>
  <c r="R934" i="18"/>
  <c r="R935" i="18"/>
  <c r="R936" i="18"/>
  <c r="R937" i="18"/>
  <c r="R938" i="18"/>
  <c r="R939" i="18"/>
  <c r="R940" i="18"/>
  <c r="R941" i="18"/>
  <c r="R942" i="18"/>
  <c r="R943" i="18"/>
  <c r="R944" i="18"/>
  <c r="R945" i="18"/>
  <c r="R946" i="18"/>
  <c r="R947" i="18"/>
  <c r="R948" i="18"/>
  <c r="R949" i="18"/>
  <c r="R950" i="18"/>
  <c r="R951" i="18"/>
  <c r="R952" i="18"/>
  <c r="R953" i="18"/>
  <c r="R954" i="18"/>
  <c r="R955" i="18"/>
  <c r="R956" i="18"/>
  <c r="R957" i="18"/>
  <c r="R958" i="18"/>
  <c r="R959" i="18"/>
  <c r="R960" i="18"/>
  <c r="R961" i="18"/>
  <c r="R962" i="18"/>
  <c r="R963" i="18"/>
  <c r="R964" i="18"/>
  <c r="R965" i="18"/>
  <c r="R966" i="18"/>
  <c r="R967" i="18"/>
  <c r="R968" i="18"/>
  <c r="R969" i="18"/>
  <c r="R970" i="18"/>
  <c r="R971" i="18"/>
  <c r="R972" i="18"/>
  <c r="R973" i="18"/>
  <c r="R974" i="18"/>
  <c r="R975" i="18"/>
  <c r="R976" i="18"/>
  <c r="R977" i="18"/>
  <c r="R978" i="18"/>
  <c r="R979" i="18"/>
  <c r="R980" i="18"/>
  <c r="R981" i="18"/>
  <c r="R982" i="18"/>
  <c r="R983" i="18"/>
  <c r="R984" i="18"/>
  <c r="R985" i="18"/>
  <c r="R986" i="18"/>
  <c r="R987" i="18"/>
  <c r="R988" i="18"/>
  <c r="R989" i="18"/>
  <c r="R990" i="18"/>
  <c r="R991" i="18"/>
  <c r="R992" i="18"/>
  <c r="R993" i="18"/>
  <c r="R994" i="18"/>
  <c r="R995" i="18"/>
  <c r="R996" i="18"/>
  <c r="R997" i="18"/>
  <c r="R998" i="18"/>
  <c r="R999" i="18"/>
  <c r="R1000" i="18"/>
  <c r="R1001" i="18"/>
  <c r="R1002" i="18"/>
  <c r="R1003" i="18"/>
  <c r="R1004" i="18"/>
  <c r="R1005" i="18"/>
  <c r="R1006" i="18"/>
  <c r="R1007" i="18"/>
  <c r="R1008" i="18"/>
  <c r="R1009" i="18"/>
  <c r="R1010" i="18"/>
  <c r="R1011" i="18"/>
  <c r="R1012" i="18"/>
  <c r="R1013" i="18"/>
  <c r="R1014" i="18"/>
  <c r="R1015" i="18"/>
  <c r="R1016" i="18"/>
  <c r="R1017" i="18"/>
  <c r="R1018" i="18"/>
  <c r="R1019" i="18"/>
  <c r="R1020" i="18"/>
  <c r="R1021" i="18"/>
  <c r="R1022" i="18"/>
  <c r="R1023" i="18"/>
  <c r="R1024" i="18"/>
  <c r="R1025" i="18"/>
  <c r="R1026" i="18"/>
  <c r="R1027" i="18"/>
  <c r="R1028" i="18"/>
  <c r="R1029" i="18"/>
  <c r="R1030" i="18"/>
  <c r="R1031" i="18"/>
  <c r="R1032" i="18"/>
  <c r="R1033" i="18"/>
  <c r="R1034" i="18"/>
  <c r="R1035" i="18"/>
  <c r="R1036" i="18"/>
  <c r="R1037" i="18"/>
  <c r="R1038" i="18"/>
  <c r="R1039" i="18"/>
  <c r="R1040" i="18"/>
  <c r="R1041" i="18"/>
  <c r="R1042" i="18"/>
  <c r="R1043" i="18"/>
  <c r="R1044" i="18"/>
  <c r="R1045" i="18"/>
  <c r="R1046" i="18"/>
  <c r="R1047" i="18"/>
  <c r="R1048" i="18"/>
  <c r="R1049" i="18"/>
  <c r="R1050" i="18"/>
  <c r="R1051" i="18"/>
  <c r="R1052" i="18"/>
  <c r="R1053" i="18"/>
  <c r="R1054" i="18"/>
  <c r="R1055" i="18"/>
  <c r="R1056" i="18"/>
  <c r="R1057" i="18"/>
  <c r="R1058" i="18"/>
  <c r="R1059" i="18"/>
  <c r="R1060" i="18"/>
  <c r="R1061" i="18"/>
  <c r="R1062" i="18"/>
  <c r="R1063" i="18"/>
  <c r="R1064" i="18"/>
  <c r="R1065" i="18"/>
  <c r="R1066" i="18"/>
  <c r="R1067" i="18"/>
  <c r="R1068" i="18"/>
  <c r="R1069" i="18"/>
  <c r="R1070" i="18"/>
  <c r="R1071" i="18"/>
  <c r="R1072" i="18"/>
  <c r="R1073" i="18"/>
  <c r="R1074" i="18"/>
  <c r="R1075" i="18"/>
  <c r="R1076" i="18"/>
  <c r="R1077" i="18"/>
  <c r="R1078" i="18"/>
  <c r="R1079" i="18"/>
  <c r="R1080" i="18"/>
  <c r="R1081" i="18"/>
  <c r="R1082" i="18"/>
  <c r="R1083" i="18"/>
  <c r="R1084" i="18"/>
  <c r="R1085" i="18"/>
  <c r="R1086" i="18"/>
  <c r="R1087" i="18"/>
  <c r="R1088" i="18"/>
  <c r="R1089" i="18"/>
  <c r="R1090" i="18"/>
  <c r="R1091" i="18"/>
  <c r="R1092" i="18"/>
  <c r="R1093" i="18"/>
  <c r="R1094" i="18"/>
  <c r="R1095" i="18"/>
  <c r="R1096" i="18"/>
  <c r="R1097" i="18"/>
  <c r="R1098" i="18"/>
  <c r="R1099" i="18"/>
  <c r="R1100" i="18"/>
  <c r="R1101" i="18"/>
  <c r="R1102" i="18"/>
  <c r="R1103" i="18"/>
  <c r="R1104" i="18"/>
  <c r="R1105" i="18"/>
  <c r="R1106" i="18"/>
  <c r="R1107" i="18"/>
  <c r="R1108" i="18"/>
  <c r="R1109" i="18"/>
  <c r="R1110" i="18"/>
  <c r="R1111" i="18"/>
  <c r="R1112" i="18"/>
  <c r="R1113" i="18"/>
  <c r="R1114" i="18"/>
  <c r="R1115" i="18"/>
  <c r="R1116" i="18"/>
  <c r="R1117" i="18"/>
  <c r="R1118" i="18"/>
  <c r="R1119" i="18"/>
  <c r="R1120" i="18"/>
  <c r="R1121" i="18"/>
  <c r="R1122" i="18"/>
  <c r="R1123" i="18"/>
  <c r="R1124" i="18"/>
  <c r="R1125" i="18"/>
  <c r="R1126" i="18"/>
  <c r="R1127" i="18"/>
  <c r="R1128" i="18"/>
  <c r="R1129" i="18"/>
  <c r="R1130" i="18"/>
  <c r="R1131" i="18"/>
  <c r="R1132" i="18"/>
  <c r="R1133" i="18"/>
  <c r="R1134" i="18"/>
  <c r="R1135" i="18"/>
  <c r="R1136" i="18"/>
  <c r="R1137" i="18"/>
  <c r="R1138" i="18"/>
  <c r="R1139" i="18"/>
  <c r="R1140" i="18"/>
  <c r="R1141" i="18"/>
  <c r="R1142" i="18"/>
  <c r="R1143" i="18"/>
  <c r="R1144" i="18"/>
  <c r="R1145" i="18"/>
  <c r="R1146" i="18"/>
  <c r="R1147" i="18"/>
  <c r="R1148" i="18"/>
  <c r="R1149" i="18"/>
  <c r="R1150" i="18"/>
  <c r="R1151" i="18"/>
  <c r="R1152" i="18"/>
  <c r="R1153" i="18"/>
  <c r="R1154" i="18"/>
  <c r="R1155" i="18"/>
  <c r="R1156" i="18"/>
  <c r="R1157" i="18"/>
  <c r="R1158" i="18"/>
  <c r="R1159" i="18"/>
  <c r="R1160" i="18"/>
  <c r="R1161" i="18"/>
  <c r="R1162" i="18"/>
  <c r="R1163" i="18"/>
  <c r="R1164" i="18"/>
  <c r="R1165" i="18"/>
  <c r="R1166" i="18"/>
  <c r="R1167" i="18"/>
  <c r="R1168" i="18"/>
  <c r="R1169" i="18"/>
  <c r="R1170" i="18"/>
  <c r="R1171" i="18"/>
  <c r="R1172" i="18"/>
  <c r="R1173" i="18"/>
  <c r="R1174" i="18"/>
  <c r="R1175" i="18"/>
  <c r="R1176" i="18"/>
  <c r="R1177" i="18"/>
  <c r="R1178" i="18"/>
  <c r="R1179" i="18"/>
  <c r="R1180" i="18"/>
  <c r="R1181" i="18"/>
  <c r="R1182" i="18"/>
  <c r="R1183" i="18"/>
  <c r="R1184" i="18"/>
  <c r="R1185" i="18"/>
  <c r="R1186" i="18"/>
  <c r="R1187" i="18"/>
  <c r="R1188" i="18"/>
  <c r="R1189" i="18"/>
  <c r="R1190" i="18"/>
  <c r="R1191" i="18"/>
  <c r="R1192" i="18"/>
  <c r="R1193" i="18"/>
  <c r="R1194" i="18"/>
  <c r="R1195" i="18"/>
  <c r="R1196" i="18"/>
  <c r="R1197" i="18"/>
  <c r="R1198" i="18"/>
  <c r="R1199" i="18"/>
  <c r="R1200" i="18"/>
  <c r="R1201" i="18"/>
  <c r="R1202" i="18"/>
  <c r="R1203" i="18"/>
  <c r="R1204" i="18"/>
  <c r="R1205" i="18"/>
  <c r="R1206" i="18"/>
  <c r="R1207" i="18"/>
  <c r="R1208" i="18"/>
  <c r="R1209" i="18"/>
  <c r="R1210" i="18"/>
  <c r="R1211" i="18"/>
  <c r="R1212" i="18"/>
  <c r="R1213" i="18"/>
  <c r="R1214" i="18"/>
  <c r="R1215" i="18"/>
  <c r="R1216" i="18"/>
  <c r="R1217" i="18"/>
  <c r="R1218" i="18"/>
  <c r="R1220" i="18"/>
  <c r="R1221" i="18"/>
  <c r="R1222" i="18"/>
  <c r="R1223" i="18"/>
  <c r="R1224" i="18"/>
  <c r="R1225" i="18"/>
  <c r="R1226" i="18"/>
  <c r="R1227" i="18"/>
  <c r="R1228" i="18"/>
  <c r="R1229" i="18"/>
  <c r="R1231" i="18"/>
  <c r="R1232" i="18"/>
  <c r="R1233" i="18"/>
  <c r="R1234" i="18"/>
  <c r="R1235" i="18"/>
  <c r="R1236" i="18"/>
  <c r="R1237" i="18"/>
  <c r="R1238" i="18"/>
  <c r="R1239" i="18"/>
  <c r="R1240" i="18"/>
  <c r="R1241" i="18"/>
  <c r="L2" i="18"/>
  <c r="L3" i="18"/>
  <c r="L4" i="18"/>
  <c r="L5" i="18"/>
  <c r="L6" i="18"/>
  <c r="L7" i="18"/>
  <c r="L8" i="18"/>
  <c r="L9" i="18"/>
  <c r="L10" i="18"/>
  <c r="L11" i="18"/>
  <c r="L12" i="18"/>
  <c r="L13" i="18"/>
  <c r="L14" i="18"/>
  <c r="L15" i="18"/>
  <c r="L16" i="18"/>
  <c r="L17" i="18"/>
  <c r="L18" i="18"/>
  <c r="L19" i="18"/>
  <c r="L20" i="18"/>
  <c r="L21" i="18"/>
  <c r="L22" i="18"/>
  <c r="L23" i="18"/>
  <c r="L24" i="18"/>
  <c r="L25" i="18"/>
  <c r="L26" i="18"/>
  <c r="L27" i="18"/>
  <c r="L28" i="18"/>
  <c r="L29" i="18"/>
  <c r="L30" i="18"/>
  <c r="L31" i="18"/>
  <c r="L32" i="18"/>
  <c r="L33" i="18"/>
  <c r="L34" i="18"/>
  <c r="L35" i="18"/>
  <c r="L36" i="18"/>
  <c r="L37" i="18"/>
  <c r="L38" i="18"/>
  <c r="L39" i="18"/>
  <c r="L40" i="18"/>
  <c r="L42" i="18"/>
  <c r="L43" i="18"/>
  <c r="L44" i="18"/>
  <c r="L45" i="18"/>
  <c r="L46" i="18"/>
  <c r="L47" i="18"/>
  <c r="L48" i="18"/>
  <c r="L49" i="18"/>
  <c r="L50" i="18"/>
  <c r="L51" i="18"/>
  <c r="L52" i="18"/>
  <c r="L53" i="18"/>
  <c r="L54" i="18"/>
  <c r="L55" i="18"/>
  <c r="L56" i="18"/>
  <c r="L57" i="18"/>
  <c r="L58" i="18"/>
  <c r="L59" i="18"/>
  <c r="L60" i="18"/>
  <c r="L61" i="18"/>
  <c r="L62" i="18"/>
  <c r="L63" i="18"/>
  <c r="L64" i="18"/>
  <c r="L65" i="18"/>
  <c r="L66" i="18"/>
  <c r="L67" i="18"/>
  <c r="L68" i="18"/>
  <c r="L69" i="18"/>
  <c r="L70" i="18"/>
  <c r="L71" i="18"/>
  <c r="L72" i="18"/>
  <c r="L73" i="18"/>
  <c r="L74" i="18"/>
  <c r="L75" i="18"/>
  <c r="L76" i="18"/>
  <c r="L77" i="18"/>
  <c r="L78" i="18"/>
  <c r="L79" i="18"/>
  <c r="L80" i="18"/>
  <c r="L81" i="18"/>
  <c r="L82" i="18"/>
  <c r="L83" i="18"/>
  <c r="L84" i="18"/>
  <c r="L85" i="18"/>
  <c r="L86" i="18"/>
  <c r="L87" i="18"/>
  <c r="L88" i="18"/>
  <c r="L89" i="18"/>
  <c r="L90" i="18"/>
  <c r="L91" i="18"/>
  <c r="L92" i="18"/>
  <c r="L93" i="18"/>
  <c r="L94" i="18"/>
  <c r="L95" i="18"/>
  <c r="L96" i="18"/>
  <c r="L97" i="18"/>
  <c r="L98" i="18"/>
  <c r="L99" i="18"/>
  <c r="L100" i="18"/>
  <c r="L101" i="18"/>
  <c r="L102" i="18"/>
  <c r="L103" i="18"/>
  <c r="L104" i="18"/>
  <c r="L105" i="18"/>
  <c r="L106" i="18"/>
  <c r="L107" i="18"/>
  <c r="L108" i="18"/>
  <c r="L109" i="18"/>
  <c r="L110" i="18"/>
  <c r="L111" i="18"/>
  <c r="L112" i="18"/>
  <c r="L113" i="18"/>
  <c r="L114" i="18"/>
  <c r="L115" i="18"/>
  <c r="L116" i="18"/>
  <c r="L117" i="18"/>
  <c r="L118" i="18"/>
  <c r="L119" i="18"/>
  <c r="L120" i="18"/>
  <c r="L121" i="18"/>
  <c r="L122" i="18"/>
  <c r="L123" i="18"/>
  <c r="L124" i="18"/>
  <c r="L125" i="18"/>
  <c r="L126" i="18"/>
  <c r="L127" i="18"/>
  <c r="L128" i="18"/>
  <c r="L129" i="18"/>
  <c r="L130" i="18"/>
  <c r="L131" i="18"/>
  <c r="L132" i="18"/>
  <c r="L133" i="18"/>
  <c r="L134" i="18"/>
  <c r="L135" i="18"/>
  <c r="L136" i="18"/>
  <c r="L137" i="18"/>
  <c r="L138" i="18"/>
  <c r="L139" i="18"/>
  <c r="L140" i="18"/>
  <c r="L141" i="18"/>
  <c r="L142" i="18"/>
  <c r="L143" i="18"/>
  <c r="L144" i="18"/>
  <c r="L145" i="18"/>
  <c r="L146" i="18"/>
  <c r="L147" i="18"/>
  <c r="L148" i="18"/>
  <c r="L149" i="18"/>
  <c r="L150" i="18"/>
  <c r="L151" i="18"/>
  <c r="L152" i="18"/>
  <c r="L153" i="18"/>
  <c r="L154" i="18"/>
  <c r="L155" i="18"/>
  <c r="L156" i="18"/>
  <c r="L157" i="18"/>
  <c r="L158" i="18"/>
  <c r="L159" i="18"/>
  <c r="L160" i="18"/>
  <c r="L161" i="18"/>
  <c r="L162" i="18"/>
  <c r="L163" i="18"/>
  <c r="L164" i="18"/>
  <c r="L165" i="18"/>
  <c r="L166" i="18"/>
  <c r="L167" i="18"/>
  <c r="L168" i="18"/>
  <c r="L169" i="18"/>
  <c r="L170" i="18"/>
  <c r="L171" i="18"/>
  <c r="L172" i="18"/>
  <c r="L173" i="18"/>
  <c r="L174" i="18"/>
  <c r="L175" i="18"/>
  <c r="L176" i="18"/>
  <c r="L177" i="18"/>
  <c r="L178" i="18"/>
  <c r="L179" i="18"/>
  <c r="L180" i="18"/>
  <c r="L181" i="18"/>
  <c r="L182" i="18"/>
  <c r="L183" i="18"/>
  <c r="L184" i="18"/>
  <c r="L185" i="18"/>
  <c r="L186" i="18"/>
  <c r="L187" i="18"/>
  <c r="L188" i="18"/>
  <c r="L189" i="18"/>
  <c r="L190" i="18"/>
  <c r="L191" i="18"/>
  <c r="L192" i="18"/>
  <c r="L193" i="18"/>
  <c r="L194" i="18"/>
  <c r="L195" i="18"/>
  <c r="L196" i="18"/>
  <c r="L197" i="18"/>
  <c r="L198" i="18"/>
  <c r="L199" i="18"/>
  <c r="L200" i="18"/>
  <c r="L201" i="18"/>
  <c r="L202" i="18"/>
  <c r="L203" i="18"/>
  <c r="L204" i="18"/>
  <c r="L205" i="18"/>
  <c r="L206" i="18"/>
  <c r="L207" i="18"/>
  <c r="L208" i="18"/>
  <c r="L209" i="18"/>
  <c r="L210" i="18"/>
  <c r="L211" i="18"/>
  <c r="L212" i="18"/>
  <c r="L213" i="18"/>
  <c r="L214" i="18"/>
  <c r="L215" i="18"/>
  <c r="L216" i="18"/>
  <c r="L217" i="18"/>
  <c r="L218" i="18"/>
  <c r="L219" i="18"/>
  <c r="L220" i="18"/>
  <c r="L221" i="18"/>
  <c r="L222" i="18"/>
  <c r="L223" i="18"/>
  <c r="L224" i="18"/>
  <c r="L225" i="18"/>
  <c r="L226" i="18"/>
  <c r="L227" i="18"/>
  <c r="L228" i="18"/>
  <c r="L229" i="18"/>
  <c r="L230" i="18"/>
  <c r="L231" i="18"/>
  <c r="L232" i="18"/>
  <c r="L233" i="18"/>
  <c r="L234" i="18"/>
  <c r="L235" i="18"/>
  <c r="L236" i="18"/>
  <c r="L237" i="18"/>
  <c r="L238" i="18"/>
  <c r="L239" i="18"/>
  <c r="L240" i="18"/>
  <c r="L241" i="18"/>
  <c r="L242" i="18"/>
  <c r="L243" i="18"/>
  <c r="L244" i="18"/>
  <c r="L245" i="18"/>
  <c r="L246" i="18"/>
  <c r="L247" i="18"/>
  <c r="L248" i="18"/>
  <c r="L249" i="18"/>
  <c r="L250" i="18"/>
  <c r="L251" i="18"/>
  <c r="L252" i="18"/>
  <c r="L253" i="18"/>
  <c r="L254" i="18"/>
  <c r="L255" i="18"/>
  <c r="L256" i="18"/>
  <c r="L257" i="18"/>
  <c r="L258" i="18"/>
  <c r="L259" i="18"/>
  <c r="L260" i="18"/>
  <c r="L261" i="18"/>
  <c r="L262" i="18"/>
  <c r="L263" i="18"/>
  <c r="L264" i="18"/>
  <c r="L265" i="18"/>
  <c r="L266" i="18"/>
  <c r="L267" i="18"/>
  <c r="L268" i="18"/>
  <c r="L269" i="18"/>
  <c r="L270" i="18"/>
  <c r="L271" i="18"/>
  <c r="L272" i="18"/>
  <c r="L273" i="18"/>
  <c r="L274" i="18"/>
  <c r="L275" i="18"/>
  <c r="L276" i="18"/>
  <c r="L277" i="18"/>
  <c r="L278" i="18"/>
  <c r="L279" i="18"/>
  <c r="L280" i="18"/>
  <c r="L281" i="18"/>
  <c r="L282" i="18"/>
  <c r="L283" i="18"/>
  <c r="L284" i="18"/>
  <c r="L285" i="18"/>
  <c r="L286" i="18"/>
  <c r="L287" i="18"/>
  <c r="L288" i="18"/>
  <c r="L289" i="18"/>
  <c r="L290" i="18"/>
  <c r="L291" i="18"/>
  <c r="L292" i="18"/>
  <c r="L293" i="18"/>
  <c r="L294" i="18"/>
  <c r="L295" i="18"/>
  <c r="L296" i="18"/>
  <c r="L297" i="18"/>
  <c r="L298" i="18"/>
  <c r="L299" i="18"/>
  <c r="L300" i="18"/>
  <c r="L301" i="18"/>
  <c r="L302" i="18"/>
  <c r="L303" i="18"/>
  <c r="L304" i="18"/>
  <c r="L305" i="18"/>
  <c r="L306" i="18"/>
  <c r="L307" i="18"/>
  <c r="L308" i="18"/>
  <c r="L309" i="18"/>
  <c r="L310" i="18"/>
  <c r="L311" i="18"/>
  <c r="L312" i="18"/>
  <c r="L313" i="18"/>
  <c r="L314" i="18"/>
  <c r="L315" i="18"/>
  <c r="L316" i="18"/>
  <c r="L317" i="18"/>
  <c r="L318" i="18"/>
  <c r="L319" i="18"/>
  <c r="L320" i="18"/>
  <c r="L321" i="18"/>
  <c r="L322" i="18"/>
  <c r="L323" i="18"/>
  <c r="L324" i="18"/>
  <c r="L325" i="18"/>
  <c r="L326" i="18"/>
  <c r="L327" i="18"/>
  <c r="L328" i="18"/>
  <c r="L329" i="18"/>
  <c r="L330" i="18"/>
  <c r="L331" i="18"/>
  <c r="L332" i="18"/>
  <c r="L333" i="18"/>
  <c r="L334" i="18"/>
  <c r="L335" i="18"/>
  <c r="L336" i="18"/>
  <c r="L337" i="18"/>
  <c r="L338" i="18"/>
  <c r="L339" i="18"/>
  <c r="L340" i="18"/>
  <c r="L341" i="18"/>
  <c r="L342" i="18"/>
  <c r="L343" i="18"/>
  <c r="L344" i="18"/>
  <c r="L345" i="18"/>
  <c r="L346" i="18"/>
  <c r="L347" i="18"/>
  <c r="L348" i="18"/>
  <c r="L349" i="18"/>
  <c r="L350" i="18"/>
  <c r="L351" i="18"/>
  <c r="L352" i="18"/>
  <c r="L353" i="18"/>
  <c r="L354" i="18"/>
  <c r="L355" i="18"/>
  <c r="L356" i="18"/>
  <c r="L357" i="18"/>
  <c r="L358" i="18"/>
  <c r="L359" i="18"/>
  <c r="L360" i="18"/>
  <c r="L361" i="18"/>
  <c r="L362" i="18"/>
  <c r="L363" i="18"/>
  <c r="L364" i="18"/>
  <c r="L365" i="18"/>
  <c r="L366" i="18"/>
  <c r="L367" i="18"/>
  <c r="L368" i="18"/>
  <c r="L369" i="18"/>
  <c r="L370" i="18"/>
  <c r="L371" i="18"/>
  <c r="L372" i="18"/>
  <c r="L373" i="18"/>
  <c r="L374" i="18"/>
  <c r="L375" i="18"/>
  <c r="L376" i="18"/>
  <c r="L377" i="18"/>
  <c r="L378" i="18"/>
  <c r="L379" i="18"/>
  <c r="L380" i="18"/>
  <c r="L381" i="18"/>
  <c r="L382" i="18"/>
  <c r="L383" i="18"/>
  <c r="L384" i="18"/>
  <c r="L385" i="18"/>
  <c r="L386" i="18"/>
  <c r="L387" i="18"/>
  <c r="L388" i="18"/>
  <c r="L389" i="18"/>
  <c r="L390" i="18"/>
  <c r="L391" i="18"/>
  <c r="L392" i="18"/>
  <c r="L393" i="18"/>
  <c r="L394" i="18"/>
  <c r="L395" i="18"/>
  <c r="L396" i="18"/>
  <c r="L397" i="18"/>
  <c r="L398" i="18"/>
  <c r="L399" i="18"/>
  <c r="L400" i="18"/>
  <c r="L401" i="18"/>
  <c r="L402" i="18"/>
  <c r="L403" i="18"/>
  <c r="L404" i="18"/>
  <c r="L405" i="18"/>
  <c r="L406" i="18"/>
  <c r="L407" i="18"/>
  <c r="L408" i="18"/>
  <c r="L409" i="18"/>
  <c r="L410" i="18"/>
  <c r="L411" i="18"/>
  <c r="L412" i="18"/>
  <c r="L413" i="18"/>
  <c r="L414" i="18"/>
  <c r="L415" i="18"/>
  <c r="L416" i="18"/>
  <c r="L417" i="18"/>
  <c r="L418" i="18"/>
  <c r="L419" i="18"/>
  <c r="L420" i="18"/>
  <c r="L421" i="18"/>
  <c r="L422" i="18"/>
  <c r="L423" i="18"/>
  <c r="L424" i="18"/>
  <c r="L425" i="18"/>
  <c r="L426" i="18"/>
  <c r="L427" i="18"/>
  <c r="L428" i="18"/>
  <c r="L429" i="18"/>
  <c r="L430" i="18"/>
  <c r="L431" i="18"/>
  <c r="L432" i="18"/>
  <c r="L433" i="18"/>
  <c r="L434" i="18"/>
  <c r="L435" i="18"/>
  <c r="L436" i="18"/>
  <c r="L437" i="18"/>
  <c r="L438" i="18"/>
  <c r="L439" i="18"/>
  <c r="L440" i="18"/>
  <c r="L441" i="18"/>
  <c r="L442" i="18"/>
  <c r="L443" i="18"/>
  <c r="L444" i="18"/>
  <c r="L445" i="18"/>
  <c r="L446" i="18"/>
  <c r="L447" i="18"/>
  <c r="L448" i="18"/>
  <c r="L449" i="18"/>
  <c r="L450" i="18"/>
  <c r="L451" i="18"/>
  <c r="L452" i="18"/>
  <c r="L453" i="18"/>
  <c r="L454" i="18"/>
  <c r="L455" i="18"/>
  <c r="L456" i="18"/>
  <c r="L457" i="18"/>
  <c r="L458" i="18"/>
  <c r="L459" i="18"/>
  <c r="L460" i="18"/>
  <c r="L461" i="18"/>
  <c r="L462" i="18"/>
  <c r="L463" i="18"/>
  <c r="L464" i="18"/>
  <c r="L465" i="18"/>
  <c r="L466" i="18"/>
  <c r="L467" i="18"/>
  <c r="L468" i="18"/>
  <c r="L469" i="18"/>
  <c r="L470" i="18"/>
  <c r="L471" i="18"/>
  <c r="L472" i="18"/>
  <c r="L473" i="18"/>
  <c r="L474" i="18"/>
  <c r="L475" i="18"/>
  <c r="L476" i="18"/>
  <c r="L477" i="18"/>
  <c r="L478" i="18"/>
  <c r="L479" i="18"/>
  <c r="L480" i="18"/>
  <c r="L481" i="18"/>
  <c r="L482" i="18"/>
  <c r="L483" i="18"/>
  <c r="L484" i="18"/>
  <c r="L485" i="18"/>
  <c r="L486" i="18"/>
  <c r="L487" i="18"/>
  <c r="L488" i="18"/>
  <c r="L489" i="18"/>
  <c r="L490" i="18"/>
  <c r="L491" i="18"/>
  <c r="L492" i="18"/>
  <c r="L493" i="18"/>
  <c r="L494" i="18"/>
  <c r="L495" i="18"/>
  <c r="L496" i="18"/>
  <c r="L497" i="18"/>
  <c r="L498" i="18"/>
  <c r="L499" i="18"/>
  <c r="L500" i="18"/>
  <c r="L501" i="18"/>
  <c r="L502" i="18"/>
  <c r="L503" i="18"/>
  <c r="L504" i="18"/>
  <c r="L505" i="18"/>
  <c r="L506" i="18"/>
  <c r="L507" i="18"/>
  <c r="L508" i="18"/>
  <c r="L509" i="18"/>
  <c r="L510" i="18"/>
  <c r="L511" i="18"/>
  <c r="L512" i="18"/>
  <c r="L513" i="18"/>
  <c r="L514" i="18"/>
  <c r="L515" i="18"/>
  <c r="L516" i="18"/>
  <c r="L517" i="18"/>
  <c r="L518" i="18"/>
  <c r="L519" i="18"/>
  <c r="L520" i="18"/>
  <c r="L521" i="18"/>
  <c r="L522" i="18"/>
  <c r="L523" i="18"/>
  <c r="L524" i="18"/>
  <c r="L525" i="18"/>
  <c r="L526" i="18"/>
  <c r="L527" i="18"/>
  <c r="L528" i="18"/>
  <c r="L529" i="18"/>
  <c r="L530" i="18"/>
  <c r="L531" i="18"/>
  <c r="L532" i="18"/>
  <c r="L533" i="18"/>
  <c r="L534" i="18"/>
  <c r="L535" i="18"/>
  <c r="L536" i="18"/>
  <c r="L537" i="18"/>
  <c r="L538" i="18"/>
  <c r="L539" i="18"/>
  <c r="L540" i="18"/>
  <c r="L541" i="18"/>
  <c r="L542" i="18"/>
  <c r="L543" i="18"/>
  <c r="L544" i="18"/>
  <c r="L545" i="18"/>
  <c r="L546" i="18"/>
  <c r="L547" i="18"/>
  <c r="L548" i="18"/>
  <c r="L549" i="18"/>
  <c r="L550" i="18"/>
  <c r="L551" i="18"/>
  <c r="L552" i="18"/>
  <c r="L553" i="18"/>
  <c r="L554" i="18"/>
  <c r="L555" i="18"/>
  <c r="L556" i="18"/>
  <c r="L557" i="18"/>
  <c r="L558" i="18"/>
  <c r="L559" i="18"/>
  <c r="L560" i="18"/>
  <c r="L561" i="18"/>
  <c r="L562" i="18"/>
  <c r="L563" i="18"/>
  <c r="L564" i="18"/>
  <c r="L565" i="18"/>
  <c r="L566" i="18"/>
  <c r="L567" i="18"/>
  <c r="L568" i="18"/>
  <c r="L569" i="18"/>
  <c r="L570" i="18"/>
  <c r="L571" i="18"/>
  <c r="L572" i="18"/>
  <c r="L573" i="18"/>
  <c r="L574" i="18"/>
  <c r="L575" i="18"/>
  <c r="L576" i="18"/>
  <c r="L577" i="18"/>
  <c r="L578" i="18"/>
  <c r="L579" i="18"/>
  <c r="L580" i="18"/>
  <c r="L581" i="18"/>
  <c r="L582" i="18"/>
  <c r="L583" i="18"/>
  <c r="L584" i="18"/>
  <c r="L585" i="18"/>
  <c r="L586" i="18"/>
  <c r="L587" i="18"/>
  <c r="L588" i="18"/>
  <c r="L589" i="18"/>
  <c r="L590" i="18"/>
  <c r="L591" i="18"/>
  <c r="L592" i="18"/>
  <c r="L593" i="18"/>
  <c r="L594" i="18"/>
  <c r="L595" i="18"/>
  <c r="L596" i="18"/>
  <c r="L597" i="18"/>
  <c r="L598" i="18"/>
  <c r="L599" i="18"/>
  <c r="L600" i="18"/>
  <c r="L601" i="18"/>
  <c r="L602" i="18"/>
  <c r="L603" i="18"/>
  <c r="L604" i="18"/>
  <c r="L605" i="18"/>
  <c r="L606" i="18"/>
  <c r="L607" i="18"/>
  <c r="L608" i="18"/>
  <c r="L609" i="18"/>
  <c r="L610" i="18"/>
  <c r="L611" i="18"/>
  <c r="L612" i="18"/>
  <c r="L613" i="18"/>
  <c r="L614" i="18"/>
  <c r="L615" i="18"/>
  <c r="L616" i="18"/>
  <c r="L617" i="18"/>
  <c r="L618" i="18"/>
  <c r="L619" i="18"/>
  <c r="L620" i="18"/>
  <c r="L621" i="18"/>
  <c r="L622" i="18"/>
  <c r="L623" i="18"/>
  <c r="L624" i="18"/>
  <c r="L625" i="18"/>
  <c r="L626" i="18"/>
  <c r="L627" i="18"/>
  <c r="L628" i="18"/>
  <c r="L629" i="18"/>
  <c r="L630" i="18"/>
  <c r="L631" i="18"/>
  <c r="L632" i="18"/>
  <c r="L633" i="18"/>
  <c r="L634" i="18"/>
  <c r="L635" i="18"/>
  <c r="L636" i="18"/>
  <c r="L637" i="18"/>
  <c r="L638" i="18"/>
  <c r="L639" i="18"/>
  <c r="L640" i="18"/>
  <c r="L641" i="18"/>
  <c r="L642" i="18"/>
  <c r="L643" i="18"/>
  <c r="L644" i="18"/>
  <c r="L645" i="18"/>
  <c r="L646" i="18"/>
  <c r="L647" i="18"/>
  <c r="L648" i="18"/>
  <c r="L649" i="18"/>
  <c r="L650" i="18"/>
  <c r="L651" i="18"/>
  <c r="L652" i="18"/>
  <c r="L653" i="18"/>
  <c r="L654" i="18"/>
  <c r="L655" i="18"/>
  <c r="L656" i="18"/>
  <c r="L657" i="18"/>
  <c r="L658" i="18"/>
  <c r="L659" i="18"/>
  <c r="L660" i="18"/>
  <c r="L661" i="18"/>
  <c r="L662" i="18"/>
  <c r="L663" i="18"/>
  <c r="L664" i="18"/>
  <c r="L665" i="18"/>
  <c r="L666" i="18"/>
  <c r="L667" i="18"/>
  <c r="L668" i="18"/>
  <c r="L669" i="18"/>
  <c r="L670" i="18"/>
  <c r="L671" i="18"/>
  <c r="L672" i="18"/>
  <c r="L673" i="18"/>
  <c r="L674" i="18"/>
  <c r="L675" i="18"/>
  <c r="L676" i="18"/>
  <c r="L677" i="18"/>
  <c r="L678" i="18"/>
  <c r="L679" i="18"/>
  <c r="L680" i="18"/>
  <c r="L681" i="18"/>
  <c r="L682" i="18"/>
  <c r="L683" i="18"/>
  <c r="L684" i="18"/>
  <c r="L685" i="18"/>
  <c r="L686" i="18"/>
  <c r="L687" i="18"/>
  <c r="L688" i="18"/>
  <c r="L689" i="18"/>
  <c r="L690" i="18"/>
  <c r="L691" i="18"/>
  <c r="L692" i="18"/>
  <c r="L693" i="18"/>
  <c r="L694" i="18"/>
  <c r="L695" i="18"/>
  <c r="L696" i="18"/>
  <c r="L697" i="18"/>
  <c r="L698" i="18"/>
  <c r="L699" i="18"/>
  <c r="L700" i="18"/>
  <c r="L701" i="18"/>
  <c r="L702" i="18"/>
  <c r="L703" i="18"/>
  <c r="L704" i="18"/>
  <c r="L705" i="18"/>
  <c r="L706" i="18"/>
  <c r="L707" i="18"/>
  <c r="L708" i="18"/>
  <c r="L709" i="18"/>
  <c r="L710" i="18"/>
  <c r="L711" i="18"/>
  <c r="L712" i="18"/>
  <c r="L713" i="18"/>
  <c r="L714" i="18"/>
  <c r="L715" i="18"/>
  <c r="L716" i="18"/>
  <c r="L717" i="18"/>
  <c r="L718" i="18"/>
  <c r="L719" i="18"/>
  <c r="L720" i="18"/>
  <c r="L721" i="18"/>
  <c r="L722" i="18"/>
  <c r="L723" i="18"/>
  <c r="L724" i="18"/>
  <c r="L725" i="18"/>
  <c r="L726" i="18"/>
  <c r="L727" i="18"/>
  <c r="L728" i="18"/>
  <c r="L729" i="18"/>
  <c r="L730" i="18"/>
  <c r="L731" i="18"/>
  <c r="L732" i="18"/>
  <c r="L733" i="18"/>
  <c r="L734" i="18"/>
  <c r="L735" i="18"/>
  <c r="L736" i="18"/>
  <c r="L737" i="18"/>
  <c r="L738" i="18"/>
  <c r="L739" i="18"/>
  <c r="L740" i="18"/>
  <c r="L741" i="18"/>
  <c r="L742" i="18"/>
  <c r="L743" i="18"/>
  <c r="L744" i="18"/>
  <c r="L745" i="18"/>
  <c r="L746" i="18"/>
  <c r="L747" i="18"/>
  <c r="L748" i="18"/>
  <c r="L749" i="18"/>
  <c r="L750" i="18"/>
  <c r="L751" i="18"/>
  <c r="L752" i="18"/>
  <c r="L753" i="18"/>
  <c r="L754" i="18"/>
  <c r="L755" i="18"/>
  <c r="L756" i="18"/>
  <c r="L757" i="18"/>
  <c r="L758" i="18"/>
  <c r="L759" i="18"/>
  <c r="L760" i="18"/>
  <c r="L761" i="18"/>
  <c r="L762" i="18"/>
  <c r="L763" i="18"/>
  <c r="L764" i="18"/>
  <c r="L765" i="18"/>
  <c r="L766" i="18"/>
  <c r="L767" i="18"/>
  <c r="L768" i="18"/>
  <c r="L769" i="18"/>
  <c r="L770" i="18"/>
  <c r="L771" i="18"/>
  <c r="L772" i="18"/>
  <c r="L773" i="18"/>
  <c r="L774" i="18"/>
  <c r="L775" i="18"/>
  <c r="L776" i="18"/>
  <c r="L777" i="18"/>
  <c r="L778" i="18"/>
  <c r="L779" i="18"/>
  <c r="L780" i="18"/>
  <c r="L781" i="18"/>
  <c r="L782" i="18"/>
  <c r="L783" i="18"/>
  <c r="L784" i="18"/>
  <c r="L785" i="18"/>
  <c r="L786" i="18"/>
  <c r="L787" i="18"/>
  <c r="L788" i="18"/>
  <c r="L789" i="18"/>
  <c r="L790" i="18"/>
  <c r="L791" i="18"/>
  <c r="L792" i="18"/>
  <c r="L793" i="18"/>
  <c r="L794" i="18"/>
  <c r="L795" i="18"/>
  <c r="L796" i="18"/>
  <c r="L797" i="18"/>
  <c r="L798" i="18"/>
  <c r="L799" i="18"/>
  <c r="L800" i="18"/>
  <c r="L801" i="18"/>
  <c r="L802" i="18"/>
  <c r="L803" i="18"/>
  <c r="L804" i="18"/>
  <c r="L805" i="18"/>
  <c r="L806" i="18"/>
  <c r="L807" i="18"/>
  <c r="L808" i="18"/>
  <c r="L809" i="18"/>
  <c r="L810" i="18"/>
  <c r="L811" i="18"/>
  <c r="L812" i="18"/>
  <c r="L813" i="18"/>
  <c r="L814" i="18"/>
  <c r="L815" i="18"/>
  <c r="L816" i="18"/>
  <c r="L817" i="18"/>
  <c r="L818" i="18"/>
  <c r="L819" i="18"/>
  <c r="L820" i="18"/>
  <c r="L821" i="18"/>
  <c r="L822" i="18"/>
  <c r="L823" i="18"/>
  <c r="L824" i="18"/>
  <c r="L825" i="18"/>
  <c r="L826" i="18"/>
  <c r="L827" i="18"/>
  <c r="L828" i="18"/>
  <c r="L829" i="18"/>
  <c r="L830" i="18"/>
  <c r="L831" i="18"/>
  <c r="L832" i="18"/>
  <c r="L833" i="18"/>
  <c r="L834" i="18"/>
  <c r="L835" i="18"/>
  <c r="L836" i="18"/>
  <c r="L837" i="18"/>
  <c r="L838" i="18"/>
  <c r="L839" i="18"/>
  <c r="L840" i="18"/>
  <c r="L841" i="18"/>
  <c r="L842" i="18"/>
  <c r="L843" i="18"/>
  <c r="L844" i="18"/>
  <c r="L845" i="18"/>
  <c r="L846" i="18"/>
  <c r="L847" i="18"/>
  <c r="L848" i="18"/>
  <c r="L849" i="18"/>
  <c r="L850" i="18"/>
  <c r="L851" i="18"/>
  <c r="L852" i="18"/>
  <c r="L853" i="18"/>
  <c r="L854" i="18"/>
  <c r="L855" i="18"/>
  <c r="L856" i="18"/>
  <c r="L857" i="18"/>
  <c r="L858" i="18"/>
  <c r="L859" i="18"/>
  <c r="L860" i="18"/>
  <c r="L861" i="18"/>
  <c r="L862" i="18"/>
  <c r="L863" i="18"/>
  <c r="L864" i="18"/>
  <c r="L865" i="18"/>
  <c r="L866" i="18"/>
  <c r="L867" i="18"/>
  <c r="L868" i="18"/>
  <c r="L869" i="18"/>
  <c r="L870" i="18"/>
  <c r="L871" i="18"/>
  <c r="L872" i="18"/>
  <c r="L873" i="18"/>
  <c r="L874" i="18"/>
  <c r="L875" i="18"/>
  <c r="L876" i="18"/>
  <c r="L877" i="18"/>
  <c r="L878" i="18"/>
  <c r="L879" i="18"/>
  <c r="L880" i="18"/>
  <c r="L881" i="18"/>
  <c r="L882" i="18"/>
  <c r="L883" i="18"/>
  <c r="L884" i="18"/>
  <c r="L885" i="18"/>
  <c r="L886" i="18"/>
  <c r="L887" i="18"/>
  <c r="L888" i="18"/>
  <c r="L889" i="18"/>
  <c r="L890" i="18"/>
  <c r="L891" i="18"/>
  <c r="L892" i="18"/>
  <c r="L893" i="18"/>
  <c r="L894" i="18"/>
  <c r="L895" i="18"/>
  <c r="L896" i="18"/>
  <c r="L897" i="18"/>
  <c r="L898" i="18"/>
  <c r="L899" i="18"/>
  <c r="L900" i="18"/>
  <c r="L901" i="18"/>
  <c r="L902" i="18"/>
  <c r="L903" i="18"/>
  <c r="L904" i="18"/>
  <c r="L905" i="18"/>
  <c r="L906" i="18"/>
  <c r="L907" i="18"/>
  <c r="L908" i="18"/>
  <c r="L909" i="18"/>
  <c r="L910" i="18"/>
  <c r="L911" i="18"/>
  <c r="L912" i="18"/>
  <c r="L913" i="18"/>
  <c r="L914" i="18"/>
  <c r="L915" i="18"/>
  <c r="L916" i="18"/>
  <c r="L917" i="18"/>
  <c r="L918" i="18"/>
  <c r="L919" i="18"/>
  <c r="L920" i="18"/>
  <c r="L921" i="18"/>
  <c r="L922" i="18"/>
  <c r="L923" i="18"/>
  <c r="L924" i="18"/>
  <c r="L925" i="18"/>
  <c r="L926" i="18"/>
  <c r="L927" i="18"/>
  <c r="L928" i="18"/>
  <c r="L929" i="18"/>
  <c r="L930" i="18"/>
  <c r="L931" i="18"/>
  <c r="L932" i="18"/>
  <c r="L933" i="18"/>
  <c r="L934" i="18"/>
  <c r="L935" i="18"/>
  <c r="L936" i="18"/>
  <c r="L937" i="18"/>
  <c r="L938" i="18"/>
  <c r="L939" i="18"/>
  <c r="L940" i="18"/>
  <c r="L941" i="18"/>
  <c r="L942" i="18"/>
  <c r="L943" i="18"/>
  <c r="L944" i="18"/>
  <c r="L945" i="18"/>
  <c r="L946" i="18"/>
  <c r="L947" i="18"/>
  <c r="L948" i="18"/>
  <c r="L949" i="18"/>
  <c r="L950" i="18"/>
  <c r="L951" i="18"/>
  <c r="L952" i="18"/>
  <c r="L953" i="18"/>
  <c r="L954" i="18"/>
  <c r="L955" i="18"/>
  <c r="L956" i="18"/>
  <c r="L957" i="18"/>
  <c r="L958" i="18"/>
  <c r="L959" i="18"/>
  <c r="L960" i="18"/>
  <c r="L961" i="18"/>
  <c r="L962" i="18"/>
  <c r="L963" i="18"/>
  <c r="L964" i="18"/>
  <c r="L965" i="18"/>
  <c r="L966" i="18"/>
  <c r="L967" i="18"/>
  <c r="L968" i="18"/>
  <c r="L969" i="18"/>
  <c r="L970" i="18"/>
  <c r="L971" i="18"/>
  <c r="L972" i="18"/>
  <c r="L973" i="18"/>
  <c r="L974" i="18"/>
  <c r="L975" i="18"/>
  <c r="L976" i="18"/>
  <c r="L977" i="18"/>
  <c r="L978" i="18"/>
  <c r="L979" i="18"/>
  <c r="L980" i="18"/>
  <c r="L981" i="18"/>
  <c r="L982" i="18"/>
  <c r="L983" i="18"/>
  <c r="L984" i="18"/>
  <c r="L985" i="18"/>
  <c r="L986" i="18"/>
  <c r="L987" i="18"/>
  <c r="L988" i="18"/>
  <c r="L989" i="18"/>
  <c r="L990" i="18"/>
  <c r="L991" i="18"/>
  <c r="L992" i="18"/>
  <c r="L993" i="18"/>
  <c r="L994" i="18"/>
  <c r="L995" i="18"/>
  <c r="L996" i="18"/>
  <c r="L997" i="18"/>
  <c r="L998" i="18"/>
  <c r="L999" i="18"/>
  <c r="L1000" i="18"/>
  <c r="L1001" i="18"/>
  <c r="L1002" i="18"/>
  <c r="L1003" i="18"/>
  <c r="L1004" i="18"/>
  <c r="L1005" i="18"/>
  <c r="L1006" i="18"/>
  <c r="L1007" i="18"/>
  <c r="L1008" i="18"/>
  <c r="L1009" i="18"/>
  <c r="L1010" i="18"/>
  <c r="L1011" i="18"/>
  <c r="L1012" i="18"/>
  <c r="L1013" i="18"/>
  <c r="L1014" i="18"/>
  <c r="L1015" i="18"/>
  <c r="L1016" i="18"/>
  <c r="L1017" i="18"/>
  <c r="L1018" i="18"/>
  <c r="L1019" i="18"/>
  <c r="L1020" i="18"/>
  <c r="L1021" i="18"/>
  <c r="L1022" i="18"/>
  <c r="L1023" i="18"/>
  <c r="L1024" i="18"/>
  <c r="L1025" i="18"/>
  <c r="L1026" i="18"/>
  <c r="L1027" i="18"/>
  <c r="L1028" i="18"/>
  <c r="L1029" i="18"/>
  <c r="L1030" i="18"/>
  <c r="L1031" i="18"/>
  <c r="L1032" i="18"/>
  <c r="L1033" i="18"/>
  <c r="L1034" i="18"/>
  <c r="L1035" i="18"/>
  <c r="L1036" i="18"/>
  <c r="L1037" i="18"/>
  <c r="L1038" i="18"/>
  <c r="L1039" i="18"/>
  <c r="L1040" i="18"/>
  <c r="L1041" i="18"/>
  <c r="L1042" i="18"/>
  <c r="L1043" i="18"/>
  <c r="L1044" i="18"/>
  <c r="L1045" i="18"/>
  <c r="L1046" i="18"/>
  <c r="L1047" i="18"/>
  <c r="L1048" i="18"/>
  <c r="L1049" i="18"/>
  <c r="L1050" i="18"/>
  <c r="L1051" i="18"/>
  <c r="L1052" i="18"/>
  <c r="L1053" i="18"/>
  <c r="L1054" i="18"/>
  <c r="L1055" i="18"/>
  <c r="L1056" i="18"/>
  <c r="L1057" i="18"/>
  <c r="L1058" i="18"/>
  <c r="L1059" i="18"/>
  <c r="L1060" i="18"/>
  <c r="L1061" i="18"/>
  <c r="L1062" i="18"/>
  <c r="L1063" i="18"/>
  <c r="L1064" i="18"/>
  <c r="L1065" i="18"/>
  <c r="L1066" i="18"/>
  <c r="L1067" i="18"/>
  <c r="L1068" i="18"/>
  <c r="L1069" i="18"/>
  <c r="L1070" i="18"/>
  <c r="L1071" i="18"/>
  <c r="L1072" i="18"/>
  <c r="L1073" i="18"/>
  <c r="L1074" i="18"/>
  <c r="L1075" i="18"/>
  <c r="L1076" i="18"/>
  <c r="L1077" i="18"/>
  <c r="L1078" i="18"/>
  <c r="L1079" i="18"/>
  <c r="L1080" i="18"/>
  <c r="L1081" i="18"/>
  <c r="L1082" i="18"/>
  <c r="L1083" i="18"/>
  <c r="L1084" i="18"/>
  <c r="L1085" i="18"/>
  <c r="L1086" i="18"/>
  <c r="L1087" i="18"/>
  <c r="L1088" i="18"/>
  <c r="L1089" i="18"/>
  <c r="L1090" i="18"/>
  <c r="L1091" i="18"/>
  <c r="L1092" i="18"/>
  <c r="L1093" i="18"/>
  <c r="L1094" i="18"/>
  <c r="L1095" i="18"/>
  <c r="L1096" i="18"/>
  <c r="L1097" i="18"/>
  <c r="L1098" i="18"/>
  <c r="L1099" i="18"/>
  <c r="L1100" i="18"/>
  <c r="L1101" i="18"/>
  <c r="L1102" i="18"/>
  <c r="L1103" i="18"/>
  <c r="L1104" i="18"/>
  <c r="L1105" i="18"/>
  <c r="L1106" i="18"/>
  <c r="L1107" i="18"/>
  <c r="L1108" i="18"/>
  <c r="L1109" i="18"/>
  <c r="L1110" i="18"/>
  <c r="L1111" i="18"/>
  <c r="L1112" i="18"/>
  <c r="L1113" i="18"/>
  <c r="L1114" i="18"/>
  <c r="L1115" i="18"/>
  <c r="L1116" i="18"/>
  <c r="L1117" i="18"/>
  <c r="L1118" i="18"/>
  <c r="L1119" i="18"/>
  <c r="L1120" i="18"/>
  <c r="L1121" i="18"/>
  <c r="L1122" i="18"/>
  <c r="L1123" i="18"/>
  <c r="L1124" i="18"/>
  <c r="L1125" i="18"/>
  <c r="L1126" i="18"/>
  <c r="L1127" i="18"/>
  <c r="L1128" i="18"/>
  <c r="L1129" i="18"/>
  <c r="L1130" i="18"/>
  <c r="L1131" i="18"/>
  <c r="L1132" i="18"/>
  <c r="L1133" i="18"/>
  <c r="L1134" i="18"/>
  <c r="L1135" i="18"/>
  <c r="L1136" i="18"/>
  <c r="L1137" i="18"/>
  <c r="L1138" i="18"/>
  <c r="L1139" i="18"/>
  <c r="L1140" i="18"/>
  <c r="L1141" i="18"/>
  <c r="L1142" i="18"/>
  <c r="L1143" i="18"/>
  <c r="L1144" i="18"/>
  <c r="L1145" i="18"/>
  <c r="L1146" i="18"/>
  <c r="L1147" i="18"/>
  <c r="L1148" i="18"/>
  <c r="L1149" i="18"/>
  <c r="L1150" i="18"/>
  <c r="L1151" i="18"/>
  <c r="L1152" i="18"/>
  <c r="L1153" i="18"/>
  <c r="L1154" i="18"/>
  <c r="L1155" i="18"/>
  <c r="L1156" i="18"/>
  <c r="L1157" i="18"/>
  <c r="L1158" i="18"/>
  <c r="L1159" i="18"/>
  <c r="L1160" i="18"/>
  <c r="L1161" i="18"/>
  <c r="L1162" i="18"/>
  <c r="L1163" i="18"/>
  <c r="L1164" i="18"/>
  <c r="L1165" i="18"/>
  <c r="L1166" i="18"/>
  <c r="L1167" i="18"/>
  <c r="L1168" i="18"/>
  <c r="L1169" i="18"/>
  <c r="L1170" i="18"/>
  <c r="L1171" i="18"/>
  <c r="L1172" i="18"/>
  <c r="L1173" i="18"/>
  <c r="L1174" i="18"/>
  <c r="L1175" i="18"/>
  <c r="L1176" i="18"/>
  <c r="L1177" i="18"/>
  <c r="L1178" i="18"/>
  <c r="L1179" i="18"/>
  <c r="L1180" i="18"/>
  <c r="L1181" i="18"/>
  <c r="L1182" i="18"/>
  <c r="L1183" i="18"/>
  <c r="L1184" i="18"/>
  <c r="L1185" i="18"/>
  <c r="L1186" i="18"/>
  <c r="L1187" i="18"/>
  <c r="L1188" i="18"/>
  <c r="L1189" i="18"/>
  <c r="L1190" i="18"/>
  <c r="L1191" i="18"/>
  <c r="L1192" i="18"/>
  <c r="L1193" i="18"/>
  <c r="L1194" i="18"/>
  <c r="L1195" i="18"/>
  <c r="L1196" i="18"/>
  <c r="L1197" i="18"/>
  <c r="L1198" i="18"/>
  <c r="L1199" i="18"/>
  <c r="L1200" i="18"/>
  <c r="L1201" i="18"/>
  <c r="L1202" i="18"/>
  <c r="L1203" i="18"/>
  <c r="L1204" i="18"/>
  <c r="L1205" i="18"/>
  <c r="L1206" i="18"/>
  <c r="L1207" i="18"/>
  <c r="L1208" i="18"/>
  <c r="L1209" i="18"/>
  <c r="L1210" i="18"/>
  <c r="L1211" i="18"/>
  <c r="L1212" i="18"/>
  <c r="L1213" i="18"/>
  <c r="L1214" i="18"/>
  <c r="L1215" i="18"/>
  <c r="L1216" i="18"/>
  <c r="L1217" i="18"/>
  <c r="L1218" i="18"/>
  <c r="L1220" i="18"/>
  <c r="L1221" i="18"/>
  <c r="L1222" i="18"/>
  <c r="L1223" i="18"/>
  <c r="L1224" i="18"/>
  <c r="L1225" i="18"/>
  <c r="L1226" i="18"/>
  <c r="L1227" i="18"/>
  <c r="L1228" i="18"/>
  <c r="L1229" i="18"/>
  <c r="L1231" i="18"/>
  <c r="L1232" i="18"/>
  <c r="L1233" i="18"/>
  <c r="L1234" i="18"/>
  <c r="L1235" i="18"/>
  <c r="L1236" i="18"/>
  <c r="L1237" i="18"/>
  <c r="L1238" i="18"/>
  <c r="L1239" i="18"/>
  <c r="L1240" i="18"/>
  <c r="L1241" i="18"/>
  <c r="J2" i="18"/>
  <c r="J3" i="18"/>
  <c r="J4" i="18"/>
  <c r="J5" i="18"/>
  <c r="J6" i="18"/>
  <c r="J7" i="18"/>
  <c r="J8" i="18"/>
  <c r="J9" i="18"/>
  <c r="J10" i="18"/>
  <c r="J11" i="18"/>
  <c r="J12" i="18"/>
  <c r="J13" i="18"/>
  <c r="J14" i="18"/>
  <c r="J15" i="18"/>
  <c r="J16" i="18"/>
  <c r="J17" i="18"/>
  <c r="J18" i="18"/>
  <c r="J19" i="18"/>
  <c r="J20" i="18"/>
  <c r="J21" i="18"/>
  <c r="J22" i="18"/>
  <c r="J23" i="18"/>
  <c r="J24" i="18"/>
  <c r="J25" i="18"/>
  <c r="J26" i="18"/>
  <c r="J27" i="18"/>
  <c r="J28" i="18"/>
  <c r="J29" i="18"/>
  <c r="J30" i="18"/>
  <c r="J31" i="18"/>
  <c r="J32" i="18"/>
  <c r="J33" i="18"/>
  <c r="J34" i="18"/>
  <c r="J35" i="18"/>
  <c r="J36" i="18"/>
  <c r="J37" i="18"/>
  <c r="J38" i="18"/>
  <c r="J39" i="18"/>
  <c r="J40" i="18"/>
  <c r="J42" i="18"/>
  <c r="J43" i="18"/>
  <c r="J44" i="18"/>
  <c r="J45" i="18"/>
  <c r="J46" i="18"/>
  <c r="J47" i="18"/>
  <c r="J48" i="18"/>
  <c r="J49" i="18"/>
  <c r="J50" i="18"/>
  <c r="J51" i="18"/>
  <c r="J52" i="18"/>
  <c r="J53" i="18"/>
  <c r="J54" i="18"/>
  <c r="J55" i="18"/>
  <c r="J56" i="18"/>
  <c r="J57" i="18"/>
  <c r="J58" i="18"/>
  <c r="J59" i="18"/>
  <c r="J60" i="18"/>
  <c r="J61" i="18"/>
  <c r="J62" i="18"/>
  <c r="J63" i="18"/>
  <c r="J64" i="18"/>
  <c r="J65" i="18"/>
  <c r="J66" i="18"/>
  <c r="J67" i="18"/>
  <c r="J68" i="18"/>
  <c r="J69" i="18"/>
  <c r="J70" i="18"/>
  <c r="J71" i="18"/>
  <c r="J72" i="18"/>
  <c r="J73" i="18"/>
  <c r="J74" i="18"/>
  <c r="J75" i="18"/>
  <c r="J76" i="18"/>
  <c r="J77" i="18"/>
  <c r="J78" i="18"/>
  <c r="J79" i="18"/>
  <c r="J80" i="18"/>
  <c r="J81" i="18"/>
  <c r="J82" i="18"/>
  <c r="J83" i="18"/>
  <c r="J84" i="18"/>
  <c r="J85" i="18"/>
  <c r="J86" i="18"/>
  <c r="J87" i="18"/>
  <c r="J88" i="18"/>
  <c r="J89" i="18"/>
  <c r="J90" i="18"/>
  <c r="J91" i="18"/>
  <c r="J92" i="18"/>
  <c r="J93" i="18"/>
  <c r="J94" i="18"/>
  <c r="J95" i="18"/>
  <c r="J96" i="18"/>
  <c r="J97" i="18"/>
  <c r="J98" i="18"/>
  <c r="J99" i="18"/>
  <c r="J100" i="18"/>
  <c r="J101" i="18"/>
  <c r="J102" i="18"/>
  <c r="J103" i="18"/>
  <c r="J104" i="18"/>
  <c r="J105" i="18"/>
  <c r="J106" i="18"/>
  <c r="J107" i="18"/>
  <c r="J108" i="18"/>
  <c r="J109" i="18"/>
  <c r="J110" i="18"/>
  <c r="J111" i="18"/>
  <c r="J112" i="18"/>
  <c r="J113" i="18"/>
  <c r="J114" i="18"/>
  <c r="J115" i="18"/>
  <c r="J116" i="18"/>
  <c r="J117" i="18"/>
  <c r="J118" i="18"/>
  <c r="J119" i="18"/>
  <c r="J120" i="18"/>
  <c r="J121" i="18"/>
  <c r="J122" i="18"/>
  <c r="J123" i="18"/>
  <c r="J124" i="18"/>
  <c r="J125" i="18"/>
  <c r="J126" i="18"/>
  <c r="J127" i="18"/>
  <c r="J128" i="18"/>
  <c r="J129" i="18"/>
  <c r="J130" i="18"/>
  <c r="J131" i="18"/>
  <c r="J132" i="18"/>
  <c r="J133" i="18"/>
  <c r="J134" i="18"/>
  <c r="J135" i="18"/>
  <c r="J136" i="18"/>
  <c r="J137" i="18"/>
  <c r="J138" i="18"/>
  <c r="J139" i="18"/>
  <c r="J140" i="18"/>
  <c r="J141" i="18"/>
  <c r="J142" i="18"/>
  <c r="J143" i="18"/>
  <c r="J144" i="18"/>
  <c r="J145" i="18"/>
  <c r="J146" i="18"/>
  <c r="J147" i="18"/>
  <c r="J148" i="18"/>
  <c r="J149" i="18"/>
  <c r="J150" i="18"/>
  <c r="J151" i="18"/>
  <c r="J152" i="18"/>
  <c r="J153" i="18"/>
  <c r="J154" i="18"/>
  <c r="J155" i="18"/>
  <c r="J156" i="18"/>
  <c r="J157" i="18"/>
  <c r="J158" i="18"/>
  <c r="J159" i="18"/>
  <c r="J160" i="18"/>
  <c r="J161" i="18"/>
  <c r="J162" i="18"/>
  <c r="J163" i="18"/>
  <c r="J164" i="18"/>
  <c r="J165" i="18"/>
  <c r="J166" i="18"/>
  <c r="J167" i="18"/>
  <c r="J168" i="18"/>
  <c r="J169" i="18"/>
  <c r="J170" i="18"/>
  <c r="J171" i="18"/>
  <c r="J172" i="18"/>
  <c r="J173" i="18"/>
  <c r="J174" i="18"/>
  <c r="J175" i="18"/>
  <c r="J176" i="18"/>
  <c r="J177" i="18"/>
  <c r="J178" i="18"/>
  <c r="J179" i="18"/>
  <c r="J180" i="18"/>
  <c r="J181" i="18"/>
  <c r="J182" i="18"/>
  <c r="J183" i="18"/>
  <c r="J184" i="18"/>
  <c r="J185" i="18"/>
  <c r="J186" i="18"/>
  <c r="J187" i="18"/>
  <c r="J188" i="18"/>
  <c r="J189" i="18"/>
  <c r="J190" i="18"/>
  <c r="J191" i="18"/>
  <c r="J192" i="18"/>
  <c r="J193" i="18"/>
  <c r="J194" i="18"/>
  <c r="J195" i="18"/>
  <c r="J196" i="18"/>
  <c r="J197" i="18"/>
  <c r="J198" i="18"/>
  <c r="J199" i="18"/>
  <c r="J200" i="18"/>
  <c r="J201" i="18"/>
  <c r="J202" i="18"/>
  <c r="J203" i="18"/>
  <c r="J204" i="18"/>
  <c r="J205" i="18"/>
  <c r="J206" i="18"/>
  <c r="J207" i="18"/>
  <c r="J208" i="18"/>
  <c r="J209" i="18"/>
  <c r="J210" i="18"/>
  <c r="J211" i="18"/>
  <c r="J212" i="18"/>
  <c r="J213" i="18"/>
  <c r="J214" i="18"/>
  <c r="J215" i="18"/>
  <c r="J216" i="18"/>
  <c r="J217" i="18"/>
  <c r="J218" i="18"/>
  <c r="J219" i="18"/>
  <c r="J220" i="18"/>
  <c r="J221" i="18"/>
  <c r="J222" i="18"/>
  <c r="J223" i="18"/>
  <c r="J224" i="18"/>
  <c r="J225" i="18"/>
  <c r="J226" i="18"/>
  <c r="J227" i="18"/>
  <c r="J228" i="18"/>
  <c r="J229" i="18"/>
  <c r="J230" i="18"/>
  <c r="J231" i="18"/>
  <c r="J232" i="18"/>
  <c r="J233" i="18"/>
  <c r="J234" i="18"/>
  <c r="J235" i="18"/>
  <c r="J236" i="18"/>
  <c r="J237" i="18"/>
  <c r="J238" i="18"/>
  <c r="J239" i="18"/>
  <c r="J240" i="18"/>
  <c r="J241" i="18"/>
  <c r="J242" i="18"/>
  <c r="J243" i="18"/>
  <c r="J244" i="18"/>
  <c r="J245" i="18"/>
  <c r="J246" i="18"/>
  <c r="J247" i="18"/>
  <c r="J248" i="18"/>
  <c r="J249" i="18"/>
  <c r="J250" i="18"/>
  <c r="J251" i="18"/>
  <c r="J252" i="18"/>
  <c r="J253" i="18"/>
  <c r="J254" i="18"/>
  <c r="J255" i="18"/>
  <c r="J256" i="18"/>
  <c r="J257" i="18"/>
  <c r="J258" i="18"/>
  <c r="J259" i="18"/>
  <c r="J260" i="18"/>
  <c r="J261" i="18"/>
  <c r="J262" i="18"/>
  <c r="J263" i="18"/>
  <c r="J264" i="18"/>
  <c r="J265" i="18"/>
  <c r="J266" i="18"/>
  <c r="J267" i="18"/>
  <c r="J268" i="18"/>
  <c r="J269" i="18"/>
  <c r="J270" i="18"/>
  <c r="J271" i="18"/>
  <c r="J272" i="18"/>
  <c r="J273" i="18"/>
  <c r="J274" i="18"/>
  <c r="J275" i="18"/>
  <c r="J276" i="18"/>
  <c r="J277" i="18"/>
  <c r="J278" i="18"/>
  <c r="J279" i="18"/>
  <c r="J280" i="18"/>
  <c r="J281" i="18"/>
  <c r="J282" i="18"/>
  <c r="J283" i="18"/>
  <c r="J284" i="18"/>
  <c r="J285" i="18"/>
  <c r="J286" i="18"/>
  <c r="J287" i="18"/>
  <c r="J288" i="18"/>
  <c r="J289" i="18"/>
  <c r="J290" i="18"/>
  <c r="J291" i="18"/>
  <c r="J292" i="18"/>
  <c r="J293" i="18"/>
  <c r="J294" i="18"/>
  <c r="J295" i="18"/>
  <c r="J296" i="18"/>
  <c r="J297" i="18"/>
  <c r="J298" i="18"/>
  <c r="J299" i="18"/>
  <c r="J300" i="18"/>
  <c r="J301" i="18"/>
  <c r="J302" i="18"/>
  <c r="J303" i="18"/>
  <c r="J304" i="18"/>
  <c r="J305" i="18"/>
  <c r="J306" i="18"/>
  <c r="J307" i="18"/>
  <c r="J308" i="18"/>
  <c r="J309" i="18"/>
  <c r="J310" i="18"/>
  <c r="J311" i="18"/>
  <c r="J312" i="18"/>
  <c r="J313" i="18"/>
  <c r="J314" i="18"/>
  <c r="J315" i="18"/>
  <c r="J316" i="18"/>
  <c r="J317" i="18"/>
  <c r="J318" i="18"/>
  <c r="J319" i="18"/>
  <c r="J320" i="18"/>
  <c r="J321" i="18"/>
  <c r="J322" i="18"/>
  <c r="J323" i="18"/>
  <c r="J324" i="18"/>
  <c r="J325" i="18"/>
  <c r="J326" i="18"/>
  <c r="J327" i="18"/>
  <c r="J328" i="18"/>
  <c r="J329" i="18"/>
  <c r="J330" i="18"/>
  <c r="J331" i="18"/>
  <c r="J332" i="18"/>
  <c r="J333" i="18"/>
  <c r="J334" i="18"/>
  <c r="J335" i="18"/>
  <c r="J336" i="18"/>
  <c r="J337" i="18"/>
  <c r="J338" i="18"/>
  <c r="J339" i="18"/>
  <c r="J340" i="18"/>
  <c r="J341" i="18"/>
  <c r="J342" i="18"/>
  <c r="J343" i="18"/>
  <c r="J344" i="18"/>
  <c r="J345" i="18"/>
  <c r="J346" i="18"/>
  <c r="J347" i="18"/>
  <c r="J348" i="18"/>
  <c r="J349" i="18"/>
  <c r="J350" i="18"/>
  <c r="J351" i="18"/>
  <c r="J352" i="18"/>
  <c r="J353" i="18"/>
  <c r="J354" i="18"/>
  <c r="J355" i="18"/>
  <c r="J356" i="18"/>
  <c r="J357" i="18"/>
  <c r="J358" i="18"/>
  <c r="J359" i="18"/>
  <c r="J360" i="18"/>
  <c r="J361" i="18"/>
  <c r="J362" i="18"/>
  <c r="J363" i="18"/>
  <c r="J364" i="18"/>
  <c r="J365" i="18"/>
  <c r="J366" i="18"/>
  <c r="J367" i="18"/>
  <c r="J368" i="18"/>
  <c r="J369" i="18"/>
  <c r="J370" i="18"/>
  <c r="J371" i="18"/>
  <c r="J372" i="18"/>
  <c r="J373" i="18"/>
  <c r="J374" i="18"/>
  <c r="J375" i="18"/>
  <c r="J376" i="18"/>
  <c r="J377" i="18"/>
  <c r="J378" i="18"/>
  <c r="J379" i="18"/>
  <c r="J380" i="18"/>
  <c r="J381" i="18"/>
  <c r="J382" i="18"/>
  <c r="J383" i="18"/>
  <c r="J384" i="18"/>
  <c r="J385" i="18"/>
  <c r="J386" i="18"/>
  <c r="J387" i="18"/>
  <c r="J388" i="18"/>
  <c r="J389" i="18"/>
  <c r="J390" i="18"/>
  <c r="J391" i="18"/>
  <c r="J392" i="18"/>
  <c r="J393" i="18"/>
  <c r="J394" i="18"/>
  <c r="J395" i="18"/>
  <c r="J396" i="18"/>
  <c r="J397" i="18"/>
  <c r="J398" i="18"/>
  <c r="J399" i="18"/>
  <c r="J400" i="18"/>
  <c r="J401" i="18"/>
  <c r="J402" i="18"/>
  <c r="J403" i="18"/>
  <c r="J404" i="18"/>
  <c r="J405" i="18"/>
  <c r="J406" i="18"/>
  <c r="J407" i="18"/>
  <c r="J408" i="18"/>
  <c r="J409" i="18"/>
  <c r="J410" i="18"/>
  <c r="J411" i="18"/>
  <c r="J412" i="18"/>
  <c r="J413" i="18"/>
  <c r="J414" i="18"/>
  <c r="J415" i="18"/>
  <c r="J416" i="18"/>
  <c r="J417" i="18"/>
  <c r="J418" i="18"/>
  <c r="J419" i="18"/>
  <c r="J420" i="18"/>
  <c r="J421" i="18"/>
  <c r="J422" i="18"/>
  <c r="J423" i="18"/>
  <c r="J424" i="18"/>
  <c r="J425" i="18"/>
  <c r="J426" i="18"/>
  <c r="J427" i="18"/>
  <c r="J428" i="18"/>
  <c r="J429" i="18"/>
  <c r="J430" i="18"/>
  <c r="J431" i="18"/>
  <c r="J432" i="18"/>
  <c r="J433" i="18"/>
  <c r="J434" i="18"/>
  <c r="J435" i="18"/>
  <c r="J436" i="18"/>
  <c r="J437" i="18"/>
  <c r="J438" i="18"/>
  <c r="J439" i="18"/>
  <c r="J440" i="18"/>
  <c r="J441" i="18"/>
  <c r="J442" i="18"/>
  <c r="J443" i="18"/>
  <c r="J444" i="18"/>
  <c r="J445" i="18"/>
  <c r="J446" i="18"/>
  <c r="J447" i="18"/>
  <c r="J448" i="18"/>
  <c r="J449" i="18"/>
  <c r="J450" i="18"/>
  <c r="J451" i="18"/>
  <c r="J452" i="18"/>
  <c r="J453" i="18"/>
  <c r="J454" i="18"/>
  <c r="J455" i="18"/>
  <c r="J456" i="18"/>
  <c r="J457" i="18"/>
  <c r="J458" i="18"/>
  <c r="J459" i="18"/>
  <c r="J460" i="18"/>
  <c r="J461" i="18"/>
  <c r="J462" i="18"/>
  <c r="J463" i="18"/>
  <c r="J464" i="18"/>
  <c r="J465" i="18"/>
  <c r="J466" i="18"/>
  <c r="J467" i="18"/>
  <c r="J468" i="18"/>
  <c r="J469" i="18"/>
  <c r="J470" i="18"/>
  <c r="J471" i="18"/>
  <c r="J472" i="18"/>
  <c r="J473" i="18"/>
  <c r="J474" i="18"/>
  <c r="J475" i="18"/>
  <c r="J476" i="18"/>
  <c r="J477" i="18"/>
  <c r="J478" i="18"/>
  <c r="J479" i="18"/>
  <c r="J480" i="18"/>
  <c r="J481" i="18"/>
  <c r="J482" i="18"/>
  <c r="J483" i="18"/>
  <c r="J484" i="18"/>
  <c r="J485" i="18"/>
  <c r="J486" i="18"/>
  <c r="J487" i="18"/>
  <c r="J488" i="18"/>
  <c r="J489" i="18"/>
  <c r="J490" i="18"/>
  <c r="J491" i="18"/>
  <c r="J492" i="18"/>
  <c r="J493" i="18"/>
  <c r="J494" i="18"/>
  <c r="J495" i="18"/>
  <c r="J496" i="18"/>
  <c r="J497" i="18"/>
  <c r="J498" i="18"/>
  <c r="J499" i="18"/>
  <c r="J500" i="18"/>
  <c r="J501" i="18"/>
  <c r="J502" i="18"/>
  <c r="J503" i="18"/>
  <c r="J504" i="18"/>
  <c r="J505" i="18"/>
  <c r="J506" i="18"/>
  <c r="J507" i="18"/>
  <c r="J508" i="18"/>
  <c r="J509" i="18"/>
  <c r="J510" i="18"/>
  <c r="J511" i="18"/>
  <c r="J512" i="18"/>
  <c r="J513" i="18"/>
  <c r="J514" i="18"/>
  <c r="J515" i="18"/>
  <c r="J516" i="18"/>
  <c r="J517" i="18"/>
  <c r="J518" i="18"/>
  <c r="J519" i="18"/>
  <c r="J520" i="18"/>
  <c r="J521" i="18"/>
  <c r="J522" i="18"/>
  <c r="J523" i="18"/>
  <c r="J524" i="18"/>
  <c r="J525" i="18"/>
  <c r="J526" i="18"/>
  <c r="J527" i="18"/>
  <c r="J528" i="18"/>
  <c r="J529" i="18"/>
  <c r="J530" i="18"/>
  <c r="J531" i="18"/>
  <c r="J532" i="18"/>
  <c r="J533" i="18"/>
  <c r="J534" i="18"/>
  <c r="J535" i="18"/>
  <c r="J536" i="18"/>
  <c r="J537" i="18"/>
  <c r="J538" i="18"/>
  <c r="J539" i="18"/>
  <c r="J540" i="18"/>
  <c r="J541" i="18"/>
  <c r="J542" i="18"/>
  <c r="J543" i="18"/>
  <c r="J544" i="18"/>
  <c r="J545" i="18"/>
  <c r="J546" i="18"/>
  <c r="J547" i="18"/>
  <c r="J548" i="18"/>
  <c r="J549" i="18"/>
  <c r="J550" i="18"/>
  <c r="J551" i="18"/>
  <c r="J552" i="18"/>
  <c r="J553" i="18"/>
  <c r="J554" i="18"/>
  <c r="J555" i="18"/>
  <c r="J556" i="18"/>
  <c r="J557" i="18"/>
  <c r="J558" i="18"/>
  <c r="J559" i="18"/>
  <c r="J560" i="18"/>
  <c r="J561" i="18"/>
  <c r="J562" i="18"/>
  <c r="J563" i="18"/>
  <c r="J564" i="18"/>
  <c r="J565" i="18"/>
  <c r="J566" i="18"/>
  <c r="J567" i="18"/>
  <c r="J568" i="18"/>
  <c r="J569" i="18"/>
  <c r="J570" i="18"/>
  <c r="J571" i="18"/>
  <c r="J572" i="18"/>
  <c r="J573" i="18"/>
  <c r="J574" i="18"/>
  <c r="J575" i="18"/>
  <c r="J576" i="18"/>
  <c r="J577" i="18"/>
  <c r="J578" i="18"/>
  <c r="J579" i="18"/>
  <c r="J580" i="18"/>
  <c r="J581" i="18"/>
  <c r="J582" i="18"/>
  <c r="J583" i="18"/>
  <c r="J584" i="18"/>
  <c r="J585" i="18"/>
  <c r="J586" i="18"/>
  <c r="J587" i="18"/>
  <c r="J588" i="18"/>
  <c r="J589" i="18"/>
  <c r="J590" i="18"/>
  <c r="J591" i="18"/>
  <c r="J592" i="18"/>
  <c r="J593" i="18"/>
  <c r="J594" i="18"/>
  <c r="J595" i="18"/>
  <c r="J596" i="18"/>
  <c r="J597" i="18"/>
  <c r="J598" i="18"/>
  <c r="J599" i="18"/>
  <c r="J600" i="18"/>
  <c r="J601" i="18"/>
  <c r="J602" i="18"/>
  <c r="J603" i="18"/>
  <c r="J604" i="18"/>
  <c r="J605" i="18"/>
  <c r="J606" i="18"/>
  <c r="J607" i="18"/>
  <c r="J608" i="18"/>
  <c r="J609" i="18"/>
  <c r="J610" i="18"/>
  <c r="J611" i="18"/>
  <c r="J612" i="18"/>
  <c r="J613" i="18"/>
  <c r="J614" i="18"/>
  <c r="J615" i="18"/>
  <c r="J616" i="18"/>
  <c r="J617" i="18"/>
  <c r="J618" i="18"/>
  <c r="J619" i="18"/>
  <c r="J620" i="18"/>
  <c r="J621" i="18"/>
  <c r="J622" i="18"/>
  <c r="J623" i="18"/>
  <c r="J624" i="18"/>
  <c r="J625" i="18"/>
  <c r="J626" i="18"/>
  <c r="J627" i="18"/>
  <c r="J628" i="18"/>
  <c r="J629" i="18"/>
  <c r="J630" i="18"/>
  <c r="J631" i="18"/>
  <c r="J632" i="18"/>
  <c r="J633" i="18"/>
  <c r="J634" i="18"/>
  <c r="J635" i="18"/>
  <c r="J636" i="18"/>
  <c r="J637" i="18"/>
  <c r="J638" i="18"/>
  <c r="J639" i="18"/>
  <c r="J640" i="18"/>
  <c r="J641" i="18"/>
  <c r="J642" i="18"/>
  <c r="J643" i="18"/>
  <c r="J644" i="18"/>
  <c r="J645" i="18"/>
  <c r="J646" i="18"/>
  <c r="J647" i="18"/>
  <c r="J648" i="18"/>
  <c r="J649" i="18"/>
  <c r="J650" i="18"/>
  <c r="J651" i="18"/>
  <c r="J652" i="18"/>
  <c r="J653" i="18"/>
  <c r="J654" i="18"/>
  <c r="J655" i="18"/>
  <c r="J656" i="18"/>
  <c r="J657" i="18"/>
  <c r="J658" i="18"/>
  <c r="J659" i="18"/>
  <c r="J660" i="18"/>
  <c r="J661" i="18"/>
  <c r="J662" i="18"/>
  <c r="J663" i="18"/>
  <c r="J664" i="18"/>
  <c r="J665" i="18"/>
  <c r="J666" i="18"/>
  <c r="J667" i="18"/>
  <c r="J668" i="18"/>
  <c r="J669" i="18"/>
  <c r="J670" i="18"/>
  <c r="J671" i="18"/>
  <c r="J672" i="18"/>
  <c r="J673" i="18"/>
  <c r="J674" i="18"/>
  <c r="J675" i="18"/>
  <c r="J676" i="18"/>
  <c r="J677" i="18"/>
  <c r="J678" i="18"/>
  <c r="J679" i="18"/>
  <c r="J680" i="18"/>
  <c r="J681" i="18"/>
  <c r="J682" i="18"/>
  <c r="J683" i="18"/>
  <c r="J684" i="18"/>
  <c r="J685" i="18"/>
  <c r="J686" i="18"/>
  <c r="J687" i="18"/>
  <c r="J688" i="18"/>
  <c r="J689" i="18"/>
  <c r="J690" i="18"/>
  <c r="J691" i="18"/>
  <c r="J692" i="18"/>
  <c r="J693" i="18"/>
  <c r="J694" i="18"/>
  <c r="J695" i="18"/>
  <c r="J696" i="18"/>
  <c r="J697" i="18"/>
  <c r="J698" i="18"/>
  <c r="J699" i="18"/>
  <c r="J700" i="18"/>
  <c r="J701" i="18"/>
  <c r="J702" i="18"/>
  <c r="J703" i="18"/>
  <c r="J704" i="18"/>
  <c r="J705" i="18"/>
  <c r="J706" i="18"/>
  <c r="J707" i="18"/>
  <c r="J708" i="18"/>
  <c r="J709" i="18"/>
  <c r="J710" i="18"/>
  <c r="J711" i="18"/>
  <c r="J712" i="18"/>
  <c r="J713" i="18"/>
  <c r="J714" i="18"/>
  <c r="J715" i="18"/>
  <c r="J716" i="18"/>
  <c r="J717" i="18"/>
  <c r="J718" i="18"/>
  <c r="J719" i="18"/>
  <c r="J720" i="18"/>
  <c r="J721" i="18"/>
  <c r="J722" i="18"/>
  <c r="J723" i="18"/>
  <c r="J724" i="18"/>
  <c r="J725" i="18"/>
  <c r="J726" i="18"/>
  <c r="J727" i="18"/>
  <c r="J728" i="18"/>
  <c r="J729" i="18"/>
  <c r="J730" i="18"/>
  <c r="J731" i="18"/>
  <c r="J732" i="18"/>
  <c r="J733" i="18"/>
  <c r="J734" i="18"/>
  <c r="J735" i="18"/>
  <c r="J736" i="18"/>
  <c r="J737" i="18"/>
  <c r="J738" i="18"/>
  <c r="J739" i="18"/>
  <c r="J740" i="18"/>
  <c r="J741" i="18"/>
  <c r="J742" i="18"/>
  <c r="J743" i="18"/>
  <c r="J744" i="18"/>
  <c r="J745" i="18"/>
  <c r="J746" i="18"/>
  <c r="J747" i="18"/>
  <c r="J748" i="18"/>
  <c r="J749" i="18"/>
  <c r="J750" i="18"/>
  <c r="J751" i="18"/>
  <c r="J752" i="18"/>
  <c r="J753" i="18"/>
  <c r="J754" i="18"/>
  <c r="J755" i="18"/>
  <c r="J756" i="18"/>
  <c r="J757" i="18"/>
  <c r="J758" i="18"/>
  <c r="J759" i="18"/>
  <c r="J760" i="18"/>
  <c r="J761" i="18"/>
  <c r="J762" i="18"/>
  <c r="J763" i="18"/>
  <c r="J764" i="18"/>
  <c r="J765" i="18"/>
  <c r="J766" i="18"/>
  <c r="J767" i="18"/>
  <c r="J768" i="18"/>
  <c r="J769" i="18"/>
  <c r="J770" i="18"/>
  <c r="J771" i="18"/>
  <c r="J772" i="18"/>
  <c r="J773" i="18"/>
  <c r="J774" i="18"/>
  <c r="J775" i="18"/>
  <c r="J776" i="18"/>
  <c r="J777" i="18"/>
  <c r="J778" i="18"/>
  <c r="J779" i="18"/>
  <c r="J780" i="18"/>
  <c r="J781" i="18"/>
  <c r="J782" i="18"/>
  <c r="J783" i="18"/>
  <c r="J784" i="18"/>
  <c r="J785" i="18"/>
  <c r="J786" i="18"/>
  <c r="J787" i="18"/>
  <c r="J788" i="18"/>
  <c r="J789" i="18"/>
  <c r="J790" i="18"/>
  <c r="J791" i="18"/>
  <c r="J792" i="18"/>
  <c r="J793" i="18"/>
  <c r="J794" i="18"/>
  <c r="J795" i="18"/>
  <c r="J796" i="18"/>
  <c r="J797" i="18"/>
  <c r="J798" i="18"/>
  <c r="J799" i="18"/>
  <c r="J800" i="18"/>
  <c r="J801" i="18"/>
  <c r="J802" i="18"/>
  <c r="J803" i="18"/>
  <c r="J804" i="18"/>
  <c r="J805" i="18"/>
  <c r="J806" i="18"/>
  <c r="J807" i="18"/>
  <c r="J808" i="18"/>
  <c r="J809" i="18"/>
  <c r="J810" i="18"/>
  <c r="J811" i="18"/>
  <c r="J812" i="18"/>
  <c r="J813" i="18"/>
  <c r="J814" i="18"/>
  <c r="J815" i="18"/>
  <c r="J816" i="18"/>
  <c r="J817" i="18"/>
  <c r="J818" i="18"/>
  <c r="J819" i="18"/>
  <c r="J820" i="18"/>
  <c r="J821" i="18"/>
  <c r="J822" i="18"/>
  <c r="J823" i="18"/>
  <c r="J824" i="18"/>
  <c r="J825" i="18"/>
  <c r="J826" i="18"/>
  <c r="J827" i="18"/>
  <c r="J828" i="18"/>
  <c r="J829" i="18"/>
  <c r="J830" i="18"/>
  <c r="J831" i="18"/>
  <c r="J832" i="18"/>
  <c r="J833" i="18"/>
  <c r="J834" i="18"/>
  <c r="J835" i="18"/>
  <c r="J836" i="18"/>
  <c r="J837" i="18"/>
  <c r="J838" i="18"/>
  <c r="J839" i="18"/>
  <c r="J840" i="18"/>
  <c r="J841" i="18"/>
  <c r="J842" i="18"/>
  <c r="J843" i="18"/>
  <c r="J844" i="18"/>
  <c r="J845" i="18"/>
  <c r="J846" i="18"/>
  <c r="J847" i="18"/>
  <c r="J848" i="18"/>
  <c r="J849" i="18"/>
  <c r="J850" i="18"/>
  <c r="J851" i="18"/>
  <c r="J852" i="18"/>
  <c r="J853" i="18"/>
  <c r="J854" i="18"/>
  <c r="J855" i="18"/>
  <c r="J856" i="18"/>
  <c r="J857" i="18"/>
  <c r="J858" i="18"/>
  <c r="J859" i="18"/>
  <c r="J860" i="18"/>
  <c r="J861" i="18"/>
  <c r="J862" i="18"/>
  <c r="J863" i="18"/>
  <c r="J864" i="18"/>
  <c r="J865" i="18"/>
  <c r="J866" i="18"/>
  <c r="J867" i="18"/>
  <c r="J868" i="18"/>
  <c r="J869" i="18"/>
  <c r="J870" i="18"/>
  <c r="J871" i="18"/>
  <c r="J872" i="18"/>
  <c r="J873" i="18"/>
  <c r="J874" i="18"/>
  <c r="J875" i="18"/>
  <c r="J876" i="18"/>
  <c r="J877" i="18"/>
  <c r="J878" i="18"/>
  <c r="J879" i="18"/>
  <c r="J880" i="18"/>
  <c r="J881" i="18"/>
  <c r="J882" i="18"/>
  <c r="J883" i="18"/>
  <c r="J884" i="18"/>
  <c r="J885" i="18"/>
  <c r="J886" i="18"/>
  <c r="J887" i="18"/>
  <c r="J888" i="18"/>
  <c r="J889" i="18"/>
  <c r="J890" i="18"/>
  <c r="J891" i="18"/>
  <c r="J892" i="18"/>
  <c r="J893" i="18"/>
  <c r="J894" i="18"/>
  <c r="J895" i="18"/>
  <c r="J896" i="18"/>
  <c r="J897" i="18"/>
  <c r="J898" i="18"/>
  <c r="J899" i="18"/>
  <c r="J900" i="18"/>
  <c r="J901" i="18"/>
  <c r="J902" i="18"/>
  <c r="J903" i="18"/>
  <c r="J904" i="18"/>
  <c r="J905" i="18"/>
  <c r="J906" i="18"/>
  <c r="J907" i="18"/>
  <c r="J908" i="18"/>
  <c r="J909" i="18"/>
  <c r="J910" i="18"/>
  <c r="J911" i="18"/>
  <c r="J912" i="18"/>
  <c r="J913" i="18"/>
  <c r="J914" i="18"/>
  <c r="J915" i="18"/>
  <c r="J916" i="18"/>
  <c r="J917" i="18"/>
  <c r="J918" i="18"/>
  <c r="J919" i="18"/>
  <c r="J920" i="18"/>
  <c r="J921" i="18"/>
  <c r="J922" i="18"/>
  <c r="J923" i="18"/>
  <c r="J924" i="18"/>
  <c r="J925" i="18"/>
  <c r="J926" i="18"/>
  <c r="J927" i="18"/>
  <c r="J928" i="18"/>
  <c r="J929" i="18"/>
  <c r="J930" i="18"/>
  <c r="J931" i="18"/>
  <c r="J932" i="18"/>
  <c r="J933" i="18"/>
  <c r="J934" i="18"/>
  <c r="J935" i="18"/>
  <c r="J936" i="18"/>
  <c r="J937" i="18"/>
  <c r="J938" i="18"/>
  <c r="J939" i="18"/>
  <c r="J940" i="18"/>
  <c r="J941" i="18"/>
  <c r="J942" i="18"/>
  <c r="J943" i="18"/>
  <c r="J944" i="18"/>
  <c r="J945" i="18"/>
  <c r="J946" i="18"/>
  <c r="J947" i="18"/>
  <c r="J948" i="18"/>
  <c r="J949" i="18"/>
  <c r="J950" i="18"/>
  <c r="J951" i="18"/>
  <c r="J952" i="18"/>
  <c r="J953" i="18"/>
  <c r="J954" i="18"/>
  <c r="J955" i="18"/>
  <c r="J956" i="18"/>
  <c r="J957" i="18"/>
  <c r="J958" i="18"/>
  <c r="J959" i="18"/>
  <c r="J960" i="18"/>
  <c r="J961" i="18"/>
  <c r="J962" i="18"/>
  <c r="J963" i="18"/>
  <c r="J964" i="18"/>
  <c r="J965" i="18"/>
  <c r="J966" i="18"/>
  <c r="J967" i="18"/>
  <c r="J968" i="18"/>
  <c r="J969" i="18"/>
  <c r="J970" i="18"/>
  <c r="J971" i="18"/>
  <c r="J972" i="18"/>
  <c r="J973" i="18"/>
  <c r="J974" i="18"/>
  <c r="J975" i="18"/>
  <c r="J976" i="18"/>
  <c r="J977" i="18"/>
  <c r="J978" i="18"/>
  <c r="J979" i="18"/>
  <c r="J980" i="18"/>
  <c r="J981" i="18"/>
  <c r="J982" i="18"/>
  <c r="J983" i="18"/>
  <c r="J984" i="18"/>
  <c r="J985" i="18"/>
  <c r="J986" i="18"/>
  <c r="J987" i="18"/>
  <c r="J988" i="18"/>
  <c r="J989" i="18"/>
  <c r="J990" i="18"/>
  <c r="J991" i="18"/>
  <c r="J992" i="18"/>
  <c r="J993" i="18"/>
  <c r="J994" i="18"/>
  <c r="J995" i="18"/>
  <c r="J996" i="18"/>
  <c r="J997" i="18"/>
  <c r="J998" i="18"/>
  <c r="J999" i="18"/>
  <c r="J1000" i="18"/>
  <c r="J1001" i="18"/>
  <c r="J1002" i="18"/>
  <c r="J1003" i="18"/>
  <c r="J1004" i="18"/>
  <c r="J1005" i="18"/>
  <c r="J1006" i="18"/>
  <c r="J1007" i="18"/>
  <c r="J1008" i="18"/>
  <c r="J1009" i="18"/>
  <c r="J1010" i="18"/>
  <c r="J1011" i="18"/>
  <c r="J1012" i="18"/>
  <c r="J1013" i="18"/>
  <c r="J1014" i="18"/>
  <c r="J1015" i="18"/>
  <c r="J1016" i="18"/>
  <c r="J1017" i="18"/>
  <c r="J1018" i="18"/>
  <c r="J1019" i="18"/>
  <c r="J1020" i="18"/>
  <c r="J1021" i="18"/>
  <c r="J1022" i="18"/>
  <c r="J1023" i="18"/>
  <c r="J1024" i="18"/>
  <c r="J1025" i="18"/>
  <c r="J1026" i="18"/>
  <c r="J1027" i="18"/>
  <c r="J1028" i="18"/>
  <c r="J1029" i="18"/>
  <c r="J1030" i="18"/>
  <c r="J1031" i="18"/>
  <c r="J1032" i="18"/>
  <c r="J1033" i="18"/>
  <c r="J1034" i="18"/>
  <c r="J1035" i="18"/>
  <c r="J1036" i="18"/>
  <c r="J1037" i="18"/>
  <c r="J1038" i="18"/>
  <c r="J1039" i="18"/>
  <c r="J1040" i="18"/>
  <c r="J1041" i="18"/>
  <c r="J1042" i="18"/>
  <c r="J1043" i="18"/>
  <c r="J1044" i="18"/>
  <c r="J1045" i="18"/>
  <c r="J1046" i="18"/>
  <c r="J1047" i="18"/>
  <c r="J1048" i="18"/>
  <c r="J1049" i="18"/>
  <c r="J1050" i="18"/>
  <c r="J1051" i="18"/>
  <c r="J1052" i="18"/>
  <c r="J1053" i="18"/>
  <c r="J1054" i="18"/>
  <c r="J1055" i="18"/>
  <c r="J1056" i="18"/>
  <c r="J1057" i="18"/>
  <c r="J1058" i="18"/>
  <c r="J1059" i="18"/>
  <c r="J1060" i="18"/>
  <c r="J1061" i="18"/>
  <c r="J1062" i="18"/>
  <c r="J1063" i="18"/>
  <c r="J1064" i="18"/>
  <c r="J1065" i="18"/>
  <c r="J1066" i="18"/>
  <c r="J1067" i="18"/>
  <c r="J1068" i="18"/>
  <c r="J1069" i="18"/>
  <c r="J1070" i="18"/>
  <c r="J1071" i="18"/>
  <c r="J1072" i="18"/>
  <c r="J1073" i="18"/>
  <c r="J1074" i="18"/>
  <c r="J1075" i="18"/>
  <c r="J1076" i="18"/>
  <c r="J1077" i="18"/>
  <c r="J1078" i="18"/>
  <c r="J1079" i="18"/>
  <c r="J1080" i="18"/>
  <c r="J1081" i="18"/>
  <c r="J1082" i="18"/>
  <c r="J1083" i="18"/>
  <c r="J1084" i="18"/>
  <c r="J1085" i="18"/>
  <c r="J1086" i="18"/>
  <c r="J1087" i="18"/>
  <c r="J1088" i="18"/>
  <c r="J1089" i="18"/>
  <c r="J1090" i="18"/>
  <c r="J1091" i="18"/>
  <c r="J1092" i="18"/>
  <c r="J1093" i="18"/>
  <c r="J1094" i="18"/>
  <c r="J1095" i="18"/>
  <c r="J1096" i="18"/>
  <c r="J1097" i="18"/>
  <c r="J1098" i="18"/>
  <c r="J1099" i="18"/>
  <c r="J1100" i="18"/>
  <c r="J1101" i="18"/>
  <c r="J1102" i="18"/>
  <c r="J1103" i="18"/>
  <c r="J1104" i="18"/>
  <c r="J1105" i="18"/>
  <c r="J1106" i="18"/>
  <c r="J1107" i="18"/>
  <c r="J1108" i="18"/>
  <c r="J1109" i="18"/>
  <c r="J1110" i="18"/>
  <c r="J1111" i="18"/>
  <c r="J1112" i="18"/>
  <c r="J1113" i="18"/>
  <c r="J1114" i="18"/>
  <c r="J1115" i="18"/>
  <c r="J1116" i="18"/>
  <c r="J1117" i="18"/>
  <c r="J1118" i="18"/>
  <c r="J1119" i="18"/>
  <c r="J1120" i="18"/>
  <c r="J1121" i="18"/>
  <c r="J1122" i="18"/>
  <c r="J1123" i="18"/>
  <c r="J1124" i="18"/>
  <c r="J1125" i="18"/>
  <c r="J1126" i="18"/>
  <c r="J1127" i="18"/>
  <c r="J1128" i="18"/>
  <c r="J1129" i="18"/>
  <c r="J1130" i="18"/>
  <c r="J1131" i="18"/>
  <c r="J1132" i="18"/>
  <c r="J1133" i="18"/>
  <c r="J1134" i="18"/>
  <c r="J1135" i="18"/>
  <c r="J1136" i="18"/>
  <c r="J1137" i="18"/>
  <c r="J1138" i="18"/>
  <c r="J1139" i="18"/>
  <c r="J1140" i="18"/>
  <c r="J1141" i="18"/>
  <c r="J1142" i="18"/>
  <c r="J1143" i="18"/>
  <c r="J1144" i="18"/>
  <c r="J1145" i="18"/>
  <c r="J1146" i="18"/>
  <c r="J1147" i="18"/>
  <c r="J1148" i="18"/>
  <c r="J1149" i="18"/>
  <c r="J1150" i="18"/>
  <c r="J1151" i="18"/>
  <c r="J1152" i="18"/>
  <c r="J1153" i="18"/>
  <c r="J1154" i="18"/>
  <c r="J1155" i="18"/>
  <c r="J1156" i="18"/>
  <c r="J1157" i="18"/>
  <c r="J1158" i="18"/>
  <c r="J1159" i="18"/>
  <c r="J1160" i="18"/>
  <c r="J1161" i="18"/>
  <c r="J1162" i="18"/>
  <c r="J1163" i="18"/>
  <c r="J1164" i="18"/>
  <c r="J1165" i="18"/>
  <c r="J1166" i="18"/>
  <c r="J1167" i="18"/>
  <c r="J1168" i="18"/>
  <c r="J1169" i="18"/>
  <c r="J1170" i="18"/>
  <c r="J1171" i="18"/>
  <c r="J1172" i="18"/>
  <c r="J1173" i="18"/>
  <c r="J1174" i="18"/>
  <c r="J1175" i="18"/>
  <c r="J1176" i="18"/>
  <c r="J1177" i="18"/>
  <c r="J1178" i="18"/>
  <c r="J1179" i="18"/>
  <c r="J1180" i="18"/>
  <c r="J1181" i="18"/>
  <c r="J1182" i="18"/>
  <c r="J1183" i="18"/>
  <c r="J1184" i="18"/>
  <c r="J1185" i="18"/>
  <c r="J1186" i="18"/>
  <c r="J1187" i="18"/>
  <c r="J1188" i="18"/>
  <c r="J1189" i="18"/>
  <c r="J1190" i="18"/>
  <c r="J1191" i="18"/>
  <c r="J1192" i="18"/>
  <c r="J1193" i="18"/>
  <c r="J1194" i="18"/>
  <c r="J1195" i="18"/>
  <c r="J1196" i="18"/>
  <c r="J1197" i="18"/>
  <c r="J1198" i="18"/>
  <c r="J1199" i="18"/>
  <c r="J1200" i="18"/>
  <c r="J1201" i="18"/>
  <c r="J1202" i="18"/>
  <c r="J1203" i="18"/>
  <c r="J1204" i="18"/>
  <c r="J1205" i="18"/>
  <c r="J1206" i="18"/>
  <c r="J1207" i="18"/>
  <c r="J1208" i="18"/>
  <c r="J1209" i="18"/>
  <c r="J1210" i="18"/>
  <c r="J1211" i="18"/>
  <c r="J1212" i="18"/>
  <c r="J1213" i="18"/>
  <c r="J1214" i="18"/>
  <c r="J1215" i="18"/>
  <c r="J1216" i="18"/>
  <c r="J1217" i="18"/>
  <c r="J1218" i="18"/>
  <c r="J1220" i="18"/>
  <c r="J1221" i="18"/>
  <c r="J1222" i="18"/>
  <c r="J1223" i="18"/>
  <c r="J1224" i="18"/>
  <c r="J1225" i="18"/>
  <c r="J1226" i="18"/>
  <c r="J1227" i="18"/>
  <c r="J1228" i="18"/>
  <c r="J1229" i="18"/>
  <c r="J1231" i="18"/>
  <c r="J1232" i="18"/>
  <c r="J1233" i="18"/>
  <c r="J1234" i="18"/>
  <c r="J1235" i="18"/>
  <c r="J1236" i="18"/>
  <c r="J1237" i="18"/>
  <c r="J1238" i="18"/>
  <c r="J1239" i="18"/>
  <c r="J1240" i="18"/>
  <c r="J1241" i="18"/>
  <c r="I2" i="18"/>
  <c r="I3" i="18"/>
  <c r="I4" i="18"/>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2" i="18"/>
  <c r="I43" i="18"/>
  <c r="I44" i="18"/>
  <c r="I45" i="18"/>
  <c r="I46" i="18"/>
  <c r="I47" i="18"/>
  <c r="I48" i="18"/>
  <c r="I49" i="18"/>
  <c r="I50" i="18"/>
  <c r="I51" i="18"/>
  <c r="I52" i="18"/>
  <c r="I53" i="18"/>
  <c r="I54" i="18"/>
  <c r="I55" i="18"/>
  <c r="I56" i="18"/>
  <c r="I57" i="18"/>
  <c r="I58" i="18"/>
  <c r="I59" i="18"/>
  <c r="I60" i="18"/>
  <c r="I61" i="18"/>
  <c r="I62" i="18"/>
  <c r="I63" i="18"/>
  <c r="I64" i="18"/>
  <c r="I65" i="18"/>
  <c r="I66" i="18"/>
  <c r="I67" i="18"/>
  <c r="I68" i="18"/>
  <c r="I69" i="18"/>
  <c r="I70" i="18"/>
  <c r="I71" i="18"/>
  <c r="I72" i="18"/>
  <c r="I73" i="18"/>
  <c r="I74" i="18"/>
  <c r="I75" i="18"/>
  <c r="I76" i="18"/>
  <c r="I77" i="18"/>
  <c r="I78" i="18"/>
  <c r="I79" i="18"/>
  <c r="I80" i="18"/>
  <c r="I81" i="18"/>
  <c r="I82" i="18"/>
  <c r="I83" i="18"/>
  <c r="I84" i="18"/>
  <c r="I85" i="18"/>
  <c r="I86" i="18"/>
  <c r="I87" i="18"/>
  <c r="I88" i="18"/>
  <c r="I89" i="18"/>
  <c r="I90" i="18"/>
  <c r="I91" i="18"/>
  <c r="I92" i="18"/>
  <c r="I93" i="18"/>
  <c r="I94" i="18"/>
  <c r="I95" i="18"/>
  <c r="I96" i="18"/>
  <c r="I97" i="18"/>
  <c r="I98" i="18"/>
  <c r="I99" i="18"/>
  <c r="I100" i="18"/>
  <c r="I101" i="18"/>
  <c r="I102" i="18"/>
  <c r="I103" i="18"/>
  <c r="I104" i="18"/>
  <c r="I105" i="18"/>
  <c r="I106" i="18"/>
  <c r="I107" i="18"/>
  <c r="I108" i="18"/>
  <c r="I109" i="18"/>
  <c r="I110" i="18"/>
  <c r="I111" i="18"/>
  <c r="I112" i="18"/>
  <c r="I113" i="18"/>
  <c r="I114" i="18"/>
  <c r="I115" i="18"/>
  <c r="I116" i="18"/>
  <c r="I117" i="18"/>
  <c r="I118" i="18"/>
  <c r="I119" i="18"/>
  <c r="I120" i="18"/>
  <c r="I121" i="18"/>
  <c r="I122" i="18"/>
  <c r="I123" i="18"/>
  <c r="I124" i="18"/>
  <c r="I125" i="18"/>
  <c r="I126" i="18"/>
  <c r="I127" i="18"/>
  <c r="I128" i="18"/>
  <c r="I129" i="18"/>
  <c r="I130" i="18"/>
  <c r="I131" i="18"/>
  <c r="I132" i="18"/>
  <c r="I133" i="18"/>
  <c r="I134" i="18"/>
  <c r="I135" i="18"/>
  <c r="I136" i="18"/>
  <c r="I137" i="18"/>
  <c r="I138" i="18"/>
  <c r="I139" i="18"/>
  <c r="I140" i="18"/>
  <c r="I141" i="18"/>
  <c r="I142" i="18"/>
  <c r="I143" i="18"/>
  <c r="I144" i="18"/>
  <c r="I145" i="18"/>
  <c r="I146" i="18"/>
  <c r="I147" i="18"/>
  <c r="I148" i="18"/>
  <c r="I149" i="18"/>
  <c r="I150" i="18"/>
  <c r="I151" i="18"/>
  <c r="I152" i="18"/>
  <c r="I153" i="18"/>
  <c r="I154" i="18"/>
  <c r="I155" i="18"/>
  <c r="I156" i="18"/>
  <c r="I157" i="18"/>
  <c r="I158" i="18"/>
  <c r="I159" i="18"/>
  <c r="I160" i="18"/>
  <c r="I161" i="18"/>
  <c r="I162" i="18"/>
  <c r="I163" i="18"/>
  <c r="I164" i="18"/>
  <c r="I165" i="18"/>
  <c r="I166" i="18"/>
  <c r="I167" i="18"/>
  <c r="I168" i="18"/>
  <c r="I169" i="18"/>
  <c r="I170" i="18"/>
  <c r="I171" i="18"/>
  <c r="I172" i="18"/>
  <c r="I173" i="18"/>
  <c r="I174" i="18"/>
  <c r="I175" i="18"/>
  <c r="I176" i="18"/>
  <c r="I177" i="18"/>
  <c r="I178" i="18"/>
  <c r="I179" i="18"/>
  <c r="I180" i="18"/>
  <c r="I181" i="18"/>
  <c r="I182" i="18"/>
  <c r="I183" i="18"/>
  <c r="I184" i="18"/>
  <c r="I185" i="18"/>
  <c r="I186" i="18"/>
  <c r="I187" i="18"/>
  <c r="I188" i="18"/>
  <c r="I189" i="18"/>
  <c r="I190" i="18"/>
  <c r="I191" i="18"/>
  <c r="I192" i="18"/>
  <c r="I193" i="18"/>
  <c r="I194" i="18"/>
  <c r="I195" i="18"/>
  <c r="I196" i="18"/>
  <c r="I197" i="18"/>
  <c r="I198" i="18"/>
  <c r="I199" i="18"/>
  <c r="I200" i="18"/>
  <c r="I201" i="18"/>
  <c r="I202" i="18"/>
  <c r="I203" i="18"/>
  <c r="I204" i="18"/>
  <c r="I205" i="18"/>
  <c r="I206" i="18"/>
  <c r="I207" i="18"/>
  <c r="I208" i="18"/>
  <c r="I209" i="18"/>
  <c r="I210" i="18"/>
  <c r="I211" i="18"/>
  <c r="I212" i="18"/>
  <c r="I213" i="18"/>
  <c r="I214" i="18"/>
  <c r="I215" i="18"/>
  <c r="I216" i="18"/>
  <c r="I217" i="18"/>
  <c r="I218" i="18"/>
  <c r="I219" i="18"/>
  <c r="I220" i="18"/>
  <c r="I221" i="18"/>
  <c r="I222" i="18"/>
  <c r="I223" i="18"/>
  <c r="I224" i="18"/>
  <c r="I225" i="18"/>
  <c r="I226" i="18"/>
  <c r="I227" i="18"/>
  <c r="I228" i="18"/>
  <c r="I229" i="18"/>
  <c r="I230" i="18"/>
  <c r="I231" i="18"/>
  <c r="I232" i="18"/>
  <c r="I233" i="18"/>
  <c r="I234" i="18"/>
  <c r="I235" i="18"/>
  <c r="I236" i="18"/>
  <c r="I237" i="18"/>
  <c r="I238" i="18"/>
  <c r="I239" i="18"/>
  <c r="I240" i="18"/>
  <c r="I241" i="18"/>
  <c r="I242" i="18"/>
  <c r="I243" i="18"/>
  <c r="I244" i="18"/>
  <c r="I245" i="18"/>
  <c r="I246" i="18"/>
  <c r="I247" i="18"/>
  <c r="I248" i="18"/>
  <c r="I249" i="18"/>
  <c r="I250" i="18"/>
  <c r="I251" i="18"/>
  <c r="I252" i="18"/>
  <c r="I253" i="18"/>
  <c r="I254" i="18"/>
  <c r="I255" i="18"/>
  <c r="I256" i="18"/>
  <c r="I257" i="18"/>
  <c r="I258" i="18"/>
  <c r="I259" i="18"/>
  <c r="I260" i="18"/>
  <c r="I261" i="18"/>
  <c r="I262" i="18"/>
  <c r="I263" i="18"/>
  <c r="I264" i="18"/>
  <c r="I265" i="18"/>
  <c r="I266" i="18"/>
  <c r="I267" i="18"/>
  <c r="I268" i="18"/>
  <c r="I269" i="18"/>
  <c r="I270" i="18"/>
  <c r="I271" i="18"/>
  <c r="I272" i="18"/>
  <c r="I273" i="18"/>
  <c r="I274" i="18"/>
  <c r="I275" i="18"/>
  <c r="I276" i="18"/>
  <c r="I277" i="18"/>
  <c r="I278" i="18"/>
  <c r="I279" i="18"/>
  <c r="I280" i="18"/>
  <c r="I281" i="18"/>
  <c r="I282" i="18"/>
  <c r="I283" i="18"/>
  <c r="I284" i="18"/>
  <c r="I285" i="18"/>
  <c r="I286" i="18"/>
  <c r="I287" i="18"/>
  <c r="I288" i="18"/>
  <c r="I289" i="18"/>
  <c r="I290" i="18"/>
  <c r="I291" i="18"/>
  <c r="I292" i="18"/>
  <c r="I293" i="18"/>
  <c r="I294" i="18"/>
  <c r="I295" i="18"/>
  <c r="I296" i="18"/>
  <c r="I297" i="18"/>
  <c r="I298" i="18"/>
  <c r="I299" i="18"/>
  <c r="I300" i="18"/>
  <c r="I301" i="18"/>
  <c r="I302" i="18"/>
  <c r="I303" i="18"/>
  <c r="I304" i="18"/>
  <c r="I305" i="18"/>
  <c r="I306" i="18"/>
  <c r="I307" i="18"/>
  <c r="I308" i="18"/>
  <c r="I309" i="18"/>
  <c r="I310" i="18"/>
  <c r="I311" i="18"/>
  <c r="I312" i="18"/>
  <c r="I313" i="18"/>
  <c r="I314" i="18"/>
  <c r="I315" i="18"/>
  <c r="I316" i="18"/>
  <c r="I317" i="18"/>
  <c r="I318" i="18"/>
  <c r="I319" i="18"/>
  <c r="I320" i="18"/>
  <c r="I321" i="18"/>
  <c r="I322" i="18"/>
  <c r="I323" i="18"/>
  <c r="I324" i="18"/>
  <c r="I325" i="18"/>
  <c r="I326" i="18"/>
  <c r="I327" i="18"/>
  <c r="I328" i="18"/>
  <c r="I329" i="18"/>
  <c r="I330" i="18"/>
  <c r="I331" i="18"/>
  <c r="I332" i="18"/>
  <c r="I333" i="18"/>
  <c r="I334" i="18"/>
  <c r="I335" i="18"/>
  <c r="I336" i="18"/>
  <c r="I337" i="18"/>
  <c r="I338" i="18"/>
  <c r="I339" i="18"/>
  <c r="I340" i="18"/>
  <c r="I341" i="18"/>
  <c r="I342" i="18"/>
  <c r="I343" i="18"/>
  <c r="I344" i="18"/>
  <c r="I345" i="18"/>
  <c r="I346" i="18"/>
  <c r="I347" i="18"/>
  <c r="I348" i="18"/>
  <c r="I349" i="18"/>
  <c r="I350" i="18"/>
  <c r="I351" i="18"/>
  <c r="I352" i="18"/>
  <c r="I353" i="18"/>
  <c r="I354" i="18"/>
  <c r="I355" i="18"/>
  <c r="I356" i="18"/>
  <c r="I357" i="18"/>
  <c r="I358" i="18"/>
  <c r="I359" i="18"/>
  <c r="I360" i="18"/>
  <c r="I361" i="18"/>
  <c r="I362" i="18"/>
  <c r="I363" i="18"/>
  <c r="I364" i="18"/>
  <c r="I365" i="18"/>
  <c r="I366" i="18"/>
  <c r="I367" i="18"/>
  <c r="I368" i="18"/>
  <c r="I369" i="18"/>
  <c r="I370" i="18"/>
  <c r="I371" i="18"/>
  <c r="I372" i="18"/>
  <c r="I373" i="18"/>
  <c r="I374" i="18"/>
  <c r="I375" i="18"/>
  <c r="I376" i="18"/>
  <c r="I377" i="18"/>
  <c r="I378" i="18"/>
  <c r="I379" i="18"/>
  <c r="I380" i="18"/>
  <c r="I381" i="18"/>
  <c r="I382" i="18"/>
  <c r="I383" i="18"/>
  <c r="I384" i="18"/>
  <c r="I385" i="18"/>
  <c r="I386" i="18"/>
  <c r="I387" i="18"/>
  <c r="I388" i="18"/>
  <c r="I389" i="18"/>
  <c r="I390" i="18"/>
  <c r="I391" i="18"/>
  <c r="I392" i="18"/>
  <c r="I393" i="18"/>
  <c r="I394" i="18"/>
  <c r="I395" i="18"/>
  <c r="I396" i="18"/>
  <c r="I397" i="18"/>
  <c r="I398" i="18"/>
  <c r="I399" i="18"/>
  <c r="I400" i="18"/>
  <c r="I401" i="18"/>
  <c r="I402" i="18"/>
  <c r="I403" i="18"/>
  <c r="I404" i="18"/>
  <c r="I405" i="18"/>
  <c r="I406" i="18"/>
  <c r="I407" i="18"/>
  <c r="I408" i="18"/>
  <c r="I409" i="18"/>
  <c r="I410" i="18"/>
  <c r="I411" i="18"/>
  <c r="I412" i="18"/>
  <c r="I413" i="18"/>
  <c r="I414" i="18"/>
  <c r="I415" i="18"/>
  <c r="I416" i="18"/>
  <c r="I417" i="18"/>
  <c r="I418" i="18"/>
  <c r="I419" i="18"/>
  <c r="I420" i="18"/>
  <c r="I421" i="18"/>
  <c r="I422" i="18"/>
  <c r="I423" i="18"/>
  <c r="I424" i="18"/>
  <c r="I425" i="18"/>
  <c r="I426" i="18"/>
  <c r="I427" i="18"/>
  <c r="I428" i="18"/>
  <c r="I429" i="18"/>
  <c r="I430" i="18"/>
  <c r="I431" i="18"/>
  <c r="I432" i="18"/>
  <c r="I433" i="18"/>
  <c r="I434" i="18"/>
  <c r="I435" i="18"/>
  <c r="I436" i="18"/>
  <c r="I437" i="18"/>
  <c r="I438" i="18"/>
  <c r="I439" i="18"/>
  <c r="I440" i="18"/>
  <c r="I441" i="18"/>
  <c r="I442" i="18"/>
  <c r="I443" i="18"/>
  <c r="I444" i="18"/>
  <c r="I445" i="18"/>
  <c r="I446" i="18"/>
  <c r="I447" i="18"/>
  <c r="I448" i="18"/>
  <c r="I449" i="18"/>
  <c r="I450" i="18"/>
  <c r="I451" i="18"/>
  <c r="I452" i="18"/>
  <c r="I453" i="18"/>
  <c r="I454" i="18"/>
  <c r="I455" i="18"/>
  <c r="I456" i="18"/>
  <c r="I457" i="18"/>
  <c r="I458" i="18"/>
  <c r="I459" i="18"/>
  <c r="I460" i="18"/>
  <c r="I461" i="18"/>
  <c r="I462" i="18"/>
  <c r="I463" i="18"/>
  <c r="I464" i="18"/>
  <c r="I465" i="18"/>
  <c r="I466" i="18"/>
  <c r="I467" i="18"/>
  <c r="I468" i="18"/>
  <c r="I469" i="18"/>
  <c r="I470" i="18"/>
  <c r="I471" i="18"/>
  <c r="I472" i="18"/>
  <c r="I473" i="18"/>
  <c r="I474" i="18"/>
  <c r="I475" i="18"/>
  <c r="I476" i="18"/>
  <c r="I477" i="18"/>
  <c r="I478" i="18"/>
  <c r="I479" i="18"/>
  <c r="I480" i="18"/>
  <c r="I481" i="18"/>
  <c r="I482" i="18"/>
  <c r="I483" i="18"/>
  <c r="I484" i="18"/>
  <c r="I485" i="18"/>
  <c r="I486" i="18"/>
  <c r="I487" i="18"/>
  <c r="I488" i="18"/>
  <c r="I489" i="18"/>
  <c r="I490" i="18"/>
  <c r="I491" i="18"/>
  <c r="I492" i="18"/>
  <c r="I493" i="18"/>
  <c r="I494" i="18"/>
  <c r="I495" i="18"/>
  <c r="I496" i="18"/>
  <c r="I497" i="18"/>
  <c r="I498" i="18"/>
  <c r="I499" i="18"/>
  <c r="I500" i="18"/>
  <c r="I501" i="18"/>
  <c r="I502" i="18"/>
  <c r="I503" i="18"/>
  <c r="I504" i="18"/>
  <c r="I505" i="18"/>
  <c r="I506" i="18"/>
  <c r="I507" i="18"/>
  <c r="I508" i="18"/>
  <c r="I509" i="18"/>
  <c r="I510" i="18"/>
  <c r="I511" i="18"/>
  <c r="I512" i="18"/>
  <c r="I513" i="18"/>
  <c r="I514" i="18"/>
  <c r="I515" i="18"/>
  <c r="I516" i="18"/>
  <c r="I517" i="18"/>
  <c r="I518" i="18"/>
  <c r="I519" i="18"/>
  <c r="I520" i="18"/>
  <c r="I521" i="18"/>
  <c r="I522" i="18"/>
  <c r="I523" i="18"/>
  <c r="I524" i="18"/>
  <c r="I525" i="18"/>
  <c r="I526" i="18"/>
  <c r="I527" i="18"/>
  <c r="I528" i="18"/>
  <c r="I529" i="18"/>
  <c r="I530" i="18"/>
  <c r="I531" i="18"/>
  <c r="I532" i="18"/>
  <c r="I533" i="18"/>
  <c r="I534" i="18"/>
  <c r="I535" i="18"/>
  <c r="I536" i="18"/>
  <c r="I537" i="18"/>
  <c r="I538" i="18"/>
  <c r="I539" i="18"/>
  <c r="I540" i="18"/>
  <c r="I541" i="18"/>
  <c r="I542" i="18"/>
  <c r="I543" i="18"/>
  <c r="I544" i="18"/>
  <c r="I545" i="18"/>
  <c r="I546" i="18"/>
  <c r="I547" i="18"/>
  <c r="I548" i="18"/>
  <c r="I549" i="18"/>
  <c r="I550" i="18"/>
  <c r="I551" i="18"/>
  <c r="I552" i="18"/>
  <c r="I553" i="18"/>
  <c r="I554" i="18"/>
  <c r="I555" i="18"/>
  <c r="I556" i="18"/>
  <c r="I557" i="18"/>
  <c r="I558" i="18"/>
  <c r="I559" i="18"/>
  <c r="I560" i="18"/>
  <c r="I561" i="18"/>
  <c r="I562" i="18"/>
  <c r="I563" i="18"/>
  <c r="I564" i="18"/>
  <c r="I565" i="18"/>
  <c r="I566" i="18"/>
  <c r="I567" i="18"/>
  <c r="I568" i="18"/>
  <c r="I569" i="18"/>
  <c r="I570" i="18"/>
  <c r="I571" i="18"/>
  <c r="I572" i="18"/>
  <c r="I573" i="18"/>
  <c r="I574" i="18"/>
  <c r="I575" i="18"/>
  <c r="I576" i="18"/>
  <c r="I577" i="18"/>
  <c r="I578" i="18"/>
  <c r="I579" i="18"/>
  <c r="I580" i="18"/>
  <c r="I581" i="18"/>
  <c r="I582" i="18"/>
  <c r="I583" i="18"/>
  <c r="I584" i="18"/>
  <c r="I585" i="18"/>
  <c r="I586" i="18"/>
  <c r="I587" i="18"/>
  <c r="I588" i="18"/>
  <c r="I589" i="18"/>
  <c r="I590" i="18"/>
  <c r="I591" i="18"/>
  <c r="I592" i="18"/>
  <c r="I593" i="18"/>
  <c r="I594" i="18"/>
  <c r="I595" i="18"/>
  <c r="I596" i="18"/>
  <c r="I597" i="18"/>
  <c r="I598" i="18"/>
  <c r="I599" i="18"/>
  <c r="I600" i="18"/>
  <c r="I601" i="18"/>
  <c r="I602" i="18"/>
  <c r="I603" i="18"/>
  <c r="I604" i="18"/>
  <c r="I605" i="18"/>
  <c r="I606" i="18"/>
  <c r="I607" i="18"/>
  <c r="I608" i="18"/>
  <c r="I609" i="18"/>
  <c r="I610" i="18"/>
  <c r="I611" i="18"/>
  <c r="I612" i="18"/>
  <c r="I613" i="18"/>
  <c r="I614" i="18"/>
  <c r="I615" i="18"/>
  <c r="I616" i="18"/>
  <c r="I617" i="18"/>
  <c r="I618" i="18"/>
  <c r="I619" i="18"/>
  <c r="I620" i="18"/>
  <c r="I621" i="18"/>
  <c r="I622" i="18"/>
  <c r="I623" i="18"/>
  <c r="I624" i="18"/>
  <c r="I625" i="18"/>
  <c r="I626" i="18"/>
  <c r="I627" i="18"/>
  <c r="I628" i="18"/>
  <c r="I629" i="18"/>
  <c r="I630" i="18"/>
  <c r="I631" i="18"/>
  <c r="I632" i="18"/>
  <c r="I633" i="18"/>
  <c r="I634" i="18"/>
  <c r="I635" i="18"/>
  <c r="I636" i="18"/>
  <c r="I637" i="18"/>
  <c r="I638" i="18"/>
  <c r="I639" i="18"/>
  <c r="I640" i="18"/>
  <c r="I641" i="18"/>
  <c r="I642" i="18"/>
  <c r="I643" i="18"/>
  <c r="I644" i="18"/>
  <c r="I645" i="18"/>
  <c r="I646" i="18"/>
  <c r="I647" i="18"/>
  <c r="I648" i="18"/>
  <c r="I649" i="18"/>
  <c r="I650" i="18"/>
  <c r="I651" i="18"/>
  <c r="I652" i="18"/>
  <c r="I653" i="18"/>
  <c r="I654" i="18"/>
  <c r="I655" i="18"/>
  <c r="I656" i="18"/>
  <c r="I657" i="18"/>
  <c r="I658" i="18"/>
  <c r="I659" i="18"/>
  <c r="I660" i="18"/>
  <c r="I661" i="18"/>
  <c r="I662" i="18"/>
  <c r="I663" i="18"/>
  <c r="I664" i="18"/>
  <c r="I665" i="18"/>
  <c r="I666" i="18"/>
  <c r="I667" i="18"/>
  <c r="I668" i="18"/>
  <c r="I669" i="18"/>
  <c r="I670" i="18"/>
  <c r="I671" i="18"/>
  <c r="I672" i="18"/>
  <c r="I673" i="18"/>
  <c r="I674" i="18"/>
  <c r="I675" i="18"/>
  <c r="I676" i="18"/>
  <c r="I677" i="18"/>
  <c r="I678" i="18"/>
  <c r="I679" i="18"/>
  <c r="I680" i="18"/>
  <c r="I681" i="18"/>
  <c r="I682" i="18"/>
  <c r="I683" i="18"/>
  <c r="I684" i="18"/>
  <c r="I685" i="18"/>
  <c r="I686" i="18"/>
  <c r="I687" i="18"/>
  <c r="I688" i="18"/>
  <c r="I689" i="18"/>
  <c r="I690" i="18"/>
  <c r="I691" i="18"/>
  <c r="I692" i="18"/>
  <c r="I693" i="18"/>
  <c r="I694" i="18"/>
  <c r="I695" i="18"/>
  <c r="I696" i="18"/>
  <c r="I697" i="18"/>
  <c r="I698" i="18"/>
  <c r="I699" i="18"/>
  <c r="I700" i="18"/>
  <c r="I701" i="18"/>
  <c r="I702" i="18"/>
  <c r="I703" i="18"/>
  <c r="I704" i="18"/>
  <c r="I705" i="18"/>
  <c r="I706" i="18"/>
  <c r="I707" i="18"/>
  <c r="I708" i="18"/>
  <c r="I709" i="18"/>
  <c r="I710" i="18"/>
  <c r="I711" i="18"/>
  <c r="I712" i="18"/>
  <c r="I713" i="18"/>
  <c r="I714" i="18"/>
  <c r="I715" i="18"/>
  <c r="I716" i="18"/>
  <c r="I717" i="18"/>
  <c r="I718" i="18"/>
  <c r="I719" i="18"/>
  <c r="I720" i="18"/>
  <c r="I721" i="18"/>
  <c r="I722" i="18"/>
  <c r="I723" i="18"/>
  <c r="I724" i="18"/>
  <c r="I725" i="18"/>
  <c r="I726" i="18"/>
  <c r="I727" i="18"/>
  <c r="I728" i="18"/>
  <c r="I729" i="18"/>
  <c r="I730" i="18"/>
  <c r="I731" i="18"/>
  <c r="I732" i="18"/>
  <c r="I733" i="18"/>
  <c r="I734" i="18"/>
  <c r="I735" i="18"/>
  <c r="I736" i="18"/>
  <c r="I737" i="18"/>
  <c r="I738" i="18"/>
  <c r="I739" i="18"/>
  <c r="I740" i="18"/>
  <c r="I741" i="18"/>
  <c r="I742" i="18"/>
  <c r="I743" i="18"/>
  <c r="I744" i="18"/>
  <c r="I745" i="18"/>
  <c r="I746" i="18"/>
  <c r="I747" i="18"/>
  <c r="I748" i="18"/>
  <c r="I749" i="18"/>
  <c r="I750" i="18"/>
  <c r="I751" i="18"/>
  <c r="I752" i="18"/>
  <c r="I753" i="18"/>
  <c r="I754" i="18"/>
  <c r="I755" i="18"/>
  <c r="I756" i="18"/>
  <c r="I757" i="18"/>
  <c r="I758" i="18"/>
  <c r="I759" i="18"/>
  <c r="I760" i="18"/>
  <c r="I761" i="18"/>
  <c r="I762" i="18"/>
  <c r="I763" i="18"/>
  <c r="I764" i="18"/>
  <c r="I765" i="18"/>
  <c r="I766" i="18"/>
  <c r="I767" i="18"/>
  <c r="I768" i="18"/>
  <c r="I769" i="18"/>
  <c r="I770" i="18"/>
  <c r="I771" i="18"/>
  <c r="I772" i="18"/>
  <c r="I773" i="18"/>
  <c r="I774" i="18"/>
  <c r="I775" i="18"/>
  <c r="I776" i="18"/>
  <c r="I777" i="18"/>
  <c r="I778" i="18"/>
  <c r="I779" i="18"/>
  <c r="I780" i="18"/>
  <c r="I781" i="18"/>
  <c r="I782" i="18"/>
  <c r="I783" i="18"/>
  <c r="I784" i="18"/>
  <c r="I785" i="18"/>
  <c r="I786" i="18"/>
  <c r="I787" i="18"/>
  <c r="I788" i="18"/>
  <c r="I789" i="18"/>
  <c r="I790" i="18"/>
  <c r="I791" i="18"/>
  <c r="I792" i="18"/>
  <c r="I793" i="18"/>
  <c r="I794" i="18"/>
  <c r="I795" i="18"/>
  <c r="I796" i="18"/>
  <c r="I797" i="18"/>
  <c r="I798" i="18"/>
  <c r="I799" i="18"/>
  <c r="I800" i="18"/>
  <c r="I801" i="18"/>
  <c r="I802" i="18"/>
  <c r="I803" i="18"/>
  <c r="I804" i="18"/>
  <c r="I805" i="18"/>
  <c r="I806" i="18"/>
  <c r="I807" i="18"/>
  <c r="I808" i="18"/>
  <c r="I809" i="18"/>
  <c r="I810" i="18"/>
  <c r="I811" i="18"/>
  <c r="I812" i="18"/>
  <c r="I813" i="18"/>
  <c r="I814" i="18"/>
  <c r="I815" i="18"/>
  <c r="I816" i="18"/>
  <c r="I817" i="18"/>
  <c r="I818" i="18"/>
  <c r="I819" i="18"/>
  <c r="I820" i="18"/>
  <c r="I821" i="18"/>
  <c r="I822" i="18"/>
  <c r="I823" i="18"/>
  <c r="I824" i="18"/>
  <c r="I825" i="18"/>
  <c r="I826" i="18"/>
  <c r="I827" i="18"/>
  <c r="I828" i="18"/>
  <c r="I829" i="18"/>
  <c r="I830" i="18"/>
  <c r="I831" i="18"/>
  <c r="I832" i="18"/>
  <c r="I833" i="18"/>
  <c r="I834" i="18"/>
  <c r="I835" i="18"/>
  <c r="I836" i="18"/>
  <c r="I837" i="18"/>
  <c r="I838" i="18"/>
  <c r="I839" i="18"/>
  <c r="I840" i="18"/>
  <c r="I841" i="18"/>
  <c r="I842" i="18"/>
  <c r="I843" i="18"/>
  <c r="I844" i="18"/>
  <c r="I845" i="18"/>
  <c r="I846" i="18"/>
  <c r="I847" i="18"/>
  <c r="I848" i="18"/>
  <c r="I849" i="18"/>
  <c r="I850" i="18"/>
  <c r="I851" i="18"/>
  <c r="I852" i="18"/>
  <c r="I853" i="18"/>
  <c r="I854" i="18"/>
  <c r="I855" i="18"/>
  <c r="I856" i="18"/>
  <c r="I857" i="18"/>
  <c r="I858" i="18"/>
  <c r="I859" i="18"/>
  <c r="I860" i="18"/>
  <c r="I861" i="18"/>
  <c r="I862" i="18"/>
  <c r="I863" i="18"/>
  <c r="I864" i="18"/>
  <c r="I865" i="18"/>
  <c r="I866" i="18"/>
  <c r="I867" i="18"/>
  <c r="I868" i="18"/>
  <c r="I869" i="18"/>
  <c r="I870" i="18"/>
  <c r="I871" i="18"/>
  <c r="I872" i="18"/>
  <c r="I873" i="18"/>
  <c r="I874" i="18"/>
  <c r="I875" i="18"/>
  <c r="I876" i="18"/>
  <c r="I877" i="18"/>
  <c r="I878" i="18"/>
  <c r="I879" i="18"/>
  <c r="I880" i="18"/>
  <c r="I881" i="18"/>
  <c r="I882" i="18"/>
  <c r="I883" i="18"/>
  <c r="I884" i="18"/>
  <c r="I885" i="18"/>
  <c r="I886" i="18"/>
  <c r="I887" i="18"/>
  <c r="I888" i="18"/>
  <c r="I889" i="18"/>
  <c r="I890" i="18"/>
  <c r="I891" i="18"/>
  <c r="I892" i="18"/>
  <c r="I893" i="18"/>
  <c r="I894" i="18"/>
  <c r="I895" i="18"/>
  <c r="I896" i="18"/>
  <c r="I897" i="18"/>
  <c r="I898" i="18"/>
  <c r="I899" i="18"/>
  <c r="I900" i="18"/>
  <c r="I901" i="18"/>
  <c r="I902" i="18"/>
  <c r="I903" i="18"/>
  <c r="I904" i="18"/>
  <c r="I905" i="18"/>
  <c r="I906" i="18"/>
  <c r="I907" i="18"/>
  <c r="I908" i="18"/>
  <c r="I909" i="18"/>
  <c r="I910" i="18"/>
  <c r="I911" i="18"/>
  <c r="I912" i="18"/>
  <c r="I913" i="18"/>
  <c r="I914" i="18"/>
  <c r="I915" i="18"/>
  <c r="I916" i="18"/>
  <c r="I917" i="18"/>
  <c r="I918" i="18"/>
  <c r="I919" i="18"/>
  <c r="I920" i="18"/>
  <c r="I921" i="18"/>
  <c r="I922" i="18"/>
  <c r="I923" i="18"/>
  <c r="I924" i="18"/>
  <c r="I925" i="18"/>
  <c r="I926" i="18"/>
  <c r="I927" i="18"/>
  <c r="I928" i="18"/>
  <c r="I929" i="18"/>
  <c r="I930" i="18"/>
  <c r="I931" i="18"/>
  <c r="I932" i="18"/>
  <c r="I933" i="18"/>
  <c r="I934" i="18"/>
  <c r="I935" i="18"/>
  <c r="I936" i="18"/>
  <c r="I937" i="18"/>
  <c r="I938" i="18"/>
  <c r="I939" i="18"/>
  <c r="I940" i="18"/>
  <c r="I941" i="18"/>
  <c r="I942" i="18"/>
  <c r="I943" i="18"/>
  <c r="I944" i="18"/>
  <c r="I945" i="18"/>
  <c r="I946" i="18"/>
  <c r="I947" i="18"/>
  <c r="I948" i="18"/>
  <c r="I949" i="18"/>
  <c r="I950" i="18"/>
  <c r="I951" i="18"/>
  <c r="I952" i="18"/>
  <c r="I953" i="18"/>
  <c r="I954" i="18"/>
  <c r="I955" i="18"/>
  <c r="I956" i="18"/>
  <c r="I957" i="18"/>
  <c r="I958" i="18"/>
  <c r="I959" i="18"/>
  <c r="I960" i="18"/>
  <c r="I961" i="18"/>
  <c r="I962" i="18"/>
  <c r="I963" i="18"/>
  <c r="I964" i="18"/>
  <c r="I965" i="18"/>
  <c r="I966" i="18"/>
  <c r="I967" i="18"/>
  <c r="I968" i="18"/>
  <c r="I969" i="18"/>
  <c r="I970" i="18"/>
  <c r="I971" i="18"/>
  <c r="I972" i="18"/>
  <c r="I973" i="18"/>
  <c r="I974" i="18"/>
  <c r="I975" i="18"/>
  <c r="I976" i="18"/>
  <c r="I977" i="18"/>
  <c r="I978" i="18"/>
  <c r="I979" i="18"/>
  <c r="I980" i="18"/>
  <c r="I981" i="18"/>
  <c r="I982" i="18"/>
  <c r="I983" i="18"/>
  <c r="I984" i="18"/>
  <c r="I985" i="18"/>
  <c r="I986" i="18"/>
  <c r="I987" i="18"/>
  <c r="I988" i="18"/>
  <c r="I989" i="18"/>
  <c r="I990" i="18"/>
  <c r="I991" i="18"/>
  <c r="I992" i="18"/>
  <c r="I993" i="18"/>
  <c r="I994" i="18"/>
  <c r="I995" i="18"/>
  <c r="I996" i="18"/>
  <c r="I997" i="18"/>
  <c r="I998" i="18"/>
  <c r="I999" i="18"/>
  <c r="I1000" i="18"/>
  <c r="I1001" i="18"/>
  <c r="I1002" i="18"/>
  <c r="I1003" i="18"/>
  <c r="I1004" i="18"/>
  <c r="I1005" i="18"/>
  <c r="I1006" i="18"/>
  <c r="I1007" i="18"/>
  <c r="I1008" i="18"/>
  <c r="I1009" i="18"/>
  <c r="I1010" i="18"/>
  <c r="I1011" i="18"/>
  <c r="I1012" i="18"/>
  <c r="I1013" i="18"/>
  <c r="I1014" i="18"/>
  <c r="I1015" i="18"/>
  <c r="I1016" i="18"/>
  <c r="I1017" i="18"/>
  <c r="I1018" i="18"/>
  <c r="I1019" i="18"/>
  <c r="I1020" i="18"/>
  <c r="I1021" i="18"/>
  <c r="I1022" i="18"/>
  <c r="I1023" i="18"/>
  <c r="I1024" i="18"/>
  <c r="I1025" i="18"/>
  <c r="I1026" i="18"/>
  <c r="I1027" i="18"/>
  <c r="I1028" i="18"/>
  <c r="I1029" i="18"/>
  <c r="I1030" i="18"/>
  <c r="I1031" i="18"/>
  <c r="I1032" i="18"/>
  <c r="I1033" i="18"/>
  <c r="I1034" i="18"/>
  <c r="I1035" i="18"/>
  <c r="I1036" i="18"/>
  <c r="I1037" i="18"/>
  <c r="I1038" i="18"/>
  <c r="I1039" i="18"/>
  <c r="I1040" i="18"/>
  <c r="I1041" i="18"/>
  <c r="I1042" i="18"/>
  <c r="I1043" i="18"/>
  <c r="I1044" i="18"/>
  <c r="I1045" i="18"/>
  <c r="I1046" i="18"/>
  <c r="I1047" i="18"/>
  <c r="I1048" i="18"/>
  <c r="I1049" i="18"/>
  <c r="I1050" i="18"/>
  <c r="I1051" i="18"/>
  <c r="I1052" i="18"/>
  <c r="I1053" i="18"/>
  <c r="I1054" i="18"/>
  <c r="I1055" i="18"/>
  <c r="I1056" i="18"/>
  <c r="I1057" i="18"/>
  <c r="I1058" i="18"/>
  <c r="I1059" i="18"/>
  <c r="I1060" i="18"/>
  <c r="I1061" i="18"/>
  <c r="I1062" i="18"/>
  <c r="I1063" i="18"/>
  <c r="I1064" i="18"/>
  <c r="I1065" i="18"/>
  <c r="I1066" i="18"/>
  <c r="I1067" i="18"/>
  <c r="I1068" i="18"/>
  <c r="I1069" i="18"/>
  <c r="I1070" i="18"/>
  <c r="I1071" i="18"/>
  <c r="I1072" i="18"/>
  <c r="I1073" i="18"/>
  <c r="I1074" i="18"/>
  <c r="I1075" i="18"/>
  <c r="I1076" i="18"/>
  <c r="I1077" i="18"/>
  <c r="I1078" i="18"/>
  <c r="I1079" i="18"/>
  <c r="I1080" i="18"/>
  <c r="I1081" i="18"/>
  <c r="I1082" i="18"/>
  <c r="I1083" i="18"/>
  <c r="I1084" i="18"/>
  <c r="I1085" i="18"/>
  <c r="I1086" i="18"/>
  <c r="I1087" i="18"/>
  <c r="I1088" i="18"/>
  <c r="I1089" i="18"/>
  <c r="I1090" i="18"/>
  <c r="I1091" i="18"/>
  <c r="I1092" i="18"/>
  <c r="I1093" i="18"/>
  <c r="I1094" i="18"/>
  <c r="I1095" i="18"/>
  <c r="I1096" i="18"/>
  <c r="I1097" i="18"/>
  <c r="I1098" i="18"/>
  <c r="I1099" i="18"/>
  <c r="I1100" i="18"/>
  <c r="I1101" i="18"/>
  <c r="I1102" i="18"/>
  <c r="I1103" i="18"/>
  <c r="I1104" i="18"/>
  <c r="I1105" i="18"/>
  <c r="I1106" i="18"/>
  <c r="I1107" i="18"/>
  <c r="I1108" i="18"/>
  <c r="I1109" i="18"/>
  <c r="I1110" i="18"/>
  <c r="I1111" i="18"/>
  <c r="I1112" i="18"/>
  <c r="I1113" i="18"/>
  <c r="I1114" i="18"/>
  <c r="I1115" i="18"/>
  <c r="I1116" i="18"/>
  <c r="I1117" i="18"/>
  <c r="I1118" i="18"/>
  <c r="I1119" i="18"/>
  <c r="I1120" i="18"/>
  <c r="I1121" i="18"/>
  <c r="I1122" i="18"/>
  <c r="I1123" i="18"/>
  <c r="I1124" i="18"/>
  <c r="I1125" i="18"/>
  <c r="I1126" i="18"/>
  <c r="I1127" i="18"/>
  <c r="I1128" i="18"/>
  <c r="I1129" i="18"/>
  <c r="I1130" i="18"/>
  <c r="I1131" i="18"/>
  <c r="I1132" i="18"/>
  <c r="I1133" i="18"/>
  <c r="I1134" i="18"/>
  <c r="I1135" i="18"/>
  <c r="I1136" i="18"/>
  <c r="I1137" i="18"/>
  <c r="I1138" i="18"/>
  <c r="I1139" i="18"/>
  <c r="I1140" i="18"/>
  <c r="I1141" i="18"/>
  <c r="I1142" i="18"/>
  <c r="I1143" i="18"/>
  <c r="I1144" i="18"/>
  <c r="I1145" i="18"/>
  <c r="I1146" i="18"/>
  <c r="I1147" i="18"/>
  <c r="I1148" i="18"/>
  <c r="I1149" i="18"/>
  <c r="I1150" i="18"/>
  <c r="I1151" i="18"/>
  <c r="I1152" i="18"/>
  <c r="I1153" i="18"/>
  <c r="I1154" i="18"/>
  <c r="I1155" i="18"/>
  <c r="I1156" i="18"/>
  <c r="I1157" i="18"/>
  <c r="I1158" i="18"/>
  <c r="I1159" i="18"/>
  <c r="I1160" i="18"/>
  <c r="I1161" i="18"/>
  <c r="I1162" i="18"/>
  <c r="I1163" i="18"/>
  <c r="I1164" i="18"/>
  <c r="I1165" i="18"/>
  <c r="I1166" i="18"/>
  <c r="I1167" i="18"/>
  <c r="I1168" i="18"/>
  <c r="I1169" i="18"/>
  <c r="I1170" i="18"/>
  <c r="I1171" i="18"/>
  <c r="I1172" i="18"/>
  <c r="I1173" i="18"/>
  <c r="I1174" i="18"/>
  <c r="I1175" i="18"/>
  <c r="I1176" i="18"/>
  <c r="I1177" i="18"/>
  <c r="I1178" i="18"/>
  <c r="I1179" i="18"/>
  <c r="I1180" i="18"/>
  <c r="I1181" i="18"/>
  <c r="I1182" i="18"/>
  <c r="I1183" i="18"/>
  <c r="I1184" i="18"/>
  <c r="I1185" i="18"/>
  <c r="I1186" i="18"/>
  <c r="I1187" i="18"/>
  <c r="I1188" i="18"/>
  <c r="I1189" i="18"/>
  <c r="I1190" i="18"/>
  <c r="I1191" i="18"/>
  <c r="I1192" i="18"/>
  <c r="I1193" i="18"/>
  <c r="I1194" i="18"/>
  <c r="I1195" i="18"/>
  <c r="I1196" i="18"/>
  <c r="I1197" i="18"/>
  <c r="I1198" i="18"/>
  <c r="I1199" i="18"/>
  <c r="I1200" i="18"/>
  <c r="I1201" i="18"/>
  <c r="I1202" i="18"/>
  <c r="I1203" i="18"/>
  <c r="I1204" i="18"/>
  <c r="I1205" i="18"/>
  <c r="I1206" i="18"/>
  <c r="I1207" i="18"/>
  <c r="I1208" i="18"/>
  <c r="I1209" i="18"/>
  <c r="I1210" i="18"/>
  <c r="I1211" i="18"/>
  <c r="I1212" i="18"/>
  <c r="I1213" i="18"/>
  <c r="I1214" i="18"/>
  <c r="I1215" i="18"/>
  <c r="I1216" i="18"/>
  <c r="I1217" i="18"/>
  <c r="I1218" i="18"/>
  <c r="I1220" i="18"/>
  <c r="I1221" i="18"/>
  <c r="I1222" i="18"/>
  <c r="I1223" i="18"/>
  <c r="I1224" i="18"/>
  <c r="I1225" i="18"/>
  <c r="I1226" i="18"/>
  <c r="I1227" i="18"/>
  <c r="I1228" i="18"/>
  <c r="I1229" i="18"/>
  <c r="I1231" i="18"/>
  <c r="I1232" i="18"/>
  <c r="I1233" i="18"/>
  <c r="I1234" i="18"/>
  <c r="I1235" i="18"/>
  <c r="I1236" i="18"/>
  <c r="I1237" i="18"/>
  <c r="I1238" i="18"/>
  <c r="I1239" i="18"/>
  <c r="I1240" i="18"/>
  <c r="I1241" i="18"/>
  <c r="H2" i="18"/>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2" i="18"/>
  <c r="H43" i="18"/>
  <c r="H44" i="18"/>
  <c r="H45" i="18"/>
  <c r="H46" i="18"/>
  <c r="H47" i="18"/>
  <c r="H48" i="18"/>
  <c r="H49" i="18"/>
  <c r="H50" i="18"/>
  <c r="H51" i="18"/>
  <c r="H52" i="18"/>
  <c r="H53" i="18"/>
  <c r="H54" i="18"/>
  <c r="H55" i="18"/>
  <c r="H56" i="18"/>
  <c r="H57" i="18"/>
  <c r="H58" i="18"/>
  <c r="H59" i="18"/>
  <c r="H60" i="18"/>
  <c r="H61" i="18"/>
  <c r="H62" i="18"/>
  <c r="H63" i="18"/>
  <c r="H64" i="18"/>
  <c r="H65" i="18"/>
  <c r="H66" i="18"/>
  <c r="H67" i="18"/>
  <c r="H68" i="18"/>
  <c r="H69" i="18"/>
  <c r="H70" i="18"/>
  <c r="H71" i="18"/>
  <c r="H72" i="18"/>
  <c r="H73" i="18"/>
  <c r="H74" i="18"/>
  <c r="H75" i="18"/>
  <c r="H76" i="18"/>
  <c r="H77" i="18"/>
  <c r="H78" i="18"/>
  <c r="H79" i="18"/>
  <c r="H80" i="18"/>
  <c r="H81" i="18"/>
  <c r="H82" i="18"/>
  <c r="H83" i="18"/>
  <c r="H84" i="18"/>
  <c r="H85" i="18"/>
  <c r="H86" i="18"/>
  <c r="H87" i="18"/>
  <c r="H88" i="18"/>
  <c r="H89" i="18"/>
  <c r="H90" i="18"/>
  <c r="H91" i="18"/>
  <c r="H92" i="18"/>
  <c r="H93" i="18"/>
  <c r="H94" i="18"/>
  <c r="H95" i="18"/>
  <c r="H96" i="18"/>
  <c r="H97" i="18"/>
  <c r="H98" i="18"/>
  <c r="H99" i="18"/>
  <c r="H100" i="18"/>
  <c r="H101" i="18"/>
  <c r="H102" i="18"/>
  <c r="H103" i="18"/>
  <c r="H104" i="18"/>
  <c r="H105" i="18"/>
  <c r="H106" i="18"/>
  <c r="H107" i="18"/>
  <c r="H108" i="18"/>
  <c r="H109" i="18"/>
  <c r="H110" i="18"/>
  <c r="H111" i="18"/>
  <c r="H112" i="18"/>
  <c r="H113" i="18"/>
  <c r="H114" i="18"/>
  <c r="H115" i="18"/>
  <c r="H116" i="18"/>
  <c r="H117" i="18"/>
  <c r="H118" i="18"/>
  <c r="H119" i="18"/>
  <c r="H120" i="18"/>
  <c r="H121" i="18"/>
  <c r="H122" i="18"/>
  <c r="H123" i="18"/>
  <c r="H124" i="18"/>
  <c r="H125" i="18"/>
  <c r="H126" i="18"/>
  <c r="H127" i="18"/>
  <c r="H128" i="18"/>
  <c r="H129" i="18"/>
  <c r="H130" i="18"/>
  <c r="H131" i="18"/>
  <c r="H132" i="18"/>
  <c r="H133" i="18"/>
  <c r="H134" i="18"/>
  <c r="H135" i="18"/>
  <c r="H136" i="18"/>
  <c r="H137" i="18"/>
  <c r="H138" i="18"/>
  <c r="H139" i="18"/>
  <c r="H140" i="18"/>
  <c r="H141" i="18"/>
  <c r="H142" i="18"/>
  <c r="H143" i="18"/>
  <c r="H144" i="18"/>
  <c r="H145" i="18"/>
  <c r="H146" i="18"/>
  <c r="H147" i="18"/>
  <c r="H148" i="18"/>
  <c r="H149" i="18"/>
  <c r="H150" i="18"/>
  <c r="H151" i="18"/>
  <c r="H152" i="18"/>
  <c r="H153" i="18"/>
  <c r="H154" i="18"/>
  <c r="H155" i="18"/>
  <c r="H156" i="18"/>
  <c r="H157" i="18"/>
  <c r="H158" i="18"/>
  <c r="H159" i="18"/>
  <c r="H160" i="18"/>
  <c r="H161" i="18"/>
  <c r="H162" i="18"/>
  <c r="H163" i="18"/>
  <c r="H164" i="18"/>
  <c r="H165" i="18"/>
  <c r="H166" i="18"/>
  <c r="H167" i="18"/>
  <c r="H168" i="18"/>
  <c r="H169" i="18"/>
  <c r="H170" i="18"/>
  <c r="H171" i="18"/>
  <c r="H172" i="18"/>
  <c r="H173" i="18"/>
  <c r="H174" i="18"/>
  <c r="H175" i="18"/>
  <c r="H176" i="18"/>
  <c r="H177" i="18"/>
  <c r="H178" i="18"/>
  <c r="H179" i="18"/>
  <c r="H180" i="18"/>
  <c r="H181" i="18"/>
  <c r="H182" i="18"/>
  <c r="H183" i="18"/>
  <c r="H184" i="18"/>
  <c r="H185" i="18"/>
  <c r="H186" i="18"/>
  <c r="H187" i="18"/>
  <c r="H188" i="18"/>
  <c r="H189" i="18"/>
  <c r="H190" i="18"/>
  <c r="H191" i="18"/>
  <c r="H192" i="18"/>
  <c r="H193" i="18"/>
  <c r="H194" i="18"/>
  <c r="H195" i="18"/>
  <c r="H196" i="18"/>
  <c r="H197" i="18"/>
  <c r="H198" i="18"/>
  <c r="H199" i="18"/>
  <c r="H200" i="18"/>
  <c r="H201" i="18"/>
  <c r="H202" i="18"/>
  <c r="H203" i="18"/>
  <c r="H204" i="18"/>
  <c r="H205" i="18"/>
  <c r="H206" i="18"/>
  <c r="H207" i="18"/>
  <c r="H208" i="18"/>
  <c r="H209" i="18"/>
  <c r="H210" i="18"/>
  <c r="H211" i="18"/>
  <c r="H212" i="18"/>
  <c r="H213" i="18"/>
  <c r="H214" i="18"/>
  <c r="H215" i="18"/>
  <c r="H216" i="18"/>
  <c r="H217" i="18"/>
  <c r="H218" i="18"/>
  <c r="H219" i="18"/>
  <c r="H220" i="18"/>
  <c r="H221" i="18"/>
  <c r="H222" i="18"/>
  <c r="H223" i="18"/>
  <c r="H224" i="18"/>
  <c r="H225" i="18"/>
  <c r="H226" i="18"/>
  <c r="H227" i="18"/>
  <c r="H228" i="18"/>
  <c r="H229" i="18"/>
  <c r="H230" i="18"/>
  <c r="H231" i="18"/>
  <c r="H232" i="18"/>
  <c r="H233" i="18"/>
  <c r="H234" i="18"/>
  <c r="H235" i="18"/>
  <c r="H236" i="18"/>
  <c r="H237" i="18"/>
  <c r="H238" i="18"/>
  <c r="H239" i="18"/>
  <c r="H240" i="18"/>
  <c r="H241" i="18"/>
  <c r="H242" i="18"/>
  <c r="H243" i="18"/>
  <c r="H244" i="18"/>
  <c r="H245" i="18"/>
  <c r="H246" i="18"/>
  <c r="H247" i="18"/>
  <c r="H248" i="18"/>
  <c r="H249" i="18"/>
  <c r="H250" i="18"/>
  <c r="H251" i="18"/>
  <c r="H252" i="18"/>
  <c r="H253" i="18"/>
  <c r="H254" i="18"/>
  <c r="H255" i="18"/>
  <c r="H256" i="18"/>
  <c r="H257" i="18"/>
  <c r="H258" i="18"/>
  <c r="H259" i="18"/>
  <c r="H260" i="18"/>
  <c r="H261" i="18"/>
  <c r="H262" i="18"/>
  <c r="H263" i="18"/>
  <c r="H264" i="18"/>
  <c r="H265" i="18"/>
  <c r="H266" i="18"/>
  <c r="H267" i="18"/>
  <c r="H268" i="18"/>
  <c r="H269" i="18"/>
  <c r="H270" i="18"/>
  <c r="H271" i="18"/>
  <c r="H272" i="18"/>
  <c r="H273" i="18"/>
  <c r="H274" i="18"/>
  <c r="H275" i="18"/>
  <c r="H276" i="18"/>
  <c r="H277" i="18"/>
  <c r="H278" i="18"/>
  <c r="H279" i="18"/>
  <c r="H280" i="18"/>
  <c r="H281" i="18"/>
  <c r="H282" i="18"/>
  <c r="H283" i="18"/>
  <c r="H284" i="18"/>
  <c r="H285" i="18"/>
  <c r="H286" i="18"/>
  <c r="H287" i="18"/>
  <c r="H288" i="18"/>
  <c r="H289" i="18"/>
  <c r="H290" i="18"/>
  <c r="H291" i="18"/>
  <c r="H292" i="18"/>
  <c r="H293" i="18"/>
  <c r="H294" i="18"/>
  <c r="H295" i="18"/>
  <c r="H296" i="18"/>
  <c r="H297" i="18"/>
  <c r="H298" i="18"/>
  <c r="H299" i="18"/>
  <c r="H300" i="18"/>
  <c r="H301" i="18"/>
  <c r="H302" i="18"/>
  <c r="H303" i="18"/>
  <c r="H304" i="18"/>
  <c r="H305" i="18"/>
  <c r="H306" i="18"/>
  <c r="H307" i="18"/>
  <c r="H308" i="18"/>
  <c r="H309" i="18"/>
  <c r="H310" i="18"/>
  <c r="H311" i="18"/>
  <c r="H312" i="18"/>
  <c r="H313" i="18"/>
  <c r="H314" i="18"/>
  <c r="H315" i="18"/>
  <c r="H316" i="18"/>
  <c r="H317" i="18"/>
  <c r="H318" i="18"/>
  <c r="H319" i="18"/>
  <c r="H320" i="18"/>
  <c r="H321" i="18"/>
  <c r="H322" i="18"/>
  <c r="H323" i="18"/>
  <c r="H324" i="18"/>
  <c r="H325" i="18"/>
  <c r="H326" i="18"/>
  <c r="H327" i="18"/>
  <c r="H328" i="18"/>
  <c r="H329" i="18"/>
  <c r="H330" i="18"/>
  <c r="H331" i="18"/>
  <c r="H332" i="18"/>
  <c r="H333" i="18"/>
  <c r="H334" i="18"/>
  <c r="H335" i="18"/>
  <c r="H336" i="18"/>
  <c r="H337" i="18"/>
  <c r="H338" i="18"/>
  <c r="H339" i="18"/>
  <c r="H340" i="18"/>
  <c r="H341" i="18"/>
  <c r="H342" i="18"/>
  <c r="H343" i="18"/>
  <c r="H344" i="18"/>
  <c r="H345" i="18"/>
  <c r="H346" i="18"/>
  <c r="H347" i="18"/>
  <c r="H348" i="18"/>
  <c r="H349" i="18"/>
  <c r="H350" i="18"/>
  <c r="H351" i="18"/>
  <c r="H352" i="18"/>
  <c r="H353" i="18"/>
  <c r="H354" i="18"/>
  <c r="H355" i="18"/>
  <c r="H356" i="18"/>
  <c r="H357" i="18"/>
  <c r="H358" i="18"/>
  <c r="H359" i="18"/>
  <c r="H360" i="18"/>
  <c r="H361" i="18"/>
  <c r="H362" i="18"/>
  <c r="H363" i="18"/>
  <c r="H364" i="18"/>
  <c r="H365" i="18"/>
  <c r="H366" i="18"/>
  <c r="H367" i="18"/>
  <c r="H368" i="18"/>
  <c r="H369" i="18"/>
  <c r="H370" i="18"/>
  <c r="H371" i="18"/>
  <c r="H372" i="18"/>
  <c r="H373" i="18"/>
  <c r="H374" i="18"/>
  <c r="H375" i="18"/>
  <c r="H376" i="18"/>
  <c r="H377" i="18"/>
  <c r="H378" i="18"/>
  <c r="H379" i="18"/>
  <c r="H380" i="18"/>
  <c r="H381" i="18"/>
  <c r="H382" i="18"/>
  <c r="H383" i="18"/>
  <c r="H384" i="18"/>
  <c r="H385" i="18"/>
  <c r="H386" i="18"/>
  <c r="H387" i="18"/>
  <c r="H388" i="18"/>
  <c r="H389" i="18"/>
  <c r="H390" i="18"/>
  <c r="H391" i="18"/>
  <c r="H392" i="18"/>
  <c r="H393" i="18"/>
  <c r="H394" i="18"/>
  <c r="H395" i="18"/>
  <c r="H396" i="18"/>
  <c r="H397" i="18"/>
  <c r="H398" i="18"/>
  <c r="H399" i="18"/>
  <c r="H400" i="18"/>
  <c r="H401" i="18"/>
  <c r="H402" i="18"/>
  <c r="H403" i="18"/>
  <c r="H404" i="18"/>
  <c r="H405" i="18"/>
  <c r="H406" i="18"/>
  <c r="H407" i="18"/>
  <c r="H408" i="18"/>
  <c r="H409" i="18"/>
  <c r="H410" i="18"/>
  <c r="H411" i="18"/>
  <c r="H412" i="18"/>
  <c r="H413" i="18"/>
  <c r="H414" i="18"/>
  <c r="H415" i="18"/>
  <c r="H416" i="18"/>
  <c r="H417" i="18"/>
  <c r="H418" i="18"/>
  <c r="H419" i="18"/>
  <c r="H420" i="18"/>
  <c r="H421" i="18"/>
  <c r="H422" i="18"/>
  <c r="H423" i="18"/>
  <c r="H424" i="18"/>
  <c r="H425" i="18"/>
  <c r="H426" i="18"/>
  <c r="H427" i="18"/>
  <c r="H428" i="18"/>
  <c r="H429" i="18"/>
  <c r="H430" i="18"/>
  <c r="H431" i="18"/>
  <c r="H432" i="18"/>
  <c r="H433" i="18"/>
  <c r="H434" i="18"/>
  <c r="H435" i="18"/>
  <c r="H436" i="18"/>
  <c r="H437" i="18"/>
  <c r="H438" i="18"/>
  <c r="H439" i="18"/>
  <c r="H440" i="18"/>
  <c r="H441" i="18"/>
  <c r="H442" i="18"/>
  <c r="H443" i="18"/>
  <c r="H444" i="18"/>
  <c r="H445" i="18"/>
  <c r="H446" i="18"/>
  <c r="H447" i="18"/>
  <c r="H448" i="18"/>
  <c r="H449" i="18"/>
  <c r="H450" i="18"/>
  <c r="H451" i="18"/>
  <c r="H452" i="18"/>
  <c r="H453" i="18"/>
  <c r="H454" i="18"/>
  <c r="H455" i="18"/>
  <c r="H456" i="18"/>
  <c r="H457" i="18"/>
  <c r="H458" i="18"/>
  <c r="H459" i="18"/>
  <c r="H460" i="18"/>
  <c r="H461" i="18"/>
  <c r="H462" i="18"/>
  <c r="H463" i="18"/>
  <c r="H464" i="18"/>
  <c r="H465" i="18"/>
  <c r="H466" i="18"/>
  <c r="H467" i="18"/>
  <c r="H468" i="18"/>
  <c r="H469" i="18"/>
  <c r="H470" i="18"/>
  <c r="H471" i="18"/>
  <c r="H472" i="18"/>
  <c r="H473" i="18"/>
  <c r="H474" i="18"/>
  <c r="H475" i="18"/>
  <c r="H476" i="18"/>
  <c r="H477" i="18"/>
  <c r="H478" i="18"/>
  <c r="H479" i="18"/>
  <c r="H480" i="18"/>
  <c r="H481" i="18"/>
  <c r="H482" i="18"/>
  <c r="H483" i="18"/>
  <c r="H484" i="18"/>
  <c r="H485" i="18"/>
  <c r="H486" i="18"/>
  <c r="H487" i="18"/>
  <c r="H488" i="18"/>
  <c r="H489" i="18"/>
  <c r="H490" i="18"/>
  <c r="H491" i="18"/>
  <c r="H492" i="18"/>
  <c r="H493" i="18"/>
  <c r="H494" i="18"/>
  <c r="H495" i="18"/>
  <c r="H496" i="18"/>
  <c r="H497" i="18"/>
  <c r="H498" i="18"/>
  <c r="H499" i="18"/>
  <c r="H500" i="18"/>
  <c r="H501" i="18"/>
  <c r="H502" i="18"/>
  <c r="H503" i="18"/>
  <c r="H504" i="18"/>
  <c r="H505" i="18"/>
  <c r="H506" i="18"/>
  <c r="H507" i="18"/>
  <c r="H508" i="18"/>
  <c r="H509" i="18"/>
  <c r="H510" i="18"/>
  <c r="H511" i="18"/>
  <c r="H512" i="18"/>
  <c r="H513" i="18"/>
  <c r="H514" i="18"/>
  <c r="H515" i="18"/>
  <c r="H516" i="18"/>
  <c r="H517" i="18"/>
  <c r="H518" i="18"/>
  <c r="H519" i="18"/>
  <c r="H520" i="18"/>
  <c r="H521" i="18"/>
  <c r="H522" i="18"/>
  <c r="H523" i="18"/>
  <c r="H524" i="18"/>
  <c r="H525" i="18"/>
  <c r="H526" i="18"/>
  <c r="H527" i="18"/>
  <c r="H528" i="18"/>
  <c r="H529" i="18"/>
  <c r="H530" i="18"/>
  <c r="H531" i="18"/>
  <c r="H532" i="18"/>
  <c r="H533" i="18"/>
  <c r="H534" i="18"/>
  <c r="H535" i="18"/>
  <c r="H536" i="18"/>
  <c r="H537" i="18"/>
  <c r="H538" i="18"/>
  <c r="H539" i="18"/>
  <c r="H540" i="18"/>
  <c r="H541" i="18"/>
  <c r="H542" i="18"/>
  <c r="H543" i="18"/>
  <c r="H544" i="18"/>
  <c r="H545" i="18"/>
  <c r="H546" i="18"/>
  <c r="H547" i="18"/>
  <c r="H548" i="18"/>
  <c r="H549" i="18"/>
  <c r="H550" i="18"/>
  <c r="H551" i="18"/>
  <c r="H552" i="18"/>
  <c r="H553" i="18"/>
  <c r="H554" i="18"/>
  <c r="H555" i="18"/>
  <c r="H556" i="18"/>
  <c r="H557" i="18"/>
  <c r="H558" i="18"/>
  <c r="H559" i="18"/>
  <c r="H560" i="18"/>
  <c r="H561" i="18"/>
  <c r="H562" i="18"/>
  <c r="H563" i="18"/>
  <c r="H564" i="18"/>
  <c r="H565" i="18"/>
  <c r="H566" i="18"/>
  <c r="H567" i="18"/>
  <c r="H568" i="18"/>
  <c r="H569" i="18"/>
  <c r="H570" i="18"/>
  <c r="H571" i="18"/>
  <c r="H572" i="18"/>
  <c r="H573" i="18"/>
  <c r="H574" i="18"/>
  <c r="H575" i="18"/>
  <c r="H576" i="18"/>
  <c r="H577" i="18"/>
  <c r="H578" i="18"/>
  <c r="H579" i="18"/>
  <c r="H580" i="18"/>
  <c r="H581" i="18"/>
  <c r="H582" i="18"/>
  <c r="H583" i="18"/>
  <c r="H584" i="18"/>
  <c r="H585" i="18"/>
  <c r="H586" i="18"/>
  <c r="H587" i="18"/>
  <c r="H588" i="18"/>
  <c r="H589" i="18"/>
  <c r="H590" i="18"/>
  <c r="H591" i="18"/>
  <c r="H592" i="18"/>
  <c r="H593" i="18"/>
  <c r="H594" i="18"/>
  <c r="H595" i="18"/>
  <c r="H596" i="18"/>
  <c r="H597" i="18"/>
  <c r="H598" i="18"/>
  <c r="H599" i="18"/>
  <c r="H600" i="18"/>
  <c r="H601" i="18"/>
  <c r="H602" i="18"/>
  <c r="H603" i="18"/>
  <c r="H604" i="18"/>
  <c r="H605" i="18"/>
  <c r="H606" i="18"/>
  <c r="H607" i="18"/>
  <c r="H608" i="18"/>
  <c r="H609" i="18"/>
  <c r="H610" i="18"/>
  <c r="H611" i="18"/>
  <c r="H612" i="18"/>
  <c r="H613" i="18"/>
  <c r="H614" i="18"/>
  <c r="H615" i="18"/>
  <c r="H616" i="18"/>
  <c r="H617" i="18"/>
  <c r="H618" i="18"/>
  <c r="H619" i="18"/>
  <c r="H620" i="18"/>
  <c r="H621" i="18"/>
  <c r="H622" i="18"/>
  <c r="H623" i="18"/>
  <c r="H624" i="18"/>
  <c r="H625" i="18"/>
  <c r="H626" i="18"/>
  <c r="H627" i="18"/>
  <c r="H628" i="18"/>
  <c r="H629" i="18"/>
  <c r="H630" i="18"/>
  <c r="H631" i="18"/>
  <c r="H632" i="18"/>
  <c r="H633" i="18"/>
  <c r="H634" i="18"/>
  <c r="H635" i="18"/>
  <c r="H636" i="18"/>
  <c r="H637" i="18"/>
  <c r="H638" i="18"/>
  <c r="H639" i="18"/>
  <c r="H640" i="18"/>
  <c r="H641" i="18"/>
  <c r="H642" i="18"/>
  <c r="H643" i="18"/>
  <c r="H644" i="18"/>
  <c r="H645" i="18"/>
  <c r="H646" i="18"/>
  <c r="H647" i="18"/>
  <c r="H648" i="18"/>
  <c r="H649" i="18"/>
  <c r="H650" i="18"/>
  <c r="H651" i="18"/>
  <c r="H652" i="18"/>
  <c r="H653" i="18"/>
  <c r="H654" i="18"/>
  <c r="H655" i="18"/>
  <c r="H656" i="18"/>
  <c r="H657" i="18"/>
  <c r="H658" i="18"/>
  <c r="H659" i="18"/>
  <c r="H660" i="18"/>
  <c r="H661" i="18"/>
  <c r="H662" i="18"/>
  <c r="H663" i="18"/>
  <c r="H664" i="18"/>
  <c r="H665" i="18"/>
  <c r="H666" i="18"/>
  <c r="H667" i="18"/>
  <c r="H668" i="18"/>
  <c r="H669" i="18"/>
  <c r="H670" i="18"/>
  <c r="H671" i="18"/>
  <c r="H672" i="18"/>
  <c r="H673" i="18"/>
  <c r="H674" i="18"/>
  <c r="H675" i="18"/>
  <c r="H676" i="18"/>
  <c r="H677" i="18"/>
  <c r="H678" i="18"/>
  <c r="H679" i="18"/>
  <c r="H680" i="18"/>
  <c r="H681" i="18"/>
  <c r="H682" i="18"/>
  <c r="H683" i="18"/>
  <c r="H684" i="18"/>
  <c r="H685" i="18"/>
  <c r="H686" i="18"/>
  <c r="H687" i="18"/>
  <c r="H688" i="18"/>
  <c r="H689" i="18"/>
  <c r="H690" i="18"/>
  <c r="H691" i="18"/>
  <c r="H692" i="18"/>
  <c r="H693" i="18"/>
  <c r="H694" i="18"/>
  <c r="H695" i="18"/>
  <c r="H696" i="18"/>
  <c r="H697" i="18"/>
  <c r="H698" i="18"/>
  <c r="H699" i="18"/>
  <c r="H700" i="18"/>
  <c r="H701" i="18"/>
  <c r="H702" i="18"/>
  <c r="H703" i="18"/>
  <c r="H704" i="18"/>
  <c r="H705" i="18"/>
  <c r="H706" i="18"/>
  <c r="H707" i="18"/>
  <c r="H708" i="18"/>
  <c r="H709" i="18"/>
  <c r="H710" i="18"/>
  <c r="H711" i="18"/>
  <c r="H712" i="18"/>
  <c r="H713" i="18"/>
  <c r="H714" i="18"/>
  <c r="H715" i="18"/>
  <c r="H716" i="18"/>
  <c r="H717" i="18"/>
  <c r="H718" i="18"/>
  <c r="H719" i="18"/>
  <c r="H720" i="18"/>
  <c r="H721" i="18"/>
  <c r="H722" i="18"/>
  <c r="H723" i="18"/>
  <c r="H724" i="18"/>
  <c r="H725" i="18"/>
  <c r="H726" i="18"/>
  <c r="H727" i="18"/>
  <c r="H728" i="18"/>
  <c r="H729" i="18"/>
  <c r="H730" i="18"/>
  <c r="H731" i="18"/>
  <c r="H732" i="18"/>
  <c r="H733" i="18"/>
  <c r="H734" i="18"/>
  <c r="H735" i="18"/>
  <c r="H736" i="18"/>
  <c r="H737" i="18"/>
  <c r="H738" i="18"/>
  <c r="H739" i="18"/>
  <c r="H740" i="18"/>
  <c r="H741" i="18"/>
  <c r="H742" i="18"/>
  <c r="H743" i="18"/>
  <c r="H744" i="18"/>
  <c r="H745" i="18"/>
  <c r="H746" i="18"/>
  <c r="H747" i="18"/>
  <c r="H748" i="18"/>
  <c r="H749" i="18"/>
  <c r="H750" i="18"/>
  <c r="H751" i="18"/>
  <c r="H752" i="18"/>
  <c r="H753" i="18"/>
  <c r="H754" i="18"/>
  <c r="H755" i="18"/>
  <c r="H756" i="18"/>
  <c r="H757" i="18"/>
  <c r="H758" i="18"/>
  <c r="H759" i="18"/>
  <c r="H760" i="18"/>
  <c r="H761" i="18"/>
  <c r="H762" i="18"/>
  <c r="H763" i="18"/>
  <c r="H764" i="18"/>
  <c r="H765" i="18"/>
  <c r="H766" i="18"/>
  <c r="H767" i="18"/>
  <c r="H768" i="18"/>
  <c r="H769" i="18"/>
  <c r="H770" i="18"/>
  <c r="H771" i="18"/>
  <c r="H772" i="18"/>
  <c r="H773" i="18"/>
  <c r="H774" i="18"/>
  <c r="H775" i="18"/>
  <c r="H776" i="18"/>
  <c r="H777" i="18"/>
  <c r="H778" i="18"/>
  <c r="H779" i="18"/>
  <c r="H780" i="18"/>
  <c r="H781" i="18"/>
  <c r="H782" i="18"/>
  <c r="H783" i="18"/>
  <c r="H784" i="18"/>
  <c r="H785" i="18"/>
  <c r="H786" i="18"/>
  <c r="H787" i="18"/>
  <c r="H788" i="18"/>
  <c r="H789" i="18"/>
  <c r="H790" i="18"/>
  <c r="H791" i="18"/>
  <c r="H792" i="18"/>
  <c r="H793" i="18"/>
  <c r="H794" i="18"/>
  <c r="H795" i="18"/>
  <c r="H796" i="18"/>
  <c r="H797" i="18"/>
  <c r="H798" i="18"/>
  <c r="H799" i="18"/>
  <c r="H800" i="18"/>
  <c r="H801" i="18"/>
  <c r="H802" i="18"/>
  <c r="H803" i="18"/>
  <c r="H804" i="18"/>
  <c r="H805" i="18"/>
  <c r="H806" i="18"/>
  <c r="H807" i="18"/>
  <c r="H808" i="18"/>
  <c r="H809" i="18"/>
  <c r="H810" i="18"/>
  <c r="H811" i="18"/>
  <c r="H812" i="18"/>
  <c r="H813" i="18"/>
  <c r="H814" i="18"/>
  <c r="H815" i="18"/>
  <c r="H816" i="18"/>
  <c r="H817" i="18"/>
  <c r="H818" i="18"/>
  <c r="H819" i="18"/>
  <c r="H820" i="18"/>
  <c r="H821" i="18"/>
  <c r="H822" i="18"/>
  <c r="H823" i="18"/>
  <c r="H824" i="18"/>
  <c r="H825" i="18"/>
  <c r="H826" i="18"/>
  <c r="H827" i="18"/>
  <c r="H828" i="18"/>
  <c r="H829" i="18"/>
  <c r="H830" i="18"/>
  <c r="H831" i="18"/>
  <c r="H832" i="18"/>
  <c r="H833" i="18"/>
  <c r="H834" i="18"/>
  <c r="H835" i="18"/>
  <c r="H836" i="18"/>
  <c r="H837" i="18"/>
  <c r="H838" i="18"/>
  <c r="H839" i="18"/>
  <c r="H840" i="18"/>
  <c r="H841" i="18"/>
  <c r="H842" i="18"/>
  <c r="H843" i="18"/>
  <c r="H844" i="18"/>
  <c r="H845" i="18"/>
  <c r="H846" i="18"/>
  <c r="H847" i="18"/>
  <c r="H848" i="18"/>
  <c r="H849" i="18"/>
  <c r="H850" i="18"/>
  <c r="H851" i="18"/>
  <c r="H852" i="18"/>
  <c r="H853" i="18"/>
  <c r="H854" i="18"/>
  <c r="H855" i="18"/>
  <c r="H856" i="18"/>
  <c r="H857" i="18"/>
  <c r="H858" i="18"/>
  <c r="H859" i="18"/>
  <c r="H860" i="18"/>
  <c r="H861" i="18"/>
  <c r="H862" i="18"/>
  <c r="H863" i="18"/>
  <c r="H864" i="18"/>
  <c r="H865" i="18"/>
  <c r="H866" i="18"/>
  <c r="H867" i="18"/>
  <c r="H868" i="18"/>
  <c r="H869" i="18"/>
  <c r="H870" i="18"/>
  <c r="H871" i="18"/>
  <c r="H872" i="18"/>
  <c r="H873" i="18"/>
  <c r="H874" i="18"/>
  <c r="H875" i="18"/>
  <c r="H876" i="18"/>
  <c r="H877" i="18"/>
  <c r="H878" i="18"/>
  <c r="H879" i="18"/>
  <c r="H880" i="18"/>
  <c r="H881" i="18"/>
  <c r="H882" i="18"/>
  <c r="H883" i="18"/>
  <c r="H884" i="18"/>
  <c r="H885" i="18"/>
  <c r="H886" i="18"/>
  <c r="H887" i="18"/>
  <c r="H888" i="18"/>
  <c r="H889" i="18"/>
  <c r="H890" i="18"/>
  <c r="H891" i="18"/>
  <c r="H892" i="18"/>
  <c r="H893" i="18"/>
  <c r="H894" i="18"/>
  <c r="H895" i="18"/>
  <c r="H896" i="18"/>
  <c r="H897" i="18"/>
  <c r="H898" i="18"/>
  <c r="H899" i="18"/>
  <c r="H900" i="18"/>
  <c r="H901" i="18"/>
  <c r="H902" i="18"/>
  <c r="H903" i="18"/>
  <c r="H904" i="18"/>
  <c r="H905" i="18"/>
  <c r="H906" i="18"/>
  <c r="H907" i="18"/>
  <c r="H908" i="18"/>
  <c r="H909" i="18"/>
  <c r="H910" i="18"/>
  <c r="H911" i="18"/>
  <c r="H912" i="18"/>
  <c r="H913" i="18"/>
  <c r="H914" i="18"/>
  <c r="H915" i="18"/>
  <c r="H916" i="18"/>
  <c r="H917" i="18"/>
  <c r="H918" i="18"/>
  <c r="H919" i="18"/>
  <c r="H920" i="18"/>
  <c r="H921" i="18"/>
  <c r="H922" i="18"/>
  <c r="H923" i="18"/>
  <c r="H924" i="18"/>
  <c r="H925" i="18"/>
  <c r="H926" i="18"/>
  <c r="H927" i="18"/>
  <c r="H928" i="18"/>
  <c r="H929" i="18"/>
  <c r="H930" i="18"/>
  <c r="H931" i="18"/>
  <c r="H932" i="18"/>
  <c r="H933" i="18"/>
  <c r="H934" i="18"/>
  <c r="H935" i="18"/>
  <c r="H936" i="18"/>
  <c r="H937" i="18"/>
  <c r="H938" i="18"/>
  <c r="H939" i="18"/>
  <c r="H940" i="18"/>
  <c r="H941" i="18"/>
  <c r="H942" i="18"/>
  <c r="H943" i="18"/>
  <c r="H944" i="18"/>
  <c r="H945" i="18"/>
  <c r="H946" i="18"/>
  <c r="H947" i="18"/>
  <c r="H948" i="18"/>
  <c r="H949" i="18"/>
  <c r="H950" i="18"/>
  <c r="H951" i="18"/>
  <c r="H952" i="18"/>
  <c r="H953" i="18"/>
  <c r="H954" i="18"/>
  <c r="H955" i="18"/>
  <c r="H956" i="18"/>
  <c r="H957" i="18"/>
  <c r="H958" i="18"/>
  <c r="H959" i="18"/>
  <c r="H960" i="18"/>
  <c r="H961" i="18"/>
  <c r="H962" i="18"/>
  <c r="H963" i="18"/>
  <c r="H964" i="18"/>
  <c r="H965" i="18"/>
  <c r="H966" i="18"/>
  <c r="H967" i="18"/>
  <c r="H968" i="18"/>
  <c r="H969" i="18"/>
  <c r="H970" i="18"/>
  <c r="H971" i="18"/>
  <c r="H972" i="18"/>
  <c r="H973" i="18"/>
  <c r="H974" i="18"/>
  <c r="H975" i="18"/>
  <c r="H976" i="18"/>
  <c r="H977" i="18"/>
  <c r="H978" i="18"/>
  <c r="H979" i="18"/>
  <c r="H980" i="18"/>
  <c r="H981" i="18"/>
  <c r="H982" i="18"/>
  <c r="H983" i="18"/>
  <c r="H984" i="18"/>
  <c r="H985" i="18"/>
  <c r="H986" i="18"/>
  <c r="H987" i="18"/>
  <c r="H988" i="18"/>
  <c r="H989" i="18"/>
  <c r="H990" i="18"/>
  <c r="H991" i="18"/>
  <c r="H992" i="18"/>
  <c r="H993" i="18"/>
  <c r="H994" i="18"/>
  <c r="H995" i="18"/>
  <c r="H996" i="18"/>
  <c r="H997" i="18"/>
  <c r="H998" i="18"/>
  <c r="H999" i="18"/>
  <c r="H1000" i="18"/>
  <c r="H1001" i="18"/>
  <c r="H1002" i="18"/>
  <c r="H1003" i="18"/>
  <c r="H1004" i="18"/>
  <c r="H1005" i="18"/>
  <c r="H1006" i="18"/>
  <c r="H1007" i="18"/>
  <c r="H1008" i="18"/>
  <c r="H1009" i="18"/>
  <c r="H1010" i="18"/>
  <c r="H1011" i="18"/>
  <c r="H1012" i="18"/>
  <c r="H1013" i="18"/>
  <c r="H1014" i="18"/>
  <c r="H1015" i="18"/>
  <c r="H1016" i="18"/>
  <c r="H1017" i="18"/>
  <c r="H1018" i="18"/>
  <c r="H1019" i="18"/>
  <c r="H1020" i="18"/>
  <c r="H1021" i="18"/>
  <c r="H1022" i="18"/>
  <c r="H1023" i="18"/>
  <c r="H1024" i="18"/>
  <c r="H1025" i="18"/>
  <c r="H1026" i="18"/>
  <c r="H1027" i="18"/>
  <c r="H1028" i="18"/>
  <c r="H1029" i="18"/>
  <c r="H1030" i="18"/>
  <c r="H1031" i="18"/>
  <c r="H1032" i="18"/>
  <c r="H1033" i="18"/>
  <c r="H1034" i="18"/>
  <c r="H1035" i="18"/>
  <c r="H1036" i="18"/>
  <c r="H1037" i="18"/>
  <c r="H1038" i="18"/>
  <c r="H1039" i="18"/>
  <c r="H1040" i="18"/>
  <c r="H1041" i="18"/>
  <c r="H1042" i="18"/>
  <c r="H1043" i="18"/>
  <c r="H1044" i="18"/>
  <c r="H1045" i="18"/>
  <c r="H1046" i="18"/>
  <c r="H1047" i="18"/>
  <c r="H1048" i="18"/>
  <c r="H1049" i="18"/>
  <c r="H1050" i="18"/>
  <c r="H1051" i="18"/>
  <c r="H1052" i="18"/>
  <c r="H1053" i="18"/>
  <c r="H1054" i="18"/>
  <c r="H1055" i="18"/>
  <c r="H1056" i="18"/>
  <c r="H1057" i="18"/>
  <c r="H1058" i="18"/>
  <c r="H1059" i="18"/>
  <c r="H1060" i="18"/>
  <c r="H1061" i="18"/>
  <c r="H1062" i="18"/>
  <c r="H1063" i="18"/>
  <c r="H1064" i="18"/>
  <c r="H1065" i="18"/>
  <c r="H1066" i="18"/>
  <c r="H1067" i="18"/>
  <c r="H1068" i="18"/>
  <c r="H1069" i="18"/>
  <c r="H1070" i="18"/>
  <c r="H1071" i="18"/>
  <c r="H1072" i="18"/>
  <c r="H1073" i="18"/>
  <c r="H1074" i="18"/>
  <c r="H1075" i="18"/>
  <c r="H1076" i="18"/>
  <c r="H1077" i="18"/>
  <c r="H1078" i="18"/>
  <c r="H1079" i="18"/>
  <c r="H1080" i="18"/>
  <c r="H1081" i="18"/>
  <c r="H1082" i="18"/>
  <c r="H1083" i="18"/>
  <c r="H1084" i="18"/>
  <c r="H1085" i="18"/>
  <c r="H1086" i="18"/>
  <c r="H1087" i="18"/>
  <c r="H1088" i="18"/>
  <c r="H1089" i="18"/>
  <c r="H1090" i="18"/>
  <c r="H1091" i="18"/>
  <c r="H1092" i="18"/>
  <c r="H1093" i="18"/>
  <c r="H1094" i="18"/>
  <c r="H1095" i="18"/>
  <c r="H1096" i="18"/>
  <c r="H1097" i="18"/>
  <c r="H1098" i="18"/>
  <c r="H1099" i="18"/>
  <c r="H1100" i="18"/>
  <c r="H1101" i="18"/>
  <c r="H1102" i="18"/>
  <c r="H1103" i="18"/>
  <c r="H1104" i="18"/>
  <c r="H1105" i="18"/>
  <c r="H1106" i="18"/>
  <c r="H1107" i="18"/>
  <c r="H1108" i="18"/>
  <c r="H1109" i="18"/>
  <c r="H1110" i="18"/>
  <c r="H1111" i="18"/>
  <c r="H1112" i="18"/>
  <c r="H1113" i="18"/>
  <c r="H1114" i="18"/>
  <c r="H1115" i="18"/>
  <c r="H1116" i="18"/>
  <c r="H1117" i="18"/>
  <c r="H1118" i="18"/>
  <c r="H1119" i="18"/>
  <c r="H1120" i="18"/>
  <c r="H1121" i="18"/>
  <c r="H1122" i="18"/>
  <c r="H1123" i="18"/>
  <c r="H1124" i="18"/>
  <c r="H1125" i="18"/>
  <c r="H1126" i="18"/>
  <c r="H1127" i="18"/>
  <c r="H1128" i="18"/>
  <c r="H1129" i="18"/>
  <c r="H1130" i="18"/>
  <c r="H1131" i="18"/>
  <c r="H1132" i="18"/>
  <c r="H1133" i="18"/>
  <c r="H1134" i="18"/>
  <c r="H1135" i="18"/>
  <c r="H1136" i="18"/>
  <c r="H1137" i="18"/>
  <c r="H1138" i="18"/>
  <c r="H1139" i="18"/>
  <c r="H1140" i="18"/>
  <c r="H1141" i="18"/>
  <c r="H1142" i="18"/>
  <c r="H1143" i="18"/>
  <c r="H1144" i="18"/>
  <c r="H1145" i="18"/>
  <c r="H1146" i="18"/>
  <c r="H1147" i="18"/>
  <c r="H1148" i="18"/>
  <c r="H1149" i="18"/>
  <c r="H1150" i="18"/>
  <c r="H1151" i="18"/>
  <c r="H1152" i="18"/>
  <c r="H1153" i="18"/>
  <c r="H1154" i="18"/>
  <c r="H1155" i="18"/>
  <c r="H1156" i="18"/>
  <c r="H1157" i="18"/>
  <c r="H1158" i="18"/>
  <c r="H1159" i="18"/>
  <c r="H1160" i="18"/>
  <c r="H1161" i="18"/>
  <c r="H1162" i="18"/>
  <c r="H1163" i="18"/>
  <c r="H1164" i="18"/>
  <c r="H1165" i="18"/>
  <c r="H1166" i="18"/>
  <c r="H1167" i="18"/>
  <c r="H1168" i="18"/>
  <c r="H1169" i="18"/>
  <c r="H1170" i="18"/>
  <c r="H1171" i="18"/>
  <c r="H1172" i="18"/>
  <c r="H1173" i="18"/>
  <c r="H1174" i="18"/>
  <c r="H1175" i="18"/>
  <c r="H1176" i="18"/>
  <c r="H1177" i="18"/>
  <c r="H1178" i="18"/>
  <c r="H1179" i="18"/>
  <c r="H1180" i="18"/>
  <c r="H1181" i="18"/>
  <c r="H1182" i="18"/>
  <c r="H1183" i="18"/>
  <c r="H1184" i="18"/>
  <c r="H1185" i="18"/>
  <c r="H1186" i="18"/>
  <c r="H1187" i="18"/>
  <c r="H1188" i="18"/>
  <c r="H1189" i="18"/>
  <c r="H1190" i="18"/>
  <c r="H1191" i="18"/>
  <c r="H1192" i="18"/>
  <c r="H1193" i="18"/>
  <c r="H1194" i="18"/>
  <c r="H1195" i="18"/>
  <c r="H1196" i="18"/>
  <c r="H1197" i="18"/>
  <c r="H1198" i="18"/>
  <c r="H1199" i="18"/>
  <c r="H1200" i="18"/>
  <c r="H1201" i="18"/>
  <c r="H1202" i="18"/>
  <c r="H1203" i="18"/>
  <c r="H1204" i="18"/>
  <c r="H1205" i="18"/>
  <c r="H1206" i="18"/>
  <c r="H1207" i="18"/>
  <c r="H1208" i="18"/>
  <c r="H1209" i="18"/>
  <c r="H1210" i="18"/>
  <c r="H1211" i="18"/>
  <c r="H1212" i="18"/>
  <c r="H1213" i="18"/>
  <c r="H1214" i="18"/>
  <c r="H1215" i="18"/>
  <c r="H1216" i="18"/>
  <c r="H1217" i="18"/>
  <c r="H1218" i="18"/>
  <c r="H1220" i="18"/>
  <c r="H1221" i="18"/>
  <c r="H1222" i="18"/>
  <c r="H1223" i="18"/>
  <c r="H1224" i="18"/>
  <c r="H1225" i="18"/>
  <c r="H1226" i="18"/>
  <c r="H1227" i="18"/>
  <c r="H1228" i="18"/>
  <c r="H1229" i="18"/>
  <c r="H1231" i="18"/>
  <c r="H1232" i="18"/>
  <c r="H1233" i="18"/>
  <c r="H1234" i="18"/>
  <c r="H1235" i="18"/>
  <c r="H1236" i="18"/>
  <c r="H1237" i="18"/>
  <c r="H1238" i="18"/>
  <c r="H1239" i="18"/>
  <c r="H1240" i="18"/>
  <c r="H1241" i="18"/>
  <c r="C2" i="18"/>
  <c r="C3" i="18"/>
  <c r="C4" i="18"/>
  <c r="C5" i="18"/>
  <c r="C6" i="18"/>
  <c r="C7" i="18"/>
  <c r="C8" i="18"/>
  <c r="C9" i="18"/>
  <c r="C10" i="18"/>
  <c r="C11" i="18"/>
  <c r="C12" i="18"/>
  <c r="C13" i="18"/>
  <c r="C14" i="18"/>
  <c r="C15" i="18"/>
  <c r="C16" i="18"/>
  <c r="C17" i="18"/>
  <c r="C18" i="18"/>
  <c r="C19" i="18"/>
  <c r="C20" i="18"/>
  <c r="C21" i="18"/>
  <c r="C22" i="18"/>
  <c r="C23" i="18"/>
  <c r="C24" i="18"/>
  <c r="C25" i="18"/>
  <c r="C26" i="18"/>
  <c r="C27" i="18"/>
  <c r="C28" i="18"/>
  <c r="C29" i="18"/>
  <c r="C30" i="18"/>
  <c r="C31" i="18"/>
  <c r="C32" i="18"/>
  <c r="C33" i="18"/>
  <c r="C34" i="18"/>
  <c r="C35" i="18"/>
  <c r="C36" i="18"/>
  <c r="C37" i="18"/>
  <c r="C38" i="18"/>
  <c r="C39" i="18"/>
  <c r="C40" i="18"/>
  <c r="C42" i="18"/>
  <c r="C43" i="18"/>
  <c r="C44" i="18"/>
  <c r="C45" i="18"/>
  <c r="C46" i="18"/>
  <c r="C47" i="18"/>
  <c r="C48" i="18"/>
  <c r="C49" i="18"/>
  <c r="C50" i="18"/>
  <c r="C51" i="18"/>
  <c r="C52" i="18"/>
  <c r="C53" i="18"/>
  <c r="C54" i="18"/>
  <c r="C55" i="18"/>
  <c r="C56" i="18"/>
  <c r="C57" i="18"/>
  <c r="C58" i="18"/>
  <c r="C59" i="18"/>
  <c r="C60" i="18"/>
  <c r="C61" i="18"/>
  <c r="C62" i="18"/>
  <c r="C63" i="18"/>
  <c r="C64" i="18"/>
  <c r="C65" i="18"/>
  <c r="C66" i="18"/>
  <c r="C67" i="18"/>
  <c r="C68" i="18"/>
  <c r="C69" i="18"/>
  <c r="C70" i="18"/>
  <c r="C71" i="18"/>
  <c r="C72" i="18"/>
  <c r="C73" i="18"/>
  <c r="C74" i="18"/>
  <c r="C75" i="18"/>
  <c r="C76" i="18"/>
  <c r="C77" i="18"/>
  <c r="C78" i="18"/>
  <c r="C79" i="18"/>
  <c r="C80" i="18"/>
  <c r="C81" i="18"/>
  <c r="C82" i="18"/>
  <c r="C83" i="18"/>
  <c r="C84" i="18"/>
  <c r="C85" i="18"/>
  <c r="C86" i="18"/>
  <c r="C87" i="18"/>
  <c r="C88" i="18"/>
  <c r="C89" i="18"/>
  <c r="C90" i="18"/>
  <c r="C91" i="18"/>
  <c r="C92" i="18"/>
  <c r="C93" i="18"/>
  <c r="C94" i="18"/>
  <c r="C95" i="18"/>
  <c r="C96" i="18"/>
  <c r="C97" i="18"/>
  <c r="C98" i="18"/>
  <c r="C99" i="18"/>
  <c r="C100" i="18"/>
  <c r="C101" i="18"/>
  <c r="C102" i="18"/>
  <c r="C103" i="18"/>
  <c r="C104" i="18"/>
  <c r="C105" i="18"/>
  <c r="C106" i="18"/>
  <c r="C107" i="18"/>
  <c r="C108" i="18"/>
  <c r="C109" i="18"/>
  <c r="C110" i="18"/>
  <c r="C111" i="18"/>
  <c r="C112" i="18"/>
  <c r="C113" i="18"/>
  <c r="C114" i="18"/>
  <c r="C115" i="18"/>
  <c r="C116" i="18"/>
  <c r="C117" i="18"/>
  <c r="C118" i="18"/>
  <c r="C119" i="18"/>
  <c r="C120" i="18"/>
  <c r="C121" i="18"/>
  <c r="C122" i="18"/>
  <c r="C123" i="18"/>
  <c r="C124" i="18"/>
  <c r="C125" i="18"/>
  <c r="C126" i="18"/>
  <c r="C127" i="18"/>
  <c r="C128" i="18"/>
  <c r="C129" i="18"/>
  <c r="C130" i="18"/>
  <c r="C131" i="18"/>
  <c r="C132" i="18"/>
  <c r="C133" i="18"/>
  <c r="C134" i="18"/>
  <c r="C135" i="18"/>
  <c r="C136" i="18"/>
  <c r="C137" i="18"/>
  <c r="C138" i="18"/>
  <c r="C139" i="18"/>
  <c r="C140" i="18"/>
  <c r="C141" i="18"/>
  <c r="C142" i="18"/>
  <c r="C143" i="18"/>
  <c r="C144" i="18"/>
  <c r="C145" i="18"/>
  <c r="C146" i="18"/>
  <c r="C147" i="18"/>
  <c r="C148" i="18"/>
  <c r="C149" i="18"/>
  <c r="C150" i="18"/>
  <c r="C151" i="18"/>
  <c r="C152" i="18"/>
  <c r="C153" i="18"/>
  <c r="C154" i="18"/>
  <c r="C155" i="18"/>
  <c r="C156" i="18"/>
  <c r="C157" i="18"/>
  <c r="C158" i="18"/>
  <c r="C159" i="18"/>
  <c r="C160" i="18"/>
  <c r="C161" i="18"/>
  <c r="C162" i="18"/>
  <c r="C163" i="18"/>
  <c r="C164" i="18"/>
  <c r="C165" i="18"/>
  <c r="C166" i="18"/>
  <c r="C167" i="18"/>
  <c r="C168" i="18"/>
  <c r="C169" i="18"/>
  <c r="C170" i="18"/>
  <c r="C171" i="18"/>
  <c r="C172" i="18"/>
  <c r="C173" i="18"/>
  <c r="C174" i="18"/>
  <c r="C175" i="18"/>
  <c r="C176" i="18"/>
  <c r="C177" i="18"/>
  <c r="C178" i="18"/>
  <c r="C179" i="18"/>
  <c r="C180" i="18"/>
  <c r="C181" i="18"/>
  <c r="C182" i="18"/>
  <c r="C183" i="18"/>
  <c r="C184" i="18"/>
  <c r="C185" i="18"/>
  <c r="C186" i="18"/>
  <c r="C187" i="18"/>
  <c r="C188" i="18"/>
  <c r="C189" i="18"/>
  <c r="C190" i="18"/>
  <c r="C191" i="18"/>
  <c r="C192" i="18"/>
  <c r="C193" i="18"/>
  <c r="C194" i="18"/>
  <c r="C195" i="18"/>
  <c r="C196" i="18"/>
  <c r="C197" i="18"/>
  <c r="C198" i="18"/>
  <c r="C199" i="18"/>
  <c r="C200" i="18"/>
  <c r="C201" i="18"/>
  <c r="C202" i="18"/>
  <c r="C203" i="18"/>
  <c r="C204" i="18"/>
  <c r="C205" i="18"/>
  <c r="C206" i="18"/>
  <c r="C207" i="18"/>
  <c r="C208" i="18"/>
  <c r="C209" i="18"/>
  <c r="C210" i="18"/>
  <c r="C211" i="18"/>
  <c r="C212" i="18"/>
  <c r="C213" i="18"/>
  <c r="C214" i="18"/>
  <c r="C215" i="18"/>
  <c r="C216" i="18"/>
  <c r="C217" i="18"/>
  <c r="C218" i="18"/>
  <c r="C219" i="18"/>
  <c r="C220" i="18"/>
  <c r="C221" i="18"/>
  <c r="C222" i="18"/>
  <c r="C223" i="18"/>
  <c r="C224" i="18"/>
  <c r="C225" i="18"/>
  <c r="C226" i="18"/>
  <c r="C227" i="18"/>
  <c r="C228" i="18"/>
  <c r="C229" i="18"/>
  <c r="C230" i="18"/>
  <c r="C231" i="18"/>
  <c r="C232" i="18"/>
  <c r="C233" i="18"/>
  <c r="C234" i="18"/>
  <c r="C235" i="18"/>
  <c r="C236" i="18"/>
  <c r="C237" i="18"/>
  <c r="C238" i="18"/>
  <c r="C239" i="18"/>
  <c r="C240" i="18"/>
  <c r="C241" i="18"/>
  <c r="C242" i="18"/>
  <c r="C243" i="18"/>
  <c r="C244" i="18"/>
  <c r="C245" i="18"/>
  <c r="C246" i="18"/>
  <c r="C247" i="18"/>
  <c r="C248" i="18"/>
  <c r="C249" i="18"/>
  <c r="C250" i="18"/>
  <c r="C251" i="18"/>
  <c r="C252" i="18"/>
  <c r="C253" i="18"/>
  <c r="C254" i="18"/>
  <c r="C255" i="18"/>
  <c r="C256" i="18"/>
  <c r="C257" i="18"/>
  <c r="C258" i="18"/>
  <c r="C259" i="18"/>
  <c r="C260" i="18"/>
  <c r="C261" i="18"/>
  <c r="C262" i="18"/>
  <c r="C263" i="18"/>
  <c r="C264" i="18"/>
  <c r="C265" i="18"/>
  <c r="C266" i="18"/>
  <c r="C267" i="18"/>
  <c r="C268" i="18"/>
  <c r="C269" i="18"/>
  <c r="C270" i="18"/>
  <c r="C271" i="18"/>
  <c r="C272" i="18"/>
  <c r="C273" i="18"/>
  <c r="C274" i="18"/>
  <c r="C275" i="18"/>
  <c r="C276" i="18"/>
  <c r="C277" i="18"/>
  <c r="C278" i="18"/>
  <c r="C279" i="18"/>
  <c r="C280" i="18"/>
  <c r="C281" i="18"/>
  <c r="C282" i="18"/>
  <c r="C283" i="18"/>
  <c r="C284" i="18"/>
  <c r="C285" i="18"/>
  <c r="C286" i="18"/>
  <c r="C287" i="18"/>
  <c r="C288" i="18"/>
  <c r="C289" i="18"/>
  <c r="C290" i="18"/>
  <c r="C291" i="18"/>
  <c r="C292" i="18"/>
  <c r="C293" i="18"/>
  <c r="C294" i="18"/>
  <c r="C295" i="18"/>
  <c r="C296" i="18"/>
  <c r="C297" i="18"/>
  <c r="C298" i="18"/>
  <c r="C299" i="18"/>
  <c r="C300" i="18"/>
  <c r="C301" i="18"/>
  <c r="C302" i="18"/>
  <c r="C303" i="18"/>
  <c r="C304" i="18"/>
  <c r="C305" i="18"/>
  <c r="C306" i="18"/>
  <c r="C307" i="18"/>
  <c r="C308" i="18"/>
  <c r="C309" i="18"/>
  <c r="C310" i="18"/>
  <c r="C311" i="18"/>
  <c r="C312" i="18"/>
  <c r="C313" i="18"/>
  <c r="C314" i="18"/>
  <c r="C315" i="18"/>
  <c r="C316" i="18"/>
  <c r="C317" i="18"/>
  <c r="C318" i="18"/>
  <c r="C319" i="18"/>
  <c r="C320" i="18"/>
  <c r="C321" i="18"/>
  <c r="C322" i="18"/>
  <c r="C323" i="18"/>
  <c r="C324" i="18"/>
  <c r="C325" i="18"/>
  <c r="C326" i="18"/>
  <c r="C327" i="18"/>
  <c r="C328" i="18"/>
  <c r="C329" i="18"/>
  <c r="C330" i="18"/>
  <c r="C331" i="18"/>
  <c r="C332" i="18"/>
  <c r="C333" i="18"/>
  <c r="C334" i="18"/>
  <c r="C335" i="18"/>
  <c r="C336" i="18"/>
  <c r="C337" i="18"/>
  <c r="C338" i="18"/>
  <c r="C339" i="18"/>
  <c r="C340" i="18"/>
  <c r="C341" i="18"/>
  <c r="C342" i="18"/>
  <c r="C343" i="18"/>
  <c r="C344" i="18"/>
  <c r="C345" i="18"/>
  <c r="C346" i="18"/>
  <c r="C347" i="18"/>
  <c r="C348" i="18"/>
  <c r="C349" i="18"/>
  <c r="C350" i="18"/>
  <c r="C351" i="18"/>
  <c r="C352" i="18"/>
  <c r="C353" i="18"/>
  <c r="C354" i="18"/>
  <c r="C355" i="18"/>
  <c r="C356" i="18"/>
  <c r="C357" i="18"/>
  <c r="C358" i="18"/>
  <c r="C359" i="18"/>
  <c r="C360" i="18"/>
  <c r="C361" i="18"/>
  <c r="C362" i="18"/>
  <c r="C363" i="18"/>
  <c r="C364" i="18"/>
  <c r="C365" i="18"/>
  <c r="C366" i="18"/>
  <c r="C367" i="18"/>
  <c r="C368" i="18"/>
  <c r="C369" i="18"/>
  <c r="C370" i="18"/>
  <c r="C371" i="18"/>
  <c r="C372" i="18"/>
  <c r="C373" i="18"/>
  <c r="C374" i="18"/>
  <c r="C375" i="18"/>
  <c r="C376" i="18"/>
  <c r="C377" i="18"/>
  <c r="C378" i="18"/>
  <c r="C379" i="18"/>
  <c r="C380" i="18"/>
  <c r="C381" i="18"/>
  <c r="C382" i="18"/>
  <c r="C383" i="18"/>
  <c r="C384" i="18"/>
  <c r="C385" i="18"/>
  <c r="C386" i="18"/>
  <c r="C387" i="18"/>
  <c r="C388" i="18"/>
  <c r="C389" i="18"/>
  <c r="C390" i="18"/>
  <c r="C391" i="18"/>
  <c r="C392" i="18"/>
  <c r="C393" i="18"/>
  <c r="C394" i="18"/>
  <c r="C395" i="18"/>
  <c r="C396" i="18"/>
  <c r="C397" i="18"/>
  <c r="C398" i="18"/>
  <c r="C399" i="18"/>
  <c r="C400" i="18"/>
  <c r="C401" i="18"/>
  <c r="C402" i="18"/>
  <c r="C403" i="18"/>
  <c r="C404" i="18"/>
  <c r="C405" i="18"/>
  <c r="C406" i="18"/>
  <c r="C407" i="18"/>
  <c r="C408" i="18"/>
  <c r="C409" i="18"/>
  <c r="C410" i="18"/>
  <c r="C411" i="18"/>
  <c r="C412" i="18"/>
  <c r="C413" i="18"/>
  <c r="C414" i="18"/>
  <c r="C415" i="18"/>
  <c r="C416" i="18"/>
  <c r="C417" i="18"/>
  <c r="C418" i="18"/>
  <c r="C419" i="18"/>
  <c r="C420" i="18"/>
  <c r="C421" i="18"/>
  <c r="C422" i="18"/>
  <c r="C423" i="18"/>
  <c r="C424" i="18"/>
  <c r="C425" i="18"/>
  <c r="C426" i="18"/>
  <c r="C427" i="18"/>
  <c r="C428" i="18"/>
  <c r="C429" i="18"/>
  <c r="C430" i="18"/>
  <c r="C431" i="18"/>
  <c r="C432" i="18"/>
  <c r="C433" i="18"/>
  <c r="C434" i="18"/>
  <c r="C435" i="18"/>
  <c r="C436" i="18"/>
  <c r="C437" i="18"/>
  <c r="C438" i="18"/>
  <c r="C439" i="18"/>
  <c r="C440" i="18"/>
  <c r="C441" i="18"/>
  <c r="C442" i="18"/>
  <c r="C443" i="18"/>
  <c r="C444" i="18"/>
  <c r="C445" i="18"/>
  <c r="C446" i="18"/>
  <c r="C447" i="18"/>
  <c r="C448" i="18"/>
  <c r="C449" i="18"/>
  <c r="C450" i="18"/>
  <c r="C451" i="18"/>
  <c r="C452" i="18"/>
  <c r="C453" i="18"/>
  <c r="C454" i="18"/>
  <c r="C455" i="18"/>
  <c r="C456" i="18"/>
  <c r="C457" i="18"/>
  <c r="C458" i="18"/>
  <c r="C459" i="18"/>
  <c r="C460" i="18"/>
  <c r="C461" i="18"/>
  <c r="C462" i="18"/>
  <c r="C463" i="18"/>
  <c r="C464" i="18"/>
  <c r="C465" i="18"/>
  <c r="C466" i="18"/>
  <c r="C467" i="18"/>
  <c r="C468" i="18"/>
  <c r="C469" i="18"/>
  <c r="C470" i="18"/>
  <c r="C471" i="18"/>
  <c r="C472" i="18"/>
  <c r="C473" i="18"/>
  <c r="C474" i="18"/>
  <c r="C475" i="18"/>
  <c r="C476" i="18"/>
  <c r="C477" i="18"/>
  <c r="C478" i="18"/>
  <c r="C479" i="18"/>
  <c r="C480" i="18"/>
  <c r="C481" i="18"/>
  <c r="C482" i="18"/>
  <c r="C483" i="18"/>
  <c r="C484" i="18"/>
  <c r="C485" i="18"/>
  <c r="C486" i="18"/>
  <c r="C487" i="18"/>
  <c r="C488" i="18"/>
  <c r="C489" i="18"/>
  <c r="C490" i="18"/>
  <c r="C491" i="18"/>
  <c r="C492" i="18"/>
  <c r="C493" i="18"/>
  <c r="C494" i="18"/>
  <c r="C495" i="18"/>
  <c r="C496" i="18"/>
  <c r="C497" i="18"/>
  <c r="C498" i="18"/>
  <c r="C499" i="18"/>
  <c r="C500" i="18"/>
  <c r="C501" i="18"/>
  <c r="C502" i="18"/>
  <c r="C503" i="18"/>
  <c r="C504" i="18"/>
  <c r="C505" i="18"/>
  <c r="C506" i="18"/>
  <c r="C507" i="18"/>
  <c r="C508" i="18"/>
  <c r="C509" i="18"/>
  <c r="C510" i="18"/>
  <c r="C511" i="18"/>
  <c r="C512" i="18"/>
  <c r="C513" i="18"/>
  <c r="C514" i="18"/>
  <c r="C515" i="18"/>
  <c r="C516" i="18"/>
  <c r="C517" i="18"/>
  <c r="C518" i="18"/>
  <c r="C519" i="18"/>
  <c r="C520" i="18"/>
  <c r="C521" i="18"/>
  <c r="C522" i="18"/>
  <c r="C523" i="18"/>
  <c r="C524" i="18"/>
  <c r="C525" i="18"/>
  <c r="C526" i="18"/>
  <c r="C527" i="18"/>
  <c r="C528" i="18"/>
  <c r="C529" i="18"/>
  <c r="C530" i="18"/>
  <c r="C531" i="18"/>
  <c r="C532" i="18"/>
  <c r="C533" i="18"/>
  <c r="C534" i="18"/>
  <c r="C535" i="18"/>
  <c r="C536" i="18"/>
  <c r="C537" i="18"/>
  <c r="C538" i="18"/>
  <c r="C539" i="18"/>
  <c r="C540" i="18"/>
  <c r="C541" i="18"/>
  <c r="C542" i="18"/>
  <c r="C543" i="18"/>
  <c r="C544" i="18"/>
  <c r="C545" i="18"/>
  <c r="C546" i="18"/>
  <c r="C547" i="18"/>
  <c r="C548" i="18"/>
  <c r="C549" i="18"/>
  <c r="C550" i="18"/>
  <c r="C551" i="18"/>
  <c r="C552" i="18"/>
  <c r="C553" i="18"/>
  <c r="C554" i="18"/>
  <c r="C555" i="18"/>
  <c r="C556" i="18"/>
  <c r="C557" i="18"/>
  <c r="C558" i="18"/>
  <c r="C559" i="18"/>
  <c r="C560" i="18"/>
  <c r="C561" i="18"/>
  <c r="C562" i="18"/>
  <c r="C563" i="18"/>
  <c r="C564" i="18"/>
  <c r="C565" i="18"/>
  <c r="C566" i="18"/>
  <c r="C567" i="18"/>
  <c r="C568" i="18"/>
  <c r="C569" i="18"/>
  <c r="C570" i="18"/>
  <c r="C571" i="18"/>
  <c r="C572" i="18"/>
  <c r="C573" i="18"/>
  <c r="C574" i="18"/>
  <c r="C575" i="18"/>
  <c r="C576" i="18"/>
  <c r="C577" i="18"/>
  <c r="C578" i="18"/>
  <c r="C579" i="18"/>
  <c r="C580" i="18"/>
  <c r="C581" i="18"/>
  <c r="C582" i="18"/>
  <c r="C583" i="18"/>
  <c r="C584" i="18"/>
  <c r="C585" i="18"/>
  <c r="C586" i="18"/>
  <c r="C587" i="18"/>
  <c r="C588" i="18"/>
  <c r="C589" i="18"/>
  <c r="C590" i="18"/>
  <c r="C591" i="18"/>
  <c r="C592" i="18"/>
  <c r="C593" i="18"/>
  <c r="C594" i="18"/>
  <c r="C595" i="18"/>
  <c r="C596" i="18"/>
  <c r="C597" i="18"/>
  <c r="C598" i="18"/>
  <c r="C599" i="18"/>
  <c r="C600" i="18"/>
  <c r="C601" i="18"/>
  <c r="C602" i="18"/>
  <c r="C603" i="18"/>
  <c r="C604" i="18"/>
  <c r="C605" i="18"/>
  <c r="C606" i="18"/>
  <c r="C607" i="18"/>
  <c r="C608" i="18"/>
  <c r="C609" i="18"/>
  <c r="C610" i="18"/>
  <c r="C611" i="18"/>
  <c r="C612" i="18"/>
  <c r="C613" i="18"/>
  <c r="C614" i="18"/>
  <c r="C615" i="18"/>
  <c r="C616" i="18"/>
  <c r="C617" i="18"/>
  <c r="C618" i="18"/>
  <c r="C619" i="18"/>
  <c r="C620" i="18"/>
  <c r="C621" i="18"/>
  <c r="C622" i="18"/>
  <c r="C623" i="18"/>
  <c r="C624" i="18"/>
  <c r="C625" i="18"/>
  <c r="C626" i="18"/>
  <c r="C627" i="18"/>
  <c r="C628" i="18"/>
  <c r="C629" i="18"/>
  <c r="C630" i="18"/>
  <c r="C631" i="18"/>
  <c r="C632" i="18"/>
  <c r="C633" i="18"/>
  <c r="C634" i="18"/>
  <c r="C635" i="18"/>
  <c r="C636" i="18"/>
  <c r="C637" i="18"/>
  <c r="C638" i="18"/>
  <c r="C639" i="18"/>
  <c r="C640" i="18"/>
  <c r="C641" i="18"/>
  <c r="C642" i="18"/>
  <c r="C643" i="18"/>
  <c r="C644" i="18"/>
  <c r="C645" i="18"/>
  <c r="C646" i="18"/>
  <c r="C647" i="18"/>
  <c r="C648" i="18"/>
  <c r="C649" i="18"/>
  <c r="C650" i="18"/>
  <c r="C651" i="18"/>
  <c r="C652" i="18"/>
  <c r="C653" i="18"/>
  <c r="C654" i="18"/>
  <c r="C655" i="18"/>
  <c r="C656" i="18"/>
  <c r="C657" i="18"/>
  <c r="C658" i="18"/>
  <c r="C659" i="18"/>
  <c r="C660" i="18"/>
  <c r="C661" i="18"/>
  <c r="C662" i="18"/>
  <c r="C663" i="18"/>
  <c r="C664" i="18"/>
  <c r="C665" i="18"/>
  <c r="C666" i="18"/>
  <c r="C667" i="18"/>
  <c r="C668" i="18"/>
  <c r="C669" i="18"/>
  <c r="C670" i="18"/>
  <c r="C671" i="18"/>
  <c r="C672" i="18"/>
  <c r="C673" i="18"/>
  <c r="C674" i="18"/>
  <c r="C675" i="18"/>
  <c r="C676" i="18"/>
  <c r="C677" i="18"/>
  <c r="C678" i="18"/>
  <c r="C679" i="18"/>
  <c r="C680" i="18"/>
  <c r="C681" i="18"/>
  <c r="C682" i="18"/>
  <c r="C683" i="18"/>
  <c r="C684" i="18"/>
  <c r="C685" i="18"/>
  <c r="C686" i="18"/>
  <c r="C687" i="18"/>
  <c r="C688" i="18"/>
  <c r="C689" i="18"/>
  <c r="C690" i="18"/>
  <c r="C691" i="18"/>
  <c r="C692" i="18"/>
  <c r="C693" i="18"/>
  <c r="C694" i="18"/>
  <c r="C695" i="18"/>
  <c r="C696" i="18"/>
  <c r="C697" i="18"/>
  <c r="C698" i="18"/>
  <c r="C699" i="18"/>
  <c r="C700" i="18"/>
  <c r="C701" i="18"/>
  <c r="C702" i="18"/>
  <c r="C703" i="18"/>
  <c r="C704" i="18"/>
  <c r="C705" i="18"/>
  <c r="C706" i="18"/>
  <c r="C707" i="18"/>
  <c r="C708" i="18"/>
  <c r="C709" i="18"/>
  <c r="C710" i="18"/>
  <c r="C711" i="18"/>
  <c r="C712" i="18"/>
  <c r="C713" i="18"/>
  <c r="C714" i="18"/>
  <c r="C715" i="18"/>
  <c r="C716" i="18"/>
  <c r="C717" i="18"/>
  <c r="C718" i="18"/>
  <c r="C719" i="18"/>
  <c r="C720" i="18"/>
  <c r="C721" i="18"/>
  <c r="C722" i="18"/>
  <c r="C723" i="18"/>
  <c r="C724" i="18"/>
  <c r="C725" i="18"/>
  <c r="C726" i="18"/>
  <c r="C727" i="18"/>
  <c r="C728" i="18"/>
  <c r="C729" i="18"/>
  <c r="C730" i="18"/>
  <c r="C731" i="18"/>
  <c r="C732" i="18"/>
  <c r="C733" i="18"/>
  <c r="C734" i="18"/>
  <c r="C735" i="18"/>
  <c r="C736" i="18"/>
  <c r="C737" i="18"/>
  <c r="C738" i="18"/>
  <c r="C739" i="18"/>
  <c r="C740" i="18"/>
  <c r="C741" i="18"/>
  <c r="C742" i="18"/>
  <c r="C743" i="18"/>
  <c r="C744" i="18"/>
  <c r="C745" i="18"/>
  <c r="C746" i="18"/>
  <c r="C747" i="18"/>
  <c r="C748" i="18"/>
  <c r="C749" i="18"/>
  <c r="C750" i="18"/>
  <c r="C751" i="18"/>
  <c r="C752" i="18"/>
  <c r="C753" i="18"/>
  <c r="C754" i="18"/>
  <c r="C755" i="18"/>
  <c r="C756" i="18"/>
  <c r="C757" i="18"/>
  <c r="C758" i="18"/>
  <c r="C759" i="18"/>
  <c r="C760" i="18"/>
  <c r="C761" i="18"/>
  <c r="C762" i="18"/>
  <c r="C763" i="18"/>
  <c r="C764" i="18"/>
  <c r="C765" i="18"/>
  <c r="C766" i="18"/>
  <c r="C767" i="18"/>
  <c r="C768" i="18"/>
  <c r="C769" i="18"/>
  <c r="C770" i="18"/>
  <c r="C771" i="18"/>
  <c r="C772" i="18"/>
  <c r="C773" i="18"/>
  <c r="C774" i="18"/>
  <c r="C775" i="18"/>
  <c r="C776" i="18"/>
  <c r="C777" i="18"/>
  <c r="C778" i="18"/>
  <c r="C779" i="18"/>
  <c r="C780" i="18"/>
  <c r="C781" i="18"/>
  <c r="C782" i="18"/>
  <c r="C783" i="18"/>
  <c r="C784" i="18"/>
  <c r="C785" i="18"/>
  <c r="C786" i="18"/>
  <c r="C787" i="18"/>
  <c r="C788" i="18"/>
  <c r="C789" i="18"/>
  <c r="C790" i="18"/>
  <c r="C791" i="18"/>
  <c r="C792" i="18"/>
  <c r="C793" i="18"/>
  <c r="C794" i="18"/>
  <c r="C795" i="18"/>
  <c r="C796" i="18"/>
  <c r="C797" i="18"/>
  <c r="C798" i="18"/>
  <c r="C799" i="18"/>
  <c r="C800" i="18"/>
  <c r="C801" i="18"/>
  <c r="C802" i="18"/>
  <c r="C803" i="18"/>
  <c r="C804" i="18"/>
  <c r="C805" i="18"/>
  <c r="C806" i="18"/>
  <c r="C807" i="18"/>
  <c r="C808" i="18"/>
  <c r="C809" i="18"/>
  <c r="C810" i="18"/>
  <c r="C811" i="18"/>
  <c r="C812" i="18"/>
  <c r="C813" i="18"/>
  <c r="C814" i="18"/>
  <c r="C815" i="18"/>
  <c r="C816" i="18"/>
  <c r="C817" i="18"/>
  <c r="C818" i="18"/>
  <c r="C819" i="18"/>
  <c r="C820" i="18"/>
  <c r="C821" i="18"/>
  <c r="C822" i="18"/>
  <c r="C823" i="18"/>
  <c r="C824" i="18"/>
  <c r="C825" i="18"/>
  <c r="C826" i="18"/>
  <c r="C827" i="18"/>
  <c r="C828" i="18"/>
  <c r="C829" i="18"/>
  <c r="C830" i="18"/>
  <c r="C831" i="18"/>
  <c r="C832" i="18"/>
  <c r="C833" i="18"/>
  <c r="C834" i="18"/>
  <c r="C835" i="18"/>
  <c r="C836" i="18"/>
  <c r="C837" i="18"/>
  <c r="C838" i="18"/>
  <c r="C839" i="18"/>
  <c r="C840" i="18"/>
  <c r="C841" i="18"/>
  <c r="C842" i="18"/>
  <c r="C843" i="18"/>
  <c r="C844" i="18"/>
  <c r="C845" i="18"/>
  <c r="C846" i="18"/>
  <c r="C847" i="18"/>
  <c r="C848" i="18"/>
  <c r="C849" i="18"/>
  <c r="C850" i="18"/>
  <c r="C851" i="18"/>
  <c r="C852" i="18"/>
  <c r="C853" i="18"/>
  <c r="C854" i="18"/>
  <c r="C855" i="18"/>
  <c r="C856" i="18"/>
  <c r="C857" i="18"/>
  <c r="C858" i="18"/>
  <c r="C859" i="18"/>
  <c r="C860" i="18"/>
  <c r="C861" i="18"/>
  <c r="C862" i="18"/>
  <c r="C863" i="18"/>
  <c r="C864" i="18"/>
  <c r="C865" i="18"/>
  <c r="C866" i="18"/>
  <c r="C867" i="18"/>
  <c r="C868" i="18"/>
  <c r="C869" i="18"/>
  <c r="C870" i="18"/>
  <c r="C871" i="18"/>
  <c r="C872" i="18"/>
  <c r="C873" i="18"/>
  <c r="C874" i="18"/>
  <c r="C875" i="18"/>
  <c r="C876" i="18"/>
  <c r="C877" i="18"/>
  <c r="C878" i="18"/>
  <c r="C879" i="18"/>
  <c r="C880" i="18"/>
  <c r="C881" i="18"/>
  <c r="C882" i="18"/>
  <c r="C883" i="18"/>
  <c r="C884" i="18"/>
  <c r="C885" i="18"/>
  <c r="C886" i="18"/>
  <c r="C887" i="18"/>
  <c r="C888" i="18"/>
  <c r="C889" i="18"/>
  <c r="C890" i="18"/>
  <c r="C891" i="18"/>
  <c r="C892" i="18"/>
  <c r="C893" i="18"/>
  <c r="C894" i="18"/>
  <c r="C895" i="18"/>
  <c r="C896" i="18"/>
  <c r="C897" i="18"/>
  <c r="C898" i="18"/>
  <c r="C899" i="18"/>
  <c r="C900" i="18"/>
  <c r="C901" i="18"/>
  <c r="C902" i="18"/>
  <c r="C903" i="18"/>
  <c r="C904" i="18"/>
  <c r="C905" i="18"/>
  <c r="C906" i="18"/>
  <c r="C907" i="18"/>
  <c r="C908" i="18"/>
  <c r="C909" i="18"/>
  <c r="C910" i="18"/>
  <c r="C911" i="18"/>
  <c r="C912" i="18"/>
  <c r="C913" i="18"/>
  <c r="C914" i="18"/>
  <c r="C915" i="18"/>
  <c r="C916" i="18"/>
  <c r="C917" i="18"/>
  <c r="C918" i="18"/>
  <c r="C919" i="18"/>
  <c r="C920" i="18"/>
  <c r="C921" i="18"/>
  <c r="C922" i="18"/>
  <c r="C923" i="18"/>
  <c r="C924" i="18"/>
  <c r="C925" i="18"/>
  <c r="C926" i="18"/>
  <c r="C927" i="18"/>
  <c r="C928" i="18"/>
  <c r="C929" i="18"/>
  <c r="C930" i="18"/>
  <c r="C931" i="18"/>
  <c r="C932" i="18"/>
  <c r="C933" i="18"/>
  <c r="C934" i="18"/>
  <c r="C935" i="18"/>
  <c r="C936" i="18"/>
  <c r="C937" i="18"/>
  <c r="C938" i="18"/>
  <c r="C939" i="18"/>
  <c r="C940" i="18"/>
  <c r="C941" i="18"/>
  <c r="C942" i="18"/>
  <c r="C943" i="18"/>
  <c r="C944" i="18"/>
  <c r="C945" i="18"/>
  <c r="C946" i="18"/>
  <c r="C947" i="18"/>
  <c r="C948" i="18"/>
  <c r="C949" i="18"/>
  <c r="C950" i="18"/>
  <c r="C951" i="18"/>
  <c r="C952" i="18"/>
  <c r="C953" i="18"/>
  <c r="C954" i="18"/>
  <c r="C955" i="18"/>
  <c r="C956" i="18"/>
  <c r="C957" i="18"/>
  <c r="C958" i="18"/>
  <c r="C959" i="18"/>
  <c r="C960" i="18"/>
  <c r="C961" i="18"/>
  <c r="C962" i="18"/>
  <c r="C963" i="18"/>
  <c r="C964" i="18"/>
  <c r="C965" i="18"/>
  <c r="C966" i="18"/>
  <c r="C967" i="18"/>
  <c r="C968" i="18"/>
  <c r="C969" i="18"/>
  <c r="C970" i="18"/>
  <c r="C971" i="18"/>
  <c r="C972" i="18"/>
  <c r="C973" i="18"/>
  <c r="C974" i="18"/>
  <c r="C975" i="18"/>
  <c r="C976" i="18"/>
  <c r="C977" i="18"/>
  <c r="C978" i="18"/>
  <c r="C979" i="18"/>
  <c r="C980" i="18"/>
  <c r="C981" i="18"/>
  <c r="C982" i="18"/>
  <c r="C983" i="18"/>
  <c r="C984" i="18"/>
  <c r="C985" i="18"/>
  <c r="C986" i="18"/>
  <c r="C987" i="18"/>
  <c r="C988" i="18"/>
  <c r="C989" i="18"/>
  <c r="C990" i="18"/>
  <c r="C991" i="18"/>
  <c r="C992" i="18"/>
  <c r="C993" i="18"/>
  <c r="C994" i="18"/>
  <c r="C995" i="18"/>
  <c r="C996" i="18"/>
  <c r="C997" i="18"/>
  <c r="C998" i="18"/>
  <c r="C999" i="18"/>
  <c r="C1000" i="18"/>
  <c r="C1001" i="18"/>
  <c r="C1002" i="18"/>
  <c r="C1003" i="18"/>
  <c r="C1004" i="18"/>
  <c r="C1005" i="18"/>
  <c r="C1006" i="18"/>
  <c r="C1007" i="18"/>
  <c r="C1008" i="18"/>
  <c r="C1009" i="18"/>
  <c r="C1010" i="18"/>
  <c r="C1011" i="18"/>
  <c r="C1012" i="18"/>
  <c r="C1013" i="18"/>
  <c r="C1014" i="18"/>
  <c r="C1015" i="18"/>
  <c r="C1016" i="18"/>
  <c r="C1017" i="18"/>
  <c r="C1018" i="18"/>
  <c r="C1019" i="18"/>
  <c r="C1020" i="18"/>
  <c r="C1021" i="18"/>
  <c r="C1022" i="18"/>
  <c r="C1023" i="18"/>
  <c r="C1024" i="18"/>
  <c r="C1025" i="18"/>
  <c r="C1026" i="18"/>
  <c r="C1027" i="18"/>
  <c r="C1028" i="18"/>
  <c r="C1029" i="18"/>
  <c r="C1030" i="18"/>
  <c r="C1031" i="18"/>
  <c r="C1032" i="18"/>
  <c r="C1033" i="18"/>
  <c r="C1034" i="18"/>
  <c r="C1035" i="18"/>
  <c r="C1036" i="18"/>
  <c r="C1037" i="18"/>
  <c r="C1038" i="18"/>
  <c r="C1039" i="18"/>
  <c r="C1040" i="18"/>
  <c r="C1041" i="18"/>
  <c r="C1042" i="18"/>
  <c r="C1043" i="18"/>
  <c r="C1044" i="18"/>
  <c r="C1045" i="18"/>
  <c r="C1046" i="18"/>
  <c r="C1047" i="18"/>
  <c r="C1048" i="18"/>
  <c r="C1049" i="18"/>
  <c r="C1050" i="18"/>
  <c r="C1051" i="18"/>
  <c r="C1052" i="18"/>
  <c r="C1053" i="18"/>
  <c r="C1054" i="18"/>
  <c r="C1055" i="18"/>
  <c r="C1056" i="18"/>
  <c r="C1057" i="18"/>
  <c r="C1058" i="18"/>
  <c r="C1059" i="18"/>
  <c r="C1060" i="18"/>
  <c r="C1061" i="18"/>
  <c r="C1062" i="18"/>
  <c r="C1063" i="18"/>
  <c r="C1064" i="18"/>
  <c r="C1065" i="18"/>
  <c r="C1066" i="18"/>
  <c r="C1067" i="18"/>
  <c r="C1068" i="18"/>
  <c r="C1069" i="18"/>
  <c r="C1070" i="18"/>
  <c r="C1071" i="18"/>
  <c r="C1072" i="18"/>
  <c r="C1073" i="18"/>
  <c r="C1074" i="18"/>
  <c r="C1075" i="18"/>
  <c r="C1076" i="18"/>
  <c r="C1077" i="18"/>
  <c r="C1078" i="18"/>
  <c r="C1079" i="18"/>
  <c r="C1080" i="18"/>
  <c r="C1081" i="18"/>
  <c r="C1082" i="18"/>
  <c r="C1083" i="18"/>
  <c r="C1084" i="18"/>
  <c r="C1085" i="18"/>
  <c r="C1086" i="18"/>
  <c r="C1087" i="18"/>
  <c r="C1088" i="18"/>
  <c r="C1089" i="18"/>
  <c r="C1090" i="18"/>
  <c r="C1091" i="18"/>
  <c r="C1092" i="18"/>
  <c r="C1093" i="18"/>
  <c r="C1094" i="18"/>
  <c r="C1095" i="18"/>
  <c r="C1096" i="18"/>
  <c r="C1097" i="18"/>
  <c r="C1098" i="18"/>
  <c r="C1099" i="18"/>
  <c r="C1100" i="18"/>
  <c r="C1101" i="18"/>
  <c r="C1102" i="18"/>
  <c r="C1103" i="18"/>
  <c r="C1104" i="18"/>
  <c r="C1105" i="18"/>
  <c r="C1106" i="18"/>
  <c r="C1107" i="18"/>
  <c r="C1108" i="18"/>
  <c r="C1109" i="18"/>
  <c r="C1110" i="18"/>
  <c r="C1111" i="18"/>
  <c r="C1112" i="18"/>
  <c r="C1113" i="18"/>
  <c r="C1114" i="18"/>
  <c r="C1115" i="18"/>
  <c r="C1116" i="18"/>
  <c r="C1117" i="18"/>
  <c r="C1118" i="18"/>
  <c r="C1119" i="18"/>
  <c r="C1120" i="18"/>
  <c r="C1121" i="18"/>
  <c r="C1122" i="18"/>
  <c r="C1123" i="18"/>
  <c r="C1124" i="18"/>
  <c r="C1125" i="18"/>
  <c r="C1126" i="18"/>
  <c r="C1127" i="18"/>
  <c r="C1128" i="18"/>
  <c r="C1129" i="18"/>
  <c r="C1130" i="18"/>
  <c r="C1131" i="18"/>
  <c r="C1132" i="18"/>
  <c r="C1133" i="18"/>
  <c r="C1134" i="18"/>
  <c r="C1135" i="18"/>
  <c r="C1136" i="18"/>
  <c r="C1137" i="18"/>
  <c r="C1138" i="18"/>
  <c r="C1139" i="18"/>
  <c r="C1140" i="18"/>
  <c r="C1141" i="18"/>
  <c r="C1142" i="18"/>
  <c r="C1143" i="18"/>
  <c r="C1144" i="18"/>
  <c r="C1145" i="18"/>
  <c r="C1146" i="18"/>
  <c r="C1147" i="18"/>
  <c r="C1148" i="18"/>
  <c r="C1149" i="18"/>
  <c r="C1150" i="18"/>
  <c r="C1151" i="18"/>
  <c r="C1152" i="18"/>
  <c r="C1153" i="18"/>
  <c r="C1154" i="18"/>
  <c r="C1155" i="18"/>
  <c r="C1156" i="18"/>
  <c r="C1157" i="18"/>
  <c r="C1158" i="18"/>
  <c r="C1159" i="18"/>
  <c r="C1160" i="18"/>
  <c r="C1161" i="18"/>
  <c r="C1162" i="18"/>
  <c r="C1163" i="18"/>
  <c r="C1164" i="18"/>
  <c r="C1165" i="18"/>
  <c r="C1166" i="18"/>
  <c r="C1167" i="18"/>
  <c r="C1168" i="18"/>
  <c r="C1169" i="18"/>
  <c r="C1170" i="18"/>
  <c r="C1171" i="18"/>
  <c r="C1172" i="18"/>
  <c r="C1173" i="18"/>
  <c r="C1174" i="18"/>
  <c r="C1175" i="18"/>
  <c r="C1176" i="18"/>
  <c r="C1177" i="18"/>
  <c r="C1178" i="18"/>
  <c r="C1179" i="18"/>
  <c r="C1180" i="18"/>
  <c r="C1181" i="18"/>
  <c r="C1182" i="18"/>
  <c r="C1183" i="18"/>
  <c r="C1184" i="18"/>
  <c r="C1185" i="18"/>
  <c r="C1186" i="18"/>
  <c r="C1187" i="18"/>
  <c r="C1188" i="18"/>
  <c r="C1189" i="18"/>
  <c r="C1190" i="18"/>
  <c r="C1191" i="18"/>
  <c r="C1192" i="18"/>
  <c r="C1193" i="18"/>
  <c r="C1194" i="18"/>
  <c r="C1195" i="18"/>
  <c r="C1196" i="18"/>
  <c r="C1197" i="18"/>
  <c r="C1198" i="18"/>
  <c r="C1199" i="18"/>
  <c r="C1200" i="18"/>
  <c r="C1201" i="18"/>
  <c r="C1202" i="18"/>
  <c r="C1203" i="18"/>
  <c r="C1204" i="18"/>
  <c r="C1205" i="18"/>
  <c r="C1206" i="18"/>
  <c r="C1207" i="18"/>
  <c r="C1208" i="18"/>
  <c r="C1209" i="18"/>
  <c r="C1210" i="18"/>
  <c r="C1211" i="18"/>
  <c r="C1212" i="18"/>
  <c r="C1213" i="18"/>
  <c r="C1214" i="18"/>
  <c r="C1215" i="18"/>
  <c r="C1216" i="18"/>
  <c r="C1217" i="18"/>
  <c r="C1218" i="18"/>
  <c r="C1220" i="18"/>
  <c r="C1221" i="18"/>
  <c r="C1222" i="18"/>
  <c r="C1223" i="18"/>
  <c r="C1224" i="18"/>
  <c r="C1225" i="18"/>
  <c r="C1226" i="18"/>
  <c r="C1227" i="18"/>
  <c r="C1228" i="18"/>
  <c r="C1229" i="18"/>
  <c r="C1231" i="18"/>
  <c r="C1232" i="18"/>
  <c r="C1233" i="18"/>
  <c r="C1234" i="18"/>
  <c r="C1235" i="18"/>
  <c r="C1236" i="18"/>
  <c r="C1237" i="18"/>
  <c r="C1238" i="18"/>
  <c r="C1239" i="18"/>
  <c r="C1240" i="18"/>
  <c r="C1241" i="18"/>
  <c r="B2" i="18"/>
  <c r="B3" i="18"/>
  <c r="B4" i="18"/>
  <c r="B5" i="18"/>
  <c r="B6"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42" i="18"/>
  <c r="B43" i="18"/>
  <c r="B44" i="18"/>
  <c r="B45" i="18"/>
  <c r="B46" i="18"/>
  <c r="B47" i="18"/>
  <c r="B48" i="18"/>
  <c r="B49" i="18"/>
  <c r="B50" i="18"/>
  <c r="B51" i="18"/>
  <c r="B52" i="18"/>
  <c r="B53" i="18"/>
  <c r="B54" i="18"/>
  <c r="B55" i="18"/>
  <c r="B56" i="18"/>
  <c r="B57" i="18"/>
  <c r="B58" i="18"/>
  <c r="B59" i="18"/>
  <c r="B60" i="18"/>
  <c r="B61" i="18"/>
  <c r="B62" i="18"/>
  <c r="B63" i="18"/>
  <c r="B64" i="18"/>
  <c r="B65" i="18"/>
  <c r="B66" i="18"/>
  <c r="B67" i="18"/>
  <c r="B68" i="18"/>
  <c r="B69" i="18"/>
  <c r="B70" i="18"/>
  <c r="B71" i="18"/>
  <c r="B72" i="18"/>
  <c r="B73" i="18"/>
  <c r="B74" i="18"/>
  <c r="B75" i="18"/>
  <c r="B76" i="18"/>
  <c r="B77" i="18"/>
  <c r="B78" i="18"/>
  <c r="B79" i="18"/>
  <c r="B80" i="18"/>
  <c r="B81" i="18"/>
  <c r="B82" i="18"/>
  <c r="B83" i="18"/>
  <c r="B84" i="18"/>
  <c r="B85" i="18"/>
  <c r="B86" i="18"/>
  <c r="B87" i="18"/>
  <c r="B88" i="18"/>
  <c r="B89" i="18"/>
  <c r="B90" i="18"/>
  <c r="B91" i="18"/>
  <c r="B92" i="18"/>
  <c r="B93" i="18"/>
  <c r="B94" i="18"/>
  <c r="B95" i="18"/>
  <c r="B96" i="18"/>
  <c r="B97" i="18"/>
  <c r="B98" i="18"/>
  <c r="B99" i="18"/>
  <c r="B100" i="18"/>
  <c r="B101" i="18"/>
  <c r="B102" i="18"/>
  <c r="B103" i="18"/>
  <c r="B104" i="18"/>
  <c r="B105" i="18"/>
  <c r="B106" i="18"/>
  <c r="B107" i="18"/>
  <c r="B108" i="18"/>
  <c r="B109" i="18"/>
  <c r="B110" i="18"/>
  <c r="B111" i="18"/>
  <c r="B112" i="18"/>
  <c r="B113" i="18"/>
  <c r="B114" i="18"/>
  <c r="B115" i="18"/>
  <c r="B116" i="18"/>
  <c r="B117" i="18"/>
  <c r="B118" i="18"/>
  <c r="B119" i="18"/>
  <c r="B120" i="18"/>
  <c r="B121" i="18"/>
  <c r="B122" i="18"/>
  <c r="B123" i="18"/>
  <c r="B124" i="18"/>
  <c r="B125" i="18"/>
  <c r="B126" i="18"/>
  <c r="B127" i="18"/>
  <c r="B128" i="18"/>
  <c r="B129" i="18"/>
  <c r="B130" i="18"/>
  <c r="B131" i="18"/>
  <c r="B132" i="18"/>
  <c r="B133" i="18"/>
  <c r="B134" i="18"/>
  <c r="B135" i="18"/>
  <c r="B136" i="18"/>
  <c r="B137" i="18"/>
  <c r="B138" i="18"/>
  <c r="B139" i="18"/>
  <c r="B140" i="18"/>
  <c r="B141" i="18"/>
  <c r="B142" i="18"/>
  <c r="B143" i="18"/>
  <c r="B144" i="18"/>
  <c r="B145" i="18"/>
  <c r="B146" i="18"/>
  <c r="B147" i="18"/>
  <c r="B148" i="18"/>
  <c r="B149" i="18"/>
  <c r="B150" i="18"/>
  <c r="B151" i="18"/>
  <c r="B152" i="18"/>
  <c r="B153" i="18"/>
  <c r="B154" i="18"/>
  <c r="B155" i="18"/>
  <c r="B156" i="18"/>
  <c r="B157" i="18"/>
  <c r="B158" i="18"/>
  <c r="B159" i="18"/>
  <c r="B160" i="18"/>
  <c r="B161" i="18"/>
  <c r="B162" i="18"/>
  <c r="B163" i="18"/>
  <c r="B164" i="18"/>
  <c r="B165" i="18"/>
  <c r="B166" i="18"/>
  <c r="B167" i="18"/>
  <c r="B168" i="18"/>
  <c r="B169" i="18"/>
  <c r="B170" i="18"/>
  <c r="B171" i="18"/>
  <c r="B172" i="18"/>
  <c r="B173" i="18"/>
  <c r="B174" i="18"/>
  <c r="B175" i="18"/>
  <c r="B176" i="18"/>
  <c r="B177" i="18"/>
  <c r="B178" i="18"/>
  <c r="B179" i="18"/>
  <c r="B180" i="18"/>
  <c r="B181" i="18"/>
  <c r="B182" i="18"/>
  <c r="B183" i="18"/>
  <c r="B184" i="18"/>
  <c r="B185" i="18"/>
  <c r="B186" i="18"/>
  <c r="B187" i="18"/>
  <c r="B188" i="18"/>
  <c r="B189" i="18"/>
  <c r="B190" i="18"/>
  <c r="B191" i="18"/>
  <c r="B192" i="18"/>
  <c r="B193" i="18"/>
  <c r="B194" i="18"/>
  <c r="B195" i="18"/>
  <c r="B196" i="18"/>
  <c r="B197" i="18"/>
  <c r="B198" i="18"/>
  <c r="B199" i="18"/>
  <c r="B200" i="18"/>
  <c r="B201" i="18"/>
  <c r="B202" i="18"/>
  <c r="B203" i="18"/>
  <c r="B204" i="18"/>
  <c r="B205" i="18"/>
  <c r="B206" i="18"/>
  <c r="B207" i="18"/>
  <c r="B208" i="18"/>
  <c r="B209" i="18"/>
  <c r="B210" i="18"/>
  <c r="B211" i="18"/>
  <c r="B212" i="18"/>
  <c r="B213" i="18"/>
  <c r="B214" i="18"/>
  <c r="B215" i="18"/>
  <c r="B216" i="18"/>
  <c r="B217" i="18"/>
  <c r="B218" i="18"/>
  <c r="B219" i="18"/>
  <c r="B220" i="18"/>
  <c r="B221" i="18"/>
  <c r="B222" i="18"/>
  <c r="B223" i="18"/>
  <c r="B224" i="18"/>
  <c r="B225" i="18"/>
  <c r="B226" i="18"/>
  <c r="B227" i="18"/>
  <c r="B228" i="18"/>
  <c r="B229" i="18"/>
  <c r="B230" i="18"/>
  <c r="B231" i="18"/>
  <c r="B232" i="18"/>
  <c r="B233" i="18"/>
  <c r="B234" i="18"/>
  <c r="B235" i="18"/>
  <c r="B236" i="18"/>
  <c r="B237" i="18"/>
  <c r="B238" i="18"/>
  <c r="B239" i="18"/>
  <c r="B240" i="18"/>
  <c r="B241" i="18"/>
  <c r="B242" i="18"/>
  <c r="B243" i="18"/>
  <c r="B244" i="18"/>
  <c r="B245" i="18"/>
  <c r="B246" i="18"/>
  <c r="B247" i="18"/>
  <c r="B248" i="18"/>
  <c r="B249" i="18"/>
  <c r="B250" i="18"/>
  <c r="B251" i="18"/>
  <c r="B252" i="18"/>
  <c r="B253" i="18"/>
  <c r="B254" i="18"/>
  <c r="B255" i="18"/>
  <c r="B256" i="18"/>
  <c r="B257" i="18"/>
  <c r="B258" i="18"/>
  <c r="B259" i="18"/>
  <c r="B260" i="18"/>
  <c r="B261" i="18"/>
  <c r="B262" i="18"/>
  <c r="B263" i="18"/>
  <c r="B264" i="18"/>
  <c r="B265" i="18"/>
  <c r="B266" i="18"/>
  <c r="B267" i="18"/>
  <c r="B268" i="18"/>
  <c r="B269" i="18"/>
  <c r="B270" i="18"/>
  <c r="B271" i="18"/>
  <c r="B272" i="18"/>
  <c r="B273" i="18"/>
  <c r="B274" i="18"/>
  <c r="B275" i="18"/>
  <c r="B276" i="18"/>
  <c r="B277" i="18"/>
  <c r="B278" i="18"/>
  <c r="B279" i="18"/>
  <c r="B280" i="18"/>
  <c r="B281" i="18"/>
  <c r="B282" i="18"/>
  <c r="B283" i="18"/>
  <c r="B284" i="18"/>
  <c r="B285" i="18"/>
  <c r="B286" i="18"/>
  <c r="B287" i="18"/>
  <c r="B288" i="18"/>
  <c r="B289" i="18"/>
  <c r="B290" i="18"/>
  <c r="B291" i="18"/>
  <c r="B292" i="18"/>
  <c r="B293" i="18"/>
  <c r="B294" i="18"/>
  <c r="B295" i="18"/>
  <c r="B296" i="18"/>
  <c r="B297" i="18"/>
  <c r="B298" i="18"/>
  <c r="B299" i="18"/>
  <c r="B300" i="18"/>
  <c r="B301" i="18"/>
  <c r="B302" i="18"/>
  <c r="B303" i="18"/>
  <c r="B304" i="18"/>
  <c r="B305" i="18"/>
  <c r="B306" i="18"/>
  <c r="B307" i="18"/>
  <c r="B308" i="18"/>
  <c r="B309" i="18"/>
  <c r="B310" i="18"/>
  <c r="B311" i="18"/>
  <c r="B312" i="18"/>
  <c r="B313" i="18"/>
  <c r="B314" i="18"/>
  <c r="B315" i="18"/>
  <c r="B316" i="18"/>
  <c r="B317" i="18"/>
  <c r="B318" i="18"/>
  <c r="B319" i="18"/>
  <c r="B320" i="18"/>
  <c r="B321" i="18"/>
  <c r="B322" i="18"/>
  <c r="B323" i="18"/>
  <c r="B324" i="18"/>
  <c r="B325" i="18"/>
  <c r="B326" i="18"/>
  <c r="B327" i="18"/>
  <c r="B328" i="18"/>
  <c r="B329" i="18"/>
  <c r="B330" i="18"/>
  <c r="B331" i="18"/>
  <c r="B332" i="18"/>
  <c r="B333" i="18"/>
  <c r="B334" i="18"/>
  <c r="B335" i="18"/>
  <c r="B336" i="18"/>
  <c r="B337" i="18"/>
  <c r="B338" i="18"/>
  <c r="B339" i="18"/>
  <c r="B340" i="18"/>
  <c r="B341" i="18"/>
  <c r="B342" i="18"/>
  <c r="B343" i="18"/>
  <c r="B344" i="18"/>
  <c r="B345" i="18"/>
  <c r="B346" i="18"/>
  <c r="B347" i="18"/>
  <c r="B348" i="18"/>
  <c r="B349" i="18"/>
  <c r="B350" i="18"/>
  <c r="B351" i="18"/>
  <c r="B352" i="18"/>
  <c r="B353" i="18"/>
  <c r="B354" i="18"/>
  <c r="B355" i="18"/>
  <c r="B356" i="18"/>
  <c r="B357" i="18"/>
  <c r="B358" i="18"/>
  <c r="B359" i="18"/>
  <c r="B360" i="18"/>
  <c r="B361" i="18"/>
  <c r="B362" i="18"/>
  <c r="B363" i="18"/>
  <c r="B364" i="18"/>
  <c r="B365" i="18"/>
  <c r="B366" i="18"/>
  <c r="B367" i="18"/>
  <c r="B368" i="18"/>
  <c r="B369" i="18"/>
  <c r="B370" i="18"/>
  <c r="B371" i="18"/>
  <c r="B372" i="18"/>
  <c r="B373" i="18"/>
  <c r="B374" i="18"/>
  <c r="B375" i="18"/>
  <c r="B376" i="18"/>
  <c r="B377" i="18"/>
  <c r="B378" i="18"/>
  <c r="B379" i="18"/>
  <c r="B380" i="18"/>
  <c r="B381" i="18"/>
  <c r="B382" i="18"/>
  <c r="B383" i="18"/>
  <c r="B384" i="18"/>
  <c r="B385" i="18"/>
  <c r="B386" i="18"/>
  <c r="B387" i="18"/>
  <c r="B388" i="18"/>
  <c r="B389" i="18"/>
  <c r="B390" i="18"/>
  <c r="B391" i="18"/>
  <c r="B392" i="18"/>
  <c r="B393" i="18"/>
  <c r="B394" i="18"/>
  <c r="B395" i="18"/>
  <c r="B396" i="18"/>
  <c r="B397" i="18"/>
  <c r="B398" i="18"/>
  <c r="B399" i="18"/>
  <c r="B400" i="18"/>
  <c r="B401" i="18"/>
  <c r="B402" i="18"/>
  <c r="B403" i="18"/>
  <c r="B404" i="18"/>
  <c r="B405" i="18"/>
  <c r="B406" i="18"/>
  <c r="B407" i="18"/>
  <c r="B408" i="18"/>
  <c r="B409" i="18"/>
  <c r="B410" i="18"/>
  <c r="B411" i="18"/>
  <c r="B412" i="18"/>
  <c r="B413" i="18"/>
  <c r="B414" i="18"/>
  <c r="B415" i="18"/>
  <c r="B416" i="18"/>
  <c r="B417" i="18"/>
  <c r="B418" i="18"/>
  <c r="B419" i="18"/>
  <c r="B420" i="18"/>
  <c r="B421" i="18"/>
  <c r="B422" i="18"/>
  <c r="B423" i="18"/>
  <c r="B424" i="18"/>
  <c r="B425" i="18"/>
  <c r="B426" i="18"/>
  <c r="B427" i="18"/>
  <c r="B428" i="18"/>
  <c r="B429" i="18"/>
  <c r="B430" i="18"/>
  <c r="B431" i="18"/>
  <c r="B432" i="18"/>
  <c r="B433" i="18"/>
  <c r="B434" i="18"/>
  <c r="B435" i="18"/>
  <c r="B436" i="18"/>
  <c r="B437" i="18"/>
  <c r="B438" i="18"/>
  <c r="B439" i="18"/>
  <c r="B440" i="18"/>
  <c r="B441" i="18"/>
  <c r="B442" i="18"/>
  <c r="B443" i="18"/>
  <c r="B444" i="18"/>
  <c r="B445" i="18"/>
  <c r="B446" i="18"/>
  <c r="B447" i="18"/>
  <c r="B448" i="18"/>
  <c r="B449" i="18"/>
  <c r="B450" i="18"/>
  <c r="B451" i="18"/>
  <c r="B452" i="18"/>
  <c r="B453" i="18"/>
  <c r="B454" i="18"/>
  <c r="B455" i="18"/>
  <c r="B456" i="18"/>
  <c r="B457" i="18"/>
  <c r="B458" i="18"/>
  <c r="B459" i="18"/>
  <c r="B460" i="18"/>
  <c r="B461" i="18"/>
  <c r="B462" i="18"/>
  <c r="B463" i="18"/>
  <c r="B464" i="18"/>
  <c r="B465" i="18"/>
  <c r="B466" i="18"/>
  <c r="B467" i="18"/>
  <c r="B468" i="18"/>
  <c r="B469" i="18"/>
  <c r="B470" i="18"/>
  <c r="B471" i="18"/>
  <c r="B472" i="18"/>
  <c r="B473" i="18"/>
  <c r="B474" i="18"/>
  <c r="B475" i="18"/>
  <c r="B476" i="18"/>
  <c r="B477" i="18"/>
  <c r="B478" i="18"/>
  <c r="B479" i="18"/>
  <c r="B480" i="18"/>
  <c r="B481" i="18"/>
  <c r="B482" i="18"/>
  <c r="B483" i="18"/>
  <c r="B484" i="18"/>
  <c r="B485" i="18"/>
  <c r="B486" i="18"/>
  <c r="B487" i="18"/>
  <c r="B488" i="18"/>
  <c r="B489" i="18"/>
  <c r="B490" i="18"/>
  <c r="B491" i="18"/>
  <c r="B492" i="18"/>
  <c r="B493" i="18"/>
  <c r="B494" i="18"/>
  <c r="B495" i="18"/>
  <c r="B496" i="18"/>
  <c r="B497" i="18"/>
  <c r="B498" i="18"/>
  <c r="B499" i="18"/>
  <c r="B500" i="18"/>
  <c r="B501" i="18"/>
  <c r="B502" i="18"/>
  <c r="B503" i="18"/>
  <c r="B504" i="18"/>
  <c r="B505" i="18"/>
  <c r="B506" i="18"/>
  <c r="B507" i="18"/>
  <c r="B508" i="18"/>
  <c r="B509" i="18"/>
  <c r="B510" i="18"/>
  <c r="B511" i="18"/>
  <c r="B512" i="18"/>
  <c r="B513" i="18"/>
  <c r="B514" i="18"/>
  <c r="B515" i="18"/>
  <c r="B516" i="18"/>
  <c r="B517" i="18"/>
  <c r="B518" i="18"/>
  <c r="B519" i="18"/>
  <c r="B520" i="18"/>
  <c r="B521" i="18"/>
  <c r="B522" i="18"/>
  <c r="B523" i="18"/>
  <c r="B524" i="18"/>
  <c r="B525" i="18"/>
  <c r="B526" i="18"/>
  <c r="B527" i="18"/>
  <c r="B528" i="18"/>
  <c r="B529" i="18"/>
  <c r="B530" i="18"/>
  <c r="B531" i="18"/>
  <c r="B532" i="18"/>
  <c r="B533" i="18"/>
  <c r="B534" i="18"/>
  <c r="B535" i="18"/>
  <c r="B536" i="18"/>
  <c r="B537" i="18"/>
  <c r="B538" i="18"/>
  <c r="B539" i="18"/>
  <c r="B540" i="18"/>
  <c r="B541" i="18"/>
  <c r="B542" i="18"/>
  <c r="B543" i="18"/>
  <c r="B544" i="18"/>
  <c r="B545" i="18"/>
  <c r="B546" i="18"/>
  <c r="B547" i="18"/>
  <c r="B548" i="18"/>
  <c r="B549" i="18"/>
  <c r="B550" i="18"/>
  <c r="B551" i="18"/>
  <c r="B552" i="18"/>
  <c r="B553" i="18"/>
  <c r="B554" i="18"/>
  <c r="B555" i="18"/>
  <c r="B556" i="18"/>
  <c r="B557" i="18"/>
  <c r="B558" i="18"/>
  <c r="B559" i="18"/>
  <c r="B560" i="18"/>
  <c r="B561" i="18"/>
  <c r="B562" i="18"/>
  <c r="B563" i="18"/>
  <c r="B564" i="18"/>
  <c r="B565" i="18"/>
  <c r="B566" i="18"/>
  <c r="B567" i="18"/>
  <c r="B568" i="18"/>
  <c r="B569" i="18"/>
  <c r="B570" i="18"/>
  <c r="B571" i="18"/>
  <c r="B572" i="18"/>
  <c r="B573" i="18"/>
  <c r="B574" i="18"/>
  <c r="B575" i="18"/>
  <c r="B576" i="18"/>
  <c r="B577" i="18"/>
  <c r="B578" i="18"/>
  <c r="B579" i="18"/>
  <c r="B580" i="18"/>
  <c r="B581" i="18"/>
  <c r="B582" i="18"/>
  <c r="B583" i="18"/>
  <c r="B584" i="18"/>
  <c r="B585" i="18"/>
  <c r="B586" i="18"/>
  <c r="B587" i="18"/>
  <c r="B588" i="18"/>
  <c r="B589" i="18"/>
  <c r="B590" i="18"/>
  <c r="B591" i="18"/>
  <c r="B592" i="18"/>
  <c r="B593" i="18"/>
  <c r="B594" i="18"/>
  <c r="B595" i="18"/>
  <c r="B596" i="18"/>
  <c r="B597" i="18"/>
  <c r="B598" i="18"/>
  <c r="B599" i="18"/>
  <c r="B600" i="18"/>
  <c r="B601" i="18"/>
  <c r="B602" i="18"/>
  <c r="B603" i="18"/>
  <c r="B604" i="18"/>
  <c r="B605" i="18"/>
  <c r="B606" i="18"/>
  <c r="B607" i="18"/>
  <c r="B608" i="18"/>
  <c r="B609" i="18"/>
  <c r="B610" i="18"/>
  <c r="B611" i="18"/>
  <c r="B612" i="18"/>
  <c r="B613" i="18"/>
  <c r="B614" i="18"/>
  <c r="B615" i="18"/>
  <c r="B616" i="18"/>
  <c r="B617" i="18"/>
  <c r="B618" i="18"/>
  <c r="B619" i="18"/>
  <c r="B620" i="18"/>
  <c r="B621" i="18"/>
  <c r="B622" i="18"/>
  <c r="B623" i="18"/>
  <c r="B624" i="18"/>
  <c r="B625" i="18"/>
  <c r="B626" i="18"/>
  <c r="B627" i="18"/>
  <c r="B628" i="18"/>
  <c r="B629" i="18"/>
  <c r="B630" i="18"/>
  <c r="B631" i="18"/>
  <c r="B632" i="18"/>
  <c r="B633" i="18"/>
  <c r="B634" i="18"/>
  <c r="B635" i="18"/>
  <c r="B636" i="18"/>
  <c r="B637" i="18"/>
  <c r="B638" i="18"/>
  <c r="B639" i="18"/>
  <c r="B640" i="18"/>
  <c r="B641" i="18"/>
  <c r="B642" i="18"/>
  <c r="B643" i="18"/>
  <c r="B644" i="18"/>
  <c r="B645" i="18"/>
  <c r="B646" i="18"/>
  <c r="B647" i="18"/>
  <c r="B648" i="18"/>
  <c r="B649" i="18"/>
  <c r="B650" i="18"/>
  <c r="B651" i="18"/>
  <c r="B652" i="18"/>
  <c r="B653" i="18"/>
  <c r="B654" i="18"/>
  <c r="B655" i="18"/>
  <c r="B656" i="18"/>
  <c r="B657" i="18"/>
  <c r="B658" i="18"/>
  <c r="B659" i="18"/>
  <c r="B660" i="18"/>
  <c r="B661" i="18"/>
  <c r="B662" i="18"/>
  <c r="B663" i="18"/>
  <c r="B664" i="18"/>
  <c r="B665" i="18"/>
  <c r="B666" i="18"/>
  <c r="B667" i="18"/>
  <c r="B668" i="18"/>
  <c r="B669" i="18"/>
  <c r="B670" i="18"/>
  <c r="B671" i="18"/>
  <c r="B672" i="18"/>
  <c r="B673" i="18"/>
  <c r="B674" i="18"/>
  <c r="B675" i="18"/>
  <c r="B676" i="18"/>
  <c r="B677" i="18"/>
  <c r="B678" i="18"/>
  <c r="B679" i="18"/>
  <c r="B680" i="18"/>
  <c r="B681" i="18"/>
  <c r="B682" i="18"/>
  <c r="B683" i="18"/>
  <c r="B684" i="18"/>
  <c r="B685" i="18"/>
  <c r="B686" i="18"/>
  <c r="B687" i="18"/>
  <c r="B688" i="18"/>
  <c r="B689" i="18"/>
  <c r="B690" i="18"/>
  <c r="B691" i="18"/>
  <c r="B692" i="18"/>
  <c r="B693" i="18"/>
  <c r="B694" i="18"/>
  <c r="B695" i="18"/>
  <c r="B696" i="18"/>
  <c r="B697" i="18"/>
  <c r="B698" i="18"/>
  <c r="B699" i="18"/>
  <c r="B700" i="18"/>
  <c r="B701" i="18"/>
  <c r="B702" i="18"/>
  <c r="B703" i="18"/>
  <c r="B704" i="18"/>
  <c r="B705" i="18"/>
  <c r="B706" i="18"/>
  <c r="B707" i="18"/>
  <c r="B708" i="18"/>
  <c r="B709" i="18"/>
  <c r="B710" i="18"/>
  <c r="B711" i="18"/>
  <c r="B712" i="18"/>
  <c r="B713" i="18"/>
  <c r="B714" i="18"/>
  <c r="B715" i="18"/>
  <c r="B716" i="18"/>
  <c r="B717" i="18"/>
  <c r="B718" i="18"/>
  <c r="B719" i="18"/>
  <c r="B720" i="18"/>
  <c r="B721" i="18"/>
  <c r="B722" i="18"/>
  <c r="B723" i="18"/>
  <c r="B724" i="18"/>
  <c r="B725" i="18"/>
  <c r="B726" i="18"/>
  <c r="B727" i="18"/>
  <c r="B728" i="18"/>
  <c r="B729" i="18"/>
  <c r="B730" i="18"/>
  <c r="B731" i="18"/>
  <c r="B732" i="18"/>
  <c r="B733" i="18"/>
  <c r="B734" i="18"/>
  <c r="B735" i="18"/>
  <c r="B736" i="18"/>
  <c r="B737" i="18"/>
  <c r="B738" i="18"/>
  <c r="B739" i="18"/>
  <c r="B740" i="18"/>
  <c r="B741" i="18"/>
  <c r="B742" i="18"/>
  <c r="B743" i="18"/>
  <c r="B744" i="18"/>
  <c r="B745" i="18"/>
  <c r="B746" i="18"/>
  <c r="B747" i="18"/>
  <c r="B748" i="18"/>
  <c r="B749" i="18"/>
  <c r="B750" i="18"/>
  <c r="B751" i="18"/>
  <c r="B752" i="18"/>
  <c r="B753" i="18"/>
  <c r="B754" i="18"/>
  <c r="B755" i="18"/>
  <c r="B756" i="18"/>
  <c r="B757" i="18"/>
  <c r="B758" i="18"/>
  <c r="B759" i="18"/>
  <c r="B760" i="18"/>
  <c r="B761" i="18"/>
  <c r="B762" i="18"/>
  <c r="B763" i="18"/>
  <c r="B764" i="18"/>
  <c r="B765" i="18"/>
  <c r="B766" i="18"/>
  <c r="B767" i="18"/>
  <c r="B768" i="18"/>
  <c r="B769" i="18"/>
  <c r="B770" i="18"/>
  <c r="B771" i="18"/>
  <c r="B772" i="18"/>
  <c r="B773" i="18"/>
  <c r="B774" i="18"/>
  <c r="B775" i="18"/>
  <c r="B776" i="18"/>
  <c r="B777" i="18"/>
  <c r="B778" i="18"/>
  <c r="B779" i="18"/>
  <c r="B780" i="18"/>
  <c r="B781" i="18"/>
  <c r="B782" i="18"/>
  <c r="B783" i="18"/>
  <c r="B784" i="18"/>
  <c r="B785" i="18"/>
  <c r="B786" i="18"/>
  <c r="B787" i="18"/>
  <c r="B788" i="18"/>
  <c r="B789" i="18"/>
  <c r="B790" i="18"/>
  <c r="B791" i="18"/>
  <c r="B792" i="18"/>
  <c r="B793" i="18"/>
  <c r="B794" i="18"/>
  <c r="B795" i="18"/>
  <c r="B796" i="18"/>
  <c r="B797" i="18"/>
  <c r="B798" i="18"/>
  <c r="B799" i="18"/>
  <c r="B800" i="18"/>
  <c r="B801" i="18"/>
  <c r="B802" i="18"/>
  <c r="B803" i="18"/>
  <c r="B804" i="18"/>
  <c r="B805" i="18"/>
  <c r="B806" i="18"/>
  <c r="B807" i="18"/>
  <c r="B808" i="18"/>
  <c r="B809" i="18"/>
  <c r="B810" i="18"/>
  <c r="B811" i="18"/>
  <c r="B812" i="18"/>
  <c r="B813" i="18"/>
  <c r="B814" i="18"/>
  <c r="B815" i="18"/>
  <c r="B816" i="18"/>
  <c r="B817" i="18"/>
  <c r="B818" i="18"/>
  <c r="B819" i="18"/>
  <c r="B820" i="18"/>
  <c r="B821" i="18"/>
  <c r="B822" i="18"/>
  <c r="B823" i="18"/>
  <c r="B824" i="18"/>
  <c r="B825" i="18"/>
  <c r="B826" i="18"/>
  <c r="B827" i="18"/>
  <c r="B828" i="18"/>
  <c r="B829" i="18"/>
  <c r="B830" i="18"/>
  <c r="B831" i="18"/>
  <c r="B832" i="18"/>
  <c r="B833" i="18"/>
  <c r="B834" i="18"/>
  <c r="B835" i="18"/>
  <c r="B836" i="18"/>
  <c r="B837" i="18"/>
  <c r="B838" i="18"/>
  <c r="B839" i="18"/>
  <c r="B840" i="18"/>
  <c r="B841" i="18"/>
  <c r="B842" i="18"/>
  <c r="B843" i="18"/>
  <c r="B844" i="18"/>
  <c r="B845" i="18"/>
  <c r="B846" i="18"/>
  <c r="B847" i="18"/>
  <c r="B848" i="18"/>
  <c r="B849" i="18"/>
  <c r="B850" i="18"/>
  <c r="B851" i="18"/>
  <c r="B852" i="18"/>
  <c r="B853" i="18"/>
  <c r="B854" i="18"/>
  <c r="B855" i="18"/>
  <c r="B856" i="18"/>
  <c r="B857" i="18"/>
  <c r="B858" i="18"/>
  <c r="B859" i="18"/>
  <c r="B860" i="18"/>
  <c r="B861" i="18"/>
  <c r="B862" i="18"/>
  <c r="B863" i="18"/>
  <c r="B864" i="18"/>
  <c r="B865" i="18"/>
  <c r="B866" i="18"/>
  <c r="B867" i="18"/>
  <c r="B868" i="18"/>
  <c r="B869" i="18"/>
  <c r="B870" i="18"/>
  <c r="B871" i="18"/>
  <c r="B872" i="18"/>
  <c r="B873" i="18"/>
  <c r="B874" i="18"/>
  <c r="B875" i="18"/>
  <c r="B876" i="18"/>
  <c r="B877" i="18"/>
  <c r="B878" i="18"/>
  <c r="B879" i="18"/>
  <c r="B880" i="18"/>
  <c r="B881" i="18"/>
  <c r="B882" i="18"/>
  <c r="B883" i="18"/>
  <c r="B884" i="18"/>
  <c r="B885" i="18"/>
  <c r="B886" i="18"/>
  <c r="B887" i="18"/>
  <c r="B888" i="18"/>
  <c r="B889" i="18"/>
  <c r="B890" i="18"/>
  <c r="B891" i="18"/>
  <c r="B892" i="18"/>
  <c r="B893" i="18"/>
  <c r="B894" i="18"/>
  <c r="B895" i="18"/>
  <c r="B896" i="18"/>
  <c r="B897" i="18"/>
  <c r="B898" i="18"/>
  <c r="B899" i="18"/>
  <c r="B900" i="18"/>
  <c r="B901" i="18"/>
  <c r="B902" i="18"/>
  <c r="B903" i="18"/>
  <c r="B904" i="18"/>
  <c r="B905" i="18"/>
  <c r="B906" i="18"/>
  <c r="B907" i="18"/>
  <c r="B908" i="18"/>
  <c r="B909" i="18"/>
  <c r="B910" i="18"/>
  <c r="B911" i="18"/>
  <c r="B912" i="18"/>
  <c r="B913" i="18"/>
  <c r="B914" i="18"/>
  <c r="B915" i="18"/>
  <c r="B916" i="18"/>
  <c r="B917" i="18"/>
  <c r="B918" i="18"/>
  <c r="B919" i="18"/>
  <c r="B920" i="18"/>
  <c r="B921" i="18"/>
  <c r="B922" i="18"/>
  <c r="B923" i="18"/>
  <c r="B924" i="18"/>
  <c r="B925" i="18"/>
  <c r="B926" i="18"/>
  <c r="B927" i="18"/>
  <c r="B928" i="18"/>
  <c r="B929" i="18"/>
  <c r="B930" i="18"/>
  <c r="B931" i="18"/>
  <c r="B932" i="18"/>
  <c r="B933" i="18"/>
  <c r="B934" i="18"/>
  <c r="B935" i="18"/>
  <c r="B936" i="18"/>
  <c r="B937" i="18"/>
  <c r="B938" i="18"/>
  <c r="B939" i="18"/>
  <c r="B940" i="18"/>
  <c r="B941" i="18"/>
  <c r="B942" i="18"/>
  <c r="B943" i="18"/>
  <c r="B944" i="18"/>
  <c r="B945" i="18"/>
  <c r="B946" i="18"/>
  <c r="B947" i="18"/>
  <c r="B948" i="18"/>
  <c r="B949" i="18"/>
  <c r="B950" i="18"/>
  <c r="B951" i="18"/>
  <c r="B952" i="18"/>
  <c r="B953" i="18"/>
  <c r="B954" i="18"/>
  <c r="B955" i="18"/>
  <c r="B956" i="18"/>
  <c r="B957" i="18"/>
  <c r="B958" i="18"/>
  <c r="B959" i="18"/>
  <c r="B960" i="18"/>
  <c r="B961" i="18"/>
  <c r="B962" i="18"/>
  <c r="B963" i="18"/>
  <c r="B964" i="18"/>
  <c r="B965" i="18"/>
  <c r="B966" i="18"/>
  <c r="B967" i="18"/>
  <c r="B968" i="18"/>
  <c r="B969" i="18"/>
  <c r="B970" i="18"/>
  <c r="B971" i="18"/>
  <c r="B972" i="18"/>
  <c r="B973" i="18"/>
  <c r="B974" i="18"/>
  <c r="B975" i="18"/>
  <c r="B976" i="18"/>
  <c r="B977" i="18"/>
  <c r="B978" i="18"/>
  <c r="B979" i="18"/>
  <c r="B980" i="18"/>
  <c r="B981" i="18"/>
  <c r="B982" i="18"/>
  <c r="B983" i="18"/>
  <c r="B984" i="18"/>
  <c r="B985" i="18"/>
  <c r="B986" i="18"/>
  <c r="B987" i="18"/>
  <c r="B988" i="18"/>
  <c r="B989" i="18"/>
  <c r="B990" i="18"/>
  <c r="B991" i="18"/>
  <c r="B992" i="18"/>
  <c r="B993" i="18"/>
  <c r="B994" i="18"/>
  <c r="B995" i="18"/>
  <c r="B996" i="18"/>
  <c r="B997" i="18"/>
  <c r="B998" i="18"/>
  <c r="B999" i="18"/>
  <c r="B1000" i="18"/>
  <c r="B1001" i="18"/>
  <c r="B1002" i="18"/>
  <c r="B1003" i="18"/>
  <c r="B1004" i="18"/>
  <c r="B1005" i="18"/>
  <c r="B1006" i="18"/>
  <c r="B1007" i="18"/>
  <c r="B1008" i="18"/>
  <c r="B1009" i="18"/>
  <c r="B1010" i="18"/>
  <c r="B1011" i="18"/>
  <c r="B1012" i="18"/>
  <c r="B1013" i="18"/>
  <c r="B1014" i="18"/>
  <c r="B1015" i="18"/>
  <c r="B1016" i="18"/>
  <c r="B1017" i="18"/>
  <c r="B1018" i="18"/>
  <c r="B1019" i="18"/>
  <c r="B1020" i="18"/>
  <c r="B1021" i="18"/>
  <c r="B1022" i="18"/>
  <c r="B1023" i="18"/>
  <c r="B1024" i="18"/>
  <c r="B1025" i="18"/>
  <c r="B1026" i="18"/>
  <c r="B1027" i="18"/>
  <c r="B1028" i="18"/>
  <c r="B1029" i="18"/>
  <c r="B1030" i="18"/>
  <c r="B1031" i="18"/>
  <c r="B1032" i="18"/>
  <c r="B1033" i="18"/>
  <c r="B1034" i="18"/>
  <c r="B1035" i="18"/>
  <c r="B1036" i="18"/>
  <c r="B1037" i="18"/>
  <c r="B1038" i="18"/>
  <c r="B1039" i="18"/>
  <c r="B1040" i="18"/>
  <c r="B1041" i="18"/>
  <c r="B1042" i="18"/>
  <c r="B1043" i="18"/>
  <c r="B1044" i="18"/>
  <c r="B1045" i="18"/>
  <c r="B1046" i="18"/>
  <c r="B1047" i="18"/>
  <c r="B1048" i="18"/>
  <c r="B1049" i="18"/>
  <c r="B1050" i="18"/>
  <c r="B1051" i="18"/>
  <c r="B1052" i="18"/>
  <c r="B1053" i="18"/>
  <c r="B1054" i="18"/>
  <c r="B1055" i="18"/>
  <c r="B1056" i="18"/>
  <c r="B1057" i="18"/>
  <c r="B1058" i="18"/>
  <c r="B1059" i="18"/>
  <c r="B1060" i="18"/>
  <c r="B1061" i="18"/>
  <c r="B1062" i="18"/>
  <c r="B1063" i="18"/>
  <c r="B1064" i="18"/>
  <c r="B1065" i="18"/>
  <c r="B1066" i="18"/>
  <c r="B1067" i="18"/>
  <c r="B1068" i="18"/>
  <c r="B1069" i="18"/>
  <c r="B1070" i="18"/>
  <c r="B1071" i="18"/>
  <c r="B1072" i="18"/>
  <c r="B1073" i="18"/>
  <c r="B1074" i="18"/>
  <c r="B1075" i="18"/>
  <c r="B1076" i="18"/>
  <c r="B1077" i="18"/>
  <c r="B1078" i="18"/>
  <c r="B1079" i="18"/>
  <c r="B1080" i="18"/>
  <c r="B1081" i="18"/>
  <c r="B1082" i="18"/>
  <c r="B1083" i="18"/>
  <c r="B1084" i="18"/>
  <c r="B1085" i="18"/>
  <c r="B1086" i="18"/>
  <c r="B1087" i="18"/>
  <c r="B1088" i="18"/>
  <c r="B1089" i="18"/>
  <c r="B1090" i="18"/>
  <c r="B1091" i="18"/>
  <c r="B1092" i="18"/>
  <c r="B1093" i="18"/>
  <c r="B1094" i="18"/>
  <c r="B1095" i="18"/>
  <c r="B1096" i="18"/>
  <c r="B1097" i="18"/>
  <c r="B1098" i="18"/>
  <c r="B1099" i="18"/>
  <c r="B1100" i="18"/>
  <c r="B1101" i="18"/>
  <c r="B1102" i="18"/>
  <c r="B1103" i="18"/>
  <c r="B1104" i="18"/>
  <c r="B1105" i="18"/>
  <c r="B1106" i="18"/>
  <c r="B1107" i="18"/>
  <c r="B1108" i="18"/>
  <c r="B1109" i="18"/>
  <c r="B1110" i="18"/>
  <c r="B1111" i="18"/>
  <c r="B1112" i="18"/>
  <c r="B1113" i="18"/>
  <c r="B1114" i="18"/>
  <c r="B1115" i="18"/>
  <c r="B1116" i="18"/>
  <c r="B1117" i="18"/>
  <c r="B1118" i="18"/>
  <c r="B1119" i="18"/>
  <c r="B1120" i="18"/>
  <c r="B1121" i="18"/>
  <c r="B1122" i="18"/>
  <c r="B1123" i="18"/>
  <c r="B1124" i="18"/>
  <c r="B1125" i="18"/>
  <c r="B1126" i="18"/>
  <c r="B1127" i="18"/>
  <c r="B1128" i="18"/>
  <c r="B1129" i="18"/>
  <c r="B1130" i="18"/>
  <c r="B1131" i="18"/>
  <c r="B1132" i="18"/>
  <c r="B1133" i="18"/>
  <c r="B1134" i="18"/>
  <c r="B1135" i="18"/>
  <c r="B1136" i="18"/>
  <c r="B1137" i="18"/>
  <c r="B1138" i="18"/>
  <c r="B1139" i="18"/>
  <c r="B1140" i="18"/>
  <c r="B1141" i="18"/>
  <c r="B1142" i="18"/>
  <c r="B1143" i="18"/>
  <c r="B1144" i="18"/>
  <c r="B1145" i="18"/>
  <c r="B1146" i="18"/>
  <c r="B1147" i="18"/>
  <c r="B1148" i="18"/>
  <c r="B1149" i="18"/>
  <c r="B1150" i="18"/>
  <c r="B1151" i="18"/>
  <c r="B1152" i="18"/>
  <c r="B1153" i="18"/>
  <c r="B1154" i="18"/>
  <c r="B1155" i="18"/>
  <c r="B1156" i="18"/>
  <c r="B1157" i="18"/>
  <c r="B1158" i="18"/>
  <c r="B1159" i="18"/>
  <c r="B1160" i="18"/>
  <c r="B1161" i="18"/>
  <c r="B1162" i="18"/>
  <c r="B1163" i="18"/>
  <c r="B1164" i="18"/>
  <c r="B1165" i="18"/>
  <c r="B1166" i="18"/>
  <c r="B1167" i="18"/>
  <c r="B1168" i="18"/>
  <c r="B1169" i="18"/>
  <c r="B1170" i="18"/>
  <c r="B1171" i="18"/>
  <c r="B1172" i="18"/>
  <c r="B1173" i="18"/>
  <c r="B1174" i="18"/>
  <c r="B1175" i="18"/>
  <c r="B1176" i="18"/>
  <c r="B1177" i="18"/>
  <c r="B1178" i="18"/>
  <c r="B1179" i="18"/>
  <c r="B1180" i="18"/>
  <c r="B1181" i="18"/>
  <c r="B1182" i="18"/>
  <c r="B1183" i="18"/>
  <c r="B1184" i="18"/>
  <c r="B1185" i="18"/>
  <c r="B1186" i="18"/>
  <c r="B1187" i="18"/>
  <c r="B1188" i="18"/>
  <c r="B1189" i="18"/>
  <c r="B1190" i="18"/>
  <c r="B1191" i="18"/>
  <c r="B1192" i="18"/>
  <c r="B1193" i="18"/>
  <c r="B1194" i="18"/>
  <c r="B1195" i="18"/>
  <c r="B1196" i="18"/>
  <c r="B1197" i="18"/>
  <c r="B1198" i="18"/>
  <c r="B1199" i="18"/>
  <c r="B1200" i="18"/>
  <c r="B1201" i="18"/>
  <c r="B1202" i="18"/>
  <c r="B1203" i="18"/>
  <c r="B1204" i="18"/>
  <c r="B1205" i="18"/>
  <c r="B1206" i="18"/>
  <c r="B1207" i="18"/>
  <c r="B1208" i="18"/>
  <c r="B1209" i="18"/>
  <c r="B1210" i="18"/>
  <c r="B1211" i="18"/>
  <c r="B1212" i="18"/>
  <c r="B1213" i="18"/>
  <c r="B1214" i="18"/>
  <c r="B1215" i="18"/>
  <c r="B1216" i="18"/>
  <c r="B1217" i="18"/>
  <c r="B1218" i="18"/>
  <c r="B1220" i="18"/>
  <c r="B1221" i="18"/>
  <c r="B1222" i="18"/>
  <c r="B1223" i="18"/>
  <c r="B1224" i="18"/>
  <c r="B1225" i="18"/>
  <c r="B1226" i="18"/>
  <c r="B1227" i="18"/>
  <c r="B1228" i="18"/>
  <c r="B1229" i="18"/>
  <c r="B1231" i="18"/>
  <c r="B1232" i="18"/>
  <c r="B1233" i="18"/>
  <c r="B1234" i="18"/>
  <c r="B1235" i="18"/>
  <c r="B1236" i="18"/>
  <c r="B1237" i="18"/>
  <c r="B1238" i="18"/>
  <c r="B1239" i="18"/>
  <c r="B1240" i="18"/>
  <c r="B1241" i="18"/>
  <c r="A3" i="18"/>
  <c r="A4" i="18" s="1"/>
  <c r="A5" i="18" s="1"/>
  <c r="A6" i="18" s="1"/>
  <c r="A7" i="18" s="1"/>
  <c r="A8" i="18" s="1"/>
  <c r="A9" i="18" s="1"/>
  <c r="A10" i="18" s="1"/>
  <c r="A11" i="18" s="1"/>
  <c r="A12" i="18" s="1"/>
  <c r="A13" i="18" s="1"/>
  <c r="A14" i="18" s="1"/>
  <c r="A15" i="18" s="1"/>
  <c r="A16" i="18" s="1"/>
  <c r="A17" i="18" s="1"/>
  <c r="A18" i="18" s="1"/>
  <c r="A19" i="18" s="1"/>
  <c r="A20" i="18" s="1"/>
  <c r="A21" i="18" s="1"/>
  <c r="A22" i="18" s="1"/>
  <c r="A23" i="18" s="1"/>
  <c r="A24" i="18" s="1"/>
  <c r="A25" i="18" s="1"/>
  <c r="A26" i="18" s="1"/>
  <c r="A27" i="18" s="1"/>
  <c r="A28" i="18" s="1"/>
  <c r="A29" i="18" s="1"/>
  <c r="A30" i="18" s="1"/>
  <c r="A31" i="18" s="1"/>
  <c r="A32" i="18" s="1"/>
  <c r="A33" i="18" s="1"/>
  <c r="A34" i="18" s="1"/>
  <c r="A35" i="18" s="1"/>
  <c r="A36" i="18" s="1"/>
  <c r="A37" i="18" s="1"/>
  <c r="A38" i="18" s="1"/>
  <c r="A39" i="18" s="1"/>
  <c r="A40" i="18" s="1"/>
  <c r="A41" i="18" s="1"/>
  <c r="A42" i="18" s="1"/>
  <c r="A43" i="18" s="1"/>
  <c r="A44" i="18" s="1"/>
  <c r="A45" i="18" s="1"/>
  <c r="A46" i="18" s="1"/>
  <c r="A47" i="18" s="1"/>
  <c r="A48" i="18" s="1"/>
  <c r="A49" i="18" s="1"/>
  <c r="A50" i="18" s="1"/>
  <c r="A51" i="18" s="1"/>
  <c r="A52" i="18" s="1"/>
  <c r="A53" i="18" s="1"/>
  <c r="A54" i="18" s="1"/>
  <c r="A55" i="18" s="1"/>
  <c r="A56" i="18" s="1"/>
  <c r="A57" i="18" s="1"/>
  <c r="A58" i="18" s="1"/>
  <c r="A59" i="18" s="1"/>
  <c r="A60" i="18" s="1"/>
  <c r="A61" i="18" s="1"/>
  <c r="A62" i="18" s="1"/>
  <c r="A63" i="18" s="1"/>
  <c r="A64" i="18" s="1"/>
  <c r="A65" i="18" s="1"/>
  <c r="A66" i="18" s="1"/>
  <c r="A67" i="18" s="1"/>
  <c r="A68" i="18" s="1"/>
  <c r="A69" i="18" s="1"/>
  <c r="A70" i="18" s="1"/>
  <c r="A71" i="18" s="1"/>
  <c r="A72" i="18" s="1"/>
  <c r="A73" i="18" s="1"/>
  <c r="A74" i="18" s="1"/>
  <c r="A75" i="18" s="1"/>
  <c r="A76" i="18" s="1"/>
  <c r="A77" i="18" s="1"/>
  <c r="A78" i="18" s="1"/>
  <c r="A79" i="18" s="1"/>
  <c r="A80" i="18" s="1"/>
  <c r="A81" i="18" s="1"/>
  <c r="A82" i="18" s="1"/>
  <c r="A83" i="18" s="1"/>
  <c r="A84" i="18" s="1"/>
  <c r="A85" i="18" s="1"/>
  <c r="A86" i="18" s="1"/>
  <c r="A87" i="18" s="1"/>
  <c r="A88" i="18" s="1"/>
  <c r="A89" i="18" s="1"/>
  <c r="A90" i="18" s="1"/>
  <c r="A91" i="18" s="1"/>
  <c r="A92" i="18" s="1"/>
  <c r="A93" i="18" s="1"/>
  <c r="A94" i="18" s="1"/>
  <c r="A95" i="18" s="1"/>
  <c r="A96" i="18" s="1"/>
  <c r="A97" i="18" s="1"/>
  <c r="A98" i="18" s="1"/>
  <c r="A99" i="18" s="1"/>
  <c r="A100" i="18" s="1"/>
  <c r="A101" i="18" s="1"/>
  <c r="A102" i="18" s="1"/>
  <c r="A103" i="18" s="1"/>
  <c r="A104" i="18" s="1"/>
  <c r="A105" i="18" s="1"/>
  <c r="A106" i="18" s="1"/>
  <c r="A107" i="18" s="1"/>
  <c r="A108" i="18" s="1"/>
  <c r="A109" i="18" s="1"/>
  <c r="A110" i="18" s="1"/>
  <c r="A111" i="18" s="1"/>
  <c r="A112" i="18" s="1"/>
  <c r="A113" i="18" s="1"/>
  <c r="A114" i="18" s="1"/>
  <c r="A115" i="18" s="1"/>
  <c r="A116" i="18" s="1"/>
  <c r="A117" i="18" s="1"/>
  <c r="A118" i="18" s="1"/>
  <c r="A119" i="18" s="1"/>
  <c r="A120" i="18" s="1"/>
  <c r="A121" i="18" s="1"/>
  <c r="A122" i="18" s="1"/>
  <c r="A123" i="18" s="1"/>
  <c r="A124" i="18" s="1"/>
  <c r="A125" i="18" s="1"/>
  <c r="A126" i="18" s="1"/>
  <c r="A127" i="18" s="1"/>
  <c r="A128" i="18" s="1"/>
  <c r="A129" i="18" s="1"/>
  <c r="A130" i="18" s="1"/>
  <c r="A131" i="18" s="1"/>
  <c r="A132" i="18" s="1"/>
  <c r="A133" i="18" s="1"/>
  <c r="A134" i="18" s="1"/>
  <c r="A135" i="18" s="1"/>
  <c r="A136" i="18" s="1"/>
  <c r="A137" i="18" s="1"/>
  <c r="A138" i="18" s="1"/>
  <c r="A139" i="18" s="1"/>
  <c r="A140" i="18" s="1"/>
  <c r="A141" i="18" s="1"/>
  <c r="A142" i="18" s="1"/>
  <c r="A143" i="18" s="1"/>
  <c r="A144" i="18" s="1"/>
  <c r="A145" i="18" s="1"/>
  <c r="A146" i="18" s="1"/>
  <c r="A147" i="18" s="1"/>
  <c r="A148" i="18" s="1"/>
  <c r="A149" i="18" s="1"/>
  <c r="A150" i="18" s="1"/>
  <c r="A151" i="18" s="1"/>
  <c r="A152" i="18" s="1"/>
  <c r="A153" i="18" s="1"/>
  <c r="A154" i="18" s="1"/>
  <c r="A155" i="18" s="1"/>
  <c r="A156" i="18" s="1"/>
  <c r="A157" i="18" s="1"/>
  <c r="A158" i="18" s="1"/>
  <c r="A159" i="18" s="1"/>
  <c r="A160" i="18" s="1"/>
  <c r="A161" i="18" s="1"/>
  <c r="A162" i="18" s="1"/>
  <c r="A163" i="18" s="1"/>
  <c r="A164" i="18" s="1"/>
  <c r="A165" i="18" s="1"/>
  <c r="A166" i="18" s="1"/>
  <c r="A167" i="18" s="1"/>
  <c r="A168" i="18" s="1"/>
  <c r="A169" i="18" s="1"/>
  <c r="A170" i="18" s="1"/>
  <c r="A171" i="18" s="1"/>
  <c r="A172" i="18" s="1"/>
  <c r="A173" i="18" s="1"/>
  <c r="A174" i="18" s="1"/>
  <c r="A175" i="18" s="1"/>
  <c r="A176" i="18" s="1"/>
  <c r="A177" i="18" s="1"/>
  <c r="A178" i="18" s="1"/>
  <c r="A179" i="18" s="1"/>
  <c r="A180" i="18" s="1"/>
  <c r="A181" i="18" s="1"/>
  <c r="A182" i="18" s="1"/>
  <c r="A183" i="18" s="1"/>
  <c r="A184" i="18" s="1"/>
  <c r="A185" i="18" s="1"/>
  <c r="A186" i="18" s="1"/>
  <c r="A187" i="18" s="1"/>
  <c r="A188" i="18" s="1"/>
  <c r="A189" i="18" s="1"/>
  <c r="A190" i="18" s="1"/>
  <c r="A191" i="18" s="1"/>
  <c r="A192" i="18" s="1"/>
  <c r="A193" i="18" s="1"/>
  <c r="A194" i="18" s="1"/>
  <c r="A195" i="18" s="1"/>
  <c r="A196" i="18" s="1"/>
  <c r="A197" i="18" s="1"/>
  <c r="A198" i="18" s="1"/>
  <c r="A199" i="18" s="1"/>
  <c r="A200" i="18" s="1"/>
  <c r="A201" i="18" s="1"/>
  <c r="A202" i="18" s="1"/>
  <c r="A203" i="18" s="1"/>
  <c r="A204" i="18" s="1"/>
  <c r="A205" i="18" s="1"/>
  <c r="A206" i="18" s="1"/>
  <c r="A207" i="18" s="1"/>
  <c r="A208" i="18" s="1"/>
  <c r="A209" i="18" s="1"/>
  <c r="A210" i="18" s="1"/>
  <c r="A211" i="18" s="1"/>
  <c r="A212" i="18" s="1"/>
  <c r="A213" i="18" s="1"/>
  <c r="A214" i="18" s="1"/>
  <c r="A215" i="18" s="1"/>
  <c r="A216" i="18" s="1"/>
  <c r="A217" i="18" s="1"/>
  <c r="A218" i="18" s="1"/>
  <c r="A219" i="18" s="1"/>
  <c r="A220" i="18" s="1"/>
  <c r="A221" i="18" s="1"/>
  <c r="A222" i="18" s="1"/>
  <c r="A223" i="18" s="1"/>
  <c r="A224" i="18" s="1"/>
  <c r="A225" i="18" s="1"/>
  <c r="A226" i="18" s="1"/>
  <c r="A227" i="18" s="1"/>
  <c r="A228" i="18" s="1"/>
  <c r="A229" i="18" s="1"/>
  <c r="A230" i="18" s="1"/>
  <c r="A231" i="18" s="1"/>
  <c r="A232" i="18" s="1"/>
  <c r="A233" i="18" s="1"/>
  <c r="A234" i="18" s="1"/>
  <c r="A235" i="18" s="1"/>
  <c r="A236" i="18" s="1"/>
  <c r="A237" i="18" s="1"/>
  <c r="A238" i="18" s="1"/>
  <c r="A239" i="18" s="1"/>
  <c r="A240" i="18" s="1"/>
  <c r="A241" i="18" s="1"/>
  <c r="A242" i="18" s="1"/>
  <c r="A243" i="18" s="1"/>
  <c r="A244" i="18" s="1"/>
  <c r="A245" i="18" s="1"/>
  <c r="A246" i="18" s="1"/>
  <c r="A247" i="18" s="1"/>
  <c r="A248" i="18" s="1"/>
  <c r="A249" i="18" s="1"/>
  <c r="A250" i="18" s="1"/>
  <c r="A251" i="18" s="1"/>
  <c r="A252" i="18" s="1"/>
  <c r="A253" i="18" s="1"/>
  <c r="A254" i="18" s="1"/>
  <c r="A255" i="18" s="1"/>
  <c r="A256" i="18" s="1"/>
  <c r="A257" i="18" s="1"/>
  <c r="A258" i="18" s="1"/>
  <c r="A259" i="18" s="1"/>
  <c r="A260" i="18" s="1"/>
  <c r="A261" i="18" s="1"/>
  <c r="A262" i="18" s="1"/>
  <c r="A263" i="18" s="1"/>
  <c r="A264" i="18" s="1"/>
  <c r="A265" i="18" s="1"/>
  <c r="A266" i="18" s="1"/>
  <c r="A267" i="18" s="1"/>
  <c r="A268" i="18" s="1"/>
  <c r="A269" i="18" s="1"/>
  <c r="A270" i="18" s="1"/>
  <c r="A271" i="18" s="1"/>
  <c r="A272" i="18" s="1"/>
  <c r="A273" i="18" s="1"/>
  <c r="A274" i="18" s="1"/>
  <c r="A275" i="18" s="1"/>
  <c r="A276" i="18" s="1"/>
  <c r="A277" i="18" s="1"/>
  <c r="A278" i="18" s="1"/>
  <c r="A279" i="18" s="1"/>
  <c r="A280" i="18" s="1"/>
  <c r="A281" i="18" s="1"/>
  <c r="A282" i="18" s="1"/>
  <c r="A283" i="18" s="1"/>
  <c r="A284" i="18" s="1"/>
  <c r="A285" i="18" s="1"/>
  <c r="A286" i="18" s="1"/>
  <c r="A287" i="18" s="1"/>
  <c r="A288" i="18" s="1"/>
  <c r="A289" i="18" s="1"/>
  <c r="A290" i="18" s="1"/>
  <c r="A291" i="18" s="1"/>
  <c r="A292" i="18" s="1"/>
  <c r="A293" i="18" s="1"/>
  <c r="A294" i="18" s="1"/>
  <c r="A295" i="18" s="1"/>
  <c r="A296" i="18" s="1"/>
  <c r="A297" i="18" s="1"/>
  <c r="A298" i="18" s="1"/>
  <c r="A299" i="18" s="1"/>
  <c r="A300" i="18" s="1"/>
  <c r="A301" i="18" s="1"/>
  <c r="A302" i="18" s="1"/>
  <c r="A303" i="18" s="1"/>
  <c r="A304" i="18" s="1"/>
  <c r="A305" i="18" s="1"/>
  <c r="A306" i="18" s="1"/>
  <c r="A307" i="18" s="1"/>
  <c r="A308" i="18" s="1"/>
  <c r="A309" i="18" s="1"/>
  <c r="A310" i="18" s="1"/>
  <c r="A311" i="18" s="1"/>
  <c r="A312" i="18" s="1"/>
  <c r="A313" i="18" s="1"/>
  <c r="A314" i="18" s="1"/>
  <c r="A315" i="18" s="1"/>
  <c r="A316" i="18" s="1"/>
  <c r="A317" i="18" s="1"/>
  <c r="A318" i="18" s="1"/>
  <c r="A319" i="18" s="1"/>
  <c r="A320" i="18" s="1"/>
  <c r="A321" i="18" s="1"/>
  <c r="A322" i="18" s="1"/>
  <c r="A323" i="18" s="1"/>
  <c r="A324" i="18" s="1"/>
  <c r="A325" i="18" s="1"/>
  <c r="A326" i="18" s="1"/>
  <c r="A327" i="18" s="1"/>
  <c r="A328" i="18" s="1"/>
  <c r="A329" i="18" s="1"/>
  <c r="A330" i="18" s="1"/>
  <c r="A331" i="18" s="1"/>
  <c r="A332" i="18" s="1"/>
  <c r="A333" i="18" s="1"/>
  <c r="A334" i="18" s="1"/>
  <c r="A335" i="18" s="1"/>
  <c r="A336" i="18" s="1"/>
  <c r="A337" i="18" s="1"/>
  <c r="A338" i="18" s="1"/>
  <c r="A339" i="18" s="1"/>
  <c r="A340" i="18" s="1"/>
  <c r="A341" i="18" s="1"/>
  <c r="A342" i="18" s="1"/>
  <c r="A343" i="18" s="1"/>
  <c r="A344" i="18" s="1"/>
  <c r="A345" i="18" s="1"/>
  <c r="A346" i="18" s="1"/>
  <c r="A347" i="18" s="1"/>
  <c r="A348" i="18" s="1"/>
  <c r="A349" i="18" s="1"/>
  <c r="A350" i="18" s="1"/>
  <c r="A351" i="18" s="1"/>
  <c r="A352" i="18" s="1"/>
  <c r="A353" i="18" s="1"/>
  <c r="A354" i="18" s="1"/>
  <c r="A355" i="18" s="1"/>
  <c r="A356" i="18" s="1"/>
  <c r="A357" i="18" s="1"/>
  <c r="A358" i="18" s="1"/>
  <c r="A359" i="18" s="1"/>
  <c r="A360" i="18" s="1"/>
  <c r="A361" i="18" s="1"/>
  <c r="A362" i="18" s="1"/>
  <c r="A363" i="18" s="1"/>
  <c r="A364" i="18" s="1"/>
  <c r="A365" i="18" s="1"/>
  <c r="A366" i="18" s="1"/>
  <c r="A367" i="18" s="1"/>
  <c r="A368" i="18" s="1"/>
  <c r="A369" i="18" s="1"/>
  <c r="A370" i="18" s="1"/>
  <c r="A371" i="18" s="1"/>
  <c r="A372" i="18" s="1"/>
  <c r="A373" i="18" s="1"/>
  <c r="A374" i="18" s="1"/>
  <c r="A375" i="18" s="1"/>
  <c r="A376" i="18" s="1"/>
  <c r="A377" i="18" s="1"/>
  <c r="A378" i="18" s="1"/>
  <c r="A379" i="18" s="1"/>
  <c r="A380" i="18" s="1"/>
  <c r="A381" i="18" s="1"/>
  <c r="A382" i="18" s="1"/>
  <c r="A383" i="18" s="1"/>
  <c r="A384" i="18" s="1"/>
  <c r="A385" i="18" s="1"/>
  <c r="A386" i="18" s="1"/>
  <c r="A387" i="18" s="1"/>
  <c r="A388" i="18" s="1"/>
  <c r="A389" i="18" s="1"/>
  <c r="A390" i="18" s="1"/>
  <c r="A391" i="18" s="1"/>
  <c r="A392" i="18" s="1"/>
  <c r="A393" i="18" s="1"/>
  <c r="A394" i="18" s="1"/>
  <c r="A395" i="18" s="1"/>
  <c r="A396" i="18" s="1"/>
  <c r="A397" i="18" s="1"/>
  <c r="A398" i="18" s="1"/>
  <c r="A399" i="18" s="1"/>
  <c r="A400" i="18" s="1"/>
  <c r="A401" i="18" s="1"/>
  <c r="A402" i="18" s="1"/>
  <c r="A403" i="18" s="1"/>
  <c r="A404" i="18" s="1"/>
  <c r="A405" i="18" s="1"/>
  <c r="A406" i="18" s="1"/>
  <c r="A407" i="18" s="1"/>
  <c r="A408" i="18" s="1"/>
  <c r="A409" i="18" s="1"/>
  <c r="A410" i="18" s="1"/>
  <c r="A411" i="18" s="1"/>
  <c r="A412" i="18" s="1"/>
  <c r="A413" i="18" s="1"/>
  <c r="A414" i="18" s="1"/>
  <c r="A415" i="18" s="1"/>
  <c r="A416" i="18" s="1"/>
  <c r="A417" i="18" s="1"/>
  <c r="A418" i="18" s="1"/>
  <c r="A419" i="18" s="1"/>
  <c r="A420" i="18" s="1"/>
  <c r="A421" i="18" s="1"/>
  <c r="A422" i="18" s="1"/>
  <c r="A423" i="18" s="1"/>
  <c r="A424" i="18" s="1"/>
  <c r="A425" i="18" s="1"/>
  <c r="A426" i="18" s="1"/>
  <c r="A427" i="18" s="1"/>
  <c r="A428" i="18" s="1"/>
  <c r="A429" i="18" s="1"/>
  <c r="A430" i="18" s="1"/>
  <c r="A431" i="18" s="1"/>
  <c r="A432" i="18" s="1"/>
  <c r="A433" i="18" s="1"/>
  <c r="A434" i="18" s="1"/>
  <c r="A435" i="18" s="1"/>
  <c r="A436" i="18" s="1"/>
  <c r="A437" i="18" s="1"/>
  <c r="A438" i="18" s="1"/>
  <c r="A439" i="18" s="1"/>
  <c r="A440" i="18" s="1"/>
  <c r="A441" i="18" s="1"/>
  <c r="A442" i="18" s="1"/>
  <c r="A443" i="18" s="1"/>
  <c r="A444" i="18" s="1"/>
  <c r="A445" i="18" s="1"/>
  <c r="A446" i="18" s="1"/>
  <c r="A447" i="18" s="1"/>
  <c r="A448" i="18" s="1"/>
  <c r="A449" i="18" s="1"/>
  <c r="A450" i="18" s="1"/>
  <c r="A451" i="18" s="1"/>
  <c r="A452" i="18" s="1"/>
  <c r="A453" i="18" s="1"/>
  <c r="A454" i="18" s="1"/>
  <c r="A455" i="18" s="1"/>
  <c r="A456" i="18" s="1"/>
  <c r="A457" i="18" s="1"/>
  <c r="A458" i="18" s="1"/>
  <c r="A459" i="18" s="1"/>
  <c r="A460" i="18" s="1"/>
  <c r="A461" i="18" s="1"/>
  <c r="A462" i="18" s="1"/>
  <c r="A463" i="18" s="1"/>
  <c r="A464" i="18" s="1"/>
  <c r="A465" i="18" s="1"/>
  <c r="A466" i="18" s="1"/>
  <c r="A467" i="18" s="1"/>
  <c r="A468" i="18" s="1"/>
  <c r="A469" i="18" s="1"/>
  <c r="A470" i="18" s="1"/>
  <c r="A471" i="18" s="1"/>
  <c r="A472" i="18" s="1"/>
  <c r="A473" i="18" s="1"/>
  <c r="A474" i="18" s="1"/>
  <c r="A475" i="18" s="1"/>
  <c r="A476" i="18" s="1"/>
  <c r="A477" i="18" s="1"/>
  <c r="A478" i="18" s="1"/>
  <c r="A479" i="18" s="1"/>
  <c r="A480" i="18" s="1"/>
  <c r="A481" i="18" s="1"/>
  <c r="A482" i="18" s="1"/>
  <c r="A483" i="18" s="1"/>
  <c r="A484" i="18" s="1"/>
  <c r="A485" i="18" s="1"/>
  <c r="A486" i="18" s="1"/>
  <c r="A487" i="18" s="1"/>
  <c r="A488" i="18" s="1"/>
  <c r="A489" i="18" s="1"/>
  <c r="A490" i="18" s="1"/>
  <c r="A491" i="18" s="1"/>
  <c r="A492" i="18" s="1"/>
  <c r="A493" i="18" s="1"/>
  <c r="A494" i="18" s="1"/>
  <c r="A495" i="18" s="1"/>
  <c r="A496" i="18" s="1"/>
  <c r="A497" i="18" s="1"/>
  <c r="A498" i="18" s="1"/>
  <c r="A499" i="18" s="1"/>
  <c r="A500" i="18" s="1"/>
  <c r="A501" i="18" s="1"/>
  <c r="A502" i="18" s="1"/>
  <c r="A503" i="18" s="1"/>
  <c r="A504" i="18" s="1"/>
  <c r="A505" i="18" s="1"/>
  <c r="A506" i="18" s="1"/>
  <c r="A507" i="18" s="1"/>
  <c r="A508" i="18" s="1"/>
  <c r="A509" i="18" s="1"/>
  <c r="A510" i="18" s="1"/>
  <c r="A511" i="18" s="1"/>
  <c r="A512" i="18" s="1"/>
  <c r="A513" i="18" s="1"/>
  <c r="A514" i="18" s="1"/>
  <c r="A515" i="18" s="1"/>
  <c r="A516" i="18" s="1"/>
  <c r="A517" i="18" s="1"/>
  <c r="A518" i="18" s="1"/>
  <c r="A519" i="18" s="1"/>
  <c r="A520" i="18" s="1"/>
  <c r="A521" i="18" s="1"/>
  <c r="A522" i="18" s="1"/>
  <c r="A523" i="18" s="1"/>
  <c r="A524" i="18" s="1"/>
  <c r="A525" i="18" s="1"/>
  <c r="A526" i="18" s="1"/>
  <c r="A527" i="18" s="1"/>
  <c r="A528" i="18" s="1"/>
  <c r="A529" i="18" s="1"/>
  <c r="A530" i="18" s="1"/>
  <c r="A531" i="18" s="1"/>
  <c r="A532" i="18" s="1"/>
  <c r="A533" i="18" s="1"/>
  <c r="A534" i="18" s="1"/>
  <c r="A535" i="18" s="1"/>
  <c r="A536" i="18" s="1"/>
  <c r="A537" i="18" s="1"/>
  <c r="A538" i="18" s="1"/>
  <c r="A539" i="18" s="1"/>
  <c r="A540" i="18" s="1"/>
  <c r="A541" i="18" s="1"/>
  <c r="A542" i="18" s="1"/>
  <c r="A543" i="18" s="1"/>
  <c r="A544" i="18" s="1"/>
  <c r="A545" i="18" s="1"/>
  <c r="A546" i="18" s="1"/>
  <c r="A547" i="18" s="1"/>
  <c r="A548" i="18" s="1"/>
  <c r="A549" i="18" s="1"/>
  <c r="A550" i="18" s="1"/>
  <c r="A551" i="18" s="1"/>
  <c r="A552" i="18" s="1"/>
  <c r="A553" i="18" s="1"/>
  <c r="A554" i="18" s="1"/>
  <c r="A555" i="18" s="1"/>
  <c r="A556" i="18" s="1"/>
  <c r="A557" i="18" s="1"/>
  <c r="A558" i="18" s="1"/>
  <c r="A559" i="18" s="1"/>
  <c r="A560" i="18" s="1"/>
  <c r="A561" i="18" s="1"/>
  <c r="A562" i="18" s="1"/>
  <c r="A563" i="18" s="1"/>
  <c r="A564" i="18" s="1"/>
  <c r="A565" i="18" s="1"/>
  <c r="A566" i="18" s="1"/>
  <c r="A567" i="18" s="1"/>
  <c r="A568" i="18" s="1"/>
  <c r="A569" i="18" s="1"/>
  <c r="A570" i="18" s="1"/>
  <c r="A571" i="18" s="1"/>
  <c r="A572" i="18" s="1"/>
  <c r="A573" i="18" s="1"/>
  <c r="A574" i="18" s="1"/>
  <c r="A575" i="18" s="1"/>
  <c r="A576" i="18" s="1"/>
  <c r="A577" i="18" s="1"/>
  <c r="A578" i="18" s="1"/>
  <c r="A579" i="18" s="1"/>
  <c r="A580" i="18" s="1"/>
  <c r="A581" i="18" s="1"/>
  <c r="A582" i="18" s="1"/>
  <c r="A583" i="18" s="1"/>
  <c r="A584" i="18" s="1"/>
  <c r="A585" i="18" s="1"/>
  <c r="A586" i="18" s="1"/>
  <c r="A587" i="18" s="1"/>
  <c r="A588" i="18" s="1"/>
  <c r="A589" i="18" s="1"/>
  <c r="A590" i="18" s="1"/>
  <c r="A591" i="18" s="1"/>
  <c r="A592" i="18" s="1"/>
  <c r="A593" i="18" s="1"/>
  <c r="A594" i="18" s="1"/>
  <c r="A595" i="18" s="1"/>
  <c r="A596" i="18" s="1"/>
  <c r="A597" i="18" s="1"/>
  <c r="A598" i="18" s="1"/>
  <c r="A599" i="18" s="1"/>
  <c r="A600" i="18" s="1"/>
  <c r="A601" i="18" s="1"/>
  <c r="A602" i="18" s="1"/>
  <c r="A603" i="18" s="1"/>
  <c r="A604" i="18" s="1"/>
  <c r="A605" i="18" s="1"/>
  <c r="A606" i="18" s="1"/>
  <c r="A607" i="18" s="1"/>
  <c r="A608" i="18" s="1"/>
  <c r="A609" i="18" s="1"/>
  <c r="A610" i="18" s="1"/>
  <c r="A611" i="18" s="1"/>
  <c r="A612" i="18" s="1"/>
  <c r="A613" i="18" s="1"/>
  <c r="A614" i="18" s="1"/>
  <c r="A615" i="18" s="1"/>
  <c r="A616" i="18" s="1"/>
  <c r="A617" i="18" s="1"/>
  <c r="A618" i="18" s="1"/>
  <c r="A619" i="18" s="1"/>
  <c r="A620" i="18" s="1"/>
  <c r="A621" i="18" s="1"/>
  <c r="A622" i="18" s="1"/>
  <c r="A623" i="18" s="1"/>
  <c r="A624" i="18" s="1"/>
  <c r="A625" i="18" s="1"/>
  <c r="A626" i="18" s="1"/>
  <c r="A627" i="18" s="1"/>
  <c r="A628" i="18" s="1"/>
  <c r="A629" i="18" s="1"/>
  <c r="A630" i="18" s="1"/>
  <c r="A631" i="18" s="1"/>
  <c r="A632" i="18" s="1"/>
  <c r="A633" i="18" s="1"/>
  <c r="A634" i="18" s="1"/>
  <c r="A635" i="18" s="1"/>
  <c r="A636" i="18" s="1"/>
  <c r="A637" i="18" s="1"/>
  <c r="A638" i="18" s="1"/>
  <c r="A639" i="18" s="1"/>
  <c r="A640" i="18" s="1"/>
  <c r="A641" i="18" s="1"/>
  <c r="A642" i="18" s="1"/>
  <c r="A643" i="18" s="1"/>
  <c r="A644" i="18" s="1"/>
  <c r="A645" i="18" s="1"/>
  <c r="A646" i="18" s="1"/>
  <c r="A647" i="18" s="1"/>
  <c r="A648" i="18" s="1"/>
  <c r="A649" i="18" s="1"/>
  <c r="A650" i="18" s="1"/>
  <c r="A651" i="18" s="1"/>
  <c r="A652" i="18" s="1"/>
  <c r="A653" i="18" s="1"/>
  <c r="A654" i="18" s="1"/>
  <c r="A655" i="18" s="1"/>
  <c r="A656" i="18" s="1"/>
  <c r="A657" i="18" s="1"/>
  <c r="A658" i="18" s="1"/>
  <c r="A659" i="18" s="1"/>
  <c r="A660" i="18" s="1"/>
  <c r="A661" i="18" s="1"/>
  <c r="A662" i="18" s="1"/>
  <c r="A663" i="18" s="1"/>
  <c r="A664" i="18" s="1"/>
  <c r="A665" i="18" s="1"/>
  <c r="A666" i="18" s="1"/>
  <c r="A667" i="18" s="1"/>
  <c r="A668" i="18" s="1"/>
  <c r="A669" i="18" s="1"/>
  <c r="A670" i="18" s="1"/>
  <c r="A671" i="18" s="1"/>
  <c r="A672" i="18" s="1"/>
  <c r="A673" i="18" s="1"/>
  <c r="A674" i="18" s="1"/>
  <c r="A675" i="18" s="1"/>
  <c r="A676" i="18" s="1"/>
  <c r="A677" i="18" s="1"/>
  <c r="A678" i="18" s="1"/>
  <c r="A679" i="18" s="1"/>
  <c r="A680" i="18" s="1"/>
  <c r="A681" i="18" s="1"/>
  <c r="A682" i="18" s="1"/>
  <c r="A683" i="18" s="1"/>
  <c r="A684" i="18" s="1"/>
  <c r="A685" i="18" s="1"/>
  <c r="A686" i="18" s="1"/>
  <c r="A687" i="18" s="1"/>
  <c r="A688" i="18" s="1"/>
  <c r="A689" i="18" s="1"/>
  <c r="A690" i="18" s="1"/>
  <c r="A691" i="18" s="1"/>
  <c r="A692" i="18" s="1"/>
  <c r="A693" i="18" s="1"/>
  <c r="A694" i="18" s="1"/>
  <c r="A695" i="18" s="1"/>
  <c r="A696" i="18" s="1"/>
  <c r="A697" i="18" s="1"/>
  <c r="A698" i="18" s="1"/>
  <c r="A699" i="18" s="1"/>
  <c r="A700" i="18" s="1"/>
  <c r="A701" i="18" s="1"/>
  <c r="A702" i="18" s="1"/>
  <c r="A703" i="18" s="1"/>
  <c r="A704" i="18" s="1"/>
  <c r="A705" i="18" s="1"/>
  <c r="A706" i="18" s="1"/>
  <c r="A707" i="18" s="1"/>
  <c r="A708" i="18" s="1"/>
  <c r="A709" i="18" s="1"/>
  <c r="A710" i="18" s="1"/>
  <c r="A711" i="18" s="1"/>
  <c r="A712" i="18" s="1"/>
  <c r="A713" i="18" s="1"/>
  <c r="A714" i="18" s="1"/>
  <c r="A715" i="18" s="1"/>
  <c r="A716" i="18" s="1"/>
  <c r="A717" i="18" s="1"/>
  <c r="A718" i="18" s="1"/>
  <c r="A719" i="18" s="1"/>
  <c r="A720" i="18" s="1"/>
  <c r="A721" i="18" s="1"/>
  <c r="A722" i="18" s="1"/>
  <c r="A723" i="18" s="1"/>
  <c r="A724" i="18" s="1"/>
  <c r="A725" i="18" s="1"/>
  <c r="A726" i="18" s="1"/>
  <c r="A727" i="18" s="1"/>
  <c r="A728" i="18" s="1"/>
  <c r="A729" i="18" s="1"/>
  <c r="A730" i="18" s="1"/>
  <c r="A731" i="18" s="1"/>
  <c r="A732" i="18" s="1"/>
  <c r="A733" i="18" s="1"/>
  <c r="A734" i="18" s="1"/>
  <c r="A735" i="18" s="1"/>
  <c r="A736" i="18" s="1"/>
  <c r="A737" i="18" s="1"/>
  <c r="A738" i="18" s="1"/>
  <c r="A739" i="18" s="1"/>
  <c r="A740" i="18" s="1"/>
  <c r="A741" i="18" s="1"/>
  <c r="A742" i="18" s="1"/>
  <c r="A743" i="18" s="1"/>
  <c r="A744" i="18" s="1"/>
  <c r="A745" i="18" s="1"/>
  <c r="A746" i="18" s="1"/>
  <c r="A747" i="18" s="1"/>
  <c r="A748" i="18" s="1"/>
  <c r="A749" i="18" s="1"/>
  <c r="A750" i="18" s="1"/>
  <c r="A751" i="18" s="1"/>
  <c r="A752" i="18" s="1"/>
  <c r="A753" i="18" s="1"/>
  <c r="A754" i="18" s="1"/>
  <c r="A755" i="18" s="1"/>
  <c r="A756" i="18" s="1"/>
  <c r="A757" i="18" s="1"/>
  <c r="A758" i="18" s="1"/>
  <c r="A759" i="18" s="1"/>
  <c r="A760" i="18" s="1"/>
  <c r="A761" i="18" s="1"/>
  <c r="A762" i="18" s="1"/>
  <c r="A763" i="18" s="1"/>
  <c r="A764" i="18" s="1"/>
  <c r="A765" i="18" s="1"/>
  <c r="A766" i="18" s="1"/>
  <c r="A767" i="18" s="1"/>
  <c r="A768" i="18" s="1"/>
  <c r="A769" i="18" s="1"/>
  <c r="A770" i="18" s="1"/>
  <c r="A771" i="18" s="1"/>
  <c r="A772" i="18" s="1"/>
  <c r="A773" i="18" s="1"/>
  <c r="A774" i="18" s="1"/>
  <c r="A775" i="18" s="1"/>
  <c r="A776" i="18" s="1"/>
  <c r="A777" i="18" s="1"/>
  <c r="A778" i="18" s="1"/>
  <c r="A779" i="18" s="1"/>
  <c r="A780" i="18" s="1"/>
  <c r="A781" i="18" s="1"/>
  <c r="A782" i="18" s="1"/>
  <c r="A783" i="18" s="1"/>
  <c r="A784" i="18" s="1"/>
  <c r="A785" i="18" s="1"/>
  <c r="A786" i="18" s="1"/>
  <c r="A787" i="18" s="1"/>
  <c r="A788" i="18" s="1"/>
  <c r="A789" i="18" s="1"/>
  <c r="A790" i="18" s="1"/>
  <c r="A791" i="18" s="1"/>
  <c r="A792" i="18" s="1"/>
  <c r="A793" i="18" s="1"/>
  <c r="A794" i="18" s="1"/>
  <c r="A795" i="18" s="1"/>
  <c r="A796" i="18" s="1"/>
  <c r="A797" i="18" s="1"/>
  <c r="A798" i="18" s="1"/>
  <c r="A799" i="18" s="1"/>
  <c r="A800" i="18" s="1"/>
  <c r="A801" i="18" s="1"/>
  <c r="A802" i="18" s="1"/>
  <c r="A803" i="18" s="1"/>
  <c r="A804" i="18" s="1"/>
  <c r="A805" i="18" s="1"/>
  <c r="A806" i="18" s="1"/>
  <c r="A807" i="18" s="1"/>
  <c r="A808" i="18" s="1"/>
  <c r="A809" i="18" s="1"/>
  <c r="A810" i="18" s="1"/>
  <c r="A811" i="18" s="1"/>
  <c r="A812" i="18" s="1"/>
  <c r="A813" i="18" s="1"/>
  <c r="A814" i="18" s="1"/>
  <c r="A815" i="18" s="1"/>
  <c r="A816" i="18" s="1"/>
  <c r="A817" i="18" s="1"/>
  <c r="A818" i="18" s="1"/>
  <c r="A819" i="18" s="1"/>
  <c r="A820" i="18" s="1"/>
  <c r="A821" i="18" s="1"/>
  <c r="A822" i="18" s="1"/>
  <c r="A823" i="18" s="1"/>
  <c r="A824" i="18" s="1"/>
  <c r="A825" i="18" s="1"/>
  <c r="A826" i="18" s="1"/>
  <c r="A827" i="18" s="1"/>
  <c r="A828" i="18" s="1"/>
  <c r="A829" i="18" s="1"/>
  <c r="A830" i="18" s="1"/>
  <c r="A831" i="18" s="1"/>
  <c r="A832" i="18" s="1"/>
  <c r="A833" i="18" s="1"/>
  <c r="A834" i="18" s="1"/>
  <c r="A835" i="18" s="1"/>
  <c r="A836" i="18" s="1"/>
  <c r="A837" i="18" s="1"/>
  <c r="A838" i="18" s="1"/>
  <c r="A839" i="18" s="1"/>
  <c r="A840" i="18" s="1"/>
  <c r="A841" i="18" s="1"/>
  <c r="A842" i="18" s="1"/>
  <c r="A843" i="18" s="1"/>
  <c r="A844" i="18" s="1"/>
  <c r="A845" i="18" s="1"/>
  <c r="A846" i="18" s="1"/>
  <c r="A847" i="18" s="1"/>
  <c r="A848" i="18" s="1"/>
  <c r="A849" i="18" s="1"/>
  <c r="A850" i="18" s="1"/>
  <c r="A851" i="18" s="1"/>
  <c r="A852" i="18" s="1"/>
  <c r="A853" i="18" s="1"/>
  <c r="A854" i="18" s="1"/>
  <c r="A855" i="18" s="1"/>
  <c r="A856" i="18" s="1"/>
  <c r="A857" i="18" s="1"/>
  <c r="A858" i="18" s="1"/>
  <c r="A859" i="18" s="1"/>
  <c r="A860" i="18" s="1"/>
  <c r="A861" i="18" s="1"/>
  <c r="A862" i="18" s="1"/>
  <c r="A863" i="18" s="1"/>
  <c r="A864" i="18" s="1"/>
  <c r="A865" i="18" s="1"/>
  <c r="A866" i="18" s="1"/>
  <c r="A867" i="18" s="1"/>
  <c r="A868" i="18" s="1"/>
  <c r="A869" i="18" s="1"/>
  <c r="A870" i="18" s="1"/>
  <c r="A871" i="18" s="1"/>
  <c r="A872" i="18" s="1"/>
  <c r="A873" i="18" s="1"/>
  <c r="A874" i="18" s="1"/>
  <c r="A875" i="18" s="1"/>
  <c r="A876" i="18" s="1"/>
  <c r="A877" i="18" s="1"/>
  <c r="A878" i="18" s="1"/>
  <c r="A879" i="18" s="1"/>
  <c r="A880" i="18" s="1"/>
  <c r="A881" i="18" s="1"/>
  <c r="A882" i="18" s="1"/>
  <c r="A883" i="18" s="1"/>
  <c r="A884" i="18" s="1"/>
  <c r="A885" i="18" s="1"/>
  <c r="A886" i="18" s="1"/>
  <c r="A887" i="18" s="1"/>
  <c r="A888" i="18" s="1"/>
  <c r="A889" i="18" s="1"/>
  <c r="A890" i="18" s="1"/>
  <c r="A891" i="18" s="1"/>
  <c r="A892" i="18" s="1"/>
  <c r="A893" i="18" s="1"/>
  <c r="A894" i="18" s="1"/>
  <c r="A895" i="18" s="1"/>
  <c r="A896" i="18" s="1"/>
  <c r="A897" i="18" s="1"/>
  <c r="A898" i="18" s="1"/>
  <c r="A899" i="18" s="1"/>
  <c r="A900" i="18" s="1"/>
  <c r="A901" i="18" s="1"/>
  <c r="A902" i="18" s="1"/>
  <c r="A903" i="18" s="1"/>
  <c r="A904" i="18" s="1"/>
  <c r="A905" i="18" s="1"/>
  <c r="A906" i="18" s="1"/>
  <c r="A907" i="18" s="1"/>
  <c r="A908" i="18" s="1"/>
  <c r="A909" i="18" s="1"/>
  <c r="A910" i="18" s="1"/>
  <c r="A911" i="18" s="1"/>
  <c r="A912" i="18" s="1"/>
  <c r="A913" i="18" s="1"/>
  <c r="A914" i="18" s="1"/>
  <c r="A915" i="18" s="1"/>
  <c r="A916" i="18" s="1"/>
  <c r="A917" i="18" s="1"/>
  <c r="A918" i="18" s="1"/>
  <c r="A919" i="18" s="1"/>
  <c r="A920" i="18" s="1"/>
  <c r="A921" i="18" s="1"/>
  <c r="A922" i="18" s="1"/>
  <c r="A923" i="18" s="1"/>
  <c r="A924" i="18" s="1"/>
  <c r="A925" i="18" s="1"/>
  <c r="A926" i="18" s="1"/>
  <c r="A927" i="18" s="1"/>
  <c r="A928" i="18" s="1"/>
  <c r="A929" i="18" s="1"/>
  <c r="A930" i="18" s="1"/>
  <c r="A931" i="18" s="1"/>
  <c r="A932" i="18" s="1"/>
  <c r="A933" i="18" s="1"/>
  <c r="A934" i="18" s="1"/>
  <c r="A935" i="18" s="1"/>
  <c r="A936" i="18" s="1"/>
  <c r="A937" i="18" s="1"/>
  <c r="A938" i="18" s="1"/>
  <c r="A939" i="18" s="1"/>
  <c r="A940" i="18" s="1"/>
  <c r="A941" i="18" s="1"/>
  <c r="A942" i="18" s="1"/>
  <c r="A943" i="18" s="1"/>
  <c r="A944" i="18" s="1"/>
  <c r="A945" i="18" s="1"/>
  <c r="A946" i="18" s="1"/>
  <c r="A947" i="18" s="1"/>
  <c r="A948" i="18" s="1"/>
  <c r="A949" i="18" s="1"/>
  <c r="A950" i="18" s="1"/>
  <c r="A951" i="18" s="1"/>
  <c r="A952" i="18" s="1"/>
  <c r="A953" i="18" s="1"/>
  <c r="A954" i="18" s="1"/>
  <c r="A955" i="18" s="1"/>
  <c r="A956" i="18" s="1"/>
  <c r="A957" i="18" s="1"/>
  <c r="A958" i="18" s="1"/>
  <c r="A959" i="18" s="1"/>
  <c r="A960" i="18" s="1"/>
  <c r="A961" i="18" s="1"/>
  <c r="A962" i="18" s="1"/>
  <c r="A963" i="18" s="1"/>
  <c r="A964" i="18" s="1"/>
  <c r="A965" i="18" s="1"/>
  <c r="A966" i="18" s="1"/>
  <c r="A967" i="18" s="1"/>
  <c r="A968" i="18" s="1"/>
  <c r="A969" i="18" s="1"/>
  <c r="A970" i="18" s="1"/>
  <c r="A971" i="18" s="1"/>
  <c r="A972" i="18" s="1"/>
  <c r="A973" i="18" s="1"/>
  <c r="A974" i="18" s="1"/>
  <c r="A975" i="18" s="1"/>
  <c r="A976" i="18" s="1"/>
  <c r="A977" i="18" s="1"/>
  <c r="A978" i="18" s="1"/>
  <c r="A979" i="18" s="1"/>
  <c r="A980" i="18" s="1"/>
  <c r="A981" i="18" s="1"/>
  <c r="A982" i="18" s="1"/>
  <c r="A983" i="18" s="1"/>
  <c r="A984" i="18" s="1"/>
  <c r="A985" i="18" s="1"/>
  <c r="A986" i="18" s="1"/>
  <c r="A987" i="18" s="1"/>
  <c r="A988" i="18" s="1"/>
  <c r="A989" i="18" s="1"/>
  <c r="A990" i="18" s="1"/>
  <c r="A991" i="18" s="1"/>
  <c r="A992" i="18" s="1"/>
  <c r="A993" i="18" s="1"/>
  <c r="A994" i="18" s="1"/>
  <c r="A995" i="18" s="1"/>
  <c r="A996" i="18" s="1"/>
  <c r="A997" i="18" s="1"/>
  <c r="A998" i="18" s="1"/>
  <c r="A999" i="18" s="1"/>
  <c r="A1000" i="18" s="1"/>
  <c r="A1001" i="18" s="1"/>
  <c r="A1002" i="18" s="1"/>
  <c r="A1003" i="18" s="1"/>
  <c r="A1004" i="18" s="1"/>
  <c r="A1005" i="18" s="1"/>
  <c r="A1006" i="18" s="1"/>
  <c r="A1007" i="18" s="1"/>
  <c r="A1008" i="18" s="1"/>
  <c r="A1009" i="18" s="1"/>
  <c r="A1010" i="18" s="1"/>
  <c r="A1011" i="18" s="1"/>
  <c r="A1012" i="18" s="1"/>
  <c r="A1013" i="18" s="1"/>
  <c r="A1014" i="18" s="1"/>
  <c r="A1015" i="18" s="1"/>
  <c r="A1016" i="18" s="1"/>
  <c r="A1017" i="18" s="1"/>
  <c r="A1018" i="18" s="1"/>
  <c r="A1019" i="18" s="1"/>
  <c r="A1020" i="18" s="1"/>
  <c r="A1021" i="18" s="1"/>
  <c r="A1022" i="18" s="1"/>
  <c r="A1023" i="18" s="1"/>
  <c r="A1024" i="18" s="1"/>
  <c r="A1025" i="18" s="1"/>
  <c r="A1026" i="18" s="1"/>
  <c r="A1027" i="18" s="1"/>
  <c r="A1028" i="18" s="1"/>
  <c r="A1029" i="18" s="1"/>
  <c r="A1030" i="18" s="1"/>
  <c r="A1031" i="18" s="1"/>
  <c r="A1032" i="18" s="1"/>
  <c r="A1033" i="18" s="1"/>
  <c r="A1034" i="18" s="1"/>
  <c r="A1035" i="18" s="1"/>
  <c r="A1036" i="18" s="1"/>
  <c r="A1037" i="18" s="1"/>
  <c r="A1038" i="18" s="1"/>
  <c r="A1039" i="18" s="1"/>
  <c r="A1040" i="18" s="1"/>
  <c r="A1041" i="18" s="1"/>
  <c r="A1042" i="18" s="1"/>
  <c r="A1043" i="18" s="1"/>
  <c r="A1044" i="18" s="1"/>
  <c r="A1045" i="18" s="1"/>
  <c r="A1046" i="18" s="1"/>
  <c r="A1047" i="18" s="1"/>
  <c r="A1048" i="18" s="1"/>
  <c r="A1049" i="18" s="1"/>
  <c r="A1050" i="18" s="1"/>
  <c r="A1051" i="18" s="1"/>
  <c r="A1052" i="18" s="1"/>
  <c r="A1053" i="18" s="1"/>
  <c r="A1054" i="18" s="1"/>
  <c r="A1055" i="18" s="1"/>
  <c r="A1056" i="18" s="1"/>
  <c r="A1057" i="18" s="1"/>
  <c r="A1058" i="18" s="1"/>
  <c r="A1059" i="18" s="1"/>
  <c r="A1060" i="18" s="1"/>
  <c r="A1061" i="18" s="1"/>
  <c r="A1062" i="18" s="1"/>
  <c r="A1063" i="18" s="1"/>
  <c r="A1064" i="18" s="1"/>
  <c r="A1065" i="18" s="1"/>
  <c r="A1066" i="18" s="1"/>
  <c r="A1067" i="18" s="1"/>
  <c r="A1068" i="18" s="1"/>
  <c r="A1069" i="18" s="1"/>
  <c r="A1070" i="18" s="1"/>
  <c r="A1071" i="18" s="1"/>
  <c r="A1072" i="18" s="1"/>
  <c r="A1073" i="18" s="1"/>
  <c r="A1074" i="18" s="1"/>
  <c r="A1075" i="18" s="1"/>
  <c r="A1076" i="18" s="1"/>
  <c r="A1077" i="18" s="1"/>
  <c r="A1078" i="18" s="1"/>
  <c r="A1079" i="18" s="1"/>
  <c r="A1080" i="18" s="1"/>
  <c r="A1081" i="18" s="1"/>
  <c r="A1082" i="18" s="1"/>
  <c r="A1083" i="18" s="1"/>
  <c r="A1084" i="18" s="1"/>
  <c r="A1085" i="18" s="1"/>
  <c r="A1086" i="18" s="1"/>
  <c r="A1087" i="18" s="1"/>
  <c r="A1088" i="18" s="1"/>
  <c r="A1089" i="18" s="1"/>
  <c r="A1090" i="18" s="1"/>
  <c r="A1091" i="18" s="1"/>
  <c r="A1092" i="18" s="1"/>
  <c r="A1093" i="18" s="1"/>
  <c r="A1094" i="18" s="1"/>
  <c r="A1095" i="18" s="1"/>
  <c r="A1096" i="18" s="1"/>
  <c r="A1097" i="18" s="1"/>
  <c r="A1098" i="18" s="1"/>
  <c r="A1099" i="18" s="1"/>
  <c r="A1100" i="18" s="1"/>
  <c r="A1101" i="18" s="1"/>
  <c r="A1102" i="18" s="1"/>
  <c r="A1103" i="18" s="1"/>
  <c r="A1104" i="18" s="1"/>
  <c r="A1105" i="18" s="1"/>
  <c r="A1106" i="18" s="1"/>
  <c r="A1107" i="18" s="1"/>
  <c r="A1108" i="18" s="1"/>
  <c r="A1109" i="18" s="1"/>
  <c r="A1110" i="18" s="1"/>
  <c r="A1111" i="18" s="1"/>
  <c r="A1112" i="18" s="1"/>
  <c r="A1113" i="18" s="1"/>
  <c r="A1114" i="18" s="1"/>
  <c r="A1115" i="18" s="1"/>
  <c r="A1116" i="18" s="1"/>
  <c r="A1117" i="18" s="1"/>
  <c r="A1118" i="18" s="1"/>
  <c r="A1119" i="18" s="1"/>
  <c r="A1120" i="18" s="1"/>
  <c r="A1121" i="18" s="1"/>
  <c r="A1122" i="18" s="1"/>
  <c r="A1123" i="18" s="1"/>
  <c r="A1124" i="18" s="1"/>
  <c r="A1125" i="18" s="1"/>
  <c r="A1126" i="18" s="1"/>
  <c r="A1127" i="18" s="1"/>
  <c r="A1128" i="18" s="1"/>
  <c r="A1129" i="18" s="1"/>
  <c r="A1130" i="18" s="1"/>
  <c r="A1131" i="18" s="1"/>
  <c r="A1132" i="18" s="1"/>
  <c r="A1133" i="18" s="1"/>
  <c r="A1134" i="18" s="1"/>
  <c r="A1135" i="18" s="1"/>
  <c r="A1136" i="18" s="1"/>
  <c r="A1137" i="18" s="1"/>
  <c r="A1138" i="18" s="1"/>
  <c r="A1139" i="18" s="1"/>
  <c r="A1140" i="18" s="1"/>
  <c r="A1141" i="18" s="1"/>
  <c r="A1142" i="18" s="1"/>
  <c r="A1143" i="18" s="1"/>
  <c r="A1144" i="18" s="1"/>
  <c r="A1145" i="18" s="1"/>
  <c r="A1146" i="18" s="1"/>
  <c r="A1147" i="18" s="1"/>
  <c r="A1148" i="18" s="1"/>
  <c r="A1149" i="18" s="1"/>
  <c r="A1150" i="18" s="1"/>
  <c r="A1151" i="18" s="1"/>
  <c r="A1152" i="18" s="1"/>
  <c r="A1153" i="18" s="1"/>
  <c r="A1154" i="18" s="1"/>
  <c r="A1155" i="18" s="1"/>
  <c r="A1156" i="18" s="1"/>
  <c r="A1157" i="18" s="1"/>
  <c r="A1158" i="18" s="1"/>
  <c r="A1159" i="18" s="1"/>
  <c r="A1160" i="18" s="1"/>
  <c r="A1161" i="18" s="1"/>
  <c r="A1162" i="18" s="1"/>
  <c r="A1163" i="18" s="1"/>
  <c r="A1164" i="18" s="1"/>
  <c r="A1165" i="18" s="1"/>
  <c r="A1166" i="18" s="1"/>
  <c r="A1167" i="18" s="1"/>
  <c r="A1168" i="18" s="1"/>
  <c r="A1169" i="18" s="1"/>
  <c r="A1170" i="18" s="1"/>
  <c r="A1171" i="18" s="1"/>
  <c r="A1172" i="18" s="1"/>
  <c r="A1173" i="18" s="1"/>
  <c r="A1174" i="18" s="1"/>
  <c r="A1175" i="18" s="1"/>
  <c r="A1176" i="18" s="1"/>
  <c r="A1177" i="18" s="1"/>
  <c r="A1178" i="18" s="1"/>
  <c r="A1179" i="18" s="1"/>
  <c r="A1180" i="18" s="1"/>
  <c r="A1181" i="18" s="1"/>
  <c r="A1182" i="18" s="1"/>
  <c r="A1183" i="18" s="1"/>
  <c r="A1184" i="18" s="1"/>
  <c r="A1185" i="18" s="1"/>
  <c r="A1186" i="18" s="1"/>
  <c r="A1187" i="18" s="1"/>
  <c r="A1188" i="18" s="1"/>
  <c r="A1189" i="18" s="1"/>
  <c r="A1190" i="18" s="1"/>
  <c r="A1191" i="18" s="1"/>
  <c r="A1192" i="18" s="1"/>
  <c r="A1193" i="18" s="1"/>
  <c r="A1194" i="18" s="1"/>
  <c r="A1195" i="18" s="1"/>
  <c r="A1196" i="18" s="1"/>
  <c r="A1197" i="18" s="1"/>
  <c r="A1198" i="18" s="1"/>
  <c r="A1199" i="18" s="1"/>
  <c r="A1200" i="18" s="1"/>
  <c r="A1201" i="18" s="1"/>
  <c r="A1202" i="18" s="1"/>
  <c r="A1203" i="18" s="1"/>
  <c r="A1204" i="18" s="1"/>
  <c r="A1205" i="18" s="1"/>
  <c r="A1206" i="18" s="1"/>
  <c r="A1207" i="18" s="1"/>
  <c r="A1208" i="18" s="1"/>
  <c r="A1209" i="18" s="1"/>
  <c r="A1210" i="18" s="1"/>
  <c r="A1211" i="18" s="1"/>
  <c r="A1212" i="18" s="1"/>
  <c r="A1213" i="18" s="1"/>
  <c r="A1214" i="18" s="1"/>
  <c r="A1215" i="18" s="1"/>
  <c r="A1216" i="18" s="1"/>
  <c r="A1217" i="18" s="1"/>
  <c r="A1218" i="18" s="1"/>
  <c r="A1219" i="18" s="1"/>
  <c r="A1220" i="18" s="1"/>
  <c r="A1221" i="18" s="1"/>
  <c r="A1222" i="18" s="1"/>
  <c r="A1223" i="18" s="1"/>
  <c r="A1224" i="18" s="1"/>
  <c r="A1225" i="18" s="1"/>
  <c r="A1226" i="18" s="1"/>
  <c r="A1227" i="18" s="1"/>
  <c r="A1228" i="18" s="1"/>
  <c r="A1229" i="18" s="1"/>
  <c r="A1230" i="18" s="1"/>
  <c r="A1231" i="18" s="1"/>
  <c r="A1232" i="18" s="1"/>
  <c r="A1233" i="18" s="1"/>
  <c r="A1234" i="18" s="1"/>
  <c r="A1235" i="18" s="1"/>
  <c r="A1236" i="18" s="1"/>
  <c r="A1237" i="18" s="1"/>
  <c r="A1238" i="18" s="1"/>
  <c r="A1239" i="18" s="1"/>
  <c r="A1240" i="18" s="1"/>
  <c r="A1241" i="18" s="1"/>
  <c r="A1242" i="18" s="1"/>
  <c r="A1243" i="18" s="1"/>
  <c r="A1244" i="18" s="1"/>
  <c r="A1245" i="18" s="1"/>
  <c r="A1246" i="18" s="1"/>
  <c r="A1247" i="18" s="1"/>
  <c r="A1248" i="18" s="1"/>
  <c r="A1249" i="18" s="1"/>
  <c r="A1250" i="18" s="1"/>
  <c r="A1251" i="18" s="1"/>
  <c r="A1252" i="18" s="1"/>
  <c r="A1253" i="18" s="1"/>
  <c r="A1254" i="18" s="1"/>
  <c r="A1255" i="18" s="1"/>
  <c r="A1256" i="18" s="1"/>
  <c r="A1257" i="18" s="1"/>
  <c r="A1258" i="18" s="1"/>
  <c r="A1259" i="18" s="1"/>
  <c r="A1260" i="18" s="1"/>
  <c r="A1261" i="18" s="1"/>
  <c r="A1262" i="18" s="1"/>
  <c r="A1263" i="18" s="1"/>
  <c r="A1264" i="18" s="1"/>
  <c r="A1265" i="18" s="1"/>
  <c r="A1266" i="18" s="1"/>
  <c r="A1267" i="18" s="1"/>
  <c r="A1268" i="18" s="1"/>
  <c r="A1269" i="18" s="1"/>
  <c r="A1270" i="18" s="1"/>
  <c r="A1271" i="18" s="1"/>
  <c r="A1272" i="18" s="1"/>
  <c r="A1273" i="18" s="1"/>
  <c r="A1274" i="18" s="1"/>
  <c r="A1275" i="18" s="1"/>
  <c r="A1276" i="18" s="1"/>
  <c r="A1277" i="18" s="1"/>
  <c r="A1278" i="18" s="1"/>
  <c r="A1279" i="18" s="1"/>
  <c r="A1280" i="18" s="1"/>
  <c r="A1281" i="18" s="1"/>
  <c r="A1282" i="18" s="1"/>
  <c r="A1283" i="18" s="1"/>
  <c r="A1284" i="18" s="1"/>
  <c r="A1285" i="18" s="1"/>
  <c r="A1286" i="18" s="1"/>
  <c r="A1287" i="18" s="1"/>
  <c r="A1288" i="18" s="1"/>
  <c r="A1289" i="18" s="1"/>
  <c r="A1290" i="18" s="1"/>
  <c r="A1291" i="18" s="1"/>
  <c r="A1292" i="18" s="1"/>
  <c r="A1293" i="18" s="1"/>
  <c r="A1294" i="18" s="1"/>
  <c r="A1295" i="18" s="1"/>
  <c r="A1296" i="18" s="1"/>
  <c r="A1297" i="18" s="1"/>
  <c r="A1298" i="18" s="1"/>
  <c r="A1299" i="18" s="1"/>
  <c r="A1300" i="18" s="1"/>
  <c r="A1301" i="18" s="1"/>
  <c r="A1302" i="18" s="1"/>
  <c r="A1303" i="18" s="1"/>
  <c r="A1304" i="18" s="1"/>
  <c r="A1305" i="18" s="1"/>
  <c r="A1306" i="18" s="1"/>
  <c r="A1307" i="18" s="1"/>
  <c r="A1308" i="18" s="1"/>
  <c r="A1309" i="18" s="1"/>
  <c r="A1310" i="18" s="1"/>
  <c r="A1311" i="18" s="1"/>
  <c r="A1312" i="18" s="1"/>
  <c r="A1313" i="18" s="1"/>
  <c r="A1314" i="18" s="1"/>
  <c r="A1315" i="18" s="1"/>
  <c r="A1316" i="18" s="1"/>
  <c r="A1317" i="18" s="1"/>
  <c r="A1318" i="18" s="1"/>
  <c r="A1319" i="18" s="1"/>
  <c r="A1320" i="18" s="1"/>
  <c r="A1321" i="18" s="1"/>
  <c r="A1322" i="18" s="1"/>
  <c r="A1323" i="18" s="1"/>
  <c r="A1324" i="18" s="1"/>
  <c r="A1325" i="18" s="1"/>
  <c r="A1326" i="18" s="1"/>
  <c r="A1327" i="18" s="1"/>
  <c r="A1328" i="18" s="1"/>
  <c r="A1329" i="18" s="1"/>
  <c r="A1330" i="18" s="1"/>
  <c r="A1331" i="18" s="1"/>
  <c r="A1332" i="18" s="1"/>
  <c r="A1333" i="18" s="1"/>
  <c r="A1334" i="18" s="1"/>
  <c r="A1335" i="18" s="1"/>
  <c r="A1336" i="18" s="1"/>
  <c r="A1337" i="18" s="1"/>
  <c r="A1338" i="18" s="1"/>
  <c r="A1339" i="18" s="1"/>
  <c r="A1340" i="18" s="1"/>
  <c r="A1341" i="18" s="1"/>
  <c r="A1342" i="18" s="1"/>
  <c r="A1343" i="18" s="1"/>
  <c r="A1344" i="18" s="1"/>
  <c r="A1345" i="18" s="1"/>
  <c r="A1346" i="18" s="1"/>
  <c r="A1347" i="18" s="1"/>
  <c r="A1348" i="18" s="1"/>
  <c r="A1349" i="18" s="1"/>
  <c r="A1350" i="18" s="1"/>
  <c r="A1351" i="18" s="1"/>
  <c r="A1352" i="18" s="1"/>
  <c r="A1353" i="18" s="1"/>
  <c r="A1354" i="18" s="1"/>
  <c r="A1355" i="18" s="1"/>
  <c r="A1356" i="18" s="1"/>
  <c r="A1357" i="18" s="1"/>
  <c r="A1358" i="18" s="1"/>
  <c r="A1359" i="18" s="1"/>
  <c r="A1360" i="18" s="1"/>
  <c r="A1361" i="18" s="1"/>
  <c r="A1362" i="18" s="1"/>
  <c r="A1363" i="18" s="1"/>
  <c r="A1364" i="18" s="1"/>
  <c r="A1365" i="18" s="1"/>
  <c r="A1366" i="18" s="1"/>
  <c r="A1367" i="18" s="1"/>
  <c r="A1368" i="18" s="1"/>
  <c r="A1369" i="18" s="1"/>
  <c r="A1370" i="18" s="1"/>
  <c r="A1371" i="18" s="1"/>
  <c r="A1372" i="18" s="1"/>
  <c r="A1373" i="18" s="1"/>
  <c r="A1374" i="18" s="1"/>
  <c r="A1375" i="18" s="1"/>
  <c r="A1376" i="18" s="1"/>
  <c r="A1377" i="18" s="1"/>
  <c r="A1378" i="18" s="1"/>
  <c r="A1379" i="18" s="1"/>
  <c r="A1380" i="18" s="1"/>
  <c r="A1381" i="18" s="1"/>
  <c r="A1382" i="18" s="1"/>
  <c r="A1383" i="18" s="1"/>
  <c r="A1384" i="18" s="1"/>
  <c r="A1385" i="18" s="1"/>
  <c r="A1386" i="18" s="1"/>
  <c r="A1387" i="18" s="1"/>
  <c r="A1388" i="18" s="1"/>
  <c r="A1389" i="18" s="1"/>
  <c r="A1390" i="18" s="1"/>
  <c r="A1391" i="18" s="1"/>
  <c r="A1392" i="18" s="1"/>
  <c r="A1393" i="18" s="1"/>
  <c r="A1394" i="18" s="1"/>
  <c r="A1395" i="18" s="1"/>
  <c r="A1396" i="18" s="1"/>
  <c r="A1397" i="18" s="1"/>
  <c r="A1398" i="18" s="1"/>
  <c r="A1399" i="18" s="1"/>
  <c r="A1400" i="18" s="1"/>
  <c r="A1401" i="18" s="1"/>
  <c r="A1402" i="18" s="1"/>
  <c r="A1403" i="18" s="1"/>
  <c r="A1404" i="18" s="1"/>
  <c r="A1405" i="18" s="1"/>
  <c r="A1406" i="18" s="1"/>
  <c r="A1407" i="18" s="1"/>
  <c r="A1408" i="18" s="1"/>
  <c r="A1409" i="18" s="1"/>
  <c r="A1410" i="18" s="1"/>
  <c r="A1411" i="18" s="1"/>
  <c r="A1412" i="18" s="1"/>
  <c r="A1413" i="18" s="1"/>
  <c r="A1414" i="18" s="1"/>
  <c r="A1415" i="18" s="1"/>
  <c r="A1416" i="18" s="1"/>
  <c r="A1417" i="18" s="1"/>
  <c r="A1418" i="18" s="1"/>
  <c r="A1419" i="18" s="1"/>
  <c r="A1420" i="18" s="1"/>
  <c r="A1421" i="18" s="1"/>
  <c r="A1422" i="18" s="1"/>
  <c r="A1423" i="18" s="1"/>
  <c r="A1424" i="18" s="1"/>
  <c r="A1425" i="18" s="1"/>
  <c r="A1426" i="18" s="1"/>
  <c r="A1427" i="18" s="1"/>
  <c r="A1428" i="18" s="1"/>
  <c r="A1429" i="18" s="1"/>
  <c r="A1430" i="18" s="1"/>
  <c r="A1431" i="18" s="1"/>
  <c r="A1432" i="18" s="1"/>
  <c r="A1433" i="18" s="1"/>
  <c r="A1434" i="18" s="1"/>
  <c r="A1435" i="18" s="1"/>
  <c r="A1436" i="18" s="1"/>
  <c r="A1437" i="18" s="1"/>
  <c r="A1438" i="18" s="1"/>
  <c r="A1439" i="18" s="1"/>
  <c r="A1440" i="18" s="1"/>
  <c r="A1441" i="18" s="1"/>
  <c r="A1442" i="18" s="1"/>
  <c r="A1443" i="18" s="1"/>
  <c r="A1444" i="18" s="1"/>
  <c r="A1445" i="18" s="1"/>
  <c r="A1446" i="18" s="1"/>
  <c r="A1447" i="18" s="1"/>
  <c r="A1448" i="18" s="1"/>
  <c r="A1449" i="18" s="1"/>
  <c r="A1450" i="18" s="1"/>
  <c r="A1451" i="18" s="1"/>
  <c r="A1452" i="18" s="1"/>
  <c r="A1453" i="18" s="1"/>
  <c r="A1454" i="18" s="1"/>
  <c r="A1455" i="18" s="1"/>
  <c r="A1456" i="18" s="1"/>
  <c r="A1457" i="18" s="1"/>
  <c r="A1458" i="18" s="1"/>
  <c r="A1459" i="18" s="1"/>
  <c r="A1460" i="18" s="1"/>
  <c r="A1461" i="18" s="1"/>
  <c r="A1462" i="18" s="1"/>
  <c r="A1463" i="18" s="1"/>
  <c r="A1464" i="18" s="1"/>
  <c r="A1465" i="18" s="1"/>
  <c r="A1466" i="18" s="1"/>
  <c r="A1467" i="18" s="1"/>
  <c r="A1468" i="18" s="1"/>
  <c r="A1469" i="18" s="1"/>
  <c r="A1470" i="18" s="1"/>
  <c r="A1471" i="18" s="1"/>
  <c r="A1472" i="18" s="1"/>
  <c r="A1473" i="18" s="1"/>
  <c r="A1474" i="18" s="1"/>
  <c r="A1475" i="18" s="1"/>
  <c r="A1476" i="18" s="1"/>
  <c r="A1477" i="18" s="1"/>
  <c r="A1478" i="18" s="1"/>
  <c r="A1479" i="18" s="1"/>
  <c r="A1480" i="18" s="1"/>
  <c r="A1481" i="18" s="1"/>
  <c r="A1482" i="18" s="1"/>
  <c r="A1483" i="18" s="1"/>
  <c r="A1484" i="18" s="1"/>
  <c r="A1485" i="18" s="1"/>
  <c r="A1486" i="18" s="1"/>
  <c r="A1487" i="18" s="1"/>
  <c r="A1488" i="18" s="1"/>
  <c r="A1489" i="18" s="1"/>
  <c r="A1490" i="18" s="1"/>
  <c r="A1491" i="18" s="1"/>
  <c r="A1492" i="18" s="1"/>
  <c r="A1493" i="18" s="1"/>
  <c r="A1494" i="18" s="1"/>
  <c r="A1495" i="18" s="1"/>
  <c r="A1496" i="18" s="1"/>
  <c r="A1497" i="18" s="1"/>
  <c r="A1498" i="18" s="1"/>
  <c r="A1499" i="18" s="1"/>
  <c r="A1500" i="18" s="1"/>
  <c r="A1501" i="18" s="1"/>
  <c r="A1502" i="18" s="1"/>
  <c r="A1503" i="18" s="1"/>
  <c r="A1504" i="18" s="1"/>
  <c r="A1505" i="18" s="1"/>
  <c r="A1506" i="18" s="1"/>
  <c r="A1507" i="18" s="1"/>
  <c r="A1508" i="18" s="1"/>
  <c r="A1509" i="18" s="1"/>
  <c r="A1510" i="18" s="1"/>
  <c r="A1511" i="18" s="1"/>
  <c r="A1512" i="18" s="1"/>
  <c r="A1513" i="18" s="1"/>
  <c r="A1514" i="18" s="1"/>
  <c r="A1515" i="18" s="1"/>
  <c r="A1516" i="18" s="1"/>
  <c r="A1517" i="18" s="1"/>
  <c r="A1518" i="18" s="1"/>
  <c r="A1519" i="18" s="1"/>
  <c r="A1520" i="18" s="1"/>
  <c r="A1521" i="18" s="1"/>
  <c r="A1522" i="18" s="1"/>
  <c r="A1523" i="18" s="1"/>
  <c r="A1524" i="18" s="1"/>
  <c r="A1525" i="18" s="1"/>
  <c r="A1526" i="18" s="1"/>
  <c r="A1527" i="18" s="1"/>
  <c r="A1528" i="18" s="1"/>
  <c r="A1529" i="18" s="1"/>
  <c r="A1530" i="18" s="1"/>
  <c r="A1531" i="18" s="1"/>
  <c r="A1532" i="18" s="1"/>
  <c r="A1533" i="18" s="1"/>
  <c r="A1534" i="18" s="1"/>
  <c r="A1535" i="18" s="1"/>
  <c r="A1536" i="18" s="1"/>
  <c r="A1537" i="18" s="1"/>
  <c r="A1538" i="18" s="1"/>
  <c r="A1539" i="18" s="1"/>
  <c r="A1540" i="18" s="1"/>
  <c r="A1541" i="18" s="1"/>
  <c r="A1542" i="18" s="1"/>
  <c r="A1543" i="18" s="1"/>
  <c r="A1544" i="18" s="1"/>
  <c r="A1545" i="18" s="1"/>
  <c r="A1546" i="18" s="1"/>
  <c r="A1547" i="18" s="1"/>
  <c r="A1548" i="18" s="1"/>
  <c r="A1549" i="18" s="1"/>
  <c r="A1550" i="18" s="1"/>
  <c r="A1551" i="18" s="1"/>
  <c r="A1552" i="18" s="1"/>
  <c r="A1553" i="18" s="1"/>
  <c r="A1554" i="18" s="1"/>
  <c r="A1555" i="18" s="1"/>
  <c r="A1556" i="18" s="1"/>
  <c r="A1557" i="18" s="1"/>
  <c r="A1558" i="18" s="1"/>
  <c r="A1559" i="18" s="1"/>
  <c r="A1560" i="18" s="1"/>
  <c r="A1561" i="18" s="1"/>
  <c r="A1562" i="18" s="1"/>
  <c r="A1563" i="18" s="1"/>
  <c r="A1564" i="18" s="1"/>
  <c r="A1565" i="18" s="1"/>
  <c r="A1566" i="18" s="1"/>
  <c r="A1567" i="18" s="1"/>
  <c r="A1568" i="18" s="1"/>
  <c r="A1569" i="18" s="1"/>
  <c r="A1570" i="18" s="1"/>
  <c r="A1571" i="18" s="1"/>
  <c r="A1572" i="18" s="1"/>
  <c r="A1573" i="18" s="1"/>
  <c r="A1574" i="18" s="1"/>
  <c r="A1575" i="18" s="1"/>
  <c r="A1576" i="18" s="1"/>
  <c r="A1577" i="18" s="1"/>
  <c r="A1578" i="18" s="1"/>
  <c r="A1579" i="18" s="1"/>
  <c r="A1580" i="18" s="1"/>
  <c r="A1581" i="18" s="1"/>
  <c r="A1582" i="18" s="1"/>
  <c r="A1583" i="18" s="1"/>
  <c r="A1584" i="18" s="1"/>
  <c r="A1585" i="18" s="1"/>
  <c r="A1586" i="18" s="1"/>
  <c r="A1587" i="18" s="1"/>
  <c r="A1588" i="18" s="1"/>
  <c r="A1589" i="18" s="1"/>
  <c r="A1590" i="18" s="1"/>
  <c r="A1591" i="18" s="1"/>
  <c r="A1592" i="18" s="1"/>
  <c r="A1593" i="18" s="1"/>
  <c r="A1594" i="18" s="1"/>
  <c r="A1595" i="18" s="1"/>
  <c r="A1596" i="18" s="1"/>
  <c r="A1597" i="18" s="1"/>
  <c r="A1598" i="18" s="1"/>
  <c r="A1599" i="18" s="1"/>
  <c r="A1600" i="18" s="1"/>
  <c r="A1601" i="18" s="1"/>
  <c r="A1602" i="18" s="1"/>
  <c r="A1603" i="18" s="1"/>
  <c r="A1604" i="18" s="1"/>
  <c r="A1605" i="18" s="1"/>
  <c r="A1606" i="18" s="1"/>
  <c r="T132" i="19" l="1"/>
  <c r="T108" i="19"/>
  <c r="T84" i="19"/>
  <c r="T60" i="19"/>
  <c r="T36" i="19"/>
  <c r="T12" i="19"/>
  <c r="T96" i="19"/>
  <c r="T72" i="19"/>
  <c r="T48" i="19"/>
  <c r="T24" i="19"/>
  <c r="T135" i="19"/>
  <c r="T123" i="19"/>
  <c r="T111" i="19"/>
  <c r="T99" i="19"/>
  <c r="T87" i="19"/>
  <c r="T75" i="19"/>
  <c r="T63" i="19"/>
  <c r="T51" i="19"/>
  <c r="T39" i="19"/>
  <c r="T27" i="19"/>
  <c r="T15" i="19"/>
  <c r="T3" i="19"/>
  <c r="T126" i="19"/>
  <c r="T114" i="19"/>
  <c r="T102" i="19"/>
  <c r="T90" i="19"/>
  <c r="T78" i="19"/>
  <c r="T66" i="19"/>
  <c r="T54" i="19"/>
  <c r="T42" i="19"/>
  <c r="T30" i="19"/>
  <c r="T18" i="19"/>
  <c r="T6" i="19"/>
  <c r="T120" i="19"/>
  <c r="T133" i="19"/>
  <c r="T121" i="19"/>
  <c r="T109" i="19"/>
  <c r="T97" i="19"/>
  <c r="T85" i="19"/>
  <c r="T73" i="19"/>
  <c r="T61" i="19"/>
  <c r="T49" i="19"/>
  <c r="T37" i="19"/>
  <c r="T25" i="19"/>
  <c r="T13" i="19"/>
  <c r="A93" i="1"/>
  <c r="C92" i="1"/>
  <c r="D92" i="1"/>
  <c r="E92" i="1"/>
  <c r="B92" i="1"/>
  <c r="T131" i="19"/>
  <c r="T119" i="19"/>
  <c r="T107" i="19"/>
  <c r="T95" i="19"/>
  <c r="T83" i="19"/>
  <c r="T71" i="19"/>
  <c r="T59" i="19"/>
  <c r="T47" i="19"/>
  <c r="T35" i="19"/>
  <c r="T23" i="19"/>
  <c r="T11" i="19"/>
  <c r="T130" i="19"/>
  <c r="T118" i="19"/>
  <c r="T106" i="19"/>
  <c r="T94" i="19"/>
  <c r="T82" i="19"/>
  <c r="T70" i="19"/>
  <c r="T58" i="19"/>
  <c r="T46" i="19"/>
  <c r="T34" i="19"/>
  <c r="T22" i="19"/>
  <c r="T10" i="19"/>
  <c r="T129" i="19"/>
  <c r="T117" i="19"/>
  <c r="T105" i="19"/>
  <c r="T93" i="19"/>
  <c r="T81" i="19"/>
  <c r="T69" i="19"/>
  <c r="T57" i="19"/>
  <c r="T45" i="19"/>
  <c r="T33" i="19"/>
  <c r="T21" i="19"/>
  <c r="T9" i="19"/>
  <c r="T128" i="19"/>
  <c r="T116" i="19"/>
  <c r="T104" i="19"/>
  <c r="T92" i="19"/>
  <c r="T80" i="19"/>
  <c r="T68" i="19"/>
  <c r="T56" i="19"/>
  <c r="T44" i="19"/>
  <c r="T32" i="19"/>
  <c r="T20" i="19"/>
  <c r="T8" i="19"/>
  <c r="T127" i="19"/>
  <c r="T115" i="19"/>
  <c r="T103" i="19"/>
  <c r="T91" i="19"/>
  <c r="T79" i="19"/>
  <c r="T67" i="19"/>
  <c r="T55" i="19"/>
  <c r="T43" i="19"/>
  <c r="T31" i="19"/>
  <c r="T19" i="19"/>
  <c r="T7" i="19"/>
  <c r="T125" i="19"/>
  <c r="T113" i="19"/>
  <c r="T101" i="19"/>
  <c r="T89" i="19"/>
  <c r="T77" i="19"/>
  <c r="T65" i="19"/>
  <c r="T53" i="19"/>
  <c r="T41" i="19"/>
  <c r="T29" i="19"/>
  <c r="T17" i="19"/>
  <c r="T5" i="19"/>
  <c r="T136" i="19"/>
  <c r="T124" i="19"/>
  <c r="T112" i="19"/>
  <c r="T100" i="19"/>
  <c r="T88" i="19"/>
  <c r="T76" i="19"/>
  <c r="T64" i="19"/>
  <c r="T52" i="19"/>
  <c r="T40" i="19"/>
  <c r="T28" i="19"/>
  <c r="T16" i="19"/>
  <c r="T4" i="19"/>
  <c r="T134" i="19"/>
  <c r="T122" i="19"/>
  <c r="T110" i="19"/>
  <c r="T98" i="19"/>
  <c r="T86" i="19"/>
  <c r="T74" i="19"/>
  <c r="T62" i="19"/>
  <c r="T50" i="19"/>
  <c r="T38" i="19"/>
  <c r="T26" i="19"/>
  <c r="T14" i="19"/>
  <c r="T2" i="19"/>
  <c r="W1004" i="18"/>
  <c r="W992" i="18"/>
  <c r="W987" i="18"/>
  <c r="AA1233" i="18"/>
  <c r="W1233" i="18"/>
  <c r="AA1220" i="18"/>
  <c r="W1220" i="18"/>
  <c r="AA1207" i="18"/>
  <c r="W1207" i="18"/>
  <c r="AA1195" i="18"/>
  <c r="W1195" i="18"/>
  <c r="AA1183" i="18"/>
  <c r="W1183" i="18"/>
  <c r="AA1171" i="18"/>
  <c r="W1171" i="18"/>
  <c r="AA1159" i="18"/>
  <c r="W1159" i="18"/>
  <c r="AA1147" i="18"/>
  <c r="W1147" i="18"/>
  <c r="AA1135" i="18"/>
  <c r="W1135" i="18"/>
  <c r="AA1123" i="18"/>
  <c r="W1123" i="18"/>
  <c r="AA1111" i="18"/>
  <c r="W1111" i="18"/>
  <c r="AA1099" i="18"/>
  <c r="W1099" i="18"/>
  <c r="AA1087" i="18"/>
  <c r="W1087" i="18"/>
  <c r="AA1075" i="18"/>
  <c r="W1075" i="18"/>
  <c r="AA1063" i="18"/>
  <c r="W1063" i="18"/>
  <c r="AA1051" i="18"/>
  <c r="W1051" i="18"/>
  <c r="AA1039" i="18"/>
  <c r="W1039" i="18"/>
  <c r="AA1027" i="18"/>
  <c r="W1027" i="18"/>
  <c r="AA1015" i="18"/>
  <c r="W1015" i="18"/>
  <c r="AA1003" i="18"/>
  <c r="W1003" i="18"/>
  <c r="AA991" i="18"/>
  <c r="W991" i="18"/>
  <c r="AA979" i="18"/>
  <c r="W979" i="18"/>
  <c r="AA967" i="18"/>
  <c r="W967" i="18"/>
  <c r="AA955" i="18"/>
  <c r="W955" i="18"/>
  <c r="AA943" i="18"/>
  <c r="W943" i="18"/>
  <c r="AA931" i="18"/>
  <c r="W931" i="18"/>
  <c r="AA919" i="18"/>
  <c r="W919" i="18"/>
  <c r="AA907" i="18"/>
  <c r="W907" i="18"/>
  <c r="AA895" i="18"/>
  <c r="W895" i="18"/>
  <c r="AA883" i="18"/>
  <c r="W883" i="18"/>
  <c r="AA871" i="18"/>
  <c r="W871" i="18"/>
  <c r="AA859" i="18"/>
  <c r="W859" i="18"/>
  <c r="AA847" i="18"/>
  <c r="W847" i="18"/>
  <c r="AA835" i="18"/>
  <c r="W835" i="18"/>
  <c r="AA823" i="18"/>
  <c r="W823" i="18"/>
  <c r="AA811" i="18"/>
  <c r="W811" i="18"/>
  <c r="AA799" i="18"/>
  <c r="W799" i="18"/>
  <c r="AA775" i="18"/>
  <c r="W775" i="18"/>
  <c r="AA763" i="18"/>
  <c r="W763" i="18"/>
  <c r="AA751" i="18"/>
  <c r="W751" i="18"/>
  <c r="AA739" i="18"/>
  <c r="W739" i="18"/>
  <c r="AA727" i="18"/>
  <c r="W727" i="18"/>
  <c r="AA715" i="18"/>
  <c r="W715" i="18"/>
  <c r="AA703" i="18"/>
  <c r="W703" i="18"/>
  <c r="AA691" i="18"/>
  <c r="W691" i="18"/>
  <c r="AA679" i="18"/>
  <c r="W679" i="18"/>
  <c r="AA655" i="18"/>
  <c r="W655" i="18"/>
  <c r="AA631" i="18"/>
  <c r="W631" i="18"/>
  <c r="AA619" i="18"/>
  <c r="W619" i="18"/>
  <c r="AA607" i="18"/>
  <c r="W607" i="18"/>
  <c r="AA595" i="18"/>
  <c r="W595" i="18"/>
  <c r="AA583" i="18"/>
  <c r="W583" i="18"/>
  <c r="AA571" i="18"/>
  <c r="W571" i="18"/>
  <c r="AA559" i="18"/>
  <c r="W559" i="18"/>
  <c r="AA547" i="18"/>
  <c r="W547" i="18"/>
  <c r="AA535" i="18"/>
  <c r="W535" i="18"/>
  <c r="AA511" i="18"/>
  <c r="W511" i="18"/>
  <c r="AA487" i="18"/>
  <c r="W487" i="18"/>
  <c r="AA475" i="18"/>
  <c r="W475" i="18"/>
  <c r="AA463" i="18"/>
  <c r="W463" i="18"/>
  <c r="AA451" i="18"/>
  <c r="W451" i="18"/>
  <c r="AA439" i="18"/>
  <c r="W439" i="18"/>
  <c r="AA427" i="18"/>
  <c r="W427" i="18"/>
  <c r="AA415" i="18"/>
  <c r="W415" i="18"/>
  <c r="AA403" i="18"/>
  <c r="W403" i="18"/>
  <c r="AA391" i="18"/>
  <c r="W391" i="18"/>
  <c r="AA355" i="18"/>
  <c r="W355" i="18"/>
  <c r="AA343" i="18"/>
  <c r="W343" i="18"/>
  <c r="AA331" i="18"/>
  <c r="W331" i="18"/>
  <c r="AA319" i="18"/>
  <c r="W319" i="18"/>
  <c r="AA307" i="18"/>
  <c r="W307" i="18"/>
  <c r="AA283" i="18"/>
  <c r="W283" i="18"/>
  <c r="AA271" i="18"/>
  <c r="W271" i="18"/>
  <c r="AA259" i="18"/>
  <c r="W259" i="18"/>
  <c r="AA247" i="18"/>
  <c r="W247" i="18"/>
  <c r="AA235" i="18"/>
  <c r="W235" i="18"/>
  <c r="AA223" i="18"/>
  <c r="W223" i="18"/>
  <c r="AA211" i="18"/>
  <c r="W211" i="18"/>
  <c r="AA199" i="18"/>
  <c r="W199" i="18"/>
  <c r="AA175" i="18"/>
  <c r="W175" i="18"/>
  <c r="AA163" i="18"/>
  <c r="W163" i="18"/>
  <c r="AA151" i="18"/>
  <c r="W151" i="18"/>
  <c r="AA139" i="18"/>
  <c r="W139" i="18"/>
  <c r="AA127" i="18"/>
  <c r="W127" i="18"/>
  <c r="AA115" i="18"/>
  <c r="W115" i="18"/>
  <c r="AA103" i="18"/>
  <c r="W103" i="18"/>
  <c r="AA91" i="18"/>
  <c r="W91" i="18"/>
  <c r="AA68" i="18"/>
  <c r="W68" i="18"/>
  <c r="AA56" i="18"/>
  <c r="W56" i="18"/>
  <c r="AA44" i="18"/>
  <c r="W44" i="18"/>
  <c r="AA31" i="18"/>
  <c r="W31" i="18"/>
  <c r="AA19" i="18"/>
  <c r="W19" i="18"/>
  <c r="AA7" i="18"/>
  <c r="W7" i="18"/>
  <c r="W1205" i="18"/>
  <c r="W1169" i="18"/>
  <c r="W1133" i="18"/>
  <c r="W1097" i="18"/>
  <c r="W1061" i="18"/>
  <c r="W1025" i="18"/>
  <c r="W989" i="18"/>
  <c r="W953" i="18"/>
  <c r="W917" i="18"/>
  <c r="W881" i="18"/>
  <c r="W845" i="18"/>
  <c r="W800" i="18"/>
  <c r="W748" i="18"/>
  <c r="W682" i="18"/>
  <c r="W604" i="18"/>
  <c r="W525" i="18"/>
  <c r="W447" i="18"/>
  <c r="W367" i="18"/>
  <c r="W209" i="18"/>
  <c r="AA1122" i="18"/>
  <c r="AA1074" i="18"/>
  <c r="AA1002" i="18"/>
  <c r="AA990" i="18"/>
  <c r="AA786" i="18"/>
  <c r="W786" i="18"/>
  <c r="AA762" i="18"/>
  <c r="W762" i="18"/>
  <c r="AA750" i="18"/>
  <c r="W750" i="18"/>
  <c r="AA738" i="18"/>
  <c r="W738" i="18"/>
  <c r="AA726" i="18"/>
  <c r="W726" i="18"/>
  <c r="AA714" i="18"/>
  <c r="W714" i="18"/>
  <c r="AA702" i="18"/>
  <c r="W702" i="18"/>
  <c r="AA690" i="18"/>
  <c r="W690" i="18"/>
  <c r="AA678" i="18"/>
  <c r="W678" i="18"/>
  <c r="AA666" i="18"/>
  <c r="W666" i="18"/>
  <c r="AA642" i="18"/>
  <c r="W642" i="18"/>
  <c r="AA618" i="18"/>
  <c r="W618" i="18"/>
  <c r="AA606" i="18"/>
  <c r="W606" i="18"/>
  <c r="AA594" i="18"/>
  <c r="W594" i="18"/>
  <c r="AA582" i="18"/>
  <c r="W582" i="18"/>
  <c r="AA570" i="18"/>
  <c r="W570" i="18"/>
  <c r="AA558" i="18"/>
  <c r="W558" i="18"/>
  <c r="AA546" i="18"/>
  <c r="W546" i="18"/>
  <c r="AA534" i="18"/>
  <c r="W534" i="18"/>
  <c r="AA522" i="18"/>
  <c r="W522" i="18"/>
  <c r="AA498" i="18"/>
  <c r="W498" i="18"/>
  <c r="AA474" i="18"/>
  <c r="W474" i="18"/>
  <c r="AA462" i="18"/>
  <c r="W462" i="18"/>
  <c r="AA450" i="18"/>
  <c r="W450" i="18"/>
  <c r="AA438" i="18"/>
  <c r="W438" i="18"/>
  <c r="AA426" i="18"/>
  <c r="W426" i="18"/>
  <c r="AA414" i="18"/>
  <c r="W414" i="18"/>
  <c r="AA402" i="18"/>
  <c r="W402" i="18"/>
  <c r="AA390" i="18"/>
  <c r="W390" i="18"/>
  <c r="AA378" i="18"/>
  <c r="W378" i="18"/>
  <c r="AA366" i="18"/>
  <c r="W366" i="18"/>
  <c r="AA354" i="18"/>
  <c r="W354" i="18"/>
  <c r="AA342" i="18"/>
  <c r="W342" i="18"/>
  <c r="AA330" i="18"/>
  <c r="W330" i="18"/>
  <c r="AA318" i="18"/>
  <c r="W318" i="18"/>
  <c r="AA306" i="18"/>
  <c r="W306" i="18"/>
  <c r="AA294" i="18"/>
  <c r="W294" i="18"/>
  <c r="AA282" i="18"/>
  <c r="W282" i="18"/>
  <c r="AA270" i="18"/>
  <c r="W270" i="18"/>
  <c r="AA258" i="18"/>
  <c r="W258" i="18"/>
  <c r="AA246" i="18"/>
  <c r="W246" i="18"/>
  <c r="AA234" i="18"/>
  <c r="W234" i="18"/>
  <c r="AA222" i="18"/>
  <c r="W222" i="18"/>
  <c r="AA210" i="18"/>
  <c r="W210" i="18"/>
  <c r="AA198" i="18"/>
  <c r="W198" i="18"/>
  <c r="AA186" i="18"/>
  <c r="W186" i="18"/>
  <c r="AA174" i="18"/>
  <c r="W174" i="18"/>
  <c r="AA162" i="18"/>
  <c r="W162" i="18"/>
  <c r="AA150" i="18"/>
  <c r="W150" i="18"/>
  <c r="AA138" i="18"/>
  <c r="W138" i="18"/>
  <c r="AA126" i="18"/>
  <c r="W126" i="18"/>
  <c r="AA114" i="18"/>
  <c r="W114" i="18"/>
  <c r="AA102" i="18"/>
  <c r="W102" i="18"/>
  <c r="AA90" i="18"/>
  <c r="W90" i="18"/>
  <c r="AA79" i="18"/>
  <c r="W79" i="18"/>
  <c r="AA67" i="18"/>
  <c r="W67" i="18"/>
  <c r="AA55" i="18"/>
  <c r="W55" i="18"/>
  <c r="AA43" i="18"/>
  <c r="W43" i="18"/>
  <c r="AA30" i="18"/>
  <c r="W30" i="18"/>
  <c r="AA18" i="18"/>
  <c r="W18" i="18"/>
  <c r="AA6" i="18"/>
  <c r="W6" i="18"/>
  <c r="W1241" i="18"/>
  <c r="W1203" i="18"/>
  <c r="W1167" i="18"/>
  <c r="W1131" i="18"/>
  <c r="W1095" i="18"/>
  <c r="W1059" i="18"/>
  <c r="W1023" i="18"/>
  <c r="W951" i="18"/>
  <c r="W915" i="18"/>
  <c r="W879" i="18"/>
  <c r="W843" i="18"/>
  <c r="W798" i="18"/>
  <c r="W746" i="18"/>
  <c r="W680" i="18"/>
  <c r="W602" i="18"/>
  <c r="W523" i="18"/>
  <c r="W445" i="18"/>
  <c r="W364" i="18"/>
  <c r="W187" i="18"/>
  <c r="AA1001" i="18"/>
  <c r="AA821" i="18"/>
  <c r="W821" i="18"/>
  <c r="AA809" i="18"/>
  <c r="W809" i="18"/>
  <c r="AA797" i="18"/>
  <c r="W797" i="18"/>
  <c r="AA773" i="18"/>
  <c r="W773" i="18"/>
  <c r="AA749" i="18"/>
  <c r="W749" i="18"/>
  <c r="AA737" i="18"/>
  <c r="W737" i="18"/>
  <c r="AA725" i="18"/>
  <c r="W725" i="18"/>
  <c r="AA713" i="18"/>
  <c r="W713" i="18"/>
  <c r="AA701" i="18"/>
  <c r="W701" i="18"/>
  <c r="AA689" i="18"/>
  <c r="W689" i="18"/>
  <c r="AA677" i="18"/>
  <c r="W677" i="18"/>
  <c r="AA665" i="18"/>
  <c r="W665" i="18"/>
  <c r="AA653" i="18"/>
  <c r="W653" i="18"/>
  <c r="AA629" i="18"/>
  <c r="W629" i="18"/>
  <c r="AA605" i="18"/>
  <c r="W605" i="18"/>
  <c r="AA593" i="18"/>
  <c r="W593" i="18"/>
  <c r="AA581" i="18"/>
  <c r="W581" i="18"/>
  <c r="AA569" i="18"/>
  <c r="W569" i="18"/>
  <c r="AA557" i="18"/>
  <c r="W557" i="18"/>
  <c r="AA545" i="18"/>
  <c r="W545" i="18"/>
  <c r="AA533" i="18"/>
  <c r="W533" i="18"/>
  <c r="AA521" i="18"/>
  <c r="W521" i="18"/>
  <c r="AA509" i="18"/>
  <c r="W509" i="18"/>
  <c r="AA485" i="18"/>
  <c r="W485" i="18"/>
  <c r="AA461" i="18"/>
  <c r="W461" i="18"/>
  <c r="AA449" i="18"/>
  <c r="W449" i="18"/>
  <c r="AA437" i="18"/>
  <c r="W437" i="18"/>
  <c r="AA425" i="18"/>
  <c r="W425" i="18"/>
  <c r="AA413" i="18"/>
  <c r="W413" i="18"/>
  <c r="AA401" i="18"/>
  <c r="W401" i="18"/>
  <c r="AA389" i="18"/>
  <c r="W389" i="18"/>
  <c r="AA377" i="18"/>
  <c r="W377" i="18"/>
  <c r="AA365" i="18"/>
  <c r="W365" i="18"/>
  <c r="AA353" i="18"/>
  <c r="W353" i="18"/>
  <c r="AA341" i="18"/>
  <c r="W341" i="18"/>
  <c r="AA329" i="18"/>
  <c r="W329" i="18"/>
  <c r="AA317" i="18"/>
  <c r="W317" i="18"/>
  <c r="AA305" i="18"/>
  <c r="W305" i="18"/>
  <c r="AA293" i="18"/>
  <c r="W293" i="18"/>
  <c r="AA281" i="18"/>
  <c r="W281" i="18"/>
  <c r="AA269" i="18"/>
  <c r="W269" i="18"/>
  <c r="AA257" i="18"/>
  <c r="W257" i="18"/>
  <c r="AA245" i="18"/>
  <c r="W245" i="18"/>
  <c r="AA233" i="18"/>
  <c r="W233" i="18"/>
  <c r="AA221" i="18"/>
  <c r="W221" i="18"/>
  <c r="AA197" i="18"/>
  <c r="W197" i="18"/>
  <c r="AA185" i="18"/>
  <c r="W185" i="18"/>
  <c r="AA173" i="18"/>
  <c r="W173" i="18"/>
  <c r="AA161" i="18"/>
  <c r="W161" i="18"/>
  <c r="AA149" i="18"/>
  <c r="W149" i="18"/>
  <c r="AA137" i="18"/>
  <c r="W137" i="18"/>
  <c r="AA125" i="18"/>
  <c r="W125" i="18"/>
  <c r="AA113" i="18"/>
  <c r="W113" i="18"/>
  <c r="AA89" i="18"/>
  <c r="W89" i="18"/>
  <c r="AA78" i="18"/>
  <c r="W78" i="18"/>
  <c r="AA66" i="18"/>
  <c r="W66" i="18"/>
  <c r="AA54" i="18"/>
  <c r="W54" i="18"/>
  <c r="AA42" i="18"/>
  <c r="W42" i="18"/>
  <c r="AA29" i="18"/>
  <c r="W29" i="18"/>
  <c r="AA17" i="18"/>
  <c r="W17" i="18"/>
  <c r="AA5" i="18"/>
  <c r="W5" i="18"/>
  <c r="W1234" i="18"/>
  <c r="W1196" i="18"/>
  <c r="W1160" i="18"/>
  <c r="W1124" i="18"/>
  <c r="W1088" i="18"/>
  <c r="W1052" i="18"/>
  <c r="W1016" i="18"/>
  <c r="W980" i="18"/>
  <c r="W944" i="18"/>
  <c r="W908" i="18"/>
  <c r="W872" i="18"/>
  <c r="W836" i="18"/>
  <c r="W795" i="18"/>
  <c r="W742" i="18"/>
  <c r="W669" i="18"/>
  <c r="W591" i="18"/>
  <c r="W512" i="18"/>
  <c r="W434" i="18"/>
  <c r="W352" i="18"/>
  <c r="W166" i="18"/>
  <c r="AA1229" i="18"/>
  <c r="W1229" i="18"/>
  <c r="AA1216" i="18"/>
  <c r="W1216" i="18"/>
  <c r="AA1204" i="18"/>
  <c r="W1204" i="18"/>
  <c r="AA1192" i="18"/>
  <c r="W1192" i="18"/>
  <c r="AA1180" i="18"/>
  <c r="W1180" i="18"/>
  <c r="AA1168" i="18"/>
  <c r="W1168" i="18"/>
  <c r="AA1156" i="18"/>
  <c r="W1156" i="18"/>
  <c r="AA1144" i="18"/>
  <c r="W1144" i="18"/>
  <c r="AA1132" i="18"/>
  <c r="W1132" i="18"/>
  <c r="AA1120" i="18"/>
  <c r="W1120" i="18"/>
  <c r="AA1108" i="18"/>
  <c r="W1108" i="18"/>
  <c r="AA1096" i="18"/>
  <c r="W1096" i="18"/>
  <c r="AA1084" i="18"/>
  <c r="W1084" i="18"/>
  <c r="AA1072" i="18"/>
  <c r="W1072" i="18"/>
  <c r="AA1060" i="18"/>
  <c r="W1060" i="18"/>
  <c r="AA1048" i="18"/>
  <c r="W1048" i="18"/>
  <c r="AA1036" i="18"/>
  <c r="W1036" i="18"/>
  <c r="AA1024" i="18"/>
  <c r="W1024" i="18"/>
  <c r="AA1012" i="18"/>
  <c r="W1012" i="18"/>
  <c r="AA1000" i="18"/>
  <c r="W1000" i="18"/>
  <c r="AA988" i="18"/>
  <c r="W988" i="18"/>
  <c r="AA976" i="18"/>
  <c r="W976" i="18"/>
  <c r="AA964" i="18"/>
  <c r="W964" i="18"/>
  <c r="AA952" i="18"/>
  <c r="W952" i="18"/>
  <c r="AA940" i="18"/>
  <c r="W940" i="18"/>
  <c r="AA928" i="18"/>
  <c r="W928" i="18"/>
  <c r="AA916" i="18"/>
  <c r="W916" i="18"/>
  <c r="AA904" i="18"/>
  <c r="W904" i="18"/>
  <c r="AA892" i="18"/>
  <c r="W892" i="18"/>
  <c r="AA880" i="18"/>
  <c r="W880" i="18"/>
  <c r="AA868" i="18"/>
  <c r="W868" i="18"/>
  <c r="AA856" i="18"/>
  <c r="W856" i="18"/>
  <c r="AA844" i="18"/>
  <c r="W844" i="18"/>
  <c r="AA832" i="18"/>
  <c r="W832" i="18"/>
  <c r="AA820" i="18"/>
  <c r="W820" i="18"/>
  <c r="AA808" i="18"/>
  <c r="W808" i="18"/>
  <c r="AA796" i="18"/>
  <c r="W796" i="18"/>
  <c r="AA784" i="18"/>
  <c r="W784" i="18"/>
  <c r="AA760" i="18"/>
  <c r="W760" i="18"/>
  <c r="AA736" i="18"/>
  <c r="W736" i="18"/>
  <c r="AA724" i="18"/>
  <c r="W724" i="18"/>
  <c r="AA712" i="18"/>
  <c r="W712" i="18"/>
  <c r="AA700" i="18"/>
  <c r="W700" i="18"/>
  <c r="AA688" i="18"/>
  <c r="W688" i="18"/>
  <c r="AA676" i="18"/>
  <c r="W676" i="18"/>
  <c r="AA664" i="18"/>
  <c r="W664" i="18"/>
  <c r="AA652" i="18"/>
  <c r="W652" i="18"/>
  <c r="AA640" i="18"/>
  <c r="W640" i="18"/>
  <c r="AA616" i="18"/>
  <c r="W616" i="18"/>
  <c r="AA592" i="18"/>
  <c r="W592" i="18"/>
  <c r="AA580" i="18"/>
  <c r="W580" i="18"/>
  <c r="AA568" i="18"/>
  <c r="W568" i="18"/>
  <c r="AA556" i="18"/>
  <c r="W556" i="18"/>
  <c r="AA544" i="18"/>
  <c r="W544" i="18"/>
  <c r="AA532" i="18"/>
  <c r="W532" i="18"/>
  <c r="AA520" i="18"/>
  <c r="W520" i="18"/>
  <c r="AA508" i="18"/>
  <c r="W508" i="18"/>
  <c r="AA496" i="18"/>
  <c r="W496" i="18"/>
  <c r="AA472" i="18"/>
  <c r="W472" i="18"/>
  <c r="AA448" i="18"/>
  <c r="W448" i="18"/>
  <c r="AA436" i="18"/>
  <c r="W436" i="18"/>
  <c r="AA424" i="18"/>
  <c r="W424" i="18"/>
  <c r="AA412" i="18"/>
  <c r="W412" i="18"/>
  <c r="AA400" i="18"/>
  <c r="W400" i="18"/>
  <c r="AA388" i="18"/>
  <c r="W388" i="18"/>
  <c r="AA376" i="18"/>
  <c r="W376" i="18"/>
  <c r="AA340" i="18"/>
  <c r="W340" i="18"/>
  <c r="AA328" i="18"/>
  <c r="W328" i="18"/>
  <c r="AA316" i="18"/>
  <c r="W316" i="18"/>
  <c r="AA304" i="18"/>
  <c r="W304" i="18"/>
  <c r="AA292" i="18"/>
  <c r="W292" i="18"/>
  <c r="AA280" i="18"/>
  <c r="W280" i="18"/>
  <c r="AA268" i="18"/>
  <c r="W268" i="18"/>
  <c r="AA256" i="18"/>
  <c r="W256" i="18"/>
  <c r="AA244" i="18"/>
  <c r="W244" i="18"/>
  <c r="AA220" i="18"/>
  <c r="W220" i="18"/>
  <c r="AA208" i="18"/>
  <c r="W208" i="18"/>
  <c r="AA196" i="18"/>
  <c r="W196" i="18"/>
  <c r="AA184" i="18"/>
  <c r="W184" i="18"/>
  <c r="AA172" i="18"/>
  <c r="W172" i="18"/>
  <c r="AA160" i="18"/>
  <c r="W160" i="18"/>
  <c r="AA148" i="18"/>
  <c r="W148" i="18"/>
  <c r="AA136" i="18"/>
  <c r="W136" i="18"/>
  <c r="AA112" i="18"/>
  <c r="W112" i="18"/>
  <c r="AA100" i="18"/>
  <c r="W100" i="18"/>
  <c r="AA88" i="18"/>
  <c r="W88" i="18"/>
  <c r="AA77" i="18"/>
  <c r="W77" i="18"/>
  <c r="AA65" i="18"/>
  <c r="W65" i="18"/>
  <c r="AA53" i="18"/>
  <c r="W53" i="18"/>
  <c r="AA40" i="18"/>
  <c r="W40" i="18"/>
  <c r="AA28" i="18"/>
  <c r="W28" i="18"/>
  <c r="AA4" i="18"/>
  <c r="W4" i="18"/>
  <c r="W1232" i="18"/>
  <c r="W1194" i="18"/>
  <c r="W1158" i="18"/>
  <c r="W1122" i="18"/>
  <c r="W1086" i="18"/>
  <c r="W1050" i="18"/>
  <c r="W1014" i="18"/>
  <c r="W978" i="18"/>
  <c r="W942" i="18"/>
  <c r="W906" i="18"/>
  <c r="W870" i="18"/>
  <c r="W834" i="18"/>
  <c r="W787" i="18"/>
  <c r="W735" i="18"/>
  <c r="W667" i="18"/>
  <c r="W589" i="18"/>
  <c r="W510" i="18"/>
  <c r="W432" i="18"/>
  <c r="W350" i="18"/>
  <c r="W146" i="18"/>
  <c r="AA1071" i="18"/>
  <c r="AA1011" i="18"/>
  <c r="AA999" i="18"/>
  <c r="AA987" i="18"/>
  <c r="AA783" i="18"/>
  <c r="W783" i="18"/>
  <c r="AA771" i="18"/>
  <c r="W771" i="18"/>
  <c r="AA747" i="18"/>
  <c r="W747" i="18"/>
  <c r="AA723" i="18"/>
  <c r="W723" i="18"/>
  <c r="AA711" i="18"/>
  <c r="W711" i="18"/>
  <c r="AA699" i="18"/>
  <c r="W699" i="18"/>
  <c r="AA687" i="18"/>
  <c r="W687" i="18"/>
  <c r="AA675" i="18"/>
  <c r="W675" i="18"/>
  <c r="AA663" i="18"/>
  <c r="W663" i="18"/>
  <c r="AA651" i="18"/>
  <c r="W651" i="18"/>
  <c r="AA639" i="18"/>
  <c r="W639" i="18"/>
  <c r="AA627" i="18"/>
  <c r="W627" i="18"/>
  <c r="AA603" i="18"/>
  <c r="W603" i="18"/>
  <c r="AA579" i="18"/>
  <c r="W579" i="18"/>
  <c r="AA567" i="18"/>
  <c r="W567" i="18"/>
  <c r="AA555" i="18"/>
  <c r="W555" i="18"/>
  <c r="AA543" i="18"/>
  <c r="W543" i="18"/>
  <c r="AA531" i="18"/>
  <c r="W531" i="18"/>
  <c r="AA519" i="18"/>
  <c r="W519" i="18"/>
  <c r="AA507" i="18"/>
  <c r="W507" i="18"/>
  <c r="AA495" i="18"/>
  <c r="W495" i="18"/>
  <c r="AA483" i="18"/>
  <c r="W483" i="18"/>
  <c r="AA459" i="18"/>
  <c r="W459" i="18"/>
  <c r="AA435" i="18"/>
  <c r="W435" i="18"/>
  <c r="AA423" i="18"/>
  <c r="W423" i="18"/>
  <c r="AA411" i="18"/>
  <c r="W411" i="18"/>
  <c r="AA399" i="18"/>
  <c r="W399" i="18"/>
  <c r="AA387" i="18"/>
  <c r="W387" i="18"/>
  <c r="AA375" i="18"/>
  <c r="W375" i="18"/>
  <c r="AA363" i="18"/>
  <c r="W363" i="18"/>
  <c r="AA351" i="18"/>
  <c r="W351" i="18"/>
  <c r="AA339" i="18"/>
  <c r="W339" i="18"/>
  <c r="AA327" i="18"/>
  <c r="W327" i="18"/>
  <c r="AA315" i="18"/>
  <c r="W315" i="18"/>
  <c r="AA303" i="18"/>
  <c r="W303" i="18"/>
  <c r="AA291" i="18"/>
  <c r="W291" i="18"/>
  <c r="AA279" i="18"/>
  <c r="W279" i="18"/>
  <c r="AA267" i="18"/>
  <c r="W267" i="18"/>
  <c r="AA255" i="18"/>
  <c r="W255" i="18"/>
  <c r="AA243" i="18"/>
  <c r="W243" i="18"/>
  <c r="AA231" i="18"/>
  <c r="W231" i="18"/>
  <c r="AA219" i="18"/>
  <c r="W219" i="18"/>
  <c r="AA207" i="18"/>
  <c r="W207" i="18"/>
  <c r="AA195" i="18"/>
  <c r="W195" i="18"/>
  <c r="AA183" i="18"/>
  <c r="W183" i="18"/>
  <c r="AA171" i="18"/>
  <c r="W171" i="18"/>
  <c r="AA159" i="18"/>
  <c r="W159" i="18"/>
  <c r="AA147" i="18"/>
  <c r="W147" i="18"/>
  <c r="AA135" i="18"/>
  <c r="W135" i="18"/>
  <c r="AA123" i="18"/>
  <c r="W123" i="18"/>
  <c r="AA111" i="18"/>
  <c r="W111" i="18"/>
  <c r="AA99" i="18"/>
  <c r="W99" i="18"/>
  <c r="AA76" i="18"/>
  <c r="W76" i="18"/>
  <c r="AA64" i="18"/>
  <c r="W64" i="18"/>
  <c r="AA52" i="18"/>
  <c r="W52" i="18"/>
  <c r="AA39" i="18"/>
  <c r="W39" i="18"/>
  <c r="AA27" i="18"/>
  <c r="W27" i="18"/>
  <c r="AA15" i="18"/>
  <c r="W15" i="18"/>
  <c r="AA3" i="18"/>
  <c r="W3" i="18"/>
  <c r="W1231" i="18"/>
  <c r="W1193" i="18"/>
  <c r="W1157" i="18"/>
  <c r="W1121" i="18"/>
  <c r="W1085" i="18"/>
  <c r="W1049" i="18"/>
  <c r="W1013" i="18"/>
  <c r="W977" i="18"/>
  <c r="W941" i="18"/>
  <c r="W905" i="18"/>
  <c r="W869" i="18"/>
  <c r="W833" i="18"/>
  <c r="W785" i="18"/>
  <c r="W733" i="18"/>
  <c r="W656" i="18"/>
  <c r="W578" i="18"/>
  <c r="W499" i="18"/>
  <c r="W421" i="18"/>
  <c r="W338" i="18"/>
  <c r="W124" i="18"/>
  <c r="AA1240" i="18"/>
  <c r="W1240" i="18"/>
  <c r="AA1227" i="18"/>
  <c r="W1227" i="18"/>
  <c r="AA1214" i="18"/>
  <c r="W1214" i="18"/>
  <c r="AA1202" i="18"/>
  <c r="W1202" i="18"/>
  <c r="AA1190" i="18"/>
  <c r="W1190" i="18"/>
  <c r="AA1178" i="18"/>
  <c r="W1178" i="18"/>
  <c r="AA1166" i="18"/>
  <c r="W1166" i="18"/>
  <c r="AA1154" i="18"/>
  <c r="W1154" i="18"/>
  <c r="AA1142" i="18"/>
  <c r="W1142" i="18"/>
  <c r="AA1130" i="18"/>
  <c r="W1130" i="18"/>
  <c r="AA1118" i="18"/>
  <c r="W1118" i="18"/>
  <c r="AA1106" i="18"/>
  <c r="W1106" i="18"/>
  <c r="AA1094" i="18"/>
  <c r="W1094" i="18"/>
  <c r="AA1082" i="18"/>
  <c r="W1082" i="18"/>
  <c r="AA1070" i="18"/>
  <c r="W1070" i="18"/>
  <c r="AA1058" i="18"/>
  <c r="W1058" i="18"/>
  <c r="AA1046" i="18"/>
  <c r="W1046" i="18"/>
  <c r="AA1034" i="18"/>
  <c r="W1034" i="18"/>
  <c r="AA1022" i="18"/>
  <c r="W1022" i="18"/>
  <c r="AA1010" i="18"/>
  <c r="W1010" i="18"/>
  <c r="AA998" i="18"/>
  <c r="W998" i="18"/>
  <c r="AA986" i="18"/>
  <c r="W986" i="18"/>
  <c r="AA974" i="18"/>
  <c r="W974" i="18"/>
  <c r="AA962" i="18"/>
  <c r="W962" i="18"/>
  <c r="AA950" i="18"/>
  <c r="W950" i="18"/>
  <c r="AA938" i="18"/>
  <c r="W938" i="18"/>
  <c r="AA926" i="18"/>
  <c r="W926" i="18"/>
  <c r="AA914" i="18"/>
  <c r="W914" i="18"/>
  <c r="AA902" i="18"/>
  <c r="W902" i="18"/>
  <c r="AA890" i="18"/>
  <c r="W890" i="18"/>
  <c r="AA878" i="18"/>
  <c r="W878" i="18"/>
  <c r="AA866" i="18"/>
  <c r="W866" i="18"/>
  <c r="AA854" i="18"/>
  <c r="W854" i="18"/>
  <c r="AA842" i="18"/>
  <c r="W842" i="18"/>
  <c r="AA830" i="18"/>
  <c r="W830" i="18"/>
  <c r="AA818" i="18"/>
  <c r="W818" i="18"/>
  <c r="AA806" i="18"/>
  <c r="W806" i="18"/>
  <c r="AA794" i="18"/>
  <c r="W794" i="18"/>
  <c r="AA770" i="18"/>
  <c r="W770" i="18"/>
  <c r="AA758" i="18"/>
  <c r="W758" i="18"/>
  <c r="AA734" i="18"/>
  <c r="W734" i="18"/>
  <c r="AA710" i="18"/>
  <c r="W710" i="18"/>
  <c r="AA698" i="18"/>
  <c r="W698" i="18"/>
  <c r="AA686" i="18"/>
  <c r="W686" i="18"/>
  <c r="AA674" i="18"/>
  <c r="W674" i="18"/>
  <c r="AA662" i="18"/>
  <c r="W662" i="18"/>
  <c r="AA650" i="18"/>
  <c r="W650" i="18"/>
  <c r="AA638" i="18"/>
  <c r="W638" i="18"/>
  <c r="AA626" i="18"/>
  <c r="W626" i="18"/>
  <c r="AA614" i="18"/>
  <c r="W614" i="18"/>
  <c r="AA590" i="18"/>
  <c r="W590" i="18"/>
  <c r="AA566" i="18"/>
  <c r="W566" i="18"/>
  <c r="AA554" i="18"/>
  <c r="W554" i="18"/>
  <c r="AA542" i="18"/>
  <c r="W542" i="18"/>
  <c r="AA530" i="18"/>
  <c r="W530" i="18"/>
  <c r="AA518" i="18"/>
  <c r="W518" i="18"/>
  <c r="AA506" i="18"/>
  <c r="W506" i="18"/>
  <c r="AA494" i="18"/>
  <c r="W494" i="18"/>
  <c r="AA482" i="18"/>
  <c r="W482" i="18"/>
  <c r="AA470" i="18"/>
  <c r="W470" i="18"/>
  <c r="AA446" i="18"/>
  <c r="W446" i="18"/>
  <c r="AA422" i="18"/>
  <c r="W422" i="18"/>
  <c r="AA410" i="18"/>
  <c r="W410" i="18"/>
  <c r="AA398" i="18"/>
  <c r="W398" i="18"/>
  <c r="AA386" i="18"/>
  <c r="W386" i="18"/>
  <c r="AA374" i="18"/>
  <c r="W374" i="18"/>
  <c r="AA362" i="18"/>
  <c r="W362" i="18"/>
  <c r="AA326" i="18"/>
  <c r="W326" i="18"/>
  <c r="AA314" i="18"/>
  <c r="W314" i="18"/>
  <c r="AA302" i="18"/>
  <c r="W302" i="18"/>
  <c r="AA290" i="18"/>
  <c r="W290" i="18"/>
  <c r="AA278" i="18"/>
  <c r="W278" i="18"/>
  <c r="AA266" i="18"/>
  <c r="W266" i="18"/>
  <c r="AA242" i="18"/>
  <c r="W242" i="18"/>
  <c r="AA230" i="18"/>
  <c r="W230" i="18"/>
  <c r="AA218" i="18"/>
  <c r="W218" i="18"/>
  <c r="AA206" i="18"/>
  <c r="W206" i="18"/>
  <c r="AA194" i="18"/>
  <c r="W194" i="18"/>
  <c r="AA182" i="18"/>
  <c r="W182" i="18"/>
  <c r="AA170" i="18"/>
  <c r="W170" i="18"/>
  <c r="AA158" i="18"/>
  <c r="W158" i="18"/>
  <c r="AA134" i="18"/>
  <c r="W134" i="18"/>
  <c r="AA122" i="18"/>
  <c r="W122" i="18"/>
  <c r="AA110" i="18"/>
  <c r="W110" i="18"/>
  <c r="AA98" i="18"/>
  <c r="W98" i="18"/>
  <c r="AA87" i="18"/>
  <c r="W87" i="18"/>
  <c r="AA75" i="18"/>
  <c r="W75" i="18"/>
  <c r="AA63" i="18"/>
  <c r="W63" i="18"/>
  <c r="AA51" i="18"/>
  <c r="W51" i="18"/>
  <c r="AA26" i="18"/>
  <c r="W26" i="18"/>
  <c r="AA14" i="18"/>
  <c r="W14" i="18"/>
  <c r="AA2" i="18"/>
  <c r="W2" i="18"/>
  <c r="W1228" i="18"/>
  <c r="W1191" i="18"/>
  <c r="W1155" i="18"/>
  <c r="W1119" i="18"/>
  <c r="W1083" i="18"/>
  <c r="W1047" i="18"/>
  <c r="W1011" i="18"/>
  <c r="W975" i="18"/>
  <c r="W939" i="18"/>
  <c r="W903" i="18"/>
  <c r="W867" i="18"/>
  <c r="W831" i="18"/>
  <c r="W782" i="18"/>
  <c r="W729" i="18"/>
  <c r="W654" i="18"/>
  <c r="W576" i="18"/>
  <c r="W497" i="18"/>
  <c r="W418" i="18"/>
  <c r="W336" i="18"/>
  <c r="W101" i="18"/>
  <c r="AA1239" i="18"/>
  <c r="W1239" i="18"/>
  <c r="AA1226" i="18"/>
  <c r="W1226" i="18"/>
  <c r="AA1213" i="18"/>
  <c r="W1213" i="18"/>
  <c r="AA1201" i="18"/>
  <c r="W1201" i="18"/>
  <c r="AA1189" i="18"/>
  <c r="W1189" i="18"/>
  <c r="AA1177" i="18"/>
  <c r="W1177" i="18"/>
  <c r="AA1165" i="18"/>
  <c r="W1165" i="18"/>
  <c r="AA1153" i="18"/>
  <c r="W1153" i="18"/>
  <c r="AA1141" i="18"/>
  <c r="W1141" i="18"/>
  <c r="AA1129" i="18"/>
  <c r="W1129" i="18"/>
  <c r="AA1117" i="18"/>
  <c r="W1117" i="18"/>
  <c r="AA1105" i="18"/>
  <c r="W1105" i="18"/>
  <c r="AA1093" i="18"/>
  <c r="W1093" i="18"/>
  <c r="AA1081" i="18"/>
  <c r="W1081" i="18"/>
  <c r="AA1069" i="18"/>
  <c r="W1069" i="18"/>
  <c r="AA1057" i="18"/>
  <c r="W1057" i="18"/>
  <c r="AA1045" i="18"/>
  <c r="W1045" i="18"/>
  <c r="AA1033" i="18"/>
  <c r="W1033" i="18"/>
  <c r="AA1021" i="18"/>
  <c r="W1021" i="18"/>
  <c r="AA1009" i="18"/>
  <c r="W1009" i="18"/>
  <c r="AA997" i="18"/>
  <c r="W997" i="18"/>
  <c r="AA985" i="18"/>
  <c r="W985" i="18"/>
  <c r="AA973" i="18"/>
  <c r="W973" i="18"/>
  <c r="AA961" i="18"/>
  <c r="W961" i="18"/>
  <c r="AA949" i="18"/>
  <c r="W949" i="18"/>
  <c r="AA937" i="18"/>
  <c r="W937" i="18"/>
  <c r="AA925" i="18"/>
  <c r="W925" i="18"/>
  <c r="AA913" i="18"/>
  <c r="W913" i="18"/>
  <c r="AA901" i="18"/>
  <c r="W901" i="18"/>
  <c r="AA889" i="18"/>
  <c r="W889" i="18"/>
  <c r="AA877" i="18"/>
  <c r="W877" i="18"/>
  <c r="AA865" i="18"/>
  <c r="W865" i="18"/>
  <c r="AA853" i="18"/>
  <c r="W853" i="18"/>
  <c r="AA841" i="18"/>
  <c r="W841" i="18"/>
  <c r="AA829" i="18"/>
  <c r="W829" i="18"/>
  <c r="AA817" i="18"/>
  <c r="W817" i="18"/>
  <c r="AA805" i="18"/>
  <c r="W805" i="18"/>
  <c r="AA793" i="18"/>
  <c r="W793" i="18"/>
  <c r="AA781" i="18"/>
  <c r="W781" i="18"/>
  <c r="AA757" i="18"/>
  <c r="W757" i="18"/>
  <c r="AA745" i="18"/>
  <c r="W745" i="18"/>
  <c r="AA721" i="18"/>
  <c r="W721" i="18"/>
  <c r="AA697" i="18"/>
  <c r="W697" i="18"/>
  <c r="AA685" i="18"/>
  <c r="W685" i="18"/>
  <c r="AA673" i="18"/>
  <c r="W673" i="18"/>
  <c r="AA661" i="18"/>
  <c r="W661" i="18"/>
  <c r="AA649" i="18"/>
  <c r="W649" i="18"/>
  <c r="AA637" i="18"/>
  <c r="W637" i="18"/>
  <c r="AA625" i="18"/>
  <c r="W625" i="18"/>
  <c r="AA613" i="18"/>
  <c r="W613" i="18"/>
  <c r="AA601" i="18"/>
  <c r="W601" i="18"/>
  <c r="AA577" i="18"/>
  <c r="W577" i="18"/>
  <c r="AA553" i="18"/>
  <c r="W553" i="18"/>
  <c r="AA541" i="18"/>
  <c r="W541" i="18"/>
  <c r="AA529" i="18"/>
  <c r="W529" i="18"/>
  <c r="AA517" i="18"/>
  <c r="W517" i="18"/>
  <c r="AA505" i="18"/>
  <c r="W505" i="18"/>
  <c r="AA493" i="18"/>
  <c r="W493" i="18"/>
  <c r="AA481" i="18"/>
  <c r="W481" i="18"/>
  <c r="AA469" i="18"/>
  <c r="W469" i="18"/>
  <c r="AA457" i="18"/>
  <c r="W457" i="18"/>
  <c r="AA433" i="18"/>
  <c r="W433" i="18"/>
  <c r="AA409" i="18"/>
  <c r="W409" i="18"/>
  <c r="AA397" i="18"/>
  <c r="W397" i="18"/>
  <c r="AA385" i="18"/>
  <c r="W385" i="18"/>
  <c r="AA373" i="18"/>
  <c r="W373" i="18"/>
  <c r="AA361" i="18"/>
  <c r="W361" i="18"/>
  <c r="AA349" i="18"/>
  <c r="W349" i="18"/>
  <c r="AA337" i="18"/>
  <c r="W337" i="18"/>
  <c r="AA325" i="18"/>
  <c r="W325" i="18"/>
  <c r="AA313" i="18"/>
  <c r="W313" i="18"/>
  <c r="AA301" i="18"/>
  <c r="W301" i="18"/>
  <c r="AA289" i="18"/>
  <c r="W289" i="18"/>
  <c r="AA277" i="18"/>
  <c r="W277" i="18"/>
  <c r="AA265" i="18"/>
  <c r="W265" i="18"/>
  <c r="AA253" i="18"/>
  <c r="W253" i="18"/>
  <c r="AA241" i="18"/>
  <c r="W241" i="18"/>
  <c r="AA229" i="18"/>
  <c r="W229" i="18"/>
  <c r="AA217" i="18"/>
  <c r="W217" i="18"/>
  <c r="AA205" i="18"/>
  <c r="W205" i="18"/>
  <c r="AA193" i="18"/>
  <c r="W193" i="18"/>
  <c r="AA181" i="18"/>
  <c r="W181" i="18"/>
  <c r="AA169" i="18"/>
  <c r="W169" i="18"/>
  <c r="AA157" i="18"/>
  <c r="W157" i="18"/>
  <c r="AA145" i="18"/>
  <c r="W145" i="18"/>
  <c r="AA133" i="18"/>
  <c r="W133" i="18"/>
  <c r="AA121" i="18"/>
  <c r="W121" i="18"/>
  <c r="AA109" i="18"/>
  <c r="W109" i="18"/>
  <c r="AA97" i="18"/>
  <c r="W97" i="18"/>
  <c r="AA86" i="18"/>
  <c r="W86" i="18"/>
  <c r="AA74" i="18"/>
  <c r="W74" i="18"/>
  <c r="AA62" i="18"/>
  <c r="W62" i="18"/>
  <c r="AA50" i="18"/>
  <c r="W50" i="18"/>
  <c r="AA37" i="18"/>
  <c r="W37" i="18"/>
  <c r="AA25" i="18"/>
  <c r="W25" i="18"/>
  <c r="AA13" i="18"/>
  <c r="W13" i="18"/>
  <c r="W1221" i="18"/>
  <c r="W1184" i="18"/>
  <c r="W1148" i="18"/>
  <c r="W1112" i="18"/>
  <c r="W1076" i="18"/>
  <c r="W1040" i="18"/>
  <c r="W968" i="18"/>
  <c r="W932" i="18"/>
  <c r="W896" i="18"/>
  <c r="W860" i="18"/>
  <c r="W824" i="18"/>
  <c r="W774" i="18"/>
  <c r="W722" i="18"/>
  <c r="W643" i="18"/>
  <c r="W565" i="18"/>
  <c r="W486" i="18"/>
  <c r="W408" i="18"/>
  <c r="W324" i="18"/>
  <c r="W80" i="18"/>
  <c r="AA1238" i="18"/>
  <c r="W1238" i="18"/>
  <c r="AA1225" i="18"/>
  <c r="W1225" i="18"/>
  <c r="AA1212" i="18"/>
  <c r="W1212" i="18"/>
  <c r="AA1200" i="18"/>
  <c r="W1200" i="18"/>
  <c r="AA1188" i="18"/>
  <c r="W1188" i="18"/>
  <c r="AA1176" i="18"/>
  <c r="W1176" i="18"/>
  <c r="AA1164" i="18"/>
  <c r="W1164" i="18"/>
  <c r="AA1152" i="18"/>
  <c r="W1152" i="18"/>
  <c r="AA1140" i="18"/>
  <c r="W1140" i="18"/>
  <c r="AA1128" i="18"/>
  <c r="W1128" i="18"/>
  <c r="AA1116" i="18"/>
  <c r="W1116" i="18"/>
  <c r="AA1104" i="18"/>
  <c r="W1104" i="18"/>
  <c r="AA1092" i="18"/>
  <c r="W1092" i="18"/>
  <c r="AA1080" i="18"/>
  <c r="W1080" i="18"/>
  <c r="AA1068" i="18"/>
  <c r="W1068" i="18"/>
  <c r="AA1056" i="18"/>
  <c r="W1056" i="18"/>
  <c r="AA1044" i="18"/>
  <c r="W1044" i="18"/>
  <c r="AA1032" i="18"/>
  <c r="W1032" i="18"/>
  <c r="AA1020" i="18"/>
  <c r="W1020" i="18"/>
  <c r="AA1008" i="18"/>
  <c r="W1008" i="18"/>
  <c r="AA996" i="18"/>
  <c r="W996" i="18"/>
  <c r="AA984" i="18"/>
  <c r="W984" i="18"/>
  <c r="AA972" i="18"/>
  <c r="W972" i="18"/>
  <c r="AA960" i="18"/>
  <c r="W960" i="18"/>
  <c r="AA948" i="18"/>
  <c r="W948" i="18"/>
  <c r="AA936" i="18"/>
  <c r="W936" i="18"/>
  <c r="AA924" i="18"/>
  <c r="W924" i="18"/>
  <c r="AA912" i="18"/>
  <c r="W912" i="18"/>
  <c r="AA900" i="18"/>
  <c r="W900" i="18"/>
  <c r="AA888" i="18"/>
  <c r="W888" i="18"/>
  <c r="AA876" i="18"/>
  <c r="W876" i="18"/>
  <c r="AA864" i="18"/>
  <c r="W864" i="18"/>
  <c r="AA852" i="18"/>
  <c r="W852" i="18"/>
  <c r="AA840" i="18"/>
  <c r="W840" i="18"/>
  <c r="AA828" i="18"/>
  <c r="W828" i="18"/>
  <c r="AA816" i="18"/>
  <c r="W816" i="18"/>
  <c r="AA804" i="18"/>
  <c r="W804" i="18"/>
  <c r="AA792" i="18"/>
  <c r="W792" i="18"/>
  <c r="AA780" i="18"/>
  <c r="W780" i="18"/>
  <c r="AA768" i="18"/>
  <c r="W768" i="18"/>
  <c r="AA744" i="18"/>
  <c r="W744" i="18"/>
  <c r="AA732" i="18"/>
  <c r="W732" i="18"/>
  <c r="AA708" i="18"/>
  <c r="W708" i="18"/>
  <c r="AA684" i="18"/>
  <c r="W684" i="18"/>
  <c r="AA672" i="18"/>
  <c r="W672" i="18"/>
  <c r="AA660" i="18"/>
  <c r="W660" i="18"/>
  <c r="AA648" i="18"/>
  <c r="W648" i="18"/>
  <c r="AA636" i="18"/>
  <c r="W636" i="18"/>
  <c r="AA624" i="18"/>
  <c r="W624" i="18"/>
  <c r="AA612" i="18"/>
  <c r="W612" i="18"/>
  <c r="AA600" i="18"/>
  <c r="W600" i="18"/>
  <c r="AA588" i="18"/>
  <c r="W588" i="18"/>
  <c r="AA564" i="18"/>
  <c r="W564" i="18"/>
  <c r="AA540" i="18"/>
  <c r="W540" i="18"/>
  <c r="AA528" i="18"/>
  <c r="W528" i="18"/>
  <c r="AA516" i="18"/>
  <c r="W516" i="18"/>
  <c r="AA504" i="18"/>
  <c r="W504" i="18"/>
  <c r="AA492" i="18"/>
  <c r="W492" i="18"/>
  <c r="AA480" i="18"/>
  <c r="W480" i="18"/>
  <c r="AA468" i="18"/>
  <c r="W468" i="18"/>
  <c r="AA456" i="18"/>
  <c r="W456" i="18"/>
  <c r="AA444" i="18"/>
  <c r="W444" i="18"/>
  <c r="AA420" i="18"/>
  <c r="W420" i="18"/>
  <c r="AA396" i="18"/>
  <c r="W396" i="18"/>
  <c r="AA384" i="18"/>
  <c r="W384" i="18"/>
  <c r="AA372" i="18"/>
  <c r="W372" i="18"/>
  <c r="AA360" i="18"/>
  <c r="W360" i="18"/>
  <c r="AA348" i="18"/>
  <c r="W348" i="18"/>
  <c r="AA312" i="18"/>
  <c r="W312" i="18"/>
  <c r="AA300" i="18"/>
  <c r="W300" i="18"/>
  <c r="AA288" i="18"/>
  <c r="W288" i="18"/>
  <c r="AA276" i="18"/>
  <c r="W276" i="18"/>
  <c r="AA264" i="18"/>
  <c r="W264" i="18"/>
  <c r="AA252" i="18"/>
  <c r="W252" i="18"/>
  <c r="AA240" i="18"/>
  <c r="W240" i="18"/>
  <c r="AA228" i="18"/>
  <c r="W228" i="18"/>
  <c r="AA216" i="18"/>
  <c r="W216" i="18"/>
  <c r="AA204" i="18"/>
  <c r="W204" i="18"/>
  <c r="AA192" i="18"/>
  <c r="W192" i="18"/>
  <c r="AA180" i="18"/>
  <c r="W180" i="18"/>
  <c r="AA168" i="18"/>
  <c r="W168" i="18"/>
  <c r="AA156" i="18"/>
  <c r="W156" i="18"/>
  <c r="AA144" i="18"/>
  <c r="W144" i="18"/>
  <c r="AA132" i="18"/>
  <c r="W132" i="18"/>
  <c r="AA120" i="18"/>
  <c r="W120" i="18"/>
  <c r="AA108" i="18"/>
  <c r="W108" i="18"/>
  <c r="AA96" i="18"/>
  <c r="W96" i="18"/>
  <c r="AA85" i="18"/>
  <c r="W85" i="18"/>
  <c r="AA73" i="18"/>
  <c r="W73" i="18"/>
  <c r="AA61" i="18"/>
  <c r="W61" i="18"/>
  <c r="AA49" i="18"/>
  <c r="W49" i="18"/>
  <c r="AA36" i="18"/>
  <c r="W36" i="18"/>
  <c r="AA24" i="18"/>
  <c r="W24" i="18"/>
  <c r="AA12" i="18"/>
  <c r="W12" i="18"/>
  <c r="W1218" i="18"/>
  <c r="W1182" i="18"/>
  <c r="W1146" i="18"/>
  <c r="W1110" i="18"/>
  <c r="W1074" i="18"/>
  <c r="W1038" i="18"/>
  <c r="W1002" i="18"/>
  <c r="W966" i="18"/>
  <c r="W930" i="18"/>
  <c r="W894" i="18"/>
  <c r="W858" i="18"/>
  <c r="W822" i="18"/>
  <c r="W772" i="18"/>
  <c r="W720" i="18"/>
  <c r="W641" i="18"/>
  <c r="W562" i="18"/>
  <c r="W484" i="18"/>
  <c r="W405" i="18"/>
  <c r="W309" i="18"/>
  <c r="W59" i="18"/>
  <c r="AA1237" i="18"/>
  <c r="W1237" i="18"/>
  <c r="AA1224" i="18"/>
  <c r="W1224" i="18"/>
  <c r="AA1211" i="18"/>
  <c r="W1211" i="18"/>
  <c r="AA1199" i="18"/>
  <c r="W1199" i="18"/>
  <c r="AA1187" i="18"/>
  <c r="W1187" i="18"/>
  <c r="AA1175" i="18"/>
  <c r="W1175" i="18"/>
  <c r="AA1163" i="18"/>
  <c r="W1163" i="18"/>
  <c r="AA1151" i="18"/>
  <c r="W1151" i="18"/>
  <c r="AA1139" i="18"/>
  <c r="W1139" i="18"/>
  <c r="AA1127" i="18"/>
  <c r="W1127" i="18"/>
  <c r="AA1115" i="18"/>
  <c r="W1115" i="18"/>
  <c r="AA1103" i="18"/>
  <c r="W1103" i="18"/>
  <c r="AA1091" i="18"/>
  <c r="W1091" i="18"/>
  <c r="AA1079" i="18"/>
  <c r="W1079" i="18"/>
  <c r="AA1067" i="18"/>
  <c r="W1067" i="18"/>
  <c r="AA1055" i="18"/>
  <c r="W1055" i="18"/>
  <c r="AA1043" i="18"/>
  <c r="W1043" i="18"/>
  <c r="AA1031" i="18"/>
  <c r="W1031" i="18"/>
  <c r="AA1019" i="18"/>
  <c r="W1019" i="18"/>
  <c r="AA1007" i="18"/>
  <c r="W1007" i="18"/>
  <c r="AA995" i="18"/>
  <c r="W995" i="18"/>
  <c r="AA983" i="18"/>
  <c r="W983" i="18"/>
  <c r="AA971" i="18"/>
  <c r="W971" i="18"/>
  <c r="AA959" i="18"/>
  <c r="W959" i="18"/>
  <c r="AA947" i="18"/>
  <c r="W947" i="18"/>
  <c r="AA935" i="18"/>
  <c r="W935" i="18"/>
  <c r="AA923" i="18"/>
  <c r="W923" i="18"/>
  <c r="AA911" i="18"/>
  <c r="W911" i="18"/>
  <c r="AA899" i="18"/>
  <c r="W899" i="18"/>
  <c r="AA887" i="18"/>
  <c r="W887" i="18"/>
  <c r="AA875" i="18"/>
  <c r="W875" i="18"/>
  <c r="AA863" i="18"/>
  <c r="W863" i="18"/>
  <c r="AA851" i="18"/>
  <c r="W851" i="18"/>
  <c r="AA839" i="18"/>
  <c r="W839" i="18"/>
  <c r="AA827" i="18"/>
  <c r="W827" i="18"/>
  <c r="AA815" i="18"/>
  <c r="W815" i="18"/>
  <c r="AA803" i="18"/>
  <c r="W803" i="18"/>
  <c r="AA791" i="18"/>
  <c r="W791" i="18"/>
  <c r="AA779" i="18"/>
  <c r="W779" i="18"/>
  <c r="AA767" i="18"/>
  <c r="W767" i="18"/>
  <c r="AA755" i="18"/>
  <c r="W755" i="18"/>
  <c r="AA743" i="18"/>
  <c r="W743" i="18"/>
  <c r="AA731" i="18"/>
  <c r="W731" i="18"/>
  <c r="AA719" i="18"/>
  <c r="W719" i="18"/>
  <c r="AA707" i="18"/>
  <c r="W707" i="18"/>
  <c r="AA695" i="18"/>
  <c r="W695" i="18"/>
  <c r="AA683" i="18"/>
  <c r="W683" i="18"/>
  <c r="AA671" i="18"/>
  <c r="W671" i="18"/>
  <c r="AA659" i="18"/>
  <c r="W659" i="18"/>
  <c r="AA647" i="18"/>
  <c r="W647" i="18"/>
  <c r="AA635" i="18"/>
  <c r="W635" i="18"/>
  <c r="AA623" i="18"/>
  <c r="W623" i="18"/>
  <c r="AA611" i="18"/>
  <c r="W611" i="18"/>
  <c r="AA599" i="18"/>
  <c r="W599" i="18"/>
  <c r="AA587" i="18"/>
  <c r="W587" i="18"/>
  <c r="AA575" i="18"/>
  <c r="W575" i="18"/>
  <c r="AA563" i="18"/>
  <c r="W563" i="18"/>
  <c r="AA551" i="18"/>
  <c r="W551" i="18"/>
  <c r="AA539" i="18"/>
  <c r="W539" i="18"/>
  <c r="AA527" i="18"/>
  <c r="W527" i="18"/>
  <c r="AA515" i="18"/>
  <c r="W515" i="18"/>
  <c r="AA503" i="18"/>
  <c r="W503" i="18"/>
  <c r="AA491" i="18"/>
  <c r="W491" i="18"/>
  <c r="AA479" i="18"/>
  <c r="W479" i="18"/>
  <c r="AA467" i="18"/>
  <c r="W467" i="18"/>
  <c r="AA455" i="18"/>
  <c r="W455" i="18"/>
  <c r="AA443" i="18"/>
  <c r="W443" i="18"/>
  <c r="AA431" i="18"/>
  <c r="W431" i="18"/>
  <c r="AA419" i="18"/>
  <c r="W419" i="18"/>
  <c r="AA407" i="18"/>
  <c r="W407" i="18"/>
  <c r="AA395" i="18"/>
  <c r="W395" i="18"/>
  <c r="AA383" i="18"/>
  <c r="W383" i="18"/>
  <c r="AA371" i="18"/>
  <c r="W371" i="18"/>
  <c r="AA359" i="18"/>
  <c r="W359" i="18"/>
  <c r="AA347" i="18"/>
  <c r="W347" i="18"/>
  <c r="AA335" i="18"/>
  <c r="W335" i="18"/>
  <c r="AA323" i="18"/>
  <c r="W323" i="18"/>
  <c r="AA311" i="18"/>
  <c r="W311" i="18"/>
  <c r="AA299" i="18"/>
  <c r="W299" i="18"/>
  <c r="AA287" i="18"/>
  <c r="W287" i="18"/>
  <c r="AA275" i="18"/>
  <c r="W275" i="18"/>
  <c r="AA263" i="18"/>
  <c r="W263" i="18"/>
  <c r="AA251" i="18"/>
  <c r="W251" i="18"/>
  <c r="AA239" i="18"/>
  <c r="W239" i="18"/>
  <c r="AA227" i="18"/>
  <c r="W227" i="18"/>
  <c r="AA215" i="18"/>
  <c r="W215" i="18"/>
  <c r="AA203" i="18"/>
  <c r="W203" i="18"/>
  <c r="AA191" i="18"/>
  <c r="W191" i="18"/>
  <c r="AA179" i="18"/>
  <c r="W179" i="18"/>
  <c r="AA167" i="18"/>
  <c r="W167" i="18"/>
  <c r="AA155" i="18"/>
  <c r="W155" i="18"/>
  <c r="AA143" i="18"/>
  <c r="W143" i="18"/>
  <c r="AA131" i="18"/>
  <c r="W131" i="18"/>
  <c r="AA119" i="18"/>
  <c r="W119" i="18"/>
  <c r="AA107" i="18"/>
  <c r="W107" i="18"/>
  <c r="AA95" i="18"/>
  <c r="W95" i="18"/>
  <c r="AA84" i="18"/>
  <c r="W84" i="18"/>
  <c r="AA72" i="18"/>
  <c r="W72" i="18"/>
  <c r="AA60" i="18"/>
  <c r="W60" i="18"/>
  <c r="AA48" i="18"/>
  <c r="W48" i="18"/>
  <c r="AA35" i="18"/>
  <c r="W35" i="18"/>
  <c r="AA23" i="18"/>
  <c r="W23" i="18"/>
  <c r="AA11" i="18"/>
  <c r="W11" i="18"/>
  <c r="W1217" i="18"/>
  <c r="W1181" i="18"/>
  <c r="W1145" i="18"/>
  <c r="W1109" i="18"/>
  <c r="W1073" i="18"/>
  <c r="W1037" i="18"/>
  <c r="W1001" i="18"/>
  <c r="W965" i="18"/>
  <c r="W929" i="18"/>
  <c r="W893" i="18"/>
  <c r="W857" i="18"/>
  <c r="W819" i="18"/>
  <c r="W769" i="18"/>
  <c r="W709" i="18"/>
  <c r="W630" i="18"/>
  <c r="W552" i="18"/>
  <c r="W473" i="18"/>
  <c r="W394" i="18"/>
  <c r="W295" i="18"/>
  <c r="W38" i="18"/>
  <c r="AA1236" i="18"/>
  <c r="W1236" i="18"/>
  <c r="AA1223" i="18"/>
  <c r="W1223" i="18"/>
  <c r="AA1210" i="18"/>
  <c r="W1210" i="18"/>
  <c r="AA1198" i="18"/>
  <c r="W1198" i="18"/>
  <c r="AA1186" i="18"/>
  <c r="W1186" i="18"/>
  <c r="AA1174" i="18"/>
  <c r="W1174" i="18"/>
  <c r="AA1162" i="18"/>
  <c r="W1162" i="18"/>
  <c r="AA1150" i="18"/>
  <c r="W1150" i="18"/>
  <c r="AA1138" i="18"/>
  <c r="W1138" i="18"/>
  <c r="AA1126" i="18"/>
  <c r="W1126" i="18"/>
  <c r="AA1114" i="18"/>
  <c r="W1114" i="18"/>
  <c r="AA1102" i="18"/>
  <c r="W1102" i="18"/>
  <c r="AA1090" i="18"/>
  <c r="W1090" i="18"/>
  <c r="AA1078" i="18"/>
  <c r="W1078" i="18"/>
  <c r="AA1066" i="18"/>
  <c r="W1066" i="18"/>
  <c r="AA1054" i="18"/>
  <c r="W1054" i="18"/>
  <c r="AA1042" i="18"/>
  <c r="W1042" i="18"/>
  <c r="AA1030" i="18"/>
  <c r="W1030" i="18"/>
  <c r="AA1018" i="18"/>
  <c r="W1018" i="18"/>
  <c r="AA1006" i="18"/>
  <c r="W1006" i="18"/>
  <c r="AA994" i="18"/>
  <c r="W994" i="18"/>
  <c r="AA982" i="18"/>
  <c r="W982" i="18"/>
  <c r="AA970" i="18"/>
  <c r="W970" i="18"/>
  <c r="AA958" i="18"/>
  <c r="W958" i="18"/>
  <c r="AA946" i="18"/>
  <c r="W946" i="18"/>
  <c r="AA934" i="18"/>
  <c r="W934" i="18"/>
  <c r="AA922" i="18"/>
  <c r="W922" i="18"/>
  <c r="AA910" i="18"/>
  <c r="W910" i="18"/>
  <c r="AA898" i="18"/>
  <c r="W898" i="18"/>
  <c r="AA886" i="18"/>
  <c r="W886" i="18"/>
  <c r="AA874" i="18"/>
  <c r="W874" i="18"/>
  <c r="AA862" i="18"/>
  <c r="W862" i="18"/>
  <c r="AA850" i="18"/>
  <c r="W850" i="18"/>
  <c r="AA838" i="18"/>
  <c r="W838" i="18"/>
  <c r="AA826" i="18"/>
  <c r="W826" i="18"/>
  <c r="AA814" i="18"/>
  <c r="W814" i="18"/>
  <c r="AA802" i="18"/>
  <c r="W802" i="18"/>
  <c r="AA790" i="18"/>
  <c r="W790" i="18"/>
  <c r="AA778" i="18"/>
  <c r="W778" i="18"/>
  <c r="AA766" i="18"/>
  <c r="W766" i="18"/>
  <c r="AA754" i="18"/>
  <c r="W754" i="18"/>
  <c r="AA730" i="18"/>
  <c r="W730" i="18"/>
  <c r="AA718" i="18"/>
  <c r="W718" i="18"/>
  <c r="AA694" i="18"/>
  <c r="W694" i="18"/>
  <c r="AA670" i="18"/>
  <c r="W670" i="18"/>
  <c r="AA658" i="18"/>
  <c r="W658" i="18"/>
  <c r="AA646" i="18"/>
  <c r="W646" i="18"/>
  <c r="AA634" i="18"/>
  <c r="W634" i="18"/>
  <c r="AA622" i="18"/>
  <c r="W622" i="18"/>
  <c r="AA610" i="18"/>
  <c r="W610" i="18"/>
  <c r="AA598" i="18"/>
  <c r="W598" i="18"/>
  <c r="AA586" i="18"/>
  <c r="W586" i="18"/>
  <c r="AA574" i="18"/>
  <c r="W574" i="18"/>
  <c r="AA550" i="18"/>
  <c r="W550" i="18"/>
  <c r="AA526" i="18"/>
  <c r="W526" i="18"/>
  <c r="AA514" i="18"/>
  <c r="W514" i="18"/>
  <c r="AA502" i="18"/>
  <c r="W502" i="18"/>
  <c r="AA490" i="18"/>
  <c r="W490" i="18"/>
  <c r="AA478" i="18"/>
  <c r="W478" i="18"/>
  <c r="AA466" i="18"/>
  <c r="W466" i="18"/>
  <c r="AA454" i="18"/>
  <c r="W454" i="18"/>
  <c r="AA442" i="18"/>
  <c r="W442" i="18"/>
  <c r="AA430" i="18"/>
  <c r="W430" i="18"/>
  <c r="AA406" i="18"/>
  <c r="W406" i="18"/>
  <c r="AA382" i="18"/>
  <c r="W382" i="18"/>
  <c r="AA370" i="18"/>
  <c r="W370" i="18"/>
  <c r="AA358" i="18"/>
  <c r="W358" i="18"/>
  <c r="AA346" i="18"/>
  <c r="W346" i="18"/>
  <c r="AA334" i="18"/>
  <c r="W334" i="18"/>
  <c r="AA322" i="18"/>
  <c r="W322" i="18"/>
  <c r="AA310" i="18"/>
  <c r="W310" i="18"/>
  <c r="AA298" i="18"/>
  <c r="W298" i="18"/>
  <c r="AA286" i="18"/>
  <c r="W286" i="18"/>
  <c r="AA262" i="18"/>
  <c r="W262" i="18"/>
  <c r="AA250" i="18"/>
  <c r="W250" i="18"/>
  <c r="AA238" i="18"/>
  <c r="W238" i="18"/>
  <c r="AA226" i="18"/>
  <c r="W226" i="18"/>
  <c r="AA214" i="18"/>
  <c r="W214" i="18"/>
  <c r="AA202" i="18"/>
  <c r="W202" i="18"/>
  <c r="AA190" i="18"/>
  <c r="W190" i="18"/>
  <c r="AA178" i="18"/>
  <c r="W178" i="18"/>
  <c r="AA154" i="18"/>
  <c r="W154" i="18"/>
  <c r="AA142" i="18"/>
  <c r="W142" i="18"/>
  <c r="AA130" i="18"/>
  <c r="W130" i="18"/>
  <c r="AA118" i="18"/>
  <c r="W118" i="18"/>
  <c r="AA106" i="18"/>
  <c r="W106" i="18"/>
  <c r="AA94" i="18"/>
  <c r="W94" i="18"/>
  <c r="AA83" i="18"/>
  <c r="W83" i="18"/>
  <c r="AA71" i="18"/>
  <c r="W71" i="18"/>
  <c r="AA47" i="18"/>
  <c r="W47" i="18"/>
  <c r="AA34" i="18"/>
  <c r="W34" i="18"/>
  <c r="AA22" i="18"/>
  <c r="W22" i="18"/>
  <c r="AA10" i="18"/>
  <c r="W10" i="18"/>
  <c r="W1215" i="18"/>
  <c r="W1179" i="18"/>
  <c r="W1143" i="18"/>
  <c r="W1107" i="18"/>
  <c r="W1071" i="18"/>
  <c r="W1035" i="18"/>
  <c r="W999" i="18"/>
  <c r="W963" i="18"/>
  <c r="W927" i="18"/>
  <c r="W891" i="18"/>
  <c r="W855" i="18"/>
  <c r="W812" i="18"/>
  <c r="W761" i="18"/>
  <c r="W706" i="18"/>
  <c r="W628" i="18"/>
  <c r="W549" i="18"/>
  <c r="W471" i="18"/>
  <c r="W392" i="18"/>
  <c r="W274" i="18"/>
  <c r="W16" i="18"/>
  <c r="AA1235" i="18"/>
  <c r="W1235" i="18"/>
  <c r="AA1222" i="18"/>
  <c r="W1222" i="18"/>
  <c r="AA1209" i="18"/>
  <c r="W1209" i="18"/>
  <c r="AA1197" i="18"/>
  <c r="W1197" i="18"/>
  <c r="AA1185" i="18"/>
  <c r="W1185" i="18"/>
  <c r="AA1173" i="18"/>
  <c r="W1173" i="18"/>
  <c r="AA1161" i="18"/>
  <c r="W1161" i="18"/>
  <c r="AA1149" i="18"/>
  <c r="W1149" i="18"/>
  <c r="AA1137" i="18"/>
  <c r="W1137" i="18"/>
  <c r="AA1125" i="18"/>
  <c r="W1125" i="18"/>
  <c r="AA1113" i="18"/>
  <c r="W1113" i="18"/>
  <c r="AA1101" i="18"/>
  <c r="W1101" i="18"/>
  <c r="AA1089" i="18"/>
  <c r="W1089" i="18"/>
  <c r="AA1077" i="18"/>
  <c r="W1077" i="18"/>
  <c r="AA1065" i="18"/>
  <c r="W1065" i="18"/>
  <c r="AA1053" i="18"/>
  <c r="W1053" i="18"/>
  <c r="AA1041" i="18"/>
  <c r="W1041" i="18"/>
  <c r="AA1029" i="18"/>
  <c r="W1029" i="18"/>
  <c r="AA1017" i="18"/>
  <c r="W1017" i="18"/>
  <c r="AA1005" i="18"/>
  <c r="W1005" i="18"/>
  <c r="AA993" i="18"/>
  <c r="W993" i="18"/>
  <c r="AA981" i="18"/>
  <c r="W981" i="18"/>
  <c r="AA969" i="18"/>
  <c r="W969" i="18"/>
  <c r="AA957" i="18"/>
  <c r="W957" i="18"/>
  <c r="AA945" i="18"/>
  <c r="W945" i="18"/>
  <c r="AA933" i="18"/>
  <c r="W933" i="18"/>
  <c r="AA921" i="18"/>
  <c r="W921" i="18"/>
  <c r="AA909" i="18"/>
  <c r="W909" i="18"/>
  <c r="AA897" i="18"/>
  <c r="W897" i="18"/>
  <c r="AA885" i="18"/>
  <c r="W885" i="18"/>
  <c r="AA873" i="18"/>
  <c r="W873" i="18"/>
  <c r="AA861" i="18"/>
  <c r="W861" i="18"/>
  <c r="AA849" i="18"/>
  <c r="W849" i="18"/>
  <c r="AA837" i="18"/>
  <c r="W837" i="18"/>
  <c r="AA825" i="18"/>
  <c r="W825" i="18"/>
  <c r="AA813" i="18"/>
  <c r="W813" i="18"/>
  <c r="AA801" i="18"/>
  <c r="W801" i="18"/>
  <c r="AA789" i="18"/>
  <c r="W789" i="18"/>
  <c r="AA777" i="18"/>
  <c r="W777" i="18"/>
  <c r="AA765" i="18"/>
  <c r="W765" i="18"/>
  <c r="AA753" i="18"/>
  <c r="W753" i="18"/>
  <c r="AA741" i="18"/>
  <c r="W741" i="18"/>
  <c r="AA717" i="18"/>
  <c r="W717" i="18"/>
  <c r="AA705" i="18"/>
  <c r="W705" i="18"/>
  <c r="AA681" i="18"/>
  <c r="W681" i="18"/>
  <c r="AA657" i="18"/>
  <c r="W657" i="18"/>
  <c r="AA645" i="18"/>
  <c r="W645" i="18"/>
  <c r="AA633" i="18"/>
  <c r="W633" i="18"/>
  <c r="AA621" i="18"/>
  <c r="W621" i="18"/>
  <c r="AA609" i="18"/>
  <c r="W609" i="18"/>
  <c r="AA597" i="18"/>
  <c r="W597" i="18"/>
  <c r="AA585" i="18"/>
  <c r="W585" i="18"/>
  <c r="AA573" i="18"/>
  <c r="W573" i="18"/>
  <c r="AA561" i="18"/>
  <c r="W561" i="18"/>
  <c r="AA537" i="18"/>
  <c r="W537" i="18"/>
  <c r="AA513" i="18"/>
  <c r="W513" i="18"/>
  <c r="AA501" i="18"/>
  <c r="W501" i="18"/>
  <c r="AA489" i="18"/>
  <c r="W489" i="18"/>
  <c r="AA477" i="18"/>
  <c r="W477" i="18"/>
  <c r="AA465" i="18"/>
  <c r="W465" i="18"/>
  <c r="AA453" i="18"/>
  <c r="W453" i="18"/>
  <c r="AA441" i="18"/>
  <c r="W441" i="18"/>
  <c r="AA429" i="18"/>
  <c r="W429" i="18"/>
  <c r="AA417" i="18"/>
  <c r="W417" i="18"/>
  <c r="AA393" i="18"/>
  <c r="W393" i="18"/>
  <c r="AA369" i="18"/>
  <c r="W369" i="18"/>
  <c r="AA357" i="18"/>
  <c r="W357" i="18"/>
  <c r="AA345" i="18"/>
  <c r="W345" i="18"/>
  <c r="AA333" i="18"/>
  <c r="W333" i="18"/>
  <c r="AA321" i="18"/>
  <c r="W321" i="18"/>
  <c r="AA297" i="18"/>
  <c r="W297" i="18"/>
  <c r="AA285" i="18"/>
  <c r="W285" i="18"/>
  <c r="AA273" i="18"/>
  <c r="W273" i="18"/>
  <c r="AA261" i="18"/>
  <c r="W261" i="18"/>
  <c r="AA249" i="18"/>
  <c r="W249" i="18"/>
  <c r="AA237" i="18"/>
  <c r="W237" i="18"/>
  <c r="AA225" i="18"/>
  <c r="W225" i="18"/>
  <c r="AA213" i="18"/>
  <c r="W213" i="18"/>
  <c r="AA201" i="18"/>
  <c r="W201" i="18"/>
  <c r="AA189" i="18"/>
  <c r="W189" i="18"/>
  <c r="AA177" i="18"/>
  <c r="W177" i="18"/>
  <c r="AA165" i="18"/>
  <c r="W165" i="18"/>
  <c r="AA153" i="18"/>
  <c r="W153" i="18"/>
  <c r="AA141" i="18"/>
  <c r="W141" i="18"/>
  <c r="AA129" i="18"/>
  <c r="W129" i="18"/>
  <c r="AA117" i="18"/>
  <c r="W117" i="18"/>
  <c r="AA105" i="18"/>
  <c r="W105" i="18"/>
  <c r="AA93" i="18"/>
  <c r="W93" i="18"/>
  <c r="AA82" i="18"/>
  <c r="W82" i="18"/>
  <c r="AA70" i="18"/>
  <c r="W70" i="18"/>
  <c r="AA58" i="18"/>
  <c r="W58" i="18"/>
  <c r="AA46" i="18"/>
  <c r="W46" i="18"/>
  <c r="AA33" i="18"/>
  <c r="W33" i="18"/>
  <c r="AA21" i="18"/>
  <c r="W21" i="18"/>
  <c r="AA9" i="18"/>
  <c r="W9" i="18"/>
  <c r="W1208" i="18"/>
  <c r="W1172" i="18"/>
  <c r="W1136" i="18"/>
  <c r="W1100" i="18"/>
  <c r="W1064" i="18"/>
  <c r="W1028" i="18"/>
  <c r="W956" i="18"/>
  <c r="W920" i="18"/>
  <c r="W884" i="18"/>
  <c r="W848" i="18"/>
  <c r="W810" i="18"/>
  <c r="W759" i="18"/>
  <c r="W696" i="18"/>
  <c r="W617" i="18"/>
  <c r="W538" i="18"/>
  <c r="W460" i="18"/>
  <c r="W381" i="18"/>
  <c r="W254" i="18"/>
  <c r="AA1004" i="18"/>
  <c r="AA992" i="18"/>
  <c r="AA788" i="18"/>
  <c r="W788" i="18"/>
  <c r="AA776" i="18"/>
  <c r="W776" i="18"/>
  <c r="AA764" i="18"/>
  <c r="W764" i="18"/>
  <c r="AA752" i="18"/>
  <c r="W752" i="18"/>
  <c r="AA740" i="18"/>
  <c r="W740" i="18"/>
  <c r="AA728" i="18"/>
  <c r="W728" i="18"/>
  <c r="AA716" i="18"/>
  <c r="W716" i="18"/>
  <c r="AA704" i="18"/>
  <c r="W704" i="18"/>
  <c r="AA692" i="18"/>
  <c r="W692" i="18"/>
  <c r="AA668" i="18"/>
  <c r="W668" i="18"/>
  <c r="AA644" i="18"/>
  <c r="W644" i="18"/>
  <c r="AA632" i="18"/>
  <c r="W632" i="18"/>
  <c r="AA620" i="18"/>
  <c r="W620" i="18"/>
  <c r="AA608" i="18"/>
  <c r="W608" i="18"/>
  <c r="AA596" i="18"/>
  <c r="W596" i="18"/>
  <c r="AA584" i="18"/>
  <c r="W584" i="18"/>
  <c r="AA572" i="18"/>
  <c r="W572" i="18"/>
  <c r="AA560" i="18"/>
  <c r="W560" i="18"/>
  <c r="AA548" i="18"/>
  <c r="W548" i="18"/>
  <c r="AA524" i="18"/>
  <c r="W524" i="18"/>
  <c r="AA500" i="18"/>
  <c r="W500" i="18"/>
  <c r="AA488" i="18"/>
  <c r="W488" i="18"/>
  <c r="AA476" i="18"/>
  <c r="W476" i="18"/>
  <c r="AA464" i="18"/>
  <c r="W464" i="18"/>
  <c r="AA452" i="18"/>
  <c r="W452" i="18"/>
  <c r="AA440" i="18"/>
  <c r="W440" i="18"/>
  <c r="AA428" i="18"/>
  <c r="W428" i="18"/>
  <c r="AA416" i="18"/>
  <c r="W416" i="18"/>
  <c r="AA404" i="18"/>
  <c r="W404" i="18"/>
  <c r="AA380" i="18"/>
  <c r="W380" i="18"/>
  <c r="AA368" i="18"/>
  <c r="W368" i="18"/>
  <c r="AA356" i="18"/>
  <c r="W356" i="18"/>
  <c r="AA344" i="18"/>
  <c r="W344" i="18"/>
  <c r="AA332" i="18"/>
  <c r="W332" i="18"/>
  <c r="AA320" i="18"/>
  <c r="W320" i="18"/>
  <c r="AA308" i="18"/>
  <c r="W308" i="18"/>
  <c r="AA296" i="18"/>
  <c r="W296" i="18"/>
  <c r="AA284" i="18"/>
  <c r="W284" i="18"/>
  <c r="AA272" i="18"/>
  <c r="W272" i="18"/>
  <c r="AA260" i="18"/>
  <c r="W260" i="18"/>
  <c r="AA248" i="18"/>
  <c r="W248" i="18"/>
  <c r="AA236" i="18"/>
  <c r="W236" i="18"/>
  <c r="AA224" i="18"/>
  <c r="W224" i="18"/>
  <c r="AA212" i="18"/>
  <c r="W212" i="18"/>
  <c r="AA200" i="18"/>
  <c r="W200" i="18"/>
  <c r="AA188" i="18"/>
  <c r="W188" i="18"/>
  <c r="AA176" i="18"/>
  <c r="W176" i="18"/>
  <c r="AA164" i="18"/>
  <c r="W164" i="18"/>
  <c r="AA152" i="18"/>
  <c r="W152" i="18"/>
  <c r="AA140" i="18"/>
  <c r="W140" i="18"/>
  <c r="AA128" i="18"/>
  <c r="W128" i="18"/>
  <c r="AA116" i="18"/>
  <c r="W116" i="18"/>
  <c r="AA104" i="18"/>
  <c r="W104" i="18"/>
  <c r="AA92" i="18"/>
  <c r="W92" i="18"/>
  <c r="AA81" i="18"/>
  <c r="W81" i="18"/>
  <c r="AA69" i="18"/>
  <c r="W69" i="18"/>
  <c r="AA57" i="18"/>
  <c r="W57" i="18"/>
  <c r="AA45" i="18"/>
  <c r="W45" i="18"/>
  <c r="AA32" i="18"/>
  <c r="W32" i="18"/>
  <c r="AA20" i="18"/>
  <c r="W20" i="18"/>
  <c r="AA8" i="18"/>
  <c r="W8" i="18"/>
  <c r="W1206" i="18"/>
  <c r="W1170" i="18"/>
  <c r="W1134" i="18"/>
  <c r="W1098" i="18"/>
  <c r="W1062" i="18"/>
  <c r="W1026" i="18"/>
  <c r="W990" i="18"/>
  <c r="W954" i="18"/>
  <c r="W918" i="18"/>
  <c r="W882" i="18"/>
  <c r="W846" i="18"/>
  <c r="W807" i="18"/>
  <c r="W756" i="18"/>
  <c r="W693" i="18"/>
  <c r="W615" i="18"/>
  <c r="W536" i="18"/>
  <c r="W458" i="18"/>
  <c r="W379" i="18"/>
  <c r="W232" i="18"/>
  <c r="B87" i="1"/>
  <c r="C87" i="1"/>
  <c r="D87" i="1"/>
  <c r="E87" i="1"/>
  <c r="BF87" i="1"/>
  <c r="BM87" i="1" s="1"/>
  <c r="BG87" i="1"/>
  <c r="BL87" i="1"/>
  <c r="B86" i="1"/>
  <c r="C86" i="1"/>
  <c r="D86" i="1"/>
  <c r="E86" i="1"/>
  <c r="BF86" i="1"/>
  <c r="BM86" i="1" s="1"/>
  <c r="BG86" i="1"/>
  <c r="BL86" i="1"/>
  <c r="B85" i="1"/>
  <c r="C85" i="1"/>
  <c r="D85" i="1"/>
  <c r="E85" i="1"/>
  <c r="BF85" i="1"/>
  <c r="BN85" i="1" s="1"/>
  <c r="BG85" i="1"/>
  <c r="BL85" i="1"/>
  <c r="A94" i="1" l="1"/>
  <c r="C93" i="1"/>
  <c r="E93" i="1"/>
  <c r="B93" i="1"/>
  <c r="D93" i="1"/>
  <c r="BM85" i="1"/>
  <c r="BN87" i="1"/>
  <c r="BN86" i="1"/>
  <c r="B84" i="1"/>
  <c r="C84" i="1"/>
  <c r="D84" i="1"/>
  <c r="E84" i="1"/>
  <c r="BF84" i="1"/>
  <c r="BM84" i="1" s="1"/>
  <c r="BG84" i="1"/>
  <c r="BL84" i="1"/>
  <c r="A95" i="1" l="1"/>
  <c r="B94" i="1"/>
  <c r="E94" i="1"/>
  <c r="C94" i="1"/>
  <c r="D94" i="1"/>
  <c r="BN84" i="1"/>
  <c r="A96" i="1" l="1"/>
  <c r="B95" i="1"/>
  <c r="C95" i="1"/>
  <c r="D95" i="1"/>
  <c r="E95" i="1"/>
  <c r="B82" i="1"/>
  <c r="B83" i="1"/>
  <c r="C82" i="1"/>
  <c r="C83" i="1"/>
  <c r="D82" i="1"/>
  <c r="D83" i="1"/>
  <c r="E82" i="1"/>
  <c r="E83" i="1"/>
  <c r="BF82" i="1"/>
  <c r="BN82" i="1" s="1"/>
  <c r="BF83" i="1"/>
  <c r="BM83" i="1" s="1"/>
  <c r="BG82" i="1"/>
  <c r="BG83" i="1"/>
  <c r="BL82" i="1"/>
  <c r="BL83" i="1"/>
  <c r="B81" i="1"/>
  <c r="C81" i="1"/>
  <c r="D81" i="1"/>
  <c r="E81" i="1"/>
  <c r="BF81" i="1"/>
  <c r="BN81" i="1" s="1"/>
  <c r="BG81" i="1"/>
  <c r="BL81" i="1"/>
  <c r="B80" i="1"/>
  <c r="C80" i="1"/>
  <c r="D80" i="1"/>
  <c r="E80" i="1"/>
  <c r="BF80" i="1"/>
  <c r="BM80" i="1" s="1"/>
  <c r="BG80" i="1"/>
  <c r="BL80" i="1"/>
  <c r="A97" i="1" l="1"/>
  <c r="B96" i="1"/>
  <c r="C96" i="1"/>
  <c r="E96" i="1"/>
  <c r="D96" i="1"/>
  <c r="BN83" i="1"/>
  <c r="BM82" i="1"/>
  <c r="BM81" i="1"/>
  <c r="BN80" i="1"/>
  <c r="A98" i="1" l="1"/>
  <c r="B97" i="1"/>
  <c r="D97" i="1"/>
  <c r="E97" i="1"/>
  <c r="C97" i="1"/>
  <c r="B79" i="1"/>
  <c r="C79" i="1"/>
  <c r="D79" i="1"/>
  <c r="E79" i="1"/>
  <c r="BF79" i="1"/>
  <c r="BM79" i="1" s="1"/>
  <c r="BG79" i="1"/>
  <c r="BL79" i="1"/>
  <c r="B78" i="1"/>
  <c r="C78" i="1"/>
  <c r="D78" i="1"/>
  <c r="E78" i="1"/>
  <c r="BF78" i="1"/>
  <c r="BM78" i="1" s="1"/>
  <c r="BG78" i="1"/>
  <c r="BL78" i="1"/>
  <c r="A99" i="1" l="1"/>
  <c r="D98" i="1"/>
  <c r="E98" i="1"/>
  <c r="B98" i="1"/>
  <c r="C98" i="1"/>
  <c r="BN79" i="1"/>
  <c r="BN78" i="1"/>
  <c r="B77" i="1"/>
  <c r="C77" i="1"/>
  <c r="D77" i="1"/>
  <c r="E77" i="1"/>
  <c r="BF77" i="1"/>
  <c r="BM77" i="1" s="1"/>
  <c r="BG77" i="1"/>
  <c r="BL77" i="1"/>
  <c r="A100" i="1" l="1"/>
  <c r="E99" i="1"/>
  <c r="B99" i="1"/>
  <c r="C99" i="1"/>
  <c r="D99" i="1"/>
  <c r="BN77" i="1"/>
  <c r="B76" i="1"/>
  <c r="C76" i="1"/>
  <c r="D76" i="1"/>
  <c r="E76" i="1"/>
  <c r="BF76" i="1"/>
  <c r="BM76" i="1" s="1"/>
  <c r="BG76" i="1"/>
  <c r="BL76" i="1"/>
  <c r="B75" i="1"/>
  <c r="C75" i="1"/>
  <c r="D75" i="1"/>
  <c r="E75" i="1"/>
  <c r="BF75" i="1"/>
  <c r="BN75" i="1" s="1"/>
  <c r="BG75" i="1"/>
  <c r="BL75" i="1"/>
  <c r="B74" i="1"/>
  <c r="C74" i="1"/>
  <c r="D74" i="1"/>
  <c r="E74" i="1"/>
  <c r="BF74" i="1"/>
  <c r="BN74" i="1" s="1"/>
  <c r="BG74" i="1"/>
  <c r="BL74" i="1"/>
  <c r="B73" i="1"/>
  <c r="C73" i="1"/>
  <c r="D73" i="1"/>
  <c r="E73" i="1"/>
  <c r="BF73" i="1"/>
  <c r="BN73" i="1" s="1"/>
  <c r="BG73" i="1"/>
  <c r="BL73" i="1"/>
  <c r="B72" i="1"/>
  <c r="C72" i="1"/>
  <c r="D72" i="1"/>
  <c r="E72" i="1"/>
  <c r="BF72" i="1"/>
  <c r="BM72" i="1" s="1"/>
  <c r="BG72" i="1"/>
  <c r="BL72" i="1"/>
  <c r="A101" i="1" l="1"/>
  <c r="D100" i="1"/>
  <c r="E100" i="1"/>
  <c r="B100" i="1"/>
  <c r="C100" i="1"/>
  <c r="BN76" i="1"/>
  <c r="BM75" i="1"/>
  <c r="BM74" i="1"/>
  <c r="BM73" i="1"/>
  <c r="BN72" i="1"/>
  <c r="A102" i="1" l="1"/>
  <c r="A103" i="1" s="1"/>
  <c r="C101" i="1"/>
  <c r="B101" i="1"/>
  <c r="D101" i="1"/>
  <c r="E101" i="1"/>
  <c r="B71" i="1"/>
  <c r="C71" i="1"/>
  <c r="D71" i="1"/>
  <c r="E71" i="1"/>
  <c r="BF71" i="1"/>
  <c r="BM71" i="1" s="1"/>
  <c r="BG71" i="1"/>
  <c r="BL71" i="1"/>
  <c r="B70" i="1"/>
  <c r="C70" i="1"/>
  <c r="D70" i="1"/>
  <c r="E70" i="1"/>
  <c r="BF70" i="1"/>
  <c r="BM70" i="1" s="1"/>
  <c r="BG70" i="1"/>
  <c r="BL70" i="1"/>
  <c r="A104" i="1" l="1"/>
  <c r="C103" i="1"/>
  <c r="B103" i="1"/>
  <c r="D103" i="1"/>
  <c r="E103" i="1"/>
  <c r="C102" i="1"/>
  <c r="E102" i="1"/>
  <c r="D102" i="1"/>
  <c r="B102" i="1"/>
  <c r="BN71" i="1"/>
  <c r="BN70" i="1"/>
  <c r="B69" i="1"/>
  <c r="C69" i="1"/>
  <c r="D69" i="1"/>
  <c r="E69" i="1"/>
  <c r="BF69" i="1"/>
  <c r="BM69" i="1" s="1"/>
  <c r="BG69" i="1"/>
  <c r="BL69" i="1"/>
  <c r="A105" i="1" l="1"/>
  <c r="B104" i="1"/>
  <c r="C104" i="1"/>
  <c r="D104" i="1"/>
  <c r="E104" i="1"/>
  <c r="BN69" i="1"/>
  <c r="A106" i="1" l="1"/>
  <c r="B105" i="1"/>
  <c r="C105" i="1"/>
  <c r="E105" i="1"/>
  <c r="D105" i="1"/>
  <c r="B68" i="1"/>
  <c r="C68" i="1"/>
  <c r="D68" i="1"/>
  <c r="E68" i="1"/>
  <c r="BF68" i="1"/>
  <c r="BN68" i="1" s="1"/>
  <c r="BG68" i="1"/>
  <c r="BL68" i="1"/>
  <c r="A107" i="1" l="1"/>
  <c r="B106" i="1"/>
  <c r="E106" i="1"/>
  <c r="C106" i="1"/>
  <c r="D106" i="1"/>
  <c r="BM68" i="1"/>
  <c r="B67" i="1"/>
  <c r="C67" i="1"/>
  <c r="D67" i="1"/>
  <c r="E67" i="1"/>
  <c r="BF67" i="1"/>
  <c r="BM67" i="1" s="1"/>
  <c r="BG67" i="1"/>
  <c r="BL67" i="1"/>
  <c r="C107" i="1" l="1"/>
  <c r="D107" i="1"/>
  <c r="E107" i="1"/>
  <c r="A108" i="1"/>
  <c r="B107" i="1"/>
  <c r="BN67" i="1"/>
  <c r="C108" i="1" l="1"/>
  <c r="D108" i="1"/>
  <c r="E108" i="1"/>
  <c r="A109" i="1"/>
  <c r="B108" i="1"/>
  <c r="B66" i="1"/>
  <c r="C66" i="1"/>
  <c r="D66" i="1"/>
  <c r="E66" i="1"/>
  <c r="BF66" i="1"/>
  <c r="BM66" i="1" s="1"/>
  <c r="BG66" i="1"/>
  <c r="BL66" i="1"/>
  <c r="B65" i="1"/>
  <c r="C65" i="1"/>
  <c r="D65" i="1"/>
  <c r="E65" i="1"/>
  <c r="BF65" i="1"/>
  <c r="BM65" i="1" s="1"/>
  <c r="BG65" i="1"/>
  <c r="BL65" i="1"/>
  <c r="E109" i="1" l="1"/>
  <c r="B109" i="1"/>
  <c r="C109" i="1"/>
  <c r="A110" i="1"/>
  <c r="A111" i="1" s="1"/>
  <c r="A112" i="1" s="1"/>
  <c r="D109" i="1"/>
  <c r="BN66" i="1"/>
  <c r="BN65" i="1"/>
  <c r="B64" i="1"/>
  <c r="C64" i="1"/>
  <c r="D64" i="1"/>
  <c r="E64" i="1"/>
  <c r="BF64" i="1"/>
  <c r="BM64" i="1" s="1"/>
  <c r="BG64" i="1"/>
  <c r="BL64" i="1"/>
  <c r="B63" i="1"/>
  <c r="C63" i="1"/>
  <c r="D63" i="1"/>
  <c r="E63" i="1"/>
  <c r="BF63" i="1"/>
  <c r="BM63" i="1" s="1"/>
  <c r="BG63" i="1"/>
  <c r="BL63" i="1"/>
  <c r="A113" i="1" l="1"/>
  <c r="C112" i="1"/>
  <c r="D112" i="1"/>
  <c r="E112" i="1"/>
  <c r="B112" i="1"/>
  <c r="E111" i="1"/>
  <c r="C111" i="1"/>
  <c r="D111" i="1"/>
  <c r="B111" i="1"/>
  <c r="B110" i="1"/>
  <c r="C110" i="1"/>
  <c r="D110" i="1"/>
  <c r="E110" i="1"/>
  <c r="BN64" i="1"/>
  <c r="BN63" i="1"/>
  <c r="B62" i="1"/>
  <c r="C62" i="1"/>
  <c r="D62" i="1"/>
  <c r="E62" i="1"/>
  <c r="BF62" i="1"/>
  <c r="BN62" i="1" s="1"/>
  <c r="BG62" i="1"/>
  <c r="BL62" i="1"/>
  <c r="A114" i="1" l="1"/>
  <c r="E113" i="1"/>
  <c r="B113" i="1"/>
  <c r="C113" i="1"/>
  <c r="D113" i="1"/>
  <c r="BM62" i="1"/>
  <c r="E114" i="1" l="1"/>
  <c r="A115" i="1"/>
  <c r="D114" i="1"/>
  <c r="B114" i="1"/>
  <c r="C114" i="1"/>
  <c r="B61" i="1"/>
  <c r="C61" i="1"/>
  <c r="D61" i="1"/>
  <c r="E61" i="1"/>
  <c r="BF61" i="1"/>
  <c r="BM61" i="1" s="1"/>
  <c r="BG61" i="1"/>
  <c r="BL61" i="1"/>
  <c r="B60" i="1"/>
  <c r="C60" i="1"/>
  <c r="D60" i="1"/>
  <c r="E60" i="1"/>
  <c r="BF60" i="1"/>
  <c r="BM60" i="1" s="1"/>
  <c r="BG60" i="1"/>
  <c r="BL60" i="1"/>
  <c r="B59" i="1"/>
  <c r="C59" i="1"/>
  <c r="D59" i="1"/>
  <c r="E59" i="1"/>
  <c r="BF59" i="1"/>
  <c r="BM59" i="1" s="1"/>
  <c r="BG59" i="1"/>
  <c r="BL59" i="1"/>
  <c r="J29" i="17"/>
  <c r="I28" i="17"/>
  <c r="J28" i="17" s="1"/>
  <c r="J27" i="17"/>
  <c r="I27" i="17"/>
  <c r="I26" i="17"/>
  <c r="J26" i="17" s="1"/>
  <c r="G25" i="17"/>
  <c r="I25" i="17" s="1"/>
  <c r="J25" i="17" s="1"/>
  <c r="G24" i="17"/>
  <c r="I24" i="17" s="1"/>
  <c r="J24" i="17" s="1"/>
  <c r="I23" i="17"/>
  <c r="J23" i="17" s="1"/>
  <c r="G23" i="17"/>
  <c r="J22" i="17"/>
  <c r="I22" i="17"/>
  <c r="O21" i="17"/>
  <c r="G21" i="17"/>
  <c r="I21" i="17" s="1"/>
  <c r="J21" i="17" s="1"/>
  <c r="O20" i="17"/>
  <c r="G20" i="17"/>
  <c r="I20" i="17" s="1"/>
  <c r="J20" i="17" s="1"/>
  <c r="O19" i="17"/>
  <c r="J19" i="17"/>
  <c r="I19" i="17"/>
  <c r="G19" i="17"/>
  <c r="O18" i="17"/>
  <c r="G18" i="17"/>
  <c r="I18" i="17" s="1"/>
  <c r="J18" i="17" s="1"/>
  <c r="O17" i="17"/>
  <c r="G17" i="17"/>
  <c r="I17" i="17" s="1"/>
  <c r="J17" i="17" s="1"/>
  <c r="O16" i="17"/>
  <c r="J16" i="17"/>
  <c r="I16" i="17"/>
  <c r="G16" i="17"/>
  <c r="O15" i="17"/>
  <c r="G15" i="17"/>
  <c r="I15" i="17" s="1"/>
  <c r="J15" i="17" s="1"/>
  <c r="O14" i="17"/>
  <c r="G14" i="17"/>
  <c r="I14" i="17" s="1"/>
  <c r="J14" i="17" s="1"/>
  <c r="O13" i="17"/>
  <c r="J13" i="17"/>
  <c r="I13" i="17"/>
  <c r="G13" i="17"/>
  <c r="O12" i="17"/>
  <c r="G12" i="17"/>
  <c r="I12" i="17" s="1"/>
  <c r="J12" i="17" s="1"/>
  <c r="O11" i="17"/>
  <c r="G11" i="17"/>
  <c r="I11" i="17" s="1"/>
  <c r="J11" i="17" s="1"/>
  <c r="O10" i="17"/>
  <c r="J10" i="17"/>
  <c r="I10" i="17"/>
  <c r="G10" i="17"/>
  <c r="O9" i="17"/>
  <c r="G9" i="17"/>
  <c r="I9" i="17" s="1"/>
  <c r="J9" i="17" s="1"/>
  <c r="O8" i="17"/>
  <c r="G8" i="17"/>
  <c r="I8" i="17" s="1"/>
  <c r="J8" i="17" s="1"/>
  <c r="O7" i="17"/>
  <c r="J7" i="17"/>
  <c r="I7" i="17"/>
  <c r="G7" i="17"/>
  <c r="O6" i="17"/>
  <c r="G6" i="17"/>
  <c r="I6" i="17" s="1"/>
  <c r="J6" i="17" s="1"/>
  <c r="O5" i="17"/>
  <c r="G5" i="17"/>
  <c r="I5" i="17" s="1"/>
  <c r="J5" i="17" s="1"/>
  <c r="O4" i="17"/>
  <c r="J4" i="17"/>
  <c r="I4" i="17"/>
  <c r="G4" i="17"/>
  <c r="B58" i="1"/>
  <c r="C58" i="1"/>
  <c r="D58" i="1"/>
  <c r="E58" i="1"/>
  <c r="BF58" i="1"/>
  <c r="BM58" i="1" s="1"/>
  <c r="BG58" i="1"/>
  <c r="BL58" i="1"/>
  <c r="B57" i="1"/>
  <c r="C57" i="1"/>
  <c r="D57" i="1"/>
  <c r="E57" i="1"/>
  <c r="BF57" i="1"/>
  <c r="BM57" i="1" s="1"/>
  <c r="BG57" i="1"/>
  <c r="BL57" i="1"/>
  <c r="B56" i="1"/>
  <c r="C56" i="1"/>
  <c r="D56" i="1"/>
  <c r="E56" i="1"/>
  <c r="BF56" i="1"/>
  <c r="BM56" i="1" s="1"/>
  <c r="BG56" i="1"/>
  <c r="BL56" i="1"/>
  <c r="B115" i="1" l="1"/>
  <c r="C115" i="1"/>
  <c r="D115" i="1"/>
  <c r="E115" i="1"/>
  <c r="A116" i="1"/>
  <c r="BN59" i="1"/>
  <c r="BN60" i="1"/>
  <c r="BN61" i="1"/>
  <c r="BN58" i="1"/>
  <c r="BN57" i="1"/>
  <c r="BN56" i="1"/>
  <c r="B55" i="1"/>
  <c r="C55" i="1"/>
  <c r="D55" i="1"/>
  <c r="E55" i="1"/>
  <c r="BF55" i="1"/>
  <c r="BM55" i="1" s="1"/>
  <c r="BG55" i="1"/>
  <c r="BL55" i="1"/>
  <c r="A117" i="1" l="1"/>
  <c r="E116" i="1"/>
  <c r="B116" i="1"/>
  <c r="C116" i="1"/>
  <c r="D116" i="1"/>
  <c r="BN55" i="1"/>
  <c r="A118" i="1" l="1"/>
  <c r="B117" i="1"/>
  <c r="C117" i="1"/>
  <c r="D117" i="1"/>
  <c r="E117" i="1"/>
  <c r="B54" i="1"/>
  <c r="C54" i="1"/>
  <c r="D54" i="1"/>
  <c r="E54" i="1"/>
  <c r="BF54" i="1"/>
  <c r="BM54" i="1" s="1"/>
  <c r="BG54" i="1"/>
  <c r="BL54" i="1"/>
  <c r="AE413" i="16"/>
  <c r="B53" i="1"/>
  <c r="C53" i="1"/>
  <c r="D53" i="1"/>
  <c r="E53" i="1"/>
  <c r="BF53" i="1"/>
  <c r="BN53" i="1" s="1"/>
  <c r="BG53" i="1"/>
  <c r="BL53" i="1"/>
  <c r="B52" i="1"/>
  <c r="C52" i="1"/>
  <c r="D52" i="1"/>
  <c r="E52" i="1"/>
  <c r="BF52" i="1"/>
  <c r="BN52" i="1" s="1"/>
  <c r="BG52" i="1"/>
  <c r="BL52" i="1"/>
  <c r="B51" i="1"/>
  <c r="C51" i="1"/>
  <c r="D51" i="1"/>
  <c r="E51" i="1"/>
  <c r="BF51" i="1"/>
  <c r="BM51" i="1" s="1"/>
  <c r="BG51" i="1"/>
  <c r="BL51" i="1"/>
  <c r="B50" i="1"/>
  <c r="C50" i="1"/>
  <c r="D50" i="1"/>
  <c r="E50" i="1"/>
  <c r="BF50" i="1"/>
  <c r="BM50" i="1" s="1"/>
  <c r="BG50" i="1"/>
  <c r="BL50" i="1"/>
  <c r="B49" i="1"/>
  <c r="C49" i="1"/>
  <c r="D49" i="1"/>
  <c r="E49" i="1"/>
  <c r="BF49" i="1"/>
  <c r="BM49" i="1" s="1"/>
  <c r="BG49" i="1"/>
  <c r="BL49" i="1"/>
  <c r="B48" i="1"/>
  <c r="C48" i="1"/>
  <c r="D48" i="1"/>
  <c r="E48" i="1"/>
  <c r="BF48" i="1"/>
  <c r="BM48" i="1" s="1"/>
  <c r="BG48" i="1"/>
  <c r="BL48" i="1"/>
  <c r="A119" i="1" l="1"/>
  <c r="B118" i="1"/>
  <c r="C118" i="1"/>
  <c r="E118" i="1"/>
  <c r="D118" i="1"/>
  <c r="BN54" i="1"/>
  <c r="BM53" i="1"/>
  <c r="BM52" i="1"/>
  <c r="BN51" i="1"/>
  <c r="BN50" i="1"/>
  <c r="BN49" i="1"/>
  <c r="BN48" i="1"/>
  <c r="A120" i="1" l="1"/>
  <c r="E119" i="1"/>
  <c r="C119" i="1"/>
  <c r="B119" i="1"/>
  <c r="D119" i="1"/>
  <c r="B47" i="1"/>
  <c r="C47" i="1"/>
  <c r="D47" i="1"/>
  <c r="E47" i="1"/>
  <c r="BF47" i="1"/>
  <c r="BM47" i="1" s="1"/>
  <c r="BG47" i="1"/>
  <c r="BL47" i="1"/>
  <c r="A121" i="1" l="1"/>
  <c r="B120" i="1"/>
  <c r="D120" i="1"/>
  <c r="E120" i="1"/>
  <c r="C120" i="1"/>
  <c r="BN47" i="1"/>
  <c r="B46" i="1" l="1"/>
  <c r="C46" i="1"/>
  <c r="D46" i="1"/>
  <c r="E46" i="1"/>
  <c r="BF46" i="1"/>
  <c r="BM46" i="1" s="1"/>
  <c r="BG46" i="1"/>
  <c r="BL46" i="1"/>
  <c r="B45" i="1"/>
  <c r="C45" i="1"/>
  <c r="D45" i="1"/>
  <c r="E45" i="1"/>
  <c r="BF45" i="1"/>
  <c r="BM45" i="1" s="1"/>
  <c r="BG45" i="1"/>
  <c r="BL45" i="1"/>
  <c r="BN46" i="1" l="1"/>
  <c r="BN45" i="1"/>
  <c r="B44" i="1" l="1"/>
  <c r="C44" i="1"/>
  <c r="D44" i="1"/>
  <c r="E44" i="1"/>
  <c r="BF44" i="1"/>
  <c r="BM44" i="1" s="1"/>
  <c r="BG44" i="1"/>
  <c r="BL44" i="1"/>
  <c r="BN44" i="1" l="1"/>
  <c r="B43" i="1" l="1"/>
  <c r="C43" i="1"/>
  <c r="D43" i="1"/>
  <c r="E43" i="1"/>
  <c r="BF43" i="1"/>
  <c r="BM43" i="1" s="1"/>
  <c r="BG43" i="1"/>
  <c r="BL43" i="1"/>
  <c r="BN43" i="1" l="1"/>
  <c r="B42" i="1" l="1"/>
  <c r="C42" i="1"/>
  <c r="D42" i="1"/>
  <c r="E42" i="1"/>
  <c r="BF42" i="1"/>
  <c r="BM42" i="1" s="1"/>
  <c r="BG42" i="1"/>
  <c r="BL42" i="1"/>
  <c r="AC3" i="15"/>
  <c r="AC4" i="15"/>
  <c r="AC5" i="15"/>
  <c r="AC6" i="15"/>
  <c r="AC7" i="15"/>
  <c r="AC8" i="15"/>
  <c r="AC9" i="15"/>
  <c r="AC10" i="15"/>
  <c r="AC11" i="15"/>
  <c r="AC12" i="15"/>
  <c r="AC13" i="15"/>
  <c r="AC14" i="15"/>
  <c r="AC15" i="15"/>
  <c r="AC16" i="15"/>
  <c r="AC17" i="15"/>
  <c r="AC18" i="15"/>
  <c r="AC19" i="15"/>
  <c r="AC20" i="15"/>
  <c r="AC21" i="15"/>
  <c r="AC22" i="15"/>
  <c r="AC23" i="15"/>
  <c r="AC24" i="15"/>
  <c r="AC25" i="15"/>
  <c r="AC2" i="15"/>
  <c r="BN42" i="1" l="1"/>
  <c r="B41" i="1"/>
  <c r="C41" i="1"/>
  <c r="D41" i="1"/>
  <c r="E41" i="1"/>
  <c r="BF41" i="1"/>
  <c r="BM41" i="1" s="1"/>
  <c r="BG41" i="1"/>
  <c r="BL41" i="1"/>
  <c r="B40" i="1"/>
  <c r="C40" i="1"/>
  <c r="D40" i="1"/>
  <c r="E40" i="1"/>
  <c r="BF40" i="1"/>
  <c r="BM40" i="1" s="1"/>
  <c r="BG40" i="1"/>
  <c r="BL40" i="1"/>
  <c r="B39" i="1"/>
  <c r="C39" i="1"/>
  <c r="D39" i="1"/>
  <c r="E39" i="1"/>
  <c r="BF39" i="1"/>
  <c r="BN39" i="1" s="1"/>
  <c r="BG39" i="1"/>
  <c r="BL39" i="1"/>
  <c r="B38" i="1"/>
  <c r="C38" i="1"/>
  <c r="D38" i="1"/>
  <c r="E38" i="1"/>
  <c r="BF38" i="1"/>
  <c r="BM38" i="1" s="1"/>
  <c r="BG38" i="1"/>
  <c r="BL38" i="1"/>
  <c r="B37" i="1"/>
  <c r="C37" i="1"/>
  <c r="D37" i="1"/>
  <c r="E37" i="1"/>
  <c r="BF37" i="1"/>
  <c r="BM37" i="1" s="1"/>
  <c r="BG37" i="1"/>
  <c r="BL37" i="1"/>
  <c r="B36" i="1"/>
  <c r="C36" i="1"/>
  <c r="D36" i="1"/>
  <c r="E36" i="1"/>
  <c r="BF36" i="1"/>
  <c r="BN36" i="1" s="1"/>
  <c r="BG36" i="1"/>
  <c r="BL36" i="1"/>
  <c r="BN41" i="1" l="1"/>
  <c r="BN40" i="1"/>
  <c r="BM39" i="1"/>
  <c r="BN38" i="1"/>
  <c r="BN37" i="1"/>
  <c r="BM36" i="1"/>
  <c r="B35" i="1" l="1"/>
  <c r="C35" i="1"/>
  <c r="D35" i="1"/>
  <c r="E35" i="1"/>
  <c r="BF35" i="1"/>
  <c r="BM35" i="1" s="1"/>
  <c r="BG35" i="1"/>
  <c r="BL35" i="1"/>
  <c r="B34" i="1"/>
  <c r="C34" i="1"/>
  <c r="D34" i="1"/>
  <c r="E34" i="1"/>
  <c r="BF34" i="1"/>
  <c r="BM34" i="1" s="1"/>
  <c r="BG34" i="1"/>
  <c r="BL34" i="1"/>
  <c r="B33" i="1"/>
  <c r="C33" i="1"/>
  <c r="D33" i="1"/>
  <c r="E33" i="1"/>
  <c r="BF33" i="1"/>
  <c r="BM33" i="1" s="1"/>
  <c r="BG33" i="1"/>
  <c r="BL33" i="1"/>
  <c r="B32" i="1"/>
  <c r="C32" i="1"/>
  <c r="D32" i="1"/>
  <c r="E32" i="1"/>
  <c r="BF32" i="1"/>
  <c r="BM32" i="1" s="1"/>
  <c r="BG32" i="1"/>
  <c r="BL32" i="1"/>
  <c r="B31" i="1"/>
  <c r="C31" i="1"/>
  <c r="D31" i="1"/>
  <c r="E31" i="1"/>
  <c r="BF31" i="1"/>
  <c r="BN31" i="1" s="1"/>
  <c r="BG31" i="1"/>
  <c r="BL31" i="1"/>
  <c r="B30" i="1"/>
  <c r="C30" i="1"/>
  <c r="D30" i="1"/>
  <c r="E30" i="1"/>
  <c r="BF30" i="1"/>
  <c r="BM30" i="1" s="1"/>
  <c r="BG30" i="1"/>
  <c r="BL30" i="1"/>
  <c r="B29" i="1"/>
  <c r="C29" i="1"/>
  <c r="D29" i="1"/>
  <c r="E29" i="1"/>
  <c r="BF29" i="1"/>
  <c r="BM29" i="1" s="1"/>
  <c r="BG29" i="1"/>
  <c r="BL29" i="1"/>
  <c r="BN35" i="1" l="1"/>
  <c r="BN32" i="1"/>
  <c r="BN34" i="1"/>
  <c r="BN33" i="1"/>
  <c r="BM31" i="1"/>
  <c r="BN30" i="1"/>
  <c r="BN29" i="1"/>
  <c r="B28" i="1" l="1"/>
  <c r="C28" i="1"/>
  <c r="D28" i="1"/>
  <c r="E28" i="1"/>
  <c r="BF28" i="1"/>
  <c r="BN28" i="1" s="1"/>
  <c r="BG28" i="1"/>
  <c r="BL28" i="1"/>
  <c r="B27" i="1"/>
  <c r="C27" i="1"/>
  <c r="D27" i="1"/>
  <c r="E27" i="1"/>
  <c r="BF27" i="1"/>
  <c r="BM27" i="1" s="1"/>
  <c r="BG27" i="1"/>
  <c r="BL27" i="1"/>
  <c r="B26" i="1"/>
  <c r="C26" i="1"/>
  <c r="D26" i="1"/>
  <c r="E26" i="1"/>
  <c r="BF26" i="1"/>
  <c r="BM26" i="1" s="1"/>
  <c r="BG26" i="1"/>
  <c r="BL26" i="1"/>
  <c r="B25" i="1"/>
  <c r="C25" i="1"/>
  <c r="D25" i="1"/>
  <c r="E25" i="1"/>
  <c r="BF25" i="1"/>
  <c r="BN25" i="1" s="1"/>
  <c r="BG25" i="1"/>
  <c r="BL25" i="1"/>
  <c r="B24" i="1"/>
  <c r="C24" i="1"/>
  <c r="D24" i="1"/>
  <c r="E24" i="1"/>
  <c r="BF24" i="1"/>
  <c r="BM24" i="1" s="1"/>
  <c r="BG24" i="1"/>
  <c r="BL24" i="1"/>
  <c r="B23" i="1"/>
  <c r="C23" i="1"/>
  <c r="D23" i="1"/>
  <c r="E23" i="1"/>
  <c r="BF23" i="1"/>
  <c r="BN23" i="1" s="1"/>
  <c r="BG23" i="1"/>
  <c r="BL23" i="1"/>
  <c r="B22" i="1"/>
  <c r="C22" i="1"/>
  <c r="D22" i="1"/>
  <c r="E22" i="1"/>
  <c r="BF22" i="1"/>
  <c r="BM22" i="1" s="1"/>
  <c r="BG22" i="1"/>
  <c r="BL22" i="1"/>
  <c r="B21" i="1"/>
  <c r="C21" i="1"/>
  <c r="D21" i="1"/>
  <c r="E21" i="1"/>
  <c r="BF21" i="1"/>
  <c r="BM21" i="1" s="1"/>
  <c r="BG21" i="1"/>
  <c r="BL21" i="1"/>
  <c r="AE380" i="16"/>
  <c r="B20" i="1"/>
  <c r="C20" i="1"/>
  <c r="D20" i="1"/>
  <c r="E20" i="1"/>
  <c r="BF20" i="1"/>
  <c r="BN20" i="1" s="1"/>
  <c r="BG20" i="1"/>
  <c r="BL20" i="1"/>
  <c r="B19" i="1"/>
  <c r="C19" i="1"/>
  <c r="D19" i="1"/>
  <c r="E19" i="1"/>
  <c r="BF19" i="1"/>
  <c r="BN19" i="1" s="1"/>
  <c r="BG19" i="1"/>
  <c r="BL19" i="1"/>
  <c r="BM28" i="1" l="1"/>
  <c r="BN27" i="1"/>
  <c r="BN26" i="1"/>
  <c r="BM25" i="1"/>
  <c r="BN24" i="1"/>
  <c r="BM23" i="1"/>
  <c r="BN21" i="1"/>
  <c r="BN22" i="1"/>
  <c r="BM20" i="1"/>
  <c r="BM19" i="1"/>
  <c r="B18" i="1"/>
  <c r="C18" i="1"/>
  <c r="D18" i="1"/>
  <c r="E18" i="1"/>
  <c r="BF18" i="1"/>
  <c r="BM18" i="1" s="1"/>
  <c r="BG18" i="1"/>
  <c r="BL18" i="1"/>
  <c r="BN18" i="1" l="1"/>
  <c r="B17" i="1"/>
  <c r="C17" i="1"/>
  <c r="D17" i="1"/>
  <c r="E17" i="1"/>
  <c r="BF17" i="1"/>
  <c r="BN17" i="1" s="1"/>
  <c r="BG17" i="1"/>
  <c r="BL17" i="1"/>
  <c r="BM17" i="1" l="1"/>
  <c r="B16" i="1"/>
  <c r="C16" i="1"/>
  <c r="D16" i="1"/>
  <c r="E16" i="1"/>
  <c r="BF16" i="1"/>
  <c r="BM16" i="1" s="1"/>
  <c r="BG16" i="1"/>
  <c r="BL16" i="1"/>
  <c r="BN16" i="1" l="1"/>
  <c r="B15" i="1"/>
  <c r="C15" i="1"/>
  <c r="D15" i="1"/>
  <c r="E15" i="1"/>
  <c r="BF15" i="1"/>
  <c r="BM15" i="1" s="1"/>
  <c r="BG15" i="1"/>
  <c r="BL15" i="1"/>
  <c r="BN15" i="1" l="1"/>
  <c r="B14" i="1"/>
  <c r="C14" i="1"/>
  <c r="D14" i="1"/>
  <c r="E14" i="1"/>
  <c r="BF14" i="1"/>
  <c r="BM14" i="1" s="1"/>
  <c r="BG14" i="1"/>
  <c r="BL14" i="1"/>
  <c r="BN14" i="1" l="1"/>
  <c r="B13" i="1"/>
  <c r="C13" i="1"/>
  <c r="D13" i="1"/>
  <c r="E13" i="1"/>
  <c r="BF13" i="1"/>
  <c r="BM13" i="1" s="1"/>
  <c r="BG13" i="1"/>
  <c r="BL13" i="1"/>
  <c r="AE3" i="16"/>
  <c r="AE4" i="16"/>
  <c r="AE5" i="16"/>
  <c r="AE6" i="16"/>
  <c r="AE7" i="16"/>
  <c r="AE8" i="16"/>
  <c r="AE9" i="16"/>
  <c r="AE10" i="16"/>
  <c r="AE11" i="16"/>
  <c r="AE12" i="16"/>
  <c r="AE13" i="16"/>
  <c r="AE14" i="16"/>
  <c r="AE15" i="16"/>
  <c r="AE16" i="16"/>
  <c r="AE17" i="16"/>
  <c r="AE18" i="16"/>
  <c r="AE19" i="16"/>
  <c r="AE20" i="16"/>
  <c r="AE21" i="16"/>
  <c r="AE22" i="16"/>
  <c r="AE23" i="16"/>
  <c r="AE24" i="16"/>
  <c r="AE25" i="16"/>
  <c r="AE26" i="16"/>
  <c r="AE27" i="16"/>
  <c r="AE28" i="16"/>
  <c r="AE29" i="16"/>
  <c r="AE30" i="16"/>
  <c r="AE31" i="16"/>
  <c r="AE32" i="16"/>
  <c r="AE33" i="16"/>
  <c r="AE34" i="16"/>
  <c r="AE35" i="16"/>
  <c r="AE36" i="16"/>
  <c r="AE37" i="16"/>
  <c r="AE38" i="16"/>
  <c r="AE39" i="16"/>
  <c r="AE40" i="16"/>
  <c r="AE41" i="16"/>
  <c r="AE42" i="16"/>
  <c r="AE43" i="16"/>
  <c r="AE44" i="16"/>
  <c r="AE45" i="16"/>
  <c r="AE46" i="16"/>
  <c r="AE47" i="16"/>
  <c r="AE48" i="16"/>
  <c r="AE49" i="16"/>
  <c r="AE50" i="16"/>
  <c r="AE51" i="16"/>
  <c r="AE52" i="16"/>
  <c r="AE53" i="16"/>
  <c r="AE54" i="16"/>
  <c r="AE55" i="16"/>
  <c r="AE56" i="16"/>
  <c r="AE57" i="16"/>
  <c r="AE58" i="16"/>
  <c r="AE59" i="16"/>
  <c r="AE60" i="16"/>
  <c r="AE61" i="16"/>
  <c r="AE62" i="16"/>
  <c r="AE63" i="16"/>
  <c r="AE64" i="16"/>
  <c r="AE65" i="16"/>
  <c r="AE66" i="16"/>
  <c r="AE67" i="16"/>
  <c r="AE68" i="16"/>
  <c r="AE69" i="16"/>
  <c r="AE70" i="16"/>
  <c r="AE71" i="16"/>
  <c r="AE72" i="16"/>
  <c r="AE73" i="16"/>
  <c r="AE74" i="16"/>
  <c r="AE75" i="16"/>
  <c r="AE76" i="16"/>
  <c r="AE77" i="16"/>
  <c r="AE78" i="16"/>
  <c r="AE79" i="16"/>
  <c r="AE80" i="16"/>
  <c r="AE81" i="16"/>
  <c r="AE82" i="16"/>
  <c r="AE83" i="16"/>
  <c r="AE84" i="16"/>
  <c r="AE85" i="16"/>
  <c r="AE86" i="16"/>
  <c r="AE87" i="16"/>
  <c r="AE88" i="16"/>
  <c r="AE89" i="16"/>
  <c r="AE90" i="16"/>
  <c r="AE91" i="16"/>
  <c r="AE92" i="16"/>
  <c r="AE93" i="16"/>
  <c r="AE94" i="16"/>
  <c r="AE95" i="16"/>
  <c r="AE96" i="16"/>
  <c r="AE97" i="16"/>
  <c r="AE98" i="16"/>
  <c r="AE99" i="16"/>
  <c r="AE100" i="16"/>
  <c r="AE101" i="16"/>
  <c r="AE102" i="16"/>
  <c r="AE103" i="16"/>
  <c r="AE104" i="16"/>
  <c r="AE105" i="16"/>
  <c r="AE106" i="16"/>
  <c r="AE107" i="16"/>
  <c r="AE108" i="16"/>
  <c r="AE109" i="16"/>
  <c r="AE110" i="16"/>
  <c r="AE111" i="16"/>
  <c r="AE112" i="16"/>
  <c r="AE113" i="16"/>
  <c r="AE114" i="16"/>
  <c r="AE115" i="16"/>
  <c r="AE116" i="16"/>
  <c r="AE117" i="16"/>
  <c r="AE118" i="16"/>
  <c r="AE119" i="16"/>
  <c r="AE120" i="16"/>
  <c r="AE121" i="16"/>
  <c r="AE122" i="16"/>
  <c r="AE123" i="16"/>
  <c r="AE124" i="16"/>
  <c r="AE125" i="16"/>
  <c r="AE126" i="16"/>
  <c r="AE127" i="16"/>
  <c r="AE128" i="16"/>
  <c r="AE129" i="16"/>
  <c r="AE130" i="16"/>
  <c r="AE131" i="16"/>
  <c r="AE132" i="16"/>
  <c r="AE133" i="16"/>
  <c r="AE134" i="16"/>
  <c r="AE135" i="16"/>
  <c r="AE136" i="16"/>
  <c r="AE137" i="16"/>
  <c r="AE138" i="16"/>
  <c r="AE139" i="16"/>
  <c r="AE140" i="16"/>
  <c r="AE141" i="16"/>
  <c r="AE142" i="16"/>
  <c r="AE143" i="16"/>
  <c r="AE144" i="16"/>
  <c r="AE145" i="16"/>
  <c r="AE146" i="16"/>
  <c r="AE147" i="16"/>
  <c r="AE148" i="16"/>
  <c r="AE149" i="16"/>
  <c r="AE150" i="16"/>
  <c r="AE151" i="16"/>
  <c r="AE152" i="16"/>
  <c r="AE153" i="16"/>
  <c r="AE154" i="16"/>
  <c r="AE155" i="16"/>
  <c r="AE156" i="16"/>
  <c r="AE157" i="16"/>
  <c r="AE158" i="16"/>
  <c r="AE159" i="16"/>
  <c r="AE160" i="16"/>
  <c r="AE161" i="16"/>
  <c r="AE162" i="16"/>
  <c r="AE163" i="16"/>
  <c r="AE164" i="16"/>
  <c r="AE165" i="16"/>
  <c r="AE166" i="16"/>
  <c r="AE167" i="16"/>
  <c r="AE168" i="16"/>
  <c r="AE169" i="16"/>
  <c r="AE170" i="16"/>
  <c r="AE171" i="16"/>
  <c r="AE172" i="16"/>
  <c r="AE173" i="16"/>
  <c r="AE174" i="16"/>
  <c r="AE175" i="16"/>
  <c r="AE176" i="16"/>
  <c r="AE177" i="16"/>
  <c r="AE178" i="16"/>
  <c r="AE179" i="16"/>
  <c r="AE180" i="16"/>
  <c r="AE181" i="16"/>
  <c r="AE182" i="16"/>
  <c r="AE183" i="16"/>
  <c r="AE184" i="16"/>
  <c r="AE185" i="16"/>
  <c r="AE186" i="16"/>
  <c r="AE187" i="16"/>
  <c r="AE188" i="16"/>
  <c r="AE189" i="16"/>
  <c r="AE190" i="16"/>
  <c r="AE191" i="16"/>
  <c r="AE192" i="16"/>
  <c r="AE193" i="16"/>
  <c r="AE194" i="16"/>
  <c r="AE195" i="16"/>
  <c r="AE196" i="16"/>
  <c r="AE197" i="16"/>
  <c r="AE198" i="16"/>
  <c r="AE199" i="16"/>
  <c r="AE200" i="16"/>
  <c r="AE201" i="16"/>
  <c r="AE202" i="16"/>
  <c r="AE203" i="16"/>
  <c r="AE204" i="16"/>
  <c r="AE205" i="16"/>
  <c r="AE206" i="16"/>
  <c r="AE207" i="16"/>
  <c r="AE208" i="16"/>
  <c r="AE209" i="16"/>
  <c r="AE210" i="16"/>
  <c r="AE211" i="16"/>
  <c r="AE212" i="16"/>
  <c r="AE213" i="16"/>
  <c r="AE214" i="16"/>
  <c r="AE215" i="16"/>
  <c r="AE216" i="16"/>
  <c r="AE217" i="16"/>
  <c r="AE218" i="16"/>
  <c r="AE219" i="16"/>
  <c r="AE220" i="16"/>
  <c r="AE221" i="16"/>
  <c r="AE222" i="16"/>
  <c r="AE223" i="16"/>
  <c r="AE224" i="16"/>
  <c r="AE225" i="16"/>
  <c r="AE226" i="16"/>
  <c r="AE227" i="16"/>
  <c r="AE228" i="16"/>
  <c r="AE229" i="16"/>
  <c r="AE230" i="16"/>
  <c r="AE231" i="16"/>
  <c r="AE232" i="16"/>
  <c r="AE233" i="16"/>
  <c r="AE234" i="16"/>
  <c r="AE235" i="16"/>
  <c r="AE236" i="16"/>
  <c r="AE237" i="16"/>
  <c r="AE238" i="16"/>
  <c r="AE239" i="16"/>
  <c r="AE240" i="16"/>
  <c r="AE241" i="16"/>
  <c r="AE242" i="16"/>
  <c r="AE243" i="16"/>
  <c r="AE244" i="16"/>
  <c r="AE245" i="16"/>
  <c r="AE246" i="16"/>
  <c r="AE247" i="16"/>
  <c r="AE248" i="16"/>
  <c r="AE249" i="16"/>
  <c r="AE250" i="16"/>
  <c r="AE251" i="16"/>
  <c r="AE252" i="16"/>
  <c r="AE253" i="16"/>
  <c r="AE254" i="16"/>
  <c r="AE255" i="16"/>
  <c r="AE256" i="16"/>
  <c r="AE257" i="16"/>
  <c r="AE258" i="16"/>
  <c r="AE259" i="16"/>
  <c r="AE260" i="16"/>
  <c r="AE261" i="16"/>
  <c r="AE262" i="16"/>
  <c r="AE263" i="16"/>
  <c r="AE264" i="16"/>
  <c r="AE265" i="16"/>
  <c r="AE266" i="16"/>
  <c r="AE267" i="16"/>
  <c r="AE268" i="16"/>
  <c r="AE269" i="16"/>
  <c r="AE270" i="16"/>
  <c r="AE271" i="16"/>
  <c r="AE272" i="16"/>
  <c r="AE273" i="16"/>
  <c r="AE274" i="16"/>
  <c r="AE275" i="16"/>
  <c r="AE276" i="16"/>
  <c r="AE277" i="16"/>
  <c r="AE278" i="16"/>
  <c r="AE279" i="16"/>
  <c r="AE280" i="16"/>
  <c r="AE281" i="16"/>
  <c r="AE282" i="16"/>
  <c r="AE283" i="16"/>
  <c r="AE284" i="16"/>
  <c r="AE285" i="16"/>
  <c r="AE286" i="16"/>
  <c r="AE287" i="16"/>
  <c r="AE288" i="16"/>
  <c r="AE289" i="16"/>
  <c r="AE290" i="16"/>
  <c r="AE291" i="16"/>
  <c r="AE292" i="16"/>
  <c r="AE293" i="16"/>
  <c r="AE294" i="16"/>
  <c r="AE295" i="16"/>
  <c r="AE296" i="16"/>
  <c r="AE297" i="16"/>
  <c r="AE298" i="16"/>
  <c r="AE299" i="16"/>
  <c r="AE300" i="16"/>
  <c r="AE301" i="16"/>
  <c r="AE302" i="16"/>
  <c r="AE303" i="16"/>
  <c r="AE304" i="16"/>
  <c r="AE305" i="16"/>
  <c r="AE306" i="16"/>
  <c r="AE307" i="16"/>
  <c r="AE308" i="16"/>
  <c r="AE309" i="16"/>
  <c r="AE310" i="16"/>
  <c r="AE311" i="16"/>
  <c r="AE312" i="16"/>
  <c r="AE313" i="16"/>
  <c r="AE314" i="16"/>
  <c r="AE315" i="16"/>
  <c r="AE316" i="16"/>
  <c r="AE317" i="16"/>
  <c r="AE318" i="16"/>
  <c r="AE319" i="16"/>
  <c r="AE320" i="16"/>
  <c r="AE321" i="16"/>
  <c r="AE322" i="16"/>
  <c r="AE323" i="16"/>
  <c r="AE324" i="16"/>
  <c r="AE325" i="16"/>
  <c r="AE326" i="16"/>
  <c r="AE327" i="16"/>
  <c r="AE328" i="16"/>
  <c r="AE329" i="16"/>
  <c r="AE330" i="16"/>
  <c r="AE331" i="16"/>
  <c r="AE332" i="16"/>
  <c r="AE333" i="16"/>
  <c r="AE334" i="16"/>
  <c r="AE335" i="16"/>
  <c r="AE336" i="16"/>
  <c r="AE337" i="16"/>
  <c r="AE338" i="16"/>
  <c r="AE339" i="16"/>
  <c r="AE340" i="16"/>
  <c r="AE341" i="16"/>
  <c r="AE342" i="16"/>
  <c r="AE343" i="16"/>
  <c r="AE344" i="16"/>
  <c r="AE345" i="16"/>
  <c r="AE346" i="16"/>
  <c r="AE347" i="16"/>
  <c r="AE348" i="16"/>
  <c r="AE349" i="16"/>
  <c r="AE350" i="16"/>
  <c r="AE351" i="16"/>
  <c r="AE352" i="16"/>
  <c r="AE353" i="16"/>
  <c r="AE354" i="16"/>
  <c r="AE355" i="16"/>
  <c r="AE356" i="16"/>
  <c r="AE357" i="16"/>
  <c r="AE358" i="16"/>
  <c r="AE359" i="16"/>
  <c r="AE360" i="16"/>
  <c r="AE361" i="16"/>
  <c r="AE362" i="16"/>
  <c r="AE363" i="16"/>
  <c r="AE364" i="16"/>
  <c r="AE365" i="16"/>
  <c r="AE366" i="16"/>
  <c r="AE367" i="16"/>
  <c r="AE368" i="16"/>
  <c r="AE369" i="16"/>
  <c r="AE370" i="16"/>
  <c r="AE371" i="16"/>
  <c r="AE372" i="16"/>
  <c r="AE373" i="16"/>
  <c r="AE374" i="16"/>
  <c r="AE375" i="16"/>
  <c r="AE376" i="16"/>
  <c r="AE377" i="16"/>
  <c r="AE378" i="16"/>
  <c r="AE379" i="16"/>
  <c r="AE381" i="16"/>
  <c r="AE382" i="16"/>
  <c r="AE383" i="16"/>
  <c r="AE384" i="16"/>
  <c r="AE385" i="16"/>
  <c r="AE386" i="16"/>
  <c r="AE387" i="16"/>
  <c r="AE388" i="16"/>
  <c r="AE389" i="16"/>
  <c r="AE390" i="16"/>
  <c r="AE391" i="16"/>
  <c r="AE392" i="16"/>
  <c r="AE393" i="16"/>
  <c r="AE394" i="16"/>
  <c r="AE395" i="16"/>
  <c r="AE396" i="16"/>
  <c r="AE397" i="16"/>
  <c r="AE398" i="16"/>
  <c r="AE399" i="16"/>
  <c r="AE400" i="16"/>
  <c r="AE401" i="16"/>
  <c r="AE402" i="16"/>
  <c r="AE403" i="16"/>
  <c r="AE404" i="16"/>
  <c r="AE405" i="16"/>
  <c r="AE406" i="16"/>
  <c r="AE407" i="16"/>
  <c r="AE408" i="16"/>
  <c r="AE409" i="16"/>
  <c r="AE410" i="16"/>
  <c r="AE411" i="16"/>
  <c r="AE412" i="16"/>
  <c r="AE414" i="16"/>
  <c r="AE415" i="16"/>
  <c r="AE416" i="16"/>
  <c r="AE417" i="16"/>
  <c r="AE418" i="16"/>
  <c r="AE419" i="16"/>
  <c r="AE420" i="16"/>
  <c r="AE421" i="16"/>
  <c r="AE422" i="16"/>
  <c r="AE423" i="16"/>
  <c r="AE424" i="16"/>
  <c r="AE425" i="16"/>
  <c r="AE426" i="16"/>
  <c r="AE427" i="16"/>
  <c r="AE428" i="16"/>
  <c r="AE429" i="16"/>
  <c r="AE430" i="16"/>
  <c r="AE431" i="16"/>
  <c r="AE432" i="16"/>
  <c r="AE433" i="16"/>
  <c r="AE434" i="16"/>
  <c r="AE435" i="16"/>
  <c r="AE436" i="16"/>
  <c r="AE437" i="16"/>
  <c r="AE438" i="16"/>
  <c r="AE439" i="16"/>
  <c r="AE440" i="16"/>
  <c r="AE441" i="16"/>
  <c r="AE442" i="16"/>
  <c r="AE443" i="16"/>
  <c r="AE444" i="16"/>
  <c r="AE445" i="16"/>
  <c r="AE446" i="16"/>
  <c r="AE447" i="16"/>
  <c r="AE448" i="16"/>
  <c r="AE449" i="16"/>
  <c r="AE450" i="16"/>
  <c r="AE451" i="16"/>
  <c r="AE452" i="16"/>
  <c r="AE453" i="16"/>
  <c r="AE454" i="16"/>
  <c r="AE455" i="16"/>
  <c r="AE457" i="16"/>
  <c r="AE458" i="16"/>
  <c r="AE459" i="16"/>
  <c r="AE460" i="16"/>
  <c r="AE461" i="16"/>
  <c r="AE462" i="16"/>
  <c r="AE463" i="16"/>
  <c r="AE464" i="16"/>
  <c r="AE465" i="16"/>
  <c r="AE466" i="16"/>
  <c r="AE467" i="16"/>
  <c r="AE468" i="16"/>
  <c r="AE469" i="16"/>
  <c r="AE470" i="16"/>
  <c r="AE471" i="16"/>
  <c r="AE472" i="16"/>
  <c r="AE473" i="16"/>
  <c r="AE474" i="16"/>
  <c r="AE475" i="16"/>
  <c r="AE476" i="16"/>
  <c r="AE477" i="16"/>
  <c r="AE478" i="16"/>
  <c r="AE479" i="16"/>
  <c r="AE480" i="16"/>
  <c r="AE481" i="16"/>
  <c r="AE482" i="16"/>
  <c r="AE483" i="16"/>
  <c r="AE484" i="16"/>
  <c r="AE485" i="16"/>
  <c r="AE486" i="16"/>
  <c r="AE487" i="16"/>
  <c r="AE488" i="16"/>
  <c r="AE489" i="16"/>
  <c r="AE490" i="16"/>
  <c r="AE491" i="16"/>
  <c r="AE492" i="16"/>
  <c r="AE493" i="16"/>
  <c r="AE494" i="16"/>
  <c r="AE495" i="16"/>
  <c r="AE496" i="16"/>
  <c r="AE497" i="16"/>
  <c r="AE498" i="16"/>
  <c r="AE499" i="16"/>
  <c r="AE500" i="16"/>
  <c r="AE501" i="16"/>
  <c r="AE502" i="16"/>
  <c r="AE503" i="16"/>
  <c r="AE504" i="16"/>
  <c r="AE505" i="16"/>
  <c r="AE506" i="16"/>
  <c r="AE507" i="16"/>
  <c r="AE508" i="16"/>
  <c r="AE509" i="16"/>
  <c r="AE510" i="16"/>
  <c r="AE511" i="16"/>
  <c r="AE512" i="16"/>
  <c r="AE513" i="16"/>
  <c r="AE514" i="16"/>
  <c r="AE515" i="16"/>
  <c r="AE516" i="16"/>
  <c r="AE517" i="16"/>
  <c r="AE518" i="16"/>
  <c r="AE519" i="16"/>
  <c r="AE520" i="16"/>
  <c r="AE521" i="16"/>
  <c r="AE522" i="16"/>
  <c r="AE523" i="16"/>
  <c r="AE524" i="16"/>
  <c r="AE525" i="16"/>
  <c r="AE526" i="16"/>
  <c r="AE527" i="16"/>
  <c r="AE528" i="16"/>
  <c r="AE529" i="16"/>
  <c r="AE530" i="16"/>
  <c r="AE531" i="16"/>
  <c r="AE532" i="16"/>
  <c r="AE533" i="16"/>
  <c r="AE534" i="16"/>
  <c r="AE535" i="16"/>
  <c r="AE536" i="16"/>
  <c r="AE537" i="16"/>
  <c r="AE538" i="16"/>
  <c r="AE539" i="16"/>
  <c r="AE540" i="16"/>
  <c r="AE541" i="16"/>
  <c r="AE542" i="16"/>
  <c r="AE543" i="16"/>
  <c r="AE544" i="16"/>
  <c r="AE545" i="16"/>
  <c r="AE546" i="16"/>
  <c r="AE547" i="16"/>
  <c r="AE548" i="16"/>
  <c r="AE549" i="16"/>
  <c r="AE550" i="16"/>
  <c r="AE551" i="16"/>
  <c r="AE552" i="16"/>
  <c r="AE553" i="16"/>
  <c r="AE554" i="16"/>
  <c r="AE555" i="16"/>
  <c r="AE556" i="16"/>
  <c r="AE557" i="16"/>
  <c r="AE558" i="16"/>
  <c r="AE559" i="16"/>
  <c r="AE560" i="16"/>
  <c r="AE561" i="16"/>
  <c r="AE562" i="16"/>
  <c r="AE563" i="16"/>
  <c r="AE564" i="16"/>
  <c r="AE565" i="16"/>
  <c r="AE566" i="16"/>
  <c r="AE567" i="16"/>
  <c r="AE568" i="16"/>
  <c r="AE569" i="16"/>
  <c r="AE570" i="16"/>
  <c r="AE571" i="16"/>
  <c r="AE572" i="16"/>
  <c r="AE573" i="16"/>
  <c r="AE574" i="16"/>
  <c r="AE575" i="16"/>
  <c r="AE576" i="16"/>
  <c r="AE577" i="16"/>
  <c r="AE578" i="16"/>
  <c r="AE579" i="16"/>
  <c r="AE580" i="16"/>
  <c r="AE581" i="16"/>
  <c r="AE582" i="16"/>
  <c r="AE583" i="16"/>
  <c r="AE584" i="16"/>
  <c r="AE585" i="16"/>
  <c r="AE586" i="16"/>
  <c r="AE587" i="16"/>
  <c r="AE588" i="16"/>
  <c r="AE589" i="16"/>
  <c r="AE590" i="16"/>
  <c r="AE591" i="16"/>
  <c r="AE592" i="16"/>
  <c r="AE593" i="16"/>
  <c r="AE594" i="16"/>
  <c r="AE595" i="16"/>
  <c r="AE596" i="16"/>
  <c r="AE597" i="16"/>
  <c r="AE598" i="16"/>
  <c r="AE599" i="16"/>
  <c r="AE600" i="16"/>
  <c r="AE601" i="16"/>
  <c r="AE602" i="16"/>
  <c r="AE603" i="16"/>
  <c r="AE604" i="16"/>
  <c r="AE605" i="16"/>
  <c r="AE606" i="16"/>
  <c r="AE607" i="16"/>
  <c r="AE608" i="16"/>
  <c r="AE609" i="16"/>
  <c r="AE610" i="16"/>
  <c r="AE611" i="16"/>
  <c r="AE612" i="16"/>
  <c r="AE613" i="16"/>
  <c r="AE614" i="16"/>
  <c r="AE615" i="16"/>
  <c r="AE616" i="16"/>
  <c r="AE617" i="16"/>
  <c r="AE618" i="16"/>
  <c r="AE619" i="16"/>
  <c r="AE620" i="16"/>
  <c r="AE621" i="16"/>
  <c r="AE622" i="16"/>
  <c r="AE623" i="16"/>
  <c r="AE624" i="16"/>
  <c r="AE625" i="16"/>
  <c r="AE626" i="16"/>
  <c r="AE627" i="16"/>
  <c r="AE628" i="16"/>
  <c r="AE629" i="16"/>
  <c r="AE630" i="16"/>
  <c r="AE631" i="16"/>
  <c r="AE632" i="16"/>
  <c r="AE633" i="16"/>
  <c r="AE634" i="16"/>
  <c r="AE635" i="16"/>
  <c r="AE636" i="16"/>
  <c r="AE637" i="16"/>
  <c r="AE638" i="16"/>
  <c r="AE639" i="16"/>
  <c r="AE640" i="16"/>
  <c r="AE641" i="16"/>
  <c r="AE642" i="16"/>
  <c r="AE643" i="16"/>
  <c r="AE644" i="16"/>
  <c r="AE645" i="16"/>
  <c r="AE646" i="16"/>
  <c r="AE647" i="16"/>
  <c r="AE648" i="16"/>
  <c r="AE649" i="16"/>
  <c r="AE650" i="16"/>
  <c r="AE651" i="16"/>
  <c r="AE652" i="16"/>
  <c r="AE653" i="16"/>
  <c r="AE654" i="16"/>
  <c r="AE655" i="16"/>
  <c r="AE656" i="16"/>
  <c r="AE657" i="16"/>
  <c r="AE658" i="16"/>
  <c r="AE659" i="16"/>
  <c r="AE660" i="16"/>
  <c r="AE661" i="16"/>
  <c r="AE662" i="16"/>
  <c r="AE663" i="16"/>
  <c r="AE664" i="16"/>
  <c r="AE665" i="16"/>
  <c r="AE666" i="16"/>
  <c r="AE667" i="16"/>
  <c r="AE668" i="16"/>
  <c r="AE669" i="16"/>
  <c r="AE670" i="16"/>
  <c r="AE671" i="16"/>
  <c r="AE672" i="16"/>
  <c r="AE673" i="16"/>
  <c r="AE674" i="16"/>
  <c r="AE675" i="16"/>
  <c r="AE676" i="16"/>
  <c r="AE677" i="16"/>
  <c r="AE678" i="16"/>
  <c r="AE679" i="16"/>
  <c r="AE680" i="16"/>
  <c r="AE681" i="16"/>
  <c r="AE682" i="16"/>
  <c r="AE683" i="16"/>
  <c r="AE684" i="16"/>
  <c r="AE685" i="16"/>
  <c r="AE686" i="16"/>
  <c r="AE687" i="16"/>
  <c r="AE688" i="16"/>
  <c r="AE689" i="16"/>
  <c r="AE690" i="16"/>
  <c r="AE691" i="16"/>
  <c r="AE692" i="16"/>
  <c r="AE693" i="16"/>
  <c r="AE694" i="16"/>
  <c r="AE695" i="16"/>
  <c r="AE696" i="16"/>
  <c r="AE697" i="16"/>
  <c r="AE698" i="16"/>
  <c r="AE699" i="16"/>
  <c r="AE700" i="16"/>
  <c r="AE701" i="16"/>
  <c r="AE702" i="16"/>
  <c r="AE703" i="16"/>
  <c r="AE704" i="16"/>
  <c r="AE705" i="16"/>
  <c r="AE706" i="16"/>
  <c r="AE707" i="16"/>
  <c r="AE708" i="16"/>
  <c r="AE709" i="16"/>
  <c r="AE710" i="16"/>
  <c r="AE711" i="16"/>
  <c r="AE712" i="16"/>
  <c r="AE713" i="16"/>
  <c r="AE714" i="16"/>
  <c r="AE715" i="16"/>
  <c r="AE716" i="16"/>
  <c r="AE717" i="16"/>
  <c r="AE718" i="16"/>
  <c r="AE719" i="16"/>
  <c r="AE720" i="16"/>
  <c r="AE721" i="16"/>
  <c r="AE722" i="16"/>
  <c r="AE723" i="16"/>
  <c r="AE724" i="16"/>
  <c r="AE725" i="16"/>
  <c r="AE726" i="16"/>
  <c r="AE727" i="16"/>
  <c r="AE728" i="16"/>
  <c r="AE729" i="16"/>
  <c r="AE730" i="16"/>
  <c r="AE731" i="16"/>
  <c r="AE732" i="16"/>
  <c r="AE733" i="16"/>
  <c r="AE734" i="16"/>
  <c r="AE735" i="16"/>
  <c r="AE736" i="16"/>
  <c r="AE737" i="16"/>
  <c r="AE738" i="16"/>
  <c r="AE739" i="16"/>
  <c r="AE740" i="16"/>
  <c r="AE741" i="16"/>
  <c r="AE742" i="16"/>
  <c r="AE743" i="16"/>
  <c r="AE744" i="16"/>
  <c r="AE745" i="16"/>
  <c r="AE746" i="16"/>
  <c r="AE747" i="16"/>
  <c r="AE748" i="16"/>
  <c r="AE749" i="16"/>
  <c r="AE750" i="16"/>
  <c r="AE751" i="16"/>
  <c r="AE752" i="16"/>
  <c r="AE753" i="16"/>
  <c r="AE754" i="16"/>
  <c r="AE755" i="16"/>
  <c r="AE756" i="16"/>
  <c r="AE757" i="16"/>
  <c r="AE758" i="16"/>
  <c r="AE759" i="16"/>
  <c r="AE760" i="16"/>
  <c r="AE761" i="16"/>
  <c r="AE762" i="16"/>
  <c r="AE763" i="16"/>
  <c r="AE764" i="16"/>
  <c r="AE765" i="16"/>
  <c r="AE766" i="16"/>
  <c r="AE767" i="16"/>
  <c r="AE768" i="16"/>
  <c r="AE769" i="16"/>
  <c r="AE770" i="16"/>
  <c r="AE771" i="16"/>
  <c r="AE772" i="16"/>
  <c r="AE773" i="16"/>
  <c r="AE774" i="16"/>
  <c r="AE775" i="16"/>
  <c r="AE776" i="16"/>
  <c r="AE777" i="16"/>
  <c r="AE778" i="16"/>
  <c r="AE779" i="16"/>
  <c r="AE780" i="16"/>
  <c r="AE781" i="16"/>
  <c r="AE782" i="16"/>
  <c r="AE783" i="16"/>
  <c r="AE784" i="16"/>
  <c r="AE785" i="16"/>
  <c r="AE786" i="16"/>
  <c r="AE787" i="16"/>
  <c r="AE788" i="16"/>
  <c r="AE789" i="16"/>
  <c r="AE790" i="16"/>
  <c r="AE791" i="16"/>
  <c r="AE792" i="16"/>
  <c r="AE793" i="16"/>
  <c r="AE794" i="16"/>
  <c r="AE795" i="16"/>
  <c r="AE796" i="16"/>
  <c r="AE797" i="16"/>
  <c r="AE798" i="16"/>
  <c r="AE799" i="16"/>
  <c r="AE800" i="16"/>
  <c r="AE801" i="16"/>
  <c r="AE802" i="16"/>
  <c r="AE803" i="16"/>
  <c r="AE804" i="16"/>
  <c r="AE805" i="16"/>
  <c r="AE806" i="16"/>
  <c r="AE807" i="16"/>
  <c r="AE808" i="16"/>
  <c r="AE809" i="16"/>
  <c r="AE810" i="16"/>
  <c r="AE811" i="16"/>
  <c r="AE812" i="16"/>
  <c r="AE813" i="16"/>
  <c r="AE814" i="16"/>
  <c r="AE815" i="16"/>
  <c r="AE816" i="16"/>
  <c r="AE817" i="16"/>
  <c r="AE818" i="16"/>
  <c r="AE819" i="16"/>
  <c r="AE820" i="16"/>
  <c r="AE821" i="16"/>
  <c r="AE822" i="16"/>
  <c r="AE823" i="16"/>
  <c r="AE824" i="16"/>
  <c r="AE825" i="16"/>
  <c r="AE826" i="16"/>
  <c r="AE827" i="16"/>
  <c r="AE828" i="16"/>
  <c r="AE829" i="16"/>
  <c r="AE830" i="16"/>
  <c r="AE831" i="16"/>
  <c r="AE832" i="16"/>
  <c r="AE833" i="16"/>
  <c r="AE834" i="16"/>
  <c r="AE835" i="16"/>
  <c r="AE836" i="16"/>
  <c r="AE837" i="16"/>
  <c r="AE838" i="16"/>
  <c r="AE839" i="16"/>
  <c r="AE840" i="16"/>
  <c r="AE841" i="16"/>
  <c r="AE842" i="16"/>
  <c r="AE843" i="16"/>
  <c r="AE844" i="16"/>
  <c r="AE845" i="16"/>
  <c r="AE846" i="16"/>
  <c r="AE847" i="16"/>
  <c r="AE848" i="16"/>
  <c r="AE849" i="16"/>
  <c r="AE850" i="16"/>
  <c r="AE851" i="16"/>
  <c r="AE852" i="16"/>
  <c r="AE853" i="16"/>
  <c r="AE854" i="16"/>
  <c r="AE855" i="16"/>
  <c r="AE856" i="16"/>
  <c r="AE857" i="16"/>
  <c r="AE858" i="16"/>
  <c r="AE859" i="16"/>
  <c r="AE860" i="16"/>
  <c r="AE861" i="16"/>
  <c r="AE862" i="16"/>
  <c r="AE863" i="16"/>
  <c r="AE864" i="16"/>
  <c r="AE865" i="16"/>
  <c r="AE866" i="16"/>
  <c r="AE867" i="16"/>
  <c r="AE868" i="16"/>
  <c r="AE869" i="16"/>
  <c r="AE870" i="16"/>
  <c r="AE871" i="16"/>
  <c r="AE872" i="16"/>
  <c r="AE873" i="16"/>
  <c r="AE874" i="16"/>
  <c r="AE875" i="16"/>
  <c r="AE876" i="16"/>
  <c r="AE877" i="16"/>
  <c r="AE878" i="16"/>
  <c r="AE879" i="16"/>
  <c r="AE880" i="16"/>
  <c r="AE881" i="16"/>
  <c r="AE882" i="16"/>
  <c r="AE883" i="16"/>
  <c r="AE884" i="16"/>
  <c r="AE885" i="16"/>
  <c r="AE886" i="16"/>
  <c r="AE887" i="16"/>
  <c r="AE888" i="16"/>
  <c r="AE889" i="16"/>
  <c r="AE890" i="16"/>
  <c r="AE891" i="16"/>
  <c r="AE892" i="16"/>
  <c r="AE893" i="16"/>
  <c r="AE894" i="16"/>
  <c r="AE895" i="16"/>
  <c r="AE896" i="16"/>
  <c r="AE897" i="16"/>
  <c r="AE898" i="16"/>
  <c r="AE899" i="16"/>
  <c r="AE900" i="16"/>
  <c r="AE901" i="16"/>
  <c r="AE902" i="16"/>
  <c r="AE903" i="16"/>
  <c r="AE904" i="16"/>
  <c r="AE905" i="16"/>
  <c r="AE906" i="16"/>
  <c r="AE907" i="16"/>
  <c r="AE908" i="16"/>
  <c r="AE909" i="16"/>
  <c r="AE910" i="16"/>
  <c r="AE911" i="16"/>
  <c r="AE912" i="16"/>
  <c r="AE913" i="16"/>
  <c r="AE914" i="16"/>
  <c r="AE915" i="16"/>
  <c r="AE916" i="16"/>
  <c r="AE917" i="16"/>
  <c r="AE918" i="16"/>
  <c r="AE919" i="16"/>
  <c r="AE920" i="16"/>
  <c r="AE921" i="16"/>
  <c r="AE922" i="16"/>
  <c r="AE923" i="16"/>
  <c r="AE924" i="16"/>
  <c r="AE925" i="16"/>
  <c r="AE926" i="16"/>
  <c r="AE927" i="16"/>
  <c r="AE928" i="16"/>
  <c r="AE929" i="16"/>
  <c r="AE930" i="16"/>
  <c r="AE931" i="16"/>
  <c r="AE932" i="16"/>
  <c r="AE933" i="16"/>
  <c r="AE934" i="16"/>
  <c r="AE935" i="16"/>
  <c r="AE936" i="16"/>
  <c r="AE937" i="16"/>
  <c r="AE938" i="16"/>
  <c r="AE939" i="16"/>
  <c r="AE940" i="16"/>
  <c r="AE941" i="16"/>
  <c r="AE942" i="16"/>
  <c r="AE943" i="16"/>
  <c r="AE944" i="16"/>
  <c r="AE945" i="16"/>
  <c r="AE946" i="16"/>
  <c r="AE947" i="16"/>
  <c r="AE948" i="16"/>
  <c r="AE949" i="16"/>
  <c r="AE950" i="16"/>
  <c r="AE951" i="16"/>
  <c r="AE952" i="16"/>
  <c r="AE953" i="16"/>
  <c r="AE954" i="16"/>
  <c r="AE955" i="16"/>
  <c r="AE956" i="16"/>
  <c r="AE957" i="16"/>
  <c r="AE958" i="16"/>
  <c r="AE959" i="16"/>
  <c r="AE960" i="16"/>
  <c r="AE961" i="16"/>
  <c r="AE962" i="16"/>
  <c r="AE963" i="16"/>
  <c r="AE964" i="16"/>
  <c r="AE965" i="16"/>
  <c r="AE966" i="16"/>
  <c r="AE967" i="16"/>
  <c r="AE968" i="16"/>
  <c r="AE969" i="16"/>
  <c r="AE970" i="16"/>
  <c r="AE971" i="16"/>
  <c r="AE972" i="16"/>
  <c r="AE973" i="16"/>
  <c r="AE974" i="16"/>
  <c r="AE975" i="16"/>
  <c r="AE976" i="16"/>
  <c r="AE977" i="16"/>
  <c r="AE978" i="16"/>
  <c r="AE979" i="16"/>
  <c r="AE980" i="16"/>
  <c r="AE981" i="16"/>
  <c r="AE982" i="16"/>
  <c r="AE983" i="16"/>
  <c r="AE984" i="16"/>
  <c r="AE985" i="16"/>
  <c r="AE986" i="16"/>
  <c r="AE987" i="16"/>
  <c r="AE988" i="16"/>
  <c r="AE989" i="16"/>
  <c r="AE990" i="16"/>
  <c r="AE991" i="16"/>
  <c r="AE992" i="16"/>
  <c r="AE993" i="16"/>
  <c r="AE994" i="16"/>
  <c r="AE995" i="16"/>
  <c r="AE996" i="16"/>
  <c r="AE997" i="16"/>
  <c r="AE998" i="16"/>
  <c r="AE999" i="16"/>
  <c r="AE1000" i="16"/>
  <c r="AE1001" i="16"/>
  <c r="AE1002" i="16"/>
  <c r="AE1003" i="16"/>
  <c r="AE1004" i="16"/>
  <c r="AE1005" i="16"/>
  <c r="AE1006" i="16"/>
  <c r="AE1007" i="16"/>
  <c r="AE1008" i="16"/>
  <c r="AE1009" i="16"/>
  <c r="AE1010" i="16"/>
  <c r="AE1011" i="16"/>
  <c r="AE1012" i="16"/>
  <c r="AE1013" i="16"/>
  <c r="AE1014" i="16"/>
  <c r="AE1015" i="16"/>
  <c r="AE1016" i="16"/>
  <c r="AE1017" i="16"/>
  <c r="AE1018" i="16"/>
  <c r="AE1019" i="16"/>
  <c r="AE1020" i="16"/>
  <c r="AE1021" i="16"/>
  <c r="AE1022" i="16"/>
  <c r="AE1023" i="16"/>
  <c r="AE1024" i="16"/>
  <c r="AE1025" i="16"/>
  <c r="AE1026" i="16"/>
  <c r="AE1027" i="16"/>
  <c r="AE1028" i="16"/>
  <c r="AE1029" i="16"/>
  <c r="AE1030" i="16"/>
  <c r="AE1031" i="16"/>
  <c r="AE1032" i="16"/>
  <c r="AE1033" i="16"/>
  <c r="AE1034" i="16"/>
  <c r="AE1035" i="16"/>
  <c r="AE1036" i="16"/>
  <c r="AE1037" i="16"/>
  <c r="AE1038" i="16"/>
  <c r="AE1039" i="16"/>
  <c r="AE1040" i="16"/>
  <c r="AE1041" i="16"/>
  <c r="AE1042" i="16"/>
  <c r="AE1043" i="16"/>
  <c r="AE1044" i="16"/>
  <c r="AE1045" i="16"/>
  <c r="AE1046" i="16"/>
  <c r="AE1047" i="16"/>
  <c r="AE1048" i="16"/>
  <c r="AE1049" i="16"/>
  <c r="AE1050" i="16"/>
  <c r="AE1051" i="16"/>
  <c r="AE1052" i="16"/>
  <c r="AE1053" i="16"/>
  <c r="AE1054" i="16"/>
  <c r="AE1055" i="16"/>
  <c r="AE1056" i="16"/>
  <c r="AE1057" i="16"/>
  <c r="AE1058" i="16"/>
  <c r="AE1059" i="16"/>
  <c r="AE1060" i="16"/>
  <c r="AE1061" i="16"/>
  <c r="AE1062" i="16"/>
  <c r="AE1063" i="16"/>
  <c r="AE1064" i="16"/>
  <c r="AE1065" i="16"/>
  <c r="AE1066" i="16"/>
  <c r="AE1067" i="16"/>
  <c r="AE1068" i="16"/>
  <c r="AE1069" i="16"/>
  <c r="AE1070" i="16"/>
  <c r="AE1071" i="16"/>
  <c r="AE1072" i="16"/>
  <c r="AE1073" i="16"/>
  <c r="AE1074" i="16"/>
  <c r="AE1075" i="16"/>
  <c r="AE1076" i="16"/>
  <c r="AE1077" i="16"/>
  <c r="AE1078" i="16"/>
  <c r="AE1079" i="16"/>
  <c r="AE1080" i="16"/>
  <c r="AE1081" i="16"/>
  <c r="AE1082" i="16"/>
  <c r="AE1083" i="16"/>
  <c r="AE1084" i="16"/>
  <c r="AE1085" i="16"/>
  <c r="AE1086" i="16"/>
  <c r="AE1087" i="16"/>
  <c r="AE1088" i="16"/>
  <c r="AE1089" i="16"/>
  <c r="AE1090" i="16"/>
  <c r="AE1091" i="16"/>
  <c r="AE1092" i="16"/>
  <c r="AE1093" i="16"/>
  <c r="AE1094" i="16"/>
  <c r="AE1095" i="16"/>
  <c r="AE1096" i="16"/>
  <c r="AE1097" i="16"/>
  <c r="AE1098" i="16"/>
  <c r="AE1099" i="16"/>
  <c r="AE1100" i="16"/>
  <c r="AE1101" i="16"/>
  <c r="AE1102" i="16"/>
  <c r="AE1103" i="16"/>
  <c r="AE1104" i="16"/>
  <c r="AE1105" i="16"/>
  <c r="AE1106" i="16"/>
  <c r="AE1107" i="16"/>
  <c r="AE1108" i="16"/>
  <c r="AE1109" i="16"/>
  <c r="AE1110" i="16"/>
  <c r="AE1111" i="16"/>
  <c r="AE1112" i="16"/>
  <c r="AE1113" i="16"/>
  <c r="AE1114" i="16"/>
  <c r="AE1115" i="16"/>
  <c r="AE1116" i="16"/>
  <c r="AE1117" i="16"/>
  <c r="AE1118" i="16"/>
  <c r="AE1119" i="16"/>
  <c r="AE1120" i="16"/>
  <c r="AE1121" i="16"/>
  <c r="AE1122" i="16"/>
  <c r="AE1123" i="16"/>
  <c r="AE1124" i="16"/>
  <c r="AE1125" i="16"/>
  <c r="AE1126" i="16"/>
  <c r="AE1127" i="16"/>
  <c r="AE1128" i="16"/>
  <c r="AE1129" i="16"/>
  <c r="AE1130" i="16"/>
  <c r="AE1131" i="16"/>
  <c r="AE1132" i="16"/>
  <c r="AE1133" i="16"/>
  <c r="AE1134" i="16"/>
  <c r="AE1135" i="16"/>
  <c r="AE1136" i="16"/>
  <c r="AE1137" i="16"/>
  <c r="AE1138" i="16"/>
  <c r="AE1139" i="16"/>
  <c r="AE1140" i="16"/>
  <c r="AE1141" i="16"/>
  <c r="AE1142" i="16"/>
  <c r="AE1143" i="16"/>
  <c r="AE1144" i="16"/>
  <c r="AE1145" i="16"/>
  <c r="AE1146" i="16"/>
  <c r="AE1147" i="16"/>
  <c r="AE1148" i="16"/>
  <c r="AE1149" i="16"/>
  <c r="AE1150" i="16"/>
  <c r="AE1151" i="16"/>
  <c r="AE1152" i="16"/>
  <c r="AE1153" i="16"/>
  <c r="AE1154" i="16"/>
  <c r="AE1155" i="16"/>
  <c r="AE1156" i="16"/>
  <c r="AE1157" i="16"/>
  <c r="AE1158" i="16"/>
  <c r="AE1159" i="16"/>
  <c r="AE1160" i="16"/>
  <c r="AE1161" i="16"/>
  <c r="AE1162" i="16"/>
  <c r="AE1163" i="16"/>
  <c r="AE1164" i="16"/>
  <c r="AE1165" i="16"/>
  <c r="AE1166" i="16"/>
  <c r="AE1167" i="16"/>
  <c r="AE1168" i="16"/>
  <c r="AE1169" i="16"/>
  <c r="AE1170" i="16"/>
  <c r="AE1171" i="16"/>
  <c r="AE1172" i="16"/>
  <c r="AE1173" i="16"/>
  <c r="AE1174" i="16"/>
  <c r="AE1175" i="16"/>
  <c r="AE1176" i="16"/>
  <c r="AE1177" i="16"/>
  <c r="AE1178" i="16"/>
  <c r="AE1179" i="16"/>
  <c r="AE1180" i="16"/>
  <c r="AE1181" i="16"/>
  <c r="AE1182" i="16"/>
  <c r="AE1183" i="16"/>
  <c r="AE1184" i="16"/>
  <c r="AE1185" i="16"/>
  <c r="AE1186" i="16"/>
  <c r="AE1187" i="16"/>
  <c r="AE1188" i="16"/>
  <c r="AE1189" i="16"/>
  <c r="AE1190" i="16"/>
  <c r="AE1191" i="16"/>
  <c r="AE1192" i="16"/>
  <c r="AE1193" i="16"/>
  <c r="AE1194" i="16"/>
  <c r="AE1195" i="16"/>
  <c r="AE1196" i="16"/>
  <c r="AE1197" i="16"/>
  <c r="AE1198" i="16"/>
  <c r="AE1199" i="16"/>
  <c r="AE1200" i="16"/>
  <c r="AE1201" i="16"/>
  <c r="AE1202" i="16"/>
  <c r="AE1203" i="16"/>
  <c r="AE1204" i="16"/>
  <c r="AE1205" i="16"/>
  <c r="AE1206" i="16"/>
  <c r="AE1207" i="16"/>
  <c r="AE1208" i="16"/>
  <c r="AE1209" i="16"/>
  <c r="AE1210" i="16"/>
  <c r="AE1211" i="16"/>
  <c r="AE1212" i="16"/>
  <c r="AE1213" i="16"/>
  <c r="AE1214" i="16"/>
  <c r="AE1215" i="16"/>
  <c r="AE1216" i="16"/>
  <c r="AE1217" i="16"/>
  <c r="AE1218" i="16"/>
  <c r="AE1219" i="16"/>
  <c r="AE1220" i="16"/>
  <c r="AE1221" i="16"/>
  <c r="AE1222" i="16"/>
  <c r="AE1223" i="16"/>
  <c r="AE1224" i="16"/>
  <c r="AE1225" i="16"/>
  <c r="AE1226" i="16"/>
  <c r="AE1227" i="16"/>
  <c r="AE1228" i="16"/>
  <c r="AE1229" i="16"/>
  <c r="AE1230" i="16"/>
  <c r="AE1231" i="16"/>
  <c r="AE1232" i="16"/>
  <c r="AE1233" i="16"/>
  <c r="AE1234" i="16"/>
  <c r="AE1235" i="16"/>
  <c r="AE1236" i="16"/>
  <c r="AE1237" i="16"/>
  <c r="AE1238" i="16"/>
  <c r="AE1239" i="16"/>
  <c r="AE1240" i="16"/>
  <c r="AE1241" i="16"/>
  <c r="AE1242" i="16"/>
  <c r="AE1243" i="16"/>
  <c r="AE1244" i="16"/>
  <c r="AE1245" i="16"/>
  <c r="AE1246" i="16"/>
  <c r="AE1247" i="16"/>
  <c r="AE1248" i="16"/>
  <c r="AE1249" i="16"/>
  <c r="AE1250" i="16"/>
  <c r="AE1251" i="16"/>
  <c r="AE1252" i="16"/>
  <c r="AE1253" i="16"/>
  <c r="AE1254" i="16"/>
  <c r="AE1255" i="16"/>
  <c r="AE1256" i="16"/>
  <c r="AE1257" i="16"/>
  <c r="AE1258" i="16"/>
  <c r="AE1259" i="16"/>
  <c r="AE1260" i="16"/>
  <c r="AE1261" i="16"/>
  <c r="AE1262" i="16"/>
  <c r="AE1263" i="16"/>
  <c r="AE1264" i="16"/>
  <c r="AE1265" i="16"/>
  <c r="AE1266" i="16"/>
  <c r="AE1267" i="16"/>
  <c r="AE1268" i="16"/>
  <c r="AE1269" i="16"/>
  <c r="AE1270" i="16"/>
  <c r="AE1271" i="16"/>
  <c r="AE1272" i="16"/>
  <c r="AE1273" i="16"/>
  <c r="AE1274" i="16"/>
  <c r="AE1275" i="16"/>
  <c r="AE1276" i="16"/>
  <c r="AE1277" i="16"/>
  <c r="AE1278" i="16"/>
  <c r="AE1279" i="16"/>
  <c r="AE1280" i="16"/>
  <c r="AE1281" i="16"/>
  <c r="AE1282" i="16"/>
  <c r="AE1283" i="16"/>
  <c r="AE1284" i="16"/>
  <c r="AE1285" i="16"/>
  <c r="AE1286" i="16"/>
  <c r="AE1287" i="16"/>
  <c r="AE1288" i="16"/>
  <c r="AE1289" i="16"/>
  <c r="AE1290" i="16"/>
  <c r="AE1291" i="16"/>
  <c r="AE1292" i="16"/>
  <c r="AE1293" i="16"/>
  <c r="AE1294" i="16"/>
  <c r="AE1295" i="16"/>
  <c r="AE1296" i="16"/>
  <c r="AE1297" i="16"/>
  <c r="AE1298" i="16"/>
  <c r="AE1299" i="16"/>
  <c r="AE1300" i="16"/>
  <c r="AE1301" i="16"/>
  <c r="AE1302" i="16"/>
  <c r="AE1303" i="16"/>
  <c r="AE1304" i="16"/>
  <c r="AE1305" i="16"/>
  <c r="AE1306" i="16"/>
  <c r="AE1307" i="16"/>
  <c r="AE1308" i="16"/>
  <c r="AE1309" i="16"/>
  <c r="AE1310" i="16"/>
  <c r="AE1311" i="16"/>
  <c r="AE1312" i="16"/>
  <c r="AE1313" i="16"/>
  <c r="AE1314" i="16"/>
  <c r="AE1315" i="16"/>
  <c r="AE1316" i="16"/>
  <c r="AE1317" i="16"/>
  <c r="AE1318" i="16"/>
  <c r="AE1319" i="16"/>
  <c r="AE1320" i="16"/>
  <c r="AE1321" i="16"/>
  <c r="AE1322" i="16"/>
  <c r="AE1323" i="16"/>
  <c r="AE1324" i="16"/>
  <c r="AE1325" i="16"/>
  <c r="AE1326" i="16"/>
  <c r="AE1327" i="16"/>
  <c r="AE1328" i="16"/>
  <c r="AE1329" i="16"/>
  <c r="AE1330" i="16"/>
  <c r="AE1331" i="16"/>
  <c r="AE1332" i="16"/>
  <c r="AE1333" i="16"/>
  <c r="AE1334" i="16"/>
  <c r="AE1335" i="16"/>
  <c r="AE1336" i="16"/>
  <c r="AE1337" i="16"/>
  <c r="AE1338" i="16"/>
  <c r="AE1339" i="16"/>
  <c r="AE1340" i="16"/>
  <c r="AE1341" i="16"/>
  <c r="AE1342" i="16"/>
  <c r="AE1343" i="16"/>
  <c r="AE1344" i="16"/>
  <c r="AE1345" i="16"/>
  <c r="AE1346" i="16"/>
  <c r="AE1347" i="16"/>
  <c r="AE1348" i="16"/>
  <c r="AE1349" i="16"/>
  <c r="AE1350" i="16"/>
  <c r="AE1351" i="16"/>
  <c r="AE1352" i="16"/>
  <c r="AE1353" i="16"/>
  <c r="AE1354" i="16"/>
  <c r="AE1355" i="16"/>
  <c r="AE1356" i="16"/>
  <c r="AE1357" i="16"/>
  <c r="AE1358" i="16"/>
  <c r="AE1359" i="16"/>
  <c r="AE1360" i="16"/>
  <c r="AE1361" i="16"/>
  <c r="AE1362" i="16"/>
  <c r="AE1363" i="16"/>
  <c r="AE1364" i="16"/>
  <c r="AE1365" i="16"/>
  <c r="AE1366" i="16"/>
  <c r="AE1367" i="16"/>
  <c r="AE1368" i="16"/>
  <c r="AE1369" i="16"/>
  <c r="AE1370" i="16"/>
  <c r="AE1371" i="16"/>
  <c r="AE1372" i="16"/>
  <c r="AE1373" i="16"/>
  <c r="AE1374" i="16"/>
  <c r="AE1375" i="16"/>
  <c r="AE1376" i="16"/>
  <c r="AE1377" i="16"/>
  <c r="AE1378" i="16"/>
  <c r="AE1379" i="16"/>
  <c r="AE1380" i="16"/>
  <c r="AE1381" i="16"/>
  <c r="AE1382" i="16"/>
  <c r="AE1383" i="16"/>
  <c r="AE1384" i="16"/>
  <c r="AE1385" i="16"/>
  <c r="AE1386" i="16"/>
  <c r="AE1387" i="16"/>
  <c r="AE1388" i="16"/>
  <c r="AE1389" i="16"/>
  <c r="AE1390" i="16"/>
  <c r="AE1391" i="16"/>
  <c r="AE1392" i="16"/>
  <c r="AE1393" i="16"/>
  <c r="AE1394" i="16"/>
  <c r="AE1395" i="16"/>
  <c r="AE1396" i="16"/>
  <c r="AE1397" i="16"/>
  <c r="AE1398" i="16"/>
  <c r="AE1399" i="16"/>
  <c r="AE1400" i="16"/>
  <c r="AE1401" i="16"/>
  <c r="AE1402" i="16"/>
  <c r="AE1403" i="16"/>
  <c r="AE1404" i="16"/>
  <c r="AE1405" i="16"/>
  <c r="AE1406" i="16"/>
  <c r="AE1407" i="16"/>
  <c r="AE1408" i="16"/>
  <c r="AE1409" i="16"/>
  <c r="AE1410" i="16"/>
  <c r="AE1411" i="16"/>
  <c r="AE1412" i="16"/>
  <c r="AE1413" i="16"/>
  <c r="AE1414" i="16"/>
  <c r="AE1415" i="16"/>
  <c r="AE1416" i="16"/>
  <c r="AE1417" i="16"/>
  <c r="AE1418" i="16"/>
  <c r="AE1419" i="16"/>
  <c r="AE1420" i="16"/>
  <c r="AE1421" i="16"/>
  <c r="AE1422" i="16"/>
  <c r="AE1423" i="16"/>
  <c r="AE1424" i="16"/>
  <c r="AE1425" i="16"/>
  <c r="AE1426" i="16"/>
  <c r="AE1427" i="16"/>
  <c r="AE1428" i="16"/>
  <c r="AE1429" i="16"/>
  <c r="AE1430" i="16"/>
  <c r="AE1431" i="16"/>
  <c r="AE1432" i="16"/>
  <c r="AE1433" i="16"/>
  <c r="AE1434" i="16"/>
  <c r="AE1435" i="16"/>
  <c r="AE1436" i="16"/>
  <c r="AE1437" i="16"/>
  <c r="AE1438" i="16"/>
  <c r="AE1439" i="16"/>
  <c r="AE1440" i="16"/>
  <c r="AE1441" i="16"/>
  <c r="AE1442" i="16"/>
  <c r="AE1443" i="16"/>
  <c r="AE1444" i="16"/>
  <c r="AE1445" i="16"/>
  <c r="AE1446" i="16"/>
  <c r="AE1447" i="16"/>
  <c r="AE1448" i="16"/>
  <c r="AE1449" i="16"/>
  <c r="AE1450" i="16"/>
  <c r="AE1451" i="16"/>
  <c r="AE1452" i="16"/>
  <c r="AE1453" i="16"/>
  <c r="AE1454" i="16"/>
  <c r="AE1455" i="16"/>
  <c r="AE1456" i="16"/>
  <c r="AE1457" i="16"/>
  <c r="AE1458" i="16"/>
  <c r="AE1459" i="16"/>
  <c r="AE1460" i="16"/>
  <c r="AE1461" i="16"/>
  <c r="AE1462" i="16"/>
  <c r="AE1463" i="16"/>
  <c r="AQ2" i="15"/>
  <c r="AQ3" i="15" s="1"/>
  <c r="C26" i="11"/>
  <c r="C27" i="11"/>
  <c r="C25" i="11"/>
  <c r="BN13" i="1" l="1"/>
  <c r="B12" i="1"/>
  <c r="C12" i="1"/>
  <c r="D12" i="1"/>
  <c r="E12" i="1"/>
  <c r="BF12" i="1"/>
  <c r="BM12" i="1" s="1"/>
  <c r="BG12" i="1"/>
  <c r="BL12" i="1"/>
  <c r="B11" i="1"/>
  <c r="C11" i="1"/>
  <c r="D11" i="1"/>
  <c r="E11" i="1"/>
  <c r="BF11" i="1"/>
  <c r="BM11" i="1" s="1"/>
  <c r="BG11" i="1"/>
  <c r="BL11" i="1"/>
  <c r="BN12" i="1" l="1"/>
  <c r="BN11" i="1"/>
  <c r="B10" i="1" l="1"/>
  <c r="C10" i="1"/>
  <c r="D10" i="1"/>
  <c r="E10" i="1"/>
  <c r="BF10" i="1"/>
  <c r="BN10" i="1" s="1"/>
  <c r="BG10" i="1"/>
  <c r="BL10" i="1"/>
  <c r="BM10" i="1" l="1"/>
  <c r="B9" i="1"/>
  <c r="C9" i="1"/>
  <c r="D9" i="1"/>
  <c r="E9" i="1"/>
  <c r="BF9" i="1"/>
  <c r="BG9" i="1"/>
  <c r="BL9" i="1"/>
  <c r="BM9" i="1" l="1"/>
  <c r="BN9" i="1"/>
  <c r="B8" i="1"/>
  <c r="C8" i="1"/>
  <c r="D8" i="1"/>
  <c r="E8" i="1"/>
  <c r="BF8" i="1"/>
  <c r="BN8" i="1" s="1"/>
  <c r="BG8" i="1"/>
  <c r="BL8" i="1"/>
  <c r="C36" i="11"/>
  <c r="C35" i="11"/>
  <c r="C33" i="11"/>
  <c r="C32" i="11"/>
  <c r="C23" i="11"/>
  <c r="C24" i="11"/>
  <c r="C22" i="11"/>
  <c r="C20" i="11"/>
  <c r="C21" i="11"/>
  <c r="C19" i="11"/>
  <c r="C1" i="10"/>
  <c r="M4" i="10" s="1"/>
  <c r="BM8" i="1" l="1"/>
  <c r="I4" i="10"/>
  <c r="K4" i="10"/>
  <c r="A4" i="16" l="1"/>
  <c r="D4" i="16" s="1"/>
  <c r="D3" i="16"/>
  <c r="C3" i="16"/>
  <c r="B3" i="16"/>
  <c r="B1" i="16"/>
  <c r="C1" i="16" s="1"/>
  <c r="D1" i="16" s="1"/>
  <c r="E1" i="16" s="1"/>
  <c r="F1" i="16" s="1"/>
  <c r="G1" i="16" s="1"/>
  <c r="H1" i="16" s="1"/>
  <c r="I1" i="16" s="1"/>
  <c r="J1" i="16" s="1"/>
  <c r="K1" i="16" s="1"/>
  <c r="L1" i="16" s="1"/>
  <c r="M1" i="16" s="1"/>
  <c r="N1" i="16" s="1"/>
  <c r="O1" i="16" s="1"/>
  <c r="P1" i="16" s="1"/>
  <c r="Q1" i="16" s="1"/>
  <c r="R1" i="16" s="1"/>
  <c r="S1" i="16" s="1"/>
  <c r="T1" i="16" s="1"/>
  <c r="U1" i="16" s="1"/>
  <c r="V1" i="16" s="1"/>
  <c r="W1" i="16" s="1"/>
  <c r="X1" i="16" s="1"/>
  <c r="Y1" i="16" s="1"/>
  <c r="Z1" i="16" s="1"/>
  <c r="AA1" i="16" s="1"/>
  <c r="AB1" i="16" s="1"/>
  <c r="AC1" i="16" s="1"/>
  <c r="AD1" i="16" s="1"/>
  <c r="AE1" i="16" s="1"/>
  <c r="B4" i="16" l="1"/>
  <c r="C4" i="16"/>
  <c r="A5" i="16"/>
  <c r="D5" i="16" s="1"/>
  <c r="C5" i="16" l="1"/>
  <c r="B5" i="16"/>
  <c r="A6" i="16"/>
  <c r="D6" i="16" s="1"/>
  <c r="A7" i="16" l="1"/>
  <c r="B7" i="16" s="1"/>
  <c r="C6" i="16"/>
  <c r="B6" i="16"/>
  <c r="D7" i="16"/>
  <c r="A8" i="16" l="1"/>
  <c r="D8" i="16" s="1"/>
  <c r="C7" i="16"/>
  <c r="A9" i="16"/>
  <c r="B8" i="16"/>
  <c r="C8" i="16" l="1"/>
  <c r="A10" i="16"/>
  <c r="C9" i="16"/>
  <c r="D9" i="16"/>
  <c r="B9" i="16"/>
  <c r="A11" i="16" l="1"/>
  <c r="D10" i="16"/>
  <c r="B10" i="16"/>
  <c r="C10" i="16"/>
  <c r="B11" i="16" l="1"/>
  <c r="A12" i="16"/>
  <c r="C11" i="16"/>
  <c r="D11" i="16"/>
  <c r="D12" i="16" l="1"/>
  <c r="C12" i="16"/>
  <c r="B12" i="16"/>
  <c r="A13" i="16"/>
  <c r="D13" i="16" l="1"/>
  <c r="C13" i="16"/>
  <c r="B13" i="16"/>
  <c r="A14" i="16"/>
  <c r="C14" i="16" l="1"/>
  <c r="B14" i="16"/>
  <c r="A15" i="16"/>
  <c r="D14" i="16"/>
  <c r="A16" i="16" l="1"/>
  <c r="D15" i="16"/>
  <c r="B15" i="16"/>
  <c r="C15" i="16"/>
  <c r="D16" i="16" l="1"/>
  <c r="C16" i="16"/>
  <c r="B16" i="16"/>
  <c r="A17" i="16"/>
  <c r="A18" i="16" l="1"/>
  <c r="D17" i="16"/>
  <c r="C17" i="16"/>
  <c r="B17" i="16"/>
  <c r="B18" i="16" l="1"/>
  <c r="A19" i="16"/>
  <c r="D18" i="16"/>
  <c r="C18" i="16"/>
  <c r="D19" i="16" l="1"/>
  <c r="B19" i="16"/>
  <c r="A20" i="16"/>
  <c r="C19" i="16"/>
  <c r="C20" i="16" l="1"/>
  <c r="B20" i="16"/>
  <c r="A21" i="16"/>
  <c r="D20" i="16"/>
  <c r="A22" i="16" l="1"/>
  <c r="C21" i="16"/>
  <c r="B21" i="16"/>
  <c r="D21" i="16"/>
  <c r="A23" i="16" l="1"/>
  <c r="D22" i="16"/>
  <c r="C22" i="16"/>
  <c r="B22" i="16"/>
  <c r="B23" i="16" l="1"/>
  <c r="C23" i="16"/>
  <c r="D23" i="16"/>
  <c r="A24" i="16"/>
  <c r="B24" i="16" l="1"/>
  <c r="C24" i="16"/>
  <c r="D24" i="16"/>
  <c r="A25" i="16"/>
  <c r="D25" i="16" l="1"/>
  <c r="A26" i="16"/>
  <c r="C25" i="16"/>
  <c r="B25" i="16"/>
  <c r="A27" i="16" l="1"/>
  <c r="D26" i="16"/>
  <c r="C26" i="16"/>
  <c r="B26" i="16"/>
  <c r="A28" i="16" l="1"/>
  <c r="D27" i="16"/>
  <c r="B27" i="16"/>
  <c r="C27" i="16"/>
  <c r="A29" i="16" l="1"/>
  <c r="C28" i="16"/>
  <c r="B28" i="16"/>
  <c r="D28" i="16"/>
  <c r="A30" i="16" l="1"/>
  <c r="D29" i="16"/>
  <c r="C29" i="16"/>
  <c r="B29" i="16"/>
  <c r="C30" i="16" l="1"/>
  <c r="B30" i="16"/>
  <c r="A31" i="16"/>
  <c r="D30" i="16"/>
  <c r="D31" i="16" l="1"/>
  <c r="C31" i="16"/>
  <c r="B31" i="16"/>
  <c r="A32" i="16"/>
  <c r="D32" i="16" l="1"/>
  <c r="C32" i="16"/>
  <c r="B32" i="16"/>
  <c r="A33" i="16"/>
  <c r="D33" i="16" l="1"/>
  <c r="C33" i="16"/>
  <c r="B33" i="16"/>
  <c r="A34" i="16"/>
  <c r="D34" i="16" l="1"/>
  <c r="C34" i="16"/>
  <c r="A35" i="16"/>
  <c r="B34" i="16"/>
  <c r="B35" i="16" l="1"/>
  <c r="A36" i="16"/>
  <c r="D35" i="16"/>
  <c r="C35" i="16"/>
  <c r="A37" i="16" l="1"/>
  <c r="D36" i="16"/>
  <c r="C36" i="16"/>
  <c r="B36" i="16"/>
  <c r="D37" i="16" l="1"/>
  <c r="A38" i="16"/>
  <c r="B37" i="16"/>
  <c r="C37" i="16"/>
  <c r="C38" i="16" l="1"/>
  <c r="D38" i="16"/>
  <c r="A39" i="16"/>
  <c r="B38" i="16"/>
  <c r="A40" i="16" l="1"/>
  <c r="C39" i="16"/>
  <c r="B39" i="16"/>
  <c r="D39" i="16"/>
  <c r="D40" i="16" l="1"/>
  <c r="C40" i="16"/>
  <c r="B40" i="16"/>
  <c r="A41" i="16"/>
  <c r="A42" i="16" l="1"/>
  <c r="D41" i="16"/>
  <c r="C41" i="16"/>
  <c r="B41" i="16"/>
  <c r="C42" i="16" l="1"/>
  <c r="A43" i="16"/>
  <c r="D42" i="16"/>
  <c r="B42" i="16"/>
  <c r="C43" i="16" l="1"/>
  <c r="B43" i="16"/>
  <c r="A44" i="16"/>
  <c r="D43" i="16"/>
  <c r="D44" i="16" l="1"/>
  <c r="A45" i="16"/>
  <c r="B44" i="16"/>
  <c r="C44" i="16"/>
  <c r="B45" i="16" l="1"/>
  <c r="C45" i="16"/>
  <c r="A46" i="16"/>
  <c r="D45" i="16"/>
  <c r="A47" i="16" l="1"/>
  <c r="B46" i="16"/>
  <c r="D46" i="16"/>
  <c r="C46" i="16"/>
  <c r="C47" i="16" l="1"/>
  <c r="D47" i="16"/>
  <c r="B47" i="16"/>
  <c r="A48" i="16"/>
  <c r="A49" i="16" l="1"/>
  <c r="B48" i="16"/>
  <c r="C48" i="16"/>
  <c r="D48" i="16"/>
  <c r="A50" i="16" l="1"/>
  <c r="D49" i="16"/>
  <c r="C49" i="16"/>
  <c r="B49" i="16"/>
  <c r="B50" i="16" l="1"/>
  <c r="D50" i="16"/>
  <c r="A51" i="16"/>
  <c r="C50" i="16"/>
  <c r="B51" i="16" l="1"/>
  <c r="A52" i="16"/>
  <c r="D51" i="16"/>
  <c r="C51" i="16"/>
  <c r="D52" i="16" l="1"/>
  <c r="B52" i="16"/>
  <c r="C52" i="16"/>
  <c r="A53" i="16"/>
  <c r="D53" i="16" l="1"/>
  <c r="C53" i="16"/>
  <c r="A54" i="16"/>
  <c r="B53" i="16"/>
  <c r="A55" i="16" l="1"/>
  <c r="D54" i="16"/>
  <c r="B54" i="16"/>
  <c r="C54" i="16"/>
  <c r="B55" i="16" l="1"/>
  <c r="A56" i="16"/>
  <c r="D55" i="16"/>
  <c r="C55" i="16"/>
  <c r="D56" i="16" l="1"/>
  <c r="A57" i="16"/>
  <c r="B56" i="16"/>
  <c r="C56" i="16"/>
  <c r="C57" i="16" l="1"/>
  <c r="B57" i="16"/>
  <c r="A58" i="16"/>
  <c r="D57" i="16"/>
  <c r="C58" i="16" l="1"/>
  <c r="D58" i="16"/>
  <c r="A59" i="16"/>
  <c r="B58" i="16"/>
  <c r="C59" i="16" l="1"/>
  <c r="D59" i="16"/>
  <c r="A60" i="16"/>
  <c r="B59" i="16"/>
  <c r="A61" i="16" l="1"/>
  <c r="C60" i="16"/>
  <c r="B60" i="16"/>
  <c r="D60" i="16"/>
  <c r="C61" i="16" l="1"/>
  <c r="B61" i="16"/>
  <c r="A62" i="16"/>
  <c r="D61" i="16"/>
  <c r="C62" i="16" l="1"/>
  <c r="B62" i="16"/>
  <c r="A63" i="16"/>
  <c r="D62" i="16"/>
  <c r="A64" i="16" l="1"/>
  <c r="B63" i="16"/>
  <c r="C63" i="16"/>
  <c r="D63" i="16"/>
  <c r="D64" i="16" l="1"/>
  <c r="C64" i="16"/>
  <c r="B64" i="16"/>
  <c r="A65" i="16"/>
  <c r="D65" i="16" l="1"/>
  <c r="B65" i="16"/>
  <c r="A66" i="16"/>
  <c r="C65" i="16"/>
  <c r="A67" i="16" l="1"/>
  <c r="B66" i="16"/>
  <c r="D66" i="16"/>
  <c r="C66" i="16"/>
  <c r="C67" i="16" l="1"/>
  <c r="A68" i="16"/>
  <c r="B67" i="16"/>
  <c r="D67" i="16"/>
  <c r="D68" i="16" l="1"/>
  <c r="B68" i="16"/>
  <c r="C68" i="16"/>
  <c r="A69" i="16"/>
  <c r="C69" i="16" l="1"/>
  <c r="A70" i="16"/>
  <c r="B69" i="16"/>
  <c r="D69" i="16"/>
  <c r="A71" i="16" l="1"/>
  <c r="B70" i="16"/>
  <c r="C70" i="16"/>
  <c r="D70" i="16"/>
  <c r="C71" i="16" l="1"/>
  <c r="A72" i="16"/>
  <c r="B71" i="16"/>
  <c r="D71" i="16"/>
  <c r="D72" i="16" l="1"/>
  <c r="B72" i="16"/>
  <c r="C72" i="16"/>
  <c r="A73" i="16"/>
  <c r="A74" i="16" l="1"/>
  <c r="C73" i="16"/>
  <c r="B73" i="16"/>
  <c r="D73" i="16"/>
  <c r="C74" i="16" l="1"/>
  <c r="D74" i="16"/>
  <c r="A75" i="16"/>
  <c r="B74" i="16"/>
  <c r="C75" i="16" l="1"/>
  <c r="B75" i="16"/>
  <c r="D75" i="16"/>
  <c r="A76" i="16"/>
  <c r="D76" i="16" l="1"/>
  <c r="B76" i="16"/>
  <c r="A77" i="16"/>
  <c r="C76" i="16"/>
  <c r="D77" i="16" l="1"/>
  <c r="C77" i="16"/>
  <c r="B77" i="16"/>
  <c r="A78" i="16"/>
  <c r="A79" i="16" l="1"/>
  <c r="C78" i="16"/>
  <c r="D78" i="16"/>
  <c r="B78" i="16"/>
  <c r="A80" i="16" l="1"/>
  <c r="D79" i="16"/>
  <c r="C79" i="16"/>
  <c r="B79" i="16"/>
  <c r="A81" i="16" l="1"/>
  <c r="D80" i="16"/>
  <c r="C80" i="16"/>
  <c r="B80" i="16"/>
  <c r="D81" i="16" l="1"/>
  <c r="C81" i="16"/>
  <c r="B81" i="16"/>
  <c r="A82" i="16"/>
  <c r="B82" i="16" l="1"/>
  <c r="A83" i="16"/>
  <c r="D82" i="16"/>
  <c r="C82" i="16"/>
  <c r="D83" i="16" l="1"/>
  <c r="B83" i="16"/>
  <c r="A84" i="16"/>
  <c r="C83" i="16"/>
  <c r="D84" i="16" l="1"/>
  <c r="B84" i="16"/>
  <c r="C84" i="16"/>
  <c r="A85" i="16"/>
  <c r="A86" i="16" l="1"/>
  <c r="D85" i="16"/>
  <c r="C85" i="16"/>
  <c r="B85" i="16"/>
  <c r="C86" i="16" l="1"/>
  <c r="D86" i="16"/>
  <c r="B86" i="16"/>
  <c r="A87" i="16"/>
  <c r="A88" i="16" l="1"/>
  <c r="B87" i="16"/>
  <c r="D87" i="16"/>
  <c r="C87" i="16"/>
  <c r="B88" i="16" l="1"/>
  <c r="A89" i="16"/>
  <c r="C88" i="16"/>
  <c r="D88" i="16"/>
  <c r="C89" i="16" l="1"/>
  <c r="A90" i="16"/>
  <c r="D89" i="16"/>
  <c r="B89" i="16"/>
  <c r="A91" i="16" l="1"/>
  <c r="C90" i="16"/>
  <c r="D90" i="16"/>
  <c r="B90" i="16"/>
  <c r="D91" i="16" l="1"/>
  <c r="B91" i="16"/>
  <c r="C91" i="16"/>
  <c r="A92" i="16"/>
  <c r="D92" i="16" l="1"/>
  <c r="B92" i="16"/>
  <c r="C92" i="16"/>
  <c r="A93" i="16"/>
  <c r="D93" i="16" l="1"/>
  <c r="B93" i="16"/>
  <c r="A94" i="16"/>
  <c r="C93" i="16"/>
  <c r="D94" i="16" l="1"/>
  <c r="A95" i="16"/>
  <c r="C94" i="16"/>
  <c r="B94" i="16"/>
  <c r="A96" i="16" l="1"/>
  <c r="D95" i="16"/>
  <c r="C95" i="16"/>
  <c r="B95" i="16"/>
  <c r="A97" i="16" l="1"/>
  <c r="D96" i="16"/>
  <c r="B96" i="16"/>
  <c r="C96" i="16"/>
  <c r="A98" i="16" l="1"/>
  <c r="C97" i="16"/>
  <c r="B97" i="16"/>
  <c r="D97" i="16"/>
  <c r="C98" i="16" l="1"/>
  <c r="B98" i="16"/>
  <c r="A99" i="16"/>
  <c r="D98" i="16"/>
  <c r="A100" i="16" l="1"/>
  <c r="D99" i="16"/>
  <c r="C99" i="16"/>
  <c r="B99" i="16"/>
  <c r="D100" i="16" l="1"/>
  <c r="C100" i="16"/>
  <c r="A101" i="16"/>
  <c r="B100" i="16"/>
  <c r="D101" i="16" l="1"/>
  <c r="C101" i="16"/>
  <c r="B101" i="16"/>
  <c r="A102" i="16"/>
  <c r="A103" i="16" l="1"/>
  <c r="D102" i="16"/>
  <c r="C102" i="16"/>
  <c r="B102" i="16"/>
  <c r="B103" i="16" l="1"/>
  <c r="D103" i="16"/>
  <c r="C103" i="16"/>
  <c r="A104" i="16"/>
  <c r="D104" i="16" l="1"/>
  <c r="C104" i="16"/>
  <c r="B104" i="16"/>
  <c r="A105" i="16"/>
  <c r="D105" i="16" l="1"/>
  <c r="C105" i="16"/>
  <c r="B105" i="16"/>
  <c r="A106" i="16"/>
  <c r="D106" i="16" l="1"/>
  <c r="B106" i="16"/>
  <c r="A107" i="16"/>
  <c r="C106" i="16"/>
  <c r="A108" i="16" l="1"/>
  <c r="D107" i="16"/>
  <c r="C107" i="16"/>
  <c r="B107" i="16"/>
  <c r="A109" i="16" l="1"/>
  <c r="D108" i="16"/>
  <c r="C108" i="16"/>
  <c r="B108" i="16"/>
  <c r="A110" i="16" l="1"/>
  <c r="C109" i="16"/>
  <c r="D109" i="16"/>
  <c r="B109" i="16"/>
  <c r="A111" i="16" l="1"/>
  <c r="B110" i="16"/>
  <c r="C110" i="16"/>
  <c r="D110" i="16"/>
  <c r="C111" i="16" l="1"/>
  <c r="D111" i="16"/>
  <c r="B111" i="16"/>
  <c r="A112" i="16"/>
  <c r="D112" i="16" l="1"/>
  <c r="C112" i="16"/>
  <c r="A113" i="16"/>
  <c r="B112" i="16"/>
  <c r="D113" i="16" l="1"/>
  <c r="C113" i="16"/>
  <c r="A114" i="16"/>
  <c r="B113" i="16"/>
  <c r="A115" i="16" l="1"/>
  <c r="B114" i="16"/>
  <c r="D114" i="16"/>
  <c r="C114" i="16"/>
  <c r="B115" i="16" l="1"/>
  <c r="D115" i="16"/>
  <c r="A116" i="16"/>
  <c r="C115" i="16"/>
  <c r="D116" i="16" l="1"/>
  <c r="C116" i="16"/>
  <c r="B116" i="16"/>
  <c r="A117" i="16"/>
  <c r="D117" i="16" l="1"/>
  <c r="C117" i="16"/>
  <c r="B117" i="16"/>
  <c r="A118" i="16"/>
  <c r="D118" i="16" l="1"/>
  <c r="B118" i="16"/>
  <c r="C118" i="16"/>
  <c r="A119" i="16"/>
  <c r="A120" i="16" l="1"/>
  <c r="D119" i="16"/>
  <c r="C119" i="16"/>
  <c r="B119" i="16"/>
  <c r="A121" i="16" l="1"/>
  <c r="D120" i="16"/>
  <c r="C120" i="16"/>
  <c r="B120" i="16"/>
  <c r="A122" i="16" l="1"/>
  <c r="D121" i="16"/>
  <c r="C121" i="16"/>
  <c r="B121" i="16"/>
  <c r="C122" i="16" l="1"/>
  <c r="B122" i="16"/>
  <c r="A123" i="16"/>
  <c r="D122" i="16"/>
  <c r="A124" i="16" l="1"/>
  <c r="D123" i="16"/>
  <c r="C123" i="16"/>
  <c r="B123" i="16"/>
  <c r="D124" i="16" l="1"/>
  <c r="C124" i="16"/>
  <c r="A125" i="16"/>
  <c r="B124" i="16"/>
  <c r="D125" i="16" l="1"/>
  <c r="C125" i="16"/>
  <c r="A126" i="16"/>
  <c r="B125" i="16"/>
  <c r="A127" i="16" l="1"/>
  <c r="C126" i="16"/>
  <c r="B126" i="16"/>
  <c r="D126" i="16"/>
  <c r="B127" i="16" l="1"/>
  <c r="D127" i="16"/>
  <c r="C127" i="16"/>
  <c r="A128" i="16"/>
  <c r="D128" i="16" l="1"/>
  <c r="C128" i="16"/>
  <c r="B128" i="16"/>
  <c r="A129" i="16"/>
  <c r="D129" i="16" l="1"/>
  <c r="C129" i="16"/>
  <c r="B129" i="16"/>
  <c r="A130" i="16"/>
  <c r="D130" i="16" l="1"/>
  <c r="B130" i="16"/>
  <c r="A131" i="16"/>
  <c r="C130" i="16"/>
  <c r="A132" i="16" l="1"/>
  <c r="D131" i="16"/>
  <c r="C131" i="16"/>
  <c r="B131" i="16"/>
  <c r="A133" i="16" l="1"/>
  <c r="D132" i="16"/>
  <c r="B132" i="16"/>
  <c r="C132" i="16"/>
  <c r="A134" i="16" l="1"/>
  <c r="D133" i="16"/>
  <c r="C133" i="16"/>
  <c r="B133" i="16"/>
  <c r="C134" i="16" l="1"/>
  <c r="B134" i="16"/>
  <c r="A135" i="16"/>
  <c r="D134" i="16"/>
  <c r="A136" i="16" l="1"/>
  <c r="D135" i="16"/>
  <c r="C135" i="16"/>
  <c r="B135" i="16"/>
  <c r="D136" i="16" l="1"/>
  <c r="C136" i="16"/>
  <c r="A137" i="16"/>
  <c r="B136" i="16"/>
  <c r="D137" i="16" l="1"/>
  <c r="C137" i="16"/>
  <c r="B137" i="16"/>
  <c r="A138" i="16"/>
  <c r="A139" i="16" l="1"/>
  <c r="D138" i="16"/>
  <c r="C138" i="16"/>
  <c r="B138" i="16"/>
  <c r="B139" i="16" l="1"/>
  <c r="D139" i="16"/>
  <c r="A140" i="16"/>
  <c r="C139" i="16"/>
  <c r="D140" i="16" l="1"/>
  <c r="C140" i="16"/>
  <c r="B140" i="16"/>
  <c r="A141" i="16"/>
  <c r="D141" i="16" l="1"/>
  <c r="C141" i="16"/>
  <c r="B141" i="16"/>
  <c r="A142" i="16"/>
  <c r="D142" i="16" l="1"/>
  <c r="B142" i="16"/>
  <c r="A143" i="16"/>
  <c r="C142" i="16"/>
  <c r="A144" i="16" l="1"/>
  <c r="D143" i="16"/>
  <c r="C143" i="16"/>
  <c r="B143" i="16"/>
  <c r="A145" i="16" l="1"/>
  <c r="D144" i="16"/>
  <c r="C144" i="16"/>
  <c r="B144" i="16"/>
  <c r="A146" i="16" l="1"/>
  <c r="D145" i="16"/>
  <c r="C145" i="16"/>
  <c r="B145" i="16"/>
  <c r="C146" i="16" l="1"/>
  <c r="B146" i="16"/>
  <c r="A147" i="16"/>
  <c r="D146" i="16"/>
  <c r="A148" i="16" l="1"/>
  <c r="C147" i="16"/>
  <c r="B147" i="16"/>
  <c r="D147" i="16"/>
  <c r="D148" i="16" l="1"/>
  <c r="C148" i="16"/>
  <c r="A149" i="16"/>
  <c r="B148" i="16"/>
  <c r="D149" i="16" l="1"/>
  <c r="C149" i="16"/>
  <c r="A150" i="16"/>
  <c r="B149" i="16"/>
  <c r="A151" i="16" l="1"/>
  <c r="D150" i="16"/>
  <c r="C150" i="16"/>
  <c r="B150" i="16"/>
  <c r="B151" i="16" l="1"/>
  <c r="D151" i="16"/>
  <c r="C151" i="16"/>
  <c r="A152" i="16"/>
  <c r="D152" i="16" l="1"/>
  <c r="C152" i="16"/>
  <c r="B152" i="16"/>
  <c r="A153" i="16"/>
  <c r="D153" i="16" l="1"/>
  <c r="C153" i="16"/>
  <c r="B153" i="16"/>
  <c r="A154" i="16"/>
  <c r="D154" i="16" l="1"/>
  <c r="C154" i="16"/>
  <c r="B154" i="16"/>
  <c r="A155" i="16"/>
  <c r="A156" i="16" l="1"/>
  <c r="D155" i="16"/>
  <c r="B155" i="16"/>
  <c r="C155" i="16"/>
  <c r="A157" i="16" l="1"/>
  <c r="D156" i="16"/>
  <c r="B156" i="16"/>
  <c r="C156" i="16"/>
  <c r="A158" i="16" l="1"/>
  <c r="D157" i="16"/>
  <c r="C157" i="16"/>
  <c r="B157" i="16"/>
  <c r="C158" i="16" l="1"/>
  <c r="B158" i="16"/>
  <c r="A159" i="16"/>
  <c r="D158" i="16"/>
  <c r="A160" i="16" l="1"/>
  <c r="D159" i="16"/>
  <c r="C159" i="16"/>
  <c r="B159" i="16"/>
  <c r="D160" i="16" l="1"/>
  <c r="C160" i="16"/>
  <c r="A161" i="16"/>
  <c r="B160" i="16"/>
  <c r="D161" i="16" l="1"/>
  <c r="C161" i="16"/>
  <c r="A162" i="16"/>
  <c r="B161" i="16"/>
  <c r="A163" i="16" l="1"/>
  <c r="D162" i="16"/>
  <c r="C162" i="16"/>
  <c r="B162" i="16"/>
  <c r="B163" i="16" l="1"/>
  <c r="D163" i="16"/>
  <c r="C163" i="16"/>
  <c r="A164" i="16"/>
  <c r="D164" i="16" l="1"/>
  <c r="C164" i="16"/>
  <c r="B164" i="16"/>
  <c r="A165" i="16"/>
  <c r="D165" i="16" l="1"/>
  <c r="C165" i="16"/>
  <c r="B165" i="16"/>
  <c r="A166" i="16"/>
  <c r="D166" i="16" l="1"/>
  <c r="C166" i="16"/>
  <c r="B166" i="16"/>
  <c r="A167" i="16"/>
  <c r="A168" i="16" l="1"/>
  <c r="D167" i="16"/>
  <c r="C167" i="16"/>
  <c r="B167" i="16"/>
  <c r="A169" i="16" l="1"/>
  <c r="C168" i="16"/>
  <c r="B168" i="16"/>
  <c r="D168" i="16"/>
  <c r="A170" i="16" l="1"/>
  <c r="D169" i="16"/>
  <c r="C169" i="16"/>
  <c r="B169" i="16"/>
  <c r="C170" i="16" l="1"/>
  <c r="B170" i="16"/>
  <c r="A171" i="16"/>
  <c r="D170" i="16"/>
  <c r="A172" i="16" l="1"/>
  <c r="D171" i="16"/>
  <c r="C171" i="16"/>
  <c r="B171" i="16"/>
  <c r="D172" i="16" l="1"/>
  <c r="C172" i="16"/>
  <c r="A173" i="16"/>
  <c r="B172" i="16"/>
  <c r="D173" i="16" l="1"/>
  <c r="C173" i="16"/>
  <c r="A174" i="16"/>
  <c r="B173" i="16"/>
  <c r="A175" i="16" l="1"/>
  <c r="B174" i="16"/>
  <c r="D174" i="16"/>
  <c r="C174" i="16"/>
  <c r="B175" i="16" l="1"/>
  <c r="D175" i="16"/>
  <c r="C175" i="16"/>
  <c r="A176" i="16"/>
  <c r="D176" i="16" l="1"/>
  <c r="C176" i="16"/>
  <c r="B176" i="16"/>
  <c r="A177" i="16"/>
  <c r="D177" i="16" l="1"/>
  <c r="C177" i="16"/>
  <c r="B177" i="16"/>
  <c r="A178" i="16"/>
  <c r="D178" i="16" l="1"/>
  <c r="C178" i="16"/>
  <c r="B178" i="16"/>
  <c r="A179" i="16"/>
  <c r="A180" i="16" l="1"/>
  <c r="D179" i="16"/>
  <c r="C179" i="16"/>
  <c r="B179" i="16"/>
  <c r="A181" i="16" l="1"/>
  <c r="D180" i="16"/>
  <c r="C180" i="16"/>
  <c r="B180" i="16"/>
  <c r="A182" i="16" l="1"/>
  <c r="D181" i="16"/>
  <c r="C181" i="16"/>
  <c r="B181" i="16"/>
  <c r="C182" i="16" l="1"/>
  <c r="B182" i="16"/>
  <c r="A183" i="16"/>
  <c r="D182" i="16"/>
  <c r="A184" i="16" l="1"/>
  <c r="D183" i="16"/>
  <c r="C183" i="16"/>
  <c r="B183" i="16"/>
  <c r="D184" i="16" l="1"/>
  <c r="C184" i="16"/>
  <c r="A185" i="16"/>
  <c r="B184" i="16"/>
  <c r="D185" i="16" l="1"/>
  <c r="C185" i="16"/>
  <c r="A186" i="16"/>
  <c r="B185" i="16"/>
  <c r="A187" i="16" l="1"/>
  <c r="D186" i="16"/>
  <c r="C186" i="16"/>
  <c r="B186" i="16"/>
  <c r="B187" i="16" l="1"/>
  <c r="D187" i="16"/>
  <c r="C187" i="16"/>
  <c r="A188" i="16"/>
  <c r="D188" i="16" l="1"/>
  <c r="C188" i="16"/>
  <c r="B188" i="16"/>
  <c r="A189" i="16"/>
  <c r="D189" i="16" l="1"/>
  <c r="C189" i="16"/>
  <c r="B189" i="16"/>
  <c r="A190" i="16"/>
  <c r="C190" i="16" l="1"/>
  <c r="B190" i="16"/>
  <c r="D190" i="16"/>
  <c r="A191" i="16"/>
  <c r="A192" i="16" l="1"/>
  <c r="D191" i="16"/>
  <c r="C191" i="16"/>
  <c r="B191" i="16"/>
  <c r="A193" i="16" l="1"/>
  <c r="D192" i="16"/>
  <c r="C192" i="16"/>
  <c r="B192" i="16"/>
  <c r="A194" i="16" l="1"/>
  <c r="D193" i="16"/>
  <c r="C193" i="16"/>
  <c r="B193" i="16"/>
  <c r="C194" i="16" l="1"/>
  <c r="B194" i="16"/>
  <c r="A195" i="16"/>
  <c r="D194" i="16"/>
  <c r="A196" i="16" l="1"/>
  <c r="C195" i="16"/>
  <c r="B195" i="16"/>
  <c r="D195" i="16"/>
  <c r="D196" i="16" l="1"/>
  <c r="C196" i="16"/>
  <c r="A197" i="16"/>
  <c r="B196" i="16"/>
  <c r="D197" i="16" l="1"/>
  <c r="C197" i="16"/>
  <c r="A198" i="16"/>
  <c r="B197" i="16"/>
  <c r="A199" i="16" l="1"/>
  <c r="D198" i="16"/>
  <c r="C198" i="16"/>
  <c r="B198" i="16"/>
  <c r="B199" i="16" l="1"/>
  <c r="D199" i="16"/>
  <c r="C199" i="16"/>
  <c r="A200" i="16"/>
  <c r="D200" i="16" l="1"/>
  <c r="C200" i="16"/>
  <c r="B200" i="16"/>
  <c r="A201" i="16"/>
  <c r="D201" i="16" l="1"/>
  <c r="C201" i="16"/>
  <c r="B201" i="16"/>
  <c r="A202" i="16"/>
  <c r="D202" i="16" l="1"/>
  <c r="C202" i="16"/>
  <c r="B202" i="16"/>
  <c r="A203" i="16"/>
  <c r="A204" i="16" l="1"/>
  <c r="D203" i="16"/>
  <c r="C203" i="16"/>
  <c r="B203" i="16"/>
  <c r="A205" i="16" l="1"/>
  <c r="D204" i="16"/>
  <c r="C204" i="16"/>
  <c r="B204" i="16"/>
  <c r="A206" i="16" l="1"/>
  <c r="D205" i="16"/>
  <c r="C205" i="16"/>
  <c r="B205" i="16"/>
  <c r="C206" i="16" l="1"/>
  <c r="B206" i="16"/>
  <c r="A207" i="16"/>
  <c r="D206" i="16"/>
  <c r="A208" i="16" l="1"/>
  <c r="D207" i="16"/>
  <c r="C207" i="16"/>
  <c r="B207" i="16"/>
  <c r="D208" i="16" l="1"/>
  <c r="C208" i="16"/>
  <c r="A209" i="16"/>
  <c r="B208" i="16"/>
  <c r="D209" i="16" l="1"/>
  <c r="C209" i="16"/>
  <c r="A210" i="16"/>
  <c r="B209" i="16"/>
  <c r="A211" i="16" l="1"/>
  <c r="D210" i="16"/>
  <c r="C210" i="16"/>
  <c r="B210" i="16"/>
  <c r="B211" i="16" l="1"/>
  <c r="D211" i="16"/>
  <c r="C211" i="16"/>
  <c r="A212" i="16"/>
  <c r="C212" i="16" l="1"/>
  <c r="B212" i="16"/>
  <c r="D212" i="16"/>
  <c r="A213" i="16"/>
  <c r="D213" i="16" l="1"/>
  <c r="B213" i="16"/>
  <c r="A214" i="16"/>
  <c r="C213" i="16"/>
  <c r="D214" i="16" l="1"/>
  <c r="C214" i="16"/>
  <c r="B214" i="16"/>
  <c r="A215" i="16"/>
  <c r="A216" i="16" l="1"/>
  <c r="C215" i="16"/>
  <c r="B215" i="16"/>
  <c r="D215" i="16"/>
  <c r="A217" i="16" l="1"/>
  <c r="C216" i="16"/>
  <c r="B216" i="16"/>
  <c r="D216" i="16"/>
  <c r="A218" i="16" l="1"/>
  <c r="D217" i="16"/>
  <c r="C217" i="16"/>
  <c r="B217" i="16"/>
  <c r="C218" i="16" l="1"/>
  <c r="B218" i="16"/>
  <c r="A219" i="16"/>
  <c r="D218" i="16"/>
  <c r="C219" i="16" l="1"/>
  <c r="D219" i="16"/>
  <c r="A220" i="16"/>
  <c r="B219" i="16"/>
  <c r="D220" i="16" l="1"/>
  <c r="C220" i="16"/>
  <c r="A221" i="16"/>
  <c r="B220" i="16"/>
  <c r="D221" i="16" l="1"/>
  <c r="A222" i="16"/>
  <c r="C221" i="16"/>
  <c r="B221" i="16"/>
  <c r="A223" i="16" l="1"/>
  <c r="D222" i="16"/>
  <c r="B222" i="16"/>
  <c r="C222" i="16"/>
  <c r="A224" i="16" l="1"/>
  <c r="C223" i="16"/>
  <c r="D223" i="16"/>
  <c r="B223" i="16"/>
  <c r="B224" i="16" l="1"/>
  <c r="C224" i="16"/>
  <c r="D224" i="16"/>
  <c r="A225" i="16"/>
  <c r="B225" i="16" l="1"/>
  <c r="A226" i="16"/>
  <c r="C225" i="16"/>
  <c r="D225" i="16"/>
  <c r="D226" i="16" l="1"/>
  <c r="B226" i="16"/>
  <c r="A227" i="16"/>
  <c r="C226" i="16"/>
  <c r="D227" i="16" l="1"/>
  <c r="B227" i="16"/>
  <c r="C227" i="16"/>
  <c r="A228" i="16"/>
  <c r="D228" i="16" l="1"/>
  <c r="A229" i="16"/>
  <c r="B228" i="16"/>
  <c r="C228" i="16"/>
  <c r="A230" i="16" l="1"/>
  <c r="C229" i="16"/>
  <c r="B229" i="16"/>
  <c r="D229" i="16"/>
  <c r="C230" i="16" l="1"/>
  <c r="B230" i="16"/>
  <c r="A231" i="16"/>
  <c r="D230" i="16"/>
  <c r="D231" i="16" l="1"/>
  <c r="A232" i="16"/>
  <c r="B231" i="16"/>
  <c r="C231" i="16"/>
  <c r="D232" i="16" l="1"/>
  <c r="C232" i="16"/>
  <c r="B232" i="16"/>
  <c r="A233" i="16"/>
  <c r="D233" i="16" l="1"/>
  <c r="B233" i="16"/>
  <c r="C233" i="16"/>
  <c r="A234" i="16"/>
  <c r="A235" i="16" l="1"/>
  <c r="D234" i="16"/>
  <c r="C234" i="16"/>
  <c r="B234" i="16"/>
  <c r="B235" i="16" l="1"/>
  <c r="C235" i="16"/>
  <c r="A236" i="16"/>
  <c r="D235" i="16"/>
  <c r="A237" i="16" l="1"/>
  <c r="D236" i="16"/>
  <c r="C236" i="16"/>
  <c r="B236" i="16"/>
  <c r="C237" i="16" l="1"/>
  <c r="A238" i="16"/>
  <c r="B237" i="16"/>
  <c r="D237" i="16"/>
  <c r="D238" i="16" l="1"/>
  <c r="B238" i="16"/>
  <c r="A239" i="16"/>
  <c r="C238" i="16"/>
  <c r="A240" i="16" l="1"/>
  <c r="B239" i="16"/>
  <c r="C239" i="16"/>
  <c r="D239" i="16"/>
  <c r="D240" i="16" l="1"/>
  <c r="B240" i="16"/>
  <c r="A241" i="16"/>
  <c r="C240" i="16"/>
  <c r="A242" i="16" l="1"/>
  <c r="B241" i="16"/>
  <c r="C241" i="16"/>
  <c r="D241" i="16"/>
  <c r="C242" i="16" l="1"/>
  <c r="A243" i="16"/>
  <c r="D242" i="16"/>
  <c r="B242" i="16"/>
  <c r="B243" i="16" l="1"/>
  <c r="A244" i="16"/>
  <c r="C243" i="16"/>
  <c r="D243" i="16"/>
  <c r="D244" i="16" l="1"/>
  <c r="C244" i="16"/>
  <c r="A245" i="16"/>
  <c r="B244" i="16"/>
  <c r="A246" i="16" l="1"/>
  <c r="D245" i="16"/>
  <c r="C245" i="16"/>
  <c r="B245" i="16"/>
  <c r="A247" i="16" l="1"/>
  <c r="D246" i="16"/>
  <c r="C246" i="16"/>
  <c r="B246" i="16"/>
  <c r="C247" i="16" l="1"/>
  <c r="D247" i="16"/>
  <c r="A248" i="16"/>
  <c r="B247" i="16"/>
  <c r="B248" i="16" l="1"/>
  <c r="D248" i="16"/>
  <c r="A249" i="16"/>
  <c r="C248" i="16"/>
  <c r="A250" i="16" l="1"/>
  <c r="D249" i="16"/>
  <c r="B249" i="16"/>
  <c r="C249" i="16"/>
  <c r="C250" i="16" l="1"/>
  <c r="A251" i="16"/>
  <c r="D250" i="16"/>
  <c r="B250" i="16"/>
  <c r="A252" i="16" l="1"/>
  <c r="D251" i="16"/>
  <c r="B251" i="16"/>
  <c r="C251" i="16"/>
  <c r="A253" i="16" l="1"/>
  <c r="D252" i="16"/>
  <c r="C252" i="16"/>
  <c r="B252" i="16"/>
  <c r="A254" i="16" l="1"/>
  <c r="D253" i="16"/>
  <c r="B253" i="16"/>
  <c r="C253" i="16"/>
  <c r="C254" i="16" l="1"/>
  <c r="D254" i="16"/>
  <c r="A255" i="16"/>
  <c r="B254" i="16"/>
  <c r="A256" i="16" l="1"/>
  <c r="B255" i="16"/>
  <c r="C255" i="16"/>
  <c r="D255" i="16"/>
  <c r="B256" i="16" l="1"/>
  <c r="D256" i="16"/>
  <c r="A257" i="16"/>
  <c r="C256" i="16"/>
  <c r="B257" i="16" l="1"/>
  <c r="C257" i="16"/>
  <c r="D257" i="16"/>
  <c r="A258" i="16"/>
  <c r="C258" i="16" l="1"/>
  <c r="D258" i="16"/>
  <c r="B258" i="16"/>
  <c r="A259" i="16"/>
  <c r="B259" i="16" l="1"/>
  <c r="C259" i="16"/>
  <c r="A260" i="16"/>
  <c r="D259" i="16"/>
  <c r="D260" i="16" l="1"/>
  <c r="C260" i="16"/>
  <c r="B260" i="16"/>
  <c r="A261" i="16"/>
  <c r="D261" i="16" l="1"/>
  <c r="B261" i="16"/>
  <c r="C261" i="16"/>
  <c r="A262" i="16"/>
  <c r="A263" i="16" l="1"/>
  <c r="B262" i="16"/>
  <c r="D262" i="16"/>
  <c r="C262" i="16"/>
  <c r="A264" i="16" l="1"/>
  <c r="D263" i="16"/>
  <c r="C263" i="16"/>
  <c r="B263" i="16"/>
  <c r="D264" i="16" l="1"/>
  <c r="C264" i="16"/>
  <c r="A265" i="16"/>
  <c r="B264" i="16"/>
  <c r="A266" i="16" l="1"/>
  <c r="D265" i="16"/>
  <c r="C265" i="16"/>
  <c r="B265" i="16"/>
  <c r="C266" i="16" l="1"/>
  <c r="B266" i="16"/>
  <c r="A267" i="16"/>
  <c r="D266" i="16"/>
  <c r="D267" i="16" l="1"/>
  <c r="C267" i="16"/>
  <c r="A268" i="16"/>
  <c r="B267" i="16"/>
  <c r="D268" i="16" l="1"/>
  <c r="C268" i="16"/>
  <c r="B268" i="16"/>
  <c r="A269" i="16"/>
  <c r="A270" i="16" l="1"/>
  <c r="D269" i="16"/>
  <c r="C269" i="16"/>
  <c r="B269" i="16"/>
  <c r="A271" i="16" l="1"/>
  <c r="C270" i="16"/>
  <c r="B270" i="16"/>
  <c r="D270" i="16"/>
  <c r="B271" i="16" l="1"/>
  <c r="C271" i="16"/>
  <c r="D271" i="16"/>
  <c r="A272" i="16"/>
  <c r="A273" i="16" l="1"/>
  <c r="D272" i="16"/>
  <c r="C272" i="16"/>
  <c r="B272" i="16"/>
  <c r="D273" i="16" l="1"/>
  <c r="C273" i="16"/>
  <c r="B273" i="16"/>
  <c r="A274" i="16"/>
  <c r="D274" i="16" l="1"/>
  <c r="C274" i="16"/>
  <c r="B274" i="16"/>
  <c r="A275" i="16"/>
  <c r="A276" i="16" l="1"/>
  <c r="D275" i="16"/>
  <c r="C275" i="16"/>
  <c r="B275" i="16"/>
  <c r="D276" i="16" l="1"/>
  <c r="C276" i="16"/>
  <c r="B276" i="16"/>
  <c r="A277" i="16"/>
  <c r="A278" i="16" l="1"/>
  <c r="D277" i="16"/>
  <c r="C277" i="16"/>
  <c r="B277" i="16"/>
  <c r="C278" i="16" l="1"/>
  <c r="B278" i="16"/>
  <c r="A279" i="16"/>
  <c r="D278" i="16"/>
  <c r="D279" i="16" l="1"/>
  <c r="C279" i="16"/>
  <c r="B279" i="16"/>
  <c r="A280" i="16"/>
  <c r="D280" i="16" l="1"/>
  <c r="C280" i="16"/>
  <c r="B280" i="16"/>
  <c r="A281" i="16"/>
  <c r="B281" i="16" l="1"/>
  <c r="A282" i="16"/>
  <c r="D281" i="16"/>
  <c r="C281" i="16"/>
  <c r="A283" i="16" l="1"/>
  <c r="D282" i="16"/>
  <c r="C282" i="16"/>
  <c r="B282" i="16"/>
  <c r="B283" i="16" l="1"/>
  <c r="C283" i="16"/>
  <c r="A284" i="16"/>
  <c r="D283" i="16"/>
  <c r="A285" i="16" l="1"/>
  <c r="B284" i="16"/>
  <c r="D284" i="16"/>
  <c r="C284" i="16"/>
  <c r="D285" i="16" l="1"/>
  <c r="C285" i="16"/>
  <c r="B285" i="16"/>
  <c r="A286" i="16"/>
  <c r="D286" i="16" l="1"/>
  <c r="C286" i="16"/>
  <c r="B286" i="16"/>
  <c r="A287" i="16"/>
  <c r="A288" i="16" l="1"/>
  <c r="D287" i="16"/>
  <c r="C287" i="16"/>
  <c r="B287" i="16"/>
  <c r="A289" i="16" l="1"/>
  <c r="C288" i="16"/>
  <c r="D288" i="16"/>
  <c r="B288" i="16"/>
  <c r="A290" i="16" l="1"/>
  <c r="D289" i="16"/>
  <c r="C289" i="16"/>
  <c r="B289" i="16"/>
  <c r="C290" i="16" l="1"/>
  <c r="B290" i="16"/>
  <c r="A291" i="16"/>
  <c r="D290" i="16"/>
  <c r="A292" i="16" l="1"/>
  <c r="D291" i="16"/>
  <c r="C291" i="16"/>
  <c r="B291" i="16"/>
  <c r="D292" i="16" l="1"/>
  <c r="C292" i="16"/>
  <c r="B292" i="16"/>
  <c r="A293" i="16"/>
  <c r="B293" i="16" l="1"/>
  <c r="A294" i="16"/>
  <c r="D293" i="16"/>
  <c r="C293" i="16"/>
  <c r="A295" i="16" l="1"/>
  <c r="D294" i="16"/>
  <c r="B294" i="16"/>
  <c r="C294" i="16"/>
  <c r="B295" i="16" l="1"/>
  <c r="A296" i="16"/>
  <c r="D295" i="16"/>
  <c r="C295" i="16"/>
  <c r="A297" i="16" l="1"/>
  <c r="B296" i="16"/>
  <c r="D296" i="16"/>
  <c r="C296" i="16"/>
  <c r="D297" i="16" l="1"/>
  <c r="C297" i="16"/>
  <c r="B297" i="16"/>
  <c r="A298" i="16"/>
  <c r="A299" i="16" l="1"/>
  <c r="D298" i="16"/>
  <c r="C298" i="16"/>
  <c r="B298" i="16"/>
  <c r="A300" i="16" l="1"/>
  <c r="D299" i="16"/>
  <c r="C299" i="16"/>
  <c r="B299" i="16"/>
  <c r="B300" i="16" l="1"/>
  <c r="C300" i="16"/>
  <c r="A301" i="16"/>
  <c r="D300" i="16"/>
  <c r="B301" i="16" l="1"/>
  <c r="A302" i="16"/>
  <c r="D301" i="16"/>
  <c r="C301" i="16"/>
  <c r="D302" i="16" l="1"/>
  <c r="C302" i="16"/>
  <c r="A303" i="16"/>
  <c r="B302" i="16"/>
  <c r="B303" i="16" l="1"/>
  <c r="D303" i="16"/>
  <c r="C303" i="16"/>
  <c r="A304" i="16"/>
  <c r="A305" i="16" l="1"/>
  <c r="D304" i="16"/>
  <c r="C304" i="16"/>
  <c r="B304" i="16"/>
  <c r="A306" i="16" l="1"/>
  <c r="D305" i="16"/>
  <c r="C305" i="16"/>
  <c r="B305" i="16"/>
  <c r="A307" i="16" l="1"/>
  <c r="D306" i="16"/>
  <c r="C306" i="16"/>
  <c r="B306" i="16"/>
  <c r="C307" i="16" l="1"/>
  <c r="B307" i="16"/>
  <c r="D307" i="16"/>
  <c r="A308" i="16"/>
  <c r="A309" i="16" l="1"/>
  <c r="D308" i="16"/>
  <c r="C308" i="16"/>
  <c r="B308" i="16"/>
  <c r="D309" i="16" l="1"/>
  <c r="C309" i="16"/>
  <c r="B309" i="16"/>
  <c r="A310" i="16"/>
  <c r="A311" i="16" l="1"/>
  <c r="D310" i="16"/>
  <c r="C310" i="16"/>
  <c r="B310" i="16"/>
  <c r="A312" i="16" l="1"/>
  <c r="D311" i="16"/>
  <c r="C311" i="16"/>
  <c r="B311" i="16"/>
  <c r="B312" i="16" l="1"/>
  <c r="A313" i="16"/>
  <c r="D312" i="16"/>
  <c r="C312" i="16"/>
  <c r="A314" i="16" l="1"/>
  <c r="C313" i="16"/>
  <c r="B313" i="16"/>
  <c r="D313" i="16"/>
  <c r="D314" i="16" l="1"/>
  <c r="C314" i="16"/>
  <c r="B314" i="16"/>
  <c r="A315" i="16"/>
  <c r="B315" i="16" l="1"/>
  <c r="D315" i="16"/>
  <c r="C315" i="16"/>
  <c r="A316" i="16"/>
  <c r="A317" i="16" l="1"/>
  <c r="D316" i="16"/>
  <c r="C316" i="16"/>
  <c r="B316" i="16"/>
  <c r="A318" i="16" l="1"/>
  <c r="D317" i="16"/>
  <c r="C317" i="16"/>
  <c r="B317" i="16"/>
  <c r="A319" i="16" l="1"/>
  <c r="D318" i="16"/>
  <c r="C318" i="16"/>
  <c r="B318" i="16"/>
  <c r="C319" i="16" l="1"/>
  <c r="B319" i="16"/>
  <c r="D319" i="16"/>
  <c r="A320" i="16"/>
  <c r="A321" i="16" l="1"/>
  <c r="D320" i="16"/>
  <c r="C320" i="16"/>
  <c r="B320" i="16"/>
  <c r="D321" i="16" l="1"/>
  <c r="C321" i="16"/>
  <c r="B321" i="16"/>
  <c r="A322" i="16"/>
  <c r="A323" i="16" l="1"/>
  <c r="D322" i="16"/>
  <c r="C322" i="16"/>
  <c r="B322" i="16"/>
  <c r="A324" i="16" l="1"/>
  <c r="D323" i="16"/>
  <c r="C323" i="16"/>
  <c r="B323" i="16"/>
  <c r="B324" i="16" l="1"/>
  <c r="A325" i="16"/>
  <c r="D324" i="16"/>
  <c r="C324" i="16"/>
  <c r="A326" i="16" l="1"/>
  <c r="D325" i="16"/>
  <c r="C325" i="16"/>
  <c r="B325" i="16"/>
  <c r="D326" i="16" l="1"/>
  <c r="C326" i="16"/>
  <c r="B326" i="16"/>
  <c r="A327" i="16"/>
  <c r="D327" i="16" l="1"/>
  <c r="B327" i="16"/>
  <c r="C327" i="16"/>
  <c r="A328" i="16"/>
  <c r="A329" i="16" l="1"/>
  <c r="D328" i="16"/>
  <c r="C328" i="16"/>
  <c r="B328" i="16"/>
  <c r="A330" i="16" l="1"/>
  <c r="D329" i="16"/>
  <c r="C329" i="16"/>
  <c r="B329" i="16"/>
  <c r="A331" i="16" l="1"/>
  <c r="D330" i="16"/>
  <c r="C330" i="16"/>
  <c r="B330" i="16"/>
  <c r="C331" i="16" l="1"/>
  <c r="B331" i="16"/>
  <c r="D331" i="16"/>
  <c r="A332" i="16"/>
  <c r="A333" i="16" l="1"/>
  <c r="D332" i="16"/>
  <c r="C332" i="16"/>
  <c r="B332" i="16"/>
  <c r="D333" i="16" l="1"/>
  <c r="C333" i="16"/>
  <c r="B333" i="16"/>
  <c r="A334" i="16"/>
  <c r="A335" i="16" l="1"/>
  <c r="D334" i="16"/>
  <c r="B334" i="16"/>
  <c r="C334" i="16"/>
  <c r="A336" i="16" l="1"/>
  <c r="D335" i="16"/>
  <c r="C335" i="16"/>
  <c r="B335" i="16"/>
  <c r="B336" i="16" l="1"/>
  <c r="A337" i="16"/>
  <c r="D336" i="16"/>
  <c r="C336" i="16"/>
  <c r="A338" i="16" l="1"/>
  <c r="D337" i="16"/>
  <c r="C337" i="16"/>
  <c r="B337" i="16"/>
  <c r="D338" i="16" l="1"/>
  <c r="C338" i="16"/>
  <c r="B338" i="16"/>
  <c r="A339" i="16"/>
  <c r="B339" i="16" l="1"/>
  <c r="D339" i="16"/>
  <c r="C339" i="16"/>
  <c r="A340" i="16"/>
  <c r="A341" i="16" l="1"/>
  <c r="D340" i="16"/>
  <c r="C340" i="16"/>
  <c r="B340" i="16"/>
  <c r="A342" i="16" l="1"/>
  <c r="D341" i="16"/>
  <c r="C341" i="16"/>
  <c r="B341" i="16"/>
  <c r="A343" i="16" l="1"/>
  <c r="D342" i="16"/>
  <c r="C342" i="16"/>
  <c r="B342" i="16"/>
  <c r="C343" i="16" l="1"/>
  <c r="B343" i="16"/>
  <c r="D343" i="16"/>
  <c r="A344" i="16"/>
  <c r="A345" i="16" l="1"/>
  <c r="D344" i="16"/>
  <c r="C344" i="16"/>
  <c r="B344" i="16"/>
  <c r="D345" i="16" l="1"/>
  <c r="C345" i="16"/>
  <c r="B345" i="16"/>
  <c r="A346" i="16"/>
  <c r="A347" i="16" l="1"/>
  <c r="D346" i="16"/>
  <c r="C346" i="16"/>
  <c r="B346" i="16"/>
  <c r="A348" i="16" l="1"/>
  <c r="D347" i="16"/>
  <c r="C347" i="16"/>
  <c r="B347" i="16"/>
  <c r="B348" i="16" l="1"/>
  <c r="A349" i="16"/>
  <c r="D348" i="16"/>
  <c r="C348" i="16"/>
  <c r="A350" i="16" l="1"/>
  <c r="D349" i="16"/>
  <c r="C349" i="16"/>
  <c r="B349" i="16"/>
  <c r="D350" i="16" l="1"/>
  <c r="C350" i="16"/>
  <c r="B350" i="16"/>
  <c r="A351" i="16"/>
  <c r="B351" i="16" l="1"/>
  <c r="D351" i="16"/>
  <c r="C351" i="16"/>
  <c r="A352" i="16"/>
  <c r="A353" i="16" l="1"/>
  <c r="D352" i="16"/>
  <c r="C352" i="16"/>
  <c r="B352" i="16"/>
  <c r="A354" i="16" l="1"/>
  <c r="D353" i="16"/>
  <c r="C353" i="16"/>
  <c r="B353" i="16"/>
  <c r="A355" i="16" l="1"/>
  <c r="D354" i="16"/>
  <c r="C354" i="16"/>
  <c r="B354" i="16"/>
  <c r="C355" i="16" l="1"/>
  <c r="B355" i="16"/>
  <c r="D355" i="16"/>
  <c r="A356" i="16"/>
  <c r="A357" i="16" l="1"/>
  <c r="D356" i="16"/>
  <c r="C356" i="16"/>
  <c r="B356" i="16"/>
  <c r="D357" i="16" l="1"/>
  <c r="C357" i="16"/>
  <c r="B357" i="16"/>
  <c r="A358" i="16"/>
  <c r="A359" i="16" l="1"/>
  <c r="D358" i="16"/>
  <c r="C358" i="16"/>
  <c r="B358" i="16"/>
  <c r="A360" i="16" l="1"/>
  <c r="D359" i="16"/>
  <c r="C359" i="16"/>
  <c r="B359" i="16"/>
  <c r="B360" i="16" l="1"/>
  <c r="A361" i="16"/>
  <c r="D360" i="16"/>
  <c r="C360" i="16"/>
  <c r="A362" i="16" l="1"/>
  <c r="C361" i="16"/>
  <c r="B361" i="16"/>
  <c r="D361" i="16"/>
  <c r="D362" i="16" l="1"/>
  <c r="C362" i="16"/>
  <c r="B362" i="16"/>
  <c r="A363" i="16"/>
  <c r="B363" i="16" l="1"/>
  <c r="D363" i="16"/>
  <c r="C363" i="16"/>
  <c r="A364" i="16"/>
  <c r="A365" i="16" l="1"/>
  <c r="D364" i="16"/>
  <c r="C364" i="16"/>
  <c r="B364" i="16"/>
  <c r="A366" i="16" l="1"/>
  <c r="D365" i="16"/>
  <c r="C365" i="16"/>
  <c r="B365" i="16"/>
  <c r="A367" i="16" l="1"/>
  <c r="D366" i="16"/>
  <c r="C366" i="16"/>
  <c r="B366" i="16"/>
  <c r="C367" i="16" l="1"/>
  <c r="B367" i="16"/>
  <c r="D367" i="16"/>
  <c r="A368" i="16"/>
  <c r="A369" i="16" l="1"/>
  <c r="D368" i="16"/>
  <c r="C368" i="16"/>
  <c r="B368" i="16"/>
  <c r="D369" i="16" l="1"/>
  <c r="C369" i="16"/>
  <c r="B369" i="16"/>
  <c r="A370" i="16"/>
  <c r="A371" i="16" l="1"/>
  <c r="D370" i="16"/>
  <c r="C370" i="16"/>
  <c r="B370" i="16"/>
  <c r="A372" i="16" l="1"/>
  <c r="D371" i="16"/>
  <c r="C371" i="16"/>
  <c r="B371" i="16"/>
  <c r="B372" i="16" l="1"/>
  <c r="A373" i="16"/>
  <c r="D372" i="16"/>
  <c r="C372" i="16"/>
  <c r="B373" i="16" l="1"/>
  <c r="A374" i="16"/>
  <c r="D373" i="16"/>
  <c r="C373" i="16"/>
  <c r="D374" i="16" l="1"/>
  <c r="C374" i="16"/>
  <c r="B374" i="16"/>
  <c r="A375" i="16"/>
  <c r="C375" i="16" l="1"/>
  <c r="B375" i="16"/>
  <c r="A376" i="16"/>
  <c r="D375" i="16"/>
  <c r="A377" i="16" l="1"/>
  <c r="D376" i="16"/>
  <c r="B376" i="16"/>
  <c r="C376" i="16"/>
  <c r="A378" i="16" l="1"/>
  <c r="C377" i="16"/>
  <c r="B377" i="16"/>
  <c r="D377" i="16"/>
  <c r="A379" i="16" l="1"/>
  <c r="D378" i="16"/>
  <c r="C378" i="16"/>
  <c r="B378" i="16"/>
  <c r="C379" i="16" l="1"/>
  <c r="D379" i="16"/>
  <c r="A380" i="16"/>
  <c r="B379" i="16"/>
  <c r="B380" i="16" l="1"/>
  <c r="A381" i="16"/>
  <c r="C380" i="16"/>
  <c r="D380" i="16"/>
  <c r="A382" i="16" l="1"/>
  <c r="B381" i="16"/>
  <c r="C381" i="16"/>
  <c r="D381" i="16"/>
  <c r="D382" i="16" l="1"/>
  <c r="A383" i="16"/>
  <c r="B382" i="16"/>
  <c r="C382" i="16"/>
  <c r="A384" i="16" l="1"/>
  <c r="B383" i="16"/>
  <c r="D383" i="16"/>
  <c r="C383" i="16"/>
  <c r="B384" i="16" l="1"/>
  <c r="C384" i="16"/>
  <c r="D384" i="16"/>
  <c r="A385" i="16"/>
  <c r="B385" i="16" l="1"/>
  <c r="A386" i="16"/>
  <c r="D385" i="16"/>
  <c r="C385" i="16"/>
  <c r="B386" i="16" l="1"/>
  <c r="A387" i="16"/>
  <c r="C386" i="16"/>
  <c r="D386" i="16"/>
  <c r="A388" i="16" l="1"/>
  <c r="B387" i="16"/>
  <c r="C387" i="16"/>
  <c r="D387" i="16"/>
  <c r="A389" i="16" l="1"/>
  <c r="B388" i="16"/>
  <c r="C388" i="16"/>
  <c r="D388" i="16"/>
  <c r="C389" i="16" l="1"/>
  <c r="D389" i="16"/>
  <c r="A390" i="16"/>
  <c r="B389" i="16"/>
  <c r="A391" i="16" l="1"/>
  <c r="D390" i="16"/>
  <c r="B390" i="16"/>
  <c r="C390" i="16"/>
  <c r="D391" i="16" l="1"/>
  <c r="A392" i="16"/>
  <c r="C391" i="16"/>
  <c r="B391" i="16"/>
  <c r="D392" i="16" l="1"/>
  <c r="C392" i="16"/>
  <c r="B392" i="16"/>
  <c r="A393" i="16"/>
  <c r="D393" i="16" l="1"/>
  <c r="C393" i="16"/>
  <c r="A394" i="16"/>
  <c r="B393" i="16"/>
  <c r="D394" i="16" l="1"/>
  <c r="C394" i="16"/>
  <c r="A395" i="16"/>
  <c r="B394" i="16"/>
  <c r="C395" i="16" l="1"/>
  <c r="B395" i="16"/>
  <c r="D395" i="16"/>
  <c r="A396" i="16"/>
  <c r="D396" i="16" l="1"/>
  <c r="A397" i="16"/>
  <c r="A398" i="16" s="1"/>
  <c r="C396" i="16"/>
  <c r="B396" i="16"/>
  <c r="C397" i="16" l="1"/>
  <c r="D397" i="16"/>
  <c r="B397" i="16"/>
  <c r="D398" i="16" l="1"/>
  <c r="C398" i="16"/>
  <c r="B398" i="16"/>
  <c r="A399" i="16"/>
  <c r="B399" i="16" l="1"/>
  <c r="D399" i="16"/>
  <c r="A400" i="16"/>
  <c r="C399" i="16"/>
  <c r="A401" i="16" l="1"/>
  <c r="D400" i="16"/>
  <c r="B400" i="16"/>
  <c r="C400" i="16"/>
  <c r="D401" i="16" l="1"/>
  <c r="B401" i="16"/>
  <c r="A402" i="16"/>
  <c r="C401" i="16"/>
  <c r="A403" i="16" l="1"/>
  <c r="D402" i="16"/>
  <c r="B402" i="16"/>
  <c r="C402" i="16"/>
  <c r="C403" i="16" l="1"/>
  <c r="B403" i="16"/>
  <c r="D403" i="16"/>
  <c r="A404" i="16"/>
  <c r="D404" i="16" l="1"/>
  <c r="C404" i="16"/>
  <c r="B404" i="16"/>
  <c r="A405" i="16"/>
  <c r="C405" i="16" l="1"/>
  <c r="A406" i="16"/>
  <c r="B405" i="16"/>
  <c r="D405" i="16"/>
  <c r="D406" i="16" l="1"/>
  <c r="C406" i="16"/>
  <c r="A407" i="16"/>
  <c r="B406" i="16"/>
  <c r="A408" i="16" l="1"/>
  <c r="D407" i="16"/>
  <c r="C407" i="16"/>
  <c r="B407" i="16"/>
  <c r="B408" i="16" l="1"/>
  <c r="C408" i="16"/>
  <c r="D408" i="16"/>
  <c r="A409" i="16"/>
  <c r="B409" i="16" l="1"/>
  <c r="D409" i="16"/>
  <c r="A410" i="16"/>
  <c r="C409" i="16"/>
  <c r="B410" i="16" l="1"/>
  <c r="A411" i="16"/>
  <c r="D410" i="16"/>
  <c r="C410" i="16"/>
  <c r="C411" i="16" l="1"/>
  <c r="D411" i="16"/>
  <c r="B411" i="16"/>
  <c r="A412" i="16"/>
  <c r="A413" i="16" l="1"/>
  <c r="B412" i="16"/>
  <c r="C412" i="16"/>
  <c r="D412" i="16"/>
  <c r="A414" i="16" l="1"/>
  <c r="B413" i="16"/>
  <c r="D413" i="16"/>
  <c r="C413" i="16"/>
  <c r="D414" i="16" l="1"/>
  <c r="C414" i="16"/>
  <c r="B414" i="16"/>
  <c r="A415" i="16"/>
  <c r="B415" i="16" l="1"/>
  <c r="A416" i="16"/>
  <c r="C415" i="16"/>
  <c r="D415" i="16"/>
  <c r="B416" i="16" l="1"/>
  <c r="D416" i="16"/>
  <c r="A417" i="16"/>
  <c r="C416" i="16"/>
  <c r="A418" i="16" l="1"/>
  <c r="C417" i="16"/>
  <c r="D417" i="16"/>
  <c r="B417" i="16"/>
  <c r="C418" i="16" l="1"/>
  <c r="A419" i="16"/>
  <c r="D418" i="16"/>
  <c r="B418" i="16"/>
  <c r="A420" i="16" l="1"/>
  <c r="D419" i="16"/>
  <c r="C419" i="16"/>
  <c r="B419" i="16"/>
  <c r="B420" i="16" l="1"/>
  <c r="A421" i="16"/>
  <c r="C420" i="16"/>
  <c r="D420" i="16"/>
  <c r="C421" i="16" l="1"/>
  <c r="B421" i="16"/>
  <c r="A422" i="16"/>
  <c r="D421" i="16"/>
  <c r="D422" i="16" l="1"/>
  <c r="C422" i="16"/>
  <c r="B422" i="16"/>
  <c r="A423" i="16"/>
  <c r="D423" i="16" l="1"/>
  <c r="C423" i="16"/>
  <c r="B423" i="16"/>
  <c r="A424" i="16"/>
  <c r="A425" i="16" l="1"/>
  <c r="D424" i="16"/>
  <c r="C424" i="16"/>
  <c r="B424" i="16"/>
  <c r="D425" i="16" l="1"/>
  <c r="C425" i="16"/>
  <c r="B425" i="16"/>
  <c r="A426" i="16"/>
  <c r="A427" i="16" l="1"/>
  <c r="D426" i="16"/>
  <c r="C426" i="16"/>
  <c r="B426" i="16"/>
  <c r="C427" i="16" l="1"/>
  <c r="B427" i="16"/>
  <c r="D427" i="16"/>
  <c r="A428" i="16"/>
  <c r="A429" i="16" l="1"/>
  <c r="D428" i="16"/>
  <c r="C428" i="16"/>
  <c r="B428" i="16"/>
  <c r="D429" i="16" l="1"/>
  <c r="C429" i="16"/>
  <c r="A430" i="16"/>
  <c r="B429" i="16"/>
  <c r="C430" i="16" l="1"/>
  <c r="D430" i="16"/>
  <c r="A431" i="16"/>
  <c r="B430" i="16"/>
  <c r="A432" i="16" l="1"/>
  <c r="C431" i="16"/>
  <c r="B431" i="16"/>
  <c r="D431" i="16"/>
  <c r="B432" i="16" l="1"/>
  <c r="A433" i="16"/>
  <c r="D432" i="16"/>
  <c r="C432" i="16"/>
  <c r="C433" i="16" l="1"/>
  <c r="B433" i="16"/>
  <c r="A434" i="16"/>
  <c r="D433" i="16"/>
  <c r="D434" i="16" l="1"/>
  <c r="C434" i="16"/>
  <c r="B434" i="16"/>
  <c r="A435" i="16"/>
  <c r="B435" i="16" l="1"/>
  <c r="A436" i="16"/>
  <c r="D435" i="16"/>
  <c r="C435" i="16"/>
  <c r="A437" i="16" l="1"/>
  <c r="D436" i="16"/>
  <c r="C436" i="16"/>
  <c r="B436" i="16"/>
  <c r="B437" i="16" l="1"/>
  <c r="D437" i="16"/>
  <c r="C437" i="16"/>
  <c r="A438" i="16"/>
  <c r="A439" i="16" l="1"/>
  <c r="D438" i="16"/>
  <c r="C438" i="16"/>
  <c r="B438" i="16"/>
  <c r="C439" i="16" l="1"/>
  <c r="B439" i="16"/>
  <c r="D439" i="16"/>
  <c r="A440" i="16"/>
  <c r="D440" i="16" l="1"/>
  <c r="C440" i="16"/>
  <c r="B440" i="16"/>
  <c r="A441" i="16"/>
  <c r="D441" i="16" l="1"/>
  <c r="C441" i="16"/>
  <c r="A442" i="16"/>
  <c r="B441" i="16"/>
  <c r="D442" i="16" l="1"/>
  <c r="C442" i="16"/>
  <c r="B442" i="16"/>
  <c r="A443" i="16"/>
  <c r="A444" i="16" l="1"/>
  <c r="D443" i="16"/>
  <c r="C443" i="16"/>
  <c r="B443" i="16"/>
  <c r="B444" i="16" l="1"/>
  <c r="C444" i="16"/>
  <c r="A445" i="16"/>
  <c r="D444" i="16"/>
  <c r="C445" i="16" l="1"/>
  <c r="B445" i="16"/>
  <c r="A446" i="16"/>
  <c r="D445" i="16"/>
  <c r="D446" i="16" l="1"/>
  <c r="C446" i="16"/>
  <c r="B446" i="16"/>
  <c r="A447" i="16"/>
  <c r="D447" i="16" l="1"/>
  <c r="C447" i="16"/>
  <c r="B447" i="16"/>
  <c r="A448" i="16"/>
  <c r="A449" i="16" l="1"/>
  <c r="D448" i="16"/>
  <c r="C448" i="16"/>
  <c r="B448" i="16"/>
  <c r="D449" i="16" l="1"/>
  <c r="C449" i="16"/>
  <c r="B449" i="16"/>
  <c r="A450" i="16"/>
  <c r="A451" i="16" l="1"/>
  <c r="D450" i="16"/>
  <c r="C450" i="16"/>
  <c r="B450" i="16"/>
  <c r="C451" i="16" l="1"/>
  <c r="B451" i="16"/>
  <c r="D451" i="16"/>
  <c r="A452" i="16"/>
  <c r="A453" i="16" l="1"/>
  <c r="D452" i="16"/>
  <c r="C452" i="16"/>
  <c r="B452" i="16"/>
  <c r="D453" i="16" l="1"/>
  <c r="C453" i="16"/>
  <c r="A454" i="16"/>
  <c r="B453" i="16"/>
  <c r="D454" i="16" l="1"/>
  <c r="C454" i="16"/>
  <c r="A455" i="16"/>
  <c r="B454" i="16"/>
  <c r="A456" i="16" l="1"/>
  <c r="C455" i="16"/>
  <c r="B455" i="16"/>
  <c r="D455" i="16"/>
  <c r="B456" i="16" l="1"/>
  <c r="A457" i="16"/>
  <c r="D456" i="16"/>
  <c r="C456" i="16"/>
  <c r="C457" i="16" l="1"/>
  <c r="B457" i="16"/>
  <c r="A458" i="16"/>
  <c r="D457" i="16"/>
  <c r="D458" i="16" l="1"/>
  <c r="C458" i="16"/>
  <c r="A459" i="16"/>
  <c r="B458" i="16"/>
  <c r="B459" i="16" l="1"/>
  <c r="A460" i="16"/>
  <c r="D459" i="16"/>
  <c r="C459" i="16"/>
  <c r="A461" i="16" l="1"/>
  <c r="D460" i="16"/>
  <c r="C460" i="16"/>
  <c r="B460" i="16"/>
  <c r="B461" i="16" l="1"/>
  <c r="A462" i="16"/>
  <c r="D461" i="16"/>
  <c r="C461" i="16"/>
  <c r="A463" i="16" l="1"/>
  <c r="D462" i="16"/>
  <c r="C462" i="16"/>
  <c r="B462" i="16"/>
  <c r="C463" i="16" l="1"/>
  <c r="B463" i="16"/>
  <c r="D463" i="16"/>
  <c r="A464" i="16"/>
  <c r="D464" i="16" l="1"/>
  <c r="C464" i="16"/>
  <c r="B464" i="16"/>
  <c r="A465" i="16"/>
  <c r="D465" i="16" l="1"/>
  <c r="C465" i="16"/>
  <c r="A466" i="16"/>
  <c r="B465" i="16"/>
  <c r="D466" i="16" l="1"/>
  <c r="C466" i="16"/>
  <c r="B466" i="16"/>
  <c r="A467" i="16"/>
  <c r="A468" i="16" l="1"/>
  <c r="B467" i="16"/>
  <c r="C467" i="16"/>
  <c r="D467" i="16"/>
  <c r="B468" i="16" l="1"/>
  <c r="C468" i="16"/>
  <c r="A469" i="16"/>
  <c r="D468" i="16"/>
  <c r="C469" i="16" l="1"/>
  <c r="B469" i="16"/>
  <c r="A470" i="16"/>
  <c r="D469" i="16"/>
  <c r="D470" i="16" l="1"/>
  <c r="C470" i="16"/>
  <c r="B470" i="16"/>
  <c r="A471" i="16"/>
  <c r="D471" i="16" l="1"/>
  <c r="C471" i="16"/>
  <c r="B471" i="16"/>
  <c r="A472" i="16"/>
  <c r="A473" i="16" l="1"/>
  <c r="D472" i="16"/>
  <c r="C472" i="16"/>
  <c r="B472" i="16"/>
  <c r="D473" i="16" l="1"/>
  <c r="C473" i="16"/>
  <c r="B473" i="16"/>
  <c r="A474" i="16"/>
  <c r="A475" i="16" l="1"/>
  <c r="D474" i="16"/>
  <c r="C474" i="16"/>
  <c r="B474" i="16"/>
  <c r="C475" i="16" l="1"/>
  <c r="B475" i="16"/>
  <c r="D475" i="16"/>
  <c r="A476" i="16"/>
  <c r="A477" i="16" l="1"/>
  <c r="D476" i="16"/>
  <c r="C476" i="16"/>
  <c r="B476" i="16"/>
  <c r="D477" i="16" l="1"/>
  <c r="C477" i="16"/>
  <c r="A478" i="16"/>
  <c r="B477" i="16"/>
  <c r="D478" i="16" l="1"/>
  <c r="C478" i="16"/>
  <c r="A479" i="16"/>
  <c r="B478" i="16"/>
  <c r="A480" i="16" l="1"/>
  <c r="C479" i="16"/>
  <c r="B479" i="16"/>
  <c r="D479" i="16"/>
  <c r="B480" i="16" l="1"/>
  <c r="A481" i="16"/>
  <c r="D480" i="16"/>
  <c r="C480" i="16"/>
  <c r="C481" i="16" l="1"/>
  <c r="B481" i="16"/>
  <c r="A482" i="16"/>
  <c r="D481" i="16"/>
  <c r="D482" i="16" l="1"/>
  <c r="C482" i="16"/>
  <c r="B482" i="16"/>
  <c r="A483" i="16"/>
  <c r="B483" i="16" l="1"/>
  <c r="A484" i="16"/>
  <c r="D483" i="16"/>
  <c r="C483" i="16"/>
  <c r="A485" i="16" l="1"/>
  <c r="D484" i="16"/>
  <c r="C484" i="16"/>
  <c r="B484" i="16"/>
  <c r="A486" i="16" l="1"/>
  <c r="B485" i="16"/>
  <c r="C485" i="16"/>
  <c r="D485" i="16"/>
  <c r="A487" i="16" l="1"/>
  <c r="D486" i="16"/>
  <c r="C486" i="16"/>
  <c r="B486" i="16"/>
  <c r="C487" i="16" l="1"/>
  <c r="B487" i="16"/>
  <c r="D487" i="16"/>
  <c r="A488" i="16"/>
  <c r="D488" i="16" l="1"/>
  <c r="C488" i="16"/>
  <c r="B488" i="16"/>
  <c r="A489" i="16"/>
  <c r="D489" i="16" l="1"/>
  <c r="C489" i="16"/>
  <c r="A490" i="16"/>
  <c r="B489" i="16"/>
  <c r="D490" i="16" l="1"/>
  <c r="C490" i="16"/>
  <c r="B490" i="16"/>
  <c r="A491" i="16"/>
  <c r="A492" i="16" l="1"/>
  <c r="D491" i="16"/>
  <c r="C491" i="16"/>
  <c r="B491" i="16"/>
  <c r="B492" i="16" l="1"/>
  <c r="A493" i="16"/>
  <c r="C492" i="16"/>
  <c r="D492" i="16"/>
  <c r="C493" i="16" l="1"/>
  <c r="B493" i="16"/>
  <c r="A494" i="16"/>
  <c r="D493" i="16"/>
  <c r="D494" i="16" l="1"/>
  <c r="C494" i="16"/>
  <c r="B494" i="16"/>
  <c r="A495" i="16"/>
  <c r="D495" i="16" l="1"/>
  <c r="C495" i="16"/>
  <c r="B495" i="16"/>
  <c r="A496" i="16"/>
  <c r="A497" i="16" l="1"/>
  <c r="D496" i="16"/>
  <c r="C496" i="16"/>
  <c r="B496" i="16"/>
  <c r="D497" i="16" l="1"/>
  <c r="C497" i="16"/>
  <c r="B497" i="16"/>
  <c r="A498" i="16"/>
  <c r="A499" i="16" l="1"/>
  <c r="D498" i="16"/>
  <c r="C498" i="16"/>
  <c r="B498" i="16"/>
  <c r="C499" i="16" l="1"/>
  <c r="B499" i="16"/>
  <c r="D499" i="16"/>
  <c r="A500" i="16"/>
  <c r="A501" i="16" l="1"/>
  <c r="D500" i="16"/>
  <c r="C500" i="16"/>
  <c r="B500" i="16"/>
  <c r="D501" i="16" l="1"/>
  <c r="C501" i="16"/>
  <c r="A502" i="16"/>
  <c r="B501" i="16"/>
  <c r="D502" i="16" l="1"/>
  <c r="C502" i="16"/>
  <c r="A503" i="16"/>
  <c r="B502" i="16"/>
  <c r="A504" i="16" l="1"/>
  <c r="C503" i="16"/>
  <c r="B503" i="16"/>
  <c r="D503" i="16"/>
  <c r="B504" i="16" l="1"/>
  <c r="A505" i="16"/>
  <c r="D504" i="16"/>
  <c r="C504" i="16"/>
  <c r="C505" i="16" l="1"/>
  <c r="B505" i="16"/>
  <c r="A506" i="16"/>
  <c r="D505" i="16"/>
  <c r="D506" i="16" l="1"/>
  <c r="C506" i="16"/>
  <c r="B506" i="16"/>
  <c r="A507" i="16"/>
  <c r="A508" i="16" l="1"/>
  <c r="B507" i="16"/>
  <c r="D507" i="16"/>
  <c r="C507" i="16"/>
  <c r="A509" i="16" l="1"/>
  <c r="D508" i="16"/>
  <c r="C508" i="16"/>
  <c r="B508" i="16"/>
  <c r="B509" i="16" l="1"/>
  <c r="A510" i="16"/>
  <c r="D509" i="16"/>
  <c r="C509" i="16"/>
  <c r="A511" i="16" l="1"/>
  <c r="D510" i="16"/>
  <c r="C510" i="16"/>
  <c r="B510" i="16"/>
  <c r="C511" i="16" l="1"/>
  <c r="B511" i="16"/>
  <c r="D511" i="16"/>
  <c r="A512" i="16"/>
  <c r="D512" i="16" l="1"/>
  <c r="C512" i="16"/>
  <c r="B512" i="16"/>
  <c r="A513" i="16"/>
  <c r="C513" i="16" l="1"/>
  <c r="A514" i="16"/>
  <c r="D513" i="16"/>
  <c r="B513" i="16"/>
  <c r="D514" i="16" l="1"/>
  <c r="B514" i="16"/>
  <c r="C514" i="16"/>
  <c r="A515" i="16"/>
  <c r="A516" i="16" l="1"/>
  <c r="D515" i="16"/>
  <c r="C515" i="16"/>
  <c r="B515" i="16"/>
  <c r="C516" i="16" l="1"/>
  <c r="B516" i="16"/>
  <c r="D516" i="16"/>
  <c r="A517" i="16"/>
  <c r="D517" i="16" l="1"/>
  <c r="B517" i="16"/>
  <c r="A518" i="16"/>
  <c r="C517" i="16"/>
  <c r="B518" i="16" l="1"/>
  <c r="A519" i="16"/>
  <c r="D518" i="16"/>
  <c r="C518" i="16"/>
  <c r="A520" i="16" l="1"/>
  <c r="D519" i="16"/>
  <c r="C519" i="16"/>
  <c r="B519" i="16"/>
  <c r="D520" i="16" l="1"/>
  <c r="A521" i="16"/>
  <c r="B520" i="16"/>
  <c r="C520" i="16"/>
  <c r="D521" i="16" l="1"/>
  <c r="C521" i="16"/>
  <c r="B521" i="16"/>
  <c r="A522" i="16"/>
  <c r="A523" i="16" l="1"/>
  <c r="C522" i="16"/>
  <c r="B522" i="16"/>
  <c r="D522" i="16"/>
  <c r="A524" i="16" l="1"/>
  <c r="D523" i="16"/>
  <c r="C523" i="16"/>
  <c r="B523" i="16"/>
  <c r="B524" i="16" l="1"/>
  <c r="D524" i="16"/>
  <c r="C524" i="16"/>
  <c r="A525" i="16"/>
  <c r="C525" i="16" l="1"/>
  <c r="A526" i="16"/>
  <c r="D525" i="16"/>
  <c r="B525" i="16"/>
  <c r="D526" i="16" l="1"/>
  <c r="C526" i="16"/>
  <c r="A527" i="16"/>
  <c r="B526" i="16"/>
  <c r="D527" i="16" l="1"/>
  <c r="C527" i="16"/>
  <c r="A528" i="16"/>
  <c r="B527" i="16"/>
  <c r="A529" i="16" l="1"/>
  <c r="C528" i="16"/>
  <c r="B528" i="16"/>
  <c r="D528" i="16"/>
  <c r="B529" i="16" l="1"/>
  <c r="A530" i="16"/>
  <c r="D529" i="16"/>
  <c r="C529" i="16"/>
  <c r="B530" i="16" l="1"/>
  <c r="D530" i="16"/>
  <c r="C530" i="16"/>
  <c r="A531" i="16"/>
  <c r="D531" i="16" l="1"/>
  <c r="C531" i="16"/>
  <c r="A532" i="16"/>
  <c r="B531" i="16"/>
  <c r="D532" i="16" l="1"/>
  <c r="A533" i="16"/>
  <c r="B532" i="16"/>
  <c r="C532" i="16"/>
  <c r="A534" i="16" l="1"/>
  <c r="D533" i="16"/>
  <c r="C533" i="16"/>
  <c r="B533" i="16"/>
  <c r="A535" i="16" l="1"/>
  <c r="C534" i="16"/>
  <c r="B534" i="16"/>
  <c r="D534" i="16"/>
  <c r="A536" i="16" l="1"/>
  <c r="B535" i="16"/>
  <c r="D535" i="16"/>
  <c r="C535" i="16"/>
  <c r="A537" i="16" l="1"/>
  <c r="D536" i="16"/>
  <c r="C536" i="16"/>
  <c r="B536" i="16"/>
  <c r="C537" i="16" l="1"/>
  <c r="B537" i="16"/>
  <c r="D537" i="16"/>
  <c r="A538" i="16"/>
  <c r="D538" i="16" l="1"/>
  <c r="C538" i="16"/>
  <c r="B538" i="16"/>
  <c r="A539" i="16"/>
  <c r="D539" i="16" l="1"/>
  <c r="C539" i="16"/>
  <c r="B539" i="16"/>
  <c r="A540" i="16"/>
  <c r="C540" i="16" l="1"/>
  <c r="B540" i="16"/>
  <c r="A541" i="16"/>
  <c r="D540" i="16"/>
  <c r="A542" i="16" l="1"/>
  <c r="D541" i="16"/>
  <c r="B541" i="16"/>
  <c r="C541" i="16"/>
  <c r="B542" i="16" l="1"/>
  <c r="A543" i="16"/>
  <c r="D542" i="16"/>
  <c r="C542" i="16"/>
  <c r="C543" i="16" l="1"/>
  <c r="D543" i="16"/>
  <c r="A544" i="16"/>
  <c r="B543" i="16"/>
  <c r="B544" i="16" l="1"/>
  <c r="A545" i="16"/>
  <c r="C544" i="16"/>
  <c r="D544" i="16"/>
  <c r="D545" i="16" l="1"/>
  <c r="A546" i="16"/>
  <c r="B545" i="16"/>
  <c r="C545" i="16"/>
  <c r="A547" i="16" l="1"/>
  <c r="B546" i="16"/>
  <c r="D546" i="16"/>
  <c r="C546" i="16"/>
  <c r="C547" i="16" l="1"/>
  <c r="B547" i="16"/>
  <c r="A548" i="16"/>
  <c r="D547" i="16"/>
  <c r="B548" i="16" l="1"/>
  <c r="A549" i="16"/>
  <c r="C548" i="16"/>
  <c r="D548" i="16"/>
  <c r="C549" i="16" l="1"/>
  <c r="A550" i="16"/>
  <c r="D549" i="16"/>
  <c r="B549" i="16"/>
  <c r="D550" i="16" l="1"/>
  <c r="B550" i="16"/>
  <c r="C550" i="16"/>
  <c r="A551" i="16"/>
  <c r="A552" i="16" l="1"/>
  <c r="D551" i="16"/>
  <c r="C551" i="16"/>
  <c r="B551" i="16"/>
  <c r="C552" i="16" l="1"/>
  <c r="B552" i="16"/>
  <c r="D552" i="16"/>
  <c r="A553" i="16"/>
  <c r="C553" i="16" l="1"/>
  <c r="D553" i="16"/>
  <c r="A554" i="16"/>
  <c r="B553" i="16"/>
  <c r="B554" i="16" l="1"/>
  <c r="A555" i="16"/>
  <c r="C554" i="16"/>
  <c r="D554" i="16"/>
  <c r="B555" i="16" l="1"/>
  <c r="A556" i="16"/>
  <c r="C555" i="16"/>
  <c r="D555" i="16"/>
  <c r="D556" i="16" l="1"/>
  <c r="B556" i="16"/>
  <c r="C556" i="16"/>
  <c r="A557" i="16"/>
  <c r="C557" i="16" l="1"/>
  <c r="A558" i="16"/>
  <c r="B557" i="16"/>
  <c r="D557" i="16"/>
  <c r="A559" i="16" l="1"/>
  <c r="D558" i="16"/>
  <c r="B558" i="16"/>
  <c r="C558" i="16"/>
  <c r="A560" i="16" l="1"/>
  <c r="C559" i="16"/>
  <c r="D559" i="16"/>
  <c r="B559" i="16"/>
  <c r="B560" i="16" l="1"/>
  <c r="A561" i="16"/>
  <c r="D560" i="16"/>
  <c r="C560" i="16"/>
  <c r="D561" i="16" l="1"/>
  <c r="B561" i="16"/>
  <c r="C561" i="16"/>
  <c r="A562" i="16"/>
  <c r="D562" i="16" l="1"/>
  <c r="B562" i="16"/>
  <c r="A563" i="16"/>
  <c r="C562" i="16"/>
  <c r="D563" i="16" l="1"/>
  <c r="C563" i="16"/>
  <c r="A564" i="16"/>
  <c r="B563" i="16"/>
  <c r="D564" i="16" l="1"/>
  <c r="B564" i="16"/>
  <c r="C564" i="16"/>
  <c r="A565" i="16"/>
  <c r="C565" i="16" l="1"/>
  <c r="D565" i="16"/>
  <c r="A566" i="16"/>
  <c r="B565" i="16"/>
  <c r="B566" i="16" l="1"/>
  <c r="D566" i="16"/>
  <c r="C566" i="16"/>
  <c r="A567" i="16"/>
  <c r="B567" i="16" l="1"/>
  <c r="D567" i="16"/>
  <c r="A568" i="16"/>
  <c r="C567" i="16"/>
  <c r="A569" i="16" l="1"/>
  <c r="D568" i="16"/>
  <c r="B568" i="16"/>
  <c r="C568" i="16"/>
  <c r="D569" i="16" l="1"/>
  <c r="B569" i="16"/>
  <c r="A570" i="16"/>
  <c r="C569" i="16"/>
  <c r="A571" i="16" l="1"/>
  <c r="D570" i="16"/>
  <c r="C570" i="16"/>
  <c r="B570" i="16"/>
  <c r="A572" i="16" l="1"/>
  <c r="D571" i="16"/>
  <c r="C571" i="16"/>
  <c r="B571" i="16"/>
  <c r="C572" i="16" l="1"/>
  <c r="A573" i="16"/>
  <c r="D572" i="16"/>
  <c r="B572" i="16"/>
  <c r="B573" i="16" l="1"/>
  <c r="A574" i="16"/>
  <c r="D573" i="16"/>
  <c r="C573" i="16"/>
  <c r="A575" i="16" l="1"/>
  <c r="C574" i="16"/>
  <c r="B574" i="16"/>
  <c r="D574" i="16"/>
  <c r="C575" i="16" l="1"/>
  <c r="D575" i="16"/>
  <c r="B575" i="16"/>
  <c r="A576" i="16"/>
  <c r="B576" i="16" l="1"/>
  <c r="D576" i="16"/>
  <c r="C576" i="16"/>
  <c r="A577" i="16"/>
  <c r="D577" i="16" l="1"/>
  <c r="A578" i="16"/>
  <c r="B577" i="16"/>
  <c r="C577" i="16"/>
  <c r="D578" i="16" l="1"/>
  <c r="C578" i="16"/>
  <c r="B578" i="16"/>
  <c r="A579" i="16"/>
  <c r="A580" i="16" l="1"/>
  <c r="C579" i="16"/>
  <c r="D579" i="16"/>
  <c r="B579" i="16"/>
  <c r="D580" i="16" l="1"/>
  <c r="C580" i="16"/>
  <c r="A581" i="16"/>
  <c r="B580" i="16"/>
  <c r="C581" i="16" l="1"/>
  <c r="D581" i="16"/>
  <c r="A582" i="16"/>
  <c r="B581" i="16"/>
  <c r="A583" i="16" l="1"/>
  <c r="B582" i="16"/>
  <c r="D582" i="16"/>
  <c r="C582" i="16"/>
  <c r="D583" i="16" l="1"/>
  <c r="A584" i="16"/>
  <c r="B583" i="16"/>
  <c r="C583" i="16"/>
  <c r="C584" i="16" l="1"/>
  <c r="B584" i="16"/>
  <c r="A585" i="16"/>
  <c r="D584" i="16"/>
  <c r="C585" i="16" l="1"/>
  <c r="B585" i="16"/>
  <c r="A586" i="16"/>
  <c r="D585" i="16"/>
  <c r="A587" i="16" l="1"/>
  <c r="D586" i="16"/>
  <c r="C586" i="16"/>
  <c r="B586" i="16"/>
  <c r="D587" i="16" l="1"/>
  <c r="B587" i="16"/>
  <c r="C587" i="16"/>
  <c r="A588" i="16"/>
  <c r="A589" i="16" l="1"/>
  <c r="D588" i="16"/>
  <c r="C588" i="16"/>
  <c r="B588" i="16"/>
  <c r="A590" i="16" l="1"/>
  <c r="D589" i="16"/>
  <c r="C589" i="16"/>
  <c r="B589" i="16"/>
  <c r="B590" i="16" l="1"/>
  <c r="A591" i="16"/>
  <c r="C590" i="16"/>
  <c r="D590" i="16"/>
  <c r="A592" i="16" l="1"/>
  <c r="D591" i="16"/>
  <c r="C591" i="16"/>
  <c r="B591" i="16"/>
  <c r="D592" i="16" l="1"/>
  <c r="C592" i="16"/>
  <c r="A593" i="16"/>
  <c r="B592" i="16"/>
  <c r="A594" i="16" l="1"/>
  <c r="D593" i="16"/>
  <c r="C593" i="16"/>
  <c r="B593" i="16"/>
  <c r="A595" i="16" l="1"/>
  <c r="D594" i="16"/>
  <c r="C594" i="16"/>
  <c r="B594" i="16"/>
  <c r="D595" i="16" l="1"/>
  <c r="C595" i="16"/>
  <c r="B595" i="16"/>
  <c r="A596" i="16"/>
  <c r="B596" i="16" l="1"/>
  <c r="C596" i="16"/>
  <c r="A597" i="16"/>
  <c r="D596" i="16"/>
  <c r="C597" i="16" l="1"/>
  <c r="B597" i="16"/>
  <c r="A598" i="16"/>
  <c r="D597" i="16"/>
  <c r="C598" i="16" l="1"/>
  <c r="B598" i="16"/>
  <c r="A599" i="16"/>
  <c r="D598" i="16"/>
  <c r="D599" i="16" l="1"/>
  <c r="C599" i="16"/>
  <c r="B599" i="16"/>
  <c r="A600" i="16"/>
  <c r="A601" i="16" l="1"/>
  <c r="D600" i="16"/>
  <c r="C600" i="16"/>
  <c r="B600" i="16"/>
  <c r="A602" i="16" l="1"/>
  <c r="D601" i="16"/>
  <c r="C601" i="16"/>
  <c r="B601" i="16"/>
  <c r="B602" i="16" l="1"/>
  <c r="A603" i="16"/>
  <c r="D602" i="16"/>
  <c r="C602" i="16"/>
  <c r="D603" i="16" l="1"/>
  <c r="C603" i="16"/>
  <c r="B603" i="16"/>
  <c r="A604" i="16"/>
  <c r="D604" i="16" l="1"/>
  <c r="C604" i="16"/>
  <c r="A605" i="16"/>
  <c r="B604" i="16"/>
  <c r="A606" i="16" l="1"/>
  <c r="D605" i="16"/>
  <c r="B605" i="16"/>
  <c r="C605" i="16"/>
  <c r="D606" i="16" l="1"/>
  <c r="B606" i="16"/>
  <c r="A607" i="16"/>
  <c r="C606" i="16"/>
  <c r="D607" i="16" l="1"/>
  <c r="A608" i="16"/>
  <c r="C607" i="16"/>
  <c r="B607" i="16"/>
  <c r="A609" i="16" l="1"/>
  <c r="D608" i="16"/>
  <c r="C608" i="16"/>
  <c r="B608" i="16"/>
  <c r="B609" i="16" l="1"/>
  <c r="D609" i="16"/>
  <c r="C609" i="16"/>
  <c r="A610" i="16"/>
  <c r="D610" i="16" l="1"/>
  <c r="C610" i="16"/>
  <c r="A611" i="16"/>
  <c r="B610" i="16"/>
  <c r="D611" i="16" l="1"/>
  <c r="A612" i="16"/>
  <c r="B611" i="16"/>
  <c r="C611" i="16"/>
  <c r="B612" i="16" l="1"/>
  <c r="A613" i="16"/>
  <c r="D612" i="16"/>
  <c r="C612" i="16"/>
  <c r="D613" i="16" l="1"/>
  <c r="C613" i="16"/>
  <c r="A614" i="16"/>
  <c r="B613" i="16"/>
  <c r="B614" i="16" l="1"/>
  <c r="A615" i="16"/>
  <c r="D614" i="16"/>
  <c r="C614" i="16"/>
  <c r="A616" i="16" l="1"/>
  <c r="D615" i="16"/>
  <c r="C615" i="16"/>
  <c r="B615" i="16"/>
  <c r="D616" i="16" l="1"/>
  <c r="C616" i="16"/>
  <c r="B616" i="16"/>
  <c r="A617" i="16"/>
  <c r="D617" i="16" l="1"/>
  <c r="C617" i="16"/>
  <c r="A618" i="16"/>
  <c r="B617" i="16"/>
  <c r="A619" i="16" l="1"/>
  <c r="D618" i="16"/>
  <c r="C618" i="16"/>
  <c r="B618" i="16"/>
  <c r="A620" i="16" l="1"/>
  <c r="D619" i="16"/>
  <c r="C619" i="16"/>
  <c r="B619" i="16"/>
  <c r="C620" i="16" l="1"/>
  <c r="D620" i="16"/>
  <c r="B620" i="16"/>
  <c r="A621" i="16"/>
  <c r="D621" i="16" l="1"/>
  <c r="C621" i="16"/>
  <c r="A622" i="16"/>
  <c r="B621" i="16"/>
  <c r="A623" i="16" l="1"/>
  <c r="C622" i="16"/>
  <c r="B622" i="16"/>
  <c r="D622" i="16"/>
  <c r="A624" i="16" l="1"/>
  <c r="C623" i="16"/>
  <c r="B623" i="16"/>
  <c r="D623" i="16"/>
  <c r="B624" i="16" l="1"/>
  <c r="D624" i="16"/>
  <c r="C624" i="16"/>
  <c r="A625" i="16"/>
  <c r="B625" i="16" l="1"/>
  <c r="A626" i="16"/>
  <c r="D625" i="16"/>
  <c r="C625" i="16"/>
  <c r="D626" i="16" l="1"/>
  <c r="C626" i="16"/>
  <c r="B626" i="16"/>
  <c r="A627" i="16"/>
  <c r="D627" i="16" l="1"/>
  <c r="C627" i="16"/>
  <c r="B627" i="16"/>
  <c r="A628" i="16"/>
  <c r="A629" i="16" l="1"/>
  <c r="D628" i="16"/>
  <c r="C628" i="16"/>
  <c r="B628" i="16"/>
  <c r="A630" i="16" l="1"/>
  <c r="B629" i="16"/>
  <c r="D629" i="16"/>
  <c r="C629" i="16"/>
  <c r="A631" i="16" l="1"/>
  <c r="D630" i="16"/>
  <c r="C630" i="16"/>
  <c r="B630" i="16"/>
  <c r="D631" i="16" l="1"/>
  <c r="A632" i="16"/>
  <c r="B631" i="16"/>
  <c r="C631" i="16"/>
  <c r="C632" i="16" l="1"/>
  <c r="D632" i="16"/>
  <c r="B632" i="16"/>
  <c r="A633" i="16"/>
  <c r="A634" i="16" l="1"/>
  <c r="D633" i="16"/>
  <c r="C633" i="16"/>
  <c r="B633" i="16"/>
  <c r="B634" i="16" l="1"/>
  <c r="C634" i="16"/>
  <c r="A635" i="16"/>
  <c r="D634" i="16"/>
  <c r="C635" i="16" l="1"/>
  <c r="B635" i="16"/>
  <c r="D635" i="16"/>
  <c r="A636" i="16"/>
  <c r="C636" i="16" l="1"/>
  <c r="D636" i="16"/>
  <c r="B636" i="16"/>
  <c r="A637" i="16"/>
  <c r="B637" i="16" l="1"/>
  <c r="A638" i="16"/>
  <c r="C637" i="16"/>
  <c r="D637" i="16"/>
  <c r="C638" i="16" l="1"/>
  <c r="B638" i="16"/>
  <c r="A639" i="16"/>
  <c r="D638" i="16"/>
  <c r="D639" i="16" l="1"/>
  <c r="C639" i="16"/>
  <c r="A640" i="16"/>
  <c r="B639" i="16"/>
  <c r="A641" i="16" l="1"/>
  <c r="C640" i="16"/>
  <c r="B640" i="16"/>
  <c r="D640" i="16"/>
  <c r="A642" i="16" l="1"/>
  <c r="C641" i="16"/>
  <c r="B641" i="16"/>
  <c r="D641" i="16"/>
  <c r="D642" i="16" l="1"/>
  <c r="C642" i="16"/>
  <c r="A643" i="16"/>
  <c r="B642" i="16"/>
  <c r="A644" i="16" l="1"/>
  <c r="C643" i="16"/>
  <c r="B643" i="16"/>
  <c r="D643" i="16"/>
  <c r="C644" i="16" l="1"/>
  <c r="B644" i="16"/>
  <c r="D644" i="16"/>
  <c r="A645" i="16"/>
  <c r="C645" i="16" l="1"/>
  <c r="B645" i="16"/>
  <c r="A646" i="16"/>
  <c r="D645" i="16"/>
  <c r="D646" i="16" l="1"/>
  <c r="A647" i="16"/>
  <c r="C646" i="16"/>
  <c r="B646" i="16"/>
  <c r="A648" i="16" l="1"/>
  <c r="D647" i="16"/>
  <c r="C647" i="16"/>
  <c r="B647" i="16"/>
  <c r="A649" i="16" l="1"/>
  <c r="D648" i="16"/>
  <c r="C648" i="16"/>
  <c r="B648" i="16"/>
  <c r="C649" i="16" l="1"/>
  <c r="B649" i="16"/>
  <c r="A650" i="16"/>
  <c r="D649" i="16"/>
  <c r="A651" i="16" l="1"/>
  <c r="D650" i="16"/>
  <c r="C650" i="16"/>
  <c r="B650" i="16"/>
  <c r="D651" i="16" l="1"/>
  <c r="C651" i="16"/>
  <c r="B651" i="16"/>
  <c r="A652" i="16"/>
  <c r="A653" i="16" l="1"/>
  <c r="B652" i="16"/>
  <c r="C652" i="16"/>
  <c r="D652" i="16"/>
  <c r="A654" i="16" l="1"/>
  <c r="D653" i="16"/>
  <c r="C653" i="16"/>
  <c r="B653" i="16"/>
  <c r="B654" i="16" l="1"/>
  <c r="D654" i="16"/>
  <c r="C654" i="16"/>
  <c r="A655" i="16"/>
  <c r="B655" i="16" l="1"/>
  <c r="A656" i="16"/>
  <c r="D655" i="16"/>
  <c r="C655" i="16"/>
  <c r="D656" i="16" l="1"/>
  <c r="C656" i="16"/>
  <c r="B656" i="16"/>
  <c r="A657" i="16"/>
  <c r="B657" i="16" l="1"/>
  <c r="A658" i="16"/>
  <c r="D657" i="16"/>
  <c r="C657" i="16"/>
  <c r="A659" i="16" l="1"/>
  <c r="D658" i="16"/>
  <c r="C658" i="16"/>
  <c r="B658" i="16"/>
  <c r="A660" i="16" l="1"/>
  <c r="C659" i="16"/>
  <c r="B659" i="16"/>
  <c r="D659" i="16"/>
  <c r="A661" i="16" l="1"/>
  <c r="D660" i="16"/>
  <c r="B660" i="16"/>
  <c r="C660" i="16"/>
  <c r="C661" i="16" l="1"/>
  <c r="B661" i="16"/>
  <c r="D661" i="16"/>
  <c r="A662" i="16"/>
  <c r="C662" i="16" l="1"/>
  <c r="A663" i="16"/>
  <c r="B662" i="16"/>
  <c r="D662" i="16"/>
  <c r="D663" i="16" l="1"/>
  <c r="C663" i="16"/>
  <c r="B663" i="16"/>
  <c r="A664" i="16"/>
  <c r="D664" i="16" l="1"/>
  <c r="C664" i="16"/>
  <c r="B664" i="16"/>
  <c r="A665" i="16"/>
  <c r="A666" i="16" l="1"/>
  <c r="D665" i="16"/>
  <c r="C665" i="16"/>
  <c r="B665" i="16"/>
  <c r="B666" i="16" l="1"/>
  <c r="A667" i="16"/>
  <c r="D666" i="16"/>
  <c r="C666" i="16"/>
  <c r="D667" i="16" l="1"/>
  <c r="C667" i="16"/>
  <c r="B667" i="16"/>
  <c r="A668" i="16"/>
  <c r="D668" i="16" l="1"/>
  <c r="C668" i="16"/>
  <c r="B668" i="16"/>
  <c r="A669" i="16"/>
  <c r="B669" i="16" l="1"/>
  <c r="D669" i="16"/>
  <c r="C669" i="16"/>
  <c r="A670" i="16"/>
  <c r="A671" i="16" l="1"/>
  <c r="D670" i="16"/>
  <c r="C670" i="16"/>
  <c r="B670" i="16"/>
  <c r="A672" i="16" l="1"/>
  <c r="C671" i="16"/>
  <c r="B671" i="16"/>
  <c r="D671" i="16"/>
  <c r="A673" i="16" l="1"/>
  <c r="B672" i="16"/>
  <c r="C672" i="16"/>
  <c r="D672" i="16"/>
  <c r="C673" i="16" l="1"/>
  <c r="B673" i="16"/>
  <c r="A674" i="16"/>
  <c r="D673" i="16"/>
  <c r="A675" i="16" l="1"/>
  <c r="D674" i="16"/>
  <c r="C674" i="16"/>
  <c r="B674" i="16"/>
  <c r="D675" i="16" l="1"/>
  <c r="C675" i="16"/>
  <c r="A676" i="16"/>
  <c r="B675" i="16"/>
  <c r="C676" i="16" l="1"/>
  <c r="B676" i="16"/>
  <c r="A677" i="16"/>
  <c r="D676" i="16"/>
  <c r="A678" i="16" l="1"/>
  <c r="D677" i="16"/>
  <c r="C677" i="16"/>
  <c r="B677" i="16"/>
  <c r="B678" i="16" l="1"/>
  <c r="A679" i="16"/>
  <c r="D678" i="16"/>
  <c r="C678" i="16"/>
  <c r="D679" i="16" l="1"/>
  <c r="C679" i="16"/>
  <c r="B679" i="16"/>
  <c r="A680" i="16"/>
  <c r="D680" i="16" l="1"/>
  <c r="C680" i="16"/>
  <c r="B680" i="16"/>
  <c r="A681" i="16"/>
  <c r="B681" i="16" l="1"/>
  <c r="D681" i="16"/>
  <c r="C681" i="16"/>
  <c r="A682" i="16"/>
  <c r="A683" i="16" l="1"/>
  <c r="D682" i="16"/>
  <c r="C682" i="16"/>
  <c r="B682" i="16"/>
  <c r="A684" i="16" l="1"/>
  <c r="D683" i="16"/>
  <c r="C683" i="16"/>
  <c r="B683" i="16"/>
  <c r="A685" i="16" l="1"/>
  <c r="D684" i="16"/>
  <c r="C684" i="16"/>
  <c r="B684" i="16"/>
  <c r="C685" i="16" l="1"/>
  <c r="B685" i="16"/>
  <c r="A686" i="16"/>
  <c r="D685" i="16"/>
  <c r="A687" i="16" l="1"/>
  <c r="D686" i="16"/>
  <c r="C686" i="16"/>
  <c r="B686" i="16"/>
  <c r="D687" i="16" l="1"/>
  <c r="C687" i="16"/>
  <c r="A688" i="16"/>
  <c r="B687" i="16"/>
  <c r="B688" i="16" l="1"/>
  <c r="D688" i="16"/>
  <c r="C688" i="16"/>
  <c r="A689" i="16"/>
  <c r="A690" i="16" l="1"/>
  <c r="D689" i="16"/>
  <c r="C689" i="16"/>
  <c r="B689" i="16"/>
  <c r="B690" i="16" l="1"/>
  <c r="A691" i="16"/>
  <c r="D690" i="16"/>
  <c r="C690" i="16"/>
  <c r="B691" i="16" l="1"/>
  <c r="A692" i="16"/>
  <c r="D691" i="16"/>
  <c r="C691" i="16"/>
  <c r="D692" i="16" l="1"/>
  <c r="C692" i="16"/>
  <c r="B692" i="16"/>
  <c r="A693" i="16"/>
  <c r="B693" i="16" l="1"/>
  <c r="A694" i="16"/>
  <c r="D693" i="16"/>
  <c r="C693" i="16"/>
  <c r="A695" i="16" l="1"/>
  <c r="D694" i="16"/>
  <c r="C694" i="16"/>
  <c r="B694" i="16"/>
  <c r="A696" i="16" l="1"/>
  <c r="D695" i="16"/>
  <c r="C695" i="16"/>
  <c r="B695" i="16"/>
  <c r="A697" i="16" l="1"/>
  <c r="D696" i="16"/>
  <c r="C696" i="16"/>
  <c r="B696" i="16"/>
  <c r="C697" i="16" l="1"/>
  <c r="B697" i="16"/>
  <c r="A698" i="16"/>
  <c r="D697" i="16"/>
  <c r="A699" i="16" l="1"/>
  <c r="B698" i="16"/>
  <c r="C698" i="16"/>
  <c r="D698" i="16"/>
  <c r="D699" i="16" l="1"/>
  <c r="C699" i="16"/>
  <c r="A700" i="16"/>
  <c r="B699" i="16"/>
  <c r="A701" i="16" l="1"/>
  <c r="D700" i="16"/>
  <c r="C700" i="16"/>
  <c r="B700" i="16"/>
  <c r="A702" i="16" l="1"/>
  <c r="D701" i="16"/>
  <c r="B701" i="16"/>
  <c r="C701" i="16"/>
  <c r="B702" i="16" l="1"/>
  <c r="A703" i="16"/>
  <c r="D702" i="16"/>
  <c r="C702" i="16"/>
  <c r="A704" i="16" l="1"/>
  <c r="D703" i="16"/>
  <c r="C703" i="16"/>
  <c r="B703" i="16"/>
  <c r="D704" i="16" l="1"/>
  <c r="C704" i="16"/>
  <c r="B704" i="16"/>
  <c r="A705" i="16"/>
  <c r="B705" i="16" l="1"/>
  <c r="A706" i="16"/>
  <c r="D705" i="16"/>
  <c r="C705" i="16"/>
  <c r="A707" i="16" l="1"/>
  <c r="D706" i="16"/>
  <c r="C706" i="16"/>
  <c r="B706" i="16"/>
  <c r="A708" i="16" l="1"/>
  <c r="D707" i="16"/>
  <c r="C707" i="16"/>
  <c r="B707" i="16"/>
  <c r="A709" i="16" l="1"/>
  <c r="B708" i="16"/>
  <c r="D708" i="16"/>
  <c r="C708" i="16"/>
  <c r="C709" i="16" l="1"/>
  <c r="B709" i="16"/>
  <c r="D709" i="16"/>
  <c r="A710" i="16"/>
  <c r="A711" i="16" l="1"/>
  <c r="D710" i="16"/>
  <c r="C710" i="16"/>
  <c r="B710" i="16"/>
  <c r="D711" i="16" l="1"/>
  <c r="C711" i="16"/>
  <c r="B711" i="16"/>
  <c r="A712" i="16"/>
  <c r="D712" i="16" l="1"/>
  <c r="A713" i="16"/>
  <c r="B712" i="16"/>
  <c r="C712" i="16"/>
  <c r="A714" i="16" l="1"/>
  <c r="D713" i="16"/>
  <c r="C713" i="16"/>
  <c r="B713" i="16"/>
  <c r="D714" i="16" l="1"/>
  <c r="C714" i="16"/>
  <c r="A715" i="16"/>
  <c r="B714" i="16"/>
  <c r="C715" i="16" l="1"/>
  <c r="A716" i="16"/>
  <c r="B715" i="16"/>
  <c r="D715" i="16"/>
  <c r="D716" i="16" l="1"/>
  <c r="C716" i="16"/>
  <c r="B716" i="16"/>
  <c r="A717" i="16"/>
  <c r="B717" i="16" l="1"/>
  <c r="A718" i="16"/>
  <c r="D717" i="16"/>
  <c r="C717" i="16"/>
  <c r="A719" i="16" l="1"/>
  <c r="D718" i="16"/>
  <c r="B718" i="16"/>
  <c r="C718" i="16"/>
  <c r="A720" i="16" l="1"/>
  <c r="B719" i="16"/>
  <c r="C719" i="16"/>
  <c r="D719" i="16"/>
  <c r="A721" i="16" l="1"/>
  <c r="B720" i="16"/>
  <c r="D720" i="16"/>
  <c r="C720" i="16"/>
  <c r="D721" i="16" l="1"/>
  <c r="A722" i="16"/>
  <c r="B721" i="16"/>
  <c r="C721" i="16"/>
  <c r="A723" i="16" l="1"/>
  <c r="B722" i="16"/>
  <c r="D722" i="16"/>
  <c r="C722" i="16"/>
  <c r="D723" i="16" l="1"/>
  <c r="A724" i="16"/>
  <c r="B723" i="16"/>
  <c r="C723" i="16"/>
  <c r="D724" i="16" l="1"/>
  <c r="B724" i="16"/>
  <c r="C724" i="16"/>
  <c r="A725" i="16"/>
  <c r="A726" i="16" l="1"/>
  <c r="D725" i="16"/>
  <c r="C725" i="16"/>
  <c r="B725" i="16"/>
  <c r="D726" i="16" l="1"/>
  <c r="A727" i="16"/>
  <c r="C726" i="16"/>
  <c r="B726" i="16"/>
  <c r="C727" i="16" l="1"/>
  <c r="A728" i="16"/>
  <c r="B727" i="16"/>
  <c r="D727" i="16"/>
  <c r="D728" i="16" l="1"/>
  <c r="A729" i="16"/>
  <c r="B728" i="16"/>
  <c r="C728" i="16"/>
  <c r="B729" i="16" l="1"/>
  <c r="D729" i="16"/>
  <c r="A730" i="16"/>
  <c r="C729" i="16"/>
  <c r="D730" i="16" l="1"/>
  <c r="B730" i="16"/>
  <c r="C730" i="16"/>
  <c r="A731" i="16"/>
  <c r="D731" i="16" l="1"/>
  <c r="A732" i="16"/>
  <c r="B731" i="16"/>
  <c r="C731" i="16"/>
  <c r="C732" i="16" l="1"/>
  <c r="D732" i="16"/>
  <c r="B732" i="16"/>
  <c r="A733" i="16"/>
  <c r="C733" i="16" l="1"/>
  <c r="D733" i="16"/>
  <c r="A734" i="16"/>
  <c r="B733" i="16"/>
  <c r="D734" i="16" l="1"/>
  <c r="B734" i="16"/>
  <c r="C734" i="16"/>
  <c r="A735" i="16"/>
  <c r="C735" i="16" l="1"/>
  <c r="A736" i="16"/>
  <c r="B735" i="16"/>
  <c r="D735" i="16"/>
  <c r="C736" i="16" l="1"/>
  <c r="A737" i="16"/>
  <c r="B736" i="16"/>
  <c r="D736" i="16"/>
  <c r="C737" i="16" l="1"/>
  <c r="D737" i="16"/>
  <c r="A738" i="16"/>
  <c r="B737" i="16"/>
  <c r="D738" i="16" l="1"/>
  <c r="A739" i="16"/>
  <c r="C738" i="16"/>
  <c r="B738" i="16"/>
  <c r="D739" i="16" l="1"/>
  <c r="A740" i="16"/>
  <c r="B739" i="16"/>
  <c r="C739" i="16"/>
  <c r="A741" i="16" l="1"/>
  <c r="D740" i="16"/>
  <c r="B740" i="16"/>
  <c r="C740" i="16"/>
  <c r="D741" i="16" l="1"/>
  <c r="B741" i="16"/>
  <c r="A742" i="16"/>
  <c r="C741" i="16"/>
  <c r="B742" i="16" l="1"/>
  <c r="C742" i="16"/>
  <c r="A743" i="16"/>
  <c r="D742" i="16"/>
  <c r="D743" i="16" l="1"/>
  <c r="C743" i="16"/>
  <c r="A744" i="16"/>
  <c r="B743" i="16"/>
  <c r="D744" i="16" l="1"/>
  <c r="B744" i="16"/>
  <c r="A745" i="16"/>
  <c r="C744" i="16"/>
  <c r="A746" i="16" l="1"/>
  <c r="C745" i="16"/>
  <c r="D745" i="16"/>
  <c r="B745" i="16"/>
  <c r="A747" i="16" l="1"/>
  <c r="C746" i="16"/>
  <c r="D746" i="16"/>
  <c r="B746" i="16"/>
  <c r="A748" i="16" l="1"/>
  <c r="B747" i="16"/>
  <c r="C747" i="16"/>
  <c r="D747" i="16"/>
  <c r="D748" i="16" l="1"/>
  <c r="A749" i="16"/>
  <c r="B748" i="16"/>
  <c r="C748" i="16"/>
  <c r="C749" i="16" l="1"/>
  <c r="A750" i="16"/>
  <c r="B749" i="16"/>
  <c r="D749" i="16"/>
  <c r="A751" i="16" l="1"/>
  <c r="D750" i="16"/>
  <c r="C750" i="16"/>
  <c r="B750" i="16"/>
  <c r="C751" i="16" l="1"/>
  <c r="B751" i="16"/>
  <c r="D751" i="16"/>
  <c r="A752" i="16"/>
  <c r="D752" i="16" l="1"/>
  <c r="C752" i="16"/>
  <c r="A753" i="16"/>
  <c r="B752" i="16"/>
  <c r="D753" i="16" l="1"/>
  <c r="C753" i="16"/>
  <c r="B753" i="16"/>
  <c r="A754" i="16"/>
  <c r="B754" i="16" l="1"/>
  <c r="D754" i="16"/>
  <c r="C754" i="16"/>
  <c r="A755" i="16"/>
  <c r="A756" i="16" l="1"/>
  <c r="D755" i="16"/>
  <c r="C755" i="16"/>
  <c r="B755" i="16"/>
  <c r="D756" i="16" l="1"/>
  <c r="C756" i="16"/>
  <c r="B756" i="16"/>
  <c r="A757" i="16"/>
  <c r="D757" i="16" l="1"/>
  <c r="A758" i="16"/>
  <c r="C757" i="16"/>
  <c r="B757" i="16"/>
  <c r="A759" i="16" l="1"/>
  <c r="D758" i="16"/>
  <c r="B758" i="16"/>
  <c r="C758" i="16"/>
  <c r="B759" i="16" l="1"/>
  <c r="A760" i="16"/>
  <c r="D759" i="16"/>
  <c r="C759" i="16"/>
  <c r="D760" i="16" l="1"/>
  <c r="B760" i="16"/>
  <c r="A761" i="16"/>
  <c r="C760" i="16"/>
  <c r="C761" i="16" l="1"/>
  <c r="D761" i="16"/>
  <c r="B761" i="16"/>
  <c r="A762" i="16"/>
  <c r="A763" i="16" l="1"/>
  <c r="B762" i="16"/>
  <c r="D762" i="16"/>
  <c r="C762" i="16"/>
  <c r="A764" i="16" l="1"/>
  <c r="D763" i="16"/>
  <c r="C763" i="16"/>
  <c r="B763" i="16"/>
  <c r="B764" i="16" l="1"/>
  <c r="A765" i="16"/>
  <c r="D764" i="16"/>
  <c r="C764" i="16"/>
  <c r="A766" i="16" l="1"/>
  <c r="D765" i="16"/>
  <c r="C765" i="16"/>
  <c r="B765" i="16"/>
  <c r="B766" i="16" l="1"/>
  <c r="D766" i="16"/>
  <c r="C766" i="16"/>
  <c r="A767" i="16"/>
  <c r="B767" i="16" l="1"/>
  <c r="C767" i="16"/>
  <c r="A768" i="16"/>
  <c r="D767" i="16"/>
  <c r="D768" i="16" l="1"/>
  <c r="A769" i="16"/>
  <c r="C768" i="16"/>
  <c r="B768" i="16"/>
  <c r="C769" i="16" l="1"/>
  <c r="B769" i="16"/>
  <c r="A770" i="16"/>
  <c r="D769" i="16"/>
  <c r="A771" i="16" l="1"/>
  <c r="C770" i="16"/>
  <c r="B770" i="16"/>
  <c r="D770" i="16"/>
  <c r="A772" i="16" l="1"/>
  <c r="D771" i="16"/>
  <c r="B771" i="16"/>
  <c r="C771" i="16"/>
  <c r="D772" i="16" l="1"/>
  <c r="C772" i="16"/>
  <c r="B772" i="16"/>
  <c r="A773" i="16"/>
  <c r="C773" i="16" l="1"/>
  <c r="D773" i="16"/>
  <c r="B773" i="16"/>
  <c r="A774" i="16"/>
  <c r="D774" i="16" l="1"/>
  <c r="C774" i="16"/>
  <c r="B774" i="16"/>
  <c r="A775" i="16"/>
  <c r="B775" i="16" l="1"/>
  <c r="D775" i="16"/>
  <c r="C775" i="16"/>
  <c r="A776" i="16"/>
  <c r="A777" i="16" l="1"/>
  <c r="D776" i="16"/>
  <c r="C776" i="16"/>
  <c r="B776" i="16"/>
  <c r="A778" i="16" l="1"/>
  <c r="D777" i="16"/>
  <c r="C777" i="16"/>
  <c r="B777" i="16"/>
  <c r="B778" i="16" l="1"/>
  <c r="C778" i="16"/>
  <c r="A779" i="16"/>
  <c r="D778" i="16"/>
  <c r="D779" i="16" l="1"/>
  <c r="C779" i="16"/>
  <c r="B779" i="16"/>
  <c r="A780" i="16"/>
  <c r="D780" i="16" l="1"/>
  <c r="B780" i="16"/>
  <c r="C780" i="16"/>
  <c r="A781" i="16"/>
  <c r="A782" i="16" l="1"/>
  <c r="D781" i="16"/>
  <c r="C781" i="16"/>
  <c r="B781" i="16"/>
  <c r="A783" i="16" l="1"/>
  <c r="B782" i="16"/>
  <c r="C782" i="16"/>
  <c r="D782" i="16"/>
  <c r="C783" i="16" l="1"/>
  <c r="B783" i="16"/>
  <c r="A784" i="16"/>
  <c r="D783" i="16"/>
  <c r="D784" i="16" l="1"/>
  <c r="C784" i="16"/>
  <c r="B784" i="16"/>
  <c r="A785" i="16"/>
  <c r="C785" i="16" l="1"/>
  <c r="B785" i="16"/>
  <c r="A786" i="16"/>
  <c r="D785" i="16"/>
  <c r="A787" i="16" l="1"/>
  <c r="C786" i="16"/>
  <c r="B786" i="16"/>
  <c r="D786" i="16"/>
  <c r="C787" i="16" l="1"/>
  <c r="B787" i="16"/>
  <c r="A788" i="16"/>
  <c r="D787" i="16"/>
  <c r="C788" i="16" l="1"/>
  <c r="A789" i="16"/>
  <c r="D788" i="16"/>
  <c r="B788" i="16"/>
  <c r="D789" i="16" l="1"/>
  <c r="C789" i="16"/>
  <c r="B789" i="16"/>
  <c r="A790" i="16"/>
  <c r="B790" i="16" l="1"/>
  <c r="D790" i="16"/>
  <c r="C790" i="16"/>
  <c r="A791" i="16"/>
  <c r="A792" i="16" l="1"/>
  <c r="C791" i="16"/>
  <c r="D791" i="16"/>
  <c r="B791" i="16"/>
  <c r="D792" i="16" l="1"/>
  <c r="C792" i="16"/>
  <c r="B792" i="16"/>
  <c r="A793" i="16"/>
  <c r="B793" i="16" l="1"/>
  <c r="A794" i="16"/>
  <c r="D793" i="16"/>
  <c r="C793" i="16"/>
  <c r="A795" i="16" l="1"/>
  <c r="D794" i="16"/>
  <c r="C794" i="16"/>
  <c r="B794" i="16"/>
  <c r="B795" i="16" l="1"/>
  <c r="A796" i="16"/>
  <c r="D795" i="16"/>
  <c r="C795" i="16"/>
  <c r="B796" i="16" l="1"/>
  <c r="C796" i="16"/>
  <c r="A797" i="16"/>
  <c r="D796" i="16"/>
  <c r="C797" i="16" l="1"/>
  <c r="D797" i="16"/>
  <c r="B797" i="16"/>
  <c r="A798" i="16"/>
  <c r="B798" i="16" l="1"/>
  <c r="A799" i="16"/>
  <c r="D798" i="16"/>
  <c r="C798" i="16"/>
  <c r="A800" i="16" l="1"/>
  <c r="B799" i="16"/>
  <c r="D799" i="16"/>
  <c r="C799" i="16"/>
  <c r="B800" i="16" l="1"/>
  <c r="A801" i="16"/>
  <c r="D800" i="16"/>
  <c r="C800" i="16"/>
  <c r="A802" i="16" l="1"/>
  <c r="D801" i="16"/>
  <c r="C801" i="16"/>
  <c r="B801" i="16"/>
  <c r="B802" i="16" l="1"/>
  <c r="D802" i="16"/>
  <c r="C802" i="16"/>
  <c r="A803" i="16"/>
  <c r="A804" i="16" l="1"/>
  <c r="D803" i="16"/>
  <c r="C803" i="16"/>
  <c r="B803" i="16"/>
  <c r="D804" i="16" l="1"/>
  <c r="A805" i="16"/>
  <c r="C804" i="16"/>
  <c r="B804" i="16"/>
  <c r="C805" i="16" l="1"/>
  <c r="B805" i="16"/>
  <c r="D805" i="16"/>
  <c r="A806" i="16"/>
  <c r="A807" i="16" l="1"/>
  <c r="C806" i="16"/>
  <c r="B806" i="16"/>
  <c r="D806" i="16"/>
  <c r="A808" i="16" l="1"/>
  <c r="D807" i="16"/>
  <c r="C807" i="16"/>
  <c r="B807" i="16"/>
  <c r="D808" i="16" l="1"/>
  <c r="A809" i="16"/>
  <c r="C808" i="16"/>
  <c r="B808" i="16"/>
  <c r="C809" i="16" l="1"/>
  <c r="A810" i="16"/>
  <c r="D809" i="16"/>
  <c r="B809" i="16"/>
  <c r="D810" i="16" l="1"/>
  <c r="C810" i="16"/>
  <c r="B810" i="16"/>
  <c r="A811" i="16"/>
  <c r="A812" i="16" l="1"/>
  <c r="D811" i="16"/>
  <c r="C811" i="16"/>
  <c r="B811" i="16"/>
  <c r="A813" i="16" l="1"/>
  <c r="D812" i="16"/>
  <c r="B812" i="16"/>
  <c r="C812" i="16"/>
  <c r="A814" i="16" l="1"/>
  <c r="D813" i="16"/>
  <c r="C813" i="16"/>
  <c r="B813" i="16"/>
  <c r="B814" i="16" l="1"/>
  <c r="A815" i="16"/>
  <c r="D814" i="16"/>
  <c r="C814" i="16"/>
  <c r="D815" i="16" l="1"/>
  <c r="C815" i="16"/>
  <c r="B815" i="16"/>
  <c r="A816" i="16"/>
  <c r="D816" i="16" l="1"/>
  <c r="C816" i="16"/>
  <c r="B816" i="16"/>
  <c r="A817" i="16"/>
  <c r="C817" i="16" l="1"/>
  <c r="A818" i="16"/>
  <c r="D817" i="16"/>
  <c r="B817" i="16"/>
  <c r="A819" i="16" l="1"/>
  <c r="D818" i="16"/>
  <c r="C818" i="16"/>
  <c r="B818" i="16"/>
  <c r="B819" i="16" l="1"/>
  <c r="C819" i="16"/>
  <c r="A820" i="16"/>
  <c r="D819" i="16"/>
  <c r="A821" i="16" l="1"/>
  <c r="D820" i="16"/>
  <c r="B820" i="16"/>
  <c r="C820" i="16"/>
  <c r="C821" i="16" l="1"/>
  <c r="B821" i="16"/>
  <c r="D821" i="16"/>
  <c r="A822" i="16"/>
  <c r="C822" i="16" l="1"/>
  <c r="B822" i="16"/>
  <c r="D822" i="16"/>
  <c r="A823" i="16"/>
  <c r="D823" i="16" l="1"/>
  <c r="A824" i="16"/>
  <c r="B823" i="16"/>
  <c r="C823" i="16"/>
  <c r="B824" i="16" l="1"/>
  <c r="C824" i="16"/>
  <c r="A825" i="16"/>
  <c r="D824" i="16"/>
  <c r="A826" i="16" l="1"/>
  <c r="C825" i="16"/>
  <c r="B825" i="16"/>
  <c r="D825" i="16"/>
  <c r="B826" i="16" l="1"/>
  <c r="A827" i="16"/>
  <c r="D826" i="16"/>
  <c r="C826" i="16"/>
  <c r="D827" i="16" l="1"/>
  <c r="B827" i="16"/>
  <c r="C827" i="16"/>
  <c r="A828" i="16"/>
  <c r="D828" i="16" l="1"/>
  <c r="C828" i="16"/>
  <c r="A829" i="16"/>
  <c r="B828" i="16"/>
  <c r="D829" i="16" l="1"/>
  <c r="C829" i="16"/>
  <c r="A830" i="16"/>
  <c r="B829" i="16"/>
  <c r="A831" i="16" l="1"/>
  <c r="D830" i="16"/>
  <c r="C830" i="16"/>
  <c r="B830" i="16"/>
  <c r="A832" i="16" l="1"/>
  <c r="B831" i="16"/>
  <c r="D831" i="16"/>
  <c r="C831" i="16"/>
  <c r="C832" i="16" l="1"/>
  <c r="B832" i="16"/>
  <c r="D832" i="16"/>
  <c r="A833" i="16"/>
  <c r="C833" i="16" l="1"/>
  <c r="B833" i="16"/>
  <c r="A834" i="16"/>
  <c r="D833" i="16"/>
  <c r="A835" i="16" l="1"/>
  <c r="D834" i="16"/>
  <c r="C834" i="16"/>
  <c r="B834" i="16"/>
  <c r="D835" i="16" l="1"/>
  <c r="B835" i="16"/>
  <c r="A836" i="16"/>
  <c r="C835" i="16"/>
  <c r="A837" i="16" l="1"/>
  <c r="C836" i="16"/>
  <c r="B836" i="16"/>
  <c r="D836" i="16"/>
  <c r="A838" i="16" l="1"/>
  <c r="D837" i="16"/>
  <c r="C837" i="16"/>
  <c r="B837" i="16"/>
  <c r="B838" i="16" l="1"/>
  <c r="C838" i="16"/>
  <c r="A839" i="16"/>
  <c r="D838" i="16"/>
  <c r="B839" i="16" l="1"/>
  <c r="A840" i="16"/>
  <c r="D839" i="16"/>
  <c r="C839" i="16"/>
  <c r="D840" i="16" l="1"/>
  <c r="C840" i="16"/>
  <c r="A841" i="16"/>
  <c r="B840" i="16"/>
  <c r="D841" i="16" l="1"/>
  <c r="C841" i="16"/>
  <c r="B841" i="16"/>
  <c r="A842" i="16"/>
  <c r="A843" i="16" l="1"/>
  <c r="C842" i="16"/>
  <c r="B842" i="16"/>
  <c r="D842" i="16"/>
  <c r="D843" i="16" l="1"/>
  <c r="C843" i="16"/>
  <c r="B843" i="16"/>
  <c r="A844" i="16"/>
  <c r="D844" i="16" l="1"/>
  <c r="C844" i="16"/>
  <c r="A845" i="16"/>
  <c r="B844" i="16"/>
  <c r="C845" i="16" l="1"/>
  <c r="B845" i="16"/>
  <c r="A846" i="16"/>
  <c r="D845" i="16"/>
  <c r="C846" i="16" l="1"/>
  <c r="B846" i="16"/>
  <c r="D846" i="16"/>
  <c r="A847" i="16"/>
  <c r="D847" i="16" l="1"/>
  <c r="A848" i="16"/>
  <c r="C847" i="16"/>
  <c r="B847" i="16"/>
  <c r="A849" i="16" l="1"/>
  <c r="D848" i="16"/>
  <c r="C848" i="16"/>
  <c r="B848" i="16"/>
  <c r="A850" i="16" l="1"/>
  <c r="D849" i="16"/>
  <c r="C849" i="16"/>
  <c r="B849" i="16"/>
  <c r="B850" i="16" l="1"/>
  <c r="A851" i="16"/>
  <c r="D850" i="16"/>
  <c r="C850" i="16"/>
  <c r="D851" i="16" l="1"/>
  <c r="C851" i="16"/>
  <c r="A852" i="16"/>
  <c r="B851" i="16"/>
  <c r="D852" i="16" l="1"/>
  <c r="C852" i="16"/>
  <c r="A853" i="16"/>
  <c r="B852" i="16"/>
  <c r="C853" i="16" l="1"/>
  <c r="B853" i="16"/>
  <c r="D853" i="16"/>
  <c r="A854" i="16"/>
  <c r="A855" i="16" l="1"/>
  <c r="D854" i="16"/>
  <c r="C854" i="16"/>
  <c r="B854" i="16"/>
  <c r="D855" i="16" l="1"/>
  <c r="C855" i="16"/>
  <c r="B855" i="16"/>
  <c r="A856" i="16"/>
  <c r="A857" i="16" l="1"/>
  <c r="D856" i="16"/>
  <c r="C856" i="16"/>
  <c r="B856" i="16"/>
  <c r="C857" i="16" l="1"/>
  <c r="B857" i="16"/>
  <c r="D857" i="16"/>
  <c r="A858" i="16"/>
  <c r="D858" i="16" l="1"/>
  <c r="C858" i="16"/>
  <c r="B858" i="16"/>
  <c r="A859" i="16"/>
  <c r="D859" i="16" l="1"/>
  <c r="A860" i="16"/>
  <c r="C859" i="16"/>
  <c r="B859" i="16"/>
  <c r="B860" i="16" l="1"/>
  <c r="C860" i="16"/>
  <c r="A861" i="16"/>
  <c r="D860" i="16"/>
  <c r="A862" i="16" l="1"/>
  <c r="D861" i="16"/>
  <c r="C861" i="16"/>
  <c r="B861" i="16"/>
  <c r="B862" i="16" l="1"/>
  <c r="A863" i="16"/>
  <c r="D862" i="16"/>
  <c r="C862" i="16"/>
  <c r="D863" i="16" l="1"/>
  <c r="C863" i="16"/>
  <c r="B863" i="16"/>
  <c r="A864" i="16"/>
  <c r="D864" i="16" l="1"/>
  <c r="C864" i="16"/>
  <c r="A865" i="16"/>
  <c r="B864" i="16"/>
  <c r="D865" i="16" l="1"/>
  <c r="C865" i="16"/>
  <c r="B865" i="16"/>
  <c r="A866" i="16"/>
  <c r="A867" i="16" l="1"/>
  <c r="D866" i="16"/>
  <c r="C866" i="16"/>
  <c r="B866" i="16"/>
  <c r="A868" i="16" l="1"/>
  <c r="D867" i="16"/>
  <c r="C867" i="16"/>
  <c r="B867" i="16"/>
  <c r="C868" i="16" l="1"/>
  <c r="B868" i="16"/>
  <c r="A869" i="16"/>
  <c r="D868" i="16"/>
  <c r="C869" i="16" l="1"/>
  <c r="B869" i="16"/>
  <c r="A870" i="16"/>
  <c r="D869" i="16"/>
  <c r="A871" i="16" l="1"/>
  <c r="C870" i="16"/>
  <c r="B870" i="16"/>
  <c r="D870" i="16"/>
  <c r="D871" i="16" l="1"/>
  <c r="B871" i="16"/>
  <c r="A872" i="16"/>
  <c r="C871" i="16"/>
  <c r="C872" i="16" l="1"/>
  <c r="B872" i="16"/>
  <c r="A873" i="16"/>
  <c r="D872" i="16"/>
  <c r="A874" i="16" l="1"/>
  <c r="D873" i="16"/>
  <c r="C873" i="16"/>
  <c r="B873" i="16"/>
  <c r="B874" i="16" l="1"/>
  <c r="D874" i="16"/>
  <c r="C874" i="16"/>
  <c r="A875" i="16"/>
  <c r="D875" i="16" l="1"/>
  <c r="C875" i="16"/>
  <c r="B875" i="16"/>
  <c r="A876" i="16"/>
  <c r="D876" i="16" l="1"/>
  <c r="C876" i="16"/>
  <c r="A877" i="16"/>
  <c r="B876" i="16"/>
  <c r="C877" i="16" l="1"/>
  <c r="D877" i="16"/>
  <c r="A878" i="16"/>
  <c r="B877" i="16"/>
  <c r="A879" i="16" l="1"/>
  <c r="D878" i="16"/>
  <c r="C878" i="16"/>
  <c r="B878" i="16"/>
  <c r="B879" i="16" l="1"/>
  <c r="A880" i="16"/>
  <c r="C879" i="16"/>
  <c r="D879" i="16"/>
  <c r="D880" i="16" l="1"/>
  <c r="A881" i="16"/>
  <c r="B880" i="16"/>
  <c r="C880" i="16"/>
  <c r="B881" i="16" l="1"/>
  <c r="D881" i="16"/>
  <c r="A882" i="16"/>
  <c r="C881" i="16"/>
  <c r="C882" i="16" l="1"/>
  <c r="A883" i="16"/>
  <c r="D882" i="16"/>
  <c r="B882" i="16"/>
  <c r="C883" i="16" l="1"/>
  <c r="D883" i="16"/>
  <c r="B883" i="16"/>
  <c r="A884" i="16"/>
  <c r="A885" i="16" l="1"/>
  <c r="D884" i="16"/>
  <c r="B884" i="16"/>
  <c r="C884" i="16"/>
  <c r="D885" i="16" l="1"/>
  <c r="B885" i="16"/>
  <c r="C885" i="16"/>
  <c r="A886" i="16"/>
  <c r="B886" i="16" l="1"/>
  <c r="C886" i="16"/>
  <c r="A887" i="16"/>
  <c r="D886" i="16"/>
  <c r="C887" i="16" l="1"/>
  <c r="A888" i="16"/>
  <c r="B887" i="16"/>
  <c r="D887" i="16"/>
  <c r="C888" i="16" l="1"/>
  <c r="A889" i="16"/>
  <c r="B888" i="16"/>
  <c r="D888" i="16"/>
  <c r="D889" i="16" l="1"/>
  <c r="C889" i="16"/>
  <c r="B889" i="16"/>
  <c r="A890" i="16"/>
  <c r="A891" i="16" l="1"/>
  <c r="D890" i="16"/>
  <c r="C890" i="16"/>
  <c r="B890" i="16"/>
  <c r="C891" i="16" l="1"/>
  <c r="B891" i="16"/>
  <c r="A892" i="16"/>
  <c r="D891" i="16"/>
  <c r="D892" i="16" l="1"/>
  <c r="C892" i="16"/>
  <c r="A893" i="16"/>
  <c r="B892" i="16"/>
  <c r="C893" i="16" l="1"/>
  <c r="B893" i="16"/>
  <c r="D893" i="16"/>
  <c r="A894" i="16"/>
  <c r="D894" i="16" l="1"/>
  <c r="C894" i="16"/>
  <c r="B894" i="16"/>
  <c r="A895" i="16"/>
  <c r="D895" i="16" l="1"/>
  <c r="C895" i="16"/>
  <c r="B895" i="16"/>
  <c r="A896" i="16"/>
  <c r="B896" i="16" l="1"/>
  <c r="D896" i="16"/>
  <c r="C896" i="16"/>
  <c r="A897" i="16"/>
  <c r="A898" i="16" l="1"/>
  <c r="D897" i="16"/>
  <c r="C897" i="16"/>
  <c r="B897" i="16"/>
  <c r="B898" i="16" l="1"/>
  <c r="C898" i="16"/>
  <c r="D898" i="16"/>
  <c r="A899" i="16"/>
  <c r="D899" i="16" l="1"/>
  <c r="C899" i="16"/>
  <c r="B899" i="16"/>
  <c r="A900" i="16"/>
  <c r="D900" i="16" l="1"/>
  <c r="B900" i="16"/>
  <c r="A901" i="16"/>
  <c r="C900" i="16"/>
  <c r="D901" i="16" l="1"/>
  <c r="C901" i="16"/>
  <c r="B901" i="16"/>
  <c r="A902" i="16"/>
  <c r="D902" i="16" l="1"/>
  <c r="C902" i="16"/>
  <c r="B902" i="16"/>
  <c r="A903" i="16"/>
  <c r="A904" i="16" l="1"/>
  <c r="B903" i="16"/>
  <c r="D903" i="16"/>
  <c r="C903" i="16"/>
  <c r="C904" i="16" l="1"/>
  <c r="B904" i="16"/>
  <c r="D904" i="16"/>
  <c r="A905" i="16"/>
  <c r="A906" i="16" l="1"/>
  <c r="D905" i="16"/>
  <c r="B905" i="16"/>
  <c r="C905" i="16"/>
  <c r="A907" i="16" l="1"/>
  <c r="D906" i="16"/>
  <c r="C906" i="16"/>
  <c r="B906" i="16"/>
  <c r="D907" i="16" l="1"/>
  <c r="B907" i="16"/>
  <c r="C907" i="16"/>
  <c r="A908" i="16"/>
  <c r="B908" i="16" l="1"/>
  <c r="A909" i="16"/>
  <c r="D908" i="16"/>
  <c r="C908" i="16"/>
  <c r="A910" i="16" l="1"/>
  <c r="C909" i="16"/>
  <c r="B909" i="16"/>
  <c r="D909" i="16"/>
  <c r="B910" i="16" l="1"/>
  <c r="D910" i="16"/>
  <c r="A911" i="16"/>
  <c r="C910" i="16"/>
  <c r="C911" i="16" l="1"/>
  <c r="B911" i="16"/>
  <c r="A912" i="16"/>
  <c r="D911" i="16"/>
  <c r="A913" i="16" l="1"/>
  <c r="B912" i="16"/>
  <c r="C912" i="16"/>
  <c r="D912" i="16"/>
  <c r="D913" i="16" l="1"/>
  <c r="B913" i="16"/>
  <c r="A914" i="16"/>
  <c r="C913" i="16"/>
  <c r="D914" i="16" l="1"/>
  <c r="C914" i="16"/>
  <c r="B914" i="16"/>
  <c r="A915" i="16"/>
  <c r="C915" i="16" l="1"/>
  <c r="B915" i="16"/>
  <c r="D915" i="16"/>
  <c r="A916" i="16"/>
  <c r="D916" i="16" l="1"/>
  <c r="C916" i="16"/>
  <c r="B916" i="16"/>
  <c r="A917" i="16"/>
  <c r="C917" i="16" l="1"/>
  <c r="B917" i="16"/>
  <c r="A918" i="16"/>
  <c r="D917" i="16"/>
  <c r="B918" i="16" l="1"/>
  <c r="A919" i="16"/>
  <c r="D918" i="16"/>
  <c r="C918" i="16"/>
  <c r="A920" i="16" l="1"/>
  <c r="C919" i="16"/>
  <c r="D919" i="16"/>
  <c r="B919" i="16"/>
  <c r="A921" i="16" l="1"/>
  <c r="D920" i="16"/>
  <c r="C920" i="16"/>
  <c r="B920" i="16"/>
  <c r="A922" i="16" l="1"/>
  <c r="D921" i="16"/>
  <c r="C921" i="16"/>
  <c r="B921" i="16"/>
  <c r="B922" i="16" l="1"/>
  <c r="C922" i="16"/>
  <c r="A923" i="16"/>
  <c r="D922" i="16"/>
  <c r="D923" i="16" l="1"/>
  <c r="C923" i="16"/>
  <c r="A924" i="16"/>
  <c r="B923" i="16"/>
  <c r="D924" i="16" l="1"/>
  <c r="C924" i="16"/>
  <c r="A925" i="16"/>
  <c r="B924" i="16"/>
  <c r="C925" i="16" l="1"/>
  <c r="B925" i="16"/>
  <c r="A926" i="16"/>
  <c r="D925" i="16"/>
  <c r="A927" i="16" l="1"/>
  <c r="D926" i="16"/>
  <c r="C926" i="16"/>
  <c r="B926" i="16"/>
  <c r="D927" i="16" l="1"/>
  <c r="C927" i="16"/>
  <c r="B927" i="16"/>
  <c r="A928" i="16"/>
  <c r="A929" i="16" l="1"/>
  <c r="D928" i="16"/>
  <c r="C928" i="16"/>
  <c r="B928" i="16"/>
  <c r="C929" i="16" l="1"/>
  <c r="B929" i="16"/>
  <c r="D929" i="16"/>
  <c r="A930" i="16"/>
  <c r="D930" i="16" l="1"/>
  <c r="C930" i="16"/>
  <c r="A931" i="16"/>
  <c r="B930" i="16"/>
  <c r="D931" i="16" l="1"/>
  <c r="A932" i="16"/>
  <c r="C931" i="16"/>
  <c r="B931" i="16"/>
  <c r="B932" i="16" l="1"/>
  <c r="C932" i="16"/>
  <c r="A933" i="16"/>
  <c r="D932" i="16"/>
  <c r="A934" i="16" l="1"/>
  <c r="D933" i="16"/>
  <c r="C933" i="16"/>
  <c r="B933" i="16"/>
  <c r="B934" i="16" l="1"/>
  <c r="A935" i="16"/>
  <c r="D934" i="16"/>
  <c r="C934" i="16"/>
  <c r="D935" i="16" l="1"/>
  <c r="C935" i="16"/>
  <c r="B935" i="16"/>
  <c r="A936" i="16"/>
  <c r="D936" i="16" l="1"/>
  <c r="C936" i="16"/>
  <c r="A937" i="16"/>
  <c r="B936" i="16"/>
  <c r="D937" i="16" l="1"/>
  <c r="C937" i="16"/>
  <c r="B937" i="16"/>
  <c r="A938" i="16"/>
  <c r="A939" i="16" l="1"/>
  <c r="D938" i="16"/>
  <c r="C938" i="16"/>
  <c r="B938" i="16"/>
  <c r="A940" i="16" l="1"/>
  <c r="B939" i="16"/>
  <c r="D939" i="16"/>
  <c r="C939" i="16"/>
  <c r="D940" i="16" l="1"/>
  <c r="C940" i="16"/>
  <c r="B940" i="16"/>
  <c r="A941" i="16"/>
  <c r="D941" i="16" l="1"/>
  <c r="C941" i="16"/>
  <c r="B941" i="16"/>
  <c r="A942" i="16"/>
  <c r="A943" i="16" l="1"/>
  <c r="D942" i="16"/>
  <c r="C942" i="16"/>
  <c r="B942" i="16"/>
  <c r="A944" i="16" l="1"/>
  <c r="D943" i="16"/>
  <c r="C943" i="16"/>
  <c r="B943" i="16"/>
  <c r="B944" i="16" l="1"/>
  <c r="A945" i="16"/>
  <c r="D944" i="16"/>
  <c r="C944" i="16"/>
  <c r="C945" i="16" l="1"/>
  <c r="B945" i="16"/>
  <c r="A946" i="16"/>
  <c r="D945" i="16"/>
  <c r="D946" i="16" l="1"/>
  <c r="C946" i="16"/>
  <c r="B946" i="16"/>
  <c r="A947" i="16"/>
  <c r="A948" i="16" l="1"/>
  <c r="D947" i="16"/>
  <c r="C947" i="16"/>
  <c r="B947" i="16"/>
  <c r="A949" i="16" l="1"/>
  <c r="C948" i="16"/>
  <c r="B948" i="16"/>
  <c r="D948" i="16"/>
  <c r="B949" i="16" l="1"/>
  <c r="D949" i="16"/>
  <c r="C949" i="16"/>
  <c r="A950" i="16"/>
  <c r="D950" i="16" l="1"/>
  <c r="B950" i="16"/>
  <c r="C950" i="16"/>
  <c r="A951" i="16"/>
  <c r="A952" i="16" l="1"/>
  <c r="D951" i="16"/>
  <c r="B951" i="16"/>
  <c r="C951" i="16"/>
  <c r="A953" i="16" l="1"/>
  <c r="D952" i="16"/>
  <c r="C952" i="16"/>
  <c r="B952" i="16"/>
  <c r="A954" i="16" l="1"/>
  <c r="D953" i="16"/>
  <c r="C953" i="16"/>
  <c r="B953" i="16"/>
  <c r="A955" i="16" l="1"/>
  <c r="D954" i="16"/>
  <c r="C954" i="16"/>
  <c r="B954" i="16"/>
  <c r="C955" i="16" l="1"/>
  <c r="B955" i="16"/>
  <c r="A956" i="16"/>
  <c r="D955" i="16"/>
  <c r="B956" i="16" l="1"/>
  <c r="D956" i="16"/>
  <c r="C956" i="16"/>
  <c r="A957" i="16"/>
  <c r="D957" i="16" l="1"/>
  <c r="C957" i="16"/>
  <c r="A958" i="16"/>
  <c r="B957" i="16"/>
  <c r="B958" i="16" l="1"/>
  <c r="A959" i="16"/>
  <c r="C958" i="16"/>
  <c r="D958" i="16"/>
  <c r="A960" i="16" l="1"/>
  <c r="C959" i="16"/>
  <c r="B959" i="16"/>
  <c r="D959" i="16"/>
  <c r="B960" i="16" l="1"/>
  <c r="A961" i="16"/>
  <c r="D960" i="16"/>
  <c r="C960" i="16"/>
  <c r="A962" i="16" l="1"/>
  <c r="D961" i="16"/>
  <c r="C961" i="16"/>
  <c r="B961" i="16"/>
  <c r="D962" i="16" l="1"/>
  <c r="C962" i="16"/>
  <c r="B962" i="16"/>
  <c r="A963" i="16"/>
  <c r="A964" i="16" l="1"/>
  <c r="B963" i="16"/>
  <c r="D963" i="16"/>
  <c r="C963" i="16"/>
  <c r="A965" i="16" l="1"/>
  <c r="D964" i="16"/>
  <c r="C964" i="16"/>
  <c r="B964" i="16"/>
  <c r="A966" i="16" l="1"/>
  <c r="D965" i="16"/>
  <c r="C965" i="16"/>
  <c r="B965" i="16"/>
  <c r="A967" i="16" l="1"/>
  <c r="D966" i="16"/>
  <c r="C966" i="16"/>
  <c r="B966" i="16"/>
  <c r="C967" i="16" l="1"/>
  <c r="B967" i="16"/>
  <c r="A968" i="16"/>
  <c r="D967" i="16"/>
  <c r="A969" i="16" l="1"/>
  <c r="D968" i="16"/>
  <c r="C968" i="16"/>
  <c r="B968" i="16"/>
  <c r="D969" i="16" l="1"/>
  <c r="C969" i="16"/>
  <c r="A970" i="16"/>
  <c r="B969" i="16"/>
  <c r="B970" i="16" l="1"/>
  <c r="D970" i="16"/>
  <c r="C970" i="16"/>
  <c r="A971" i="16"/>
  <c r="A972" i="16" l="1"/>
  <c r="D971" i="16"/>
  <c r="C971" i="16"/>
  <c r="B971" i="16"/>
  <c r="B972" i="16" l="1"/>
  <c r="A973" i="16"/>
  <c r="D972" i="16"/>
  <c r="C972" i="16"/>
  <c r="B973" i="16" l="1"/>
  <c r="A974" i="16"/>
  <c r="D973" i="16"/>
  <c r="C973" i="16"/>
  <c r="D974" i="16" l="1"/>
  <c r="C974" i="16"/>
  <c r="B974" i="16"/>
  <c r="A975" i="16"/>
  <c r="A976" i="16" l="1"/>
  <c r="D975" i="16"/>
  <c r="C975" i="16"/>
  <c r="B975" i="16"/>
  <c r="A977" i="16" l="1"/>
  <c r="D976" i="16"/>
  <c r="B976" i="16"/>
  <c r="C976" i="16"/>
  <c r="B977" i="16" l="1"/>
  <c r="A978" i="16"/>
  <c r="D977" i="16"/>
  <c r="C977" i="16"/>
  <c r="A979" i="16" l="1"/>
  <c r="D978" i="16"/>
  <c r="B978" i="16"/>
  <c r="C978" i="16"/>
  <c r="C979" i="16" l="1"/>
  <c r="B979" i="16"/>
  <c r="D979" i="16"/>
  <c r="A980" i="16"/>
  <c r="D980" i="16" l="1"/>
  <c r="C980" i="16"/>
  <c r="B980" i="16"/>
  <c r="A981" i="16"/>
  <c r="D981" i="16" l="1"/>
  <c r="C981" i="16"/>
  <c r="A982" i="16"/>
  <c r="B981" i="16"/>
  <c r="B982" i="16" l="1"/>
  <c r="A983" i="16"/>
  <c r="D982" i="16"/>
  <c r="C982" i="16"/>
  <c r="A984" i="16" l="1"/>
  <c r="D983" i="16"/>
  <c r="C983" i="16"/>
  <c r="B983" i="16"/>
  <c r="B984" i="16" l="1"/>
  <c r="A985" i="16"/>
  <c r="D984" i="16"/>
  <c r="C984" i="16"/>
  <c r="A986" i="16" l="1"/>
  <c r="D985" i="16"/>
  <c r="C985" i="16"/>
  <c r="B985" i="16"/>
  <c r="D986" i="16" l="1"/>
  <c r="C986" i="16"/>
  <c r="B986" i="16"/>
  <c r="A987" i="16"/>
  <c r="A988" i="16" l="1"/>
  <c r="D987" i="16"/>
  <c r="C987" i="16"/>
  <c r="B987" i="16"/>
  <c r="A989" i="16" l="1"/>
  <c r="D988" i="16"/>
  <c r="C988" i="16"/>
  <c r="B988" i="16"/>
  <c r="D989" i="16" l="1"/>
  <c r="C989" i="16"/>
  <c r="B989" i="16"/>
  <c r="A990" i="16"/>
  <c r="A991" i="16" l="1"/>
  <c r="D990" i="16"/>
  <c r="C990" i="16"/>
  <c r="B990" i="16"/>
  <c r="C991" i="16" l="1"/>
  <c r="B991" i="16"/>
  <c r="A992" i="16"/>
  <c r="D991" i="16"/>
  <c r="D992" i="16" l="1"/>
  <c r="C992" i="16"/>
  <c r="A993" i="16"/>
  <c r="B992" i="16"/>
  <c r="C993" i="16" l="1"/>
  <c r="B993" i="16"/>
  <c r="A994" i="16"/>
  <c r="D993" i="16"/>
  <c r="B994" i="16" l="1"/>
  <c r="D994" i="16"/>
  <c r="C994" i="16"/>
  <c r="A995" i="16"/>
  <c r="A996" i="16" l="1"/>
  <c r="D995" i="16"/>
  <c r="C995" i="16"/>
  <c r="B995" i="16"/>
  <c r="B996" i="16" l="1"/>
  <c r="A997" i="16"/>
  <c r="C996" i="16"/>
  <c r="D996" i="16"/>
  <c r="B997" i="16" l="1"/>
  <c r="A998" i="16"/>
  <c r="D997" i="16"/>
  <c r="C997" i="16"/>
  <c r="D998" i="16" l="1"/>
  <c r="C998" i="16"/>
  <c r="B998" i="16"/>
  <c r="A999" i="16"/>
  <c r="A1000" i="16" l="1"/>
  <c r="D999" i="16"/>
  <c r="C999" i="16"/>
  <c r="B999" i="16"/>
  <c r="A1001" i="16" l="1"/>
  <c r="D1000" i="16"/>
  <c r="C1000" i="16"/>
  <c r="B1000" i="16"/>
  <c r="C1001" i="16" l="1"/>
  <c r="B1001" i="16"/>
  <c r="A1002" i="16"/>
  <c r="D1001" i="16"/>
  <c r="A1003" i="16" l="1"/>
  <c r="D1002" i="16"/>
  <c r="C1002" i="16"/>
  <c r="B1002" i="16"/>
  <c r="C1003" i="16" l="1"/>
  <c r="B1003" i="16"/>
  <c r="D1003" i="16"/>
  <c r="A1004" i="16"/>
  <c r="A1005" i="16" l="1"/>
  <c r="D1004" i="16"/>
  <c r="C1004" i="16"/>
  <c r="B1004" i="16"/>
  <c r="D1005" i="16" l="1"/>
  <c r="C1005" i="16"/>
  <c r="A1006" i="16"/>
  <c r="B1005" i="16"/>
  <c r="B1006" i="16" l="1"/>
  <c r="D1006" i="16"/>
  <c r="C1006" i="16"/>
  <c r="A1007" i="16"/>
  <c r="A1008" i="16" l="1"/>
  <c r="B1007" i="16"/>
  <c r="D1007" i="16"/>
  <c r="C1007" i="16"/>
  <c r="B1008" i="16" l="1"/>
  <c r="A1009" i="16"/>
  <c r="D1008" i="16"/>
  <c r="C1008" i="16"/>
  <c r="D1009" i="16" l="1"/>
  <c r="C1009" i="16"/>
  <c r="B1009" i="16"/>
  <c r="A1010" i="16"/>
  <c r="D1010" i="16" l="1"/>
  <c r="C1010" i="16"/>
  <c r="B1010" i="16"/>
  <c r="A1011" i="16"/>
  <c r="A1012" i="16" l="1"/>
  <c r="C1011" i="16"/>
  <c r="B1011" i="16"/>
  <c r="D1011" i="16"/>
  <c r="A1013" i="16" l="1"/>
  <c r="D1012" i="16"/>
  <c r="C1012" i="16"/>
  <c r="B1012" i="16"/>
  <c r="B1013" i="16" l="1"/>
  <c r="D1013" i="16"/>
  <c r="C1013" i="16"/>
  <c r="A1014" i="16"/>
  <c r="A1015" i="16" l="1"/>
  <c r="D1014" i="16"/>
  <c r="C1014" i="16"/>
  <c r="B1014" i="16"/>
  <c r="C1015" i="16" l="1"/>
  <c r="B1015" i="16"/>
  <c r="A1016" i="16"/>
  <c r="D1015" i="16"/>
  <c r="C1016" i="16" l="1"/>
  <c r="B1016" i="16"/>
  <c r="A1017" i="16"/>
  <c r="D1016" i="16"/>
  <c r="D1017" i="16" l="1"/>
  <c r="C1017" i="16"/>
  <c r="A1018" i="16"/>
  <c r="B1017" i="16"/>
  <c r="B1018" i="16" l="1"/>
  <c r="C1018" i="16"/>
  <c r="A1019" i="16"/>
  <c r="D1018" i="16"/>
  <c r="A1020" i="16" l="1"/>
  <c r="D1019" i="16"/>
  <c r="C1019" i="16"/>
  <c r="B1019" i="16"/>
  <c r="B1020" i="16" l="1"/>
  <c r="A1021" i="16"/>
  <c r="C1020" i="16"/>
  <c r="D1020" i="16"/>
  <c r="A1022" i="16" l="1"/>
  <c r="D1021" i="16"/>
  <c r="C1021" i="16"/>
  <c r="B1021" i="16"/>
  <c r="D1022" i="16" l="1"/>
  <c r="C1022" i="16"/>
  <c r="B1022" i="16"/>
  <c r="A1023" i="16"/>
  <c r="A1024" i="16" l="1"/>
  <c r="B1023" i="16"/>
  <c r="D1023" i="16"/>
  <c r="C1023" i="16"/>
  <c r="A1025" i="16" l="1"/>
  <c r="D1024" i="16"/>
  <c r="B1024" i="16"/>
  <c r="C1024" i="16"/>
  <c r="A1026" i="16" l="1"/>
  <c r="D1025" i="16"/>
  <c r="C1025" i="16"/>
  <c r="B1025" i="16"/>
  <c r="A1027" i="16" l="1"/>
  <c r="D1026" i="16"/>
  <c r="B1026" i="16"/>
  <c r="C1026" i="16"/>
  <c r="C1027" i="16" l="1"/>
  <c r="B1027" i="16"/>
  <c r="A1028" i="16"/>
  <c r="D1027" i="16"/>
  <c r="A1029" i="16" l="1"/>
  <c r="B1028" i="16"/>
  <c r="D1028" i="16"/>
  <c r="C1028" i="16"/>
  <c r="D1029" i="16" l="1"/>
  <c r="C1029" i="16"/>
  <c r="A1030" i="16"/>
  <c r="B1029" i="16"/>
  <c r="B1030" i="16" l="1"/>
  <c r="D1030" i="16"/>
  <c r="C1030" i="16"/>
  <c r="A1031" i="16"/>
  <c r="A1032" i="16" l="1"/>
  <c r="D1031" i="16"/>
  <c r="C1031" i="16"/>
  <c r="B1031" i="16"/>
  <c r="B1032" i="16" l="1"/>
  <c r="A1033" i="16"/>
  <c r="D1032" i="16"/>
  <c r="C1032" i="16"/>
  <c r="B1033" i="16" l="1"/>
  <c r="A1034" i="16"/>
  <c r="D1033" i="16"/>
  <c r="C1033" i="16"/>
  <c r="D1034" i="16" l="1"/>
  <c r="C1034" i="16"/>
  <c r="B1034" i="16"/>
  <c r="A1035" i="16"/>
  <c r="A1036" i="16" l="1"/>
  <c r="D1035" i="16"/>
  <c r="C1035" i="16"/>
  <c r="B1035" i="16"/>
  <c r="A1037" i="16" l="1"/>
  <c r="D1036" i="16"/>
  <c r="C1036" i="16"/>
  <c r="B1036" i="16"/>
  <c r="A1038" i="16" l="1"/>
  <c r="D1037" i="16"/>
  <c r="C1037" i="16"/>
  <c r="B1037" i="16"/>
  <c r="A1039" i="16" l="1"/>
  <c r="D1038" i="16"/>
  <c r="B1038" i="16"/>
  <c r="C1038" i="16"/>
  <c r="C1039" i="16" l="1"/>
  <c r="B1039" i="16"/>
  <c r="A1040" i="16"/>
  <c r="D1039" i="16"/>
  <c r="B1040" i="16" l="1"/>
  <c r="A1041" i="16"/>
  <c r="D1040" i="16"/>
  <c r="C1040" i="16"/>
  <c r="D1041" i="16" l="1"/>
  <c r="A1042" i="16"/>
  <c r="B1041" i="16"/>
  <c r="C1041" i="16"/>
  <c r="A1043" i="16" l="1"/>
  <c r="C1042" i="16"/>
  <c r="D1042" i="16"/>
  <c r="B1042" i="16"/>
  <c r="B1043" i="16" l="1"/>
  <c r="C1043" i="16"/>
  <c r="D1043" i="16"/>
  <c r="A1044" i="16"/>
  <c r="C1044" i="16" l="1"/>
  <c r="A1045" i="16"/>
  <c r="D1044" i="16"/>
  <c r="B1044" i="16"/>
  <c r="A1046" i="16" l="1"/>
  <c r="C1045" i="16"/>
  <c r="D1045" i="16"/>
  <c r="B1045" i="16"/>
  <c r="D1046" i="16" l="1"/>
  <c r="B1046" i="16"/>
  <c r="A1047" i="16"/>
  <c r="C1046" i="16"/>
  <c r="C1047" i="16" l="1"/>
  <c r="D1047" i="16"/>
  <c r="B1047" i="16"/>
  <c r="A1048" i="16"/>
  <c r="A1049" i="16" l="1"/>
  <c r="C1048" i="16"/>
  <c r="B1048" i="16"/>
  <c r="D1048" i="16"/>
  <c r="A1050" i="16" l="1"/>
  <c r="D1049" i="16"/>
  <c r="B1049" i="16"/>
  <c r="C1049" i="16"/>
  <c r="A1051" i="16" l="1"/>
  <c r="D1050" i="16"/>
  <c r="B1050" i="16"/>
  <c r="C1050" i="16"/>
  <c r="B1051" i="16" l="1"/>
  <c r="D1051" i="16"/>
  <c r="A1052" i="16"/>
  <c r="C1051" i="16"/>
  <c r="A1053" i="16" l="1"/>
  <c r="C1052" i="16"/>
  <c r="B1052" i="16"/>
  <c r="D1052" i="16"/>
  <c r="C1053" i="16" l="1"/>
  <c r="B1053" i="16"/>
  <c r="D1053" i="16"/>
  <c r="A1054" i="16"/>
  <c r="B1054" i="16" l="1"/>
  <c r="D1054" i="16"/>
  <c r="A1055" i="16"/>
  <c r="C1054" i="16"/>
  <c r="A1056" i="16" l="1"/>
  <c r="D1055" i="16"/>
  <c r="C1055" i="16"/>
  <c r="B1055" i="16"/>
  <c r="D1056" i="16" l="1"/>
  <c r="C1056" i="16"/>
  <c r="B1056" i="16"/>
  <c r="A1057" i="16"/>
  <c r="D1057" i="16" l="1"/>
  <c r="B1057" i="16"/>
  <c r="C1057" i="16"/>
  <c r="A1058" i="16"/>
  <c r="D1058" i="16" l="1"/>
  <c r="B1058" i="16"/>
  <c r="C1058" i="16"/>
  <c r="A1059" i="16"/>
  <c r="A1060" i="16" l="1"/>
  <c r="D1059" i="16"/>
  <c r="C1059" i="16"/>
  <c r="B1059" i="16"/>
  <c r="A1061" i="16" l="1"/>
  <c r="C1060" i="16"/>
  <c r="B1060" i="16"/>
  <c r="D1060" i="16"/>
  <c r="A1062" i="16" l="1"/>
  <c r="D1061" i="16"/>
  <c r="C1061" i="16"/>
  <c r="B1061" i="16"/>
  <c r="A1063" i="16" l="1"/>
  <c r="D1062" i="16"/>
  <c r="B1062" i="16"/>
  <c r="C1062" i="16"/>
  <c r="C1063" i="16" l="1"/>
  <c r="B1063" i="16"/>
  <c r="D1063" i="16"/>
  <c r="A1064" i="16"/>
  <c r="B1064" i="16" l="1"/>
  <c r="D1064" i="16"/>
  <c r="A1065" i="16"/>
  <c r="C1064" i="16"/>
  <c r="D1065" i="16" l="1"/>
  <c r="C1065" i="16"/>
  <c r="A1066" i="16"/>
  <c r="B1065" i="16"/>
  <c r="C1066" i="16" l="1"/>
  <c r="A1067" i="16"/>
  <c r="B1066" i="16"/>
  <c r="D1066" i="16"/>
  <c r="A1068" i="16" l="1"/>
  <c r="D1067" i="16"/>
  <c r="C1067" i="16"/>
  <c r="B1067" i="16"/>
  <c r="B1068" i="16" l="1"/>
  <c r="C1068" i="16"/>
  <c r="D1068" i="16"/>
  <c r="A1069" i="16"/>
  <c r="C1069" i="16" l="1"/>
  <c r="A1070" i="16"/>
  <c r="D1069" i="16"/>
  <c r="B1069" i="16"/>
  <c r="D1070" i="16" l="1"/>
  <c r="B1070" i="16"/>
  <c r="C1070" i="16"/>
  <c r="A1071" i="16"/>
  <c r="A1072" i="16" l="1"/>
  <c r="D1071" i="16"/>
  <c r="C1071" i="16"/>
  <c r="B1071" i="16"/>
  <c r="D1072" i="16" l="1"/>
  <c r="B1072" i="16"/>
  <c r="C1072" i="16"/>
  <c r="A1073" i="16"/>
  <c r="C1073" i="16" l="1"/>
  <c r="D1073" i="16"/>
  <c r="B1073" i="16"/>
  <c r="A1074" i="16"/>
  <c r="A1075" i="16" l="1"/>
  <c r="B1074" i="16"/>
  <c r="C1074" i="16"/>
  <c r="D1074" i="16"/>
  <c r="C1075" i="16" l="1"/>
  <c r="B1075" i="16"/>
  <c r="A1076" i="16"/>
  <c r="D1075" i="16"/>
  <c r="B1076" i="16" l="1"/>
  <c r="C1076" i="16"/>
  <c r="D1076" i="16"/>
  <c r="A1077" i="16"/>
  <c r="C1077" i="16" l="1"/>
  <c r="D1077" i="16"/>
  <c r="B1077" i="16"/>
  <c r="A1078" i="16"/>
  <c r="D1078" i="16" l="1"/>
  <c r="A1079" i="16"/>
  <c r="B1078" i="16"/>
  <c r="C1078" i="16"/>
  <c r="B1079" i="16" l="1"/>
  <c r="D1079" i="16"/>
  <c r="C1079" i="16"/>
  <c r="A1080" i="16"/>
  <c r="B1080" i="16" l="1"/>
  <c r="A1081" i="16"/>
  <c r="C1080" i="16"/>
  <c r="D1080" i="16"/>
  <c r="D1081" i="16" l="1"/>
  <c r="B1081" i="16"/>
  <c r="A1082" i="16"/>
  <c r="C1081" i="16"/>
  <c r="C1082" i="16" l="1"/>
  <c r="B1082" i="16"/>
  <c r="D1082" i="16"/>
  <c r="A1083" i="16"/>
  <c r="A1084" i="16" l="1"/>
  <c r="C1083" i="16"/>
  <c r="B1083" i="16"/>
  <c r="D1083" i="16"/>
  <c r="A1085" i="16" l="1"/>
  <c r="D1084" i="16"/>
  <c r="C1084" i="16"/>
  <c r="B1084" i="16"/>
  <c r="A1086" i="16" l="1"/>
  <c r="C1085" i="16"/>
  <c r="B1085" i="16"/>
  <c r="D1085" i="16"/>
  <c r="A1087" i="16" l="1"/>
  <c r="D1086" i="16"/>
  <c r="C1086" i="16"/>
  <c r="B1086" i="16"/>
  <c r="C1087" i="16" l="1"/>
  <c r="B1087" i="16"/>
  <c r="D1087" i="16"/>
  <c r="A1088" i="16"/>
  <c r="A1089" i="16" l="1"/>
  <c r="D1088" i="16"/>
  <c r="C1088" i="16"/>
  <c r="B1088" i="16"/>
  <c r="D1089" i="16" l="1"/>
  <c r="C1089" i="16"/>
  <c r="A1090" i="16"/>
  <c r="B1089" i="16"/>
  <c r="B1090" i="16" l="1"/>
  <c r="C1090" i="16"/>
  <c r="A1091" i="16"/>
  <c r="D1090" i="16"/>
  <c r="A1092" i="16" l="1"/>
  <c r="C1091" i="16"/>
  <c r="B1091" i="16"/>
  <c r="D1091" i="16"/>
  <c r="D1092" i="16" l="1"/>
  <c r="A1093" i="16"/>
  <c r="B1092" i="16"/>
  <c r="C1092" i="16"/>
  <c r="C1093" i="16" l="1"/>
  <c r="B1093" i="16"/>
  <c r="D1093" i="16"/>
  <c r="A1094" i="16"/>
  <c r="D1094" i="16" l="1"/>
  <c r="C1094" i="16"/>
  <c r="A1095" i="16"/>
  <c r="B1094" i="16"/>
  <c r="A1096" i="16" l="1"/>
  <c r="C1095" i="16"/>
  <c r="B1095" i="16"/>
  <c r="D1095" i="16"/>
  <c r="A1097" i="16" l="1"/>
  <c r="D1096" i="16"/>
  <c r="C1096" i="16"/>
  <c r="B1096" i="16"/>
  <c r="D1097" i="16" l="1"/>
  <c r="C1097" i="16"/>
  <c r="B1097" i="16"/>
  <c r="A1098" i="16"/>
  <c r="A1099" i="16" l="1"/>
  <c r="D1098" i="16"/>
  <c r="C1098" i="16"/>
  <c r="B1098" i="16"/>
  <c r="C1099" i="16" l="1"/>
  <c r="B1099" i="16"/>
  <c r="A1100" i="16"/>
  <c r="D1099" i="16"/>
  <c r="B1100" i="16" l="1"/>
  <c r="A1101" i="16"/>
  <c r="D1100" i="16"/>
  <c r="C1100" i="16"/>
  <c r="D1101" i="16" l="1"/>
  <c r="C1101" i="16"/>
  <c r="A1102" i="16"/>
  <c r="B1101" i="16"/>
  <c r="B1102" i="16" l="1"/>
  <c r="A1103" i="16"/>
  <c r="D1102" i="16"/>
  <c r="C1102" i="16"/>
  <c r="A1104" i="16" l="1"/>
  <c r="C1103" i="16"/>
  <c r="B1103" i="16"/>
  <c r="D1103" i="16"/>
  <c r="B1104" i="16" l="1"/>
  <c r="A1105" i="16"/>
  <c r="D1104" i="16"/>
  <c r="C1104" i="16"/>
  <c r="A1106" i="16" l="1"/>
  <c r="D1105" i="16"/>
  <c r="C1105" i="16"/>
  <c r="B1105" i="16"/>
  <c r="D1106" i="16" l="1"/>
  <c r="C1106" i="16"/>
  <c r="B1106" i="16"/>
  <c r="A1107" i="16"/>
  <c r="A1108" i="16" l="1"/>
  <c r="D1107" i="16"/>
  <c r="C1107" i="16"/>
  <c r="B1107" i="16"/>
  <c r="A1109" i="16" l="1"/>
  <c r="D1108" i="16"/>
  <c r="C1108" i="16"/>
  <c r="B1108" i="16"/>
  <c r="A1110" i="16" l="1"/>
  <c r="D1109" i="16"/>
  <c r="C1109" i="16"/>
  <c r="B1109" i="16"/>
  <c r="A1111" i="16" l="1"/>
  <c r="D1110" i="16"/>
  <c r="B1110" i="16"/>
  <c r="C1110" i="16"/>
  <c r="C1111" i="16" l="1"/>
  <c r="B1111" i="16"/>
  <c r="A1112" i="16"/>
  <c r="D1111" i="16"/>
  <c r="A1113" i="16" l="1"/>
  <c r="D1112" i="16"/>
  <c r="C1112" i="16"/>
  <c r="B1112" i="16"/>
  <c r="D1113" i="16" l="1"/>
  <c r="C1113" i="16"/>
  <c r="A1114" i="16"/>
  <c r="B1113" i="16"/>
  <c r="B1114" i="16" l="1"/>
  <c r="A1115" i="16"/>
  <c r="D1114" i="16"/>
  <c r="C1114" i="16"/>
  <c r="A1116" i="16" l="1"/>
  <c r="D1115" i="16"/>
  <c r="C1115" i="16"/>
  <c r="B1115" i="16"/>
  <c r="B1116" i="16" l="1"/>
  <c r="A1117" i="16"/>
  <c r="D1116" i="16"/>
  <c r="C1116" i="16"/>
  <c r="A1118" i="16" l="1"/>
  <c r="D1117" i="16"/>
  <c r="C1117" i="16"/>
  <c r="B1117" i="16"/>
  <c r="D1118" i="16" l="1"/>
  <c r="C1118" i="16"/>
  <c r="B1118" i="16"/>
  <c r="A1119" i="16"/>
  <c r="A1120" i="16" l="1"/>
  <c r="D1119" i="16"/>
  <c r="C1119" i="16"/>
  <c r="B1119" i="16"/>
  <c r="A1121" i="16" l="1"/>
  <c r="D1120" i="16"/>
  <c r="B1120" i="16"/>
  <c r="C1120" i="16"/>
  <c r="A1122" i="16" l="1"/>
  <c r="D1121" i="16"/>
  <c r="C1121" i="16"/>
  <c r="B1121" i="16"/>
  <c r="A1123" i="16" l="1"/>
  <c r="D1122" i="16"/>
  <c r="C1122" i="16"/>
  <c r="B1122" i="16"/>
  <c r="C1123" i="16" l="1"/>
  <c r="B1123" i="16"/>
  <c r="D1123" i="16"/>
  <c r="A1124" i="16"/>
  <c r="A1125" i="16" l="1"/>
  <c r="D1124" i="16"/>
  <c r="C1124" i="16"/>
  <c r="B1124" i="16"/>
  <c r="D1125" i="16" l="1"/>
  <c r="C1125" i="16"/>
  <c r="A1126" i="16"/>
  <c r="B1125" i="16"/>
  <c r="B1126" i="16" l="1"/>
  <c r="A1127" i="16"/>
  <c r="D1126" i="16"/>
  <c r="C1126" i="16"/>
  <c r="A1128" i="16" l="1"/>
  <c r="D1127" i="16"/>
  <c r="C1127" i="16"/>
  <c r="B1127" i="16"/>
  <c r="B1128" i="16" l="1"/>
  <c r="A1129" i="16"/>
  <c r="D1128" i="16"/>
  <c r="C1128" i="16"/>
  <c r="A1130" i="16" l="1"/>
  <c r="D1129" i="16"/>
  <c r="C1129" i="16"/>
  <c r="B1129" i="16"/>
  <c r="D1130" i="16" l="1"/>
  <c r="C1130" i="16"/>
  <c r="B1130" i="16"/>
  <c r="A1131" i="16"/>
  <c r="A1132" i="16" l="1"/>
  <c r="D1131" i="16"/>
  <c r="C1131" i="16"/>
  <c r="B1131" i="16"/>
  <c r="A1133" i="16" l="1"/>
  <c r="D1132" i="16"/>
  <c r="C1132" i="16"/>
  <c r="B1132" i="16"/>
  <c r="D1133" i="16" l="1"/>
  <c r="C1133" i="16"/>
  <c r="B1133" i="16"/>
  <c r="A1134" i="16"/>
  <c r="A1135" i="16" l="1"/>
  <c r="D1134" i="16"/>
  <c r="C1134" i="16"/>
  <c r="B1134" i="16"/>
  <c r="C1135" i="16" l="1"/>
  <c r="B1135" i="16"/>
  <c r="A1136" i="16"/>
  <c r="D1135" i="16"/>
  <c r="D1136" i="16" l="1"/>
  <c r="C1136" i="16"/>
  <c r="A1137" i="16"/>
  <c r="B1136" i="16"/>
  <c r="D1137" i="16" l="1"/>
  <c r="C1137" i="16"/>
  <c r="A1138" i="16"/>
  <c r="B1137" i="16"/>
  <c r="B1138" i="16" l="1"/>
  <c r="A1139" i="16"/>
  <c r="D1138" i="16"/>
  <c r="C1138" i="16"/>
  <c r="D1139" i="16" l="1"/>
  <c r="C1139" i="16"/>
  <c r="A1140" i="16"/>
  <c r="B1139" i="16"/>
  <c r="B1140" i="16" l="1"/>
  <c r="A1141" i="16"/>
  <c r="C1140" i="16"/>
  <c r="D1140" i="16"/>
  <c r="A1142" i="16" l="1"/>
  <c r="D1141" i="16"/>
  <c r="C1141" i="16"/>
  <c r="B1141" i="16"/>
  <c r="D1142" i="16" l="1"/>
  <c r="C1142" i="16"/>
  <c r="B1142" i="16"/>
  <c r="A1143" i="16"/>
  <c r="A1144" i="16" l="1"/>
  <c r="D1143" i="16"/>
  <c r="C1143" i="16"/>
  <c r="B1143" i="16"/>
  <c r="A1145" i="16" l="1"/>
  <c r="D1144" i="16"/>
  <c r="C1144" i="16"/>
  <c r="B1144" i="16"/>
  <c r="A1146" i="16" l="1"/>
  <c r="D1145" i="16"/>
  <c r="C1145" i="16"/>
  <c r="B1145" i="16"/>
  <c r="A1147" i="16" l="1"/>
  <c r="C1146" i="16"/>
  <c r="D1146" i="16"/>
  <c r="B1146" i="16"/>
  <c r="C1147" i="16" l="1"/>
  <c r="B1147" i="16"/>
  <c r="D1147" i="16"/>
  <c r="A1148" i="16"/>
  <c r="C1148" i="16" l="1"/>
  <c r="B1148" i="16"/>
  <c r="A1149" i="16"/>
  <c r="D1148" i="16"/>
  <c r="D1149" i="16" l="1"/>
  <c r="C1149" i="16"/>
  <c r="A1150" i="16"/>
  <c r="B1149" i="16"/>
  <c r="B1150" i="16" l="1"/>
  <c r="D1150" i="16"/>
  <c r="C1150" i="16"/>
  <c r="A1151" i="16"/>
  <c r="A1152" i="16" l="1"/>
  <c r="D1151" i="16"/>
  <c r="C1151" i="16"/>
  <c r="B1151" i="16"/>
  <c r="B1152" i="16" l="1"/>
  <c r="A1153" i="16"/>
  <c r="C1152" i="16"/>
  <c r="D1152" i="16"/>
  <c r="D1153" i="16" l="1"/>
  <c r="C1153" i="16"/>
  <c r="B1153" i="16"/>
  <c r="A1154" i="16"/>
  <c r="D1154" i="16" l="1"/>
  <c r="C1154" i="16"/>
  <c r="B1154" i="16"/>
  <c r="A1155" i="16"/>
  <c r="A1156" i="16" l="1"/>
  <c r="D1155" i="16"/>
  <c r="C1155" i="16"/>
  <c r="B1155" i="16"/>
  <c r="A1157" i="16" l="1"/>
  <c r="D1156" i="16"/>
  <c r="C1156" i="16"/>
  <c r="B1156" i="16"/>
  <c r="B1157" i="16" l="1"/>
  <c r="A1158" i="16"/>
  <c r="D1157" i="16"/>
  <c r="C1157" i="16"/>
  <c r="A1159" i="16" l="1"/>
  <c r="D1158" i="16"/>
  <c r="C1158" i="16"/>
  <c r="B1158" i="16"/>
  <c r="C1159" i="16" l="1"/>
  <c r="B1159" i="16"/>
  <c r="A1160" i="16"/>
  <c r="D1159" i="16"/>
  <c r="C1160" i="16" l="1"/>
  <c r="B1160" i="16"/>
  <c r="A1161" i="16"/>
  <c r="D1160" i="16"/>
  <c r="D1161" i="16" l="1"/>
  <c r="C1161" i="16"/>
  <c r="A1162" i="16"/>
  <c r="B1161" i="16"/>
  <c r="B1162" i="16" l="1"/>
  <c r="A1163" i="16"/>
  <c r="D1162" i="16"/>
  <c r="C1162" i="16"/>
  <c r="A1164" i="16" l="1"/>
  <c r="D1163" i="16"/>
  <c r="C1163" i="16"/>
  <c r="B1163" i="16"/>
  <c r="B1164" i="16" l="1"/>
  <c r="A1165" i="16"/>
  <c r="D1164" i="16"/>
  <c r="C1164" i="16"/>
  <c r="C1165" i="16" l="1"/>
  <c r="B1165" i="16"/>
  <c r="A1166" i="16"/>
  <c r="D1165" i="16"/>
  <c r="D1166" i="16" l="1"/>
  <c r="C1166" i="16"/>
  <c r="B1166" i="16"/>
  <c r="A1167" i="16"/>
  <c r="A1168" i="16" l="1"/>
  <c r="B1167" i="16"/>
  <c r="D1167" i="16"/>
  <c r="C1167" i="16"/>
  <c r="A1169" i="16" l="1"/>
  <c r="D1168" i="16"/>
  <c r="C1168" i="16"/>
  <c r="B1168" i="16"/>
  <c r="A1170" i="16" l="1"/>
  <c r="C1169" i="16"/>
  <c r="B1169" i="16"/>
  <c r="D1169" i="16"/>
  <c r="A1171" i="16" l="1"/>
  <c r="D1170" i="16"/>
  <c r="B1170" i="16"/>
  <c r="C1170" i="16"/>
  <c r="C1171" i="16" l="1"/>
  <c r="B1171" i="16"/>
  <c r="A1172" i="16"/>
  <c r="D1171" i="16"/>
  <c r="A1173" i="16" l="1"/>
  <c r="D1172" i="16"/>
  <c r="C1172" i="16"/>
  <c r="B1172" i="16"/>
  <c r="D1173" i="16" l="1"/>
  <c r="C1173" i="16"/>
  <c r="A1174" i="16"/>
  <c r="B1173" i="16"/>
  <c r="B1174" i="16" l="1"/>
  <c r="A1175" i="16"/>
  <c r="D1174" i="16"/>
  <c r="C1174" i="16"/>
  <c r="A1176" i="16" l="1"/>
  <c r="D1175" i="16"/>
  <c r="C1175" i="16"/>
  <c r="B1175" i="16"/>
  <c r="B1176" i="16" l="1"/>
  <c r="A1177" i="16"/>
  <c r="D1176" i="16"/>
  <c r="C1176" i="16"/>
  <c r="B1177" i="16" l="1"/>
  <c r="D1177" i="16"/>
  <c r="C1177" i="16"/>
  <c r="A1178" i="16"/>
  <c r="D1178" i="16" l="1"/>
  <c r="C1178" i="16"/>
  <c r="B1178" i="16"/>
  <c r="A1179" i="16"/>
  <c r="A1180" i="16" l="1"/>
  <c r="D1179" i="16"/>
  <c r="C1179" i="16"/>
  <c r="B1179" i="16"/>
  <c r="A1181" i="16" l="1"/>
  <c r="D1180" i="16"/>
  <c r="C1180" i="16"/>
  <c r="B1180" i="16"/>
  <c r="D1181" i="16" l="1"/>
  <c r="C1181" i="16"/>
  <c r="B1181" i="16"/>
  <c r="A1182" i="16"/>
  <c r="A1183" i="16" l="1"/>
  <c r="D1182" i="16"/>
  <c r="C1182" i="16"/>
  <c r="B1182" i="16"/>
  <c r="C1183" i="16" l="1"/>
  <c r="B1183" i="16"/>
  <c r="A1184" i="16"/>
  <c r="D1183" i="16"/>
  <c r="A1185" i="16" l="1"/>
  <c r="D1184" i="16"/>
  <c r="C1184" i="16"/>
  <c r="B1184" i="16"/>
  <c r="D1185" i="16" l="1"/>
  <c r="C1185" i="16"/>
  <c r="A1186" i="16"/>
  <c r="B1185" i="16"/>
  <c r="B1186" i="16" l="1"/>
  <c r="A1187" i="16"/>
  <c r="D1186" i="16"/>
  <c r="C1186" i="16"/>
  <c r="A1188" i="16" l="1"/>
  <c r="B1187" i="16"/>
  <c r="D1187" i="16"/>
  <c r="C1187" i="16"/>
  <c r="B1188" i="16" l="1"/>
  <c r="A1189" i="16"/>
  <c r="D1188" i="16"/>
  <c r="C1188" i="16"/>
  <c r="A1190" i="16" l="1"/>
  <c r="C1189" i="16"/>
  <c r="B1189" i="16"/>
  <c r="D1189" i="16"/>
  <c r="D1190" i="16" l="1"/>
  <c r="C1190" i="16"/>
  <c r="B1190" i="16"/>
  <c r="A1191" i="16"/>
  <c r="A1192" i="16" l="1"/>
  <c r="D1191" i="16"/>
  <c r="C1191" i="16"/>
  <c r="B1191" i="16"/>
  <c r="A1193" i="16" l="1"/>
  <c r="D1192" i="16"/>
  <c r="C1192" i="16"/>
  <c r="B1192" i="16"/>
  <c r="D1193" i="16" l="1"/>
  <c r="C1193" i="16"/>
  <c r="B1193" i="16"/>
  <c r="A1194" i="16"/>
  <c r="A1195" i="16" l="1"/>
  <c r="D1194" i="16"/>
  <c r="C1194" i="16"/>
  <c r="B1194" i="16"/>
  <c r="C1195" i="16" l="1"/>
  <c r="B1195" i="16"/>
  <c r="A1196" i="16"/>
  <c r="D1195" i="16"/>
  <c r="D1196" i="16" l="1"/>
  <c r="B1196" i="16"/>
  <c r="A1197" i="16"/>
  <c r="C1196" i="16"/>
  <c r="C1197" i="16" l="1"/>
  <c r="A1198" i="16"/>
  <c r="B1197" i="16"/>
  <c r="D1197" i="16"/>
  <c r="B1198" i="16" l="1"/>
  <c r="D1198" i="16"/>
  <c r="C1198" i="16"/>
  <c r="A1199" i="16"/>
  <c r="A1200" i="16" l="1"/>
  <c r="C1199" i="16"/>
  <c r="B1199" i="16"/>
  <c r="D1199" i="16"/>
  <c r="B1200" i="16" l="1"/>
  <c r="A1201" i="16"/>
  <c r="D1200" i="16"/>
  <c r="C1200" i="16"/>
  <c r="B1201" i="16" l="1"/>
  <c r="A1202" i="16"/>
  <c r="C1201" i="16"/>
  <c r="D1201" i="16"/>
  <c r="D1202" i="16" l="1"/>
  <c r="B1202" i="16"/>
  <c r="A1203" i="16"/>
  <c r="C1202" i="16"/>
  <c r="A1204" i="16" l="1"/>
  <c r="C1203" i="16"/>
  <c r="B1203" i="16"/>
  <c r="D1203" i="16"/>
  <c r="A1205" i="16" l="1"/>
  <c r="C1204" i="16"/>
  <c r="B1204" i="16"/>
  <c r="D1204" i="16"/>
  <c r="C1205" i="16" l="1"/>
  <c r="B1205" i="16"/>
  <c r="D1205" i="16"/>
  <c r="A1206" i="16"/>
  <c r="C1206" i="16" l="1"/>
  <c r="A1207" i="16"/>
  <c r="D1206" i="16"/>
  <c r="B1206" i="16"/>
  <c r="C1207" i="16" l="1"/>
  <c r="B1207" i="16"/>
  <c r="D1207" i="16"/>
  <c r="A1208" i="16"/>
  <c r="B1208" i="16" l="1"/>
  <c r="D1208" i="16"/>
  <c r="C1208" i="16"/>
  <c r="A1209" i="16"/>
  <c r="A1210" i="16" l="1"/>
  <c r="D1209" i="16"/>
  <c r="B1209" i="16"/>
  <c r="C1209" i="16"/>
  <c r="A1211" i="16" l="1"/>
  <c r="D1210" i="16"/>
  <c r="C1210" i="16"/>
  <c r="B1210" i="16"/>
  <c r="B1211" i="16" l="1"/>
  <c r="C1211" i="16"/>
  <c r="A1212" i="16"/>
  <c r="D1211" i="16"/>
  <c r="D1212" i="16" l="1"/>
  <c r="C1212" i="16"/>
  <c r="A1213" i="16"/>
  <c r="B1212" i="16"/>
  <c r="B1213" i="16" l="1"/>
  <c r="C1213" i="16"/>
  <c r="D1213" i="16"/>
  <c r="A1214" i="16"/>
  <c r="A1215" i="16" l="1"/>
  <c r="D1214" i="16"/>
  <c r="C1214" i="16"/>
  <c r="B1214" i="16"/>
  <c r="A1216" i="16" l="1"/>
  <c r="C1215" i="16"/>
  <c r="D1215" i="16"/>
  <c r="B1215" i="16"/>
  <c r="A1217" i="16" l="1"/>
  <c r="D1216" i="16"/>
  <c r="C1216" i="16"/>
  <c r="B1216" i="16"/>
  <c r="C1217" i="16" l="1"/>
  <c r="A1218" i="16"/>
  <c r="D1217" i="16"/>
  <c r="B1217" i="16"/>
  <c r="A1219" i="16" l="1"/>
  <c r="D1218" i="16"/>
  <c r="C1218" i="16"/>
  <c r="B1218" i="16"/>
  <c r="A1220" i="16" l="1"/>
  <c r="D1219" i="16"/>
  <c r="B1219" i="16"/>
  <c r="C1219" i="16"/>
  <c r="A1221" i="16" l="1"/>
  <c r="B1220" i="16"/>
  <c r="C1220" i="16"/>
  <c r="D1220" i="16"/>
  <c r="A1222" i="16" l="1"/>
  <c r="B1221" i="16"/>
  <c r="C1221" i="16"/>
  <c r="D1221" i="16"/>
  <c r="B1222" i="16" l="1"/>
  <c r="A1223" i="16"/>
  <c r="D1222" i="16"/>
  <c r="C1222" i="16"/>
  <c r="C1223" i="16" l="1"/>
  <c r="B1223" i="16"/>
  <c r="A1224" i="16"/>
  <c r="D1223" i="16"/>
  <c r="D1224" i="16" l="1"/>
  <c r="A1225" i="16"/>
  <c r="B1224" i="16"/>
  <c r="C1224" i="16"/>
  <c r="B1225" i="16" l="1"/>
  <c r="A1226" i="16"/>
  <c r="D1225" i="16"/>
  <c r="C1225" i="16"/>
  <c r="A1227" i="16" l="1"/>
  <c r="C1226" i="16"/>
  <c r="B1226" i="16"/>
  <c r="D1226" i="16"/>
  <c r="B1227" i="16" l="1"/>
  <c r="D1227" i="16"/>
  <c r="C1227" i="16"/>
  <c r="A1228" i="16"/>
  <c r="D1228" i="16" l="1"/>
  <c r="A1229" i="16"/>
  <c r="B1228" i="16"/>
  <c r="C1228" i="16"/>
  <c r="D1229" i="16" l="1"/>
  <c r="C1229" i="16"/>
  <c r="B1229" i="16"/>
  <c r="A1230" i="16"/>
  <c r="A1231" i="16" l="1"/>
  <c r="C1230" i="16"/>
  <c r="B1230" i="16"/>
  <c r="D1230" i="16"/>
  <c r="A1232" i="16" l="1"/>
  <c r="D1231" i="16"/>
  <c r="C1231" i="16"/>
  <c r="B1231" i="16"/>
  <c r="B1232" i="16" l="1"/>
  <c r="D1232" i="16"/>
  <c r="C1232" i="16"/>
  <c r="A1233" i="16"/>
  <c r="D1233" i="16" l="1"/>
  <c r="C1233" i="16"/>
  <c r="A1234" i="16"/>
  <c r="B1233" i="16"/>
  <c r="C1234" i="16" l="1"/>
  <c r="A1235" i="16"/>
  <c r="B1234" i="16"/>
  <c r="D1234" i="16"/>
  <c r="A1236" i="16" l="1"/>
  <c r="B1235" i="16"/>
  <c r="D1235" i="16"/>
  <c r="C1235" i="16"/>
  <c r="C1236" i="16" l="1"/>
  <c r="D1236" i="16"/>
  <c r="B1236" i="16"/>
  <c r="A1237" i="16"/>
  <c r="B1237" i="16" l="1"/>
  <c r="C1237" i="16"/>
  <c r="A1238" i="16"/>
  <c r="D1237" i="16"/>
  <c r="A1239" i="16" l="1"/>
  <c r="D1238" i="16"/>
  <c r="C1238" i="16"/>
  <c r="B1238" i="16"/>
  <c r="B1239" i="16" l="1"/>
  <c r="A1240" i="16"/>
  <c r="D1239" i="16"/>
  <c r="C1239" i="16"/>
  <c r="D1240" i="16" l="1"/>
  <c r="C1240" i="16"/>
  <c r="B1240" i="16"/>
  <c r="A1241" i="16"/>
  <c r="D1241" i="16" l="1"/>
  <c r="C1241" i="16"/>
  <c r="B1241" i="16"/>
  <c r="A1242" i="16"/>
  <c r="A1243" i="16" l="1"/>
  <c r="D1242" i="16"/>
  <c r="C1242" i="16"/>
  <c r="B1242" i="16"/>
  <c r="A1244" i="16" l="1"/>
  <c r="D1243" i="16"/>
  <c r="C1243" i="16"/>
  <c r="B1243" i="16"/>
  <c r="B1244" i="16" l="1"/>
  <c r="A1245" i="16"/>
  <c r="D1244" i="16"/>
  <c r="C1244" i="16"/>
  <c r="A1246" i="16" l="1"/>
  <c r="D1245" i="16"/>
  <c r="C1245" i="16"/>
  <c r="B1245" i="16"/>
  <c r="C1246" i="16" l="1"/>
  <c r="B1246" i="16"/>
  <c r="A1247" i="16"/>
  <c r="D1246" i="16"/>
  <c r="B1247" i="16" l="1"/>
  <c r="D1247" i="16"/>
  <c r="C1247" i="16"/>
  <c r="A1248" i="16"/>
  <c r="D1248" i="16" l="1"/>
  <c r="C1248" i="16"/>
  <c r="A1249" i="16"/>
  <c r="B1248" i="16"/>
  <c r="A1250" i="16" l="1"/>
  <c r="B1249" i="16"/>
  <c r="D1249" i="16"/>
  <c r="C1249" i="16"/>
  <c r="A1251" i="16" l="1"/>
  <c r="D1250" i="16"/>
  <c r="B1250" i="16"/>
  <c r="C1250" i="16"/>
  <c r="B1251" i="16" l="1"/>
  <c r="A1252" i="16"/>
  <c r="D1251" i="16"/>
  <c r="C1251" i="16"/>
  <c r="D1252" i="16" l="1"/>
  <c r="A1253" i="16"/>
  <c r="C1252" i="16"/>
  <c r="B1252" i="16"/>
  <c r="D1253" i="16" l="1"/>
  <c r="C1253" i="16"/>
  <c r="B1253" i="16"/>
  <c r="A1254" i="16"/>
  <c r="A1255" i="16" l="1"/>
  <c r="D1254" i="16"/>
  <c r="C1254" i="16"/>
  <c r="B1254" i="16"/>
  <c r="A1256" i="16" l="1"/>
  <c r="D1255" i="16"/>
  <c r="B1255" i="16"/>
  <c r="C1255" i="16"/>
  <c r="B1256" i="16" l="1"/>
  <c r="A1257" i="16"/>
  <c r="C1256" i="16"/>
  <c r="D1256" i="16"/>
  <c r="A1258" i="16" l="1"/>
  <c r="D1257" i="16"/>
  <c r="C1257" i="16"/>
  <c r="B1257" i="16"/>
  <c r="C1258" i="16" l="1"/>
  <c r="B1258" i="16"/>
  <c r="A1259" i="16"/>
  <c r="D1258" i="16"/>
  <c r="B1259" i="16" l="1"/>
  <c r="D1259" i="16"/>
  <c r="C1259" i="16"/>
  <c r="A1260" i="16"/>
  <c r="D1260" i="16" l="1"/>
  <c r="C1260" i="16"/>
  <c r="B1260" i="16"/>
  <c r="A1261" i="16"/>
  <c r="A1262" i="16" l="1"/>
  <c r="B1261" i="16"/>
  <c r="C1261" i="16"/>
  <c r="D1261" i="16"/>
  <c r="A1263" i="16" l="1"/>
  <c r="D1262" i="16"/>
  <c r="B1262" i="16"/>
  <c r="C1262" i="16"/>
  <c r="B1263" i="16" l="1"/>
  <c r="A1264" i="16"/>
  <c r="D1263" i="16"/>
  <c r="C1263" i="16"/>
  <c r="C1264" i="16" l="1"/>
  <c r="B1264" i="16"/>
  <c r="A1265" i="16"/>
  <c r="D1264" i="16"/>
  <c r="D1265" i="16" l="1"/>
  <c r="C1265" i="16"/>
  <c r="B1265" i="16"/>
  <c r="A1266" i="16"/>
  <c r="A1267" i="16" l="1"/>
  <c r="D1266" i="16"/>
  <c r="C1266" i="16"/>
  <c r="B1266" i="16"/>
  <c r="A1268" i="16" l="1"/>
  <c r="D1267" i="16"/>
  <c r="C1267" i="16"/>
  <c r="B1267" i="16"/>
  <c r="B1268" i="16" l="1"/>
  <c r="D1268" i="16"/>
  <c r="C1268" i="16"/>
  <c r="A1269" i="16"/>
  <c r="A1270" i="16" l="1"/>
  <c r="D1269" i="16"/>
  <c r="C1269" i="16"/>
  <c r="B1269" i="16"/>
  <c r="C1270" i="16" l="1"/>
  <c r="B1270" i="16"/>
  <c r="A1271" i="16"/>
  <c r="D1270" i="16"/>
  <c r="B1271" i="16" l="1"/>
  <c r="C1271" i="16"/>
  <c r="A1272" i="16"/>
  <c r="D1271" i="16"/>
  <c r="D1272" i="16" l="1"/>
  <c r="C1272" i="16"/>
  <c r="A1273" i="16"/>
  <c r="B1272" i="16"/>
  <c r="A1274" i="16" l="1"/>
  <c r="B1273" i="16"/>
  <c r="D1273" i="16"/>
  <c r="C1273" i="16"/>
  <c r="A1275" i="16" l="1"/>
  <c r="D1274" i="16"/>
  <c r="C1274" i="16"/>
  <c r="B1274" i="16"/>
  <c r="B1275" i="16" l="1"/>
  <c r="A1276" i="16"/>
  <c r="D1275" i="16"/>
  <c r="C1275" i="16"/>
  <c r="B1276" i="16" l="1"/>
  <c r="A1277" i="16"/>
  <c r="D1276" i="16"/>
  <c r="C1276" i="16"/>
  <c r="D1277" i="16" l="1"/>
  <c r="C1277" i="16"/>
  <c r="B1277" i="16"/>
  <c r="A1278" i="16"/>
  <c r="A1279" i="16" l="1"/>
  <c r="D1278" i="16"/>
  <c r="C1278" i="16"/>
  <c r="B1278" i="16"/>
  <c r="A1280" i="16" l="1"/>
  <c r="D1279" i="16"/>
  <c r="C1279" i="16"/>
  <c r="B1279" i="16"/>
  <c r="B1280" i="16" l="1"/>
  <c r="D1280" i="16"/>
  <c r="C1280" i="16"/>
  <c r="A1281" i="16"/>
  <c r="A1282" i="16" l="1"/>
  <c r="D1281" i="16"/>
  <c r="C1281" i="16"/>
  <c r="B1281" i="16"/>
  <c r="C1282" i="16" l="1"/>
  <c r="B1282" i="16"/>
  <c r="A1283" i="16"/>
  <c r="D1282" i="16"/>
  <c r="B1283" i="16" l="1"/>
  <c r="A1284" i="16"/>
  <c r="C1283" i="16"/>
  <c r="D1283" i="16"/>
  <c r="D1284" i="16" l="1"/>
  <c r="C1284" i="16"/>
  <c r="A1285" i="16"/>
  <c r="B1284" i="16"/>
  <c r="A1286" i="16" l="1"/>
  <c r="B1285" i="16"/>
  <c r="D1285" i="16"/>
  <c r="C1285" i="16"/>
  <c r="A1287" i="16" l="1"/>
  <c r="D1286" i="16"/>
  <c r="C1286" i="16"/>
  <c r="B1286" i="16"/>
  <c r="B1287" i="16" l="1"/>
  <c r="A1288" i="16"/>
  <c r="D1287" i="16"/>
  <c r="C1287" i="16"/>
  <c r="A1289" i="16" l="1"/>
  <c r="D1288" i="16"/>
  <c r="C1288" i="16"/>
  <c r="B1288" i="16"/>
  <c r="D1289" i="16" l="1"/>
  <c r="C1289" i="16"/>
  <c r="B1289" i="16"/>
  <c r="A1290" i="16"/>
  <c r="A1291" i="16" l="1"/>
  <c r="D1290" i="16"/>
  <c r="C1290" i="16"/>
  <c r="B1290" i="16"/>
  <c r="A1292" i="16" l="1"/>
  <c r="D1291" i="16"/>
  <c r="C1291" i="16"/>
  <c r="B1291" i="16"/>
  <c r="B1292" i="16" l="1"/>
  <c r="A1293" i="16"/>
  <c r="C1292" i="16"/>
  <c r="D1292" i="16"/>
  <c r="A1294" i="16" l="1"/>
  <c r="D1293" i="16"/>
  <c r="C1293" i="16"/>
  <c r="B1293" i="16"/>
  <c r="C1294" i="16" l="1"/>
  <c r="B1294" i="16"/>
  <c r="A1295" i="16"/>
  <c r="D1294" i="16"/>
  <c r="B1295" i="16" l="1"/>
  <c r="A1296" i="16"/>
  <c r="D1295" i="16"/>
  <c r="C1295" i="16"/>
  <c r="D1296" i="16" l="1"/>
  <c r="C1296" i="16"/>
  <c r="A1297" i="16"/>
  <c r="B1296" i="16"/>
  <c r="A1298" i="16" l="1"/>
  <c r="B1297" i="16"/>
  <c r="D1297" i="16"/>
  <c r="C1297" i="16"/>
  <c r="A1299" i="16" l="1"/>
  <c r="D1298" i="16"/>
  <c r="C1298" i="16"/>
  <c r="B1298" i="16"/>
  <c r="B1299" i="16" l="1"/>
  <c r="A1300" i="16"/>
  <c r="D1299" i="16"/>
  <c r="C1299" i="16"/>
  <c r="A1301" i="16" l="1"/>
  <c r="D1300" i="16"/>
  <c r="C1300" i="16"/>
  <c r="B1300" i="16"/>
  <c r="D1301" i="16" l="1"/>
  <c r="C1301" i="16"/>
  <c r="B1301" i="16"/>
  <c r="A1302" i="16"/>
  <c r="D1302" i="16" l="1"/>
  <c r="A1303" i="16"/>
  <c r="C1302" i="16"/>
  <c r="B1302" i="16"/>
  <c r="D1303" i="16" l="1"/>
  <c r="A1304" i="16"/>
  <c r="B1303" i="16"/>
  <c r="C1303" i="16"/>
  <c r="B1304" i="16" l="1"/>
  <c r="C1304" i="16"/>
  <c r="A1305" i="16"/>
  <c r="D1304" i="16"/>
  <c r="A1306" i="16" l="1"/>
  <c r="D1305" i="16"/>
  <c r="C1305" i="16"/>
  <c r="B1305" i="16"/>
  <c r="C1306" i="16" l="1"/>
  <c r="B1306" i="16"/>
  <c r="D1306" i="16"/>
  <c r="A1307" i="16"/>
  <c r="B1307" i="16" l="1"/>
  <c r="A1308" i="16"/>
  <c r="D1307" i="16"/>
  <c r="C1307" i="16"/>
  <c r="D1308" i="16" l="1"/>
  <c r="C1308" i="16"/>
  <c r="A1309" i="16"/>
  <c r="B1308" i="16"/>
  <c r="A1310" i="16" l="1"/>
  <c r="B1309" i="16"/>
  <c r="D1309" i="16"/>
  <c r="C1309" i="16"/>
  <c r="A1311" i="16" l="1"/>
  <c r="D1310" i="16"/>
  <c r="C1310" i="16"/>
  <c r="B1310" i="16"/>
  <c r="B1311" i="16" l="1"/>
  <c r="A1312" i="16"/>
  <c r="D1311" i="16"/>
  <c r="C1311" i="16"/>
  <c r="A1313" i="16" l="1"/>
  <c r="D1312" i="16"/>
  <c r="C1312" i="16"/>
  <c r="B1312" i="16"/>
  <c r="D1313" i="16" l="1"/>
  <c r="C1313" i="16"/>
  <c r="B1313" i="16"/>
  <c r="A1314" i="16"/>
  <c r="A1315" i="16" l="1"/>
  <c r="D1314" i="16"/>
  <c r="C1314" i="16"/>
  <c r="B1314" i="16"/>
  <c r="A1316" i="16" l="1"/>
  <c r="D1315" i="16"/>
  <c r="C1315" i="16"/>
  <c r="B1315" i="16"/>
  <c r="B1316" i="16" l="1"/>
  <c r="A1317" i="16"/>
  <c r="D1316" i="16"/>
  <c r="C1316" i="16"/>
  <c r="A1318" i="16" l="1"/>
  <c r="D1317" i="16"/>
  <c r="C1317" i="16"/>
  <c r="B1317" i="16"/>
  <c r="C1318" i="16" l="1"/>
  <c r="B1318" i="16"/>
  <c r="D1318" i="16"/>
  <c r="A1319" i="16"/>
  <c r="B1319" i="16" l="1"/>
  <c r="D1319" i="16"/>
  <c r="C1319" i="16"/>
  <c r="A1320" i="16"/>
  <c r="D1320" i="16" l="1"/>
  <c r="C1320" i="16"/>
  <c r="A1321" i="16"/>
  <c r="B1320" i="16"/>
  <c r="A1322" i="16" l="1"/>
  <c r="B1321" i="16"/>
  <c r="D1321" i="16"/>
  <c r="C1321" i="16"/>
  <c r="A1323" i="16" l="1"/>
  <c r="D1322" i="16"/>
  <c r="C1322" i="16"/>
  <c r="B1322" i="16"/>
  <c r="B1323" i="16" l="1"/>
  <c r="A1324" i="16"/>
  <c r="D1323" i="16"/>
  <c r="C1323" i="16"/>
  <c r="D1324" i="16" l="1"/>
  <c r="C1324" i="16"/>
  <c r="B1324" i="16"/>
  <c r="A1325" i="16"/>
  <c r="D1325" i="16" l="1"/>
  <c r="C1325" i="16"/>
  <c r="B1325" i="16"/>
  <c r="A1326" i="16"/>
  <c r="A1327" i="16" l="1"/>
  <c r="D1326" i="16"/>
  <c r="C1326" i="16"/>
  <c r="B1326" i="16"/>
  <c r="A1328" i="16" l="1"/>
  <c r="D1327" i="16"/>
  <c r="C1327" i="16"/>
  <c r="B1327" i="16"/>
  <c r="B1328" i="16" l="1"/>
  <c r="A1329" i="16"/>
  <c r="D1328" i="16"/>
  <c r="C1328" i="16"/>
  <c r="A1330" i="16" l="1"/>
  <c r="D1329" i="16"/>
  <c r="C1329" i="16"/>
  <c r="B1329" i="16"/>
  <c r="C1330" i="16" l="1"/>
  <c r="B1330" i="16"/>
  <c r="A1331" i="16"/>
  <c r="D1330" i="16"/>
  <c r="B1331" i="16" l="1"/>
  <c r="D1331" i="16"/>
  <c r="C1331" i="16"/>
  <c r="A1332" i="16"/>
  <c r="D1332" i="16" l="1"/>
  <c r="C1332" i="16"/>
  <c r="A1333" i="16"/>
  <c r="B1332" i="16"/>
  <c r="A1334" i="16" l="1"/>
  <c r="B1333" i="16"/>
  <c r="D1333" i="16"/>
  <c r="C1333" i="16"/>
  <c r="A1335" i="16" l="1"/>
  <c r="D1334" i="16"/>
  <c r="C1334" i="16"/>
  <c r="B1334" i="16"/>
  <c r="B1335" i="16" l="1"/>
  <c r="A1336" i="16"/>
  <c r="D1335" i="16"/>
  <c r="C1335" i="16"/>
  <c r="D1336" i="16" l="1"/>
  <c r="C1336" i="16"/>
  <c r="B1336" i="16"/>
  <c r="A1337" i="16"/>
  <c r="D1337" i="16" l="1"/>
  <c r="C1337" i="16"/>
  <c r="B1337" i="16"/>
  <c r="A1338" i="16"/>
  <c r="A1339" i="16" l="1"/>
  <c r="D1338" i="16"/>
  <c r="C1338" i="16"/>
  <c r="B1338" i="16"/>
  <c r="A1340" i="16" l="1"/>
  <c r="D1339" i="16"/>
  <c r="C1339" i="16"/>
  <c r="B1339" i="16"/>
  <c r="B1340" i="16" l="1"/>
  <c r="A1341" i="16"/>
  <c r="D1340" i="16"/>
  <c r="C1340" i="16"/>
  <c r="A1342" i="16" l="1"/>
  <c r="D1341" i="16"/>
  <c r="C1341" i="16"/>
  <c r="B1341" i="16"/>
  <c r="C1342" i="16" l="1"/>
  <c r="B1342" i="16"/>
  <c r="A1343" i="16"/>
  <c r="D1342" i="16"/>
  <c r="B1343" i="16" l="1"/>
  <c r="A1344" i="16"/>
  <c r="C1343" i="16"/>
  <c r="D1343" i="16"/>
  <c r="D1344" i="16" l="1"/>
  <c r="C1344" i="16"/>
  <c r="A1345" i="16"/>
  <c r="B1344" i="16"/>
  <c r="A1346" i="16" l="1"/>
  <c r="B1345" i="16"/>
  <c r="D1345" i="16"/>
  <c r="C1345" i="16"/>
  <c r="A1347" i="16" l="1"/>
  <c r="D1346" i="16"/>
  <c r="B1346" i="16"/>
  <c r="C1346" i="16"/>
  <c r="B1347" i="16" l="1"/>
  <c r="A1348" i="16"/>
  <c r="D1347" i="16"/>
  <c r="C1347" i="16"/>
  <c r="A1349" i="16" l="1"/>
  <c r="B1348" i="16"/>
  <c r="D1348" i="16"/>
  <c r="C1348" i="16"/>
  <c r="D1349" i="16" l="1"/>
  <c r="C1349" i="16"/>
  <c r="B1349" i="16"/>
  <c r="A1350" i="16"/>
  <c r="A1351" i="16" l="1"/>
  <c r="D1350" i="16"/>
  <c r="C1350" i="16"/>
  <c r="B1350" i="16"/>
  <c r="A1352" i="16" l="1"/>
  <c r="D1351" i="16"/>
  <c r="C1351" i="16"/>
  <c r="B1351" i="16"/>
  <c r="B1352" i="16" l="1"/>
  <c r="D1352" i="16"/>
  <c r="C1352" i="16"/>
  <c r="A1353" i="16"/>
  <c r="A1354" i="16" l="1"/>
  <c r="D1353" i="16"/>
  <c r="C1353" i="16"/>
  <c r="B1353" i="16"/>
  <c r="C1354" i="16" l="1"/>
  <c r="B1354" i="16"/>
  <c r="A1355" i="16"/>
  <c r="D1354" i="16"/>
  <c r="B1355" i="16" l="1"/>
  <c r="C1355" i="16"/>
  <c r="A1356" i="16"/>
  <c r="D1355" i="16"/>
  <c r="D1356" i="16" l="1"/>
  <c r="C1356" i="16"/>
  <c r="A1357" i="16"/>
  <c r="B1356" i="16"/>
  <c r="A1358" i="16" l="1"/>
  <c r="B1357" i="16"/>
  <c r="C1357" i="16"/>
  <c r="D1357" i="16"/>
  <c r="A1359" i="16" l="1"/>
  <c r="D1358" i="16"/>
  <c r="C1358" i="16"/>
  <c r="B1358" i="16"/>
  <c r="B1359" i="16" l="1"/>
  <c r="A1360" i="16"/>
  <c r="D1359" i="16"/>
  <c r="C1359" i="16"/>
  <c r="A1361" i="16" l="1"/>
  <c r="C1360" i="16"/>
  <c r="D1360" i="16"/>
  <c r="B1360" i="16"/>
  <c r="D1361" i="16" l="1"/>
  <c r="B1361" i="16"/>
  <c r="A1362" i="16"/>
  <c r="C1361" i="16"/>
  <c r="D1362" i="16" l="1"/>
  <c r="A1363" i="16"/>
  <c r="B1362" i="16"/>
  <c r="C1362" i="16"/>
  <c r="A1364" i="16" l="1"/>
  <c r="C1363" i="16"/>
  <c r="B1363" i="16"/>
  <c r="D1363" i="16"/>
  <c r="B1364" i="16" l="1"/>
  <c r="A1365" i="16"/>
  <c r="C1364" i="16"/>
  <c r="D1364" i="16"/>
  <c r="A1366" i="16" l="1"/>
  <c r="D1365" i="16"/>
  <c r="C1365" i="16"/>
  <c r="B1365" i="16"/>
  <c r="C1366" i="16" l="1"/>
  <c r="D1366" i="16"/>
  <c r="A1367" i="16"/>
  <c r="B1366" i="16"/>
  <c r="B1367" i="16" l="1"/>
  <c r="A1368" i="16"/>
  <c r="D1367" i="16"/>
  <c r="C1367" i="16"/>
  <c r="C1368" i="16" l="1"/>
  <c r="D1368" i="16"/>
  <c r="A1369" i="16"/>
  <c r="B1368" i="16"/>
  <c r="A1370" i="16" l="1"/>
  <c r="B1369" i="16"/>
  <c r="D1369" i="16"/>
  <c r="C1369" i="16"/>
  <c r="D1370" i="16" l="1"/>
  <c r="A1371" i="16"/>
  <c r="B1370" i="16"/>
  <c r="C1370" i="16"/>
  <c r="B1371" i="16" l="1"/>
  <c r="C1371" i="16"/>
  <c r="D1371" i="16"/>
  <c r="A1372" i="16"/>
  <c r="D1372" i="16" l="1"/>
  <c r="C1372" i="16"/>
  <c r="B1372" i="16"/>
  <c r="A1373" i="16"/>
  <c r="C1373" i="16" l="1"/>
  <c r="A1374" i="16"/>
  <c r="B1373" i="16"/>
  <c r="D1373" i="16"/>
  <c r="A1375" i="16" l="1"/>
  <c r="D1374" i="16"/>
  <c r="C1374" i="16"/>
  <c r="B1374" i="16"/>
  <c r="A1376" i="16" l="1"/>
  <c r="C1375" i="16"/>
  <c r="D1375" i="16"/>
  <c r="B1375" i="16"/>
  <c r="B1376" i="16" l="1"/>
  <c r="D1376" i="16"/>
  <c r="C1376" i="16"/>
  <c r="A1377" i="16"/>
  <c r="A1378" i="16" l="1"/>
  <c r="B1377" i="16"/>
  <c r="D1377" i="16"/>
  <c r="C1377" i="16"/>
  <c r="C1378" i="16" l="1"/>
  <c r="D1378" i="16"/>
  <c r="A1379" i="16"/>
  <c r="B1378" i="16"/>
  <c r="B1379" i="16" l="1"/>
  <c r="C1379" i="16"/>
  <c r="A1380" i="16"/>
  <c r="D1379" i="16"/>
  <c r="A1381" i="16" l="1"/>
  <c r="D1380" i="16"/>
  <c r="B1380" i="16"/>
  <c r="C1380" i="16"/>
  <c r="A1382" i="16" l="1"/>
  <c r="C1381" i="16"/>
  <c r="B1381" i="16"/>
  <c r="D1381" i="16"/>
  <c r="A1383" i="16" l="1"/>
  <c r="D1382" i="16"/>
  <c r="C1382" i="16"/>
  <c r="B1382" i="16"/>
  <c r="A1384" i="16" l="1"/>
  <c r="D1383" i="16"/>
  <c r="C1383" i="16"/>
  <c r="B1383" i="16"/>
  <c r="D1384" i="16" l="1"/>
  <c r="C1384" i="16"/>
  <c r="A1385" i="16"/>
  <c r="B1384" i="16"/>
  <c r="D1385" i="16" l="1"/>
  <c r="C1385" i="16"/>
  <c r="A1386" i="16"/>
  <c r="B1385" i="16"/>
  <c r="A1387" i="16" l="1"/>
  <c r="C1386" i="16"/>
  <c r="B1386" i="16"/>
  <c r="D1386" i="16"/>
  <c r="B1387" i="16" l="1"/>
  <c r="A1388" i="16"/>
  <c r="C1387" i="16"/>
  <c r="D1387" i="16"/>
  <c r="B1388" i="16" l="1"/>
  <c r="A1389" i="16"/>
  <c r="C1388" i="16"/>
  <c r="D1388" i="16"/>
  <c r="D1389" i="16" l="1"/>
  <c r="C1389" i="16"/>
  <c r="A1390" i="16"/>
  <c r="B1389" i="16"/>
  <c r="B1390" i="16" l="1"/>
  <c r="D1390" i="16"/>
  <c r="A1391" i="16"/>
  <c r="C1390" i="16"/>
  <c r="B1391" i="16" l="1"/>
  <c r="A1392" i="16"/>
  <c r="D1391" i="16"/>
  <c r="C1391" i="16"/>
  <c r="A1393" i="16" l="1"/>
  <c r="B1392" i="16"/>
  <c r="D1392" i="16"/>
  <c r="C1392" i="16"/>
  <c r="A1394" i="16" l="1"/>
  <c r="D1393" i="16"/>
  <c r="C1393" i="16"/>
  <c r="B1393" i="16"/>
  <c r="D1394" i="16" l="1"/>
  <c r="C1394" i="16"/>
  <c r="A1395" i="16"/>
  <c r="B1394" i="16"/>
  <c r="A1396" i="16" l="1"/>
  <c r="C1395" i="16"/>
  <c r="D1395" i="16"/>
  <c r="B1395" i="16"/>
  <c r="D1396" i="16" l="1"/>
  <c r="C1396" i="16"/>
  <c r="A1397" i="16"/>
  <c r="B1396" i="16"/>
  <c r="D1397" i="16" l="1"/>
  <c r="A1398" i="16"/>
  <c r="B1397" i="16"/>
  <c r="C1397" i="16"/>
  <c r="D1398" i="16" l="1"/>
  <c r="B1398" i="16"/>
  <c r="C1398" i="16"/>
  <c r="A1399" i="16"/>
  <c r="D1399" i="16" l="1"/>
  <c r="C1399" i="16"/>
  <c r="A1400" i="16"/>
  <c r="B1399" i="16"/>
  <c r="B1400" i="16" l="1"/>
  <c r="D1400" i="16"/>
  <c r="C1400" i="16"/>
  <c r="A1401" i="16"/>
  <c r="C1401" i="16" l="1"/>
  <c r="D1401" i="16"/>
  <c r="A1402" i="16"/>
  <c r="B1401" i="16"/>
  <c r="B1402" i="16" l="1"/>
  <c r="D1402" i="16"/>
  <c r="A1403" i="16"/>
  <c r="C1402" i="16"/>
  <c r="D1403" i="16" l="1"/>
  <c r="A1404" i="16"/>
  <c r="B1403" i="16"/>
  <c r="C1403" i="16"/>
  <c r="D1404" i="16" l="1"/>
  <c r="C1404" i="16"/>
  <c r="B1404" i="16"/>
  <c r="A1405" i="16"/>
  <c r="A1406" i="16" l="1"/>
  <c r="B1405" i="16"/>
  <c r="D1405" i="16"/>
  <c r="C1405" i="16"/>
  <c r="A1407" i="16" l="1"/>
  <c r="D1406" i="16"/>
  <c r="B1406" i="16"/>
  <c r="C1406" i="16"/>
  <c r="B1407" i="16" l="1"/>
  <c r="A1408" i="16"/>
  <c r="D1407" i="16"/>
  <c r="C1407" i="16"/>
  <c r="A1409" i="16" l="1"/>
  <c r="C1408" i="16"/>
  <c r="B1408" i="16"/>
  <c r="D1408" i="16"/>
  <c r="D1409" i="16" l="1"/>
  <c r="C1409" i="16"/>
  <c r="B1409" i="16"/>
  <c r="A1410" i="16"/>
  <c r="A1411" i="16" l="1"/>
  <c r="D1410" i="16"/>
  <c r="C1410" i="16"/>
  <c r="B1410" i="16"/>
  <c r="A1412" i="16" l="1"/>
  <c r="D1411" i="16"/>
  <c r="B1411" i="16"/>
  <c r="C1411" i="16"/>
  <c r="B1412" i="16" l="1"/>
  <c r="D1412" i="16"/>
  <c r="C1412" i="16"/>
  <c r="A1413" i="16"/>
  <c r="A1414" i="16" l="1"/>
  <c r="D1413" i="16"/>
  <c r="C1413" i="16"/>
  <c r="B1413" i="16"/>
  <c r="C1414" i="16" l="1"/>
  <c r="B1414" i="16"/>
  <c r="A1415" i="16"/>
  <c r="D1414" i="16"/>
  <c r="B1415" i="16" l="1"/>
  <c r="D1415" i="16"/>
  <c r="C1415" i="16"/>
  <c r="A1416" i="16"/>
  <c r="D1416" i="16" l="1"/>
  <c r="C1416" i="16"/>
  <c r="A1417" i="16"/>
  <c r="B1416" i="16"/>
  <c r="A1418" i="16" l="1"/>
  <c r="B1417" i="16"/>
  <c r="D1417" i="16"/>
  <c r="C1417" i="16"/>
  <c r="A1419" i="16" l="1"/>
  <c r="D1418" i="16"/>
  <c r="C1418" i="16"/>
  <c r="B1418" i="16"/>
  <c r="B1419" i="16" l="1"/>
  <c r="A1420" i="16"/>
  <c r="D1419" i="16"/>
  <c r="C1419" i="16"/>
  <c r="C1420" i="16" l="1"/>
  <c r="B1420" i="16"/>
  <c r="A1421" i="16"/>
  <c r="D1420" i="16"/>
  <c r="D1421" i="16" l="1"/>
  <c r="C1421" i="16"/>
  <c r="B1421" i="16"/>
  <c r="A1422" i="16"/>
  <c r="A1423" i="16" l="1"/>
  <c r="D1422" i="16"/>
  <c r="C1422" i="16"/>
  <c r="B1422" i="16"/>
  <c r="A1424" i="16" l="1"/>
  <c r="D1423" i="16"/>
  <c r="C1423" i="16"/>
  <c r="B1423" i="16"/>
  <c r="B1424" i="16" l="1"/>
  <c r="C1424" i="16"/>
  <c r="A1425" i="16"/>
  <c r="D1424" i="16"/>
  <c r="A1426" i="16" l="1"/>
  <c r="D1425" i="16"/>
  <c r="C1425" i="16"/>
  <c r="B1425" i="16"/>
  <c r="C1426" i="16" l="1"/>
  <c r="B1426" i="16"/>
  <c r="A1427" i="16"/>
  <c r="D1426" i="16"/>
  <c r="B1427" i="16" l="1"/>
  <c r="D1427" i="16"/>
  <c r="C1427" i="16"/>
  <c r="A1428" i="16"/>
  <c r="D1428" i="16" l="1"/>
  <c r="C1428" i="16"/>
  <c r="A1429" i="16"/>
  <c r="B1428" i="16"/>
  <c r="A1430" i="16" l="1"/>
  <c r="B1429" i="16"/>
  <c r="D1429" i="16"/>
  <c r="C1429" i="16"/>
  <c r="A1431" i="16" l="1"/>
  <c r="D1430" i="16"/>
  <c r="C1430" i="16"/>
  <c r="B1430" i="16"/>
  <c r="B1431" i="16" l="1"/>
  <c r="A1432" i="16"/>
  <c r="D1431" i="16"/>
  <c r="C1431" i="16"/>
  <c r="A1433" i="16" l="1"/>
  <c r="D1432" i="16"/>
  <c r="B1432" i="16"/>
  <c r="C1432" i="16"/>
  <c r="D1433" i="16" l="1"/>
  <c r="C1433" i="16"/>
  <c r="B1433" i="16"/>
  <c r="A1434" i="16"/>
  <c r="A1435" i="16" l="1"/>
  <c r="D1434" i="16"/>
  <c r="C1434" i="16"/>
  <c r="B1434" i="16"/>
  <c r="A1436" i="16" l="1"/>
  <c r="D1435" i="16"/>
  <c r="C1435" i="16"/>
  <c r="B1435" i="16"/>
  <c r="B1436" i="16" l="1"/>
  <c r="A1437" i="16"/>
  <c r="C1436" i="16"/>
  <c r="D1436" i="16"/>
  <c r="A1438" i="16" l="1"/>
  <c r="D1437" i="16"/>
  <c r="C1437" i="16"/>
  <c r="B1437" i="16"/>
  <c r="C1438" i="16" l="1"/>
  <c r="B1438" i="16"/>
  <c r="A1439" i="16"/>
  <c r="D1438" i="16"/>
  <c r="B1439" i="16" l="1"/>
  <c r="A1440" i="16"/>
  <c r="D1439" i="16"/>
  <c r="C1439" i="16"/>
  <c r="D1440" i="16" l="1"/>
  <c r="C1440" i="16"/>
  <c r="A1441" i="16"/>
  <c r="B1440" i="16"/>
  <c r="A1442" i="16" l="1"/>
  <c r="B1441" i="16"/>
  <c r="D1441" i="16"/>
  <c r="C1441" i="16"/>
  <c r="A1443" i="16" l="1"/>
  <c r="D1442" i="16"/>
  <c r="C1442" i="16"/>
  <c r="B1442" i="16"/>
  <c r="B1443" i="16" l="1"/>
  <c r="A1444" i="16"/>
  <c r="D1443" i="16"/>
  <c r="C1443" i="16"/>
  <c r="A1445" i="16" l="1"/>
  <c r="D1444" i="16"/>
  <c r="C1444" i="16"/>
  <c r="B1444" i="16"/>
  <c r="D1445" i="16" l="1"/>
  <c r="C1445" i="16"/>
  <c r="B1445" i="16"/>
  <c r="A1446" i="16"/>
  <c r="A1447" i="16" l="1"/>
  <c r="D1446" i="16"/>
  <c r="C1446" i="16"/>
  <c r="B1446" i="16"/>
  <c r="A1448" i="16" l="1"/>
  <c r="D1447" i="16"/>
  <c r="C1447" i="16"/>
  <c r="B1447" i="16"/>
  <c r="B1448" i="16" l="1"/>
  <c r="C1448" i="16"/>
  <c r="A1449" i="16"/>
  <c r="D1448" i="16"/>
  <c r="A1450" i="16" l="1"/>
  <c r="D1449" i="16"/>
  <c r="C1449" i="16"/>
  <c r="B1449" i="16"/>
  <c r="C1450" i="16" l="1"/>
  <c r="B1450" i="16"/>
  <c r="D1450" i="16"/>
  <c r="A1451" i="16"/>
  <c r="B1451" i="16" l="1"/>
  <c r="A1452" i="16"/>
  <c r="D1451" i="16"/>
  <c r="C1451" i="16"/>
  <c r="D1452" i="16" l="1"/>
  <c r="C1452" i="16"/>
  <c r="A1453" i="16"/>
  <c r="B1452" i="16"/>
  <c r="A1454" i="16" l="1"/>
  <c r="B1453" i="16"/>
  <c r="D1453" i="16"/>
  <c r="C1453" i="16"/>
  <c r="A1455" i="16" l="1"/>
  <c r="D1454" i="16"/>
  <c r="C1454" i="16"/>
  <c r="B1454" i="16"/>
  <c r="B1455" i="16" l="1"/>
  <c r="A1456" i="16"/>
  <c r="D1455" i="16"/>
  <c r="C1455" i="16"/>
  <c r="A1457" i="16" l="1"/>
  <c r="D1456" i="16"/>
  <c r="C1456" i="16"/>
  <c r="B1456" i="16"/>
  <c r="D1457" i="16" l="1"/>
  <c r="C1457" i="16"/>
  <c r="B1457" i="16"/>
  <c r="A1458" i="16"/>
  <c r="A1459" i="16" l="1"/>
  <c r="D1458" i="16"/>
  <c r="C1458" i="16"/>
  <c r="B1458" i="16"/>
  <c r="A1460" i="16" l="1"/>
  <c r="D1459" i="16"/>
  <c r="B1459" i="16"/>
  <c r="C1459" i="16"/>
  <c r="B1460" i="16" l="1"/>
  <c r="A1461" i="16"/>
  <c r="D1460" i="16"/>
  <c r="C1460" i="16"/>
  <c r="A1462" i="16" l="1"/>
  <c r="D1461" i="16"/>
  <c r="C1461" i="16"/>
  <c r="B1461" i="16"/>
  <c r="C1462" i="16" l="1"/>
  <c r="A1463" i="16"/>
  <c r="D1462" i="16"/>
  <c r="B1462" i="16"/>
  <c r="AE2" i="15"/>
  <c r="AE3" i="15"/>
  <c r="AE4" i="15"/>
  <c r="AE5" i="15"/>
  <c r="AE6" i="15"/>
  <c r="AE7" i="15"/>
  <c r="AE8" i="15"/>
  <c r="AE9" i="15"/>
  <c r="AE10" i="15"/>
  <c r="AE11" i="15"/>
  <c r="AE12" i="15"/>
  <c r="AE13" i="15"/>
  <c r="AE14" i="15"/>
  <c r="AE15" i="15"/>
  <c r="AE16" i="15"/>
  <c r="AE17" i="15"/>
  <c r="AE18" i="15"/>
  <c r="AE19" i="15"/>
  <c r="AE20" i="15"/>
  <c r="AE21" i="15"/>
  <c r="AE22" i="15"/>
  <c r="AE23" i="15"/>
  <c r="AE24" i="15"/>
  <c r="AE25" i="15"/>
  <c r="J15" i="15"/>
  <c r="J16" i="15"/>
  <c r="J17" i="15"/>
  <c r="J18" i="15"/>
  <c r="J19" i="15"/>
  <c r="J20" i="15"/>
  <c r="J21" i="15"/>
  <c r="J22" i="15"/>
  <c r="J23" i="15"/>
  <c r="J24" i="15"/>
  <c r="J25" i="15"/>
  <c r="J14" i="15"/>
  <c r="C13" i="11" s="1"/>
  <c r="C17" i="11" l="1"/>
  <c r="C18" i="11"/>
  <c r="C16" i="11"/>
  <c r="D1463" i="16"/>
  <c r="C1463" i="16"/>
  <c r="B1463" i="16"/>
  <c r="AD25" i="15"/>
  <c r="G25" i="15"/>
  <c r="E25" i="15"/>
  <c r="B25" i="15"/>
  <c r="AD24" i="15"/>
  <c r="G24" i="15"/>
  <c r="E24" i="15"/>
  <c r="B24" i="15"/>
  <c r="AD23" i="15"/>
  <c r="G23" i="15"/>
  <c r="T23" i="15" s="1"/>
  <c r="W23" i="15" s="1"/>
  <c r="E23" i="15"/>
  <c r="C23" i="15"/>
  <c r="B23" i="15"/>
  <c r="AD22" i="15"/>
  <c r="G22" i="15"/>
  <c r="E22" i="15"/>
  <c r="C22" i="15"/>
  <c r="B22" i="15"/>
  <c r="AD21" i="15"/>
  <c r="G21" i="15"/>
  <c r="E21" i="15"/>
  <c r="C21" i="15"/>
  <c r="B21" i="15"/>
  <c r="AD20" i="15"/>
  <c r="T20" i="15"/>
  <c r="W20" i="15" s="1"/>
  <c r="G20" i="15"/>
  <c r="E20" i="15"/>
  <c r="C20" i="15"/>
  <c r="B20" i="15"/>
  <c r="AD19" i="15"/>
  <c r="G19" i="15"/>
  <c r="T19" i="15" s="1"/>
  <c r="W19" i="15" s="1"/>
  <c r="E19" i="15"/>
  <c r="C19" i="15"/>
  <c r="B19" i="15"/>
  <c r="AD18" i="15"/>
  <c r="G18" i="15"/>
  <c r="E18" i="15"/>
  <c r="C18" i="15"/>
  <c r="B18" i="15"/>
  <c r="AD17" i="15"/>
  <c r="G17" i="15"/>
  <c r="T17" i="15" s="1"/>
  <c r="W17" i="15" s="1"/>
  <c r="E17" i="15"/>
  <c r="C17" i="15"/>
  <c r="B17" i="15"/>
  <c r="AD16" i="15"/>
  <c r="G16" i="15"/>
  <c r="E16" i="15"/>
  <c r="C16" i="15"/>
  <c r="B16" i="15"/>
  <c r="AD15" i="15"/>
  <c r="G15" i="15"/>
  <c r="E15" i="15"/>
  <c r="C15" i="15"/>
  <c r="B15" i="15"/>
  <c r="AD14" i="15"/>
  <c r="C4" i="10" s="1"/>
  <c r="G14" i="15"/>
  <c r="E14" i="15"/>
  <c r="C14" i="15"/>
  <c r="C25" i="15" s="1"/>
  <c r="B14" i="15"/>
  <c r="AD13" i="15"/>
  <c r="G13" i="15"/>
  <c r="E13" i="15"/>
  <c r="C13" i="15"/>
  <c r="C24" i="15" s="1"/>
  <c r="AD12" i="15"/>
  <c r="G12" i="15"/>
  <c r="E12" i="15"/>
  <c r="AD11" i="15"/>
  <c r="G11" i="15"/>
  <c r="T11" i="15" s="1"/>
  <c r="W11" i="15" s="1"/>
  <c r="E11" i="15"/>
  <c r="AD10" i="15"/>
  <c r="G10" i="15"/>
  <c r="T10" i="15" s="1"/>
  <c r="W10" i="15" s="1"/>
  <c r="E10" i="15"/>
  <c r="AD9" i="15"/>
  <c r="G9" i="15"/>
  <c r="T9" i="15" s="1"/>
  <c r="W9" i="15" s="1"/>
  <c r="E9" i="15"/>
  <c r="AD8" i="15"/>
  <c r="G8" i="15"/>
  <c r="E8" i="15"/>
  <c r="AD7" i="15"/>
  <c r="G7" i="15"/>
  <c r="E7" i="15"/>
  <c r="AD6" i="15"/>
  <c r="G6" i="15"/>
  <c r="E6" i="15"/>
  <c r="AD5" i="15"/>
  <c r="G5" i="15"/>
  <c r="T5" i="15" s="1"/>
  <c r="W5" i="15" s="1"/>
  <c r="E5" i="15"/>
  <c r="AD4" i="15"/>
  <c r="G4" i="15"/>
  <c r="T4" i="15" s="1"/>
  <c r="W4" i="15" s="1"/>
  <c r="E4" i="15"/>
  <c r="AD3" i="15"/>
  <c r="G3" i="15"/>
  <c r="T3" i="15" s="1"/>
  <c r="W3" i="15" s="1"/>
  <c r="E3" i="15"/>
  <c r="A3" i="15"/>
  <c r="A4" i="15" s="1"/>
  <c r="A5" i="15" s="1"/>
  <c r="A6" i="15" s="1"/>
  <c r="A7" i="15" s="1"/>
  <c r="A8" i="15" s="1"/>
  <c r="A9" i="15" s="1"/>
  <c r="A10" i="15" s="1"/>
  <c r="A11" i="15" s="1"/>
  <c r="A12" i="15" s="1"/>
  <c r="A13" i="15" s="1"/>
  <c r="A14" i="15" s="1"/>
  <c r="A15" i="15" s="1"/>
  <c r="A16" i="15" s="1"/>
  <c r="A17" i="15" s="1"/>
  <c r="A18" i="15" s="1"/>
  <c r="A19" i="15" s="1"/>
  <c r="A20" i="15" s="1"/>
  <c r="A21" i="15" s="1"/>
  <c r="A22" i="15" s="1"/>
  <c r="A23" i="15" s="1"/>
  <c r="A24" i="15" s="1"/>
  <c r="A25" i="15" s="1"/>
  <c r="AD2" i="15"/>
  <c r="G2" i="15"/>
  <c r="E2" i="15"/>
  <c r="T13" i="15" l="1"/>
  <c r="W13" i="15" s="1"/>
  <c r="T14" i="15"/>
  <c r="W14" i="15" s="1"/>
  <c r="T22" i="15"/>
  <c r="W22" i="15" s="1"/>
  <c r="T25" i="15"/>
  <c r="W25" i="15" s="1"/>
  <c r="T7" i="15"/>
  <c r="W7" i="15" s="1"/>
  <c r="T16" i="15"/>
  <c r="W16" i="15" s="1"/>
  <c r="T15" i="15"/>
  <c r="W15" i="15" s="1"/>
  <c r="T18" i="15"/>
  <c r="W18" i="15" s="1"/>
  <c r="T21" i="15"/>
  <c r="W21" i="15" s="1"/>
  <c r="T24" i="15"/>
  <c r="W24" i="15" s="1"/>
  <c r="T6" i="15"/>
  <c r="W6" i="15" s="1"/>
  <c r="T12" i="15"/>
  <c r="W12" i="15" s="1"/>
  <c r="T2" i="15"/>
  <c r="W2" i="15" s="1"/>
  <c r="T8" i="15"/>
  <c r="W8" i="15" s="1"/>
  <c r="E2" i="14" l="1"/>
  <c r="D2" i="14"/>
  <c r="A3" i="14"/>
  <c r="C2" i="14"/>
  <c r="B2" i="14"/>
  <c r="AD2" i="14" l="1"/>
  <c r="AC2" i="14"/>
  <c r="AR2" i="14"/>
  <c r="AQ2" i="14"/>
  <c r="AP2" i="14"/>
  <c r="AH2" i="14"/>
  <c r="AG2" i="14"/>
  <c r="AF2" i="14"/>
  <c r="E3" i="14"/>
  <c r="D3" i="14"/>
  <c r="A4" i="14"/>
  <c r="C3" i="14"/>
  <c r="B3" i="14"/>
  <c r="AD3" i="14" l="1"/>
  <c r="AC3" i="14"/>
  <c r="AR3" i="14"/>
  <c r="AQ3" i="14"/>
  <c r="AP3" i="14"/>
  <c r="AH3" i="14"/>
  <c r="AG3" i="14"/>
  <c r="AF3" i="14"/>
  <c r="A5" i="14"/>
  <c r="C4" i="14"/>
  <c r="B4" i="14"/>
  <c r="E4" i="14"/>
  <c r="D4" i="14"/>
  <c r="AD4" i="14" l="1"/>
  <c r="AC4" i="14"/>
  <c r="AR4" i="14"/>
  <c r="AQ4" i="14"/>
  <c r="AP4" i="14"/>
  <c r="AF4" i="14"/>
  <c r="AH4" i="14"/>
  <c r="AG4" i="14"/>
  <c r="E5" i="14"/>
  <c r="D5" i="14"/>
  <c r="A6" i="14"/>
  <c r="C5" i="14"/>
  <c r="B5" i="14"/>
  <c r="AD5" i="14" l="1"/>
  <c r="AC5" i="14"/>
  <c r="AR5" i="14"/>
  <c r="AQ5" i="14"/>
  <c r="AP5" i="14"/>
  <c r="AH5" i="14"/>
  <c r="AG5" i="14"/>
  <c r="AF5" i="14"/>
  <c r="E6" i="14"/>
  <c r="D6" i="14"/>
  <c r="A7" i="14"/>
  <c r="C6" i="14"/>
  <c r="B6" i="14"/>
  <c r="AD6" i="14" l="1"/>
  <c r="AC6" i="14"/>
  <c r="AR6" i="14"/>
  <c r="AQ6" i="14"/>
  <c r="AP6" i="14"/>
  <c r="AH6" i="14"/>
  <c r="AG6" i="14"/>
  <c r="AF6" i="14"/>
  <c r="E7" i="14"/>
  <c r="A8" i="14"/>
  <c r="C7" i="14"/>
  <c r="B7" i="14"/>
  <c r="D7" i="14"/>
  <c r="AD7" i="14" l="1"/>
  <c r="AC7" i="14"/>
  <c r="AR7" i="14"/>
  <c r="AQ7" i="14"/>
  <c r="AP7" i="14"/>
  <c r="AH7" i="14"/>
  <c r="AG7" i="14"/>
  <c r="AF7" i="14"/>
  <c r="E8" i="14"/>
  <c r="D8" i="14"/>
  <c r="A9" i="14"/>
  <c r="C8" i="14"/>
  <c r="B8" i="14"/>
  <c r="AD8" i="14" l="1"/>
  <c r="AC8" i="14"/>
  <c r="AR8" i="14"/>
  <c r="AQ8" i="14"/>
  <c r="AP8" i="14"/>
  <c r="AH8" i="14"/>
  <c r="AG8" i="14"/>
  <c r="AF8" i="14"/>
  <c r="E9" i="14"/>
  <c r="D9" i="14"/>
  <c r="A10" i="14"/>
  <c r="C9" i="14"/>
  <c r="B9" i="14"/>
  <c r="AD9" i="14" l="1"/>
  <c r="AC9" i="14"/>
  <c r="AR9" i="14"/>
  <c r="AP9" i="14"/>
  <c r="AQ9" i="14"/>
  <c r="AH9" i="14"/>
  <c r="AG9" i="14"/>
  <c r="AF9" i="14"/>
  <c r="A11" i="14"/>
  <c r="C10" i="14"/>
  <c r="B10" i="14"/>
  <c r="E10" i="14"/>
  <c r="D10" i="14"/>
  <c r="AD10" i="14" l="1"/>
  <c r="AC10" i="14"/>
  <c r="AR10" i="14"/>
  <c r="AQ10" i="14"/>
  <c r="AP10" i="14"/>
  <c r="AG10" i="14"/>
  <c r="AH10" i="14"/>
  <c r="AF10" i="14"/>
  <c r="E11" i="14"/>
  <c r="D11" i="14"/>
  <c r="A12" i="14"/>
  <c r="C11" i="14"/>
  <c r="B11" i="14"/>
  <c r="AD11" i="14" l="1"/>
  <c r="AC11" i="14"/>
  <c r="AR11" i="14"/>
  <c r="AQ11" i="14"/>
  <c r="AP11" i="14"/>
  <c r="AG11" i="14"/>
  <c r="AH11" i="14"/>
  <c r="AF11" i="14"/>
  <c r="E12" i="14"/>
  <c r="D12" i="14"/>
  <c r="A13" i="14"/>
  <c r="C12" i="14"/>
  <c r="B12" i="14"/>
  <c r="AD12" i="14" l="1"/>
  <c r="AC12" i="14"/>
  <c r="AR12" i="14"/>
  <c r="AQ12" i="14"/>
  <c r="AP12" i="14"/>
  <c r="AH12" i="14"/>
  <c r="AF12" i="14"/>
  <c r="AG12" i="14"/>
  <c r="E13" i="14"/>
  <c r="A14" i="14"/>
  <c r="C13" i="14"/>
  <c r="B13" i="14"/>
  <c r="D13" i="14"/>
  <c r="AD13" i="14" l="1"/>
  <c r="AC13" i="14"/>
  <c r="AR13" i="14"/>
  <c r="AQ13" i="14"/>
  <c r="AP13" i="14"/>
  <c r="AH13" i="14"/>
  <c r="AG13" i="14"/>
  <c r="AF13" i="14"/>
  <c r="E14" i="14"/>
  <c r="D14" i="14"/>
  <c r="A15" i="14"/>
  <c r="C14" i="14"/>
  <c r="B14" i="14"/>
  <c r="AD14" i="14" l="1"/>
  <c r="AC14" i="14"/>
  <c r="AR14" i="14"/>
  <c r="AQ14" i="14"/>
  <c r="AP14" i="14"/>
  <c r="AH14" i="14"/>
  <c r="AF14" i="14"/>
  <c r="AG14" i="14"/>
  <c r="E15" i="14"/>
  <c r="D15" i="14"/>
  <c r="A16" i="14"/>
  <c r="C15" i="14"/>
  <c r="B15" i="14"/>
  <c r="AD15" i="14" l="1"/>
  <c r="AC15" i="14"/>
  <c r="AR15" i="14"/>
  <c r="AQ15" i="14"/>
  <c r="AP15" i="14"/>
  <c r="AH15" i="14"/>
  <c r="AF15" i="14"/>
  <c r="AG15" i="14"/>
  <c r="A17" i="14"/>
  <c r="C16" i="14"/>
  <c r="B16" i="14"/>
  <c r="E16" i="14"/>
  <c r="D16" i="14"/>
  <c r="AD16" i="14" l="1"/>
  <c r="AC16" i="14"/>
  <c r="AR16" i="14"/>
  <c r="AQ16" i="14"/>
  <c r="AP16" i="14"/>
  <c r="AG16" i="14"/>
  <c r="AF16" i="14"/>
  <c r="AH16" i="14"/>
  <c r="E17" i="14"/>
  <c r="D17" i="14"/>
  <c r="A18" i="14"/>
  <c r="C17" i="14"/>
  <c r="B17" i="14"/>
  <c r="AD17" i="14" l="1"/>
  <c r="AC17" i="14"/>
  <c r="AR17" i="14"/>
  <c r="AQ17" i="14"/>
  <c r="AP17" i="14"/>
  <c r="AG17" i="14"/>
  <c r="AH17" i="14"/>
  <c r="AF17" i="14"/>
  <c r="E18" i="14"/>
  <c r="D18" i="14"/>
  <c r="A19" i="14"/>
  <c r="C18" i="14"/>
  <c r="B18" i="14"/>
  <c r="AD18" i="14" l="1"/>
  <c r="AC18" i="14"/>
  <c r="AR18" i="14"/>
  <c r="AQ18" i="14"/>
  <c r="AP18" i="14"/>
  <c r="AG18" i="14"/>
  <c r="AH18" i="14"/>
  <c r="AF18" i="14"/>
  <c r="E19" i="14"/>
  <c r="A20" i="14"/>
  <c r="C19" i="14"/>
  <c r="B19" i="14"/>
  <c r="D19" i="14"/>
  <c r="AD19" i="14" l="1"/>
  <c r="AC19" i="14"/>
  <c r="AR19" i="14"/>
  <c r="AQ19" i="14"/>
  <c r="AP19" i="14"/>
  <c r="AG19" i="14"/>
  <c r="AH19" i="14"/>
  <c r="AF19" i="14"/>
  <c r="E20" i="14"/>
  <c r="D20" i="14"/>
  <c r="A21" i="14"/>
  <c r="C20" i="14"/>
  <c r="B20" i="14"/>
  <c r="AD20" i="14" l="1"/>
  <c r="AC20" i="14"/>
  <c r="AR20" i="14"/>
  <c r="AQ20" i="14"/>
  <c r="AP20" i="14"/>
  <c r="AH20" i="14"/>
  <c r="AG20" i="14"/>
  <c r="AF20" i="14"/>
  <c r="E21" i="14"/>
  <c r="D21" i="14"/>
  <c r="A22" i="14"/>
  <c r="C21" i="14"/>
  <c r="B21" i="14"/>
  <c r="AD21" i="14" l="1"/>
  <c r="AC21" i="14"/>
  <c r="AR21" i="14"/>
  <c r="AP21" i="14"/>
  <c r="AQ21" i="14"/>
  <c r="AH21" i="14"/>
  <c r="AG21" i="14"/>
  <c r="AF21" i="14"/>
  <c r="A23" i="14"/>
  <c r="C22" i="14"/>
  <c r="B22" i="14"/>
  <c r="E22" i="14"/>
  <c r="D22" i="14"/>
  <c r="AD22" i="14" l="1"/>
  <c r="AC22" i="14"/>
  <c r="AR22" i="14"/>
  <c r="AQ22" i="14"/>
  <c r="AP22" i="14"/>
  <c r="AG22" i="14"/>
  <c r="AH22" i="14"/>
  <c r="AF22" i="14"/>
  <c r="E23" i="14"/>
  <c r="D23" i="14"/>
  <c r="A24" i="14"/>
  <c r="C23" i="14"/>
  <c r="B23" i="14"/>
  <c r="AD23" i="14" l="1"/>
  <c r="AC23" i="14"/>
  <c r="AR23" i="14"/>
  <c r="AQ23" i="14"/>
  <c r="AP23" i="14"/>
  <c r="AG23" i="14"/>
  <c r="AH23" i="14"/>
  <c r="AF23" i="14"/>
  <c r="E24" i="14"/>
  <c r="D24" i="14"/>
  <c r="A25" i="14"/>
  <c r="C24" i="14"/>
  <c r="B24" i="14"/>
  <c r="AD24" i="14" l="1"/>
  <c r="AC24" i="14"/>
  <c r="AR24" i="14"/>
  <c r="AQ24" i="14"/>
  <c r="AP24" i="14"/>
  <c r="AH24" i="14"/>
  <c r="AG24" i="14"/>
  <c r="AF24" i="14"/>
  <c r="E25" i="14"/>
  <c r="A26" i="14"/>
  <c r="C25" i="14"/>
  <c r="B25" i="14"/>
  <c r="D25" i="14"/>
  <c r="AD25" i="14" l="1"/>
  <c r="AC25" i="14"/>
  <c r="AR25" i="14"/>
  <c r="AQ25" i="14"/>
  <c r="AP25" i="14"/>
  <c r="AH25" i="14"/>
  <c r="AF25" i="14"/>
  <c r="AG25" i="14"/>
  <c r="E26" i="14"/>
  <c r="D26" i="14"/>
  <c r="C26" i="14"/>
  <c r="A27" i="14"/>
  <c r="B26" i="14"/>
  <c r="AD26" i="14" l="1"/>
  <c r="AC26" i="14"/>
  <c r="AR26" i="14"/>
  <c r="AQ26" i="14"/>
  <c r="AP26" i="14"/>
  <c r="AH26" i="14"/>
  <c r="AF26" i="14"/>
  <c r="AG26" i="14"/>
  <c r="E27" i="14"/>
  <c r="D27" i="14"/>
  <c r="C27" i="14"/>
  <c r="B27" i="14"/>
  <c r="A28" i="14"/>
  <c r="AD27" i="14" l="1"/>
  <c r="AC27" i="14"/>
  <c r="AR27" i="14"/>
  <c r="AQ27" i="14"/>
  <c r="AP27" i="14"/>
  <c r="AG27" i="14"/>
  <c r="AH27" i="14"/>
  <c r="AF27" i="14"/>
  <c r="D28" i="14"/>
  <c r="E28" i="14"/>
  <c r="C28" i="14"/>
  <c r="B28" i="14"/>
  <c r="A29" i="14"/>
  <c r="AD28" i="14" l="1"/>
  <c r="AC28" i="14"/>
  <c r="AR28" i="14"/>
  <c r="AQ28" i="14"/>
  <c r="AP28" i="14"/>
  <c r="AH28" i="14"/>
  <c r="AF28" i="14"/>
  <c r="AG28" i="14"/>
  <c r="B29" i="14"/>
  <c r="E29" i="14"/>
  <c r="D29" i="14"/>
  <c r="C29" i="14"/>
  <c r="A30" i="14"/>
  <c r="AD29" i="14" l="1"/>
  <c r="AC29" i="14"/>
  <c r="AR29" i="14"/>
  <c r="AQ29" i="14"/>
  <c r="AP29" i="14"/>
  <c r="AH29" i="14"/>
  <c r="AF29" i="14"/>
  <c r="AG29" i="14"/>
  <c r="E30" i="14"/>
  <c r="D30" i="14"/>
  <c r="C30" i="14"/>
  <c r="A31" i="14"/>
  <c r="B30" i="14"/>
  <c r="AD30" i="14" l="1"/>
  <c r="AC30" i="14"/>
  <c r="AR30" i="14"/>
  <c r="AQ30" i="14"/>
  <c r="AP30" i="14"/>
  <c r="AG30" i="14"/>
  <c r="AH30" i="14"/>
  <c r="AF30" i="14"/>
  <c r="E31" i="14"/>
  <c r="D31" i="14"/>
  <c r="C31" i="14"/>
  <c r="A32" i="14"/>
  <c r="B31" i="14"/>
  <c r="AD31" i="14" l="1"/>
  <c r="AC31" i="14"/>
  <c r="AR31" i="14"/>
  <c r="AQ31" i="14"/>
  <c r="AP31" i="14"/>
  <c r="AG31" i="14"/>
  <c r="AH31" i="14"/>
  <c r="AF31" i="14"/>
  <c r="E32" i="14"/>
  <c r="D32" i="14"/>
  <c r="C32" i="14"/>
  <c r="A33" i="14"/>
  <c r="B32" i="14"/>
  <c r="AD32" i="14" l="1"/>
  <c r="AC32" i="14"/>
  <c r="AR32" i="14"/>
  <c r="AQ32" i="14"/>
  <c r="AP32" i="14"/>
  <c r="AH32" i="14"/>
  <c r="AG32" i="14"/>
  <c r="AF32" i="14"/>
  <c r="E33" i="14"/>
  <c r="D33" i="14"/>
  <c r="C33" i="14"/>
  <c r="A34" i="14"/>
  <c r="B33" i="14"/>
  <c r="AD33" i="14" l="1"/>
  <c r="AC33" i="14"/>
  <c r="AR33" i="14"/>
  <c r="AP33" i="14"/>
  <c r="AQ33" i="14"/>
  <c r="AH33" i="14"/>
  <c r="AG33" i="14"/>
  <c r="AF33" i="14"/>
  <c r="D34" i="14"/>
  <c r="E34" i="14"/>
  <c r="C34" i="14"/>
  <c r="A35" i="14"/>
  <c r="B34" i="14"/>
  <c r="AD34" i="14" l="1"/>
  <c r="AC34" i="14"/>
  <c r="AR34" i="14"/>
  <c r="AQ34" i="14"/>
  <c r="AP34" i="14"/>
  <c r="AG34" i="14"/>
  <c r="AH34" i="14"/>
  <c r="AF34" i="14"/>
  <c r="B35" i="14"/>
  <c r="E35" i="14"/>
  <c r="C35" i="14"/>
  <c r="A36" i="14"/>
  <c r="D35" i="14"/>
  <c r="AD35" i="14" l="1"/>
  <c r="AC35" i="14"/>
  <c r="AR35" i="14"/>
  <c r="AQ35" i="14"/>
  <c r="AP35" i="14"/>
  <c r="AG35" i="14"/>
  <c r="AH35" i="14"/>
  <c r="AF35" i="14"/>
  <c r="A37" i="14"/>
  <c r="E36" i="14"/>
  <c r="D36" i="14"/>
  <c r="C36" i="14"/>
  <c r="B36" i="14"/>
  <c r="AD36" i="14" l="1"/>
  <c r="AC36" i="14"/>
  <c r="AR36" i="14"/>
  <c r="AQ36" i="14"/>
  <c r="AP36" i="14"/>
  <c r="AH36" i="14"/>
  <c r="AG36" i="14"/>
  <c r="AF36" i="14"/>
  <c r="D37" i="14"/>
  <c r="A38" i="14"/>
  <c r="E37" i="14"/>
  <c r="C37" i="14"/>
  <c r="B37" i="14"/>
  <c r="AD37" i="14" l="1"/>
  <c r="AC37" i="14"/>
  <c r="AR37" i="14"/>
  <c r="AQ37" i="14"/>
  <c r="AP37" i="14"/>
  <c r="AH37" i="14"/>
  <c r="AG37" i="14"/>
  <c r="AF37" i="14"/>
  <c r="B38" i="14"/>
  <c r="D38" i="14"/>
  <c r="C38" i="14"/>
  <c r="E38" i="14"/>
  <c r="A39" i="14"/>
  <c r="AD38" i="14" l="1"/>
  <c r="AC38" i="14"/>
  <c r="AR38" i="14"/>
  <c r="AQ38" i="14"/>
  <c r="AP38" i="14"/>
  <c r="AH38" i="14"/>
  <c r="AG38" i="14"/>
  <c r="AF38" i="14"/>
  <c r="E39" i="14"/>
  <c r="D39" i="14"/>
  <c r="C39" i="14"/>
  <c r="B39" i="14"/>
  <c r="A40" i="14"/>
  <c r="AD39" i="14" l="1"/>
  <c r="AC39" i="14"/>
  <c r="AR39" i="14"/>
  <c r="AQ39" i="14"/>
  <c r="AP39" i="14"/>
  <c r="AH39" i="14"/>
  <c r="AF39" i="14"/>
  <c r="AG39" i="14"/>
  <c r="D40" i="14"/>
  <c r="E40" i="14"/>
  <c r="B40" i="14"/>
  <c r="A41" i="14"/>
  <c r="C40" i="14"/>
  <c r="AD40" i="14" l="1"/>
  <c r="AC40" i="14"/>
  <c r="AR40" i="14"/>
  <c r="AQ40" i="14"/>
  <c r="AP40" i="14"/>
  <c r="AF40" i="14"/>
  <c r="AH40" i="14"/>
  <c r="AG40" i="14"/>
  <c r="B41" i="14"/>
  <c r="A42" i="14"/>
  <c r="E41" i="14"/>
  <c r="D41" i="14"/>
  <c r="C41" i="14"/>
  <c r="AD41" i="14" l="1"/>
  <c r="AC41" i="14"/>
  <c r="AR41" i="14"/>
  <c r="AQ41" i="14"/>
  <c r="AP41" i="14"/>
  <c r="AH41" i="14"/>
  <c r="AG41" i="14"/>
  <c r="AF41" i="14"/>
  <c r="A43" i="14"/>
  <c r="E42" i="14"/>
  <c r="D42" i="14"/>
  <c r="C42" i="14"/>
  <c r="B42" i="14"/>
  <c r="AD42" i="14" l="1"/>
  <c r="AC42" i="14"/>
  <c r="AR42" i="14"/>
  <c r="AQ42" i="14"/>
  <c r="AP42" i="14"/>
  <c r="AH42" i="14"/>
  <c r="AG42" i="14"/>
  <c r="AF42" i="14"/>
  <c r="D43" i="14"/>
  <c r="C43" i="14"/>
  <c r="B43" i="14"/>
  <c r="A44" i="14"/>
  <c r="E43" i="14"/>
  <c r="AD43" i="14" l="1"/>
  <c r="AC43" i="14"/>
  <c r="AR43" i="14"/>
  <c r="AQ43" i="14"/>
  <c r="AP43" i="14"/>
  <c r="AH43" i="14"/>
  <c r="AG43" i="14"/>
  <c r="AF43" i="14"/>
  <c r="B44" i="14"/>
  <c r="E44" i="14"/>
  <c r="D44" i="14"/>
  <c r="C44" i="14"/>
  <c r="A45" i="14"/>
  <c r="AD44" i="14" l="1"/>
  <c r="AC44" i="14"/>
  <c r="AR44" i="14"/>
  <c r="AQ44" i="14"/>
  <c r="AP44" i="14"/>
  <c r="AH44" i="14"/>
  <c r="AG44" i="14"/>
  <c r="AF44" i="14"/>
  <c r="E45" i="14"/>
  <c r="D45" i="14"/>
  <c r="B45" i="14"/>
  <c r="A46" i="14"/>
  <c r="C45" i="14"/>
  <c r="AD45" i="14" l="1"/>
  <c r="AC45" i="14"/>
  <c r="AR45" i="14"/>
  <c r="AP45" i="14"/>
  <c r="AQ45" i="14"/>
  <c r="AH45" i="14"/>
  <c r="AG45" i="14"/>
  <c r="AF45" i="14"/>
  <c r="D46" i="14"/>
  <c r="E46" i="14"/>
  <c r="C46" i="14"/>
  <c r="B46" i="14"/>
  <c r="A47" i="14"/>
  <c r="AD46" i="14" l="1"/>
  <c r="AC46" i="14"/>
  <c r="AR46" i="14"/>
  <c r="AQ46" i="14"/>
  <c r="AP46" i="14"/>
  <c r="AG46" i="14"/>
  <c r="AH46" i="14"/>
  <c r="AF46" i="14"/>
  <c r="B47" i="14"/>
  <c r="A48" i="14"/>
  <c r="E47" i="14"/>
  <c r="D47" i="14"/>
  <c r="C47" i="14"/>
  <c r="AD47" i="14" l="1"/>
  <c r="AC47" i="14"/>
  <c r="AR47" i="14"/>
  <c r="AQ47" i="14"/>
  <c r="AP47" i="14"/>
  <c r="AG47" i="14"/>
  <c r="AH47" i="14"/>
  <c r="AF47" i="14"/>
  <c r="C48" i="14"/>
  <c r="B48" i="14"/>
  <c r="A49" i="14"/>
  <c r="E48" i="14"/>
  <c r="D48" i="14"/>
  <c r="AD48" i="14" l="1"/>
  <c r="AC48" i="14"/>
  <c r="AR48" i="14"/>
  <c r="AQ48" i="14"/>
  <c r="AP48" i="14"/>
  <c r="AH48" i="14"/>
  <c r="AG48" i="14"/>
  <c r="AF48" i="14"/>
  <c r="D49" i="14"/>
  <c r="E49" i="14"/>
  <c r="C49" i="14"/>
  <c r="B49" i="14"/>
  <c r="A50" i="14"/>
  <c r="AD49" i="14" l="1"/>
  <c r="AC49" i="14"/>
  <c r="AR49" i="14"/>
  <c r="AQ49" i="14"/>
  <c r="AP49" i="14"/>
  <c r="AH49" i="14"/>
  <c r="AG49" i="14"/>
  <c r="AF49" i="14"/>
  <c r="B50" i="14"/>
  <c r="E50" i="14"/>
  <c r="D50" i="14"/>
  <c r="A51" i="14"/>
  <c r="C50" i="14"/>
  <c r="AD50" i="14" l="1"/>
  <c r="AC50" i="14"/>
  <c r="AR50" i="14"/>
  <c r="AQ50" i="14"/>
  <c r="AP50" i="14"/>
  <c r="AH50" i="14"/>
  <c r="AG50" i="14"/>
  <c r="AF50" i="14"/>
  <c r="D51" i="14"/>
  <c r="C51" i="14"/>
  <c r="B51" i="14"/>
  <c r="A52" i="14"/>
  <c r="E51" i="14"/>
  <c r="AD51" i="14" l="1"/>
  <c r="AC51" i="14"/>
  <c r="AR51" i="14"/>
  <c r="AQ51" i="14"/>
  <c r="AP51" i="14"/>
  <c r="AG51" i="14"/>
  <c r="AH51" i="14"/>
  <c r="AF51" i="14"/>
  <c r="D52" i="14"/>
  <c r="A53" i="14"/>
  <c r="E52" i="14"/>
  <c r="C52" i="14"/>
  <c r="B52" i="14"/>
  <c r="AD52" i="14" l="1"/>
  <c r="AC52" i="14"/>
  <c r="AR52" i="14"/>
  <c r="AQ52" i="14"/>
  <c r="AP52" i="14"/>
  <c r="AF52" i="14"/>
  <c r="AG52" i="14"/>
  <c r="AH52" i="14"/>
  <c r="B53" i="14"/>
  <c r="C53" i="14"/>
  <c r="A54" i="14"/>
  <c r="E53" i="14"/>
  <c r="D53" i="14"/>
  <c r="AD53" i="14" l="1"/>
  <c r="AC53" i="14"/>
  <c r="AR53" i="14"/>
  <c r="AQ53" i="14"/>
  <c r="AP53" i="14"/>
  <c r="AH53" i="14"/>
  <c r="AF53" i="14"/>
  <c r="AG53" i="14"/>
  <c r="E54" i="14"/>
  <c r="D54" i="14"/>
  <c r="C54" i="14"/>
  <c r="B54" i="14"/>
  <c r="A55" i="14"/>
  <c r="AD54" i="14" l="1"/>
  <c r="AC54" i="14"/>
  <c r="AR54" i="14"/>
  <c r="AQ54" i="14"/>
  <c r="AP54" i="14"/>
  <c r="AH54" i="14"/>
  <c r="AF54" i="14"/>
  <c r="AG54" i="14"/>
  <c r="D55" i="14"/>
  <c r="A56" i="14"/>
  <c r="C55" i="14"/>
  <c r="B55" i="14"/>
  <c r="E55" i="14"/>
  <c r="AD55" i="14" l="1"/>
  <c r="AC55" i="14"/>
  <c r="AR55" i="14"/>
  <c r="AQ55" i="14"/>
  <c r="AP55" i="14"/>
  <c r="AH55" i="14"/>
  <c r="AG55" i="14"/>
  <c r="AF55" i="14"/>
  <c r="B56" i="14"/>
  <c r="E56" i="14"/>
  <c r="D56" i="14"/>
  <c r="C56" i="14"/>
  <c r="A57" i="14"/>
  <c r="AD56" i="14" l="1"/>
  <c r="AC56" i="14"/>
  <c r="AR56" i="14"/>
  <c r="AQ56" i="14"/>
  <c r="AP56" i="14"/>
  <c r="AH56" i="14"/>
  <c r="AF56" i="14"/>
  <c r="AG56" i="14"/>
  <c r="E57" i="14"/>
  <c r="D57" i="14"/>
  <c r="C57" i="14"/>
  <c r="B57" i="14"/>
  <c r="A58" i="14"/>
  <c r="AD57" i="14" l="1"/>
  <c r="AC57" i="14"/>
  <c r="AR57" i="14"/>
  <c r="AQ57" i="14"/>
  <c r="AP57" i="14"/>
  <c r="AH57" i="14"/>
  <c r="AF57" i="14"/>
  <c r="AG57" i="14"/>
  <c r="D58" i="14"/>
  <c r="A59" i="14"/>
  <c r="E58" i="14"/>
  <c r="C58" i="14"/>
  <c r="B58" i="14"/>
  <c r="AD58" i="14" l="1"/>
  <c r="AC58" i="14"/>
  <c r="AR58" i="14"/>
  <c r="AQ58" i="14"/>
  <c r="AP58" i="14"/>
  <c r="AG58" i="14"/>
  <c r="AH58" i="14"/>
  <c r="AF58" i="14"/>
  <c r="B59" i="14"/>
  <c r="C59" i="14"/>
  <c r="A60" i="14"/>
  <c r="E59" i="14"/>
  <c r="D59" i="14"/>
  <c r="AD59" i="14" l="1"/>
  <c r="AC59" i="14"/>
  <c r="AR59" i="14"/>
  <c r="AQ59" i="14"/>
  <c r="AP59" i="14"/>
  <c r="AG59" i="14"/>
  <c r="AH59" i="14"/>
  <c r="AF59" i="14"/>
  <c r="E60" i="14"/>
  <c r="A61" i="14"/>
  <c r="C60" i="14"/>
  <c r="B60" i="14"/>
  <c r="D60" i="14"/>
  <c r="AD60" i="14" l="1"/>
  <c r="AC60" i="14"/>
  <c r="AR60" i="14"/>
  <c r="AQ60" i="14"/>
  <c r="AP60" i="14"/>
  <c r="AH60" i="14"/>
  <c r="AG60" i="14"/>
  <c r="AF60" i="14"/>
  <c r="E61" i="14"/>
  <c r="D61" i="14"/>
  <c r="A62" i="14"/>
  <c r="C61" i="14"/>
  <c r="B61" i="14"/>
  <c r="AD61" i="14" l="1"/>
  <c r="AC61" i="14"/>
  <c r="AR61" i="14"/>
  <c r="AQ61" i="14"/>
  <c r="AP61" i="14"/>
  <c r="AH61" i="14"/>
  <c r="AG61" i="14"/>
  <c r="AF61" i="14"/>
  <c r="E62" i="14"/>
  <c r="A63" i="14"/>
  <c r="C62" i="14"/>
  <c r="B62" i="14"/>
  <c r="D62" i="14"/>
  <c r="AD62" i="14" l="1"/>
  <c r="AC62" i="14"/>
  <c r="AR62" i="14"/>
  <c r="AQ62" i="14"/>
  <c r="AP62" i="14"/>
  <c r="AH62" i="14"/>
  <c r="AG62" i="14"/>
  <c r="AF62" i="14"/>
  <c r="A64" i="14"/>
  <c r="C63" i="14"/>
  <c r="E63" i="14"/>
  <c r="D63" i="14"/>
  <c r="B63" i="14"/>
  <c r="AD63" i="14" l="1"/>
  <c r="AC63" i="14"/>
  <c r="AR63" i="14"/>
  <c r="AQ63" i="14"/>
  <c r="AP63" i="14"/>
  <c r="AH63" i="14"/>
  <c r="AG63" i="14"/>
  <c r="AF63" i="14"/>
  <c r="D64" i="14"/>
  <c r="A65" i="14"/>
  <c r="C64" i="14"/>
  <c r="B64" i="14"/>
  <c r="E64" i="14"/>
  <c r="AD64" i="14" l="1"/>
  <c r="AC64" i="14"/>
  <c r="AR64" i="14"/>
  <c r="AQ64" i="14"/>
  <c r="AP64" i="14"/>
  <c r="AF64" i="14"/>
  <c r="AH64" i="14"/>
  <c r="AG64" i="14"/>
  <c r="B65" i="14"/>
  <c r="A66" i="14"/>
  <c r="E65" i="14"/>
  <c r="D65" i="14"/>
  <c r="C65" i="14"/>
  <c r="AD65" i="14" l="1"/>
  <c r="AC65" i="14"/>
  <c r="AR65" i="14"/>
  <c r="AQ65" i="14"/>
  <c r="AP65" i="14"/>
  <c r="AH65" i="14"/>
  <c r="AG65" i="14"/>
  <c r="AF65" i="14"/>
  <c r="E66" i="14"/>
  <c r="B66" i="14"/>
  <c r="A67" i="14"/>
  <c r="D66" i="14"/>
  <c r="C66" i="14"/>
  <c r="AD66" i="14" l="1"/>
  <c r="AC66" i="14"/>
  <c r="AR66" i="14"/>
  <c r="AQ66" i="14"/>
  <c r="AP66" i="14"/>
  <c r="AH66" i="14"/>
  <c r="AG66" i="14"/>
  <c r="AF66" i="14"/>
  <c r="E67" i="14"/>
  <c r="D67" i="14"/>
  <c r="A68" i="14"/>
  <c r="C67" i="14"/>
  <c r="B67" i="14"/>
  <c r="AD67" i="14" l="1"/>
  <c r="AC67" i="14"/>
  <c r="AR67" i="14"/>
  <c r="AQ67" i="14"/>
  <c r="AP67" i="14"/>
  <c r="AH67" i="14"/>
  <c r="AF67" i="14"/>
  <c r="AG67" i="14"/>
  <c r="E68" i="14"/>
  <c r="A69" i="14"/>
  <c r="C68" i="14"/>
  <c r="B68" i="14"/>
  <c r="D68" i="14"/>
  <c r="AD68" i="14" l="1"/>
  <c r="AC68" i="14"/>
  <c r="AR68" i="14"/>
  <c r="AQ68" i="14"/>
  <c r="AP68" i="14"/>
  <c r="AH68" i="14"/>
  <c r="AF68" i="14"/>
  <c r="AG68" i="14"/>
  <c r="A70" i="14"/>
  <c r="C69" i="14"/>
  <c r="E69" i="14"/>
  <c r="D69" i="14"/>
  <c r="B69" i="14"/>
  <c r="AD69" i="14" l="1"/>
  <c r="AC69" i="14"/>
  <c r="AR69" i="14"/>
  <c r="AQ69" i="14"/>
  <c r="AP69" i="14"/>
  <c r="AH69" i="14"/>
  <c r="AF69" i="14"/>
  <c r="AG69" i="14"/>
  <c r="D70" i="14"/>
  <c r="B70" i="14"/>
  <c r="A71" i="14"/>
  <c r="E70" i="14"/>
  <c r="C70" i="14"/>
  <c r="AD70" i="14" l="1"/>
  <c r="AC70" i="14"/>
  <c r="AR70" i="14"/>
  <c r="AQ70" i="14"/>
  <c r="AP70" i="14"/>
  <c r="AG70" i="14"/>
  <c r="AH70" i="14"/>
  <c r="AF70" i="14"/>
  <c r="B71" i="14"/>
  <c r="A72" i="14"/>
  <c r="E71" i="14"/>
  <c r="D71" i="14"/>
  <c r="C71" i="14"/>
  <c r="AD71" i="14" l="1"/>
  <c r="AC71" i="14"/>
  <c r="AR71" i="14"/>
  <c r="AQ71" i="14"/>
  <c r="AP71" i="14"/>
  <c r="AG71" i="14"/>
  <c r="AH71" i="14"/>
  <c r="AF71" i="14"/>
  <c r="E72" i="14"/>
  <c r="A73" i="14"/>
  <c r="D72" i="14"/>
  <c r="C72" i="14"/>
  <c r="B72" i="14"/>
  <c r="AD72" i="14" l="1"/>
  <c r="AC72" i="14"/>
  <c r="AR72" i="14"/>
  <c r="AQ72" i="14"/>
  <c r="AP72" i="14"/>
  <c r="AH72" i="14"/>
  <c r="AF72" i="14"/>
  <c r="AG72" i="14"/>
  <c r="E73" i="14"/>
  <c r="D73" i="14"/>
  <c r="A74" i="14"/>
  <c r="C73" i="14"/>
  <c r="B73" i="14"/>
  <c r="AD73" i="14" l="1"/>
  <c r="AC73" i="14"/>
  <c r="AR73" i="14"/>
  <c r="AQ73" i="14"/>
  <c r="AP73" i="14"/>
  <c r="AH73" i="14"/>
  <c r="AF73" i="14"/>
  <c r="AG73" i="14"/>
  <c r="E74" i="14"/>
  <c r="A75" i="14"/>
  <c r="C74" i="14"/>
  <c r="B74" i="14"/>
  <c r="D74" i="14"/>
  <c r="AD74" i="14" l="1"/>
  <c r="AC74" i="14"/>
  <c r="AR74" i="14"/>
  <c r="AQ74" i="14"/>
  <c r="AP74" i="14"/>
  <c r="AH74" i="14"/>
  <c r="AG74" i="14"/>
  <c r="AF74" i="14"/>
  <c r="A76" i="14"/>
  <c r="C75" i="14"/>
  <c r="E75" i="14"/>
  <c r="D75" i="14"/>
  <c r="B75" i="14"/>
  <c r="AD75" i="14" l="1"/>
  <c r="AC75" i="14"/>
  <c r="AR75" i="14"/>
  <c r="AQ75" i="14"/>
  <c r="AP75" i="14"/>
  <c r="AG75" i="14"/>
  <c r="AH75" i="14"/>
  <c r="AF75" i="14"/>
  <c r="D76" i="14"/>
  <c r="A77" i="14"/>
  <c r="E76" i="14"/>
  <c r="C76" i="14"/>
  <c r="B76" i="14"/>
  <c r="AD76" i="14" l="1"/>
  <c r="AC76" i="14"/>
  <c r="AR76" i="14"/>
  <c r="AQ76" i="14"/>
  <c r="AP76" i="14"/>
  <c r="AF76" i="14"/>
  <c r="AG76" i="14"/>
  <c r="AH76" i="14"/>
  <c r="B77" i="14"/>
  <c r="D77" i="14"/>
  <c r="C77" i="14"/>
  <c r="A78" i="14"/>
  <c r="E77" i="14"/>
  <c r="AD77" i="14" l="1"/>
  <c r="AC77" i="14"/>
  <c r="AR77" i="14"/>
  <c r="AQ77" i="14"/>
  <c r="AP77" i="14"/>
  <c r="AG77" i="14"/>
  <c r="AH77" i="14"/>
  <c r="AF77" i="14"/>
  <c r="E78" i="14"/>
  <c r="A79" i="14"/>
  <c r="D78" i="14"/>
  <c r="C78" i="14"/>
  <c r="B78" i="14"/>
  <c r="AD78" i="14" l="1"/>
  <c r="AC78" i="14"/>
  <c r="AR78" i="14"/>
  <c r="AQ78" i="14"/>
  <c r="AP78" i="14"/>
  <c r="AG78" i="14"/>
  <c r="AH78" i="14"/>
  <c r="AF78" i="14"/>
  <c r="E79" i="14"/>
  <c r="D79" i="14"/>
  <c r="A80" i="14"/>
  <c r="C79" i="14"/>
  <c r="B79" i="14"/>
  <c r="AD79" i="14" l="1"/>
  <c r="AC79" i="14"/>
  <c r="AR79" i="14"/>
  <c r="AQ79" i="14"/>
  <c r="AP79" i="14"/>
  <c r="AG79" i="14"/>
  <c r="AH79" i="14"/>
  <c r="AF79" i="14"/>
  <c r="E80" i="14"/>
  <c r="A81" i="14"/>
  <c r="C80" i="14"/>
  <c r="B80" i="14"/>
  <c r="D80" i="14"/>
  <c r="AD80" i="14" l="1"/>
  <c r="AC80" i="14"/>
  <c r="AR80" i="14"/>
  <c r="AQ80" i="14"/>
  <c r="AP80" i="14"/>
  <c r="AH80" i="14"/>
  <c r="AG80" i="14"/>
  <c r="AF80" i="14"/>
  <c r="A82" i="14"/>
  <c r="C81" i="14"/>
  <c r="D81" i="14"/>
  <c r="B81" i="14"/>
  <c r="E81" i="14"/>
  <c r="AD81" i="14" l="1"/>
  <c r="AC81" i="14"/>
  <c r="AR81" i="14"/>
  <c r="AQ81" i="14"/>
  <c r="AP81" i="14"/>
  <c r="AH81" i="14"/>
  <c r="AG81" i="14"/>
  <c r="AF81" i="14"/>
  <c r="D82" i="14"/>
  <c r="A83" i="14"/>
  <c r="E82" i="14"/>
  <c r="C82" i="14"/>
  <c r="B82" i="14"/>
  <c r="AD82" i="14" l="1"/>
  <c r="AC82" i="14"/>
  <c r="AR82" i="14"/>
  <c r="AQ82" i="14"/>
  <c r="AP82" i="14"/>
  <c r="AG82" i="14"/>
  <c r="AH82" i="14"/>
  <c r="AF82" i="14"/>
  <c r="B83" i="14"/>
  <c r="A84" i="14"/>
  <c r="E83" i="14"/>
  <c r="C83" i="14"/>
  <c r="D83" i="14"/>
  <c r="AD83" i="14" l="1"/>
  <c r="AC83" i="14"/>
  <c r="AR83" i="14"/>
  <c r="AQ83" i="14"/>
  <c r="AP83" i="14"/>
  <c r="AG83" i="14"/>
  <c r="AH83" i="14"/>
  <c r="AF83" i="14"/>
  <c r="E84" i="14"/>
  <c r="A85" i="14"/>
  <c r="D84" i="14"/>
  <c r="C84" i="14"/>
  <c r="B84" i="14"/>
  <c r="AD84" i="14" l="1"/>
  <c r="AC84" i="14"/>
  <c r="AR84" i="14"/>
  <c r="AQ84" i="14"/>
  <c r="AP84" i="14"/>
  <c r="AH84" i="14"/>
  <c r="AG84" i="14"/>
  <c r="AF84" i="14"/>
  <c r="E85" i="14"/>
  <c r="D85" i="14"/>
  <c r="A86" i="14"/>
  <c r="C85" i="14"/>
  <c r="B85" i="14"/>
  <c r="AD85" i="14" l="1"/>
  <c r="AC85" i="14"/>
  <c r="AR85" i="14"/>
  <c r="AQ85" i="14"/>
  <c r="AP85" i="14"/>
  <c r="AH85" i="14"/>
  <c r="AG85" i="14"/>
  <c r="AF85" i="14"/>
  <c r="E86" i="14"/>
  <c r="A87" i="14"/>
  <c r="C86" i="14"/>
  <c r="B86" i="14"/>
  <c r="D86" i="14"/>
  <c r="AD86" i="14" l="1"/>
  <c r="AC86" i="14"/>
  <c r="AR86" i="14"/>
  <c r="AQ86" i="14"/>
  <c r="AP86" i="14"/>
  <c r="AH86" i="14"/>
  <c r="AG86" i="14"/>
  <c r="AF86" i="14"/>
  <c r="A88" i="14"/>
  <c r="C87" i="14"/>
  <c r="E87" i="14"/>
  <c r="B87" i="14"/>
  <c r="D87" i="14"/>
  <c r="AD87" i="14" l="1"/>
  <c r="AC87" i="14"/>
  <c r="AR87" i="14"/>
  <c r="AQ87" i="14"/>
  <c r="AP87" i="14"/>
  <c r="AH87" i="14"/>
  <c r="AG87" i="14"/>
  <c r="AF87" i="14"/>
  <c r="D88" i="14"/>
  <c r="A89" i="14"/>
  <c r="E88" i="14"/>
  <c r="C88" i="14"/>
  <c r="B88" i="14"/>
  <c r="AD88" i="14" l="1"/>
  <c r="AC88" i="14"/>
  <c r="AR88" i="14"/>
  <c r="AQ88" i="14"/>
  <c r="AP88" i="14"/>
  <c r="AG88" i="14"/>
  <c r="AF88" i="14"/>
  <c r="AH88" i="14"/>
  <c r="B89" i="14"/>
  <c r="A90" i="14"/>
  <c r="E89" i="14"/>
  <c r="D89" i="14"/>
  <c r="C89" i="14"/>
  <c r="AD89" i="14" l="1"/>
  <c r="AC89" i="14"/>
  <c r="AR89" i="14"/>
  <c r="AQ89" i="14"/>
  <c r="AP89" i="14"/>
  <c r="AG89" i="14"/>
  <c r="AH89" i="14"/>
  <c r="AF89" i="14"/>
  <c r="E90" i="14"/>
  <c r="D90" i="14"/>
  <c r="C90" i="14"/>
  <c r="B90" i="14"/>
  <c r="A91" i="14"/>
  <c r="AD90" i="14" l="1"/>
  <c r="AC90" i="14"/>
  <c r="AR90" i="14"/>
  <c r="AQ90" i="14"/>
  <c r="AP90" i="14"/>
  <c r="AG90" i="14"/>
  <c r="AH90" i="14"/>
  <c r="AF90" i="14"/>
  <c r="E91" i="14"/>
  <c r="D91" i="14"/>
  <c r="A92" i="14"/>
  <c r="C91" i="14"/>
  <c r="B91" i="14"/>
  <c r="AD91" i="14" l="1"/>
  <c r="AC91" i="14"/>
  <c r="AR91" i="14"/>
  <c r="AQ91" i="14"/>
  <c r="AP91" i="14"/>
  <c r="AG91" i="14"/>
  <c r="AH91" i="14"/>
  <c r="AF91" i="14"/>
  <c r="E92" i="14"/>
  <c r="A93" i="14"/>
  <c r="C92" i="14"/>
  <c r="B92" i="14"/>
  <c r="D92" i="14"/>
  <c r="AD92" i="14" l="1"/>
  <c r="AC92" i="14"/>
  <c r="AR92" i="14"/>
  <c r="AQ92" i="14"/>
  <c r="AP92" i="14"/>
  <c r="AH92" i="14"/>
  <c r="AG92" i="14"/>
  <c r="AF92" i="14"/>
  <c r="A94" i="14"/>
  <c r="C93" i="14"/>
  <c r="E93" i="14"/>
  <c r="D93" i="14"/>
  <c r="B93" i="14"/>
  <c r="AD93" i="14" l="1"/>
  <c r="AC93" i="14"/>
  <c r="AR93" i="14"/>
  <c r="AQ93" i="14"/>
  <c r="AP93" i="14"/>
  <c r="AH93" i="14"/>
  <c r="AG93" i="14"/>
  <c r="AF93" i="14"/>
  <c r="D94" i="14"/>
  <c r="E94" i="14"/>
  <c r="C94" i="14"/>
  <c r="B94" i="14"/>
  <c r="A95" i="14"/>
  <c r="AD94" i="14" l="1"/>
  <c r="AC94" i="14"/>
  <c r="AR94" i="14"/>
  <c r="AQ94" i="14"/>
  <c r="AP94" i="14"/>
  <c r="AG94" i="14"/>
  <c r="AH94" i="14"/>
  <c r="AF94" i="14"/>
  <c r="B95" i="14"/>
  <c r="A96" i="14"/>
  <c r="E95" i="14"/>
  <c r="D95" i="14"/>
  <c r="C95" i="14"/>
  <c r="AD95" i="14" l="1"/>
  <c r="AC95" i="14"/>
  <c r="AR95" i="14"/>
  <c r="AQ95" i="14"/>
  <c r="AP95" i="14"/>
  <c r="AG95" i="14"/>
  <c r="AH95" i="14"/>
  <c r="AF95" i="14"/>
  <c r="E96" i="14"/>
  <c r="C96" i="14"/>
  <c r="B96" i="14"/>
  <c r="A97" i="14"/>
  <c r="D96" i="14"/>
  <c r="AD96" i="14" l="1"/>
  <c r="AC96" i="14"/>
  <c r="AR96" i="14"/>
  <c r="AQ96" i="14"/>
  <c r="AP96" i="14"/>
  <c r="AH96" i="14"/>
  <c r="AG96" i="14"/>
  <c r="AF96" i="14"/>
  <c r="E97" i="14"/>
  <c r="D97" i="14"/>
  <c r="A98" i="14"/>
  <c r="C97" i="14"/>
  <c r="B97" i="14"/>
  <c r="AD97" i="14" l="1"/>
  <c r="AC97" i="14"/>
  <c r="AR97" i="14"/>
  <c r="AQ97" i="14"/>
  <c r="AP97" i="14"/>
  <c r="AH97" i="14"/>
  <c r="AG97" i="14"/>
  <c r="AF97" i="14"/>
  <c r="E98" i="14"/>
  <c r="A99" i="14"/>
  <c r="C98" i="14"/>
  <c r="B98" i="14"/>
  <c r="D98" i="14"/>
  <c r="AD98" i="14" l="1"/>
  <c r="AC98" i="14"/>
  <c r="AR98" i="14"/>
  <c r="AQ98" i="14"/>
  <c r="AP98" i="14"/>
  <c r="AH98" i="14"/>
  <c r="AG98" i="14"/>
  <c r="AF98" i="14"/>
  <c r="E99" i="14"/>
  <c r="A100" i="14"/>
  <c r="C99" i="14"/>
  <c r="D99" i="14"/>
  <c r="B99" i="14"/>
  <c r="AD99" i="14" l="1"/>
  <c r="AC99" i="14"/>
  <c r="AR99" i="14"/>
  <c r="AQ99" i="14"/>
  <c r="AP99" i="14"/>
  <c r="AH99" i="14"/>
  <c r="AG99" i="14"/>
  <c r="AF99" i="14"/>
  <c r="D100" i="14"/>
  <c r="A101" i="14"/>
  <c r="C100" i="14"/>
  <c r="E100" i="14"/>
  <c r="B100" i="14"/>
  <c r="AD100" i="14" l="1"/>
  <c r="AC100" i="14"/>
  <c r="AR100" i="14"/>
  <c r="AQ100" i="14"/>
  <c r="AP100" i="14"/>
  <c r="AF100" i="14"/>
  <c r="AH100" i="14"/>
  <c r="AG100" i="14"/>
  <c r="B101" i="14"/>
  <c r="E101" i="14"/>
  <c r="D101" i="14"/>
  <c r="C101" i="14"/>
  <c r="A102" i="14"/>
  <c r="AD101" i="14" l="1"/>
  <c r="AC101" i="14"/>
  <c r="AR101" i="14"/>
  <c r="AQ101" i="14"/>
  <c r="AP101" i="14"/>
  <c r="AH101" i="14"/>
  <c r="AG101" i="14"/>
  <c r="AF101" i="14"/>
  <c r="E102" i="14"/>
  <c r="A103" i="14"/>
  <c r="C102" i="14"/>
  <c r="D102" i="14"/>
  <c r="B102" i="14"/>
  <c r="AD102" i="14" l="1"/>
  <c r="AC102" i="14"/>
  <c r="AR102" i="14"/>
  <c r="AQ102" i="14"/>
  <c r="AP102" i="14"/>
  <c r="AG102" i="14"/>
  <c r="AH102" i="14"/>
  <c r="AF102" i="14"/>
  <c r="E103" i="14"/>
  <c r="D103" i="14"/>
  <c r="A104" i="14"/>
  <c r="C103" i="14"/>
  <c r="B103" i="14"/>
  <c r="AD103" i="14" l="1"/>
  <c r="AC103" i="14"/>
  <c r="AR103" i="14"/>
  <c r="AQ103" i="14"/>
  <c r="AP103" i="14"/>
  <c r="AG103" i="14"/>
  <c r="AH103" i="14"/>
  <c r="AF103" i="14"/>
  <c r="E104" i="14"/>
  <c r="D104" i="14"/>
  <c r="A105" i="14"/>
  <c r="C104" i="14"/>
  <c r="B104" i="14"/>
  <c r="AD104" i="14" l="1"/>
  <c r="AC104" i="14"/>
  <c r="AR104" i="14"/>
  <c r="AQ104" i="14"/>
  <c r="AP104" i="14"/>
  <c r="AH104" i="14"/>
  <c r="AG104" i="14"/>
  <c r="AF104" i="14"/>
  <c r="E105" i="14"/>
  <c r="D105" i="14"/>
  <c r="A106" i="14"/>
  <c r="C105" i="14"/>
  <c r="B105" i="14"/>
  <c r="AD105" i="14" l="1"/>
  <c r="AC105" i="14"/>
  <c r="AR105" i="14"/>
  <c r="AP105" i="14"/>
  <c r="AQ105" i="14"/>
  <c r="AH105" i="14"/>
  <c r="AG105" i="14"/>
  <c r="AF105" i="14"/>
  <c r="D106" i="14"/>
  <c r="A107" i="14"/>
  <c r="C106" i="14"/>
  <c r="B106" i="14"/>
  <c r="E106" i="14"/>
  <c r="AD106" i="14" l="1"/>
  <c r="AC106" i="14"/>
  <c r="AR106" i="14"/>
  <c r="AQ106" i="14"/>
  <c r="AP106" i="14"/>
  <c r="AG106" i="14"/>
  <c r="AH106" i="14"/>
  <c r="AF106" i="14"/>
  <c r="B107" i="14"/>
  <c r="E107" i="14"/>
  <c r="D107" i="14"/>
  <c r="C107" i="14"/>
  <c r="A108" i="14"/>
  <c r="AD107" i="14" l="1"/>
  <c r="AC107" i="14"/>
  <c r="AR107" i="14"/>
  <c r="AQ107" i="14"/>
  <c r="AP107" i="14"/>
  <c r="AG107" i="14"/>
  <c r="AH107" i="14"/>
  <c r="AF107" i="14"/>
  <c r="E108" i="14"/>
  <c r="A109" i="14"/>
  <c r="C108" i="14"/>
  <c r="D108" i="14"/>
  <c r="B108" i="14"/>
  <c r="AD108" i="14" l="1"/>
  <c r="AC108" i="14"/>
  <c r="AR108" i="14"/>
  <c r="AQ108" i="14"/>
  <c r="AP108" i="14"/>
  <c r="AH108" i="14"/>
  <c r="AG108" i="14"/>
  <c r="AF108" i="14"/>
  <c r="E109" i="14"/>
  <c r="D109" i="14"/>
  <c r="A110" i="14"/>
  <c r="C109" i="14"/>
  <c r="B109" i="14"/>
  <c r="AD109" i="14" l="1"/>
  <c r="AC109" i="14"/>
  <c r="AR109" i="14"/>
  <c r="AQ109" i="14"/>
  <c r="AP109" i="14"/>
  <c r="AH109" i="14"/>
  <c r="AG109" i="14"/>
  <c r="AF109" i="14"/>
  <c r="E110" i="14"/>
  <c r="D110" i="14"/>
  <c r="A111" i="14"/>
  <c r="C110" i="14"/>
  <c r="B110" i="14"/>
  <c r="AD110" i="14" l="1"/>
  <c r="AC110" i="14"/>
  <c r="AR110" i="14"/>
  <c r="AQ110" i="14"/>
  <c r="AP110" i="14"/>
  <c r="AH110" i="14"/>
  <c r="AG110" i="14"/>
  <c r="AF110" i="14"/>
  <c r="E111" i="14"/>
  <c r="D111" i="14"/>
  <c r="A112" i="14"/>
  <c r="C111" i="14"/>
  <c r="B111" i="14"/>
  <c r="AD111" i="14" l="1"/>
  <c r="AC111" i="14"/>
  <c r="AR111" i="14"/>
  <c r="AQ111" i="14"/>
  <c r="AP111" i="14"/>
  <c r="AH111" i="14"/>
  <c r="AF111" i="14"/>
  <c r="AG111" i="14"/>
  <c r="D112" i="14"/>
  <c r="A113" i="14"/>
  <c r="C112" i="14"/>
  <c r="B112" i="14"/>
  <c r="E112" i="14"/>
  <c r="AD112" i="14" l="1"/>
  <c r="AC112" i="14"/>
  <c r="AR112" i="14"/>
  <c r="AQ112" i="14"/>
  <c r="AP112" i="14"/>
  <c r="AF112" i="14"/>
  <c r="AH112" i="14"/>
  <c r="AG112" i="14"/>
  <c r="B113" i="14"/>
  <c r="E113" i="14"/>
  <c r="D113" i="14"/>
  <c r="C113" i="14"/>
  <c r="A114" i="14"/>
  <c r="AD113" i="14" l="1"/>
  <c r="AC113" i="14"/>
  <c r="AR113" i="14"/>
  <c r="AQ113" i="14"/>
  <c r="AP113" i="14"/>
  <c r="AH113" i="14"/>
  <c r="AG113" i="14"/>
  <c r="AF113" i="14"/>
  <c r="E114" i="14"/>
  <c r="D114" i="14"/>
  <c r="A115" i="14"/>
  <c r="C114" i="14"/>
  <c r="B114" i="14"/>
  <c r="AD114" i="14" l="1"/>
  <c r="AC114" i="14"/>
  <c r="AR114" i="14"/>
  <c r="AQ114" i="14"/>
  <c r="AP114" i="14"/>
  <c r="AH114" i="14"/>
  <c r="AG114" i="14"/>
  <c r="AF114" i="14"/>
  <c r="E115" i="14"/>
  <c r="D115" i="14"/>
  <c r="A116" i="14"/>
  <c r="C115" i="14"/>
  <c r="B115" i="14"/>
  <c r="AD115" i="14" l="1"/>
  <c r="AC115" i="14"/>
  <c r="AR115" i="14"/>
  <c r="AQ115" i="14"/>
  <c r="AP115" i="14"/>
  <c r="AH115" i="14"/>
  <c r="AG115" i="14"/>
  <c r="AF115" i="14"/>
  <c r="E116" i="14"/>
  <c r="D116" i="14"/>
  <c r="A117" i="14"/>
  <c r="C116" i="14"/>
  <c r="B116" i="14"/>
  <c r="AD116" i="14" l="1"/>
  <c r="AC116" i="14"/>
  <c r="AR116" i="14"/>
  <c r="AQ116" i="14"/>
  <c r="AP116" i="14"/>
  <c r="AH116" i="14"/>
  <c r="AG116" i="14"/>
  <c r="AF116" i="14"/>
  <c r="E117" i="14"/>
  <c r="D117" i="14"/>
  <c r="A118" i="14"/>
  <c r="C117" i="14"/>
  <c r="B117" i="14"/>
  <c r="AD117" i="14" l="1"/>
  <c r="AC117" i="14"/>
  <c r="AR117" i="14"/>
  <c r="AP117" i="14"/>
  <c r="AQ117" i="14"/>
  <c r="AH117" i="14"/>
  <c r="AG117" i="14"/>
  <c r="AF117" i="14"/>
  <c r="D118" i="14"/>
  <c r="A119" i="14"/>
  <c r="C118" i="14"/>
  <c r="B118" i="14"/>
  <c r="E118" i="14"/>
  <c r="AD118" i="14" l="1"/>
  <c r="AC118" i="14"/>
  <c r="AR118" i="14"/>
  <c r="AQ118" i="14"/>
  <c r="AP118" i="14"/>
  <c r="AG118" i="14"/>
  <c r="AH118" i="14"/>
  <c r="AF118" i="14"/>
  <c r="B119" i="14"/>
  <c r="E119" i="14"/>
  <c r="D119" i="14"/>
  <c r="C119" i="14"/>
  <c r="A120" i="14"/>
  <c r="AD119" i="14" l="1"/>
  <c r="AC119" i="14"/>
  <c r="AR119" i="14"/>
  <c r="AQ119" i="14"/>
  <c r="AP119" i="14"/>
  <c r="AG119" i="14"/>
  <c r="AH119" i="14"/>
  <c r="AF119" i="14"/>
  <c r="E120" i="14"/>
  <c r="D120" i="14"/>
  <c r="A121" i="14"/>
  <c r="C120" i="14"/>
  <c r="B120" i="14"/>
  <c r="AD120" i="14" l="1"/>
  <c r="AC120" i="14"/>
  <c r="AR120" i="14"/>
  <c r="AQ120" i="14"/>
  <c r="AP120" i="14"/>
  <c r="AH120" i="14"/>
  <c r="AG120" i="14"/>
  <c r="AF120" i="14"/>
  <c r="E121" i="14"/>
  <c r="D121" i="14"/>
  <c r="A122" i="14"/>
  <c r="C121" i="14"/>
  <c r="B121" i="14"/>
  <c r="AD121" i="14" l="1"/>
  <c r="AC121" i="14"/>
  <c r="AR121" i="14"/>
  <c r="AQ121" i="14"/>
  <c r="AP121" i="14"/>
  <c r="AH121" i="14"/>
  <c r="AG121" i="14"/>
  <c r="AF121" i="14"/>
  <c r="E122" i="14"/>
  <c r="D122" i="14"/>
  <c r="A123" i="14"/>
  <c r="C122" i="14"/>
  <c r="B122" i="14"/>
  <c r="AD122" i="14" l="1"/>
  <c r="AC122" i="14"/>
  <c r="AR122" i="14"/>
  <c r="AQ122" i="14"/>
  <c r="AP122" i="14"/>
  <c r="AG122" i="14"/>
  <c r="AH122" i="14"/>
  <c r="AF122" i="14"/>
  <c r="E123" i="14"/>
  <c r="D123" i="14"/>
  <c r="A124" i="14"/>
  <c r="C123" i="14"/>
  <c r="B123" i="14"/>
  <c r="AD123" i="14" l="1"/>
  <c r="AC123" i="14"/>
  <c r="AR123" i="14"/>
  <c r="AQ123" i="14"/>
  <c r="AP123" i="14"/>
  <c r="AG123" i="14"/>
  <c r="AH123" i="14"/>
  <c r="AF123" i="14"/>
  <c r="D124" i="14"/>
  <c r="A125" i="14"/>
  <c r="C124" i="14"/>
  <c r="B124" i="14"/>
  <c r="E124" i="14"/>
  <c r="AD124" i="14" l="1"/>
  <c r="AC124" i="14"/>
  <c r="AR124" i="14"/>
  <c r="AQ124" i="14"/>
  <c r="AP124" i="14"/>
  <c r="AF124" i="14"/>
  <c r="AG124" i="14"/>
  <c r="AH124" i="14"/>
  <c r="B125" i="14"/>
  <c r="E125" i="14"/>
  <c r="D125" i="14"/>
  <c r="C125" i="14"/>
  <c r="A126" i="14"/>
  <c r="AD125" i="14" l="1"/>
  <c r="AC125" i="14"/>
  <c r="AR125" i="14"/>
  <c r="AQ125" i="14"/>
  <c r="AP125" i="14"/>
  <c r="AH125" i="14"/>
  <c r="AG125" i="14"/>
  <c r="AF125" i="14"/>
  <c r="E126" i="14"/>
  <c r="D126" i="14"/>
  <c r="A127" i="14"/>
  <c r="C126" i="14"/>
  <c r="B126" i="14"/>
  <c r="AD126" i="14" l="1"/>
  <c r="AC126" i="14"/>
  <c r="AR126" i="14"/>
  <c r="AQ126" i="14"/>
  <c r="AP126" i="14"/>
  <c r="AH126" i="14"/>
  <c r="AG126" i="14"/>
  <c r="AF126" i="14"/>
  <c r="E127" i="14"/>
  <c r="D127" i="14"/>
  <c r="A128" i="14"/>
  <c r="C127" i="14"/>
  <c r="B127" i="14"/>
  <c r="AD127" i="14" l="1"/>
  <c r="AC127" i="14"/>
  <c r="AR127" i="14"/>
  <c r="AQ127" i="14"/>
  <c r="AP127" i="14"/>
  <c r="AH127" i="14"/>
  <c r="AG127" i="14"/>
  <c r="AF127" i="14"/>
  <c r="E128" i="14"/>
  <c r="D128" i="14"/>
  <c r="A129" i="14"/>
  <c r="C128" i="14"/>
  <c r="B128" i="14"/>
  <c r="AD128" i="14" l="1"/>
  <c r="AC128" i="14"/>
  <c r="AR128" i="14"/>
  <c r="AQ128" i="14"/>
  <c r="AP128" i="14"/>
  <c r="AH128" i="14"/>
  <c r="AG128" i="14"/>
  <c r="AF128" i="14"/>
  <c r="E129" i="14"/>
  <c r="D129" i="14"/>
  <c r="A130" i="14"/>
  <c r="C129" i="14"/>
  <c r="B129" i="14"/>
  <c r="AD129" i="14" l="1"/>
  <c r="AC129" i="14"/>
  <c r="AR129" i="14"/>
  <c r="AP129" i="14"/>
  <c r="AQ129" i="14"/>
  <c r="AH129" i="14"/>
  <c r="AG129" i="14"/>
  <c r="AF129" i="14"/>
  <c r="D130" i="14"/>
  <c r="A131" i="14"/>
  <c r="C130" i="14"/>
  <c r="B130" i="14"/>
  <c r="E130" i="14"/>
  <c r="AD130" i="14" l="1"/>
  <c r="AC130" i="14"/>
  <c r="AR130" i="14"/>
  <c r="AQ130" i="14"/>
  <c r="AP130" i="14"/>
  <c r="AG130" i="14"/>
  <c r="AH130" i="14"/>
  <c r="AF130" i="14"/>
  <c r="B131" i="14"/>
  <c r="E131" i="14"/>
  <c r="D131" i="14"/>
  <c r="A132" i="14"/>
  <c r="C131" i="14"/>
  <c r="AD131" i="14" l="1"/>
  <c r="AC131" i="14"/>
  <c r="AR131" i="14"/>
  <c r="AQ131" i="14"/>
  <c r="AP131" i="14"/>
  <c r="AG131" i="14"/>
  <c r="AH131" i="14"/>
  <c r="AF131" i="14"/>
  <c r="E132" i="14"/>
  <c r="D132" i="14"/>
  <c r="A133" i="14"/>
  <c r="C132" i="14"/>
  <c r="B132" i="14"/>
  <c r="AD132" i="14" l="1"/>
  <c r="AC132" i="14"/>
  <c r="AR132" i="14"/>
  <c r="AQ132" i="14"/>
  <c r="AP132" i="14"/>
  <c r="AH132" i="14"/>
  <c r="AG132" i="14"/>
  <c r="AF132" i="14"/>
  <c r="E133" i="14"/>
  <c r="D133" i="14"/>
  <c r="A134" i="14"/>
  <c r="C133" i="14"/>
  <c r="B133" i="14"/>
  <c r="AD133" i="14" l="1"/>
  <c r="AC133" i="14"/>
  <c r="AR133" i="14"/>
  <c r="AQ133" i="14"/>
  <c r="AP133" i="14"/>
  <c r="AH133" i="14"/>
  <c r="AG133" i="14"/>
  <c r="AF133" i="14"/>
  <c r="E134" i="14"/>
  <c r="D134" i="14"/>
  <c r="A135" i="14"/>
  <c r="C134" i="14"/>
  <c r="B134" i="14"/>
  <c r="AD134" i="14" l="1"/>
  <c r="AC134" i="14"/>
  <c r="AR134" i="14"/>
  <c r="AQ134" i="14"/>
  <c r="AP134" i="14"/>
  <c r="AG134" i="14"/>
  <c r="AH134" i="14"/>
  <c r="AF134" i="14"/>
  <c r="E135" i="14"/>
  <c r="D135" i="14"/>
  <c r="A136" i="14"/>
  <c r="C135" i="14"/>
  <c r="B135" i="14"/>
  <c r="AD135" i="14" l="1"/>
  <c r="AC135" i="14"/>
  <c r="AR135" i="14"/>
  <c r="AQ135" i="14"/>
  <c r="AP135" i="14"/>
  <c r="AG135" i="14"/>
  <c r="AH135" i="14"/>
  <c r="AF135" i="14"/>
  <c r="D136" i="14"/>
  <c r="A137" i="14"/>
  <c r="C136" i="14"/>
  <c r="B136" i="14"/>
  <c r="E136" i="14"/>
  <c r="AD136" i="14" l="1"/>
  <c r="AC136" i="14"/>
  <c r="AR136" i="14"/>
  <c r="AQ136" i="14"/>
  <c r="AP136" i="14"/>
  <c r="AF136" i="14"/>
  <c r="AG136" i="14"/>
  <c r="AH136" i="14"/>
  <c r="B137" i="14"/>
  <c r="E137" i="14"/>
  <c r="D137" i="14"/>
  <c r="A138" i="14"/>
  <c r="C137" i="14"/>
  <c r="AD137" i="14" l="1"/>
  <c r="AC137" i="14"/>
  <c r="AR137" i="14"/>
  <c r="AQ137" i="14"/>
  <c r="AP137" i="14"/>
  <c r="AG137" i="14"/>
  <c r="AH137" i="14"/>
  <c r="AF137" i="14"/>
  <c r="E138" i="14"/>
  <c r="D138" i="14"/>
  <c r="A139" i="14"/>
  <c r="C138" i="14"/>
  <c r="B138" i="14"/>
  <c r="AD138" i="14" l="1"/>
  <c r="AC138" i="14"/>
  <c r="AR138" i="14"/>
  <c r="AQ138" i="14"/>
  <c r="AP138" i="14"/>
  <c r="AG138" i="14"/>
  <c r="AH138" i="14"/>
  <c r="AF138" i="14"/>
  <c r="E139" i="14"/>
  <c r="D139" i="14"/>
  <c r="A140" i="14"/>
  <c r="C139" i="14"/>
  <c r="B139" i="14"/>
  <c r="AD139" i="14" l="1"/>
  <c r="AC139" i="14"/>
  <c r="AR139" i="14"/>
  <c r="AQ139" i="14"/>
  <c r="AP139" i="14"/>
  <c r="AH139" i="14"/>
  <c r="AG139" i="14"/>
  <c r="AF139" i="14"/>
  <c r="E140" i="14"/>
  <c r="D140" i="14"/>
  <c r="A141" i="14"/>
  <c r="C140" i="14"/>
  <c r="B140" i="14"/>
  <c r="AD140" i="14" l="1"/>
  <c r="AC140" i="14"/>
  <c r="AR140" i="14"/>
  <c r="AQ140" i="14"/>
  <c r="AP140" i="14"/>
  <c r="AH140" i="14"/>
  <c r="AG140" i="14"/>
  <c r="AF140" i="14"/>
  <c r="E141" i="14"/>
  <c r="D141" i="14"/>
  <c r="A142" i="14"/>
  <c r="C141" i="14"/>
  <c r="B141" i="14"/>
  <c r="AD141" i="14" l="1"/>
  <c r="AC141" i="14"/>
  <c r="AR141" i="14"/>
  <c r="AP141" i="14"/>
  <c r="AQ141" i="14"/>
  <c r="AH141" i="14"/>
  <c r="AG141" i="14"/>
  <c r="AF141" i="14"/>
  <c r="D142" i="14"/>
  <c r="A143" i="14"/>
  <c r="C142" i="14"/>
  <c r="B142" i="14"/>
  <c r="E142" i="14"/>
  <c r="AD142" i="14" l="1"/>
  <c r="AC142" i="14"/>
  <c r="AR142" i="14"/>
  <c r="AQ142" i="14"/>
  <c r="AP142" i="14"/>
  <c r="AG142" i="14"/>
  <c r="AH142" i="14"/>
  <c r="AF142" i="14"/>
  <c r="B143" i="14"/>
  <c r="E143" i="14"/>
  <c r="D143" i="14"/>
  <c r="A144" i="14"/>
  <c r="C143" i="14"/>
  <c r="AD143" i="14" l="1"/>
  <c r="AC143" i="14"/>
  <c r="AR143" i="14"/>
  <c r="AQ143" i="14"/>
  <c r="AP143" i="14"/>
  <c r="AG143" i="14"/>
  <c r="AH143" i="14"/>
  <c r="AF143" i="14"/>
  <c r="E144" i="14"/>
  <c r="D144" i="14"/>
  <c r="A145" i="14"/>
  <c r="C144" i="14"/>
  <c r="B144" i="14"/>
  <c r="AD144" i="14" l="1"/>
  <c r="AC144" i="14"/>
  <c r="AR144" i="14"/>
  <c r="AQ144" i="14"/>
  <c r="AP144" i="14"/>
  <c r="AH144" i="14"/>
  <c r="AF144" i="14"/>
  <c r="AG144" i="14"/>
  <c r="E145" i="14"/>
  <c r="D145" i="14"/>
  <c r="A146" i="14"/>
  <c r="C145" i="14"/>
  <c r="B145" i="14"/>
  <c r="AD145" i="14" l="1"/>
  <c r="AC145" i="14"/>
  <c r="AR145" i="14"/>
  <c r="AQ145" i="14"/>
  <c r="AP145" i="14"/>
  <c r="AH145" i="14"/>
  <c r="AG145" i="14"/>
  <c r="AF145" i="14"/>
  <c r="E146" i="14"/>
  <c r="D146" i="14"/>
  <c r="A147" i="14"/>
  <c r="C146" i="14"/>
  <c r="B146" i="14"/>
  <c r="AD146" i="14" l="1"/>
  <c r="AC146" i="14"/>
  <c r="AR146" i="14"/>
  <c r="AQ146" i="14"/>
  <c r="AP146" i="14"/>
  <c r="AG146" i="14"/>
  <c r="AH146" i="14"/>
  <c r="AF146" i="14"/>
  <c r="E147" i="14"/>
  <c r="D147" i="14"/>
  <c r="A148" i="14"/>
  <c r="C147" i="14"/>
  <c r="B147" i="14"/>
  <c r="AD147" i="14" l="1"/>
  <c r="AC147" i="14"/>
  <c r="AR147" i="14"/>
  <c r="AQ147" i="14"/>
  <c r="AP147" i="14"/>
  <c r="AG147" i="14"/>
  <c r="AH147" i="14"/>
  <c r="AF147" i="14"/>
  <c r="D148" i="14"/>
  <c r="A149" i="14"/>
  <c r="C148" i="14"/>
  <c r="B148" i="14"/>
  <c r="E148" i="14"/>
  <c r="AD148" i="14" l="1"/>
  <c r="AC148" i="14"/>
  <c r="AR148" i="14"/>
  <c r="AQ148" i="14"/>
  <c r="AP148" i="14"/>
  <c r="AH148" i="14"/>
  <c r="AF148" i="14"/>
  <c r="AG148" i="14"/>
  <c r="B149" i="14"/>
  <c r="E149" i="14"/>
  <c r="D149" i="14"/>
  <c r="A150" i="14"/>
  <c r="C149" i="14"/>
  <c r="AD149" i="14" l="1"/>
  <c r="AC149" i="14"/>
  <c r="AR149" i="14"/>
  <c r="AQ149" i="14"/>
  <c r="AP149" i="14"/>
  <c r="AH149" i="14"/>
  <c r="AG149" i="14"/>
  <c r="AF149" i="14"/>
  <c r="E150" i="14"/>
  <c r="D150" i="14"/>
  <c r="A151" i="14"/>
  <c r="C150" i="14"/>
  <c r="B150" i="14"/>
  <c r="AD150" i="14" l="1"/>
  <c r="AC150" i="14"/>
  <c r="AR150" i="14"/>
  <c r="AQ150" i="14"/>
  <c r="AP150" i="14"/>
  <c r="AH150" i="14"/>
  <c r="AG150" i="14"/>
  <c r="AF150" i="14"/>
  <c r="E151" i="14"/>
  <c r="D151" i="14"/>
  <c r="A152" i="14"/>
  <c r="C151" i="14"/>
  <c r="B151" i="14"/>
  <c r="AD151" i="14" l="1"/>
  <c r="AC151" i="14"/>
  <c r="AR151" i="14"/>
  <c r="AQ151" i="14"/>
  <c r="AP151" i="14"/>
  <c r="AH151" i="14"/>
  <c r="AG151" i="14"/>
  <c r="AF151" i="14"/>
  <c r="E152" i="14"/>
  <c r="D152" i="14"/>
  <c r="A153" i="14"/>
  <c r="C152" i="14"/>
  <c r="B152" i="14"/>
  <c r="AD152" i="14" l="1"/>
  <c r="AC152" i="14"/>
  <c r="AR152" i="14"/>
  <c r="AQ152" i="14"/>
  <c r="AP152" i="14"/>
  <c r="AH152" i="14"/>
  <c r="AG152" i="14"/>
  <c r="AF152" i="14"/>
  <c r="E153" i="14"/>
  <c r="D153" i="14"/>
  <c r="A154" i="14"/>
  <c r="C153" i="14"/>
  <c r="B153" i="14"/>
  <c r="AD153" i="14" l="1"/>
  <c r="AC153" i="14"/>
  <c r="AR153" i="14"/>
  <c r="AP153" i="14"/>
  <c r="AQ153" i="14"/>
  <c r="AH153" i="14"/>
  <c r="AG153" i="14"/>
  <c r="AF153" i="14"/>
  <c r="D154" i="14"/>
  <c r="A155" i="14"/>
  <c r="C154" i="14"/>
  <c r="B154" i="14"/>
  <c r="E154" i="14"/>
  <c r="AD154" i="14" l="1"/>
  <c r="AC154" i="14"/>
  <c r="AR154" i="14"/>
  <c r="AQ154" i="14"/>
  <c r="AP154" i="14"/>
  <c r="AH154" i="14"/>
  <c r="AG154" i="14"/>
  <c r="AF154" i="14"/>
  <c r="B155" i="14"/>
  <c r="E155" i="14"/>
  <c r="D155" i="14"/>
  <c r="C155" i="14"/>
  <c r="A156" i="14"/>
  <c r="AD155" i="14" l="1"/>
  <c r="AC155" i="14"/>
  <c r="AR155" i="14"/>
  <c r="AQ155" i="14"/>
  <c r="AP155" i="14"/>
  <c r="AH155" i="14"/>
  <c r="AG155" i="14"/>
  <c r="AF155" i="14"/>
  <c r="E156" i="14"/>
  <c r="D156" i="14"/>
  <c r="A157" i="14"/>
  <c r="C156" i="14"/>
  <c r="B156" i="14"/>
  <c r="AD156" i="14" l="1"/>
  <c r="AC156" i="14"/>
  <c r="AR156" i="14"/>
  <c r="AQ156" i="14"/>
  <c r="AP156" i="14"/>
  <c r="AH156" i="14"/>
  <c r="AF156" i="14"/>
  <c r="AG156" i="14"/>
  <c r="E157" i="14"/>
  <c r="D157" i="14"/>
  <c r="A158" i="14"/>
  <c r="C157" i="14"/>
  <c r="B157" i="14"/>
  <c r="AD157" i="14" l="1"/>
  <c r="AC157" i="14"/>
  <c r="AR157" i="14"/>
  <c r="AQ157" i="14"/>
  <c r="AP157" i="14"/>
  <c r="AH157" i="14"/>
  <c r="AF157" i="14"/>
  <c r="AG157" i="14"/>
  <c r="E158" i="14"/>
  <c r="D158" i="14"/>
  <c r="C158" i="14"/>
  <c r="A159" i="14"/>
  <c r="B158" i="14"/>
  <c r="AD158" i="14" l="1"/>
  <c r="AC158" i="14"/>
  <c r="AR158" i="14"/>
  <c r="AQ158" i="14"/>
  <c r="AP158" i="14"/>
  <c r="AG158" i="14"/>
  <c r="AH158" i="14"/>
  <c r="AF158" i="14"/>
  <c r="E159" i="14"/>
  <c r="D159" i="14"/>
  <c r="C159" i="14"/>
  <c r="B159" i="14"/>
  <c r="A160" i="14"/>
  <c r="AD159" i="14" l="1"/>
  <c r="AC159" i="14"/>
  <c r="AR159" i="14"/>
  <c r="AQ159" i="14"/>
  <c r="AP159" i="14"/>
  <c r="AG159" i="14"/>
  <c r="AH159" i="14"/>
  <c r="AF159" i="14"/>
  <c r="A161" i="14"/>
  <c r="E160" i="14"/>
  <c r="D160" i="14"/>
  <c r="C160" i="14"/>
  <c r="B160" i="14"/>
  <c r="AD160" i="14" l="1"/>
  <c r="AC160" i="14"/>
  <c r="AR160" i="14"/>
  <c r="AQ160" i="14"/>
  <c r="AP160" i="14"/>
  <c r="AF160" i="14"/>
  <c r="AG160" i="14"/>
  <c r="AH160" i="14"/>
  <c r="E161" i="14"/>
  <c r="A162" i="14"/>
  <c r="D161" i="14"/>
  <c r="C161" i="14"/>
  <c r="B161" i="14"/>
  <c r="AD161" i="14" l="1"/>
  <c r="AC161" i="14"/>
  <c r="AR161" i="14"/>
  <c r="AQ161" i="14"/>
  <c r="AP161" i="14"/>
  <c r="AG161" i="14"/>
  <c r="AH161" i="14"/>
  <c r="AF161" i="14"/>
  <c r="A163" i="14"/>
  <c r="C162" i="14"/>
  <c r="D162" i="14"/>
  <c r="E162" i="14"/>
  <c r="B162" i="14"/>
  <c r="AD162" i="14" l="1"/>
  <c r="AC162" i="14"/>
  <c r="AR162" i="14"/>
  <c r="AQ162" i="14"/>
  <c r="AP162" i="14"/>
  <c r="AG162" i="14"/>
  <c r="AH162" i="14"/>
  <c r="AF162" i="14"/>
  <c r="E163" i="14"/>
  <c r="B163" i="14"/>
  <c r="C163" i="14"/>
  <c r="A164" i="14"/>
  <c r="D163" i="14"/>
  <c r="AD163" i="14" l="1"/>
  <c r="AC163" i="14"/>
  <c r="AR163" i="14"/>
  <c r="AQ163" i="14"/>
  <c r="AP163" i="14"/>
  <c r="AG163" i="14"/>
  <c r="AH163" i="14"/>
  <c r="AF163" i="14"/>
  <c r="D164" i="14"/>
  <c r="A165" i="14"/>
  <c r="C164" i="14"/>
  <c r="E164" i="14"/>
  <c r="B164" i="14"/>
  <c r="AD164" i="14" l="1"/>
  <c r="AC164" i="14"/>
  <c r="AR164" i="14"/>
  <c r="AQ164" i="14"/>
  <c r="AP164" i="14"/>
  <c r="AH164" i="14"/>
  <c r="AG164" i="14"/>
  <c r="AF164" i="14"/>
  <c r="B165" i="14"/>
  <c r="E165" i="14"/>
  <c r="D165" i="14"/>
  <c r="C165" i="14"/>
  <c r="A166" i="14"/>
  <c r="AD165" i="14" l="1"/>
  <c r="AC165" i="14"/>
  <c r="AR165" i="14"/>
  <c r="AP165" i="14"/>
  <c r="AQ165" i="14"/>
  <c r="AH165" i="14"/>
  <c r="AG165" i="14"/>
  <c r="AF165" i="14"/>
  <c r="A167" i="14"/>
  <c r="E166" i="14"/>
  <c r="D166" i="14"/>
  <c r="C166" i="14"/>
  <c r="B166" i="14"/>
  <c r="AD166" i="14" l="1"/>
  <c r="AC166" i="14"/>
  <c r="AR166" i="14"/>
  <c r="AQ166" i="14"/>
  <c r="AP166" i="14"/>
  <c r="AH166" i="14"/>
  <c r="AG166" i="14"/>
  <c r="AF166" i="14"/>
  <c r="E167" i="14"/>
  <c r="D167" i="14"/>
  <c r="C167" i="14"/>
  <c r="B167" i="14"/>
  <c r="A168" i="14"/>
  <c r="AD167" i="14" l="1"/>
  <c r="AC167" i="14"/>
  <c r="AR167" i="14"/>
  <c r="AQ167" i="14"/>
  <c r="AP167" i="14"/>
  <c r="AH167" i="14"/>
  <c r="AG167" i="14"/>
  <c r="AF167" i="14"/>
  <c r="A169" i="14"/>
  <c r="C168" i="14"/>
  <c r="D168" i="14"/>
  <c r="E168" i="14"/>
  <c r="B168" i="14"/>
  <c r="AD168" i="14" l="1"/>
  <c r="AC168" i="14"/>
  <c r="AR168" i="14"/>
  <c r="AQ168" i="14"/>
  <c r="AP168" i="14"/>
  <c r="AH168" i="14"/>
  <c r="AG168" i="14"/>
  <c r="AF168" i="14"/>
  <c r="E169" i="14"/>
  <c r="B169" i="14"/>
  <c r="A170" i="14"/>
  <c r="D169" i="14"/>
  <c r="C169" i="14"/>
  <c r="AD169" i="14" l="1"/>
  <c r="AC169" i="14"/>
  <c r="AR169" i="14"/>
  <c r="AQ169" i="14"/>
  <c r="AP169" i="14"/>
  <c r="AH169" i="14"/>
  <c r="AF169" i="14"/>
  <c r="AG169" i="14"/>
  <c r="D170" i="14"/>
  <c r="A171" i="14"/>
  <c r="C170" i="14"/>
  <c r="E170" i="14"/>
  <c r="B170" i="14"/>
  <c r="AD170" i="14" l="1"/>
  <c r="AC170" i="14"/>
  <c r="AR170" i="14"/>
  <c r="AQ170" i="14"/>
  <c r="AP170" i="14"/>
  <c r="AG170" i="14"/>
  <c r="AH170" i="14"/>
  <c r="AF170" i="14"/>
  <c r="B171" i="14"/>
  <c r="A172" i="14"/>
  <c r="E171" i="14"/>
  <c r="D171" i="14"/>
  <c r="C171" i="14"/>
  <c r="AD171" i="14" l="1"/>
  <c r="AC171" i="14"/>
  <c r="AR171" i="14"/>
  <c r="AQ171" i="14"/>
  <c r="AP171" i="14"/>
  <c r="AG171" i="14"/>
  <c r="AH171" i="14"/>
  <c r="AF171" i="14"/>
  <c r="A173" i="14"/>
  <c r="C172" i="14"/>
  <c r="B172" i="14"/>
  <c r="E172" i="14"/>
  <c r="D172" i="14"/>
  <c r="AD172" i="14" l="1"/>
  <c r="AC172" i="14"/>
  <c r="AR172" i="14"/>
  <c r="AQ172" i="14"/>
  <c r="AP172" i="14"/>
  <c r="AF172" i="14"/>
  <c r="AG172" i="14"/>
  <c r="AH172" i="14"/>
  <c r="E173" i="14"/>
  <c r="A174" i="14"/>
  <c r="D173" i="14"/>
  <c r="C173" i="14"/>
  <c r="B173" i="14"/>
  <c r="AD173" i="14" l="1"/>
  <c r="AC173" i="14"/>
  <c r="AR173" i="14"/>
  <c r="AQ173" i="14"/>
  <c r="AP173" i="14"/>
  <c r="AG173" i="14"/>
  <c r="AH173" i="14"/>
  <c r="AF173" i="14"/>
  <c r="A175" i="14"/>
  <c r="C174" i="14"/>
  <c r="D174" i="14"/>
  <c r="E174" i="14"/>
  <c r="B174" i="14"/>
  <c r="AD174" i="14" l="1"/>
  <c r="AC174" i="14"/>
  <c r="AR174" i="14"/>
  <c r="AQ174" i="14"/>
  <c r="AP174" i="14"/>
  <c r="AG174" i="14"/>
  <c r="AH174" i="14"/>
  <c r="AF174" i="14"/>
  <c r="E175" i="14"/>
  <c r="B175" i="14"/>
  <c r="D175" i="14"/>
  <c r="A176" i="14"/>
  <c r="C175" i="14"/>
  <c r="AD175" i="14" l="1"/>
  <c r="AC175" i="14"/>
  <c r="AR175" i="14"/>
  <c r="AQ175" i="14"/>
  <c r="AP175" i="14"/>
  <c r="AG175" i="14"/>
  <c r="AH175" i="14"/>
  <c r="AF175" i="14"/>
  <c r="D176" i="14"/>
  <c r="A177" i="14"/>
  <c r="C176" i="14"/>
  <c r="E176" i="14"/>
  <c r="B176" i="14"/>
  <c r="AD176" i="14" l="1"/>
  <c r="AC176" i="14"/>
  <c r="AR176" i="14"/>
  <c r="AQ176" i="14"/>
  <c r="AP176" i="14"/>
  <c r="AH176" i="14"/>
  <c r="AG176" i="14"/>
  <c r="AF176" i="14"/>
  <c r="E177" i="14"/>
  <c r="B177" i="14"/>
  <c r="D177" i="14"/>
  <c r="A178" i="14"/>
  <c r="C177" i="14"/>
  <c r="AD177" i="14" l="1"/>
  <c r="AC177" i="14"/>
  <c r="AR177" i="14"/>
  <c r="AP177" i="14"/>
  <c r="AQ177" i="14"/>
  <c r="AH177" i="14"/>
  <c r="AG177" i="14"/>
  <c r="AF177" i="14"/>
  <c r="E178" i="14"/>
  <c r="A179" i="14"/>
  <c r="C178" i="14"/>
  <c r="D178" i="14"/>
  <c r="B178" i="14"/>
  <c r="AD178" i="14" l="1"/>
  <c r="AC178" i="14"/>
  <c r="AR178" i="14"/>
  <c r="AQ178" i="14"/>
  <c r="AP178" i="14"/>
  <c r="AH178" i="14"/>
  <c r="AG178" i="14"/>
  <c r="AF178" i="14"/>
  <c r="E179" i="14"/>
  <c r="A180" i="14"/>
  <c r="C179" i="14"/>
  <c r="D179" i="14"/>
  <c r="B179" i="14"/>
  <c r="AD179" i="14" l="1"/>
  <c r="AC179" i="14"/>
  <c r="AR179" i="14"/>
  <c r="AQ179" i="14"/>
  <c r="AP179" i="14"/>
  <c r="AH179" i="14"/>
  <c r="AG179" i="14"/>
  <c r="AF179" i="14"/>
  <c r="A181" i="14"/>
  <c r="C180" i="14"/>
  <c r="D180" i="14"/>
  <c r="E180" i="14"/>
  <c r="B180" i="14"/>
  <c r="AD180" i="14" l="1"/>
  <c r="AC180" i="14"/>
  <c r="AR180" i="14"/>
  <c r="AQ180" i="14"/>
  <c r="AP180" i="14"/>
  <c r="AH180" i="14"/>
  <c r="AG180" i="14"/>
  <c r="AF180" i="14"/>
  <c r="E181" i="14"/>
  <c r="B181" i="14"/>
  <c r="A182" i="14"/>
  <c r="C181" i="14"/>
  <c r="D181" i="14"/>
  <c r="AD181" i="14" l="1"/>
  <c r="AC181" i="14"/>
  <c r="AR181" i="14"/>
  <c r="AQ181" i="14"/>
  <c r="AP181" i="14"/>
  <c r="AH181" i="14"/>
  <c r="AG181" i="14"/>
  <c r="AF181" i="14"/>
  <c r="D182" i="14"/>
  <c r="A183" i="14"/>
  <c r="C182" i="14"/>
  <c r="E182" i="14"/>
  <c r="B182" i="14"/>
  <c r="AD182" i="14" l="1"/>
  <c r="AC182" i="14"/>
  <c r="AR182" i="14"/>
  <c r="AQ182" i="14"/>
  <c r="AP182" i="14"/>
  <c r="AG182" i="14"/>
  <c r="AH182" i="14"/>
  <c r="AF182" i="14"/>
  <c r="E183" i="14"/>
  <c r="B183" i="14"/>
  <c r="D183" i="14"/>
  <c r="A184" i="14"/>
  <c r="C183" i="14"/>
  <c r="AD183" i="14" l="1"/>
  <c r="AC183" i="14"/>
  <c r="AR183" i="14"/>
  <c r="AQ183" i="14"/>
  <c r="AP183" i="14"/>
  <c r="AG183" i="14"/>
  <c r="AH183" i="14"/>
  <c r="AF183" i="14"/>
  <c r="E184" i="14"/>
  <c r="A185" i="14"/>
  <c r="C184" i="14"/>
  <c r="D184" i="14"/>
  <c r="B184" i="14"/>
  <c r="AD184" i="14" l="1"/>
  <c r="AC184" i="14"/>
  <c r="AR184" i="14"/>
  <c r="AQ184" i="14"/>
  <c r="AP184" i="14"/>
  <c r="AF184" i="14"/>
  <c r="AG184" i="14"/>
  <c r="AH184" i="14"/>
  <c r="E185" i="14"/>
  <c r="A186" i="14"/>
  <c r="C185" i="14"/>
  <c r="D185" i="14"/>
  <c r="B185" i="14"/>
  <c r="AD185" i="14" l="1"/>
  <c r="AC185" i="14"/>
  <c r="AR185" i="14"/>
  <c r="AQ185" i="14"/>
  <c r="AP185" i="14"/>
  <c r="AH185" i="14"/>
  <c r="AG185" i="14"/>
  <c r="AF185" i="14"/>
  <c r="A187" i="14"/>
  <c r="C186" i="14"/>
  <c r="D186" i="14"/>
  <c r="E186" i="14"/>
  <c r="B186" i="14"/>
  <c r="AD186" i="14" l="1"/>
  <c r="AC186" i="14"/>
  <c r="AR186" i="14"/>
  <c r="AQ186" i="14"/>
  <c r="AP186" i="14"/>
  <c r="AH186" i="14"/>
  <c r="AG186" i="14"/>
  <c r="AF186" i="14"/>
  <c r="E187" i="14"/>
  <c r="D187" i="14"/>
  <c r="B187" i="14"/>
  <c r="C187" i="14"/>
  <c r="A188" i="14"/>
  <c r="AD187" i="14" l="1"/>
  <c r="AC187" i="14"/>
  <c r="AR187" i="14"/>
  <c r="AQ187" i="14"/>
  <c r="AP187" i="14"/>
  <c r="AH187" i="14"/>
  <c r="AG187" i="14"/>
  <c r="AF187" i="14"/>
  <c r="D188" i="14"/>
  <c r="A189" i="14"/>
  <c r="C188" i="14"/>
  <c r="B188" i="14"/>
  <c r="E188" i="14"/>
  <c r="AD188" i="14" l="1"/>
  <c r="AC188" i="14"/>
  <c r="AR188" i="14"/>
  <c r="AQ188" i="14"/>
  <c r="AP188" i="14"/>
  <c r="AH188" i="14"/>
  <c r="AG188" i="14"/>
  <c r="AF188" i="14"/>
  <c r="E189" i="14"/>
  <c r="B189" i="14"/>
  <c r="A190" i="14"/>
  <c r="D189" i="14"/>
  <c r="C189" i="14"/>
  <c r="AD189" i="14" l="1"/>
  <c r="AC189" i="14"/>
  <c r="AR189" i="14"/>
  <c r="AP189" i="14"/>
  <c r="AQ189" i="14"/>
  <c r="AH189" i="14"/>
  <c r="AG189" i="14"/>
  <c r="AF189" i="14"/>
  <c r="E190" i="14"/>
  <c r="A191" i="14"/>
  <c r="C190" i="14"/>
  <c r="D190" i="14"/>
  <c r="B190" i="14"/>
  <c r="AD190" i="14" l="1"/>
  <c r="AC190" i="14"/>
  <c r="AR190" i="14"/>
  <c r="AQ190" i="14"/>
  <c r="AP190" i="14"/>
  <c r="AH190" i="14"/>
  <c r="AG190" i="14"/>
  <c r="AF190" i="14"/>
  <c r="E191" i="14"/>
  <c r="A192" i="14"/>
  <c r="C191" i="14"/>
  <c r="B191" i="14"/>
  <c r="D191" i="14"/>
  <c r="AD191" i="14" l="1"/>
  <c r="AC191" i="14"/>
  <c r="AR191" i="14"/>
  <c r="AQ191" i="14"/>
  <c r="AP191" i="14"/>
  <c r="AH191" i="14"/>
  <c r="AG191" i="14"/>
  <c r="AF191" i="14"/>
  <c r="A193" i="14"/>
  <c r="C192" i="14"/>
  <c r="D192" i="14"/>
  <c r="E192" i="14"/>
  <c r="B192" i="14"/>
  <c r="AD192" i="14" l="1"/>
  <c r="AC192" i="14"/>
  <c r="AR192" i="14"/>
  <c r="AQ192" i="14"/>
  <c r="AP192" i="14"/>
  <c r="AH192" i="14"/>
  <c r="AG192" i="14"/>
  <c r="AF192" i="14"/>
  <c r="E193" i="14"/>
  <c r="D193" i="14"/>
  <c r="B193" i="14"/>
  <c r="C193" i="14"/>
  <c r="A194" i="14"/>
  <c r="AD193" i="14" l="1"/>
  <c r="AC193" i="14"/>
  <c r="AR193" i="14"/>
  <c r="AQ193" i="14"/>
  <c r="AP193" i="14"/>
  <c r="AH193" i="14"/>
  <c r="AG193" i="14"/>
  <c r="AF193" i="14"/>
  <c r="D194" i="14"/>
  <c r="A195" i="14"/>
  <c r="C194" i="14"/>
  <c r="B194" i="14"/>
  <c r="E194" i="14"/>
  <c r="AD194" i="14" l="1"/>
  <c r="AC194" i="14"/>
  <c r="AR194" i="14"/>
  <c r="AQ194" i="14"/>
  <c r="AP194" i="14"/>
  <c r="AG194" i="14"/>
  <c r="AH194" i="14"/>
  <c r="AF194" i="14"/>
  <c r="E195" i="14"/>
  <c r="B195" i="14"/>
  <c r="D195" i="14"/>
  <c r="C195" i="14"/>
  <c r="A196" i="14"/>
  <c r="AD195" i="14" l="1"/>
  <c r="AC195" i="14"/>
  <c r="AR195" i="14"/>
  <c r="AQ195" i="14"/>
  <c r="AP195" i="14"/>
  <c r="AG195" i="14"/>
  <c r="AH195" i="14"/>
  <c r="AF195" i="14"/>
  <c r="E196" i="14"/>
  <c r="A197" i="14"/>
  <c r="C196" i="14"/>
  <c r="D196" i="14"/>
  <c r="B196" i="14"/>
  <c r="AD196" i="14" l="1"/>
  <c r="AC196" i="14"/>
  <c r="AR196" i="14"/>
  <c r="AQ196" i="14"/>
  <c r="AP196" i="14"/>
  <c r="AF196" i="14"/>
  <c r="AG196" i="14"/>
  <c r="AH196" i="14"/>
  <c r="E197" i="14"/>
  <c r="A198" i="14"/>
  <c r="C197" i="14"/>
  <c r="D197" i="14"/>
  <c r="B197" i="14"/>
  <c r="AD197" i="14" l="1"/>
  <c r="AC197" i="14"/>
  <c r="AR197" i="14"/>
  <c r="AQ197" i="14"/>
  <c r="AP197" i="14"/>
  <c r="AG197" i="14"/>
  <c r="AH197" i="14"/>
  <c r="AF197" i="14"/>
  <c r="A199" i="14"/>
  <c r="C198" i="14"/>
  <c r="D198" i="14"/>
  <c r="E198" i="14"/>
  <c r="B198" i="14"/>
  <c r="AD198" i="14" l="1"/>
  <c r="AC198" i="14"/>
  <c r="AR198" i="14"/>
  <c r="AQ198" i="14"/>
  <c r="AP198" i="14"/>
  <c r="AG198" i="14"/>
  <c r="AH198" i="14"/>
  <c r="AF198" i="14"/>
  <c r="E199" i="14"/>
  <c r="D199" i="14"/>
  <c r="B199" i="14"/>
  <c r="C199" i="14"/>
  <c r="A200" i="14"/>
  <c r="AD199" i="14" l="1"/>
  <c r="AC199" i="14"/>
  <c r="AR199" i="14"/>
  <c r="AQ199" i="14"/>
  <c r="AP199" i="14"/>
  <c r="AG199" i="14"/>
  <c r="AH199" i="14"/>
  <c r="AF199" i="14"/>
  <c r="D200" i="14"/>
  <c r="A201" i="14"/>
  <c r="C200" i="14"/>
  <c r="B200" i="14"/>
  <c r="E200" i="14"/>
  <c r="AD200" i="14" l="1"/>
  <c r="AC200" i="14"/>
  <c r="AR200" i="14"/>
  <c r="AQ200" i="14"/>
  <c r="AP200" i="14"/>
  <c r="AH200" i="14"/>
  <c r="AF200" i="14"/>
  <c r="AG200" i="14"/>
  <c r="E201" i="14"/>
  <c r="B201" i="14"/>
  <c r="C201" i="14"/>
  <c r="A202" i="14"/>
  <c r="D201" i="14"/>
  <c r="AD201" i="14" l="1"/>
  <c r="AC201" i="14"/>
  <c r="AR201" i="14"/>
  <c r="AQ201" i="14"/>
  <c r="AP201" i="14"/>
  <c r="AH201" i="14"/>
  <c r="AF201" i="14"/>
  <c r="AG201" i="14"/>
  <c r="E202" i="14"/>
  <c r="D202" i="14"/>
  <c r="A203" i="14"/>
  <c r="C202" i="14"/>
  <c r="B202" i="14"/>
  <c r="AD202" i="14" l="1"/>
  <c r="AC202" i="14"/>
  <c r="AR202" i="14"/>
  <c r="AQ202" i="14"/>
  <c r="AP202" i="14"/>
  <c r="AH202" i="14"/>
  <c r="AF202" i="14"/>
  <c r="AG202" i="14"/>
  <c r="E203" i="14"/>
  <c r="D203" i="14"/>
  <c r="A204" i="14"/>
  <c r="C203" i="14"/>
  <c r="B203" i="14"/>
  <c r="AD203" i="14" l="1"/>
  <c r="AC203" i="14"/>
  <c r="AR203" i="14"/>
  <c r="AQ203" i="14"/>
  <c r="AP203" i="14"/>
  <c r="AH203" i="14"/>
  <c r="AG203" i="14"/>
  <c r="AF203" i="14"/>
  <c r="A205" i="14"/>
  <c r="C204" i="14"/>
  <c r="B204" i="14"/>
  <c r="D204" i="14"/>
  <c r="E204" i="14"/>
  <c r="AD204" i="14" l="1"/>
  <c r="AC204" i="14"/>
  <c r="AR204" i="14"/>
  <c r="AQ204" i="14"/>
  <c r="AP204" i="14"/>
  <c r="AH204" i="14"/>
  <c r="AG204" i="14"/>
  <c r="AF204" i="14"/>
  <c r="E205" i="14"/>
  <c r="D205" i="14"/>
  <c r="B205" i="14"/>
  <c r="A206" i="14"/>
  <c r="C205" i="14"/>
  <c r="AD205" i="14" l="1"/>
  <c r="AC205" i="14"/>
  <c r="AR205" i="14"/>
  <c r="AQ205" i="14"/>
  <c r="AP205" i="14"/>
  <c r="AH205" i="14"/>
  <c r="AG205" i="14"/>
  <c r="AF205" i="14"/>
  <c r="D206" i="14"/>
  <c r="A207" i="14"/>
  <c r="C206" i="14"/>
  <c r="B206" i="14"/>
  <c r="E206" i="14"/>
  <c r="AD206" i="14" l="1"/>
  <c r="AC206" i="14"/>
  <c r="AR206" i="14"/>
  <c r="AQ206" i="14"/>
  <c r="AP206" i="14"/>
  <c r="AG206" i="14"/>
  <c r="AH206" i="14"/>
  <c r="AF206" i="14"/>
  <c r="E207" i="14"/>
  <c r="B207" i="14"/>
  <c r="A208" i="14"/>
  <c r="D207" i="14"/>
  <c r="C207" i="14"/>
  <c r="AD207" i="14" l="1"/>
  <c r="AC207" i="14"/>
  <c r="AR207" i="14"/>
  <c r="AQ207" i="14"/>
  <c r="AP207" i="14"/>
  <c r="AG207" i="14"/>
  <c r="AH207" i="14"/>
  <c r="AF207" i="14"/>
  <c r="E208" i="14"/>
  <c r="D208" i="14"/>
  <c r="A209" i="14"/>
  <c r="C208" i="14"/>
  <c r="B208" i="14"/>
  <c r="AD208" i="14" l="1"/>
  <c r="AC208" i="14"/>
  <c r="AR208" i="14"/>
  <c r="AQ208" i="14"/>
  <c r="AP208" i="14"/>
  <c r="AF208" i="14"/>
  <c r="AG208" i="14"/>
  <c r="AH208" i="14"/>
  <c r="E209" i="14"/>
  <c r="D209" i="14"/>
  <c r="A210" i="14"/>
  <c r="C209" i="14"/>
  <c r="B209" i="14"/>
  <c r="AD209" i="14" l="1"/>
  <c r="AC209" i="14"/>
  <c r="AR209" i="14"/>
  <c r="AQ209" i="14"/>
  <c r="AP209" i="14"/>
  <c r="AG209" i="14"/>
  <c r="AH209" i="14"/>
  <c r="AF209" i="14"/>
  <c r="A211" i="14"/>
  <c r="C210" i="14"/>
  <c r="B210" i="14"/>
  <c r="D210" i="14"/>
  <c r="E210" i="14"/>
  <c r="AD210" i="14" l="1"/>
  <c r="AC210" i="14"/>
  <c r="AR210" i="14"/>
  <c r="AQ210" i="14"/>
  <c r="AP210" i="14"/>
  <c r="AG210" i="14"/>
  <c r="AH210" i="14"/>
  <c r="AF210" i="14"/>
  <c r="E211" i="14"/>
  <c r="D211" i="14"/>
  <c r="B211" i="14"/>
  <c r="A212" i="14"/>
  <c r="C211" i="14"/>
  <c r="AD211" i="14" l="1"/>
  <c r="AC211" i="14"/>
  <c r="AR211" i="14"/>
  <c r="AQ211" i="14"/>
  <c r="AP211" i="14"/>
  <c r="AG211" i="14"/>
  <c r="AH211" i="14"/>
  <c r="AF211" i="14"/>
  <c r="D212" i="14"/>
  <c r="A213" i="14"/>
  <c r="C212" i="14"/>
  <c r="B212" i="14"/>
  <c r="E212" i="14"/>
  <c r="AD212" i="14" l="1"/>
  <c r="AC212" i="14"/>
  <c r="AR212" i="14"/>
  <c r="AQ212" i="14"/>
  <c r="AP212" i="14"/>
  <c r="AH212" i="14"/>
  <c r="AG212" i="14"/>
  <c r="AF212" i="14"/>
  <c r="E213" i="14"/>
  <c r="D213" i="14"/>
  <c r="B213" i="14"/>
  <c r="C213" i="14"/>
  <c r="A214" i="14"/>
  <c r="AD213" i="14" l="1"/>
  <c r="AC213" i="14"/>
  <c r="AR213" i="14"/>
  <c r="AQ213" i="14"/>
  <c r="AP213" i="14"/>
  <c r="AH213" i="14"/>
  <c r="AG213" i="14"/>
  <c r="AF213" i="14"/>
  <c r="E214" i="14"/>
  <c r="D214" i="14"/>
  <c r="A215" i="14"/>
  <c r="C214" i="14"/>
  <c r="B214" i="14"/>
  <c r="AD214" i="14" l="1"/>
  <c r="AC214" i="14"/>
  <c r="AR214" i="14"/>
  <c r="AQ214" i="14"/>
  <c r="AP214" i="14"/>
  <c r="AH214" i="14"/>
  <c r="AG214" i="14"/>
  <c r="AF214" i="14"/>
  <c r="E215" i="14"/>
  <c r="D215" i="14"/>
  <c r="A216" i="14"/>
  <c r="C215" i="14"/>
  <c r="B215" i="14"/>
  <c r="AD215" i="14" l="1"/>
  <c r="AC215" i="14"/>
  <c r="AR215" i="14"/>
  <c r="AQ215" i="14"/>
  <c r="AP215" i="14"/>
  <c r="AH215" i="14"/>
  <c r="AG215" i="14"/>
  <c r="AF215" i="14"/>
  <c r="A217" i="14"/>
  <c r="C216" i="14"/>
  <c r="B216" i="14"/>
  <c r="D216" i="14"/>
  <c r="E216" i="14"/>
  <c r="AD216" i="14" l="1"/>
  <c r="AC216" i="14"/>
  <c r="AR216" i="14"/>
  <c r="AQ216" i="14"/>
  <c r="AP216" i="14"/>
  <c r="AH216" i="14"/>
  <c r="AG216" i="14"/>
  <c r="AF216" i="14"/>
  <c r="E217" i="14"/>
  <c r="D217" i="14"/>
  <c r="B217" i="14"/>
  <c r="A218" i="14"/>
  <c r="C217" i="14"/>
  <c r="AD217" i="14" l="1"/>
  <c r="AC217" i="14"/>
  <c r="AR217" i="14"/>
  <c r="AQ217" i="14"/>
  <c r="AP217" i="14"/>
  <c r="AH217" i="14"/>
  <c r="AG217" i="14"/>
  <c r="AF217" i="14"/>
  <c r="D218" i="14"/>
  <c r="A219" i="14"/>
  <c r="C218" i="14"/>
  <c r="B218" i="14"/>
  <c r="E218" i="14"/>
  <c r="AD218" i="14" l="1"/>
  <c r="AC218" i="14"/>
  <c r="AR218" i="14"/>
  <c r="AQ218" i="14"/>
  <c r="AP218" i="14"/>
  <c r="AG218" i="14"/>
  <c r="AH218" i="14"/>
  <c r="AF218" i="14"/>
  <c r="E219" i="14"/>
  <c r="D219" i="14"/>
  <c r="B219" i="14"/>
  <c r="A220" i="14"/>
  <c r="C219" i="14"/>
  <c r="AD219" i="14" l="1"/>
  <c r="AC219" i="14"/>
  <c r="AR219" i="14"/>
  <c r="AQ219" i="14"/>
  <c r="AP219" i="14"/>
  <c r="AG219" i="14"/>
  <c r="AH219" i="14"/>
  <c r="AF219" i="14"/>
  <c r="E220" i="14"/>
  <c r="D220" i="14"/>
  <c r="A221" i="14"/>
  <c r="C220" i="14"/>
  <c r="B220" i="14"/>
  <c r="AD220" i="14" l="1"/>
  <c r="AC220" i="14"/>
  <c r="AR220" i="14"/>
  <c r="AQ220" i="14"/>
  <c r="AP220" i="14"/>
  <c r="AF220" i="14"/>
  <c r="AG220" i="14"/>
  <c r="AH220" i="14"/>
  <c r="E221" i="14"/>
  <c r="D221" i="14"/>
  <c r="A222" i="14"/>
  <c r="C221" i="14"/>
  <c r="B221" i="14"/>
  <c r="AD221" i="14" l="1"/>
  <c r="AC221" i="14"/>
  <c r="AR221" i="14"/>
  <c r="AQ221" i="14"/>
  <c r="AP221" i="14"/>
  <c r="AH221" i="14"/>
  <c r="AG221" i="14"/>
  <c r="AF221" i="14"/>
  <c r="A223" i="14"/>
  <c r="C222" i="14"/>
  <c r="B222" i="14"/>
  <c r="D222" i="14"/>
  <c r="E222" i="14"/>
  <c r="AD222" i="14" l="1"/>
  <c r="AC222" i="14"/>
  <c r="AR222" i="14"/>
  <c r="AQ222" i="14"/>
  <c r="AP222" i="14"/>
  <c r="AH222" i="14"/>
  <c r="AG222" i="14"/>
  <c r="AF222" i="14"/>
  <c r="E223" i="14"/>
  <c r="D223" i="14"/>
  <c r="B223" i="14"/>
  <c r="A224" i="14"/>
  <c r="C223" i="14"/>
  <c r="AD223" i="14" l="1"/>
  <c r="AC223" i="14"/>
  <c r="AR223" i="14"/>
  <c r="AQ223" i="14"/>
  <c r="AP223" i="14"/>
  <c r="AH223" i="14"/>
  <c r="AG223" i="14"/>
  <c r="AF223" i="14"/>
  <c r="D224" i="14"/>
  <c r="A225" i="14"/>
  <c r="C224" i="14"/>
  <c r="B224" i="14"/>
  <c r="E224" i="14"/>
  <c r="AD224" i="14" l="1"/>
  <c r="AC224" i="14"/>
  <c r="AR224" i="14"/>
  <c r="AQ224" i="14"/>
  <c r="AP224" i="14"/>
  <c r="AH224" i="14"/>
  <c r="AF224" i="14"/>
  <c r="AG224" i="14"/>
  <c r="E225" i="14"/>
  <c r="D225" i="14"/>
  <c r="B225" i="14"/>
  <c r="A226" i="14"/>
  <c r="C225" i="14"/>
  <c r="AD225" i="14" l="1"/>
  <c r="AC225" i="14"/>
  <c r="AR225" i="14"/>
  <c r="AQ225" i="14"/>
  <c r="AP225" i="14"/>
  <c r="AH225" i="14"/>
  <c r="AF225" i="14"/>
  <c r="AG225" i="14"/>
  <c r="E226" i="14"/>
  <c r="D226" i="14"/>
  <c r="A227" i="14"/>
  <c r="C226" i="14"/>
  <c r="B226" i="14"/>
  <c r="AD226" i="14" l="1"/>
  <c r="AC226" i="14"/>
  <c r="AR226" i="14"/>
  <c r="AQ226" i="14"/>
  <c r="AP226" i="14"/>
  <c r="AH226" i="14"/>
  <c r="AF226" i="14"/>
  <c r="AG226" i="14"/>
  <c r="E227" i="14"/>
  <c r="D227" i="14"/>
  <c r="A228" i="14"/>
  <c r="C227" i="14"/>
  <c r="B227" i="14"/>
  <c r="AD227" i="14" l="1"/>
  <c r="AC227" i="14"/>
  <c r="AR227" i="14"/>
  <c r="AQ227" i="14"/>
  <c r="AP227" i="14"/>
  <c r="AH227" i="14"/>
  <c r="AG227" i="14"/>
  <c r="AF227" i="14"/>
  <c r="A229" i="14"/>
  <c r="C228" i="14"/>
  <c r="B228" i="14"/>
  <c r="D228" i="14"/>
  <c r="E228" i="14"/>
  <c r="AD228" i="14" l="1"/>
  <c r="AC228" i="14"/>
  <c r="AR228" i="14"/>
  <c r="AQ228" i="14"/>
  <c r="AP228" i="14"/>
  <c r="AH228" i="14"/>
  <c r="AG228" i="14"/>
  <c r="AF228" i="14"/>
  <c r="E229" i="14"/>
  <c r="D229" i="14"/>
  <c r="B229" i="14"/>
  <c r="C229" i="14"/>
  <c r="A230" i="14"/>
  <c r="AD229" i="14" l="1"/>
  <c r="AC229" i="14"/>
  <c r="AR229" i="14"/>
  <c r="AQ229" i="14"/>
  <c r="AP229" i="14"/>
  <c r="AH229" i="14"/>
  <c r="AG229" i="14"/>
  <c r="AF229" i="14"/>
  <c r="D230" i="14"/>
  <c r="A231" i="14"/>
  <c r="C230" i="14"/>
  <c r="B230" i="14"/>
  <c r="E230" i="14"/>
  <c r="AD230" i="14" l="1"/>
  <c r="AC230" i="14"/>
  <c r="AR230" i="14"/>
  <c r="AQ230" i="14"/>
  <c r="AP230" i="14"/>
  <c r="AG230" i="14"/>
  <c r="AH230" i="14"/>
  <c r="AF230" i="14"/>
  <c r="E231" i="14"/>
  <c r="D231" i="14"/>
  <c r="B231" i="14"/>
  <c r="A232" i="14"/>
  <c r="C231" i="14"/>
  <c r="AD231" i="14" l="1"/>
  <c r="AC231" i="14"/>
  <c r="AR231" i="14"/>
  <c r="AQ231" i="14"/>
  <c r="AP231" i="14"/>
  <c r="AG231" i="14"/>
  <c r="AH231" i="14"/>
  <c r="AF231" i="14"/>
  <c r="E232" i="14"/>
  <c r="D232" i="14"/>
  <c r="A233" i="14"/>
  <c r="C232" i="14"/>
  <c r="B232" i="14"/>
  <c r="AD232" i="14" l="1"/>
  <c r="AC232" i="14"/>
  <c r="AR232" i="14"/>
  <c r="AQ232" i="14"/>
  <c r="AP232" i="14"/>
  <c r="AF232" i="14"/>
  <c r="AG232" i="14"/>
  <c r="AH232" i="14"/>
  <c r="E233" i="14"/>
  <c r="D233" i="14"/>
  <c r="A234" i="14"/>
  <c r="C233" i="14"/>
  <c r="B233" i="14"/>
  <c r="AD233" i="14" l="1"/>
  <c r="AC233" i="14"/>
  <c r="AR233" i="14"/>
  <c r="AQ233" i="14"/>
  <c r="AP233" i="14"/>
  <c r="AG233" i="14"/>
  <c r="AH233" i="14"/>
  <c r="AF233" i="14"/>
  <c r="A235" i="14"/>
  <c r="C234" i="14"/>
  <c r="B234" i="14"/>
  <c r="D234" i="14"/>
  <c r="E234" i="14"/>
  <c r="AD234" i="14" l="1"/>
  <c r="AC234" i="14"/>
  <c r="AR234" i="14"/>
  <c r="AQ234" i="14"/>
  <c r="AP234" i="14"/>
  <c r="AG234" i="14"/>
  <c r="AH234" i="14"/>
  <c r="AF234" i="14"/>
  <c r="E235" i="14"/>
  <c r="D235" i="14"/>
  <c r="B235" i="14"/>
  <c r="C235" i="14"/>
  <c r="A236" i="14"/>
  <c r="AD235" i="14" l="1"/>
  <c r="AC235" i="14"/>
  <c r="AR235" i="14"/>
  <c r="AQ235" i="14"/>
  <c r="AP235" i="14"/>
  <c r="AH235" i="14"/>
  <c r="AF235" i="14"/>
  <c r="AG235" i="14"/>
  <c r="D236" i="14"/>
  <c r="A237" i="14"/>
  <c r="C236" i="14"/>
  <c r="B236" i="14"/>
  <c r="E236" i="14"/>
  <c r="AD236" i="14" l="1"/>
  <c r="AC236" i="14"/>
  <c r="AR236" i="14"/>
  <c r="AQ236" i="14"/>
  <c r="AP236" i="14"/>
  <c r="AH236" i="14"/>
  <c r="AF236" i="14"/>
  <c r="AG236" i="14"/>
  <c r="E237" i="14"/>
  <c r="D237" i="14"/>
  <c r="B237" i="14"/>
  <c r="A238" i="14"/>
  <c r="C237" i="14"/>
  <c r="AD237" i="14" l="1"/>
  <c r="AC237" i="14"/>
  <c r="AR237" i="14"/>
  <c r="AQ237" i="14"/>
  <c r="AP237" i="14"/>
  <c r="AH237" i="14"/>
  <c r="AF237" i="14"/>
  <c r="AG237" i="14"/>
  <c r="E238" i="14"/>
  <c r="D238" i="14"/>
  <c r="A239" i="14"/>
  <c r="C238" i="14"/>
  <c r="B238" i="14"/>
  <c r="AD238" i="14" l="1"/>
  <c r="AC238" i="14"/>
  <c r="AR238" i="14"/>
  <c r="AQ238" i="14"/>
  <c r="AP238" i="14"/>
  <c r="AH238" i="14"/>
  <c r="AF238" i="14"/>
  <c r="AG238" i="14"/>
  <c r="E239" i="14"/>
  <c r="D239" i="14"/>
  <c r="A240" i="14"/>
  <c r="C239" i="14"/>
  <c r="B239" i="14"/>
  <c r="AD239" i="14" l="1"/>
  <c r="AC239" i="14"/>
  <c r="AR239" i="14"/>
  <c r="AQ239" i="14"/>
  <c r="AP239" i="14"/>
  <c r="AH239" i="14"/>
  <c r="AF239" i="14"/>
  <c r="AG239" i="14"/>
  <c r="A241" i="14"/>
  <c r="C240" i="14"/>
  <c r="B240" i="14"/>
  <c r="E240" i="14"/>
  <c r="D240" i="14"/>
  <c r="AD240" i="14" l="1"/>
  <c r="AC240" i="14"/>
  <c r="AR240" i="14"/>
  <c r="AQ240" i="14"/>
  <c r="AP240" i="14"/>
  <c r="AH240" i="14"/>
  <c r="AF240" i="14"/>
  <c r="AG240" i="14"/>
  <c r="E241" i="14"/>
  <c r="D241" i="14"/>
  <c r="A242" i="14"/>
  <c r="C241" i="14"/>
  <c r="B241" i="14"/>
  <c r="AD241" i="14" l="1"/>
  <c r="AC241" i="14"/>
  <c r="AR241" i="14"/>
  <c r="AQ241" i="14"/>
  <c r="AP241" i="14"/>
  <c r="AH241" i="14"/>
  <c r="AF241" i="14"/>
  <c r="AG241" i="14"/>
  <c r="D242" i="14"/>
  <c r="A243" i="14"/>
  <c r="C242" i="14"/>
  <c r="B242" i="14"/>
  <c r="E242" i="14"/>
  <c r="AD242" i="14" l="1"/>
  <c r="AC242" i="14"/>
  <c r="AR242" i="14"/>
  <c r="AQ242" i="14"/>
  <c r="AP242" i="14"/>
  <c r="AG242" i="14"/>
  <c r="AH242" i="14"/>
  <c r="AF242" i="14"/>
  <c r="E243" i="14"/>
  <c r="D243" i="14"/>
  <c r="B243" i="14"/>
  <c r="A244" i="14"/>
  <c r="C243" i="14"/>
  <c r="AD243" i="14" l="1"/>
  <c r="AC243" i="14"/>
  <c r="AR243" i="14"/>
  <c r="AQ243" i="14"/>
  <c r="AP243" i="14"/>
  <c r="AG243" i="14"/>
  <c r="AH243" i="14"/>
  <c r="AF243" i="14"/>
  <c r="E244" i="14"/>
  <c r="D244" i="14"/>
  <c r="A245" i="14"/>
  <c r="C244" i="14"/>
  <c r="B244" i="14"/>
  <c r="AD244" i="14" l="1"/>
  <c r="AC244" i="14"/>
  <c r="AR244" i="14"/>
  <c r="AQ244" i="14"/>
  <c r="AP244" i="14"/>
  <c r="AF244" i="14"/>
  <c r="AG244" i="14"/>
  <c r="AH244" i="14"/>
  <c r="E245" i="14"/>
  <c r="D245" i="14"/>
  <c r="A246" i="14"/>
  <c r="C245" i="14"/>
  <c r="B245" i="14"/>
  <c r="AD245" i="14" l="1"/>
  <c r="AC245" i="14"/>
  <c r="AR245" i="14"/>
  <c r="AQ245" i="14"/>
  <c r="AP245" i="14"/>
  <c r="AG245" i="14"/>
  <c r="AH245" i="14"/>
  <c r="AF245" i="14"/>
  <c r="A247" i="14"/>
  <c r="C246" i="14"/>
  <c r="B246" i="14"/>
  <c r="E246" i="14"/>
  <c r="D246" i="14"/>
  <c r="AD246" i="14" l="1"/>
  <c r="AC246" i="14"/>
  <c r="AR246" i="14"/>
  <c r="AQ246" i="14"/>
  <c r="AP246" i="14"/>
  <c r="AG246" i="14"/>
  <c r="AH246" i="14"/>
  <c r="AF246" i="14"/>
  <c r="E247" i="14"/>
  <c r="D247" i="14"/>
  <c r="A248" i="14"/>
  <c r="C247" i="14"/>
  <c r="B247" i="14"/>
  <c r="AD247" i="14" l="1"/>
  <c r="AC247" i="14"/>
  <c r="AR247" i="14"/>
  <c r="AQ247" i="14"/>
  <c r="AP247" i="14"/>
  <c r="AH247" i="14"/>
  <c r="AG247" i="14"/>
  <c r="AF247" i="14"/>
  <c r="D248" i="14"/>
  <c r="A249" i="14"/>
  <c r="C248" i="14"/>
  <c r="B248" i="14"/>
  <c r="E248" i="14"/>
  <c r="AD248" i="14" l="1"/>
  <c r="AC248" i="14"/>
  <c r="AR248" i="14"/>
  <c r="AQ248" i="14"/>
  <c r="AP248" i="14"/>
  <c r="AH248" i="14"/>
  <c r="AF248" i="14"/>
  <c r="AG248" i="14"/>
  <c r="E249" i="14"/>
  <c r="D249" i="14"/>
  <c r="B249" i="14"/>
  <c r="A250" i="14"/>
  <c r="C249" i="14"/>
  <c r="AD249" i="14" l="1"/>
  <c r="AC249" i="14"/>
  <c r="AR249" i="14"/>
  <c r="AP249" i="14"/>
  <c r="AQ249" i="14"/>
  <c r="AH249" i="14"/>
  <c r="AG249" i="14"/>
  <c r="AF249" i="14"/>
  <c r="E250" i="14"/>
  <c r="D250" i="14"/>
  <c r="A251" i="14"/>
  <c r="C250" i="14"/>
  <c r="B250" i="14"/>
  <c r="AD250" i="14" l="1"/>
  <c r="AC250" i="14"/>
  <c r="AR250" i="14"/>
  <c r="AQ250" i="14"/>
  <c r="AP250" i="14"/>
  <c r="AH250" i="14"/>
  <c r="AG250" i="14"/>
  <c r="AF250" i="14"/>
  <c r="E251" i="14"/>
  <c r="D251" i="14"/>
  <c r="A252" i="14"/>
  <c r="C251" i="14"/>
  <c r="B251" i="14"/>
  <c r="AD251" i="14" l="1"/>
  <c r="AC251" i="14"/>
  <c r="AR251" i="14"/>
  <c r="AQ251" i="14"/>
  <c r="AP251" i="14"/>
  <c r="AH251" i="14"/>
  <c r="AG251" i="14"/>
  <c r="AF251" i="14"/>
  <c r="A253" i="14"/>
  <c r="C252" i="14"/>
  <c r="B252" i="14"/>
  <c r="E252" i="14"/>
  <c r="D252" i="14"/>
  <c r="AD252" i="14" l="1"/>
  <c r="AC252" i="14"/>
  <c r="AR252" i="14"/>
  <c r="AQ252" i="14"/>
  <c r="AP252" i="14"/>
  <c r="AH252" i="14"/>
  <c r="AG252" i="14"/>
  <c r="AF252" i="14"/>
  <c r="E253" i="14"/>
  <c r="D253" i="14"/>
  <c r="A254" i="14"/>
  <c r="C253" i="14"/>
  <c r="B253" i="14"/>
  <c r="AD253" i="14" l="1"/>
  <c r="AC253" i="14"/>
  <c r="AR253" i="14"/>
  <c r="AQ253" i="14"/>
  <c r="AP253" i="14"/>
  <c r="AH253" i="14"/>
  <c r="AG253" i="14"/>
  <c r="AF253" i="14"/>
  <c r="D254" i="14"/>
  <c r="C254" i="14"/>
  <c r="B254" i="14"/>
  <c r="A255" i="14"/>
  <c r="E254" i="14"/>
  <c r="AD254" i="14" l="1"/>
  <c r="AC254" i="14"/>
  <c r="AR254" i="14"/>
  <c r="AQ254" i="14"/>
  <c r="AP254" i="14"/>
  <c r="AG254" i="14"/>
  <c r="AH254" i="14"/>
  <c r="AF254" i="14"/>
  <c r="D255" i="14"/>
  <c r="C255" i="14"/>
  <c r="B255" i="14"/>
  <c r="A256" i="14"/>
  <c r="E255" i="14"/>
  <c r="AD255" i="14" l="1"/>
  <c r="AC255" i="14"/>
  <c r="AR255" i="14"/>
  <c r="AQ255" i="14"/>
  <c r="AP255" i="14"/>
  <c r="AG255" i="14"/>
  <c r="AH255" i="14"/>
  <c r="AF255" i="14"/>
  <c r="D256" i="14"/>
  <c r="C256" i="14"/>
  <c r="B256" i="14"/>
  <c r="A257" i="14"/>
  <c r="E256" i="14"/>
  <c r="AD256" i="14" l="1"/>
  <c r="AC256" i="14"/>
  <c r="AR256" i="14"/>
  <c r="AQ256" i="14"/>
  <c r="AP256" i="14"/>
  <c r="AF256" i="14"/>
  <c r="AG256" i="14"/>
  <c r="AH256" i="14"/>
  <c r="E257" i="14"/>
  <c r="D257" i="14"/>
  <c r="C257" i="14"/>
  <c r="B257" i="14"/>
  <c r="A258" i="14"/>
  <c r="AD257" i="14" l="1"/>
  <c r="AC257" i="14"/>
  <c r="AR257" i="14"/>
  <c r="AQ257" i="14"/>
  <c r="AP257" i="14"/>
  <c r="AH257" i="14"/>
  <c r="AG257" i="14"/>
  <c r="AF257" i="14"/>
  <c r="A259" i="14"/>
  <c r="C258" i="14"/>
  <c r="E258" i="14"/>
  <c r="D258" i="14"/>
  <c r="B258" i="14"/>
  <c r="AD258" i="14" l="1"/>
  <c r="AC258" i="14"/>
  <c r="AR258" i="14"/>
  <c r="AQ258" i="14"/>
  <c r="AP258" i="14"/>
  <c r="AH258" i="14"/>
  <c r="AG258" i="14"/>
  <c r="AF258" i="14"/>
  <c r="E259" i="14"/>
  <c r="D259" i="14"/>
  <c r="C259" i="14"/>
  <c r="B259" i="14"/>
  <c r="A260" i="14"/>
  <c r="AD259" i="14" l="1"/>
  <c r="AC259" i="14"/>
  <c r="AR259" i="14"/>
  <c r="AQ259" i="14"/>
  <c r="AP259" i="14"/>
  <c r="AH259" i="14"/>
  <c r="AG259" i="14"/>
  <c r="AF259" i="14"/>
  <c r="E260" i="14"/>
  <c r="D260" i="14"/>
  <c r="C260" i="14"/>
  <c r="B260" i="14"/>
  <c r="A261" i="14"/>
  <c r="AD260" i="14" l="1"/>
  <c r="AC260" i="14"/>
  <c r="AR260" i="14"/>
  <c r="AQ260" i="14"/>
  <c r="AP260" i="14"/>
  <c r="AH260" i="14"/>
  <c r="AG260" i="14"/>
  <c r="AF260" i="14"/>
  <c r="E261" i="14"/>
  <c r="D261" i="14"/>
  <c r="C261" i="14"/>
  <c r="B261" i="14"/>
  <c r="A262" i="14"/>
  <c r="AD261" i="14" l="1"/>
  <c r="AC261" i="14"/>
  <c r="AR261" i="14"/>
  <c r="AP261" i="14"/>
  <c r="AQ261" i="14"/>
  <c r="AH261" i="14"/>
  <c r="AF261" i="14"/>
  <c r="AG261" i="14"/>
  <c r="E262" i="14"/>
  <c r="D262" i="14"/>
  <c r="C262" i="14"/>
  <c r="B262" i="14"/>
  <c r="A263" i="14"/>
  <c r="AD262" i="14" l="1"/>
  <c r="AC262" i="14"/>
  <c r="AR262" i="14"/>
  <c r="AQ262" i="14"/>
  <c r="AP262" i="14"/>
  <c r="AH262" i="14"/>
  <c r="AF262" i="14"/>
  <c r="AG262" i="14"/>
  <c r="E263" i="14"/>
  <c r="D263" i="14"/>
  <c r="C263" i="14"/>
  <c r="B263" i="14"/>
  <c r="A264" i="14"/>
  <c r="AD263" i="14" l="1"/>
  <c r="AC263" i="14"/>
  <c r="AR263" i="14"/>
  <c r="AQ263" i="14"/>
  <c r="AP263" i="14"/>
  <c r="AH263" i="14"/>
  <c r="AF263" i="14"/>
  <c r="AG263" i="14"/>
  <c r="A265" i="14"/>
  <c r="C264" i="14"/>
  <c r="E264" i="14"/>
  <c r="D264" i="14"/>
  <c r="B264" i="14"/>
  <c r="AD264" i="14" l="1"/>
  <c r="AC264" i="14"/>
  <c r="AR264" i="14"/>
  <c r="AQ264" i="14"/>
  <c r="AP264" i="14"/>
  <c r="AH264" i="14"/>
  <c r="AF264" i="14"/>
  <c r="AG264" i="14"/>
  <c r="A266" i="14"/>
  <c r="E265" i="14"/>
  <c r="D265" i="14"/>
  <c r="C265" i="14"/>
  <c r="B265" i="14"/>
  <c r="AD265" i="14" l="1"/>
  <c r="AC265" i="14"/>
  <c r="AR265" i="14"/>
  <c r="AQ265" i="14"/>
  <c r="AP265" i="14"/>
  <c r="AH265" i="14"/>
  <c r="AF265" i="14"/>
  <c r="AG265" i="14"/>
  <c r="A267" i="14"/>
  <c r="E266" i="14"/>
  <c r="D266" i="14"/>
  <c r="C266" i="14"/>
  <c r="B266" i="14"/>
  <c r="AD266" i="14" l="1"/>
  <c r="AC266" i="14"/>
  <c r="AR266" i="14"/>
  <c r="AQ266" i="14"/>
  <c r="AP266" i="14"/>
  <c r="AG266" i="14"/>
  <c r="AH266" i="14"/>
  <c r="AF266" i="14"/>
  <c r="A268" i="14"/>
  <c r="E267" i="14"/>
  <c r="D267" i="14"/>
  <c r="C267" i="14"/>
  <c r="B267" i="14"/>
  <c r="AD267" i="14" l="1"/>
  <c r="AC267" i="14"/>
  <c r="AR267" i="14"/>
  <c r="AQ267" i="14"/>
  <c r="AP267" i="14"/>
  <c r="AG267" i="14"/>
  <c r="AH267" i="14"/>
  <c r="AF267" i="14"/>
  <c r="A269" i="14"/>
  <c r="E268" i="14"/>
  <c r="D268" i="14"/>
  <c r="C268" i="14"/>
  <c r="B268" i="14"/>
  <c r="AD268" i="14" l="1"/>
  <c r="AC268" i="14"/>
  <c r="AR268" i="14"/>
  <c r="AQ268" i="14"/>
  <c r="AP268" i="14"/>
  <c r="AF268" i="14"/>
  <c r="AG268" i="14"/>
  <c r="AH268" i="14"/>
  <c r="E269" i="14"/>
  <c r="A270" i="14"/>
  <c r="D269" i="14"/>
  <c r="C269" i="14"/>
  <c r="B269" i="14"/>
  <c r="AD269" i="14" l="1"/>
  <c r="AC269" i="14"/>
  <c r="AR269" i="14"/>
  <c r="AQ269" i="14"/>
  <c r="AP269" i="14"/>
  <c r="AG269" i="14"/>
  <c r="AH269" i="14"/>
  <c r="AF269" i="14"/>
  <c r="A271" i="14"/>
  <c r="C270" i="14"/>
  <c r="E270" i="14"/>
  <c r="D270" i="14"/>
  <c r="B270" i="14"/>
  <c r="AD270" i="14" l="1"/>
  <c r="AC270" i="14"/>
  <c r="AR270" i="14"/>
  <c r="AQ270" i="14"/>
  <c r="AP270" i="14"/>
  <c r="AG270" i="14"/>
  <c r="AH270" i="14"/>
  <c r="AF270" i="14"/>
  <c r="B271" i="14"/>
  <c r="A272" i="14"/>
  <c r="E271" i="14"/>
  <c r="D271" i="14"/>
  <c r="C271" i="14"/>
  <c r="AD271" i="14" l="1"/>
  <c r="AC271" i="14"/>
  <c r="AR271" i="14"/>
  <c r="AQ271" i="14"/>
  <c r="AP271" i="14"/>
  <c r="AH271" i="14"/>
  <c r="AG271" i="14"/>
  <c r="AF271" i="14"/>
  <c r="B272" i="14"/>
  <c r="A273" i="14"/>
  <c r="E272" i="14"/>
  <c r="D272" i="14"/>
  <c r="C272" i="14"/>
  <c r="AD272" i="14" l="1"/>
  <c r="AC272" i="14"/>
  <c r="AR272" i="14"/>
  <c r="AQ272" i="14"/>
  <c r="AP272" i="14"/>
  <c r="AH272" i="14"/>
  <c r="AG272" i="14"/>
  <c r="AF272" i="14"/>
  <c r="B273" i="14"/>
  <c r="A274" i="14"/>
  <c r="E273" i="14"/>
  <c r="D273" i="14"/>
  <c r="C273" i="14"/>
  <c r="AD273" i="14" l="1"/>
  <c r="AC273" i="14"/>
  <c r="AR273" i="14"/>
  <c r="AP273" i="14"/>
  <c r="AQ273" i="14"/>
  <c r="AH273" i="14"/>
  <c r="AG273" i="14"/>
  <c r="AF273" i="14"/>
  <c r="B274" i="14"/>
  <c r="A275" i="14"/>
  <c r="E274" i="14"/>
  <c r="D274" i="14"/>
  <c r="C274" i="14"/>
  <c r="AD274" i="14" l="1"/>
  <c r="AC274" i="14"/>
  <c r="AR274" i="14"/>
  <c r="AQ274" i="14"/>
  <c r="AP274" i="14"/>
  <c r="AH274" i="14"/>
  <c r="AF274" i="14"/>
  <c r="AG274" i="14"/>
  <c r="E275" i="14"/>
  <c r="B275" i="14"/>
  <c r="A276" i="14"/>
  <c r="D275" i="14"/>
  <c r="C275" i="14"/>
  <c r="AD275" i="14" l="1"/>
  <c r="AC275" i="14"/>
  <c r="AR275" i="14"/>
  <c r="AQ275" i="14"/>
  <c r="AP275" i="14"/>
  <c r="AH275" i="14"/>
  <c r="AF275" i="14"/>
  <c r="AG275" i="14"/>
  <c r="A277" i="14"/>
  <c r="C276" i="14"/>
  <c r="B276" i="14"/>
  <c r="E276" i="14"/>
  <c r="D276" i="14"/>
  <c r="AD276" i="14" l="1"/>
  <c r="AC276" i="14"/>
  <c r="AR276" i="14"/>
  <c r="AQ276" i="14"/>
  <c r="AP276" i="14"/>
  <c r="AH276" i="14"/>
  <c r="AF276" i="14"/>
  <c r="AG276" i="14"/>
  <c r="C277" i="14"/>
  <c r="B277" i="14"/>
  <c r="A278" i="14"/>
  <c r="E277" i="14"/>
  <c r="D277" i="14"/>
  <c r="AD277" i="14" l="1"/>
  <c r="AC277" i="14"/>
  <c r="AR277" i="14"/>
  <c r="AQ277" i="14"/>
  <c r="AP277" i="14"/>
  <c r="AH277" i="14"/>
  <c r="AF277" i="14"/>
  <c r="AG277" i="14"/>
  <c r="C278" i="14"/>
  <c r="B278" i="14"/>
  <c r="A279" i="14"/>
  <c r="E278" i="14"/>
  <c r="D278" i="14"/>
  <c r="AD278" i="14" l="1"/>
  <c r="AC278" i="14"/>
  <c r="AR278" i="14"/>
  <c r="AQ278" i="14"/>
  <c r="AP278" i="14"/>
  <c r="AG278" i="14"/>
  <c r="AH278" i="14"/>
  <c r="AF278" i="14"/>
  <c r="C279" i="14"/>
  <c r="B279" i="14"/>
  <c r="A280" i="14"/>
  <c r="E279" i="14"/>
  <c r="D279" i="14"/>
  <c r="AD279" i="14" l="1"/>
  <c r="AC279" i="14"/>
  <c r="AR279" i="14"/>
  <c r="AQ279" i="14"/>
  <c r="AP279" i="14"/>
  <c r="AG279" i="14"/>
  <c r="AH279" i="14"/>
  <c r="AF279" i="14"/>
  <c r="C280" i="14"/>
  <c r="B280" i="14"/>
  <c r="A281" i="14"/>
  <c r="E280" i="14"/>
  <c r="D280" i="14"/>
  <c r="AD280" i="14" l="1"/>
  <c r="AC280" i="14"/>
  <c r="AR280" i="14"/>
  <c r="AQ280" i="14"/>
  <c r="AP280" i="14"/>
  <c r="AF280" i="14"/>
  <c r="AG280" i="14"/>
  <c r="AH280" i="14"/>
  <c r="E281" i="14"/>
  <c r="D281" i="14"/>
  <c r="C281" i="14"/>
  <c r="B281" i="14"/>
  <c r="A282" i="14"/>
  <c r="AD281" i="14" l="1"/>
  <c r="AC281" i="14"/>
  <c r="AR281" i="14"/>
  <c r="AQ281" i="14"/>
  <c r="AP281" i="14"/>
  <c r="AG281" i="14"/>
  <c r="AH281" i="14"/>
  <c r="AF281" i="14"/>
  <c r="A283" i="14"/>
  <c r="C282" i="14"/>
  <c r="E282" i="14"/>
  <c r="D282" i="14"/>
  <c r="B282" i="14"/>
  <c r="AD282" i="14" l="1"/>
  <c r="AC282" i="14"/>
  <c r="AR282" i="14"/>
  <c r="AQ282" i="14"/>
  <c r="AP282" i="14"/>
  <c r="AG282" i="14"/>
  <c r="AH282" i="14"/>
  <c r="AF282" i="14"/>
  <c r="E283" i="14"/>
  <c r="C283" i="14"/>
  <c r="B283" i="14"/>
  <c r="A284" i="14"/>
  <c r="D283" i="14"/>
  <c r="AD283" i="14" l="1"/>
  <c r="AC283" i="14"/>
  <c r="AR283" i="14"/>
  <c r="AQ283" i="14"/>
  <c r="AP283" i="14"/>
  <c r="AH283" i="14"/>
  <c r="AG283" i="14"/>
  <c r="AF283" i="14"/>
  <c r="A285" i="14"/>
  <c r="C284" i="14"/>
  <c r="E284" i="14"/>
  <c r="D284" i="14"/>
  <c r="B284" i="14"/>
  <c r="AD284" i="14" l="1"/>
  <c r="AC284" i="14"/>
  <c r="AR284" i="14"/>
  <c r="AQ284" i="14"/>
  <c r="AP284" i="14"/>
  <c r="AH284" i="14"/>
  <c r="AG284" i="14"/>
  <c r="AF284" i="14"/>
  <c r="C285" i="14"/>
  <c r="B285" i="14"/>
  <c r="A286" i="14"/>
  <c r="E285" i="14"/>
  <c r="D285" i="14"/>
  <c r="AD285" i="14" l="1"/>
  <c r="AC285" i="14"/>
  <c r="AR285" i="14"/>
  <c r="AP285" i="14"/>
  <c r="AQ285" i="14"/>
  <c r="AH285" i="14"/>
  <c r="AG285" i="14"/>
  <c r="AF285" i="14"/>
  <c r="E286" i="14"/>
  <c r="D286" i="14"/>
  <c r="C286" i="14"/>
  <c r="B286" i="14"/>
  <c r="A287" i="14"/>
  <c r="AD286" i="14" l="1"/>
  <c r="AC286" i="14"/>
  <c r="AR286" i="14"/>
  <c r="AQ286" i="14"/>
  <c r="AP286" i="14"/>
  <c r="AH286" i="14"/>
  <c r="AG286" i="14"/>
  <c r="AF286" i="14"/>
  <c r="E287" i="14"/>
  <c r="D287" i="14"/>
  <c r="C287" i="14"/>
  <c r="A288" i="14"/>
  <c r="B287" i="14"/>
  <c r="AD287" i="14" l="1"/>
  <c r="AC287" i="14"/>
  <c r="AR287" i="14"/>
  <c r="AQ287" i="14"/>
  <c r="AP287" i="14"/>
  <c r="AH287" i="14"/>
  <c r="AF287" i="14"/>
  <c r="AG287" i="14"/>
  <c r="A289" i="14"/>
  <c r="C288" i="14"/>
  <c r="D288" i="14"/>
  <c r="E288" i="14"/>
  <c r="B288" i="14"/>
  <c r="AD288" i="14" l="1"/>
  <c r="AC288" i="14"/>
  <c r="AR288" i="14"/>
  <c r="AQ288" i="14"/>
  <c r="AP288" i="14"/>
  <c r="AH288" i="14"/>
  <c r="AG288" i="14"/>
  <c r="AF288" i="14"/>
  <c r="E289" i="14"/>
  <c r="B289" i="14"/>
  <c r="A290" i="14"/>
  <c r="D289" i="14"/>
  <c r="C289" i="14"/>
  <c r="AD289" i="14" l="1"/>
  <c r="AC289" i="14"/>
  <c r="AR289" i="14"/>
  <c r="AQ289" i="14"/>
  <c r="AP289" i="14"/>
  <c r="AH289" i="14"/>
  <c r="AG289" i="14"/>
  <c r="AF289" i="14"/>
  <c r="D290" i="14"/>
  <c r="A291" i="14"/>
  <c r="C290" i="14"/>
  <c r="B290" i="14"/>
  <c r="E290" i="14"/>
  <c r="AD290" i="14" l="1"/>
  <c r="AC290" i="14"/>
  <c r="AR290" i="14"/>
  <c r="AQ290" i="14"/>
  <c r="AP290" i="14"/>
  <c r="AG290" i="14"/>
  <c r="AH290" i="14"/>
  <c r="AF290" i="14"/>
  <c r="B291" i="14"/>
  <c r="A292" i="14"/>
  <c r="E291" i="14"/>
  <c r="D291" i="14"/>
  <c r="C291" i="14"/>
  <c r="AD291" i="14" l="1"/>
  <c r="AC291" i="14"/>
  <c r="AR291" i="14"/>
  <c r="AQ291" i="14"/>
  <c r="AP291" i="14"/>
  <c r="AG291" i="14"/>
  <c r="AH291" i="14"/>
  <c r="AF291" i="14"/>
  <c r="D292" i="14"/>
  <c r="C292" i="14"/>
  <c r="B292" i="14"/>
  <c r="A293" i="14"/>
  <c r="E292" i="14"/>
  <c r="AD292" i="14" l="1"/>
  <c r="AC292" i="14"/>
  <c r="AR292" i="14"/>
  <c r="AQ292" i="14"/>
  <c r="AP292" i="14"/>
  <c r="AF292" i="14"/>
  <c r="AG292" i="14"/>
  <c r="AH292" i="14"/>
  <c r="E293" i="14"/>
  <c r="A294" i="14"/>
  <c r="D293" i="14"/>
  <c r="C293" i="14"/>
  <c r="B293" i="14"/>
  <c r="AD293" i="14" l="1"/>
  <c r="AC293" i="14"/>
  <c r="AR293" i="14"/>
  <c r="AQ293" i="14"/>
  <c r="AP293" i="14"/>
  <c r="AH293" i="14"/>
  <c r="AG293" i="14"/>
  <c r="AF293" i="14"/>
  <c r="A295" i="14"/>
  <c r="C294" i="14"/>
  <c r="D294" i="14"/>
  <c r="E294" i="14"/>
  <c r="B294" i="14"/>
  <c r="AD294" i="14" l="1"/>
  <c r="AC294" i="14"/>
  <c r="AR294" i="14"/>
  <c r="AQ294" i="14"/>
  <c r="AP294" i="14"/>
  <c r="AH294" i="14"/>
  <c r="AG294" i="14"/>
  <c r="AF294" i="14"/>
  <c r="E295" i="14"/>
  <c r="B295" i="14"/>
  <c r="A296" i="14"/>
  <c r="D295" i="14"/>
  <c r="C295" i="14"/>
  <c r="AD295" i="14" l="1"/>
  <c r="AC295" i="14"/>
  <c r="AR295" i="14"/>
  <c r="AQ295" i="14"/>
  <c r="AP295" i="14"/>
  <c r="AH295" i="14"/>
  <c r="AG295" i="14"/>
  <c r="AF295" i="14"/>
  <c r="D296" i="14"/>
  <c r="A297" i="14"/>
  <c r="C296" i="14"/>
  <c r="E296" i="14"/>
  <c r="B296" i="14"/>
  <c r="AD296" i="14" l="1"/>
  <c r="AC296" i="14"/>
  <c r="AR296" i="14"/>
  <c r="AQ296" i="14"/>
  <c r="AP296" i="14"/>
  <c r="AH296" i="14"/>
  <c r="AG296" i="14"/>
  <c r="AF296" i="14"/>
  <c r="B297" i="14"/>
  <c r="A298" i="14"/>
  <c r="E297" i="14"/>
  <c r="D297" i="14"/>
  <c r="C297" i="14"/>
  <c r="AD297" i="14" l="1"/>
  <c r="AC297" i="14"/>
  <c r="AR297" i="14"/>
  <c r="AP297" i="14"/>
  <c r="AQ297" i="14"/>
  <c r="AH297" i="14"/>
  <c r="AG297" i="14"/>
  <c r="AF297" i="14"/>
  <c r="A299" i="14"/>
  <c r="E298" i="14"/>
  <c r="D298" i="14"/>
  <c r="C298" i="14"/>
  <c r="B298" i="14"/>
  <c r="AD298" i="14" l="1"/>
  <c r="AC298" i="14"/>
  <c r="AR298" i="14"/>
  <c r="AQ298" i="14"/>
  <c r="AP298" i="14"/>
  <c r="AH298" i="14"/>
  <c r="AG298" i="14"/>
  <c r="AF298" i="14"/>
  <c r="E299" i="14"/>
  <c r="A300" i="14"/>
  <c r="B299" i="14"/>
  <c r="D299" i="14"/>
  <c r="C299" i="14"/>
  <c r="AD299" i="14" l="1"/>
  <c r="AC299" i="14"/>
  <c r="AR299" i="14"/>
  <c r="AQ299" i="14"/>
  <c r="AP299" i="14"/>
  <c r="AH299" i="14"/>
  <c r="AG299" i="14"/>
  <c r="AF299" i="14"/>
  <c r="A301" i="14"/>
  <c r="C300" i="14"/>
  <c r="D300" i="14"/>
  <c r="E300" i="14"/>
  <c r="B300" i="14"/>
  <c r="AD300" i="14" l="1"/>
  <c r="AC300" i="14"/>
  <c r="AR300" i="14"/>
  <c r="AQ300" i="14"/>
  <c r="AP300" i="14"/>
  <c r="AH300" i="14"/>
  <c r="AF300" i="14"/>
  <c r="AG300" i="14"/>
  <c r="E301" i="14"/>
  <c r="B301" i="14"/>
  <c r="D301" i="14"/>
  <c r="A302" i="14"/>
  <c r="C301" i="14"/>
  <c r="AD301" i="14" l="1"/>
  <c r="AC301" i="14"/>
  <c r="AR301" i="14"/>
  <c r="AQ301" i="14"/>
  <c r="AP301" i="14"/>
  <c r="AH301" i="14"/>
  <c r="AF301" i="14"/>
  <c r="AG301" i="14"/>
  <c r="D302" i="14"/>
  <c r="A303" i="14"/>
  <c r="C302" i="14"/>
  <c r="E302" i="14"/>
  <c r="B302" i="14"/>
  <c r="AD302" i="14" l="1"/>
  <c r="AC302" i="14"/>
  <c r="AR302" i="14"/>
  <c r="AQ302" i="14"/>
  <c r="AP302" i="14"/>
  <c r="AG302" i="14"/>
  <c r="AH302" i="14"/>
  <c r="AF302" i="14"/>
  <c r="E303" i="14"/>
  <c r="B303" i="14"/>
  <c r="D303" i="14"/>
  <c r="A304" i="14"/>
  <c r="C303" i="14"/>
  <c r="AD303" i="14" l="1"/>
  <c r="AC303" i="14"/>
  <c r="AR303" i="14"/>
  <c r="AQ303" i="14"/>
  <c r="AP303" i="14"/>
  <c r="AG303" i="14"/>
  <c r="AH303" i="14"/>
  <c r="AF303" i="14"/>
  <c r="E304" i="14"/>
  <c r="A305" i="14"/>
  <c r="C304" i="14"/>
  <c r="D304" i="14"/>
  <c r="B304" i="14"/>
  <c r="AD304" i="14" l="1"/>
  <c r="AC304" i="14"/>
  <c r="AR304" i="14"/>
  <c r="AQ304" i="14"/>
  <c r="AP304" i="14"/>
  <c r="AG304" i="14"/>
  <c r="AH304" i="14"/>
  <c r="AF304" i="14"/>
  <c r="E305" i="14"/>
  <c r="A306" i="14"/>
  <c r="C305" i="14"/>
  <c r="D305" i="14"/>
  <c r="B305" i="14"/>
  <c r="AD305" i="14" l="1"/>
  <c r="AC305" i="14"/>
  <c r="AR305" i="14"/>
  <c r="AQ305" i="14"/>
  <c r="AP305" i="14"/>
  <c r="AG305" i="14"/>
  <c r="AH305" i="14"/>
  <c r="AF305" i="14"/>
  <c r="A307" i="14"/>
  <c r="C306" i="14"/>
  <c r="D306" i="14"/>
  <c r="E306" i="14"/>
  <c r="B306" i="14"/>
  <c r="AD306" i="14" l="1"/>
  <c r="AC306" i="14"/>
  <c r="AR306" i="14"/>
  <c r="AQ306" i="14"/>
  <c r="AP306" i="14"/>
  <c r="AG306" i="14"/>
  <c r="AH306" i="14"/>
  <c r="AF306" i="14"/>
  <c r="E307" i="14"/>
  <c r="D307" i="14"/>
  <c r="B307" i="14"/>
  <c r="C307" i="14"/>
  <c r="A308" i="14"/>
  <c r="AD307" i="14" l="1"/>
  <c r="AC307" i="14"/>
  <c r="AR307" i="14"/>
  <c r="AQ307" i="14"/>
  <c r="AP307" i="14"/>
  <c r="AH307" i="14"/>
  <c r="AG307" i="14"/>
  <c r="AF307" i="14"/>
  <c r="D308" i="14"/>
  <c r="A309" i="14"/>
  <c r="C308" i="14"/>
  <c r="B308" i="14"/>
  <c r="E308" i="14"/>
  <c r="AD308" i="14" l="1"/>
  <c r="AC308" i="14"/>
  <c r="AR308" i="14"/>
  <c r="AQ308" i="14"/>
  <c r="AP308" i="14"/>
  <c r="AH308" i="14"/>
  <c r="AG308" i="14"/>
  <c r="AF308" i="14"/>
  <c r="E309" i="14"/>
  <c r="B309" i="14"/>
  <c r="D309" i="14"/>
  <c r="C309" i="14"/>
  <c r="A310" i="14"/>
  <c r="AD309" i="14" l="1"/>
  <c r="AC309" i="14"/>
  <c r="AR309" i="14"/>
  <c r="AP309" i="14"/>
  <c r="AQ309" i="14"/>
  <c r="AH309" i="14"/>
  <c r="AG309" i="14"/>
  <c r="AF309" i="14"/>
  <c r="E310" i="14"/>
  <c r="A311" i="14"/>
  <c r="C310" i="14"/>
  <c r="D310" i="14"/>
  <c r="B310" i="14"/>
  <c r="AD310" i="14" l="1"/>
  <c r="AC310" i="14"/>
  <c r="AR310" i="14"/>
  <c r="AQ310" i="14"/>
  <c r="AP310" i="14"/>
  <c r="AH310" i="14"/>
  <c r="AG310" i="14"/>
  <c r="AF310" i="14"/>
  <c r="E311" i="14"/>
  <c r="A312" i="14"/>
  <c r="C311" i="14"/>
  <c r="D311" i="14"/>
  <c r="B311" i="14"/>
  <c r="AD311" i="14" l="1"/>
  <c r="AC311" i="14"/>
  <c r="AR311" i="14"/>
  <c r="AQ311" i="14"/>
  <c r="AP311" i="14"/>
  <c r="AH311" i="14"/>
  <c r="AG311" i="14"/>
  <c r="AF311" i="14"/>
  <c r="A313" i="14"/>
  <c r="C312" i="14"/>
  <c r="D312" i="14"/>
  <c r="E312" i="14"/>
  <c r="B312" i="14"/>
  <c r="AD312" i="14" l="1"/>
  <c r="AC312" i="14"/>
  <c r="AR312" i="14"/>
  <c r="AQ312" i="14"/>
  <c r="AP312" i="14"/>
  <c r="AH312" i="14"/>
  <c r="AF312" i="14"/>
  <c r="AG312" i="14"/>
  <c r="E313" i="14"/>
  <c r="D313" i="14"/>
  <c r="B313" i="14"/>
  <c r="C313" i="14"/>
  <c r="A314" i="14"/>
  <c r="AD313" i="14" l="1"/>
  <c r="AC313" i="14"/>
  <c r="AR313" i="14"/>
  <c r="AQ313" i="14"/>
  <c r="AP313" i="14"/>
  <c r="AH313" i="14"/>
  <c r="AF313" i="14"/>
  <c r="AG313" i="14"/>
  <c r="D314" i="14"/>
  <c r="A315" i="14"/>
  <c r="C314" i="14"/>
  <c r="B314" i="14"/>
  <c r="E314" i="14"/>
  <c r="AD314" i="14" l="1"/>
  <c r="AC314" i="14"/>
  <c r="AR314" i="14"/>
  <c r="AQ314" i="14"/>
  <c r="AP314" i="14"/>
  <c r="AG314" i="14"/>
  <c r="AH314" i="14"/>
  <c r="AF314" i="14"/>
  <c r="E315" i="14"/>
  <c r="B315" i="14"/>
  <c r="C315" i="14"/>
  <c r="A316" i="14"/>
  <c r="D315" i="14"/>
  <c r="AD315" i="14" l="1"/>
  <c r="AC315" i="14"/>
  <c r="AR315" i="14"/>
  <c r="AQ315" i="14"/>
  <c r="AP315" i="14"/>
  <c r="AG315" i="14"/>
  <c r="AH315" i="14"/>
  <c r="AF315" i="14"/>
  <c r="E316" i="14"/>
  <c r="A317" i="14"/>
  <c r="C316" i="14"/>
  <c r="D316" i="14"/>
  <c r="B316" i="14"/>
  <c r="AD316" i="14" l="1"/>
  <c r="AC316" i="14"/>
  <c r="AR316" i="14"/>
  <c r="AQ316" i="14"/>
  <c r="AP316" i="14"/>
  <c r="AG316" i="14"/>
  <c r="AH316" i="14"/>
  <c r="AF316" i="14"/>
  <c r="E317" i="14"/>
  <c r="A318" i="14"/>
  <c r="C317" i="14"/>
  <c r="D317" i="14"/>
  <c r="B317" i="14"/>
  <c r="AD317" i="14" l="1"/>
  <c r="AC317" i="14"/>
  <c r="AR317" i="14"/>
  <c r="AQ317" i="14"/>
  <c r="AP317" i="14"/>
  <c r="AG317" i="14"/>
  <c r="AH317" i="14"/>
  <c r="AF317" i="14"/>
  <c r="A319" i="14"/>
  <c r="C318" i="14"/>
  <c r="D318" i="14"/>
  <c r="E318" i="14"/>
  <c r="B318" i="14"/>
  <c r="AD318" i="14" l="1"/>
  <c r="AC318" i="14"/>
  <c r="AR318" i="14"/>
  <c r="AQ318" i="14"/>
  <c r="AP318" i="14"/>
  <c r="AG318" i="14"/>
  <c r="AH318" i="14"/>
  <c r="AF318" i="14"/>
  <c r="E319" i="14"/>
  <c r="D319" i="14"/>
  <c r="B319" i="14"/>
  <c r="C319" i="14"/>
  <c r="A320" i="14"/>
  <c r="AD319" i="14" l="1"/>
  <c r="AC319" i="14"/>
  <c r="AR319" i="14"/>
  <c r="AQ319" i="14"/>
  <c r="AP319" i="14"/>
  <c r="AH319" i="14"/>
  <c r="AG319" i="14"/>
  <c r="AF319" i="14"/>
  <c r="D320" i="14"/>
  <c r="A321" i="14"/>
  <c r="C320" i="14"/>
  <c r="B320" i="14"/>
  <c r="E320" i="14"/>
  <c r="AD320" i="14" l="1"/>
  <c r="AC320" i="14"/>
  <c r="AR320" i="14"/>
  <c r="AQ320" i="14"/>
  <c r="AP320" i="14"/>
  <c r="AH320" i="14"/>
  <c r="AG320" i="14"/>
  <c r="AF320" i="14"/>
  <c r="E321" i="14"/>
  <c r="B321" i="14"/>
  <c r="D321" i="14"/>
  <c r="C321" i="14"/>
  <c r="A322" i="14"/>
  <c r="AD321" i="14" l="1"/>
  <c r="AC321" i="14"/>
  <c r="AR321" i="14"/>
  <c r="AP321" i="14"/>
  <c r="AQ321" i="14"/>
  <c r="AH321" i="14"/>
  <c r="AG321" i="14"/>
  <c r="AF321" i="14"/>
  <c r="E322" i="14"/>
  <c r="A323" i="14"/>
  <c r="C322" i="14"/>
  <c r="D322" i="14"/>
  <c r="B322" i="14"/>
  <c r="AD322" i="14" l="1"/>
  <c r="AC322" i="14"/>
  <c r="AR322" i="14"/>
  <c r="AQ322" i="14"/>
  <c r="AP322" i="14"/>
  <c r="AH322" i="14"/>
  <c r="AG322" i="14"/>
  <c r="AF322" i="14"/>
  <c r="E323" i="14"/>
  <c r="A324" i="14"/>
  <c r="C323" i="14"/>
  <c r="D323" i="14"/>
  <c r="B323" i="14"/>
  <c r="AD323" i="14" l="1"/>
  <c r="AC323" i="14"/>
  <c r="AR323" i="14"/>
  <c r="AQ323" i="14"/>
  <c r="AP323" i="14"/>
  <c r="AH323" i="14"/>
  <c r="AG323" i="14"/>
  <c r="AF323" i="14"/>
  <c r="A325" i="14"/>
  <c r="C324" i="14"/>
  <c r="D324" i="14"/>
  <c r="E324" i="14"/>
  <c r="B324" i="14"/>
  <c r="AD324" i="14" l="1"/>
  <c r="AC324" i="14"/>
  <c r="AR324" i="14"/>
  <c r="AQ324" i="14"/>
  <c r="AP324" i="14"/>
  <c r="AH324" i="14"/>
  <c r="AF324" i="14"/>
  <c r="AG324" i="14"/>
  <c r="E325" i="14"/>
  <c r="D325" i="14"/>
  <c r="B325" i="14"/>
  <c r="A326" i="14"/>
  <c r="C325" i="14"/>
  <c r="AD325" i="14" l="1"/>
  <c r="AC325" i="14"/>
  <c r="AR325" i="14"/>
  <c r="AQ325" i="14"/>
  <c r="AP325" i="14"/>
  <c r="AH325" i="14"/>
  <c r="AF325" i="14"/>
  <c r="AG325" i="14"/>
  <c r="D326" i="14"/>
  <c r="A327" i="14"/>
  <c r="C326" i="14"/>
  <c r="B326" i="14"/>
  <c r="E326" i="14"/>
  <c r="AD326" i="14" l="1"/>
  <c r="AC326" i="14"/>
  <c r="AR326" i="14"/>
  <c r="AQ326" i="14"/>
  <c r="AP326" i="14"/>
  <c r="AG326" i="14"/>
  <c r="AH326" i="14"/>
  <c r="AF326" i="14"/>
  <c r="E327" i="14"/>
  <c r="B327" i="14"/>
  <c r="D327" i="14"/>
  <c r="C327" i="14"/>
  <c r="A328" i="14"/>
  <c r="AD327" i="14" l="1"/>
  <c r="AC327" i="14"/>
  <c r="AR327" i="14"/>
  <c r="AQ327" i="14"/>
  <c r="AP327" i="14"/>
  <c r="AG327" i="14"/>
  <c r="AH327" i="14"/>
  <c r="AF327" i="14"/>
  <c r="E328" i="14"/>
  <c r="A329" i="14"/>
  <c r="C328" i="14"/>
  <c r="D328" i="14"/>
  <c r="B328" i="14"/>
  <c r="AD328" i="14" l="1"/>
  <c r="AC328" i="14"/>
  <c r="AR328" i="14"/>
  <c r="AQ328" i="14"/>
  <c r="AP328" i="14"/>
  <c r="AH328" i="14"/>
  <c r="AG328" i="14"/>
  <c r="AF328" i="14"/>
  <c r="E329" i="14"/>
  <c r="A330" i="14"/>
  <c r="C329" i="14"/>
  <c r="D329" i="14"/>
  <c r="B329" i="14"/>
  <c r="AD329" i="14" l="1"/>
  <c r="AC329" i="14"/>
  <c r="AR329" i="14"/>
  <c r="AQ329" i="14"/>
  <c r="AP329" i="14"/>
  <c r="AH329" i="14"/>
  <c r="AG329" i="14"/>
  <c r="AF329" i="14"/>
  <c r="A331" i="14"/>
  <c r="C330" i="14"/>
  <c r="D330" i="14"/>
  <c r="E330" i="14"/>
  <c r="B330" i="14"/>
  <c r="AD330" i="14" l="1"/>
  <c r="AC330" i="14"/>
  <c r="AR330" i="14"/>
  <c r="AQ330" i="14"/>
  <c r="AP330" i="14"/>
  <c r="AH330" i="14"/>
  <c r="AG330" i="14"/>
  <c r="AF330" i="14"/>
  <c r="E331" i="14"/>
  <c r="D331" i="14"/>
  <c r="B331" i="14"/>
  <c r="C331" i="14"/>
  <c r="A332" i="14"/>
  <c r="AD331" i="14" l="1"/>
  <c r="AC331" i="14"/>
  <c r="AR331" i="14"/>
  <c r="AQ331" i="14"/>
  <c r="AP331" i="14"/>
  <c r="AH331" i="14"/>
  <c r="AG331" i="14"/>
  <c r="AF331" i="14"/>
  <c r="D332" i="14"/>
  <c r="A333" i="14"/>
  <c r="C332" i="14"/>
  <c r="B332" i="14"/>
  <c r="E332" i="14"/>
  <c r="AD332" i="14" l="1"/>
  <c r="AC332" i="14"/>
  <c r="AR332" i="14"/>
  <c r="AQ332" i="14"/>
  <c r="AP332" i="14"/>
  <c r="AH332" i="14"/>
  <c r="AG332" i="14"/>
  <c r="AF332" i="14"/>
  <c r="E333" i="14"/>
  <c r="B333" i="14"/>
  <c r="D333" i="14"/>
  <c r="C333" i="14"/>
  <c r="A334" i="14"/>
  <c r="AD333" i="14" l="1"/>
  <c r="AC333" i="14"/>
  <c r="AR333" i="14"/>
  <c r="AP333" i="14"/>
  <c r="AQ333" i="14"/>
  <c r="AH333" i="14"/>
  <c r="AG333" i="14"/>
  <c r="AF333" i="14"/>
  <c r="E334" i="14"/>
  <c r="A335" i="14"/>
  <c r="C334" i="14"/>
  <c r="D334" i="14"/>
  <c r="B334" i="14"/>
  <c r="AD334" i="14" l="1"/>
  <c r="AC334" i="14"/>
  <c r="AR334" i="14"/>
  <c r="AQ334" i="14"/>
  <c r="AP334" i="14"/>
  <c r="AH334" i="14"/>
  <c r="AG334" i="14"/>
  <c r="AF334" i="14"/>
  <c r="E335" i="14"/>
  <c r="A336" i="14"/>
  <c r="C335" i="14"/>
  <c r="D335" i="14"/>
  <c r="B335" i="14"/>
  <c r="AD335" i="14" l="1"/>
  <c r="AC335" i="14"/>
  <c r="AR335" i="14"/>
  <c r="AQ335" i="14"/>
  <c r="AP335" i="14"/>
  <c r="AH335" i="14"/>
  <c r="AG335" i="14"/>
  <c r="AF335" i="14"/>
  <c r="A337" i="14"/>
  <c r="C336" i="14"/>
  <c r="D336" i="14"/>
  <c r="B336" i="14"/>
  <c r="E336" i="14"/>
  <c r="AD336" i="14" l="1"/>
  <c r="AC336" i="14"/>
  <c r="AR336" i="14"/>
  <c r="AQ336" i="14"/>
  <c r="AP336" i="14"/>
  <c r="AH336" i="14"/>
  <c r="AF336" i="14"/>
  <c r="AG336" i="14"/>
  <c r="E337" i="14"/>
  <c r="D337" i="14"/>
  <c r="B337" i="14"/>
  <c r="C337" i="14"/>
  <c r="A338" i="14"/>
  <c r="AD337" i="14" l="1"/>
  <c r="AC337" i="14"/>
  <c r="AR337" i="14"/>
  <c r="AQ337" i="14"/>
  <c r="AP337" i="14"/>
  <c r="AH337" i="14"/>
  <c r="AF337" i="14"/>
  <c r="AG337" i="14"/>
  <c r="D338" i="14"/>
  <c r="A339" i="14"/>
  <c r="C338" i="14"/>
  <c r="B338" i="14"/>
  <c r="E338" i="14"/>
  <c r="AD338" i="14" l="1"/>
  <c r="AC338" i="14"/>
  <c r="AR338" i="14"/>
  <c r="AQ338" i="14"/>
  <c r="AP338" i="14"/>
  <c r="AG338" i="14"/>
  <c r="AH338" i="14"/>
  <c r="AF338" i="14"/>
  <c r="E339" i="14"/>
  <c r="B339" i="14"/>
  <c r="A340" i="14"/>
  <c r="D339" i="14"/>
  <c r="C339" i="14"/>
  <c r="AD339" i="14" l="1"/>
  <c r="AC339" i="14"/>
  <c r="AR339" i="14"/>
  <c r="AQ339" i="14"/>
  <c r="AP339" i="14"/>
  <c r="AG339" i="14"/>
  <c r="AH339" i="14"/>
  <c r="AF339" i="14"/>
  <c r="E340" i="14"/>
  <c r="D340" i="14"/>
  <c r="A341" i="14"/>
  <c r="C340" i="14"/>
  <c r="B340" i="14"/>
  <c r="AD340" i="14" l="1"/>
  <c r="AC340" i="14"/>
  <c r="AR340" i="14"/>
  <c r="AQ340" i="14"/>
  <c r="AP340" i="14"/>
  <c r="AG340" i="14"/>
  <c r="AH340" i="14"/>
  <c r="AF340" i="14"/>
  <c r="E341" i="14"/>
  <c r="D341" i="14"/>
  <c r="A342" i="14"/>
  <c r="C341" i="14"/>
  <c r="B341" i="14"/>
  <c r="AD341" i="14" l="1"/>
  <c r="AC341" i="14"/>
  <c r="AR341" i="14"/>
  <c r="AQ341" i="14"/>
  <c r="AP341" i="14"/>
  <c r="AG341" i="14"/>
  <c r="AH341" i="14"/>
  <c r="AF341" i="14"/>
  <c r="A343" i="14"/>
  <c r="C342" i="14"/>
  <c r="B342" i="14"/>
  <c r="D342" i="14"/>
  <c r="E342" i="14"/>
  <c r="AD342" i="14" l="1"/>
  <c r="AC342" i="14"/>
  <c r="AR342" i="14"/>
  <c r="AQ342" i="14"/>
  <c r="AP342" i="14"/>
  <c r="AH342" i="14"/>
  <c r="AG342" i="14"/>
  <c r="AF342" i="14"/>
  <c r="E343" i="14"/>
  <c r="D343" i="14"/>
  <c r="B343" i="14"/>
  <c r="A344" i="14"/>
  <c r="C343" i="14"/>
  <c r="AD343" i="14" l="1"/>
  <c r="AC343" i="14"/>
  <c r="AR343" i="14"/>
  <c r="AQ343" i="14"/>
  <c r="AP343" i="14"/>
  <c r="AH343" i="14"/>
  <c r="AG343" i="14"/>
  <c r="AF343" i="14"/>
  <c r="D344" i="14"/>
  <c r="A345" i="14"/>
  <c r="C344" i="14"/>
  <c r="B344" i="14"/>
  <c r="E344" i="14"/>
  <c r="AD344" i="14" l="1"/>
  <c r="AC344" i="14"/>
  <c r="AR344" i="14"/>
  <c r="AQ344" i="14"/>
  <c r="AP344" i="14"/>
  <c r="AH344" i="14"/>
  <c r="AG344" i="14"/>
  <c r="AF344" i="14"/>
  <c r="E345" i="14"/>
  <c r="D345" i="14"/>
  <c r="B345" i="14"/>
  <c r="A346" i="14"/>
  <c r="C345" i="14"/>
  <c r="AD345" i="14" l="1"/>
  <c r="AC345" i="14"/>
  <c r="AR345" i="14"/>
  <c r="AQ345" i="14"/>
  <c r="AP345" i="14"/>
  <c r="AH345" i="14"/>
  <c r="AG345" i="14"/>
  <c r="AF345" i="14"/>
  <c r="E346" i="14"/>
  <c r="D346" i="14"/>
  <c r="A347" i="14"/>
  <c r="C346" i="14"/>
  <c r="B346" i="14"/>
  <c r="AD346" i="14" l="1"/>
  <c r="AC346" i="14"/>
  <c r="AR346" i="14"/>
  <c r="AQ346" i="14"/>
  <c r="AP346" i="14"/>
  <c r="AH346" i="14"/>
  <c r="AG346" i="14"/>
  <c r="AF346" i="14"/>
  <c r="E347" i="14"/>
  <c r="D347" i="14"/>
  <c r="A348" i="14"/>
  <c r="C347" i="14"/>
  <c r="B347" i="14"/>
  <c r="AD347" i="14" l="1"/>
  <c r="AC347" i="14"/>
  <c r="AR347" i="14"/>
  <c r="AQ347" i="14"/>
  <c r="AP347" i="14"/>
  <c r="AH347" i="14"/>
  <c r="AG347" i="14"/>
  <c r="AF347" i="14"/>
  <c r="A349" i="14"/>
  <c r="C348" i="14"/>
  <c r="B348" i="14"/>
  <c r="D348" i="14"/>
  <c r="E348" i="14"/>
  <c r="AD348" i="14" l="1"/>
  <c r="AC348" i="14"/>
  <c r="AR348" i="14"/>
  <c r="AQ348" i="14"/>
  <c r="AP348" i="14"/>
  <c r="AH348" i="14"/>
  <c r="AF348" i="14"/>
  <c r="AG348" i="14"/>
  <c r="E349" i="14"/>
  <c r="D349" i="14"/>
  <c r="B349" i="14"/>
  <c r="C349" i="14"/>
  <c r="A350" i="14"/>
  <c r="AD349" i="14" l="1"/>
  <c r="AC349" i="14"/>
  <c r="AR349" i="14"/>
  <c r="AQ349" i="14"/>
  <c r="AP349" i="14"/>
  <c r="AH349" i="14"/>
  <c r="AG349" i="14"/>
  <c r="AF349" i="14"/>
  <c r="D350" i="14"/>
  <c r="A351" i="14"/>
  <c r="C350" i="14"/>
  <c r="B350" i="14"/>
  <c r="E350" i="14"/>
  <c r="AD350" i="14" l="1"/>
  <c r="AC350" i="14"/>
  <c r="AR350" i="14"/>
  <c r="AQ350" i="14"/>
  <c r="AP350" i="14"/>
  <c r="AG350" i="14"/>
  <c r="AH350" i="14"/>
  <c r="AF350" i="14"/>
  <c r="E351" i="14"/>
  <c r="D351" i="14"/>
  <c r="B351" i="14"/>
  <c r="A352" i="14"/>
  <c r="C351" i="14"/>
  <c r="AD351" i="14" l="1"/>
  <c r="AC351" i="14"/>
  <c r="AR351" i="14"/>
  <c r="AQ351" i="14"/>
  <c r="AP351" i="14"/>
  <c r="AG351" i="14"/>
  <c r="AH351" i="14"/>
  <c r="AF351" i="14"/>
  <c r="E352" i="14"/>
  <c r="D352" i="14"/>
  <c r="A353" i="14"/>
  <c r="C352" i="14"/>
  <c r="B352" i="14"/>
  <c r="AD352" i="14" l="1"/>
  <c r="AC352" i="14"/>
  <c r="AR352" i="14"/>
  <c r="AQ352" i="14"/>
  <c r="AP352" i="14"/>
  <c r="AG352" i="14"/>
  <c r="AH352" i="14"/>
  <c r="AF352" i="14"/>
  <c r="E353" i="14"/>
  <c r="D353" i="14"/>
  <c r="A354" i="14"/>
  <c r="C353" i="14"/>
  <c r="B353" i="14"/>
  <c r="AD353" i="14" l="1"/>
  <c r="AC353" i="14"/>
  <c r="AR353" i="14"/>
  <c r="AQ353" i="14"/>
  <c r="AP353" i="14"/>
  <c r="AG353" i="14"/>
  <c r="AH353" i="14"/>
  <c r="AF353" i="14"/>
  <c r="A355" i="14"/>
  <c r="C354" i="14"/>
  <c r="B354" i="14"/>
  <c r="D354" i="14"/>
  <c r="E354" i="14"/>
  <c r="AD354" i="14" l="1"/>
  <c r="AC354" i="14"/>
  <c r="AR354" i="14"/>
  <c r="AQ354" i="14"/>
  <c r="AP354" i="14"/>
  <c r="AG354" i="14"/>
  <c r="AH354" i="14"/>
  <c r="AF354" i="14"/>
  <c r="E355" i="14"/>
  <c r="D355" i="14"/>
  <c r="A356" i="14"/>
  <c r="C355" i="14"/>
  <c r="B355" i="14"/>
  <c r="AD355" i="14" l="1"/>
  <c r="AC355" i="14"/>
  <c r="AR355" i="14"/>
  <c r="AQ355" i="14"/>
  <c r="AP355" i="14"/>
  <c r="AH355" i="14"/>
  <c r="AG355" i="14"/>
  <c r="AF355" i="14"/>
  <c r="D356" i="14"/>
  <c r="A357" i="14"/>
  <c r="C356" i="14"/>
  <c r="B356" i="14"/>
  <c r="E356" i="14"/>
  <c r="AD356" i="14" l="1"/>
  <c r="AC356" i="14"/>
  <c r="AR356" i="14"/>
  <c r="AQ356" i="14"/>
  <c r="AP356" i="14"/>
  <c r="AH356" i="14"/>
  <c r="AG356" i="14"/>
  <c r="AF356" i="14"/>
  <c r="E357" i="14"/>
  <c r="D357" i="14"/>
  <c r="B357" i="14"/>
  <c r="A358" i="14"/>
  <c r="C357" i="14"/>
  <c r="AD357" i="14" l="1"/>
  <c r="AC357" i="14"/>
  <c r="AR357" i="14"/>
  <c r="AQ357" i="14"/>
  <c r="AP357" i="14"/>
  <c r="AH357" i="14"/>
  <c r="AG357" i="14"/>
  <c r="AF357" i="14"/>
  <c r="E358" i="14"/>
  <c r="D358" i="14"/>
  <c r="A359" i="14"/>
  <c r="C358" i="14"/>
  <c r="B358" i="14"/>
  <c r="AD358" i="14" l="1"/>
  <c r="AC358" i="14"/>
  <c r="AR358" i="14"/>
  <c r="AQ358" i="14"/>
  <c r="AP358" i="14"/>
  <c r="AH358" i="14"/>
  <c r="AG358" i="14"/>
  <c r="AF358" i="14"/>
  <c r="E359" i="14"/>
  <c r="D359" i="14"/>
  <c r="A360" i="14"/>
  <c r="C359" i="14"/>
  <c r="B359" i="14"/>
  <c r="AD359" i="14" l="1"/>
  <c r="AC359" i="14"/>
  <c r="AR359" i="14"/>
  <c r="AQ359" i="14"/>
  <c r="AP359" i="14"/>
  <c r="AH359" i="14"/>
  <c r="AG359" i="14"/>
  <c r="AF359" i="14"/>
  <c r="A361" i="14"/>
  <c r="C360" i="14"/>
  <c r="B360" i="14"/>
  <c r="E360" i="14"/>
  <c r="D360" i="14"/>
  <c r="AD360" i="14" l="1"/>
  <c r="AC360" i="14"/>
  <c r="AR360" i="14"/>
  <c r="AQ360" i="14"/>
  <c r="AP360" i="14"/>
  <c r="AH360" i="14"/>
  <c r="AF360" i="14"/>
  <c r="AG360" i="14"/>
  <c r="E361" i="14"/>
  <c r="D361" i="14"/>
  <c r="A362" i="14"/>
  <c r="C361" i="14"/>
  <c r="B361" i="14"/>
  <c r="AD361" i="14" l="1"/>
  <c r="AC361" i="14"/>
  <c r="AR361" i="14"/>
  <c r="AQ361" i="14"/>
  <c r="AP361" i="14"/>
  <c r="AH361" i="14"/>
  <c r="AF361" i="14"/>
  <c r="AG361" i="14"/>
  <c r="D362" i="14"/>
  <c r="A363" i="14"/>
  <c r="C362" i="14"/>
  <c r="B362" i="14"/>
  <c r="E362" i="14"/>
  <c r="AD362" i="14" l="1"/>
  <c r="AC362" i="14"/>
  <c r="AR362" i="14"/>
  <c r="AQ362" i="14"/>
  <c r="AP362" i="14"/>
  <c r="AG362" i="14"/>
  <c r="AH362" i="14"/>
  <c r="AF362" i="14"/>
  <c r="E363" i="14"/>
  <c r="D363" i="14"/>
  <c r="B363" i="14"/>
  <c r="A364" i="14"/>
  <c r="C363" i="14"/>
  <c r="AD363" i="14" l="1"/>
  <c r="AC363" i="14"/>
  <c r="AR363" i="14"/>
  <c r="AQ363" i="14"/>
  <c r="AP363" i="14"/>
  <c r="AG363" i="14"/>
  <c r="AH363" i="14"/>
  <c r="AF363" i="14"/>
  <c r="E364" i="14"/>
  <c r="D364" i="14"/>
  <c r="A365" i="14"/>
  <c r="C364" i="14"/>
  <c r="B364" i="14"/>
  <c r="AD364" i="14" l="1"/>
  <c r="AC364" i="14"/>
  <c r="AR364" i="14"/>
  <c r="AQ364" i="14"/>
  <c r="AP364" i="14"/>
  <c r="AG364" i="14"/>
  <c r="AH364" i="14"/>
  <c r="AF364" i="14"/>
  <c r="E365" i="14"/>
  <c r="D365" i="14"/>
  <c r="A366" i="14"/>
  <c r="C365" i="14"/>
  <c r="B365" i="14"/>
  <c r="AD365" i="14" l="1"/>
  <c r="AC365" i="14"/>
  <c r="AR365" i="14"/>
  <c r="AQ365" i="14"/>
  <c r="AP365" i="14"/>
  <c r="AG365" i="14"/>
  <c r="AH365" i="14"/>
  <c r="AF365" i="14"/>
  <c r="A367" i="14"/>
  <c r="C366" i="14"/>
  <c r="B366" i="14"/>
  <c r="E366" i="14"/>
  <c r="D366" i="14"/>
  <c r="AD366" i="14" l="1"/>
  <c r="AC366" i="14"/>
  <c r="AR366" i="14"/>
  <c r="AQ366" i="14"/>
  <c r="AP366" i="14"/>
  <c r="AG366" i="14"/>
  <c r="AH366" i="14"/>
  <c r="AF366" i="14"/>
  <c r="E367" i="14"/>
  <c r="D367" i="14"/>
  <c r="A368" i="14"/>
  <c r="C367" i="14"/>
  <c r="B367" i="14"/>
  <c r="AD367" i="14" l="1"/>
  <c r="AC367" i="14"/>
  <c r="AR367" i="14"/>
  <c r="AQ367" i="14"/>
  <c r="AP367" i="14"/>
  <c r="AH367" i="14"/>
  <c r="AG367" i="14"/>
  <c r="AF367" i="14"/>
  <c r="D368" i="14"/>
  <c r="A369" i="14"/>
  <c r="C10" i="11" s="1"/>
  <c r="C368" i="14"/>
  <c r="B368" i="14"/>
  <c r="E368" i="14"/>
  <c r="AD368" i="14" l="1"/>
  <c r="AC368" i="14"/>
  <c r="AR368" i="14"/>
  <c r="C34" i="11"/>
  <c r="C28" i="11"/>
  <c r="C31" i="11"/>
  <c r="AQ368" i="14"/>
  <c r="AP368" i="14"/>
  <c r="AH368" i="14"/>
  <c r="AG368" i="14"/>
  <c r="AF368" i="14"/>
  <c r="E369" i="14"/>
  <c r="D369" i="14"/>
  <c r="B369" i="14"/>
  <c r="C369" i="14"/>
  <c r="AD369" i="14" l="1"/>
  <c r="AC369" i="14"/>
  <c r="AR369" i="14"/>
  <c r="AQ369" i="14"/>
  <c r="AP369" i="14"/>
  <c r="AH369" i="14"/>
  <c r="AG369" i="14"/>
  <c r="AF369" i="14"/>
  <c r="B7" i="1" l="1"/>
  <c r="C7" i="1"/>
  <c r="D7" i="1"/>
  <c r="E7" i="1"/>
  <c r="BF7" i="1"/>
  <c r="BN7" i="1" s="1"/>
  <c r="BG7" i="1"/>
  <c r="BL7" i="1"/>
  <c r="B6" i="1"/>
  <c r="C6" i="1"/>
  <c r="D6" i="1"/>
  <c r="E6" i="1"/>
  <c r="BF6" i="1"/>
  <c r="BN6" i="1" s="1"/>
  <c r="BG6" i="1"/>
  <c r="BL6" i="1"/>
  <c r="B5" i="1"/>
  <c r="C5" i="1"/>
  <c r="D5" i="1"/>
  <c r="E5" i="1"/>
  <c r="BF5" i="1"/>
  <c r="BG5" i="1"/>
  <c r="BL5" i="1"/>
  <c r="B2" i="12"/>
  <c r="B3" i="12"/>
  <c r="C3" i="12" l="1"/>
  <c r="M18" i="12"/>
  <c r="Y18" i="12"/>
  <c r="Z18" i="12"/>
  <c r="O18" i="12"/>
  <c r="AA18" i="12"/>
  <c r="P18" i="12"/>
  <c r="B18" i="12"/>
  <c r="Q18" i="12"/>
  <c r="R18" i="12"/>
  <c r="H18" i="12"/>
  <c r="U18" i="12"/>
  <c r="K18" i="12"/>
  <c r="N18" i="12"/>
  <c r="T18" i="12"/>
  <c r="J18" i="12"/>
  <c r="C18" i="12"/>
  <c r="I18" i="12"/>
  <c r="W18" i="12"/>
  <c r="D18" i="12"/>
  <c r="S18" i="12"/>
  <c r="V18" i="12"/>
  <c r="E18" i="12"/>
  <c r="X18" i="12"/>
  <c r="F18" i="12"/>
  <c r="G18" i="12"/>
  <c r="L18" i="12"/>
  <c r="B14" i="12"/>
  <c r="N11" i="12"/>
  <c r="Z11" i="12"/>
  <c r="P9" i="12"/>
  <c r="Q9" i="12"/>
  <c r="V11" i="12"/>
  <c r="N9" i="12"/>
  <c r="C11" i="12"/>
  <c r="O11" i="12"/>
  <c r="AA11" i="12"/>
  <c r="L9" i="12"/>
  <c r="D11" i="12"/>
  <c r="P11" i="12"/>
  <c r="B11" i="12"/>
  <c r="U9" i="12"/>
  <c r="M9" i="12"/>
  <c r="E11" i="12"/>
  <c r="Q11" i="12"/>
  <c r="C9" i="12"/>
  <c r="B9" i="12"/>
  <c r="U11" i="12"/>
  <c r="O9" i="12"/>
  <c r="F11" i="12"/>
  <c r="R11" i="12"/>
  <c r="D9" i="12"/>
  <c r="J9" i="12"/>
  <c r="X11" i="12"/>
  <c r="G11" i="12"/>
  <c r="S11" i="12"/>
  <c r="F9" i="12"/>
  <c r="W11" i="12"/>
  <c r="H11" i="12"/>
  <c r="T11" i="12"/>
  <c r="Y11" i="12"/>
  <c r="I11" i="12"/>
  <c r="K9" i="12"/>
  <c r="J11" i="12"/>
  <c r="K11" i="12"/>
  <c r="L11" i="12"/>
  <c r="M11" i="12"/>
  <c r="AA9" i="12"/>
  <c r="U17" i="12"/>
  <c r="V6" i="12"/>
  <c r="C6" i="12"/>
  <c r="U6" i="12"/>
  <c r="K17" i="12"/>
  <c r="Y9" i="12"/>
  <c r="T17" i="12"/>
  <c r="B6" i="12"/>
  <c r="O6" i="12"/>
  <c r="Z9" i="12"/>
  <c r="G17" i="12"/>
  <c r="K6" i="12"/>
  <c r="D6" i="12"/>
  <c r="AA17" i="12"/>
  <c r="Z17" i="12"/>
  <c r="E9" i="12"/>
  <c r="W6" i="12"/>
  <c r="P6" i="12"/>
  <c r="R9" i="12"/>
  <c r="I17" i="12"/>
  <c r="R17" i="12"/>
  <c r="D17" i="12"/>
  <c r="Q6" i="12"/>
  <c r="E6" i="12"/>
  <c r="T9" i="12"/>
  <c r="C17" i="12"/>
  <c r="L6" i="12"/>
  <c r="F6" i="12"/>
  <c r="N17" i="12"/>
  <c r="M17" i="12"/>
  <c r="G9" i="12"/>
  <c r="F17" i="12"/>
  <c r="X6" i="12"/>
  <c r="R6" i="12"/>
  <c r="Y17" i="12"/>
  <c r="S9" i="12"/>
  <c r="V17" i="12"/>
  <c r="E17" i="12"/>
  <c r="AA6" i="12"/>
  <c r="G6" i="12"/>
  <c r="H9" i="12"/>
  <c r="S17" i="12"/>
  <c r="Q17" i="12"/>
  <c r="M6" i="12"/>
  <c r="S6" i="12"/>
  <c r="I9" i="12"/>
  <c r="Y6" i="12"/>
  <c r="H6" i="12"/>
  <c r="L17" i="12"/>
  <c r="X17" i="12"/>
  <c r="V9" i="12"/>
  <c r="J17" i="12"/>
  <c r="H17" i="12"/>
  <c r="B17" i="12"/>
  <c r="N6" i="12"/>
  <c r="T6" i="12"/>
  <c r="P17" i="12"/>
  <c r="W17" i="12"/>
  <c r="X9" i="12"/>
  <c r="W9" i="12"/>
  <c r="J6" i="12"/>
  <c r="Z6" i="12"/>
  <c r="I6" i="12"/>
  <c r="O17" i="12"/>
  <c r="BM5" i="1"/>
  <c r="BN5" i="1"/>
  <c r="BM7" i="1"/>
  <c r="BM6" i="1"/>
  <c r="K3" i="4" l="1"/>
  <c r="E70" i="4" l="1"/>
  <c r="E58" i="4"/>
  <c r="E46" i="4"/>
  <c r="E62" i="4"/>
  <c r="E69" i="4"/>
  <c r="E57" i="4"/>
  <c r="E45" i="4"/>
  <c r="E55" i="4"/>
  <c r="E68" i="4"/>
  <c r="E56" i="4"/>
  <c r="E66" i="4"/>
  <c r="E65" i="4"/>
  <c r="E53" i="4"/>
  <c r="E63" i="4"/>
  <c r="E64" i="4"/>
  <c r="E52" i="4"/>
  <c r="E51" i="4"/>
  <c r="E61" i="4"/>
  <c r="E49" i="4"/>
  <c r="E54" i="4"/>
  <c r="E60" i="4"/>
  <c r="E48" i="4"/>
  <c r="E59" i="4"/>
  <c r="E47" i="4"/>
  <c r="E67" i="4"/>
  <c r="E50" i="4"/>
  <c r="D44" i="4" l="1"/>
  <c r="D43" i="4"/>
  <c r="D3" i="7" l="1"/>
  <c r="T33" i="7"/>
  <c r="T34" i="7" s="1"/>
  <c r="T35" i="7" s="1"/>
  <c r="T36" i="7" s="1"/>
  <c r="T37" i="7" s="1"/>
  <c r="T38" i="7" s="1"/>
  <c r="T39" i="7" s="1"/>
  <c r="T40" i="7" s="1"/>
  <c r="T41" i="7" s="1"/>
  <c r="T42" i="7" s="1"/>
  <c r="T43" i="7" s="1"/>
  <c r="T44" i="7" s="1"/>
  <c r="T45" i="7" s="1"/>
  <c r="T46" i="7" s="1"/>
  <c r="T47" i="7" s="1"/>
  <c r="T48" i="7" s="1"/>
  <c r="T49" i="7" s="1"/>
  <c r="T50" i="7" s="1"/>
  <c r="T51" i="7" s="1"/>
  <c r="T52" i="7" s="1"/>
  <c r="T53" i="7" s="1"/>
  <c r="T54" i="7" s="1"/>
  <c r="T55" i="7" s="1"/>
  <c r="T56" i="7" s="1"/>
  <c r="T57" i="7" s="1"/>
  <c r="T58" i="7" s="1"/>
  <c r="T59" i="7" s="1"/>
  <c r="T60" i="7" s="1"/>
  <c r="T61" i="7" s="1"/>
  <c r="T62" i="7" s="1"/>
  <c r="T63" i="7" s="1"/>
  <c r="T64" i="7" s="1"/>
  <c r="T65" i="7" s="1"/>
  <c r="T66" i="7" s="1"/>
  <c r="T67" i="7" s="1"/>
  <c r="T68" i="7" s="1"/>
  <c r="T69" i="7" s="1"/>
  <c r="T70" i="7" s="1"/>
  <c r="T71" i="7" s="1"/>
  <c r="T72" i="7" s="1"/>
  <c r="T73" i="7" s="1"/>
  <c r="T74" i="7" s="1"/>
  <c r="T75" i="7" s="1"/>
  <c r="T76" i="7" s="1"/>
  <c r="T77" i="7" s="1"/>
  <c r="T78" i="7" s="1"/>
  <c r="T79" i="7" s="1"/>
  <c r="T80" i="7" s="1"/>
  <c r="T81" i="7" s="1"/>
  <c r="T82" i="7" s="1"/>
  <c r="T83" i="7" s="1"/>
  <c r="T84" i="7" s="1"/>
  <c r="T85" i="7" s="1"/>
  <c r="T86" i="7" s="1"/>
  <c r="T87" i="7" s="1"/>
  <c r="T88" i="7" s="1"/>
  <c r="T89" i="7" s="1"/>
  <c r="T90" i="7" s="1"/>
  <c r="T91" i="7" s="1"/>
  <c r="T92" i="7" s="1"/>
  <c r="T93" i="7" s="1"/>
  <c r="T94" i="7" s="1"/>
  <c r="T95" i="7" s="1"/>
  <c r="T96" i="7" s="1"/>
  <c r="T97" i="7" s="1"/>
  <c r="T98" i="7" s="1"/>
  <c r="T99" i="7" s="1"/>
  <c r="T100" i="7" s="1"/>
  <c r="T101" i="7" s="1"/>
  <c r="T102" i="7" s="1"/>
  <c r="T103" i="7" s="1"/>
  <c r="T104" i="7" s="1"/>
  <c r="T105" i="7" s="1"/>
  <c r="T106" i="7" s="1"/>
  <c r="T107" i="7" s="1"/>
  <c r="T108" i="7" s="1"/>
  <c r="T109" i="7" s="1"/>
  <c r="T110" i="7" s="1"/>
  <c r="T111" i="7" s="1"/>
  <c r="T112" i="7" s="1"/>
  <c r="T113" i="7" s="1"/>
  <c r="T114" i="7" s="1"/>
  <c r="T115" i="7" s="1"/>
  <c r="T116" i="7" s="1"/>
  <c r="T117" i="7" s="1"/>
  <c r="T118" i="7" s="1"/>
  <c r="T119" i="7" s="1"/>
  <c r="T120" i="7" s="1"/>
  <c r="T121" i="7" s="1"/>
  <c r="T122" i="7" s="1"/>
  <c r="T123" i="7" s="1"/>
  <c r="T124" i="7" s="1"/>
  <c r="T125" i="7" s="1"/>
  <c r="T126" i="7" s="1"/>
  <c r="T127" i="7" s="1"/>
  <c r="T128" i="7" s="1"/>
  <c r="T129" i="7" s="1"/>
  <c r="T130" i="7" s="1"/>
  <c r="T131" i="7" s="1"/>
  <c r="T132" i="7" s="1"/>
  <c r="T133" i="7" s="1"/>
  <c r="T134" i="7" s="1"/>
  <c r="T135" i="7" s="1"/>
  <c r="T136" i="7" s="1"/>
  <c r="T137" i="7" s="1"/>
  <c r="T138" i="7" s="1"/>
  <c r="T139" i="7" s="1"/>
  <c r="T140" i="7" s="1"/>
  <c r="T141" i="7" s="1"/>
  <c r="T142" i="7" s="1"/>
  <c r="T143" i="7" s="1"/>
  <c r="T144" i="7" s="1"/>
  <c r="T145" i="7" s="1"/>
  <c r="T146" i="7" s="1"/>
  <c r="T147" i="7" s="1"/>
  <c r="T148" i="7" s="1"/>
  <c r="T149" i="7" s="1"/>
  <c r="T150" i="7" s="1"/>
  <c r="T151" i="7" s="1"/>
  <c r="T152" i="7" s="1"/>
  <c r="T153" i="7" s="1"/>
  <c r="T154" i="7" s="1"/>
  <c r="T155" i="7" s="1"/>
  <c r="T156" i="7" s="1"/>
  <c r="T157" i="7" s="1"/>
  <c r="T158" i="7" s="1"/>
  <c r="T159" i="7" s="1"/>
  <c r="T160" i="7" s="1"/>
  <c r="T161" i="7" s="1"/>
  <c r="T162" i="7" s="1"/>
  <c r="T163" i="7" s="1"/>
  <c r="T164" i="7" s="1"/>
  <c r="T165" i="7" s="1"/>
  <c r="T166" i="7" s="1"/>
  <c r="T167" i="7" s="1"/>
  <c r="T168" i="7" s="1"/>
  <c r="T169" i="7" s="1"/>
  <c r="T170" i="7" s="1"/>
  <c r="T171" i="7" s="1"/>
  <c r="T172" i="7" s="1"/>
  <c r="T173" i="7" s="1"/>
  <c r="T174" i="7" s="1"/>
  <c r="T175" i="7" s="1"/>
  <c r="T176" i="7" s="1"/>
  <c r="T177" i="7" s="1"/>
  <c r="T178" i="7" s="1"/>
  <c r="T179" i="7" s="1"/>
  <c r="T180" i="7" s="1"/>
  <c r="T181" i="7" s="1"/>
  <c r="T182" i="7" s="1"/>
  <c r="T183" i="7" s="1"/>
  <c r="T184" i="7" s="1"/>
  <c r="T185" i="7" s="1"/>
  <c r="T186" i="7" s="1"/>
  <c r="T187" i="7" s="1"/>
  <c r="T188" i="7" s="1"/>
  <c r="T189" i="7" s="1"/>
  <c r="T190" i="7" s="1"/>
  <c r="T191" i="7" s="1"/>
  <c r="T192" i="7" s="1"/>
  <c r="T193" i="7" s="1"/>
  <c r="T194" i="7" s="1"/>
  <c r="T195" i="7" s="1"/>
  <c r="T196" i="7" s="1"/>
  <c r="T197" i="7" s="1"/>
  <c r="T198" i="7" s="1"/>
  <c r="T199" i="7" s="1"/>
  <c r="T200" i="7" s="1"/>
  <c r="T201" i="7" s="1"/>
  <c r="T202" i="7" s="1"/>
  <c r="T203" i="7" s="1"/>
  <c r="T204" i="7" s="1"/>
  <c r="T205" i="7" s="1"/>
  <c r="T206" i="7" s="1"/>
  <c r="T207" i="7" s="1"/>
  <c r="T208" i="7" s="1"/>
  <c r="T209" i="7" s="1"/>
  <c r="T210" i="7" s="1"/>
  <c r="T211" i="7" s="1"/>
  <c r="T212" i="7" s="1"/>
  <c r="T213" i="7" s="1"/>
  <c r="T214" i="7" s="1"/>
  <c r="T215" i="7" s="1"/>
  <c r="T216" i="7" s="1"/>
  <c r="T217" i="7" s="1"/>
  <c r="T218" i="7" s="1"/>
  <c r="T219" i="7" s="1"/>
  <c r="T220" i="7" s="1"/>
  <c r="T221" i="7" s="1"/>
  <c r="T222" i="7" s="1"/>
  <c r="T223" i="7" s="1"/>
  <c r="T224" i="7" s="1"/>
  <c r="T225" i="7" s="1"/>
  <c r="T226" i="7" s="1"/>
  <c r="T227" i="7" s="1"/>
  <c r="T228" i="7" s="1"/>
  <c r="T229" i="7" s="1"/>
  <c r="T230" i="7" s="1"/>
  <c r="T231" i="7" s="1"/>
  <c r="T232" i="7" s="1"/>
  <c r="T233" i="7" s="1"/>
  <c r="T234" i="7" s="1"/>
  <c r="T235" i="7" s="1"/>
  <c r="T236" i="7" s="1"/>
  <c r="T237" i="7" s="1"/>
  <c r="T238" i="7" s="1"/>
  <c r="T239" i="7" s="1"/>
  <c r="T240" i="7" s="1"/>
  <c r="T241" i="7" s="1"/>
  <c r="T242" i="7" s="1"/>
  <c r="T243" i="7" s="1"/>
  <c r="T244" i="7" s="1"/>
  <c r="T245" i="7" s="1"/>
  <c r="T246" i="7" s="1"/>
  <c r="T247" i="7" s="1"/>
  <c r="T248" i="7" s="1"/>
  <c r="T249" i="7" s="1"/>
  <c r="T250" i="7" s="1"/>
  <c r="T251" i="7" s="1"/>
  <c r="T252" i="7" s="1"/>
  <c r="T253" i="7" s="1"/>
  <c r="T254" i="7" s="1"/>
  <c r="T255" i="7" s="1"/>
  <c r="T256" i="7" s="1"/>
  <c r="T257" i="7" s="1"/>
  <c r="T258" i="7" s="1"/>
  <c r="T259" i="7" s="1"/>
  <c r="T260" i="7" s="1"/>
  <c r="T261" i="7" s="1"/>
  <c r="T262" i="7" s="1"/>
  <c r="T263" i="7" s="1"/>
  <c r="T264" i="7" s="1"/>
  <c r="T265" i="7" s="1"/>
  <c r="T266" i="7" s="1"/>
  <c r="T267" i="7" s="1"/>
  <c r="T268" i="7" s="1"/>
  <c r="T269" i="7" s="1"/>
  <c r="T270" i="7" s="1"/>
  <c r="T271" i="7" s="1"/>
  <c r="T272" i="7" s="1"/>
  <c r="T273" i="7" s="1"/>
  <c r="T274" i="7" s="1"/>
  <c r="T275" i="7" s="1"/>
  <c r="T276" i="7" s="1"/>
  <c r="T277" i="7" s="1"/>
  <c r="T278" i="7" s="1"/>
  <c r="T279" i="7" s="1"/>
  <c r="T280" i="7" s="1"/>
  <c r="T281" i="7" s="1"/>
  <c r="T282" i="7" s="1"/>
  <c r="T283" i="7" s="1"/>
  <c r="T284" i="7" s="1"/>
  <c r="T285" i="7" s="1"/>
  <c r="T286" i="7" s="1"/>
  <c r="T287" i="7" s="1"/>
  <c r="T288" i="7" s="1"/>
  <c r="T289" i="7" s="1"/>
  <c r="T290" i="7" s="1"/>
  <c r="T291" i="7" s="1"/>
  <c r="T292" i="7" s="1"/>
  <c r="T293" i="7" s="1"/>
  <c r="T294" i="7" s="1"/>
  <c r="T295" i="7" s="1"/>
  <c r="T296" i="7" s="1"/>
  <c r="T297" i="7" s="1"/>
  <c r="T298" i="7" s="1"/>
  <c r="T299" i="7" s="1"/>
  <c r="T300" i="7" s="1"/>
  <c r="T301" i="7" s="1"/>
  <c r="T302" i="7" s="1"/>
  <c r="T303" i="7" s="1"/>
  <c r="T304" i="7" s="1"/>
  <c r="T305" i="7" s="1"/>
  <c r="T306" i="7" s="1"/>
  <c r="T307" i="7" s="1"/>
  <c r="T308" i="7" s="1"/>
  <c r="T309" i="7" s="1"/>
  <c r="T310" i="7" s="1"/>
  <c r="T311" i="7" s="1"/>
  <c r="T312" i="7" s="1"/>
  <c r="T313" i="7" s="1"/>
  <c r="T314" i="7" s="1"/>
  <c r="T315" i="7" s="1"/>
  <c r="T316" i="7" s="1"/>
  <c r="T317" i="7" s="1"/>
  <c r="T318" i="7" s="1"/>
  <c r="T319" i="7" s="1"/>
  <c r="T320" i="7" s="1"/>
  <c r="T321" i="7" s="1"/>
  <c r="T322" i="7" s="1"/>
  <c r="T323" i="7" s="1"/>
  <c r="T324" i="7" s="1"/>
  <c r="T325" i="7" s="1"/>
  <c r="T326" i="7" s="1"/>
  <c r="T327" i="7" s="1"/>
  <c r="T328" i="7" s="1"/>
  <c r="T329" i="7" s="1"/>
  <c r="T330" i="7" s="1"/>
  <c r="T331" i="7" s="1"/>
  <c r="T332" i="7" s="1"/>
  <c r="T333" i="7" s="1"/>
  <c r="T334" i="7" s="1"/>
  <c r="T335" i="7" s="1"/>
  <c r="T336" i="7" s="1"/>
  <c r="T337" i="7" s="1"/>
  <c r="T338" i="7" s="1"/>
  <c r="T339" i="7" s="1"/>
  <c r="T340" i="7" s="1"/>
  <c r="T341" i="7" s="1"/>
  <c r="T342" i="7" s="1"/>
  <c r="T343" i="7" s="1"/>
  <c r="T344" i="7" s="1"/>
  <c r="T345" i="7" s="1"/>
  <c r="T346" i="7" s="1"/>
  <c r="T347" i="7" s="1"/>
  <c r="T348" i="7" s="1"/>
  <c r="T349" i="7" s="1"/>
  <c r="T350" i="7" s="1"/>
  <c r="T351" i="7" s="1"/>
  <c r="T352" i="7" s="1"/>
  <c r="T353" i="7" s="1"/>
  <c r="T354" i="7" s="1"/>
  <c r="T355" i="7" s="1"/>
  <c r="T356" i="7" s="1"/>
  <c r="T357" i="7" s="1"/>
  <c r="T358" i="7" s="1"/>
  <c r="T359" i="7" s="1"/>
  <c r="T360" i="7" s="1"/>
  <c r="T361" i="7" s="1"/>
  <c r="T362" i="7" s="1"/>
  <c r="T363" i="7" s="1"/>
  <c r="T364" i="7" s="1"/>
  <c r="T365" i="7" s="1"/>
  <c r="T366" i="7" s="1"/>
  <c r="T367" i="7" s="1"/>
  <c r="Y15" i="7"/>
  <c r="Z15" i="7" l="1"/>
  <c r="D31" i="12" l="1"/>
  <c r="D32" i="12"/>
  <c r="D33" i="12"/>
  <c r="D34" i="12"/>
  <c r="D35" i="12"/>
  <c r="D36" i="12"/>
  <c r="D37" i="12"/>
  <c r="D38" i="12"/>
  <c r="D39" i="12"/>
  <c r="D40" i="12"/>
  <c r="D41" i="12"/>
  <c r="D42" i="12"/>
  <c r="D43" i="12"/>
  <c r="D44" i="12"/>
  <c r="D45" i="12"/>
  <c r="D46" i="12"/>
  <c r="D47" i="12"/>
  <c r="D48" i="12"/>
  <c r="D49" i="12"/>
  <c r="D50" i="12"/>
  <c r="D51" i="12"/>
  <c r="D52" i="12"/>
  <c r="D53" i="12"/>
  <c r="D54" i="12"/>
  <c r="D55" i="12"/>
  <c r="D56" i="12"/>
  <c r="D57" i="12"/>
  <c r="D58" i="12"/>
  <c r="D59" i="12"/>
  <c r="D60" i="12"/>
  <c r="D61" i="12"/>
  <c r="D62" i="12"/>
  <c r="D63" i="12"/>
  <c r="D64" i="12"/>
  <c r="D65" i="12"/>
  <c r="D66" i="12"/>
  <c r="D67" i="12"/>
  <c r="D68" i="12"/>
  <c r="D69" i="12"/>
  <c r="D70" i="12"/>
  <c r="D71" i="12"/>
  <c r="D72" i="12"/>
  <c r="D73" i="12"/>
  <c r="D74" i="12"/>
  <c r="D75" i="12"/>
  <c r="D76" i="12"/>
  <c r="D77" i="12"/>
  <c r="D78" i="12"/>
  <c r="D79" i="12"/>
  <c r="D80" i="12"/>
  <c r="D81" i="12"/>
  <c r="D82" i="12"/>
  <c r="D83" i="12"/>
  <c r="D84" i="12"/>
  <c r="D85" i="12"/>
  <c r="D86" i="12"/>
  <c r="D87" i="12"/>
  <c r="D88" i="12"/>
  <c r="D89" i="12"/>
  <c r="D90" i="12"/>
  <c r="D91" i="12"/>
  <c r="D92" i="12"/>
  <c r="D93" i="12"/>
  <c r="D94" i="12"/>
  <c r="D95" i="12"/>
  <c r="D96" i="12"/>
  <c r="D97" i="12"/>
  <c r="D98" i="12"/>
  <c r="D99" i="12"/>
  <c r="D100" i="12"/>
  <c r="D101" i="12"/>
  <c r="D102" i="12"/>
  <c r="D103" i="12"/>
  <c r="D104" i="12"/>
  <c r="D105" i="12"/>
  <c r="D106" i="12"/>
  <c r="D107" i="12"/>
  <c r="D108" i="12"/>
  <c r="D30" i="12"/>
  <c r="F26" i="12"/>
  <c r="D26" i="12" s="1"/>
  <c r="E30" i="12" s="1"/>
  <c r="E108" i="12" l="1"/>
  <c r="E106" i="12"/>
  <c r="E104" i="12"/>
  <c r="E102" i="12"/>
  <c r="E100" i="12"/>
  <c r="E98" i="12"/>
  <c r="E96" i="12"/>
  <c r="E94" i="12"/>
  <c r="E92" i="12"/>
  <c r="E90" i="12"/>
  <c r="E88" i="12"/>
  <c r="E86" i="12"/>
  <c r="E84" i="12"/>
  <c r="E82" i="12"/>
  <c r="E80" i="12"/>
  <c r="E78" i="12"/>
  <c r="E76" i="12"/>
  <c r="E74" i="12"/>
  <c r="E72" i="12"/>
  <c r="E70" i="12"/>
  <c r="E68" i="12"/>
  <c r="E66" i="12"/>
  <c r="E64" i="12"/>
  <c r="E62" i="12"/>
  <c r="E60" i="12"/>
  <c r="E58" i="12"/>
  <c r="E56" i="12"/>
  <c r="E54" i="12"/>
  <c r="E52" i="12"/>
  <c r="E50" i="12"/>
  <c r="E48" i="12"/>
  <c r="E46" i="12"/>
  <c r="E44" i="12"/>
  <c r="E42" i="12"/>
  <c r="E40" i="12"/>
  <c r="E38" i="12"/>
  <c r="E36" i="12"/>
  <c r="E34" i="12"/>
  <c r="E32" i="12"/>
  <c r="E107" i="12"/>
  <c r="E105" i="12"/>
  <c r="E103" i="12"/>
  <c r="E101" i="12"/>
  <c r="E99" i="12"/>
  <c r="E97" i="12"/>
  <c r="E95" i="12"/>
  <c r="E93" i="12"/>
  <c r="E91" i="12"/>
  <c r="E89" i="12"/>
  <c r="E87" i="12"/>
  <c r="E85" i="12"/>
  <c r="E83" i="12"/>
  <c r="E81" i="12"/>
  <c r="E79" i="12"/>
  <c r="E77" i="12"/>
  <c r="E75" i="12"/>
  <c r="E73" i="12"/>
  <c r="E71" i="12"/>
  <c r="E69" i="12"/>
  <c r="E67" i="12"/>
  <c r="E65" i="12"/>
  <c r="E63" i="12"/>
  <c r="E61" i="12"/>
  <c r="E59" i="12"/>
  <c r="E57" i="12"/>
  <c r="E55" i="12"/>
  <c r="E53" i="12"/>
  <c r="E51" i="12"/>
  <c r="E49" i="12"/>
  <c r="E47" i="12"/>
  <c r="E45" i="12"/>
  <c r="E43" i="12"/>
  <c r="E41" i="12"/>
  <c r="E39" i="12"/>
  <c r="E37" i="12"/>
  <c r="E35" i="12"/>
  <c r="E33" i="12"/>
  <c r="E31" i="12"/>
  <c r="A4" i="9" l="1"/>
  <c r="K4" i="9" l="1"/>
  <c r="I4" i="9"/>
  <c r="M11" i="9"/>
  <c r="C4" i="9"/>
  <c r="K11" i="9"/>
  <c r="I11" i="9"/>
  <c r="M4" i="9"/>
  <c r="P19" i="12" l="1"/>
  <c r="P20" i="12"/>
  <c r="H5" i="12"/>
  <c r="Z5" i="12"/>
  <c r="B19" i="12"/>
  <c r="B20" i="12"/>
  <c r="C5" i="12"/>
  <c r="T19" i="12"/>
  <c r="T20" i="12"/>
  <c r="K5" i="12"/>
  <c r="N19" i="12"/>
  <c r="N20" i="12"/>
  <c r="U5" i="12"/>
  <c r="H19" i="12"/>
  <c r="H20" i="12"/>
  <c r="Z19" i="12"/>
  <c r="Z20" i="12"/>
  <c r="X5" i="12"/>
  <c r="C19" i="12"/>
  <c r="C20" i="12"/>
  <c r="K19" i="12"/>
  <c r="K20" i="12"/>
  <c r="E5" i="12"/>
  <c r="U19" i="12"/>
  <c r="U20" i="12"/>
  <c r="AA5" i="12"/>
  <c r="N5" i="12"/>
  <c r="X19" i="12"/>
  <c r="X20" i="12"/>
  <c r="I19" i="12"/>
  <c r="I20" i="12"/>
  <c r="M5" i="12"/>
  <c r="E19" i="12"/>
  <c r="E20" i="12"/>
  <c r="Y19" i="12"/>
  <c r="Y20" i="12"/>
  <c r="AA19" i="12"/>
  <c r="AA20" i="12"/>
  <c r="T5" i="12"/>
  <c r="D5" i="12"/>
  <c r="I5" i="12"/>
  <c r="L5" i="12"/>
  <c r="M19" i="12"/>
  <c r="M20" i="12"/>
  <c r="S5" i="12"/>
  <c r="Y5" i="12"/>
  <c r="F19" i="12"/>
  <c r="F20" i="12"/>
  <c r="R19" i="12"/>
  <c r="R20" i="12"/>
  <c r="D19" i="12"/>
  <c r="D20" i="12"/>
  <c r="L19" i="12"/>
  <c r="L20" i="12"/>
  <c r="Q5" i="12"/>
  <c r="S19" i="12"/>
  <c r="S20" i="12"/>
  <c r="O5" i="12"/>
  <c r="F5" i="12"/>
  <c r="V5" i="12"/>
  <c r="W5" i="12"/>
  <c r="J5" i="12"/>
  <c r="Q19" i="12"/>
  <c r="Q20" i="12"/>
  <c r="G5" i="12"/>
  <c r="O19" i="12"/>
  <c r="O20" i="12"/>
  <c r="B5" i="12"/>
  <c r="W19" i="12"/>
  <c r="W20" i="12"/>
  <c r="V19" i="12"/>
  <c r="V20" i="12"/>
  <c r="J19" i="12"/>
  <c r="J20" i="12"/>
  <c r="R5" i="12"/>
  <c r="G19" i="12"/>
  <c r="G20" i="12"/>
  <c r="P5" i="12"/>
  <c r="O18" i="9" l="1"/>
  <c r="O11" i="9"/>
  <c r="O4" i="9"/>
  <c r="O4" i="10"/>
  <c r="B1" i="9" l="1"/>
  <c r="B1" i="10"/>
  <c r="A11" i="9"/>
  <c r="K3" i="7"/>
  <c r="J3" i="7"/>
  <c r="F3" i="7"/>
  <c r="G3" i="7" s="1"/>
  <c r="M3" i="7" s="1"/>
  <c r="C3" i="7"/>
  <c r="E3" i="7"/>
  <c r="B4" i="7"/>
  <c r="E4" i="4"/>
  <c r="E5" i="4"/>
  <c r="E6" i="4"/>
  <c r="E7" i="4"/>
  <c r="E8" i="4"/>
  <c r="E9" i="4"/>
  <c r="E10" i="4"/>
  <c r="E11" i="4"/>
  <c r="E12" i="4"/>
  <c r="E13" i="4"/>
  <c r="E14" i="4"/>
  <c r="E15" i="4"/>
  <c r="E16" i="4"/>
  <c r="E17" i="4"/>
  <c r="E18" i="4"/>
  <c r="E19" i="4"/>
  <c r="E20" i="4"/>
  <c r="E21" i="4"/>
  <c r="E22" i="4"/>
  <c r="E23" i="4"/>
  <c r="E24" i="4"/>
  <c r="E25" i="4"/>
  <c r="E26" i="4"/>
  <c r="E27" i="4"/>
  <c r="E28" i="4"/>
  <c r="E44" i="4"/>
  <c r="E3" i="4"/>
  <c r="B4" i="10" l="1"/>
  <c r="A18" i="9"/>
  <c r="C18" i="9" s="1"/>
  <c r="C11" i="9"/>
  <c r="B4" i="9"/>
  <c r="H14" i="12"/>
  <c r="B8" i="9"/>
  <c r="I3" i="7"/>
  <c r="O3" i="7" s="1"/>
  <c r="H3" i="7"/>
  <c r="N3" i="7" s="1"/>
  <c r="D4" i="7"/>
  <c r="A4" i="10"/>
  <c r="K4" i="7"/>
  <c r="L3" i="7"/>
  <c r="J4" i="7"/>
  <c r="F4" i="7"/>
  <c r="G4" i="7" s="1"/>
  <c r="M4" i="7" s="1"/>
  <c r="B5" i="7"/>
  <c r="C4" i="7"/>
  <c r="B15" i="9" l="1"/>
  <c r="B14" i="9" s="1"/>
  <c r="E18" i="9" s="1"/>
  <c r="B7" i="9"/>
  <c r="E11" i="9" s="1"/>
  <c r="J14" i="12"/>
  <c r="J16" i="12" s="1"/>
  <c r="U14" i="12"/>
  <c r="U16" i="12" s="1"/>
  <c r="E14" i="12"/>
  <c r="E16" i="12" s="1"/>
  <c r="T14" i="12"/>
  <c r="T16" i="12" s="1"/>
  <c r="O14" i="12"/>
  <c r="O16" i="12" s="1"/>
  <c r="I14" i="12"/>
  <c r="I16" i="12" s="1"/>
  <c r="L14" i="12"/>
  <c r="L16" i="12" s="1"/>
  <c r="W14" i="12"/>
  <c r="W16" i="12" s="1"/>
  <c r="F14" i="12"/>
  <c r="F16" i="12" s="1"/>
  <c r="Y14" i="12"/>
  <c r="Y16" i="12" s="1"/>
  <c r="V14" i="12"/>
  <c r="V16" i="12" s="1"/>
  <c r="P14" i="12"/>
  <c r="P16" i="12" s="1"/>
  <c r="Q14" i="12"/>
  <c r="Q16" i="12" s="1"/>
  <c r="Z14" i="12"/>
  <c r="Z16" i="12" s="1"/>
  <c r="AA14" i="12"/>
  <c r="AA16" i="12" s="1"/>
  <c r="X14" i="12"/>
  <c r="X16" i="12" s="1"/>
  <c r="N14" i="12"/>
  <c r="N16" i="12" s="1"/>
  <c r="G14" i="12"/>
  <c r="G16" i="12" s="1"/>
  <c r="S14" i="12"/>
  <c r="S16" i="12" s="1"/>
  <c r="R14" i="12"/>
  <c r="R16" i="12" s="1"/>
  <c r="K14" i="12"/>
  <c r="K16" i="12" s="1"/>
  <c r="B13" i="12"/>
  <c r="Q13" i="12" s="1"/>
  <c r="M14" i="12"/>
  <c r="M16" i="12" s="1"/>
  <c r="D14" i="12"/>
  <c r="D16" i="12" s="1"/>
  <c r="C14" i="12"/>
  <c r="C16" i="12" s="1"/>
  <c r="I4" i="7"/>
  <c r="O4" i="7" s="1"/>
  <c r="H4" i="7"/>
  <c r="N4" i="7" s="1"/>
  <c r="D5" i="7"/>
  <c r="L7" i="12"/>
  <c r="S7" i="12"/>
  <c r="Y7" i="12"/>
  <c r="O7" i="12"/>
  <c r="K7" i="12"/>
  <c r="P7" i="12"/>
  <c r="D7" i="12"/>
  <c r="F7" i="12"/>
  <c r="X7" i="12"/>
  <c r="J7" i="12"/>
  <c r="G7" i="12"/>
  <c r="E7" i="12"/>
  <c r="AA7" i="12"/>
  <c r="N7" i="12"/>
  <c r="T7" i="12"/>
  <c r="H7" i="12"/>
  <c r="H16" i="12"/>
  <c r="Z7" i="12"/>
  <c r="B7" i="12"/>
  <c r="B16" i="12"/>
  <c r="M7" i="12"/>
  <c r="R7" i="12"/>
  <c r="I7" i="12"/>
  <c r="W7" i="12"/>
  <c r="Q7" i="12"/>
  <c r="U7" i="12"/>
  <c r="C7" i="12"/>
  <c r="V7" i="12"/>
  <c r="J5" i="7"/>
  <c r="K5" i="7"/>
  <c r="L4" i="7"/>
  <c r="F5" i="7"/>
  <c r="G5" i="7" s="1"/>
  <c r="M5" i="7" s="1"/>
  <c r="B6" i="7"/>
  <c r="C5" i="7"/>
  <c r="B18" i="9" l="1"/>
  <c r="I13" i="12"/>
  <c r="V13" i="12"/>
  <c r="T13" i="12"/>
  <c r="O13" i="12"/>
  <c r="L13" i="12"/>
  <c r="X13" i="12"/>
  <c r="AA13" i="12"/>
  <c r="H13" i="12"/>
  <c r="U13" i="12"/>
  <c r="G13" i="12"/>
  <c r="Z13" i="12"/>
  <c r="F13" i="12"/>
  <c r="R13" i="12"/>
  <c r="M13" i="12"/>
  <c r="K13" i="12"/>
  <c r="D13" i="12"/>
  <c r="P13" i="12"/>
  <c r="S13" i="12"/>
  <c r="Y13" i="12"/>
  <c r="N13" i="12"/>
  <c r="E13" i="12"/>
  <c r="W13" i="12"/>
  <c r="C13" i="12"/>
  <c r="J13" i="12"/>
  <c r="H5" i="7"/>
  <c r="N5" i="7" s="1"/>
  <c r="I5" i="7"/>
  <c r="O5" i="7" s="1"/>
  <c r="D6" i="7"/>
  <c r="J6" i="7"/>
  <c r="K6" i="7"/>
  <c r="L5" i="7"/>
  <c r="B11" i="9"/>
  <c r="C6" i="7"/>
  <c r="B7" i="7"/>
  <c r="F6" i="7"/>
  <c r="G6" i="7" s="1"/>
  <c r="M6" i="7" s="1"/>
  <c r="H6" i="7" l="1"/>
  <c r="N6" i="7" s="1"/>
  <c r="I6" i="7"/>
  <c r="O6" i="7" s="1"/>
  <c r="D7" i="7"/>
  <c r="L6" i="7"/>
  <c r="K7" i="7"/>
  <c r="J7" i="7"/>
  <c r="F7" i="7"/>
  <c r="G7" i="7" s="1"/>
  <c r="M7" i="7" s="1"/>
  <c r="C7" i="7"/>
  <c r="B8" i="7"/>
  <c r="H7" i="7" l="1"/>
  <c r="N7" i="7" s="1"/>
  <c r="I7" i="7"/>
  <c r="O7" i="7" s="1"/>
  <c r="D8" i="7"/>
  <c r="L7" i="7"/>
  <c r="K8" i="7"/>
  <c r="J8" i="7"/>
  <c r="F8" i="7"/>
  <c r="G8" i="7" s="1"/>
  <c r="M8" i="7" s="1"/>
  <c r="C8" i="7"/>
  <c r="B9" i="7"/>
  <c r="H8" i="7" l="1"/>
  <c r="N8" i="7" s="1"/>
  <c r="I8" i="7"/>
  <c r="O8" i="7" s="1"/>
  <c r="D9" i="7"/>
  <c r="L8" i="7"/>
  <c r="K9" i="7"/>
  <c r="J9" i="7"/>
  <c r="F9" i="7"/>
  <c r="G9" i="7" s="1"/>
  <c r="M9" i="7" s="1"/>
  <c r="B10" i="7"/>
  <c r="C9" i="7"/>
  <c r="I9" i="7" l="1"/>
  <c r="O9" i="7" s="1"/>
  <c r="H9" i="7"/>
  <c r="N9" i="7" s="1"/>
  <c r="D10" i="7"/>
  <c r="L9" i="7"/>
  <c r="K10" i="7"/>
  <c r="J10" i="7"/>
  <c r="L10" i="7" s="1"/>
  <c r="F10" i="7"/>
  <c r="G10" i="7" s="1"/>
  <c r="M10" i="7" s="1"/>
  <c r="B11" i="7"/>
  <c r="C10" i="7"/>
  <c r="H10" i="7" l="1"/>
  <c r="N10" i="7" s="1"/>
  <c r="I10" i="7"/>
  <c r="O10" i="7" s="1"/>
  <c r="D11" i="7"/>
  <c r="K11" i="7"/>
  <c r="J11" i="7"/>
  <c r="F11" i="7"/>
  <c r="G11" i="7" s="1"/>
  <c r="M11" i="7" s="1"/>
  <c r="B12" i="7"/>
  <c r="C11" i="7"/>
  <c r="H11" i="7" l="1"/>
  <c r="N11" i="7" s="1"/>
  <c r="I11" i="7"/>
  <c r="O11" i="7" s="1"/>
  <c r="D12" i="7"/>
  <c r="J12" i="7"/>
  <c r="L12" i="7" s="1"/>
  <c r="K12" i="7"/>
  <c r="L11" i="7"/>
  <c r="F12" i="7"/>
  <c r="G12" i="7" s="1"/>
  <c r="M12" i="7" s="1"/>
  <c r="B13" i="7"/>
  <c r="C12" i="7"/>
  <c r="H12" i="7" l="1"/>
  <c r="N12" i="7" s="1"/>
  <c r="I12" i="7"/>
  <c r="O12" i="7" s="1"/>
  <c r="D13" i="7"/>
  <c r="J13" i="7"/>
  <c r="L13" i="7" s="1"/>
  <c r="K13" i="7"/>
  <c r="F13" i="7"/>
  <c r="G13" i="7" s="1"/>
  <c r="M13" i="7" s="1"/>
  <c r="B14" i="7"/>
  <c r="C13" i="7"/>
  <c r="H13" i="7" l="1"/>
  <c r="N13" i="7" s="1"/>
  <c r="I13" i="7"/>
  <c r="O13" i="7" s="1"/>
  <c r="D14" i="7"/>
  <c r="J14" i="7"/>
  <c r="L14" i="7" s="1"/>
  <c r="K14" i="7"/>
  <c r="C14" i="7"/>
  <c r="F14" i="7"/>
  <c r="G14" i="7" s="1"/>
  <c r="M14" i="7" s="1"/>
  <c r="B15" i="7"/>
  <c r="I14" i="7" l="1"/>
  <c r="O14" i="7" s="1"/>
  <c r="H14" i="7"/>
  <c r="N14" i="7" s="1"/>
  <c r="D15" i="7"/>
  <c r="K15" i="7"/>
  <c r="J15" i="7"/>
  <c r="F15" i="7"/>
  <c r="G15" i="7" s="1"/>
  <c r="M15" i="7" s="1"/>
  <c r="C15" i="7"/>
  <c r="B16" i="7"/>
  <c r="I15" i="7" l="1"/>
  <c r="O15" i="7" s="1"/>
  <c r="H15" i="7"/>
  <c r="N15" i="7" s="1"/>
  <c r="D16" i="7"/>
  <c r="L15" i="7"/>
  <c r="K16" i="7"/>
  <c r="J16" i="7"/>
  <c r="F16" i="7"/>
  <c r="G16" i="7" s="1"/>
  <c r="M16" i="7" s="1"/>
  <c r="C16" i="7"/>
  <c r="B17" i="7"/>
  <c r="H16" i="7" l="1"/>
  <c r="N16" i="7" s="1"/>
  <c r="I16" i="7"/>
  <c r="O16" i="7" s="1"/>
  <c r="D17" i="7"/>
  <c r="L16" i="7"/>
  <c r="K17" i="7"/>
  <c r="J17" i="7"/>
  <c r="F17" i="7"/>
  <c r="G17" i="7" s="1"/>
  <c r="M17" i="7" s="1"/>
  <c r="B18" i="7"/>
  <c r="C17" i="7"/>
  <c r="H17" i="7" l="1"/>
  <c r="N17" i="7" s="1"/>
  <c r="I17" i="7"/>
  <c r="O17" i="7" s="1"/>
  <c r="D18" i="7"/>
  <c r="L17" i="7"/>
  <c r="K18" i="7"/>
  <c r="J18" i="7"/>
  <c r="L18" i="7" s="1"/>
  <c r="F18" i="7"/>
  <c r="G18" i="7" s="1"/>
  <c r="M18" i="7" s="1"/>
  <c r="B19" i="7"/>
  <c r="C18" i="7"/>
  <c r="H18" i="7" l="1"/>
  <c r="N18" i="7" s="1"/>
  <c r="I18" i="7"/>
  <c r="O18" i="7" s="1"/>
  <c r="D19" i="7"/>
  <c r="K19" i="7"/>
  <c r="J19" i="7"/>
  <c r="F19" i="7"/>
  <c r="G19" i="7" s="1"/>
  <c r="M19" i="7" s="1"/>
  <c r="B20" i="7"/>
  <c r="C19" i="7"/>
  <c r="I19" i="7" l="1"/>
  <c r="O19" i="7" s="1"/>
  <c r="H19" i="7"/>
  <c r="N19" i="7" s="1"/>
  <c r="D20" i="7"/>
  <c r="L19" i="7"/>
  <c r="J20" i="7"/>
  <c r="L20" i="7" s="1"/>
  <c r="K20" i="7"/>
  <c r="F20" i="7"/>
  <c r="G20" i="7" s="1"/>
  <c r="M20" i="7" s="1"/>
  <c r="B21" i="7"/>
  <c r="C20" i="7"/>
  <c r="H20" i="7" l="1"/>
  <c r="N20" i="7" s="1"/>
  <c r="I20" i="7"/>
  <c r="O20" i="7" s="1"/>
  <c r="D21" i="7"/>
  <c r="J21" i="7"/>
  <c r="K21" i="7"/>
  <c r="F21" i="7"/>
  <c r="G21" i="7" s="1"/>
  <c r="M21" i="7" s="1"/>
  <c r="C21" i="7"/>
  <c r="B22" i="7"/>
  <c r="I21" i="7" l="1"/>
  <c r="O21" i="7" s="1"/>
  <c r="H21" i="7"/>
  <c r="N21" i="7" s="1"/>
  <c r="D22" i="7"/>
  <c r="L21" i="7"/>
  <c r="J22" i="7"/>
  <c r="L22" i="7" s="1"/>
  <c r="K22" i="7"/>
  <c r="C22" i="7"/>
  <c r="F22" i="7"/>
  <c r="G22" i="7" s="1"/>
  <c r="M22" i="7" s="1"/>
  <c r="B23" i="7"/>
  <c r="I22" i="7" l="1"/>
  <c r="O22" i="7" s="1"/>
  <c r="H22" i="7"/>
  <c r="N22" i="7" s="1"/>
  <c r="D23" i="7"/>
  <c r="K23" i="7"/>
  <c r="J23" i="7"/>
  <c r="F23" i="7"/>
  <c r="G23" i="7" s="1"/>
  <c r="M23" i="7" s="1"/>
  <c r="C23" i="7"/>
  <c r="B24" i="7"/>
  <c r="H23" i="7" l="1"/>
  <c r="N23" i="7" s="1"/>
  <c r="I23" i="7"/>
  <c r="O23" i="7" s="1"/>
  <c r="D24" i="7"/>
  <c r="L23" i="7"/>
  <c r="K24" i="7"/>
  <c r="J24" i="7"/>
  <c r="L24" i="7" s="1"/>
  <c r="C24" i="7"/>
  <c r="F24" i="7"/>
  <c r="G24" i="7" s="1"/>
  <c r="M24" i="7" s="1"/>
  <c r="B25" i="7"/>
  <c r="I24" i="7" l="1"/>
  <c r="O24" i="7" s="1"/>
  <c r="H24" i="7"/>
  <c r="N24" i="7" s="1"/>
  <c r="D25" i="7"/>
  <c r="K25" i="7"/>
  <c r="J25" i="7"/>
  <c r="F25" i="7"/>
  <c r="G25" i="7" s="1"/>
  <c r="M25" i="7" s="1"/>
  <c r="B26" i="7"/>
  <c r="C25" i="7"/>
  <c r="H25" i="7" l="1"/>
  <c r="N25" i="7" s="1"/>
  <c r="I25" i="7"/>
  <c r="O25" i="7" s="1"/>
  <c r="D26" i="7"/>
  <c r="L25" i="7"/>
  <c r="K26" i="7"/>
  <c r="J26" i="7"/>
  <c r="L26" i="7" s="1"/>
  <c r="F26" i="7"/>
  <c r="G26" i="7" s="1"/>
  <c r="M26" i="7" s="1"/>
  <c r="B27" i="7"/>
  <c r="C26" i="7"/>
  <c r="I26" i="7" l="1"/>
  <c r="O26" i="7" s="1"/>
  <c r="H26" i="7"/>
  <c r="N26" i="7" s="1"/>
  <c r="D27" i="7"/>
  <c r="K27" i="7"/>
  <c r="J27" i="7"/>
  <c r="F27" i="7"/>
  <c r="G27" i="7" s="1"/>
  <c r="M27" i="7" s="1"/>
  <c r="B28" i="7"/>
  <c r="C27" i="7"/>
  <c r="H27" i="7" l="1"/>
  <c r="N27" i="7" s="1"/>
  <c r="I27" i="7"/>
  <c r="O27" i="7" s="1"/>
  <c r="D28" i="7"/>
  <c r="L27" i="7"/>
  <c r="J28" i="7"/>
  <c r="K28" i="7"/>
  <c r="F28" i="7"/>
  <c r="G28" i="7" s="1"/>
  <c r="M28" i="7" s="1"/>
  <c r="B29" i="7"/>
  <c r="C28" i="7"/>
  <c r="H28" i="7" l="1"/>
  <c r="N28" i="7" s="1"/>
  <c r="I28" i="7"/>
  <c r="O28" i="7" s="1"/>
  <c r="D29" i="7"/>
  <c r="L28" i="7"/>
  <c r="J29" i="7"/>
  <c r="K29" i="7"/>
  <c r="F29" i="7"/>
  <c r="G29" i="7" s="1"/>
  <c r="M29" i="7" s="1"/>
  <c r="B30" i="7"/>
  <c r="C29" i="7"/>
  <c r="H29" i="7" l="1"/>
  <c r="N29" i="7" s="1"/>
  <c r="I29" i="7"/>
  <c r="O29" i="7" s="1"/>
  <c r="D30" i="7"/>
  <c r="L29" i="7"/>
  <c r="J30" i="7"/>
  <c r="K30" i="7"/>
  <c r="C30" i="7"/>
  <c r="F30" i="7"/>
  <c r="G30" i="7" s="1"/>
  <c r="M30" i="7" s="1"/>
  <c r="B31" i="7"/>
  <c r="H30" i="7" l="1"/>
  <c r="N30" i="7" s="1"/>
  <c r="I30" i="7"/>
  <c r="O30" i="7" s="1"/>
  <c r="D31" i="7"/>
  <c r="L30" i="7"/>
  <c r="K31" i="7"/>
  <c r="J31" i="7"/>
  <c r="F31" i="7"/>
  <c r="G31" i="7" s="1"/>
  <c r="M31" i="7" s="1"/>
  <c r="C31" i="7"/>
  <c r="B32" i="7"/>
  <c r="I31" i="7" l="1"/>
  <c r="O31" i="7" s="1"/>
  <c r="H31" i="7"/>
  <c r="N31" i="7" s="1"/>
  <c r="D32" i="7"/>
  <c r="L31" i="7"/>
  <c r="K32" i="7"/>
  <c r="J32" i="7"/>
  <c r="C32" i="7"/>
  <c r="F32" i="7"/>
  <c r="G32" i="7" s="1"/>
  <c r="M32" i="7" s="1"/>
  <c r="B33" i="7"/>
  <c r="P33" i="7" s="1"/>
  <c r="R33" i="7" l="1"/>
  <c r="Q33" i="7"/>
  <c r="H32" i="7"/>
  <c r="N32" i="7" s="1"/>
  <c r="I32" i="7"/>
  <c r="O32" i="7" s="1"/>
  <c r="S33" i="7"/>
  <c r="D33" i="7"/>
  <c r="L32" i="7"/>
  <c r="K33" i="7"/>
  <c r="J33" i="7"/>
  <c r="L33" i="7" s="1"/>
  <c r="F33" i="7"/>
  <c r="G33" i="7" s="1"/>
  <c r="M33" i="7" s="1"/>
  <c r="B34" i="7"/>
  <c r="P34" i="7" s="1"/>
  <c r="C33" i="7"/>
  <c r="R34" i="7" l="1"/>
  <c r="Q34" i="7"/>
  <c r="H33" i="7"/>
  <c r="N33" i="7" s="1"/>
  <c r="I33" i="7"/>
  <c r="O33" i="7" s="1"/>
  <c r="S34" i="7"/>
  <c r="D34" i="7"/>
  <c r="K34" i="7"/>
  <c r="J34" i="7"/>
  <c r="F34" i="7"/>
  <c r="G34" i="7" s="1"/>
  <c r="M34" i="7" s="1"/>
  <c r="B35" i="7"/>
  <c r="P35" i="7" s="1"/>
  <c r="C34" i="7"/>
  <c r="Q35" i="7" l="1"/>
  <c r="R35" i="7"/>
  <c r="I34" i="7"/>
  <c r="O34" i="7" s="1"/>
  <c r="H34" i="7"/>
  <c r="N34" i="7" s="1"/>
  <c r="S35" i="7"/>
  <c r="D35" i="7"/>
  <c r="L34" i="7"/>
  <c r="K35" i="7"/>
  <c r="J35" i="7"/>
  <c r="L35" i="7" s="1"/>
  <c r="F35" i="7"/>
  <c r="G35" i="7" s="1"/>
  <c r="M35" i="7" s="1"/>
  <c r="B36" i="7"/>
  <c r="P36" i="7" s="1"/>
  <c r="Q36" i="7" s="1"/>
  <c r="C35" i="7"/>
  <c r="R36" i="7" l="1"/>
  <c r="H35" i="7"/>
  <c r="N35" i="7" s="1"/>
  <c r="I35" i="7"/>
  <c r="O35" i="7" s="1"/>
  <c r="S36" i="7"/>
  <c r="D36" i="7"/>
  <c r="J36" i="7"/>
  <c r="K36" i="7"/>
  <c r="F36" i="7"/>
  <c r="G36" i="7" s="1"/>
  <c r="M36" i="7" s="1"/>
  <c r="C36" i="7"/>
  <c r="B37" i="7"/>
  <c r="P37" i="7" s="1"/>
  <c r="Q37" i="7" s="1"/>
  <c r="R37" i="7" l="1"/>
  <c r="H36" i="7"/>
  <c r="N36" i="7" s="1"/>
  <c r="I36" i="7"/>
  <c r="O36" i="7" s="1"/>
  <c r="S37" i="7"/>
  <c r="D37" i="7"/>
  <c r="L36" i="7"/>
  <c r="J37" i="7"/>
  <c r="L37" i="7" s="1"/>
  <c r="K37" i="7"/>
  <c r="F37" i="7"/>
  <c r="G37" i="7" s="1"/>
  <c r="M37" i="7" s="1"/>
  <c r="C37" i="7"/>
  <c r="B38" i="7"/>
  <c r="P38" i="7" s="1"/>
  <c r="R38" i="7" l="1"/>
  <c r="Q38" i="7"/>
  <c r="I37" i="7"/>
  <c r="O37" i="7" s="1"/>
  <c r="H37" i="7"/>
  <c r="N37" i="7" s="1"/>
  <c r="S38" i="7"/>
  <c r="D38" i="7"/>
  <c r="J38" i="7"/>
  <c r="K38" i="7"/>
  <c r="C38" i="7"/>
  <c r="F38" i="7"/>
  <c r="G38" i="7" s="1"/>
  <c r="M38" i="7" s="1"/>
  <c r="B39" i="7"/>
  <c r="P39" i="7" s="1"/>
  <c r="Q39" i="7" l="1"/>
  <c r="R39" i="7"/>
  <c r="H38" i="7"/>
  <c r="N38" i="7" s="1"/>
  <c r="I38" i="7"/>
  <c r="O38" i="7" s="1"/>
  <c r="S39" i="7"/>
  <c r="D39" i="7"/>
  <c r="L38" i="7"/>
  <c r="K39" i="7"/>
  <c r="J39" i="7"/>
  <c r="F39" i="7"/>
  <c r="G39" i="7" s="1"/>
  <c r="M39" i="7" s="1"/>
  <c r="C39" i="7"/>
  <c r="B40" i="7"/>
  <c r="P40" i="7" s="1"/>
  <c r="Q40" i="7" s="1"/>
  <c r="R40" i="7" l="1"/>
  <c r="I39" i="7"/>
  <c r="O39" i="7" s="1"/>
  <c r="H39" i="7"/>
  <c r="N39" i="7" s="1"/>
  <c r="S40" i="7"/>
  <c r="D40" i="7"/>
  <c r="L39" i="7"/>
  <c r="K40" i="7"/>
  <c r="J40" i="7"/>
  <c r="L40" i="7" s="1"/>
  <c r="F40" i="7"/>
  <c r="G40" i="7" s="1"/>
  <c r="M40" i="7" s="1"/>
  <c r="C40" i="7"/>
  <c r="B41" i="7"/>
  <c r="P41" i="7" s="1"/>
  <c r="Q41" i="7" l="1"/>
  <c r="R41" i="7"/>
  <c r="I40" i="7"/>
  <c r="O40" i="7" s="1"/>
  <c r="H40" i="7"/>
  <c r="N40" i="7" s="1"/>
  <c r="S41" i="7"/>
  <c r="D41" i="7"/>
  <c r="K41" i="7"/>
  <c r="J41" i="7"/>
  <c r="F41" i="7"/>
  <c r="G41" i="7" s="1"/>
  <c r="M41" i="7" s="1"/>
  <c r="B42" i="7"/>
  <c r="P42" i="7" s="1"/>
  <c r="C41" i="7"/>
  <c r="Q42" i="7" l="1"/>
  <c r="R42" i="7"/>
  <c r="I41" i="7"/>
  <c r="O41" i="7" s="1"/>
  <c r="H41" i="7"/>
  <c r="N41" i="7" s="1"/>
  <c r="S42" i="7"/>
  <c r="D42" i="7"/>
  <c r="L41" i="7"/>
  <c r="K42" i="7"/>
  <c r="J42" i="7"/>
  <c r="F42" i="7"/>
  <c r="G42" i="7" s="1"/>
  <c r="M42" i="7" s="1"/>
  <c r="B43" i="7"/>
  <c r="P43" i="7" s="1"/>
  <c r="C42" i="7"/>
  <c r="R43" i="7" l="1"/>
  <c r="Q43" i="7"/>
  <c r="I42" i="7"/>
  <c r="O42" i="7" s="1"/>
  <c r="H42" i="7"/>
  <c r="N42" i="7" s="1"/>
  <c r="S43" i="7"/>
  <c r="D43" i="7"/>
  <c r="L42" i="7"/>
  <c r="K43" i="7"/>
  <c r="J43" i="7"/>
  <c r="F43" i="7"/>
  <c r="G43" i="7" s="1"/>
  <c r="M43" i="7" s="1"/>
  <c r="B44" i="7"/>
  <c r="P44" i="7" s="1"/>
  <c r="C43" i="7"/>
  <c r="Q44" i="7" l="1"/>
  <c r="R44" i="7"/>
  <c r="I43" i="7"/>
  <c r="O43" i="7" s="1"/>
  <c r="H43" i="7"/>
  <c r="N43" i="7" s="1"/>
  <c r="S44" i="7"/>
  <c r="D44" i="7"/>
  <c r="L43" i="7"/>
  <c r="J44" i="7"/>
  <c r="K44" i="7"/>
  <c r="F44" i="7"/>
  <c r="G44" i="7" s="1"/>
  <c r="M44" i="7" s="1"/>
  <c r="C44" i="7"/>
  <c r="B45" i="7"/>
  <c r="P45" i="7" s="1"/>
  <c r="R45" i="7" l="1"/>
  <c r="Q45" i="7"/>
  <c r="I44" i="7"/>
  <c r="O44" i="7" s="1"/>
  <c r="H44" i="7"/>
  <c r="N44" i="7" s="1"/>
  <c r="S45" i="7"/>
  <c r="D45" i="7"/>
  <c r="L44" i="7"/>
  <c r="J45" i="7"/>
  <c r="K45" i="7"/>
  <c r="F45" i="7"/>
  <c r="G45" i="7" s="1"/>
  <c r="M45" i="7" s="1"/>
  <c r="B46" i="7"/>
  <c r="P46" i="7" s="1"/>
  <c r="C45" i="7"/>
  <c r="R46" i="7" l="1"/>
  <c r="Q46" i="7"/>
  <c r="I45" i="7"/>
  <c r="O45" i="7" s="1"/>
  <c r="H45" i="7"/>
  <c r="N45" i="7" s="1"/>
  <c r="S46" i="7"/>
  <c r="D46" i="7"/>
  <c r="L45" i="7"/>
  <c r="J46" i="7"/>
  <c r="L46" i="7" s="1"/>
  <c r="K46" i="7"/>
  <c r="C46" i="7"/>
  <c r="F46" i="7"/>
  <c r="G46" i="7" s="1"/>
  <c r="M46" i="7" s="1"/>
  <c r="B47" i="7"/>
  <c r="P47" i="7" s="1"/>
  <c r="Q47" i="7" l="1"/>
  <c r="R47" i="7"/>
  <c r="I46" i="7"/>
  <c r="O46" i="7" s="1"/>
  <c r="H46" i="7"/>
  <c r="N46" i="7" s="1"/>
  <c r="S47" i="7"/>
  <c r="D47" i="7"/>
  <c r="K47" i="7"/>
  <c r="J47" i="7"/>
  <c r="F47" i="7"/>
  <c r="G47" i="7" s="1"/>
  <c r="M47" i="7" s="1"/>
  <c r="C47" i="7"/>
  <c r="B48" i="7"/>
  <c r="P48" i="7" s="1"/>
  <c r="R48" i="7" l="1"/>
  <c r="Q48" i="7"/>
  <c r="I47" i="7"/>
  <c r="O47" i="7" s="1"/>
  <c r="H47" i="7"/>
  <c r="N47" i="7" s="1"/>
  <c r="S48" i="7"/>
  <c r="D48" i="7"/>
  <c r="L47" i="7"/>
  <c r="K48" i="7"/>
  <c r="J48" i="7"/>
  <c r="F48" i="7"/>
  <c r="G48" i="7" s="1"/>
  <c r="M48" i="7" s="1"/>
  <c r="C48" i="7"/>
  <c r="B49" i="7"/>
  <c r="P49" i="7" s="1"/>
  <c r="Q49" i="7" l="1"/>
  <c r="R49" i="7"/>
  <c r="I48" i="7"/>
  <c r="O48" i="7" s="1"/>
  <c r="H48" i="7"/>
  <c r="N48" i="7" s="1"/>
  <c r="S49" i="7"/>
  <c r="D49" i="7"/>
  <c r="L48" i="7"/>
  <c r="K49" i="7"/>
  <c r="J49" i="7"/>
  <c r="L49" i="7" s="1"/>
  <c r="F49" i="7"/>
  <c r="G49" i="7" s="1"/>
  <c r="M49" i="7" s="1"/>
  <c r="B50" i="7"/>
  <c r="P50" i="7" s="1"/>
  <c r="C49" i="7"/>
  <c r="Q50" i="7" l="1"/>
  <c r="R50" i="7"/>
  <c r="I49" i="7"/>
  <c r="O49" i="7" s="1"/>
  <c r="H49" i="7"/>
  <c r="N49" i="7" s="1"/>
  <c r="S50" i="7"/>
  <c r="D50" i="7"/>
  <c r="K50" i="7"/>
  <c r="J50" i="7"/>
  <c r="L50" i="7" s="1"/>
  <c r="F50" i="7"/>
  <c r="G50" i="7" s="1"/>
  <c r="M50" i="7" s="1"/>
  <c r="B51" i="7"/>
  <c r="P51" i="7" s="1"/>
  <c r="C50" i="7"/>
  <c r="Q51" i="7" l="1"/>
  <c r="R51" i="7"/>
  <c r="I50" i="7"/>
  <c r="O50" i="7" s="1"/>
  <c r="H50" i="7"/>
  <c r="N50" i="7" s="1"/>
  <c r="S51" i="7"/>
  <c r="D51" i="7"/>
  <c r="K51" i="7"/>
  <c r="J51" i="7"/>
  <c r="F51" i="7"/>
  <c r="G51" i="7" s="1"/>
  <c r="M51" i="7" s="1"/>
  <c r="B52" i="7"/>
  <c r="P52" i="7" s="1"/>
  <c r="C51" i="7"/>
  <c r="Q52" i="7" l="1"/>
  <c r="R52" i="7"/>
  <c r="I51" i="7"/>
  <c r="O51" i="7" s="1"/>
  <c r="H51" i="7"/>
  <c r="N51" i="7" s="1"/>
  <c r="S52" i="7"/>
  <c r="D52" i="7"/>
  <c r="L51" i="7"/>
  <c r="J52" i="7"/>
  <c r="K52" i="7"/>
  <c r="F52" i="7"/>
  <c r="G52" i="7" s="1"/>
  <c r="M52" i="7" s="1"/>
  <c r="C52" i="7"/>
  <c r="B53" i="7"/>
  <c r="P53" i="7" s="1"/>
  <c r="Q53" i="7" l="1"/>
  <c r="R53" i="7"/>
  <c r="I52" i="7"/>
  <c r="O52" i="7" s="1"/>
  <c r="H52" i="7"/>
  <c r="N52" i="7" s="1"/>
  <c r="S53" i="7"/>
  <c r="D53" i="7"/>
  <c r="L52" i="7"/>
  <c r="J53" i="7"/>
  <c r="L53" i="7" s="1"/>
  <c r="K53" i="7"/>
  <c r="F53" i="7"/>
  <c r="G53" i="7" s="1"/>
  <c r="M53" i="7" s="1"/>
  <c r="B54" i="7"/>
  <c r="P54" i="7" s="1"/>
  <c r="C53" i="7"/>
  <c r="R54" i="7" l="1"/>
  <c r="Q54" i="7"/>
  <c r="I53" i="7"/>
  <c r="O53" i="7" s="1"/>
  <c r="H53" i="7"/>
  <c r="N53" i="7" s="1"/>
  <c r="S54" i="7"/>
  <c r="D54" i="7"/>
  <c r="J54" i="7"/>
  <c r="K54" i="7"/>
  <c r="C54" i="7"/>
  <c r="F54" i="7"/>
  <c r="G54" i="7" s="1"/>
  <c r="M54" i="7" s="1"/>
  <c r="B55" i="7"/>
  <c r="P55" i="7" s="1"/>
  <c r="R55" i="7" l="1"/>
  <c r="Q55" i="7"/>
  <c r="I54" i="7"/>
  <c r="O54" i="7" s="1"/>
  <c r="H54" i="7"/>
  <c r="N54" i="7" s="1"/>
  <c r="S55" i="7"/>
  <c r="D55" i="7"/>
  <c r="L54" i="7"/>
  <c r="K55" i="7"/>
  <c r="J55" i="7"/>
  <c r="L55" i="7" s="1"/>
  <c r="F55" i="7"/>
  <c r="G55" i="7" s="1"/>
  <c r="M55" i="7" s="1"/>
  <c r="C55" i="7"/>
  <c r="B56" i="7"/>
  <c r="P56" i="7" s="1"/>
  <c r="R56" i="7" l="1"/>
  <c r="Q56" i="7"/>
  <c r="I55" i="7"/>
  <c r="O55" i="7" s="1"/>
  <c r="H55" i="7"/>
  <c r="N55" i="7" s="1"/>
  <c r="S56" i="7"/>
  <c r="D56" i="7"/>
  <c r="K56" i="7"/>
  <c r="J56" i="7"/>
  <c r="C56" i="7"/>
  <c r="F56" i="7"/>
  <c r="G56" i="7" s="1"/>
  <c r="M56" i="7" s="1"/>
  <c r="B57" i="7"/>
  <c r="P57" i="7" s="1"/>
  <c r="R57" i="7" l="1"/>
  <c r="Q57" i="7"/>
  <c r="I56" i="7"/>
  <c r="O56" i="7" s="1"/>
  <c r="H56" i="7"/>
  <c r="N56" i="7" s="1"/>
  <c r="S57" i="7"/>
  <c r="D57" i="7"/>
  <c r="L56" i="7"/>
  <c r="K57" i="7"/>
  <c r="J57" i="7"/>
  <c r="F57" i="7"/>
  <c r="G57" i="7" s="1"/>
  <c r="M57" i="7" s="1"/>
  <c r="B58" i="7"/>
  <c r="P58" i="7" s="1"/>
  <c r="C57" i="7"/>
  <c r="R58" i="7" l="1"/>
  <c r="Q58" i="7"/>
  <c r="I57" i="7"/>
  <c r="O57" i="7" s="1"/>
  <c r="H57" i="7"/>
  <c r="N57" i="7" s="1"/>
  <c r="S58" i="7"/>
  <c r="D58" i="7"/>
  <c r="L57" i="7"/>
  <c r="K58" i="7"/>
  <c r="J58" i="7"/>
  <c r="F58" i="7"/>
  <c r="G58" i="7" s="1"/>
  <c r="M58" i="7" s="1"/>
  <c r="B59" i="7"/>
  <c r="P59" i="7" s="1"/>
  <c r="C58" i="7"/>
  <c r="R59" i="7" l="1"/>
  <c r="Q59" i="7"/>
  <c r="I58" i="7"/>
  <c r="O58" i="7" s="1"/>
  <c r="H58" i="7"/>
  <c r="N58" i="7" s="1"/>
  <c r="S59" i="7"/>
  <c r="D59" i="7"/>
  <c r="L58" i="7"/>
  <c r="K59" i="7"/>
  <c r="J59" i="7"/>
  <c r="L59" i="7" s="1"/>
  <c r="F59" i="7"/>
  <c r="G59" i="7" s="1"/>
  <c r="M59" i="7" s="1"/>
  <c r="B60" i="7"/>
  <c r="P60" i="7" s="1"/>
  <c r="C59" i="7"/>
  <c r="Q60" i="7" l="1"/>
  <c r="R60" i="7"/>
  <c r="I59" i="7"/>
  <c r="O59" i="7" s="1"/>
  <c r="H59" i="7"/>
  <c r="N59" i="7" s="1"/>
  <c r="S60" i="7"/>
  <c r="D60" i="7"/>
  <c r="J60" i="7"/>
  <c r="K60" i="7"/>
  <c r="F60" i="7"/>
  <c r="G60" i="7" s="1"/>
  <c r="M60" i="7" s="1"/>
  <c r="C60" i="7"/>
  <c r="B61" i="7"/>
  <c r="P61" i="7" s="1"/>
  <c r="Q61" i="7" l="1"/>
  <c r="R61" i="7"/>
  <c r="I60" i="7"/>
  <c r="O60" i="7" s="1"/>
  <c r="H60" i="7"/>
  <c r="N60" i="7" s="1"/>
  <c r="S61" i="7"/>
  <c r="D61" i="7"/>
  <c r="L60" i="7"/>
  <c r="J61" i="7"/>
  <c r="K61" i="7"/>
  <c r="F61" i="7"/>
  <c r="G61" i="7" s="1"/>
  <c r="M61" i="7" s="1"/>
  <c r="C61" i="7"/>
  <c r="B62" i="7"/>
  <c r="P62" i="7" s="1"/>
  <c r="Q62" i="7" l="1"/>
  <c r="R62" i="7"/>
  <c r="I61" i="7"/>
  <c r="O61" i="7" s="1"/>
  <c r="H61" i="7"/>
  <c r="N61" i="7" s="1"/>
  <c r="S62" i="7"/>
  <c r="D62" i="7"/>
  <c r="L61" i="7"/>
  <c r="J62" i="7"/>
  <c r="K62" i="7"/>
  <c r="C62" i="7"/>
  <c r="B63" i="7"/>
  <c r="P63" i="7" s="1"/>
  <c r="F62" i="7"/>
  <c r="G62" i="7" s="1"/>
  <c r="M62" i="7" s="1"/>
  <c r="Q63" i="7" l="1"/>
  <c r="R63" i="7"/>
  <c r="I62" i="7"/>
  <c r="O62" i="7" s="1"/>
  <c r="H62" i="7"/>
  <c r="N62" i="7" s="1"/>
  <c r="S63" i="7"/>
  <c r="D63" i="7"/>
  <c r="L62" i="7"/>
  <c r="K63" i="7"/>
  <c r="J63" i="7"/>
  <c r="F63" i="7"/>
  <c r="G63" i="7" s="1"/>
  <c r="M63" i="7" s="1"/>
  <c r="C63" i="7"/>
  <c r="B64" i="7"/>
  <c r="P64" i="7" s="1"/>
  <c r="Q64" i="7" l="1"/>
  <c r="R64" i="7"/>
  <c r="I63" i="7"/>
  <c r="O63" i="7" s="1"/>
  <c r="H63" i="7"/>
  <c r="N63" i="7" s="1"/>
  <c r="S64" i="7"/>
  <c r="D64" i="7"/>
  <c r="L63" i="7"/>
  <c r="K64" i="7"/>
  <c r="J64" i="7"/>
  <c r="C64" i="7"/>
  <c r="F64" i="7"/>
  <c r="G64" i="7" s="1"/>
  <c r="B65" i="7"/>
  <c r="P65" i="7" s="1"/>
  <c r="R65" i="7" s="1"/>
  <c r="M64" i="7" l="1"/>
  <c r="H64" i="7"/>
  <c r="N64" i="7" s="1"/>
  <c r="Q65" i="7"/>
  <c r="I64" i="7"/>
  <c r="O64" i="7" s="1"/>
  <c r="S65" i="7"/>
  <c r="D65" i="7"/>
  <c r="L64" i="7"/>
  <c r="K65" i="7"/>
  <c r="J65" i="7"/>
  <c r="L65" i="7" s="1"/>
  <c r="F65" i="7"/>
  <c r="G65" i="7" s="1"/>
  <c r="M65" i="7" s="1"/>
  <c r="B66" i="7"/>
  <c r="P66" i="7" s="1"/>
  <c r="C65" i="7"/>
  <c r="R66" i="7" l="1"/>
  <c r="Q66" i="7"/>
  <c r="H65" i="7"/>
  <c r="N65" i="7" s="1"/>
  <c r="I65" i="7"/>
  <c r="O65" i="7" s="1"/>
  <c r="S66" i="7"/>
  <c r="D66" i="7"/>
  <c r="K66" i="7"/>
  <c r="J66" i="7"/>
  <c r="F66" i="7"/>
  <c r="G66" i="7" s="1"/>
  <c r="M66" i="7" s="1"/>
  <c r="B67" i="7"/>
  <c r="P67" i="7" s="1"/>
  <c r="C66" i="7"/>
  <c r="AI48" i="14" l="1"/>
  <c r="AI140" i="14"/>
  <c r="AI310" i="14"/>
  <c r="AI187" i="14"/>
  <c r="AI188" i="14"/>
  <c r="AI26" i="14"/>
  <c r="AI189" i="14"/>
  <c r="AI79" i="14"/>
  <c r="AI97" i="14"/>
  <c r="AI343" i="14"/>
  <c r="AI134" i="14"/>
  <c r="AI152" i="14"/>
  <c r="AI131" i="14"/>
  <c r="AI90" i="14"/>
  <c r="AI3" i="14"/>
  <c r="AI314" i="14"/>
  <c r="AI283" i="14"/>
  <c r="AI86" i="14"/>
  <c r="AI366" i="14"/>
  <c r="AI146" i="14"/>
  <c r="AI347" i="14"/>
  <c r="AI30" i="14"/>
  <c r="AI153" i="14"/>
  <c r="AI270" i="14"/>
  <c r="AI331" i="14"/>
  <c r="AI357" i="14"/>
  <c r="AI201" i="14"/>
  <c r="AI257" i="14"/>
  <c r="AI342" i="14"/>
  <c r="AI92" i="14"/>
  <c r="AI339" i="14"/>
  <c r="AI355" i="14"/>
  <c r="AI88" i="14"/>
  <c r="AI336" i="14"/>
  <c r="AI66" i="14"/>
  <c r="AI312" i="14"/>
  <c r="AI262" i="14"/>
  <c r="AI300" i="14"/>
  <c r="AI275" i="14"/>
  <c r="AI8" i="14"/>
  <c r="AI119" i="14"/>
  <c r="AI15" i="14"/>
  <c r="AI276" i="14"/>
  <c r="AI162" i="14"/>
  <c r="AI268" i="14"/>
  <c r="AI358" i="14"/>
  <c r="AI41" i="14"/>
  <c r="AI243" i="14"/>
  <c r="AI307" i="14"/>
  <c r="AI326" i="14"/>
  <c r="AI206" i="14"/>
  <c r="AI328" i="14"/>
  <c r="AI14" i="14"/>
  <c r="AI52" i="14"/>
  <c r="AI22" i="14"/>
  <c r="AI60" i="14"/>
  <c r="AI35" i="14"/>
  <c r="AI28" i="14"/>
  <c r="AI2" i="14"/>
  <c r="AI309" i="14"/>
  <c r="AI251" i="14"/>
  <c r="AI174" i="14"/>
  <c r="AI297" i="14"/>
  <c r="AI53" i="14"/>
  <c r="AI303" i="14"/>
  <c r="AI226" i="14"/>
  <c r="AI313" i="14"/>
  <c r="AI19" i="14"/>
  <c r="AI70" i="14"/>
  <c r="AI98" i="14"/>
  <c r="AI354" i="14"/>
  <c r="AI329" i="14"/>
  <c r="AI359" i="14"/>
  <c r="AI142" i="14"/>
  <c r="AI65" i="14"/>
  <c r="AI199" i="14"/>
  <c r="AI267" i="14"/>
  <c r="AI264" i="14"/>
  <c r="AI298" i="14"/>
  <c r="AI293" i="14"/>
  <c r="AI265" i="14"/>
  <c r="AI197" i="14"/>
  <c r="AI290" i="14"/>
  <c r="AI304" i="14"/>
  <c r="AI11" i="14"/>
  <c r="AI233" i="14"/>
  <c r="AI73" i="14"/>
  <c r="AI25" i="14"/>
  <c r="AI110" i="14"/>
  <c r="AI184" i="14"/>
  <c r="AI144" i="14"/>
  <c r="AI47" i="14"/>
  <c r="AI308" i="14"/>
  <c r="AI259" i="14"/>
  <c r="AI200" i="14"/>
  <c r="AI168" i="14"/>
  <c r="AI353" i="14"/>
  <c r="AI193" i="14"/>
  <c r="AI151" i="14"/>
  <c r="AI84" i="14"/>
  <c r="AI258" i="14"/>
  <c r="AI335" i="14"/>
  <c r="AI318" i="14"/>
  <c r="AI85" i="14"/>
  <c r="AI128" i="14"/>
  <c r="AI325" i="14"/>
  <c r="AI123" i="14"/>
  <c r="AI150" i="14"/>
  <c r="AI287" i="14"/>
  <c r="AI361" i="14"/>
  <c r="AI157" i="14"/>
  <c r="AI350" i="14"/>
  <c r="AI4" i="14"/>
  <c r="AI138" i="14"/>
  <c r="AI244" i="14"/>
  <c r="AI334" i="14"/>
  <c r="AI219" i="14"/>
  <c r="AI369" i="14"/>
  <c r="AI125" i="14"/>
  <c r="AI272" i="14"/>
  <c r="AI332" i="14"/>
  <c r="AI13" i="14"/>
  <c r="AI143" i="14"/>
  <c r="AI17" i="14"/>
  <c r="AI100" i="14"/>
  <c r="AI241" i="14"/>
  <c r="AI294" i="14"/>
  <c r="AI61" i="14"/>
  <c r="AI172" i="14"/>
  <c r="AI81" i="14"/>
  <c r="AI64" i="14"/>
  <c r="AI16" i="14"/>
  <c r="AI254" i="14"/>
  <c r="AI209" i="14"/>
  <c r="AI71" i="14"/>
  <c r="AI230" i="14"/>
  <c r="AI5" i="14"/>
  <c r="AI49" i="14"/>
  <c r="AI175" i="14"/>
  <c r="AI161" i="14"/>
  <c r="AI252" i="14"/>
  <c r="AI74" i="14"/>
  <c r="AI237" i="14"/>
  <c r="AI305" i="14"/>
  <c r="AI289" i="14"/>
  <c r="AI256" i="14"/>
  <c r="AI216" i="14"/>
  <c r="AI160" i="14"/>
  <c r="AI253" i="14"/>
  <c r="AI21" i="14"/>
  <c r="AI255" i="14"/>
  <c r="AI322" i="14"/>
  <c r="AI296" i="14"/>
  <c r="AI149" i="14"/>
  <c r="AI176" i="14"/>
  <c r="AI315" i="14"/>
  <c r="AI352" i="14"/>
  <c r="AI180" i="14"/>
  <c r="AI367" i="14"/>
  <c r="AI319" i="14"/>
  <c r="AI337" i="14"/>
  <c r="AI224" i="14"/>
  <c r="AI120" i="14"/>
  <c r="AI135" i="14"/>
  <c r="AI202" i="14"/>
  <c r="AI68" i="14"/>
  <c r="AI362" i="14"/>
  <c r="AI235" i="14"/>
  <c r="AI356" i="14"/>
  <c r="AI227" i="14"/>
  <c r="AI292" i="14"/>
  <c r="AI249" i="14"/>
  <c r="AI240" i="14"/>
  <c r="AI277" i="14"/>
  <c r="AI59" i="14"/>
  <c r="AI91" i="14"/>
  <c r="AI280" i="14"/>
  <c r="AI167" i="14"/>
  <c r="AI323" i="14"/>
  <c r="AI173" i="14"/>
  <c r="AI132" i="14"/>
  <c r="AI195" i="14"/>
  <c r="AI102" i="14"/>
  <c r="AI269" i="14"/>
  <c r="AI20" i="14"/>
  <c r="AI7" i="14"/>
  <c r="AI345" i="14"/>
  <c r="AI101" i="14"/>
  <c r="AI247" i="14"/>
  <c r="AI196" i="14"/>
  <c r="AI83" i="14"/>
  <c r="AI56" i="14"/>
  <c r="AI204" i="14"/>
  <c r="AI246" i="14"/>
  <c r="AI45" i="14"/>
  <c r="AI31" i="14"/>
  <c r="AI108" i="14"/>
  <c r="AI57" i="14"/>
  <c r="AI211" i="14"/>
  <c r="AI159" i="14"/>
  <c r="AI82" i="14"/>
  <c r="AI117" i="14"/>
  <c r="AI18" i="14"/>
  <c r="AI136" i="14"/>
  <c r="AI96" i="14"/>
  <c r="AI194" i="14"/>
  <c r="AI295" i="14"/>
  <c r="AI154" i="14"/>
  <c r="AI228" i="14"/>
  <c r="AI114" i="14"/>
  <c r="AI220" i="14"/>
  <c r="AI178" i="14"/>
  <c r="AI37" i="14"/>
  <c r="AI121" i="14"/>
  <c r="AI158" i="14"/>
  <c r="AI232" i="14"/>
  <c r="AI192" i="14"/>
  <c r="AI229" i="14"/>
  <c r="AI207" i="14"/>
  <c r="AI274" i="14"/>
  <c r="AI341" i="14"/>
  <c r="AI118" i="14"/>
  <c r="AI271" i="14"/>
  <c r="AI10" i="14"/>
  <c r="AI76" i="14"/>
  <c r="AI333" i="14"/>
  <c r="AI316" i="14"/>
  <c r="AI54" i="14"/>
  <c r="AI177" i="14"/>
  <c r="AI58" i="14"/>
  <c r="AI124" i="14"/>
  <c r="AI80" i="14"/>
  <c r="AI215" i="14"/>
  <c r="AI306" i="14"/>
  <c r="AI111" i="14"/>
  <c r="AI46" i="14"/>
  <c r="AI36" i="14"/>
  <c r="AI213" i="14"/>
  <c r="AI212" i="14"/>
  <c r="AI32" i="14"/>
  <c r="AI327" i="14"/>
  <c r="AI248" i="14"/>
  <c r="AI179" i="14"/>
  <c r="AI236" i="14"/>
  <c r="AI27" i="14"/>
  <c r="AI231" i="14"/>
  <c r="AI281" i="14"/>
  <c r="AI365" i="14"/>
  <c r="AI324" i="14"/>
  <c r="AI286" i="14"/>
  <c r="AI346" i="14"/>
  <c r="AI169" i="14"/>
  <c r="AI279" i="14"/>
  <c r="AI139" i="14"/>
  <c r="AI190" i="14"/>
  <c r="AI242" i="14"/>
  <c r="AI273" i="14"/>
  <c r="AI284" i="14"/>
  <c r="AI38" i="14"/>
  <c r="AI24" i="14"/>
  <c r="AI278" i="14"/>
  <c r="AI106" i="14"/>
  <c r="AI163" i="14"/>
  <c r="AI127" i="14"/>
  <c r="AI245" i="14"/>
  <c r="AI348" i="14"/>
  <c r="AI320" i="14"/>
  <c r="AI338" i="14"/>
  <c r="AI95" i="14"/>
  <c r="AI63" i="14"/>
  <c r="AI77" i="14"/>
  <c r="AI299" i="14"/>
  <c r="AI223" i="14"/>
  <c r="AI261" i="14"/>
  <c r="AI186" i="14"/>
  <c r="AI50" i="14"/>
  <c r="AI344" i="14"/>
  <c r="AI34" i="14"/>
  <c r="AI89" i="14"/>
  <c r="AI291" i="14"/>
  <c r="AI263" i="14"/>
  <c r="AI115" i="14"/>
  <c r="AI301" i="14"/>
  <c r="AI282" i="14"/>
  <c r="AI93" i="14"/>
  <c r="AI99" i="14"/>
  <c r="AI78" i="14"/>
  <c r="AI288" i="14"/>
  <c r="AI148" i="14"/>
  <c r="AI87" i="14"/>
  <c r="AI39" i="14"/>
  <c r="AI340" i="14"/>
  <c r="AI171" i="14"/>
  <c r="AI113" i="14"/>
  <c r="AI198" i="14"/>
  <c r="AI321" i="14"/>
  <c r="AI208" i="14"/>
  <c r="AI129" i="14"/>
  <c r="AI239" i="14"/>
  <c r="AI205" i="14"/>
  <c r="AI12" i="14"/>
  <c r="AI166" i="14"/>
  <c r="AI250" i="14"/>
  <c r="AI317" i="14"/>
  <c r="AI43" i="14"/>
  <c r="AI94" i="14"/>
  <c r="AI122" i="14"/>
  <c r="AI285" i="14"/>
  <c r="AI191" i="14"/>
  <c r="AI6" i="14"/>
  <c r="AI107" i="14"/>
  <c r="AI165" i="14"/>
  <c r="AI217" i="14"/>
  <c r="AI183" i="14"/>
  <c r="AI33" i="14"/>
  <c r="AI210" i="14"/>
  <c r="AI69" i="14"/>
  <c r="AI75" i="14"/>
  <c r="AI62" i="14"/>
  <c r="AI218" i="14"/>
  <c r="AI170" i="14"/>
  <c r="AI364" i="14"/>
  <c r="AI225" i="14"/>
  <c r="AI29" i="14"/>
  <c r="AI145" i="14"/>
  <c r="AI116" i="14"/>
  <c r="AI302" i="14"/>
  <c r="AI109" i="14"/>
  <c r="AI104" i="14"/>
  <c r="AI214" i="14"/>
  <c r="AI105" i="14"/>
  <c r="AI349" i="14"/>
  <c r="AI141" i="14"/>
  <c r="AI51" i="14"/>
  <c r="AI266" i="14"/>
  <c r="AI222" i="14"/>
  <c r="AI164" i="14"/>
  <c r="AI112" i="14"/>
  <c r="AI368" i="14"/>
  <c r="AI40" i="14"/>
  <c r="AI9" i="14"/>
  <c r="AI156" i="14"/>
  <c r="AI185" i="14"/>
  <c r="AI130" i="14"/>
  <c r="AI155" i="14"/>
  <c r="AI42" i="14"/>
  <c r="AI182" i="14"/>
  <c r="AI330" i="14"/>
  <c r="AI44" i="14"/>
  <c r="AI238" i="14"/>
  <c r="AI311" i="14"/>
  <c r="AI72" i="14"/>
  <c r="AI147" i="14"/>
  <c r="AI67" i="14"/>
  <c r="AI103" i="14"/>
  <c r="AI203" i="14"/>
  <c r="AI126" i="14"/>
  <c r="AI351" i="14"/>
  <c r="AI137" i="14"/>
  <c r="AI133" i="14"/>
  <c r="AI363" i="14"/>
  <c r="AI360" i="14"/>
  <c r="AI181" i="14"/>
  <c r="AI221" i="14"/>
  <c r="AI55" i="14"/>
  <c r="AI234" i="14"/>
  <c r="AI260" i="14"/>
  <c r="AI23" i="14"/>
  <c r="AA22" i="14"/>
  <c r="N314" i="14"/>
  <c r="N346" i="14"/>
  <c r="N106" i="14"/>
  <c r="AA75" i="14"/>
  <c r="N190" i="14"/>
  <c r="M239" i="14"/>
  <c r="M128" i="14"/>
  <c r="N120" i="14"/>
  <c r="N85" i="14"/>
  <c r="Y298" i="14"/>
  <c r="X112" i="14"/>
  <c r="AO112" i="14" s="1"/>
  <c r="N132" i="14"/>
  <c r="M20" i="14"/>
  <c r="V10" i="19" s="1"/>
  <c r="Y331" i="14"/>
  <c r="N141" i="14"/>
  <c r="N270" i="14"/>
  <c r="M90" i="14"/>
  <c r="N253" i="14"/>
  <c r="Z133" i="14"/>
  <c r="N295" i="14"/>
  <c r="Y12" i="14"/>
  <c r="N281" i="14"/>
  <c r="M241" i="14"/>
  <c r="X163" i="14"/>
  <c r="AO163" i="14" s="1"/>
  <c r="X82" i="14"/>
  <c r="AO82" i="14" s="1"/>
  <c r="N311" i="14"/>
  <c r="X168" i="14"/>
  <c r="AO168" i="14" s="1"/>
  <c r="N52" i="14"/>
  <c r="M203" i="14"/>
  <c r="M196" i="14"/>
  <c r="N60" i="14"/>
  <c r="M279" i="14"/>
  <c r="N6" i="14"/>
  <c r="N296" i="14"/>
  <c r="M291" i="14"/>
  <c r="X20" i="14"/>
  <c r="AO20" i="14" s="1"/>
  <c r="N97" i="14"/>
  <c r="N205" i="14"/>
  <c r="N170" i="14"/>
  <c r="AA342" i="14"/>
  <c r="N196" i="14"/>
  <c r="M262" i="14"/>
  <c r="M259" i="14"/>
  <c r="M121" i="14"/>
  <c r="X43" i="14"/>
  <c r="AO43" i="14" s="1"/>
  <c r="M325" i="14"/>
  <c r="M122" i="14"/>
  <c r="N320" i="14"/>
  <c r="X4" i="14"/>
  <c r="AO4" i="14" s="1"/>
  <c r="M277" i="14"/>
  <c r="N109" i="14"/>
  <c r="N114" i="14"/>
  <c r="M92" i="14"/>
  <c r="N42" i="14"/>
  <c r="X234" i="14"/>
  <c r="AO234" i="14" s="1"/>
  <c r="X71" i="14"/>
  <c r="AO71" i="14" s="1"/>
  <c r="N87" i="14"/>
  <c r="N348" i="14"/>
  <c r="Y163" i="14"/>
  <c r="M197" i="14"/>
  <c r="AN193" i="14"/>
  <c r="Z225" i="14"/>
  <c r="AB273" i="14"/>
  <c r="Z130" i="14"/>
  <c r="AA184" i="14"/>
  <c r="AB52" i="14"/>
  <c r="AN320" i="14"/>
  <c r="AN343" i="14"/>
  <c r="AN161" i="14"/>
  <c r="AA331" i="14"/>
  <c r="AN2" i="14"/>
  <c r="AB78" i="14"/>
  <c r="AN164" i="14"/>
  <c r="AB206" i="14"/>
  <c r="AN259" i="14"/>
  <c r="AB179" i="14"/>
  <c r="AB88" i="14"/>
  <c r="M29" i="14"/>
  <c r="AB154" i="14"/>
  <c r="Y215" i="14"/>
  <c r="N209" i="14"/>
  <c r="M312" i="14"/>
  <c r="M335" i="14"/>
  <c r="M11" i="14"/>
  <c r="V4" i="19" s="1"/>
  <c r="X59" i="14"/>
  <c r="AO59" i="14" s="1"/>
  <c r="X170" i="14"/>
  <c r="AO170" i="14" s="1"/>
  <c r="N248" i="14"/>
  <c r="M31" i="14"/>
  <c r="N70" i="14"/>
  <c r="X106" i="14"/>
  <c r="AO106" i="14" s="1"/>
  <c r="N27" i="14"/>
  <c r="X259" i="14"/>
  <c r="AO259" i="14" s="1"/>
  <c r="M242" i="14"/>
  <c r="M199" i="14"/>
  <c r="M252" i="14"/>
  <c r="M328" i="14"/>
  <c r="X248" i="14"/>
  <c r="AO248" i="14" s="1"/>
  <c r="AA284" i="14"/>
  <c r="N98" i="14"/>
  <c r="M265" i="14"/>
  <c r="Y119" i="14"/>
  <c r="X135" i="14"/>
  <c r="AO135" i="14" s="1"/>
  <c r="N223" i="14"/>
  <c r="M114" i="14"/>
  <c r="N182" i="14"/>
  <c r="X300" i="14"/>
  <c r="AO300" i="14" s="1"/>
  <c r="Y240" i="14"/>
  <c r="Z135" i="14"/>
  <c r="M343" i="14"/>
  <c r="X171" i="14"/>
  <c r="AO171" i="14" s="1"/>
  <c r="X329" i="14"/>
  <c r="AO329" i="14" s="1"/>
  <c r="M167" i="14"/>
  <c r="Y99" i="14"/>
  <c r="X38" i="14"/>
  <c r="AO38" i="14" s="1"/>
  <c r="X89" i="14"/>
  <c r="AO89" i="14" s="1"/>
  <c r="X186" i="14"/>
  <c r="AO186" i="14" s="1"/>
  <c r="X56" i="14"/>
  <c r="AO56" i="14" s="1"/>
  <c r="X246" i="14"/>
  <c r="AO246" i="14" s="1"/>
  <c r="M143" i="14"/>
  <c r="M74" i="14"/>
  <c r="X273" i="14"/>
  <c r="AO273" i="14" s="1"/>
  <c r="Y116" i="14"/>
  <c r="M365" i="14"/>
  <c r="M49" i="14"/>
  <c r="X162" i="14"/>
  <c r="AO162" i="14" s="1"/>
  <c r="N46" i="14"/>
  <c r="X60" i="14"/>
  <c r="AO60" i="14" s="1"/>
  <c r="Z137" i="14"/>
  <c r="X295" i="14"/>
  <c r="AO295" i="14" s="1"/>
  <c r="X40" i="14"/>
  <c r="AO40" i="14" s="1"/>
  <c r="X338" i="14"/>
  <c r="AO338" i="14" s="1"/>
  <c r="AA173" i="14"/>
  <c r="N240" i="14"/>
  <c r="N212" i="14"/>
  <c r="N199" i="14"/>
  <c r="M318" i="14"/>
  <c r="M149" i="14"/>
  <c r="X164" i="14"/>
  <c r="AO164" i="14" s="1"/>
  <c r="X277" i="14"/>
  <c r="AO277" i="14" s="1"/>
  <c r="X172" i="14"/>
  <c r="AO172" i="14" s="1"/>
  <c r="Y350" i="14"/>
  <c r="Y102" i="14"/>
  <c r="N38" i="14"/>
  <c r="X73" i="14"/>
  <c r="X176" i="14"/>
  <c r="AO176" i="14" s="1"/>
  <c r="AN333" i="14"/>
  <c r="Y58" i="14"/>
  <c r="AN43" i="14"/>
  <c r="AB190" i="14"/>
  <c r="Z11" i="14"/>
  <c r="AN191" i="14"/>
  <c r="M298" i="14"/>
  <c r="AB360" i="14"/>
  <c r="AB295" i="14"/>
  <c r="M339" i="14"/>
  <c r="Y176" i="14"/>
  <c r="N298" i="14"/>
  <c r="N236" i="14"/>
  <c r="AA27" i="14"/>
  <c r="Y83" i="14"/>
  <c r="N333" i="14"/>
  <c r="M347" i="14"/>
  <c r="M214" i="14"/>
  <c r="M93" i="14"/>
  <c r="X158" i="14"/>
  <c r="AO158" i="14" s="1"/>
  <c r="N319" i="14"/>
  <c r="N305" i="14"/>
  <c r="Z119" i="14"/>
  <c r="Y149" i="14"/>
  <c r="AA45" i="14"/>
  <c r="M200" i="14"/>
  <c r="N345" i="14"/>
  <c r="N327" i="14"/>
  <c r="N313" i="14"/>
  <c r="M270" i="14"/>
  <c r="N79" i="14"/>
  <c r="X330" i="14"/>
  <c r="AO330" i="14" s="1"/>
  <c r="M132" i="14"/>
  <c r="M324" i="14"/>
  <c r="M158" i="14"/>
  <c r="N254" i="14"/>
  <c r="M129" i="14"/>
  <c r="M278" i="14"/>
  <c r="X177" i="14"/>
  <c r="AO177" i="14" s="1"/>
  <c r="Z172" i="14"/>
  <c r="M350" i="14"/>
  <c r="M356" i="14"/>
  <c r="X321" i="14"/>
  <c r="AO321" i="14" s="1"/>
  <c r="M146" i="14"/>
  <c r="N177" i="14"/>
  <c r="Z340" i="14"/>
  <c r="M144" i="14"/>
  <c r="Z65" i="14"/>
  <c r="N29" i="14"/>
  <c r="M189" i="14"/>
  <c r="M261" i="14"/>
  <c r="N61" i="14"/>
  <c r="N107" i="14"/>
  <c r="Y234" i="14"/>
  <c r="N99" i="14"/>
  <c r="N258" i="14"/>
  <c r="X201" i="14"/>
  <c r="AO201" i="14" s="1"/>
  <c r="M333" i="14"/>
  <c r="X136" i="14"/>
  <c r="AO136" i="14" s="1"/>
  <c r="N243" i="14"/>
  <c r="N362" i="14"/>
  <c r="X205" i="14"/>
  <c r="AO205" i="14" s="1"/>
  <c r="M207" i="14"/>
  <c r="N197" i="14"/>
  <c r="Y303" i="14"/>
  <c r="X250" i="14"/>
  <c r="AO250" i="14" s="1"/>
  <c r="N324" i="14"/>
  <c r="N155" i="14"/>
  <c r="M126" i="14"/>
  <c r="Z272" i="14"/>
  <c r="AN59" i="14"/>
  <c r="AA80" i="14"/>
  <c r="AB252" i="14"/>
  <c r="AB289" i="14"/>
  <c r="AN141" i="14"/>
  <c r="Z181" i="14"/>
  <c r="AN63" i="14"/>
  <c r="AB265" i="14"/>
  <c r="AA274" i="14"/>
  <c r="AN8" i="14"/>
  <c r="AN254" i="14"/>
  <c r="N22" i="14"/>
  <c r="N147" i="14"/>
  <c r="AA290" i="14"/>
  <c r="N256" i="14"/>
  <c r="X124" i="14"/>
  <c r="AO124" i="14" s="1"/>
  <c r="M289" i="14"/>
  <c r="X301" i="14"/>
  <c r="AO301" i="14" s="1"/>
  <c r="Y88" i="14"/>
  <c r="M136" i="14"/>
  <c r="M69" i="14"/>
  <c r="AA204" i="14"/>
  <c r="M14" i="14"/>
  <c r="M240" i="14"/>
  <c r="X115" i="14"/>
  <c r="AO115" i="14" s="1"/>
  <c r="Y42" i="14"/>
  <c r="Y20" i="14"/>
  <c r="N354" i="14"/>
  <c r="X369" i="14"/>
  <c r="AO369" i="14" s="1"/>
  <c r="M58" i="14"/>
  <c r="M220" i="14"/>
  <c r="N207" i="14"/>
  <c r="X28" i="14"/>
  <c r="AO28" i="14" s="1"/>
  <c r="N142" i="14"/>
  <c r="M35" i="14"/>
  <c r="M164" i="14"/>
  <c r="X327" i="14"/>
  <c r="AO327" i="14" s="1"/>
  <c r="M142" i="14"/>
  <c r="X271" i="14"/>
  <c r="AO271" i="14" s="1"/>
  <c r="Y262" i="14"/>
  <c r="M180" i="14"/>
  <c r="N134" i="14"/>
  <c r="M287" i="14"/>
  <c r="N230" i="14"/>
  <c r="M246" i="14"/>
  <c r="X307" i="14"/>
  <c r="AO307" i="14" s="1"/>
  <c r="M316" i="14"/>
  <c r="N96" i="14"/>
  <c r="N287" i="14"/>
  <c r="Y364" i="14"/>
  <c r="Z84" i="14"/>
  <c r="N369" i="14"/>
  <c r="X175" i="14"/>
  <c r="AO175" i="14" s="1"/>
  <c r="X101" i="14"/>
  <c r="AO101" i="14" s="1"/>
  <c r="N307" i="14"/>
  <c r="N24" i="14"/>
  <c r="M171" i="14"/>
  <c r="Y277" i="14"/>
  <c r="N94" i="14"/>
  <c r="Z335" i="14"/>
  <c r="M94" i="14"/>
  <c r="N358" i="14"/>
  <c r="M61" i="14"/>
  <c r="V113" i="19" s="1"/>
  <c r="X331" i="14"/>
  <c r="AO331" i="14" s="1"/>
  <c r="X261" i="14"/>
  <c r="AO261" i="14" s="1"/>
  <c r="M322" i="14"/>
  <c r="X368" i="14"/>
  <c r="AO368" i="14" s="1"/>
  <c r="N105" i="14"/>
  <c r="N30" i="14"/>
  <c r="M127" i="14"/>
  <c r="M243" i="14"/>
  <c r="Y310" i="14"/>
  <c r="X352" i="14"/>
  <c r="AO352" i="14" s="1"/>
  <c r="X200" i="14"/>
  <c r="AO200" i="14" s="1"/>
  <c r="X365" i="14"/>
  <c r="AO365" i="14" s="1"/>
  <c r="N334" i="14"/>
  <c r="N360" i="14"/>
  <c r="X309" i="14"/>
  <c r="AO309" i="14" s="1"/>
  <c r="AA93" i="14"/>
  <c r="AB95" i="14"/>
  <c r="N57" i="14"/>
  <c r="M170" i="14"/>
  <c r="Y100" i="14"/>
  <c r="X318" i="14"/>
  <c r="AO318" i="14" s="1"/>
  <c r="M219" i="14"/>
  <c r="N118" i="14"/>
  <c r="X91" i="14"/>
  <c r="AO91" i="14" s="1"/>
  <c r="Y247" i="14"/>
  <c r="AB29" i="14"/>
  <c r="AN89" i="14"/>
  <c r="AA273" i="14"/>
  <c r="AB7" i="14"/>
  <c r="Z111" i="14"/>
  <c r="AB292" i="14"/>
  <c r="AB71" i="14"/>
  <c r="AA330" i="14"/>
  <c r="M76" i="14"/>
  <c r="M27" i="14"/>
  <c r="M173" i="14"/>
  <c r="N257" i="14"/>
  <c r="M125" i="14"/>
  <c r="X223" i="14"/>
  <c r="AO223" i="14" s="1"/>
  <c r="M304" i="14"/>
  <c r="X282" i="14"/>
  <c r="AO282" i="14" s="1"/>
  <c r="M42" i="14"/>
  <c r="V34" i="19" s="1"/>
  <c r="M150" i="14"/>
  <c r="X7" i="14"/>
  <c r="AO7" i="14" s="1"/>
  <c r="X197" i="14"/>
  <c r="AO197" i="14" s="1"/>
  <c r="M251" i="14"/>
  <c r="N110" i="14"/>
  <c r="Y82" i="14"/>
  <c r="N91" i="14"/>
  <c r="N183" i="14"/>
  <c r="M53" i="14"/>
  <c r="M112" i="14"/>
  <c r="X344" i="14"/>
  <c r="AO344" i="14" s="1"/>
  <c r="X242" i="14"/>
  <c r="AO242" i="14" s="1"/>
  <c r="Y59" i="14"/>
  <c r="M202" i="14"/>
  <c r="N129" i="14"/>
  <c r="N148" i="14"/>
  <c r="M119" i="14"/>
  <c r="N274" i="14"/>
  <c r="AA285" i="14"/>
  <c r="Y347" i="14"/>
  <c r="X359" i="14"/>
  <c r="AO359" i="14" s="1"/>
  <c r="M256" i="14"/>
  <c r="N282" i="14"/>
  <c r="N189" i="14"/>
  <c r="N353" i="14"/>
  <c r="N265" i="14"/>
  <c r="X190" i="14"/>
  <c r="AO190" i="14" s="1"/>
  <c r="M190" i="14"/>
  <c r="M37" i="14"/>
  <c r="X272" i="14"/>
  <c r="AO272" i="14" s="1"/>
  <c r="N262" i="14"/>
  <c r="M99" i="14"/>
  <c r="N11" i="14"/>
  <c r="N10" i="14"/>
  <c r="M330" i="14"/>
  <c r="X284" i="14"/>
  <c r="AO284" i="14" s="1"/>
  <c r="M101" i="14"/>
  <c r="Z86" i="14"/>
  <c r="Z274" i="14"/>
  <c r="Z161" i="14"/>
  <c r="N211" i="14"/>
  <c r="X173" i="14"/>
  <c r="AO173" i="14" s="1"/>
  <c r="X218" i="14"/>
  <c r="AO218" i="14" s="1"/>
  <c r="M154" i="14"/>
  <c r="M226" i="14"/>
  <c r="M4" i="14"/>
  <c r="Y264" i="14"/>
  <c r="X110" i="14"/>
  <c r="AO110" i="14" s="1"/>
  <c r="X339" i="14"/>
  <c r="AO339" i="14" s="1"/>
  <c r="M342" i="14"/>
  <c r="N31" i="14"/>
  <c r="M178" i="14"/>
  <c r="Y32" i="14"/>
  <c r="M183" i="14"/>
  <c r="M198" i="14"/>
  <c r="N202" i="14"/>
  <c r="X341" i="14"/>
  <c r="AO341" i="14" s="1"/>
  <c r="M46" i="14"/>
  <c r="Z308" i="14"/>
  <c r="N357" i="14"/>
  <c r="X195" i="14"/>
  <c r="AO195" i="14" s="1"/>
  <c r="X349" i="14"/>
  <c r="AO349" i="14" s="1"/>
  <c r="AA77" i="14"/>
  <c r="X122" i="14"/>
  <c r="AO122" i="14" s="1"/>
  <c r="Z350" i="14"/>
  <c r="AN155" i="14"/>
  <c r="Y91" i="14"/>
  <c r="AN251" i="14"/>
  <c r="Z236" i="14"/>
  <c r="AB128" i="14"/>
  <c r="AA206" i="14"/>
  <c r="AB203" i="14"/>
  <c r="AB11" i="14"/>
  <c r="AB173" i="14"/>
  <c r="X243" i="14"/>
  <c r="AO243" i="14" s="1"/>
  <c r="M292" i="14"/>
  <c r="M280" i="14"/>
  <c r="X182" i="14"/>
  <c r="AO182" i="14" s="1"/>
  <c r="Y308" i="14"/>
  <c r="X202" i="14"/>
  <c r="AO202" i="14" s="1"/>
  <c r="N36" i="14"/>
  <c r="N245" i="14"/>
  <c r="M302" i="14"/>
  <c r="N151" i="14"/>
  <c r="M108" i="14"/>
  <c r="X236" i="14"/>
  <c r="AO236" i="14" s="1"/>
  <c r="M245" i="14"/>
  <c r="X27" i="14"/>
  <c r="AO27" i="14" s="1"/>
  <c r="M228" i="14"/>
  <c r="N300" i="14"/>
  <c r="N291" i="14"/>
  <c r="N294" i="14"/>
  <c r="N349" i="14"/>
  <c r="N108" i="14"/>
  <c r="Y51" i="14"/>
  <c r="M282" i="14"/>
  <c r="N322" i="14"/>
  <c r="AA359" i="14"/>
  <c r="X264" i="14"/>
  <c r="AO264" i="14" s="1"/>
  <c r="N44" i="14"/>
  <c r="M211" i="14"/>
  <c r="Y62" i="14"/>
  <c r="N104" i="14"/>
  <c r="X296" i="14"/>
  <c r="AO296" i="14" s="1"/>
  <c r="M253" i="14"/>
  <c r="N229" i="14"/>
  <c r="X210" i="14"/>
  <c r="AO210" i="14" s="1"/>
  <c r="Z24" i="14"/>
  <c r="N82" i="14"/>
  <c r="Y299" i="14"/>
  <c r="X232" i="14"/>
  <c r="AO232" i="14" s="1"/>
  <c r="N102" i="14"/>
  <c r="M276" i="14"/>
  <c r="Y133" i="14"/>
  <c r="Z122" i="14"/>
  <c r="M165" i="14"/>
  <c r="X134" i="14"/>
  <c r="AO134" i="14" s="1"/>
  <c r="M361" i="14"/>
  <c r="N323" i="14"/>
  <c r="Y53" i="14"/>
  <c r="N234" i="14"/>
  <c r="M12" i="14"/>
  <c r="M118" i="14"/>
  <c r="Y281" i="14"/>
  <c r="M321" i="14"/>
  <c r="M3" i="14"/>
  <c r="M130" i="14"/>
  <c r="M307" i="14"/>
  <c r="M67" i="14"/>
  <c r="X333" i="14"/>
  <c r="AO333" i="14" s="1"/>
  <c r="X286" i="14"/>
  <c r="AO286" i="14" s="1"/>
  <c r="N145" i="14"/>
  <c r="N86" i="14"/>
  <c r="M2" i="14"/>
  <c r="Z318" i="14"/>
  <c r="Y131" i="14"/>
  <c r="N121" i="14"/>
  <c r="X317" i="14"/>
  <c r="AO317" i="14" s="1"/>
  <c r="N20" i="14"/>
  <c r="M80" i="14"/>
  <c r="M248" i="14"/>
  <c r="X326" i="14"/>
  <c r="AO326" i="14" s="1"/>
  <c r="AB10" i="14"/>
  <c r="Z75" i="14"/>
  <c r="AN350" i="14"/>
  <c r="Z134" i="14"/>
  <c r="Y198" i="14"/>
  <c r="AB321" i="14"/>
  <c r="M161" i="14"/>
  <c r="AN324" i="14"/>
  <c r="AB184" i="14"/>
  <c r="AN265" i="14"/>
  <c r="AN328" i="14"/>
  <c r="AB107" i="14"/>
  <c r="N277" i="14"/>
  <c r="M135" i="14"/>
  <c r="M23" i="14"/>
  <c r="Z64" i="14"/>
  <c r="Y75" i="14"/>
  <c r="M77" i="14"/>
  <c r="X319" i="14"/>
  <c r="AO319" i="14" s="1"/>
  <c r="Y239" i="14"/>
  <c r="N4" i="14"/>
  <c r="Y295" i="14"/>
  <c r="M315" i="14"/>
  <c r="Z159" i="14"/>
  <c r="N308" i="14"/>
  <c r="X50" i="14"/>
  <c r="AO50" i="14" s="1"/>
  <c r="X152" i="14"/>
  <c r="AO152" i="14" s="1"/>
  <c r="M41" i="14"/>
  <c r="M50" i="14"/>
  <c r="M117" i="14"/>
  <c r="N330" i="14"/>
  <c r="M301" i="14"/>
  <c r="M215" i="14"/>
  <c r="Z15" i="14"/>
  <c r="Z120" i="14"/>
  <c r="N136" i="14"/>
  <c r="AA236" i="14"/>
  <c r="M166" i="14"/>
  <c r="M346" i="14"/>
  <c r="M285" i="14"/>
  <c r="N251" i="14"/>
  <c r="M19" i="14"/>
  <c r="M8" i="14"/>
  <c r="M32" i="14"/>
  <c r="AA219" i="14"/>
  <c r="N341" i="14"/>
  <c r="M194" i="14"/>
  <c r="Z145" i="14"/>
  <c r="Y256" i="14"/>
  <c r="N309" i="14"/>
  <c r="Y106" i="14"/>
  <c r="N166" i="14"/>
  <c r="N284" i="14"/>
  <c r="AA197" i="14"/>
  <c r="X120" i="14"/>
  <c r="AO120" i="14" s="1"/>
  <c r="X316" i="14"/>
  <c r="AO316" i="14" s="1"/>
  <c r="N176" i="14"/>
  <c r="N150" i="14"/>
  <c r="Y223" i="14"/>
  <c r="X185" i="14"/>
  <c r="AO185" i="14" s="1"/>
  <c r="Y56" i="14"/>
  <c r="X211" i="14"/>
  <c r="AO211" i="14" s="1"/>
  <c r="N165" i="14"/>
  <c r="AA263" i="14"/>
  <c r="X157" i="14"/>
  <c r="AO157" i="14" s="1"/>
  <c r="X150" i="14"/>
  <c r="AO150" i="14" s="1"/>
  <c r="AA139" i="14"/>
  <c r="AB86" i="14"/>
  <c r="AB302" i="14"/>
  <c r="AN45" i="14"/>
  <c r="AB43" i="14"/>
  <c r="Z162" i="14"/>
  <c r="AN240" i="14"/>
  <c r="AA67" i="14"/>
  <c r="N164" i="14"/>
  <c r="Y196" i="14"/>
  <c r="AB277" i="14"/>
  <c r="AB31" i="14"/>
  <c r="AB282" i="14"/>
  <c r="AB39" i="14"/>
  <c r="AN342" i="14"/>
  <c r="AB322" i="14"/>
  <c r="N206" i="14"/>
  <c r="N208" i="14"/>
  <c r="AB124" i="14"/>
  <c r="Z217" i="14"/>
  <c r="AA176" i="14"/>
  <c r="AN362" i="14"/>
  <c r="N84" i="14"/>
  <c r="M109" i="14"/>
  <c r="N268" i="14"/>
  <c r="AA275" i="14"/>
  <c r="N242" i="14"/>
  <c r="N162" i="14"/>
  <c r="X269" i="14"/>
  <c r="AO269" i="14" s="1"/>
  <c r="Y49" i="14"/>
  <c r="Y220" i="14"/>
  <c r="N337" i="14"/>
  <c r="M349" i="14"/>
  <c r="N15" i="14"/>
  <c r="M244" i="14"/>
  <c r="N342" i="14"/>
  <c r="N81" i="14"/>
  <c r="M106" i="14"/>
  <c r="M193" i="14"/>
  <c r="X315" i="14"/>
  <c r="AO315" i="14" s="1"/>
  <c r="N301" i="14"/>
  <c r="X297" i="14"/>
  <c r="AO297" i="14" s="1"/>
  <c r="X253" i="14"/>
  <c r="AO253" i="14" s="1"/>
  <c r="N93" i="14"/>
  <c r="M223" i="14"/>
  <c r="X340" i="14"/>
  <c r="AO340" i="14" s="1"/>
  <c r="N338" i="14"/>
  <c r="N194" i="14"/>
  <c r="X361" i="14"/>
  <c r="AO361" i="14" s="1"/>
  <c r="AA107" i="14"/>
  <c r="Z362" i="14"/>
  <c r="M352" i="14"/>
  <c r="N39" i="14"/>
  <c r="M327" i="14"/>
  <c r="AA316" i="14"/>
  <c r="N198" i="14"/>
  <c r="X245" i="14"/>
  <c r="AO245" i="14" s="1"/>
  <c r="M264" i="14"/>
  <c r="N83" i="14"/>
  <c r="M102" i="14"/>
  <c r="V145" i="19" s="1"/>
  <c r="X161" i="14"/>
  <c r="AO161" i="14" s="1"/>
  <c r="N219" i="14"/>
  <c r="N123" i="14"/>
  <c r="M290" i="14"/>
  <c r="X207" i="14"/>
  <c r="AO207" i="14" s="1"/>
  <c r="M157" i="14"/>
  <c r="X188" i="14"/>
  <c r="AO188" i="14" s="1"/>
  <c r="N63" i="14"/>
  <c r="X213" i="14"/>
  <c r="AO213" i="14" s="1"/>
  <c r="X100" i="14"/>
  <c r="AO100" i="14" s="1"/>
  <c r="M45" i="14"/>
  <c r="X219" i="14"/>
  <c r="AO219" i="14" s="1"/>
  <c r="X22" i="14"/>
  <c r="AO22" i="14" s="1"/>
  <c r="X138" i="14"/>
  <c r="AO138" i="14" s="1"/>
  <c r="Y200" i="14"/>
  <c r="Z333" i="14"/>
  <c r="X209" i="14"/>
  <c r="AO209" i="14" s="1"/>
  <c r="M314" i="14"/>
  <c r="M26" i="14"/>
  <c r="M273" i="14"/>
  <c r="N180" i="14"/>
  <c r="X88" i="14"/>
  <c r="AO88" i="14" s="1"/>
  <c r="M212" i="14"/>
  <c r="Z233" i="14"/>
  <c r="M231" i="14"/>
  <c r="M235" i="14"/>
  <c r="N72" i="14"/>
  <c r="X347" i="14"/>
  <c r="AO347" i="14" s="1"/>
  <c r="M348" i="14"/>
  <c r="AN188" i="14"/>
  <c r="AN54" i="14"/>
  <c r="AN101" i="14"/>
  <c r="Y40" i="14"/>
  <c r="AB164" i="14"/>
  <c r="N33" i="14"/>
  <c r="M185" i="14"/>
  <c r="X247" i="14"/>
  <c r="AO247" i="14" s="1"/>
  <c r="AA152" i="14"/>
  <c r="N14" i="14"/>
  <c r="N171" i="14"/>
  <c r="M266" i="14"/>
  <c r="X143" i="14"/>
  <c r="AO143" i="14" s="1"/>
  <c r="M64" i="14"/>
  <c r="N16" i="14"/>
  <c r="M229" i="14"/>
  <c r="AA286" i="14"/>
  <c r="AA68" i="14"/>
  <c r="X363" i="14"/>
  <c r="AO363" i="14" s="1"/>
  <c r="M247" i="14"/>
  <c r="M341" i="14"/>
  <c r="N317" i="14"/>
  <c r="X235" i="14"/>
  <c r="AO235" i="14" s="1"/>
  <c r="N163" i="14"/>
  <c r="N40" i="14"/>
  <c r="Y182" i="14"/>
  <c r="M284" i="14"/>
  <c r="N28" i="14"/>
  <c r="AA213" i="14"/>
  <c r="X37" i="14"/>
  <c r="AO37" i="14" s="1"/>
  <c r="N363" i="14"/>
  <c r="N310" i="14"/>
  <c r="AA225" i="14"/>
  <c r="N32" i="14"/>
  <c r="Y232" i="14"/>
  <c r="M39" i="14"/>
  <c r="Y337" i="14"/>
  <c r="AA276" i="14"/>
  <c r="N51" i="14"/>
  <c r="M281" i="14"/>
  <c r="M300" i="14"/>
  <c r="N321" i="14"/>
  <c r="X221" i="14"/>
  <c r="AO221" i="14" s="1"/>
  <c r="N160" i="14"/>
  <c r="M337" i="14"/>
  <c r="N143" i="14"/>
  <c r="X81" i="14"/>
  <c r="AO81" i="14" s="1"/>
  <c r="Z183" i="14"/>
  <c r="N278" i="14"/>
  <c r="X305" i="14"/>
  <c r="AO305" i="14" s="1"/>
  <c r="AB337" i="14"/>
  <c r="AA102" i="14"/>
  <c r="AN69" i="14"/>
  <c r="AA237" i="14"/>
  <c r="AA196" i="14"/>
  <c r="AB163" i="14"/>
  <c r="AA12" i="14"/>
  <c r="X113" i="14"/>
  <c r="AO113" i="14" s="1"/>
  <c r="N214" i="14"/>
  <c r="X254" i="14"/>
  <c r="AO254" i="14" s="1"/>
  <c r="AB147" i="14"/>
  <c r="N75" i="14"/>
  <c r="Y154" i="14"/>
  <c r="M179" i="14"/>
  <c r="N3" i="14"/>
  <c r="M364" i="14"/>
  <c r="M192" i="14"/>
  <c r="M51" i="14"/>
  <c r="V71" i="19" s="1"/>
  <c r="M255" i="14"/>
  <c r="Y193" i="14"/>
  <c r="M84" i="14"/>
  <c r="X303" i="14"/>
  <c r="AO303" i="14" s="1"/>
  <c r="M87" i="14"/>
  <c r="X77" i="14"/>
  <c r="AO77" i="14" s="1"/>
  <c r="Z48" i="14"/>
  <c r="AA95" i="14"/>
  <c r="M79" i="14"/>
  <c r="M188" i="14"/>
  <c r="N261" i="14"/>
  <c r="Y358" i="14"/>
  <c r="X174" i="14"/>
  <c r="AO174" i="14" s="1"/>
  <c r="M34" i="14"/>
  <c r="N218" i="14"/>
  <c r="N225" i="14"/>
  <c r="N8" i="14"/>
  <c r="X231" i="14"/>
  <c r="AO231" i="14" s="1"/>
  <c r="X227" i="14"/>
  <c r="AO227" i="14" s="1"/>
  <c r="Y300" i="14"/>
  <c r="X126" i="14"/>
  <c r="AO126" i="14" s="1"/>
  <c r="X147" i="14"/>
  <c r="AO147" i="14" s="1"/>
  <c r="Y319" i="14"/>
  <c r="Y209" i="14"/>
  <c r="X345" i="14"/>
  <c r="AO345" i="14" s="1"/>
  <c r="M311" i="14"/>
  <c r="M353" i="14"/>
  <c r="X139" i="14"/>
  <c r="AO139" i="14" s="1"/>
  <c r="X104" i="14"/>
  <c r="AO104" i="14" s="1"/>
  <c r="M368" i="14"/>
  <c r="N355" i="14"/>
  <c r="N276" i="14"/>
  <c r="X310" i="14"/>
  <c r="AO310" i="14" s="1"/>
  <c r="N67" i="14"/>
  <c r="N343" i="14"/>
  <c r="M22" i="14"/>
  <c r="N272" i="14"/>
  <c r="X335" i="14"/>
  <c r="AO335" i="14" s="1"/>
  <c r="M320" i="14"/>
  <c r="N228" i="14"/>
  <c r="N23" i="14"/>
  <c r="M28" i="14"/>
  <c r="N17" i="14"/>
  <c r="Y115" i="14"/>
  <c r="N250" i="14"/>
  <c r="X198" i="14"/>
  <c r="AO198" i="14" s="1"/>
  <c r="M60" i="14"/>
  <c r="M260" i="14"/>
  <c r="AB188" i="14"/>
  <c r="AB27" i="14"/>
  <c r="AN215" i="14"/>
  <c r="AN357" i="14"/>
  <c r="AA108" i="14"/>
  <c r="AN70" i="14"/>
  <c r="Z305" i="14"/>
  <c r="AB290" i="14"/>
  <c r="AA114" i="14"/>
  <c r="M216" i="14"/>
  <c r="M310" i="14"/>
  <c r="N312" i="14"/>
  <c r="AB51" i="14"/>
  <c r="Z359" i="14"/>
  <c r="AA259" i="14"/>
  <c r="Z241" i="14"/>
  <c r="X288" i="14"/>
  <c r="AO288" i="14" s="1"/>
  <c r="M359" i="14"/>
  <c r="M334" i="14"/>
  <c r="X17" i="14"/>
  <c r="AO17" i="14" s="1"/>
  <c r="M55" i="14"/>
  <c r="AA118" i="14"/>
  <c r="X15" i="14"/>
  <c r="AO15" i="14" s="1"/>
  <c r="Y290" i="14"/>
  <c r="N184" i="14"/>
  <c r="AA194" i="14"/>
  <c r="X87" i="14"/>
  <c r="AO87" i="14" s="1"/>
  <c r="M323" i="14"/>
  <c r="M139" i="14"/>
  <c r="Y178" i="14"/>
  <c r="M24" i="14"/>
  <c r="X208" i="14"/>
  <c r="AO208" i="14" s="1"/>
  <c r="AB278" i="14"/>
  <c r="M110" i="14"/>
  <c r="Y210" i="14"/>
  <c r="N131" i="14"/>
  <c r="X229" i="14"/>
  <c r="AO229" i="14" s="1"/>
  <c r="Y323" i="14"/>
  <c r="N125" i="14"/>
  <c r="Y44" i="14"/>
  <c r="M175" i="14"/>
  <c r="M81" i="14"/>
  <c r="X217" i="14"/>
  <c r="AO217" i="14" s="1"/>
  <c r="X49" i="14"/>
  <c r="AO49" i="14" s="1"/>
  <c r="X3" i="14"/>
  <c r="AO3" i="14" s="1"/>
  <c r="Y330" i="14"/>
  <c r="N149" i="14"/>
  <c r="X224" i="14"/>
  <c r="AO224" i="14" s="1"/>
  <c r="M33" i="14"/>
  <c r="M351" i="14"/>
  <c r="M317" i="14"/>
  <c r="N200" i="14"/>
  <c r="N286" i="14"/>
  <c r="M234" i="14"/>
  <c r="N41" i="14"/>
  <c r="M250" i="14"/>
  <c r="M309" i="14"/>
  <c r="N62" i="14"/>
  <c r="M306" i="14"/>
  <c r="M73" i="14"/>
  <c r="X145" i="14"/>
  <c r="AO145" i="14" s="1"/>
  <c r="Y324" i="14"/>
  <c r="M21" i="14"/>
  <c r="Z138" i="14"/>
  <c r="N328" i="14"/>
  <c r="M326" i="14"/>
  <c r="N9" i="14"/>
  <c r="X86" i="14"/>
  <c r="AO86" i="14" s="1"/>
  <c r="M177" i="14"/>
  <c r="M63" i="14"/>
  <c r="Z180" i="14"/>
  <c r="M205" i="14"/>
  <c r="X262" i="14"/>
  <c r="AO262" i="14" s="1"/>
  <c r="X85" i="14"/>
  <c r="AO85" i="14" s="1"/>
  <c r="M155" i="14"/>
  <c r="Y123" i="14"/>
  <c r="M182" i="14"/>
  <c r="AA297" i="14"/>
  <c r="M332" i="14"/>
  <c r="N285" i="14"/>
  <c r="M263" i="14"/>
  <c r="Y117" i="14"/>
  <c r="AN110" i="14"/>
  <c r="AN5" i="14"/>
  <c r="AB22" i="14"/>
  <c r="AB261" i="14"/>
  <c r="AN41" i="14"/>
  <c r="AB120" i="14"/>
  <c r="AB341" i="14"/>
  <c r="X266" i="14"/>
  <c r="AO266" i="14" s="1"/>
  <c r="Y67" i="14"/>
  <c r="AA365" i="14"/>
  <c r="AN336" i="14"/>
  <c r="Y17" i="14"/>
  <c r="AA35" i="14"/>
  <c r="AA96" i="14"/>
  <c r="X99" i="14"/>
  <c r="AO99" i="14" s="1"/>
  <c r="M195" i="14"/>
  <c r="N34" i="14"/>
  <c r="X79" i="14"/>
  <c r="AO79" i="14" s="1"/>
  <c r="AA185" i="14"/>
  <c r="M107" i="14"/>
  <c r="Y37" i="14"/>
  <c r="AA138" i="14"/>
  <c r="M15" i="14"/>
  <c r="N260" i="14"/>
  <c r="M293" i="14"/>
  <c r="N332" i="14"/>
  <c r="X342" i="14"/>
  <c r="AO342" i="14" s="1"/>
  <c r="N279" i="14"/>
  <c r="M286" i="14"/>
  <c r="X189" i="14"/>
  <c r="AO189" i="14" s="1"/>
  <c r="X140" i="14"/>
  <c r="AO140" i="14" s="1"/>
  <c r="X328" i="14"/>
  <c r="AO328" i="14" s="1"/>
  <c r="Y208" i="14"/>
  <c r="X128" i="14"/>
  <c r="AO128" i="14" s="1"/>
  <c r="M294" i="14"/>
  <c r="M206" i="14"/>
  <c r="AA310" i="14"/>
  <c r="N249" i="14"/>
  <c r="X320" i="14"/>
  <c r="AO320" i="14" s="1"/>
  <c r="M275" i="14"/>
  <c r="M91" i="14"/>
  <c r="Z299" i="14"/>
  <c r="M297" i="14"/>
  <c r="M267" i="14"/>
  <c r="N365" i="14"/>
  <c r="X293" i="14"/>
  <c r="AO293" i="14" s="1"/>
  <c r="AA323" i="14"/>
  <c r="Z238" i="14"/>
  <c r="N339" i="14"/>
  <c r="X354" i="14"/>
  <c r="AO354" i="14" s="1"/>
  <c r="Y309" i="14"/>
  <c r="X233" i="14"/>
  <c r="AO233" i="14" s="1"/>
  <c r="X63" i="14"/>
  <c r="AO63" i="14" s="1"/>
  <c r="N169" i="14"/>
  <c r="N292" i="14"/>
  <c r="N167" i="14"/>
  <c r="M115" i="14"/>
  <c r="N172" i="14"/>
  <c r="Y252" i="14"/>
  <c r="N154" i="14"/>
  <c r="M338" i="14"/>
  <c r="X364" i="14"/>
  <c r="AO364" i="14" s="1"/>
  <c r="N315" i="14"/>
  <c r="X55" i="14"/>
  <c r="AO55" i="14" s="1"/>
  <c r="X302" i="14"/>
  <c r="AO302" i="14" s="1"/>
  <c r="M271" i="14"/>
  <c r="N35" i="14"/>
  <c r="M52" i="14"/>
  <c r="V72" i="19" s="1"/>
  <c r="X32" i="14"/>
  <c r="AO32" i="14" s="1"/>
  <c r="Y143" i="14"/>
  <c r="X51" i="14"/>
  <c r="AO51" i="14" s="1"/>
  <c r="N306" i="14"/>
  <c r="N115" i="14"/>
  <c r="M357" i="14"/>
  <c r="M204" i="14"/>
  <c r="N186" i="14"/>
  <c r="X225" i="14"/>
  <c r="AO225" i="14" s="1"/>
  <c r="Z35" i="14"/>
  <c r="N153" i="14"/>
  <c r="AA340" i="14"/>
  <c r="X146" i="14"/>
  <c r="AO146" i="14" s="1"/>
  <c r="M225" i="14"/>
  <c r="M249" i="14"/>
  <c r="N316" i="14"/>
  <c r="M98" i="14"/>
  <c r="Y320" i="14"/>
  <c r="X41" i="14"/>
  <c r="AO41" i="14" s="1"/>
  <c r="AB180" i="14"/>
  <c r="Z149" i="14"/>
  <c r="AN316" i="14"/>
  <c r="AB343" i="14"/>
  <c r="AA240" i="14"/>
  <c r="AA248" i="14"/>
  <c r="AN147" i="14"/>
  <c r="AN23" i="14"/>
  <c r="AN347" i="14"/>
  <c r="AB245" i="14"/>
  <c r="AA353" i="14"/>
  <c r="M151" i="14"/>
  <c r="Z34" i="14"/>
  <c r="AN76" i="14"/>
  <c r="AN207" i="14"/>
  <c r="Z187" i="14"/>
  <c r="Z61" i="14"/>
  <c r="X62" i="14"/>
  <c r="AO62" i="14" s="1"/>
  <c r="AB83" i="14"/>
  <c r="AB40" i="14"/>
  <c r="Y29" i="14"/>
  <c r="AN305" i="14"/>
  <c r="AN15" i="14"/>
  <c r="AB223" i="14"/>
  <c r="AA348" i="14"/>
  <c r="M71" i="14"/>
  <c r="Y165" i="14"/>
  <c r="AN27" i="14"/>
  <c r="Z222" i="14"/>
  <c r="N161" i="14"/>
  <c r="Z334" i="14"/>
  <c r="AN293" i="14"/>
  <c r="AA81" i="14"/>
  <c r="AN211" i="14"/>
  <c r="AB315" i="14"/>
  <c r="Z193" i="14"/>
  <c r="AB41" i="14"/>
  <c r="X118" i="14"/>
  <c r="AO118" i="14" s="1"/>
  <c r="AN107" i="14"/>
  <c r="AN163" i="14"/>
  <c r="AA11" i="14"/>
  <c r="AA74" i="14"/>
  <c r="AB309" i="14"/>
  <c r="AA142" i="14"/>
  <c r="AB352" i="14"/>
  <c r="Z361" i="14"/>
  <c r="Z243" i="14"/>
  <c r="AN242" i="14"/>
  <c r="Z102" i="14"/>
  <c r="AN367" i="14"/>
  <c r="AB204" i="14"/>
  <c r="AN91" i="14"/>
  <c r="AN175" i="14"/>
  <c r="AB65" i="14"/>
  <c r="AA146" i="14"/>
  <c r="AN221" i="14"/>
  <c r="AB132" i="14"/>
  <c r="AN13" i="14"/>
  <c r="AB205" i="14"/>
  <c r="AN178" i="14"/>
  <c r="AA135" i="14"/>
  <c r="AN179" i="14"/>
  <c r="AB23" i="14"/>
  <c r="AB345" i="14"/>
  <c r="M201" i="14"/>
  <c r="AN86" i="14"/>
  <c r="AN19" i="14"/>
  <c r="AB194" i="14"/>
  <c r="AB28" i="14"/>
  <c r="X6" i="14"/>
  <c r="AO6" i="14" s="1"/>
  <c r="Y156" i="14"/>
  <c r="Z97" i="14"/>
  <c r="AN307" i="14"/>
  <c r="AB140" i="14"/>
  <c r="Z337" i="14"/>
  <c r="AN291" i="14"/>
  <c r="Z343" i="14"/>
  <c r="Z156" i="14"/>
  <c r="AN339" i="14"/>
  <c r="AA64" i="14"/>
  <c r="N13" i="14"/>
  <c r="N54" i="14"/>
  <c r="AN26" i="14"/>
  <c r="AB253" i="14"/>
  <c r="Z147" i="14"/>
  <c r="AN223" i="14"/>
  <c r="AN279" i="14"/>
  <c r="AB12" i="14"/>
  <c r="AB183" i="14"/>
  <c r="AN53" i="14"/>
  <c r="Z345" i="14"/>
  <c r="Z281" i="14"/>
  <c r="Y121" i="14"/>
  <c r="Y179" i="14"/>
  <c r="AN112" i="14"/>
  <c r="AA79" i="14"/>
  <c r="Y335" i="14"/>
  <c r="Y361" i="14"/>
  <c r="Y126" i="14"/>
  <c r="Z13" i="14"/>
  <c r="AA128" i="14"/>
  <c r="Y301" i="14"/>
  <c r="Z317" i="14"/>
  <c r="AA19" i="14"/>
  <c r="AB57" i="14"/>
  <c r="Y111" i="14"/>
  <c r="AN31" i="14"/>
  <c r="AN267" i="14"/>
  <c r="AN332" i="14"/>
  <c r="Z18" i="14"/>
  <c r="AB146" i="14"/>
  <c r="AA59" i="14"/>
  <c r="M116" i="14"/>
  <c r="AA282" i="14"/>
  <c r="AB269" i="14"/>
  <c r="AN144" i="14"/>
  <c r="Z168" i="14"/>
  <c r="AA167" i="14"/>
  <c r="M319" i="14"/>
  <c r="AN348" i="14"/>
  <c r="AN315" i="14"/>
  <c r="AB280" i="14"/>
  <c r="AN47" i="14"/>
  <c r="AN49" i="14"/>
  <c r="AB316" i="14"/>
  <c r="AB240" i="14"/>
  <c r="AN11" i="14"/>
  <c r="AB157" i="14"/>
  <c r="AB210" i="14"/>
  <c r="Z232" i="14"/>
  <c r="Z148" i="14"/>
  <c r="X289" i="14"/>
  <c r="AO289" i="14" s="1"/>
  <c r="Z68" i="14"/>
  <c r="Z55" i="14"/>
  <c r="AB103" i="14"/>
  <c r="AA333" i="14"/>
  <c r="Z90" i="14"/>
  <c r="AN38" i="14"/>
  <c r="AN286" i="14"/>
  <c r="Y16" i="14"/>
  <c r="M283" i="14"/>
  <c r="X183" i="14"/>
  <c r="AO183" i="14" s="1"/>
  <c r="M148" i="14"/>
  <c r="AB346" i="14"/>
  <c r="AB329" i="14"/>
  <c r="AN65" i="14"/>
  <c r="AN249" i="14"/>
  <c r="Z244" i="14"/>
  <c r="AN67" i="14"/>
  <c r="Z106" i="14"/>
  <c r="AB192" i="14"/>
  <c r="AN153" i="14"/>
  <c r="AB216" i="14"/>
  <c r="AN166" i="14"/>
  <c r="AB165" i="14"/>
  <c r="Z116" i="14"/>
  <c r="Z60" i="14"/>
  <c r="Z286" i="14"/>
  <c r="X263" i="14"/>
  <c r="AO263" i="14" s="1"/>
  <c r="M6" i="14"/>
  <c r="M70" i="14"/>
  <c r="AN172" i="14"/>
  <c r="AN271" i="14"/>
  <c r="M224" i="14"/>
  <c r="AB112" i="14"/>
  <c r="AB127" i="14"/>
  <c r="AA256" i="14"/>
  <c r="Z118" i="14"/>
  <c r="Z275" i="14"/>
  <c r="Z152" i="14"/>
  <c r="AN270" i="14"/>
  <c r="AN88" i="14"/>
  <c r="Z87" i="14"/>
  <c r="AB327" i="14"/>
  <c r="Z292" i="14"/>
  <c r="AN92" i="14"/>
  <c r="AN134" i="14"/>
  <c r="AA21" i="14"/>
  <c r="AB177" i="14"/>
  <c r="AN133" i="14"/>
  <c r="Z355" i="14"/>
  <c r="Z303" i="14"/>
  <c r="X54" i="14"/>
  <c r="AO54" i="14" s="1"/>
  <c r="N48" i="14"/>
  <c r="Y86" i="14"/>
  <c r="X313" i="14"/>
  <c r="AO313" i="14" s="1"/>
  <c r="Z363" i="14"/>
  <c r="Y175" i="14"/>
  <c r="Y152" i="14"/>
  <c r="Z284" i="14"/>
  <c r="AA245" i="14"/>
  <c r="X24" i="14"/>
  <c r="AO24" i="14" s="1"/>
  <c r="AA360" i="14"/>
  <c r="N68" i="14"/>
  <c r="AA227" i="14"/>
  <c r="Y360" i="14"/>
  <c r="Y362" i="14"/>
  <c r="Y135" i="14"/>
  <c r="X249" i="14"/>
  <c r="AO249" i="14" s="1"/>
  <c r="AA318" i="14"/>
  <c r="AB232" i="14"/>
  <c r="AA244" i="14"/>
  <c r="AA358" i="14"/>
  <c r="AN171" i="14"/>
  <c r="AA164" i="14"/>
  <c r="Z155" i="14"/>
  <c r="AN359" i="14"/>
  <c r="Z94" i="14"/>
  <c r="AN132" i="14"/>
  <c r="AB200" i="14"/>
  <c r="Z63" i="14"/>
  <c r="AB351" i="14"/>
  <c r="N25" i="14"/>
  <c r="AA243" i="14"/>
  <c r="AB225" i="14"/>
  <c r="AN233" i="14"/>
  <c r="AB72" i="14"/>
  <c r="AB219" i="14"/>
  <c r="AN290" i="14"/>
  <c r="AN32" i="14"/>
  <c r="AN68" i="14"/>
  <c r="AB369" i="14"/>
  <c r="M236" i="14"/>
  <c r="M208" i="14"/>
  <c r="N174" i="14"/>
  <c r="AN24" i="14"/>
  <c r="AN30" i="14"/>
  <c r="Z304" i="14"/>
  <c r="AB8" i="14"/>
  <c r="AB135" i="14"/>
  <c r="AB294" i="14"/>
  <c r="M25" i="14"/>
  <c r="Z212" i="14"/>
  <c r="AB66" i="14"/>
  <c r="Z364" i="14"/>
  <c r="AA209" i="14"/>
  <c r="AB256" i="14"/>
  <c r="AN60" i="14"/>
  <c r="AN50" i="14"/>
  <c r="AN288" i="14"/>
  <c r="AB13" i="14"/>
  <c r="AA295" i="14"/>
  <c r="AN217" i="14"/>
  <c r="Z157" i="14"/>
  <c r="AB209" i="14"/>
  <c r="AA8" i="14"/>
  <c r="AN39" i="14"/>
  <c r="AB186" i="14"/>
  <c r="Z46" i="14"/>
  <c r="Z201" i="14"/>
  <c r="AN220" i="14"/>
  <c r="AB34" i="14"/>
  <c r="AA313" i="14"/>
  <c r="Z198" i="14"/>
  <c r="AN72" i="14"/>
  <c r="AN284" i="14"/>
  <c r="AN190" i="14"/>
  <c r="AN285" i="14"/>
  <c r="AN239" i="14"/>
  <c r="AB46" i="14"/>
  <c r="AB328" i="14"/>
  <c r="AB239" i="14"/>
  <c r="AN74" i="14"/>
  <c r="AN243" i="14"/>
  <c r="AB93" i="14"/>
  <c r="AB288" i="14"/>
  <c r="AB332" i="14"/>
  <c r="Z293" i="14"/>
  <c r="X281" i="14"/>
  <c r="AO281" i="14" s="1"/>
  <c r="AN85" i="14"/>
  <c r="Z341" i="14"/>
  <c r="M217" i="14"/>
  <c r="AB281" i="14"/>
  <c r="AB20" i="14"/>
  <c r="Z81" i="14"/>
  <c r="AN177" i="14"/>
  <c r="AN235" i="14"/>
  <c r="Z109" i="14"/>
  <c r="AA307" i="14"/>
  <c r="AB317" i="14"/>
  <c r="AA5" i="14"/>
  <c r="AN157" i="14"/>
  <c r="Y228" i="14"/>
  <c r="M105" i="14"/>
  <c r="AA315" i="14"/>
  <c r="N288" i="14"/>
  <c r="AB235" i="14"/>
  <c r="AN225" i="14"/>
  <c r="Z214" i="14"/>
  <c r="AN81" i="14"/>
  <c r="Y52" i="14"/>
  <c r="AN256" i="14"/>
  <c r="AN295" i="14"/>
  <c r="M18" i="14"/>
  <c r="AN36" i="14"/>
  <c r="AB98" i="14"/>
  <c r="AB338" i="14"/>
  <c r="Z291" i="14"/>
  <c r="AN340" i="14"/>
  <c r="AN192" i="14"/>
  <c r="Z369" i="14"/>
  <c r="AN95" i="14"/>
  <c r="AA16" i="14"/>
  <c r="AB129" i="14"/>
  <c r="Z331" i="14"/>
  <c r="Z96" i="14"/>
  <c r="Z52" i="14"/>
  <c r="AA175" i="14"/>
  <c r="AN289" i="14"/>
  <c r="AB366" i="14"/>
  <c r="AN3" i="14"/>
  <c r="AN174" i="14"/>
  <c r="AB37" i="14"/>
  <c r="AN272" i="14"/>
  <c r="AB178" i="14"/>
  <c r="Y19" i="14"/>
  <c r="Z169" i="14"/>
  <c r="AN185" i="14"/>
  <c r="AB301" i="14"/>
  <c r="AB185" i="14"/>
  <c r="AB162" i="14"/>
  <c r="AA188" i="14"/>
  <c r="AB354" i="14"/>
  <c r="AB262" i="14"/>
  <c r="AB90" i="14"/>
  <c r="AA260" i="14"/>
  <c r="AB79" i="14"/>
  <c r="Z2" i="14"/>
  <c r="AN283" i="14"/>
  <c r="AB181" i="14"/>
  <c r="AN103" i="14"/>
  <c r="AN355" i="14"/>
  <c r="AN278" i="14"/>
  <c r="AN346" i="14"/>
  <c r="Y188" i="14"/>
  <c r="AN189" i="14"/>
  <c r="M131" i="14"/>
  <c r="Y206" i="14"/>
  <c r="Y160" i="14"/>
  <c r="AB26" i="14"/>
  <c r="AB342" i="14"/>
  <c r="Z33" i="14"/>
  <c r="Y33" i="14"/>
  <c r="Y60" i="14"/>
  <c r="Y313" i="14"/>
  <c r="Y322" i="14"/>
  <c r="Z365" i="14"/>
  <c r="N267" i="14"/>
  <c r="Y351" i="14"/>
  <c r="X123" i="14"/>
  <c r="AO123" i="14" s="1"/>
  <c r="X35" i="14"/>
  <c r="AO35" i="14" s="1"/>
  <c r="Y357" i="14"/>
  <c r="AB55" i="14"/>
  <c r="Z250" i="14"/>
  <c r="AN298" i="14"/>
  <c r="AN198" i="14"/>
  <c r="AB91" i="14"/>
  <c r="Z205" i="14"/>
  <c r="AN143" i="14"/>
  <c r="AN282" i="14"/>
  <c r="Z207" i="14"/>
  <c r="Z213" i="14"/>
  <c r="AN245" i="14"/>
  <c r="AB207" i="14"/>
  <c r="X260" i="14"/>
  <c r="AO260" i="14" s="1"/>
  <c r="M138" i="14"/>
  <c r="AB123" i="14"/>
  <c r="Z211" i="14"/>
  <c r="Z278" i="14"/>
  <c r="AN87" i="14"/>
  <c r="AB125" i="14"/>
  <c r="N269" i="14"/>
  <c r="Z301" i="14"/>
  <c r="AB121" i="14"/>
  <c r="AN129" i="14"/>
  <c r="Y65" i="14"/>
  <c r="AB237" i="14"/>
  <c r="AA50" i="14"/>
  <c r="AN104" i="14"/>
  <c r="N241" i="14"/>
  <c r="M288" i="14"/>
  <c r="Z142" i="14"/>
  <c r="AB258" i="14"/>
  <c r="AB100" i="14"/>
  <c r="AA134" i="14"/>
  <c r="AN205" i="14"/>
  <c r="Y161" i="14"/>
  <c r="AN186" i="14"/>
  <c r="AB307" i="14"/>
  <c r="AN108" i="14"/>
  <c r="AB150" i="14"/>
  <c r="AB213" i="14"/>
  <c r="AA3" i="14"/>
  <c r="AN263" i="14"/>
  <c r="AN319" i="14"/>
  <c r="AB44" i="14"/>
  <c r="AA13" i="14"/>
  <c r="AN62" i="14"/>
  <c r="M153" i="14"/>
  <c r="Z41" i="14"/>
  <c r="Y141" i="14"/>
  <c r="AB244" i="14"/>
  <c r="Y162" i="14"/>
  <c r="AN124" i="14"/>
  <c r="Z289" i="14"/>
  <c r="AN317" i="14"/>
  <c r="AA326" i="14"/>
  <c r="AB42" i="14"/>
  <c r="AB323" i="14"/>
  <c r="N193" i="14"/>
  <c r="AN80" i="14"/>
  <c r="AB272" i="14"/>
  <c r="Z83" i="14"/>
  <c r="AB251" i="14"/>
  <c r="AB293" i="14"/>
  <c r="Z283" i="14"/>
  <c r="N117" i="14"/>
  <c r="Y280" i="14"/>
  <c r="AB152" i="14"/>
  <c r="AN369" i="14"/>
  <c r="AB87" i="14"/>
  <c r="AA200" i="14"/>
  <c r="AN210" i="14"/>
  <c r="AN168" i="14"/>
  <c r="AN368" i="14"/>
  <c r="AB275" i="14"/>
  <c r="Z88" i="14"/>
  <c r="AB234" i="14"/>
  <c r="Y268" i="14"/>
  <c r="X346" i="14"/>
  <c r="AO346" i="14" s="1"/>
  <c r="Y151" i="14"/>
  <c r="X337" i="14"/>
  <c r="AO337" i="14" s="1"/>
  <c r="Y334" i="14"/>
  <c r="AB191" i="14"/>
  <c r="Y122" i="14"/>
  <c r="Y183" i="14"/>
  <c r="AB122" i="14"/>
  <c r="X240" i="14"/>
  <c r="AO240" i="14" s="1"/>
  <c r="AB199" i="14"/>
  <c r="AA300" i="14"/>
  <c r="Y157" i="14"/>
  <c r="AN294" i="14"/>
  <c r="AN71" i="14"/>
  <c r="AB349" i="14"/>
  <c r="Y34" i="14"/>
  <c r="AB166" i="14"/>
  <c r="AN138" i="14"/>
  <c r="AN219" i="14"/>
  <c r="AN222" i="14"/>
  <c r="AN130" i="14"/>
  <c r="AN18" i="14"/>
  <c r="Z307" i="14"/>
  <c r="AN77" i="14"/>
  <c r="AN304" i="14"/>
  <c r="X355" i="14"/>
  <c r="AO355" i="14" s="1"/>
  <c r="AB35" i="14"/>
  <c r="AB264" i="14"/>
  <c r="AA88" i="14"/>
  <c r="AN281" i="14"/>
  <c r="Y140" i="14"/>
  <c r="AN10" i="14"/>
  <c r="N273" i="14"/>
  <c r="M176" i="14"/>
  <c r="AA163" i="14"/>
  <c r="Z297" i="14"/>
  <c r="AN117" i="14"/>
  <c r="AA321" i="14"/>
  <c r="AA39" i="14"/>
  <c r="AN156" i="14"/>
  <c r="AN200" i="14"/>
  <c r="AB267" i="14"/>
  <c r="AA30" i="14"/>
  <c r="AB114" i="14"/>
  <c r="N58" i="14"/>
  <c r="X265" i="14"/>
  <c r="AO265" i="14" s="1"/>
  <c r="AA41" i="14"/>
  <c r="AB229" i="14"/>
  <c r="AA34" i="14"/>
  <c r="Z223" i="14"/>
  <c r="Y128" i="14"/>
  <c r="N19" i="14"/>
  <c r="X192" i="14"/>
  <c r="AO192" i="14" s="1"/>
  <c r="Z101" i="14"/>
  <c r="AN149" i="14"/>
  <c r="Z29" i="14"/>
  <c r="AB54" i="14"/>
  <c r="Y340" i="14"/>
  <c r="Z125" i="14"/>
  <c r="N56" i="14"/>
  <c r="AB208" i="14"/>
  <c r="AN167" i="14"/>
  <c r="AA325" i="14"/>
  <c r="Y197" i="14"/>
  <c r="AN244" i="14"/>
  <c r="AN102" i="14"/>
  <c r="X366" i="14"/>
  <c r="AO366" i="14" s="1"/>
  <c r="AB136" i="14"/>
  <c r="AB81" i="14"/>
  <c r="AB182" i="14"/>
  <c r="AB314" i="14"/>
  <c r="AA319" i="14"/>
  <c r="AB97" i="14"/>
  <c r="AB32" i="14"/>
  <c r="AA72" i="14"/>
  <c r="AN299" i="14"/>
  <c r="AA29" i="14"/>
  <c r="AA156" i="14"/>
  <c r="AN292" i="14"/>
  <c r="AB246" i="14"/>
  <c r="Z3" i="14"/>
  <c r="AB73" i="14"/>
  <c r="AB220" i="14"/>
  <c r="AB285" i="14"/>
  <c r="Z219" i="14"/>
  <c r="AA258" i="14"/>
  <c r="AB62" i="14"/>
  <c r="X11" i="14"/>
  <c r="AO11" i="14" s="1"/>
  <c r="Z210" i="14"/>
  <c r="Z353" i="14"/>
  <c r="Z332" i="14"/>
  <c r="Z263" i="14"/>
  <c r="N232" i="14"/>
  <c r="AN6" i="14"/>
  <c r="AB298" i="14"/>
  <c r="AA354" i="14"/>
  <c r="Y333" i="14"/>
  <c r="AB303" i="14"/>
  <c r="X116" i="14"/>
  <c r="AO116" i="14" s="1"/>
  <c r="AA23" i="14"/>
  <c r="AB335" i="14"/>
  <c r="AA54" i="14"/>
  <c r="Z242" i="14"/>
  <c r="AN323" i="14"/>
  <c r="AA10" i="14"/>
  <c r="AN230" i="14"/>
  <c r="AB313" i="14"/>
  <c r="N18" i="14"/>
  <c r="M103" i="14"/>
  <c r="Z151" i="14"/>
  <c r="AN121" i="14"/>
  <c r="Z221" i="14"/>
  <c r="Y294" i="14"/>
  <c r="X160" i="14"/>
  <c r="AO160" i="14" s="1"/>
  <c r="AA317" i="14"/>
  <c r="AA230" i="14"/>
  <c r="AB344" i="14"/>
  <c r="AB311" i="14"/>
  <c r="Z266" i="14"/>
  <c r="AB68" i="14"/>
  <c r="AA145" i="14"/>
  <c r="AB111" i="14"/>
  <c r="AN302" i="14"/>
  <c r="AN106" i="14"/>
  <c r="M113" i="14"/>
  <c r="V154" i="19" s="1"/>
  <c r="Z294" i="14"/>
  <c r="Z230" i="14"/>
  <c r="AB221" i="14"/>
  <c r="AN122" i="14"/>
  <c r="Z302" i="14"/>
  <c r="AA58" i="14"/>
  <c r="M308" i="14"/>
  <c r="AA38" i="14"/>
  <c r="AN73" i="14"/>
  <c r="AB193" i="14"/>
  <c r="AA48" i="14"/>
  <c r="AB106" i="14"/>
  <c r="Y306" i="14"/>
  <c r="X220" i="14"/>
  <c r="AO220" i="14" s="1"/>
  <c r="AB339" i="14"/>
  <c r="AN99" i="14"/>
  <c r="AN135" i="14"/>
  <c r="AB340" i="14"/>
  <c r="AN58" i="14"/>
  <c r="AB274" i="14"/>
  <c r="AN255" i="14"/>
  <c r="AN312" i="14"/>
  <c r="Z229" i="14"/>
  <c r="M257" i="14"/>
  <c r="M355" i="14"/>
  <c r="N138" i="14"/>
  <c r="AA254" i="14"/>
  <c r="AN237" i="14"/>
  <c r="AN182" i="14"/>
  <c r="AB96" i="14"/>
  <c r="AN42" i="14"/>
  <c r="Z349" i="14"/>
  <c r="AB170" i="14"/>
  <c r="AN137" i="14"/>
  <c r="AN100" i="14"/>
  <c r="AN96" i="14"/>
  <c r="Z265" i="14"/>
  <c r="AB263" i="14"/>
  <c r="Y316" i="14"/>
  <c r="X204" i="14"/>
  <c r="AO204" i="14" s="1"/>
  <c r="X44" i="14"/>
  <c r="AO44" i="14" s="1"/>
  <c r="AN184" i="14"/>
  <c r="Z315" i="14"/>
  <c r="Z50" i="14"/>
  <c r="AA123" i="14"/>
  <c r="AN321" i="14"/>
  <c r="AB82" i="14"/>
  <c r="AN152" i="14"/>
  <c r="X291" i="14"/>
  <c r="AO291" i="14" s="1"/>
  <c r="Z150" i="14"/>
  <c r="M187" i="14"/>
  <c r="Y18" i="14"/>
  <c r="AB197" i="14"/>
  <c r="AN115" i="14"/>
  <c r="Z79" i="14"/>
  <c r="AB318" i="14"/>
  <c r="AB326" i="14"/>
  <c r="AB3" i="14"/>
  <c r="AN181" i="14"/>
  <c r="AA279" i="14"/>
  <c r="AB357" i="14"/>
  <c r="Y279" i="14"/>
  <c r="X290" i="14"/>
  <c r="AO290" i="14" s="1"/>
  <c r="X125" i="14"/>
  <c r="AO125" i="14" s="1"/>
  <c r="AB187" i="14"/>
  <c r="AN227" i="14"/>
  <c r="AN7" i="14"/>
  <c r="Z67" i="14"/>
  <c r="Z178" i="14"/>
  <c r="AA177" i="14"/>
  <c r="Y356" i="14"/>
  <c r="Y125" i="14"/>
  <c r="AA153" i="14"/>
  <c r="Z329" i="14"/>
  <c r="AA241" i="14"/>
  <c r="X78" i="14"/>
  <c r="AO78" i="14" s="1"/>
  <c r="AA369" i="14"/>
  <c r="AA351" i="14"/>
  <c r="AA62" i="14"/>
  <c r="X255" i="14"/>
  <c r="AO255" i="14" s="1"/>
  <c r="X107" i="14"/>
  <c r="AO107" i="14" s="1"/>
  <c r="Y73" i="14"/>
  <c r="AB69" i="14"/>
  <c r="X324" i="14"/>
  <c r="AO324" i="14" s="1"/>
  <c r="X111" i="14"/>
  <c r="AO111" i="14" s="1"/>
  <c r="Y250" i="14"/>
  <c r="Z356" i="14"/>
  <c r="Y96" i="14"/>
  <c r="AB6" i="14"/>
  <c r="X226" i="14"/>
  <c r="AO226" i="14" s="1"/>
  <c r="AN361" i="14"/>
  <c r="AA364" i="14"/>
  <c r="AN303" i="14"/>
  <c r="Z9" i="14"/>
  <c r="AA265" i="14"/>
  <c r="X196" i="14"/>
  <c r="AO196" i="14" s="1"/>
  <c r="AN238" i="14"/>
  <c r="Z73" i="14"/>
  <c r="AN228" i="14"/>
  <c r="AB33" i="14"/>
  <c r="AN366" i="14"/>
  <c r="AN145" i="14"/>
  <c r="AN250" i="14"/>
  <c r="X308" i="14"/>
  <c r="AO308" i="14" s="1"/>
  <c r="M17" i="14"/>
  <c r="AB247" i="14"/>
  <c r="AN353" i="14"/>
  <c r="AB101" i="14"/>
  <c r="AN169" i="14"/>
  <c r="Z347" i="14"/>
  <c r="AN84" i="14"/>
  <c r="AN334" i="14"/>
  <c r="AB58" i="14"/>
  <c r="AN158" i="14"/>
  <c r="AB347" i="14"/>
  <c r="AN232" i="14"/>
  <c r="Z367" i="14"/>
  <c r="N139" i="14"/>
  <c r="N112" i="14"/>
  <c r="AN247" i="14"/>
  <c r="AB155" i="14"/>
  <c r="M258" i="14"/>
  <c r="AN218" i="14"/>
  <c r="AA255" i="14"/>
  <c r="AN226" i="14"/>
  <c r="AB215" i="14"/>
  <c r="AA42" i="14"/>
  <c r="AB175" i="14"/>
  <c r="AN61" i="14"/>
  <c r="AA85" i="14"/>
  <c r="AN75" i="14"/>
  <c r="AA301" i="14"/>
  <c r="N74" i="14"/>
  <c r="X121" i="14"/>
  <c r="AO121" i="14" s="1"/>
  <c r="AB94" i="14"/>
  <c r="AB139" i="14"/>
  <c r="AB56" i="14"/>
  <c r="AA187" i="14"/>
  <c r="AB242" i="14"/>
  <c r="AA268" i="14"/>
  <c r="AN327" i="14"/>
  <c r="AN4" i="14"/>
  <c r="AB36" i="14"/>
  <c r="AB15" i="14"/>
  <c r="AA148" i="14"/>
  <c r="M59" i="14"/>
  <c r="M141" i="14"/>
  <c r="N271" i="14"/>
  <c r="AA277" i="14"/>
  <c r="Z42" i="14"/>
  <c r="Z313" i="14"/>
  <c r="Z117" i="14"/>
  <c r="AN93" i="14"/>
  <c r="AN234" i="14"/>
  <c r="AB202" i="14"/>
  <c r="AN119" i="14"/>
  <c r="AA294" i="14"/>
  <c r="Y218" i="14"/>
  <c r="AA183" i="14"/>
  <c r="Y87" i="14"/>
  <c r="AA203" i="14"/>
  <c r="AA368" i="14"/>
  <c r="N222" i="14"/>
  <c r="Z195" i="14"/>
  <c r="Y327" i="14"/>
  <c r="Z32" i="14"/>
  <c r="Y257" i="14"/>
  <c r="Y235" i="14"/>
  <c r="AB168" i="14"/>
  <c r="AA367" i="14"/>
  <c r="AN358" i="14"/>
  <c r="AN33" i="14"/>
  <c r="AA278" i="14"/>
  <c r="N290" i="14"/>
  <c r="X199" i="14"/>
  <c r="AO199" i="14" s="1"/>
  <c r="N344" i="14"/>
  <c r="AA201" i="14"/>
  <c r="AB50" i="14"/>
  <c r="Z285" i="14"/>
  <c r="N55" i="14"/>
  <c r="AN338" i="14"/>
  <c r="AA155" i="14"/>
  <c r="Z237" i="14"/>
  <c r="Z17" i="14"/>
  <c r="AB117" i="14"/>
  <c r="AN142" i="14"/>
  <c r="AB74" i="14"/>
  <c r="X148" i="14"/>
  <c r="AO148" i="14" s="1"/>
  <c r="Z132" i="14"/>
  <c r="AN330" i="14"/>
  <c r="AN123" i="14"/>
  <c r="AN351" i="14"/>
  <c r="AN231" i="14"/>
  <c r="X159" i="14"/>
  <c r="AO159" i="14" s="1"/>
  <c r="AN212" i="14"/>
  <c r="AB228" i="14"/>
  <c r="AN9" i="14"/>
  <c r="AN335" i="14"/>
  <c r="AN313" i="14"/>
  <c r="AN82" i="14"/>
  <c r="AA91" i="14"/>
  <c r="AA303" i="14"/>
  <c r="AB109" i="14"/>
  <c r="AB119" i="14"/>
  <c r="AB142" i="14"/>
  <c r="AA281" i="14"/>
  <c r="AA308" i="14"/>
  <c r="AN16" i="14"/>
  <c r="AB102" i="14"/>
  <c r="Z136" i="14"/>
  <c r="AB75" i="14"/>
  <c r="AN206" i="14"/>
  <c r="Z300" i="14"/>
  <c r="AB367" i="14"/>
  <c r="AN55" i="14"/>
  <c r="AA82" i="14"/>
  <c r="AB113" i="14"/>
  <c r="AB63" i="14"/>
  <c r="AA101" i="14"/>
  <c r="AA324" i="14"/>
  <c r="Z56" i="14"/>
  <c r="AN349" i="14"/>
  <c r="AA345" i="14"/>
  <c r="AB330" i="14"/>
  <c r="M268" i="14"/>
  <c r="Z103" i="14"/>
  <c r="AB236" i="14"/>
  <c r="AB47" i="14"/>
  <c r="AN257" i="14"/>
  <c r="AA17" i="14"/>
  <c r="AB53" i="14"/>
  <c r="AB30" i="14"/>
  <c r="AN360" i="14"/>
  <c r="AN329" i="14"/>
  <c r="Z10" i="14"/>
  <c r="Z170" i="14"/>
  <c r="AN20" i="14"/>
  <c r="AB224" i="14"/>
  <c r="Z131" i="14"/>
  <c r="Y369" i="14"/>
  <c r="X102" i="14"/>
  <c r="AO102" i="14" s="1"/>
  <c r="N221" i="14"/>
  <c r="AA40" i="14"/>
  <c r="Y147" i="14"/>
  <c r="Y354" i="14"/>
  <c r="AN274" i="14"/>
  <c r="Y23" i="14"/>
  <c r="AA4" i="14"/>
  <c r="Z98" i="14"/>
  <c r="AB286" i="14"/>
  <c r="Z258" i="14"/>
  <c r="AN363" i="14"/>
  <c r="Z203" i="14"/>
  <c r="AN14" i="14"/>
  <c r="AB159" i="14"/>
  <c r="AN213" i="14"/>
  <c r="AA73" i="14"/>
  <c r="X298" i="14"/>
  <c r="AO298" i="14" s="1"/>
  <c r="Z227" i="14"/>
  <c r="AB45" i="14"/>
  <c r="AB84" i="14"/>
  <c r="AA180" i="14"/>
  <c r="AA47" i="14"/>
  <c r="Z54" i="14"/>
  <c r="N340" i="14"/>
  <c r="Z319" i="14"/>
  <c r="AN322" i="14"/>
  <c r="AB310" i="14"/>
  <c r="AN273" i="14"/>
  <c r="AN127" i="14"/>
  <c r="AN146" i="14"/>
  <c r="AB334" i="14"/>
  <c r="AB233" i="14"/>
  <c r="Z19" i="14"/>
  <c r="AN301" i="14"/>
  <c r="AA168" i="14"/>
  <c r="AB291" i="14"/>
  <c r="AA299" i="14"/>
  <c r="AA133" i="14"/>
  <c r="Z140" i="14"/>
  <c r="X241" i="14"/>
  <c r="AO241" i="14" s="1"/>
  <c r="Y307" i="14"/>
  <c r="Y185" i="14"/>
  <c r="AN29" i="14"/>
  <c r="AA9" i="14"/>
  <c r="AB104" i="14"/>
  <c r="AA162" i="14"/>
  <c r="AN264" i="14"/>
  <c r="AB255" i="14"/>
  <c r="M299" i="14"/>
  <c r="M367" i="14"/>
  <c r="X350" i="14"/>
  <c r="AO350" i="14" s="1"/>
  <c r="AN365" i="14"/>
  <c r="AN98" i="14"/>
  <c r="AN197" i="14"/>
  <c r="AA66" i="14"/>
  <c r="AN131" i="14"/>
  <c r="Y305" i="14"/>
  <c r="AN79" i="14"/>
  <c r="AB364" i="14"/>
  <c r="Z206" i="14"/>
  <c r="AB144" i="14"/>
  <c r="Z325" i="14"/>
  <c r="AN151" i="14"/>
  <c r="AN252" i="14"/>
  <c r="AB230" i="14"/>
  <c r="AN25" i="14"/>
  <c r="X92" i="14"/>
  <c r="AO92" i="14" s="1"/>
  <c r="Y195" i="14"/>
  <c r="AN48" i="14"/>
  <c r="AN194" i="14"/>
  <c r="AN326" i="14"/>
  <c r="AN268" i="14"/>
  <c r="Y283" i="14"/>
  <c r="AB137" i="14"/>
  <c r="AN187" i="14"/>
  <c r="AB284" i="14"/>
  <c r="AB336" i="14"/>
  <c r="M369" i="14"/>
  <c r="AN56" i="14"/>
  <c r="AN202" i="14"/>
  <c r="AA120" i="14"/>
  <c r="AB25" i="14"/>
  <c r="AN203" i="14"/>
  <c r="AN308" i="14"/>
  <c r="AA151" i="14"/>
  <c r="AB250" i="14"/>
  <c r="Y30" i="14"/>
  <c r="Y70" i="14"/>
  <c r="Y61" i="14"/>
  <c r="Y36" i="14"/>
  <c r="AA105" i="14"/>
  <c r="AA267" i="14"/>
  <c r="Z22" i="14"/>
  <c r="Z330" i="14"/>
  <c r="Z249" i="14"/>
  <c r="AN229" i="14"/>
  <c r="AA160" i="14"/>
  <c r="Y231" i="14"/>
  <c r="X12" i="14"/>
  <c r="AO12" i="14" s="1"/>
  <c r="N45" i="14"/>
  <c r="Z69" i="14"/>
  <c r="AB99" i="14"/>
  <c r="Z288" i="14"/>
  <c r="Y159" i="14"/>
  <c r="AA178" i="14"/>
  <c r="AB21" i="14"/>
  <c r="Z44" i="14"/>
  <c r="AA231" i="14"/>
  <c r="Y311" i="14"/>
  <c r="X325" i="14"/>
  <c r="AO325" i="14" s="1"/>
  <c r="N135" i="14"/>
  <c r="X108" i="14"/>
  <c r="AO108" i="14" s="1"/>
  <c r="M86" i="14"/>
  <c r="Y266" i="14"/>
  <c r="Y368" i="14"/>
  <c r="Y158" i="14"/>
  <c r="Z208" i="14"/>
  <c r="AA119" i="14"/>
  <c r="AB350" i="14"/>
  <c r="AB260" i="14"/>
  <c r="AN173" i="14"/>
  <c r="AA181" i="14"/>
  <c r="AA46" i="14"/>
  <c r="AN224" i="14"/>
  <c r="AB151" i="14"/>
  <c r="AA124" i="14"/>
  <c r="AN66" i="14"/>
  <c r="AN109" i="14"/>
  <c r="M95" i="14"/>
  <c r="M191" i="14"/>
  <c r="AN196" i="14"/>
  <c r="AN331" i="14"/>
  <c r="Z95" i="14"/>
  <c r="AN120" i="14"/>
  <c r="Z287" i="14"/>
  <c r="AN277" i="14"/>
  <c r="X5" i="14"/>
  <c r="M184" i="14"/>
  <c r="N175" i="14"/>
  <c r="Z129" i="14"/>
  <c r="AA161" i="14"/>
  <c r="AN364" i="14"/>
  <c r="AA221" i="14"/>
  <c r="AN46" i="14"/>
  <c r="AB259" i="14"/>
  <c r="AN280" i="14"/>
  <c r="AA296" i="14"/>
  <c r="AN140" i="14"/>
  <c r="AB153" i="14"/>
  <c r="AN352" i="14"/>
  <c r="AB214" i="14"/>
  <c r="AN12" i="14"/>
  <c r="AN150" i="14"/>
  <c r="N304" i="14"/>
  <c r="Y227" i="14"/>
  <c r="Y129" i="14"/>
  <c r="AN111" i="14"/>
  <c r="AN325" i="14"/>
  <c r="AB14" i="14"/>
  <c r="AN246" i="14"/>
  <c r="N368" i="14"/>
  <c r="AN341" i="14"/>
  <c r="AA84" i="14"/>
  <c r="AB304" i="14"/>
  <c r="Z25" i="14"/>
  <c r="AN165" i="14"/>
  <c r="M5" i="14"/>
  <c r="X357" i="14"/>
  <c r="AO357" i="14" s="1"/>
  <c r="AA229" i="14"/>
  <c r="AN139" i="14"/>
  <c r="AN148" i="14"/>
  <c r="AN97" i="14"/>
  <c r="N331" i="14"/>
  <c r="Y4" i="14"/>
  <c r="AB254" i="14"/>
  <c r="AA235" i="14"/>
  <c r="AB353" i="14"/>
  <c r="AB270" i="14"/>
  <c r="AA337" i="14"/>
  <c r="AB130" i="14"/>
  <c r="AB300" i="14"/>
  <c r="AB297" i="14"/>
  <c r="AB9" i="14"/>
  <c r="AB257" i="14"/>
  <c r="AB167" i="14"/>
  <c r="AB59" i="14"/>
  <c r="Z45" i="14"/>
  <c r="AB305" i="14"/>
  <c r="N237" i="14"/>
  <c r="X26" i="14"/>
  <c r="AO26" i="14" s="1"/>
  <c r="N95" i="14"/>
  <c r="Z248" i="14"/>
  <c r="AA97" i="14"/>
  <c r="Y97" i="14"/>
  <c r="AA189" i="14"/>
  <c r="Y164" i="14"/>
  <c r="AA117" i="14"/>
  <c r="Z115" i="14"/>
  <c r="AN176" i="14"/>
  <c r="AA104" i="14"/>
  <c r="Y226" i="14"/>
  <c r="M124" i="14"/>
  <c r="Z296" i="14"/>
  <c r="AA251" i="14"/>
  <c r="AB358" i="14"/>
  <c r="AN183" i="14"/>
  <c r="Y47" i="14"/>
  <c r="Y138" i="14"/>
  <c r="Z314" i="14"/>
  <c r="Y166" i="14"/>
  <c r="AB116" i="14"/>
  <c r="AN116" i="14"/>
  <c r="Z271" i="14"/>
  <c r="AB24" i="14"/>
  <c r="AN201" i="14"/>
  <c r="AB105" i="14"/>
  <c r="AN208" i="14"/>
  <c r="AN170" i="14"/>
  <c r="AN261" i="14"/>
  <c r="AN128" i="14"/>
  <c r="X156" i="14"/>
  <c r="AO156" i="14" s="1"/>
  <c r="AB143" i="14"/>
  <c r="AN275" i="14"/>
  <c r="AN90" i="14"/>
  <c r="AA293" i="14"/>
  <c r="X68" i="14"/>
  <c r="AO68" i="14" s="1"/>
  <c r="M156" i="14"/>
  <c r="AN34" i="14"/>
  <c r="AB365" i="14"/>
  <c r="AN344" i="14"/>
  <c r="AA18" i="14"/>
  <c r="AA144" i="14"/>
  <c r="X8" i="14"/>
  <c r="AO8" i="14" s="1"/>
  <c r="AN276" i="14"/>
  <c r="AN180" i="14"/>
  <c r="AA149" i="14"/>
  <c r="AB319" i="14"/>
  <c r="AB308" i="14"/>
  <c r="AN57" i="14"/>
  <c r="N280" i="14"/>
  <c r="AB158" i="14"/>
  <c r="AN159" i="14"/>
  <c r="AB331" i="14"/>
  <c r="AN162" i="14"/>
  <c r="AN21" i="14"/>
  <c r="Z143" i="14"/>
  <c r="AN260" i="14"/>
  <c r="AA193" i="14"/>
  <c r="AN83" i="14"/>
  <c r="AN209" i="14"/>
  <c r="AA7" i="14"/>
  <c r="AB174" i="14"/>
  <c r="AN28" i="14"/>
  <c r="AN356" i="14"/>
  <c r="AA103" i="14"/>
  <c r="AB48" i="14"/>
  <c r="AA314" i="14"/>
  <c r="AB89" i="14"/>
  <c r="AN51" i="14"/>
  <c r="N235" i="14"/>
  <c r="Z277" i="14"/>
  <c r="AB248" i="14"/>
  <c r="AN311" i="14"/>
  <c r="AN310" i="14"/>
  <c r="Z226" i="14"/>
  <c r="AB169" i="14"/>
  <c r="AN136" i="14"/>
  <c r="AN337" i="14"/>
  <c r="AN236" i="14"/>
  <c r="Z324" i="14"/>
  <c r="M36" i="14"/>
  <c r="AB110" i="14"/>
  <c r="Z215" i="14"/>
  <c r="AB77" i="14"/>
  <c r="AB19" i="14"/>
  <c r="AB283" i="14"/>
  <c r="AN105" i="14"/>
  <c r="Z57" i="14"/>
  <c r="Z74" i="14"/>
  <c r="N144" i="14"/>
  <c r="Z177" i="14"/>
  <c r="Z154" i="14"/>
  <c r="N119" i="14"/>
  <c r="Y192" i="14"/>
  <c r="AA250" i="14"/>
  <c r="AA15" i="14"/>
  <c r="X69" i="14"/>
  <c r="AO69" i="14" s="1"/>
  <c r="X322" i="14"/>
  <c r="AO322" i="14" s="1"/>
  <c r="Z306" i="14"/>
  <c r="Z240" i="14"/>
  <c r="AA121" i="14"/>
  <c r="AA247" i="14"/>
  <c r="Y10" i="14"/>
  <c r="X153" i="14"/>
  <c r="AO153" i="14" s="1"/>
  <c r="Y288" i="14"/>
  <c r="Y41" i="14"/>
  <c r="Z351" i="14"/>
  <c r="AA257" i="14"/>
  <c r="Y341" i="14"/>
  <c r="Z268" i="14"/>
  <c r="Z175" i="14"/>
  <c r="AB141" i="14"/>
  <c r="AB299" i="14"/>
  <c r="Z91" i="14"/>
  <c r="N302" i="14"/>
  <c r="Y81" i="14"/>
  <c r="Z254" i="14"/>
  <c r="X34" i="14"/>
  <c r="AO34" i="14" s="1"/>
  <c r="Y203" i="14"/>
  <c r="AN195" i="14"/>
  <c r="AA182" i="14"/>
  <c r="AA346" i="14"/>
  <c r="Y108" i="14"/>
  <c r="Y315" i="14"/>
  <c r="N113" i="14"/>
  <c r="Y229" i="14"/>
  <c r="AB149" i="14"/>
  <c r="AA65" i="14"/>
  <c r="AA170" i="14"/>
  <c r="Z8" i="14"/>
  <c r="N181" i="14"/>
  <c r="AA94" i="14"/>
  <c r="AA52" i="14"/>
  <c r="AA158" i="14"/>
  <c r="Y343" i="14"/>
  <c r="Y189" i="14"/>
  <c r="X47" i="14"/>
  <c r="AO47" i="14" s="1"/>
  <c r="Y289" i="14"/>
  <c r="AA132" i="14"/>
  <c r="Y296" i="14"/>
  <c r="AN125" i="14"/>
  <c r="AA298" i="14"/>
  <c r="Z99" i="14"/>
  <c r="Y233" i="14"/>
  <c r="Y6" i="14"/>
  <c r="Z185" i="14"/>
  <c r="AA305" i="14"/>
  <c r="AA356" i="14"/>
  <c r="AN94" i="14"/>
  <c r="AA312" i="14"/>
  <c r="AN78" i="14"/>
  <c r="X10" i="14"/>
  <c r="AO10" i="14" s="1"/>
  <c r="X178" i="14"/>
  <c r="AO178" i="14" s="1"/>
  <c r="AB70" i="14"/>
  <c r="N80" i="14"/>
  <c r="AA43" i="14"/>
  <c r="X215" i="14"/>
  <c r="AO215" i="14" s="1"/>
  <c r="AA92" i="14"/>
  <c r="AN262" i="14"/>
  <c r="Y173" i="14"/>
  <c r="AA83" i="14"/>
  <c r="Z298" i="14"/>
  <c r="Y50" i="14"/>
  <c r="X30" i="14"/>
  <c r="AO30" i="14" s="1"/>
  <c r="AB148" i="14"/>
  <c r="Y246" i="14"/>
  <c r="Z273" i="14"/>
  <c r="Z70" i="14"/>
  <c r="Y181" i="14"/>
  <c r="Y278" i="14"/>
  <c r="N103" i="14"/>
  <c r="AA288" i="14"/>
  <c r="AA289" i="14"/>
  <c r="Z192" i="14"/>
  <c r="AA366" i="14"/>
  <c r="N78" i="14"/>
  <c r="M75" i="14"/>
  <c r="M88" i="14"/>
  <c r="AA56" i="14"/>
  <c r="N146" i="14"/>
  <c r="M363" i="14"/>
  <c r="X360" i="14"/>
  <c r="AO360" i="14" s="1"/>
  <c r="Y137" i="14"/>
  <c r="N92" i="14"/>
  <c r="Y155" i="14"/>
  <c r="N130" i="14"/>
  <c r="AB145" i="14"/>
  <c r="N133" i="14"/>
  <c r="X31" i="14"/>
  <c r="AO31" i="14" s="1"/>
  <c r="AA269" i="14"/>
  <c r="Z234" i="14"/>
  <c r="X299" i="14"/>
  <c r="AO299" i="14" s="1"/>
  <c r="M147" i="14"/>
  <c r="Y144" i="14"/>
  <c r="AB176" i="14"/>
  <c r="AB126" i="14"/>
  <c r="X181" i="14"/>
  <c r="AO181" i="14" s="1"/>
  <c r="AB249" i="14"/>
  <c r="X119" i="14"/>
  <c r="AO119" i="14" s="1"/>
  <c r="AB266" i="14"/>
  <c r="AA169" i="14"/>
  <c r="Y35" i="14"/>
  <c r="AB201" i="14"/>
  <c r="AA157" i="14"/>
  <c r="AB217" i="14"/>
  <c r="Z245" i="14"/>
  <c r="AA33" i="14"/>
  <c r="Y274" i="14"/>
  <c r="Z346" i="14"/>
  <c r="AA86" i="14"/>
  <c r="X72" i="14"/>
  <c r="AO72" i="14" s="1"/>
  <c r="N217" i="14"/>
  <c r="M222" i="14"/>
  <c r="Y180" i="14"/>
  <c r="Y224" i="14"/>
  <c r="Y3" i="14"/>
  <c r="N111" i="14"/>
  <c r="Y363" i="14"/>
  <c r="AB271" i="14"/>
  <c r="AB355" i="14"/>
  <c r="Z5" i="14"/>
  <c r="Z121" i="14"/>
  <c r="Z123" i="14"/>
  <c r="Z218" i="14"/>
  <c r="X323" i="14"/>
  <c r="AO323" i="14" s="1"/>
  <c r="AA140" i="14"/>
  <c r="Z59" i="14"/>
  <c r="X238" i="14"/>
  <c r="AO238" i="14" s="1"/>
  <c r="X214" i="14"/>
  <c r="AO214" i="14" s="1"/>
  <c r="AB361" i="14"/>
  <c r="AN241" i="14"/>
  <c r="Z93" i="14"/>
  <c r="AA89" i="14"/>
  <c r="AB312" i="14"/>
  <c r="AA302" i="14"/>
  <c r="AA220" i="14"/>
  <c r="Z114" i="14"/>
  <c r="Z127" i="14"/>
  <c r="Z146" i="14"/>
  <c r="X314" i="14"/>
  <c r="AO314" i="14" s="1"/>
  <c r="Y174" i="14"/>
  <c r="AB118" i="14"/>
  <c r="Y105" i="14"/>
  <c r="Y273" i="14"/>
  <c r="Y329" i="14"/>
  <c r="AA287" i="14"/>
  <c r="Z165" i="14"/>
  <c r="AB198" i="14"/>
  <c r="AA242" i="14"/>
  <c r="Z290" i="14"/>
  <c r="Z327" i="14"/>
  <c r="M16" i="14"/>
  <c r="M232" i="14"/>
  <c r="N289" i="14"/>
  <c r="X304" i="14"/>
  <c r="AO304" i="14" s="1"/>
  <c r="M172" i="14"/>
  <c r="N2" i="14"/>
  <c r="N264" i="14"/>
  <c r="X109" i="14"/>
  <c r="AO109" i="14" s="1"/>
  <c r="X149" i="14"/>
  <c r="AO149" i="14" s="1"/>
  <c r="N71" i="14"/>
  <c r="X141" i="14"/>
  <c r="AO141" i="14" s="1"/>
  <c r="X257" i="14"/>
  <c r="AO257" i="14" s="1"/>
  <c r="N252" i="14"/>
  <c r="Y342" i="14"/>
  <c r="Z4" i="14"/>
  <c r="AB324" i="14"/>
  <c r="AB160" i="14"/>
  <c r="AA261" i="14"/>
  <c r="AA214" i="14"/>
  <c r="X132" i="14"/>
  <c r="AO132" i="14" s="1"/>
  <c r="AB189" i="14"/>
  <c r="Z260" i="14"/>
  <c r="Z228" i="14"/>
  <c r="Y186" i="14"/>
  <c r="Z26" i="14"/>
  <c r="X274" i="14"/>
  <c r="AO274" i="14" s="1"/>
  <c r="Y339" i="14"/>
  <c r="Y230" i="14"/>
  <c r="Y57" i="14"/>
  <c r="Y15" i="14"/>
  <c r="AB76" i="14"/>
  <c r="Y242" i="14"/>
  <c r="X46" i="14"/>
  <c r="AO46" i="14" s="1"/>
  <c r="AA172" i="14"/>
  <c r="Y245" i="14"/>
  <c r="AN258" i="14"/>
  <c r="AN318" i="14"/>
  <c r="AN300" i="14"/>
  <c r="X95" i="14"/>
  <c r="AO95" i="14" s="1"/>
  <c r="X64" i="14"/>
  <c r="AO64" i="14" s="1"/>
  <c r="AN204" i="14"/>
  <c r="AA31" i="14"/>
  <c r="AA212" i="14"/>
  <c r="Z174" i="14"/>
  <c r="AB363" i="14"/>
  <c r="X67" i="14"/>
  <c r="AO67" i="14" s="1"/>
  <c r="N356" i="14"/>
  <c r="AB60" i="14"/>
  <c r="AN154" i="14"/>
  <c r="AB362" i="14"/>
  <c r="X283" i="14"/>
  <c r="AO283" i="14" s="1"/>
  <c r="Y66" i="14"/>
  <c r="Z166" i="14"/>
  <c r="AA192" i="14"/>
  <c r="Y314" i="14"/>
  <c r="Y260" i="14"/>
  <c r="Y286" i="14"/>
  <c r="Y366" i="14"/>
  <c r="AB222" i="14"/>
  <c r="AA136" i="14"/>
  <c r="Y142" i="14"/>
  <c r="Y318" i="14"/>
  <c r="Z141" i="14"/>
  <c r="N247" i="14"/>
  <c r="AA100" i="14"/>
  <c r="AA334" i="14"/>
  <c r="AB64" i="14"/>
  <c r="Y80" i="14"/>
  <c r="X155" i="14"/>
  <c r="AO155" i="14" s="1"/>
  <c r="Z28" i="14"/>
  <c r="Z188" i="14"/>
  <c r="M54" i="14"/>
  <c r="X367" i="14"/>
  <c r="AO367" i="14" s="1"/>
  <c r="AA14" i="14"/>
  <c r="N325" i="14"/>
  <c r="X167" i="14"/>
  <c r="AO167" i="14" s="1"/>
  <c r="N216" i="14"/>
  <c r="N50" i="14"/>
  <c r="M159" i="14"/>
  <c r="M345" i="14"/>
  <c r="AB195" i="14"/>
  <c r="Z322" i="14"/>
  <c r="Z197" i="14"/>
  <c r="Y184" i="14"/>
  <c r="AA335" i="14"/>
  <c r="Z196" i="14"/>
  <c r="Z77" i="14"/>
  <c r="Z190" i="14"/>
  <c r="Y241" i="14"/>
  <c r="AB115" i="14"/>
  <c r="AA106" i="14"/>
  <c r="X18" i="14"/>
  <c r="AO18" i="14" s="1"/>
  <c r="Y101" i="14"/>
  <c r="N350" i="14"/>
  <c r="Z21" i="14"/>
  <c r="AB172" i="14"/>
  <c r="Y68" i="14"/>
  <c r="Z267" i="14"/>
  <c r="X52" i="14"/>
  <c r="AO52" i="14" s="1"/>
  <c r="Y90" i="14"/>
  <c r="AB333" i="14"/>
  <c r="M62" i="14"/>
  <c r="Z320" i="14"/>
  <c r="M362" i="14"/>
  <c r="AB243" i="14"/>
  <c r="Y328" i="14"/>
  <c r="X191" i="14"/>
  <c r="AO191" i="14" s="1"/>
  <c r="AA122" i="14"/>
  <c r="N88" i="14"/>
  <c r="Y48" i="14"/>
  <c r="X84" i="14"/>
  <c r="AO84" i="14" s="1"/>
  <c r="N239" i="14"/>
  <c r="AB133" i="14"/>
  <c r="Y297" i="14"/>
  <c r="AN297" i="14"/>
  <c r="Y225" i="14"/>
  <c r="Z39" i="14"/>
  <c r="AA224" i="14"/>
  <c r="Z108" i="14"/>
  <c r="AA363" i="14"/>
  <c r="AA87" i="14"/>
  <c r="AA44" i="14"/>
  <c r="X98" i="14"/>
  <c r="AO98" i="14" s="1"/>
  <c r="Z352" i="14"/>
  <c r="Z257" i="14"/>
  <c r="Y355" i="14"/>
  <c r="AB18" i="14"/>
  <c r="X29" i="14"/>
  <c r="AO29" i="14" s="1"/>
  <c r="Y7" i="14"/>
  <c r="Z282" i="14"/>
  <c r="X294" i="14"/>
  <c r="AO294" i="14" s="1"/>
  <c r="Z199" i="14"/>
  <c r="AA171" i="14"/>
  <c r="N69" i="14"/>
  <c r="Y244" i="14"/>
  <c r="N283" i="14"/>
  <c r="AA112" i="14"/>
  <c r="AA76" i="14"/>
  <c r="Z37" i="14"/>
  <c r="Z30" i="14"/>
  <c r="X154" i="14"/>
  <c r="AO154" i="14" s="1"/>
  <c r="Y221" i="14"/>
  <c r="AA20" i="14"/>
  <c r="Z295" i="14"/>
  <c r="AN354" i="14"/>
  <c r="AA246" i="14"/>
  <c r="AA249" i="14"/>
  <c r="AA147" i="14"/>
  <c r="N361" i="14"/>
  <c r="AA272" i="14"/>
  <c r="M78" i="14"/>
  <c r="M274" i="14"/>
  <c r="Y84" i="14"/>
  <c r="N275" i="14"/>
  <c r="M213" i="14"/>
  <c r="AA283" i="14"/>
  <c r="M295" i="14"/>
  <c r="M305" i="14"/>
  <c r="M96" i="14"/>
  <c r="V140" i="19" s="1"/>
  <c r="M48" i="14"/>
  <c r="Y201" i="14"/>
  <c r="Y212" i="14"/>
  <c r="AB359" i="14"/>
  <c r="Z264" i="14"/>
  <c r="X166" i="14"/>
  <c r="AO166" i="14" s="1"/>
  <c r="Y213" i="14"/>
  <c r="Z27" i="14"/>
  <c r="Y172" i="14"/>
  <c r="N77" i="14"/>
  <c r="X142" i="14"/>
  <c r="AO142" i="14" s="1"/>
  <c r="Y39" i="14"/>
  <c r="Z186" i="14"/>
  <c r="AA111" i="14"/>
  <c r="AA28" i="14"/>
  <c r="Y276" i="14"/>
  <c r="AB212" i="14"/>
  <c r="Y367" i="14"/>
  <c r="Z312" i="14"/>
  <c r="Y258" i="14"/>
  <c r="AB238" i="14"/>
  <c r="Z80" i="14"/>
  <c r="AA329" i="14"/>
  <c r="Y304" i="14"/>
  <c r="AB80" i="14"/>
  <c r="Y120" i="14"/>
  <c r="AN52" i="14"/>
  <c r="AB241" i="14"/>
  <c r="X336" i="14"/>
  <c r="AO336" i="14" s="1"/>
  <c r="Y132" i="14"/>
  <c r="Y94" i="14"/>
  <c r="M65" i="14"/>
  <c r="AB156" i="14"/>
  <c r="AB268" i="14"/>
  <c r="AB138" i="14"/>
  <c r="AA57" i="14"/>
  <c r="N233" i="14"/>
  <c r="AA32" i="14"/>
  <c r="Y199" i="14"/>
  <c r="AB85" i="14"/>
  <c r="Y211" i="14"/>
  <c r="Z280" i="14"/>
  <c r="Y216" i="14"/>
  <c r="AA218" i="14"/>
  <c r="AA137" i="14"/>
  <c r="X353" i="14"/>
  <c r="AO353" i="14" s="1"/>
  <c r="Z124" i="14"/>
  <c r="Y365" i="14"/>
  <c r="AA215" i="14"/>
  <c r="N231" i="14"/>
  <c r="Y63" i="14"/>
  <c r="Z316" i="14"/>
  <c r="X312" i="14"/>
  <c r="AO312" i="14" s="1"/>
  <c r="M13" i="14"/>
  <c r="M329" i="14"/>
  <c r="N124" i="14"/>
  <c r="N187" i="14"/>
  <c r="N201" i="14"/>
  <c r="Y130" i="14"/>
  <c r="M272" i="14"/>
  <c r="M230" i="14"/>
  <c r="N213" i="14"/>
  <c r="M221" i="14"/>
  <c r="M9" i="14"/>
  <c r="V3" i="19" s="1"/>
  <c r="M340" i="14"/>
  <c r="M162" i="14"/>
  <c r="AN35" i="14"/>
  <c r="AN44" i="14"/>
  <c r="Y287" i="14"/>
  <c r="M163" i="14"/>
  <c r="AB287" i="14"/>
  <c r="Y191" i="14"/>
  <c r="Z189" i="14"/>
  <c r="Z7" i="14"/>
  <c r="Z82" i="14"/>
  <c r="AB196" i="14"/>
  <c r="Z360" i="14"/>
  <c r="AA37" i="14"/>
  <c r="AA159" i="14"/>
  <c r="Y13" i="14"/>
  <c r="AN126" i="14"/>
  <c r="X276" i="14"/>
  <c r="AO276" i="14" s="1"/>
  <c r="N158" i="14"/>
  <c r="AA211" i="14"/>
  <c r="AA131" i="14"/>
  <c r="X45" i="14"/>
  <c r="AO45" i="14" s="1"/>
  <c r="Z276" i="14"/>
  <c r="AA309" i="14"/>
  <c r="Z270" i="14"/>
  <c r="Y321" i="14"/>
  <c r="X83" i="14"/>
  <c r="AO83" i="14" s="1"/>
  <c r="Z231" i="14"/>
  <c r="Z252" i="14"/>
  <c r="AN17" i="14"/>
  <c r="AA264" i="14"/>
  <c r="AA208" i="14"/>
  <c r="Y204" i="14"/>
  <c r="Z202" i="14"/>
  <c r="Y93" i="14"/>
  <c r="Y261" i="14"/>
  <c r="Z342" i="14"/>
  <c r="Y336" i="14"/>
  <c r="AA25" i="14"/>
  <c r="Y353" i="14"/>
  <c r="AA210" i="14"/>
  <c r="Y77" i="14"/>
  <c r="Y170" i="14"/>
  <c r="AN309" i="14"/>
  <c r="Z66" i="14"/>
  <c r="N347" i="14"/>
  <c r="Y46" i="14"/>
  <c r="Z368" i="14"/>
  <c r="Y55" i="14"/>
  <c r="Z344" i="14"/>
  <c r="AA126" i="14"/>
  <c r="N359" i="14"/>
  <c r="Y205" i="14"/>
  <c r="Z85" i="14"/>
  <c r="AA109" i="14"/>
  <c r="AA191" i="14"/>
  <c r="AB61" i="14"/>
  <c r="AB171" i="14"/>
  <c r="AA217" i="14"/>
  <c r="X75" i="14"/>
  <c r="AO75" i="14" s="1"/>
  <c r="Z209" i="14"/>
  <c r="Z366" i="14"/>
  <c r="AA232" i="14"/>
  <c r="X278" i="14"/>
  <c r="AO278" i="14" s="1"/>
  <c r="Y146" i="14"/>
  <c r="Z153" i="14"/>
  <c r="Z336" i="14"/>
  <c r="Z253" i="14"/>
  <c r="N220" i="14"/>
  <c r="X184" i="14"/>
  <c r="AO184" i="14" s="1"/>
  <c r="N297" i="14"/>
  <c r="X23" i="14"/>
  <c r="AO23" i="14" s="1"/>
  <c r="N293" i="14"/>
  <c r="Y27" i="14"/>
  <c r="M66" i="14"/>
  <c r="X292" i="14"/>
  <c r="AO292" i="14" s="1"/>
  <c r="N336" i="14"/>
  <c r="N367" i="14"/>
  <c r="Z239" i="14"/>
  <c r="Z6" i="14"/>
  <c r="X36" i="14"/>
  <c r="AO36" i="14" s="1"/>
  <c r="AB325" i="14"/>
  <c r="X103" i="14"/>
  <c r="AO103" i="14" s="1"/>
  <c r="M100" i="14"/>
  <c r="X114" i="14"/>
  <c r="AO114" i="14" s="1"/>
  <c r="AB161" i="14"/>
  <c r="Y168" i="14"/>
  <c r="AA116" i="14"/>
  <c r="N168" i="14"/>
  <c r="AA154" i="14"/>
  <c r="Y136" i="14"/>
  <c r="AA199" i="14"/>
  <c r="N192" i="14"/>
  <c r="AB279" i="14"/>
  <c r="X348" i="14"/>
  <c r="AO348" i="14" s="1"/>
  <c r="AN160" i="14"/>
  <c r="AA349" i="14"/>
  <c r="AB49" i="14"/>
  <c r="AA55" i="14"/>
  <c r="Y202" i="14"/>
  <c r="AA280" i="14"/>
  <c r="Y243" i="14"/>
  <c r="AA306" i="14"/>
  <c r="AA24" i="14"/>
  <c r="Y54" i="14"/>
  <c r="AA202" i="14"/>
  <c r="Y24" i="14"/>
  <c r="Y127" i="14"/>
  <c r="Z107" i="14"/>
  <c r="AA347" i="14"/>
  <c r="AA150" i="14"/>
  <c r="Z321" i="14"/>
  <c r="Z220" i="14"/>
  <c r="N90" i="14"/>
  <c r="N127" i="14"/>
  <c r="X2" i="14"/>
  <c r="AO2" i="14" s="1"/>
  <c r="X19" i="14"/>
  <c r="AO19" i="14" s="1"/>
  <c r="X33" i="14"/>
  <c r="AO33" i="14" s="1"/>
  <c r="Z261" i="14"/>
  <c r="Z357" i="14"/>
  <c r="Z104" i="14"/>
  <c r="X48" i="14"/>
  <c r="AO48" i="14" s="1"/>
  <c r="X58" i="14"/>
  <c r="AO58" i="14" s="1"/>
  <c r="Z309" i="14"/>
  <c r="X268" i="14"/>
  <c r="AO268" i="14" s="1"/>
  <c r="Z339" i="14"/>
  <c r="AB108" i="14"/>
  <c r="AA361" i="14"/>
  <c r="Z224" i="14"/>
  <c r="AA311" i="14"/>
  <c r="Z204" i="14"/>
  <c r="Y171" i="14"/>
  <c r="Y251" i="14"/>
  <c r="Y325" i="14"/>
  <c r="AB231" i="14"/>
  <c r="Y349" i="14"/>
  <c r="Z255" i="14"/>
  <c r="X306" i="14"/>
  <c r="AO306" i="14" s="1"/>
  <c r="AA222" i="14"/>
  <c r="M344" i="14"/>
  <c r="Y31" i="14"/>
  <c r="N65" i="14"/>
  <c r="N101" i="14"/>
  <c r="N49" i="14"/>
  <c r="N122" i="14"/>
  <c r="N226" i="14"/>
  <c r="AA90" i="14"/>
  <c r="Y302" i="14"/>
  <c r="AN287" i="14"/>
  <c r="Y95" i="14"/>
  <c r="AA69" i="14"/>
  <c r="Z246" i="14"/>
  <c r="AA253" i="14"/>
  <c r="AA271" i="14"/>
  <c r="Y254" i="14"/>
  <c r="Y113" i="14"/>
  <c r="N191" i="14"/>
  <c r="Y332" i="14"/>
  <c r="AA292" i="14"/>
  <c r="AN64" i="14"/>
  <c r="AN266" i="14"/>
  <c r="Y348" i="14"/>
  <c r="AA322" i="14"/>
  <c r="AA339" i="14"/>
  <c r="Z171" i="14"/>
  <c r="Z323" i="14"/>
  <c r="Z105" i="14"/>
  <c r="AA186" i="14"/>
  <c r="Y28" i="14"/>
  <c r="AB276" i="14"/>
  <c r="Y317" i="14"/>
  <c r="X267" i="14"/>
  <c r="AO267" i="14" s="1"/>
  <c r="AN199" i="14"/>
  <c r="AN306" i="14"/>
  <c r="Z158" i="14"/>
  <c r="Y145" i="14"/>
  <c r="Z43" i="14"/>
  <c r="X137" i="14"/>
  <c r="AO137" i="14" s="1"/>
  <c r="Y153" i="14"/>
  <c r="AA130" i="14"/>
  <c r="AA205" i="14"/>
  <c r="AN253" i="14"/>
  <c r="AB16" i="14"/>
  <c r="X14" i="14"/>
  <c r="AO14" i="14" s="1"/>
  <c r="Y78" i="14"/>
  <c r="Y22" i="14"/>
  <c r="Z247" i="14"/>
  <c r="AA327" i="14"/>
  <c r="Y167" i="14"/>
  <c r="Y237" i="14"/>
  <c r="X96" i="14"/>
  <c r="AO96" i="14" s="1"/>
  <c r="Y217" i="14"/>
  <c r="AA332" i="14"/>
  <c r="AN345" i="14"/>
  <c r="N227" i="14"/>
  <c r="Y207" i="14"/>
  <c r="Z126" i="14"/>
  <c r="Z112" i="14"/>
  <c r="X212" i="14"/>
  <c r="AO212" i="14" s="1"/>
  <c r="Y124" i="14"/>
  <c r="AA262" i="14"/>
  <c r="AB368" i="14"/>
  <c r="X244" i="14"/>
  <c r="AO244" i="14" s="1"/>
  <c r="N326" i="14"/>
  <c r="AA70" i="14"/>
  <c r="AB306" i="14"/>
  <c r="Y265" i="14"/>
  <c r="Y270" i="14"/>
  <c r="Y112" i="14"/>
  <c r="AA338" i="14"/>
  <c r="AA320" i="14"/>
  <c r="AB226" i="14"/>
  <c r="M233" i="14"/>
  <c r="Y346" i="14"/>
  <c r="N76" i="14"/>
  <c r="N128" i="14"/>
  <c r="X351" i="14"/>
  <c r="AO351" i="14" s="1"/>
  <c r="Y275" i="14"/>
  <c r="Y69" i="14"/>
  <c r="M358" i="14"/>
  <c r="M354" i="14"/>
  <c r="M7" i="14"/>
  <c r="V2" i="19" s="1"/>
  <c r="N21" i="14"/>
  <c r="N137" i="14"/>
  <c r="M30" i="14"/>
  <c r="Y238" i="14"/>
  <c r="Y38" i="14"/>
  <c r="M133" i="14"/>
  <c r="M111" i="14"/>
  <c r="X130" i="14"/>
  <c r="AO130" i="14" s="1"/>
  <c r="M296" i="14"/>
  <c r="Y326" i="14"/>
  <c r="AN269" i="14"/>
  <c r="AN22" i="14"/>
  <c r="X151" i="14"/>
  <c r="AO151" i="14" s="1"/>
  <c r="Y8" i="14"/>
  <c r="AA99" i="14"/>
  <c r="Z200" i="14"/>
  <c r="AB2" i="14"/>
  <c r="AA127" i="14"/>
  <c r="Z167" i="14"/>
  <c r="Y263" i="14"/>
  <c r="AA98" i="14"/>
  <c r="AA125" i="14"/>
  <c r="Z110" i="14"/>
  <c r="AA63" i="14"/>
  <c r="Y169" i="14"/>
  <c r="Y194" i="14"/>
  <c r="AA291" i="14"/>
  <c r="AB296" i="14"/>
  <c r="Y25" i="14"/>
  <c r="Y92" i="14"/>
  <c r="Z191" i="14"/>
  <c r="Y103" i="14"/>
  <c r="Z12" i="14"/>
  <c r="Z194" i="14"/>
  <c r="AA336" i="14"/>
  <c r="AA110" i="14"/>
  <c r="Y312" i="14"/>
  <c r="AA198" i="14"/>
  <c r="X256" i="14"/>
  <c r="AO256" i="14" s="1"/>
  <c r="Z40" i="14"/>
  <c r="Z49" i="14"/>
  <c r="Z51" i="14"/>
  <c r="Z310" i="14"/>
  <c r="Y255" i="14"/>
  <c r="AB17" i="14"/>
  <c r="Z160" i="14"/>
  <c r="N263" i="14"/>
  <c r="Z269" i="14"/>
  <c r="X90" i="14"/>
  <c r="AO90" i="14" s="1"/>
  <c r="Z326" i="14"/>
  <c r="Z113" i="14"/>
  <c r="Y72" i="14"/>
  <c r="X57" i="14"/>
  <c r="AO57" i="14" s="1"/>
  <c r="AA207" i="14"/>
  <c r="Z182" i="14"/>
  <c r="Y338" i="14"/>
  <c r="Y79" i="14"/>
  <c r="AA362" i="14"/>
  <c r="X252" i="14"/>
  <c r="AO252" i="14" s="1"/>
  <c r="Z358" i="14"/>
  <c r="Z176" i="14"/>
  <c r="AA6" i="14"/>
  <c r="X169" i="14"/>
  <c r="AO169" i="14" s="1"/>
  <c r="N66" i="14"/>
  <c r="Z78" i="14"/>
  <c r="N364" i="14"/>
  <c r="N266" i="14"/>
  <c r="N53" i="14"/>
  <c r="X279" i="14"/>
  <c r="AO279" i="14" s="1"/>
  <c r="M57" i="14"/>
  <c r="V96" i="19" s="1"/>
  <c r="M227" i="14"/>
  <c r="M152" i="14"/>
  <c r="M238" i="14"/>
  <c r="X258" i="14"/>
  <c r="AO258" i="14" s="1"/>
  <c r="X239" i="14"/>
  <c r="AO239" i="14" s="1"/>
  <c r="M313" i="14"/>
  <c r="M174" i="14"/>
  <c r="N238" i="14"/>
  <c r="X222" i="14"/>
  <c r="AO222" i="14" s="1"/>
  <c r="X74" i="14"/>
  <c r="AO74" i="14" s="1"/>
  <c r="AB131" i="14"/>
  <c r="Z163" i="14"/>
  <c r="X356" i="14"/>
  <c r="AO356" i="14" s="1"/>
  <c r="Z311" i="14"/>
  <c r="Y292" i="14"/>
  <c r="Y190" i="14"/>
  <c r="N59" i="14"/>
  <c r="AN118" i="14"/>
  <c r="Y2" i="14"/>
  <c r="Z328" i="14"/>
  <c r="Y148" i="14"/>
  <c r="Z173" i="14"/>
  <c r="Y177" i="14"/>
  <c r="Z14" i="14"/>
  <c r="Y293" i="14"/>
  <c r="Y222" i="14"/>
  <c r="Z144" i="14"/>
  <c r="Y114" i="14"/>
  <c r="X193" i="14"/>
  <c r="AO193" i="14" s="1"/>
  <c r="Y109" i="14"/>
  <c r="N100" i="14"/>
  <c r="X39" i="14"/>
  <c r="AO39" i="14" s="1"/>
  <c r="AA344" i="14"/>
  <c r="X13" i="14"/>
  <c r="AO13" i="14" s="1"/>
  <c r="N26" i="14"/>
  <c r="N246" i="14"/>
  <c r="X93" i="14"/>
  <c r="AO93" i="14" s="1"/>
  <c r="Y345" i="14"/>
  <c r="AA252" i="14"/>
  <c r="AA174" i="14"/>
  <c r="Z251" i="14"/>
  <c r="X144" i="14"/>
  <c r="AO144" i="14" s="1"/>
  <c r="AA113" i="14"/>
  <c r="Y291" i="14"/>
  <c r="Y187" i="14"/>
  <c r="AN40" i="14"/>
  <c r="AN214" i="14"/>
  <c r="AA49" i="14"/>
  <c r="Y45" i="14"/>
  <c r="AA190" i="14"/>
  <c r="Y267" i="14"/>
  <c r="X203" i="14"/>
  <c r="AO203" i="14" s="1"/>
  <c r="N12" i="14"/>
  <c r="AA78" i="14"/>
  <c r="M254" i="14"/>
  <c r="Y110" i="14"/>
  <c r="N173" i="14"/>
  <c r="N37" i="14"/>
  <c r="Z62" i="14"/>
  <c r="N203" i="14"/>
  <c r="N244" i="14"/>
  <c r="AA179" i="14"/>
  <c r="AA266" i="14"/>
  <c r="AN248" i="14"/>
  <c r="Z76" i="14"/>
  <c r="X76" i="14"/>
  <c r="AO76" i="14" s="1"/>
  <c r="AB134" i="14"/>
  <c r="X129" i="14"/>
  <c r="AO129" i="14" s="1"/>
  <c r="Z348" i="14"/>
  <c r="Z20" i="14"/>
  <c r="Z216" i="14"/>
  <c r="Z23" i="14"/>
  <c r="X343" i="14"/>
  <c r="AO343" i="14" s="1"/>
  <c r="M104" i="14"/>
  <c r="M137" i="14"/>
  <c r="X251" i="14"/>
  <c r="AO251" i="14" s="1"/>
  <c r="X362" i="14"/>
  <c r="AO362" i="14" s="1"/>
  <c r="N188" i="14"/>
  <c r="N352" i="14"/>
  <c r="M85" i="14"/>
  <c r="M181" i="14"/>
  <c r="X97" i="14"/>
  <c r="AO97" i="14" s="1"/>
  <c r="X65" i="14"/>
  <c r="AO65" i="14" s="1"/>
  <c r="M38" i="14"/>
  <c r="M97" i="14"/>
  <c r="Z338" i="14"/>
  <c r="Y107" i="14"/>
  <c r="AA115" i="14"/>
  <c r="AA355" i="14"/>
  <c r="AA239" i="14"/>
  <c r="Y150" i="14"/>
  <c r="AB67" i="14"/>
  <c r="AB348" i="14"/>
  <c r="Y71" i="14"/>
  <c r="AA71" i="14"/>
  <c r="X42" i="14"/>
  <c r="AO42" i="14" s="1"/>
  <c r="AA143" i="14"/>
  <c r="X25" i="14"/>
  <c r="AO25" i="14" s="1"/>
  <c r="AA165" i="14"/>
  <c r="AA129" i="14"/>
  <c r="Y26" i="14"/>
  <c r="Z139" i="14"/>
  <c r="AB211" i="14"/>
  <c r="AN37" i="14"/>
  <c r="X9" i="14"/>
  <c r="AO9" i="14" s="1"/>
  <c r="Y236" i="14"/>
  <c r="AN216" i="14"/>
  <c r="Y89" i="14"/>
  <c r="Y214" i="14"/>
  <c r="AA233" i="14"/>
  <c r="Z128" i="14"/>
  <c r="AA270" i="14"/>
  <c r="Y11" i="14"/>
  <c r="X228" i="14"/>
  <c r="AO228" i="14" s="1"/>
  <c r="Z164" i="14"/>
  <c r="X311" i="14"/>
  <c r="AO311" i="14" s="1"/>
  <c r="Y219" i="14"/>
  <c r="AB356" i="14"/>
  <c r="AB5" i="14"/>
  <c r="AB92" i="14"/>
  <c r="N259" i="14"/>
  <c r="AA61" i="14"/>
  <c r="X270" i="14"/>
  <c r="AO270" i="14" s="1"/>
  <c r="Y74" i="14"/>
  <c r="X117" i="14"/>
  <c r="AO117" i="14" s="1"/>
  <c r="Y9" i="14"/>
  <c r="Z100" i="14"/>
  <c r="X21" i="14"/>
  <c r="AO21" i="14" s="1"/>
  <c r="AB4" i="14"/>
  <c r="N215" i="14"/>
  <c r="Z72" i="14"/>
  <c r="X280" i="14"/>
  <c r="AO280" i="14" s="1"/>
  <c r="Z279" i="14"/>
  <c r="N159" i="14"/>
  <c r="AA216" i="14"/>
  <c r="M89" i="14"/>
  <c r="Y272" i="14"/>
  <c r="AA51" i="14"/>
  <c r="X180" i="14"/>
  <c r="AO180" i="14" s="1"/>
  <c r="Y282" i="14"/>
  <c r="AB227" i="14"/>
  <c r="Y271" i="14"/>
  <c r="M72" i="14"/>
  <c r="M68" i="14"/>
  <c r="V128" i="19" s="1"/>
  <c r="M360" i="14"/>
  <c r="N329" i="14"/>
  <c r="M160" i="14"/>
  <c r="N185" i="14"/>
  <c r="Y43" i="14"/>
  <c r="M134" i="14"/>
  <c r="N157" i="14"/>
  <c r="N204" i="14"/>
  <c r="M82" i="14"/>
  <c r="N303" i="14"/>
  <c r="N140" i="14"/>
  <c r="Y134" i="14"/>
  <c r="Y344" i="14"/>
  <c r="M366" i="14"/>
  <c r="X237" i="14"/>
  <c r="AO237" i="14" s="1"/>
  <c r="X70" i="14"/>
  <c r="AO70" i="14" s="1"/>
  <c r="X165" i="14"/>
  <c r="AO165" i="14" s="1"/>
  <c r="X334" i="14"/>
  <c r="AO334" i="14" s="1"/>
  <c r="AA234" i="14"/>
  <c r="M303" i="14"/>
  <c r="Y76" i="14"/>
  <c r="Y104" i="14"/>
  <c r="N299" i="14"/>
  <c r="AA328" i="14"/>
  <c r="M209" i="14"/>
  <c r="AA343" i="14"/>
  <c r="AA352" i="14"/>
  <c r="AN114" i="14"/>
  <c r="N255" i="14"/>
  <c r="Z184" i="14"/>
  <c r="Z259" i="14"/>
  <c r="Z16" i="14"/>
  <c r="Z53" i="14"/>
  <c r="AA53" i="14"/>
  <c r="AN113" i="14"/>
  <c r="AA350" i="14"/>
  <c r="AA228" i="14"/>
  <c r="Y14" i="14"/>
  <c r="AA26" i="14"/>
  <c r="Z89" i="14"/>
  <c r="N224" i="14"/>
  <c r="N73" i="14"/>
  <c r="AA166" i="14"/>
  <c r="AN296" i="14"/>
  <c r="AA223" i="14"/>
  <c r="AA60" i="14"/>
  <c r="X105" i="14"/>
  <c r="AO105" i="14" s="1"/>
  <c r="Z38" i="14"/>
  <c r="N156" i="14"/>
  <c r="X94" i="14"/>
  <c r="AO94" i="14" s="1"/>
  <c r="AB38" i="14"/>
  <c r="AN314" i="14"/>
  <c r="Z235" i="14"/>
  <c r="Z92" i="14"/>
  <c r="Z31" i="14"/>
  <c r="N179" i="14"/>
  <c r="X133" i="14"/>
  <c r="AO133" i="14" s="1"/>
  <c r="Z354" i="14"/>
  <c r="X127" i="14"/>
  <c r="AO127" i="14" s="1"/>
  <c r="Y269" i="14"/>
  <c r="AB218" i="14"/>
  <c r="AA36" i="14"/>
  <c r="Z58" i="14"/>
  <c r="AA2" i="14"/>
  <c r="Q2" i="14" s="1"/>
  <c r="AA357" i="14"/>
  <c r="X61" i="14"/>
  <c r="AO61" i="14" s="1"/>
  <c r="X131" i="14"/>
  <c r="AO131" i="14" s="1"/>
  <c r="Y21" i="14"/>
  <c r="Y285" i="14"/>
  <c r="Y5" i="14"/>
  <c r="X66" i="14"/>
  <c r="Z47" i="14"/>
  <c r="Z71" i="14"/>
  <c r="Z179" i="14"/>
  <c r="N89" i="14"/>
  <c r="AA304" i="14"/>
  <c r="Z36" i="14"/>
  <c r="AA195" i="14"/>
  <c r="Y352" i="14"/>
  <c r="AB320" i="14"/>
  <c r="Y139" i="14"/>
  <c r="Y359" i="14"/>
  <c r="Y85" i="14"/>
  <c r="Y249" i="14"/>
  <c r="Y118" i="14"/>
  <c r="Z262" i="14"/>
  <c r="X358" i="14"/>
  <c r="AO358" i="14" s="1"/>
  <c r="Y259" i="14"/>
  <c r="AA238" i="14"/>
  <c r="X285" i="14"/>
  <c r="AO285" i="14" s="1"/>
  <c r="M269" i="14"/>
  <c r="Y248" i="14"/>
  <c r="AA341" i="14"/>
  <c r="Z256" i="14"/>
  <c r="N43" i="14"/>
  <c r="AA141" i="14"/>
  <c r="Y253" i="14"/>
  <c r="N351" i="14"/>
  <c r="M44" i="14"/>
  <c r="N195" i="14"/>
  <c r="M40" i="14"/>
  <c r="X287" i="14"/>
  <c r="AO287" i="14" s="1"/>
  <c r="M218" i="14"/>
  <c r="AA226" i="14"/>
  <c r="M43" i="14"/>
  <c r="M336" i="14"/>
  <c r="X16" i="14"/>
  <c r="AO16" i="14" s="1"/>
  <c r="M210" i="14"/>
  <c r="M10" i="14"/>
  <c r="M140" i="14"/>
  <c r="N318" i="14"/>
  <c r="Y64" i="14"/>
  <c r="Y98" i="14"/>
  <c r="N5" i="14"/>
  <c r="N335" i="14"/>
  <c r="X230" i="14"/>
  <c r="AO230" i="14" s="1"/>
  <c r="N126" i="14"/>
  <c r="Y284" i="14"/>
  <c r="X275" i="14"/>
  <c r="AO275" i="14" s="1"/>
  <c r="N210" i="14"/>
  <c r="M47" i="14"/>
  <c r="V56" i="19" s="1"/>
  <c r="X332" i="14"/>
  <c r="AO332" i="14" s="1"/>
  <c r="M237" i="14"/>
  <c r="X179" i="14"/>
  <c r="AO179" i="14" s="1"/>
  <c r="X80" i="14"/>
  <c r="AO80" i="14" s="1"/>
  <c r="M169" i="14"/>
  <c r="X194" i="14"/>
  <c r="AO194" i="14" s="1"/>
  <c r="N47" i="14"/>
  <c r="M331" i="14"/>
  <c r="M186" i="14"/>
  <c r="N7" i="14"/>
  <c r="X206" i="14"/>
  <c r="AO206" i="14" s="1"/>
  <c r="X216" i="14"/>
  <c r="AO216" i="14" s="1"/>
  <c r="N178" i="14"/>
  <c r="N116" i="14"/>
  <c r="X53" i="14"/>
  <c r="AO53" i="14" s="1"/>
  <c r="N64" i="14"/>
  <c r="M120" i="14"/>
  <c r="M123" i="14"/>
  <c r="N366" i="14"/>
  <c r="N152" i="14"/>
  <c r="M168" i="14"/>
  <c r="M56" i="14"/>
  <c r="M83" i="14"/>
  <c r="M145" i="14"/>
  <c r="X187" i="14"/>
  <c r="AO187" i="14" s="1"/>
  <c r="S4" i="9"/>
  <c r="Q11" i="9"/>
  <c r="R67" i="7"/>
  <c r="Q67" i="7"/>
  <c r="I66" i="7"/>
  <c r="O66" i="7" s="1"/>
  <c r="H66" i="7"/>
  <c r="N66" i="7" s="1"/>
  <c r="S67" i="7"/>
  <c r="D67" i="7"/>
  <c r="L66" i="7"/>
  <c r="K67" i="7"/>
  <c r="J67" i="7"/>
  <c r="L67" i="7" s="1"/>
  <c r="F67" i="7"/>
  <c r="G67" i="7" s="1"/>
  <c r="M67" i="7" s="1"/>
  <c r="B68" i="7"/>
  <c r="P68" i="7" s="1"/>
  <c r="C67" i="7"/>
  <c r="V155" i="19" l="1"/>
  <c r="V156" i="19"/>
  <c r="V157" i="19"/>
  <c r="V153" i="19"/>
  <c r="V150" i="19"/>
  <c r="V151" i="19"/>
  <c r="V152" i="19"/>
  <c r="V149" i="19"/>
  <c r="V146" i="19"/>
  <c r="V148" i="19"/>
  <c r="V147" i="19"/>
  <c r="V122" i="19"/>
  <c r="V114" i="19"/>
  <c r="V117" i="19"/>
  <c r="V119" i="19"/>
  <c r="V120" i="19"/>
  <c r="V123" i="19"/>
  <c r="V124" i="19"/>
  <c r="V125" i="19"/>
  <c r="V121" i="19"/>
  <c r="V115" i="19"/>
  <c r="V116" i="19"/>
  <c r="V118" i="19"/>
  <c r="V134" i="19"/>
  <c r="V133" i="19"/>
  <c r="V135" i="19"/>
  <c r="V136" i="19"/>
  <c r="V131" i="19"/>
  <c r="V132" i="19"/>
  <c r="V22" i="19"/>
  <c r="V19" i="19"/>
  <c r="V20" i="19"/>
  <c r="V21" i="19"/>
  <c r="V26" i="19"/>
  <c r="V27" i="19"/>
  <c r="V28" i="19"/>
  <c r="V25" i="19"/>
  <c r="V58" i="19"/>
  <c r="V59" i="19"/>
  <c r="V57" i="19"/>
  <c r="V110" i="19"/>
  <c r="V106" i="19"/>
  <c r="V107" i="19"/>
  <c r="V108" i="19"/>
  <c r="V109" i="19"/>
  <c r="V14" i="19"/>
  <c r="V11" i="19"/>
  <c r="V13" i="19"/>
  <c r="V15" i="19"/>
  <c r="V16" i="19"/>
  <c r="V17" i="19"/>
  <c r="V18" i="19"/>
  <c r="V12" i="19"/>
  <c r="V54" i="19"/>
  <c r="V55" i="19"/>
  <c r="V98" i="19"/>
  <c r="V99" i="19"/>
  <c r="V100" i="19"/>
  <c r="V101" i="19"/>
  <c r="V102" i="19"/>
  <c r="V105" i="19"/>
  <c r="V97" i="19"/>
  <c r="V103" i="19"/>
  <c r="V104" i="19"/>
  <c r="V47" i="19"/>
  <c r="V49" i="19"/>
  <c r="V46" i="19"/>
  <c r="V43" i="19"/>
  <c r="V44" i="19"/>
  <c r="V45" i="19"/>
  <c r="V48" i="19"/>
  <c r="V62" i="19"/>
  <c r="V63" i="19"/>
  <c r="V60" i="19"/>
  <c r="V61" i="19"/>
  <c r="V5" i="19"/>
  <c r="V6" i="19"/>
  <c r="V7" i="19"/>
  <c r="V142" i="19"/>
  <c r="V141" i="19"/>
  <c r="V74" i="19"/>
  <c r="V73" i="19"/>
  <c r="V23" i="19"/>
  <c r="V24" i="19"/>
  <c r="V126" i="19"/>
  <c r="V127" i="19"/>
  <c r="V8" i="19"/>
  <c r="V9" i="19"/>
  <c r="V86" i="19"/>
  <c r="V94" i="19"/>
  <c r="V83" i="19"/>
  <c r="V85" i="19"/>
  <c r="V87" i="19"/>
  <c r="V88" i="19"/>
  <c r="V89" i="19"/>
  <c r="V78" i="19"/>
  <c r="V90" i="19"/>
  <c r="V81" i="19"/>
  <c r="V95" i="19"/>
  <c r="V79" i="19"/>
  <c r="V91" i="19"/>
  <c r="V80" i="19"/>
  <c r="V92" i="19"/>
  <c r="V93" i="19"/>
  <c r="V82" i="19"/>
  <c r="V84" i="19"/>
  <c r="V111" i="19"/>
  <c r="V112" i="19"/>
  <c r="V50" i="19"/>
  <c r="V51" i="19"/>
  <c r="V52" i="19"/>
  <c r="V53" i="19"/>
  <c r="V64" i="19"/>
  <c r="V65" i="19"/>
  <c r="V66" i="19"/>
  <c r="V69" i="19"/>
  <c r="V70" i="19"/>
  <c r="V67" i="19"/>
  <c r="V68" i="19"/>
  <c r="V38" i="19"/>
  <c r="V36" i="19"/>
  <c r="V39" i="19"/>
  <c r="V40" i="19"/>
  <c r="V41" i="19"/>
  <c r="V42" i="19"/>
  <c r="V37" i="19"/>
  <c r="V35" i="19"/>
  <c r="V75" i="19"/>
  <c r="V76" i="19"/>
  <c r="V77" i="19"/>
  <c r="V129" i="19"/>
  <c r="V130" i="19"/>
  <c r="V29" i="19"/>
  <c r="V30" i="19"/>
  <c r="V31" i="19"/>
  <c r="V32" i="19"/>
  <c r="V33" i="19"/>
  <c r="V138" i="19"/>
  <c r="V137" i="19"/>
  <c r="V139" i="19"/>
  <c r="W26" i="14"/>
  <c r="R26" i="14"/>
  <c r="Q26" i="14"/>
  <c r="P26" i="14"/>
  <c r="W328" i="14"/>
  <c r="R328" i="14"/>
  <c r="Q328" i="14"/>
  <c r="P328" i="14"/>
  <c r="W51" i="14"/>
  <c r="R51" i="14"/>
  <c r="Q51" i="14"/>
  <c r="P51" i="14"/>
  <c r="W49" i="14"/>
  <c r="R49" i="14"/>
  <c r="Q49" i="14"/>
  <c r="P49" i="14"/>
  <c r="W125" i="14"/>
  <c r="R125" i="14"/>
  <c r="Q125" i="14"/>
  <c r="P125" i="14"/>
  <c r="W306" i="14"/>
  <c r="R306" i="14"/>
  <c r="Q306" i="14"/>
  <c r="P306" i="14"/>
  <c r="W349" i="14"/>
  <c r="R349" i="14"/>
  <c r="Q349" i="14"/>
  <c r="P349" i="14"/>
  <c r="W37" i="14"/>
  <c r="R37" i="14"/>
  <c r="Q37" i="14"/>
  <c r="P37" i="14"/>
  <c r="W302" i="14"/>
  <c r="R302" i="14"/>
  <c r="Q302" i="14"/>
  <c r="P302" i="14"/>
  <c r="W43" i="14"/>
  <c r="R43" i="14"/>
  <c r="Q43" i="14"/>
  <c r="P43" i="14"/>
  <c r="W314" i="14"/>
  <c r="R314" i="14"/>
  <c r="Q314" i="14"/>
  <c r="P314" i="14"/>
  <c r="W296" i="14"/>
  <c r="R296" i="14"/>
  <c r="Q296" i="14"/>
  <c r="P296" i="14"/>
  <c r="W161" i="14"/>
  <c r="R161" i="14"/>
  <c r="Q161" i="14"/>
  <c r="P161" i="14"/>
  <c r="W181" i="14"/>
  <c r="R181" i="14"/>
  <c r="Q181" i="14"/>
  <c r="P181" i="14"/>
  <c r="W299" i="14"/>
  <c r="R299" i="14"/>
  <c r="Q299" i="14"/>
  <c r="P299" i="14"/>
  <c r="W183" i="14"/>
  <c r="R183" i="14"/>
  <c r="Q183" i="14"/>
  <c r="P183" i="14"/>
  <c r="W241" i="14"/>
  <c r="R241" i="14"/>
  <c r="Q241" i="14"/>
  <c r="P241" i="14"/>
  <c r="W196" i="14"/>
  <c r="R196" i="14"/>
  <c r="Q196" i="14"/>
  <c r="P196" i="14"/>
  <c r="W152" i="14"/>
  <c r="R152" i="14"/>
  <c r="Q152" i="14"/>
  <c r="P152" i="14"/>
  <c r="W359" i="14"/>
  <c r="R359" i="14"/>
  <c r="Q359" i="14"/>
  <c r="P359" i="14"/>
  <c r="W206" i="14"/>
  <c r="R206" i="14"/>
  <c r="Q206" i="14"/>
  <c r="P206" i="14"/>
  <c r="W290" i="14"/>
  <c r="R290" i="14"/>
  <c r="Q290" i="14"/>
  <c r="P290" i="14"/>
  <c r="W274" i="14"/>
  <c r="R274" i="14"/>
  <c r="P274" i="14"/>
  <c r="Q274" i="14"/>
  <c r="W60" i="14"/>
  <c r="R60" i="14"/>
  <c r="Q60" i="14"/>
  <c r="P60" i="14"/>
  <c r="W207" i="14"/>
  <c r="R207" i="14"/>
  <c r="Q207" i="14"/>
  <c r="P207" i="14"/>
  <c r="W98" i="14"/>
  <c r="R98" i="14"/>
  <c r="Q98" i="14"/>
  <c r="P98" i="14"/>
  <c r="W69" i="14"/>
  <c r="R69" i="14"/>
  <c r="Q69" i="14"/>
  <c r="P69" i="14"/>
  <c r="W232" i="14"/>
  <c r="R232" i="14"/>
  <c r="Q232" i="14"/>
  <c r="P232" i="14"/>
  <c r="W217" i="14"/>
  <c r="R217" i="14"/>
  <c r="Q217" i="14"/>
  <c r="P217" i="14"/>
  <c r="W210" i="14"/>
  <c r="R210" i="14"/>
  <c r="Q210" i="14"/>
  <c r="P210" i="14"/>
  <c r="W32" i="14"/>
  <c r="R32" i="14"/>
  <c r="Q32" i="14"/>
  <c r="P32" i="14"/>
  <c r="W44" i="14"/>
  <c r="R44" i="14"/>
  <c r="Q44" i="14"/>
  <c r="P44" i="14"/>
  <c r="W122" i="14"/>
  <c r="R122" i="14"/>
  <c r="Q122" i="14"/>
  <c r="P122" i="14"/>
  <c r="W100" i="14"/>
  <c r="R100" i="14"/>
  <c r="Q100" i="14"/>
  <c r="P100" i="14"/>
  <c r="W172" i="14"/>
  <c r="R172" i="14"/>
  <c r="Q172" i="14"/>
  <c r="P172" i="14"/>
  <c r="W157" i="14"/>
  <c r="R157" i="14"/>
  <c r="Q157" i="14"/>
  <c r="P157" i="14"/>
  <c r="W94" i="14"/>
  <c r="R94" i="14"/>
  <c r="P94" i="14"/>
  <c r="Q94" i="14"/>
  <c r="W303" i="14"/>
  <c r="R303" i="14"/>
  <c r="Q303" i="14"/>
  <c r="P303" i="14"/>
  <c r="W278" i="14"/>
  <c r="R278" i="14"/>
  <c r="Q278" i="14"/>
  <c r="P278" i="14"/>
  <c r="W268" i="14"/>
  <c r="R268" i="14"/>
  <c r="Q268" i="14"/>
  <c r="P268" i="14"/>
  <c r="W254" i="14"/>
  <c r="R254" i="14"/>
  <c r="Q254" i="14"/>
  <c r="P254" i="14"/>
  <c r="W319" i="14"/>
  <c r="R319" i="14"/>
  <c r="Q319" i="14"/>
  <c r="P319" i="14"/>
  <c r="W321" i="14"/>
  <c r="R321" i="14"/>
  <c r="Q321" i="14"/>
  <c r="P321" i="14"/>
  <c r="W227" i="14"/>
  <c r="R227" i="14"/>
  <c r="P227" i="14"/>
  <c r="Q227" i="14"/>
  <c r="W21" i="14"/>
  <c r="R21" i="14"/>
  <c r="Q21" i="14"/>
  <c r="P21" i="14"/>
  <c r="W348" i="14"/>
  <c r="R348" i="14"/>
  <c r="Q348" i="14"/>
  <c r="P348" i="14"/>
  <c r="W185" i="14"/>
  <c r="R185" i="14"/>
  <c r="Q185" i="14"/>
  <c r="P185" i="14"/>
  <c r="W35" i="14"/>
  <c r="R35" i="14"/>
  <c r="Q35" i="14"/>
  <c r="P35" i="14"/>
  <c r="W259" i="14"/>
  <c r="R259" i="14"/>
  <c r="Q259" i="14"/>
  <c r="P259" i="14"/>
  <c r="W213" i="14"/>
  <c r="R213" i="14"/>
  <c r="Q213" i="14"/>
  <c r="P213" i="14"/>
  <c r="W68" i="14"/>
  <c r="R68" i="14"/>
  <c r="Q68" i="14"/>
  <c r="P68" i="14"/>
  <c r="W67" i="14"/>
  <c r="R67" i="14"/>
  <c r="Q67" i="14"/>
  <c r="P67" i="14"/>
  <c r="W285" i="14"/>
  <c r="R285" i="14"/>
  <c r="Q285" i="14"/>
  <c r="P285" i="14"/>
  <c r="W75" i="14"/>
  <c r="R75" i="14"/>
  <c r="Q75" i="14"/>
  <c r="P75" i="14"/>
  <c r="W22" i="14"/>
  <c r="R22" i="14"/>
  <c r="Q22" i="14"/>
  <c r="P22" i="14"/>
  <c r="W226" i="14"/>
  <c r="R226" i="14"/>
  <c r="P226" i="14"/>
  <c r="Q226" i="14"/>
  <c r="W341" i="14"/>
  <c r="R341" i="14"/>
  <c r="Q341" i="14"/>
  <c r="P341" i="14"/>
  <c r="W223" i="14"/>
  <c r="R223" i="14"/>
  <c r="Q223" i="14"/>
  <c r="P223" i="14"/>
  <c r="W228" i="14"/>
  <c r="R228" i="14"/>
  <c r="Q228" i="14"/>
  <c r="P228" i="14"/>
  <c r="W270" i="14"/>
  <c r="R270" i="14"/>
  <c r="Q270" i="14"/>
  <c r="P270" i="14"/>
  <c r="W110" i="14"/>
  <c r="R110" i="14"/>
  <c r="Q110" i="14"/>
  <c r="P110" i="14"/>
  <c r="W126" i="14"/>
  <c r="R126" i="14"/>
  <c r="Q126" i="14"/>
  <c r="P126" i="14"/>
  <c r="W137" i="14"/>
  <c r="R137" i="14"/>
  <c r="Q137" i="14"/>
  <c r="P137" i="14"/>
  <c r="W147" i="14"/>
  <c r="R147" i="14"/>
  <c r="Q147" i="14"/>
  <c r="P147" i="14"/>
  <c r="W31" i="14"/>
  <c r="R31" i="14"/>
  <c r="Q31" i="14"/>
  <c r="P31" i="14"/>
  <c r="W214" i="14"/>
  <c r="R214" i="14"/>
  <c r="P214" i="14"/>
  <c r="Q214" i="14"/>
  <c r="W287" i="14"/>
  <c r="R287" i="14"/>
  <c r="Q287" i="14"/>
  <c r="P287" i="14"/>
  <c r="W312" i="14"/>
  <c r="R312" i="14"/>
  <c r="Q312" i="14"/>
  <c r="P312" i="14"/>
  <c r="W189" i="14"/>
  <c r="R189" i="14"/>
  <c r="Q189" i="14"/>
  <c r="P189" i="14"/>
  <c r="W229" i="14"/>
  <c r="R229" i="14"/>
  <c r="Q229" i="14"/>
  <c r="P229" i="14"/>
  <c r="W4" i="14"/>
  <c r="R4" i="14"/>
  <c r="Q4" i="14"/>
  <c r="P4" i="14"/>
  <c r="W17" i="14"/>
  <c r="R17" i="14"/>
  <c r="Q17" i="14"/>
  <c r="P17" i="14"/>
  <c r="W277" i="14"/>
  <c r="R277" i="14"/>
  <c r="Q277" i="14"/>
  <c r="P277" i="14"/>
  <c r="W48" i="14"/>
  <c r="R48" i="14"/>
  <c r="Q48" i="14"/>
  <c r="P48" i="14"/>
  <c r="W230" i="14"/>
  <c r="R230" i="14"/>
  <c r="Q230" i="14"/>
  <c r="P230" i="14"/>
  <c r="W54" i="14"/>
  <c r="R54" i="14"/>
  <c r="Q54" i="14"/>
  <c r="P54" i="14"/>
  <c r="W354" i="14"/>
  <c r="R354" i="14"/>
  <c r="Q354" i="14"/>
  <c r="P354" i="14"/>
  <c r="W200" i="14"/>
  <c r="R200" i="14"/>
  <c r="Q200" i="14"/>
  <c r="P200" i="14"/>
  <c r="W134" i="14"/>
  <c r="R134" i="14"/>
  <c r="Q134" i="14"/>
  <c r="P134" i="14"/>
  <c r="W307" i="14"/>
  <c r="R307" i="14"/>
  <c r="Q307" i="14"/>
  <c r="P307" i="14"/>
  <c r="W358" i="14"/>
  <c r="R358" i="14"/>
  <c r="P358" i="14"/>
  <c r="Q358" i="14"/>
  <c r="W333" i="14"/>
  <c r="R333" i="14"/>
  <c r="Q333" i="14"/>
  <c r="P333" i="14"/>
  <c r="W142" i="14"/>
  <c r="R142" i="14"/>
  <c r="P142" i="14"/>
  <c r="Q142" i="14"/>
  <c r="W114" i="14"/>
  <c r="R114" i="14"/>
  <c r="Q114" i="14"/>
  <c r="P114" i="14"/>
  <c r="W237" i="14"/>
  <c r="R237" i="14"/>
  <c r="Q237" i="14"/>
  <c r="P237" i="14"/>
  <c r="W107" i="14"/>
  <c r="R107" i="14"/>
  <c r="P107" i="14"/>
  <c r="Q107" i="14"/>
  <c r="W263" i="14"/>
  <c r="R263" i="14"/>
  <c r="P263" i="14"/>
  <c r="Q263" i="14"/>
  <c r="W330" i="14"/>
  <c r="R330" i="14"/>
  <c r="Q330" i="14"/>
  <c r="P330" i="14"/>
  <c r="W216" i="14"/>
  <c r="R216" i="14"/>
  <c r="Q216" i="14"/>
  <c r="P216" i="14"/>
  <c r="W239" i="14"/>
  <c r="R239" i="14"/>
  <c r="P239" i="14"/>
  <c r="Q239" i="14"/>
  <c r="W202" i="14"/>
  <c r="R202" i="14"/>
  <c r="P202" i="14"/>
  <c r="Q202" i="14"/>
  <c r="W25" i="14"/>
  <c r="R25" i="14"/>
  <c r="Q25" i="14"/>
  <c r="P25" i="14"/>
  <c r="W211" i="14"/>
  <c r="R211" i="14"/>
  <c r="Q211" i="14"/>
  <c r="P211" i="14"/>
  <c r="W57" i="14"/>
  <c r="R57" i="14"/>
  <c r="Q57" i="14"/>
  <c r="P57" i="14"/>
  <c r="W249" i="14"/>
  <c r="R249" i="14"/>
  <c r="Q249" i="14"/>
  <c r="P249" i="14"/>
  <c r="W171" i="14"/>
  <c r="R171" i="14"/>
  <c r="Q171" i="14"/>
  <c r="P171" i="14"/>
  <c r="W261" i="14"/>
  <c r="R261" i="14"/>
  <c r="Q261" i="14"/>
  <c r="P261" i="14"/>
  <c r="W89" i="14"/>
  <c r="R89" i="14"/>
  <c r="Q89" i="14"/>
  <c r="P89" i="14"/>
  <c r="W56" i="14"/>
  <c r="R56" i="14"/>
  <c r="Q56" i="14"/>
  <c r="P56" i="14"/>
  <c r="W298" i="14"/>
  <c r="R298" i="14"/>
  <c r="P298" i="14"/>
  <c r="Q298" i="14"/>
  <c r="W132" i="14"/>
  <c r="R132" i="14"/>
  <c r="Q132" i="14"/>
  <c r="P132" i="14"/>
  <c r="W247" i="14"/>
  <c r="R247" i="14"/>
  <c r="Q247" i="14"/>
  <c r="P247" i="14"/>
  <c r="W293" i="14"/>
  <c r="R293" i="14"/>
  <c r="Q293" i="14"/>
  <c r="P293" i="14"/>
  <c r="W151" i="14"/>
  <c r="R151" i="14"/>
  <c r="Q151" i="14"/>
  <c r="P151" i="14"/>
  <c r="W153" i="14"/>
  <c r="R153" i="14"/>
  <c r="Q153" i="14"/>
  <c r="P153" i="14"/>
  <c r="W317" i="14"/>
  <c r="R317" i="14"/>
  <c r="Q317" i="14"/>
  <c r="P317" i="14"/>
  <c r="W188" i="14"/>
  <c r="R188" i="14"/>
  <c r="Q188" i="14"/>
  <c r="P188" i="14"/>
  <c r="W244" i="14"/>
  <c r="R244" i="14"/>
  <c r="Q244" i="14"/>
  <c r="P244" i="14"/>
  <c r="W360" i="14"/>
  <c r="R360" i="14"/>
  <c r="Q360" i="14"/>
  <c r="P360" i="14"/>
  <c r="W81" i="14"/>
  <c r="R81" i="14"/>
  <c r="Q81" i="14"/>
  <c r="P81" i="14"/>
  <c r="W248" i="14"/>
  <c r="R248" i="14"/>
  <c r="Q248" i="14"/>
  <c r="P248" i="14"/>
  <c r="W108" i="14"/>
  <c r="R108" i="14"/>
  <c r="Q108" i="14"/>
  <c r="P108" i="14"/>
  <c r="W276" i="14"/>
  <c r="R276" i="14"/>
  <c r="Q276" i="14"/>
  <c r="P276" i="14"/>
  <c r="W286" i="14"/>
  <c r="R286" i="14"/>
  <c r="P286" i="14"/>
  <c r="Q286" i="14"/>
  <c r="W176" i="14"/>
  <c r="R176" i="14"/>
  <c r="Q176" i="14"/>
  <c r="P176" i="14"/>
  <c r="W93" i="14"/>
  <c r="R93" i="14"/>
  <c r="Q93" i="14"/>
  <c r="P93" i="14"/>
  <c r="W45" i="14"/>
  <c r="R45" i="14"/>
  <c r="Q45" i="14"/>
  <c r="P45" i="14"/>
  <c r="W173" i="14"/>
  <c r="R173" i="14"/>
  <c r="Q173" i="14"/>
  <c r="P173" i="14"/>
  <c r="W284" i="14"/>
  <c r="R284" i="14"/>
  <c r="Q284" i="14"/>
  <c r="P284" i="14"/>
  <c r="W352" i="14"/>
  <c r="R352" i="14"/>
  <c r="Q352" i="14"/>
  <c r="P352" i="14"/>
  <c r="W71" i="14"/>
  <c r="R71" i="14"/>
  <c r="Q71" i="14"/>
  <c r="P71" i="14"/>
  <c r="W355" i="14"/>
  <c r="R355" i="14"/>
  <c r="Q355" i="14"/>
  <c r="P355" i="14"/>
  <c r="W336" i="14"/>
  <c r="R336" i="14"/>
  <c r="Q336" i="14"/>
  <c r="P336" i="14"/>
  <c r="W291" i="14"/>
  <c r="R291" i="14"/>
  <c r="Q291" i="14"/>
  <c r="P291" i="14"/>
  <c r="W262" i="14"/>
  <c r="R262" i="14"/>
  <c r="P262" i="14"/>
  <c r="Q262" i="14"/>
  <c r="W327" i="14"/>
  <c r="R327" i="14"/>
  <c r="Q327" i="14"/>
  <c r="P327" i="14"/>
  <c r="W186" i="14"/>
  <c r="R186" i="14"/>
  <c r="Q186" i="14"/>
  <c r="P186" i="14"/>
  <c r="W311" i="14"/>
  <c r="R311" i="14"/>
  <c r="Q311" i="14"/>
  <c r="P311" i="14"/>
  <c r="W280" i="14"/>
  <c r="R280" i="14"/>
  <c r="Q280" i="14"/>
  <c r="P280" i="14"/>
  <c r="W246" i="14"/>
  <c r="R246" i="14"/>
  <c r="Q246" i="14"/>
  <c r="P246" i="14"/>
  <c r="W121" i="14"/>
  <c r="R121" i="14"/>
  <c r="Q121" i="14"/>
  <c r="P121" i="14"/>
  <c r="W103" i="14"/>
  <c r="R103" i="14"/>
  <c r="Q103" i="14"/>
  <c r="P103" i="14"/>
  <c r="W104" i="14"/>
  <c r="R104" i="14"/>
  <c r="Q104" i="14"/>
  <c r="P104" i="14"/>
  <c r="W337" i="14"/>
  <c r="R337" i="14"/>
  <c r="Q337" i="14"/>
  <c r="P337" i="14"/>
  <c r="W231" i="14"/>
  <c r="R231" i="14"/>
  <c r="Q231" i="14"/>
  <c r="P231" i="14"/>
  <c r="W324" i="14"/>
  <c r="R324" i="14"/>
  <c r="Q324" i="14"/>
  <c r="P324" i="14"/>
  <c r="W308" i="14"/>
  <c r="R308" i="14"/>
  <c r="Q308" i="14"/>
  <c r="P308" i="14"/>
  <c r="W367" i="14"/>
  <c r="R367" i="14"/>
  <c r="Q367" i="14"/>
  <c r="P367" i="14"/>
  <c r="W368" i="14"/>
  <c r="R368" i="14"/>
  <c r="Q368" i="14"/>
  <c r="P368" i="14"/>
  <c r="W148" i="14"/>
  <c r="R148" i="14"/>
  <c r="Q148" i="14"/>
  <c r="P148" i="14"/>
  <c r="W301" i="14"/>
  <c r="R301" i="14"/>
  <c r="Q301" i="14"/>
  <c r="P301" i="14"/>
  <c r="W364" i="14"/>
  <c r="R364" i="14"/>
  <c r="Q364" i="14"/>
  <c r="P364" i="14"/>
  <c r="W279" i="14"/>
  <c r="R279" i="14"/>
  <c r="Q279" i="14"/>
  <c r="P279" i="14"/>
  <c r="W258" i="14"/>
  <c r="R258" i="14"/>
  <c r="Q258" i="14"/>
  <c r="P258" i="14"/>
  <c r="W50" i="14"/>
  <c r="R50" i="14"/>
  <c r="Q50" i="14"/>
  <c r="P50" i="14"/>
  <c r="W295" i="14"/>
  <c r="R295" i="14"/>
  <c r="Q295" i="14"/>
  <c r="P295" i="14"/>
  <c r="W74" i="14"/>
  <c r="R74" i="14"/>
  <c r="Q74" i="14"/>
  <c r="P74" i="14"/>
  <c r="W240" i="14"/>
  <c r="R240" i="14"/>
  <c r="Q240" i="14"/>
  <c r="P240" i="14"/>
  <c r="W323" i="14"/>
  <c r="R323" i="14"/>
  <c r="Q323" i="14"/>
  <c r="P323" i="14"/>
  <c r="W357" i="14"/>
  <c r="R357" i="14"/>
  <c r="Q357" i="14"/>
  <c r="P357" i="14"/>
  <c r="W350" i="14"/>
  <c r="R350" i="14"/>
  <c r="Q350" i="14"/>
  <c r="P350" i="14"/>
  <c r="W113" i="14"/>
  <c r="R113" i="14"/>
  <c r="Q113" i="14"/>
  <c r="P113" i="14"/>
  <c r="W127" i="14"/>
  <c r="R127" i="14"/>
  <c r="Q127" i="14"/>
  <c r="P127" i="14"/>
  <c r="W292" i="14"/>
  <c r="R292" i="14"/>
  <c r="Q292" i="14"/>
  <c r="P292" i="14"/>
  <c r="W309" i="14"/>
  <c r="R309" i="14"/>
  <c r="Q309" i="14"/>
  <c r="P309" i="14"/>
  <c r="W215" i="14"/>
  <c r="R215" i="14"/>
  <c r="P215" i="14"/>
  <c r="Q215" i="14"/>
  <c r="W218" i="14"/>
  <c r="R218" i="14"/>
  <c r="Q218" i="14"/>
  <c r="P218" i="14"/>
  <c r="W14" i="14"/>
  <c r="R14" i="14"/>
  <c r="Q14" i="14"/>
  <c r="P14" i="14"/>
  <c r="W140" i="14"/>
  <c r="R140" i="14"/>
  <c r="Q140" i="14"/>
  <c r="P140" i="14"/>
  <c r="W356" i="14"/>
  <c r="R356" i="14"/>
  <c r="Q356" i="14"/>
  <c r="P356" i="14"/>
  <c r="W346" i="14"/>
  <c r="R346" i="14"/>
  <c r="P346" i="14"/>
  <c r="Q346" i="14"/>
  <c r="W221" i="14"/>
  <c r="R221" i="14"/>
  <c r="Q221" i="14"/>
  <c r="P221" i="14"/>
  <c r="W124" i="14"/>
  <c r="R124" i="14"/>
  <c r="Q124" i="14"/>
  <c r="P124" i="14"/>
  <c r="W267" i="14"/>
  <c r="R267" i="14"/>
  <c r="Q267" i="14"/>
  <c r="P267" i="14"/>
  <c r="W91" i="14"/>
  <c r="R91" i="14"/>
  <c r="Q91" i="14"/>
  <c r="P91" i="14"/>
  <c r="W42" i="14"/>
  <c r="R42" i="14"/>
  <c r="Q42" i="14"/>
  <c r="P42" i="14"/>
  <c r="W30" i="14"/>
  <c r="R30" i="14"/>
  <c r="Q30" i="14"/>
  <c r="P30" i="14"/>
  <c r="W315" i="14"/>
  <c r="R315" i="14"/>
  <c r="Q315" i="14"/>
  <c r="P315" i="14"/>
  <c r="W243" i="14"/>
  <c r="R243" i="14"/>
  <c r="Q243" i="14"/>
  <c r="P243" i="14"/>
  <c r="W245" i="14"/>
  <c r="R245" i="14"/>
  <c r="Q245" i="14"/>
  <c r="P245" i="14"/>
  <c r="W135" i="14"/>
  <c r="R135" i="14"/>
  <c r="Q135" i="14"/>
  <c r="P135" i="14"/>
  <c r="W194" i="14"/>
  <c r="R194" i="14"/>
  <c r="Q194" i="14"/>
  <c r="P194" i="14"/>
  <c r="W27" i="14"/>
  <c r="R27" i="14"/>
  <c r="Q27" i="14"/>
  <c r="P27" i="14"/>
  <c r="W342" i="14"/>
  <c r="R342" i="14"/>
  <c r="Q342" i="14"/>
  <c r="P342" i="14"/>
  <c r="W195" i="14"/>
  <c r="R195" i="14"/>
  <c r="Q195" i="14"/>
  <c r="P195" i="14"/>
  <c r="W2" i="14"/>
  <c r="R2" i="14"/>
  <c r="P2" i="14"/>
  <c r="W343" i="14"/>
  <c r="R343" i="14"/>
  <c r="Q343" i="14"/>
  <c r="P343" i="14"/>
  <c r="W233" i="14"/>
  <c r="R233" i="14"/>
  <c r="Q233" i="14"/>
  <c r="P233" i="14"/>
  <c r="W129" i="14"/>
  <c r="R129" i="14"/>
  <c r="Q129" i="14"/>
  <c r="P129" i="14"/>
  <c r="W174" i="14"/>
  <c r="R174" i="14"/>
  <c r="Q174" i="14"/>
  <c r="P174" i="14"/>
  <c r="W320" i="14"/>
  <c r="R320" i="14"/>
  <c r="Q320" i="14"/>
  <c r="P320" i="14"/>
  <c r="W205" i="14"/>
  <c r="R205" i="14"/>
  <c r="Q205" i="14"/>
  <c r="P205" i="14"/>
  <c r="W222" i="14"/>
  <c r="R222" i="14"/>
  <c r="Q222" i="14"/>
  <c r="P222" i="14"/>
  <c r="W361" i="14"/>
  <c r="R361" i="14"/>
  <c r="Q361" i="14"/>
  <c r="P361" i="14"/>
  <c r="W199" i="14"/>
  <c r="R199" i="14"/>
  <c r="Q199" i="14"/>
  <c r="P199" i="14"/>
  <c r="W87" i="14"/>
  <c r="R87" i="14"/>
  <c r="Q87" i="14"/>
  <c r="P87" i="14"/>
  <c r="W106" i="14"/>
  <c r="R106" i="14"/>
  <c r="P106" i="14"/>
  <c r="Q106" i="14"/>
  <c r="W83" i="14"/>
  <c r="R83" i="14"/>
  <c r="Q83" i="14"/>
  <c r="P83" i="14"/>
  <c r="W97" i="14"/>
  <c r="R97" i="14"/>
  <c r="Q97" i="14"/>
  <c r="P97" i="14"/>
  <c r="W105" i="14"/>
  <c r="R105" i="14"/>
  <c r="Q105" i="14"/>
  <c r="P105" i="14"/>
  <c r="W47" i="14"/>
  <c r="R47" i="14"/>
  <c r="Q47" i="14"/>
  <c r="P47" i="14"/>
  <c r="W101" i="14"/>
  <c r="R101" i="14"/>
  <c r="Q101" i="14"/>
  <c r="P101" i="14"/>
  <c r="W82" i="14"/>
  <c r="R82" i="14"/>
  <c r="Q82" i="14"/>
  <c r="P82" i="14"/>
  <c r="W155" i="14"/>
  <c r="R155" i="14"/>
  <c r="P155" i="14"/>
  <c r="Q155" i="14"/>
  <c r="W294" i="14"/>
  <c r="R294" i="14"/>
  <c r="Q294" i="14"/>
  <c r="P294" i="14"/>
  <c r="W187" i="14"/>
  <c r="R187" i="14"/>
  <c r="Q187" i="14"/>
  <c r="P187" i="14"/>
  <c r="W62" i="14"/>
  <c r="R62" i="14"/>
  <c r="Q62" i="14"/>
  <c r="P62" i="14"/>
  <c r="W38" i="14"/>
  <c r="R38" i="14"/>
  <c r="Q38" i="14"/>
  <c r="P38" i="14"/>
  <c r="W156" i="14"/>
  <c r="R156" i="14"/>
  <c r="Q156" i="14"/>
  <c r="P156" i="14"/>
  <c r="W88" i="14"/>
  <c r="R88" i="14"/>
  <c r="Q88" i="14"/>
  <c r="P88" i="14"/>
  <c r="W16" i="14"/>
  <c r="R16" i="14"/>
  <c r="Q16" i="14"/>
  <c r="P16" i="14"/>
  <c r="W318" i="14"/>
  <c r="R318" i="14"/>
  <c r="Q318" i="14"/>
  <c r="P318" i="14"/>
  <c r="W256" i="14"/>
  <c r="R256" i="14"/>
  <c r="Q256" i="14"/>
  <c r="P256" i="14"/>
  <c r="W19" i="14"/>
  <c r="R19" i="14"/>
  <c r="Q19" i="14"/>
  <c r="P19" i="14"/>
  <c r="W64" i="14"/>
  <c r="R64" i="14"/>
  <c r="Q64" i="14"/>
  <c r="P64" i="14"/>
  <c r="W297" i="14"/>
  <c r="R297" i="14"/>
  <c r="Q297" i="14"/>
  <c r="P297" i="14"/>
  <c r="W102" i="14"/>
  <c r="R102" i="14"/>
  <c r="Q102" i="14"/>
  <c r="P102" i="14"/>
  <c r="W275" i="14"/>
  <c r="R275" i="14"/>
  <c r="Q275" i="14"/>
  <c r="P275" i="14"/>
  <c r="W238" i="14"/>
  <c r="R238" i="14"/>
  <c r="P238" i="14"/>
  <c r="Q238" i="14"/>
  <c r="W166" i="14"/>
  <c r="R166" i="14"/>
  <c r="P166" i="14"/>
  <c r="Q166" i="14"/>
  <c r="W53" i="14"/>
  <c r="R53" i="14"/>
  <c r="Q53" i="14"/>
  <c r="P53" i="14"/>
  <c r="W234" i="14"/>
  <c r="R234" i="14"/>
  <c r="Q234" i="14"/>
  <c r="P234" i="14"/>
  <c r="W252" i="14"/>
  <c r="R252" i="14"/>
  <c r="Q252" i="14"/>
  <c r="P252" i="14"/>
  <c r="W70" i="14"/>
  <c r="R70" i="14"/>
  <c r="Q70" i="14"/>
  <c r="P70" i="14"/>
  <c r="W332" i="14"/>
  <c r="R332" i="14"/>
  <c r="Q332" i="14"/>
  <c r="P332" i="14"/>
  <c r="W271" i="14"/>
  <c r="R271" i="14"/>
  <c r="Q271" i="14"/>
  <c r="P271" i="14"/>
  <c r="W208" i="14"/>
  <c r="R208" i="14"/>
  <c r="Q208" i="14"/>
  <c r="P208" i="14"/>
  <c r="W28" i="14"/>
  <c r="R28" i="14"/>
  <c r="Q28" i="14"/>
  <c r="P28" i="14"/>
  <c r="W192" i="14"/>
  <c r="R192" i="14"/>
  <c r="Q192" i="14"/>
  <c r="P192" i="14"/>
  <c r="W86" i="14"/>
  <c r="R86" i="14"/>
  <c r="Q86" i="14"/>
  <c r="P86" i="14"/>
  <c r="W305" i="14"/>
  <c r="R305" i="14"/>
  <c r="Q305" i="14"/>
  <c r="P305" i="14"/>
  <c r="W170" i="14"/>
  <c r="R170" i="14"/>
  <c r="Q170" i="14"/>
  <c r="P170" i="14"/>
  <c r="W7" i="14"/>
  <c r="R7" i="14"/>
  <c r="Q7" i="14"/>
  <c r="P7" i="14"/>
  <c r="W180" i="14"/>
  <c r="R180" i="14"/>
  <c r="Q180" i="14"/>
  <c r="P180" i="14"/>
  <c r="W281" i="14"/>
  <c r="R281" i="14"/>
  <c r="Q281" i="14"/>
  <c r="P281" i="14"/>
  <c r="W351" i="14"/>
  <c r="R351" i="14"/>
  <c r="Q351" i="14"/>
  <c r="P351" i="14"/>
  <c r="W177" i="14"/>
  <c r="R177" i="14"/>
  <c r="Q177" i="14"/>
  <c r="P177" i="14"/>
  <c r="W123" i="14"/>
  <c r="R123" i="14"/>
  <c r="Q123" i="14"/>
  <c r="P123" i="14"/>
  <c r="W145" i="14"/>
  <c r="R145" i="14"/>
  <c r="Q145" i="14"/>
  <c r="P145" i="14"/>
  <c r="W29" i="14"/>
  <c r="R29" i="14"/>
  <c r="Q29" i="14"/>
  <c r="P29" i="14"/>
  <c r="W300" i="14"/>
  <c r="R300" i="14"/>
  <c r="Q300" i="14"/>
  <c r="P300" i="14"/>
  <c r="W326" i="14"/>
  <c r="R326" i="14"/>
  <c r="Q326" i="14"/>
  <c r="P326" i="14"/>
  <c r="W13" i="14"/>
  <c r="R13" i="14"/>
  <c r="Q13" i="14"/>
  <c r="P13" i="14"/>
  <c r="W260" i="14"/>
  <c r="R260" i="14"/>
  <c r="Q260" i="14"/>
  <c r="P260" i="14"/>
  <c r="W209" i="14"/>
  <c r="R209" i="14"/>
  <c r="Q209" i="14"/>
  <c r="P209" i="14"/>
  <c r="W11" i="14"/>
  <c r="R11" i="14"/>
  <c r="Q11" i="14"/>
  <c r="P11" i="14"/>
  <c r="W12" i="14"/>
  <c r="R12" i="14"/>
  <c r="Q12" i="14"/>
  <c r="P12" i="14"/>
  <c r="W236" i="14"/>
  <c r="R236" i="14"/>
  <c r="Q236" i="14"/>
  <c r="P236" i="14"/>
  <c r="W141" i="14"/>
  <c r="R141" i="14"/>
  <c r="Q141" i="14"/>
  <c r="P141" i="14"/>
  <c r="W165" i="14"/>
  <c r="R165" i="14"/>
  <c r="Q165" i="14"/>
  <c r="P165" i="14"/>
  <c r="W266" i="14"/>
  <c r="R266" i="14"/>
  <c r="Q266" i="14"/>
  <c r="P266" i="14"/>
  <c r="W362" i="14"/>
  <c r="R362" i="14"/>
  <c r="Q362" i="14"/>
  <c r="P362" i="14"/>
  <c r="W24" i="14"/>
  <c r="R24" i="14"/>
  <c r="Q24" i="14"/>
  <c r="P24" i="14"/>
  <c r="W191" i="14"/>
  <c r="R191" i="14"/>
  <c r="P191" i="14"/>
  <c r="Q191" i="14"/>
  <c r="W329" i="14"/>
  <c r="R329" i="14"/>
  <c r="Q329" i="14"/>
  <c r="P329" i="14"/>
  <c r="W272" i="14"/>
  <c r="R272" i="14"/>
  <c r="Q272" i="14"/>
  <c r="P272" i="14"/>
  <c r="W363" i="14"/>
  <c r="R363" i="14"/>
  <c r="Q363" i="14"/>
  <c r="P363" i="14"/>
  <c r="W335" i="14"/>
  <c r="R335" i="14"/>
  <c r="Q335" i="14"/>
  <c r="P335" i="14"/>
  <c r="W334" i="14"/>
  <c r="R334" i="14"/>
  <c r="P334" i="14"/>
  <c r="Q334" i="14"/>
  <c r="W33" i="14"/>
  <c r="R33" i="14"/>
  <c r="Q33" i="14"/>
  <c r="P33" i="14"/>
  <c r="W169" i="14"/>
  <c r="R169" i="14"/>
  <c r="Q169" i="14"/>
  <c r="P169" i="14"/>
  <c r="W158" i="14"/>
  <c r="R158" i="14"/>
  <c r="Q158" i="14"/>
  <c r="P158" i="14"/>
  <c r="W65" i="14"/>
  <c r="R65" i="14"/>
  <c r="Q65" i="14"/>
  <c r="P65" i="14"/>
  <c r="W182" i="14"/>
  <c r="R182" i="14"/>
  <c r="Q182" i="14"/>
  <c r="P182" i="14"/>
  <c r="W257" i="14"/>
  <c r="R257" i="14"/>
  <c r="Q257" i="14"/>
  <c r="P257" i="14"/>
  <c r="W149" i="14"/>
  <c r="R149" i="14"/>
  <c r="Q149" i="14"/>
  <c r="P149" i="14"/>
  <c r="W144" i="14"/>
  <c r="R144" i="14"/>
  <c r="Q144" i="14"/>
  <c r="P144" i="14"/>
  <c r="W251" i="14"/>
  <c r="R251" i="14"/>
  <c r="P251" i="14"/>
  <c r="Q251" i="14"/>
  <c r="W66" i="14"/>
  <c r="R66" i="14"/>
  <c r="Q66" i="14"/>
  <c r="P66" i="14"/>
  <c r="W162" i="14"/>
  <c r="R162" i="14"/>
  <c r="Q162" i="14"/>
  <c r="P162" i="14"/>
  <c r="W345" i="14"/>
  <c r="R345" i="14"/>
  <c r="Q345" i="14"/>
  <c r="P345" i="14"/>
  <c r="W203" i="14"/>
  <c r="R203" i="14"/>
  <c r="P203" i="14"/>
  <c r="Q203" i="14"/>
  <c r="W23" i="14"/>
  <c r="R23" i="14"/>
  <c r="Q23" i="14"/>
  <c r="P23" i="14"/>
  <c r="W325" i="14"/>
  <c r="R325" i="14"/>
  <c r="Q325" i="14"/>
  <c r="P325" i="14"/>
  <c r="W34" i="14"/>
  <c r="R34" i="14"/>
  <c r="Q34" i="14"/>
  <c r="P34" i="14"/>
  <c r="W3" i="14"/>
  <c r="R3" i="14"/>
  <c r="Q3" i="14"/>
  <c r="P3" i="14"/>
  <c r="W79" i="14"/>
  <c r="R79" i="14"/>
  <c r="Q79" i="14"/>
  <c r="P79" i="14"/>
  <c r="W138" i="14"/>
  <c r="R138" i="14"/>
  <c r="Q138" i="14"/>
  <c r="P138" i="14"/>
  <c r="W365" i="14"/>
  <c r="R365" i="14"/>
  <c r="Q365" i="14"/>
  <c r="P365" i="14"/>
  <c r="W316" i="14"/>
  <c r="R316" i="14"/>
  <c r="Q316" i="14"/>
  <c r="P316" i="14"/>
  <c r="W139" i="14"/>
  <c r="R139" i="14"/>
  <c r="Q139" i="14"/>
  <c r="P139" i="14"/>
  <c r="W197" i="14"/>
  <c r="R197" i="14"/>
  <c r="Q197" i="14"/>
  <c r="P197" i="14"/>
  <c r="W77" i="14"/>
  <c r="R77" i="14"/>
  <c r="Q77" i="14"/>
  <c r="P77" i="14"/>
  <c r="W273" i="14"/>
  <c r="R273" i="14"/>
  <c r="Q273" i="14"/>
  <c r="P273" i="14"/>
  <c r="W184" i="14"/>
  <c r="R184" i="14"/>
  <c r="Q184" i="14"/>
  <c r="P184" i="14"/>
  <c r="W179" i="14"/>
  <c r="R179" i="14"/>
  <c r="P179" i="14"/>
  <c r="Q179" i="14"/>
  <c r="W63" i="14"/>
  <c r="R63" i="14"/>
  <c r="Q63" i="14"/>
  <c r="P63" i="14"/>
  <c r="W339" i="14"/>
  <c r="R339" i="14"/>
  <c r="Q339" i="14"/>
  <c r="P339" i="14"/>
  <c r="W150" i="14"/>
  <c r="R150" i="14"/>
  <c r="Q150" i="14"/>
  <c r="P150" i="14"/>
  <c r="W55" i="14"/>
  <c r="R55" i="14"/>
  <c r="Q55" i="14"/>
  <c r="P55" i="14"/>
  <c r="W116" i="14"/>
  <c r="R116" i="14"/>
  <c r="Q116" i="14"/>
  <c r="P116" i="14"/>
  <c r="W109" i="14"/>
  <c r="R109" i="14"/>
  <c r="Q109" i="14"/>
  <c r="P109" i="14"/>
  <c r="W264" i="14"/>
  <c r="R264" i="14"/>
  <c r="Q264" i="14"/>
  <c r="P264" i="14"/>
  <c r="W111" i="14"/>
  <c r="R111" i="14"/>
  <c r="Q111" i="14"/>
  <c r="P111" i="14"/>
  <c r="W283" i="14"/>
  <c r="R283" i="14"/>
  <c r="Q283" i="14"/>
  <c r="P283" i="14"/>
  <c r="W76" i="14"/>
  <c r="R76" i="14"/>
  <c r="Q76" i="14"/>
  <c r="P76" i="14"/>
  <c r="W289" i="14"/>
  <c r="R289" i="14"/>
  <c r="Q289" i="14"/>
  <c r="P289" i="14"/>
  <c r="W92" i="14"/>
  <c r="R92" i="14"/>
  <c r="Q92" i="14"/>
  <c r="P92" i="14"/>
  <c r="W18" i="14"/>
  <c r="R18" i="14"/>
  <c r="Q18" i="14"/>
  <c r="P18" i="14"/>
  <c r="W117" i="14"/>
  <c r="R117" i="14"/>
  <c r="Q117" i="14"/>
  <c r="P117" i="14"/>
  <c r="W84" i="14"/>
  <c r="R84" i="14"/>
  <c r="Q84" i="14"/>
  <c r="P84" i="14"/>
  <c r="W46" i="14"/>
  <c r="R46" i="14"/>
  <c r="Q46" i="14"/>
  <c r="P46" i="14"/>
  <c r="W119" i="14"/>
  <c r="R119" i="14"/>
  <c r="P119" i="14"/>
  <c r="Q119" i="14"/>
  <c r="W160" i="14"/>
  <c r="R160" i="14"/>
  <c r="Q160" i="14"/>
  <c r="P160" i="14"/>
  <c r="W40" i="14"/>
  <c r="R40" i="14"/>
  <c r="Q40" i="14"/>
  <c r="P40" i="14"/>
  <c r="W201" i="14"/>
  <c r="R201" i="14"/>
  <c r="Q201" i="14"/>
  <c r="P201" i="14"/>
  <c r="W369" i="14"/>
  <c r="R369" i="14"/>
  <c r="Q369" i="14"/>
  <c r="P369" i="14"/>
  <c r="W58" i="14"/>
  <c r="R58" i="14"/>
  <c r="Q58" i="14"/>
  <c r="P58" i="14"/>
  <c r="W175" i="14"/>
  <c r="R175" i="14"/>
  <c r="Q175" i="14"/>
  <c r="P175" i="14"/>
  <c r="W167" i="14"/>
  <c r="R167" i="14"/>
  <c r="P167" i="14"/>
  <c r="Q167" i="14"/>
  <c r="W282" i="14"/>
  <c r="R282" i="14"/>
  <c r="Q282" i="14"/>
  <c r="P282" i="14"/>
  <c r="W146" i="14"/>
  <c r="R146" i="14"/>
  <c r="Q146" i="14"/>
  <c r="P146" i="14"/>
  <c r="W353" i="14"/>
  <c r="R353" i="14"/>
  <c r="Q353" i="14"/>
  <c r="P353" i="14"/>
  <c r="W310" i="14"/>
  <c r="R310" i="14"/>
  <c r="P310" i="14"/>
  <c r="Q310" i="14"/>
  <c r="W204" i="14"/>
  <c r="R204" i="14"/>
  <c r="Q204" i="14"/>
  <c r="P204" i="14"/>
  <c r="W331" i="14"/>
  <c r="R331" i="14"/>
  <c r="Q331" i="14"/>
  <c r="P331" i="14"/>
  <c r="W304" i="14"/>
  <c r="R304" i="14"/>
  <c r="Q304" i="14"/>
  <c r="P304" i="14"/>
  <c r="W36" i="14"/>
  <c r="R36" i="14"/>
  <c r="Q36" i="14"/>
  <c r="P36" i="14"/>
  <c r="W143" i="14"/>
  <c r="R143" i="14"/>
  <c r="P143" i="14"/>
  <c r="Q143" i="14"/>
  <c r="W78" i="14"/>
  <c r="R78" i="14"/>
  <c r="Q78" i="14"/>
  <c r="P78" i="14"/>
  <c r="W190" i="14"/>
  <c r="R190" i="14"/>
  <c r="P190" i="14"/>
  <c r="Q190" i="14"/>
  <c r="W344" i="14"/>
  <c r="R344" i="14"/>
  <c r="Q344" i="14"/>
  <c r="P344" i="14"/>
  <c r="W338" i="14"/>
  <c r="R338" i="14"/>
  <c r="Q338" i="14"/>
  <c r="P338" i="14"/>
  <c r="W322" i="14"/>
  <c r="R322" i="14"/>
  <c r="P322" i="14"/>
  <c r="Q322" i="14"/>
  <c r="W154" i="14"/>
  <c r="R154" i="14"/>
  <c r="P154" i="14"/>
  <c r="Q154" i="14"/>
  <c r="W131" i="14"/>
  <c r="R131" i="14"/>
  <c r="P131" i="14"/>
  <c r="Q131" i="14"/>
  <c r="W20" i="14"/>
  <c r="R20" i="14"/>
  <c r="Q20" i="14"/>
  <c r="P20" i="14"/>
  <c r="W112" i="14"/>
  <c r="R112" i="14"/>
  <c r="Q112" i="14"/>
  <c r="P112" i="14"/>
  <c r="W136" i="14"/>
  <c r="R136" i="14"/>
  <c r="Q136" i="14"/>
  <c r="P136" i="14"/>
  <c r="W220" i="14"/>
  <c r="R220" i="14"/>
  <c r="Q220" i="14"/>
  <c r="P220" i="14"/>
  <c r="W366" i="14"/>
  <c r="R366" i="14"/>
  <c r="Q366" i="14"/>
  <c r="P366" i="14"/>
  <c r="W288" i="14"/>
  <c r="R288" i="14"/>
  <c r="Q288" i="14"/>
  <c r="P288" i="14"/>
  <c r="W52" i="14"/>
  <c r="R52" i="14"/>
  <c r="Q52" i="14"/>
  <c r="P52" i="14"/>
  <c r="W15" i="14"/>
  <c r="R15" i="14"/>
  <c r="Q15" i="14"/>
  <c r="P15" i="14"/>
  <c r="W193" i="14"/>
  <c r="R193" i="14"/>
  <c r="Q193" i="14"/>
  <c r="P193" i="14"/>
  <c r="W120" i="14"/>
  <c r="R120" i="14"/>
  <c r="Q120" i="14"/>
  <c r="P120" i="14"/>
  <c r="W9" i="14"/>
  <c r="R9" i="14"/>
  <c r="Q9" i="14"/>
  <c r="P9" i="14"/>
  <c r="W133" i="14"/>
  <c r="R133" i="14"/>
  <c r="Q133" i="14"/>
  <c r="P133" i="14"/>
  <c r="W168" i="14"/>
  <c r="R168" i="14"/>
  <c r="Q168" i="14"/>
  <c r="P168" i="14"/>
  <c r="W73" i="14"/>
  <c r="R73" i="14"/>
  <c r="Q73" i="14"/>
  <c r="P73" i="14"/>
  <c r="W255" i="14"/>
  <c r="R255" i="14"/>
  <c r="Q255" i="14"/>
  <c r="P255" i="14"/>
  <c r="W10" i="14"/>
  <c r="R10" i="14"/>
  <c r="Q10" i="14"/>
  <c r="P10" i="14"/>
  <c r="W72" i="14"/>
  <c r="R72" i="14"/>
  <c r="Q72" i="14"/>
  <c r="P72" i="14"/>
  <c r="W41" i="14"/>
  <c r="R41" i="14"/>
  <c r="Q41" i="14"/>
  <c r="P41" i="14"/>
  <c r="W163" i="14"/>
  <c r="R163" i="14"/>
  <c r="Q163" i="14"/>
  <c r="P163" i="14"/>
  <c r="W5" i="14"/>
  <c r="R5" i="14"/>
  <c r="Q5" i="14"/>
  <c r="P5" i="14"/>
  <c r="W313" i="14"/>
  <c r="R313" i="14"/>
  <c r="Q313" i="14"/>
  <c r="P313" i="14"/>
  <c r="W164" i="14"/>
  <c r="R164" i="14"/>
  <c r="Q164" i="14"/>
  <c r="P164" i="14"/>
  <c r="W128" i="14"/>
  <c r="R128" i="14"/>
  <c r="Q128" i="14"/>
  <c r="P128" i="14"/>
  <c r="W219" i="14"/>
  <c r="R219" i="14"/>
  <c r="Q219" i="14"/>
  <c r="P219" i="14"/>
  <c r="W80" i="14"/>
  <c r="R80" i="14"/>
  <c r="Q80" i="14"/>
  <c r="P80" i="14"/>
  <c r="W61" i="14"/>
  <c r="R61" i="14"/>
  <c r="Q61" i="14"/>
  <c r="P61" i="14"/>
  <c r="W115" i="14"/>
  <c r="R115" i="14"/>
  <c r="Q115" i="14"/>
  <c r="P115" i="14"/>
  <c r="W6" i="14"/>
  <c r="R6" i="14"/>
  <c r="Q6" i="14"/>
  <c r="P6" i="14"/>
  <c r="W198" i="14"/>
  <c r="R198" i="14"/>
  <c r="Q198" i="14"/>
  <c r="P198" i="14"/>
  <c r="W99" i="14"/>
  <c r="R99" i="14"/>
  <c r="Q99" i="14"/>
  <c r="P99" i="14"/>
  <c r="W130" i="14"/>
  <c r="R130" i="14"/>
  <c r="P130" i="14"/>
  <c r="Q130" i="14"/>
  <c r="W253" i="14"/>
  <c r="R253" i="14"/>
  <c r="Q253" i="14"/>
  <c r="P253" i="14"/>
  <c r="W90" i="14"/>
  <c r="R90" i="14"/>
  <c r="Q90" i="14"/>
  <c r="P90" i="14"/>
  <c r="W347" i="14"/>
  <c r="R347" i="14"/>
  <c r="Q347" i="14"/>
  <c r="P347" i="14"/>
  <c r="W159" i="14"/>
  <c r="R159" i="14"/>
  <c r="Q159" i="14"/>
  <c r="P159" i="14"/>
  <c r="W224" i="14"/>
  <c r="R224" i="14"/>
  <c r="Q224" i="14"/>
  <c r="P224" i="14"/>
  <c r="W212" i="14"/>
  <c r="R212" i="14"/>
  <c r="Q212" i="14"/>
  <c r="P212" i="14"/>
  <c r="W242" i="14"/>
  <c r="R242" i="14"/>
  <c r="Q242" i="14"/>
  <c r="P242" i="14"/>
  <c r="W269" i="14"/>
  <c r="R269" i="14"/>
  <c r="Q269" i="14"/>
  <c r="P269" i="14"/>
  <c r="W250" i="14"/>
  <c r="R250" i="14"/>
  <c r="P250" i="14"/>
  <c r="Q250" i="14"/>
  <c r="W235" i="14"/>
  <c r="R235" i="14"/>
  <c r="Q235" i="14"/>
  <c r="P235" i="14"/>
  <c r="W178" i="14"/>
  <c r="R178" i="14"/>
  <c r="P178" i="14"/>
  <c r="Q178" i="14"/>
  <c r="W85" i="14"/>
  <c r="R85" i="14"/>
  <c r="Q85" i="14"/>
  <c r="P85" i="14"/>
  <c r="W265" i="14"/>
  <c r="R265" i="14"/>
  <c r="Q265" i="14"/>
  <c r="P265" i="14"/>
  <c r="W39" i="14"/>
  <c r="R39" i="14"/>
  <c r="Q39" i="14"/>
  <c r="P39" i="14"/>
  <c r="W8" i="14"/>
  <c r="R8" i="14"/>
  <c r="Q8" i="14"/>
  <c r="P8" i="14"/>
  <c r="W59" i="14"/>
  <c r="R59" i="14"/>
  <c r="Q59" i="14"/>
  <c r="P59" i="14"/>
  <c r="W340" i="14"/>
  <c r="R340" i="14"/>
  <c r="Q340" i="14"/>
  <c r="P340" i="14"/>
  <c r="W96" i="14"/>
  <c r="R96" i="14"/>
  <c r="Q96" i="14"/>
  <c r="P96" i="14"/>
  <c r="W118" i="14"/>
  <c r="R118" i="14"/>
  <c r="P118" i="14"/>
  <c r="Q118" i="14"/>
  <c r="W95" i="14"/>
  <c r="R95" i="14"/>
  <c r="P95" i="14"/>
  <c r="Q95" i="14"/>
  <c r="W225" i="14"/>
  <c r="R225" i="14"/>
  <c r="Q225" i="14"/>
  <c r="P225" i="14"/>
  <c r="AO73" i="14"/>
  <c r="D37" i="11"/>
  <c r="AO66" i="14"/>
  <c r="D38" i="11"/>
  <c r="AO5" i="14"/>
  <c r="D39" i="11"/>
  <c r="Z12" i="15"/>
  <c r="Z11" i="15"/>
  <c r="Z16" i="15"/>
  <c r="Z18" i="15"/>
  <c r="Z19" i="15"/>
  <c r="Z15" i="15"/>
  <c r="Z8" i="15"/>
  <c r="Z25" i="15"/>
  <c r="Z22" i="15"/>
  <c r="Z10" i="15"/>
  <c r="Z5" i="15"/>
  <c r="Z17" i="15"/>
  <c r="Z21" i="15"/>
  <c r="Z24" i="15"/>
  <c r="Z9" i="15"/>
  <c r="Z14" i="15"/>
  <c r="Z4" i="15"/>
  <c r="Z7" i="15"/>
  <c r="Z23" i="15"/>
  <c r="Z13" i="15"/>
  <c r="Z3" i="15"/>
  <c r="Z2" i="15"/>
  <c r="Z6" i="15"/>
  <c r="Z20" i="15"/>
  <c r="D31" i="11"/>
  <c r="E31" i="11" s="1"/>
  <c r="U4" i="9"/>
  <c r="D32" i="11" s="1"/>
  <c r="E32" i="11" s="1"/>
  <c r="R4" i="10"/>
  <c r="D33" i="11" s="1"/>
  <c r="E33" i="11" s="1"/>
  <c r="F18" i="9"/>
  <c r="D18" i="9"/>
  <c r="T4" i="9"/>
  <c r="C38" i="11" s="1"/>
  <c r="Q4" i="10"/>
  <c r="C39" i="11" s="1"/>
  <c r="D13" i="11"/>
  <c r="E13" i="11" s="1"/>
  <c r="C37" i="11"/>
  <c r="D10" i="11"/>
  <c r="F4" i="9"/>
  <c r="H4" i="9" s="1"/>
  <c r="F4" i="10"/>
  <c r="H4" i="10" s="1"/>
  <c r="F11" i="9"/>
  <c r="D11" i="9"/>
  <c r="D4" i="9"/>
  <c r="D4" i="10"/>
  <c r="Q4" i="9"/>
  <c r="Q17" i="15"/>
  <c r="U17" i="15" s="1"/>
  <c r="X17" i="15" s="1"/>
  <c r="Q12" i="15"/>
  <c r="Q15" i="15"/>
  <c r="U15" i="15" s="1"/>
  <c r="X15" i="15" s="1"/>
  <c r="Q2" i="15"/>
  <c r="U2" i="15" s="1"/>
  <c r="X2" i="15" s="1"/>
  <c r="Q8" i="15"/>
  <c r="U8" i="15" s="1"/>
  <c r="X8" i="15" s="1"/>
  <c r="Q25" i="15"/>
  <c r="U25" i="15" s="1"/>
  <c r="X25" i="15" s="1"/>
  <c r="Q10" i="15"/>
  <c r="U10" i="15" s="1"/>
  <c r="X10" i="15" s="1"/>
  <c r="Q24" i="15"/>
  <c r="Q14" i="15"/>
  <c r="Q4" i="15"/>
  <c r="U4" i="15" s="1"/>
  <c r="X4" i="15" s="1"/>
  <c r="Q9" i="15"/>
  <c r="Q11" i="15"/>
  <c r="U11" i="15" s="1"/>
  <c r="X11" i="15" s="1"/>
  <c r="Q22" i="15"/>
  <c r="Q20" i="15"/>
  <c r="U20" i="15" s="1"/>
  <c r="X20" i="15" s="1"/>
  <c r="Q5" i="15"/>
  <c r="Q18" i="15"/>
  <c r="Q19" i="15"/>
  <c r="U19" i="15" s="1"/>
  <c r="X19" i="15" s="1"/>
  <c r="Q3" i="15"/>
  <c r="U3" i="15" s="1"/>
  <c r="X3" i="15" s="1"/>
  <c r="Q16" i="15"/>
  <c r="Q7" i="15"/>
  <c r="U7" i="15" s="1"/>
  <c r="X7" i="15" s="1"/>
  <c r="Q23" i="15"/>
  <c r="Q13" i="15"/>
  <c r="Q6" i="15"/>
  <c r="U6" i="15" s="1"/>
  <c r="X6" i="15" s="1"/>
  <c r="Q21" i="15"/>
  <c r="R68" i="7"/>
  <c r="Q68" i="7"/>
  <c r="H67" i="7"/>
  <c r="N67" i="7" s="1"/>
  <c r="I67" i="7"/>
  <c r="O67" i="7" s="1"/>
  <c r="S68" i="7"/>
  <c r="D68" i="7"/>
  <c r="J68" i="7"/>
  <c r="K68" i="7"/>
  <c r="F68" i="7"/>
  <c r="G68" i="7" s="1"/>
  <c r="M68" i="7" s="1"/>
  <c r="C68" i="7"/>
  <c r="B69" i="7"/>
  <c r="P69" i="7" s="1"/>
  <c r="O225" i="14" l="1"/>
  <c r="D19" i="11"/>
  <c r="O117" i="14"/>
  <c r="O170" i="14"/>
  <c r="O86" i="14"/>
  <c r="O49" i="14"/>
  <c r="O290" i="14"/>
  <c r="O260" i="14"/>
  <c r="O277" i="14"/>
  <c r="O40" i="14"/>
  <c r="O46" i="14"/>
  <c r="O335" i="14"/>
  <c r="O100" i="14"/>
  <c r="O349" i="14"/>
  <c r="O197" i="14"/>
  <c r="O140" i="14"/>
  <c r="O113" i="14"/>
  <c r="O323" i="14"/>
  <c r="O319" i="14"/>
  <c r="O122" i="14"/>
  <c r="O241" i="14"/>
  <c r="O71" i="14"/>
  <c r="O313" i="14"/>
  <c r="O190" i="14"/>
  <c r="O146" i="14"/>
  <c r="O289" i="14"/>
  <c r="O109" i="14"/>
  <c r="O270" i="14"/>
  <c r="O118" i="14"/>
  <c r="O59" i="14"/>
  <c r="O85" i="14"/>
  <c r="O80" i="14"/>
  <c r="O5" i="14"/>
  <c r="O139" i="14"/>
  <c r="O251" i="14"/>
  <c r="O51" i="14"/>
  <c r="O350" i="14"/>
  <c r="O57" i="14"/>
  <c r="O107" i="14"/>
  <c r="O230" i="14"/>
  <c r="O185" i="14"/>
  <c r="O47" i="14"/>
  <c r="O261" i="14"/>
  <c r="O263" i="14"/>
  <c r="O70" i="14"/>
  <c r="O252" i="14"/>
  <c r="O238" i="14"/>
  <c r="O64" i="14"/>
  <c r="O318" i="14"/>
  <c r="O213" i="14"/>
  <c r="O321" i="14"/>
  <c r="O6" i="14"/>
  <c r="O7" i="14"/>
  <c r="O359" i="14"/>
  <c r="O161" i="14"/>
  <c r="O310" i="14"/>
  <c r="O125" i="14"/>
  <c r="O222" i="14"/>
  <c r="O208" i="14"/>
  <c r="O279" i="14"/>
  <c r="O226" i="14"/>
  <c r="O210" i="14"/>
  <c r="O155" i="14"/>
  <c r="O295" i="14"/>
  <c r="O258" i="14"/>
  <c r="O262" i="14"/>
  <c r="O93" i="14"/>
  <c r="O56" i="14"/>
  <c r="O239" i="14"/>
  <c r="O237" i="14"/>
  <c r="O354" i="14"/>
  <c r="O4" i="14"/>
  <c r="O162" i="14"/>
  <c r="O152" i="14"/>
  <c r="O67" i="14"/>
  <c r="O102" i="14"/>
  <c r="O331" i="14"/>
  <c r="O173" i="14"/>
  <c r="O216" i="14"/>
  <c r="O207" i="14"/>
  <c r="O134" i="14"/>
  <c r="O302" i="14"/>
  <c r="O306" i="14"/>
  <c r="O328" i="14"/>
  <c r="O183" i="14"/>
  <c r="O157" i="14"/>
  <c r="O37" i="14"/>
  <c r="O160" i="14"/>
  <c r="O76" i="14"/>
  <c r="O55" i="14"/>
  <c r="O103" i="14"/>
  <c r="O327" i="14"/>
  <c r="O235" i="14"/>
  <c r="O250" i="14"/>
  <c r="O269" i="14"/>
  <c r="O212" i="14"/>
  <c r="O198" i="14"/>
  <c r="O41" i="14"/>
  <c r="O344" i="14"/>
  <c r="O201" i="14"/>
  <c r="O119" i="14"/>
  <c r="O283" i="14"/>
  <c r="O150" i="14"/>
  <c r="O362" i="14"/>
  <c r="O278" i="14"/>
  <c r="O271" i="14"/>
  <c r="O194" i="14"/>
  <c r="O191" i="14"/>
  <c r="O193" i="14"/>
  <c r="O179" i="14"/>
  <c r="O315" i="14"/>
  <c r="O91" i="14"/>
  <c r="O309" i="14"/>
  <c r="O281" i="14"/>
  <c r="O217" i="14"/>
  <c r="O48" i="14"/>
  <c r="O229" i="14"/>
  <c r="O228" i="14"/>
  <c r="O255" i="14"/>
  <c r="O130" i="14"/>
  <c r="O72" i="14"/>
  <c r="O131" i="14"/>
  <c r="O154" i="14"/>
  <c r="O322" i="14"/>
  <c r="O78" i="14"/>
  <c r="O116" i="14"/>
  <c r="O257" i="14"/>
  <c r="O266" i="14"/>
  <c r="O285" i="14"/>
  <c r="O94" i="14"/>
  <c r="O232" i="14"/>
  <c r="O296" i="14"/>
  <c r="O180" i="14"/>
  <c r="O355" i="14"/>
  <c r="O151" i="14"/>
  <c r="O219" i="14"/>
  <c r="O316" i="14"/>
  <c r="O272" i="14"/>
  <c r="O82" i="14"/>
  <c r="O342" i="14"/>
  <c r="O246" i="14"/>
  <c r="O280" i="14"/>
  <c r="O317" i="14"/>
  <c r="O358" i="14"/>
  <c r="O137" i="14"/>
  <c r="O52" i="14"/>
  <c r="O90" i="14"/>
  <c r="O128" i="14"/>
  <c r="O133" i="14"/>
  <c r="O120" i="14"/>
  <c r="O288" i="14"/>
  <c r="O369" i="14"/>
  <c r="O184" i="14"/>
  <c r="O77" i="14"/>
  <c r="O325" i="14"/>
  <c r="O87" i="14"/>
  <c r="O343" i="14"/>
  <c r="O124" i="14"/>
  <c r="O356" i="14"/>
  <c r="O148" i="14"/>
  <c r="O324" i="14"/>
  <c r="O284" i="14"/>
  <c r="O89" i="14"/>
  <c r="O249" i="14"/>
  <c r="O202" i="14"/>
  <c r="O305" i="14"/>
  <c r="O332" i="14"/>
  <c r="O357" i="14"/>
  <c r="O337" i="14"/>
  <c r="O142" i="14"/>
  <c r="O196" i="14"/>
  <c r="O92" i="14"/>
  <c r="O203" i="14"/>
  <c r="O149" i="14"/>
  <c r="O172" i="14"/>
  <c r="O60" i="14"/>
  <c r="O43" i="14"/>
  <c r="O276" i="14"/>
  <c r="O338" i="14"/>
  <c r="O143" i="14"/>
  <c r="O36" i="14"/>
  <c r="O264" i="14"/>
  <c r="O65" i="14"/>
  <c r="O329" i="14"/>
  <c r="O256" i="14"/>
  <c r="O38" i="14"/>
  <c r="O101" i="14"/>
  <c r="O129" i="14"/>
  <c r="O2" i="14"/>
  <c r="O75" i="14"/>
  <c r="O209" i="14"/>
  <c r="O123" i="14"/>
  <c r="O53" i="14"/>
  <c r="O42" i="14"/>
  <c r="O240" i="14"/>
  <c r="O301" i="14"/>
  <c r="O121" i="14"/>
  <c r="O186" i="14"/>
  <c r="O340" i="14"/>
  <c r="O265" i="14"/>
  <c r="O253" i="14"/>
  <c r="O61" i="14"/>
  <c r="O73" i="14"/>
  <c r="O9" i="14"/>
  <c r="O366" i="14"/>
  <c r="O136" i="14"/>
  <c r="O273" i="14"/>
  <c r="O138" i="14"/>
  <c r="O79" i="14"/>
  <c r="O294" i="14"/>
  <c r="O221" i="14"/>
  <c r="O50" i="14"/>
  <c r="O368" i="14"/>
  <c r="O45" i="14"/>
  <c r="O108" i="14"/>
  <c r="O132" i="14"/>
  <c r="O211" i="14"/>
  <c r="O307" i="14"/>
  <c r="O54" i="14"/>
  <c r="O192" i="14"/>
  <c r="O200" i="14"/>
  <c r="O189" i="14"/>
  <c r="O287" i="14"/>
  <c r="O236" i="14"/>
  <c r="O304" i="14"/>
  <c r="O345" i="14"/>
  <c r="O158" i="14"/>
  <c r="O297" i="14"/>
  <c r="O88" i="14"/>
  <c r="O97" i="14"/>
  <c r="O233" i="14"/>
  <c r="O348" i="14"/>
  <c r="O227" i="14"/>
  <c r="O303" i="14"/>
  <c r="O274" i="14"/>
  <c r="O326" i="14"/>
  <c r="O177" i="14"/>
  <c r="O166" i="14"/>
  <c r="O367" i="14"/>
  <c r="O188" i="14"/>
  <c r="O68" i="14"/>
  <c r="O268" i="14"/>
  <c r="O44" i="14"/>
  <c r="O3" i="14"/>
  <c r="O363" i="14"/>
  <c r="O195" i="14"/>
  <c r="O243" i="14"/>
  <c r="O74" i="14"/>
  <c r="O248" i="14"/>
  <c r="O291" i="14"/>
  <c r="O214" i="14"/>
  <c r="O39" i="14"/>
  <c r="O178" i="14"/>
  <c r="O242" i="14"/>
  <c r="O115" i="14"/>
  <c r="O282" i="14"/>
  <c r="O58" i="14"/>
  <c r="O84" i="14"/>
  <c r="O111" i="14"/>
  <c r="O339" i="14"/>
  <c r="O169" i="14"/>
  <c r="O334" i="14"/>
  <c r="O156" i="14"/>
  <c r="O62" i="14"/>
  <c r="O83" i="14"/>
  <c r="O106" i="14"/>
  <c r="O199" i="14"/>
  <c r="O205" i="14"/>
  <c r="O206" i="14"/>
  <c r="O95" i="14"/>
  <c r="O96" i="14"/>
  <c r="O8" i="14"/>
  <c r="O347" i="14"/>
  <c r="O164" i="14"/>
  <c r="O163" i="14"/>
  <c r="O168" i="14"/>
  <c r="O220" i="14"/>
  <c r="O112" i="14"/>
  <c r="O353" i="14"/>
  <c r="O144" i="14"/>
  <c r="O346" i="14"/>
  <c r="O292" i="14"/>
  <c r="O308" i="14"/>
  <c r="O104" i="14"/>
  <c r="O352" i="14"/>
  <c r="O81" i="14"/>
  <c r="O293" i="14"/>
  <c r="O171" i="14"/>
  <c r="O114" i="14"/>
  <c r="O312" i="14"/>
  <c r="O223" i="14"/>
  <c r="O300" i="14"/>
  <c r="O351" i="14"/>
  <c r="O267" i="14"/>
  <c r="O364" i="14"/>
  <c r="O231" i="14"/>
  <c r="O167" i="14"/>
  <c r="O165" i="14"/>
  <c r="O254" i="14"/>
  <c r="O69" i="14"/>
  <c r="O299" i="14"/>
  <c r="O314" i="14"/>
  <c r="O141" i="14"/>
  <c r="O145" i="14"/>
  <c r="O286" i="14"/>
  <c r="O360" i="14"/>
  <c r="O341" i="14"/>
  <c r="O224" i="14"/>
  <c r="O159" i="14"/>
  <c r="O99" i="14"/>
  <c r="O204" i="14"/>
  <c r="O175" i="14"/>
  <c r="O63" i="14"/>
  <c r="O66" i="14"/>
  <c r="O182" i="14"/>
  <c r="O275" i="14"/>
  <c r="O187" i="14"/>
  <c r="O105" i="14"/>
  <c r="O361" i="14"/>
  <c r="O320" i="14"/>
  <c r="O174" i="14"/>
  <c r="O259" i="14"/>
  <c r="O234" i="14"/>
  <c r="O218" i="14"/>
  <c r="O336" i="14"/>
  <c r="O153" i="14"/>
  <c r="O298" i="14"/>
  <c r="O333" i="14"/>
  <c r="O110" i="14"/>
  <c r="O98" i="14"/>
  <c r="O365" i="14"/>
  <c r="O135" i="14"/>
  <c r="O245" i="14"/>
  <c r="O215" i="14"/>
  <c r="O127" i="14"/>
  <c r="O311" i="14"/>
  <c r="O176" i="14"/>
  <c r="O244" i="14"/>
  <c r="O247" i="14"/>
  <c r="O330" i="14"/>
  <c r="O126" i="14"/>
  <c r="O147" i="14"/>
  <c r="O35" i="14"/>
  <c r="O181" i="14"/>
  <c r="D22" i="11"/>
  <c r="O12" i="14"/>
  <c r="O20" i="14"/>
  <c r="O28" i="14"/>
  <c r="O29" i="14"/>
  <c r="O14" i="14"/>
  <c r="O27" i="14"/>
  <c r="O15" i="14"/>
  <c r="O26" i="14"/>
  <c r="O32" i="14"/>
  <c r="O21" i="14"/>
  <c r="O18" i="14"/>
  <c r="O16" i="14"/>
  <c r="O17" i="14"/>
  <c r="O13" i="14"/>
  <c r="O22" i="14"/>
  <c r="O30" i="14"/>
  <c r="O11" i="14"/>
  <c r="O33" i="14"/>
  <c r="O23" i="14"/>
  <c r="D25" i="11"/>
  <c r="E25" i="11" s="1"/>
  <c r="O25" i="14"/>
  <c r="O31" i="14"/>
  <c r="O24" i="14"/>
  <c r="N11" i="9"/>
  <c r="O19" i="14"/>
  <c r="L11" i="9"/>
  <c r="O10" i="14"/>
  <c r="L4" i="10"/>
  <c r="D27" i="11" s="1"/>
  <c r="E27" i="11" s="1"/>
  <c r="L4" i="9"/>
  <c r="D26" i="11" s="1"/>
  <c r="E26" i="11" s="1"/>
  <c r="L18" i="9"/>
  <c r="J11" i="9"/>
  <c r="J4" i="10"/>
  <c r="J4" i="9"/>
  <c r="J18" i="9"/>
  <c r="O34" i="14"/>
  <c r="N4" i="10"/>
  <c r="N4" i="9"/>
  <c r="N18" i="9"/>
  <c r="AA2" i="15"/>
  <c r="AA6" i="15"/>
  <c r="AA3" i="15"/>
  <c r="AA10" i="15"/>
  <c r="AA4" i="15"/>
  <c r="AA5" i="15"/>
  <c r="AA8" i="15"/>
  <c r="AA11" i="15"/>
  <c r="AA12" i="15"/>
  <c r="AA13" i="15"/>
  <c r="AA7" i="15"/>
  <c r="AA9" i="15"/>
  <c r="AA14" i="15"/>
  <c r="AA15" i="15"/>
  <c r="AA18" i="15"/>
  <c r="AA21" i="15"/>
  <c r="AA24" i="15"/>
  <c r="AA16" i="15"/>
  <c r="AA17" i="15"/>
  <c r="AA22" i="15"/>
  <c r="AA25" i="15"/>
  <c r="AA19" i="15"/>
  <c r="AA20" i="15"/>
  <c r="AA23" i="15"/>
  <c r="U24" i="15"/>
  <c r="X24" i="15" s="1"/>
  <c r="U21" i="15"/>
  <c r="X21" i="15" s="1"/>
  <c r="U13" i="15"/>
  <c r="X13" i="15" s="1"/>
  <c r="S4" i="10"/>
  <c r="D36" i="11" s="1"/>
  <c r="E36" i="11" s="1"/>
  <c r="V4" i="9"/>
  <c r="D35" i="11" s="1"/>
  <c r="E35" i="11" s="1"/>
  <c r="U22" i="15"/>
  <c r="X22" i="15" s="1"/>
  <c r="U23" i="15"/>
  <c r="X23" i="15" s="1"/>
  <c r="U14" i="15"/>
  <c r="X14" i="15" s="1"/>
  <c r="E37" i="11"/>
  <c r="U16" i="15"/>
  <c r="X16" i="15" s="1"/>
  <c r="D28" i="11"/>
  <c r="U9" i="15"/>
  <c r="X9" i="15" s="1"/>
  <c r="E10" i="11"/>
  <c r="U5" i="15"/>
  <c r="X5" i="15" s="1"/>
  <c r="U18" i="15"/>
  <c r="X18" i="15" s="1"/>
  <c r="U12" i="15"/>
  <c r="X12" i="15" s="1"/>
  <c r="D34" i="11"/>
  <c r="E34" i="11" s="1"/>
  <c r="V4" i="15"/>
  <c r="Y4" i="15" s="1"/>
  <c r="V3" i="15"/>
  <c r="Y3" i="15" s="1"/>
  <c r="V2" i="15"/>
  <c r="Y2" i="15" s="1"/>
  <c r="R69" i="7"/>
  <c r="Q69" i="7"/>
  <c r="I68" i="7"/>
  <c r="O68" i="7" s="1"/>
  <c r="H68" i="7"/>
  <c r="N68" i="7" s="1"/>
  <c r="S69" i="7"/>
  <c r="D69" i="7"/>
  <c r="L68" i="7"/>
  <c r="J69" i="7"/>
  <c r="K69" i="7"/>
  <c r="F69" i="7"/>
  <c r="G69" i="7" s="1"/>
  <c r="M69" i="7" s="1"/>
  <c r="C69" i="7"/>
  <c r="B70" i="7"/>
  <c r="P70" i="7" s="1"/>
  <c r="R70" i="7" s="1"/>
  <c r="D16" i="11" l="1"/>
  <c r="V15" i="15"/>
  <c r="Y15" i="15" s="1"/>
  <c r="V14" i="15"/>
  <c r="Y14" i="15" s="1"/>
  <c r="V16" i="15"/>
  <c r="Y16" i="15" s="1"/>
  <c r="V17" i="15"/>
  <c r="Y17" i="15" s="1"/>
  <c r="E4" i="9"/>
  <c r="C11" i="11" s="1"/>
  <c r="V23" i="15"/>
  <c r="Y23" i="15" s="1"/>
  <c r="V24" i="15"/>
  <c r="Y24" i="15" s="1"/>
  <c r="V20" i="15"/>
  <c r="Y20" i="15" s="1"/>
  <c r="V7" i="15"/>
  <c r="Y7" i="15" s="1"/>
  <c r="V11" i="15"/>
  <c r="Y11" i="15" s="1"/>
  <c r="V10" i="15"/>
  <c r="Y10" i="15" s="1"/>
  <c r="V6" i="15"/>
  <c r="Y6" i="15" s="1"/>
  <c r="V9" i="15"/>
  <c r="Y9" i="15" s="1"/>
  <c r="V22" i="15"/>
  <c r="Y22" i="15" s="1"/>
  <c r="G4" i="9"/>
  <c r="C29" i="11" s="1"/>
  <c r="V8" i="15"/>
  <c r="Y8" i="15" s="1"/>
  <c r="V5" i="15"/>
  <c r="Y5" i="15" s="1"/>
  <c r="V18" i="15"/>
  <c r="Y18" i="15" s="1"/>
  <c r="V13" i="15"/>
  <c r="Y13" i="15" s="1"/>
  <c r="V19" i="15"/>
  <c r="Y19" i="15" s="1"/>
  <c r="V25" i="15"/>
  <c r="Y25" i="15" s="1"/>
  <c r="V12" i="15"/>
  <c r="Y12" i="15" s="1"/>
  <c r="V21" i="15"/>
  <c r="Y21" i="15" s="1"/>
  <c r="Q70" i="7"/>
  <c r="H69" i="7"/>
  <c r="N69" i="7" s="1"/>
  <c r="I69" i="7"/>
  <c r="O69" i="7" s="1"/>
  <c r="S70" i="7"/>
  <c r="D70" i="7"/>
  <c r="L69" i="7"/>
  <c r="J70" i="7"/>
  <c r="K70" i="7"/>
  <c r="C70" i="7"/>
  <c r="B71" i="7"/>
  <c r="P71" i="7" s="1"/>
  <c r="F70" i="7"/>
  <c r="G70" i="7" s="1"/>
  <c r="M70" i="7" s="1"/>
  <c r="G4" i="10" l="1"/>
  <c r="C30" i="11" s="1"/>
  <c r="E4" i="10"/>
  <c r="C12" i="11" s="1"/>
  <c r="R71" i="7"/>
  <c r="Q71" i="7"/>
  <c r="I70" i="7"/>
  <c r="O70" i="7" s="1"/>
  <c r="H70" i="7"/>
  <c r="N70" i="7" s="1"/>
  <c r="S71" i="7"/>
  <c r="D71" i="7"/>
  <c r="L70" i="7"/>
  <c r="K71" i="7"/>
  <c r="J71" i="7"/>
  <c r="F71" i="7"/>
  <c r="G71" i="7" s="1"/>
  <c r="M71" i="7" s="1"/>
  <c r="C71" i="7"/>
  <c r="B72" i="7"/>
  <c r="P72" i="7" s="1"/>
  <c r="R72" i="7" l="1"/>
  <c r="Q72" i="7"/>
  <c r="I71" i="7"/>
  <c r="O71" i="7" s="1"/>
  <c r="H71" i="7"/>
  <c r="N71" i="7" s="1"/>
  <c r="S72" i="7"/>
  <c r="D72" i="7"/>
  <c r="L71" i="7"/>
  <c r="K72" i="7"/>
  <c r="J72" i="7"/>
  <c r="F72" i="7"/>
  <c r="G72" i="7" s="1"/>
  <c r="M72" i="7" s="1"/>
  <c r="C72" i="7"/>
  <c r="B73" i="7"/>
  <c r="P73" i="7" s="1"/>
  <c r="R73" i="7" l="1"/>
  <c r="Q73" i="7"/>
  <c r="I72" i="7"/>
  <c r="O72" i="7" s="1"/>
  <c r="H72" i="7"/>
  <c r="N72" i="7" s="1"/>
  <c r="S73" i="7"/>
  <c r="D73" i="7"/>
  <c r="L72" i="7"/>
  <c r="K73" i="7"/>
  <c r="J73" i="7"/>
  <c r="F73" i="7"/>
  <c r="G73" i="7" s="1"/>
  <c r="M73" i="7" s="1"/>
  <c r="C73" i="7"/>
  <c r="B74" i="7"/>
  <c r="P74" i="7" s="1"/>
  <c r="R74" i="7" l="1"/>
  <c r="Q74" i="7"/>
  <c r="I73" i="7"/>
  <c r="O73" i="7" s="1"/>
  <c r="H73" i="7"/>
  <c r="N73" i="7" s="1"/>
  <c r="S74" i="7"/>
  <c r="D74" i="7"/>
  <c r="L73" i="7"/>
  <c r="K74" i="7"/>
  <c r="J74" i="7"/>
  <c r="L74" i="7" s="1"/>
  <c r="F74" i="7"/>
  <c r="G74" i="7" s="1"/>
  <c r="M74" i="7" s="1"/>
  <c r="B75" i="7"/>
  <c r="P75" i="7" s="1"/>
  <c r="C74" i="7"/>
  <c r="R75" i="7" l="1"/>
  <c r="Q75" i="7"/>
  <c r="I74" i="7"/>
  <c r="O74" i="7" s="1"/>
  <c r="H74" i="7"/>
  <c r="N74" i="7" s="1"/>
  <c r="S75" i="7"/>
  <c r="D75" i="7"/>
  <c r="K75" i="7"/>
  <c r="J75" i="7"/>
  <c r="F75" i="7"/>
  <c r="G75" i="7" s="1"/>
  <c r="M75" i="7" s="1"/>
  <c r="B76" i="7"/>
  <c r="P76" i="7" s="1"/>
  <c r="C75" i="7"/>
  <c r="R76" i="7" l="1"/>
  <c r="Q76" i="7"/>
  <c r="I75" i="7"/>
  <c r="O75" i="7" s="1"/>
  <c r="H75" i="7"/>
  <c r="N75" i="7" s="1"/>
  <c r="S76" i="7"/>
  <c r="D76" i="7"/>
  <c r="L75" i="7"/>
  <c r="J76" i="7"/>
  <c r="L76" i="7" s="1"/>
  <c r="K76" i="7"/>
  <c r="F76" i="7"/>
  <c r="G76" i="7" s="1"/>
  <c r="M76" i="7" s="1"/>
  <c r="C76" i="7"/>
  <c r="B77" i="7"/>
  <c r="P77" i="7" s="1"/>
  <c r="R77" i="7" l="1"/>
  <c r="Q77" i="7"/>
  <c r="I76" i="7"/>
  <c r="O76" i="7" s="1"/>
  <c r="H76" i="7"/>
  <c r="N76" i="7" s="1"/>
  <c r="S77" i="7"/>
  <c r="D77" i="7"/>
  <c r="J77" i="7"/>
  <c r="L77" i="7" s="1"/>
  <c r="K77" i="7"/>
  <c r="F77" i="7"/>
  <c r="G77" i="7" s="1"/>
  <c r="M77" i="7" s="1"/>
  <c r="B78" i="7"/>
  <c r="P78" i="7" s="1"/>
  <c r="C77" i="7"/>
  <c r="R78" i="7" l="1"/>
  <c r="Q78" i="7"/>
  <c r="I77" i="7"/>
  <c r="O77" i="7" s="1"/>
  <c r="H77" i="7"/>
  <c r="N77" i="7" s="1"/>
  <c r="S78" i="7"/>
  <c r="D78" i="7"/>
  <c r="J78" i="7"/>
  <c r="L78" i="7" s="1"/>
  <c r="K78" i="7"/>
  <c r="C78" i="7"/>
  <c r="F78" i="7"/>
  <c r="G78" i="7" s="1"/>
  <c r="M78" i="7" s="1"/>
  <c r="B79" i="7"/>
  <c r="P79" i="7" s="1"/>
  <c r="R79" i="7" l="1"/>
  <c r="Q79" i="7"/>
  <c r="I78" i="7"/>
  <c r="O78" i="7" s="1"/>
  <c r="H78" i="7"/>
  <c r="N78" i="7" s="1"/>
  <c r="S79" i="7"/>
  <c r="D79" i="7"/>
  <c r="K79" i="7"/>
  <c r="J79" i="7"/>
  <c r="L79" i="7" s="1"/>
  <c r="F79" i="7"/>
  <c r="G79" i="7" s="1"/>
  <c r="M79" i="7" s="1"/>
  <c r="C79" i="7"/>
  <c r="B80" i="7"/>
  <c r="P80" i="7" s="1"/>
  <c r="R80" i="7" l="1"/>
  <c r="Q80" i="7"/>
  <c r="I79" i="7"/>
  <c r="O79" i="7" s="1"/>
  <c r="H79" i="7"/>
  <c r="N79" i="7" s="1"/>
  <c r="S80" i="7"/>
  <c r="D80" i="7"/>
  <c r="K80" i="7"/>
  <c r="J80" i="7"/>
  <c r="F80" i="7"/>
  <c r="G80" i="7" s="1"/>
  <c r="M80" i="7" s="1"/>
  <c r="C80" i="7"/>
  <c r="B81" i="7"/>
  <c r="P81" i="7" s="1"/>
  <c r="R81" i="7" l="1"/>
  <c r="Q81" i="7"/>
  <c r="I80" i="7"/>
  <c r="O80" i="7" s="1"/>
  <c r="H80" i="7"/>
  <c r="N80" i="7" s="1"/>
  <c r="S81" i="7"/>
  <c r="D81" i="7"/>
  <c r="L80" i="7"/>
  <c r="K81" i="7"/>
  <c r="J81" i="7"/>
  <c r="L81" i="7" s="1"/>
  <c r="F81" i="7"/>
  <c r="G81" i="7" s="1"/>
  <c r="M81" i="7" s="1"/>
  <c r="C81" i="7"/>
  <c r="B82" i="7"/>
  <c r="P82" i="7" s="1"/>
  <c r="R82" i="7" l="1"/>
  <c r="Q82" i="7"/>
  <c r="I81" i="7"/>
  <c r="O81" i="7" s="1"/>
  <c r="H81" i="7"/>
  <c r="N81" i="7" s="1"/>
  <c r="S82" i="7"/>
  <c r="D82" i="7"/>
  <c r="K82" i="7"/>
  <c r="J82" i="7"/>
  <c r="F82" i="7"/>
  <c r="G82" i="7" s="1"/>
  <c r="M82" i="7" s="1"/>
  <c r="C82" i="7"/>
  <c r="B83" i="7"/>
  <c r="P83" i="7" s="1"/>
  <c r="R83" i="7" l="1"/>
  <c r="Q83" i="7"/>
  <c r="I82" i="7"/>
  <c r="O82" i="7" s="1"/>
  <c r="H82" i="7"/>
  <c r="N82" i="7" s="1"/>
  <c r="S83" i="7"/>
  <c r="D83" i="7"/>
  <c r="L82" i="7"/>
  <c r="K83" i="7"/>
  <c r="J83" i="7"/>
  <c r="L83" i="7" s="1"/>
  <c r="F83" i="7"/>
  <c r="G83" i="7" s="1"/>
  <c r="M83" i="7" s="1"/>
  <c r="B84" i="7"/>
  <c r="P84" i="7" s="1"/>
  <c r="C83" i="7"/>
  <c r="R84" i="7" l="1"/>
  <c r="Q84" i="7"/>
  <c r="I83" i="7"/>
  <c r="O83" i="7" s="1"/>
  <c r="H83" i="7"/>
  <c r="N83" i="7" s="1"/>
  <c r="S84" i="7"/>
  <c r="D84" i="7"/>
  <c r="J84" i="7"/>
  <c r="K84" i="7"/>
  <c r="F84" i="7"/>
  <c r="G84" i="7" s="1"/>
  <c r="M84" i="7" s="1"/>
  <c r="C84" i="7"/>
  <c r="B85" i="7"/>
  <c r="P85" i="7" s="1"/>
  <c r="R85" i="7" l="1"/>
  <c r="Q85" i="7"/>
  <c r="I84" i="7"/>
  <c r="O84" i="7" s="1"/>
  <c r="H84" i="7"/>
  <c r="N84" i="7" s="1"/>
  <c r="S85" i="7"/>
  <c r="D85" i="7"/>
  <c r="L84" i="7"/>
  <c r="J85" i="7"/>
  <c r="L85" i="7" s="1"/>
  <c r="K85" i="7"/>
  <c r="F85" i="7"/>
  <c r="G85" i="7" s="1"/>
  <c r="M85" i="7" s="1"/>
  <c r="C85" i="7"/>
  <c r="B86" i="7"/>
  <c r="P86" i="7" s="1"/>
  <c r="R86" i="7" l="1"/>
  <c r="Q86" i="7"/>
  <c r="I85" i="7"/>
  <c r="O85" i="7" s="1"/>
  <c r="H85" i="7"/>
  <c r="N85" i="7" s="1"/>
  <c r="S86" i="7"/>
  <c r="D86" i="7"/>
  <c r="J86" i="7"/>
  <c r="K86" i="7"/>
  <c r="C86" i="7"/>
  <c r="F86" i="7"/>
  <c r="G86" i="7" s="1"/>
  <c r="M86" i="7" s="1"/>
  <c r="B87" i="7"/>
  <c r="P87" i="7" s="1"/>
  <c r="R87" i="7" l="1"/>
  <c r="Q87" i="7"/>
  <c r="I86" i="7"/>
  <c r="O86" i="7" s="1"/>
  <c r="H86" i="7"/>
  <c r="N86" i="7" s="1"/>
  <c r="S87" i="7"/>
  <c r="D87" i="7"/>
  <c r="L86" i="7"/>
  <c r="K87" i="7"/>
  <c r="J87" i="7"/>
  <c r="F87" i="7"/>
  <c r="G87" i="7" s="1"/>
  <c r="M87" i="7" s="1"/>
  <c r="C87" i="7"/>
  <c r="B88" i="7"/>
  <c r="P88" i="7" s="1"/>
  <c r="R88" i="7" l="1"/>
  <c r="Q88" i="7"/>
  <c r="I87" i="7"/>
  <c r="O87" i="7" s="1"/>
  <c r="H87" i="7"/>
  <c r="N87" i="7" s="1"/>
  <c r="S88" i="7"/>
  <c r="D88" i="7"/>
  <c r="L87" i="7"/>
  <c r="K88" i="7"/>
  <c r="J88" i="7"/>
  <c r="C88" i="7"/>
  <c r="B89" i="7"/>
  <c r="P89" i="7" s="1"/>
  <c r="F88" i="7"/>
  <c r="G88" i="7" s="1"/>
  <c r="M88" i="7" s="1"/>
  <c r="R89" i="7" l="1"/>
  <c r="Q89" i="7"/>
  <c r="I88" i="7"/>
  <c r="O88" i="7" s="1"/>
  <c r="H88" i="7"/>
  <c r="N88" i="7" s="1"/>
  <c r="S89" i="7"/>
  <c r="D89" i="7"/>
  <c r="L88" i="7"/>
  <c r="K89" i="7"/>
  <c r="J89" i="7"/>
  <c r="F89" i="7"/>
  <c r="G89" i="7" s="1"/>
  <c r="M89" i="7" s="1"/>
  <c r="C89" i="7"/>
  <c r="B90" i="7"/>
  <c r="P90" i="7" s="1"/>
  <c r="R90" i="7" l="1"/>
  <c r="Q90" i="7"/>
  <c r="I89" i="7"/>
  <c r="O89" i="7" s="1"/>
  <c r="H89" i="7"/>
  <c r="N89" i="7" s="1"/>
  <c r="S90" i="7"/>
  <c r="D90" i="7"/>
  <c r="L89" i="7"/>
  <c r="K90" i="7"/>
  <c r="J90" i="7"/>
  <c r="F90" i="7"/>
  <c r="G90" i="7" s="1"/>
  <c r="M90" i="7" s="1"/>
  <c r="C90" i="7"/>
  <c r="B91" i="7"/>
  <c r="P91" i="7" s="1"/>
  <c r="R91" i="7" l="1"/>
  <c r="Q91" i="7"/>
  <c r="I90" i="7"/>
  <c r="O90" i="7" s="1"/>
  <c r="H90" i="7"/>
  <c r="N90" i="7" s="1"/>
  <c r="S91" i="7"/>
  <c r="D91" i="7"/>
  <c r="L90" i="7"/>
  <c r="K91" i="7"/>
  <c r="J91" i="7"/>
  <c r="L91" i="7" s="1"/>
  <c r="F91" i="7"/>
  <c r="G91" i="7" s="1"/>
  <c r="M91" i="7" s="1"/>
  <c r="B92" i="7"/>
  <c r="P92" i="7" s="1"/>
  <c r="C91" i="7"/>
  <c r="R92" i="7" l="1"/>
  <c r="Q92" i="7"/>
  <c r="I91" i="7"/>
  <c r="O91" i="7" s="1"/>
  <c r="H91" i="7"/>
  <c r="N91" i="7" s="1"/>
  <c r="S92" i="7"/>
  <c r="D92" i="7"/>
  <c r="J92" i="7"/>
  <c r="K92" i="7"/>
  <c r="F92" i="7"/>
  <c r="G92" i="7" s="1"/>
  <c r="M92" i="7" s="1"/>
  <c r="C92" i="7"/>
  <c r="B93" i="7"/>
  <c r="P93" i="7" s="1"/>
  <c r="R93" i="7" l="1"/>
  <c r="Q93" i="7"/>
  <c r="I92" i="7"/>
  <c r="O92" i="7" s="1"/>
  <c r="H92" i="7"/>
  <c r="N92" i="7" s="1"/>
  <c r="S93" i="7"/>
  <c r="D93" i="7"/>
  <c r="L92" i="7"/>
  <c r="J93" i="7"/>
  <c r="L93" i="7" s="1"/>
  <c r="K93" i="7"/>
  <c r="F93" i="7"/>
  <c r="G93" i="7" s="1"/>
  <c r="M93" i="7" s="1"/>
  <c r="C93" i="7"/>
  <c r="B94" i="7"/>
  <c r="P94" i="7" s="1"/>
  <c r="Q94" i="7" l="1"/>
  <c r="R94" i="7"/>
  <c r="I93" i="7"/>
  <c r="O93" i="7" s="1"/>
  <c r="H93" i="7"/>
  <c r="N93" i="7" s="1"/>
  <c r="S94" i="7"/>
  <c r="D94" i="7"/>
  <c r="J94" i="7"/>
  <c r="K94" i="7"/>
  <c r="C94" i="7"/>
  <c r="B95" i="7"/>
  <c r="P95" i="7" s="1"/>
  <c r="R95" i="7" s="1"/>
  <c r="F94" i="7"/>
  <c r="G94" i="7" s="1"/>
  <c r="M94" i="7" s="1"/>
  <c r="Q95" i="7" l="1"/>
  <c r="H94" i="7"/>
  <c r="N94" i="7" s="1"/>
  <c r="I94" i="7"/>
  <c r="O94" i="7" s="1"/>
  <c r="S95" i="7"/>
  <c r="D95" i="7"/>
  <c r="L94" i="7"/>
  <c r="K95" i="7"/>
  <c r="J95" i="7"/>
  <c r="L95" i="7" s="1"/>
  <c r="F95" i="7"/>
  <c r="G95" i="7" s="1"/>
  <c r="M95" i="7" s="1"/>
  <c r="C95" i="7"/>
  <c r="B96" i="7"/>
  <c r="P96" i="7" s="1"/>
  <c r="R96" i="7" s="1"/>
  <c r="Q96" i="7" l="1"/>
  <c r="H95" i="7"/>
  <c r="N95" i="7" s="1"/>
  <c r="I95" i="7"/>
  <c r="O95" i="7" s="1"/>
  <c r="S96" i="7"/>
  <c r="D96" i="7"/>
  <c r="K96" i="7"/>
  <c r="J96" i="7"/>
  <c r="C96" i="7"/>
  <c r="F96" i="7"/>
  <c r="G96" i="7" s="1"/>
  <c r="M96" i="7" s="1"/>
  <c r="B97" i="7"/>
  <c r="P97" i="7" s="1"/>
  <c r="R97" i="7" s="1"/>
  <c r="Q97" i="7" l="1"/>
  <c r="I96" i="7"/>
  <c r="O96" i="7" s="1"/>
  <c r="H96" i="7"/>
  <c r="N96" i="7" s="1"/>
  <c r="S97" i="7"/>
  <c r="D97" i="7"/>
  <c r="L96" i="7"/>
  <c r="K97" i="7"/>
  <c r="J97" i="7"/>
  <c r="F97" i="7"/>
  <c r="G97" i="7" s="1"/>
  <c r="M97" i="7" s="1"/>
  <c r="C97" i="7"/>
  <c r="B98" i="7"/>
  <c r="P98" i="7" s="1"/>
  <c r="R98" i="7" s="1"/>
  <c r="Q98" i="7" l="1"/>
  <c r="I97" i="7"/>
  <c r="O97" i="7" s="1"/>
  <c r="H97" i="7"/>
  <c r="N97" i="7" s="1"/>
  <c r="S98" i="7"/>
  <c r="D98" i="7"/>
  <c r="L97" i="7"/>
  <c r="K98" i="7"/>
  <c r="J98" i="7"/>
  <c r="L98" i="7" s="1"/>
  <c r="F98" i="7"/>
  <c r="G98" i="7" s="1"/>
  <c r="M98" i="7" s="1"/>
  <c r="B99" i="7"/>
  <c r="P99" i="7" s="1"/>
  <c r="R99" i="7" s="1"/>
  <c r="C98" i="7"/>
  <c r="Q99" i="7" l="1"/>
  <c r="H98" i="7"/>
  <c r="N98" i="7" s="1"/>
  <c r="I98" i="7"/>
  <c r="O98" i="7" s="1"/>
  <c r="S99" i="7"/>
  <c r="D99" i="7"/>
  <c r="K99" i="7"/>
  <c r="J99" i="7"/>
  <c r="L99" i="7" s="1"/>
  <c r="F99" i="7"/>
  <c r="G99" i="7" s="1"/>
  <c r="M99" i="7" s="1"/>
  <c r="B100" i="7"/>
  <c r="P100" i="7" s="1"/>
  <c r="C99" i="7"/>
  <c r="R100" i="7" l="1"/>
  <c r="Q100" i="7"/>
  <c r="I99" i="7"/>
  <c r="O99" i="7" s="1"/>
  <c r="H99" i="7"/>
  <c r="N99" i="7" s="1"/>
  <c r="S100" i="7"/>
  <c r="D100" i="7"/>
  <c r="J100" i="7"/>
  <c r="K100" i="7"/>
  <c r="F100" i="7"/>
  <c r="G100" i="7" s="1"/>
  <c r="M100" i="7" s="1"/>
  <c r="C100" i="7"/>
  <c r="B101" i="7"/>
  <c r="P101" i="7" s="1"/>
  <c r="R101" i="7" l="1"/>
  <c r="Q101" i="7"/>
  <c r="I100" i="7"/>
  <c r="O100" i="7" s="1"/>
  <c r="H100" i="7"/>
  <c r="N100" i="7" s="1"/>
  <c r="S101" i="7"/>
  <c r="D101" i="7"/>
  <c r="L100" i="7"/>
  <c r="J101" i="7"/>
  <c r="L101" i="7" s="1"/>
  <c r="K101" i="7"/>
  <c r="F101" i="7"/>
  <c r="G101" i="7" s="1"/>
  <c r="M101" i="7" s="1"/>
  <c r="C101" i="7"/>
  <c r="B102" i="7"/>
  <c r="P102" i="7" s="1"/>
  <c r="R102" i="7" l="1"/>
  <c r="Q102" i="7"/>
  <c r="I101" i="7"/>
  <c r="O101" i="7" s="1"/>
  <c r="H101" i="7"/>
  <c r="N101" i="7" s="1"/>
  <c r="S102" i="7"/>
  <c r="D102" i="7"/>
  <c r="J102" i="7"/>
  <c r="K102" i="7"/>
  <c r="C102" i="7"/>
  <c r="F102" i="7"/>
  <c r="G102" i="7" s="1"/>
  <c r="M102" i="7" s="1"/>
  <c r="B103" i="7"/>
  <c r="P103" i="7" s="1"/>
  <c r="R103" i="7" l="1"/>
  <c r="Q103" i="7"/>
  <c r="I102" i="7"/>
  <c r="O102" i="7" s="1"/>
  <c r="H102" i="7"/>
  <c r="N102" i="7" s="1"/>
  <c r="S103" i="7"/>
  <c r="D103" i="7"/>
  <c r="L102" i="7"/>
  <c r="K103" i="7"/>
  <c r="J103" i="7"/>
  <c r="L103" i="7" s="1"/>
  <c r="F103" i="7"/>
  <c r="G103" i="7" s="1"/>
  <c r="M103" i="7" s="1"/>
  <c r="C103" i="7"/>
  <c r="B104" i="7"/>
  <c r="P104" i="7" s="1"/>
  <c r="R104" i="7" l="1"/>
  <c r="Q104" i="7"/>
  <c r="I103" i="7"/>
  <c r="O103" i="7" s="1"/>
  <c r="H103" i="7"/>
  <c r="N103" i="7" s="1"/>
  <c r="S104" i="7"/>
  <c r="D104" i="7"/>
  <c r="K104" i="7"/>
  <c r="J104" i="7"/>
  <c r="F104" i="7"/>
  <c r="G104" i="7" s="1"/>
  <c r="M104" i="7" s="1"/>
  <c r="C104" i="7"/>
  <c r="B105" i="7"/>
  <c r="P105" i="7" s="1"/>
  <c r="R105" i="7" l="1"/>
  <c r="Q105" i="7"/>
  <c r="I104" i="7"/>
  <c r="O104" i="7" s="1"/>
  <c r="H104" i="7"/>
  <c r="N104" i="7" s="1"/>
  <c r="S105" i="7"/>
  <c r="D105" i="7"/>
  <c r="L104" i="7"/>
  <c r="K105" i="7"/>
  <c r="J105" i="7"/>
  <c r="F105" i="7"/>
  <c r="G105" i="7" s="1"/>
  <c r="M105" i="7" s="1"/>
  <c r="C105" i="7"/>
  <c r="B106" i="7"/>
  <c r="P106" i="7" s="1"/>
  <c r="R106" i="7" l="1"/>
  <c r="Q106" i="7"/>
  <c r="I105" i="7"/>
  <c r="O105" i="7" s="1"/>
  <c r="H105" i="7"/>
  <c r="N105" i="7" s="1"/>
  <c r="S106" i="7"/>
  <c r="D106" i="7"/>
  <c r="L105" i="7"/>
  <c r="K106" i="7"/>
  <c r="J106" i="7"/>
  <c r="F106" i="7"/>
  <c r="G106" i="7" s="1"/>
  <c r="M106" i="7" s="1"/>
  <c r="C106" i="7"/>
  <c r="B107" i="7"/>
  <c r="P107" i="7" s="1"/>
  <c r="R107" i="7" l="1"/>
  <c r="Q107" i="7"/>
  <c r="I106" i="7"/>
  <c r="O106" i="7" s="1"/>
  <c r="H106" i="7"/>
  <c r="N106" i="7" s="1"/>
  <c r="S107" i="7"/>
  <c r="D107" i="7"/>
  <c r="L106" i="7"/>
  <c r="K107" i="7"/>
  <c r="J107" i="7"/>
  <c r="L107" i="7" s="1"/>
  <c r="F107" i="7"/>
  <c r="G107" i="7" s="1"/>
  <c r="M107" i="7" s="1"/>
  <c r="B108" i="7"/>
  <c r="P108" i="7" s="1"/>
  <c r="C107" i="7"/>
  <c r="R108" i="7" l="1"/>
  <c r="Q108" i="7"/>
  <c r="I107" i="7"/>
  <c r="O107" i="7" s="1"/>
  <c r="H107" i="7"/>
  <c r="N107" i="7" s="1"/>
  <c r="S108" i="7"/>
  <c r="D108" i="7"/>
  <c r="J108" i="7"/>
  <c r="K108" i="7"/>
  <c r="F108" i="7"/>
  <c r="G108" i="7" s="1"/>
  <c r="M108" i="7" s="1"/>
  <c r="C108" i="7"/>
  <c r="B109" i="7"/>
  <c r="P109" i="7" s="1"/>
  <c r="R109" i="7" l="1"/>
  <c r="Q109" i="7"/>
  <c r="I108" i="7"/>
  <c r="O108" i="7" s="1"/>
  <c r="H108" i="7"/>
  <c r="N108" i="7" s="1"/>
  <c r="S109" i="7"/>
  <c r="D109" i="7"/>
  <c r="L108" i="7"/>
  <c r="J109" i="7"/>
  <c r="L109" i="7" s="1"/>
  <c r="K109" i="7"/>
  <c r="F109" i="7"/>
  <c r="G109" i="7" s="1"/>
  <c r="M109" i="7" s="1"/>
  <c r="C109" i="7"/>
  <c r="B110" i="7"/>
  <c r="P110" i="7" s="1"/>
  <c r="R110" i="7" l="1"/>
  <c r="Q110" i="7"/>
  <c r="I109" i="7"/>
  <c r="O109" i="7" s="1"/>
  <c r="H109" i="7"/>
  <c r="N109" i="7" s="1"/>
  <c r="S110" i="7"/>
  <c r="D110" i="7"/>
  <c r="J110" i="7"/>
  <c r="K110" i="7"/>
  <c r="C110" i="7"/>
  <c r="F110" i="7"/>
  <c r="G110" i="7" s="1"/>
  <c r="M110" i="7" s="1"/>
  <c r="B111" i="7"/>
  <c r="P111" i="7" s="1"/>
  <c r="R111" i="7" l="1"/>
  <c r="Q111" i="7"/>
  <c r="I110" i="7"/>
  <c r="O110" i="7" s="1"/>
  <c r="H110" i="7"/>
  <c r="N110" i="7" s="1"/>
  <c r="S111" i="7"/>
  <c r="D111" i="7"/>
  <c r="L110" i="7"/>
  <c r="K111" i="7"/>
  <c r="J111" i="7"/>
  <c r="F111" i="7"/>
  <c r="G111" i="7" s="1"/>
  <c r="M111" i="7" s="1"/>
  <c r="C111" i="7"/>
  <c r="B112" i="7"/>
  <c r="P112" i="7" s="1"/>
  <c r="R112" i="7" l="1"/>
  <c r="Q112" i="7"/>
  <c r="I111" i="7"/>
  <c r="O111" i="7" s="1"/>
  <c r="H111" i="7"/>
  <c r="N111" i="7" s="1"/>
  <c r="S112" i="7"/>
  <c r="D112" i="7"/>
  <c r="L111" i="7"/>
  <c r="K112" i="7"/>
  <c r="J112" i="7"/>
  <c r="F112" i="7"/>
  <c r="G112" i="7" s="1"/>
  <c r="M112" i="7" s="1"/>
  <c r="C112" i="7"/>
  <c r="B113" i="7"/>
  <c r="P113" i="7" s="1"/>
  <c r="R113" i="7" l="1"/>
  <c r="Q113" i="7"/>
  <c r="I112" i="7"/>
  <c r="O112" i="7" s="1"/>
  <c r="H112" i="7"/>
  <c r="N112" i="7" s="1"/>
  <c r="S113" i="7"/>
  <c r="D113" i="7"/>
  <c r="L112" i="7"/>
  <c r="K113" i="7"/>
  <c r="J113" i="7"/>
  <c r="L113" i="7" s="1"/>
  <c r="F113" i="7"/>
  <c r="G113" i="7" s="1"/>
  <c r="M113" i="7" s="1"/>
  <c r="C113" i="7"/>
  <c r="B114" i="7"/>
  <c r="P114" i="7" s="1"/>
  <c r="R114" i="7" l="1"/>
  <c r="Q114" i="7"/>
  <c r="I113" i="7"/>
  <c r="O113" i="7" s="1"/>
  <c r="H113" i="7"/>
  <c r="N113" i="7" s="1"/>
  <c r="S114" i="7"/>
  <c r="D114" i="7"/>
  <c r="K114" i="7"/>
  <c r="J114" i="7"/>
  <c r="L114" i="7" s="1"/>
  <c r="F114" i="7"/>
  <c r="G114" i="7" s="1"/>
  <c r="M114" i="7" s="1"/>
  <c r="C114" i="7"/>
  <c r="B115" i="7"/>
  <c r="P115" i="7" s="1"/>
  <c r="R115" i="7" l="1"/>
  <c r="Q115" i="7"/>
  <c r="I114" i="7"/>
  <c r="O114" i="7" s="1"/>
  <c r="H114" i="7"/>
  <c r="N114" i="7" s="1"/>
  <c r="S115" i="7"/>
  <c r="D115" i="7"/>
  <c r="K115" i="7"/>
  <c r="J115" i="7"/>
  <c r="F115" i="7"/>
  <c r="G115" i="7" s="1"/>
  <c r="M115" i="7" s="1"/>
  <c r="B116" i="7"/>
  <c r="P116" i="7" s="1"/>
  <c r="C115" i="7"/>
  <c r="R116" i="7" l="1"/>
  <c r="Q116" i="7"/>
  <c r="I115" i="7"/>
  <c r="O115" i="7" s="1"/>
  <c r="H115" i="7"/>
  <c r="N115" i="7" s="1"/>
  <c r="S116" i="7"/>
  <c r="D116" i="7"/>
  <c r="L115" i="7"/>
  <c r="J116" i="7"/>
  <c r="L116" i="7" s="1"/>
  <c r="K116" i="7"/>
  <c r="F116" i="7"/>
  <c r="G116" i="7" s="1"/>
  <c r="M116" i="7" s="1"/>
  <c r="C116" i="7"/>
  <c r="B117" i="7"/>
  <c r="P117" i="7" s="1"/>
  <c r="R117" i="7" l="1"/>
  <c r="Q117" i="7"/>
  <c r="I116" i="7"/>
  <c r="O116" i="7" s="1"/>
  <c r="H116" i="7"/>
  <c r="N116" i="7" s="1"/>
  <c r="S117" i="7"/>
  <c r="D117" i="7"/>
  <c r="J117" i="7"/>
  <c r="L117" i="7" s="1"/>
  <c r="K117" i="7"/>
  <c r="F117" i="7"/>
  <c r="G117" i="7" s="1"/>
  <c r="M117" i="7" s="1"/>
  <c r="B118" i="7"/>
  <c r="P118" i="7" s="1"/>
  <c r="C117" i="7"/>
  <c r="R118" i="7" l="1"/>
  <c r="Q118" i="7"/>
  <c r="I117" i="7"/>
  <c r="O117" i="7" s="1"/>
  <c r="H117" i="7"/>
  <c r="N117" i="7" s="1"/>
  <c r="S118" i="7"/>
  <c r="D118" i="7"/>
  <c r="J118" i="7"/>
  <c r="K118" i="7"/>
  <c r="C118" i="7"/>
  <c r="F118" i="7"/>
  <c r="G118" i="7" s="1"/>
  <c r="M118" i="7" s="1"/>
  <c r="B119" i="7"/>
  <c r="P119" i="7" s="1"/>
  <c r="R119" i="7" l="1"/>
  <c r="Q119" i="7"/>
  <c r="I118" i="7"/>
  <c r="O118" i="7" s="1"/>
  <c r="H118" i="7"/>
  <c r="N118" i="7" s="1"/>
  <c r="S119" i="7"/>
  <c r="D119" i="7"/>
  <c r="L118" i="7"/>
  <c r="K119" i="7"/>
  <c r="J119" i="7"/>
  <c r="F119" i="7"/>
  <c r="G119" i="7" s="1"/>
  <c r="M119" i="7" s="1"/>
  <c r="C119" i="7"/>
  <c r="B120" i="7"/>
  <c r="P120" i="7" s="1"/>
  <c r="R120" i="7" l="1"/>
  <c r="Q120" i="7"/>
  <c r="I119" i="7"/>
  <c r="O119" i="7" s="1"/>
  <c r="H119" i="7"/>
  <c r="N119" i="7" s="1"/>
  <c r="S120" i="7"/>
  <c r="D120" i="7"/>
  <c r="L119" i="7"/>
  <c r="K120" i="7"/>
  <c r="J120" i="7"/>
  <c r="L120" i="7" s="1"/>
  <c r="C120" i="7"/>
  <c r="F120" i="7"/>
  <c r="G120" i="7" s="1"/>
  <c r="M120" i="7" s="1"/>
  <c r="B121" i="7"/>
  <c r="P121" i="7" s="1"/>
  <c r="R121" i="7" l="1"/>
  <c r="Q121" i="7"/>
  <c r="I120" i="7"/>
  <c r="O120" i="7" s="1"/>
  <c r="H120" i="7"/>
  <c r="N120" i="7" s="1"/>
  <c r="S121" i="7"/>
  <c r="D121" i="7"/>
  <c r="K121" i="7"/>
  <c r="J121" i="7"/>
  <c r="F121" i="7"/>
  <c r="G121" i="7" s="1"/>
  <c r="M121" i="7" s="1"/>
  <c r="C121" i="7"/>
  <c r="B122" i="7"/>
  <c r="P122" i="7" s="1"/>
  <c r="R122" i="7" l="1"/>
  <c r="Q122" i="7"/>
  <c r="I121" i="7"/>
  <c r="O121" i="7" s="1"/>
  <c r="H121" i="7"/>
  <c r="N121" i="7" s="1"/>
  <c r="S122" i="7"/>
  <c r="D122" i="7"/>
  <c r="L121" i="7"/>
  <c r="K122" i="7"/>
  <c r="J122" i="7"/>
  <c r="L122" i="7" s="1"/>
  <c r="F122" i="7"/>
  <c r="G122" i="7" s="1"/>
  <c r="M122" i="7" s="1"/>
  <c r="C122" i="7"/>
  <c r="B123" i="7"/>
  <c r="P123" i="7" s="1"/>
  <c r="R123" i="7" l="1"/>
  <c r="Q123" i="7"/>
  <c r="I122" i="7"/>
  <c r="O122" i="7" s="1"/>
  <c r="H122" i="7"/>
  <c r="N122" i="7" s="1"/>
  <c r="S123" i="7"/>
  <c r="D123" i="7"/>
  <c r="K123" i="7"/>
  <c r="J123" i="7"/>
  <c r="L123" i="7" s="1"/>
  <c r="F123" i="7"/>
  <c r="G123" i="7" s="1"/>
  <c r="M123" i="7" s="1"/>
  <c r="B124" i="7"/>
  <c r="P124" i="7" s="1"/>
  <c r="C123" i="7"/>
  <c r="R124" i="7" l="1"/>
  <c r="Q124" i="7"/>
  <c r="I123" i="7"/>
  <c r="O123" i="7" s="1"/>
  <c r="H123" i="7"/>
  <c r="N123" i="7" s="1"/>
  <c r="S124" i="7"/>
  <c r="D124" i="7"/>
  <c r="J124" i="7"/>
  <c r="K124" i="7"/>
  <c r="F124" i="7"/>
  <c r="G124" i="7" s="1"/>
  <c r="M124" i="7" s="1"/>
  <c r="C124" i="7"/>
  <c r="B125" i="7"/>
  <c r="P125" i="7" s="1"/>
  <c r="Q125" i="7" l="1"/>
  <c r="R125" i="7"/>
  <c r="I124" i="7"/>
  <c r="O124" i="7" s="1"/>
  <c r="H124" i="7"/>
  <c r="N124" i="7" s="1"/>
  <c r="S125" i="7"/>
  <c r="D125" i="7"/>
  <c r="L124" i="7"/>
  <c r="J125" i="7"/>
  <c r="K125" i="7"/>
  <c r="F125" i="7"/>
  <c r="G125" i="7" s="1"/>
  <c r="M125" i="7" s="1"/>
  <c r="C125" i="7"/>
  <c r="B126" i="7"/>
  <c r="P126" i="7" s="1"/>
  <c r="R126" i="7" s="1"/>
  <c r="Q126" i="7" l="1"/>
  <c r="H125" i="7"/>
  <c r="N125" i="7" s="1"/>
  <c r="I125" i="7"/>
  <c r="O125" i="7" s="1"/>
  <c r="S126" i="7"/>
  <c r="D126" i="7"/>
  <c r="L125" i="7"/>
  <c r="J126" i="7"/>
  <c r="L126" i="7" s="1"/>
  <c r="K126" i="7"/>
  <c r="C126" i="7"/>
  <c r="B127" i="7"/>
  <c r="P127" i="7" s="1"/>
  <c r="F126" i="7"/>
  <c r="G126" i="7" s="1"/>
  <c r="M126" i="7" s="1"/>
  <c r="R127" i="7" l="1"/>
  <c r="Q127" i="7"/>
  <c r="I126" i="7"/>
  <c r="O126" i="7" s="1"/>
  <c r="H126" i="7"/>
  <c r="N126" i="7" s="1"/>
  <c r="S127" i="7"/>
  <c r="D127" i="7"/>
  <c r="K127" i="7"/>
  <c r="J127" i="7"/>
  <c r="F127" i="7"/>
  <c r="G127" i="7" s="1"/>
  <c r="M127" i="7" s="1"/>
  <c r="C127" i="7"/>
  <c r="B128" i="7"/>
  <c r="P128" i="7" s="1"/>
  <c r="R128" i="7" s="1"/>
  <c r="Q128" i="7" l="1"/>
  <c r="H127" i="7"/>
  <c r="N127" i="7" s="1"/>
  <c r="I127" i="7"/>
  <c r="O127" i="7" s="1"/>
  <c r="S128" i="7"/>
  <c r="D128" i="7"/>
  <c r="L127" i="7"/>
  <c r="K128" i="7"/>
  <c r="J128" i="7"/>
  <c r="C128" i="7"/>
  <c r="F128" i="7"/>
  <c r="G128" i="7" s="1"/>
  <c r="M128" i="7" s="1"/>
  <c r="B129" i="7"/>
  <c r="P129" i="7" s="1"/>
  <c r="R129" i="7" s="1"/>
  <c r="Q129" i="7" l="1"/>
  <c r="I128" i="7"/>
  <c r="O128" i="7" s="1"/>
  <c r="H128" i="7"/>
  <c r="N128" i="7" s="1"/>
  <c r="S129" i="7"/>
  <c r="D129" i="7"/>
  <c r="L128" i="7"/>
  <c r="K129" i="7"/>
  <c r="J129" i="7"/>
  <c r="L129" i="7" s="1"/>
  <c r="F129" i="7"/>
  <c r="G129" i="7" s="1"/>
  <c r="M129" i="7" s="1"/>
  <c r="C129" i="7"/>
  <c r="B130" i="7"/>
  <c r="P130" i="7" s="1"/>
  <c r="R130" i="7" s="1"/>
  <c r="Q130" i="7" l="1"/>
  <c r="I129" i="7"/>
  <c r="O129" i="7" s="1"/>
  <c r="H129" i="7"/>
  <c r="N129" i="7" s="1"/>
  <c r="S130" i="7"/>
  <c r="D130" i="7"/>
  <c r="K130" i="7"/>
  <c r="J130" i="7"/>
  <c r="F130" i="7"/>
  <c r="G130" i="7" s="1"/>
  <c r="M130" i="7" s="1"/>
  <c r="C130" i="7"/>
  <c r="B131" i="7"/>
  <c r="P131" i="7" s="1"/>
  <c r="R131" i="7" l="1"/>
  <c r="Q131" i="7"/>
  <c r="I130" i="7"/>
  <c r="O130" i="7" s="1"/>
  <c r="H130" i="7"/>
  <c r="N130" i="7" s="1"/>
  <c r="S131" i="7"/>
  <c r="D131" i="7"/>
  <c r="L130" i="7"/>
  <c r="K131" i="7"/>
  <c r="J131" i="7"/>
  <c r="F131" i="7"/>
  <c r="G131" i="7" s="1"/>
  <c r="M131" i="7" s="1"/>
  <c r="B132" i="7"/>
  <c r="P132" i="7" s="1"/>
  <c r="C131" i="7"/>
  <c r="R132" i="7" l="1"/>
  <c r="Q132" i="7"/>
  <c r="H131" i="7"/>
  <c r="N131" i="7" s="1"/>
  <c r="I131" i="7"/>
  <c r="O131" i="7" s="1"/>
  <c r="S132" i="7"/>
  <c r="D132" i="7"/>
  <c r="L131" i="7"/>
  <c r="J132" i="7"/>
  <c r="K132" i="7"/>
  <c r="F132" i="7"/>
  <c r="G132" i="7" s="1"/>
  <c r="M132" i="7" s="1"/>
  <c r="C132" i="7"/>
  <c r="B133" i="7"/>
  <c r="P133" i="7" s="1"/>
  <c r="R133" i="7" l="1"/>
  <c r="Q133" i="7"/>
  <c r="I132" i="7"/>
  <c r="O132" i="7" s="1"/>
  <c r="H132" i="7"/>
  <c r="N132" i="7" s="1"/>
  <c r="S133" i="7"/>
  <c r="D133" i="7"/>
  <c r="L132" i="7"/>
  <c r="J133" i="7"/>
  <c r="L133" i="7" s="1"/>
  <c r="K133" i="7"/>
  <c r="F133" i="7"/>
  <c r="G133" i="7" s="1"/>
  <c r="M133" i="7" s="1"/>
  <c r="C133" i="7"/>
  <c r="B134" i="7"/>
  <c r="P134" i="7" s="1"/>
  <c r="R134" i="7" l="1"/>
  <c r="Q134" i="7"/>
  <c r="I133" i="7"/>
  <c r="O133" i="7" s="1"/>
  <c r="H133" i="7"/>
  <c r="N133" i="7" s="1"/>
  <c r="S134" i="7"/>
  <c r="D134" i="7"/>
  <c r="J134" i="7"/>
  <c r="K134" i="7"/>
  <c r="C134" i="7"/>
  <c r="F134" i="7"/>
  <c r="G134" i="7" s="1"/>
  <c r="M134" i="7" s="1"/>
  <c r="B135" i="7"/>
  <c r="P135" i="7" s="1"/>
  <c r="R135" i="7" l="1"/>
  <c r="Q135" i="7"/>
  <c r="I134" i="7"/>
  <c r="O134" i="7" s="1"/>
  <c r="H134" i="7"/>
  <c r="N134" i="7" s="1"/>
  <c r="S135" i="7"/>
  <c r="D135" i="7"/>
  <c r="L134" i="7"/>
  <c r="K135" i="7"/>
  <c r="J135" i="7"/>
  <c r="L135" i="7" s="1"/>
  <c r="F135" i="7"/>
  <c r="G135" i="7" s="1"/>
  <c r="M135" i="7" s="1"/>
  <c r="C135" i="7"/>
  <c r="B136" i="7"/>
  <c r="P136" i="7" s="1"/>
  <c r="R136" i="7" l="1"/>
  <c r="Q136" i="7"/>
  <c r="I135" i="7"/>
  <c r="O135" i="7" s="1"/>
  <c r="H135" i="7"/>
  <c r="N135" i="7" s="1"/>
  <c r="S136" i="7"/>
  <c r="D136" i="7"/>
  <c r="K136" i="7"/>
  <c r="J136" i="7"/>
  <c r="F136" i="7"/>
  <c r="G136" i="7" s="1"/>
  <c r="M136" i="7" s="1"/>
  <c r="C136" i="7"/>
  <c r="B137" i="7"/>
  <c r="P137" i="7" s="1"/>
  <c r="R137" i="7" l="1"/>
  <c r="Q137" i="7"/>
  <c r="I136" i="7"/>
  <c r="O136" i="7" s="1"/>
  <c r="H136" i="7"/>
  <c r="N136" i="7" s="1"/>
  <c r="S137" i="7"/>
  <c r="D137" i="7"/>
  <c r="L136" i="7"/>
  <c r="K137" i="7"/>
  <c r="J137" i="7"/>
  <c r="F137" i="7"/>
  <c r="G137" i="7" s="1"/>
  <c r="M137" i="7" s="1"/>
  <c r="C137" i="7"/>
  <c r="B138" i="7"/>
  <c r="P138" i="7" s="1"/>
  <c r="R138" i="7" l="1"/>
  <c r="Q138" i="7"/>
  <c r="I137" i="7"/>
  <c r="O137" i="7" s="1"/>
  <c r="H137" i="7"/>
  <c r="N137" i="7" s="1"/>
  <c r="S138" i="7"/>
  <c r="D138" i="7"/>
  <c r="L137" i="7"/>
  <c r="K138" i="7"/>
  <c r="J138" i="7"/>
  <c r="L138" i="7" s="1"/>
  <c r="F138" i="7"/>
  <c r="G138" i="7" s="1"/>
  <c r="M138" i="7" s="1"/>
  <c r="B139" i="7"/>
  <c r="P139" i="7" s="1"/>
  <c r="C138" i="7"/>
  <c r="R139" i="7" l="1"/>
  <c r="Q139" i="7"/>
  <c r="I138" i="7"/>
  <c r="O138" i="7" s="1"/>
  <c r="H138" i="7"/>
  <c r="N138" i="7" s="1"/>
  <c r="S139" i="7"/>
  <c r="D139" i="7"/>
  <c r="K139" i="7"/>
  <c r="J139" i="7"/>
  <c r="L139" i="7" s="1"/>
  <c r="F139" i="7"/>
  <c r="G139" i="7" s="1"/>
  <c r="M139" i="7" s="1"/>
  <c r="B140" i="7"/>
  <c r="P140" i="7" s="1"/>
  <c r="C139" i="7"/>
  <c r="R140" i="7" l="1"/>
  <c r="Q140" i="7"/>
  <c r="I139" i="7"/>
  <c r="O139" i="7" s="1"/>
  <c r="H139" i="7"/>
  <c r="N139" i="7" s="1"/>
  <c r="S140" i="7"/>
  <c r="D140" i="7"/>
  <c r="J140" i="7"/>
  <c r="K140" i="7"/>
  <c r="F140" i="7"/>
  <c r="G140" i="7" s="1"/>
  <c r="M140" i="7" s="1"/>
  <c r="C140" i="7"/>
  <c r="B141" i="7"/>
  <c r="P141" i="7" s="1"/>
  <c r="R141" i="7" l="1"/>
  <c r="Q141" i="7"/>
  <c r="I140" i="7"/>
  <c r="O140" i="7" s="1"/>
  <c r="H140" i="7"/>
  <c r="N140" i="7" s="1"/>
  <c r="S141" i="7"/>
  <c r="D141" i="7"/>
  <c r="L140" i="7"/>
  <c r="J141" i="7"/>
  <c r="L141" i="7" s="1"/>
  <c r="K141" i="7"/>
  <c r="F141" i="7"/>
  <c r="G141" i="7" s="1"/>
  <c r="M141" i="7" s="1"/>
  <c r="B142" i="7"/>
  <c r="P142" i="7" s="1"/>
  <c r="C141" i="7"/>
  <c r="R142" i="7" l="1"/>
  <c r="Q142" i="7"/>
  <c r="I141" i="7"/>
  <c r="O141" i="7" s="1"/>
  <c r="H141" i="7"/>
  <c r="N141" i="7" s="1"/>
  <c r="S142" i="7"/>
  <c r="D142" i="7"/>
  <c r="J142" i="7"/>
  <c r="K142" i="7"/>
  <c r="C142" i="7"/>
  <c r="F142" i="7"/>
  <c r="G142" i="7" s="1"/>
  <c r="M142" i="7" s="1"/>
  <c r="B143" i="7"/>
  <c r="P143" i="7" s="1"/>
  <c r="R143" i="7" l="1"/>
  <c r="Q143" i="7"/>
  <c r="I142" i="7"/>
  <c r="O142" i="7" s="1"/>
  <c r="H142" i="7"/>
  <c r="N142" i="7" s="1"/>
  <c r="S143" i="7"/>
  <c r="D143" i="7"/>
  <c r="L142" i="7"/>
  <c r="K143" i="7"/>
  <c r="J143" i="7"/>
  <c r="L143" i="7" s="1"/>
  <c r="F143" i="7"/>
  <c r="G143" i="7" s="1"/>
  <c r="M143" i="7" s="1"/>
  <c r="C143" i="7"/>
  <c r="B144" i="7"/>
  <c r="P144" i="7" s="1"/>
  <c r="R144" i="7" l="1"/>
  <c r="Q144" i="7"/>
  <c r="I143" i="7"/>
  <c r="O143" i="7" s="1"/>
  <c r="H143" i="7"/>
  <c r="N143" i="7" s="1"/>
  <c r="S144" i="7"/>
  <c r="D144" i="7"/>
  <c r="K144" i="7"/>
  <c r="J144" i="7"/>
  <c r="F144" i="7"/>
  <c r="G144" i="7" s="1"/>
  <c r="M144" i="7" s="1"/>
  <c r="C144" i="7"/>
  <c r="B145" i="7"/>
  <c r="P145" i="7" s="1"/>
  <c r="R145" i="7" l="1"/>
  <c r="Q145" i="7"/>
  <c r="I144" i="7"/>
  <c r="O144" i="7" s="1"/>
  <c r="H144" i="7"/>
  <c r="N144" i="7" s="1"/>
  <c r="S145" i="7"/>
  <c r="D145" i="7"/>
  <c r="L144" i="7"/>
  <c r="K145" i="7"/>
  <c r="J145" i="7"/>
  <c r="L145" i="7" s="1"/>
  <c r="F145" i="7"/>
  <c r="G145" i="7" s="1"/>
  <c r="M145" i="7" s="1"/>
  <c r="C145" i="7"/>
  <c r="B146" i="7"/>
  <c r="P146" i="7" s="1"/>
  <c r="R146" i="7" l="1"/>
  <c r="Q146" i="7"/>
  <c r="I145" i="7"/>
  <c r="O145" i="7" s="1"/>
  <c r="H145" i="7"/>
  <c r="N145" i="7" s="1"/>
  <c r="S146" i="7"/>
  <c r="D146" i="7"/>
  <c r="K146" i="7"/>
  <c r="J146" i="7"/>
  <c r="L146" i="7" s="1"/>
  <c r="F146" i="7"/>
  <c r="G146" i="7" s="1"/>
  <c r="M146" i="7" s="1"/>
  <c r="C146" i="7"/>
  <c r="B147" i="7"/>
  <c r="P147" i="7" s="1"/>
  <c r="R147" i="7" l="1"/>
  <c r="Q147" i="7"/>
  <c r="I146" i="7"/>
  <c r="O146" i="7" s="1"/>
  <c r="H146" i="7"/>
  <c r="N146" i="7" s="1"/>
  <c r="S147" i="7"/>
  <c r="D147" i="7"/>
  <c r="K147" i="7"/>
  <c r="J147" i="7"/>
  <c r="L147" i="7" s="1"/>
  <c r="F147" i="7"/>
  <c r="G147" i="7" s="1"/>
  <c r="M147" i="7" s="1"/>
  <c r="B148" i="7"/>
  <c r="P148" i="7" s="1"/>
  <c r="C147" i="7"/>
  <c r="R148" i="7" l="1"/>
  <c r="Q148" i="7"/>
  <c r="I147" i="7"/>
  <c r="O147" i="7" s="1"/>
  <c r="H147" i="7"/>
  <c r="N147" i="7" s="1"/>
  <c r="S148" i="7"/>
  <c r="D148" i="7"/>
  <c r="J148" i="7"/>
  <c r="L148" i="7" s="1"/>
  <c r="K148" i="7"/>
  <c r="F148" i="7"/>
  <c r="G148" i="7" s="1"/>
  <c r="M148" i="7" s="1"/>
  <c r="C148" i="7"/>
  <c r="B149" i="7"/>
  <c r="P149" i="7" s="1"/>
  <c r="R149" i="7" l="1"/>
  <c r="Q149" i="7"/>
  <c r="I148" i="7"/>
  <c r="O148" i="7" s="1"/>
  <c r="H148" i="7"/>
  <c r="N148" i="7" s="1"/>
  <c r="S149" i="7"/>
  <c r="D149" i="7"/>
  <c r="J149" i="7"/>
  <c r="L149" i="7" s="1"/>
  <c r="K149" i="7"/>
  <c r="F149" i="7"/>
  <c r="G149" i="7" s="1"/>
  <c r="M149" i="7" s="1"/>
  <c r="C149" i="7"/>
  <c r="B150" i="7"/>
  <c r="P150" i="7" s="1"/>
  <c r="R150" i="7" l="1"/>
  <c r="Q150" i="7"/>
  <c r="I149" i="7"/>
  <c r="O149" i="7" s="1"/>
  <c r="H149" i="7"/>
  <c r="N149" i="7" s="1"/>
  <c r="S150" i="7"/>
  <c r="D150" i="7"/>
  <c r="J150" i="7"/>
  <c r="L150" i="7" s="1"/>
  <c r="K150" i="7"/>
  <c r="C150" i="7"/>
  <c r="F150" i="7"/>
  <c r="G150" i="7" s="1"/>
  <c r="M150" i="7" s="1"/>
  <c r="B151" i="7"/>
  <c r="P151" i="7" s="1"/>
  <c r="R151" i="7" l="1"/>
  <c r="Q151" i="7"/>
  <c r="I150" i="7"/>
  <c r="O150" i="7" s="1"/>
  <c r="H150" i="7"/>
  <c r="N150" i="7" s="1"/>
  <c r="S151" i="7"/>
  <c r="D151" i="7"/>
  <c r="K151" i="7"/>
  <c r="J151" i="7"/>
  <c r="L151" i="7" s="1"/>
  <c r="F151" i="7"/>
  <c r="G151" i="7" s="1"/>
  <c r="M151" i="7" s="1"/>
  <c r="C151" i="7"/>
  <c r="B152" i="7"/>
  <c r="P152" i="7" s="1"/>
  <c r="R152" i="7" l="1"/>
  <c r="Q152" i="7"/>
  <c r="I151" i="7"/>
  <c r="O151" i="7" s="1"/>
  <c r="H151" i="7"/>
  <c r="N151" i="7" s="1"/>
  <c r="S152" i="7"/>
  <c r="D152" i="7"/>
  <c r="K152" i="7"/>
  <c r="J152" i="7"/>
  <c r="L152" i="7" s="1"/>
  <c r="C152" i="7"/>
  <c r="B153" i="7"/>
  <c r="P153" i="7" s="1"/>
  <c r="F152" i="7"/>
  <c r="G152" i="7" s="1"/>
  <c r="M152" i="7" s="1"/>
  <c r="R153" i="7" l="1"/>
  <c r="Q153" i="7"/>
  <c r="I152" i="7"/>
  <c r="O152" i="7" s="1"/>
  <c r="H152" i="7"/>
  <c r="N152" i="7" s="1"/>
  <c r="S153" i="7"/>
  <c r="D153" i="7"/>
  <c r="K153" i="7"/>
  <c r="J153" i="7"/>
  <c r="L153" i="7" s="1"/>
  <c r="F153" i="7"/>
  <c r="G153" i="7" s="1"/>
  <c r="M153" i="7" s="1"/>
  <c r="C153" i="7"/>
  <c r="B154" i="7"/>
  <c r="P154" i="7" s="1"/>
  <c r="R154" i="7" l="1"/>
  <c r="Q154" i="7"/>
  <c r="I153" i="7"/>
  <c r="O153" i="7" s="1"/>
  <c r="H153" i="7"/>
  <c r="N153" i="7" s="1"/>
  <c r="S154" i="7"/>
  <c r="D154" i="7"/>
  <c r="K154" i="7"/>
  <c r="J154" i="7"/>
  <c r="L154" i="7" s="1"/>
  <c r="F154" i="7"/>
  <c r="G154" i="7" s="1"/>
  <c r="M154" i="7" s="1"/>
  <c r="C154" i="7"/>
  <c r="B155" i="7"/>
  <c r="P155" i="7" s="1"/>
  <c r="R155" i="7" l="1"/>
  <c r="Q155" i="7"/>
  <c r="I154" i="7"/>
  <c r="O154" i="7" s="1"/>
  <c r="H154" i="7"/>
  <c r="N154" i="7" s="1"/>
  <c r="S155" i="7"/>
  <c r="D155" i="7"/>
  <c r="K155" i="7"/>
  <c r="J155" i="7"/>
  <c r="L155" i="7" s="1"/>
  <c r="F155" i="7"/>
  <c r="G155" i="7" s="1"/>
  <c r="M155" i="7" s="1"/>
  <c r="B156" i="7"/>
  <c r="P156" i="7" s="1"/>
  <c r="C155" i="7"/>
  <c r="Q156" i="7" l="1"/>
  <c r="R156" i="7"/>
  <c r="I155" i="7"/>
  <c r="O155" i="7" s="1"/>
  <c r="H155" i="7"/>
  <c r="N155" i="7" s="1"/>
  <c r="S156" i="7"/>
  <c r="D156" i="7"/>
  <c r="J156" i="7"/>
  <c r="L156" i="7" s="1"/>
  <c r="K156" i="7"/>
  <c r="F156" i="7"/>
  <c r="G156" i="7" s="1"/>
  <c r="C156" i="7"/>
  <c r="B157" i="7"/>
  <c r="P157" i="7" s="1"/>
  <c r="R157" i="7" s="1"/>
  <c r="M156" i="7" l="1"/>
  <c r="Q157" i="7"/>
  <c r="H156" i="7"/>
  <c r="N156" i="7" s="1"/>
  <c r="I156" i="7"/>
  <c r="O156" i="7" s="1"/>
  <c r="S157" i="7"/>
  <c r="D157" i="7"/>
  <c r="J157" i="7"/>
  <c r="L157" i="7" s="1"/>
  <c r="K157" i="7"/>
  <c r="F157" i="7"/>
  <c r="G157" i="7" s="1"/>
  <c r="M157" i="7" s="1"/>
  <c r="C157" i="7"/>
  <c r="B158" i="7"/>
  <c r="P158" i="7" s="1"/>
  <c r="R158" i="7" s="1"/>
  <c r="Q158" i="7" l="1"/>
  <c r="I157" i="7"/>
  <c r="O157" i="7" s="1"/>
  <c r="H157" i="7"/>
  <c r="N157" i="7" s="1"/>
  <c r="S158" i="7"/>
  <c r="D158" i="7"/>
  <c r="J158" i="7"/>
  <c r="L158" i="7" s="1"/>
  <c r="K158" i="7"/>
  <c r="C158" i="7"/>
  <c r="B159" i="7"/>
  <c r="P159" i="7" s="1"/>
  <c r="F158" i="7"/>
  <c r="G158" i="7" s="1"/>
  <c r="M158" i="7" s="1"/>
  <c r="R159" i="7" l="1"/>
  <c r="Q159" i="7"/>
  <c r="I158" i="7"/>
  <c r="O158" i="7" s="1"/>
  <c r="H158" i="7"/>
  <c r="N158" i="7" s="1"/>
  <c r="S159" i="7"/>
  <c r="D159" i="7"/>
  <c r="K159" i="7"/>
  <c r="J159" i="7"/>
  <c r="L159" i="7" s="1"/>
  <c r="F159" i="7"/>
  <c r="G159" i="7" s="1"/>
  <c r="M159" i="7" s="1"/>
  <c r="C159" i="7"/>
  <c r="B160" i="7"/>
  <c r="P160" i="7" s="1"/>
  <c r="R160" i="7" s="1"/>
  <c r="Q160" i="7" l="1"/>
  <c r="I159" i="7"/>
  <c r="O159" i="7" s="1"/>
  <c r="H159" i="7"/>
  <c r="N159" i="7" s="1"/>
  <c r="S160" i="7"/>
  <c r="D160" i="7"/>
  <c r="K160" i="7"/>
  <c r="J160" i="7"/>
  <c r="L160" i="7" s="1"/>
  <c r="C160" i="7"/>
  <c r="F160" i="7"/>
  <c r="G160" i="7" s="1"/>
  <c r="M160" i="7" s="1"/>
  <c r="B161" i="7"/>
  <c r="P161" i="7" s="1"/>
  <c r="R161" i="7" s="1"/>
  <c r="Q161" i="7" l="1"/>
  <c r="I160" i="7"/>
  <c r="O160" i="7" s="1"/>
  <c r="H160" i="7"/>
  <c r="N160" i="7" s="1"/>
  <c r="S161" i="7"/>
  <c r="D161" i="7"/>
  <c r="K161" i="7"/>
  <c r="J161" i="7"/>
  <c r="L161" i="7" s="1"/>
  <c r="F161" i="7"/>
  <c r="G161" i="7" s="1"/>
  <c r="M161" i="7" s="1"/>
  <c r="C161" i="7"/>
  <c r="B162" i="7"/>
  <c r="P162" i="7" s="1"/>
  <c r="R162" i="7" s="1"/>
  <c r="Q162" i="7" l="1"/>
  <c r="I161" i="7"/>
  <c r="O161" i="7" s="1"/>
  <c r="H161" i="7"/>
  <c r="N161" i="7" s="1"/>
  <c r="S162" i="7"/>
  <c r="D162" i="7"/>
  <c r="K162" i="7"/>
  <c r="J162" i="7"/>
  <c r="L162" i="7" s="1"/>
  <c r="F162" i="7"/>
  <c r="G162" i="7" s="1"/>
  <c r="M162" i="7" s="1"/>
  <c r="B163" i="7"/>
  <c r="P163" i="7" s="1"/>
  <c r="C162" i="7"/>
  <c r="R163" i="7" l="1"/>
  <c r="Q163" i="7"/>
  <c r="I162" i="7"/>
  <c r="O162" i="7" s="1"/>
  <c r="H162" i="7"/>
  <c r="N162" i="7" s="1"/>
  <c r="S163" i="7"/>
  <c r="D163" i="7"/>
  <c r="K163" i="7"/>
  <c r="J163" i="7"/>
  <c r="L163" i="7" s="1"/>
  <c r="F163" i="7"/>
  <c r="G163" i="7" s="1"/>
  <c r="M163" i="7" s="1"/>
  <c r="B164" i="7"/>
  <c r="P164" i="7" s="1"/>
  <c r="C163" i="7"/>
  <c r="R164" i="7" l="1"/>
  <c r="Q164" i="7"/>
  <c r="I163" i="7"/>
  <c r="O163" i="7" s="1"/>
  <c r="H163" i="7"/>
  <c r="N163" i="7" s="1"/>
  <c r="S164" i="7"/>
  <c r="D164" i="7"/>
  <c r="J164" i="7"/>
  <c r="L164" i="7" s="1"/>
  <c r="K164" i="7"/>
  <c r="F164" i="7"/>
  <c r="G164" i="7" s="1"/>
  <c r="M164" i="7" s="1"/>
  <c r="C164" i="7"/>
  <c r="B165" i="7"/>
  <c r="P165" i="7" s="1"/>
  <c r="R165" i="7" l="1"/>
  <c r="Q165" i="7"/>
  <c r="I164" i="7"/>
  <c r="O164" i="7" s="1"/>
  <c r="H164" i="7"/>
  <c r="N164" i="7" s="1"/>
  <c r="S165" i="7"/>
  <c r="D165" i="7"/>
  <c r="J165" i="7"/>
  <c r="L165" i="7" s="1"/>
  <c r="K165" i="7"/>
  <c r="F165" i="7"/>
  <c r="G165" i="7" s="1"/>
  <c r="M165" i="7" s="1"/>
  <c r="C165" i="7"/>
  <c r="B166" i="7"/>
  <c r="P166" i="7" s="1"/>
  <c r="R166" i="7" l="1"/>
  <c r="Q166" i="7"/>
  <c r="I165" i="7"/>
  <c r="O165" i="7" s="1"/>
  <c r="H165" i="7"/>
  <c r="N165" i="7" s="1"/>
  <c r="S166" i="7"/>
  <c r="D166" i="7"/>
  <c r="J166" i="7"/>
  <c r="L166" i="7" s="1"/>
  <c r="K166" i="7"/>
  <c r="C166" i="7"/>
  <c r="F166" i="7"/>
  <c r="G166" i="7" s="1"/>
  <c r="M166" i="7" s="1"/>
  <c r="B167" i="7"/>
  <c r="P167" i="7" s="1"/>
  <c r="R167" i="7" l="1"/>
  <c r="Q167" i="7"/>
  <c r="I166" i="7"/>
  <c r="O166" i="7" s="1"/>
  <c r="H166" i="7"/>
  <c r="N166" i="7" s="1"/>
  <c r="S167" i="7"/>
  <c r="D167" i="7"/>
  <c r="K167" i="7"/>
  <c r="J167" i="7"/>
  <c r="L167" i="7" s="1"/>
  <c r="F167" i="7"/>
  <c r="G167" i="7" s="1"/>
  <c r="M167" i="7" s="1"/>
  <c r="C167" i="7"/>
  <c r="B168" i="7"/>
  <c r="P168" i="7" s="1"/>
  <c r="R168" i="7" l="1"/>
  <c r="Q168" i="7"/>
  <c r="I167" i="7"/>
  <c r="O167" i="7" s="1"/>
  <c r="H167" i="7"/>
  <c r="N167" i="7" s="1"/>
  <c r="S168" i="7"/>
  <c r="D168" i="7"/>
  <c r="K168" i="7"/>
  <c r="J168" i="7"/>
  <c r="L168" i="7" s="1"/>
  <c r="F168" i="7"/>
  <c r="G168" i="7" s="1"/>
  <c r="M168" i="7" s="1"/>
  <c r="C168" i="7"/>
  <c r="B169" i="7"/>
  <c r="P169" i="7" s="1"/>
  <c r="R169" i="7" l="1"/>
  <c r="Q169" i="7"/>
  <c r="I168" i="7"/>
  <c r="O168" i="7" s="1"/>
  <c r="H168" i="7"/>
  <c r="N168" i="7" s="1"/>
  <c r="S169" i="7"/>
  <c r="D169" i="7"/>
  <c r="K169" i="7"/>
  <c r="J169" i="7"/>
  <c r="L169" i="7" s="1"/>
  <c r="F169" i="7"/>
  <c r="G169" i="7" s="1"/>
  <c r="M169" i="7" s="1"/>
  <c r="C169" i="7"/>
  <c r="B170" i="7"/>
  <c r="P170" i="7" s="1"/>
  <c r="R170" i="7" l="1"/>
  <c r="Q170" i="7"/>
  <c r="I169" i="7"/>
  <c r="O169" i="7" s="1"/>
  <c r="H169" i="7"/>
  <c r="N169" i="7" s="1"/>
  <c r="S170" i="7"/>
  <c r="D170" i="7"/>
  <c r="K170" i="7"/>
  <c r="J170" i="7"/>
  <c r="L170" i="7" s="1"/>
  <c r="F170" i="7"/>
  <c r="G170" i="7" s="1"/>
  <c r="M170" i="7" s="1"/>
  <c r="C170" i="7"/>
  <c r="B171" i="7"/>
  <c r="P171" i="7" s="1"/>
  <c r="R171" i="7" l="1"/>
  <c r="Q171" i="7"/>
  <c r="I170" i="7"/>
  <c r="O170" i="7" s="1"/>
  <c r="H170" i="7"/>
  <c r="N170" i="7" s="1"/>
  <c r="S171" i="7"/>
  <c r="D171" i="7"/>
  <c r="K171" i="7"/>
  <c r="J171" i="7"/>
  <c r="L171" i="7" s="1"/>
  <c r="F171" i="7"/>
  <c r="G171" i="7" s="1"/>
  <c r="M171" i="7" s="1"/>
  <c r="B172" i="7"/>
  <c r="P172" i="7" s="1"/>
  <c r="C171" i="7"/>
  <c r="R172" i="7" l="1"/>
  <c r="Q172" i="7"/>
  <c r="I171" i="7"/>
  <c r="O171" i="7" s="1"/>
  <c r="H171" i="7"/>
  <c r="N171" i="7" s="1"/>
  <c r="S172" i="7"/>
  <c r="D172" i="7"/>
  <c r="J172" i="7"/>
  <c r="L172" i="7" s="1"/>
  <c r="K172" i="7"/>
  <c r="F172" i="7"/>
  <c r="G172" i="7" s="1"/>
  <c r="M172" i="7" s="1"/>
  <c r="C172" i="7"/>
  <c r="B173" i="7"/>
  <c r="P173" i="7" s="1"/>
  <c r="R173" i="7" l="1"/>
  <c r="Q173" i="7"/>
  <c r="I172" i="7"/>
  <c r="O172" i="7" s="1"/>
  <c r="H172" i="7"/>
  <c r="N172" i="7" s="1"/>
  <c r="S173" i="7"/>
  <c r="D173" i="7"/>
  <c r="J173" i="7"/>
  <c r="L173" i="7" s="1"/>
  <c r="K173" i="7"/>
  <c r="F173" i="7"/>
  <c r="G173" i="7" s="1"/>
  <c r="M173" i="7" s="1"/>
  <c r="C173" i="7"/>
  <c r="B174" i="7"/>
  <c r="P174" i="7" s="1"/>
  <c r="R174" i="7" l="1"/>
  <c r="Q174" i="7"/>
  <c r="I173" i="7"/>
  <c r="O173" i="7" s="1"/>
  <c r="H173" i="7"/>
  <c r="N173" i="7" s="1"/>
  <c r="S174" i="7"/>
  <c r="D174" i="7"/>
  <c r="J174" i="7"/>
  <c r="L174" i="7" s="1"/>
  <c r="K174" i="7"/>
  <c r="C174" i="7"/>
  <c r="F174" i="7"/>
  <c r="G174" i="7" s="1"/>
  <c r="M174" i="7" s="1"/>
  <c r="B175" i="7"/>
  <c r="P175" i="7" s="1"/>
  <c r="R175" i="7" l="1"/>
  <c r="Q175" i="7"/>
  <c r="I174" i="7"/>
  <c r="O174" i="7" s="1"/>
  <c r="H174" i="7"/>
  <c r="N174" i="7" s="1"/>
  <c r="S175" i="7"/>
  <c r="D175" i="7"/>
  <c r="K175" i="7"/>
  <c r="J175" i="7"/>
  <c r="L175" i="7" s="1"/>
  <c r="F175" i="7"/>
  <c r="G175" i="7" s="1"/>
  <c r="M175" i="7" s="1"/>
  <c r="C175" i="7"/>
  <c r="B176" i="7"/>
  <c r="P176" i="7" s="1"/>
  <c r="R176" i="7" l="1"/>
  <c r="Q176" i="7"/>
  <c r="I175" i="7"/>
  <c r="O175" i="7" s="1"/>
  <c r="H175" i="7"/>
  <c r="N175" i="7" s="1"/>
  <c r="S176" i="7"/>
  <c r="D176" i="7"/>
  <c r="K176" i="7"/>
  <c r="J176" i="7"/>
  <c r="L176" i="7" s="1"/>
  <c r="F176" i="7"/>
  <c r="G176" i="7" s="1"/>
  <c r="M176" i="7" s="1"/>
  <c r="C176" i="7"/>
  <c r="B177" i="7"/>
  <c r="P177" i="7" s="1"/>
  <c r="R177" i="7" l="1"/>
  <c r="Q177" i="7"/>
  <c r="I176" i="7"/>
  <c r="O176" i="7" s="1"/>
  <c r="H176" i="7"/>
  <c r="N176" i="7" s="1"/>
  <c r="S177" i="7"/>
  <c r="D177" i="7"/>
  <c r="K177" i="7"/>
  <c r="J177" i="7"/>
  <c r="L177" i="7" s="1"/>
  <c r="F177" i="7"/>
  <c r="G177" i="7" s="1"/>
  <c r="M177" i="7" s="1"/>
  <c r="C177" i="7"/>
  <c r="B178" i="7"/>
  <c r="P178" i="7" s="1"/>
  <c r="R178" i="7" l="1"/>
  <c r="Q178" i="7"/>
  <c r="I177" i="7"/>
  <c r="O177" i="7" s="1"/>
  <c r="H177" i="7"/>
  <c r="N177" i="7" s="1"/>
  <c r="S178" i="7"/>
  <c r="D178" i="7"/>
  <c r="K178" i="7"/>
  <c r="J178" i="7"/>
  <c r="L178" i="7" s="1"/>
  <c r="F178" i="7"/>
  <c r="G178" i="7" s="1"/>
  <c r="M178" i="7" s="1"/>
  <c r="C178" i="7"/>
  <c r="B179" i="7"/>
  <c r="P179" i="7" s="1"/>
  <c r="R179" i="7" l="1"/>
  <c r="Q179" i="7"/>
  <c r="I178" i="7"/>
  <c r="O178" i="7" s="1"/>
  <c r="H178" i="7"/>
  <c r="N178" i="7" s="1"/>
  <c r="S179" i="7"/>
  <c r="D179" i="7"/>
  <c r="K179" i="7"/>
  <c r="J179" i="7"/>
  <c r="L179" i="7" s="1"/>
  <c r="F179" i="7"/>
  <c r="G179" i="7" s="1"/>
  <c r="M179" i="7" s="1"/>
  <c r="B180" i="7"/>
  <c r="P180" i="7" s="1"/>
  <c r="C179" i="7"/>
  <c r="R180" i="7" l="1"/>
  <c r="Q180" i="7"/>
  <c r="I179" i="7"/>
  <c r="O179" i="7" s="1"/>
  <c r="H179" i="7"/>
  <c r="N179" i="7" s="1"/>
  <c r="S180" i="7"/>
  <c r="D180" i="7"/>
  <c r="J180" i="7"/>
  <c r="L180" i="7" s="1"/>
  <c r="K180" i="7"/>
  <c r="F180" i="7"/>
  <c r="G180" i="7" s="1"/>
  <c r="M180" i="7" s="1"/>
  <c r="C180" i="7"/>
  <c r="B181" i="7"/>
  <c r="P181" i="7" s="1"/>
  <c r="R181" i="7" l="1"/>
  <c r="Q181" i="7"/>
  <c r="I180" i="7"/>
  <c r="O180" i="7" s="1"/>
  <c r="H180" i="7"/>
  <c r="N180" i="7" s="1"/>
  <c r="S181" i="7"/>
  <c r="D181" i="7"/>
  <c r="J181" i="7"/>
  <c r="L181" i="7" s="1"/>
  <c r="K181" i="7"/>
  <c r="F181" i="7"/>
  <c r="G181" i="7" s="1"/>
  <c r="M181" i="7" s="1"/>
  <c r="B182" i="7"/>
  <c r="P182" i="7" s="1"/>
  <c r="C181" i="7"/>
  <c r="R182" i="7" l="1"/>
  <c r="Q182" i="7"/>
  <c r="I181" i="7"/>
  <c r="O181" i="7" s="1"/>
  <c r="H181" i="7"/>
  <c r="N181" i="7" s="1"/>
  <c r="S182" i="7"/>
  <c r="D182" i="7"/>
  <c r="J182" i="7"/>
  <c r="L182" i="7" s="1"/>
  <c r="K182" i="7"/>
  <c r="C182" i="7"/>
  <c r="F182" i="7"/>
  <c r="G182" i="7" s="1"/>
  <c r="M182" i="7" s="1"/>
  <c r="B183" i="7"/>
  <c r="P183" i="7" s="1"/>
  <c r="R183" i="7" l="1"/>
  <c r="Q183" i="7"/>
  <c r="I182" i="7"/>
  <c r="O182" i="7" s="1"/>
  <c r="H182" i="7"/>
  <c r="N182" i="7" s="1"/>
  <c r="S183" i="7"/>
  <c r="D183" i="7"/>
  <c r="K183" i="7"/>
  <c r="J183" i="7"/>
  <c r="L183" i="7" s="1"/>
  <c r="F183" i="7"/>
  <c r="G183" i="7" s="1"/>
  <c r="M183" i="7" s="1"/>
  <c r="C183" i="7"/>
  <c r="B184" i="7"/>
  <c r="P184" i="7" s="1"/>
  <c r="R184" i="7" l="1"/>
  <c r="Q184" i="7"/>
  <c r="I183" i="7"/>
  <c r="O183" i="7" s="1"/>
  <c r="H183" i="7"/>
  <c r="N183" i="7" s="1"/>
  <c r="S184" i="7"/>
  <c r="D184" i="7"/>
  <c r="K184" i="7"/>
  <c r="J184" i="7"/>
  <c r="L184" i="7" s="1"/>
  <c r="C184" i="7"/>
  <c r="B185" i="7"/>
  <c r="P185" i="7" s="1"/>
  <c r="F184" i="7"/>
  <c r="G184" i="7" s="1"/>
  <c r="M184" i="7" s="1"/>
  <c r="Q185" i="7" l="1"/>
  <c r="R185" i="7"/>
  <c r="I184" i="7"/>
  <c r="O184" i="7" s="1"/>
  <c r="H184" i="7"/>
  <c r="N184" i="7" s="1"/>
  <c r="S185" i="7"/>
  <c r="D185" i="7"/>
  <c r="K185" i="7"/>
  <c r="J185" i="7"/>
  <c r="L185" i="7" s="1"/>
  <c r="F185" i="7"/>
  <c r="G185" i="7" s="1"/>
  <c r="C185" i="7"/>
  <c r="B186" i="7"/>
  <c r="P186" i="7" s="1"/>
  <c r="R186" i="7" s="1"/>
  <c r="M185" i="7" l="1"/>
  <c r="H185" i="7"/>
  <c r="Q186" i="7"/>
  <c r="N185" i="7"/>
  <c r="I185" i="7"/>
  <c r="O185" i="7" s="1"/>
  <c r="S186" i="7"/>
  <c r="D186" i="7"/>
  <c r="K186" i="7"/>
  <c r="J186" i="7"/>
  <c r="L186" i="7" s="1"/>
  <c r="F186" i="7"/>
  <c r="G186" i="7" s="1"/>
  <c r="B187" i="7"/>
  <c r="P187" i="7" s="1"/>
  <c r="C186" i="7"/>
  <c r="M186" i="7" l="1"/>
  <c r="H186" i="7"/>
  <c r="N186" i="7" s="1"/>
  <c r="R187" i="7"/>
  <c r="Q187" i="7"/>
  <c r="I186" i="7"/>
  <c r="O186" i="7" s="1"/>
  <c r="S187" i="7"/>
  <c r="D187" i="7"/>
  <c r="K187" i="7"/>
  <c r="J187" i="7"/>
  <c r="L187" i="7" s="1"/>
  <c r="F187" i="7"/>
  <c r="G187" i="7" s="1"/>
  <c r="M187" i="7" s="1"/>
  <c r="B188" i="7"/>
  <c r="P188" i="7" s="1"/>
  <c r="R188" i="7" s="1"/>
  <c r="C187" i="7"/>
  <c r="H187" i="7" l="1"/>
  <c r="Q188" i="7"/>
  <c r="I187" i="7"/>
  <c r="O187" i="7" s="1"/>
  <c r="N187" i="7"/>
  <c r="S188" i="7"/>
  <c r="D188" i="7"/>
  <c r="J188" i="7"/>
  <c r="L188" i="7" s="1"/>
  <c r="K188" i="7"/>
  <c r="F188" i="7"/>
  <c r="G188" i="7" s="1"/>
  <c r="M188" i="7" s="1"/>
  <c r="C188" i="7"/>
  <c r="B189" i="7"/>
  <c r="P189" i="7" s="1"/>
  <c r="R189" i="7" s="1"/>
  <c r="H188" i="7" l="1"/>
  <c r="Q189" i="7"/>
  <c r="I188" i="7"/>
  <c r="O188" i="7" s="1"/>
  <c r="N188" i="7"/>
  <c r="S189" i="7"/>
  <c r="D189" i="7"/>
  <c r="J189" i="7"/>
  <c r="L189" i="7" s="1"/>
  <c r="K189" i="7"/>
  <c r="F189" i="7"/>
  <c r="G189" i="7" s="1"/>
  <c r="M189" i="7" s="1"/>
  <c r="C189" i="7"/>
  <c r="B190" i="7"/>
  <c r="P190" i="7" s="1"/>
  <c r="Q190" i="7" s="1"/>
  <c r="H189" i="7" l="1"/>
  <c r="N189" i="7" s="1"/>
  <c r="R190" i="7"/>
  <c r="I189" i="7"/>
  <c r="O189" i="7" s="1"/>
  <c r="S190" i="7"/>
  <c r="D190" i="7"/>
  <c r="J190" i="7"/>
  <c r="L190" i="7" s="1"/>
  <c r="K190" i="7"/>
  <c r="C190" i="7"/>
  <c r="F190" i="7"/>
  <c r="G190" i="7" s="1"/>
  <c r="B191" i="7"/>
  <c r="P191" i="7" s="1"/>
  <c r="H190" i="7" l="1"/>
  <c r="M190" i="7"/>
  <c r="R191" i="7"/>
  <c r="Q191" i="7"/>
  <c r="N190" i="7"/>
  <c r="I190" i="7"/>
  <c r="O190" i="7" s="1"/>
  <c r="S191" i="7"/>
  <c r="D191" i="7"/>
  <c r="K191" i="7"/>
  <c r="J191" i="7"/>
  <c r="L191" i="7" s="1"/>
  <c r="F191" i="7"/>
  <c r="G191" i="7" s="1"/>
  <c r="M191" i="7" s="1"/>
  <c r="C191" i="7"/>
  <c r="B192" i="7"/>
  <c r="P192" i="7" s="1"/>
  <c r="H191" i="7" l="1"/>
  <c r="R192" i="7"/>
  <c r="Q192" i="7"/>
  <c r="I191" i="7"/>
  <c r="O191" i="7" s="1"/>
  <c r="N191" i="7"/>
  <c r="S192" i="7"/>
  <c r="D192" i="7"/>
  <c r="K192" i="7"/>
  <c r="J192" i="7"/>
  <c r="L192" i="7" s="1"/>
  <c r="C192" i="7"/>
  <c r="F192" i="7"/>
  <c r="G192" i="7" s="1"/>
  <c r="B193" i="7"/>
  <c r="P193" i="7" s="1"/>
  <c r="M192" i="7" l="1"/>
  <c r="H192" i="7"/>
  <c r="R193" i="7"/>
  <c r="Q193" i="7"/>
  <c r="I192" i="7"/>
  <c r="O192" i="7" s="1"/>
  <c r="N192" i="7"/>
  <c r="S193" i="7"/>
  <c r="D193" i="7"/>
  <c r="K193" i="7"/>
  <c r="J193" i="7"/>
  <c r="L193" i="7" s="1"/>
  <c r="F193" i="7"/>
  <c r="G193" i="7" s="1"/>
  <c r="C193" i="7"/>
  <c r="B194" i="7"/>
  <c r="P194" i="7" s="1"/>
  <c r="M193" i="7" l="1"/>
  <c r="H193" i="7"/>
  <c r="R194" i="7"/>
  <c r="Q194" i="7"/>
  <c r="I193" i="7"/>
  <c r="O193" i="7" s="1"/>
  <c r="N193" i="7"/>
  <c r="S194" i="7"/>
  <c r="D194" i="7"/>
  <c r="K194" i="7"/>
  <c r="J194" i="7"/>
  <c r="L194" i="7" s="1"/>
  <c r="F194" i="7"/>
  <c r="G194" i="7" s="1"/>
  <c r="C194" i="7"/>
  <c r="B195" i="7"/>
  <c r="P195" i="7" s="1"/>
  <c r="M194" i="7" l="1"/>
  <c r="H194" i="7"/>
  <c r="R195" i="7"/>
  <c r="Q195" i="7"/>
  <c r="I194" i="7"/>
  <c r="O194" i="7" s="1"/>
  <c r="N194" i="7"/>
  <c r="S195" i="7"/>
  <c r="D195" i="7"/>
  <c r="K195" i="7"/>
  <c r="J195" i="7"/>
  <c r="L195" i="7" s="1"/>
  <c r="F195" i="7"/>
  <c r="G195" i="7" s="1"/>
  <c r="C195" i="7"/>
  <c r="B196" i="7"/>
  <c r="P196" i="7" s="1"/>
  <c r="M195" i="7" l="1"/>
  <c r="H195" i="7"/>
  <c r="R196" i="7"/>
  <c r="Q196" i="7"/>
  <c r="I195" i="7"/>
  <c r="O195" i="7" s="1"/>
  <c r="N195" i="7"/>
  <c r="S196" i="7"/>
  <c r="D196" i="7"/>
  <c r="J196" i="7"/>
  <c r="L196" i="7" s="1"/>
  <c r="K196" i="7"/>
  <c r="F196" i="7"/>
  <c r="G196" i="7" s="1"/>
  <c r="C196" i="7"/>
  <c r="B197" i="7"/>
  <c r="P197" i="7" s="1"/>
  <c r="M196" i="7" l="1"/>
  <c r="H196" i="7"/>
  <c r="R197" i="7"/>
  <c r="Q197" i="7"/>
  <c r="I196" i="7"/>
  <c r="O196" i="7" s="1"/>
  <c r="N196" i="7"/>
  <c r="S197" i="7"/>
  <c r="D197" i="7"/>
  <c r="J197" i="7"/>
  <c r="L197" i="7" s="1"/>
  <c r="K197" i="7"/>
  <c r="F197" i="7"/>
  <c r="G197" i="7" s="1"/>
  <c r="C197" i="7"/>
  <c r="B198" i="7"/>
  <c r="P198" i="7" s="1"/>
  <c r="M197" i="7" l="1"/>
  <c r="H197" i="7"/>
  <c r="R198" i="7"/>
  <c r="Q198" i="7"/>
  <c r="I197" i="7"/>
  <c r="O197" i="7" s="1"/>
  <c r="N197" i="7"/>
  <c r="S198" i="7"/>
  <c r="D198" i="7"/>
  <c r="J198" i="7"/>
  <c r="L198" i="7" s="1"/>
  <c r="K198" i="7"/>
  <c r="C198" i="7"/>
  <c r="F198" i="7"/>
  <c r="G198" i="7" s="1"/>
  <c r="B199" i="7"/>
  <c r="P199" i="7" s="1"/>
  <c r="M198" i="7" l="1"/>
  <c r="H198" i="7"/>
  <c r="R199" i="7"/>
  <c r="Q199" i="7"/>
  <c r="I198" i="7"/>
  <c r="O198" i="7" s="1"/>
  <c r="N198" i="7"/>
  <c r="S199" i="7"/>
  <c r="D199" i="7"/>
  <c r="K199" i="7"/>
  <c r="J199" i="7"/>
  <c r="L199" i="7" s="1"/>
  <c r="F199" i="7"/>
  <c r="G199" i="7" s="1"/>
  <c r="C199" i="7"/>
  <c r="B200" i="7"/>
  <c r="P200" i="7" s="1"/>
  <c r="M199" i="7" l="1"/>
  <c r="H199" i="7"/>
  <c r="R200" i="7"/>
  <c r="Q200" i="7"/>
  <c r="I199" i="7"/>
  <c r="O199" i="7" s="1"/>
  <c r="N199" i="7"/>
  <c r="S200" i="7"/>
  <c r="D200" i="7"/>
  <c r="K200" i="7"/>
  <c r="J200" i="7"/>
  <c r="L200" i="7" s="1"/>
  <c r="F200" i="7"/>
  <c r="G200" i="7" s="1"/>
  <c r="C200" i="7"/>
  <c r="B201" i="7"/>
  <c r="P201" i="7" s="1"/>
  <c r="M200" i="7" l="1"/>
  <c r="H200" i="7"/>
  <c r="R201" i="7"/>
  <c r="Q201" i="7"/>
  <c r="I200" i="7"/>
  <c r="O200" i="7" s="1"/>
  <c r="N200" i="7"/>
  <c r="S201" i="7"/>
  <c r="D201" i="7"/>
  <c r="K201" i="7"/>
  <c r="J201" i="7"/>
  <c r="L201" i="7" s="1"/>
  <c r="F201" i="7"/>
  <c r="G201" i="7" s="1"/>
  <c r="C201" i="7"/>
  <c r="B202" i="7"/>
  <c r="P202" i="7" s="1"/>
  <c r="M201" i="7" l="1"/>
  <c r="H201" i="7"/>
  <c r="R202" i="7"/>
  <c r="Q202" i="7"/>
  <c r="I201" i="7"/>
  <c r="O201" i="7" s="1"/>
  <c r="N201" i="7"/>
  <c r="S202" i="7"/>
  <c r="D202" i="7"/>
  <c r="K202" i="7"/>
  <c r="J202" i="7"/>
  <c r="L202" i="7" s="1"/>
  <c r="F202" i="7"/>
  <c r="G202" i="7" s="1"/>
  <c r="B203" i="7"/>
  <c r="P203" i="7" s="1"/>
  <c r="C202" i="7"/>
  <c r="M202" i="7" l="1"/>
  <c r="H202" i="7"/>
  <c r="R203" i="7"/>
  <c r="Q203" i="7"/>
  <c r="I202" i="7"/>
  <c r="O202" i="7" s="1"/>
  <c r="N202" i="7"/>
  <c r="S203" i="7"/>
  <c r="D203" i="7"/>
  <c r="K203" i="7"/>
  <c r="J203" i="7"/>
  <c r="L203" i="7" s="1"/>
  <c r="F203" i="7"/>
  <c r="G203" i="7" s="1"/>
  <c r="B204" i="7"/>
  <c r="C203" i="7"/>
  <c r="M203" i="7" l="1"/>
  <c r="H203" i="7"/>
  <c r="P204" i="7"/>
  <c r="Q204" i="7" s="1"/>
  <c r="I203" i="7"/>
  <c r="O203" i="7" s="1"/>
  <c r="N203" i="7"/>
  <c r="S204" i="7"/>
  <c r="D204" i="7"/>
  <c r="J204" i="7"/>
  <c r="L204" i="7" s="1"/>
  <c r="K204" i="7"/>
  <c r="F204" i="7"/>
  <c r="G204" i="7" s="1"/>
  <c r="C204" i="7"/>
  <c r="B205" i="7"/>
  <c r="P205" i="7" s="1"/>
  <c r="R204" i="7" l="1"/>
  <c r="M204" i="7"/>
  <c r="H204" i="7"/>
  <c r="R205" i="7"/>
  <c r="Q205" i="7"/>
  <c r="I204" i="7"/>
  <c r="O204" i="7" s="1"/>
  <c r="N204" i="7"/>
  <c r="S205" i="7"/>
  <c r="D205" i="7"/>
  <c r="J205" i="7"/>
  <c r="L205" i="7" s="1"/>
  <c r="K205" i="7"/>
  <c r="F205" i="7"/>
  <c r="G205" i="7" s="1"/>
  <c r="C205" i="7"/>
  <c r="B206" i="7"/>
  <c r="P206" i="7" s="1"/>
  <c r="M205" i="7" l="1"/>
  <c r="H205" i="7"/>
  <c r="R206" i="7"/>
  <c r="Q206" i="7"/>
  <c r="I205" i="7"/>
  <c r="O205" i="7" s="1"/>
  <c r="N205" i="7"/>
  <c r="S206" i="7"/>
  <c r="D206" i="7"/>
  <c r="J206" i="7"/>
  <c r="L206" i="7" s="1"/>
  <c r="K206" i="7"/>
  <c r="C206" i="7"/>
  <c r="F206" i="7"/>
  <c r="G206" i="7" s="1"/>
  <c r="B207" i="7"/>
  <c r="P207" i="7" s="1"/>
  <c r="M206" i="7" l="1"/>
  <c r="H206" i="7"/>
  <c r="R207" i="7"/>
  <c r="Q207" i="7"/>
  <c r="I206" i="7"/>
  <c r="O206" i="7" s="1"/>
  <c r="N206" i="7"/>
  <c r="S207" i="7"/>
  <c r="D207" i="7"/>
  <c r="K207" i="7"/>
  <c r="J207" i="7"/>
  <c r="L207" i="7" s="1"/>
  <c r="F207" i="7"/>
  <c r="G207" i="7" s="1"/>
  <c r="C207" i="7"/>
  <c r="B208" i="7"/>
  <c r="P208" i="7" s="1"/>
  <c r="M207" i="7" l="1"/>
  <c r="H207" i="7"/>
  <c r="R208" i="7"/>
  <c r="Q208" i="7"/>
  <c r="I207" i="7"/>
  <c r="O207" i="7" s="1"/>
  <c r="N207" i="7"/>
  <c r="S208" i="7"/>
  <c r="D208" i="7"/>
  <c r="K208" i="7"/>
  <c r="J208" i="7"/>
  <c r="L208" i="7" s="1"/>
  <c r="F208" i="7"/>
  <c r="G208" i="7" s="1"/>
  <c r="C208" i="7"/>
  <c r="B209" i="7"/>
  <c r="P209" i="7" s="1"/>
  <c r="M208" i="7" l="1"/>
  <c r="H208" i="7"/>
  <c r="R209" i="7"/>
  <c r="Q209" i="7"/>
  <c r="I208" i="7"/>
  <c r="O208" i="7" s="1"/>
  <c r="N208" i="7"/>
  <c r="S209" i="7"/>
  <c r="D209" i="7"/>
  <c r="K209" i="7"/>
  <c r="J209" i="7"/>
  <c r="L209" i="7" s="1"/>
  <c r="F209" i="7"/>
  <c r="G209" i="7" s="1"/>
  <c r="C209" i="7"/>
  <c r="B210" i="7"/>
  <c r="P210" i="7" s="1"/>
  <c r="M209" i="7" l="1"/>
  <c r="H209" i="7"/>
  <c r="R210" i="7"/>
  <c r="Q210" i="7"/>
  <c r="I209" i="7"/>
  <c r="O209" i="7" s="1"/>
  <c r="N209" i="7"/>
  <c r="S210" i="7"/>
  <c r="D210" i="7"/>
  <c r="K210" i="7"/>
  <c r="J210" i="7"/>
  <c r="L210" i="7" s="1"/>
  <c r="F210" i="7"/>
  <c r="G210" i="7" s="1"/>
  <c r="B211" i="7"/>
  <c r="P211" i="7" s="1"/>
  <c r="C210" i="7"/>
  <c r="M210" i="7" l="1"/>
  <c r="H210" i="7"/>
  <c r="R211" i="7"/>
  <c r="Q211" i="7"/>
  <c r="I210" i="7"/>
  <c r="O210" i="7" s="1"/>
  <c r="N210" i="7"/>
  <c r="S211" i="7"/>
  <c r="D211" i="7"/>
  <c r="K211" i="7"/>
  <c r="J211" i="7"/>
  <c r="L211" i="7" s="1"/>
  <c r="F211" i="7"/>
  <c r="G211" i="7" s="1"/>
  <c r="C211" i="7"/>
  <c r="B212" i="7"/>
  <c r="P212" i="7" s="1"/>
  <c r="M211" i="7" l="1"/>
  <c r="H211" i="7"/>
  <c r="R212" i="7"/>
  <c r="Q212" i="7"/>
  <c r="I211" i="7"/>
  <c r="O211" i="7" s="1"/>
  <c r="N211" i="7"/>
  <c r="S212" i="7"/>
  <c r="D212" i="7"/>
  <c r="J212" i="7"/>
  <c r="L212" i="7" s="1"/>
  <c r="K212" i="7"/>
  <c r="F212" i="7"/>
  <c r="G212" i="7" s="1"/>
  <c r="C212" i="7"/>
  <c r="B213" i="7"/>
  <c r="P213" i="7" s="1"/>
  <c r="M212" i="7" l="1"/>
  <c r="H212" i="7"/>
  <c r="R213" i="7"/>
  <c r="Q213" i="7"/>
  <c r="I212" i="7"/>
  <c r="O212" i="7" s="1"/>
  <c r="N212" i="7"/>
  <c r="S213" i="7"/>
  <c r="D213" i="7"/>
  <c r="J213" i="7"/>
  <c r="L213" i="7" s="1"/>
  <c r="K213" i="7"/>
  <c r="F213" i="7"/>
  <c r="G213" i="7" s="1"/>
  <c r="C213" i="7"/>
  <c r="B214" i="7"/>
  <c r="P214" i="7" s="1"/>
  <c r="M213" i="7" l="1"/>
  <c r="H213" i="7"/>
  <c r="N213" i="7" s="1"/>
  <c r="R214" i="7"/>
  <c r="Q214" i="7"/>
  <c r="I213" i="7"/>
  <c r="O213" i="7" s="1"/>
  <c r="S214" i="7"/>
  <c r="D214" i="7"/>
  <c r="J214" i="7"/>
  <c r="L214" i="7" s="1"/>
  <c r="K214" i="7"/>
  <c r="C214" i="7"/>
  <c r="F214" i="7"/>
  <c r="G214" i="7" s="1"/>
  <c r="B215" i="7"/>
  <c r="P215" i="7" s="1"/>
  <c r="M214" i="7" l="1"/>
  <c r="H214" i="7"/>
  <c r="R215" i="7"/>
  <c r="Q215" i="7"/>
  <c r="I214" i="7"/>
  <c r="O214" i="7" s="1"/>
  <c r="N214" i="7"/>
  <c r="S215" i="7"/>
  <c r="D215" i="7"/>
  <c r="K215" i="7"/>
  <c r="J215" i="7"/>
  <c r="L215" i="7" s="1"/>
  <c r="F215" i="7"/>
  <c r="G215" i="7" s="1"/>
  <c r="C215" i="7"/>
  <c r="B216" i="7"/>
  <c r="P216" i="7" s="1"/>
  <c r="M215" i="7" l="1"/>
  <c r="H215" i="7"/>
  <c r="R216" i="7"/>
  <c r="Q216" i="7"/>
  <c r="I215" i="7"/>
  <c r="O215" i="7" s="1"/>
  <c r="N215" i="7"/>
  <c r="S216" i="7"/>
  <c r="D216" i="7"/>
  <c r="K216" i="7"/>
  <c r="J216" i="7"/>
  <c r="L216" i="7" s="1"/>
  <c r="C216" i="7"/>
  <c r="F216" i="7"/>
  <c r="G216" i="7" s="1"/>
  <c r="B217" i="7"/>
  <c r="P217" i="7" s="1"/>
  <c r="M216" i="7" l="1"/>
  <c r="H216" i="7"/>
  <c r="Q217" i="7"/>
  <c r="R217" i="7"/>
  <c r="I216" i="7"/>
  <c r="O216" i="7" s="1"/>
  <c r="N216" i="7"/>
  <c r="S217" i="7"/>
  <c r="D217" i="7"/>
  <c r="K217" i="7"/>
  <c r="J217" i="7"/>
  <c r="L217" i="7" s="1"/>
  <c r="F217" i="7"/>
  <c r="G217" i="7" s="1"/>
  <c r="M217" i="7" s="1"/>
  <c r="C217" i="7"/>
  <c r="B218" i="7"/>
  <c r="P218" i="7" s="1"/>
  <c r="R218" i="7" s="1"/>
  <c r="Q218" i="7" l="1"/>
  <c r="H217" i="7"/>
  <c r="N217" i="7" s="1"/>
  <c r="I217" i="7"/>
  <c r="O217" i="7" s="1"/>
  <c r="S218" i="7"/>
  <c r="D218" i="7"/>
  <c r="K218" i="7"/>
  <c r="J218" i="7"/>
  <c r="L218" i="7" s="1"/>
  <c r="F218" i="7"/>
  <c r="G218" i="7" s="1"/>
  <c r="M218" i="7" s="1"/>
  <c r="B219" i="7"/>
  <c r="P219" i="7" s="1"/>
  <c r="R219" i="7" s="1"/>
  <c r="C218" i="7"/>
  <c r="Q219" i="7" l="1"/>
  <c r="I218" i="7"/>
  <c r="O218" i="7" s="1"/>
  <c r="H218" i="7"/>
  <c r="N218" i="7" s="1"/>
  <c r="S219" i="7"/>
  <c r="D219" i="7"/>
  <c r="K219" i="7"/>
  <c r="J219" i="7"/>
  <c r="L219" i="7" s="1"/>
  <c r="F219" i="7"/>
  <c r="G219" i="7" s="1"/>
  <c r="M219" i="7" s="1"/>
  <c r="B220" i="7"/>
  <c r="P220" i="7" s="1"/>
  <c r="C219" i="7"/>
  <c r="R220" i="7" l="1"/>
  <c r="Q220" i="7"/>
  <c r="I219" i="7"/>
  <c r="O219" i="7" s="1"/>
  <c r="H219" i="7"/>
  <c r="N219" i="7" s="1"/>
  <c r="S220" i="7"/>
  <c r="D220" i="7"/>
  <c r="J220" i="7"/>
  <c r="L220" i="7" s="1"/>
  <c r="K220" i="7"/>
  <c r="F220" i="7"/>
  <c r="G220" i="7" s="1"/>
  <c r="M220" i="7" s="1"/>
  <c r="C220" i="7"/>
  <c r="B221" i="7"/>
  <c r="P221" i="7" s="1"/>
  <c r="R221" i="7" s="1"/>
  <c r="Q221" i="7" l="1"/>
  <c r="I220" i="7"/>
  <c r="O220" i="7" s="1"/>
  <c r="H220" i="7"/>
  <c r="N220" i="7" s="1"/>
  <c r="S221" i="7"/>
  <c r="D221" i="7"/>
  <c r="J221" i="7"/>
  <c r="L221" i="7" s="1"/>
  <c r="K221" i="7"/>
  <c r="F221" i="7"/>
  <c r="G221" i="7" s="1"/>
  <c r="M221" i="7" s="1"/>
  <c r="B222" i="7"/>
  <c r="P222" i="7" s="1"/>
  <c r="R222" i="7" s="1"/>
  <c r="C221" i="7"/>
  <c r="Q222" i="7" l="1"/>
  <c r="I221" i="7"/>
  <c r="O221" i="7" s="1"/>
  <c r="H221" i="7"/>
  <c r="N221" i="7" s="1"/>
  <c r="S222" i="7"/>
  <c r="D222" i="7"/>
  <c r="J222" i="7"/>
  <c r="L222" i="7" s="1"/>
  <c r="K222" i="7"/>
  <c r="C222" i="7"/>
  <c r="F222" i="7"/>
  <c r="G222" i="7" s="1"/>
  <c r="M222" i="7" s="1"/>
  <c r="B223" i="7"/>
  <c r="P223" i="7" s="1"/>
  <c r="R223" i="7" s="1"/>
  <c r="Q223" i="7" l="1"/>
  <c r="H222" i="7"/>
  <c r="N222" i="7" s="1"/>
  <c r="I222" i="7"/>
  <c r="O222" i="7" s="1"/>
  <c r="S223" i="7"/>
  <c r="D223" i="7"/>
  <c r="K223" i="7"/>
  <c r="J223" i="7"/>
  <c r="L223" i="7" s="1"/>
  <c r="F223" i="7"/>
  <c r="G223" i="7" s="1"/>
  <c r="M223" i="7" s="1"/>
  <c r="C223" i="7"/>
  <c r="B224" i="7"/>
  <c r="P224" i="7" s="1"/>
  <c r="R224" i="7" l="1"/>
  <c r="Q224" i="7"/>
  <c r="I223" i="7"/>
  <c r="O223" i="7" s="1"/>
  <c r="H223" i="7"/>
  <c r="N223" i="7" s="1"/>
  <c r="S224" i="7"/>
  <c r="D224" i="7"/>
  <c r="K224" i="7"/>
  <c r="J224" i="7"/>
  <c r="L224" i="7" s="1"/>
  <c r="C224" i="7"/>
  <c r="F224" i="7"/>
  <c r="G224" i="7" s="1"/>
  <c r="M224" i="7" s="1"/>
  <c r="B225" i="7"/>
  <c r="P225" i="7" s="1"/>
  <c r="R225" i="7" l="1"/>
  <c r="Q225" i="7"/>
  <c r="I224" i="7"/>
  <c r="O224" i="7" s="1"/>
  <c r="H224" i="7"/>
  <c r="N224" i="7" s="1"/>
  <c r="S225" i="7"/>
  <c r="D225" i="7"/>
  <c r="K225" i="7"/>
  <c r="J225" i="7"/>
  <c r="L225" i="7" s="1"/>
  <c r="F225" i="7"/>
  <c r="G225" i="7" s="1"/>
  <c r="M225" i="7" s="1"/>
  <c r="C225" i="7"/>
  <c r="B226" i="7"/>
  <c r="P226" i="7" s="1"/>
  <c r="R226" i="7" l="1"/>
  <c r="Q226" i="7"/>
  <c r="I225" i="7"/>
  <c r="O225" i="7" s="1"/>
  <c r="H225" i="7"/>
  <c r="N225" i="7" s="1"/>
  <c r="S226" i="7"/>
  <c r="D226" i="7"/>
  <c r="K226" i="7"/>
  <c r="J226" i="7"/>
  <c r="L226" i="7" s="1"/>
  <c r="F226" i="7"/>
  <c r="G226" i="7" s="1"/>
  <c r="M226" i="7" s="1"/>
  <c r="B227" i="7"/>
  <c r="P227" i="7" s="1"/>
  <c r="C226" i="7"/>
  <c r="R227" i="7" l="1"/>
  <c r="Q227" i="7"/>
  <c r="I226" i="7"/>
  <c r="O226" i="7" s="1"/>
  <c r="H226" i="7"/>
  <c r="N226" i="7" s="1"/>
  <c r="S227" i="7"/>
  <c r="D227" i="7"/>
  <c r="K227" i="7"/>
  <c r="J227" i="7"/>
  <c r="L227" i="7" s="1"/>
  <c r="F227" i="7"/>
  <c r="G227" i="7" s="1"/>
  <c r="M227" i="7" s="1"/>
  <c r="B228" i="7"/>
  <c r="P228" i="7" s="1"/>
  <c r="C227" i="7"/>
  <c r="R228" i="7" l="1"/>
  <c r="Q228" i="7"/>
  <c r="I227" i="7"/>
  <c r="O227" i="7" s="1"/>
  <c r="H227" i="7"/>
  <c r="N227" i="7" s="1"/>
  <c r="S228" i="7"/>
  <c r="D228" i="7"/>
  <c r="J228" i="7"/>
  <c r="L228" i="7" s="1"/>
  <c r="K228" i="7"/>
  <c r="F228" i="7"/>
  <c r="G228" i="7" s="1"/>
  <c r="M228" i="7" s="1"/>
  <c r="C228" i="7"/>
  <c r="B229" i="7"/>
  <c r="P229" i="7" s="1"/>
  <c r="R229" i="7" l="1"/>
  <c r="Q229" i="7"/>
  <c r="I228" i="7"/>
  <c r="O228" i="7" s="1"/>
  <c r="H228" i="7"/>
  <c r="N228" i="7" s="1"/>
  <c r="S229" i="7"/>
  <c r="D229" i="7"/>
  <c r="J229" i="7"/>
  <c r="L229" i="7" s="1"/>
  <c r="K229" i="7"/>
  <c r="F229" i="7"/>
  <c r="G229" i="7" s="1"/>
  <c r="M229" i="7" s="1"/>
  <c r="B230" i="7"/>
  <c r="P230" i="7" s="1"/>
  <c r="C229" i="7"/>
  <c r="R230" i="7" l="1"/>
  <c r="Q230" i="7"/>
  <c r="I229" i="7"/>
  <c r="O229" i="7" s="1"/>
  <c r="H229" i="7"/>
  <c r="N229" i="7" s="1"/>
  <c r="S230" i="7"/>
  <c r="D230" i="7"/>
  <c r="J230" i="7"/>
  <c r="L230" i="7" s="1"/>
  <c r="K230" i="7"/>
  <c r="C230" i="7"/>
  <c r="B231" i="7"/>
  <c r="P231" i="7" s="1"/>
  <c r="F230" i="7"/>
  <c r="G230" i="7" s="1"/>
  <c r="M230" i="7" s="1"/>
  <c r="R231" i="7" l="1"/>
  <c r="Q231" i="7"/>
  <c r="I230" i="7"/>
  <c r="O230" i="7" s="1"/>
  <c r="H230" i="7"/>
  <c r="N230" i="7" s="1"/>
  <c r="S231" i="7"/>
  <c r="D231" i="7"/>
  <c r="K231" i="7"/>
  <c r="J231" i="7"/>
  <c r="L231" i="7" s="1"/>
  <c r="F231" i="7"/>
  <c r="G231" i="7" s="1"/>
  <c r="M231" i="7" s="1"/>
  <c r="C231" i="7"/>
  <c r="B232" i="7"/>
  <c r="P232" i="7" s="1"/>
  <c r="R232" i="7" l="1"/>
  <c r="Q232" i="7"/>
  <c r="I231" i="7"/>
  <c r="O231" i="7" s="1"/>
  <c r="H231" i="7"/>
  <c r="N231" i="7" s="1"/>
  <c r="S232" i="7"/>
  <c r="D232" i="7"/>
  <c r="K232" i="7"/>
  <c r="J232" i="7"/>
  <c r="L232" i="7" s="1"/>
  <c r="F232" i="7"/>
  <c r="G232" i="7" s="1"/>
  <c r="M232" i="7" s="1"/>
  <c r="C232" i="7"/>
  <c r="B233" i="7"/>
  <c r="P233" i="7" s="1"/>
  <c r="R233" i="7" l="1"/>
  <c r="Q233" i="7"/>
  <c r="I232" i="7"/>
  <c r="O232" i="7" s="1"/>
  <c r="H232" i="7"/>
  <c r="N232" i="7" s="1"/>
  <c r="S233" i="7"/>
  <c r="D233" i="7"/>
  <c r="K233" i="7"/>
  <c r="J233" i="7"/>
  <c r="L233" i="7" s="1"/>
  <c r="F233" i="7"/>
  <c r="G233" i="7" s="1"/>
  <c r="M233" i="7" s="1"/>
  <c r="C233" i="7"/>
  <c r="B234" i="7"/>
  <c r="P234" i="7" s="1"/>
  <c r="R234" i="7" l="1"/>
  <c r="Q234" i="7"/>
  <c r="I233" i="7"/>
  <c r="O233" i="7" s="1"/>
  <c r="H233" i="7"/>
  <c r="N233" i="7" s="1"/>
  <c r="S234" i="7"/>
  <c r="D234" i="7"/>
  <c r="K234" i="7"/>
  <c r="J234" i="7"/>
  <c r="L234" i="7" s="1"/>
  <c r="F234" i="7"/>
  <c r="G234" i="7" s="1"/>
  <c r="M234" i="7" s="1"/>
  <c r="C234" i="7"/>
  <c r="B235" i="7"/>
  <c r="P235" i="7" s="1"/>
  <c r="R235" i="7" l="1"/>
  <c r="Q235" i="7"/>
  <c r="I234" i="7"/>
  <c r="O234" i="7" s="1"/>
  <c r="H234" i="7"/>
  <c r="N234" i="7" s="1"/>
  <c r="S235" i="7"/>
  <c r="D235" i="7"/>
  <c r="K235" i="7"/>
  <c r="J235" i="7"/>
  <c r="L235" i="7" s="1"/>
  <c r="F235" i="7"/>
  <c r="G235" i="7" s="1"/>
  <c r="M235" i="7" s="1"/>
  <c r="C235" i="7"/>
  <c r="B236" i="7"/>
  <c r="P236" i="7" s="1"/>
  <c r="R236" i="7" l="1"/>
  <c r="Q236" i="7"/>
  <c r="I235" i="7"/>
  <c r="O235" i="7" s="1"/>
  <c r="H235" i="7"/>
  <c r="N235" i="7" s="1"/>
  <c r="S236" i="7"/>
  <c r="D236" i="7"/>
  <c r="J236" i="7"/>
  <c r="L236" i="7" s="1"/>
  <c r="K236" i="7"/>
  <c r="F236" i="7"/>
  <c r="G236" i="7" s="1"/>
  <c r="M236" i="7" s="1"/>
  <c r="C236" i="7"/>
  <c r="B237" i="7"/>
  <c r="P237" i="7" s="1"/>
  <c r="R237" i="7" l="1"/>
  <c r="Q237" i="7"/>
  <c r="I236" i="7"/>
  <c r="O236" i="7" s="1"/>
  <c r="H236" i="7"/>
  <c r="N236" i="7" s="1"/>
  <c r="S237" i="7"/>
  <c r="D237" i="7"/>
  <c r="J237" i="7"/>
  <c r="L237" i="7" s="1"/>
  <c r="K237" i="7"/>
  <c r="F237" i="7"/>
  <c r="G237" i="7" s="1"/>
  <c r="M237" i="7" s="1"/>
  <c r="B238" i="7"/>
  <c r="P238" i="7" s="1"/>
  <c r="C237" i="7"/>
  <c r="R238" i="7" l="1"/>
  <c r="Q238" i="7"/>
  <c r="I237" i="7"/>
  <c r="O237" i="7" s="1"/>
  <c r="H237" i="7"/>
  <c r="N237" i="7" s="1"/>
  <c r="S238" i="7"/>
  <c r="D238" i="7"/>
  <c r="J238" i="7"/>
  <c r="L238" i="7" s="1"/>
  <c r="K238" i="7"/>
  <c r="C238" i="7"/>
  <c r="F238" i="7"/>
  <c r="G238" i="7" s="1"/>
  <c r="M238" i="7" s="1"/>
  <c r="B239" i="7"/>
  <c r="P239" i="7" s="1"/>
  <c r="R239" i="7" l="1"/>
  <c r="Q239" i="7"/>
  <c r="I238" i="7"/>
  <c r="O238" i="7" s="1"/>
  <c r="H238" i="7"/>
  <c r="N238" i="7" s="1"/>
  <c r="S239" i="7"/>
  <c r="D239" i="7"/>
  <c r="K239" i="7"/>
  <c r="J239" i="7"/>
  <c r="L239" i="7" s="1"/>
  <c r="F239" i="7"/>
  <c r="G239" i="7" s="1"/>
  <c r="M239" i="7" s="1"/>
  <c r="C239" i="7"/>
  <c r="B240" i="7"/>
  <c r="P240" i="7" s="1"/>
  <c r="R240" i="7" l="1"/>
  <c r="Q240" i="7"/>
  <c r="I239" i="7"/>
  <c r="O239" i="7" s="1"/>
  <c r="H239" i="7"/>
  <c r="N239" i="7" s="1"/>
  <c r="S240" i="7"/>
  <c r="D240" i="7"/>
  <c r="K240" i="7"/>
  <c r="J240" i="7"/>
  <c r="L240" i="7" s="1"/>
  <c r="F240" i="7"/>
  <c r="G240" i="7" s="1"/>
  <c r="M240" i="7" s="1"/>
  <c r="C240" i="7"/>
  <c r="B241" i="7"/>
  <c r="P241" i="7" s="1"/>
  <c r="R241" i="7" l="1"/>
  <c r="Q241" i="7"/>
  <c r="I240" i="7"/>
  <c r="O240" i="7" s="1"/>
  <c r="H240" i="7"/>
  <c r="N240" i="7" s="1"/>
  <c r="S241" i="7"/>
  <c r="D241" i="7"/>
  <c r="K241" i="7"/>
  <c r="J241" i="7"/>
  <c r="L241" i="7" s="1"/>
  <c r="F241" i="7"/>
  <c r="G241" i="7" s="1"/>
  <c r="M241" i="7" s="1"/>
  <c r="C241" i="7"/>
  <c r="B242" i="7"/>
  <c r="P242" i="7" s="1"/>
  <c r="R242" i="7" l="1"/>
  <c r="Q242" i="7"/>
  <c r="I241" i="7"/>
  <c r="O241" i="7" s="1"/>
  <c r="H241" i="7"/>
  <c r="N241" i="7" s="1"/>
  <c r="S242" i="7"/>
  <c r="D242" i="7"/>
  <c r="K242" i="7"/>
  <c r="J242" i="7"/>
  <c r="L242" i="7" s="1"/>
  <c r="F242" i="7"/>
  <c r="G242" i="7" s="1"/>
  <c r="M242" i="7" s="1"/>
  <c r="C242" i="7"/>
  <c r="B243" i="7"/>
  <c r="P243" i="7" s="1"/>
  <c r="R243" i="7" l="1"/>
  <c r="Q243" i="7"/>
  <c r="I242" i="7"/>
  <c r="O242" i="7" s="1"/>
  <c r="H242" i="7"/>
  <c r="N242" i="7" s="1"/>
  <c r="S243" i="7"/>
  <c r="D243" i="7"/>
  <c r="K243" i="7"/>
  <c r="J243" i="7"/>
  <c r="L243" i="7" s="1"/>
  <c r="F243" i="7"/>
  <c r="G243" i="7" s="1"/>
  <c r="M243" i="7" s="1"/>
  <c r="C243" i="7"/>
  <c r="B244" i="7"/>
  <c r="P244" i="7" s="1"/>
  <c r="R244" i="7" l="1"/>
  <c r="Q244" i="7"/>
  <c r="I243" i="7"/>
  <c r="O243" i="7" s="1"/>
  <c r="H243" i="7"/>
  <c r="N243" i="7" s="1"/>
  <c r="S244" i="7"/>
  <c r="D244" i="7"/>
  <c r="J244" i="7"/>
  <c r="L244" i="7" s="1"/>
  <c r="K244" i="7"/>
  <c r="F244" i="7"/>
  <c r="G244" i="7" s="1"/>
  <c r="M244" i="7" s="1"/>
  <c r="C244" i="7"/>
  <c r="B245" i="7"/>
  <c r="P245" i="7" s="1"/>
  <c r="R245" i="7" l="1"/>
  <c r="Q245" i="7"/>
  <c r="I244" i="7"/>
  <c r="O244" i="7" s="1"/>
  <c r="H244" i="7"/>
  <c r="N244" i="7" s="1"/>
  <c r="S245" i="7"/>
  <c r="D245" i="7"/>
  <c r="J245" i="7"/>
  <c r="L245" i="7" s="1"/>
  <c r="K245" i="7"/>
  <c r="F245" i="7"/>
  <c r="G245" i="7" s="1"/>
  <c r="M245" i="7" s="1"/>
  <c r="B246" i="7"/>
  <c r="P246" i="7" s="1"/>
  <c r="C245" i="7"/>
  <c r="R246" i="7" l="1"/>
  <c r="Q246" i="7"/>
  <c r="I245" i="7"/>
  <c r="O245" i="7" s="1"/>
  <c r="H245" i="7"/>
  <c r="N245" i="7" s="1"/>
  <c r="S246" i="7"/>
  <c r="D246" i="7"/>
  <c r="J246" i="7"/>
  <c r="L246" i="7" s="1"/>
  <c r="K246" i="7"/>
  <c r="C246" i="7"/>
  <c r="F246" i="7"/>
  <c r="G246" i="7" s="1"/>
  <c r="M246" i="7" s="1"/>
  <c r="B247" i="7"/>
  <c r="P247" i="7" s="1"/>
  <c r="Q247" i="7" l="1"/>
  <c r="R247" i="7"/>
  <c r="I246" i="7"/>
  <c r="O246" i="7" s="1"/>
  <c r="H246" i="7"/>
  <c r="N246" i="7" s="1"/>
  <c r="S247" i="7"/>
  <c r="D247" i="7"/>
  <c r="K247" i="7"/>
  <c r="J247" i="7"/>
  <c r="L247" i="7" s="1"/>
  <c r="F247" i="7"/>
  <c r="G247" i="7" s="1"/>
  <c r="M247" i="7" s="1"/>
  <c r="C247" i="7"/>
  <c r="B248" i="7"/>
  <c r="P248" i="7" s="1"/>
  <c r="R248" i="7" s="1"/>
  <c r="Q248" i="7" l="1"/>
  <c r="H247" i="7"/>
  <c r="N247" i="7" s="1"/>
  <c r="I247" i="7"/>
  <c r="O247" i="7" s="1"/>
  <c r="S248" i="7"/>
  <c r="D248" i="7"/>
  <c r="K248" i="7"/>
  <c r="J248" i="7"/>
  <c r="L248" i="7" s="1"/>
  <c r="C248" i="7"/>
  <c r="B249" i="7"/>
  <c r="P249" i="7" s="1"/>
  <c r="R249" i="7" s="1"/>
  <c r="F248" i="7"/>
  <c r="G248" i="7" s="1"/>
  <c r="M248" i="7" s="1"/>
  <c r="Q249" i="7" l="1"/>
  <c r="I248" i="7"/>
  <c r="O248" i="7" s="1"/>
  <c r="H248" i="7"/>
  <c r="N248" i="7" s="1"/>
  <c r="S249" i="7"/>
  <c r="D249" i="7"/>
  <c r="K249" i="7"/>
  <c r="J249" i="7"/>
  <c r="L249" i="7" s="1"/>
  <c r="F249" i="7"/>
  <c r="G249" i="7" s="1"/>
  <c r="M249" i="7" s="1"/>
  <c r="C249" i="7"/>
  <c r="B250" i="7"/>
  <c r="P250" i="7" s="1"/>
  <c r="R250" i="7" s="1"/>
  <c r="Q250" i="7" l="1"/>
  <c r="I249" i="7"/>
  <c r="O249" i="7" s="1"/>
  <c r="H249" i="7"/>
  <c r="N249" i="7" s="1"/>
  <c r="S250" i="7"/>
  <c r="D250" i="7"/>
  <c r="K250" i="7"/>
  <c r="J250" i="7"/>
  <c r="L250" i="7" s="1"/>
  <c r="F250" i="7"/>
  <c r="G250" i="7" s="1"/>
  <c r="M250" i="7" s="1"/>
  <c r="B251" i="7"/>
  <c r="P251" i="7" s="1"/>
  <c r="C250" i="7"/>
  <c r="R251" i="7" l="1"/>
  <c r="Q251" i="7"/>
  <c r="I250" i="7"/>
  <c r="O250" i="7" s="1"/>
  <c r="H250" i="7"/>
  <c r="N250" i="7" s="1"/>
  <c r="S251" i="7"/>
  <c r="D251" i="7"/>
  <c r="K251" i="7"/>
  <c r="J251" i="7"/>
  <c r="L251" i="7" s="1"/>
  <c r="F251" i="7"/>
  <c r="G251" i="7" s="1"/>
  <c r="M251" i="7" s="1"/>
  <c r="C251" i="7"/>
  <c r="B252" i="7"/>
  <c r="P252" i="7" s="1"/>
  <c r="R252" i="7" s="1"/>
  <c r="Q252" i="7" l="1"/>
  <c r="H251" i="7"/>
  <c r="N251" i="7" s="1"/>
  <c r="I251" i="7"/>
  <c r="O251" i="7" s="1"/>
  <c r="S252" i="7"/>
  <c r="D252" i="7"/>
  <c r="J252" i="7"/>
  <c r="L252" i="7" s="1"/>
  <c r="K252" i="7"/>
  <c r="F252" i="7"/>
  <c r="G252" i="7" s="1"/>
  <c r="M252" i="7" s="1"/>
  <c r="C252" i="7"/>
  <c r="B253" i="7"/>
  <c r="P253" i="7" s="1"/>
  <c r="R253" i="7" s="1"/>
  <c r="Q253" i="7" l="1"/>
  <c r="H252" i="7"/>
  <c r="N252" i="7" s="1"/>
  <c r="I252" i="7"/>
  <c r="O252" i="7" s="1"/>
  <c r="S253" i="7"/>
  <c r="D253" i="7"/>
  <c r="J253" i="7"/>
  <c r="L253" i="7" s="1"/>
  <c r="K253" i="7"/>
  <c r="F253" i="7"/>
  <c r="G253" i="7" s="1"/>
  <c r="M253" i="7" s="1"/>
  <c r="C253" i="7"/>
  <c r="B254" i="7"/>
  <c r="P254" i="7" s="1"/>
  <c r="R254" i="7" l="1"/>
  <c r="Q254" i="7"/>
  <c r="I253" i="7"/>
  <c r="O253" i="7" s="1"/>
  <c r="H253" i="7"/>
  <c r="N253" i="7" s="1"/>
  <c r="S254" i="7"/>
  <c r="D254" i="7"/>
  <c r="J254" i="7"/>
  <c r="L254" i="7" s="1"/>
  <c r="K254" i="7"/>
  <c r="C254" i="7"/>
  <c r="B255" i="7"/>
  <c r="P255" i="7" s="1"/>
  <c r="F254" i="7"/>
  <c r="G254" i="7" s="1"/>
  <c r="M254" i="7" s="1"/>
  <c r="R255" i="7" l="1"/>
  <c r="Q255" i="7"/>
  <c r="I254" i="7"/>
  <c r="O254" i="7" s="1"/>
  <c r="H254" i="7"/>
  <c r="N254" i="7" s="1"/>
  <c r="S255" i="7"/>
  <c r="D255" i="7"/>
  <c r="K255" i="7"/>
  <c r="J255" i="7"/>
  <c r="L255" i="7" s="1"/>
  <c r="F255" i="7"/>
  <c r="G255" i="7" s="1"/>
  <c r="M255" i="7" s="1"/>
  <c r="C255" i="7"/>
  <c r="B256" i="7"/>
  <c r="P256" i="7" s="1"/>
  <c r="R256" i="7" l="1"/>
  <c r="Q256" i="7"/>
  <c r="I255" i="7"/>
  <c r="O255" i="7" s="1"/>
  <c r="H255" i="7"/>
  <c r="N255" i="7" s="1"/>
  <c r="S256" i="7"/>
  <c r="D256" i="7"/>
  <c r="K256" i="7"/>
  <c r="J256" i="7"/>
  <c r="L256" i="7" s="1"/>
  <c r="C256" i="7"/>
  <c r="F256" i="7"/>
  <c r="G256" i="7" s="1"/>
  <c r="M256" i="7" s="1"/>
  <c r="B257" i="7"/>
  <c r="P257" i="7" s="1"/>
  <c r="R257" i="7" l="1"/>
  <c r="Q257" i="7"/>
  <c r="I256" i="7"/>
  <c r="O256" i="7" s="1"/>
  <c r="H256" i="7"/>
  <c r="N256" i="7" s="1"/>
  <c r="S257" i="7"/>
  <c r="D257" i="7"/>
  <c r="K257" i="7"/>
  <c r="J257" i="7"/>
  <c r="L257" i="7" s="1"/>
  <c r="F257" i="7"/>
  <c r="G257" i="7" s="1"/>
  <c r="M257" i="7" s="1"/>
  <c r="C257" i="7"/>
  <c r="B258" i="7"/>
  <c r="P258" i="7" s="1"/>
  <c r="R258" i="7" l="1"/>
  <c r="Q258" i="7"/>
  <c r="I257" i="7"/>
  <c r="O257" i="7" s="1"/>
  <c r="H257" i="7"/>
  <c r="N257" i="7" s="1"/>
  <c r="S258" i="7"/>
  <c r="D258" i="7"/>
  <c r="K258" i="7"/>
  <c r="J258" i="7"/>
  <c r="L258" i="7" s="1"/>
  <c r="F258" i="7"/>
  <c r="G258" i="7" s="1"/>
  <c r="M258" i="7" s="1"/>
  <c r="C258" i="7"/>
  <c r="B259" i="7"/>
  <c r="P259" i="7" l="1"/>
  <c r="R259" i="7" s="1"/>
  <c r="I258" i="7"/>
  <c r="O258" i="7" s="1"/>
  <c r="H258" i="7"/>
  <c r="N258" i="7" s="1"/>
  <c r="S259" i="7"/>
  <c r="D259" i="7"/>
  <c r="K259" i="7"/>
  <c r="J259" i="7"/>
  <c r="L259" i="7" s="1"/>
  <c r="F259" i="7"/>
  <c r="G259" i="7" s="1"/>
  <c r="C259" i="7"/>
  <c r="B260" i="7"/>
  <c r="P260" i="7" s="1"/>
  <c r="M259" i="7" l="1"/>
  <c r="Q259" i="7"/>
  <c r="R260" i="7"/>
  <c r="Q260" i="7"/>
  <c r="I259" i="7"/>
  <c r="O259" i="7" s="1"/>
  <c r="H259" i="7"/>
  <c r="S260" i="7"/>
  <c r="D260" i="7"/>
  <c r="J260" i="7"/>
  <c r="L260" i="7" s="1"/>
  <c r="K260" i="7"/>
  <c r="F260" i="7"/>
  <c r="G260" i="7" s="1"/>
  <c r="M260" i="7" s="1"/>
  <c r="C260" i="7"/>
  <c r="B261" i="7"/>
  <c r="N259" i="7" l="1"/>
  <c r="P261" i="7"/>
  <c r="Q261" i="7" s="1"/>
  <c r="R261" i="7"/>
  <c r="I260" i="7"/>
  <c r="O260" i="7" s="1"/>
  <c r="H260" i="7"/>
  <c r="N260" i="7" s="1"/>
  <c r="S261" i="7"/>
  <c r="D261" i="7"/>
  <c r="J261" i="7"/>
  <c r="L261" i="7" s="1"/>
  <c r="K261" i="7"/>
  <c r="F261" i="7"/>
  <c r="G261" i="7" s="1"/>
  <c r="M261" i="7" s="1"/>
  <c r="C261" i="7"/>
  <c r="B262" i="7"/>
  <c r="P262" i="7" s="1"/>
  <c r="R262" i="7" l="1"/>
  <c r="Q262" i="7"/>
  <c r="I261" i="7"/>
  <c r="O261" i="7" s="1"/>
  <c r="H261" i="7"/>
  <c r="N261" i="7" s="1"/>
  <c r="S262" i="7"/>
  <c r="D262" i="7"/>
  <c r="J262" i="7"/>
  <c r="L262" i="7" s="1"/>
  <c r="K262" i="7"/>
  <c r="C262" i="7"/>
  <c r="B263" i="7"/>
  <c r="F262" i="7"/>
  <c r="G262" i="7" s="1"/>
  <c r="M262" i="7" s="1"/>
  <c r="P263" i="7" l="1"/>
  <c r="Q263" i="7" s="1"/>
  <c r="I262" i="7"/>
  <c r="O262" i="7" s="1"/>
  <c r="H262" i="7"/>
  <c r="N262" i="7" s="1"/>
  <c r="S263" i="7"/>
  <c r="D263" i="7"/>
  <c r="K263" i="7"/>
  <c r="J263" i="7"/>
  <c r="L263" i="7" s="1"/>
  <c r="F263" i="7"/>
  <c r="G263" i="7" s="1"/>
  <c r="M263" i="7" s="1"/>
  <c r="C263" i="7"/>
  <c r="B264" i="7"/>
  <c r="P264" i="7" s="1"/>
  <c r="R263" i="7" l="1"/>
  <c r="R264" i="7"/>
  <c r="Q264" i="7"/>
  <c r="I263" i="7"/>
  <c r="O263" i="7" s="1"/>
  <c r="H263" i="7"/>
  <c r="N263" i="7" s="1"/>
  <c r="S264" i="7"/>
  <c r="D264" i="7"/>
  <c r="K264" i="7"/>
  <c r="J264" i="7"/>
  <c r="L264" i="7" s="1"/>
  <c r="F264" i="7"/>
  <c r="G264" i="7" s="1"/>
  <c r="M264" i="7" s="1"/>
  <c r="C264" i="7"/>
  <c r="B265" i="7"/>
  <c r="P265" i="7" l="1"/>
  <c r="Q265" i="7" s="1"/>
  <c r="I264" i="7"/>
  <c r="O264" i="7" s="1"/>
  <c r="H264" i="7"/>
  <c r="N264" i="7" s="1"/>
  <c r="S265" i="7"/>
  <c r="D265" i="7"/>
  <c r="K265" i="7"/>
  <c r="J265" i="7"/>
  <c r="L265" i="7" s="1"/>
  <c r="F265" i="7"/>
  <c r="G265" i="7" s="1"/>
  <c r="C265" i="7"/>
  <c r="B266" i="7"/>
  <c r="P266" i="7" s="1"/>
  <c r="M265" i="7" l="1"/>
  <c r="R265" i="7"/>
  <c r="R266" i="7"/>
  <c r="Q266" i="7"/>
  <c r="I265" i="7"/>
  <c r="O265" i="7" s="1"/>
  <c r="H265" i="7"/>
  <c r="N265" i="7" s="1"/>
  <c r="S266" i="7"/>
  <c r="D266" i="7"/>
  <c r="K266" i="7"/>
  <c r="J266" i="7"/>
  <c r="L266" i="7" s="1"/>
  <c r="F266" i="7"/>
  <c r="G266" i="7" s="1"/>
  <c r="M266" i="7" s="1"/>
  <c r="C266" i="7"/>
  <c r="B267" i="7"/>
  <c r="P267" i="7" l="1"/>
  <c r="R267" i="7" s="1"/>
  <c r="I266" i="7"/>
  <c r="O266" i="7" s="1"/>
  <c r="H266" i="7"/>
  <c r="N266" i="7" s="1"/>
  <c r="S267" i="7"/>
  <c r="D267" i="7"/>
  <c r="K267" i="7"/>
  <c r="J267" i="7"/>
  <c r="L267" i="7" s="1"/>
  <c r="F267" i="7"/>
  <c r="G267" i="7" s="1"/>
  <c r="M267" i="7" s="1"/>
  <c r="B268" i="7"/>
  <c r="P268" i="7" s="1"/>
  <c r="C267" i="7"/>
  <c r="Q267" i="7" l="1"/>
  <c r="R268" i="7"/>
  <c r="Q268" i="7"/>
  <c r="I267" i="7"/>
  <c r="O267" i="7" s="1"/>
  <c r="H267" i="7"/>
  <c r="N267" i="7" s="1"/>
  <c r="S268" i="7"/>
  <c r="D268" i="7"/>
  <c r="J268" i="7"/>
  <c r="L268" i="7" s="1"/>
  <c r="K268" i="7"/>
  <c r="F268" i="7"/>
  <c r="G268" i="7" s="1"/>
  <c r="M268" i="7" s="1"/>
  <c r="C268" i="7"/>
  <c r="B269" i="7"/>
  <c r="P269" i="7" s="1"/>
  <c r="R269" i="7" l="1"/>
  <c r="Q269" i="7"/>
  <c r="I268" i="7"/>
  <c r="O268" i="7" s="1"/>
  <c r="H268" i="7"/>
  <c r="N268" i="7" s="1"/>
  <c r="S269" i="7"/>
  <c r="D269" i="7"/>
  <c r="J269" i="7"/>
  <c r="L269" i="7" s="1"/>
  <c r="K269" i="7"/>
  <c r="F269" i="7"/>
  <c r="G269" i="7" s="1"/>
  <c r="M269" i="7" s="1"/>
  <c r="B270" i="7"/>
  <c r="P270" i="7" s="1"/>
  <c r="C269" i="7"/>
  <c r="R270" i="7" l="1"/>
  <c r="Q270" i="7"/>
  <c r="I269" i="7"/>
  <c r="O269" i="7" s="1"/>
  <c r="H269" i="7"/>
  <c r="N269" i="7" s="1"/>
  <c r="S270" i="7"/>
  <c r="D270" i="7"/>
  <c r="J270" i="7"/>
  <c r="L270" i="7" s="1"/>
  <c r="K270" i="7"/>
  <c r="C270" i="7"/>
  <c r="F270" i="7"/>
  <c r="G270" i="7" s="1"/>
  <c r="M270" i="7" s="1"/>
  <c r="B271" i="7"/>
  <c r="P271" i="7" s="1"/>
  <c r="R271" i="7" l="1"/>
  <c r="Q271" i="7"/>
  <c r="I270" i="7"/>
  <c r="O270" i="7" s="1"/>
  <c r="H270" i="7"/>
  <c r="N270" i="7" s="1"/>
  <c r="S271" i="7"/>
  <c r="D271" i="7"/>
  <c r="K271" i="7"/>
  <c r="J271" i="7"/>
  <c r="L271" i="7" s="1"/>
  <c r="F271" i="7"/>
  <c r="G271" i="7" s="1"/>
  <c r="M271" i="7" s="1"/>
  <c r="C271" i="7"/>
  <c r="B272" i="7"/>
  <c r="P272" i="7" s="1"/>
  <c r="R272" i="7" l="1"/>
  <c r="Q272" i="7"/>
  <c r="I271" i="7"/>
  <c r="O271" i="7" s="1"/>
  <c r="H271" i="7"/>
  <c r="N271" i="7" s="1"/>
  <c r="S272" i="7"/>
  <c r="D272" i="7"/>
  <c r="K272" i="7"/>
  <c r="J272" i="7"/>
  <c r="L272" i="7" s="1"/>
  <c r="F272" i="7"/>
  <c r="G272" i="7" s="1"/>
  <c r="M272" i="7" s="1"/>
  <c r="C272" i="7"/>
  <c r="B273" i="7"/>
  <c r="P273" i="7" s="1"/>
  <c r="R273" i="7" l="1"/>
  <c r="Q273" i="7"/>
  <c r="I272" i="7"/>
  <c r="O272" i="7" s="1"/>
  <c r="H272" i="7"/>
  <c r="N272" i="7" s="1"/>
  <c r="S273" i="7"/>
  <c r="D273" i="7"/>
  <c r="K273" i="7"/>
  <c r="J273" i="7"/>
  <c r="L273" i="7" s="1"/>
  <c r="F273" i="7"/>
  <c r="G273" i="7" s="1"/>
  <c r="M273" i="7" s="1"/>
  <c r="C273" i="7"/>
  <c r="B274" i="7"/>
  <c r="P274" i="7" s="1"/>
  <c r="R274" i="7" l="1"/>
  <c r="Q274" i="7"/>
  <c r="I273" i="7"/>
  <c r="O273" i="7" s="1"/>
  <c r="H273" i="7"/>
  <c r="N273" i="7" s="1"/>
  <c r="S274" i="7"/>
  <c r="D274" i="7"/>
  <c r="K274" i="7"/>
  <c r="J274" i="7"/>
  <c r="L274" i="7" s="1"/>
  <c r="F274" i="7"/>
  <c r="G274" i="7" s="1"/>
  <c r="M274" i="7" s="1"/>
  <c r="B275" i="7"/>
  <c r="P275" i="7" s="1"/>
  <c r="C274" i="7"/>
  <c r="R275" i="7" l="1"/>
  <c r="Q275" i="7"/>
  <c r="I274" i="7"/>
  <c r="O274" i="7" s="1"/>
  <c r="H274" i="7"/>
  <c r="N274" i="7" s="1"/>
  <c r="S275" i="7"/>
  <c r="D275" i="7"/>
  <c r="K275" i="7"/>
  <c r="J275" i="7"/>
  <c r="L275" i="7" s="1"/>
  <c r="F275" i="7"/>
  <c r="G275" i="7" s="1"/>
  <c r="M275" i="7" s="1"/>
  <c r="C275" i="7"/>
  <c r="B276" i="7"/>
  <c r="P276" i="7" s="1"/>
  <c r="R276" i="7" l="1"/>
  <c r="Q276" i="7"/>
  <c r="I275" i="7"/>
  <c r="O275" i="7" s="1"/>
  <c r="H275" i="7"/>
  <c r="N275" i="7" s="1"/>
  <c r="S276" i="7"/>
  <c r="D276" i="7"/>
  <c r="J276" i="7"/>
  <c r="L276" i="7" s="1"/>
  <c r="K276" i="7"/>
  <c r="F276" i="7"/>
  <c r="G276" i="7" s="1"/>
  <c r="M276" i="7" s="1"/>
  <c r="C276" i="7"/>
  <c r="B277" i="7"/>
  <c r="P277" i="7" s="1"/>
  <c r="R277" i="7" l="1"/>
  <c r="Q277" i="7"/>
  <c r="I276" i="7"/>
  <c r="O276" i="7" s="1"/>
  <c r="H276" i="7"/>
  <c r="N276" i="7" s="1"/>
  <c r="S277" i="7"/>
  <c r="D277" i="7"/>
  <c r="J277" i="7"/>
  <c r="L277" i="7" s="1"/>
  <c r="K277" i="7"/>
  <c r="F277" i="7"/>
  <c r="G277" i="7" s="1"/>
  <c r="M277" i="7" s="1"/>
  <c r="C277" i="7"/>
  <c r="B278" i="7"/>
  <c r="P278" i="7" s="1"/>
  <c r="Q278" i="7" l="1"/>
  <c r="R278" i="7"/>
  <c r="I277" i="7"/>
  <c r="O277" i="7" s="1"/>
  <c r="H277" i="7"/>
  <c r="N277" i="7" s="1"/>
  <c r="S278" i="7"/>
  <c r="D278" i="7"/>
  <c r="J278" i="7"/>
  <c r="L278" i="7" s="1"/>
  <c r="K278" i="7"/>
  <c r="C278" i="7"/>
  <c r="F278" i="7"/>
  <c r="G278" i="7" s="1"/>
  <c r="M278" i="7" s="1"/>
  <c r="B279" i="7"/>
  <c r="P279" i="7" s="1"/>
  <c r="R279" i="7" s="1"/>
  <c r="Q279" i="7" l="1"/>
  <c r="H278" i="7"/>
  <c r="N278" i="7" s="1"/>
  <c r="I278" i="7"/>
  <c r="O278" i="7" s="1"/>
  <c r="S279" i="7"/>
  <c r="D279" i="7"/>
  <c r="K279" i="7"/>
  <c r="J279" i="7"/>
  <c r="L279" i="7" s="1"/>
  <c r="F279" i="7"/>
  <c r="G279" i="7" s="1"/>
  <c r="M279" i="7" s="1"/>
  <c r="C279" i="7"/>
  <c r="B280" i="7"/>
  <c r="P280" i="7" s="1"/>
  <c r="R280" i="7" s="1"/>
  <c r="Q280" i="7" l="1"/>
  <c r="H279" i="7"/>
  <c r="N279" i="7" s="1"/>
  <c r="I279" i="7"/>
  <c r="O279" i="7" s="1"/>
  <c r="S280" i="7"/>
  <c r="D280" i="7"/>
  <c r="K280" i="7"/>
  <c r="J280" i="7"/>
  <c r="L280" i="7" s="1"/>
  <c r="C280" i="7"/>
  <c r="F280" i="7"/>
  <c r="G280" i="7" s="1"/>
  <c r="M280" i="7" s="1"/>
  <c r="B281" i="7"/>
  <c r="P281" i="7" s="1"/>
  <c r="Q281" i="7" l="1"/>
  <c r="R281" i="7"/>
  <c r="H280" i="7"/>
  <c r="N280" i="7" s="1"/>
  <c r="I280" i="7"/>
  <c r="O280" i="7" s="1"/>
  <c r="S281" i="7"/>
  <c r="D281" i="7"/>
  <c r="K281" i="7"/>
  <c r="J281" i="7"/>
  <c r="L281" i="7" s="1"/>
  <c r="F281" i="7"/>
  <c r="G281" i="7" s="1"/>
  <c r="M281" i="7" s="1"/>
  <c r="C281" i="7"/>
  <c r="B282" i="7"/>
  <c r="P282" i="7" s="1"/>
  <c r="R282" i="7" s="1"/>
  <c r="Q282" i="7" l="1"/>
  <c r="I281" i="7"/>
  <c r="O281" i="7" s="1"/>
  <c r="H281" i="7"/>
  <c r="N281" i="7" s="1"/>
  <c r="S282" i="7"/>
  <c r="D282" i="7"/>
  <c r="K282" i="7"/>
  <c r="J282" i="7"/>
  <c r="L282" i="7" s="1"/>
  <c r="F282" i="7"/>
  <c r="G282" i="7" s="1"/>
  <c r="M282" i="7" s="1"/>
  <c r="C282" i="7"/>
  <c r="B283" i="7"/>
  <c r="P283" i="7" s="1"/>
  <c r="R283" i="7" l="1"/>
  <c r="Q283" i="7"/>
  <c r="I282" i="7"/>
  <c r="O282" i="7" s="1"/>
  <c r="H282" i="7"/>
  <c r="N282" i="7" s="1"/>
  <c r="S283" i="7"/>
  <c r="D283" i="7"/>
  <c r="K283" i="7"/>
  <c r="J283" i="7"/>
  <c r="L283" i="7" s="1"/>
  <c r="F283" i="7"/>
  <c r="G283" i="7" s="1"/>
  <c r="M283" i="7" s="1"/>
  <c r="C283" i="7"/>
  <c r="B284" i="7"/>
  <c r="P284" i="7" s="1"/>
  <c r="R284" i="7" s="1"/>
  <c r="Q284" i="7" l="1"/>
  <c r="H283" i="7"/>
  <c r="N283" i="7" s="1"/>
  <c r="I283" i="7"/>
  <c r="O283" i="7" s="1"/>
  <c r="S284" i="7"/>
  <c r="D284" i="7"/>
  <c r="J284" i="7"/>
  <c r="L284" i="7" s="1"/>
  <c r="K284" i="7"/>
  <c r="F284" i="7"/>
  <c r="G284" i="7" s="1"/>
  <c r="M284" i="7" s="1"/>
  <c r="C284" i="7"/>
  <c r="B285" i="7"/>
  <c r="P285" i="7" s="1"/>
  <c r="R285" i="7" l="1"/>
  <c r="Q285" i="7"/>
  <c r="I284" i="7"/>
  <c r="O284" i="7" s="1"/>
  <c r="H284" i="7"/>
  <c r="N284" i="7" s="1"/>
  <c r="S285" i="7"/>
  <c r="D285" i="7"/>
  <c r="J285" i="7"/>
  <c r="L285" i="7" s="1"/>
  <c r="K285" i="7"/>
  <c r="F285" i="7"/>
  <c r="G285" i="7" s="1"/>
  <c r="M285" i="7" s="1"/>
  <c r="C285" i="7"/>
  <c r="B286" i="7"/>
  <c r="P286" i="7" s="1"/>
  <c r="R286" i="7" l="1"/>
  <c r="Q286" i="7"/>
  <c r="I285" i="7"/>
  <c r="O285" i="7" s="1"/>
  <c r="H285" i="7"/>
  <c r="N285" i="7" s="1"/>
  <c r="S286" i="7"/>
  <c r="D286" i="7"/>
  <c r="J286" i="7"/>
  <c r="L286" i="7" s="1"/>
  <c r="K286" i="7"/>
  <c r="C286" i="7"/>
  <c r="B287" i="7"/>
  <c r="P287" i="7" s="1"/>
  <c r="F286" i="7"/>
  <c r="G286" i="7" s="1"/>
  <c r="M286" i="7" s="1"/>
  <c r="R287" i="7" l="1"/>
  <c r="Q287" i="7"/>
  <c r="I286" i="7"/>
  <c r="O286" i="7" s="1"/>
  <c r="H286" i="7"/>
  <c r="N286" i="7" s="1"/>
  <c r="S287" i="7"/>
  <c r="D287" i="7"/>
  <c r="K287" i="7"/>
  <c r="J287" i="7"/>
  <c r="L287" i="7" s="1"/>
  <c r="F287" i="7"/>
  <c r="G287" i="7" s="1"/>
  <c r="M287" i="7" s="1"/>
  <c r="C287" i="7"/>
  <c r="B288" i="7"/>
  <c r="P288" i="7" s="1"/>
  <c r="R288" i="7" l="1"/>
  <c r="Q288" i="7"/>
  <c r="I287" i="7"/>
  <c r="O287" i="7" s="1"/>
  <c r="H287" i="7"/>
  <c r="N287" i="7" s="1"/>
  <c r="S288" i="7"/>
  <c r="D288" i="7"/>
  <c r="K288" i="7"/>
  <c r="J288" i="7"/>
  <c r="L288" i="7" s="1"/>
  <c r="C288" i="7"/>
  <c r="F288" i="7"/>
  <c r="G288" i="7" s="1"/>
  <c r="M288" i="7" s="1"/>
  <c r="B289" i="7"/>
  <c r="P289" i="7" s="1"/>
  <c r="R289" i="7" l="1"/>
  <c r="Q289" i="7"/>
  <c r="I288" i="7"/>
  <c r="O288" i="7" s="1"/>
  <c r="H288" i="7"/>
  <c r="N288" i="7" s="1"/>
  <c r="S289" i="7"/>
  <c r="D289" i="7"/>
  <c r="K289" i="7"/>
  <c r="J289" i="7"/>
  <c r="L289" i="7" s="1"/>
  <c r="F289" i="7"/>
  <c r="G289" i="7" s="1"/>
  <c r="M289" i="7" s="1"/>
  <c r="C289" i="7"/>
  <c r="B290" i="7"/>
  <c r="P290" i="7" s="1"/>
  <c r="R290" i="7" l="1"/>
  <c r="Q290" i="7"/>
  <c r="I289" i="7"/>
  <c r="O289" i="7" s="1"/>
  <c r="H289" i="7"/>
  <c r="N289" i="7" s="1"/>
  <c r="S290" i="7"/>
  <c r="D290" i="7"/>
  <c r="K290" i="7"/>
  <c r="J290" i="7"/>
  <c r="L290" i="7" s="1"/>
  <c r="F290" i="7"/>
  <c r="G290" i="7" s="1"/>
  <c r="M290" i="7" s="1"/>
  <c r="B291" i="7"/>
  <c r="P291" i="7" s="1"/>
  <c r="C290" i="7"/>
  <c r="R291" i="7" l="1"/>
  <c r="Q291" i="7"/>
  <c r="I290" i="7"/>
  <c r="O290" i="7" s="1"/>
  <c r="H290" i="7"/>
  <c r="N290" i="7" s="1"/>
  <c r="S291" i="7"/>
  <c r="D291" i="7"/>
  <c r="K291" i="7"/>
  <c r="J291" i="7"/>
  <c r="L291" i="7" s="1"/>
  <c r="F291" i="7"/>
  <c r="G291" i="7" s="1"/>
  <c r="M291" i="7" s="1"/>
  <c r="C291" i="7"/>
  <c r="B292" i="7"/>
  <c r="P292" i="7" s="1"/>
  <c r="R292" i="7" l="1"/>
  <c r="Q292" i="7"/>
  <c r="I291" i="7"/>
  <c r="O291" i="7" s="1"/>
  <c r="H291" i="7"/>
  <c r="N291" i="7" s="1"/>
  <c r="S292" i="7"/>
  <c r="D292" i="7"/>
  <c r="J292" i="7"/>
  <c r="L292" i="7" s="1"/>
  <c r="K292" i="7"/>
  <c r="F292" i="7"/>
  <c r="G292" i="7" s="1"/>
  <c r="M292" i="7" s="1"/>
  <c r="C292" i="7"/>
  <c r="B293" i="7"/>
  <c r="P293" i="7" s="1"/>
  <c r="R293" i="7" l="1"/>
  <c r="Q293" i="7"/>
  <c r="I292" i="7"/>
  <c r="O292" i="7" s="1"/>
  <c r="H292" i="7"/>
  <c r="N292" i="7" s="1"/>
  <c r="S293" i="7"/>
  <c r="D293" i="7"/>
  <c r="J293" i="7"/>
  <c r="L293" i="7" s="1"/>
  <c r="K293" i="7"/>
  <c r="F293" i="7"/>
  <c r="G293" i="7" s="1"/>
  <c r="M293" i="7" s="1"/>
  <c r="C293" i="7"/>
  <c r="B294" i="7"/>
  <c r="P294" i="7" s="1"/>
  <c r="R294" i="7" l="1"/>
  <c r="Q294" i="7"/>
  <c r="I293" i="7"/>
  <c r="O293" i="7" s="1"/>
  <c r="H293" i="7"/>
  <c r="N293" i="7" s="1"/>
  <c r="S294" i="7"/>
  <c r="D294" i="7"/>
  <c r="J294" i="7"/>
  <c r="L294" i="7" s="1"/>
  <c r="K294" i="7"/>
  <c r="C294" i="7"/>
  <c r="B295" i="7"/>
  <c r="P295" i="7" s="1"/>
  <c r="F294" i="7"/>
  <c r="G294" i="7" s="1"/>
  <c r="M294" i="7" s="1"/>
  <c r="R295" i="7" l="1"/>
  <c r="Q295" i="7"/>
  <c r="I294" i="7"/>
  <c r="O294" i="7" s="1"/>
  <c r="H294" i="7"/>
  <c r="N294" i="7" s="1"/>
  <c r="S295" i="7"/>
  <c r="D295" i="7"/>
  <c r="K295" i="7"/>
  <c r="J295" i="7"/>
  <c r="L295" i="7" s="1"/>
  <c r="F295" i="7"/>
  <c r="G295" i="7" s="1"/>
  <c r="M295" i="7" s="1"/>
  <c r="C295" i="7"/>
  <c r="B296" i="7"/>
  <c r="P296" i="7" s="1"/>
  <c r="R296" i="7" l="1"/>
  <c r="Q296" i="7"/>
  <c r="I295" i="7"/>
  <c r="O295" i="7" s="1"/>
  <c r="H295" i="7"/>
  <c r="N295" i="7" s="1"/>
  <c r="S296" i="7"/>
  <c r="D296" i="7"/>
  <c r="K296" i="7"/>
  <c r="J296" i="7"/>
  <c r="L296" i="7" s="1"/>
  <c r="F296" i="7"/>
  <c r="G296" i="7" s="1"/>
  <c r="M296" i="7" s="1"/>
  <c r="C296" i="7"/>
  <c r="B297" i="7"/>
  <c r="P297" i="7" s="1"/>
  <c r="R297" i="7" l="1"/>
  <c r="Q297" i="7"/>
  <c r="I296" i="7"/>
  <c r="O296" i="7" s="1"/>
  <c r="H296" i="7"/>
  <c r="N296" i="7" s="1"/>
  <c r="S297" i="7"/>
  <c r="D297" i="7"/>
  <c r="K297" i="7"/>
  <c r="J297" i="7"/>
  <c r="L297" i="7" s="1"/>
  <c r="F297" i="7"/>
  <c r="G297" i="7" s="1"/>
  <c r="M297" i="7" s="1"/>
  <c r="C297" i="7"/>
  <c r="B298" i="7"/>
  <c r="P298" i="7" s="1"/>
  <c r="R298" i="7" l="1"/>
  <c r="Q298" i="7"/>
  <c r="I297" i="7"/>
  <c r="O297" i="7" s="1"/>
  <c r="H297" i="7"/>
  <c r="N297" i="7" s="1"/>
  <c r="S298" i="7"/>
  <c r="D298" i="7"/>
  <c r="K298" i="7"/>
  <c r="J298" i="7"/>
  <c r="L298" i="7" s="1"/>
  <c r="F298" i="7"/>
  <c r="G298" i="7" s="1"/>
  <c r="M298" i="7" s="1"/>
  <c r="C298" i="7"/>
  <c r="B299" i="7"/>
  <c r="P299" i="7" s="1"/>
  <c r="R299" i="7" l="1"/>
  <c r="Q299" i="7"/>
  <c r="I298" i="7"/>
  <c r="O298" i="7" s="1"/>
  <c r="H298" i="7"/>
  <c r="N298" i="7" s="1"/>
  <c r="S299" i="7"/>
  <c r="D299" i="7"/>
  <c r="K299" i="7"/>
  <c r="J299" i="7"/>
  <c r="L299" i="7" s="1"/>
  <c r="F299" i="7"/>
  <c r="G299" i="7" s="1"/>
  <c r="M299" i="7" s="1"/>
  <c r="C299" i="7"/>
  <c r="B300" i="7"/>
  <c r="P300" i="7" s="1"/>
  <c r="R300" i="7" l="1"/>
  <c r="Q300" i="7"/>
  <c r="I299" i="7"/>
  <c r="O299" i="7" s="1"/>
  <c r="H299" i="7"/>
  <c r="N299" i="7" s="1"/>
  <c r="S300" i="7"/>
  <c r="D300" i="7"/>
  <c r="J300" i="7"/>
  <c r="L300" i="7" s="1"/>
  <c r="K300" i="7"/>
  <c r="F300" i="7"/>
  <c r="G300" i="7" s="1"/>
  <c r="M300" i="7" s="1"/>
  <c r="C300" i="7"/>
  <c r="B301" i="7"/>
  <c r="P301" i="7" s="1"/>
  <c r="R301" i="7" l="1"/>
  <c r="Q301" i="7"/>
  <c r="I300" i="7"/>
  <c r="O300" i="7" s="1"/>
  <c r="H300" i="7"/>
  <c r="N300" i="7" s="1"/>
  <c r="S301" i="7"/>
  <c r="D301" i="7"/>
  <c r="J301" i="7"/>
  <c r="L301" i="7" s="1"/>
  <c r="K301" i="7"/>
  <c r="F301" i="7"/>
  <c r="G301" i="7" s="1"/>
  <c r="M301" i="7" s="1"/>
  <c r="C301" i="7"/>
  <c r="B302" i="7"/>
  <c r="P302" i="7" s="1"/>
  <c r="R302" i="7" l="1"/>
  <c r="Q302" i="7"/>
  <c r="I301" i="7"/>
  <c r="O301" i="7" s="1"/>
  <c r="H301" i="7"/>
  <c r="N301" i="7" s="1"/>
  <c r="S302" i="7"/>
  <c r="D302" i="7"/>
  <c r="J302" i="7"/>
  <c r="L302" i="7" s="1"/>
  <c r="K302" i="7"/>
  <c r="C302" i="7"/>
  <c r="F302" i="7"/>
  <c r="G302" i="7" s="1"/>
  <c r="M302" i="7" s="1"/>
  <c r="B303" i="7"/>
  <c r="P303" i="7" s="1"/>
  <c r="R303" i="7" l="1"/>
  <c r="Q303" i="7"/>
  <c r="I302" i="7"/>
  <c r="O302" i="7" s="1"/>
  <c r="H302" i="7"/>
  <c r="N302" i="7" s="1"/>
  <c r="S303" i="7"/>
  <c r="D303" i="7"/>
  <c r="K303" i="7"/>
  <c r="J303" i="7"/>
  <c r="L303" i="7" s="1"/>
  <c r="F303" i="7"/>
  <c r="G303" i="7" s="1"/>
  <c r="M303" i="7" s="1"/>
  <c r="C303" i="7"/>
  <c r="B304" i="7"/>
  <c r="P304" i="7" s="1"/>
  <c r="R304" i="7" l="1"/>
  <c r="Q304" i="7"/>
  <c r="I303" i="7"/>
  <c r="O303" i="7" s="1"/>
  <c r="H303" i="7"/>
  <c r="N303" i="7" s="1"/>
  <c r="S304" i="7"/>
  <c r="D304" i="7"/>
  <c r="K304" i="7"/>
  <c r="J304" i="7"/>
  <c r="L304" i="7" s="1"/>
  <c r="F304" i="7"/>
  <c r="G304" i="7" s="1"/>
  <c r="M304" i="7" s="1"/>
  <c r="C304" i="7"/>
  <c r="B305" i="7"/>
  <c r="P305" i="7" s="1"/>
  <c r="R305" i="7" l="1"/>
  <c r="Q305" i="7"/>
  <c r="I304" i="7"/>
  <c r="O304" i="7" s="1"/>
  <c r="H304" i="7"/>
  <c r="N304" i="7" s="1"/>
  <c r="S305" i="7"/>
  <c r="D305" i="7"/>
  <c r="K305" i="7"/>
  <c r="J305" i="7"/>
  <c r="L305" i="7" s="1"/>
  <c r="F305" i="7"/>
  <c r="G305" i="7" s="1"/>
  <c r="M305" i="7" s="1"/>
  <c r="C305" i="7"/>
  <c r="B306" i="7"/>
  <c r="P306" i="7" s="1"/>
  <c r="R306" i="7" l="1"/>
  <c r="Q306" i="7"/>
  <c r="I305" i="7"/>
  <c r="O305" i="7" s="1"/>
  <c r="H305" i="7"/>
  <c r="N305" i="7" s="1"/>
  <c r="S306" i="7"/>
  <c r="D306" i="7"/>
  <c r="K306" i="7"/>
  <c r="J306" i="7"/>
  <c r="L306" i="7" s="1"/>
  <c r="F306" i="7"/>
  <c r="G306" i="7" s="1"/>
  <c r="M306" i="7" s="1"/>
  <c r="C306" i="7"/>
  <c r="B307" i="7"/>
  <c r="P307" i="7" s="1"/>
  <c r="R307" i="7" l="1"/>
  <c r="Q307" i="7"/>
  <c r="I306" i="7"/>
  <c r="O306" i="7" s="1"/>
  <c r="H306" i="7"/>
  <c r="N306" i="7" s="1"/>
  <c r="S307" i="7"/>
  <c r="D307" i="7"/>
  <c r="K307" i="7"/>
  <c r="J307" i="7"/>
  <c r="L307" i="7" s="1"/>
  <c r="F307" i="7"/>
  <c r="G307" i="7" s="1"/>
  <c r="M307" i="7" s="1"/>
  <c r="C307" i="7"/>
  <c r="B308" i="7"/>
  <c r="P308" i="7" s="1"/>
  <c r="R308" i="7" l="1"/>
  <c r="Q308" i="7"/>
  <c r="I307" i="7"/>
  <c r="O307" i="7" s="1"/>
  <c r="H307" i="7"/>
  <c r="N307" i="7" s="1"/>
  <c r="S308" i="7"/>
  <c r="D308" i="7"/>
  <c r="J308" i="7"/>
  <c r="L308" i="7" s="1"/>
  <c r="K308" i="7"/>
  <c r="F308" i="7"/>
  <c r="G308" i="7" s="1"/>
  <c r="M308" i="7" s="1"/>
  <c r="C308" i="7"/>
  <c r="B309" i="7"/>
  <c r="P309" i="7" s="1"/>
  <c r="Q309" i="7" l="1"/>
  <c r="R309" i="7"/>
  <c r="I308" i="7"/>
  <c r="O308" i="7" s="1"/>
  <c r="H308" i="7"/>
  <c r="N308" i="7" s="1"/>
  <c r="S309" i="7"/>
  <c r="D309" i="7"/>
  <c r="J309" i="7"/>
  <c r="L309" i="7" s="1"/>
  <c r="K309" i="7"/>
  <c r="F309" i="7"/>
  <c r="G309" i="7" s="1"/>
  <c r="M309" i="7" s="1"/>
  <c r="B310" i="7"/>
  <c r="P310" i="7" s="1"/>
  <c r="R310" i="7" s="1"/>
  <c r="C309" i="7"/>
  <c r="Q310" i="7" l="1"/>
  <c r="H309" i="7"/>
  <c r="N309" i="7" s="1"/>
  <c r="I309" i="7"/>
  <c r="O309" i="7" s="1"/>
  <c r="S310" i="7"/>
  <c r="D310" i="7"/>
  <c r="J310" i="7"/>
  <c r="L310" i="7" s="1"/>
  <c r="K310" i="7"/>
  <c r="C310" i="7"/>
  <c r="F310" i="7"/>
  <c r="G310" i="7" s="1"/>
  <c r="M310" i="7" s="1"/>
  <c r="B311" i="7"/>
  <c r="P311" i="7" s="1"/>
  <c r="R311" i="7" l="1"/>
  <c r="Q311" i="7"/>
  <c r="I310" i="7"/>
  <c r="O310" i="7" s="1"/>
  <c r="H310" i="7"/>
  <c r="N310" i="7" s="1"/>
  <c r="S311" i="7"/>
  <c r="D311" i="7"/>
  <c r="K311" i="7"/>
  <c r="J311" i="7"/>
  <c r="L311" i="7" s="1"/>
  <c r="F311" i="7"/>
  <c r="G311" i="7" s="1"/>
  <c r="M311" i="7" s="1"/>
  <c r="C311" i="7"/>
  <c r="B312" i="7"/>
  <c r="P312" i="7" s="1"/>
  <c r="R312" i="7" s="1"/>
  <c r="Q312" i="7" l="1"/>
  <c r="H311" i="7"/>
  <c r="N311" i="7" s="1"/>
  <c r="I311" i="7"/>
  <c r="O311" i="7" s="1"/>
  <c r="S312" i="7"/>
  <c r="D312" i="7"/>
  <c r="K312" i="7"/>
  <c r="J312" i="7"/>
  <c r="L312" i="7" s="1"/>
  <c r="C312" i="7"/>
  <c r="F312" i="7"/>
  <c r="G312" i="7" s="1"/>
  <c r="M312" i="7" s="1"/>
  <c r="B313" i="7"/>
  <c r="P313" i="7" s="1"/>
  <c r="R313" i="7" s="1"/>
  <c r="Q313" i="7" l="1"/>
  <c r="I312" i="7"/>
  <c r="O312" i="7" s="1"/>
  <c r="H312" i="7"/>
  <c r="N312" i="7" s="1"/>
  <c r="S313" i="7"/>
  <c r="D313" i="7"/>
  <c r="K313" i="7"/>
  <c r="J313" i="7"/>
  <c r="L313" i="7" s="1"/>
  <c r="F313" i="7"/>
  <c r="G313" i="7" s="1"/>
  <c r="M313" i="7" s="1"/>
  <c r="C313" i="7"/>
  <c r="B314" i="7"/>
  <c r="P314" i="7" s="1"/>
  <c r="R314" i="7" s="1"/>
  <c r="Q314" i="7" l="1"/>
  <c r="H313" i="7"/>
  <c r="N313" i="7" s="1"/>
  <c r="I313" i="7"/>
  <c r="O313" i="7" s="1"/>
  <c r="S314" i="7"/>
  <c r="D314" i="7"/>
  <c r="K314" i="7"/>
  <c r="J314" i="7"/>
  <c r="L314" i="7" s="1"/>
  <c r="F314" i="7"/>
  <c r="G314" i="7" s="1"/>
  <c r="M314" i="7" s="1"/>
  <c r="B315" i="7"/>
  <c r="P315" i="7" s="1"/>
  <c r="R315" i="7" s="1"/>
  <c r="C314" i="7"/>
  <c r="Q315" i="7" l="1"/>
  <c r="I314" i="7"/>
  <c r="O314" i="7" s="1"/>
  <c r="H314" i="7"/>
  <c r="N314" i="7" s="1"/>
  <c r="S315" i="7"/>
  <c r="D315" i="7"/>
  <c r="K315" i="7"/>
  <c r="J315" i="7"/>
  <c r="L315" i="7" s="1"/>
  <c r="F315" i="7"/>
  <c r="G315" i="7" s="1"/>
  <c r="M315" i="7" s="1"/>
  <c r="C315" i="7"/>
  <c r="B316" i="7"/>
  <c r="P316" i="7" s="1"/>
  <c r="R316" i="7" l="1"/>
  <c r="Q316" i="7"/>
  <c r="I315" i="7"/>
  <c r="O315" i="7" s="1"/>
  <c r="H315" i="7"/>
  <c r="N315" i="7" s="1"/>
  <c r="S316" i="7"/>
  <c r="D316" i="7"/>
  <c r="J316" i="7"/>
  <c r="L316" i="7" s="1"/>
  <c r="K316" i="7"/>
  <c r="F316" i="7"/>
  <c r="G316" i="7" s="1"/>
  <c r="M316" i="7" s="1"/>
  <c r="C316" i="7"/>
  <c r="B317" i="7"/>
  <c r="P317" i="7" s="1"/>
  <c r="R317" i="7" l="1"/>
  <c r="Q317" i="7"/>
  <c r="I316" i="7"/>
  <c r="O316" i="7" s="1"/>
  <c r="H316" i="7"/>
  <c r="N316" i="7" s="1"/>
  <c r="S317" i="7"/>
  <c r="D317" i="7"/>
  <c r="J317" i="7"/>
  <c r="L317" i="7" s="1"/>
  <c r="K317" i="7"/>
  <c r="F317" i="7"/>
  <c r="G317" i="7" s="1"/>
  <c r="M317" i="7" s="1"/>
  <c r="C317" i="7"/>
  <c r="B318" i="7"/>
  <c r="P318" i="7" s="1"/>
  <c r="R318" i="7" l="1"/>
  <c r="Q318" i="7"/>
  <c r="I317" i="7"/>
  <c r="O317" i="7" s="1"/>
  <c r="H317" i="7"/>
  <c r="N317" i="7" s="1"/>
  <c r="S318" i="7"/>
  <c r="D318" i="7"/>
  <c r="J318" i="7"/>
  <c r="L318" i="7" s="1"/>
  <c r="K318" i="7"/>
  <c r="C318" i="7"/>
  <c r="B319" i="7"/>
  <c r="P319" i="7" s="1"/>
  <c r="F318" i="7"/>
  <c r="G318" i="7" s="1"/>
  <c r="M318" i="7" s="1"/>
  <c r="R319" i="7" l="1"/>
  <c r="Q319" i="7"/>
  <c r="I318" i="7"/>
  <c r="O318" i="7" s="1"/>
  <c r="H318" i="7"/>
  <c r="N318" i="7" s="1"/>
  <c r="S319" i="7"/>
  <c r="D319" i="7"/>
  <c r="K319" i="7"/>
  <c r="J319" i="7"/>
  <c r="L319" i="7" s="1"/>
  <c r="F319" i="7"/>
  <c r="G319" i="7" s="1"/>
  <c r="M319" i="7" s="1"/>
  <c r="C319" i="7"/>
  <c r="B320" i="7"/>
  <c r="P320" i="7" s="1"/>
  <c r="R320" i="7" l="1"/>
  <c r="Q320" i="7"/>
  <c r="I319" i="7"/>
  <c r="O319" i="7" s="1"/>
  <c r="H319" i="7"/>
  <c r="N319" i="7" s="1"/>
  <c r="S320" i="7"/>
  <c r="D320" i="7"/>
  <c r="K320" i="7"/>
  <c r="J320" i="7"/>
  <c r="L320" i="7" s="1"/>
  <c r="C320" i="7"/>
  <c r="F320" i="7"/>
  <c r="G320" i="7" s="1"/>
  <c r="M320" i="7" s="1"/>
  <c r="B321" i="7"/>
  <c r="P321" i="7" s="1"/>
  <c r="R321" i="7" l="1"/>
  <c r="Q321" i="7"/>
  <c r="I320" i="7"/>
  <c r="O320" i="7" s="1"/>
  <c r="H320" i="7"/>
  <c r="N320" i="7" s="1"/>
  <c r="S321" i="7"/>
  <c r="D321" i="7"/>
  <c r="K321" i="7"/>
  <c r="J321" i="7"/>
  <c r="L321" i="7" s="1"/>
  <c r="F321" i="7"/>
  <c r="G321" i="7" s="1"/>
  <c r="M321" i="7" s="1"/>
  <c r="C321" i="7"/>
  <c r="B322" i="7"/>
  <c r="P322" i="7" s="1"/>
  <c r="R322" i="7" l="1"/>
  <c r="Q322" i="7"/>
  <c r="I321" i="7"/>
  <c r="O321" i="7" s="1"/>
  <c r="H321" i="7"/>
  <c r="N321" i="7" s="1"/>
  <c r="S322" i="7"/>
  <c r="D322" i="7"/>
  <c r="K322" i="7"/>
  <c r="J322" i="7"/>
  <c r="L322" i="7" s="1"/>
  <c r="F322" i="7"/>
  <c r="G322" i="7" s="1"/>
  <c r="M322" i="7" s="1"/>
  <c r="C322" i="7"/>
  <c r="B323" i="7"/>
  <c r="P323" i="7" s="1"/>
  <c r="R323" i="7" l="1"/>
  <c r="Q323" i="7"/>
  <c r="I322" i="7"/>
  <c r="O322" i="7" s="1"/>
  <c r="H322" i="7"/>
  <c r="N322" i="7" s="1"/>
  <c r="S323" i="7"/>
  <c r="D323" i="7"/>
  <c r="K323" i="7"/>
  <c r="J323" i="7"/>
  <c r="L323" i="7" s="1"/>
  <c r="F323" i="7"/>
  <c r="G323" i="7" s="1"/>
  <c r="M323" i="7" s="1"/>
  <c r="C323" i="7"/>
  <c r="B324" i="7"/>
  <c r="P324" i="7" s="1"/>
  <c r="R324" i="7" l="1"/>
  <c r="Q324" i="7"/>
  <c r="I323" i="7"/>
  <c r="O323" i="7" s="1"/>
  <c r="H323" i="7"/>
  <c r="N323" i="7" s="1"/>
  <c r="S324" i="7"/>
  <c r="D324" i="7"/>
  <c r="J324" i="7"/>
  <c r="L324" i="7" s="1"/>
  <c r="K324" i="7"/>
  <c r="F324" i="7"/>
  <c r="G324" i="7" s="1"/>
  <c r="M324" i="7" s="1"/>
  <c r="C324" i="7"/>
  <c r="B325" i="7"/>
  <c r="P325" i="7" s="1"/>
  <c r="R325" i="7" l="1"/>
  <c r="Q325" i="7"/>
  <c r="I324" i="7"/>
  <c r="O324" i="7" s="1"/>
  <c r="H324" i="7"/>
  <c r="N324" i="7" s="1"/>
  <c r="S325" i="7"/>
  <c r="D325" i="7"/>
  <c r="J325" i="7"/>
  <c r="L325" i="7" s="1"/>
  <c r="K325" i="7"/>
  <c r="F325" i="7"/>
  <c r="G325" i="7" s="1"/>
  <c r="M325" i="7" s="1"/>
  <c r="C325" i="7"/>
  <c r="B326" i="7"/>
  <c r="P326" i="7" s="1"/>
  <c r="R326" i="7" l="1"/>
  <c r="Q326" i="7"/>
  <c r="I325" i="7"/>
  <c r="O325" i="7" s="1"/>
  <c r="H325" i="7"/>
  <c r="N325" i="7" s="1"/>
  <c r="S326" i="7"/>
  <c r="D326" i="7"/>
  <c r="J326" i="7"/>
  <c r="L326" i="7" s="1"/>
  <c r="K326" i="7"/>
  <c r="C326" i="7"/>
  <c r="B327" i="7"/>
  <c r="P327" i="7" s="1"/>
  <c r="F326" i="7"/>
  <c r="G326" i="7" s="1"/>
  <c r="M326" i="7" s="1"/>
  <c r="R327" i="7" l="1"/>
  <c r="Q327" i="7"/>
  <c r="I326" i="7"/>
  <c r="O326" i="7" s="1"/>
  <c r="H326" i="7"/>
  <c r="N326" i="7" s="1"/>
  <c r="S327" i="7"/>
  <c r="D327" i="7"/>
  <c r="K327" i="7"/>
  <c r="J327" i="7"/>
  <c r="L327" i="7" s="1"/>
  <c r="F327" i="7"/>
  <c r="G327" i="7" s="1"/>
  <c r="M327" i="7" s="1"/>
  <c r="C327" i="7"/>
  <c r="B328" i="7"/>
  <c r="P328" i="7" s="1"/>
  <c r="R328" i="7" l="1"/>
  <c r="Q328" i="7"/>
  <c r="I327" i="7"/>
  <c r="O327" i="7" s="1"/>
  <c r="H327" i="7"/>
  <c r="N327" i="7" s="1"/>
  <c r="S328" i="7"/>
  <c r="D328" i="7"/>
  <c r="K328" i="7"/>
  <c r="J328" i="7"/>
  <c r="L328" i="7" s="1"/>
  <c r="F328" i="7"/>
  <c r="G328" i="7" s="1"/>
  <c r="M328" i="7" s="1"/>
  <c r="C328" i="7"/>
  <c r="B329" i="7"/>
  <c r="P329" i="7" s="1"/>
  <c r="R329" i="7" l="1"/>
  <c r="Q329" i="7"/>
  <c r="I328" i="7"/>
  <c r="O328" i="7" s="1"/>
  <c r="H328" i="7"/>
  <c r="N328" i="7" s="1"/>
  <c r="S329" i="7"/>
  <c r="D329" i="7"/>
  <c r="K329" i="7"/>
  <c r="J329" i="7"/>
  <c r="L329" i="7" s="1"/>
  <c r="F329" i="7"/>
  <c r="G329" i="7" s="1"/>
  <c r="M329" i="7" s="1"/>
  <c r="C329" i="7"/>
  <c r="B330" i="7"/>
  <c r="P330" i="7" s="1"/>
  <c r="R330" i="7" l="1"/>
  <c r="Q330" i="7"/>
  <c r="I329" i="7"/>
  <c r="O329" i="7" s="1"/>
  <c r="H329" i="7"/>
  <c r="N329" i="7" s="1"/>
  <c r="S330" i="7"/>
  <c r="D330" i="7"/>
  <c r="K330" i="7"/>
  <c r="J330" i="7"/>
  <c r="L330" i="7" s="1"/>
  <c r="F330" i="7"/>
  <c r="G330" i="7" s="1"/>
  <c r="M330" i="7" s="1"/>
  <c r="C330" i="7"/>
  <c r="B331" i="7"/>
  <c r="P331" i="7" s="1"/>
  <c r="R331" i="7" l="1"/>
  <c r="Q331" i="7"/>
  <c r="I330" i="7"/>
  <c r="O330" i="7" s="1"/>
  <c r="H330" i="7"/>
  <c r="N330" i="7" s="1"/>
  <c r="S331" i="7"/>
  <c r="D331" i="7"/>
  <c r="K331" i="7"/>
  <c r="J331" i="7"/>
  <c r="L331" i="7" s="1"/>
  <c r="F331" i="7"/>
  <c r="G331" i="7" s="1"/>
  <c r="M331" i="7" s="1"/>
  <c r="C331" i="7"/>
  <c r="B332" i="7"/>
  <c r="P332" i="7" s="1"/>
  <c r="R332" i="7" l="1"/>
  <c r="Q332" i="7"/>
  <c r="I331" i="7"/>
  <c r="O331" i="7" s="1"/>
  <c r="H331" i="7"/>
  <c r="N331" i="7" s="1"/>
  <c r="S332" i="7"/>
  <c r="D332" i="7"/>
  <c r="J332" i="7"/>
  <c r="L332" i="7" s="1"/>
  <c r="K332" i="7"/>
  <c r="F332" i="7"/>
  <c r="G332" i="7" s="1"/>
  <c r="M332" i="7" s="1"/>
  <c r="C332" i="7"/>
  <c r="B333" i="7"/>
  <c r="P333" i="7" s="1"/>
  <c r="R333" i="7" l="1"/>
  <c r="Q333" i="7"/>
  <c r="I332" i="7"/>
  <c r="O332" i="7" s="1"/>
  <c r="H332" i="7"/>
  <c r="N332" i="7" s="1"/>
  <c r="S333" i="7"/>
  <c r="D333" i="7"/>
  <c r="J333" i="7"/>
  <c r="L333" i="7" s="1"/>
  <c r="K333" i="7"/>
  <c r="F333" i="7"/>
  <c r="G333" i="7" s="1"/>
  <c r="M333" i="7" s="1"/>
  <c r="B334" i="7"/>
  <c r="P334" i="7" s="1"/>
  <c r="C333" i="7"/>
  <c r="R334" i="7" l="1"/>
  <c r="Q334" i="7"/>
  <c r="I333" i="7"/>
  <c r="O333" i="7" s="1"/>
  <c r="H333" i="7"/>
  <c r="N333" i="7" s="1"/>
  <c r="S334" i="7"/>
  <c r="D334" i="7"/>
  <c r="J334" i="7"/>
  <c r="L334" i="7" s="1"/>
  <c r="K334" i="7"/>
  <c r="C334" i="7"/>
  <c r="F334" i="7"/>
  <c r="G334" i="7" s="1"/>
  <c r="M334" i="7" s="1"/>
  <c r="B335" i="7"/>
  <c r="P335" i="7" s="1"/>
  <c r="R335" i="7" l="1"/>
  <c r="Q335" i="7"/>
  <c r="I334" i="7"/>
  <c r="O334" i="7" s="1"/>
  <c r="H334" i="7"/>
  <c r="N334" i="7" s="1"/>
  <c r="S335" i="7"/>
  <c r="D335" i="7"/>
  <c r="K335" i="7"/>
  <c r="J335" i="7"/>
  <c r="L335" i="7" s="1"/>
  <c r="F335" i="7"/>
  <c r="G335" i="7" s="1"/>
  <c r="M335" i="7" s="1"/>
  <c r="C335" i="7"/>
  <c r="B336" i="7"/>
  <c r="P336" i="7" s="1"/>
  <c r="R336" i="7" l="1"/>
  <c r="Q336" i="7"/>
  <c r="I335" i="7"/>
  <c r="O335" i="7" s="1"/>
  <c r="H335" i="7"/>
  <c r="N335" i="7" s="1"/>
  <c r="S336" i="7"/>
  <c r="D336" i="7"/>
  <c r="K336" i="7"/>
  <c r="J336" i="7"/>
  <c r="L336" i="7" s="1"/>
  <c r="F336" i="7"/>
  <c r="G336" i="7" s="1"/>
  <c r="M336" i="7" s="1"/>
  <c r="C336" i="7"/>
  <c r="B337" i="7"/>
  <c r="P337" i="7" s="1"/>
  <c r="Q337" i="7" l="1"/>
  <c r="R337" i="7"/>
  <c r="I336" i="7"/>
  <c r="O336" i="7" s="1"/>
  <c r="H336" i="7"/>
  <c r="N336" i="7" s="1"/>
  <c r="S337" i="7"/>
  <c r="D337" i="7"/>
  <c r="K337" i="7"/>
  <c r="J337" i="7"/>
  <c r="L337" i="7" s="1"/>
  <c r="F337" i="7"/>
  <c r="G337" i="7" s="1"/>
  <c r="M337" i="7" s="1"/>
  <c r="C337" i="7"/>
  <c r="B338" i="7"/>
  <c r="P338" i="7" s="1"/>
  <c r="R338" i="7" s="1"/>
  <c r="Q338" i="7" l="1"/>
  <c r="H337" i="7"/>
  <c r="N337" i="7" s="1"/>
  <c r="I337" i="7"/>
  <c r="O337" i="7" s="1"/>
  <c r="S338" i="7"/>
  <c r="D338" i="7"/>
  <c r="K338" i="7"/>
  <c r="J338" i="7"/>
  <c r="L338" i="7" s="1"/>
  <c r="F338" i="7"/>
  <c r="G338" i="7" s="1"/>
  <c r="M338" i="7" s="1"/>
  <c r="B339" i="7"/>
  <c r="P339" i="7" s="1"/>
  <c r="C338" i="7"/>
  <c r="Q339" i="7" l="1"/>
  <c r="R339" i="7"/>
  <c r="H338" i="7"/>
  <c r="N338" i="7" s="1"/>
  <c r="I338" i="7"/>
  <c r="O338" i="7" s="1"/>
  <c r="S339" i="7"/>
  <c r="D339" i="7"/>
  <c r="K339" i="7"/>
  <c r="J339" i="7"/>
  <c r="L339" i="7" s="1"/>
  <c r="F339" i="7"/>
  <c r="G339" i="7" s="1"/>
  <c r="M339" i="7" s="1"/>
  <c r="C339" i="7"/>
  <c r="B340" i="7"/>
  <c r="P340" i="7" s="1"/>
  <c r="R340" i="7" s="1"/>
  <c r="Q340" i="7" l="1"/>
  <c r="H339" i="7"/>
  <c r="N339" i="7" s="1"/>
  <c r="I339" i="7"/>
  <c r="O339" i="7" s="1"/>
  <c r="S340" i="7"/>
  <c r="D340" i="7"/>
  <c r="J340" i="7"/>
  <c r="L340" i="7" s="1"/>
  <c r="K340" i="7"/>
  <c r="F340" i="7"/>
  <c r="G340" i="7" s="1"/>
  <c r="M340" i="7" s="1"/>
  <c r="C340" i="7"/>
  <c r="B341" i="7"/>
  <c r="P341" i="7" s="1"/>
  <c r="R341" i="7" s="1"/>
  <c r="Q341" i="7" l="1"/>
  <c r="I340" i="7"/>
  <c r="O340" i="7" s="1"/>
  <c r="H340" i="7"/>
  <c r="N340" i="7" s="1"/>
  <c r="S341" i="7"/>
  <c r="D341" i="7"/>
  <c r="J341" i="7"/>
  <c r="L341" i="7" s="1"/>
  <c r="K341" i="7"/>
  <c r="F341" i="7"/>
  <c r="G341" i="7" s="1"/>
  <c r="M341" i="7" s="1"/>
  <c r="C341" i="7"/>
  <c r="B342" i="7"/>
  <c r="P342" i="7" s="1"/>
  <c r="R342" i="7" s="1"/>
  <c r="Q342" i="7" l="1"/>
  <c r="H341" i="7"/>
  <c r="N341" i="7" s="1"/>
  <c r="I341" i="7"/>
  <c r="O341" i="7" s="1"/>
  <c r="S342" i="7"/>
  <c r="D342" i="7"/>
  <c r="J342" i="7"/>
  <c r="L342" i="7" s="1"/>
  <c r="K342" i="7"/>
  <c r="C342" i="7"/>
  <c r="F342" i="7"/>
  <c r="G342" i="7" s="1"/>
  <c r="M342" i="7" s="1"/>
  <c r="B343" i="7"/>
  <c r="P343" i="7" s="1"/>
  <c r="R343" i="7" l="1"/>
  <c r="Q343" i="7"/>
  <c r="H342" i="7"/>
  <c r="N342" i="7" s="1"/>
  <c r="I342" i="7"/>
  <c r="O342" i="7" s="1"/>
  <c r="S343" i="7"/>
  <c r="D343" i="7"/>
  <c r="K343" i="7"/>
  <c r="J343" i="7"/>
  <c r="L343" i="7" s="1"/>
  <c r="F343" i="7"/>
  <c r="G343" i="7" s="1"/>
  <c r="M343" i="7" s="1"/>
  <c r="C343" i="7"/>
  <c r="B344" i="7"/>
  <c r="P344" i="7" s="1"/>
  <c r="R344" i="7" l="1"/>
  <c r="Q344" i="7"/>
  <c r="I343" i="7"/>
  <c r="O343" i="7" s="1"/>
  <c r="H343" i="7"/>
  <c r="N343" i="7" s="1"/>
  <c r="S344" i="7"/>
  <c r="D344" i="7"/>
  <c r="K344" i="7"/>
  <c r="J344" i="7"/>
  <c r="L344" i="7" s="1"/>
  <c r="C344" i="7"/>
  <c r="B345" i="7"/>
  <c r="P345" i="7" s="1"/>
  <c r="F344" i="7"/>
  <c r="G344" i="7" s="1"/>
  <c r="M344" i="7" s="1"/>
  <c r="R345" i="7" l="1"/>
  <c r="Q345" i="7"/>
  <c r="I344" i="7"/>
  <c r="O344" i="7" s="1"/>
  <c r="H344" i="7"/>
  <c r="N344" i="7" s="1"/>
  <c r="S345" i="7"/>
  <c r="D345" i="7"/>
  <c r="K345" i="7"/>
  <c r="J345" i="7"/>
  <c r="L345" i="7" s="1"/>
  <c r="F345" i="7"/>
  <c r="G345" i="7" s="1"/>
  <c r="M345" i="7" s="1"/>
  <c r="C345" i="7"/>
  <c r="B346" i="7"/>
  <c r="P346" i="7" s="1"/>
  <c r="R346" i="7" l="1"/>
  <c r="Q346" i="7"/>
  <c r="I345" i="7"/>
  <c r="O345" i="7" s="1"/>
  <c r="H345" i="7"/>
  <c r="N345" i="7" s="1"/>
  <c r="S346" i="7"/>
  <c r="D346" i="7"/>
  <c r="K346" i="7"/>
  <c r="J346" i="7"/>
  <c r="L346" i="7" s="1"/>
  <c r="F346" i="7"/>
  <c r="G346" i="7" s="1"/>
  <c r="M346" i="7" s="1"/>
  <c r="C346" i="7"/>
  <c r="B347" i="7"/>
  <c r="P347" i="7" s="1"/>
  <c r="R347" i="7" l="1"/>
  <c r="Q347" i="7"/>
  <c r="I346" i="7"/>
  <c r="O346" i="7" s="1"/>
  <c r="H346" i="7"/>
  <c r="N346" i="7" s="1"/>
  <c r="S347" i="7"/>
  <c r="D347" i="7"/>
  <c r="K347" i="7"/>
  <c r="J347" i="7"/>
  <c r="L347" i="7" s="1"/>
  <c r="F347" i="7"/>
  <c r="G347" i="7" s="1"/>
  <c r="M347" i="7" s="1"/>
  <c r="C347" i="7"/>
  <c r="B348" i="7"/>
  <c r="P348" i="7" s="1"/>
  <c r="R348" i="7" l="1"/>
  <c r="Q348" i="7"/>
  <c r="I347" i="7"/>
  <c r="O347" i="7" s="1"/>
  <c r="H347" i="7"/>
  <c r="N347" i="7" s="1"/>
  <c r="S348" i="7"/>
  <c r="D348" i="7"/>
  <c r="J348" i="7"/>
  <c r="L348" i="7" s="1"/>
  <c r="K348" i="7"/>
  <c r="F348" i="7"/>
  <c r="G348" i="7" s="1"/>
  <c r="M348" i="7" s="1"/>
  <c r="C348" i="7"/>
  <c r="B349" i="7"/>
  <c r="P349" i="7" s="1"/>
  <c r="R349" i="7" l="1"/>
  <c r="Q349" i="7"/>
  <c r="I348" i="7"/>
  <c r="O348" i="7" s="1"/>
  <c r="H348" i="7"/>
  <c r="N348" i="7" s="1"/>
  <c r="S349" i="7"/>
  <c r="D349" i="7"/>
  <c r="J349" i="7"/>
  <c r="L349" i="7" s="1"/>
  <c r="K349" i="7"/>
  <c r="F349" i="7"/>
  <c r="G349" i="7" s="1"/>
  <c r="M349" i="7" s="1"/>
  <c r="C349" i="7"/>
  <c r="B350" i="7"/>
  <c r="P350" i="7" s="1"/>
  <c r="R350" i="7" l="1"/>
  <c r="Q350" i="7"/>
  <c r="I349" i="7"/>
  <c r="O349" i="7" s="1"/>
  <c r="H349" i="7"/>
  <c r="N349" i="7" s="1"/>
  <c r="S350" i="7"/>
  <c r="D350" i="7"/>
  <c r="J350" i="7"/>
  <c r="L350" i="7" s="1"/>
  <c r="K350" i="7"/>
  <c r="C350" i="7"/>
  <c r="B351" i="7"/>
  <c r="P351" i="7" s="1"/>
  <c r="F350" i="7"/>
  <c r="G350" i="7" s="1"/>
  <c r="M350" i="7" s="1"/>
  <c r="R351" i="7" l="1"/>
  <c r="Q351" i="7"/>
  <c r="I350" i="7"/>
  <c r="O350" i="7" s="1"/>
  <c r="H350" i="7"/>
  <c r="N350" i="7" s="1"/>
  <c r="S351" i="7"/>
  <c r="D351" i="7"/>
  <c r="K351" i="7"/>
  <c r="J351" i="7"/>
  <c r="L351" i="7" s="1"/>
  <c r="F351" i="7"/>
  <c r="G351" i="7" s="1"/>
  <c r="M351" i="7" s="1"/>
  <c r="C351" i="7"/>
  <c r="B352" i="7"/>
  <c r="P352" i="7" s="1"/>
  <c r="R352" i="7" l="1"/>
  <c r="Q352" i="7"/>
  <c r="I351" i="7"/>
  <c r="O351" i="7" s="1"/>
  <c r="H351" i="7"/>
  <c r="N351" i="7" s="1"/>
  <c r="S352" i="7"/>
  <c r="D352" i="7"/>
  <c r="K352" i="7"/>
  <c r="J352" i="7"/>
  <c r="L352" i="7" s="1"/>
  <c r="C352" i="7"/>
  <c r="F352" i="7"/>
  <c r="G352" i="7" s="1"/>
  <c r="M352" i="7" s="1"/>
  <c r="B353" i="7"/>
  <c r="P353" i="7" s="1"/>
  <c r="R353" i="7" l="1"/>
  <c r="Q353" i="7"/>
  <c r="I352" i="7"/>
  <c r="O352" i="7" s="1"/>
  <c r="H352" i="7"/>
  <c r="N352" i="7" s="1"/>
  <c r="S353" i="7"/>
  <c r="D353" i="7"/>
  <c r="K353" i="7"/>
  <c r="J353" i="7"/>
  <c r="L353" i="7" s="1"/>
  <c r="F353" i="7"/>
  <c r="G353" i="7" s="1"/>
  <c r="M353" i="7" s="1"/>
  <c r="C353" i="7"/>
  <c r="B354" i="7"/>
  <c r="P354" i="7" s="1"/>
  <c r="R354" i="7" l="1"/>
  <c r="Q354" i="7"/>
  <c r="I353" i="7"/>
  <c r="O353" i="7" s="1"/>
  <c r="H353" i="7"/>
  <c r="N353" i="7" s="1"/>
  <c r="S354" i="7"/>
  <c r="D354" i="7"/>
  <c r="K354" i="7"/>
  <c r="J354" i="7"/>
  <c r="L354" i="7" s="1"/>
  <c r="F354" i="7"/>
  <c r="G354" i="7" s="1"/>
  <c r="M354" i="7" s="1"/>
  <c r="B355" i="7"/>
  <c r="P355" i="7" s="1"/>
  <c r="C354" i="7"/>
  <c r="R355" i="7" l="1"/>
  <c r="Q355" i="7"/>
  <c r="I354" i="7"/>
  <c r="O354" i="7" s="1"/>
  <c r="H354" i="7"/>
  <c r="N354" i="7" s="1"/>
  <c r="S355" i="7"/>
  <c r="D355" i="7"/>
  <c r="K355" i="7"/>
  <c r="J355" i="7"/>
  <c r="L355" i="7" s="1"/>
  <c r="F355" i="7"/>
  <c r="G355" i="7" s="1"/>
  <c r="M355" i="7" s="1"/>
  <c r="C355" i="7"/>
  <c r="B356" i="7"/>
  <c r="P356" i="7" s="1"/>
  <c r="R356" i="7" l="1"/>
  <c r="Q356" i="7"/>
  <c r="I355" i="7"/>
  <c r="O355" i="7" s="1"/>
  <c r="H355" i="7"/>
  <c r="N355" i="7" s="1"/>
  <c r="S356" i="7"/>
  <c r="D356" i="7"/>
  <c r="J356" i="7"/>
  <c r="L356" i="7" s="1"/>
  <c r="K356" i="7"/>
  <c r="F356" i="7"/>
  <c r="G356" i="7" s="1"/>
  <c r="M356" i="7" s="1"/>
  <c r="C356" i="7"/>
  <c r="B357" i="7"/>
  <c r="P357" i="7" s="1"/>
  <c r="R357" i="7" l="1"/>
  <c r="Q357" i="7"/>
  <c r="I356" i="7"/>
  <c r="O356" i="7" s="1"/>
  <c r="H356" i="7"/>
  <c r="N356" i="7" s="1"/>
  <c r="S357" i="7"/>
  <c r="D357" i="7"/>
  <c r="J357" i="7"/>
  <c r="L357" i="7" s="1"/>
  <c r="K357" i="7"/>
  <c r="F357" i="7"/>
  <c r="G357" i="7" s="1"/>
  <c r="M357" i="7" s="1"/>
  <c r="C357" i="7"/>
  <c r="B358" i="7"/>
  <c r="P358" i="7" s="1"/>
  <c r="R358" i="7" l="1"/>
  <c r="Q358" i="7"/>
  <c r="I357" i="7"/>
  <c r="O357" i="7" s="1"/>
  <c r="H357" i="7"/>
  <c r="N357" i="7" s="1"/>
  <c r="S358" i="7"/>
  <c r="D358" i="7"/>
  <c r="J358" i="7"/>
  <c r="L358" i="7" s="1"/>
  <c r="K358" i="7"/>
  <c r="C358" i="7"/>
  <c r="F358" i="7"/>
  <c r="G358" i="7" s="1"/>
  <c r="M358" i="7" s="1"/>
  <c r="B359" i="7"/>
  <c r="P359" i="7" s="1"/>
  <c r="R359" i="7" l="1"/>
  <c r="Q359" i="7"/>
  <c r="I358" i="7"/>
  <c r="O358" i="7" s="1"/>
  <c r="H358" i="7"/>
  <c r="N358" i="7" s="1"/>
  <c r="S359" i="7"/>
  <c r="D359" i="7"/>
  <c r="K359" i="7"/>
  <c r="J359" i="7"/>
  <c r="L359" i="7" s="1"/>
  <c r="F359" i="7"/>
  <c r="G359" i="7" s="1"/>
  <c r="M359" i="7" s="1"/>
  <c r="C359" i="7"/>
  <c r="B360" i="7"/>
  <c r="P360" i="7" s="1"/>
  <c r="R360" i="7" l="1"/>
  <c r="Q360" i="7"/>
  <c r="I359" i="7"/>
  <c r="O359" i="7" s="1"/>
  <c r="H359" i="7"/>
  <c r="N359" i="7" s="1"/>
  <c r="S360" i="7"/>
  <c r="D360" i="7"/>
  <c r="K360" i="7"/>
  <c r="J360" i="7"/>
  <c r="L360" i="7" s="1"/>
  <c r="F360" i="7"/>
  <c r="G360" i="7" s="1"/>
  <c r="M360" i="7" s="1"/>
  <c r="C360" i="7"/>
  <c r="B361" i="7"/>
  <c r="P361" i="7" s="1"/>
  <c r="R361" i="7" l="1"/>
  <c r="Q361" i="7"/>
  <c r="I360" i="7"/>
  <c r="O360" i="7" s="1"/>
  <c r="H360" i="7"/>
  <c r="N360" i="7" s="1"/>
  <c r="S361" i="7"/>
  <c r="D361" i="7"/>
  <c r="K361" i="7"/>
  <c r="J361" i="7"/>
  <c r="L361" i="7" s="1"/>
  <c r="F361" i="7"/>
  <c r="G361" i="7" s="1"/>
  <c r="M361" i="7" s="1"/>
  <c r="C361" i="7"/>
  <c r="B362" i="7"/>
  <c r="P362" i="7" s="1"/>
  <c r="R362" i="7" l="1"/>
  <c r="Q362" i="7"/>
  <c r="I361" i="7"/>
  <c r="O361" i="7" s="1"/>
  <c r="H361" i="7"/>
  <c r="N361" i="7" s="1"/>
  <c r="S362" i="7"/>
  <c r="D362" i="7"/>
  <c r="K362" i="7"/>
  <c r="J362" i="7"/>
  <c r="L362" i="7" s="1"/>
  <c r="F362" i="7"/>
  <c r="G362" i="7" s="1"/>
  <c r="M362" i="7" s="1"/>
  <c r="C362" i="7"/>
  <c r="B363" i="7"/>
  <c r="P363" i="7" s="1"/>
  <c r="R363" i="7" l="1"/>
  <c r="Q363" i="7"/>
  <c r="I362" i="7"/>
  <c r="O362" i="7" s="1"/>
  <c r="H362" i="7"/>
  <c r="N362" i="7" s="1"/>
  <c r="S363" i="7"/>
  <c r="D363" i="7"/>
  <c r="K363" i="7"/>
  <c r="J363" i="7"/>
  <c r="L363" i="7" s="1"/>
  <c r="F363" i="7"/>
  <c r="G363" i="7" s="1"/>
  <c r="M363" i="7" s="1"/>
  <c r="C363" i="7"/>
  <c r="B364" i="7"/>
  <c r="P364" i="7" s="1"/>
  <c r="R364" i="7" l="1"/>
  <c r="Q364" i="7"/>
  <c r="I363" i="7"/>
  <c r="O363" i="7" s="1"/>
  <c r="H363" i="7"/>
  <c r="N363" i="7" s="1"/>
  <c r="S364" i="7"/>
  <c r="D364" i="7"/>
  <c r="J364" i="7"/>
  <c r="L364" i="7" s="1"/>
  <c r="K364" i="7"/>
  <c r="F364" i="7"/>
  <c r="G364" i="7" s="1"/>
  <c r="M364" i="7" s="1"/>
  <c r="C364" i="7"/>
  <c r="B365" i="7"/>
  <c r="P365" i="7" s="1"/>
  <c r="R365" i="7" l="1"/>
  <c r="Q365" i="7"/>
  <c r="I364" i="7"/>
  <c r="O364" i="7" s="1"/>
  <c r="H364" i="7"/>
  <c r="N364" i="7" s="1"/>
  <c r="S365" i="7"/>
  <c r="D365" i="7"/>
  <c r="J365" i="7"/>
  <c r="L365" i="7" s="1"/>
  <c r="K365" i="7"/>
  <c r="F365" i="7"/>
  <c r="G365" i="7" s="1"/>
  <c r="M365" i="7" s="1"/>
  <c r="C365" i="7"/>
  <c r="B366" i="7"/>
  <c r="P366" i="7" s="1"/>
  <c r="R366" i="7" l="1"/>
  <c r="Q366" i="7"/>
  <c r="I365" i="7"/>
  <c r="O365" i="7" s="1"/>
  <c r="H365" i="7"/>
  <c r="N365" i="7" s="1"/>
  <c r="S366" i="7"/>
  <c r="D366" i="7"/>
  <c r="J366" i="7"/>
  <c r="L366" i="7" s="1"/>
  <c r="K366" i="7"/>
  <c r="C366" i="7"/>
  <c r="F366" i="7"/>
  <c r="G366" i="7" s="1"/>
  <c r="M366" i="7" s="1"/>
  <c r="B367" i="7"/>
  <c r="P367" i="7" l="1"/>
  <c r="I366" i="7"/>
  <c r="O366" i="7" s="1"/>
  <c r="H366" i="7"/>
  <c r="N366" i="7" s="1"/>
  <c r="S367" i="7"/>
  <c r="D367" i="7"/>
  <c r="K367" i="7"/>
  <c r="J367" i="7"/>
  <c r="L367" i="7" s="1"/>
  <c r="F367" i="7"/>
  <c r="G367" i="7" s="1"/>
  <c r="C367" i="7"/>
  <c r="M367" i="7" l="1"/>
  <c r="R367" i="7"/>
  <c r="Q367" i="7"/>
  <c r="I367" i="7"/>
  <c r="H367" i="7"/>
  <c r="N367" i="7" l="1"/>
  <c r="O367" i="7"/>
  <c r="B1" i="1"/>
  <c r="C1" i="1" s="1"/>
  <c r="D1" i="1" s="1"/>
  <c r="E1" i="1" s="1"/>
  <c r="F1" i="1" s="1"/>
  <c r="G1" i="1" s="1"/>
  <c r="H1" i="1" s="1"/>
  <c r="I1" i="1" s="1"/>
  <c r="J1" i="1" s="1"/>
  <c r="K1" i="1" s="1"/>
  <c r="L1" i="1" s="1"/>
  <c r="M1" i="1" s="1"/>
  <c r="N1" i="1" s="1"/>
  <c r="O1" i="1" s="1"/>
  <c r="P1" i="1" s="1"/>
  <c r="Q1" i="1" s="1"/>
  <c r="R1" i="1" s="1"/>
  <c r="S1" i="1" s="1"/>
  <c r="T1" i="1" s="1"/>
  <c r="U1" i="1" s="1"/>
  <c r="V1" i="1" s="1"/>
  <c r="W1" i="1" s="1"/>
  <c r="X1" i="1" s="1"/>
  <c r="Y1" i="1" s="1"/>
  <c r="Z1" i="1" s="1"/>
  <c r="AA1" i="1" s="1"/>
  <c r="AB1" i="1" s="1"/>
  <c r="AC1" i="1" s="1"/>
  <c r="AD1" i="1" s="1"/>
  <c r="AE1" i="1" s="1"/>
  <c r="AF1" i="1" l="1"/>
  <c r="AG1" i="1" s="1"/>
  <c r="AH1" i="1" s="1"/>
  <c r="AI1" i="1" s="1"/>
  <c r="AJ1" i="1" s="1"/>
  <c r="AK1" i="1" s="1"/>
  <c r="AL1" i="1" s="1"/>
  <c r="AM1" i="1" s="1"/>
  <c r="AN1" i="1" s="1"/>
  <c r="AO1" i="1" s="1"/>
  <c r="AP1" i="1" s="1"/>
  <c r="AQ1" i="1" s="1"/>
  <c r="AR1" i="1" s="1"/>
  <c r="AS1" i="1" s="1"/>
  <c r="AT1" i="1" s="1"/>
  <c r="AU1" i="1" s="1"/>
  <c r="AV1" i="1" s="1"/>
  <c r="AW1" i="1" s="1"/>
  <c r="AX1" i="1" s="1"/>
  <c r="AY1" i="1" s="1"/>
  <c r="AZ1" i="1" s="1"/>
  <c r="BA1" i="1" s="1"/>
  <c r="BB1" i="1" s="1"/>
  <c r="BC1" i="1" s="1"/>
  <c r="BD1" i="1" s="1"/>
  <c r="BE1" i="1" s="1"/>
  <c r="BF1" i="1" s="1"/>
  <c r="BG1" i="1" s="1"/>
  <c r="BH1" i="1" s="1"/>
  <c r="BI1" i="1" s="1"/>
  <c r="BK1" i="1" l="1"/>
  <c r="BL1" i="1" l="1"/>
  <c r="BM1" i="1" s="1"/>
  <c r="C15" i="11" l="1"/>
  <c r="C14" i="11"/>
  <c r="G11" i="9" l="1"/>
  <c r="G18" i="9"/>
  <c r="Y15" i="12" l="1"/>
  <c r="S21" i="12"/>
  <c r="B15" i="12"/>
  <c r="S15" i="12"/>
  <c r="C21" i="12"/>
  <c r="Y21" i="12"/>
  <c r="M21" i="12"/>
  <c r="T15" i="12"/>
  <c r="AA21" i="12"/>
  <c r="O21" i="12"/>
  <c r="AA15" i="12"/>
  <c r="K15" i="12"/>
  <c r="F21" i="12"/>
  <c r="G15" i="12"/>
  <c r="P21" i="12"/>
  <c r="P15" i="12"/>
  <c r="N21" i="12"/>
  <c r="B21" i="12"/>
  <c r="X21" i="12"/>
  <c r="X15" i="12"/>
  <c r="M15" i="12"/>
  <c r="Z15" i="12"/>
  <c r="G21" i="12"/>
  <c r="U21" i="12"/>
  <c r="I21" i="12"/>
  <c r="Z21" i="12"/>
  <c r="E21" i="12"/>
  <c r="T21" i="12"/>
  <c r="N15" i="12"/>
  <c r="O15" i="12"/>
  <c r="D15" i="12"/>
  <c r="F15" i="12"/>
  <c r="R21" i="12"/>
  <c r="Q15" i="12"/>
  <c r="R15" i="12"/>
  <c r="I15" i="12"/>
  <c r="E15" i="12"/>
  <c r="H21" i="12"/>
  <c r="V15" i="12"/>
  <c r="Q21" i="12"/>
  <c r="W21" i="12"/>
  <c r="J21" i="12"/>
  <c r="W15" i="12"/>
  <c r="C15" i="12"/>
  <c r="V21" i="12"/>
  <c r="H15" i="12"/>
  <c r="U15" i="12"/>
  <c r="L15" i="12"/>
  <c r="D21" i="12"/>
  <c r="K21" i="12"/>
  <c r="J15" i="12"/>
  <c r="L21" i="12"/>
  <c r="D3" i="12" l="1"/>
  <c r="D20" i="11" l="1"/>
  <c r="E20" i="11" s="1"/>
  <c r="D24" i="11"/>
  <c r="E24" i="11" s="1"/>
  <c r="D23" i="11" l="1"/>
  <c r="E23" i="11" s="1"/>
  <c r="D21" i="11"/>
  <c r="E21" i="11" s="1"/>
  <c r="D15" i="11"/>
  <c r="E15" i="11" s="1"/>
  <c r="E22" i="11"/>
  <c r="E19" i="11"/>
  <c r="P4" i="10"/>
  <c r="D18" i="11" s="1"/>
  <c r="E18" i="11" s="1"/>
  <c r="P18" i="9"/>
  <c r="E16" i="11"/>
  <c r="D14" i="11"/>
  <c r="E14" i="11" s="1"/>
  <c r="P11" i="9" l="1"/>
  <c r="P4" i="9"/>
  <c r="D17" i="11" s="1"/>
  <c r="E17" i="11" s="1"/>
  <c r="D11" i="11"/>
  <c r="D29" i="11"/>
  <c r="E29" i="11" s="1"/>
  <c r="R4" i="9"/>
  <c r="E28" i="11"/>
  <c r="H18" i="9"/>
  <c r="H11" i="9"/>
  <c r="E11" i="11" l="1"/>
  <c r="E38" i="11"/>
  <c r="D12" i="11"/>
  <c r="D30" i="11"/>
  <c r="E30" i="11" s="1"/>
  <c r="E39" i="11" l="1"/>
  <c r="E12"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8E134B5-7A86-47D4-AA24-02352C6B52B2}" keepAlive="1" name="Query - Table004 (Page 8) (3)" description="Connection to the 'Table004 (Page 8) (3)' query in the workbook." type="5" refreshedVersion="8" background="1" saveData="1">
    <dbPr connection="Provider=Microsoft.Mashup.OleDb.1;Data Source=$Workbook$;Location=&quot;Table004 (Page 8) (3)&quot;;Extended Properties=&quot;&quot;" command="SELECT * FROM [Table004 (Page 8) (3)]"/>
  </connection>
</connections>
</file>

<file path=xl/sharedStrings.xml><?xml version="1.0" encoding="utf-8"?>
<sst xmlns="http://schemas.openxmlformats.org/spreadsheetml/2006/main" count="17415" uniqueCount="2114">
  <si>
    <t>Performance Summary TGPXIIPL</t>
  </si>
  <si>
    <t xml:space="preserve">Month </t>
  </si>
  <si>
    <t xml:space="preserve">Date </t>
  </si>
  <si>
    <t>Financial Year</t>
  </si>
  <si>
    <t>Year-1</t>
  </si>
  <si>
    <t>Year Start Date</t>
  </si>
  <si>
    <t>Year End Date</t>
  </si>
  <si>
    <t>Sr. No.</t>
  </si>
  <si>
    <t>Particular</t>
  </si>
  <si>
    <t>Target</t>
  </si>
  <si>
    <t>Measured</t>
  </si>
  <si>
    <t>Deviation</t>
  </si>
  <si>
    <t>Remarks</t>
  </si>
  <si>
    <t>E_Grid Daily (MWh)</t>
  </si>
  <si>
    <t>E_Grid MTD(MWh)</t>
  </si>
  <si>
    <t>E_Grid YTD (MWh)</t>
  </si>
  <si>
    <t>Wind Speed Daily</t>
  </si>
  <si>
    <t>Wind Speed MTD</t>
  </si>
  <si>
    <t>Wind Speed YTD</t>
  </si>
  <si>
    <t>PA Daily</t>
  </si>
  <si>
    <t>PA MTD</t>
  </si>
  <si>
    <t>PA YTD</t>
  </si>
  <si>
    <t>EGA Daily</t>
  </si>
  <si>
    <t>EGA MTD</t>
  </si>
  <si>
    <t>EGA YTD</t>
  </si>
  <si>
    <t>IGA Daily</t>
  </si>
  <si>
    <t>IGA MTD</t>
  </si>
  <si>
    <t>IGA YTD</t>
  </si>
  <si>
    <t>MA Daily</t>
  </si>
  <si>
    <t>MA MTD</t>
  </si>
  <si>
    <t>MA YTD</t>
  </si>
  <si>
    <t>CUF Daily</t>
  </si>
  <si>
    <t>CUF MTD</t>
  </si>
  <si>
    <t>CUF YTD</t>
  </si>
  <si>
    <t>Line Loss Daily</t>
  </si>
  <si>
    <t>Line Loss MTD</t>
  </si>
  <si>
    <t>Line Loss YTD</t>
  </si>
  <si>
    <t>Reactive Power Daily</t>
  </si>
  <si>
    <t>Reactive Power MTD</t>
  </si>
  <si>
    <t>Reactive Power YTD</t>
  </si>
  <si>
    <t>Expected Energy Daily</t>
  </si>
  <si>
    <t>Expected Energy MTD</t>
  </si>
  <si>
    <t>Expected Energy YTD</t>
  </si>
  <si>
    <t>Till Date</t>
  </si>
  <si>
    <t>TGPXIIPL Performance Summary-YTD</t>
  </si>
  <si>
    <t>Year</t>
  </si>
  <si>
    <t>Days</t>
  </si>
  <si>
    <t>Estimated WS(m/s)</t>
  </si>
  <si>
    <t>Measured WS (m/s)</t>
  </si>
  <si>
    <t>Budgeted Energy (MWh)</t>
  </si>
  <si>
    <t>Measured Energy (MWh)</t>
  </si>
  <si>
    <t>Target CUF (%)</t>
  </si>
  <si>
    <t>Measured CUF (%)</t>
  </si>
  <si>
    <t>Target GA (%)</t>
  </si>
  <si>
    <t>Measured GA (%)</t>
  </si>
  <si>
    <t>Target MA (%)</t>
  </si>
  <si>
    <t>Measured MA (%)</t>
  </si>
  <si>
    <t>Target IGA(%)</t>
  </si>
  <si>
    <t>Measured IGA (%)</t>
  </si>
  <si>
    <t>Target PA(%)</t>
  </si>
  <si>
    <t>Measured PA (%)</t>
  </si>
  <si>
    <t>Expected Energy</t>
  </si>
  <si>
    <t>Loss (%)</t>
  </si>
  <si>
    <t>Reactive Power (%)</t>
  </si>
  <si>
    <t>TGPXIIPL Performance Summary (MTD)</t>
  </si>
  <si>
    <t>Target IGA (%)</t>
  </si>
  <si>
    <t>WTG Total (MWh)</t>
  </si>
  <si>
    <t>Line Losses(%)</t>
  </si>
  <si>
    <t>E_WS_Corrected</t>
  </si>
  <si>
    <t>Start Date</t>
  </si>
  <si>
    <t>End Date</t>
  </si>
  <si>
    <t>TGPXIIPL Performance Summary (WTD)</t>
  </si>
  <si>
    <t>TGPXIIPL Performance Summary (LTD)</t>
  </si>
  <si>
    <t>WTG No.</t>
  </si>
  <si>
    <t>O2_01</t>
  </si>
  <si>
    <t>O2_02</t>
  </si>
  <si>
    <t>O2_03</t>
  </si>
  <si>
    <t>O2_04</t>
  </si>
  <si>
    <t>O2_05</t>
  </si>
  <si>
    <t>O2_06</t>
  </si>
  <si>
    <t>O2_07</t>
  </si>
  <si>
    <t>O2_08</t>
  </si>
  <si>
    <t>O2_09</t>
  </si>
  <si>
    <t>O2_10</t>
  </si>
  <si>
    <t>O2_11</t>
  </si>
  <si>
    <t>O2_12</t>
  </si>
  <si>
    <t>O2_13</t>
  </si>
  <si>
    <t>O2_14</t>
  </si>
  <si>
    <t>O2_15</t>
  </si>
  <si>
    <t>O2_16</t>
  </si>
  <si>
    <t>O2_17</t>
  </si>
  <si>
    <t>O2_18</t>
  </si>
  <si>
    <t>O2_19</t>
  </si>
  <si>
    <t>O2_20</t>
  </si>
  <si>
    <t>O2_21</t>
  </si>
  <si>
    <t>O2_22</t>
  </si>
  <si>
    <t>O2_23</t>
  </si>
  <si>
    <t>O2_24</t>
  </si>
  <si>
    <t>O2_25</t>
  </si>
  <si>
    <t>O2_26</t>
  </si>
  <si>
    <t>MA</t>
  </si>
  <si>
    <t>WTG BD Hours</t>
  </si>
  <si>
    <t>IGA</t>
  </si>
  <si>
    <t>METERING YARD</t>
  </si>
  <si>
    <t>FEEDER</t>
  </si>
  <si>
    <t>OG</t>
  </si>
  <si>
    <t>TRANSFER</t>
  </si>
  <si>
    <t>USS</t>
  </si>
  <si>
    <t>EGA</t>
  </si>
  <si>
    <t>External Grid</t>
  </si>
  <si>
    <t>Generation</t>
  </si>
  <si>
    <t>PA</t>
  </si>
  <si>
    <t>Sum of BD</t>
  </si>
  <si>
    <t>Count of BD</t>
  </si>
  <si>
    <t>MTTR WTG</t>
  </si>
  <si>
    <t>MTBF WTG</t>
  </si>
  <si>
    <t>WS (M/S)</t>
  </si>
  <si>
    <t>Fault Analysis</t>
  </si>
  <si>
    <t>Put hour Here</t>
  </si>
  <si>
    <t>Default hour for full Data</t>
  </si>
  <si>
    <t>Finacial Year</t>
  </si>
  <si>
    <t>(Multiple Items)</t>
  </si>
  <si>
    <t>Row Labels</t>
  </si>
  <si>
    <t>Sum of Breakdown Time</t>
  </si>
  <si>
    <t>Count of Error Text</t>
  </si>
  <si>
    <t>MTTR</t>
  </si>
  <si>
    <t>MTBF</t>
  </si>
  <si>
    <t>Grand Total</t>
  </si>
  <si>
    <t>Date</t>
  </si>
  <si>
    <t>Calendar Year</t>
  </si>
  <si>
    <t>Month Year</t>
  </si>
  <si>
    <t>Operating Hours</t>
  </si>
  <si>
    <t>GHI-UP (KWh/m2)</t>
  </si>
  <si>
    <t>GHI-Down(KWh/m2)</t>
  </si>
  <si>
    <t>POA-UP(KWh/m2)</t>
  </si>
  <si>
    <t>POA-Down(KWh/m2)</t>
  </si>
  <si>
    <t>Amb_Temp(°C)</t>
  </si>
  <si>
    <t>Mod_Temp(°C)</t>
  </si>
  <si>
    <t>WS_Avg(m/s)</t>
  </si>
  <si>
    <t>WS_Max(m/s)</t>
  </si>
  <si>
    <t>PA(%)</t>
  </si>
  <si>
    <t>MA (%)</t>
  </si>
  <si>
    <t>IGA (%)</t>
  </si>
  <si>
    <t>EGA(%)</t>
  </si>
  <si>
    <t>EMA (%)</t>
  </si>
  <si>
    <t>TA (%)</t>
  </si>
  <si>
    <t>PR(%)</t>
  </si>
  <si>
    <t>WPR(%)</t>
  </si>
  <si>
    <t>CUF(%)</t>
  </si>
  <si>
    <t>Gen_Exp (kWh)</t>
  </si>
  <si>
    <t>Mtr_Export (kWh)</t>
  </si>
  <si>
    <t>Mtr_Import (kWh)</t>
  </si>
  <si>
    <t>Mtr_Net_Exp (KWh)</t>
  </si>
  <si>
    <t>Operational Capacity (MW)</t>
  </si>
  <si>
    <t>Bugt_Resource</t>
  </si>
  <si>
    <t>Bugt_Energy</t>
  </si>
  <si>
    <t>Bugt PR</t>
  </si>
  <si>
    <t>Bugt CUF</t>
  </si>
  <si>
    <t>Bugt_PA</t>
  </si>
  <si>
    <t>Bugt_EGA</t>
  </si>
  <si>
    <t>Actual Energy WPR</t>
  </si>
  <si>
    <t>RA (%)</t>
  </si>
  <si>
    <t>Mod Clean Dry (Num)</t>
  </si>
  <si>
    <t>Mod Clean Wet (Num)</t>
  </si>
  <si>
    <t>Line Loss(%)</t>
  </si>
  <si>
    <t>Bugt Line loss (%) (Wind)</t>
  </si>
  <si>
    <t>Bugt Reactive Power (%) (Wind)</t>
  </si>
  <si>
    <t>Month Name</t>
  </si>
  <si>
    <t>Month Number</t>
  </si>
  <si>
    <t>Month</t>
  </si>
  <si>
    <t>CY</t>
  </si>
  <si>
    <t>FY</t>
  </si>
  <si>
    <t>No. of Days in Month</t>
  </si>
  <si>
    <t>GHI</t>
  </si>
  <si>
    <t>POA</t>
  </si>
  <si>
    <t>WS</t>
  </si>
  <si>
    <t>Tamb</t>
  </si>
  <si>
    <t>Tmod</t>
  </si>
  <si>
    <t>Egrid (MWh)</t>
  </si>
  <si>
    <t>Bugt_Capacity</t>
  </si>
  <si>
    <t>PR</t>
  </si>
  <si>
    <t>Daily POA</t>
  </si>
  <si>
    <t>Days Operated</t>
  </si>
  <si>
    <t>MTD POA</t>
  </si>
  <si>
    <t>YTD POA</t>
  </si>
  <si>
    <t>Daily Energy (MWh)</t>
  </si>
  <si>
    <t>MTD Energy (MWh)</t>
  </si>
  <si>
    <t>YTD Energy (MWh)</t>
  </si>
  <si>
    <t>Bugt CUF (%)</t>
  </si>
  <si>
    <t>Bugt CUF (%) MTD</t>
  </si>
  <si>
    <t>Bugt CUF (%)YTD</t>
  </si>
  <si>
    <t>Ave. Cap MTD</t>
  </si>
  <si>
    <t>Ave. Cap YTD</t>
  </si>
  <si>
    <t>CC Energy MTD</t>
  </si>
  <si>
    <t>WS MTD</t>
  </si>
  <si>
    <t>WS YTD</t>
  </si>
  <si>
    <t>Bugt PA</t>
  </si>
  <si>
    <t>Bugt EGA</t>
  </si>
  <si>
    <t>Bugt TA</t>
  </si>
  <si>
    <t>Bugt MA</t>
  </si>
  <si>
    <t>Bugt IGA</t>
  </si>
  <si>
    <t>Corelation</t>
  </si>
  <si>
    <t>Bugt Line loss</t>
  </si>
  <si>
    <t>Bugt Reactive Power</t>
  </si>
  <si>
    <t>Bugt Capacity</t>
  </si>
  <si>
    <t>CC*Bugt</t>
  </si>
  <si>
    <t>Total Capacity</t>
  </si>
  <si>
    <t>April</t>
  </si>
  <si>
    <t>FY25</t>
  </si>
  <si>
    <t>Hourly reactive power bugt</t>
  </si>
  <si>
    <t>May</t>
  </si>
  <si>
    <t>Day</t>
  </si>
  <si>
    <t>June</t>
  </si>
  <si>
    <t>July</t>
  </si>
  <si>
    <t>August</t>
  </si>
  <si>
    <t>September</t>
  </si>
  <si>
    <t>October</t>
  </si>
  <si>
    <t>November</t>
  </si>
  <si>
    <t>December</t>
  </si>
  <si>
    <t>January</t>
  </si>
  <si>
    <t>February</t>
  </si>
  <si>
    <t>March</t>
  </si>
  <si>
    <t>FY26</t>
  </si>
  <si>
    <t>Energy Generated by individual Turbine</t>
  </si>
  <si>
    <t>Wind Speed (M/s)</t>
  </si>
  <si>
    <t>Calculated Energy Numbers</t>
  </si>
  <si>
    <t>Calendor Year</t>
  </si>
  <si>
    <t>WS_O2_01</t>
  </si>
  <si>
    <t>WS_O2_02</t>
  </si>
  <si>
    <t>WS_O2_03</t>
  </si>
  <si>
    <t>WS_O2_04</t>
  </si>
  <si>
    <t>WS_O2_05</t>
  </si>
  <si>
    <t>WS_O2_06</t>
  </si>
  <si>
    <t>WS_O2_07</t>
  </si>
  <si>
    <t>WS_O2_08</t>
  </si>
  <si>
    <t>WS_O2_09</t>
  </si>
  <si>
    <t>WS_O2_10</t>
  </si>
  <si>
    <t>WS_O2_11</t>
  </si>
  <si>
    <t>WS_O2_12</t>
  </si>
  <si>
    <t>WS_O2_13</t>
  </si>
  <si>
    <t>WS_O2_14</t>
  </si>
  <si>
    <t>WS_O2_15</t>
  </si>
  <si>
    <t>WS_O2_16</t>
  </si>
  <si>
    <t>WS_O2_17</t>
  </si>
  <si>
    <t>WS_O2_18</t>
  </si>
  <si>
    <t>WS_O2_19</t>
  </si>
  <si>
    <t>WS_O2_20</t>
  </si>
  <si>
    <t>WS_O2_21</t>
  </si>
  <si>
    <t>WS_O2_22</t>
  </si>
  <si>
    <t>WS_O2_23</t>
  </si>
  <si>
    <t>WS_O2_24</t>
  </si>
  <si>
    <t>WS_O2_25</t>
  </si>
  <si>
    <t>WS_O2_26</t>
  </si>
  <si>
    <t>WTG Total Gneration (KWh)</t>
  </si>
  <si>
    <t>Wind Speed Average cumulative (m/S)2</t>
  </si>
  <si>
    <t>Wind Speed Max (m/S)</t>
  </si>
  <si>
    <t>Rain (mm)</t>
  </si>
  <si>
    <t>66 kV_Wind_F1_Export_reading</t>
  </si>
  <si>
    <t>66 kV_Wind_F1_Import_reading</t>
  </si>
  <si>
    <t>66 kV_Wind_Net_Export (KWh)</t>
  </si>
  <si>
    <t>66 kV Line Loss (%)</t>
  </si>
  <si>
    <t>66 kV Line Loss (%).</t>
  </si>
  <si>
    <t>Commissioned Capacity (MW)</t>
  </si>
  <si>
    <t>Forecasting Penalties (INR)</t>
  </si>
  <si>
    <t>Expected Power as per power curve. (MWh)</t>
  </si>
  <si>
    <t>Reactive Energy (MVArH)</t>
  </si>
  <si>
    <t>Operating Year</t>
  </si>
  <si>
    <t>Affected WTG</t>
  </si>
  <si>
    <t>SPV</t>
  </si>
  <si>
    <t>Concumaer</t>
  </si>
  <si>
    <t>Plant Equivalent Weightage</t>
  </si>
  <si>
    <t>Error Code</t>
  </si>
  <si>
    <t>Error Text</t>
  </si>
  <si>
    <t>Breakdown Description</t>
  </si>
  <si>
    <t>Fault Start TimeStamp</t>
  </si>
  <si>
    <t>Work Start TimeStamp</t>
  </si>
  <si>
    <t>Fault Clearance time</t>
  </si>
  <si>
    <t>Response Time</t>
  </si>
  <si>
    <t>Resolution Time</t>
  </si>
  <si>
    <t>Breakdown Time</t>
  </si>
  <si>
    <t>Action taken</t>
  </si>
  <si>
    <t>Status</t>
  </si>
  <si>
    <t>Plant Equivalent breakdown</t>
  </si>
  <si>
    <t>Paired WTG for Enegy based MA</t>
  </si>
  <si>
    <t>Fault Category</t>
  </si>
  <si>
    <t>PTW No.</t>
  </si>
  <si>
    <t>Job Card No.</t>
  </si>
  <si>
    <t>CE100001</t>
  </si>
  <si>
    <t>Project pending work</t>
  </si>
  <si>
    <t>Open</t>
  </si>
  <si>
    <t>WTG Breakdown Maintenance</t>
  </si>
  <si>
    <t xml:space="preserve">Break down </t>
  </si>
  <si>
    <t xml:space="preserve">Auto reset </t>
  </si>
  <si>
    <t>Close</t>
  </si>
  <si>
    <t>WTG Unscheduled Maintenance</t>
  </si>
  <si>
    <t xml:space="preserve">Major BD </t>
  </si>
  <si>
    <t xml:space="preserve">Ladder issue </t>
  </si>
  <si>
    <t>ROW issue</t>
  </si>
  <si>
    <t>Connectivity issue</t>
  </si>
  <si>
    <t>Wind.dir. diff. level 2</t>
  </si>
  <si>
    <t>auto reset</t>
  </si>
  <si>
    <t xml:space="preserve">Road issue </t>
  </si>
  <si>
    <t>TQGXIIPL</t>
  </si>
  <si>
    <t>GEDA</t>
  </si>
  <si>
    <t>Schedule WTG PM</t>
  </si>
  <si>
    <t>WTG Scheduled Maintenance</t>
  </si>
  <si>
    <t>Grid loss</t>
  </si>
  <si>
    <t>Environment</t>
  </si>
  <si>
    <t>Others</t>
  </si>
  <si>
    <t>O2-09</t>
  </si>
  <si>
    <t>O2-07</t>
  </si>
  <si>
    <t>O2-18</t>
  </si>
  <si>
    <t>O2-15</t>
  </si>
  <si>
    <t>O2-11</t>
  </si>
  <si>
    <t>O2-24</t>
  </si>
  <si>
    <t>O2-01</t>
  </si>
  <si>
    <t>O2-25</t>
  </si>
  <si>
    <t>O2-04</t>
  </si>
  <si>
    <t>O2-05</t>
  </si>
  <si>
    <t>O2-06</t>
  </si>
  <si>
    <t>O2-20</t>
  </si>
  <si>
    <t>O2-26</t>
  </si>
  <si>
    <t>O2-14</t>
  </si>
  <si>
    <t>O2-10</t>
  </si>
  <si>
    <t>Configuration error</t>
  </si>
  <si>
    <t>O2-21</t>
  </si>
  <si>
    <t>O2-13</t>
  </si>
  <si>
    <t>O2-12</t>
  </si>
  <si>
    <t>WTR</t>
  </si>
  <si>
    <t>Blade cleaning work</t>
  </si>
  <si>
    <t xml:space="preserve">Load Shedding </t>
  </si>
  <si>
    <t>O2-16</t>
  </si>
  <si>
    <t>O2-03</t>
  </si>
  <si>
    <t>O2-02</t>
  </si>
  <si>
    <t>O2-08</t>
  </si>
  <si>
    <t>open</t>
  </si>
  <si>
    <t>Auto reset</t>
  </si>
  <si>
    <t xml:space="preserve">WTG Manual stop for load shedding due to feeder-01 overloading issue </t>
  </si>
  <si>
    <t>OPEN</t>
  </si>
  <si>
    <t>O2-22</t>
  </si>
  <si>
    <t>O2-23</t>
  </si>
  <si>
    <t>After Grid charge RFO signal coming than Start WTG.</t>
  </si>
  <si>
    <t>O2-17</t>
  </si>
  <si>
    <t>Checked related error data log then reset &amp; start WTG.</t>
  </si>
  <si>
    <t>Checked related error data log then  reset &amp; start WTG.</t>
  </si>
  <si>
    <t>After grid Resume time Converter RFO Single  Note so after so and Reset and start wtg</t>
  </si>
  <si>
    <t>Auto Reset</t>
  </si>
  <si>
    <t>WTG stop for Customer Audit work.</t>
  </si>
  <si>
    <t>Attend and check error related ckt than clean rotor Brake pad and also check brake pad thickness and rotor brake pad temp.sensor connection check found ok than reset and start WTG.</t>
  </si>
  <si>
    <t>Checked related error data log then reset &amp; started WTG.</t>
  </si>
  <si>
    <t>Attend and check error related ckt than found Yaw MPCB Feedback connection loose so tight it than reset and started WTG.</t>
  </si>
  <si>
    <t>WTG stop for YPM day-1 activity complate than started WTG.</t>
  </si>
  <si>
    <t>Check Event log and check Data log after Reset and started  wtg</t>
  </si>
  <si>
    <t>Check  Event and check Converter Data log after Reset and started wtg</t>
  </si>
  <si>
    <t>check event log after check voltage and current data after so ok then reset and started wtg.</t>
  </si>
  <si>
    <t>Check Event log and check Nacelle Hydralic Presure value and apply flushing mode on after check value after reset and started wtg</t>
  </si>
  <si>
    <t>check Event log and check pitch converter 1 Data check snapshot  and open hub and check Motor current value so ok after reset and started wtg.</t>
  </si>
  <si>
    <t>WTG stop for YPM day-2 activity complate than started WTG.</t>
  </si>
  <si>
    <t>Attend and wtg check MPCB Check Motor and check all connection so found MPCB Connection loose after  then all connection tight after tack  trail all  candion ok then reset and started wtg.</t>
  </si>
  <si>
    <t>Check Data log and all Perameter check and Nacell angle check and check Angle of twist after Removed cable twist after trail so ok then started wtg.</t>
  </si>
  <si>
    <t>check Data log and converter Data check after so ok then reset and started wtg.</t>
  </si>
  <si>
    <t xml:space="preserve">Attend and check related ckt so found QA 7.1 Grid filter contactor burnout and 2 nos fuse faulty  after Replaced all cable between contactor to fuse and contactor to capacitor . Then we taken all capacitor value found all normal .  Then we have replaced both QA7.1 And QA7.2 Contactor and all 6 nos cable between contactor to fuse and fuse to capacitor and 2 nos fuse after complete all cable rooting properly we have perform a precharge , grid filter and GSC Test found all values normal so we started the turbine. </t>
  </si>
  <si>
    <t>Attend and wtg check releted circuit and check all valve and after oil top up after trail so ok then reset and started wtg.</t>
  </si>
  <si>
    <t>Attend and wtg check  Hydraulic Pump 9.1 Valve and Hydraulic  oil top up after check all pipe and flushing mode on and check pressure so ok after trail then reset and started wtg.</t>
  </si>
  <si>
    <t>Attend and wtg check Hydraulic unit valve and check pressure and check all valv after replace 9.1 valv and top up hydraulic oil  wtg working pogress</t>
  </si>
  <si>
    <t xml:space="preserve">Attend and check than hydraulic oil level than found ok than check 9.1 Valve than check pressure value devuation in   SAM  than found pressure is suddenly drop so replace 9.1 valve and fluxing but same error occureded so check all other valve than check Accumulator than  set rotor pressure proper than take trail than nothing abnormal so reset and start turbine.             </t>
  </si>
  <si>
    <t>Check Data log and check hydraulic pressure check by sam and apply Manually oil flushing after Manual Yawing CW Check pressure ok after reset and started WTG.</t>
  </si>
  <si>
    <t>Wtg Manual Stop for slip ring inspection work after reset and started wtg</t>
  </si>
  <si>
    <t>Check event log and check converter Data after trail so ok then reset and started wtg</t>
  </si>
  <si>
    <t>Check Event log and Converter Data check after SO FOUND  coolant Temp High after Temp Normal and started wtg</t>
  </si>
  <si>
    <t>Check Event LOG And Hub Event check after Reboot and trail so ok then reset and started wtg</t>
  </si>
  <si>
    <t>Check event log and check hydraulic  pressure after flushing mode on after check and trail so ok then reset and start wtg.</t>
  </si>
  <si>
    <t>After grid resume time error occurred check event log then reset and started wtg.</t>
  </si>
  <si>
    <t>Attend and WTG Check temp sensor , fan conditions and connection Replace Panel filter then started Turbine.</t>
  </si>
  <si>
    <t>check event log and check all data after reboot and check so ok then reset and started wtg</t>
  </si>
  <si>
    <t>Check event log and check Hub event  and check current motor so ok after reset and started wtg</t>
  </si>
  <si>
    <t>We Have attened turbine and check in hydraulic system oil level system pressure 9.1 valv conditions found all normal after we check 9.8 valve pressure with gauge found deviation. So correct its and taken trail then started turbine.</t>
  </si>
  <si>
    <t>Attend and wtg check filter and clean after check converter fan condition check so ok after temp sensor connection check and  tight then reset and start wtg</t>
  </si>
  <si>
    <t>we have attend turbine and check in converter temp sensor  value , sensor connection and conditions after  taken trail of turbine found temp in noirmal range so started turbine.</t>
  </si>
  <si>
    <t>Attend wtg check related circuit than check overvoltage protaction circuit than check surge arrestor and connection than found 24V feedback  connection was loose so retight properly than reset and start wtg</t>
  </si>
  <si>
    <t>Attend wtg check inductor cell temp increase so cannibalize temp sensor connection wid another temp sensor ( Now turbine running under observation )</t>
  </si>
  <si>
    <t>Attend And check related circuit found MPCB Trip so we check motor winding connection and found Motor Bearing  jam after arrange motor for Mahuva site WIP</t>
  </si>
  <si>
    <t>After Temp. down check all perameter than reset and Started Turbine.</t>
  </si>
  <si>
    <t>O2-19</t>
  </si>
  <si>
    <t>Attend And check related circuit found MPCB Trip so we check motor winding connection and found Motor Bearing  jam after arrange motor and replace Motor than started WTG.</t>
  </si>
  <si>
    <t>Attend and check error related ckt than found Slipring cable short with the Ground than we use temparory Earthing cable for restore the Turbine and plan for the further rectification work in day Shift.</t>
  </si>
  <si>
    <t>Turbine stop for Slipring 646 WTR Work WIP,</t>
  </si>
  <si>
    <t>Turbine stop for Software Update Work.</t>
  </si>
  <si>
    <t>After done Slipring WTR 646 than reset and started WTG.</t>
  </si>
  <si>
    <t>WTG Manual stop for Software Updated Work.</t>
  </si>
  <si>
    <t>after grid resume error is occurs so Checked related error data log then reset &amp; started WTG.</t>
  </si>
  <si>
    <t>Attend and check ckt than found FA01 Surge arrestor feedback connection loose so tight it than started Turbine.</t>
  </si>
  <si>
    <t>Checked related error data log then reset &amp; started WTG.lat reset due to all  WTGs is not cannected in feetpro because internet connectivity breakdown.</t>
  </si>
  <si>
    <t>attend and check all releted circuit. Check sensor cable laying is ok. check break pad 2 temp sensor found loose cannections so tight it then start WTG.</t>
  </si>
  <si>
    <t>Checked related error data log then apply manual DO found all condition is ok then reset &amp; started WTG.</t>
  </si>
  <si>
    <t>WTG stop for YPM day-2 activity and software updated than started WTG.</t>
  </si>
  <si>
    <t>Checked related error data log then apply soft reboot then reset &amp; started WTG.</t>
  </si>
  <si>
    <t>Checked related error data log then check wind direction and wind difference data apply  DO yawing and check difference is ok so  reset &amp; started WTG.now wtg under observation</t>
  </si>
  <si>
    <t>Checked related error data log then apply manual DO cooling pump then reset &amp; started WTG.</t>
  </si>
  <si>
    <t>attend and Check rotor brake pads temp sensor condition,cable layout, measure temp value and found loose connection in TB.So re tight and started turbine.</t>
  </si>
  <si>
    <t>WTG stop for YPM day-1 activity and software updated than started WTG.</t>
  </si>
  <si>
    <t>WTG manual stop for Blade repairing work.today skylift installing work  and  damage area surface Measuring and  grinding work done and first layer removing work complated and new paste apply &amp; cuting.</t>
  </si>
  <si>
    <t>attend for generator slipring earthing brush replacement work wip.</t>
  </si>
  <si>
    <t>attend and check all releted circuit check all yaw motor winding is ok check all yaw motor break is ok so check and found yaw motor contactor on loose cannection so tight it and started wtg. Now wtg under observations.</t>
  </si>
  <si>
    <t>We have attended turbine for Rep converter temp and Nacelle coolant pressure low check and fill up coolant, Nacelle radiator cleaning with water and Converter in top up coolant,Fan filter replaced, check fan working condition, it's temp sensor circuit then start wtg under observation.</t>
  </si>
  <si>
    <t xml:space="preserve"> then bottom radiator clean with water, check it's working condition.Then reset and started turbine.</t>
  </si>
  <si>
    <t>WTG Manual stop for blade inspection work.</t>
  </si>
  <si>
    <t>WTG manual stop for Blade repairing work.today we work in blade on Pest leaving and grinding champaring and lamination and curing and heating then  putty apply and putty sending work completed then last paint apply then start wtg.</t>
  </si>
  <si>
    <t>Repeated Conv error (rotor leckage current and encoder error)  ocuured so plan to inspection Turbine , Check and visual inspection of Hopewind converter panel components and connection but nothing found abnormal so check Generator slip ring at that time found earthing carbon brush fully wear out and some hot spot mark on Power brush track so clean Power and earthing brush track and do smooth it as well as replace earthing  brush and Generator RPM encoder  connector loose at yaw platform so correct it the reset and start turbine.</t>
  </si>
  <si>
    <t>attend for generator slipring earthing brush replacement work done then started wtg.</t>
  </si>
  <si>
    <t>Checked related error data log then found temp sensor malfunctioning so reboot PLC then reset &amp; started WTG.</t>
  </si>
  <si>
    <t>Checked related error data log then found high temp ambient upper converter error the temp sensor malfunction so then  reset &amp; started WTG.</t>
  </si>
  <si>
    <t>attend and check all related circuit and found temp ambient upper converter sensor on loose cannectinon so tight it then  software updated started  WTG.</t>
  </si>
  <si>
    <t>Checked related error data log then found PPD  pitch angle is diff so apply reboot then reset &amp; started WTG.</t>
  </si>
  <si>
    <t>attend and check generator slipring and found earthing brush are wear out so clean earthing track and measure by dial gauge take reading and replace brush then start wtg now turbine running under observation</t>
  </si>
  <si>
    <t>wtg manual stop for converter coolant temp high wip.</t>
  </si>
  <si>
    <t>O2_01 (kVArh)</t>
  </si>
  <si>
    <t>O2_02 (kVArh)</t>
  </si>
  <si>
    <t>O2_03 (kVArh)</t>
  </si>
  <si>
    <t>O2_04 (kVArh)</t>
  </si>
  <si>
    <t>O2_05 (kVArh)</t>
  </si>
  <si>
    <t>O2_06 (kVArh)</t>
  </si>
  <si>
    <t>O2_07 (kVArh)</t>
  </si>
  <si>
    <t>O2_08 (kVArh)</t>
  </si>
  <si>
    <t>O2_09 (kVArh)</t>
  </si>
  <si>
    <t>O2_10 (kVArh)</t>
  </si>
  <si>
    <t>O2_11 (kVArh)</t>
  </si>
  <si>
    <t>O2_12 (kVArh)</t>
  </si>
  <si>
    <t>O2_13 (kVArh)</t>
  </si>
  <si>
    <t>O2_14 (kVArh)</t>
  </si>
  <si>
    <t>O2_15 (kVArh)</t>
  </si>
  <si>
    <t>O2_16 (kVArh)</t>
  </si>
  <si>
    <t>O2_17 (kVArh)</t>
  </si>
  <si>
    <t>O2_18 (kVArh)</t>
  </si>
  <si>
    <t>O2_19 (kVArh)</t>
  </si>
  <si>
    <t>O2_20 (kVArh)</t>
  </si>
  <si>
    <t>O2_21 (kVArh)</t>
  </si>
  <si>
    <t>O2_22 (kVArh)</t>
  </si>
  <si>
    <t>O2_23 (kVArh)</t>
  </si>
  <si>
    <t>O2_24 (kVArh)</t>
  </si>
  <si>
    <t>O2_25 (kVArh)</t>
  </si>
  <si>
    <t>O2_26 (kVArh)</t>
  </si>
  <si>
    <t>Total Reactive Power (kVArh)</t>
  </si>
  <si>
    <t xml:space="preserve">Affected Feeder </t>
  </si>
  <si>
    <t>Scope</t>
  </si>
  <si>
    <t>Loss of KWH</t>
  </si>
  <si>
    <t>Year_1</t>
  </si>
  <si>
    <t>Wind_F1</t>
  </si>
  <si>
    <t>IG Unscheduled Maintenance</t>
  </si>
  <si>
    <t>O2 Project</t>
  </si>
  <si>
    <t>IG Breakdown Maintenance</t>
  </si>
  <si>
    <t>Wind_F2</t>
  </si>
  <si>
    <t>Feeder-1 Tripped in Earth fault</t>
  </si>
  <si>
    <t>O2-22 WTG Shutdown</t>
  </si>
  <si>
    <t>Feeder-2 tripped in Earth fault after take a trial then charge it.</t>
  </si>
  <si>
    <t>Feeder-1 Tripped in over current.</t>
  </si>
  <si>
    <t>O2-07 Grid loss</t>
  </si>
  <si>
    <t>O2_04 Grid Loss</t>
  </si>
  <si>
    <t>O2_19 Grid Loss</t>
  </si>
  <si>
    <t>O2_07 Grid Loss</t>
  </si>
  <si>
    <t>O2_13 Grid Loss</t>
  </si>
  <si>
    <t>WTG shut down</t>
  </si>
  <si>
    <t>Voltage asymmetry</t>
  </si>
  <si>
    <t>After grid resume found VCB tripped  so VCB Charge after reset and start wtg</t>
  </si>
  <si>
    <t>O2-08 Grid loss</t>
  </si>
  <si>
    <t>O2-04 Grid loss</t>
  </si>
  <si>
    <t>O2-19 Grid loss</t>
  </si>
  <si>
    <t>O2_22 Grid Loss</t>
  </si>
  <si>
    <t>Feeder-1 shutdown</t>
  </si>
  <si>
    <t>Feeder-2 shutdown</t>
  </si>
  <si>
    <t>O2-10 Manual stop (WTG Manual stop for USS Yard transformer oil  leakage arrests work)</t>
  </si>
  <si>
    <t>WTG Manual stop for USS Yard Transformer Oil Leakage Arrests work</t>
  </si>
  <si>
    <t>Feeder-1 tripping Earth fault during line petrolling found for bird fault Pole no CP-103 Near O2-02. Test trail and feeder charge.</t>
  </si>
  <si>
    <t>Feeder-1 tripping Earth fault during line petrolling found for bird fault Pole no CP-34 Near O2-01. Test trail and feeder charge.</t>
  </si>
  <si>
    <t>Feeder#1 Trip in Over Current &amp; earth fault/master relay trip</t>
  </si>
  <si>
    <t>Converter torque monitor level 1(grid voltage down)</t>
  </si>
  <si>
    <t>Checked related error data log and found grid voltage down so check by BOP team ,grid volage is normalise then reset &amp; started WTG.</t>
  </si>
  <si>
    <t>Line1</t>
  </si>
  <si>
    <t>Manual shutdown</t>
  </si>
  <si>
    <t>66Kv Line shutdown taking By GETCO team from Getco end 66KV line Strengthening work.</t>
  </si>
  <si>
    <t>E_Grid daily
MWh</t>
  </si>
  <si>
    <t>E_Grid MTD
MWh</t>
  </si>
  <si>
    <t>E_Grid YTD
MWh</t>
  </si>
  <si>
    <t>WS Daily</t>
  </si>
  <si>
    <t>Day Capacity</t>
  </si>
  <si>
    <t>MTD Capacity</t>
  </si>
  <si>
    <t>YTD Capacity</t>
  </si>
  <si>
    <t>Wind Speed (m/s)</t>
  </si>
  <si>
    <t>Egrid Energy (KWh)</t>
  </si>
  <si>
    <t>Capacity</t>
  </si>
  <si>
    <t>No.</t>
  </si>
  <si>
    <t>Senvion Control</t>
  </si>
  <si>
    <t>No._1</t>
  </si>
  <si>
    <t>Senvion Control M</t>
  </si>
  <si>
    <t>Type</t>
  </si>
  <si>
    <t>Brakg.
Prg.</t>
  </si>
  <si>
    <t>Alarm</t>
  </si>
  <si>
    <t>Auto
Reset</t>
  </si>
  <si>
    <t>Avail.
grp.</t>
  </si>
  <si>
    <t>System</t>
  </si>
  <si>
    <t>Generator</t>
  </si>
  <si>
    <t>Consumer</t>
  </si>
  <si>
    <t>% Plant Equiva. Weightage</t>
  </si>
  <si>
    <t>Feeder</t>
  </si>
  <si>
    <t>TX</t>
  </si>
  <si>
    <t>MY</t>
  </si>
  <si>
    <t>System OK</t>
  </si>
  <si>
    <t>Info</t>
  </si>
  <si>
    <t>TX1</t>
  </si>
  <si>
    <t>WTG</t>
  </si>
  <si>
    <t>IG</t>
  </si>
  <si>
    <t>EG</t>
  </si>
  <si>
    <t>Negative power, too little wind</t>
  </si>
  <si>
    <t>Awaiting wind</t>
  </si>
  <si>
    <t>EG Unscheduled Maintenance</t>
  </si>
  <si>
    <t>Negative power, too little wind with icing</t>
  </si>
  <si>
    <t>--</t>
  </si>
  <si>
    <t>EG Breakdown Maintenance</t>
  </si>
  <si>
    <t>Timeout start for icing</t>
  </si>
  <si>
    <t>IG Scheduled Maintenance</t>
  </si>
  <si>
    <t>EG Scheduled Maintenance</t>
  </si>
  <si>
    <t>Manual stop - on site</t>
  </si>
  <si>
    <t>Manual stop</t>
  </si>
  <si>
    <t xml:space="preserve">WTG Environmental </t>
  </si>
  <si>
    <t>Manual stop - remote</t>
  </si>
  <si>
    <t>Stop via communica.</t>
  </si>
  <si>
    <t>WTG Force Majeure</t>
  </si>
  <si>
    <t>Manual stop without login</t>
  </si>
  <si>
    <t>X</t>
  </si>
  <si>
    <t>WTG stop</t>
  </si>
  <si>
    <t>Wind sector stop</t>
  </si>
  <si>
    <t>Limiting wind speed exceeded</t>
  </si>
  <si>
    <t>Max. wind dir. deviation high wind sp.</t>
  </si>
  <si>
    <t>Error</t>
  </si>
  <si>
    <t>Nacelle</t>
  </si>
  <si>
    <t>Max. windspeed BP50</t>
  </si>
  <si>
    <t>Night operation</t>
  </si>
  <si>
    <t>Wind dir.dev. level 1</t>
  </si>
  <si>
    <t>WTG shutdown - pitch angle &amp; stormp. Ignored</t>
  </si>
  <si>
    <t>WTG shutdown</t>
  </si>
  <si>
    <t>Reduced power active</t>
  </si>
  <si>
    <t>Wind dir.dev. level 2</t>
  </si>
  <si>
    <t>Max. acceleration</t>
  </si>
  <si>
    <t>Warning</t>
  </si>
  <si>
    <t>Wind &gt; power</t>
  </si>
  <si>
    <t>Wind Sensor</t>
  </si>
  <si>
    <t>Wind &lt; power</t>
  </si>
  <si>
    <t>Extreme gust</t>
  </si>
  <si>
    <t>Max. wind speed</t>
  </si>
  <si>
    <t>Wind &gt; max.</t>
  </si>
  <si>
    <t>Absence of wind during run-up</t>
  </si>
  <si>
    <t>Free wheel-&gt;cut in G</t>
  </si>
  <si>
    <t>Icing (nacelle ice sensor)</t>
  </si>
  <si>
    <t>Ice warning</t>
  </si>
  <si>
    <t>Outdoor temperature low</t>
  </si>
  <si>
    <t>Outdoor temp. low</t>
  </si>
  <si>
    <t>Outdoor temperature high</t>
  </si>
  <si>
    <t>Outdoor temp. high</t>
  </si>
  <si>
    <t>Reduced power gearbox</t>
  </si>
  <si>
    <t>Reduced power</t>
  </si>
  <si>
    <t>Reduced power generator</t>
  </si>
  <si>
    <t>Reduced power transformer</t>
  </si>
  <si>
    <t>[P] reduced trafo</t>
  </si>
  <si>
    <t>Outdoor temp. extremely low</t>
  </si>
  <si>
    <t>Outdoor temp.&gt;working range</t>
  </si>
  <si>
    <t>4-20mA outside temp. nacelle 1</t>
  </si>
  <si>
    <t>4-20mA outside temp. nacelle 2</t>
  </si>
  <si>
    <t>Outs.temp. nacelle implaus.</t>
  </si>
  <si>
    <t>Nacelle outs/inside temp. comp implausible</t>
  </si>
  <si>
    <t>Emergency stop top box</t>
  </si>
  <si>
    <t>Emer.stop cont.panel</t>
  </si>
  <si>
    <t>Emergency stop nacelle</t>
  </si>
  <si>
    <t>Emer. stop nacelle</t>
  </si>
  <si>
    <t>Emergency stop converter</t>
  </si>
  <si>
    <t>Freq.conv. emer.stop</t>
  </si>
  <si>
    <t>Emergency stop base box</t>
  </si>
  <si>
    <t>Emer. stop bottombox</t>
  </si>
  <si>
    <t>Conv. emergency stop 2</t>
  </si>
  <si>
    <t>Emer.stop tower base</t>
  </si>
  <si>
    <t>SLC app. not running</t>
  </si>
  <si>
    <t>SLC app. not in SAFE mode</t>
  </si>
  <si>
    <t>Safety System</t>
  </si>
  <si>
    <t>SLC SF max. cable winding</t>
  </si>
  <si>
    <t>SLC SF generator temperature</t>
  </si>
  <si>
    <t>SLC SF overspeed</t>
  </si>
  <si>
    <t>SLC SF max. tower oscillation</t>
  </si>
  <si>
    <t>SLC SF max. rotor brake pad temp.</t>
  </si>
  <si>
    <t>SLC SF emergency stop</t>
  </si>
  <si>
    <t>SLC MF brake request HC</t>
  </si>
  <si>
    <t>SLC MF converter grid disconnection</t>
  </si>
  <si>
    <t>Converter system</t>
  </si>
  <si>
    <t>SLC MF torque protection</t>
  </si>
  <si>
    <t>SLC MF max. tower oscillation analog</t>
  </si>
  <si>
    <t>SLC error</t>
  </si>
  <si>
    <t>SLC warning</t>
  </si>
  <si>
    <t>SLC MF blade regulation control</t>
  </si>
  <si>
    <t>SLC MF safe operation speed limit</t>
  </si>
  <si>
    <t>SLC implaus. speed</t>
  </si>
  <si>
    <t>SLC interface error</t>
  </si>
  <si>
    <t>SLC run-time limit active</t>
  </si>
  <si>
    <t>Release manual pitch</t>
  </si>
  <si>
    <t>Turbine is serviced</t>
  </si>
  <si>
    <t>Manual pitch active</t>
  </si>
  <si>
    <t>Pitch service mode</t>
  </si>
  <si>
    <t>Manual brake</t>
  </si>
  <si>
    <t>Sound characteristic A active</t>
  </si>
  <si>
    <t>Noise reduct.1 start</t>
  </si>
  <si>
    <t>Sound characteristic C active</t>
  </si>
  <si>
    <t>Sound characteristic B active</t>
  </si>
  <si>
    <t>Noise reduct.2 start</t>
  </si>
  <si>
    <t>Sound characteristic D active</t>
  </si>
  <si>
    <t>Noise reduction stop</t>
  </si>
  <si>
    <t>Bat protection active</t>
  </si>
  <si>
    <t>Parameterized P red.</t>
  </si>
  <si>
    <t>Parameterized speed red.</t>
  </si>
  <si>
    <t>Red. op. soft cut out</t>
  </si>
  <si>
    <t>Soft cut out par. implausible</t>
  </si>
  <si>
    <t>Update active</t>
  </si>
  <si>
    <t>Stop for man./aut. reboot</t>
  </si>
  <si>
    <t>Update failed</t>
  </si>
  <si>
    <t>Manual reboot</t>
  </si>
  <si>
    <t>Man. shutdown error</t>
  </si>
  <si>
    <t>Brake control</t>
  </si>
  <si>
    <t>Max. braking time BP20</t>
  </si>
  <si>
    <t>Max. braking time BP50</t>
  </si>
  <si>
    <t>B50 brake time &gt; max</t>
  </si>
  <si>
    <t>Max. braking time BP52</t>
  </si>
  <si>
    <t>B52 brake time&gt;max.</t>
  </si>
  <si>
    <t>Max. braking time BP60</t>
  </si>
  <si>
    <t>B60 brake time&gt;max.</t>
  </si>
  <si>
    <t>Max. braking time BP75</t>
  </si>
  <si>
    <t>B75 brake time &gt; max</t>
  </si>
  <si>
    <t>Parameter setting BP75 implausible</t>
  </si>
  <si>
    <t>Max. braking time BP170</t>
  </si>
  <si>
    <t>B170 brake time &gt;max.</t>
  </si>
  <si>
    <t>Max. braking time BP180</t>
  </si>
  <si>
    <t>B180 brake time&gt;max.</t>
  </si>
  <si>
    <t>Max. braking time BP190</t>
  </si>
  <si>
    <t>B190 brake time&gt;max.</t>
  </si>
  <si>
    <t>Timeout systemtest 1</t>
  </si>
  <si>
    <t>T.out selftest no. 1</t>
  </si>
  <si>
    <t>Timeout systemtest 2</t>
  </si>
  <si>
    <t>Timeout systemtest 3</t>
  </si>
  <si>
    <t>Manual operation</t>
  </si>
  <si>
    <t>Semi-automatic operation</t>
  </si>
  <si>
    <t>PMU active power semi-aut. op.</t>
  </si>
  <si>
    <t>PMU react. power semi-aut. op.</t>
  </si>
  <si>
    <t>Stop manual operation</t>
  </si>
  <si>
    <t>Test brake program 190</t>
  </si>
  <si>
    <t>Test brake program 180</t>
  </si>
  <si>
    <t>Test brake program 170</t>
  </si>
  <si>
    <t>Test brake program 75</t>
  </si>
  <si>
    <t>Test brake program 60</t>
  </si>
  <si>
    <t>Test brake program 52</t>
  </si>
  <si>
    <t>Test brake program 50</t>
  </si>
  <si>
    <t>Test brake program 20</t>
  </si>
  <si>
    <t>No-load rotation active</t>
  </si>
  <si>
    <t>No speed development</t>
  </si>
  <si>
    <t>Repeating error BP 0</t>
  </si>
  <si>
    <t>Repeating error BP52</t>
  </si>
  <si>
    <t>Repeating error BP60</t>
  </si>
  <si>
    <t>Repeating error BP75</t>
  </si>
  <si>
    <t>Repeating error BP170</t>
  </si>
  <si>
    <t>Repeating error BP180</t>
  </si>
  <si>
    <t>Repeating error BP190</t>
  </si>
  <si>
    <t>Timeout bridging limit switches</t>
  </si>
  <si>
    <t>Pitch limit switches</t>
  </si>
  <si>
    <t>Pitch endstop switch</t>
  </si>
  <si>
    <t>Pitch system</t>
  </si>
  <si>
    <t>Pitch limit switch 1</t>
  </si>
  <si>
    <t>Pitch endstop 1</t>
  </si>
  <si>
    <t>Pitch limit switch 2</t>
  </si>
  <si>
    <t>Pitch endstop 2</t>
  </si>
  <si>
    <t>Pitch limit switch 3</t>
  </si>
  <si>
    <t>Pitch endstop 3</t>
  </si>
  <si>
    <t>Overload axis 1</t>
  </si>
  <si>
    <t>Pitch 1 current&gt;max</t>
  </si>
  <si>
    <t>Overload axis 2</t>
  </si>
  <si>
    <t>Pitch 2 current&gt;max</t>
  </si>
  <si>
    <t>Overload axis 3</t>
  </si>
  <si>
    <t>Pitch 3 current&gt;max</t>
  </si>
  <si>
    <t>Pitch current asymmetry</t>
  </si>
  <si>
    <t>Pitch(M)current asym</t>
  </si>
  <si>
    <t>Pitch motor current too high</t>
  </si>
  <si>
    <t>Blade pitch deviation test</t>
  </si>
  <si>
    <t>Pitch angle deviation</t>
  </si>
  <si>
    <t>Pitch angle diff.</t>
  </si>
  <si>
    <t>Pitch deviation BP170</t>
  </si>
  <si>
    <t>Pitch deviation Pitch Back</t>
  </si>
  <si>
    <t>Pitch too fast during fast pitch back</t>
  </si>
  <si>
    <t>Bladeangle implausible</t>
  </si>
  <si>
    <t>Max. windspeed bladeangle</t>
  </si>
  <si>
    <t>Pitch angle&gt;max.wind</t>
  </si>
  <si>
    <t>Pitch too slow BP50</t>
  </si>
  <si>
    <t>Pitch too slow BP52</t>
  </si>
  <si>
    <t>Pitch too slow BP60</t>
  </si>
  <si>
    <t>Pitch too slow BP75</t>
  </si>
  <si>
    <t>Pitch too slow BP180</t>
  </si>
  <si>
    <t>Pitch too slow BP190</t>
  </si>
  <si>
    <t>Pitch too slow BP170</t>
  </si>
  <si>
    <t>Pitch too fast BP170</t>
  </si>
  <si>
    <t>Pitch set point slow hold time BP75</t>
  </si>
  <si>
    <t>Pitch too fast BP75</t>
  </si>
  <si>
    <t>Set point&gt;&lt;actual value axis 1</t>
  </si>
  <si>
    <t>Pitch setp.&lt;&gt;meas. 1</t>
  </si>
  <si>
    <t>Set point&gt;&lt;actual value axis 2</t>
  </si>
  <si>
    <t>Pitch setp.&lt;&gt;meas. 2</t>
  </si>
  <si>
    <t>Set point&gt;&lt;actual value axis 3</t>
  </si>
  <si>
    <t>Pitch setp.&lt;&gt;meas. 3</t>
  </si>
  <si>
    <t>Dev. single pitch angle targ.</t>
  </si>
  <si>
    <t>Target &gt;&lt; act. coll. pitch angle</t>
  </si>
  <si>
    <t>Targ. pitch angle coll. dev.</t>
  </si>
  <si>
    <t>Great deviation blade pitches</t>
  </si>
  <si>
    <t>Blade pitch check running</t>
  </si>
  <si>
    <t>Max. temp. motor axis 1</t>
  </si>
  <si>
    <t>Pitch motor temp. 1</t>
  </si>
  <si>
    <t>Max. temp. motor axis 2</t>
  </si>
  <si>
    <t>Pitch motor temp. 2</t>
  </si>
  <si>
    <t>Max. temp. motor axis 3</t>
  </si>
  <si>
    <t>Pitch motor temp. 3</t>
  </si>
  <si>
    <t>Max. temp. pitch motor PTC</t>
  </si>
  <si>
    <t>Pitch(M) sub2 temp.</t>
  </si>
  <si>
    <t>Overload fan pitch motor</t>
  </si>
  <si>
    <t>Th.rel.pitch(M) fan</t>
  </si>
  <si>
    <t>Sim.angle E enc. &lt;&gt; act.angle 1</t>
  </si>
  <si>
    <t>Sim.angle E enc. &lt;&gt; act.angle 2</t>
  </si>
  <si>
    <t>Sim.angle E enc. &lt;&gt; act.angle 3</t>
  </si>
  <si>
    <t>Sim.angle D &lt;&gt; E enc.</t>
  </si>
  <si>
    <t>Pitch controller communication error</t>
  </si>
  <si>
    <t>Pitch ctrl.communic.</t>
  </si>
  <si>
    <t>Pitch Control system</t>
  </si>
  <si>
    <t>Pitch controller initialisation error</t>
  </si>
  <si>
    <t>Blade load sensors comm.failure</t>
  </si>
  <si>
    <t>Blade load sensors firmware error</t>
  </si>
  <si>
    <t>Error pitch converter 1</t>
  </si>
  <si>
    <t>Pitch ctrl. error 1</t>
  </si>
  <si>
    <t>Error pitch converter 2</t>
  </si>
  <si>
    <t>Pitch ctrl. error 2</t>
  </si>
  <si>
    <t>Error pitch converter 3</t>
  </si>
  <si>
    <t>Pitch ctrl. error 3</t>
  </si>
  <si>
    <t>Limit switches error 91°</t>
  </si>
  <si>
    <t>Pitch &lt;&gt; endstop</t>
  </si>
  <si>
    <t>Pitch system temperature low</t>
  </si>
  <si>
    <t>Pitch error</t>
  </si>
  <si>
    <t>Pitch box temp. too low</t>
  </si>
  <si>
    <t>Pitch box temp. implaus.</t>
  </si>
  <si>
    <t>Battery boxes overtemp.</t>
  </si>
  <si>
    <t>Pitch Battery system</t>
  </si>
  <si>
    <t>Battery boxes heating sys. fault</t>
  </si>
  <si>
    <t>Max. pitch speed encoder A</t>
  </si>
  <si>
    <t>Pitch motor rpm high</t>
  </si>
  <si>
    <t>Max. pitch speed encoder B</t>
  </si>
  <si>
    <t>Pitch measuring system 1&gt;&lt;2</t>
  </si>
  <si>
    <t>Pitchmeas.sys. 1&lt;&gt;2</t>
  </si>
  <si>
    <t>Pitch system temperature high</t>
  </si>
  <si>
    <t>Limit switch error 95° axis 1</t>
  </si>
  <si>
    <t>Limit switch error 95° axis 2</t>
  </si>
  <si>
    <t>Limit switch error 95° axis 3</t>
  </si>
  <si>
    <t>Power failure pitch</t>
  </si>
  <si>
    <t>No grid in hub</t>
  </si>
  <si>
    <t>Targ. pitch angle implaus.</t>
  </si>
  <si>
    <t>Coll. pitch targ.rate exceed.</t>
  </si>
  <si>
    <t>Sel. pitch targ.rate exceed.</t>
  </si>
  <si>
    <t>Hub temperature high</t>
  </si>
  <si>
    <t>Hub is too hot</t>
  </si>
  <si>
    <t>Indiv. setp.pitch ang. offset incorr.</t>
  </si>
  <si>
    <t>Timeout B sensor active</t>
  </si>
  <si>
    <t>Batt. undervoltage/overvoltage</t>
  </si>
  <si>
    <t>Batt. voltage stop</t>
  </si>
  <si>
    <t>Stop battery test</t>
  </si>
  <si>
    <t>Battery Check</t>
  </si>
  <si>
    <t>Battery test</t>
  </si>
  <si>
    <t>Battery monitoring axis 1</t>
  </si>
  <si>
    <t>Battery monitoring axis 2</t>
  </si>
  <si>
    <t>Battery monitoring axis 3</t>
  </si>
  <si>
    <t>Battery monitoring test interval</t>
  </si>
  <si>
    <t>Charging circuit pitch</t>
  </si>
  <si>
    <t>Pitch bat. charger</t>
  </si>
  <si>
    <t>Battery charge cycle axis 1 error</t>
  </si>
  <si>
    <t>Battery charge cycle axis 2 error</t>
  </si>
  <si>
    <t>Battery charge cycle axis 3 error</t>
  </si>
  <si>
    <t>Pitch back trigger by HC</t>
  </si>
  <si>
    <t>Battery drive trigger by HC</t>
  </si>
  <si>
    <t>Pitch heating mode</t>
  </si>
  <si>
    <t>Timeout pitch heating mode</t>
  </si>
  <si>
    <t>Error bridging start-up</t>
  </si>
  <si>
    <t>Error brake resistor CHP</t>
  </si>
  <si>
    <t>Signal bridging start-up + CHP</t>
  </si>
  <si>
    <t>High rotor speed hub</t>
  </si>
  <si>
    <t>Maximum rotor speed hub</t>
  </si>
  <si>
    <t>Rotor rotation direction hub</t>
  </si>
  <si>
    <t>Rotor speed hub&lt;&gt;gear.sp.</t>
  </si>
  <si>
    <t>Rotor speed hub&lt;&lt;&gt;&gt;gear.sp.</t>
  </si>
  <si>
    <t>Rotor speed SLC&lt;&gt;gear.sp.</t>
  </si>
  <si>
    <t>Calc. rotor position implausible</t>
  </si>
  <si>
    <t>Rotor position diff.</t>
  </si>
  <si>
    <t>Check determ. of rotor position</t>
  </si>
  <si>
    <t>Rotor pos. change not plausible</t>
  </si>
  <si>
    <t>Error lubrication pump pitch</t>
  </si>
  <si>
    <t>Hub lubrication</t>
  </si>
  <si>
    <t>Stop after blade bear.lubr.dr. BP50</t>
  </si>
  <si>
    <t>Stop after blade bear.lubr.dr. 90°</t>
  </si>
  <si>
    <t>Blade bear.lubr.dr. timeout</t>
  </si>
  <si>
    <t>Blade bear.lubr. failure</t>
  </si>
  <si>
    <t>Light icing (rotor bl. ice sensor)</t>
  </si>
  <si>
    <t>Icing (Rotor bl. ice sensor)</t>
  </si>
  <si>
    <t>Icing (rotor bl. ice sens. no eval.)</t>
  </si>
  <si>
    <t>Rotor blade ice sensor error</t>
  </si>
  <si>
    <t>Rot.bl. ice sens. com. err.</t>
  </si>
  <si>
    <t>Rot.bl. ice s. eval. not pos.</t>
  </si>
  <si>
    <t>Rot.bl. ice sens. not ready</t>
  </si>
  <si>
    <t>Rotor blade ice sensor bypass active</t>
  </si>
  <si>
    <t>Blade load sensors not RFO</t>
  </si>
  <si>
    <t>Blade load sensors zero offset indiv. Error</t>
  </si>
  <si>
    <t>Blade load sensors gain error</t>
  </si>
  <si>
    <t>Blade load sensors homog. error</t>
  </si>
  <si>
    <t>Blade load sensors strain diff. high</t>
  </si>
  <si>
    <t>Blade load sensors implaus.meas.val.</t>
  </si>
  <si>
    <t>Blade load sensors signal check</t>
  </si>
  <si>
    <t>Blade load sensors signal check error</t>
  </si>
  <si>
    <t>Rotor blade load sensor back-up mode</t>
  </si>
  <si>
    <t>Alarm - cont. blade load sensors back-up mode</t>
  </si>
  <si>
    <t>Stop - blade load sensors back-up mode</t>
  </si>
  <si>
    <t>Blade load sensors no signal activity</t>
  </si>
  <si>
    <t>Check blade bend.mom.</t>
  </si>
  <si>
    <t>Blade load sensors zero offset error</t>
  </si>
  <si>
    <t>Drive train oscillation Z level 0</t>
  </si>
  <si>
    <t>Drive train oscillation Z level 1</t>
  </si>
  <si>
    <t>WP4084#2 CH1 level 1</t>
  </si>
  <si>
    <t>Drive train oscillation Z level 2</t>
  </si>
  <si>
    <t>WP4084#2 CH1 level 2</t>
  </si>
  <si>
    <t>Drivetrain oscillations</t>
  </si>
  <si>
    <t>Max. drivetrain oscillations</t>
  </si>
  <si>
    <t>Drive train monitor level 1</t>
  </si>
  <si>
    <t>Drive train monitor level 2</t>
  </si>
  <si>
    <t>4-20mA drive train acceleration Z</t>
  </si>
  <si>
    <t>Acceleration detector drivetrain</t>
  </si>
  <si>
    <t>CMS drive train system error</t>
  </si>
  <si>
    <t>CMS drive train meas. val. ev.</t>
  </si>
  <si>
    <t>Comm.err. IEC client -&gt; CMS drive tr.</t>
  </si>
  <si>
    <t>Comm.err. IEC server &lt;- CMS drive tr.</t>
  </si>
  <si>
    <t>High temp. rotorbearing</t>
  </si>
  <si>
    <t>(R) bearing temp.</t>
  </si>
  <si>
    <t>Max. temp. rotorbearing</t>
  </si>
  <si>
    <t>(R) bear. temp. stop</t>
  </si>
  <si>
    <t>4-20mA rotor bear. temp.</t>
  </si>
  <si>
    <t>4-20mA rotor bear. temp. timeout</t>
  </si>
  <si>
    <t>Rotor bearing lubrication pump 1 overload</t>
  </si>
  <si>
    <t>Rotor bearing lubrication pump 2 overload</t>
  </si>
  <si>
    <t>Rotor bear. lubr.cont. 1 empty</t>
  </si>
  <si>
    <t>Rotor bear. lubr.cont. 2 empty</t>
  </si>
  <si>
    <t>Timeout fault rotor bear. lubr.</t>
  </si>
  <si>
    <t>Rotor bearing lubrication failure</t>
  </si>
  <si>
    <t>Rotor bearing lubric. man.op.</t>
  </si>
  <si>
    <t>Max. time rotor bear.lubr. 1</t>
  </si>
  <si>
    <t>Max. time rotor bear.lubr. 2</t>
  </si>
  <si>
    <t>Rotor locked: Stop</t>
  </si>
  <si>
    <t>Rotor locked</t>
  </si>
  <si>
    <t>Rotor lock - wind too strong</t>
  </si>
  <si>
    <t>Rotor lock 1 on</t>
  </si>
  <si>
    <t>Rotor lock 2 on</t>
  </si>
  <si>
    <t>Rotor lock - no storm position</t>
  </si>
  <si>
    <t>High gearbox oil pressure</t>
  </si>
  <si>
    <t>Gear oil press. high</t>
  </si>
  <si>
    <t>Low gearbox oil pressure</t>
  </si>
  <si>
    <t>Gear oil press. low</t>
  </si>
  <si>
    <t>4-20mA press. gearbox pump</t>
  </si>
  <si>
    <t>4-20mA press. gearbox inlet</t>
  </si>
  <si>
    <t>Error measuring pressure inlet gear</t>
  </si>
  <si>
    <t>Missing gear oil (low rpm)</t>
  </si>
  <si>
    <t>Missing gear oil (high rpm)</t>
  </si>
  <si>
    <t>Missing gear oil</t>
  </si>
  <si>
    <t>Gearbox warm-up stage</t>
  </si>
  <si>
    <t>Gear heating enabled</t>
  </si>
  <si>
    <t>Gearbox warmed up idling</t>
  </si>
  <si>
    <t>Timeout gearoil heating routine Active</t>
  </si>
  <si>
    <t>Manual operation fan gear</t>
  </si>
  <si>
    <t>Manual operation gear heating</t>
  </si>
  <si>
    <t>Manual operation gear oil pump</t>
  </si>
  <si>
    <t>High gear speed</t>
  </si>
  <si>
    <t>310</t>
  </si>
  <si>
    <t>Gear overspeed</t>
  </si>
  <si>
    <t>Maximum gear speed</t>
  </si>
  <si>
    <t>328</t>
  </si>
  <si>
    <t>Gear overspeed max.</t>
  </si>
  <si>
    <t>Implausible gear speed leap</t>
  </si>
  <si>
    <t>Disc filter adaption implausible</t>
  </si>
  <si>
    <t>Gearb.sp. SLC &lt;&gt; gearb.sp.</t>
  </si>
  <si>
    <t>Gear ratio param. implaus.</t>
  </si>
  <si>
    <t>High temp. gear bearing 1</t>
  </si>
  <si>
    <t>1323</t>
  </si>
  <si>
    <t>Gear bearing temp. 1</t>
  </si>
  <si>
    <t>Max. temp. gear bearing 1</t>
  </si>
  <si>
    <t>1324</t>
  </si>
  <si>
    <t>Gear bear.temp.1stop</t>
  </si>
  <si>
    <t>PT100 gear bearing 1 defect</t>
  </si>
  <si>
    <t>Error measuring temp. gear bearing 1</t>
  </si>
  <si>
    <t>High temp. gear bearing 2</t>
  </si>
  <si>
    <t>1325</t>
  </si>
  <si>
    <t>Gear bearing temp. 2</t>
  </si>
  <si>
    <t>Max. temp. gear bearing 2</t>
  </si>
  <si>
    <t>1326</t>
  </si>
  <si>
    <t>Gear bear.temp.2stop</t>
  </si>
  <si>
    <t>PT100 gear bearing 2 defect</t>
  </si>
  <si>
    <t>Error measuring temp. gear bearing 2</t>
  </si>
  <si>
    <t>Max. oilsump temperature</t>
  </si>
  <si>
    <t>1327</t>
  </si>
  <si>
    <t>Gear oil temp. high</t>
  </si>
  <si>
    <t>Oilsump temperature high</t>
  </si>
  <si>
    <t>Low gear oil temperature</t>
  </si>
  <si>
    <t>1328</t>
  </si>
  <si>
    <t>Gear oil temp. low</t>
  </si>
  <si>
    <t>PT100 gear oil sump defect</t>
  </si>
  <si>
    <t>Error measuring temp. gear oil sump</t>
  </si>
  <si>
    <t>PT100 inlet gear defect</t>
  </si>
  <si>
    <t>Oil temperature gearbox input high</t>
  </si>
  <si>
    <t>Max. oil temperature gearbox input</t>
  </si>
  <si>
    <t>Error measuring temp. inlet gear</t>
  </si>
  <si>
    <t>High temp. gear bearing 3</t>
  </si>
  <si>
    <t>Max. temp. gear bearing 3</t>
  </si>
  <si>
    <t>PT100 gear bearing 3 defect</t>
  </si>
  <si>
    <t>Error measuring temp. gear bearing 3</t>
  </si>
  <si>
    <t>High temp. gear bearing 4</t>
  </si>
  <si>
    <t>Max. temp. gear bearing 4</t>
  </si>
  <si>
    <t>PT100 gear bearing 4 defect</t>
  </si>
  <si>
    <t>Error measuring temp. gear bearing 4</t>
  </si>
  <si>
    <t>Overload gear oil pump</t>
  </si>
  <si>
    <t>1332</t>
  </si>
  <si>
    <t>Gear oil(P)therm.</t>
  </si>
  <si>
    <t>Overload gear heating</t>
  </si>
  <si>
    <t>920</t>
  </si>
  <si>
    <t>Gearheat.therm.relay</t>
  </si>
  <si>
    <t>Fault fan gear oil cooler 1</t>
  </si>
  <si>
    <t>Overload fan 1 gear oil cooler</t>
  </si>
  <si>
    <t>Overload fan 2 gear oil cooler</t>
  </si>
  <si>
    <t>Fault fan gear oil cooler 2</t>
  </si>
  <si>
    <t>Fault fan gear oil cooler 1+2</t>
  </si>
  <si>
    <t>Oil filter gear choked</t>
  </si>
  <si>
    <t>1339</t>
  </si>
  <si>
    <t>Gear oil fil.1 chok.</t>
  </si>
  <si>
    <t>4-20mA pressure diff. gear oil filter</t>
  </si>
  <si>
    <t>Error meas. press. diff. oil filter</t>
  </si>
  <si>
    <t>Particle sensor defect</t>
  </si>
  <si>
    <t>Particle Gear Alarm 10min</t>
  </si>
  <si>
    <t>Particle Gear Alarm 24h</t>
  </si>
  <si>
    <t>Particle Gear Alarm Total</t>
  </si>
  <si>
    <t>Check brake</t>
  </si>
  <si>
    <t>Brake pads warning</t>
  </si>
  <si>
    <t>Brake closed in operation</t>
  </si>
  <si>
    <t>1833</t>
  </si>
  <si>
    <t>Brake closed</t>
  </si>
  <si>
    <t>Timeout brake closed</t>
  </si>
  <si>
    <t>Impulse braking</t>
  </si>
  <si>
    <t>Permanent braking</t>
  </si>
  <si>
    <t>Additional braking</t>
  </si>
  <si>
    <t>Max. braking energy exceeded</t>
  </si>
  <si>
    <t>Temp. rot.br.pad implaus.</t>
  </si>
  <si>
    <t>Disc brake cooling down</t>
  </si>
  <si>
    <t>Temp. rot.br.pad high</t>
  </si>
  <si>
    <t>Max rot.br.pad temp. exceed.</t>
  </si>
  <si>
    <t>Dragging brake monitoring</t>
  </si>
  <si>
    <t>Temp. rot.br.pad high timeout</t>
  </si>
  <si>
    <t>Error measuring temp. rot.br.pad 1</t>
  </si>
  <si>
    <t>PT100 rot.br.pad 1 defect</t>
  </si>
  <si>
    <t>Error measuring temp. rot.br.pad 2</t>
  </si>
  <si>
    <t>PT100 rot.br.pad 2 defect</t>
  </si>
  <si>
    <t>0-10V error volt.buffer rot.br.</t>
  </si>
  <si>
    <t>Brake due to sudden sys.failure</t>
  </si>
  <si>
    <t>Implausible gen. speed leap</t>
  </si>
  <si>
    <t>Gen.speed analog&lt;&gt;gear.speed</t>
  </si>
  <si>
    <t>Gen.sp.analog &lt;&lt;&gt;&gt; gearb.sp.</t>
  </si>
  <si>
    <t>Gen. power derating act.</t>
  </si>
  <si>
    <t>Gen.speed pulse error</t>
  </si>
  <si>
    <t>Gen.speed voltage error</t>
  </si>
  <si>
    <t>Overload generator fan 1</t>
  </si>
  <si>
    <t>918</t>
  </si>
  <si>
    <t>Fan(G)ext.term.relay</t>
  </si>
  <si>
    <t>High temp. gen. bearing 1</t>
  </si>
  <si>
    <t>526</t>
  </si>
  <si>
    <t>(G) bearing 1 temp.</t>
  </si>
  <si>
    <t>Max. temp. gen. bearing 1</t>
  </si>
  <si>
    <t>527</t>
  </si>
  <si>
    <t>(G)bear.1 temp. stop</t>
  </si>
  <si>
    <t>PT100 gen. bearing 1 defect</t>
  </si>
  <si>
    <t>Error measuring temp. gen.bearing 1</t>
  </si>
  <si>
    <t>High temp. gen. bearing 2</t>
  </si>
  <si>
    <t>528</t>
  </si>
  <si>
    <t>(G) bearing 2 temp.</t>
  </si>
  <si>
    <t>Max. temp. gen. bearing 2</t>
  </si>
  <si>
    <t>529</t>
  </si>
  <si>
    <t>(G)bear.2 temp. stop</t>
  </si>
  <si>
    <t>PT100 gen. bearing 2 defect</t>
  </si>
  <si>
    <t>Error measuring temp. gen. bearing 2</t>
  </si>
  <si>
    <t>Overload generator fan 2</t>
  </si>
  <si>
    <t>936</t>
  </si>
  <si>
    <t>(G)fan 2.term. relay</t>
  </si>
  <si>
    <t>Overload generator fan 3</t>
  </si>
  <si>
    <t>Thermistor generator</t>
  </si>
  <si>
    <t>510</t>
  </si>
  <si>
    <t>Thermistor G1 stator</t>
  </si>
  <si>
    <t>PT100 stator temp. 2 defect</t>
  </si>
  <si>
    <t>Error measuring temp. 2 stator</t>
  </si>
  <si>
    <t>High stator temperature</t>
  </si>
  <si>
    <t>513</t>
  </si>
  <si>
    <t>G1 stator temp.</t>
  </si>
  <si>
    <t>High stator temperature 2</t>
  </si>
  <si>
    <t>Max. temp. stator</t>
  </si>
  <si>
    <t>514</t>
  </si>
  <si>
    <t>G1 stator temp. stop</t>
  </si>
  <si>
    <t>Max. temp. stator 2</t>
  </si>
  <si>
    <t>PT100 stator temp. defect</t>
  </si>
  <si>
    <t>Error measuring temp. stator</t>
  </si>
  <si>
    <t>Overload generator heating</t>
  </si>
  <si>
    <t>Overload gen. heating: stop</t>
  </si>
  <si>
    <t>Slipring cell temp. high</t>
  </si>
  <si>
    <t>2025</t>
  </si>
  <si>
    <t>(G) slipr.air temp</t>
  </si>
  <si>
    <t>Max. slip ring cell temp.</t>
  </si>
  <si>
    <t>2026</t>
  </si>
  <si>
    <t>(G) slipr.air stop</t>
  </si>
  <si>
    <t>PT100 slipring temp. defect</t>
  </si>
  <si>
    <t>Error meas. slip ring temp.</t>
  </si>
  <si>
    <t>P red. incr. gen. coolant temp.</t>
  </si>
  <si>
    <t>Gen. max. coolant temp.</t>
  </si>
  <si>
    <t>Generator power too high</t>
  </si>
  <si>
    <t>530</t>
  </si>
  <si>
    <t>(G) power too high</t>
  </si>
  <si>
    <t>Max. power peak</t>
  </si>
  <si>
    <t>550</t>
  </si>
  <si>
    <t>(G) peak power max.</t>
  </si>
  <si>
    <t>Service generator brushes</t>
  </si>
  <si>
    <t>554</t>
  </si>
  <si>
    <t>(G)Brushes worn</t>
  </si>
  <si>
    <t>Fault generator brushes</t>
  </si>
  <si>
    <t>Overload lubrication generator</t>
  </si>
  <si>
    <t>Fault gen. bearing lubrication</t>
  </si>
  <si>
    <t>Man. oper. gen. lubrication</t>
  </si>
  <si>
    <t>Timeout fault gen. lubrication</t>
  </si>
  <si>
    <t>Gen.lubr. self-protect. active</t>
  </si>
  <si>
    <t>Max. time generator bear.lubr.</t>
  </si>
  <si>
    <t>Generator bearing lubr. Container empty</t>
  </si>
  <si>
    <t>Manual operation generator heating</t>
  </si>
  <si>
    <t>Manual operation generator fan 1</t>
  </si>
  <si>
    <t>Manual operation generator fan 2</t>
  </si>
  <si>
    <t>Manual operation generator fan 3</t>
  </si>
  <si>
    <t>Lightning protection defect</t>
  </si>
  <si>
    <t>602</t>
  </si>
  <si>
    <t>Lightning prot. def.</t>
  </si>
  <si>
    <t>Frequency converter not ready</t>
  </si>
  <si>
    <t>1401</t>
  </si>
  <si>
    <t>Freq.conv. not ready</t>
  </si>
  <si>
    <t>Conv. fuse tripped</t>
  </si>
  <si>
    <t>Conv. comm.error</t>
  </si>
  <si>
    <t>Conv. SDO transm.error</t>
  </si>
  <si>
    <t>Chopper util. incr.</t>
  </si>
  <si>
    <t>Max. chopper util.</t>
  </si>
  <si>
    <t>Conv. warning</t>
  </si>
  <si>
    <t>Conv reset after grid restoration</t>
  </si>
  <si>
    <t>Freq. conv. speed window</t>
  </si>
  <si>
    <t>330</t>
  </si>
  <si>
    <t>Rpm &lt;&gt; window</t>
  </si>
  <si>
    <t>Conv. emerg.off type A</t>
  </si>
  <si>
    <t>Conv. emerg.off type B</t>
  </si>
  <si>
    <t>Conv. emerg.off type C</t>
  </si>
  <si>
    <t>Conv. emerg.off type D</t>
  </si>
  <si>
    <t>Conv. emerg.off type E</t>
  </si>
  <si>
    <t>Conv. emerg.off type F</t>
  </si>
  <si>
    <t>Frequency converter spare protection</t>
  </si>
  <si>
    <t>Error converter disconnection</t>
  </si>
  <si>
    <t>Converter disconnection implausible</t>
  </si>
  <si>
    <t>Max. negative active power</t>
  </si>
  <si>
    <t>Frequency converter error</t>
  </si>
  <si>
    <t>1409</t>
  </si>
  <si>
    <t>Freq. conv. error</t>
  </si>
  <si>
    <t>Frequency converter overspeed</t>
  </si>
  <si>
    <t>1411</t>
  </si>
  <si>
    <t>Freq.conv.overspeed</t>
  </si>
  <si>
    <t>Conv. underspeed</t>
  </si>
  <si>
    <t>Timeout ready for connection</t>
  </si>
  <si>
    <t>651</t>
  </si>
  <si>
    <t>Cut in 0_&gt;G1</t>
  </si>
  <si>
    <t>Timeout grid synchronisation</t>
  </si>
  <si>
    <t>1415</t>
  </si>
  <si>
    <t>Freq.conv. &lt;&gt; sync.</t>
  </si>
  <si>
    <t>Frequency converter operation range</t>
  </si>
  <si>
    <t>1416</t>
  </si>
  <si>
    <t>Freq.conv.&lt;&gt;workinga</t>
  </si>
  <si>
    <t>Limit conv. output act.power</t>
  </si>
  <si>
    <t>Cable overload</t>
  </si>
  <si>
    <t>1693</t>
  </si>
  <si>
    <t>P reduction power cord overl.</t>
  </si>
  <si>
    <t>Cable overload stop</t>
  </si>
  <si>
    <t>1694</t>
  </si>
  <si>
    <t>P reduction stator cable overl.</t>
  </si>
  <si>
    <t>Frequency converter temp. low</t>
  </si>
  <si>
    <t>1602</t>
  </si>
  <si>
    <t>Freq.conv.temp.low</t>
  </si>
  <si>
    <t>Bypass conv. heating mode</t>
  </si>
  <si>
    <t>Timeout converter temp. low</t>
  </si>
  <si>
    <t>Frequency converter load rejection</t>
  </si>
  <si>
    <t>1644</t>
  </si>
  <si>
    <t>Freq.conv.&lt;&gt;parallel</t>
  </si>
  <si>
    <t>Conv. load shedding (CAN)</t>
  </si>
  <si>
    <t>Reduced power converter</t>
  </si>
  <si>
    <t>1792</t>
  </si>
  <si>
    <t>[P] reduced conv.</t>
  </si>
  <si>
    <t>Timeout reduced power conv.</t>
  </si>
  <si>
    <t>Limit reactive power converter</t>
  </si>
  <si>
    <t>Timeout Q limit converter</t>
  </si>
  <si>
    <t>No power</t>
  </si>
  <si>
    <t>1688</t>
  </si>
  <si>
    <t>Converter power too high</t>
  </si>
  <si>
    <t>Converter power too low</t>
  </si>
  <si>
    <t>Converter torque &lt;&gt; setpoint</t>
  </si>
  <si>
    <t>1686</t>
  </si>
  <si>
    <t>Converter&lt;&gt;setpoint</t>
  </si>
  <si>
    <t>Calculated torque implausible</t>
  </si>
  <si>
    <t>Converter torque monitor level 0</t>
  </si>
  <si>
    <t>Converter torque monitor level 1</t>
  </si>
  <si>
    <t>Conv. COM mode active</t>
  </si>
  <si>
    <t>Conv. COM mode stop</t>
  </si>
  <si>
    <t>No pressure increase following pump start-up</t>
  </si>
  <si>
    <t>Timeout no pressure increase following pump start-up</t>
  </si>
  <si>
    <t>No temp. rise after heat.coolant on</t>
  </si>
  <si>
    <t>Pump cooling sys. (tower base) diff.press. Low</t>
  </si>
  <si>
    <t>Pump cooling sys. (tower base) diff.press. too low</t>
  </si>
  <si>
    <t>Pump cooling sys. (tower base) diff.press. High</t>
  </si>
  <si>
    <t>Pump cooling sys. (tower base) diff.press. too high</t>
  </si>
  <si>
    <t>Implaus. act. in conv.cooling system</t>
  </si>
  <si>
    <t>Fan 1 cool.sys. error</t>
  </si>
  <si>
    <t>Fan 2 cool.sys. error</t>
  </si>
  <si>
    <t>Fan 3 cool.sys. error</t>
  </si>
  <si>
    <t>Fan 4 cool.sys. error</t>
  </si>
  <si>
    <t>Coolant press. low</t>
  </si>
  <si>
    <t>Coolant press. too low</t>
  </si>
  <si>
    <t>Cool sys. press. switch tripped</t>
  </si>
  <si>
    <t>Coolant press. high (with pump on)</t>
  </si>
  <si>
    <t>Coolant press. too high (with pump on)</t>
  </si>
  <si>
    <t>Coolant press. high (with pump off)</t>
  </si>
  <si>
    <t>4-20mA coolant press.</t>
  </si>
  <si>
    <t>Pump coolant inlet press. 4-20mA</t>
  </si>
  <si>
    <t>Coolant temp. high</t>
  </si>
  <si>
    <t>P red. incr. conv. coolant temp.</t>
  </si>
  <si>
    <t>Coolant temp. too high</t>
  </si>
  <si>
    <t>Conv. max. coolant temp.</t>
  </si>
  <si>
    <t>4-20mA coolant temp.</t>
  </si>
  <si>
    <t>Cool.sys. pump man.oper.</t>
  </si>
  <si>
    <t>Heating coolant 1&amp;2 man.oper.</t>
  </si>
  <si>
    <t>Fans group 1&amp;2 cool.sys.man.oper.</t>
  </si>
  <si>
    <t>Heating fans 1-4 cool.sys.man.oper.</t>
  </si>
  <si>
    <t>Pump cooling sys. overload</t>
  </si>
  <si>
    <t>Coolant heating 1&amp;2 overload</t>
  </si>
  <si>
    <t>Heating overload fans 1- 4 cooling sys.</t>
  </si>
  <si>
    <t>UPS warning</t>
  </si>
  <si>
    <t>1762</t>
  </si>
  <si>
    <t>UPS Warning</t>
  </si>
  <si>
    <t>UPS error</t>
  </si>
  <si>
    <t>UPS buffer time too short</t>
  </si>
  <si>
    <t>UPS air conditioning faulty</t>
  </si>
  <si>
    <t>Grid loss auxiliary power</t>
  </si>
  <si>
    <t>Grid loss auxiliary power without grid loss net</t>
  </si>
  <si>
    <t>Grid loss without grid loss auxiliary power</t>
  </si>
  <si>
    <t>102</t>
  </si>
  <si>
    <t>Phase drop</t>
  </si>
  <si>
    <t>Grid disconnection for self-protection</t>
  </si>
  <si>
    <t>Timeout grid error</t>
  </si>
  <si>
    <t>Zero-seq. syst. volt. high</t>
  </si>
  <si>
    <t>High voltage - level 1</t>
  </si>
  <si>
    <t>110</t>
  </si>
  <si>
    <t>Voltage high</t>
  </si>
  <si>
    <t>High voltage - level 2</t>
  </si>
  <si>
    <t>Min. voltage cut in</t>
  </si>
  <si>
    <t>Max. voltage cut in</t>
  </si>
  <si>
    <t>Repeat voltage dip</t>
  </si>
  <si>
    <t>Low voltage - level 1</t>
  </si>
  <si>
    <t>111</t>
  </si>
  <si>
    <t>Voltage low</t>
  </si>
  <si>
    <t>Low voltage - level 2</t>
  </si>
  <si>
    <t>Transient fault</t>
  </si>
  <si>
    <t>128</t>
  </si>
  <si>
    <t>Transient grid error</t>
  </si>
  <si>
    <t>High frequency - level 1</t>
  </si>
  <si>
    <t>120</t>
  </si>
  <si>
    <t>Frequency high</t>
  </si>
  <si>
    <t>High frequency - level 2</t>
  </si>
  <si>
    <t>Max. frequency cut in</t>
  </si>
  <si>
    <t>High frequency - P reduction</t>
  </si>
  <si>
    <t>Time limit high freq. - P red.</t>
  </si>
  <si>
    <t>Low frequency - Level 1</t>
  </si>
  <si>
    <t>121</t>
  </si>
  <si>
    <t>Frequency low</t>
  </si>
  <si>
    <t>Low frequency - level 2</t>
  </si>
  <si>
    <t>Overfrequency</t>
  </si>
  <si>
    <t>134</t>
  </si>
  <si>
    <t>Critical frequency</t>
  </si>
  <si>
    <t>Phase angle</t>
  </si>
  <si>
    <t>130</t>
  </si>
  <si>
    <t>L1-L2-L3 12</t>
  </si>
  <si>
    <t>Current asymmetry</t>
  </si>
  <si>
    <t>601</t>
  </si>
  <si>
    <t>Timeout max. freq. cut in</t>
  </si>
  <si>
    <t>Grid error</t>
  </si>
  <si>
    <t>156</t>
  </si>
  <si>
    <t>Low frequency - level 3</t>
  </si>
  <si>
    <t>Low frequency - level 4</t>
  </si>
  <si>
    <t>Low frequency - level 5</t>
  </si>
  <si>
    <t>Low frequency - level 6</t>
  </si>
  <si>
    <t>Minimum grid frequency</t>
  </si>
  <si>
    <t>Min. frequency cut in</t>
  </si>
  <si>
    <t>Underfrequency</t>
  </si>
  <si>
    <t>High frequency - level 3</t>
  </si>
  <si>
    <t>High frequency - level 4</t>
  </si>
  <si>
    <t>High frequency - level 5</t>
  </si>
  <si>
    <t>High frequency - level 6</t>
  </si>
  <si>
    <t>Maximum grid frequency</t>
  </si>
  <si>
    <t>P reduction frequency prot.</t>
  </si>
  <si>
    <t>Overvoltage</t>
  </si>
  <si>
    <t>Transient voltage peak</t>
  </si>
  <si>
    <t>Repeat transient voltage peak</t>
  </si>
  <si>
    <t>Grid recovery</t>
  </si>
  <si>
    <t>No Connection permission</t>
  </si>
  <si>
    <t>Grid parameters implausible</t>
  </si>
  <si>
    <t>VQ protection</t>
  </si>
  <si>
    <t>VQ protection stop</t>
  </si>
  <si>
    <t>Dynamic frequency control</t>
  </si>
  <si>
    <t>End additional power</t>
  </si>
  <si>
    <t>Grid measurement error</t>
  </si>
  <si>
    <t>Initialization grid meas.</t>
  </si>
  <si>
    <t>Circuit breaker</t>
  </si>
  <si>
    <t>600</t>
  </si>
  <si>
    <t>Main switch off</t>
  </si>
  <si>
    <t>MVS Trafo CB off</t>
  </si>
  <si>
    <t>P reduction current limitation</t>
  </si>
  <si>
    <t>MVS Trafo CB tripped</t>
  </si>
  <si>
    <t>Max. transformer temp.</t>
  </si>
  <si>
    <t>2022</t>
  </si>
  <si>
    <t>Trafo temp.stop</t>
  </si>
  <si>
    <t>MVS Trafo CB remote off</t>
  </si>
  <si>
    <t>P reduction apparent power limitation</t>
  </si>
  <si>
    <t>Medium voltage off</t>
  </si>
  <si>
    <t>2023</t>
  </si>
  <si>
    <t>Medium Voltage off</t>
  </si>
  <si>
    <t>MVS Transf. Disc. off</t>
  </si>
  <si>
    <t>MVS Transf. ES on</t>
  </si>
  <si>
    <t>MSS Protection system error</t>
  </si>
  <si>
    <t>SF6 boiler pressure too low</t>
  </si>
  <si>
    <t>1695</t>
  </si>
  <si>
    <t>SF6-Pressure low</t>
  </si>
  <si>
    <t>Spare potection inactive</t>
  </si>
  <si>
    <t>LV HRC fuses triggered</t>
  </si>
  <si>
    <t>Lightning protect. transf. Defect</t>
  </si>
  <si>
    <t>PT100 transf. int. defect.</t>
  </si>
  <si>
    <t>Error meas. temp. transf.int.</t>
  </si>
  <si>
    <t>Max. transformer temp. PT100</t>
  </si>
  <si>
    <t>Timeout max. transf. temp.</t>
  </si>
  <si>
    <t>Max. temp. supply transformer</t>
  </si>
  <si>
    <t>Max. temp. supply transf. grid disconn.</t>
  </si>
  <si>
    <t>Transf. oil pressure too high</t>
  </si>
  <si>
    <t>Transf. fill level too low</t>
  </si>
  <si>
    <t>PT100 supply transformer def.</t>
  </si>
  <si>
    <t>Error measuring PT100 supply transf.</t>
  </si>
  <si>
    <t>Aux. power operation error</t>
  </si>
  <si>
    <t>Max. overv. aux. power ctrl.</t>
  </si>
  <si>
    <t>Max. temp. aux. transf. nacelle</t>
  </si>
  <si>
    <t>PT100 aux. transformer nacelle def.</t>
  </si>
  <si>
    <t>Error meas. nacelle aux. transf.</t>
  </si>
  <si>
    <t>Transformer pump overload</t>
  </si>
  <si>
    <t>Transf. pump thermist. tripped</t>
  </si>
  <si>
    <t>Transf. pump man.oper.</t>
  </si>
  <si>
    <t>High temperature nacelle</t>
  </si>
  <si>
    <t>30</t>
  </si>
  <si>
    <t>Nacelle temp.</t>
  </si>
  <si>
    <t>Max. temperature nacelle</t>
  </si>
  <si>
    <t>31</t>
  </si>
  <si>
    <t>Nacelle temp. stop</t>
  </si>
  <si>
    <t>4-20mA inside temp. nacelle</t>
  </si>
  <si>
    <t>Rel. air hum. nacelle inside high (in operation)</t>
  </si>
  <si>
    <t>Rel. air hum. nacelle inside too high (in operation)</t>
  </si>
  <si>
    <t>Rel. air hum. nacelle inside too high</t>
  </si>
  <si>
    <t>4-20mA rel. air humidity nacelle int.</t>
  </si>
  <si>
    <t>4-20mA rel. air humidity tower base int.</t>
  </si>
  <si>
    <t>Rel. air hum. tower base inside high (in operation)</t>
  </si>
  <si>
    <t>Rel. air hum. tower base inside too high</t>
  </si>
  <si>
    <t>Rel. air hum. tower base inside too high (in operation)</t>
  </si>
  <si>
    <t>Vibration</t>
  </si>
  <si>
    <t>5</t>
  </si>
  <si>
    <t>Vibration sensor error</t>
  </si>
  <si>
    <t>Fault fire alarm system</t>
  </si>
  <si>
    <t>Fire warning</t>
  </si>
  <si>
    <t>2231</t>
  </si>
  <si>
    <t>Smoke warning</t>
  </si>
  <si>
    <t>Fire alarm</t>
  </si>
  <si>
    <t>Fire shut down</t>
  </si>
  <si>
    <t>2232</t>
  </si>
  <si>
    <t>Smole stop</t>
  </si>
  <si>
    <t>Service fire alarm system</t>
  </si>
  <si>
    <t>Fire alarm system inactive</t>
  </si>
  <si>
    <t>Smoke warning nacelle</t>
  </si>
  <si>
    <t>Smoke warning nacelle stop</t>
  </si>
  <si>
    <t>Smoke warning tower base</t>
  </si>
  <si>
    <t>Smoke warning tow. base stop</t>
  </si>
  <si>
    <t>Grid disc. smoke warning</t>
  </si>
  <si>
    <t>Manual operation nacelle fan</t>
  </si>
  <si>
    <t>Failure nacelle fan</t>
  </si>
  <si>
    <t>Overload nacelle fan</t>
  </si>
  <si>
    <t>Dry mode nacelle</t>
  </si>
  <si>
    <t>Manual operation rotor hub fan</t>
  </si>
  <si>
    <t>Failure rotor hub fan</t>
  </si>
  <si>
    <t>Overload rotor hub fan</t>
  </si>
  <si>
    <t>Manual operation cooling pump</t>
  </si>
  <si>
    <t>Failure cooling pump</t>
  </si>
  <si>
    <t>Overload cooling pump</t>
  </si>
  <si>
    <t>Pressure coolant nacelle high</t>
  </si>
  <si>
    <t>Pressure difference cooling pump (nacelle) low</t>
  </si>
  <si>
    <t>Coolant pump diff.press. (nacelle) too low</t>
  </si>
  <si>
    <t>Coolant pump diff.press. (nacelle) high</t>
  </si>
  <si>
    <t>Coolant pump diff.press. (nacelle) too high</t>
  </si>
  <si>
    <t>Error meas. pressure coolant nacelle</t>
  </si>
  <si>
    <t>Signal Pressure coolant nacelle disturbed</t>
  </si>
  <si>
    <t>Error meas. coolant press nacelle pump inlet</t>
  </si>
  <si>
    <t>Signal Pressure coolant nacelle pump inlet disturbed</t>
  </si>
  <si>
    <t>Error meas. temperature coolant nacelle cooler</t>
  </si>
  <si>
    <t>Signal Temperature coolant nacelle cooler disturbed</t>
  </si>
  <si>
    <t>Error meas. temperature coolant generator</t>
  </si>
  <si>
    <t>Signal Temperature coolant generator disturbed</t>
  </si>
  <si>
    <t>Error meas. temperature coolant gearbox</t>
  </si>
  <si>
    <t>Signal Temperature coolant gearbox disturbed</t>
  </si>
  <si>
    <t>Tower resonance</t>
  </si>
  <si>
    <t>205</t>
  </si>
  <si>
    <t>Tower resonance time</t>
  </si>
  <si>
    <t>Nat. tower freq. implausible</t>
  </si>
  <si>
    <t>Nat. tower freq. calc. imp.</t>
  </si>
  <si>
    <t>Tower oscillation Y level 1</t>
  </si>
  <si>
    <t>1539</t>
  </si>
  <si>
    <t>WP4084#1 CH1 level 1</t>
  </si>
  <si>
    <t>Tower oscillation Y level 1 standst.</t>
  </si>
  <si>
    <t>Tower oscillation X level 1</t>
  </si>
  <si>
    <t>1555</t>
  </si>
  <si>
    <t>WP4084#1 CH2 level 1</t>
  </si>
  <si>
    <t>Tower oscillation X level 1 standst.</t>
  </si>
  <si>
    <t>Tower oscillation Y level 2</t>
  </si>
  <si>
    <t>1556</t>
  </si>
  <si>
    <t>WP4084#1 CH1 level 2</t>
  </si>
  <si>
    <t>Tower oscillation Y level 2 standst.</t>
  </si>
  <si>
    <t>Tower oscillation Y level 3</t>
  </si>
  <si>
    <t>Tower oscillation X level 2</t>
  </si>
  <si>
    <t>1557</t>
  </si>
  <si>
    <t>WP4084#1 CH2 level 2</t>
  </si>
  <si>
    <t>Tower oscillation X level 2 standst.</t>
  </si>
  <si>
    <t>Tower oscillation X level 3</t>
  </si>
  <si>
    <t>Tower accel. difference</t>
  </si>
  <si>
    <t>System fault accel. sensor 1</t>
  </si>
  <si>
    <t>Oscil.sensor 1: check firmware</t>
  </si>
  <si>
    <t>Oscil.sensor 2: check firmware</t>
  </si>
  <si>
    <t>Oscill. encoder tower (BP act.)</t>
  </si>
  <si>
    <t>4-20mA tower acceleration Y</t>
  </si>
  <si>
    <t>4-20mA tower acceleration X</t>
  </si>
  <si>
    <t>Oscillation encoder tower</t>
  </si>
  <si>
    <t>Oscillation encoder TwC</t>
  </si>
  <si>
    <t>PT100 base box temp. defect</t>
  </si>
  <si>
    <t>Base box temperature high</t>
  </si>
  <si>
    <t>Base box temperature low</t>
  </si>
  <si>
    <t>Error measuring temp. tower base box</t>
  </si>
  <si>
    <t>Heating/fan base box faulty</t>
  </si>
  <si>
    <t>Tower distrib. cabinet def.</t>
  </si>
  <si>
    <t>Max. base box temp.</t>
  </si>
  <si>
    <t>PT100 temp. tower base defective</t>
  </si>
  <si>
    <t>Tower base temp. impermissible</t>
  </si>
  <si>
    <t>4-20mA tower accel. Y2 (TwC)</t>
  </si>
  <si>
    <t>4-20mA tower accel. X2 (TwC)</t>
  </si>
  <si>
    <t>Failure tower fan</t>
  </si>
  <si>
    <t>Manual operation tower fan</t>
  </si>
  <si>
    <t>Tower fan overload</t>
  </si>
  <si>
    <t>Drying mode tower base</t>
  </si>
  <si>
    <t>Persons in the tower base</t>
  </si>
  <si>
    <t>Tower door opened</t>
  </si>
  <si>
    <t>Accel.sensor XF/YF comm.error</t>
  </si>
  <si>
    <t>Accel.sensor XF/YF system error</t>
  </si>
  <si>
    <t>Tower oscillation YF</t>
  </si>
  <si>
    <t>Tower oscillation XF</t>
  </si>
  <si>
    <t>Breakdown obstacle light</t>
  </si>
  <si>
    <t>1561</t>
  </si>
  <si>
    <t>Flight warn.ligh.out</t>
  </si>
  <si>
    <t>Breakdown low intensity obstacle light</t>
  </si>
  <si>
    <t>Failure visibility measuring</t>
  </si>
  <si>
    <t>Error no. visibility meas. devices</t>
  </si>
  <si>
    <t>Service obstacle light</t>
  </si>
  <si>
    <t>1569</t>
  </si>
  <si>
    <t>Flight warn.ligh.def</t>
  </si>
  <si>
    <t>High hydraulic pressure</t>
  </si>
  <si>
    <t>1223</t>
  </si>
  <si>
    <t>(H)sys. press. high</t>
  </si>
  <si>
    <t>Hydraulic system</t>
  </si>
  <si>
    <t>High hydr. press. flush. mode</t>
  </si>
  <si>
    <t>Rot.br. press. high</t>
  </si>
  <si>
    <t>Max. rot.br. press.</t>
  </si>
  <si>
    <t>Low hydraulic pressure</t>
  </si>
  <si>
    <t>1224</t>
  </si>
  <si>
    <t>(H)sys. press. low</t>
  </si>
  <si>
    <t>Rot.br. press. low</t>
  </si>
  <si>
    <t>Drain valve (MVB) test fail</t>
  </si>
  <si>
    <t>4-20mA hydraulic pressure</t>
  </si>
  <si>
    <t>4-20mA rot.br. press.</t>
  </si>
  <si>
    <t>Low hydraulic oil level</t>
  </si>
  <si>
    <t>1201</t>
  </si>
  <si>
    <t>(H) oil level low</t>
  </si>
  <si>
    <t>Overload hydraulic pump</t>
  </si>
  <si>
    <t>1207</t>
  </si>
  <si>
    <t>(H)motor therm.relay</t>
  </si>
  <si>
    <t>Max. operation time hydraulic</t>
  </si>
  <si>
    <t>1213</t>
  </si>
  <si>
    <t>(H) oper.time &gt; max.</t>
  </si>
  <si>
    <t>Min. operation time hydraulic</t>
  </si>
  <si>
    <t>1214</t>
  </si>
  <si>
    <t>(H) oper.time &lt; min.</t>
  </si>
  <si>
    <t>Pressure drop hydraulic sys.</t>
  </si>
  <si>
    <t>Manual operation hydraulic pump</t>
  </si>
  <si>
    <t>Hydraulic oil flushing operation</t>
  </si>
  <si>
    <t>Manual op. hydr. oil flushing</t>
  </si>
  <si>
    <t>Overload electr. yaw brake</t>
  </si>
  <si>
    <t>747</t>
  </si>
  <si>
    <t>Yaw(B) therm. relay</t>
  </si>
  <si>
    <t>Yaw system</t>
  </si>
  <si>
    <t>Overload yaw motors group 1</t>
  </si>
  <si>
    <t>Overload yaw motors group 2</t>
  </si>
  <si>
    <t>Max. time yaw bear.lubr.</t>
  </si>
  <si>
    <t>Overload yaw lubr. pump</t>
  </si>
  <si>
    <t>Yaw bearing lubric. man.op.</t>
  </si>
  <si>
    <t>Timeout fault yaw lubrication</t>
  </si>
  <si>
    <t>Error yaw lubr. pump (no ext. press. build-up)</t>
  </si>
  <si>
    <t>Error yaw lubr. pump (no ext. press. red.)</t>
  </si>
  <si>
    <t>Yaw lubr. container empty</t>
  </si>
  <si>
    <t>High yaw motor current</t>
  </si>
  <si>
    <t>Easy yaw</t>
  </si>
  <si>
    <t>High yaw load</t>
  </si>
  <si>
    <t>Rotating direction yaw</t>
  </si>
  <si>
    <t>742</t>
  </si>
  <si>
    <t>Yaw sensor A/B</t>
  </si>
  <si>
    <t>Yaw velocity too low</t>
  </si>
  <si>
    <t>Yaw sensor A defect</t>
  </si>
  <si>
    <t>Yaw sensor B defect</t>
  </si>
  <si>
    <t>Uncontrolled yaw movement</t>
  </si>
  <si>
    <t>Yaw speed high</t>
  </si>
  <si>
    <t>Cable autounwind</t>
  </si>
  <si>
    <t>715</t>
  </si>
  <si>
    <t>Max. cable twistangle</t>
  </si>
  <si>
    <t>722</t>
  </si>
  <si>
    <t>Cable twisted</t>
  </si>
  <si>
    <t>Yaw error</t>
  </si>
  <si>
    <t>700</t>
  </si>
  <si>
    <t>Error by yawing</t>
  </si>
  <si>
    <t>Check nacelle position!</t>
  </si>
  <si>
    <t>777</t>
  </si>
  <si>
    <t>Check nacelle pos.</t>
  </si>
  <si>
    <t>Error nacelle pos. Load Man.</t>
  </si>
  <si>
    <t>Untwisting sensor test</t>
  </si>
  <si>
    <t>Nacelle position sensor fault</t>
  </si>
  <si>
    <t>Manual yaw brake</t>
  </si>
  <si>
    <t>Manual yaw</t>
  </si>
  <si>
    <t>Manual yaw via pushbutton</t>
  </si>
  <si>
    <t>Tower referencing act.</t>
  </si>
  <si>
    <t>Yaw current par. implausible</t>
  </si>
  <si>
    <t>4-20mA yaw current sensor</t>
  </si>
  <si>
    <t>Yaw park pos. in case of icing</t>
  </si>
  <si>
    <t>Wind.sp. diff. level 1</t>
  </si>
  <si>
    <t>Wind.sp. diff. level 2</t>
  </si>
  <si>
    <t>Dev. wind meas./est.</t>
  </si>
  <si>
    <t>Anemometer 1 defect</t>
  </si>
  <si>
    <t>224</t>
  </si>
  <si>
    <t>Wind gauge R out</t>
  </si>
  <si>
    <t>Reboot anemometer 1</t>
  </si>
  <si>
    <t>Comm.err. IEC server -&gt; Shadow Mgmt. Unit</t>
  </si>
  <si>
    <t>Man. oper. meteorology heating</t>
  </si>
  <si>
    <t>Task runtime failure 1ms</t>
  </si>
  <si>
    <t>PLC system</t>
  </si>
  <si>
    <t>Task runtime failure 5ms</t>
  </si>
  <si>
    <t>Task runtime failure 10 ms</t>
  </si>
  <si>
    <t>Task runtime failure grid measuring</t>
  </si>
  <si>
    <t>Division by zero</t>
  </si>
  <si>
    <t>39</t>
  </si>
  <si>
    <t>Reboot necessary after update</t>
  </si>
  <si>
    <t>Unexpected reboot</t>
  </si>
  <si>
    <t>Parameter unreadable</t>
  </si>
  <si>
    <t>40</t>
  </si>
  <si>
    <t>Parameter crash</t>
  </si>
  <si>
    <t>Loading parameters</t>
  </si>
  <si>
    <t>Manual snapshot</t>
  </si>
  <si>
    <t>Alarm call test</t>
  </si>
  <si>
    <t>38</t>
  </si>
  <si>
    <t>Cond. snapshot</t>
  </si>
  <si>
    <t>Parameter outside limits</t>
  </si>
  <si>
    <t>Parameter outside limits stop</t>
  </si>
  <si>
    <t>Parameter update active</t>
  </si>
  <si>
    <t>Unsafe parametrization</t>
  </si>
  <si>
    <t>License error</t>
  </si>
  <si>
    <t>Runtime error</t>
  </si>
  <si>
    <t>Software exception error</t>
  </si>
  <si>
    <t>File transfer error</t>
  </si>
  <si>
    <t>Controller flags implausible</t>
  </si>
  <si>
    <t>Controller parameter setting implausible</t>
  </si>
  <si>
    <t>Controller feed forward function reduced 50%</t>
  </si>
  <si>
    <t>Controller feed forward function deactivated</t>
  </si>
  <si>
    <t>Set point above rated speed</t>
  </si>
  <si>
    <t>PT100 top box defect</t>
  </si>
  <si>
    <t>P red. incr. top box temp.</t>
  </si>
  <si>
    <t>Top box temperature high</t>
  </si>
  <si>
    <t>Top box temperature low</t>
  </si>
  <si>
    <t>Error meas. top box temp.</t>
  </si>
  <si>
    <t>Heating/fan top box faulty</t>
  </si>
  <si>
    <t>Fuses overload</t>
  </si>
  <si>
    <t>Max. top box temp</t>
  </si>
  <si>
    <t>Comm. error switch top box</t>
  </si>
  <si>
    <t>Comm. error base box switch</t>
  </si>
  <si>
    <t>IEC interface read requests</t>
  </si>
  <si>
    <t>Manual stop on site - maint. Required</t>
  </si>
  <si>
    <t>HC/WTC comm. version conflict</t>
  </si>
  <si>
    <t>Check time synchronization</t>
  </si>
  <si>
    <t>Time sync. failed (SNTP error)</t>
  </si>
  <si>
    <t>mconfig.ini check failed</t>
  </si>
  <si>
    <t>TwC algorithm implausible</t>
  </si>
  <si>
    <t>New initialization rotor pos.</t>
  </si>
  <si>
    <t>High CPU temperature</t>
  </si>
  <si>
    <t>Max. temperature CPU</t>
  </si>
  <si>
    <t>43</t>
  </si>
  <si>
    <t>Internal temp. high</t>
  </si>
  <si>
    <t>CPU Failure RTC</t>
  </si>
  <si>
    <t>2122</t>
  </si>
  <si>
    <t>Time adjust. error</t>
  </si>
  <si>
    <t>CPU NVRAM battery</t>
  </si>
  <si>
    <t>42</t>
  </si>
  <si>
    <t>Internal battery low</t>
  </si>
  <si>
    <t>CPU memory error</t>
  </si>
  <si>
    <t>1725</t>
  </si>
  <si>
    <t>WP3100 Watchdog</t>
  </si>
  <si>
    <t>PLC hardware error</t>
  </si>
  <si>
    <t>CAN bus module firmware</t>
  </si>
  <si>
    <t>Profinet communication (nacelle cool.sys.) disrupted</t>
  </si>
  <si>
    <t>Firmware update required</t>
  </si>
  <si>
    <t>Firmware update failed</t>
  </si>
  <si>
    <t>Park master stop</t>
  </si>
  <si>
    <t>99</t>
  </si>
  <si>
    <t>Parkmasterstop</t>
  </si>
  <si>
    <t>Slave tripping</t>
  </si>
  <si>
    <t>Emer. power op. active</t>
  </si>
  <si>
    <t>Comm. failure FDM all clients</t>
  </si>
  <si>
    <t>1007</t>
  </si>
  <si>
    <t>No park communica.</t>
  </si>
  <si>
    <t>Parkmaster operation failed</t>
  </si>
  <si>
    <t>PMU snapshot</t>
  </si>
  <si>
    <t>Icing (farm)</t>
  </si>
  <si>
    <t>Comm. failure FPM</t>
  </si>
  <si>
    <t>Comm. failure FPM: stop</t>
  </si>
  <si>
    <t>No assignment to a PMU</t>
  </si>
  <si>
    <t>Fallback setpoints active</t>
  </si>
  <si>
    <t>IP duplicate in WF network</t>
  </si>
  <si>
    <t>BCP master with same seg.no.</t>
  </si>
  <si>
    <t>P output externally reduced</t>
  </si>
  <si>
    <t>1793</t>
  </si>
  <si>
    <t>[P] reduced EU</t>
  </si>
  <si>
    <t>P limit. extern. IEC</t>
  </si>
  <si>
    <t>dU limit. extern. IEC</t>
  </si>
  <si>
    <t>Stop ext. prot.dev.</t>
  </si>
  <si>
    <t>Fallback P limit. failure IEC</t>
  </si>
  <si>
    <t>IEC failure: stop</t>
  </si>
  <si>
    <t>Fallback dU limit. failure IEC</t>
  </si>
  <si>
    <t>Client failure</t>
  </si>
  <si>
    <t>Externally stopped</t>
  </si>
  <si>
    <t>135</t>
  </si>
  <si>
    <t>EU-stop</t>
  </si>
  <si>
    <t>External stop IEC</t>
  </si>
  <si>
    <t>MVS grid disconn. off</t>
  </si>
  <si>
    <t>MVS grid ES on</t>
  </si>
  <si>
    <t>MVS cable outlet 1 disconn. off</t>
  </si>
  <si>
    <t>MVS cable outlet 1 ES on</t>
  </si>
  <si>
    <t>MVS cable outlet 2 disconn. off</t>
  </si>
  <si>
    <t>MVS cable outlet 2 ES on</t>
  </si>
  <si>
    <t>Hot air de-icing positioning</t>
  </si>
  <si>
    <t>Ending hot air de-icing</t>
  </si>
  <si>
    <t>HAD man. ice prevention</t>
  </si>
  <si>
    <t>HAD ice prevention</t>
  </si>
  <si>
    <t>Hot air de-icing active</t>
  </si>
  <si>
    <t>HAD semi-aut. op.</t>
  </si>
  <si>
    <t>HAD motor prot. fan OFF</t>
  </si>
  <si>
    <t>HAD motor prot. heat.reg. OFF</t>
  </si>
  <si>
    <t>HAD motor prot. heat.reg. A1</t>
  </si>
  <si>
    <t>HAD motor prot. heat.reg. A2</t>
  </si>
  <si>
    <t>HAD motor prot. heat.reg. A3</t>
  </si>
  <si>
    <t>HAD outside temp. de-icing too High</t>
  </si>
  <si>
    <t>HAD outside temp. de-icing too Low</t>
  </si>
  <si>
    <t>HAD outside temp. ice prev. too High</t>
  </si>
  <si>
    <t>HAD outside temp. ice prev. too low</t>
  </si>
  <si>
    <t>HAD overtemp. relay</t>
  </si>
  <si>
    <t>HAD overtemp. flow</t>
  </si>
  <si>
    <t>-- --</t>
  </si>
  <si>
    <t>HAD overtemp. control box</t>
  </si>
  <si>
    <t>HAD overtemp. heating</t>
  </si>
  <si>
    <t>HAD temp. sensor drift A1</t>
  </si>
  <si>
    <t>temp. sensor error</t>
  </si>
  <si>
    <t>rotor pos. sensor error</t>
  </si>
  <si>
    <t>error HFU contact. A1</t>
  </si>
  <si>
    <t>error HFU contact. A2</t>
  </si>
  <si>
    <t>error HFU contact. A3</t>
  </si>
  <si>
    <t>error overtemp. Relay</t>
  </si>
  <si>
    <t>motor prot. fan A1</t>
  </si>
  <si>
    <t>motor prot. fan A2</t>
  </si>
  <si>
    <t>motor prot. fan A3</t>
  </si>
  <si>
    <t>de-icing implausible</t>
  </si>
  <si>
    <t>communication error</t>
  </si>
  <si>
    <t>comm.version error</t>
  </si>
  <si>
    <t>rotor pos. implausible</t>
  </si>
  <si>
    <t>timeout positioning</t>
  </si>
  <si>
    <t>timeout de-icing A1</t>
  </si>
  <si>
    <t>timeout de-icing A2</t>
  </si>
  <si>
    <t>timeout de-icing A3</t>
  </si>
  <si>
    <t>max. CPU temp.</t>
  </si>
  <si>
    <t>CPU error RTC</t>
  </si>
  <si>
    <t>division by zero</t>
  </si>
  <si>
    <t>prog.runtime error 10ms</t>
  </si>
  <si>
    <t>Manual Stop</t>
  </si>
  <si>
    <t>Control Panel</t>
  </si>
  <si>
    <t>CE100002</t>
  </si>
  <si>
    <t>Major BD - Blade</t>
  </si>
  <si>
    <t>Blade</t>
  </si>
  <si>
    <t>CE100003</t>
  </si>
  <si>
    <t>Major BD - Transformer</t>
  </si>
  <si>
    <t>Transformer</t>
  </si>
  <si>
    <t>CE100004</t>
  </si>
  <si>
    <t>Major BD - Generator</t>
  </si>
  <si>
    <t>CE100005</t>
  </si>
  <si>
    <t>Major BD - Gearbox</t>
  </si>
  <si>
    <t>Gearbox</t>
  </si>
  <si>
    <t>CE100006</t>
  </si>
  <si>
    <t>Major BD - Main Bearing</t>
  </si>
  <si>
    <t>Main Bearing</t>
  </si>
  <si>
    <t>CE100007</t>
  </si>
  <si>
    <t>Transmission Line Related work</t>
  </si>
  <si>
    <t>Transmission System</t>
  </si>
  <si>
    <t>CE100008</t>
  </si>
  <si>
    <t>General Work Stoppage</t>
  </si>
  <si>
    <t>General Work</t>
  </si>
  <si>
    <t>CE100009</t>
  </si>
  <si>
    <t>Major BD - Power Cable</t>
  </si>
  <si>
    <t>Power Cable</t>
  </si>
  <si>
    <t>CE100011</t>
  </si>
  <si>
    <t>Major BD - DFIG</t>
  </si>
  <si>
    <t>DFIG</t>
  </si>
  <si>
    <t>CE100012</t>
  </si>
  <si>
    <t>Major BD - Foundation</t>
  </si>
  <si>
    <t>Foundation</t>
  </si>
  <si>
    <t>CE100013</t>
  </si>
  <si>
    <t>Theft</t>
  </si>
  <si>
    <t>CE100010</t>
  </si>
  <si>
    <t>Manual Stop - Preventive Maintenance Activity</t>
  </si>
  <si>
    <t>Preventive Maintenance</t>
  </si>
  <si>
    <t>CE100014</t>
  </si>
  <si>
    <t>Manual Stop - Audit</t>
  </si>
  <si>
    <t>Audit</t>
  </si>
  <si>
    <t>CE100015</t>
  </si>
  <si>
    <t>Manual Stop - Safety Related</t>
  </si>
  <si>
    <t>Safety</t>
  </si>
  <si>
    <t>CE100016</t>
  </si>
  <si>
    <t>Manual Stop - Blade Cleaning</t>
  </si>
  <si>
    <t>CE100017</t>
  </si>
  <si>
    <t>UPS breakdown</t>
  </si>
  <si>
    <t>Pump cooling sys. (tower base) diff.press low</t>
  </si>
  <si>
    <t>4-20mA anemometer 1</t>
  </si>
  <si>
    <t>Anemometer 2 defect</t>
  </si>
  <si>
    <t>Reboot anemometer 2</t>
  </si>
  <si>
    <t>4-20mA anemometer 2</t>
  </si>
  <si>
    <t>Anemometer 3 defect</t>
  </si>
  <si>
    <t>4-20mA anemometer 3</t>
  </si>
  <si>
    <t>Anemometer defect</t>
  </si>
  <si>
    <t>Icing (anemometer)</t>
  </si>
  <si>
    <t>Information</t>
  </si>
  <si>
    <t>No ice detection available</t>
  </si>
  <si>
    <t>Reset of icing st. cd. possible</t>
  </si>
  <si>
    <t>Ice anemometer de-icing</t>
  </si>
  <si>
    <t>Wind.dir. diff. level 1</t>
  </si>
  <si>
    <t>Vane defect</t>
  </si>
  <si>
    <t>Vane 1 defect</t>
  </si>
  <si>
    <t>Vane 2 defect</t>
  </si>
  <si>
    <t>Check vane!</t>
  </si>
  <si>
    <t>4-20 mA vane 1</t>
  </si>
  <si>
    <t>4-20 mA vane 2</t>
  </si>
  <si>
    <t>Light icing (red. operation)</t>
  </si>
  <si>
    <t>Icing (red. operation)</t>
  </si>
  <si>
    <t>Light icing (dev. electr. power)</t>
  </si>
  <si>
    <t>Icing (dev. electr. power)</t>
  </si>
  <si>
    <t>Extreme icing (wind &gt; power)</t>
  </si>
  <si>
    <t>Icing (stop)</t>
  </si>
  <si>
    <t>Timed red. icing operation act.</t>
  </si>
  <si>
    <t>Stop in case of ice det. act.</t>
  </si>
  <si>
    <t>Test start during potential icing</t>
  </si>
  <si>
    <t>Max. starts during icing</t>
  </si>
  <si>
    <t>Shadow casting</t>
  </si>
  <si>
    <t>Shadow Management Unit defect</t>
  </si>
  <si>
    <t>Shadow Management Unit out of service</t>
  </si>
  <si>
    <t>Shadow Management Unit warning</t>
  </si>
  <si>
    <t>Comm.err. IEC client -&gt; Shadow Mgmt. Unit</t>
  </si>
  <si>
    <t>wtg manual stop for converter coolant temp high so check and found coolanr MPCB trip and cable cut by mouse so correct it then started wtg.</t>
  </si>
  <si>
    <t>Checked related error data log then apply softreboot then reset &amp; started WTG.</t>
  </si>
  <si>
    <t xml:space="preserve"> attend check all related circuit and found Hub panel entry point len cable is damage so replace it and take Wtg trial 30 mini after error it occurs so check all 3 axis len cable entry point found no any abnormality so discuss with commissioning team,wtg restoration wip</t>
  </si>
  <si>
    <t>after grid resume error is occurs so attend check all all 3 axis blade calibration is ok so check pitch encode A and B and found pitch encoder connector loose so tight it then started wtg.</t>
  </si>
  <si>
    <t>O2_01 WTG Shutdown</t>
  </si>
  <si>
    <t>O2_02 WTG Shutdown</t>
  </si>
  <si>
    <t>O2_05 WTG Shutdown</t>
  </si>
  <si>
    <t>O2_08 WTG Shutdown</t>
  </si>
  <si>
    <t>O2_25 WTG Shutdown</t>
  </si>
  <si>
    <t>O2_26 WTG Shutdown</t>
  </si>
  <si>
    <t>attend and check and found coverter cooling fan MPCB trip so check all releted circuit no any abnormality so interchange MPCB then start wtg. Now wtg under observation.</t>
  </si>
  <si>
    <t>attend and check releted circuit check Hub panel entry point len cable is damage so replace it take Wtg trial</t>
  </si>
  <si>
    <t>30 mini after error it occurs so check all 3 axis len cable entry point found no any abnormality so  take Wtg trial</t>
  </si>
  <si>
    <t xml:space="preserve"> after error it occurs so discuss with commissioning team and check and found all 3 axis len cable is not connected as per wtg wiring diagram so correct it WIP</t>
  </si>
  <si>
    <t>O2_04 WTG Shutdown</t>
  </si>
  <si>
    <t>O2_07 WTG Shutdown</t>
  </si>
  <si>
    <t>O2_19 WTG Shutdown</t>
  </si>
  <si>
    <t>Attend and check all Communication Cables and replace and also Check  FO cable and connection and than take trial but same error occured so reprogramming of HUb module MX220 and interchange PPD between blade 1&amp;3 than recalibration of all 3 blades than reset and start turbine(Now Turbine under observation).</t>
  </si>
  <si>
    <t>We have check In SAM  Event found Pitch communication loss to 1,2 and 3 also check in Snap and found Encode value deviation.So We have Attend turbine and check all Communication Cables Connector and clean properly and refixed and Further We have interchage Communication module to Mx220 module cable with BLS and Replace MX220 Module with new one and Install new Base package.After Programming Complete We Calibration all 3 blade and properly all cable laying complete we have Taken trail turbine.After No any abnormal absorb so started WTG.</t>
  </si>
  <si>
    <t>WTG Manual stop for Blade-3 VG installation work done than started wtg.</t>
  </si>
  <si>
    <t>Wtg manual stop for wtg Lift FTU work.</t>
  </si>
  <si>
    <t>WTG Manual stop for Blade-2 VG installation work done than started wtg.</t>
  </si>
  <si>
    <t>Checked related error data log then check parameter then apply  soft reboot then reset &amp; started WTG.</t>
  </si>
  <si>
    <t>attend and check all related circuit and found axis1 pitch motor cooling MPCB FC002 trip so check and found cooling fan cannection bolt is loose so tight it then start wtg.</t>
  </si>
  <si>
    <t>attend and check and found converter cooling fan MPCB triped so check no any abnormality so stert MPCB then started wtg.</t>
  </si>
  <si>
    <t>attend and check all related circuit and check CAND cable all related cable no any abnormality so apply hard reboot then started wtg.</t>
  </si>
  <si>
    <t>Checked related error data log then check parameter no any abnormality apply soft reboot then reset &amp; started WTG.</t>
  </si>
  <si>
    <t>WTG Manual stop for Blade-1 VG installation work done than started wtg.</t>
  </si>
  <si>
    <t>Wtg manual stop for parameter check then start wtg</t>
  </si>
  <si>
    <t>WTG Manual stop for Turbine Manual stop for PPC parameter checking work</t>
  </si>
  <si>
    <t>Checked related error data log check parameter by L2 team then reset &amp; started WTG.</t>
  </si>
  <si>
    <t>Wtg manual stop for parameter check then apply soft reboot then reset &amp; started WTG.</t>
  </si>
  <si>
    <t>Checked related error data log check parameterthen reset &amp; started WTG.</t>
  </si>
  <si>
    <t>attend and found bottom power panel ACB trip and  1 nos 500A fuse is faulty. So this fault is machine side fault so check generator stator and rotor carbon brush and slipring is all condition is ok so check IR value ACB and ingeteam person traubleshooting WIP.</t>
  </si>
  <si>
    <t>attend for WTG stop in Grid loss error(Circuit breaker(Grid loss without grid loss auxiliary power) so we attend turbine and check Sam data and also check physically and check converter panel and found ACB was trip so check Busbar and its connections and also check power cable and stator and rotor and Also take Busbar IR but nothing found abnormalities so now we check ACB and its setting with our technical team and supplier and set ACB settings and also re-tight all connection than reset and take trial than nothing found abnormal so start WTG.(now turbine under observation).</t>
  </si>
  <si>
    <t>attend wtg for power panel inspection work.</t>
  </si>
  <si>
    <t>After Grid error occurred so Checked related error data log then apply soft reboot &amp; started WTG.</t>
  </si>
  <si>
    <t>WTG stop for YPM day-1 activity complate and Lift FTU work done than started WTG.</t>
  </si>
  <si>
    <t>WTG Manual stop for load shedding due to feeder-01 overloading issue + Lift FTU work done than start WTG.</t>
  </si>
  <si>
    <t>WTG stop for Customer Audit work than WIP,</t>
  </si>
  <si>
    <t>WTG stop for HT Yard Inspection Work.</t>
  </si>
  <si>
    <t>WTG disconnect from Scada so Attend and check error related ckt than found UPS supply output MCB tripped so wip,</t>
  </si>
  <si>
    <t>Attend and check event in SAM found pitch error also check in snap and found Encoder value deviation so we have attend turbine and check QA001 contector manually oparate found L2 and L3 cable loose so check All NO/NC auxiliry switch and found one nos NC switch not working properly and check voltage found normal then we have taken trial turbine after no any abnormality so started Turbine.</t>
  </si>
  <si>
    <t>WTG disconnect from Scada so Attend and check error related ckt than found UPS supply output MCB tripped so check all connection in  panel found ok than reset and started WTG.</t>
  </si>
  <si>
    <t>Attend WTG for repeated error Sim angle 3 so check all related ckt and found QA001 contactor auxiliary 23 and 24 on loose connection so tight it and apply manually Pitching no any abnormality so reset and started WTG.</t>
  </si>
  <si>
    <t>WTG Manual stop for load shedding due to feeder-01 overloading issue.</t>
  </si>
  <si>
    <t>O2-14 WTG Shutdown (Grid loss)</t>
  </si>
  <si>
    <t>Attend for WTG Repeated error (Wind dire.diff.level 2) so check wind vane connection after wind vane 1 &amp; 2 alignment properly after trail so ok then reset and start WTG.</t>
  </si>
  <si>
    <t>After Software Update work done than start WTG.</t>
  </si>
  <si>
    <t>WTG stop for YPM activity complated than started WTG.</t>
  </si>
  <si>
    <t>In turbine error occurred during bettry test Rotor br. Buff.volt too low so check related error data log and all perameter then apply soft reboot than started Turbine.</t>
  </si>
  <si>
    <t>Attend turbine check connection of rotor brake pad 01 sensor its ohmic value , then remove sensor from pad check physical condition then refixed properly . Then check the temp value found normal so take the trail of  the  turbine and started .</t>
  </si>
  <si>
    <t>Attend for WTG stop in Circuit breaker Error (Grid loss without grid loss auxiliary power) so we attend turbine and check Sam data and also check physically and check converter panel and found ACB was trip so check Busbar and its connections and also check power cable and stator and rotor and Also take Busbar  but nothing found abnormalities so now we check ACB and its setting with our technical team and  set ACB setting also re-tight all connection than reset and take trial than nothing found abnormal so start WTG.(now turbine under observation).</t>
  </si>
  <si>
    <t>Manual Shutdown taken for TR LV cable Inspection Work and conductor replacement work.</t>
  </si>
  <si>
    <t>Feeder-1 Shutdown taking by  for near O2_09 conductor repairing work  &amp; Conductor replacement work Note:- O2_01,26,08,25,02,05 jumper open</t>
  </si>
  <si>
    <t>Feeder-2 Shutdown taking by  for near O2_04 conductor repairing work,&amp; conductor replacement work Note:-O2_04,O2_07,O2_19 isolator closing work</t>
  </si>
  <si>
    <t>Feeder-2 Tripped in over current.</t>
  </si>
  <si>
    <t>O2_16 Grid Loss</t>
  </si>
  <si>
    <t xml:space="preserve">Trip in over current Due to Havy rain and lighting also gusty wind whether normalisation then line inspection test trail and feeder charge </t>
  </si>
  <si>
    <t>Trip in over current Due to Havy rain and lighting also gusty wind whether normalisation then line inspection WIP</t>
  </si>
  <si>
    <t>After grid resume time VCB OFF after PSS Team attend and charge VCB</t>
  </si>
  <si>
    <t>wtg wip</t>
  </si>
  <si>
    <t>Attend and wtg oil top then reset and started wtg</t>
  </si>
  <si>
    <t>Attend and wtg check Releted circuit so found Yaw  MPCB TRIP Connection loose after all connection tight then reset and start wtg.</t>
  </si>
  <si>
    <t>Attend And check releated circuit so found ACB Tripped so we check all cable check stator and rotor connection check and all fuse check,CT Check  troubleshooting WIP</t>
  </si>
  <si>
    <t>WTG Road approached issue</t>
  </si>
  <si>
    <t>Rotor Break Pressure High so attend Turbine and check Related circuit Check HPU all valve and  check all Valve setting also check Hydrolic Unit oil level is ok Found than taken trail but same error occurred so Disccusion with Enginnering team and found Accumulator Pressure low so Further reffilling.</t>
  </si>
  <si>
    <t>Attend and wtg check Releted circuit so found Yaw  MPCB TRIP After on MPCB  after all connection tight then reset and start wtg.</t>
  </si>
  <si>
    <t>Checked related error data log  then reset &amp; started WTG.</t>
  </si>
  <si>
    <t xml:space="preserve">Let start wtg Due to wtg Disconnect to SCADA(Heavy rain and lighting at site and multiple activity at site) </t>
  </si>
  <si>
    <t>Late start wtg due to  disconnect to scada  O2-25 VCB Tripped after charge VCB And connect wtg reset and start wtg</t>
  </si>
  <si>
    <t>We have check in sam Found pitch error also chech in snap and check QA001 CONTACTOR all connection and retight it than check ALL NO/NC Auxiliary switch and found NC &amp;NO switch not working properly so replace all switch and check then have trail taken by turbine after no any abnormal absorb so started wtg.</t>
  </si>
  <si>
    <t>Late wtg start Due to WTG Disconnect to SCADA(Heavy rain and lighting at site and multiple activity at site)  after Checked related error data log then reset &amp; started WTG.</t>
  </si>
  <si>
    <t xml:space="preserve">WTG Road approached issue </t>
  </si>
  <si>
    <t>Late wtg start Due to WTG Disconnect to SCADA(Heavy rain and lighting at site and multiple activity at site)  Attend  wtg apply hard reboot after check hydrolic presure so ok after trail so ok then reset and started wtg.</t>
  </si>
  <si>
    <t>Late wtg start Due to WTG Disconnect to SCADA(Heavy rain and lighting at site and multiple activity at site) wip</t>
  </si>
  <si>
    <t xml:space="preserve"> Due to WTG Disconnect to SCADA (Heavy rain and lighting at site and multiple activity at site)  wip</t>
  </si>
  <si>
    <t xml:space="preserve"> Checked related error data log then apply shoft reboot then reset &amp; started WTG.</t>
  </si>
  <si>
    <t>attend turbine check converter panel in ACB feedback ckt, ACB physical condition, check main Contactor and it's working condition, check further power cable all joints, junction box all joints and taken all power cable IR value, check stator and rotor box and it's connection also taken generator IR value but  nothing found abnormal.So taken trail but again error occured.So discuss with our L2 team and Supplier check in converter panel MSC and GSC stack and perform all test and all test pass successful. So after as per supply suggested we have interchange ACB control card with other turbine and Error shift in other turbine. So now O2.16 Started and O2.20 Stop now material arranging work in progress.</t>
  </si>
  <si>
    <t>Late wtg start Due to WTG Disconnect to SCADA  after Checked related error data log then reset &amp; started WTG.</t>
  </si>
  <si>
    <t>wtg manual stop for component testing work wip</t>
  </si>
  <si>
    <t>Late wtg start Due to WTG Disconnect to SCADA(Heavy rain and lighting at site and multiple activity at site)</t>
  </si>
  <si>
    <t xml:space="preserve"> Disccusion with Engineering team and found Accumulator Pressure low so arrange material for anothar side and replace Accumulato then start wtg.</t>
  </si>
  <si>
    <t>Late wtg start Due to WTG Disconnect to SCADA(Heavy rain and lighting at site and multiple activity at site) after Checked related error data log then reset &amp; started WTG.</t>
  </si>
  <si>
    <t>O2_14 Grid Loss</t>
  </si>
  <si>
    <t>O2_25 Grid Loss</t>
  </si>
  <si>
    <t>Feeder-1 shutdown take for OFC Splicing work</t>
  </si>
  <si>
    <t>Auto reset.</t>
  </si>
  <si>
    <t>Check temperature value, after temperature normlize started WTG.</t>
  </si>
  <si>
    <t>WTG stopped for material cannibalize work.</t>
  </si>
  <si>
    <t xml:space="preserve">Arrange material than replaced trip unit card and trial takken and started WTG. </t>
  </si>
  <si>
    <t xml:space="preserve">Trip in over current Due to Havy rain and lighting also gusty wind whether normalisation then line inspection found for panther line pin isulator damage replace with new reset and test trail and feeder charge </t>
  </si>
  <si>
    <t>Feeder-2 Trip in Earth fault</t>
  </si>
  <si>
    <t xml:space="preserve">Feeder-2 shutdown for O2-19 line jumper Open work </t>
  </si>
  <si>
    <t>O2-04, O2-19 &amp; O2-07 Internal lines rectification work</t>
  </si>
  <si>
    <t>O2-19  Internal lines rectification work</t>
  </si>
  <si>
    <t>O2-04 &amp; O2-07 Internal lines rectification work</t>
  </si>
  <si>
    <t>O2_17 Grid Loss</t>
  </si>
  <si>
    <t>O2-17 &amp; O2-22 Internal lines rectification work</t>
  </si>
  <si>
    <t>O2-19  Jumper open work WIP</t>
  </si>
  <si>
    <t xml:space="preserve"> Checked related error data log then apply shoft reboot and  removed cable twist  then reset &amp; started WTG.</t>
  </si>
  <si>
    <t>Attend and wtg Nacell Position Sensor fault warning and repeated error (wind Dir.diff.Level 1) so check and found wind sensor alignment not proper so wind sensor aligment properly done and also check axis 1 flat resistor faulty so replace it and check yaw releted repeated error, check and found yaw sensor switch setting is not proper so correct it then reset and started wtg.</t>
  </si>
  <si>
    <t xml:space="preserve">Attend and check ckt then blade axis 2 chopper resistor found faulty so replacement work WIP </t>
  </si>
  <si>
    <t>After grid time replace chopper resistor work done after trail then reset and started wtg</t>
  </si>
  <si>
    <t>Attend and wtg check hydraulic oil so ok after replace 9.1 valve after check hydraulic pressure values so ok then reset and started wtg.</t>
  </si>
  <si>
    <t>Late start wtg dut to BOP  Suggestions after reset and started wtg</t>
  </si>
  <si>
    <t>Attend wtg check hydralic unit and check all valve so ok  after check accumulator both so found accumulator Pressure low so wtg WIP</t>
  </si>
  <si>
    <t xml:space="preserve">Attend wtg check Pitch data AND Check all blade  angle so ok   After trail so ok then reset and started wtg.                                </t>
  </si>
  <si>
    <t>Check Data in SCADA so found blade 1 91 limit switch connection loose so tight  it then reset and started wtg.</t>
  </si>
  <si>
    <t>Check error related     CKT  Found Bottom Emergency button connection found loose in BOB FS2 Panel so correct it then reset and started wtg</t>
  </si>
  <si>
    <t>Feeder#1 Tripped due to snack fault at Location no O2_13</t>
  </si>
  <si>
    <t>O2-19 Internal lines rectification work</t>
  </si>
  <si>
    <t>O2-19 Isolator closing Work</t>
  </si>
  <si>
    <t>Feeder#1 Tripped due to Snake fault at Location no O2_13</t>
  </si>
  <si>
    <t>After Filling  Nitrogen accumulator pressure set than trail taken and started wtg</t>
  </si>
  <si>
    <t>O2_19 Grid loss</t>
  </si>
  <si>
    <t>O2-19 Transformer Bushing Replacement work</t>
  </si>
  <si>
    <t>AUTO Reset</t>
  </si>
  <si>
    <t>VCB OFF after BOP Team attend and check VCB wip.</t>
  </si>
  <si>
    <t>WTG Manual stop for WTR 656  work.</t>
  </si>
  <si>
    <t>WTG Manual stop for WTR 629,658,656 work.</t>
  </si>
  <si>
    <t>VCB OFF after BOP Team attend and check VCB then charge and start WTG</t>
  </si>
  <si>
    <t>VCB tripped by unknown person after BOP Team attend and check VCB then charge and start WTG</t>
  </si>
  <si>
    <t>attend and check data in Sam and also conver data and default restore than check physicaly ACB and it's settings and than check CT connection and take it's Ohm value than value found ok so check ACB setting and set them and also control card relay supply check and rebooted and  reset as per Engineering team instruction than reset and start wtg.Now Turbine under observation.</t>
  </si>
  <si>
    <t>atten WTG  and found ACB smart trip unit is malfunctioning so we interchange for O2-20 WIP.</t>
  </si>
  <si>
    <t xml:space="preserve">Feeder-2 shutdown </t>
  </si>
  <si>
    <t>Feeder#2 Trip in earth Falut/over current (O2_17,O2_22 section isolator open)</t>
  </si>
  <si>
    <t>Feeder-2 shutdown for O2_17 &amp;O2_22 section Isolator closing work</t>
  </si>
  <si>
    <t>O2_17,O2_22 section isolator open BY BOP team</t>
  </si>
  <si>
    <t>ACB smart trip unit Material arrangement for another site WIP</t>
  </si>
  <si>
    <t xml:space="preserve"> wtg manual stop for material cannibalize work</t>
  </si>
  <si>
    <t>after grid resume error occurs so Checked related error data log then reset &amp; start WTG.</t>
  </si>
  <si>
    <t>Checked related error data log then found sensor is malfunctioning so apply shoft reboot then reset &amp; start WTG.</t>
  </si>
  <si>
    <t>O2-17 WTG Shutdown</t>
  </si>
  <si>
    <t xml:space="preserve">Feeder-2 Trip in earth Falut/over current </t>
  </si>
  <si>
    <t>Feeder-2 shutdown for O2_07 &amp;O2_04,O2-19 section Isolator closing work</t>
  </si>
  <si>
    <t>O2_07,O2_04,O2_19 section isolator open BY BOP team</t>
  </si>
  <si>
    <t>ACB smart trip unit Material arrangement for another site then replace it then start wtg.</t>
  </si>
  <si>
    <t>Turbine stop in icing (Stop) Error Occurred.But at that time turbine running shown in Fleetpro and status as online but physical in breakdown.Due to data freeze from the server so turbine stop.</t>
  </si>
  <si>
    <t>Turbine stop in icing (Stop) Error Occurred.But at that time turbine running shown in Fleetpro and status as online but physical in breakdown.Due to data freeze from the server so turbine stop. So cannected wtg (Farm) reset then start WTG.</t>
  </si>
  <si>
    <t>after grid resume error is occurs so We have check in SAM error related data then attend turbine check blade 02 in converter side connection and found loose connection so re tight properly then started Turbine.</t>
  </si>
  <si>
    <t xml:space="preserve">Feeder-1 shutdown </t>
  </si>
  <si>
    <t>Feeder#1 Shutdown taking by pin insulator fall down repairing work</t>
  </si>
  <si>
    <t>WTG manual stop for Slipring  WTR 646,658,629,633 work.</t>
  </si>
  <si>
    <t>WTG Manual stop for WTR 646,633,656,658,629 work.</t>
  </si>
  <si>
    <t>WTG Manual stop for WTR 633,656,658,629  work.</t>
  </si>
  <si>
    <t>WTG Manual stop for WTR  633,656,658,629 work.</t>
  </si>
  <si>
    <t>WTG Manual stop for Feeder#1 Shutdown taking by BOP team but  Feeder#1 Shutdown postponed due to ROW issue.</t>
  </si>
  <si>
    <t>Attend Wtg and Anomaly related work like Blade calibration and ultrasonic value found deviation so alignment done than occurred error Battery under voltage/over voltage so check and found axis 3 flat resistor faulty so arrenge it and replace.</t>
  </si>
  <si>
    <t xml:space="preserve"> WTR 656,658,629 and 633 performing work done then start wtg.</t>
  </si>
  <si>
    <t>Attend wtg check releted circuit so found Blade no 1 1.7 ohm Flat resistor faulty after replace then reset and started wtg.</t>
  </si>
  <si>
    <t>WTG stop for YPM activity and replace axis 1 (1.7 ohm)Flat resistor then work complated than started WTG.</t>
  </si>
  <si>
    <t>Attend and Wtg check Converter 230  V AC Supply check UPS connection check Feedback connection check all connection tight after trail so ok then Reset and started Wtg.</t>
  </si>
  <si>
    <t>WTG Manual stop for WTR 656,658,633 and 629  Performing and started Wtg.</t>
  </si>
  <si>
    <t>Checked related error data log apply shoft reboot then reset &amp; start WTG.</t>
  </si>
  <si>
    <t>after grid resume error is occurs so Checked related error data log apply shoft reboot then reset &amp; start WTG.</t>
  </si>
  <si>
    <t>Feeder-1 Trip in Earth fault</t>
  </si>
  <si>
    <t>Feeder#1Trip in earth Falut/over current /master reley trip after take a trial then charge it.</t>
  </si>
  <si>
    <t>Feeder#2 Trip in earth Falut/over current after take a trial then charge it.</t>
  </si>
  <si>
    <t>after grid resume error is occurs so Checked related error data log then reset &amp; start WTG</t>
  </si>
  <si>
    <t>after grid resume error is occurs so Checked related error data log then reset &amp; start WTG.</t>
  </si>
  <si>
    <t>after grid resume error is occurs so attend Checked related error data log then apply hard reboot then reset &amp; start WTG</t>
  </si>
  <si>
    <t xml:space="preserve">Feeder#1Trip in earth Falut/over current /master reley trip </t>
  </si>
  <si>
    <t>Feeder#1Trip in earth Falut/over current /master reley trip ,Hi teck Project ROW due to payment issue.</t>
  </si>
  <si>
    <t>Feeder#1 Shutdown taken by project team 33kv line pending work.</t>
  </si>
  <si>
    <t>Feeder#2 Shutdown taken by project team 33kv line pending work.</t>
  </si>
  <si>
    <t>Sr no</t>
  </si>
  <si>
    <t>Site</t>
  </si>
  <si>
    <t>Location</t>
  </si>
  <si>
    <t>Turbine ID</t>
  </si>
  <si>
    <t>DOC</t>
  </si>
  <si>
    <t>Date of Operation</t>
  </si>
  <si>
    <t>WTG 1st Month PM</t>
  </si>
  <si>
    <t>WTG YPM</t>
  </si>
  <si>
    <t>Plan Date</t>
  </si>
  <si>
    <t>Actual Date</t>
  </si>
  <si>
    <t>Diff. Days</t>
  </si>
  <si>
    <t>Adherence</t>
  </si>
  <si>
    <t>Remark</t>
  </si>
  <si>
    <t>1st Day</t>
  </si>
  <si>
    <t>2nd Day</t>
  </si>
  <si>
    <t>Babra</t>
  </si>
  <si>
    <t>Deleyed due to other turbines restoration work</t>
  </si>
  <si>
    <t>Delayed due to turbine lift not working and lift operation delay from project team</t>
  </si>
  <si>
    <t>Delayed due to turbine access road issue</t>
  </si>
  <si>
    <t>Deleyed due to turbine access road  access issue</t>
  </si>
  <si>
    <t>Checked related error data log then apply shoft reboot then reset &amp; start WTG</t>
  </si>
  <si>
    <t>after grid resume error is occurs so Checked related error data log then reset &amp; start WTG(Late start due to disconnected from scada due to jumer open at O2 14 )</t>
  </si>
  <si>
    <t>O2-01 WTG Shutdown (Grid loss)</t>
  </si>
  <si>
    <t>O2-02 WTG Shutdown (Grid loss)</t>
  </si>
  <si>
    <t>O2-03 WTG Shutdown (Grid loss)</t>
  </si>
  <si>
    <t>O2-05 WTG Shutdown (Grid loss)</t>
  </si>
  <si>
    <t>O2-08 WTG Shutdown (Grid loss)</t>
  </si>
  <si>
    <t>O2-09 WTG Shutdown (Grid loss)</t>
  </si>
  <si>
    <t>O2-11 WTG Shutdown (Grid loss)</t>
  </si>
  <si>
    <t>O2-12 WTG Shutdown (Grid loss)</t>
  </si>
  <si>
    <t>O2-23 WTG Shutdown (Grid loss)</t>
  </si>
  <si>
    <t>O2-25 WTG Shutdown (Grid loss)</t>
  </si>
  <si>
    <t>O2-26 WTG Shutdown (Grid loss)</t>
  </si>
  <si>
    <t>O2-04, O2-07 and O2-19 section Isolator open by BOP team found fault and correct it then close Isotator then start WTG.</t>
  </si>
  <si>
    <t xml:space="preserve">Feeder#1 Shutdown taken by project team for section Isolator installation  work </t>
  </si>
  <si>
    <t>after grid resume error is occurs so attend Checked related error data log then apply shoft reboot then reset &amp; start WTG</t>
  </si>
  <si>
    <t xml:space="preserve"> Checked related error data log then apply shoft reboot then reset &amp; start WTG.</t>
  </si>
  <si>
    <t>Attend and wtg check related circuit check Converter cable check Power panel check control panel after check Stator cable rotor cable and check slipring so found Rotor cable minor Damage after arranging material  3M Tap apply and after trail so ok then reset and started wtg.</t>
  </si>
  <si>
    <t>Feefer-1 shutdown</t>
  </si>
  <si>
    <t xml:space="preserve">Feeder#1 Trip in Over Current </t>
  </si>
  <si>
    <t>Wtg manual stop for bottom panel inspection work after started wtg</t>
  </si>
  <si>
    <t>Attend and wtg check MPCB Motor and coolant so found QA008 MPCB Tripped after check voltage and fidbac connection tight after fan on temperature normal coolant fill up then reset and started wtg.</t>
  </si>
  <si>
    <t>Feeder#1 Trip in Earth fault</t>
  </si>
  <si>
    <t>Feeder#1 Trip in Over Current after take a trial then charge it.</t>
  </si>
  <si>
    <t>jumper open by project team at O2 14 for section Isolator installation  work.</t>
  </si>
  <si>
    <t>jumper open by project team for section Isolator installation  work.</t>
  </si>
  <si>
    <t>jumper open by project team for section Isolator installation  work. After grid rusume start WTG</t>
  </si>
  <si>
    <t>Feeder#1 Shutdown taken by project team for section Isolator installation  work and jumper closing work at O2-14.</t>
  </si>
  <si>
    <t>Feeder#2 Trip in earth Falut after take a trial then charge it.</t>
  </si>
  <si>
    <t>Feeder-2 Trip in Earth fault after take a trial then charge it.</t>
  </si>
  <si>
    <t>Auto  reset</t>
  </si>
  <si>
    <t>Attend and wtg check Rotor brake pad Temp Sensor check and all connection check and tight after trail then reset and started  wtg.</t>
  </si>
  <si>
    <t>Feefer-2 shutdown</t>
  </si>
  <si>
    <t xml:space="preserve">Feeder#2 Shutdown taken by project team for section Isolator installation  work </t>
  </si>
  <si>
    <t>Jumper open for Project Pending Work</t>
  </si>
  <si>
    <t>Attend wtg check related circuit so check all valve and check oil level so found oil level low after check all yaw calliper and check all pipe check oil leakage WTG WIP</t>
  </si>
  <si>
    <t>Check All Pipe after fill up oil  after trail then reset and started wtg.</t>
  </si>
  <si>
    <t>WTG Manual stop for PPC  Software Updating work Done .</t>
  </si>
  <si>
    <t>Check Related Error Data log after PPC Software Updating Work Donethen reset and started wtg</t>
  </si>
  <si>
    <t>check Event And Data log then reset &amp; started wtg.</t>
  </si>
  <si>
    <t>Attend and wtg check converter panel check PT100 Sensor , Replace All filter and clean Radiator after trail then reset and started wtg.</t>
  </si>
  <si>
    <t>check Event And Data log  check temp then reset &amp; started wtg.</t>
  </si>
  <si>
    <t>Check event log and check hydraulic yaw brake pressure After Flushing mode on check pressure , both side Yawing manually and check cable twist after trail then reset and started wtg.</t>
  </si>
  <si>
    <t>Check event log and check hydraulic yaw brake pressure After trail then reset started wtg.</t>
  </si>
  <si>
    <t>AFTER Feeder shutdown clear than wtg in Disconnected due to O2 07  VCB tripped so After  charge than reset and start WTG.</t>
  </si>
  <si>
    <t>Auto resert</t>
  </si>
  <si>
    <t>Check event log and check hydraulic yaw brake pressure  and check cable twist removed After trail then reset started wtg.</t>
  </si>
  <si>
    <t>check Event and  Data log Temp high then temp is normalize then apply shoft reboot then reset &amp; started wtg.</t>
  </si>
  <si>
    <t>check Event and  Data log then reset &amp; started wtg.</t>
  </si>
  <si>
    <t>check Event and  Data log Temp high them temp is normalize then apply shoft reboot then reset &amp; started wtg.</t>
  </si>
  <si>
    <t>check Event and  Data log then  apply shoft reboot then reset &amp; started wtg.</t>
  </si>
  <si>
    <t>check Event and  Data log  reset &amp; started wtg.</t>
  </si>
  <si>
    <t>During Battery test occurred error so check Event And Data log then reset &amp; started wtg.</t>
  </si>
  <si>
    <t>Attend and check Convertor in found Ambient control Temp. high so check in convertor panel PT100 value and found loose connection in TB so tightly properly and started Turbine.</t>
  </si>
  <si>
    <t>USS work for BOP.</t>
  </si>
  <si>
    <t>EG Force Majeure</t>
  </si>
  <si>
    <t>IG Force Majeure</t>
  </si>
  <si>
    <t>Bottom Panel Inspection work done than started Turbine.</t>
  </si>
  <si>
    <t>Attend and wtg check Axis No 3 so found Pitch Encoder cable connection loose after tight and Repeated error occurred check found Axis no 1 flat resistor failure found after replace then trail so  ok after winch load test completed then reset and started wtg.</t>
  </si>
  <si>
    <t>Attend and WTG check event log and snap found encoder value deviation Axis No.1 so we have check QA001 contactor manually operate but not pickup after check all connection check rectifier fuse and Diode and QA001 Contactor NO/NC Auxiliry switch check so found NO switch not proper working after all connection check and tight then we have take trail turbine after No any abnormality so started WTG.</t>
  </si>
  <si>
    <t>check Event and  Data log also check error related Perameter then  apply shoft reboot then reset &amp; started wtg.</t>
  </si>
  <si>
    <t>Check error related ckt tha found Hub supply 400V MCB tripped so check before and after related ckt nothing found abnormal so charge MCB and reset and started Turbine.</t>
  </si>
  <si>
    <t>Attend and check HPU Unit 9.1 and 9.7 Valve also check yaw System Pressure than wip,</t>
  </si>
  <si>
    <t>Shutdown taken by GETCO Team for GETCO Tower line Dismentaling Work.</t>
  </si>
  <si>
    <t>Attend and check HPU Unit 9.1 and 9.7 Valve also check yaw System Pressure than take trail and started WTG.</t>
  </si>
  <si>
    <t>after temp reduse then reset &amp; started wtg.</t>
  </si>
  <si>
    <t>Attend and wtg check MPCB Motor and coolant so found QA008 MPCB Tripped after check voltage and fidbac connection tight after fan on temperature normal then reset and started wtg.</t>
  </si>
  <si>
    <t>WTG attend then check related CKT check Axis no 1 battery box found battery lug broken so replace battery then start wtg also winch load test completed.</t>
  </si>
  <si>
    <t xml:space="preserve">Turbine Attend for Sim angle E enc.&lt;&gt; act.angle 3 so check error related ckt than check QA001 contactor and it's connection tightness also check all auxillary NO-NC connection than check Motor Encoder connector and connection of Encoder cable than WIP, </t>
  </si>
  <si>
    <t>WTG Stop for GETCO line work Shutdown.</t>
  </si>
  <si>
    <t>Attend and check error related ckt than found QA008 MPCB was tripped so check connection also check current setting and check voltage but voltage is cut in one phase so check and remove relay and refix then found MPCB one contect was loose inside than tight and take trail and started Turbine.</t>
  </si>
  <si>
    <t>Customer</t>
  </si>
  <si>
    <t xml:space="preserve">Turbine Attend for Sim angle E enc.&lt;&gt; act.angle 3 so check error related ckt than check QA001 contactor and it's connection tightness also check all auxillary NO-NC connection than check Motor Encoder connector and connection of Encoder cable than interchange motor Encoder with onther blade than error shifted so found Motor Encoder faulty so arrenge from other site and replace with new one than done blade -3 calibration done and also winch load capacity testing done than started Turbine. </t>
  </si>
  <si>
    <t>WTG Stop for PPC parameter Update Work.</t>
  </si>
  <si>
    <t>check Event and  all axis current in Sam than Data log check reset &amp; started wtg.</t>
  </si>
  <si>
    <t>Attend and WTG Check BLS Warning releted ckt found BLS FOS4X module Communication connection loose so retight it start WTG.</t>
  </si>
  <si>
    <t>After temp reduce then reset &amp; started wtg.</t>
  </si>
  <si>
    <t>Blade Bearing inner seal inspection work along with suppiler and found axis 3 inner seal open in one end so refix and apply manually DO then nathing found abnormal so reset and start WTG.</t>
  </si>
  <si>
    <t>Feeder-2 Tripped in earth fault/Over current</t>
  </si>
  <si>
    <t xml:space="preserve">Feeder-2 Tripped in earth fault/Over current so check ckt reset relay and Annunciator also Inspected the 33kv line and during test trial TNC Switch didn,t operate so we check it,s connection and related ckt, also check VCB closing coils found the closing coil stuck after resolve then cherge Feeder. </t>
  </si>
  <si>
    <t>Feeder-2 tripped in Earth fault so take trial and charge feeder.(Due to heavy lightning at site)</t>
  </si>
  <si>
    <t>Attend for Blade Bearing Inner seal inspection work along with supplier and found Axis-1 Blade bearing inner seal damage so replace by supplier and apply manually pitching then nothing abnormal so reset and start WTG.</t>
  </si>
  <si>
    <t>WTG stop for Blade Bearing outer seal Inspection work then after refir the outer seal and apply manual greasing DO than nothing found abnormal so reset than take generation trail at that time PITCH ERROR (Sim angle encoder 2) error was occurred so We check QA001 contector and check Auxilary than found 2 nos Auxilary malfunction so replace it with new one than take trial than reset and start WTG.</t>
  </si>
  <si>
    <t>After Feeder-2 charge than Turbine disconnected from scada.</t>
  </si>
  <si>
    <t>After Feeder-2 charge than Turbine disconnected from scada than restore connectivity reset and started WTG.</t>
  </si>
  <si>
    <t>check Event And Data log then reset &amp; started wtg.( lat reset due to O2-08 VCB trip so wtg discannected from SCADA)</t>
  </si>
  <si>
    <t>attend turbine and check error related ckt so found blade 1 QA001 NO contact connection loose so tight it then take take tral time we found blade 2  Root crack so now wtg in breakdown and blade repairing  and material shifting work wip.</t>
  </si>
  <si>
    <t>turbine delay attend due to bad weather conditions like lighting , heavy rain and high wind</t>
  </si>
  <si>
    <t>attend turbine and check error related ckt so found blade 3 QA001 NO contact connection loose so tight it then reset and start turbine (turbine delay attend due to bad weather conditions like lighting , heavy rain and high wind)</t>
  </si>
  <si>
    <t>O2-26 Grid loss</t>
  </si>
  <si>
    <t>Feeder#2 Trip in earth Falut/over current.so take trial and charge feeder.</t>
  </si>
  <si>
    <t>Feeder#2 Trip in earth Falut/over current.so take trial and charge feeder.(Due to heavyrain and  lightning at site)</t>
  </si>
  <si>
    <t>After grid resume found VCB tripped  so VCB Charge by BOP team then after reset and start wtg</t>
  </si>
  <si>
    <t>Attend and check by blade team inspect Root area and remove paint defected area approx. 0.1mtr and another related work WIP.</t>
  </si>
  <si>
    <t>check Event And Data log then apply shoft reboot then reset &amp; started wtg.</t>
  </si>
  <si>
    <t>attend turbine and check error related ckt so found blade 1 QA001 NO contact connection loose so tight it then reset and start turbine.</t>
  </si>
  <si>
    <t>check Event And Data log then found grid voltage is high (712v)so reset &amp; started wtg.</t>
  </si>
  <si>
    <t>check Event And Data log then found grid voltage is high (711v)so reset &amp; started wtg.</t>
  </si>
  <si>
    <t>check Event And Data log then found grid voltage is high (715v)so reset &amp; started wtg.</t>
  </si>
  <si>
    <t>check Event And Data log then found grid voltage is high (714v)so reset &amp; started wtg.</t>
  </si>
  <si>
    <t>check Event And Data log then found grid voltage is high (713v)so reset &amp; started wtg.</t>
  </si>
  <si>
    <t>check Event And Data log then found grid voltage is high (718v)so reset &amp; started wtg.</t>
  </si>
  <si>
    <t>check Event And Data log then found grid voltage is high (724v)so reset &amp; started wtg.</t>
  </si>
  <si>
    <t>Stoppage Type</t>
  </si>
  <si>
    <t>Paired WTG Generation for loss calculation</t>
  </si>
  <si>
    <t>Estimated Energy Loss (kWh)</t>
  </si>
  <si>
    <t>Special Remarks</t>
  </si>
  <si>
    <t>Year_2</t>
  </si>
  <si>
    <t>Breakdown Type</t>
  </si>
  <si>
    <t>Curtailment Order imit.</t>
  </si>
  <si>
    <t>EGA_Including_CurtailmentOrder</t>
  </si>
  <si>
    <t>Breakdown description</t>
  </si>
  <si>
    <t>After grid resume check Event And Data log then reset &amp; started wtg.( lat reset due to O2-07  VCB trip so wtg discannected from SCADA)</t>
  </si>
  <si>
    <t>After grid resume Converter RFO (CAN) singnal  not available After single available then reset and start wtg</t>
  </si>
  <si>
    <t>attend and found axis 1 encoder cable lag broken so rectification done then reset start WTG now WTG under observation.</t>
  </si>
  <si>
    <t>After grid resume error is occurs so Checked related circuit and found FC008 MCB out put not come so all MCB trip and check proper mechanism is working then cherge all MCB then reset &amp; start WTG</t>
  </si>
  <si>
    <t>check Event And Data log then found temp sensor malfunction apply shoft reboot then reset &amp; started wtg.</t>
  </si>
  <si>
    <t>wtg manual stop for customer audit work.</t>
  </si>
  <si>
    <t>check Event And Data log then apply manual DO for rotor bearing luber found is ok then reset &amp; started wtg.</t>
  </si>
  <si>
    <t>WTG manual stop for blade load sensor related parameter checking work.</t>
  </si>
  <si>
    <t>Check event log fast log found abnormal temperature value after trail so ok then reset and started wtg</t>
  </si>
  <si>
    <t>Attended wtg due to Blade bearing lubrication failure Warnning checked lubrication Pump motor connection found ok verified lubrication system feedback connectio  work in progress (WIP).</t>
  </si>
  <si>
    <t>Attend turbine and check generator earthing brush found brush worn out so replace its then reset and started wtg.</t>
  </si>
  <si>
    <t>Attended wtg due to inside nacell high temperature warring check all related connections and verified PT100 Sensor wiring found loose connection Tightened PT100 Sensor connection after trail so ok then reset and startted wtg.</t>
  </si>
  <si>
    <t>malfunction with the KF007 relay lubrication pump, but after retightening the A1 and A2 connections and verifying the feedback, the pump began working correctly during the trial and was then reset and started wtg.</t>
  </si>
  <si>
    <t>Check error related data Scada so found Ultrasonic sensor 2 value malfunction so Attend turbine and check error related circuit so found Ultrasonic sensor 2 failure so arrange material and replace it then reset and start turbine.(turbine delay start due to bad weather conditions )</t>
  </si>
  <si>
    <t>WTG stopped due to a software update and an error related to the pitch measuring system  1&gt;&lt;2 between shift . After a hard reboot and a successful trial Then reset and started wtg</t>
  </si>
  <si>
    <t>WTG manually stopping software update After reset and started wtg</t>
  </si>
  <si>
    <t>manual stop on the WTG to carry out slip ring modification work, and then after completing the task After reset and started wtg</t>
  </si>
  <si>
    <t>attended wtg check circuit identified a faulty motor encoder cable. After replacing it with a new one then reset and started wtg.</t>
  </si>
  <si>
    <t>attend and check error related ckt so found XD209 TB and TB003 field rectifier fuse failure so arrange material WIP.</t>
  </si>
  <si>
    <t>check Event And Data log then found temp sensor malfunctioning so apply shoft reboot then reset &amp; started wtg.</t>
  </si>
  <si>
    <t>Manual stop of WTG as instructed by the customer for transformer tap changing work by the BOP team</t>
  </si>
  <si>
    <t xml:space="preserve"> We have attend turbine for Rep pitch error check contactor all NO NC auxiliary switch during pitching time but no any abnormalities observed so further we have check pitch motor Encoder cable from PPD side, Motor side and found cable in brown cable broken so arrange cable and replace. After taking the trail and Pitch motor temp high error occurred so check PPD side connection,cable physical condition, it's ohmic value and found Unacceptable so we further check motor side connector in all connections and found one cable in Motor Connector in lug open so fixed properly and checked ohmic value found normal after successful generation trail started turbine.</t>
  </si>
  <si>
    <t xml:space="preserve"> attend and check error related ckt so found XD209 TB and TB003 field rectifier fuse failure so arrange material and replace it then reset and start turbine</t>
  </si>
  <si>
    <t>after Grid charge check SAM in found Sim angle E enc act angle 01 error check snap and found Blade 01 angle value deviation so we have Attend turbine check in pitch axis 01 in QA 001 Contactor,it's working condition,All NO NC auxiliary switch found One auxiliary switch some time not working properly so arrange switch and replace it's.Then we have further check from motor side Encoder cable, it's connection and mounting found All normal. Then we have to carry out Manual Pitching of the blade during time check motor current, Pitch angle and Snap found All normal then Taken WTG successful trail. After going down from the top, then turbine Started.</t>
  </si>
  <si>
    <t>Manual stop of the WTG due to a Rep  error and  QHSE audit closure tasks Releted work completed after everything checked out and restarted the WTG.</t>
  </si>
  <si>
    <t>Feeder-1 Tripped in earth fault/Over current</t>
  </si>
  <si>
    <t>Feeder#1 Trip in earth Fault/over current.so take trial and charge feeder.</t>
  </si>
  <si>
    <t>Manual stop of the WTG due to a Rep  error and  QHSE audit closure tasks Releted work WIP</t>
  </si>
  <si>
    <t xml:space="preserve">Feeder-01 tripped in earth fault and overcurrent </t>
  </si>
  <si>
    <t>O2-20 Grid loss</t>
  </si>
  <si>
    <t>Feeder-01 Forcefully tripped by HI tech team for Punch point closing work</t>
  </si>
  <si>
    <t>Avg Wind Speed (m/s)</t>
  </si>
  <si>
    <t>WTG Loss</t>
  </si>
  <si>
    <t>Late reset due to Turbine Disconnect from SCADA.</t>
  </si>
  <si>
    <t>check Event And Data log than apply soft reboot then reset &amp; started wtg.</t>
  </si>
  <si>
    <t>WTG Shutdown(Grid loss)</t>
  </si>
  <si>
    <t>Feeder-2 Shutdown for OFC Cable Splicing Work.</t>
  </si>
  <si>
    <t>After VCB Charge than reset and start WTG.</t>
  </si>
  <si>
    <t>Frequncy Converter Error occurred so check ingeteam web page found Converter Grid Protection Fuse error occurred so check all Fuse, Current measuiring device and connection, Power cable , Generator Stator and Rotor Connection then Now align with Engineering team and Suppiler as per guidenace further inspection WIP...</t>
  </si>
  <si>
    <t>Check event than done flushing and apply soft reboot than reset and started WTG.</t>
  </si>
  <si>
    <t>Attend and check error related ckt than check All HPU Valve than found oil level is low in Hydraulic Unit so top up oil and started WTG.</t>
  </si>
  <si>
    <t>check error related ckt than Found convertor Grid contector and cable faulty so arrenged from other site and replace it than we take trail time other error occurred like Low Pressure level in cooling ckt so check error releted ckt and all connection than found low level Transduser faulty so replace it than not ready CCU so now Material arrengment WIP,</t>
  </si>
  <si>
    <t>After Feeder-2 charge check error related ckt than Found convertor Grid contector and cable faulty so arrenged from other site and replace it than we take trail time other error occurred like Low Pressure level in cooling ckt so check error releted ckt and all connection than found low level Transduser faulty so replace it than not ready CCU so now Material arrengment WIP,</t>
  </si>
  <si>
    <t>Srl. No</t>
  </si>
  <si>
    <t>Curtailment Start Time</t>
  </si>
  <si>
    <t>Curtailment Stop Time</t>
  </si>
  <si>
    <t>Total down Hrs</t>
  </si>
  <si>
    <t>Running Generation</t>
  </si>
  <si>
    <t>Curtailment %</t>
  </si>
  <si>
    <t>Energy Loss(MW)</t>
  </si>
  <si>
    <t>After Curtailment Generation</t>
  </si>
  <si>
    <t>as per SLDC certailment there but actual we havent cerail</t>
  </si>
  <si>
    <t>Actual certailment</t>
  </si>
  <si>
    <t>TGPXIIPL -PSS Frequency</t>
  </si>
  <si>
    <t>check Event And Data log also check Error releted Snap than apply soft reboot then reset &amp; started wtg.</t>
  </si>
  <si>
    <t>After feeder charge error occurred so check error related ckt than check all connection of PPD than found in PPD Internal Phase short  axis 1 so PPD faulty than  material arrengement WIP…</t>
  </si>
  <si>
    <t>Feeder-1 Shutdown taken for O2-12 Sky lift Rope Dismental work.</t>
  </si>
  <si>
    <t>After feeder charge error occurred so check error related ckt than check all connection of PPD than found in PPD Internal Phase short  axis 1 so PPD faulty than  material arrengement done than replace PPD than take trail  and started Turbine.</t>
  </si>
  <si>
    <t>Turbine Manual stop for PCVT Inspection Work.</t>
  </si>
  <si>
    <t xml:space="preserve">After Material Ingeteam CCU module received we have replace module than discuss with supplier for programming and configuration for module after succsessfull we have performed Precharge,grid Filter and regulation test with our L2 team than we take WTG Generation trail and found all normal,After we have going to naccelle for inspection for any abnormalities checking work that time pitch error occurred so check all 3 Blade PPD side connection ,QA001 Contactor and it,s Auxiliary switch all ok and we found in Central box 24V not comming so proper check and correct than taken trail done than Started WTG. </t>
  </si>
  <si>
    <t>Turbine stop for Ultrasonic Sensor Alignment work WIP….</t>
  </si>
  <si>
    <t>WTG manual stop for Yaw repeated error work so attend and check all releted than found one yaw caliper leakage so arrange caliper and replace with new one than UPS AC fault warning so solved it than reset and started Turbine.</t>
  </si>
  <si>
    <t>Turbine stop for PC Rectification work so check all blade calibration done than found cooling system coolent low so top up and also done Ultarasonic Sensor Alignment than reset and take trail done than started Turbine.</t>
  </si>
  <si>
    <t>Turbine stop for Ultrasonic Sensor Alignment work done than take trail and started Turbine.</t>
  </si>
  <si>
    <t>Turbine stop for Grid Filter contector Inspection work and it's cable replacement work done than started Turbine.</t>
  </si>
  <si>
    <t>Turbine stop for Hurk10 file Update work at that time Pitch Measuring system 1&lt;&gt;2 error occurred so check event than apply soft reboot than reset and started Turbine.</t>
  </si>
  <si>
    <t>Attend turbine for Rep Max opration Generator lubrication Warning apply manual DO and check pulse but not coming so check luber output pipe side Grease but not coming then found Distribution shock up so Clean properly then applied manual DO and found All normal so we taken trail then started turbine.</t>
  </si>
  <si>
    <t>Attended WTG for blade cleaning , blade Cleaning work completed successfully after Blade No 1 and 2 calibration completed 
And Nacelle coolant filled after the trail so ok then Reset and started Wtg.</t>
  </si>
  <si>
    <t>Feeder#1 Trip in earth Falut/over current.so take trial and charge feeder.</t>
  </si>
  <si>
    <t>After feeder-1 charge found grid voltage is single phasing so check by BOP Team WIP</t>
  </si>
  <si>
    <t>attend And check all related ckt and found cooling fan Mcb Trip so check and no any abnormality so charge MCB then reset and start wtg.</t>
  </si>
  <si>
    <t>WTG manual stop for WTG inspection work</t>
  </si>
  <si>
    <t>We have attend turbine check both temp sensor ohms value found normal then check cable condition, connector in connection then after refix Connector properly and found normal temp so taken Wtg trail then started turbine.</t>
  </si>
  <si>
    <t>attend turbine check both temp sensor cable condition, connector in connection wip.</t>
  </si>
  <si>
    <t>Feeder-1 shutdown for O2- 02 jumper replacement work.</t>
  </si>
  <si>
    <t>After feeder-1 charge found grid voltage is single phasing so check by BOP Team.</t>
  </si>
  <si>
    <t>Feeder#1 Trip in earth Falut/over current.</t>
  </si>
  <si>
    <t>O2-02 Grid loss</t>
  </si>
  <si>
    <t>O2-05 Grid loss</t>
  </si>
  <si>
    <t>O2-25 Grid loss</t>
  </si>
  <si>
    <t>wtg manual stop for repeated error attend and replace altrasonic sensor and realignment work done then start WTG</t>
  </si>
  <si>
    <t>We have attend turbine check temp sensor ohms value found ok but one ohms value is minor different to another one so we replace 2 number outdoor sensor temp normal then take Wtg trail and started turbine. Now under observation.</t>
  </si>
  <si>
    <t>wtg manual stop for repeated error, attend and  done both Ultrasonic alignment than started turbine.</t>
  </si>
  <si>
    <t>wtg manual stop for generator earthing brush warring inspection work  so  Generator Earthing brush replace than started Turbine.</t>
  </si>
  <si>
    <t>Attend and replace  AIO and GIO module after check Wind sensor data then reset and start turbine.</t>
  </si>
  <si>
    <t>during test trial time Ultrasonic value is abnormal so we replace Ultrasonic cable then start wtg now WTG under observation.</t>
  </si>
  <si>
    <t>attend turbine for PC inspection work check All 3 blade Calibration, BLS Sensor cable connection and routing, Nacelle Coolant pressure,All temp sensor, Ultrasonic sensor alignment and Turbine North direction found 11 degree Deviation so correct its. we have further check Bottom coolant pressure after taking generation trail then started turbine.</t>
  </si>
  <si>
    <t>wtg manual stop for yaw caliper replacement work.</t>
  </si>
  <si>
    <t>WTG manual stop for Generator slip ring inspection done. check all power brush and new validated  earthing brush and also track than clean and  refix all brush and nothing abnormally wash there so now it's under observation</t>
  </si>
  <si>
    <t>attend and check all releted circuit and found loose connection on SPD cable so tight it then start WTG.</t>
  </si>
  <si>
    <t xml:space="preserve">WTG manual stop for Generator slip ring inspection work done. </t>
  </si>
  <si>
    <t>Grid Filter contector Inspection. inspection work done then start WTG.</t>
  </si>
  <si>
    <t>WTG Manual Stop for BOP team work.BOP team Work completed then Reset and started Wtg.</t>
  </si>
  <si>
    <t>sky lift installation work complate and inspection not done due to whether condition was not ok  rain and wind is very high so further plane tomorrow( As per 24 hours counted above 8.0 wind speed has been taken to an other category and below 8.0 wind speed is taken to unchedule categories)</t>
  </si>
  <si>
    <t>sky lift installation work complate and inspection not done due to whether condition was not ok  rain and wind is very high so further plane tomorrow( As per 24 hours counted above 8.0 wind speed has been taken to as other category and below 8.0 wind speed is taken as unchedule categories)</t>
  </si>
  <si>
    <t>Today Blade Root TE Joint both top side and bottom side defect grinding work almost complate and tomorrow plan for first layer inspection work.(whether condition was not ok  rain and wind is very high )(As per 24 hours counted above 8.0 wind speed has been taken to as other category and below 8.0 wind speed is taken as unchedule categories)</t>
  </si>
  <si>
    <t>Surface grinding Done and chemfering and Marking WIP (whether condition was not ok  rain and wind is very high )(As per 24 hours counted above 8.0 wind speed has been taken to as other category and below 8.0 wind speed is taken as unchedule categories)</t>
  </si>
  <si>
    <t>whether condition was not ok  rain and wind is very high (As per 24 hours counted above 8.0 wind speed has been taken to another category and below 8.0 wind speed is taken to unchedule categories)</t>
  </si>
  <si>
    <t>whether condition was not ok  rain and wind is very high (As per 24 hours counted above 8.0 wind speed has been taken to as other category and below 8.0 wind speed is taken as unchedule categories)</t>
  </si>
  <si>
    <t>Griding complete and Chamfering Completed (Weather condition was not ok rain and wind was very high)(As per 24 hours counted above 8.0 wind speed has been taken to as other category and below 8.0 wind speed is taken as unchedule categories)</t>
  </si>
  <si>
    <t>Weather condition was not ok rain and wind was very high(As per 24 hours counted above 8.0 wind speed has been taken to as other category and below 8.0 wind speed is taken as unchedule categories)</t>
  </si>
  <si>
    <t>Team work start but at that time heavy rain and wind speed suddenly comes so work not complated so WIP,(As per 24 hours counted above 8.0 wind speed has been taken to as other category and below 8.0 wind speed is taken as unchedule categories)(</t>
  </si>
  <si>
    <t>Today blade repairing work do on root damaged area like sending,Lamination,Quring and Heating work done than WIP,(As per 24 hours counted above 8.0 wind speed has been taken to as other category and below 8.0 wind speed is taken as unchedule categories)</t>
  </si>
  <si>
    <t>After Rain stop work was started and apply heating and putty than WIP…(As per 24 hours counted above 8.0 wind speed has been taken to as other category and below 8.0 wind speed is taken as unchedule categories)</t>
  </si>
  <si>
    <t>Team work start but at that time heavy rain and wind speed suddenly comes so work not complated so WIP,(As per 24 hours counted above 8.0 wind speed has been taken to as other category and below 8.0 wind speed is taken as unchedule categories)</t>
  </si>
  <si>
    <t>After Putty and paint apply blade repairing work done than Dismental SKY lift than reset and start WTG.(As per 24 hours counted above 8.0 wind speed has been taken to as other category and below 8.0 wind speed is taken as unchedule categories)</t>
  </si>
  <si>
    <t>After Putty and paint apply blade repairing work done than Dismental SKY lift WIP.(As per 24 hours counted above 8.0 wind speed has been taken to as other category and below 8.0 wind speed is taken as unchedule categories)</t>
  </si>
  <si>
    <t>WTG manual stop for Grid Filter Contactor inspection work done than started Turbine.</t>
  </si>
  <si>
    <t>WTG manual stop for Generator slip ring inspection work done And Replace Earthing brush after then reset and started wtg.</t>
  </si>
  <si>
    <t>attemd and check related circuit than found 1.7 Ohm resister value not ok in blade no 2 so replace and take trial than start Wtg</t>
  </si>
  <si>
    <t>Attend WTG and check ckt and found the blade bearing lubrication connection broken. Reconnected the lubrication line and applied manual DO. All parameters were found to be normal, so I took the WTG trail and started turbine.</t>
  </si>
  <si>
    <t>attend for repeated pitch error ( battery under voltage) check all related circuit then found axis 2 flat resistor faulty so replace it and check axis 3 found 2 nos chopper resistor faulty so replace it then start wtg.</t>
  </si>
  <si>
    <t xml:space="preserve">WTG Manual Stop for BOP team work in CT PT Bushing Replacement  work. </t>
  </si>
  <si>
    <t>Attend and check error related ckt than check all connection than found failure of power supply than arrange material and replace it also done winch load test then started turbine.</t>
  </si>
  <si>
    <t>Attend and wtg Ultrasonic Laser alignment work(WIP)</t>
  </si>
  <si>
    <t>Attend and wtg ultrasonic Laser alignment work Done than take trial and move down naccle to bottom.</t>
  </si>
  <si>
    <t>Attend and wtg ultrasonic Laser alignment work Done than Grid filter contactor inspection work done then reset and started wtg.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</si>
</sst>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0.0"/>
    <numFmt numFmtId="165" formatCode="[$-409]d/mmm/yy;@"/>
    <numFmt numFmtId="166" formatCode="[$-409]mmm/yy;@"/>
    <numFmt numFmtId="167" formatCode="[$-409]d\-mmm\-yy;@"/>
    <numFmt numFmtId="168" formatCode="_ * #,##0_ ;_ * \-#,##0_ ;_ * &quot;-&quot;??_ ;_ @_ "/>
    <numFmt numFmtId="169" formatCode="0.0%"/>
    <numFmt numFmtId="170" formatCode="h:mm;@"/>
    <numFmt numFmtId="171" formatCode="_(* #,##0_);_(* \(#,##0\);_(* &quot;-&quot;??_);_(@_)"/>
    <numFmt numFmtId="172" formatCode="0.000000000000000%"/>
  </numFmts>
  <fonts count="59">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0"/>
      <name val="Calibri"/>
      <family val="2"/>
      <scheme val="minor"/>
    </font>
    <font>
      <b/>
      <sz val="9"/>
      <color theme="0"/>
      <name val="Calibri"/>
      <family val="2"/>
      <scheme val="minor"/>
    </font>
    <font>
      <sz val="11"/>
      <color indexed="8"/>
      <name val="Calibri"/>
      <family val="2"/>
    </font>
    <font>
      <sz val="11"/>
      <name val="Calibri"/>
      <family val="2"/>
      <scheme val="minor"/>
    </font>
    <font>
      <sz val="11"/>
      <color indexed="8"/>
      <name val="Calibri"/>
      <family val="2"/>
      <charset val="134"/>
    </font>
    <font>
      <b/>
      <sz val="11"/>
      <color theme="0"/>
      <name val="Calibri"/>
      <family val="2"/>
      <scheme val="minor"/>
    </font>
    <font>
      <sz val="8"/>
      <name val="Calibri"/>
      <family val="2"/>
      <scheme val="minor"/>
    </font>
    <font>
      <sz val="11"/>
      <color theme="1"/>
      <name val="Cambria"/>
      <family val="1"/>
    </font>
    <font>
      <u/>
      <sz val="11"/>
      <color theme="10"/>
      <name val="Calibri"/>
      <family val="2"/>
      <scheme val="minor"/>
    </font>
    <font>
      <b/>
      <sz val="10"/>
      <color theme="1"/>
      <name val="Trebuchet MS"/>
      <family val="2"/>
    </font>
    <font>
      <b/>
      <sz val="10"/>
      <name val="Trebuchet MS"/>
      <family val="2"/>
    </font>
    <font>
      <b/>
      <sz val="16"/>
      <color theme="0"/>
      <name val="Calibri"/>
      <family val="2"/>
      <scheme val="minor"/>
    </font>
    <font>
      <b/>
      <sz val="10"/>
      <color theme="0"/>
      <name val="Hadassah Friedlaender"/>
      <family val="1"/>
      <charset val="177"/>
    </font>
    <font>
      <sz val="10"/>
      <name val="Arial"/>
      <family val="2"/>
    </font>
    <font>
      <sz val="10"/>
      <name val="Hadassah Friedlaender"/>
      <family val="1"/>
      <charset val="177"/>
    </font>
    <font>
      <sz val="10"/>
      <color theme="1"/>
      <name val="Hadassah Friedlaender"/>
      <family val="1"/>
      <charset val="177"/>
    </font>
    <font>
      <b/>
      <sz val="10"/>
      <name val="Hadassah Friedlaender"/>
      <family val="1"/>
      <charset val="177"/>
    </font>
    <font>
      <sz val="10"/>
      <name val="Arial"/>
      <family val="2"/>
      <charset val="134"/>
    </font>
    <font>
      <sz val="10"/>
      <color theme="1"/>
      <name val="Cambria"/>
      <family val="1"/>
    </font>
    <font>
      <b/>
      <i/>
      <u/>
      <sz val="11"/>
      <color theme="1"/>
      <name val="Calibri"/>
      <family val="2"/>
      <scheme val="minor"/>
    </font>
    <font>
      <b/>
      <sz val="10"/>
      <name val="Calibri"/>
      <family val="2"/>
    </font>
    <font>
      <sz val="10"/>
      <color rgb="FF000000"/>
      <name val="Cambria"/>
      <family val="1"/>
    </font>
    <font>
      <sz val="11"/>
      <color theme="1"/>
      <name val="Calibri"/>
      <family val="2"/>
    </font>
    <font>
      <sz val="10"/>
      <name val="Trebuchet MS"/>
      <family val="2"/>
    </font>
    <font>
      <sz val="10"/>
      <name val="Palatino Linotype"/>
      <family val="1"/>
    </font>
    <font>
      <sz val="11"/>
      <name val="Calibri"/>
      <family val="2"/>
      <scheme val="minor"/>
    </font>
    <font>
      <sz val="11"/>
      <name val="Calibri"/>
      <family val="2"/>
      <scheme val="minor"/>
    </font>
    <font>
      <sz val="11"/>
      <name val="Calibri"/>
      <family val="2"/>
      <scheme val="minor"/>
    </font>
    <font>
      <sz val="11"/>
      <name val="Calibri"/>
      <family val="2"/>
      <scheme val="minor"/>
    </font>
    <font>
      <sz val="11"/>
      <name val="Calibri"/>
      <family val="2"/>
      <scheme val="minor"/>
    </font>
    <font>
      <sz val="11"/>
      <name val="Calibri"/>
      <family val="2"/>
      <scheme val="minor"/>
    </font>
    <font>
      <sz val="11"/>
      <name val="Calibri"/>
      <family val="2"/>
      <scheme val="minor"/>
    </font>
    <font>
      <sz val="11"/>
      <name val="Calibri"/>
      <family val="2"/>
      <scheme val="minor"/>
    </font>
    <font>
      <sz val="11"/>
      <name val="Calibri"/>
      <family val="2"/>
      <scheme val="minor"/>
    </font>
    <font>
      <b/>
      <sz val="11"/>
      <color theme="1"/>
      <name val="Calibri"/>
      <family val="2"/>
      <scheme val="minor"/>
    </font>
    <font>
      <sz val="11"/>
      <color rgb="FF000000"/>
      <name val="Calibri"/>
      <family val="2"/>
      <scheme val="minor"/>
    </font>
    <font>
      <b/>
      <sz val="11"/>
      <color rgb="FF000000"/>
      <name val="Calibri"/>
      <family val="2"/>
      <scheme val="minor"/>
    </font>
    <font>
      <sz val="11"/>
      <name val="Calibri"/>
      <family val="2"/>
      <scheme val="minor"/>
    </font>
    <font>
      <sz val="11"/>
      <name val="Calibri"/>
      <family val="2"/>
      <scheme val="minor"/>
    </font>
    <font>
      <sz val="11"/>
      <name val="Calibri"/>
      <family val="2"/>
      <scheme val="minor"/>
    </font>
    <font>
      <sz val="11"/>
      <name val="Calibri"/>
      <family val="2"/>
      <scheme val="minor"/>
    </font>
    <font>
      <sz val="11"/>
      <name val="Calibri"/>
      <family val="2"/>
      <scheme val="minor"/>
    </font>
    <font>
      <sz val="11"/>
      <name val="Calibri"/>
      <family val="2"/>
      <scheme val="minor"/>
    </font>
    <font>
      <sz val="11"/>
      <name val="Calibri"/>
      <family val="2"/>
      <scheme val="minor"/>
    </font>
    <font>
      <sz val="11"/>
      <name val="Calibri"/>
      <family val="2"/>
      <scheme val="minor"/>
    </font>
    <font>
      <sz val="11"/>
      <name val="Calibri"/>
      <family val="2"/>
      <scheme val="minor"/>
    </font>
    <font>
      <sz val="11"/>
      <name val="Calibri"/>
      <family val="2"/>
      <scheme val="minor"/>
    </font>
    <font>
      <sz val="11"/>
      <name val="Calibri"/>
      <family val="2"/>
      <scheme val="minor"/>
    </font>
    <font>
      <sz val="11"/>
      <name val="Calibri"/>
      <family val="2"/>
      <scheme val="minor"/>
    </font>
    <font>
      <sz val="11"/>
      <name val="Calibri"/>
      <family val="2"/>
      <scheme val="minor"/>
    </font>
    <font>
      <sz val="11"/>
      <color rgb="FF006100"/>
      <name val="Calibri"/>
      <family val="2"/>
      <scheme val="minor"/>
    </font>
    <font>
      <b/>
      <sz val="12"/>
      <color theme="1"/>
      <name val="Calibri"/>
      <family val="2"/>
      <scheme val="minor"/>
    </font>
    <font>
      <sz val="11"/>
      <name val="Calibri"/>
      <family val="2"/>
      <scheme val="minor"/>
    </font>
    <font>
      <sz val="11"/>
      <name val="Calibri"/>
      <family val="2"/>
      <scheme val="minor"/>
    </font>
    <font>
      <sz val="11"/>
      <name val="Calibri"/>
      <family val="2"/>
      <scheme val="minor"/>
    </font>
  </fonts>
  <fills count="27">
    <fill>
      <patternFill patternType="none"/>
    </fill>
    <fill>
      <patternFill patternType="gray125"/>
    </fill>
    <fill>
      <patternFill patternType="solid">
        <fgColor theme="9" tint="0.79998168889431442"/>
        <bgColor indexed="64"/>
      </patternFill>
    </fill>
    <fill>
      <patternFill patternType="solid">
        <fgColor theme="9"/>
        <bgColor indexed="64"/>
      </patternFill>
    </fill>
    <fill>
      <patternFill patternType="solid">
        <fgColor theme="2"/>
        <bgColor indexed="64"/>
      </patternFill>
    </fill>
    <fill>
      <patternFill patternType="solid">
        <fgColor theme="0"/>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3" tint="0.79998168889431442"/>
        <bgColor indexed="64"/>
      </patternFill>
    </fill>
    <fill>
      <patternFill patternType="solid">
        <fgColor theme="2" tint="-0.249977111117893"/>
        <bgColor indexed="64"/>
      </patternFill>
    </fill>
    <fill>
      <patternFill patternType="solid">
        <fgColor theme="7"/>
        <bgColor indexed="64"/>
      </patternFill>
    </fill>
    <fill>
      <patternFill patternType="solid">
        <fgColor theme="2" tint="-9.9978637043366805E-2"/>
        <bgColor indexed="64"/>
      </patternFill>
    </fill>
    <fill>
      <patternFill patternType="solid">
        <fgColor theme="5"/>
        <bgColor indexed="64"/>
      </patternFill>
    </fill>
    <fill>
      <patternFill patternType="solid">
        <fgColor theme="8"/>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8" tint="-0.249977111117893"/>
        <bgColor indexed="64"/>
      </patternFill>
    </fill>
    <fill>
      <patternFill patternType="solid">
        <fgColor rgb="FFFFFF00"/>
        <bgColor indexed="64"/>
      </patternFill>
    </fill>
    <fill>
      <patternFill patternType="solid">
        <fgColor rgb="FF00B0F0"/>
        <bgColor indexed="64"/>
      </patternFill>
    </fill>
    <fill>
      <patternFill patternType="solid">
        <fgColor theme="4" tint="0.79998168889431442"/>
        <bgColor theme="4" tint="0.79998168889431442"/>
      </patternFill>
    </fill>
    <fill>
      <patternFill patternType="solid">
        <fgColor theme="7" tint="0.39997558519241921"/>
        <bgColor indexed="64"/>
      </patternFill>
    </fill>
    <fill>
      <patternFill patternType="solid">
        <fgColor theme="9" tint="0.59999389629810485"/>
        <bgColor theme="9" tint="0.59999389629810485"/>
      </patternFill>
    </fill>
    <fill>
      <patternFill patternType="solid">
        <fgColor theme="9" tint="0.79998168889431442"/>
        <bgColor theme="9" tint="0.79998168889431442"/>
      </patternFill>
    </fill>
    <fill>
      <patternFill patternType="solid">
        <fgColor theme="4" tint="0.79998168889431442"/>
        <bgColor indexed="64"/>
      </patternFill>
    </fill>
    <fill>
      <patternFill patternType="solid">
        <fgColor theme="8" tint="0.39997558519241921"/>
        <bgColor indexed="64"/>
      </patternFill>
    </fill>
    <fill>
      <patternFill patternType="solid">
        <fgColor rgb="FFE2EFDA"/>
        <bgColor rgb="FF000000"/>
      </patternFill>
    </fill>
    <fill>
      <patternFill patternType="solid">
        <fgColor rgb="FFC6EFCE"/>
      </patternFill>
    </fill>
  </fills>
  <borders count="80">
    <border>
      <left/>
      <right/>
      <top/>
      <bottom/>
      <diagonal/>
    </border>
    <border>
      <left style="dotted">
        <color theme="2" tint="-9.9917600024414813E-2"/>
      </left>
      <right style="dotted">
        <color theme="2" tint="-9.9917600024414813E-2"/>
      </right>
      <top style="dotted">
        <color theme="2" tint="-9.9917600024414813E-2"/>
      </top>
      <bottom style="dotted">
        <color theme="2" tint="-9.9917600024414813E-2"/>
      </bottom>
      <diagonal/>
    </border>
    <border>
      <left/>
      <right style="dotted">
        <color theme="2" tint="-9.9917600024414813E-2"/>
      </right>
      <top/>
      <bottom style="dotted">
        <color theme="2" tint="-9.9917600024414813E-2"/>
      </bottom>
      <diagonal/>
    </border>
    <border>
      <left style="dotted">
        <color theme="2" tint="-9.9917600024414813E-2"/>
      </left>
      <right style="dotted">
        <color theme="2" tint="-9.9917600024414813E-2"/>
      </right>
      <top/>
      <bottom style="dotted">
        <color theme="2" tint="-9.9917600024414813E-2"/>
      </bottom>
      <diagonal/>
    </border>
    <border>
      <left style="dotted">
        <color theme="2" tint="-9.9917600024414813E-2"/>
      </left>
      <right/>
      <top/>
      <bottom style="dotted">
        <color theme="2" tint="-9.9917600024414813E-2"/>
      </bottom>
      <diagonal/>
    </border>
    <border>
      <left style="dotted">
        <color theme="2" tint="-9.9917600024414813E-2"/>
      </left>
      <right/>
      <top style="dotted">
        <color theme="2" tint="-9.9917600024414813E-2"/>
      </top>
      <bottom style="dotted">
        <color theme="2" tint="-9.9917600024414813E-2"/>
      </bottom>
      <diagonal/>
    </border>
    <border>
      <left style="dotted">
        <color theme="2" tint="-9.9917600024414813E-2"/>
      </left>
      <right style="dotted">
        <color theme="2" tint="-9.9917600024414813E-2"/>
      </right>
      <top style="dotted">
        <color theme="2" tint="-9.9917600024414813E-2"/>
      </top>
      <bottom/>
      <diagonal/>
    </border>
    <border>
      <left style="dotted">
        <color theme="2" tint="-9.9917600024414813E-2"/>
      </left>
      <right/>
      <top style="dotted">
        <color theme="2" tint="-9.9917600024414813E-2"/>
      </top>
      <bottom/>
      <diagonal/>
    </border>
    <border>
      <left style="dotted">
        <color theme="2" tint="-9.9948118533890809E-2"/>
      </left>
      <right style="dotted">
        <color theme="2" tint="-9.9948118533890809E-2"/>
      </right>
      <top style="dotted">
        <color theme="2" tint="-9.9948118533890809E-2"/>
      </top>
      <bottom style="dotted">
        <color theme="2" tint="-9.9948118533890809E-2"/>
      </bottom>
      <diagonal/>
    </border>
    <border>
      <left/>
      <right style="dotted">
        <color theme="2" tint="-9.9948118533890809E-2"/>
      </right>
      <top/>
      <bottom style="dotted">
        <color theme="2" tint="-9.9948118533890809E-2"/>
      </bottom>
      <diagonal/>
    </border>
    <border>
      <left style="dotted">
        <color theme="2" tint="-9.9948118533890809E-2"/>
      </left>
      <right style="dotted">
        <color theme="2" tint="-9.9948118533890809E-2"/>
      </right>
      <top/>
      <bottom style="dotted">
        <color theme="2" tint="-9.9948118533890809E-2"/>
      </bottom>
      <diagonal/>
    </border>
    <border>
      <left/>
      <right style="dotted">
        <color theme="2" tint="-9.9948118533890809E-2"/>
      </right>
      <top style="dotted">
        <color theme="2" tint="-9.9948118533890809E-2"/>
      </top>
      <bottom style="dotted">
        <color theme="2" tint="-9.9948118533890809E-2"/>
      </bottom>
      <diagonal/>
    </border>
    <border>
      <left style="thin">
        <color auto="1"/>
      </left>
      <right/>
      <top/>
      <bottom style="thin">
        <color auto="1"/>
      </bottom>
      <diagonal/>
    </border>
    <border>
      <left/>
      <right/>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hair">
        <color theme="5"/>
      </top>
      <bottom style="hair">
        <color theme="5"/>
      </bottom>
      <diagonal/>
    </border>
    <border>
      <left/>
      <right/>
      <top style="hair">
        <color theme="5"/>
      </top>
      <bottom style="hair">
        <color theme="5"/>
      </bottom>
      <diagonal/>
    </border>
    <border>
      <left/>
      <right style="medium">
        <color indexed="64"/>
      </right>
      <top style="hair">
        <color theme="5"/>
      </top>
      <bottom style="hair">
        <color theme="5"/>
      </bottom>
      <diagonal/>
    </border>
    <border>
      <left style="medium">
        <color indexed="64"/>
      </left>
      <right style="double">
        <color theme="5" tint="0.59996337778862885"/>
      </right>
      <top/>
      <bottom style="medium">
        <color indexed="64"/>
      </bottom>
      <diagonal/>
    </border>
    <border>
      <left style="double">
        <color theme="5" tint="0.59996337778862885"/>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double">
        <color theme="5" tint="0.59996337778862885"/>
      </left>
      <right style="double">
        <color theme="5" tint="0.59996337778862885"/>
      </right>
      <top/>
      <bottom/>
      <diagonal/>
    </border>
    <border>
      <left style="medium">
        <color indexed="64"/>
      </left>
      <right style="hair">
        <color theme="5"/>
      </right>
      <top style="medium">
        <color indexed="64"/>
      </top>
      <bottom style="medium">
        <color indexed="64"/>
      </bottom>
      <diagonal/>
    </border>
    <border>
      <left style="hair">
        <color theme="5"/>
      </left>
      <right style="hair">
        <color theme="5"/>
      </right>
      <top style="medium">
        <color indexed="64"/>
      </top>
      <bottom style="medium">
        <color indexed="64"/>
      </bottom>
      <diagonal/>
    </border>
    <border>
      <left style="hair">
        <color theme="5"/>
      </left>
      <right style="medium">
        <color indexed="64"/>
      </right>
      <top style="medium">
        <color indexed="64"/>
      </top>
      <bottom style="medium">
        <color indexed="64"/>
      </bottom>
      <diagonal/>
    </border>
    <border>
      <left style="hair">
        <color theme="5"/>
      </left>
      <right style="hair">
        <color theme="5"/>
      </right>
      <top style="medium">
        <color indexed="64"/>
      </top>
      <bottom style="hair">
        <color theme="5"/>
      </bottom>
      <diagonal/>
    </border>
    <border>
      <left style="hair">
        <color theme="5"/>
      </left>
      <right style="medium">
        <color indexed="64"/>
      </right>
      <top style="medium">
        <color indexed="64"/>
      </top>
      <bottom style="hair">
        <color theme="5"/>
      </bottom>
      <diagonal/>
    </border>
    <border>
      <left style="hair">
        <color theme="5"/>
      </left>
      <right style="hair">
        <color theme="5"/>
      </right>
      <top style="hair">
        <color theme="5"/>
      </top>
      <bottom style="hair">
        <color theme="5"/>
      </bottom>
      <diagonal/>
    </border>
    <border>
      <left style="hair">
        <color theme="5"/>
      </left>
      <right style="medium">
        <color indexed="64"/>
      </right>
      <top style="hair">
        <color theme="5"/>
      </top>
      <bottom style="hair">
        <color theme="5"/>
      </bottom>
      <diagonal/>
    </border>
    <border>
      <left style="hair">
        <color theme="5"/>
      </left>
      <right style="hair">
        <color theme="5"/>
      </right>
      <top style="hair">
        <color theme="5"/>
      </top>
      <bottom style="medium">
        <color indexed="64"/>
      </bottom>
      <diagonal/>
    </border>
    <border>
      <left style="hair">
        <color theme="5"/>
      </left>
      <right style="medium">
        <color indexed="64"/>
      </right>
      <top style="hair">
        <color theme="5"/>
      </top>
      <bottom style="medium">
        <color indexed="64"/>
      </bottom>
      <diagonal/>
    </border>
    <border>
      <left style="medium">
        <color indexed="64"/>
      </left>
      <right style="hair">
        <color theme="5"/>
      </right>
      <top style="medium">
        <color indexed="64"/>
      </top>
      <bottom/>
      <diagonal/>
    </border>
    <border>
      <left style="medium">
        <color indexed="64"/>
      </left>
      <right style="hair">
        <color theme="5"/>
      </right>
      <top/>
      <bottom/>
      <diagonal/>
    </border>
    <border>
      <left style="medium">
        <color indexed="64"/>
      </left>
      <right style="hair">
        <color theme="5"/>
      </right>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indexed="64"/>
      </left>
      <right style="thin">
        <color indexed="64"/>
      </right>
      <top style="thin">
        <color indexed="64"/>
      </top>
      <bottom style="thin">
        <color theme="4" tint="0.39997558519241921"/>
      </bottom>
      <diagonal/>
    </border>
    <border>
      <left style="dotted">
        <color theme="2" tint="-9.9917600024414813E-2"/>
      </left>
      <right style="dotted">
        <color theme="2" tint="-9.9917600024414813E-2"/>
      </right>
      <top/>
      <bottom/>
      <diagonal/>
    </border>
    <border>
      <left style="medium">
        <color indexed="64"/>
      </left>
      <right style="medium">
        <color indexed="64"/>
      </right>
      <top/>
      <bottom style="medium">
        <color indexed="64"/>
      </bottom>
      <diagonal/>
    </border>
    <border>
      <left style="dotted">
        <color theme="2" tint="-9.9948118533890809E-2"/>
      </left>
      <right style="dotted">
        <color theme="2" tint="-9.9948118533890809E-2"/>
      </right>
      <top/>
      <bottom/>
      <diagonal/>
    </border>
    <border>
      <left/>
      <right style="thin">
        <color indexed="64"/>
      </right>
      <top/>
      <bottom/>
      <diagonal/>
    </border>
    <border>
      <left style="thin">
        <color auto="1"/>
      </left>
      <right style="thin">
        <color auto="1"/>
      </right>
      <top style="thin">
        <color auto="1"/>
      </top>
      <bottom style="thin">
        <color auto="1"/>
      </bottom>
      <diagonal/>
    </border>
    <border>
      <left/>
      <right style="dotted">
        <color theme="2" tint="-9.9917600024414813E-2"/>
      </right>
      <top style="dotted">
        <color theme="2" tint="-9.9917600024414813E-2"/>
      </top>
      <bottom/>
      <diagonal/>
    </border>
    <border>
      <left style="dotted">
        <color auto="1"/>
      </left>
      <right style="dotted">
        <color auto="1"/>
      </right>
      <top/>
      <bottom style="dotted">
        <color auto="1"/>
      </bottom>
      <diagonal/>
    </border>
    <border>
      <left/>
      <right style="thin">
        <color theme="0"/>
      </right>
      <top style="thin">
        <color theme="0"/>
      </top>
      <bottom style="thin">
        <color theme="0"/>
      </bottom>
      <diagonal/>
    </border>
    <border>
      <left/>
      <right/>
      <top/>
      <bottom style="thin">
        <color theme="4" tint="0.39997558519241921"/>
      </bottom>
      <diagonal/>
    </border>
    <border>
      <left/>
      <right/>
      <top style="thin">
        <color theme="4" tint="0.39997558519241921"/>
      </top>
      <bottom style="thin">
        <color theme="4" tint="0.39997558519241921"/>
      </bottom>
      <diagonal/>
    </border>
    <border>
      <left/>
      <right/>
      <top style="thin">
        <color theme="4" tint="0.39997558519241921"/>
      </top>
      <bottom/>
      <diagonal/>
    </border>
    <border>
      <left/>
      <right style="dotted">
        <color auto="1"/>
      </right>
      <top/>
      <bottom style="dotted">
        <color auto="1"/>
      </bottom>
      <diagonal/>
    </border>
    <border>
      <left style="hair">
        <color theme="5"/>
      </left>
      <right style="thin">
        <color indexed="64"/>
      </right>
      <top style="medium">
        <color indexed="64"/>
      </top>
      <bottom style="hair">
        <color theme="5"/>
      </bottom>
      <diagonal/>
    </border>
    <border>
      <left style="hair">
        <color theme="5"/>
      </left>
      <right style="thin">
        <color indexed="64"/>
      </right>
      <top style="hair">
        <color theme="5"/>
      </top>
      <bottom style="hair">
        <color theme="5"/>
      </bottom>
      <diagonal/>
    </border>
    <border>
      <left style="hair">
        <color theme="5"/>
      </left>
      <right style="thin">
        <color indexed="64"/>
      </right>
      <top style="hair">
        <color theme="5"/>
      </top>
      <bottom style="medium">
        <color indexed="64"/>
      </bottom>
      <diagonal/>
    </border>
    <border>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thin">
        <color auto="1"/>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indexed="64"/>
      </bottom>
      <diagonal/>
    </border>
    <border>
      <left style="medium">
        <color indexed="64"/>
      </left>
      <right style="thin">
        <color auto="1"/>
      </right>
      <top/>
      <bottom/>
      <diagonal/>
    </border>
    <border>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top/>
      <bottom/>
      <diagonal/>
    </border>
    <border>
      <left style="medium">
        <color indexed="64"/>
      </left>
      <right/>
      <top/>
      <bottom style="medium">
        <color indexed="64"/>
      </bottom>
      <diagonal/>
    </border>
    <border>
      <left/>
      <right style="thin">
        <color theme="0"/>
      </right>
      <top/>
      <bottom style="thick">
        <color theme="0"/>
      </bottom>
      <diagonal/>
    </border>
    <border>
      <left style="thin">
        <color theme="0"/>
      </left>
      <right style="thin">
        <color theme="0"/>
      </right>
      <top/>
      <bottom style="thick">
        <color theme="0"/>
      </bottom>
      <diagonal/>
    </border>
    <border>
      <left style="dotted">
        <color theme="2" tint="-9.9948118533890809E-2"/>
      </left>
      <right/>
      <top style="dotted">
        <color theme="2" tint="-9.9948118533890809E-2"/>
      </top>
      <bottom style="dotted">
        <color theme="2" tint="-9.9948118533890809E-2"/>
      </bottom>
      <diagonal/>
    </border>
    <border>
      <left style="dotted">
        <color theme="2" tint="-9.9948118533890809E-2"/>
      </left>
      <right style="dotted">
        <color theme="2" tint="-9.9948118533890809E-2"/>
      </right>
      <top style="dotted">
        <color theme="2" tint="-9.9948118533890809E-2"/>
      </top>
      <bottom/>
      <diagonal/>
    </border>
    <border>
      <left style="dotted">
        <color theme="2" tint="-9.9948118533890809E-2"/>
      </left>
      <right/>
      <top style="dotted">
        <color theme="2" tint="-9.9948118533890809E-2"/>
      </top>
      <bottom/>
      <diagonal/>
    </border>
  </borders>
  <cellStyleXfs count="54784">
    <xf numFmtId="0" fontId="0" fillId="0" borderId="0"/>
    <xf numFmtId="43"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0" fontId="8" fillId="0" borderId="0">
      <alignment vertical="center"/>
    </xf>
    <xf numFmtId="0" fontId="12" fillId="0" borderId="0" applyNumberFormat="0" applyFill="0" applyBorder="0" applyAlignment="0" applyProtection="0"/>
    <xf numFmtId="0" fontId="17" fillId="0" borderId="0"/>
    <xf numFmtId="9" fontId="8" fillId="0" borderId="0" applyFont="0" applyFill="0" applyBorder="0" applyAlignment="0" applyProtection="0">
      <alignment vertical="center"/>
    </xf>
    <xf numFmtId="0" fontId="21" fillId="0" borderId="0">
      <alignment vertical="center"/>
    </xf>
    <xf numFmtId="43" fontId="8"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0" fontId="1" fillId="0" borderId="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54" fillId="26" borderId="0" applyNumberFormat="0" applyBorder="0" applyAlignment="0" applyProtection="0"/>
  </cellStyleXfs>
  <cellXfs count="659">
    <xf numFmtId="0" fontId="0" fillId="0" borderId="0" xfId="0"/>
    <xf numFmtId="0" fontId="0" fillId="0" borderId="0" xfId="0" applyAlignment="1">
      <alignment horizontal="center"/>
    </xf>
    <xf numFmtId="1" fontId="0" fillId="0" borderId="0" xfId="0" applyNumberFormat="1"/>
    <xf numFmtId="0" fontId="0" fillId="2" borderId="0" xfId="0" applyFill="1" applyAlignment="1">
      <alignment horizontal="centerContinuous"/>
    </xf>
    <xf numFmtId="0" fontId="0" fillId="6" borderId="0" xfId="0" applyFill="1" applyAlignment="1">
      <alignment horizontal="centerContinuous"/>
    </xf>
    <xf numFmtId="0" fontId="0" fillId="4" borderId="0" xfId="0" applyFill="1" applyAlignment="1">
      <alignment horizontal="centerContinuous"/>
    </xf>
    <xf numFmtId="0" fontId="7" fillId="8" borderId="0" xfId="0" applyFont="1" applyFill="1" applyAlignment="1">
      <alignment horizontal="centerContinuous"/>
    </xf>
    <xf numFmtId="165" fontId="5" fillId="3" borderId="2" xfId="0" applyNumberFormat="1" applyFont="1" applyFill="1" applyBorder="1" applyAlignment="1">
      <alignment horizontal="center" vertical="center" wrapText="1"/>
    </xf>
    <xf numFmtId="0" fontId="5" fillId="3" borderId="3" xfId="0" applyFont="1" applyFill="1" applyBorder="1" applyAlignment="1">
      <alignment horizontal="center" vertical="center" wrapText="1"/>
    </xf>
    <xf numFmtId="10" fontId="5" fillId="3" borderId="3" xfId="3" applyNumberFormat="1" applyFont="1" applyFill="1" applyBorder="1" applyAlignment="1">
      <alignment horizontal="center" vertical="center" wrapText="1"/>
    </xf>
    <xf numFmtId="10" fontId="5" fillId="3" borderId="4" xfId="3" applyNumberFormat="1" applyFont="1" applyFill="1" applyBorder="1" applyAlignment="1">
      <alignment horizontal="center" vertical="center" wrapText="1"/>
    </xf>
    <xf numFmtId="0" fontId="7" fillId="7" borderId="1" xfId="0" applyFont="1" applyFill="1" applyBorder="1" applyAlignment="1">
      <alignment horizontal="center"/>
    </xf>
    <xf numFmtId="166" fontId="7" fillId="7" borderId="1" xfId="0" applyNumberFormat="1" applyFont="1" applyFill="1" applyBorder="1" applyAlignment="1">
      <alignment horizontal="center"/>
    </xf>
    <xf numFmtId="1" fontId="7" fillId="0" borderId="1" xfId="3" applyNumberFormat="1" applyFont="1" applyFill="1" applyBorder="1" applyAlignment="1">
      <alignment horizontal="center"/>
    </xf>
    <xf numFmtId="164" fontId="7" fillId="0" borderId="1" xfId="3" applyNumberFormat="1" applyFont="1" applyFill="1" applyBorder="1" applyAlignment="1">
      <alignment horizontal="center"/>
    </xf>
    <xf numFmtId="168" fontId="7" fillId="7" borderId="1" xfId="1" applyNumberFormat="1" applyFont="1" applyFill="1" applyBorder="1" applyAlignment="1">
      <alignment horizontal="center"/>
    </xf>
    <xf numFmtId="0" fontId="7" fillId="7" borderId="6" xfId="0" applyFont="1" applyFill="1" applyBorder="1" applyAlignment="1">
      <alignment horizontal="center"/>
    </xf>
    <xf numFmtId="166" fontId="7" fillId="7" borderId="6" xfId="0" applyNumberFormat="1" applyFont="1" applyFill="1" applyBorder="1" applyAlignment="1">
      <alignment horizontal="center"/>
    </xf>
    <xf numFmtId="1" fontId="7" fillId="0" borderId="6" xfId="3" applyNumberFormat="1" applyFont="1" applyFill="1" applyBorder="1" applyAlignment="1">
      <alignment horizontal="center"/>
    </xf>
    <xf numFmtId="0" fontId="12" fillId="0" borderId="0" xfId="5"/>
    <xf numFmtId="10" fontId="0" fillId="0" borderId="0" xfId="2" applyNumberFormat="1" applyFont="1" applyAlignment="1">
      <alignment horizontal="center"/>
    </xf>
    <xf numFmtId="0" fontId="5" fillId="3" borderId="10" xfId="0" applyFont="1" applyFill="1" applyBorder="1" applyAlignment="1">
      <alignment horizontal="center" vertical="center" wrapText="1"/>
    </xf>
    <xf numFmtId="0" fontId="0" fillId="7" borderId="8" xfId="0" applyFill="1" applyBorder="1" applyAlignment="1">
      <alignment horizontal="center"/>
    </xf>
    <xf numFmtId="2" fontId="11" fillId="7" borderId="8" xfId="0" applyNumberFormat="1" applyFont="1" applyFill="1" applyBorder="1" applyAlignment="1">
      <alignment horizontal="center"/>
    </xf>
    <xf numFmtId="0" fontId="13" fillId="9" borderId="9" xfId="0" applyFont="1" applyFill="1" applyBorder="1" applyAlignment="1">
      <alignment horizontal="center" vertical="center"/>
    </xf>
    <xf numFmtId="0" fontId="13" fillId="9" borderId="10" xfId="0" applyFont="1" applyFill="1" applyBorder="1" applyAlignment="1">
      <alignment horizontal="center" vertical="center"/>
    </xf>
    <xf numFmtId="0" fontId="14" fillId="9" borderId="10" xfId="0" applyFont="1" applyFill="1" applyBorder="1" applyAlignment="1">
      <alignment horizontal="center" vertical="center" wrapText="1"/>
    </xf>
    <xf numFmtId="14" fontId="0" fillId="7" borderId="11" xfId="0" applyNumberFormat="1" applyFill="1" applyBorder="1" applyAlignment="1">
      <alignment horizontal="center"/>
    </xf>
    <xf numFmtId="1" fontId="0" fillId="7" borderId="8" xfId="0" applyNumberFormat="1" applyFill="1" applyBorder="1" applyAlignment="1">
      <alignment horizontal="center"/>
    </xf>
    <xf numFmtId="17" fontId="0" fillId="7" borderId="8" xfId="0" applyNumberFormat="1" applyFill="1" applyBorder="1" applyAlignment="1">
      <alignment horizontal="center"/>
    </xf>
    <xf numFmtId="164" fontId="0" fillId="7" borderId="8" xfId="0" applyNumberFormat="1" applyFill="1" applyBorder="1" applyAlignment="1">
      <alignment horizontal="center"/>
    </xf>
    <xf numFmtId="169" fontId="0" fillId="7" borderId="8" xfId="2" applyNumberFormat="1" applyFont="1" applyFill="1" applyBorder="1"/>
    <xf numFmtId="0" fontId="0" fillId="10" borderId="0" xfId="0" applyFill="1" applyAlignment="1">
      <alignment vertical="center"/>
    </xf>
    <xf numFmtId="15" fontId="0" fillId="11" borderId="0" xfId="0" applyNumberFormat="1" applyFill="1" applyAlignment="1">
      <alignment horizontal="center" vertical="center"/>
    </xf>
    <xf numFmtId="0" fontId="4" fillId="0" borderId="0" xfId="0" applyFont="1"/>
    <xf numFmtId="0" fontId="0" fillId="0" borderId="0" xfId="0" applyAlignment="1">
      <alignment vertical="center"/>
    </xf>
    <xf numFmtId="10" fontId="0" fillId="0" borderId="0" xfId="2" applyNumberFormat="1" applyFont="1"/>
    <xf numFmtId="0" fontId="0" fillId="0" borderId="0" xfId="0" applyAlignment="1">
      <alignment horizontal="center"/>
    </xf>
    <xf numFmtId="0" fontId="0" fillId="0" borderId="0" xfId="0"/>
    <xf numFmtId="0" fontId="0" fillId="0" borderId="0" xfId="0" applyAlignment="1">
      <alignment horizontal="right"/>
    </xf>
    <xf numFmtId="0" fontId="16" fillId="16" borderId="17" xfId="0" applyFont="1" applyFill="1" applyBorder="1"/>
    <xf numFmtId="166" fontId="18" fillId="5" borderId="18" xfId="6" applyNumberFormat="1" applyFont="1" applyFill="1" applyBorder="1" applyAlignment="1">
      <alignment horizontal="left" vertical="center"/>
    </xf>
    <xf numFmtId="166" fontId="18" fillId="5" borderId="18" xfId="6" applyNumberFormat="1" applyFont="1" applyFill="1" applyBorder="1" applyAlignment="1">
      <alignment vertical="center"/>
    </xf>
    <xf numFmtId="166" fontId="18" fillId="5" borderId="19" xfId="6" applyNumberFormat="1" applyFont="1" applyFill="1" applyBorder="1" applyAlignment="1">
      <alignment vertical="center"/>
    </xf>
    <xf numFmtId="165" fontId="18" fillId="5" borderId="18" xfId="6" applyNumberFormat="1" applyFont="1" applyFill="1" applyBorder="1" applyAlignment="1">
      <alignment horizontal="left" vertical="center"/>
    </xf>
    <xf numFmtId="0" fontId="10" fillId="0" borderId="0" xfId="6" applyFont="1" applyAlignment="1">
      <alignment horizontal="center" vertical="center"/>
    </xf>
    <xf numFmtId="0" fontId="0" fillId="0" borderId="0" xfId="0" applyAlignment="1">
      <alignment vertical="center"/>
    </xf>
    <xf numFmtId="0" fontId="16" fillId="16" borderId="20" xfId="0" applyFont="1" applyFill="1" applyBorder="1"/>
    <xf numFmtId="165" fontId="18" fillId="5" borderId="21" xfId="6" applyNumberFormat="1" applyFont="1" applyFill="1" applyBorder="1" applyAlignment="1">
      <alignment horizontal="left" vertical="center"/>
    </xf>
    <xf numFmtId="166" fontId="18" fillId="5" borderId="22" xfId="6" applyNumberFormat="1" applyFont="1" applyFill="1" applyBorder="1" applyAlignment="1">
      <alignment vertical="center"/>
    </xf>
    <xf numFmtId="166" fontId="18" fillId="5" borderId="23" xfId="6" applyNumberFormat="1" applyFont="1" applyFill="1" applyBorder="1" applyAlignment="1">
      <alignment vertical="center"/>
    </xf>
    <xf numFmtId="0" fontId="19" fillId="5" borderId="24" xfId="0" applyFont="1" applyFill="1" applyBorder="1"/>
    <xf numFmtId="165" fontId="20" fillId="5" borderId="24" xfId="6" applyNumberFormat="1" applyFont="1" applyFill="1" applyBorder="1" applyAlignment="1">
      <alignment horizontal="left" vertical="center"/>
    </xf>
    <xf numFmtId="0" fontId="16" fillId="16" borderId="25" xfId="0" applyFont="1" applyFill="1" applyBorder="1" applyAlignment="1">
      <alignment horizontal="center" vertical="center" wrapText="1"/>
    </xf>
    <xf numFmtId="0" fontId="16" fillId="16" borderId="26" xfId="0" applyFont="1" applyFill="1" applyBorder="1" applyAlignment="1">
      <alignment horizontal="center" vertical="center" wrapText="1"/>
    </xf>
    <xf numFmtId="0" fontId="16" fillId="16" borderId="27" xfId="0" applyFont="1" applyFill="1" applyBorder="1" applyAlignment="1">
      <alignment horizontal="center" vertical="center" wrapText="1"/>
    </xf>
    <xf numFmtId="0" fontId="19" fillId="5" borderId="28" xfId="0" applyFont="1" applyFill="1" applyBorder="1"/>
    <xf numFmtId="1" fontId="18" fillId="5" borderId="28" xfId="2" applyNumberFormat="1" applyFont="1" applyFill="1" applyBorder="1" applyAlignment="1">
      <alignment horizontal="center" vertical="center"/>
    </xf>
    <xf numFmtId="1" fontId="19" fillId="5" borderId="28" xfId="2" applyNumberFormat="1" applyFont="1" applyFill="1" applyBorder="1" applyAlignment="1">
      <alignment horizontal="center"/>
    </xf>
    <xf numFmtId="10" fontId="19" fillId="5" borderId="28" xfId="7" applyNumberFormat="1" applyFont="1" applyFill="1" applyBorder="1" applyAlignment="1">
      <alignment horizontal="center"/>
    </xf>
    <xf numFmtId="0" fontId="19" fillId="5" borderId="30" xfId="0" applyFont="1" applyFill="1" applyBorder="1"/>
    <xf numFmtId="1" fontId="18" fillId="5" borderId="30" xfId="2" applyNumberFormat="1" applyFont="1" applyFill="1" applyBorder="1" applyAlignment="1">
      <alignment horizontal="center" vertical="center"/>
    </xf>
    <xf numFmtId="1" fontId="19" fillId="5" borderId="30" xfId="2" applyNumberFormat="1" applyFont="1" applyFill="1" applyBorder="1" applyAlignment="1">
      <alignment horizontal="center"/>
    </xf>
    <xf numFmtId="10" fontId="19" fillId="5" borderId="30" xfId="7" applyNumberFormat="1" applyFont="1" applyFill="1" applyBorder="1" applyAlignment="1">
      <alignment horizontal="center"/>
    </xf>
    <xf numFmtId="0" fontId="19" fillId="5" borderId="32" xfId="0" applyFont="1" applyFill="1" applyBorder="1"/>
    <xf numFmtId="1" fontId="18" fillId="5" borderId="32" xfId="2" applyNumberFormat="1" applyFont="1" applyFill="1" applyBorder="1" applyAlignment="1">
      <alignment horizontal="center" vertical="center"/>
    </xf>
    <xf numFmtId="1" fontId="19" fillId="5" borderId="32" xfId="2" applyNumberFormat="1" applyFont="1" applyFill="1" applyBorder="1" applyAlignment="1">
      <alignment horizontal="center"/>
    </xf>
    <xf numFmtId="10" fontId="19" fillId="5" borderId="32" xfId="7" applyNumberFormat="1" applyFont="1" applyFill="1" applyBorder="1" applyAlignment="1">
      <alignment horizontal="center"/>
    </xf>
    <xf numFmtId="164" fontId="18" fillId="5" borderId="28" xfId="2" applyNumberFormat="1" applyFont="1" applyFill="1" applyBorder="1" applyAlignment="1">
      <alignment horizontal="center" vertical="center"/>
    </xf>
    <xf numFmtId="164" fontId="19" fillId="5" borderId="28" xfId="2" applyNumberFormat="1" applyFont="1" applyFill="1" applyBorder="1" applyAlignment="1">
      <alignment horizontal="center"/>
    </xf>
    <xf numFmtId="164" fontId="18" fillId="5" borderId="30" xfId="2" applyNumberFormat="1" applyFont="1" applyFill="1" applyBorder="1" applyAlignment="1">
      <alignment horizontal="center" vertical="center"/>
    </xf>
    <xf numFmtId="164" fontId="19" fillId="5" borderId="30" xfId="2" applyNumberFormat="1" applyFont="1" applyFill="1" applyBorder="1" applyAlignment="1">
      <alignment horizontal="center"/>
    </xf>
    <xf numFmtId="164" fontId="18" fillId="5" borderId="32" xfId="2" applyNumberFormat="1" applyFont="1" applyFill="1" applyBorder="1" applyAlignment="1">
      <alignment horizontal="center" vertical="center"/>
    </xf>
    <xf numFmtId="164" fontId="19" fillId="5" borderId="32" xfId="2" applyNumberFormat="1" applyFont="1" applyFill="1" applyBorder="1" applyAlignment="1">
      <alignment horizontal="center"/>
    </xf>
    <xf numFmtId="169" fontId="18" fillId="5" borderId="28" xfId="2" applyNumberFormat="1" applyFont="1" applyFill="1" applyBorder="1" applyAlignment="1">
      <alignment horizontal="center" vertical="center"/>
    </xf>
    <xf numFmtId="169" fontId="19" fillId="5" borderId="28" xfId="2" applyNumberFormat="1" applyFont="1" applyFill="1" applyBorder="1" applyAlignment="1">
      <alignment horizontal="center"/>
    </xf>
    <xf numFmtId="169" fontId="18" fillId="5" borderId="30" xfId="2" applyNumberFormat="1" applyFont="1" applyFill="1" applyBorder="1" applyAlignment="1">
      <alignment horizontal="center" vertical="center"/>
    </xf>
    <xf numFmtId="169" fontId="19" fillId="5" borderId="30" xfId="2" applyNumberFormat="1" applyFont="1" applyFill="1" applyBorder="1" applyAlignment="1">
      <alignment horizontal="center"/>
    </xf>
    <xf numFmtId="169" fontId="18" fillId="5" borderId="32" xfId="2" applyNumberFormat="1" applyFont="1" applyFill="1" applyBorder="1" applyAlignment="1">
      <alignment horizontal="center" vertical="center"/>
    </xf>
    <xf numFmtId="169" fontId="19" fillId="5" borderId="32" xfId="2" applyNumberFormat="1" applyFont="1" applyFill="1" applyBorder="1" applyAlignment="1">
      <alignment horizontal="center"/>
    </xf>
    <xf numFmtId="20" fontId="0" fillId="0" borderId="0" xfId="0" applyNumberFormat="1"/>
    <xf numFmtId="43" fontId="0" fillId="0" borderId="0" xfId="0" applyNumberFormat="1"/>
    <xf numFmtId="0" fontId="0" fillId="10" borderId="37" xfId="0" applyFill="1" applyBorder="1" applyAlignment="1">
      <alignment vertical="center"/>
    </xf>
    <xf numFmtId="15" fontId="0" fillId="11" borderId="37" xfId="0" applyNumberFormat="1" applyFill="1" applyBorder="1" applyAlignment="1">
      <alignment horizontal="center" vertical="center"/>
    </xf>
    <xf numFmtId="0" fontId="0" fillId="0" borderId="38" xfId="0" applyBorder="1" applyAlignment="1">
      <alignment horizontal="left" vertical="top"/>
    </xf>
    <xf numFmtId="16" fontId="0" fillId="0" borderId="0" xfId="0" applyNumberFormat="1"/>
    <xf numFmtId="16" fontId="8" fillId="0" borderId="8" xfId="4" applyNumberFormat="1" applyBorder="1" applyAlignment="1">
      <alignment horizontal="left"/>
    </xf>
    <xf numFmtId="1" fontId="5" fillId="3" borderId="3" xfId="0" applyNumberFormat="1" applyFont="1" applyFill="1" applyBorder="1" applyAlignment="1">
      <alignment horizontal="center" vertical="center" wrapText="1"/>
    </xf>
    <xf numFmtId="10" fontId="5" fillId="3" borderId="3" xfId="0" applyNumberFormat="1" applyFont="1" applyFill="1" applyBorder="1" applyAlignment="1">
      <alignment horizontal="center" vertical="center" wrapText="1"/>
    </xf>
    <xf numFmtId="1" fontId="7" fillId="0" borderId="1" xfId="1" applyNumberFormat="1" applyFont="1" applyFill="1" applyBorder="1" applyAlignment="1">
      <alignment horizontal="center"/>
    </xf>
    <xf numFmtId="164" fontId="7" fillId="0" borderId="6" xfId="3" applyNumberFormat="1" applyFont="1" applyFill="1" applyBorder="1" applyAlignment="1">
      <alignment horizontal="center"/>
    </xf>
    <xf numFmtId="168" fontId="7" fillId="7" borderId="6" xfId="1" applyNumberFormat="1" applyFont="1" applyFill="1" applyBorder="1" applyAlignment="1">
      <alignment horizontal="center"/>
    </xf>
    <xf numFmtId="0" fontId="0" fillId="17" borderId="0" xfId="0" applyFill="1"/>
    <xf numFmtId="0" fontId="0" fillId="18" borderId="0" xfId="0" applyFill="1"/>
    <xf numFmtId="0" fontId="0" fillId="0" borderId="39" xfId="0" applyBorder="1" applyAlignment="1">
      <alignment horizontal="left"/>
    </xf>
    <xf numFmtId="0" fontId="0" fillId="0" borderId="39" xfId="0" applyBorder="1"/>
    <xf numFmtId="1" fontId="7" fillId="0" borderId="1" xfId="1" applyNumberFormat="1" applyFont="1" applyFill="1" applyBorder="1" applyAlignment="1">
      <alignment horizontal="center"/>
    </xf>
    <xf numFmtId="10" fontId="5" fillId="3" borderId="40" xfId="3" applyNumberFormat="1" applyFont="1" applyFill="1" applyBorder="1" applyAlignment="1">
      <alignment horizontal="center" vertical="center" wrapText="1"/>
    </xf>
    <xf numFmtId="0" fontId="25" fillId="0" borderId="41" xfId="0" applyFont="1" applyBorder="1" applyAlignment="1">
      <alignment vertical="center"/>
    </xf>
    <xf numFmtId="10" fontId="7" fillId="0" borderId="1" xfId="1" applyNumberFormat="1" applyFont="1" applyFill="1" applyBorder="1" applyAlignment="1">
      <alignment horizontal="center"/>
    </xf>
    <xf numFmtId="172" fontId="0" fillId="0" borderId="0" xfId="0" applyNumberFormat="1"/>
    <xf numFmtId="2" fontId="0" fillId="7" borderId="8" xfId="0" applyNumberFormat="1" applyFill="1" applyBorder="1" applyAlignment="1">
      <alignment horizontal="center"/>
    </xf>
    <xf numFmtId="0" fontId="0" fillId="0" borderId="0" xfId="0" applyAlignment="1">
      <alignment horizontal="center" vertical="center"/>
    </xf>
    <xf numFmtId="0" fontId="5" fillId="3" borderId="42" xfId="0" applyFont="1" applyFill="1" applyBorder="1" applyAlignment="1">
      <alignment horizontal="center" vertical="center" wrapText="1"/>
    </xf>
    <xf numFmtId="1" fontId="0" fillId="0" borderId="0" xfId="1" applyNumberFormat="1" applyFont="1" applyAlignment="1">
      <alignment horizontal="center"/>
    </xf>
    <xf numFmtId="0" fontId="0" fillId="0" borderId="43" xfId="0" applyBorder="1" applyAlignment="1">
      <alignment horizontal="center"/>
    </xf>
    <xf numFmtId="0" fontId="27" fillId="9" borderId="10" xfId="0" applyFont="1" applyFill="1" applyBorder="1" applyAlignment="1">
      <alignment horizontal="center" vertical="center" wrapText="1"/>
    </xf>
    <xf numFmtId="43" fontId="0" fillId="0" borderId="0" xfId="1" applyFont="1" applyAlignment="1">
      <alignment horizontal="center"/>
    </xf>
    <xf numFmtId="43" fontId="14" fillId="9" borderId="10" xfId="1" applyFont="1" applyFill="1" applyBorder="1" applyAlignment="1">
      <alignment horizontal="center" vertical="center" wrapText="1"/>
    </xf>
    <xf numFmtId="43" fontId="0" fillId="7" borderId="0" xfId="1" applyFont="1" applyFill="1" applyBorder="1"/>
    <xf numFmtId="43" fontId="0" fillId="0" borderId="0" xfId="1" applyFont="1"/>
    <xf numFmtId="9" fontId="7" fillId="7" borderId="5" xfId="2" applyFont="1" applyFill="1" applyBorder="1" applyAlignment="1">
      <alignment horizontal="center"/>
    </xf>
    <xf numFmtId="0" fontId="0" fillId="0" borderId="44" xfId="0" applyBorder="1" applyAlignment="1">
      <alignment horizontal="left"/>
    </xf>
    <xf numFmtId="0" fontId="9" fillId="13" borderId="44" xfId="0" applyFont="1" applyFill="1" applyBorder="1" applyAlignment="1">
      <alignment vertical="center"/>
    </xf>
    <xf numFmtId="0" fontId="9" fillId="13" borderId="44" xfId="0" applyFont="1" applyFill="1" applyBorder="1" applyAlignment="1">
      <alignment horizontal="center" vertical="center" wrapText="1"/>
    </xf>
    <xf numFmtId="17" fontId="4" fillId="13" borderId="44" xfId="0" applyNumberFormat="1" applyFont="1" applyFill="1" applyBorder="1" applyAlignment="1">
      <alignment horizontal="center" vertical="center"/>
    </xf>
    <xf numFmtId="1" fontId="0" fillId="14" borderId="44" xfId="0" applyNumberFormat="1" applyFill="1" applyBorder="1" applyAlignment="1">
      <alignment horizontal="center" vertical="center"/>
    </xf>
    <xf numFmtId="2" fontId="0" fillId="14" borderId="44" xfId="0" applyNumberFormat="1" applyFill="1" applyBorder="1" applyAlignment="1">
      <alignment horizontal="center" vertical="center"/>
    </xf>
    <xf numFmtId="2" fontId="0" fillId="15" borderId="44" xfId="0" applyNumberFormat="1" applyFill="1" applyBorder="1" applyAlignment="1">
      <alignment horizontal="center" vertical="center"/>
    </xf>
    <xf numFmtId="1" fontId="0" fillId="15" borderId="44" xfId="0" applyNumberFormat="1" applyFill="1" applyBorder="1" applyAlignment="1">
      <alignment horizontal="center" vertical="center"/>
    </xf>
    <xf numFmtId="169" fontId="0" fillId="14" borderId="44" xfId="2" applyNumberFormat="1" applyFont="1" applyFill="1" applyBorder="1" applyAlignment="1">
      <alignment horizontal="center" vertical="center"/>
    </xf>
    <xf numFmtId="169" fontId="0" fillId="15" borderId="44" xfId="2" applyNumberFormat="1" applyFont="1" applyFill="1" applyBorder="1" applyAlignment="1">
      <alignment horizontal="center" vertical="center"/>
    </xf>
    <xf numFmtId="10" fontId="0" fillId="15" borderId="44" xfId="2" applyNumberFormat="1" applyFont="1" applyFill="1" applyBorder="1" applyAlignment="1">
      <alignment horizontal="center" vertical="center"/>
    </xf>
    <xf numFmtId="0" fontId="9" fillId="13" borderId="44" xfId="0" applyFont="1" applyFill="1" applyBorder="1" applyAlignment="1">
      <alignment horizontal="center" vertical="center"/>
    </xf>
    <xf numFmtId="1" fontId="4" fillId="13" borderId="44" xfId="0" applyNumberFormat="1" applyFont="1" applyFill="1" applyBorder="1" applyAlignment="1">
      <alignment horizontal="center" vertical="center"/>
    </xf>
    <xf numFmtId="0" fontId="0" fillId="10" borderId="44" xfId="0" applyFill="1" applyBorder="1" applyAlignment="1">
      <alignment vertical="center"/>
    </xf>
    <xf numFmtId="15" fontId="0" fillId="11" borderId="44" xfId="0" applyNumberFormat="1" applyFill="1" applyBorder="1" applyAlignment="1">
      <alignment horizontal="center" vertical="center"/>
    </xf>
    <xf numFmtId="0" fontId="0" fillId="0" borderId="44" xfId="0" applyBorder="1" applyAlignment="1">
      <alignment horizontal="left" vertical="top"/>
    </xf>
    <xf numFmtId="0" fontId="0" fillId="20" borderId="44" xfId="0" applyFill="1" applyBorder="1" applyAlignment="1">
      <alignment horizontal="center" vertical="center"/>
    </xf>
    <xf numFmtId="0" fontId="0" fillId="17" borderId="44" xfId="0" applyFill="1" applyBorder="1" applyAlignment="1">
      <alignment horizontal="left" vertical="top"/>
    </xf>
    <xf numFmtId="43" fontId="0" fillId="0" borderId="44" xfId="1" applyFont="1" applyBorder="1"/>
    <xf numFmtId="0" fontId="0" fillId="0" borderId="44" xfId="0" applyBorder="1"/>
    <xf numFmtId="0" fontId="0" fillId="0" borderId="44" xfId="0" pivotButton="1" applyBorder="1"/>
    <xf numFmtId="9" fontId="7" fillId="7" borderId="7" xfId="2" applyFont="1" applyFill="1" applyBorder="1" applyAlignment="1">
      <alignment horizontal="center"/>
    </xf>
    <xf numFmtId="43" fontId="5" fillId="3" borderId="3" xfId="1" applyFont="1" applyFill="1" applyBorder="1" applyAlignment="1">
      <alignment horizontal="center" vertical="center" wrapText="1"/>
    </xf>
    <xf numFmtId="43" fontId="7" fillId="0" borderId="1" xfId="1" applyFont="1" applyFill="1" applyBorder="1" applyAlignment="1">
      <alignment horizontal="center"/>
    </xf>
    <xf numFmtId="43" fontId="7" fillId="0" borderId="6" xfId="1" applyFont="1" applyFill="1" applyBorder="1" applyAlignment="1">
      <alignment horizontal="center"/>
    </xf>
    <xf numFmtId="1" fontId="7" fillId="0" borderId="1" xfId="0" applyNumberFormat="1" applyFont="1" applyBorder="1" applyAlignment="1">
      <alignment horizontal="center"/>
    </xf>
    <xf numFmtId="164" fontId="7" fillId="0" borderId="1" xfId="0" applyNumberFormat="1" applyFont="1" applyBorder="1" applyAlignment="1">
      <alignment horizontal="center"/>
    </xf>
    <xf numFmtId="168" fontId="7" fillId="7" borderId="1" xfId="0" applyNumberFormat="1" applyFont="1" applyFill="1" applyBorder="1" applyAlignment="1">
      <alignment horizontal="center"/>
    </xf>
    <xf numFmtId="164" fontId="7" fillId="7" borderId="1" xfId="0" applyNumberFormat="1" applyFont="1" applyFill="1" applyBorder="1" applyAlignment="1">
      <alignment horizontal="center"/>
    </xf>
    <xf numFmtId="1" fontId="7" fillId="5" borderId="1" xfId="0" applyNumberFormat="1" applyFont="1" applyFill="1" applyBorder="1" applyAlignment="1">
      <alignment horizontal="center"/>
    </xf>
    <xf numFmtId="168" fontId="7" fillId="7" borderId="5" xfId="0" applyNumberFormat="1" applyFont="1" applyFill="1" applyBorder="1" applyAlignment="1">
      <alignment horizontal="center"/>
    </xf>
    <xf numFmtId="0" fontId="16" fillId="16" borderId="14" xfId="0" applyFont="1" applyFill="1" applyBorder="1" applyAlignment="1">
      <alignment horizontal="center" vertical="center"/>
    </xf>
    <xf numFmtId="0" fontId="16" fillId="16" borderId="15" xfId="0" applyFont="1" applyFill="1" applyBorder="1" applyAlignment="1">
      <alignment horizontal="center" vertical="center"/>
    </xf>
    <xf numFmtId="0" fontId="16" fillId="16" borderId="16" xfId="0" applyFont="1" applyFill="1" applyBorder="1" applyAlignment="1">
      <alignment horizontal="center" vertical="center"/>
    </xf>
    <xf numFmtId="43" fontId="7" fillId="0" borderId="1" xfId="1" applyFont="1" applyFill="1" applyBorder="1" applyAlignment="1">
      <alignment horizontal="center"/>
    </xf>
    <xf numFmtId="1" fontId="7" fillId="0" borderId="6" xfId="0" applyNumberFormat="1" applyFont="1" applyBorder="1" applyAlignment="1">
      <alignment horizontal="center"/>
    </xf>
    <xf numFmtId="164" fontId="7" fillId="0" borderId="6" xfId="0" applyNumberFormat="1" applyFont="1" applyBorder="1" applyAlignment="1">
      <alignment horizontal="center"/>
    </xf>
    <xf numFmtId="168" fontId="7" fillId="7" borderId="6" xfId="0" applyNumberFormat="1" applyFont="1" applyFill="1" applyBorder="1" applyAlignment="1">
      <alignment horizontal="center"/>
    </xf>
    <xf numFmtId="164" fontId="7" fillId="7" borderId="6" xfId="0" applyNumberFormat="1" applyFont="1" applyFill="1" applyBorder="1" applyAlignment="1">
      <alignment horizontal="center"/>
    </xf>
    <xf numFmtId="1" fontId="7" fillId="5" borderId="6" xfId="0" applyNumberFormat="1" applyFont="1" applyFill="1" applyBorder="1" applyAlignment="1">
      <alignment horizontal="center"/>
    </xf>
    <xf numFmtId="168" fontId="7" fillId="7" borderId="7" xfId="0" applyNumberFormat="1" applyFont="1" applyFill="1" applyBorder="1" applyAlignment="1">
      <alignment horizontal="center"/>
    </xf>
    <xf numFmtId="0" fontId="0" fillId="0" borderId="44" xfId="0" applyBorder="1" applyAlignment="1">
      <alignment horizontal="center" vertical="center"/>
    </xf>
    <xf numFmtId="43" fontId="0" fillId="0" borderId="44" xfId="1" applyFont="1" applyBorder="1" applyAlignment="1">
      <alignment horizontal="center" vertical="center"/>
    </xf>
    <xf numFmtId="10" fontId="0" fillId="0" borderId="44" xfId="2" applyNumberFormat="1" applyFont="1" applyBorder="1" applyAlignment="1">
      <alignment horizontal="center" vertical="center"/>
    </xf>
    <xf numFmtId="9" fontId="0" fillId="0" borderId="44" xfId="2" applyFont="1" applyBorder="1" applyAlignment="1">
      <alignment horizontal="center" vertical="center"/>
    </xf>
    <xf numFmtId="169" fontId="0" fillId="0" borderId="44" xfId="2" applyNumberFormat="1" applyFont="1" applyBorder="1" applyAlignment="1">
      <alignment horizontal="center" vertical="center"/>
    </xf>
    <xf numFmtId="169" fontId="0" fillId="0" borderId="44" xfId="0" applyNumberFormat="1" applyBorder="1" applyAlignment="1">
      <alignment horizontal="center" vertical="center"/>
    </xf>
    <xf numFmtId="43" fontId="0" fillId="0" borderId="44" xfId="1" applyFont="1" applyBorder="1" applyAlignment="1">
      <alignment horizontal="left" vertical="center"/>
    </xf>
    <xf numFmtId="165" fontId="5" fillId="0" borderId="46" xfId="0" applyNumberFormat="1" applyFont="1" applyBorder="1" applyAlignment="1">
      <alignment horizontal="center" vertical="center" wrapText="1"/>
    </xf>
    <xf numFmtId="0" fontId="5" fillId="0" borderId="46" xfId="0" applyFont="1" applyBorder="1" applyAlignment="1">
      <alignment horizontal="center" vertical="center" wrapText="1"/>
    </xf>
    <xf numFmtId="0" fontId="9" fillId="0" borderId="46" xfId="0" applyFont="1" applyBorder="1" applyAlignment="1">
      <alignment horizontal="center" vertical="center" wrapText="1"/>
    </xf>
    <xf numFmtId="9" fontId="9" fillId="0" borderId="46" xfId="2" applyFont="1" applyFill="1" applyBorder="1" applyAlignment="1">
      <alignment horizontal="center" vertical="center" wrapText="1"/>
    </xf>
    <xf numFmtId="0" fontId="0" fillId="0" borderId="0" xfId="0"/>
    <xf numFmtId="15" fontId="0" fillId="0" borderId="0" xfId="0" applyNumberFormat="1" applyAlignment="1">
      <alignment horizontal="center" vertical="center"/>
    </xf>
    <xf numFmtId="1" fontId="0" fillId="0" borderId="0" xfId="0" applyNumberFormat="1" applyAlignment="1">
      <alignment horizontal="center" vertical="center"/>
    </xf>
    <xf numFmtId="0" fontId="0" fillId="0" borderId="0" xfId="0" applyAlignment="1">
      <alignment horizontal="center" vertical="center"/>
    </xf>
    <xf numFmtId="17" fontId="0" fillId="0" borderId="0" xfId="0" applyNumberFormat="1" applyAlignment="1">
      <alignment horizontal="center" vertical="center"/>
    </xf>
    <xf numFmtId="2" fontId="0" fillId="0" borderId="0" xfId="2" applyNumberFormat="1" applyFont="1" applyFill="1" applyAlignment="1">
      <alignment horizontal="center" vertical="center"/>
    </xf>
    <xf numFmtId="164" fontId="0" fillId="0" borderId="0" xfId="2" applyNumberFormat="1" applyFont="1" applyFill="1" applyBorder="1" applyAlignment="1">
      <alignment horizontal="center" vertical="center"/>
    </xf>
    <xf numFmtId="2" fontId="0" fillId="0" borderId="0" xfId="2" applyNumberFormat="1" applyFont="1" applyFill="1" applyBorder="1" applyAlignment="1">
      <alignment horizontal="center" vertical="center"/>
    </xf>
    <xf numFmtId="10" fontId="26" fillId="0" borderId="0" xfId="2" applyNumberFormat="1" applyFont="1" applyFill="1" applyAlignment="1">
      <alignment horizontal="center" vertical="center"/>
    </xf>
    <xf numFmtId="169" fontId="0" fillId="0" borderId="0" xfId="2" applyNumberFormat="1" applyFont="1" applyFill="1" applyAlignment="1">
      <alignment horizontal="center" vertical="center"/>
    </xf>
    <xf numFmtId="10" fontId="0" fillId="0" borderId="0" xfId="2" applyNumberFormat="1" applyFont="1" applyFill="1" applyAlignment="1">
      <alignment horizontal="center" vertical="center"/>
    </xf>
    <xf numFmtId="9" fontId="0" fillId="0" borderId="0" xfId="2" applyFont="1" applyFill="1" applyAlignment="1">
      <alignment horizontal="center" vertical="center"/>
    </xf>
    <xf numFmtId="164" fontId="0" fillId="0" borderId="0" xfId="0" applyNumberFormat="1" applyAlignment="1">
      <alignment horizontal="center" vertical="center"/>
    </xf>
    <xf numFmtId="2" fontId="0" fillId="0" borderId="0" xfId="0" applyNumberFormat="1" applyAlignment="1">
      <alignment horizontal="center" vertical="center"/>
    </xf>
    <xf numFmtId="9" fontId="0" fillId="0" borderId="0" xfId="2" applyFont="1"/>
    <xf numFmtId="0" fontId="9" fillId="0" borderId="48" xfId="0" applyFont="1" applyBorder="1" applyAlignment="1">
      <alignment horizontal="center" vertical="center" wrapText="1"/>
    </xf>
    <xf numFmtId="0" fontId="0" fillId="0" borderId="49" xfId="0" applyBorder="1" applyAlignment="1">
      <alignment horizontal="center" vertical="center"/>
    </xf>
    <xf numFmtId="17" fontId="0" fillId="0" borderId="49" xfId="1" applyNumberFormat="1" applyFont="1" applyFill="1" applyBorder="1" applyAlignment="1">
      <alignment horizontal="center" vertical="center"/>
    </xf>
    <xf numFmtId="0" fontId="0" fillId="0" borderId="50" xfId="0" applyBorder="1" applyAlignment="1">
      <alignment horizontal="center" vertical="center"/>
    </xf>
    <xf numFmtId="0" fontId="0" fillId="0" borderId="49" xfId="1" applyNumberFormat="1" applyFont="1" applyFill="1" applyBorder="1" applyAlignment="1">
      <alignment horizontal="center" vertical="center"/>
    </xf>
    <xf numFmtId="2" fontId="0" fillId="0" borderId="49" xfId="0" applyNumberFormat="1" applyBorder="1" applyAlignment="1">
      <alignment horizontal="center" vertical="center"/>
    </xf>
    <xf numFmtId="164" fontId="0" fillId="0" borderId="49" xfId="0" applyNumberFormat="1" applyBorder="1" applyAlignment="1">
      <alignment horizontal="center" vertical="center"/>
    </xf>
    <xf numFmtId="1" fontId="0" fillId="0" borderId="49" xfId="0" applyNumberFormat="1" applyBorder="1" applyAlignment="1">
      <alignment horizontal="center" vertical="center"/>
    </xf>
    <xf numFmtId="10" fontId="0" fillId="0" borderId="49" xfId="2" applyNumberFormat="1" applyFont="1" applyFill="1" applyBorder="1" applyAlignment="1">
      <alignment horizontal="center" vertical="center"/>
    </xf>
    <xf numFmtId="0" fontId="0" fillId="0" borderId="50" xfId="1" applyNumberFormat="1" applyFont="1" applyFill="1" applyBorder="1" applyAlignment="1">
      <alignment horizontal="center" vertical="center"/>
    </xf>
    <xf numFmtId="2" fontId="0" fillId="0" borderId="50" xfId="0" applyNumberFormat="1" applyBorder="1" applyAlignment="1">
      <alignment horizontal="center" vertical="center"/>
    </xf>
    <xf numFmtId="164" fontId="0" fillId="0" borderId="50" xfId="0" applyNumberFormat="1" applyBorder="1" applyAlignment="1">
      <alignment horizontal="center" vertical="center"/>
    </xf>
    <xf numFmtId="1" fontId="0" fillId="0" borderId="50" xfId="0" applyNumberFormat="1" applyBorder="1" applyAlignment="1">
      <alignment horizontal="center" vertical="center"/>
    </xf>
    <xf numFmtId="10" fontId="0" fillId="0" borderId="50" xfId="2" applyNumberFormat="1" applyFont="1" applyFill="1" applyBorder="1" applyAlignment="1">
      <alignment horizontal="center" vertical="center"/>
    </xf>
    <xf numFmtId="10" fontId="0" fillId="0" borderId="0" xfId="0" applyNumberFormat="1" applyAlignment="1">
      <alignment horizontal="center" vertical="center"/>
    </xf>
    <xf numFmtId="165" fontId="5" fillId="3" borderId="51" xfId="0" applyNumberFormat="1" applyFont="1" applyFill="1" applyBorder="1" applyAlignment="1">
      <alignment horizontal="center" vertical="center" wrapText="1"/>
    </xf>
    <xf numFmtId="0" fontId="5" fillId="3" borderId="46" xfId="0" applyFont="1" applyFill="1" applyBorder="1" applyAlignment="1">
      <alignment horizontal="center" vertical="center" wrapText="1"/>
    </xf>
    <xf numFmtId="15" fontId="0" fillId="21" borderId="47" xfId="0" applyNumberFormat="1" applyFill="1" applyBorder="1" applyAlignment="1">
      <alignment horizontal="center" vertical="center"/>
    </xf>
    <xf numFmtId="15" fontId="0" fillId="22" borderId="47" xfId="0" applyNumberFormat="1" applyFill="1" applyBorder="1" applyAlignment="1">
      <alignment horizontal="center" vertical="center"/>
    </xf>
    <xf numFmtId="0" fontId="9" fillId="13" borderId="38" xfId="0" applyFont="1" applyFill="1" applyBorder="1" applyAlignment="1">
      <alignment horizontal="center" vertical="center" wrapText="1"/>
    </xf>
    <xf numFmtId="169" fontId="0" fillId="15" borderId="44" xfId="2" applyNumberFormat="1" applyFont="1" applyFill="1" applyBorder="1" applyAlignment="1">
      <alignment horizontal="center" vertical="center"/>
    </xf>
    <xf numFmtId="10" fontId="0" fillId="15" borderId="44" xfId="2" applyNumberFormat="1" applyFont="1" applyFill="1" applyBorder="1" applyAlignment="1">
      <alignment horizontal="center" vertical="center"/>
    </xf>
    <xf numFmtId="1" fontId="18" fillId="0" borderId="28" xfId="2" applyNumberFormat="1" applyFont="1" applyFill="1" applyBorder="1" applyAlignment="1">
      <alignment horizontal="center" vertical="center"/>
    </xf>
    <xf numFmtId="1" fontId="18" fillId="5" borderId="28" xfId="2" applyNumberFormat="1" applyFont="1" applyFill="1" applyBorder="1" applyAlignment="1">
      <alignment horizontal="center" vertical="center"/>
    </xf>
    <xf numFmtId="1" fontId="18" fillId="0" borderId="30" xfId="2" applyNumberFormat="1" applyFont="1" applyFill="1" applyBorder="1" applyAlignment="1">
      <alignment horizontal="center" vertical="center"/>
    </xf>
    <xf numFmtId="1" fontId="18" fillId="5" borderId="30" xfId="2" applyNumberFormat="1" applyFont="1" applyFill="1" applyBorder="1" applyAlignment="1">
      <alignment horizontal="center" vertical="center"/>
    </xf>
    <xf numFmtId="1" fontId="18" fillId="0" borderId="32" xfId="2" applyNumberFormat="1" applyFont="1" applyFill="1" applyBorder="1" applyAlignment="1">
      <alignment horizontal="center" vertical="center"/>
    </xf>
    <xf numFmtId="1" fontId="18" fillId="5" borderId="32" xfId="2" applyNumberFormat="1" applyFont="1" applyFill="1" applyBorder="1" applyAlignment="1">
      <alignment horizontal="center" vertical="center"/>
    </xf>
    <xf numFmtId="10" fontId="7" fillId="0" borderId="0" xfId="0" applyNumberFormat="1" applyFont="1" applyAlignment="1">
      <alignment horizontal="center"/>
    </xf>
    <xf numFmtId="2" fontId="0" fillId="0" borderId="0" xfId="0" applyNumberFormat="1"/>
    <xf numFmtId="0" fontId="0" fillId="5" borderId="0" xfId="0" applyFill="1"/>
    <xf numFmtId="10" fontId="18" fillId="5" borderId="28" xfId="2" applyNumberFormat="1" applyFont="1" applyFill="1" applyBorder="1" applyAlignment="1">
      <alignment horizontal="center" vertical="center"/>
    </xf>
    <xf numFmtId="10" fontId="19" fillId="5" borderId="28" xfId="2" applyNumberFormat="1" applyFont="1" applyFill="1" applyBorder="1" applyAlignment="1">
      <alignment horizontal="center"/>
    </xf>
    <xf numFmtId="10" fontId="18" fillId="5" borderId="30" xfId="2" applyNumberFormat="1" applyFont="1" applyFill="1" applyBorder="1" applyAlignment="1">
      <alignment horizontal="center" vertical="center"/>
    </xf>
    <xf numFmtId="10" fontId="19" fillId="0" borderId="30" xfId="2" applyNumberFormat="1" applyFont="1" applyFill="1" applyBorder="1" applyAlignment="1">
      <alignment horizontal="center"/>
    </xf>
    <xf numFmtId="10" fontId="18" fillId="5" borderId="32" xfId="2" applyNumberFormat="1" applyFont="1" applyFill="1" applyBorder="1" applyAlignment="1">
      <alignment horizontal="center" vertical="center"/>
    </xf>
    <xf numFmtId="10" fontId="19" fillId="5" borderId="32" xfId="2" applyNumberFormat="1" applyFont="1" applyFill="1" applyBorder="1" applyAlignment="1">
      <alignment horizontal="center"/>
    </xf>
    <xf numFmtId="10" fontId="0" fillId="0" borderId="0" xfId="2" applyNumberFormat="1" applyFont="1" applyFill="1" applyAlignment="1">
      <alignment horizontal="center" vertical="center"/>
    </xf>
    <xf numFmtId="10" fontId="19" fillId="5" borderId="30" xfId="2" applyNumberFormat="1" applyFont="1" applyFill="1" applyBorder="1" applyAlignment="1">
      <alignment horizontal="center"/>
    </xf>
    <xf numFmtId="10" fontId="9" fillId="0" borderId="49" xfId="2" applyNumberFormat="1" applyFont="1" applyFill="1" applyBorder="1" applyAlignment="1">
      <alignment horizontal="center" vertical="center"/>
    </xf>
    <xf numFmtId="10" fontId="9" fillId="0" borderId="48" xfId="2" applyNumberFormat="1" applyFont="1" applyFill="1" applyBorder="1" applyAlignment="1">
      <alignment horizontal="center" vertical="center"/>
    </xf>
    <xf numFmtId="10" fontId="9" fillId="0" borderId="50" xfId="2" applyNumberFormat="1" applyFont="1" applyFill="1" applyBorder="1" applyAlignment="1">
      <alignment horizontal="center" vertical="center"/>
    </xf>
    <xf numFmtId="1" fontId="29" fillId="0" borderId="1" xfId="0" applyNumberFormat="1" applyFont="1" applyBorder="1" applyAlignment="1">
      <alignment horizontal="center"/>
    </xf>
    <xf numFmtId="1" fontId="29" fillId="0" borderId="1" xfId="3" applyNumberFormat="1" applyFont="1" applyFill="1" applyBorder="1" applyAlignment="1">
      <alignment horizontal="center"/>
    </xf>
    <xf numFmtId="164" fontId="29" fillId="0" borderId="1" xfId="0" applyNumberFormat="1" applyFont="1" applyBorder="1" applyAlignment="1">
      <alignment horizontal="center"/>
    </xf>
    <xf numFmtId="164" fontId="29" fillId="0" borderId="1" xfId="3" applyNumberFormat="1" applyFont="1" applyFill="1" applyBorder="1" applyAlignment="1">
      <alignment horizontal="center"/>
    </xf>
    <xf numFmtId="168" fontId="29" fillId="7" borderId="1" xfId="0" applyNumberFormat="1" applyFont="1" applyFill="1" applyBorder="1" applyAlignment="1">
      <alignment horizontal="center"/>
    </xf>
    <xf numFmtId="164" fontId="29" fillId="7" borderId="1" xfId="0" applyNumberFormat="1" applyFont="1" applyFill="1" applyBorder="1" applyAlignment="1">
      <alignment horizontal="center"/>
    </xf>
    <xf numFmtId="1" fontId="29" fillId="5" borderId="1" xfId="0" applyNumberFormat="1" applyFont="1" applyFill="1" applyBorder="1" applyAlignment="1">
      <alignment horizontal="center"/>
    </xf>
    <xf numFmtId="168" fontId="29" fillId="7" borderId="1" xfId="1" applyNumberFormat="1" applyFont="1" applyFill="1" applyBorder="1" applyAlignment="1">
      <alignment horizontal="center"/>
    </xf>
    <xf numFmtId="168" fontId="29" fillId="7" borderId="5" xfId="0" applyNumberFormat="1" applyFont="1" applyFill="1" applyBorder="1" applyAlignment="1">
      <alignment horizontal="center"/>
    </xf>
    <xf numFmtId="43" fontId="29" fillId="0" borderId="1" xfId="1" applyFont="1" applyFill="1" applyBorder="1" applyAlignment="1">
      <alignment horizontal="center"/>
    </xf>
    <xf numFmtId="10" fontId="29" fillId="0" borderId="0" xfId="0" applyNumberFormat="1" applyFont="1" applyAlignment="1">
      <alignment horizontal="center"/>
    </xf>
    <xf numFmtId="166" fontId="18" fillId="5" borderId="18" xfId="6" applyNumberFormat="1" applyFont="1" applyFill="1" applyBorder="1" applyAlignment="1" applyProtection="1">
      <alignment horizontal="left" vertical="center"/>
      <protection locked="0"/>
    </xf>
    <xf numFmtId="165" fontId="18" fillId="5" borderId="18" xfId="6" applyNumberFormat="1" applyFont="1" applyFill="1" applyBorder="1" applyAlignment="1" applyProtection="1">
      <alignment horizontal="left" vertical="center"/>
      <protection locked="0"/>
    </xf>
    <xf numFmtId="1" fontId="19" fillId="5" borderId="29" xfId="0" applyNumberFormat="1" applyFont="1" applyFill="1" applyBorder="1" applyProtection="1">
      <protection locked="0"/>
    </xf>
    <xf numFmtId="0" fontId="19" fillId="5" borderId="31" xfId="0" applyFont="1" applyFill="1" applyBorder="1" applyProtection="1">
      <protection locked="0"/>
    </xf>
    <xf numFmtId="0" fontId="19" fillId="5" borderId="33" xfId="0" applyFont="1" applyFill="1" applyBorder="1" applyProtection="1">
      <protection locked="0"/>
    </xf>
    <xf numFmtId="1" fontId="19" fillId="5" borderId="52" xfId="0" applyNumberFormat="1" applyFont="1" applyFill="1" applyBorder="1" applyProtection="1">
      <protection locked="0"/>
    </xf>
    <xf numFmtId="0" fontId="19" fillId="5" borderId="53" xfId="0" applyFont="1" applyFill="1" applyBorder="1" applyProtection="1">
      <protection locked="0"/>
    </xf>
    <xf numFmtId="0" fontId="19" fillId="5" borderId="54" xfId="0" applyFont="1" applyFill="1" applyBorder="1" applyProtection="1">
      <protection locked="0"/>
    </xf>
    <xf numFmtId="167" fontId="28" fillId="0" borderId="45" xfId="4" applyNumberFormat="1" applyFont="1" applyBorder="1" applyAlignment="1">
      <alignment horizontal="center" vertical="center"/>
    </xf>
    <xf numFmtId="16" fontId="24" fillId="15" borderId="55" xfId="0" applyNumberFormat="1" applyFont="1" applyFill="1" applyBorder="1" applyAlignment="1">
      <alignment horizontal="center" vertical="top" wrapText="1"/>
    </xf>
    <xf numFmtId="171" fontId="24" fillId="0" borderId="56" xfId="1" applyNumberFormat="1" applyFont="1" applyBorder="1" applyAlignment="1">
      <alignment horizontal="left" vertical="top" wrapText="1"/>
    </xf>
    <xf numFmtId="0" fontId="0" fillId="0" borderId="57" xfId="0" applyBorder="1" applyAlignment="1">
      <alignment horizontal="center"/>
    </xf>
    <xf numFmtId="0" fontId="26" fillId="0" borderId="57" xfId="0" applyFont="1" applyBorder="1" applyAlignment="1">
      <alignment horizontal="center" vertical="center"/>
    </xf>
    <xf numFmtId="1" fontId="0" fillId="0" borderId="57" xfId="0" applyNumberFormat="1" applyBorder="1" applyAlignment="1">
      <alignment horizontal="center"/>
    </xf>
    <xf numFmtId="43" fontId="0" fillId="0" borderId="57" xfId="1" applyFont="1" applyBorder="1" applyAlignment="1">
      <alignment horizontal="center"/>
    </xf>
    <xf numFmtId="0" fontId="0" fillId="0" borderId="57" xfId="0" applyBorder="1"/>
    <xf numFmtId="0" fontId="22" fillId="0" borderId="57" xfId="0" applyFont="1" applyBorder="1" applyAlignment="1">
      <alignment horizontal="left"/>
    </xf>
    <xf numFmtId="0" fontId="0" fillId="19" borderId="57" xfId="0" applyFill="1" applyBorder="1" applyAlignment="1">
      <alignment horizontal="left"/>
    </xf>
    <xf numFmtId="0" fontId="0" fillId="19" borderId="57" xfId="0" applyFill="1" applyBorder="1"/>
    <xf numFmtId="0" fontId="0" fillId="0" borderId="57" xfId="0" applyBorder="1" applyAlignment="1">
      <alignment horizontal="left"/>
    </xf>
    <xf numFmtId="0" fontId="0" fillId="17" borderId="57" xfId="0" applyFill="1" applyBorder="1" applyAlignment="1">
      <alignment horizontal="left"/>
    </xf>
    <xf numFmtId="0" fontId="0" fillId="17" borderId="57" xfId="0" applyFill="1" applyBorder="1"/>
    <xf numFmtId="1" fontId="30" fillId="0" borderId="1" xfId="0" applyNumberFormat="1" applyFont="1" applyBorder="1" applyAlignment="1">
      <alignment horizontal="center"/>
    </xf>
    <xf numFmtId="1" fontId="30" fillId="0" borderId="1" xfId="3" applyNumberFormat="1" applyFont="1" applyFill="1" applyBorder="1" applyAlignment="1">
      <alignment horizontal="center"/>
    </xf>
    <xf numFmtId="164" fontId="30" fillId="0" borderId="1" xfId="0" applyNumberFormat="1" applyFont="1" applyBorder="1" applyAlignment="1">
      <alignment horizontal="center"/>
    </xf>
    <xf numFmtId="164" fontId="30" fillId="0" borderId="1" xfId="3" applyNumberFormat="1" applyFont="1" applyFill="1" applyBorder="1" applyAlignment="1">
      <alignment horizontal="center"/>
    </xf>
    <xf numFmtId="168" fontId="30" fillId="7" borderId="1" xfId="0" applyNumberFormat="1" applyFont="1" applyFill="1" applyBorder="1" applyAlignment="1">
      <alignment horizontal="center"/>
    </xf>
    <xf numFmtId="164" fontId="30" fillId="7" borderId="1" xfId="0" applyNumberFormat="1" applyFont="1" applyFill="1" applyBorder="1" applyAlignment="1">
      <alignment horizontal="center"/>
    </xf>
    <xf numFmtId="1" fontId="30" fillId="5" borderId="1" xfId="0" applyNumberFormat="1" applyFont="1" applyFill="1" applyBorder="1" applyAlignment="1">
      <alignment horizontal="center"/>
    </xf>
    <xf numFmtId="168" fontId="30" fillId="7" borderId="1" xfId="1" applyNumberFormat="1" applyFont="1" applyFill="1" applyBorder="1" applyAlignment="1">
      <alignment horizontal="center"/>
    </xf>
    <xf numFmtId="168" fontId="30" fillId="7" borderId="5" xfId="0" applyNumberFormat="1" applyFont="1" applyFill="1" applyBorder="1" applyAlignment="1">
      <alignment horizontal="center"/>
    </xf>
    <xf numFmtId="43" fontId="30" fillId="0" borderId="1" xfId="1" applyFont="1" applyFill="1" applyBorder="1" applyAlignment="1">
      <alignment horizontal="center"/>
    </xf>
    <xf numFmtId="10" fontId="30" fillId="0" borderId="0" xfId="0" applyNumberFormat="1" applyFont="1" applyAlignment="1">
      <alignment horizontal="center"/>
    </xf>
    <xf numFmtId="1" fontId="31" fillId="0" borderId="1" xfId="0" applyNumberFormat="1" applyFont="1" applyBorder="1" applyAlignment="1">
      <alignment horizontal="center"/>
    </xf>
    <xf numFmtId="1" fontId="31" fillId="0" borderId="1" xfId="3" applyNumberFormat="1" applyFont="1" applyFill="1" applyBorder="1" applyAlignment="1">
      <alignment horizontal="center"/>
    </xf>
    <xf numFmtId="164" fontId="31" fillId="0" borderId="1" xfId="0" applyNumberFormat="1" applyFont="1" applyBorder="1" applyAlignment="1">
      <alignment horizontal="center"/>
    </xf>
    <xf numFmtId="164" fontId="31" fillId="0" borderId="1" xfId="3" applyNumberFormat="1" applyFont="1" applyFill="1" applyBorder="1" applyAlignment="1">
      <alignment horizontal="center"/>
    </xf>
    <xf numFmtId="168" fontId="31" fillId="7" borderId="1" xfId="0" applyNumberFormat="1" applyFont="1" applyFill="1" applyBorder="1" applyAlignment="1">
      <alignment horizontal="center"/>
    </xf>
    <xf numFmtId="164" fontId="31" fillId="7" borderId="1" xfId="0" applyNumberFormat="1" applyFont="1" applyFill="1" applyBorder="1" applyAlignment="1">
      <alignment horizontal="center"/>
    </xf>
    <xf numFmtId="1" fontId="31" fillId="5" borderId="1" xfId="0" applyNumberFormat="1" applyFont="1" applyFill="1" applyBorder="1" applyAlignment="1">
      <alignment horizontal="center"/>
    </xf>
    <xf numFmtId="168" fontId="31" fillId="7" borderId="1" xfId="1" applyNumberFormat="1" applyFont="1" applyFill="1" applyBorder="1" applyAlignment="1">
      <alignment horizontal="center"/>
    </xf>
    <xf numFmtId="168" fontId="31" fillId="7" borderId="5" xfId="0" applyNumberFormat="1" applyFont="1" applyFill="1" applyBorder="1" applyAlignment="1">
      <alignment horizontal="center"/>
    </xf>
    <xf numFmtId="43" fontId="31" fillId="0" borderId="1" xfId="1" applyFont="1" applyFill="1" applyBorder="1" applyAlignment="1">
      <alignment horizontal="center"/>
    </xf>
    <xf numFmtId="10" fontId="31" fillId="0" borderId="0" xfId="0" applyNumberFormat="1" applyFont="1" applyAlignment="1">
      <alignment horizontal="center"/>
    </xf>
    <xf numFmtId="1" fontId="7" fillId="0" borderId="0" xfId="0" applyNumberFormat="1" applyFont="1" applyAlignment="1">
      <alignment horizontal="center" vertical="center"/>
    </xf>
    <xf numFmtId="1" fontId="32" fillId="0" borderId="1" xfId="0" applyNumberFormat="1" applyFont="1" applyBorder="1" applyAlignment="1">
      <alignment horizontal="center"/>
    </xf>
    <xf numFmtId="1" fontId="32" fillId="0" borderId="1" xfId="3" applyNumberFormat="1" applyFont="1" applyFill="1" applyBorder="1" applyAlignment="1">
      <alignment horizontal="center"/>
    </xf>
    <xf numFmtId="164" fontId="32" fillId="0" borderId="1" xfId="0" applyNumberFormat="1" applyFont="1" applyBorder="1" applyAlignment="1">
      <alignment horizontal="center"/>
    </xf>
    <xf numFmtId="164" fontId="32" fillId="0" borderId="1" xfId="3" applyNumberFormat="1" applyFont="1" applyFill="1" applyBorder="1" applyAlignment="1">
      <alignment horizontal="center"/>
    </xf>
    <xf numFmtId="168" fontId="32" fillId="7" borderId="1" xfId="0" applyNumberFormat="1" applyFont="1" applyFill="1" applyBorder="1" applyAlignment="1">
      <alignment horizontal="center"/>
    </xf>
    <xf numFmtId="164" fontId="32" fillId="7" borderId="1" xfId="0" applyNumberFormat="1" applyFont="1" applyFill="1" applyBorder="1" applyAlignment="1">
      <alignment horizontal="center"/>
    </xf>
    <xf numFmtId="1" fontId="32" fillId="5" borderId="1" xfId="0" applyNumberFormat="1" applyFont="1" applyFill="1" applyBorder="1" applyAlignment="1">
      <alignment horizontal="center"/>
    </xf>
    <xf numFmtId="168" fontId="32" fillId="7" borderId="1" xfId="1" applyNumberFormat="1" applyFont="1" applyFill="1" applyBorder="1" applyAlignment="1">
      <alignment horizontal="center"/>
    </xf>
    <xf numFmtId="168" fontId="32" fillId="7" borderId="5" xfId="0" applyNumberFormat="1" applyFont="1" applyFill="1" applyBorder="1" applyAlignment="1">
      <alignment horizontal="center"/>
    </xf>
    <xf numFmtId="43" fontId="32" fillId="0" borderId="1" xfId="1" applyFont="1" applyFill="1" applyBorder="1" applyAlignment="1">
      <alignment horizontal="center"/>
    </xf>
    <xf numFmtId="10" fontId="32" fillId="0" borderId="0" xfId="0" applyNumberFormat="1" applyFont="1" applyAlignment="1">
      <alignment horizontal="center"/>
    </xf>
    <xf numFmtId="1" fontId="33" fillId="0" borderId="1" xfId="0" applyNumberFormat="1" applyFont="1" applyBorder="1" applyAlignment="1">
      <alignment horizontal="center"/>
    </xf>
    <xf numFmtId="1" fontId="33" fillId="0" borderId="1" xfId="3" applyNumberFormat="1" applyFont="1" applyFill="1" applyBorder="1" applyAlignment="1">
      <alignment horizontal="center"/>
    </xf>
    <xf numFmtId="164" fontId="33" fillId="0" borderId="1" xfId="0" applyNumberFormat="1" applyFont="1" applyBorder="1" applyAlignment="1">
      <alignment horizontal="center"/>
    </xf>
    <xf numFmtId="164" fontId="33" fillId="0" borderId="1" xfId="3" applyNumberFormat="1" applyFont="1" applyFill="1" applyBorder="1" applyAlignment="1">
      <alignment horizontal="center"/>
    </xf>
    <xf numFmtId="168" fontId="33" fillId="7" borderId="1" xfId="0" applyNumberFormat="1" applyFont="1" applyFill="1" applyBorder="1" applyAlignment="1">
      <alignment horizontal="center"/>
    </xf>
    <xf numFmtId="164" fontId="33" fillId="7" borderId="1" xfId="0" applyNumberFormat="1" applyFont="1" applyFill="1" applyBorder="1" applyAlignment="1">
      <alignment horizontal="center"/>
    </xf>
    <xf numFmtId="1" fontId="33" fillId="5" borderId="1" xfId="0" applyNumberFormat="1" applyFont="1" applyFill="1" applyBorder="1" applyAlignment="1">
      <alignment horizontal="center"/>
    </xf>
    <xf numFmtId="168" fontId="33" fillId="7" borderId="1" xfId="1" applyNumberFormat="1" applyFont="1" applyFill="1" applyBorder="1" applyAlignment="1">
      <alignment horizontal="center"/>
    </xf>
    <xf numFmtId="168" fontId="33" fillId="7" borderId="5" xfId="0" applyNumberFormat="1" applyFont="1" applyFill="1" applyBorder="1" applyAlignment="1">
      <alignment horizontal="center"/>
    </xf>
    <xf numFmtId="43" fontId="33" fillId="0" borderId="1" xfId="1" applyFont="1" applyFill="1" applyBorder="1" applyAlignment="1">
      <alignment horizontal="center"/>
    </xf>
    <xf numFmtId="10" fontId="33" fillId="0" borderId="0" xfId="0" applyNumberFormat="1" applyFont="1" applyAlignment="1">
      <alignment horizontal="center"/>
    </xf>
    <xf numFmtId="0" fontId="0" fillId="21" borderId="58" xfId="0" applyFont="1" applyFill="1" applyBorder="1" applyAlignment="1">
      <alignment horizontal="center" vertical="center"/>
    </xf>
    <xf numFmtId="0" fontId="0" fillId="22" borderId="58" xfId="0" applyFont="1" applyFill="1" applyBorder="1" applyAlignment="1">
      <alignment horizontal="center" vertical="center"/>
    </xf>
    <xf numFmtId="1" fontId="34" fillId="0" borderId="1" xfId="0" applyNumberFormat="1" applyFont="1" applyBorder="1" applyAlignment="1">
      <alignment horizontal="center"/>
    </xf>
    <xf numFmtId="1" fontId="34" fillId="0" borderId="1" xfId="3" applyNumberFormat="1" applyFont="1" applyFill="1" applyBorder="1" applyAlignment="1">
      <alignment horizontal="center"/>
    </xf>
    <xf numFmtId="164" fontId="34" fillId="0" borderId="1" xfId="0" applyNumberFormat="1" applyFont="1" applyBorder="1" applyAlignment="1">
      <alignment horizontal="center"/>
    </xf>
    <xf numFmtId="164" fontId="34" fillId="0" borderId="1" xfId="3" applyNumberFormat="1" applyFont="1" applyFill="1" applyBorder="1" applyAlignment="1">
      <alignment horizontal="center"/>
    </xf>
    <xf numFmtId="168" fontId="34" fillId="7" borderId="1" xfId="0" applyNumberFormat="1" applyFont="1" applyFill="1" applyBorder="1" applyAlignment="1">
      <alignment horizontal="center"/>
    </xf>
    <xf numFmtId="164" fontId="34" fillId="7" borderId="1" xfId="0" applyNumberFormat="1" applyFont="1" applyFill="1" applyBorder="1" applyAlignment="1">
      <alignment horizontal="center"/>
    </xf>
    <xf numFmtId="1" fontId="34" fillId="5" borderId="1" xfId="0" applyNumberFormat="1" applyFont="1" applyFill="1" applyBorder="1" applyAlignment="1">
      <alignment horizontal="center"/>
    </xf>
    <xf numFmtId="168" fontId="34" fillId="7" borderId="1" xfId="1" applyNumberFormat="1" applyFont="1" applyFill="1" applyBorder="1" applyAlignment="1">
      <alignment horizontal="center"/>
    </xf>
    <xf numFmtId="168" fontId="34" fillId="7" borderId="5" xfId="0" applyNumberFormat="1" applyFont="1" applyFill="1" applyBorder="1" applyAlignment="1">
      <alignment horizontal="center"/>
    </xf>
    <xf numFmtId="43" fontId="34" fillId="0" borderId="1" xfId="1" applyFont="1" applyFill="1" applyBorder="1" applyAlignment="1">
      <alignment horizontal="center"/>
    </xf>
    <xf numFmtId="10" fontId="34" fillId="0" borderId="0" xfId="0" applyNumberFormat="1" applyFont="1" applyAlignment="1">
      <alignment horizontal="center"/>
    </xf>
    <xf numFmtId="1" fontId="35" fillId="0" borderId="1" xfId="0" applyNumberFormat="1" applyFont="1" applyBorder="1" applyAlignment="1">
      <alignment horizontal="center"/>
    </xf>
    <xf numFmtId="1" fontId="35" fillId="0" borderId="1" xfId="3" applyNumberFormat="1" applyFont="1" applyFill="1" applyBorder="1" applyAlignment="1">
      <alignment horizontal="center"/>
    </xf>
    <xf numFmtId="164" fontId="35" fillId="0" borderId="1" xfId="0" applyNumberFormat="1" applyFont="1" applyBorder="1" applyAlignment="1">
      <alignment horizontal="center"/>
    </xf>
    <xf numFmtId="164" fontId="35" fillId="0" borderId="1" xfId="3" applyNumberFormat="1" applyFont="1" applyFill="1" applyBorder="1" applyAlignment="1">
      <alignment horizontal="center"/>
    </xf>
    <xf numFmtId="168" fontId="35" fillId="7" borderId="1" xfId="0" applyNumberFormat="1" applyFont="1" applyFill="1" applyBorder="1" applyAlignment="1">
      <alignment horizontal="center"/>
    </xf>
    <xf numFmtId="164" fontId="35" fillId="7" borderId="1" xfId="0" applyNumberFormat="1" applyFont="1" applyFill="1" applyBorder="1" applyAlignment="1">
      <alignment horizontal="center"/>
    </xf>
    <xf numFmtId="1" fontId="35" fillId="5" borderId="1" xfId="0" applyNumberFormat="1" applyFont="1" applyFill="1" applyBorder="1" applyAlignment="1">
      <alignment horizontal="center"/>
    </xf>
    <xf numFmtId="168" fontId="35" fillId="7" borderId="1" xfId="1" applyNumberFormat="1" applyFont="1" applyFill="1" applyBorder="1" applyAlignment="1">
      <alignment horizontal="center"/>
    </xf>
    <xf numFmtId="168" fontId="35" fillId="7" borderId="5" xfId="0" applyNumberFormat="1" applyFont="1" applyFill="1" applyBorder="1" applyAlignment="1">
      <alignment horizontal="center"/>
    </xf>
    <xf numFmtId="43" fontId="35" fillId="0" borderId="1" xfId="1" applyFont="1" applyFill="1" applyBorder="1" applyAlignment="1">
      <alignment horizontal="center"/>
    </xf>
    <xf numFmtId="10" fontId="35" fillId="0" borderId="0" xfId="0" applyNumberFormat="1" applyFont="1" applyAlignment="1">
      <alignment horizontal="center"/>
    </xf>
    <xf numFmtId="1" fontId="36" fillId="0" borderId="1" xfId="0" applyNumberFormat="1" applyFont="1" applyBorder="1" applyAlignment="1">
      <alignment horizontal="center"/>
    </xf>
    <xf numFmtId="1" fontId="36" fillId="0" borderId="1" xfId="3" applyNumberFormat="1" applyFont="1" applyFill="1" applyBorder="1" applyAlignment="1">
      <alignment horizontal="center"/>
    </xf>
    <xf numFmtId="164" fontId="36" fillId="0" borderId="1" xfId="0" applyNumberFormat="1" applyFont="1" applyBorder="1" applyAlignment="1">
      <alignment horizontal="center"/>
    </xf>
    <xf numFmtId="164" fontId="36" fillId="0" borderId="1" xfId="3" applyNumberFormat="1" applyFont="1" applyFill="1" applyBorder="1" applyAlignment="1">
      <alignment horizontal="center"/>
    </xf>
    <xf numFmtId="168" fontId="36" fillId="7" borderId="1" xfId="0" applyNumberFormat="1" applyFont="1" applyFill="1" applyBorder="1" applyAlignment="1">
      <alignment horizontal="center"/>
    </xf>
    <xf numFmtId="164" fontId="36" fillId="7" borderId="1" xfId="0" applyNumberFormat="1" applyFont="1" applyFill="1" applyBorder="1" applyAlignment="1">
      <alignment horizontal="center"/>
    </xf>
    <xf numFmtId="1" fontId="36" fillId="5" borderId="1" xfId="0" applyNumberFormat="1" applyFont="1" applyFill="1" applyBorder="1" applyAlignment="1">
      <alignment horizontal="center"/>
    </xf>
    <xf numFmtId="168" fontId="36" fillId="7" borderId="1" xfId="1" applyNumberFormat="1" applyFont="1" applyFill="1" applyBorder="1" applyAlignment="1">
      <alignment horizontal="center"/>
    </xf>
    <xf numFmtId="168" fontId="36" fillId="7" borderId="5" xfId="0" applyNumberFormat="1" applyFont="1" applyFill="1" applyBorder="1" applyAlignment="1">
      <alignment horizontal="center"/>
    </xf>
    <xf numFmtId="43" fontId="36" fillId="0" borderId="1" xfId="1" applyFont="1" applyFill="1" applyBorder="1" applyAlignment="1">
      <alignment horizontal="center"/>
    </xf>
    <xf numFmtId="10" fontId="36" fillId="0" borderId="0" xfId="0" applyNumberFormat="1" applyFont="1" applyAlignment="1">
      <alignment horizontal="center"/>
    </xf>
    <xf numFmtId="1" fontId="37" fillId="0" borderId="1" xfId="0" applyNumberFormat="1" applyFont="1" applyBorder="1" applyAlignment="1">
      <alignment horizontal="center"/>
    </xf>
    <xf numFmtId="1" fontId="37" fillId="0" borderId="1" xfId="3" applyNumberFormat="1" applyFont="1" applyFill="1" applyBorder="1" applyAlignment="1">
      <alignment horizontal="center"/>
    </xf>
    <xf numFmtId="164" fontId="37" fillId="0" borderId="1" xfId="0" applyNumberFormat="1" applyFont="1" applyBorder="1" applyAlignment="1">
      <alignment horizontal="center"/>
    </xf>
    <xf numFmtId="164" fontId="37" fillId="0" borderId="1" xfId="3" applyNumberFormat="1" applyFont="1" applyFill="1" applyBorder="1" applyAlignment="1">
      <alignment horizontal="center"/>
    </xf>
    <xf numFmtId="168" fontId="37" fillId="7" borderId="1" xfId="0" applyNumberFormat="1" applyFont="1" applyFill="1" applyBorder="1" applyAlignment="1">
      <alignment horizontal="center"/>
    </xf>
    <xf numFmtId="164" fontId="37" fillId="7" borderId="1" xfId="0" applyNumberFormat="1" applyFont="1" applyFill="1" applyBorder="1" applyAlignment="1">
      <alignment horizontal="center"/>
    </xf>
    <xf numFmtId="1" fontId="37" fillId="5" borderId="1" xfId="0" applyNumberFormat="1" applyFont="1" applyFill="1" applyBorder="1" applyAlignment="1">
      <alignment horizontal="center"/>
    </xf>
    <xf numFmtId="168" fontId="37" fillId="7" borderId="1" xfId="1" applyNumberFormat="1" applyFont="1" applyFill="1" applyBorder="1" applyAlignment="1">
      <alignment horizontal="center"/>
    </xf>
    <xf numFmtId="168" fontId="37" fillId="7" borderId="5" xfId="0" applyNumberFormat="1" applyFont="1" applyFill="1" applyBorder="1" applyAlignment="1">
      <alignment horizontal="center"/>
    </xf>
    <xf numFmtId="43" fontId="37" fillId="0" borderId="1" xfId="1" applyFont="1" applyFill="1" applyBorder="1" applyAlignment="1">
      <alignment horizontal="center"/>
    </xf>
    <xf numFmtId="10" fontId="37" fillId="0" borderId="0" xfId="0" applyNumberFormat="1" applyFont="1" applyAlignment="1">
      <alignment horizontal="center"/>
    </xf>
    <xf numFmtId="0" fontId="38" fillId="24" borderId="59" xfId="0" applyFont="1" applyFill="1" applyBorder="1" applyAlignment="1">
      <alignment horizontal="center" vertical="center"/>
    </xf>
    <xf numFmtId="0" fontId="38" fillId="23" borderId="44" xfId="0" applyFont="1" applyFill="1" applyBorder="1" applyAlignment="1">
      <alignment horizontal="center" vertical="center"/>
    </xf>
    <xf numFmtId="0" fontId="38" fillId="23" borderId="61" xfId="0" applyFont="1" applyFill="1" applyBorder="1" applyAlignment="1">
      <alignment horizontal="center" vertical="center"/>
    </xf>
    <xf numFmtId="0" fontId="38" fillId="24" borderId="44" xfId="0" applyFont="1" applyFill="1" applyBorder="1" applyAlignment="1">
      <alignment horizontal="center" vertical="center"/>
    </xf>
    <xf numFmtId="0" fontId="38" fillId="24" borderId="61" xfId="0" applyFont="1" applyFill="1" applyBorder="1" applyAlignment="1">
      <alignment horizontal="center" vertical="center"/>
    </xf>
    <xf numFmtId="15" fontId="0" fillId="0" borderId="44" xfId="0" applyNumberFormat="1" applyBorder="1" applyAlignment="1">
      <alignment horizontal="center" vertical="center"/>
    </xf>
    <xf numFmtId="15" fontId="38" fillId="2" borderId="44" xfId="0" applyNumberFormat="1" applyFont="1" applyFill="1" applyBorder="1" applyAlignment="1">
      <alignment horizontal="center" vertical="center"/>
    </xf>
    <xf numFmtId="2" fontId="0" fillId="0" borderId="44" xfId="0" applyNumberFormat="1" applyBorder="1" applyAlignment="1">
      <alignment horizontal="center" vertical="center"/>
    </xf>
    <xf numFmtId="1" fontId="0" fillId="0" borderId="44" xfId="0" applyNumberFormat="1" applyBorder="1" applyAlignment="1">
      <alignment horizontal="center"/>
    </xf>
    <xf numFmtId="15" fontId="39" fillId="0" borderId="44" xfId="0" applyNumberFormat="1" applyFont="1" applyBorder="1"/>
    <xf numFmtId="1" fontId="0" fillId="0" borderId="59" xfId="0" applyNumberFormat="1" applyBorder="1" applyAlignment="1">
      <alignment horizontal="center"/>
    </xf>
    <xf numFmtId="15" fontId="39" fillId="0" borderId="62" xfId="0" applyNumberFormat="1" applyFont="1" applyBorder="1"/>
    <xf numFmtId="0" fontId="0" fillId="0" borderId="44" xfId="0" applyBorder="1" applyAlignment="1">
      <alignment horizontal="center"/>
    </xf>
    <xf numFmtId="0" fontId="39" fillId="0" borderId="62" xfId="0" applyFont="1" applyBorder="1"/>
    <xf numFmtId="14" fontId="0" fillId="0" borderId="44" xfId="0" applyNumberFormat="1" applyBorder="1" applyAlignment="1">
      <alignment horizontal="center" vertical="center"/>
    </xf>
    <xf numFmtId="14" fontId="38" fillId="2" borderId="44" xfId="0" applyNumberFormat="1" applyFont="1" applyFill="1" applyBorder="1" applyAlignment="1">
      <alignment horizontal="center" vertical="center"/>
    </xf>
    <xf numFmtId="0" fontId="38" fillId="23" borderId="66" xfId="0" applyFont="1" applyFill="1" applyBorder="1" applyAlignment="1">
      <alignment horizontal="center" vertical="center"/>
    </xf>
    <xf numFmtId="0" fontId="0" fillId="24" borderId="71" xfId="0" applyFill="1" applyBorder="1" applyAlignment="1">
      <alignment vertical="center" wrapText="1"/>
    </xf>
    <xf numFmtId="0" fontId="0" fillId="5" borderId="70" xfId="0" applyFill="1" applyBorder="1" applyAlignment="1">
      <alignment horizontal="center"/>
    </xf>
    <xf numFmtId="0" fontId="0" fillId="0" borderId="71" xfId="0" applyBorder="1"/>
    <xf numFmtId="0" fontId="0" fillId="0" borderId="72" xfId="0" applyBorder="1" applyAlignment="1">
      <alignment horizontal="center" vertical="center"/>
    </xf>
    <xf numFmtId="0" fontId="0" fillId="0" borderId="73" xfId="0" applyBorder="1" applyAlignment="1">
      <alignment horizontal="center" vertical="center"/>
    </xf>
    <xf numFmtId="0" fontId="38" fillId="5" borderId="22" xfId="0" applyFont="1" applyFill="1" applyBorder="1" applyAlignment="1">
      <alignment vertical="center"/>
    </xf>
    <xf numFmtId="0" fontId="0" fillId="5" borderId="23" xfId="0" applyFill="1" applyBorder="1"/>
    <xf numFmtId="15" fontId="40" fillId="25" borderId="62" xfId="0" applyNumberFormat="1" applyFont="1" applyFill="1" applyBorder="1" applyAlignment="1">
      <alignment horizontal="center" vertical="center"/>
    </xf>
    <xf numFmtId="15" fontId="40" fillId="25" borderId="44" xfId="0" applyNumberFormat="1" applyFont="1" applyFill="1" applyBorder="1" applyAlignment="1">
      <alignment horizontal="center" vertical="center"/>
    </xf>
    <xf numFmtId="1" fontId="41" fillId="0" borderId="1" xfId="0" applyNumberFormat="1" applyFont="1" applyBorder="1" applyAlignment="1">
      <alignment horizontal="center"/>
    </xf>
    <xf numFmtId="1" fontId="41" fillId="0" borderId="1" xfId="3" applyNumberFormat="1" applyFont="1" applyFill="1" applyBorder="1" applyAlignment="1">
      <alignment horizontal="center"/>
    </xf>
    <xf numFmtId="164" fontId="41" fillId="0" borderId="1" xfId="0" applyNumberFormat="1" applyFont="1" applyBorder="1" applyAlignment="1">
      <alignment horizontal="center"/>
    </xf>
    <xf numFmtId="164" fontId="41" fillId="0" borderId="1" xfId="3" applyNumberFormat="1" applyFont="1" applyFill="1" applyBorder="1" applyAlignment="1">
      <alignment horizontal="center"/>
    </xf>
    <xf numFmtId="168" fontId="41" fillId="7" borderId="1" xfId="0" applyNumberFormat="1" applyFont="1" applyFill="1" applyBorder="1" applyAlignment="1">
      <alignment horizontal="center"/>
    </xf>
    <xf numFmtId="164" fontId="41" fillId="7" borderId="1" xfId="0" applyNumberFormat="1" applyFont="1" applyFill="1" applyBorder="1" applyAlignment="1">
      <alignment horizontal="center"/>
    </xf>
    <xf numFmtId="1" fontId="41" fillId="5" borderId="1" xfId="0" applyNumberFormat="1" applyFont="1" applyFill="1" applyBorder="1" applyAlignment="1">
      <alignment horizontal="center"/>
    </xf>
    <xf numFmtId="168" fontId="41" fillId="7" borderId="1" xfId="1" applyNumberFormat="1" applyFont="1" applyFill="1" applyBorder="1" applyAlignment="1">
      <alignment horizontal="center"/>
    </xf>
    <xf numFmtId="168" fontId="41" fillId="7" borderId="5" xfId="0" applyNumberFormat="1" applyFont="1" applyFill="1" applyBorder="1" applyAlignment="1">
      <alignment horizontal="center"/>
    </xf>
    <xf numFmtId="43" fontId="41" fillId="0" borderId="1" xfId="1" applyFont="1" applyFill="1" applyBorder="1" applyAlignment="1">
      <alignment horizontal="center"/>
    </xf>
    <xf numFmtId="10" fontId="41" fillId="0" borderId="0" xfId="0" applyNumberFormat="1" applyFont="1" applyAlignment="1">
      <alignment horizontal="center"/>
    </xf>
    <xf numFmtId="1" fontId="42" fillId="0" borderId="1" xfId="0" applyNumberFormat="1" applyFont="1" applyBorder="1" applyAlignment="1">
      <alignment horizontal="center"/>
    </xf>
    <xf numFmtId="1" fontId="42" fillId="0" borderId="1" xfId="3" applyNumberFormat="1" applyFont="1" applyFill="1" applyBorder="1" applyAlignment="1">
      <alignment horizontal="center"/>
    </xf>
    <xf numFmtId="164" fontId="42" fillId="0" borderId="1" xfId="0" applyNumberFormat="1" applyFont="1" applyBorder="1" applyAlignment="1">
      <alignment horizontal="center"/>
    </xf>
    <xf numFmtId="164" fontId="42" fillId="0" borderId="1" xfId="3" applyNumberFormat="1" applyFont="1" applyFill="1" applyBorder="1" applyAlignment="1">
      <alignment horizontal="center"/>
    </xf>
    <xf numFmtId="168" fontId="42" fillId="7" borderId="1" xfId="0" applyNumberFormat="1" applyFont="1" applyFill="1" applyBorder="1" applyAlignment="1">
      <alignment horizontal="center"/>
    </xf>
    <xf numFmtId="164" fontId="42" fillId="7" borderId="1" xfId="0" applyNumberFormat="1" applyFont="1" applyFill="1" applyBorder="1" applyAlignment="1">
      <alignment horizontal="center"/>
    </xf>
    <xf numFmtId="1" fontId="42" fillId="5" borderId="1" xfId="0" applyNumberFormat="1" applyFont="1" applyFill="1" applyBorder="1" applyAlignment="1">
      <alignment horizontal="center"/>
    </xf>
    <xf numFmtId="168" fontId="42" fillId="7" borderId="1" xfId="1" applyNumberFormat="1" applyFont="1" applyFill="1" applyBorder="1" applyAlignment="1">
      <alignment horizontal="center"/>
    </xf>
    <xf numFmtId="168" fontId="42" fillId="7" borderId="5" xfId="0" applyNumberFormat="1" applyFont="1" applyFill="1" applyBorder="1" applyAlignment="1">
      <alignment horizontal="center"/>
    </xf>
    <xf numFmtId="43" fontId="42" fillId="0" borderId="1" xfId="1" applyFont="1" applyFill="1" applyBorder="1" applyAlignment="1">
      <alignment horizontal="center"/>
    </xf>
    <xf numFmtId="10" fontId="42" fillId="0" borderId="0" xfId="0" applyNumberFormat="1" applyFont="1" applyAlignment="1">
      <alignment horizontal="center"/>
    </xf>
    <xf numFmtId="1" fontId="43" fillId="0" borderId="1" xfId="0" applyNumberFormat="1" applyFont="1" applyBorder="1" applyAlignment="1">
      <alignment horizontal="center"/>
    </xf>
    <xf numFmtId="1" fontId="43" fillId="0" borderId="1" xfId="3" applyNumberFormat="1" applyFont="1" applyFill="1" applyBorder="1" applyAlignment="1">
      <alignment horizontal="center"/>
    </xf>
    <xf numFmtId="164" fontId="43" fillId="0" borderId="1" xfId="0" applyNumberFormat="1" applyFont="1" applyBorder="1" applyAlignment="1">
      <alignment horizontal="center"/>
    </xf>
    <xf numFmtId="164" fontId="43" fillId="0" borderId="1" xfId="3" applyNumberFormat="1" applyFont="1" applyFill="1" applyBorder="1" applyAlignment="1">
      <alignment horizontal="center"/>
    </xf>
    <xf numFmtId="168" fontId="43" fillId="7" borderId="1" xfId="0" applyNumberFormat="1" applyFont="1" applyFill="1" applyBorder="1" applyAlignment="1">
      <alignment horizontal="center"/>
    </xf>
    <xf numFmtId="164" fontId="43" fillId="7" borderId="1" xfId="0" applyNumberFormat="1" applyFont="1" applyFill="1" applyBorder="1" applyAlignment="1">
      <alignment horizontal="center"/>
    </xf>
    <xf numFmtId="1" fontId="43" fillId="5" borderId="1" xfId="0" applyNumberFormat="1" applyFont="1" applyFill="1" applyBorder="1" applyAlignment="1">
      <alignment horizontal="center"/>
    </xf>
    <xf numFmtId="168" fontId="43" fillId="7" borderId="1" xfId="1" applyNumberFormat="1" applyFont="1" applyFill="1" applyBorder="1" applyAlignment="1">
      <alignment horizontal="center"/>
    </xf>
    <xf numFmtId="168" fontId="43" fillId="7" borderId="5" xfId="0" applyNumberFormat="1" applyFont="1" applyFill="1" applyBorder="1" applyAlignment="1">
      <alignment horizontal="center"/>
    </xf>
    <xf numFmtId="43" fontId="43" fillId="0" borderId="1" xfId="1" applyFont="1" applyFill="1" applyBorder="1" applyAlignment="1">
      <alignment horizontal="center"/>
    </xf>
    <xf numFmtId="10" fontId="43" fillId="0" borderId="0" xfId="0" applyNumberFormat="1" applyFont="1" applyAlignment="1">
      <alignment horizontal="center"/>
    </xf>
    <xf numFmtId="1" fontId="44" fillId="0" borderId="1" xfId="3" applyNumberFormat="1" applyFont="1" applyFill="1" applyBorder="1" applyAlignment="1">
      <alignment horizontal="center"/>
    </xf>
    <xf numFmtId="168" fontId="44" fillId="7" borderId="1" xfId="0" applyNumberFormat="1" applyFont="1" applyFill="1" applyBorder="1" applyAlignment="1">
      <alignment horizontal="center"/>
    </xf>
    <xf numFmtId="164" fontId="44" fillId="7" borderId="1" xfId="0" applyNumberFormat="1" applyFont="1" applyFill="1" applyBorder="1" applyAlignment="1">
      <alignment horizontal="center"/>
    </xf>
    <xf numFmtId="1" fontId="44" fillId="5" borderId="1" xfId="0" applyNumberFormat="1" applyFont="1" applyFill="1" applyBorder="1" applyAlignment="1">
      <alignment horizontal="center"/>
    </xf>
    <xf numFmtId="168" fontId="44" fillId="7" borderId="1" xfId="1" applyNumberFormat="1" applyFont="1" applyFill="1" applyBorder="1" applyAlignment="1">
      <alignment horizontal="center"/>
    </xf>
    <xf numFmtId="168" fontId="44" fillId="7" borderId="5" xfId="0" applyNumberFormat="1" applyFont="1" applyFill="1" applyBorder="1" applyAlignment="1">
      <alignment horizontal="center"/>
    </xf>
    <xf numFmtId="10" fontId="44" fillId="0" borderId="1" xfId="1" applyNumberFormat="1" applyFont="1" applyFill="1" applyBorder="1" applyAlignment="1">
      <alignment horizontal="center"/>
    </xf>
    <xf numFmtId="43" fontId="44" fillId="0" borderId="1" xfId="1" applyFont="1" applyFill="1" applyBorder="1" applyAlignment="1">
      <alignment horizontal="center"/>
    </xf>
    <xf numFmtId="10" fontId="44" fillId="0" borderId="0" xfId="0" applyNumberFormat="1" applyFont="1" applyAlignment="1">
      <alignment horizontal="center"/>
    </xf>
    <xf numFmtId="164" fontId="44" fillId="0" borderId="1" xfId="3" applyNumberFormat="1" applyFont="1" applyFill="1" applyBorder="1" applyAlignment="1">
      <alignment horizontal="center"/>
    </xf>
    <xf numFmtId="1" fontId="44" fillId="0" borderId="1" xfId="0" applyNumberFormat="1" applyFont="1" applyBorder="1" applyAlignment="1">
      <alignment horizontal="center"/>
    </xf>
    <xf numFmtId="164" fontId="44" fillId="0" borderId="1" xfId="0" applyNumberFormat="1" applyFont="1" applyBorder="1" applyAlignment="1">
      <alignment horizontal="center"/>
    </xf>
    <xf numFmtId="1" fontId="45" fillId="0" borderId="1" xfId="0" applyNumberFormat="1" applyFont="1" applyBorder="1" applyAlignment="1">
      <alignment horizontal="center"/>
    </xf>
    <xf numFmtId="1" fontId="45" fillId="0" borderId="1" xfId="3" applyNumberFormat="1" applyFont="1" applyFill="1" applyBorder="1" applyAlignment="1">
      <alignment horizontal="center"/>
    </xf>
    <xf numFmtId="164" fontId="45" fillId="0" borderId="1" xfId="0" applyNumberFormat="1" applyFont="1" applyBorder="1" applyAlignment="1">
      <alignment horizontal="center"/>
    </xf>
    <xf numFmtId="164" fontId="45" fillId="0" borderId="1" xfId="3" applyNumberFormat="1" applyFont="1" applyFill="1" applyBorder="1" applyAlignment="1">
      <alignment horizontal="center"/>
    </xf>
    <xf numFmtId="168" fontId="45" fillId="7" borderId="1" xfId="0" applyNumberFormat="1" applyFont="1" applyFill="1" applyBorder="1" applyAlignment="1">
      <alignment horizontal="center"/>
    </xf>
    <xf numFmtId="164" fontId="45" fillId="7" borderId="1" xfId="0" applyNumberFormat="1" applyFont="1" applyFill="1" applyBorder="1" applyAlignment="1">
      <alignment horizontal="center"/>
    </xf>
    <xf numFmtId="1" fontId="45" fillId="5" borderId="1" xfId="0" applyNumberFormat="1" applyFont="1" applyFill="1" applyBorder="1" applyAlignment="1">
      <alignment horizontal="center"/>
    </xf>
    <xf numFmtId="168" fontId="45" fillId="7" borderId="1" xfId="1" applyNumberFormat="1" applyFont="1" applyFill="1" applyBorder="1" applyAlignment="1">
      <alignment horizontal="center"/>
    </xf>
    <xf numFmtId="168" fontId="45" fillId="7" borderId="5" xfId="0" applyNumberFormat="1" applyFont="1" applyFill="1" applyBorder="1" applyAlignment="1">
      <alignment horizontal="center"/>
    </xf>
    <xf numFmtId="10" fontId="45" fillId="0" borderId="1" xfId="1" applyNumberFormat="1" applyFont="1" applyFill="1" applyBorder="1" applyAlignment="1">
      <alignment horizontal="center"/>
    </xf>
    <xf numFmtId="43" fontId="45" fillId="0" borderId="1" xfId="1" applyFont="1" applyFill="1" applyBorder="1" applyAlignment="1">
      <alignment horizontal="center"/>
    </xf>
    <xf numFmtId="10" fontId="45" fillId="0" borderId="0" xfId="0" applyNumberFormat="1" applyFont="1" applyAlignment="1">
      <alignment horizontal="center"/>
    </xf>
    <xf numFmtId="1" fontId="46" fillId="0" borderId="1" xfId="0" applyNumberFormat="1" applyFont="1" applyBorder="1" applyAlignment="1">
      <alignment horizontal="center"/>
    </xf>
    <xf numFmtId="1" fontId="46" fillId="0" borderId="1" xfId="3" applyNumberFormat="1" applyFont="1" applyFill="1" applyBorder="1" applyAlignment="1">
      <alignment horizontal="center"/>
    </xf>
    <xf numFmtId="164" fontId="46" fillId="0" borderId="1" xfId="0" applyNumberFormat="1" applyFont="1" applyBorder="1" applyAlignment="1">
      <alignment horizontal="center"/>
    </xf>
    <xf numFmtId="164" fontId="46" fillId="0" borderId="1" xfId="3" applyNumberFormat="1" applyFont="1" applyFill="1" applyBorder="1" applyAlignment="1">
      <alignment horizontal="center"/>
    </xf>
    <xf numFmtId="168" fontId="46" fillId="7" borderId="1" xfId="0" applyNumberFormat="1" applyFont="1" applyFill="1" applyBorder="1" applyAlignment="1">
      <alignment horizontal="center"/>
    </xf>
    <xf numFmtId="164" fontId="46" fillId="7" borderId="1" xfId="0" applyNumberFormat="1" applyFont="1" applyFill="1" applyBorder="1" applyAlignment="1">
      <alignment horizontal="center"/>
    </xf>
    <xf numFmtId="1" fontId="46" fillId="5" borderId="1" xfId="0" applyNumberFormat="1" applyFont="1" applyFill="1" applyBorder="1" applyAlignment="1">
      <alignment horizontal="center"/>
    </xf>
    <xf numFmtId="168" fontId="46" fillId="7" borderId="1" xfId="1" applyNumberFormat="1" applyFont="1" applyFill="1" applyBorder="1" applyAlignment="1">
      <alignment horizontal="center"/>
    </xf>
    <xf numFmtId="168" fontId="46" fillId="7" borderId="5" xfId="0" applyNumberFormat="1" applyFont="1" applyFill="1" applyBorder="1" applyAlignment="1">
      <alignment horizontal="center"/>
    </xf>
    <xf numFmtId="10" fontId="46" fillId="0" borderId="1" xfId="1" applyNumberFormat="1" applyFont="1" applyFill="1" applyBorder="1" applyAlignment="1">
      <alignment horizontal="center"/>
    </xf>
    <xf numFmtId="43" fontId="46" fillId="0" borderId="1" xfId="1" applyFont="1" applyFill="1" applyBorder="1" applyAlignment="1">
      <alignment horizontal="center"/>
    </xf>
    <xf numFmtId="10" fontId="46" fillId="0" borderId="0" xfId="0" applyNumberFormat="1" applyFont="1" applyAlignment="1">
      <alignment horizontal="center"/>
    </xf>
    <xf numFmtId="1" fontId="47" fillId="0" borderId="1" xfId="0" applyNumberFormat="1" applyFont="1" applyBorder="1" applyAlignment="1">
      <alignment horizontal="center"/>
    </xf>
    <xf numFmtId="1" fontId="47" fillId="0" borderId="1" xfId="3" applyNumberFormat="1" applyFont="1" applyFill="1" applyBorder="1" applyAlignment="1">
      <alignment horizontal="center"/>
    </xf>
    <xf numFmtId="164" fontId="47" fillId="0" borderId="1" xfId="0" applyNumberFormat="1" applyFont="1" applyBorder="1" applyAlignment="1">
      <alignment horizontal="center"/>
    </xf>
    <xf numFmtId="164" fontId="47" fillId="0" borderId="1" xfId="3" applyNumberFormat="1" applyFont="1" applyFill="1" applyBorder="1" applyAlignment="1">
      <alignment horizontal="center"/>
    </xf>
    <xf numFmtId="168" fontId="47" fillId="7" borderId="1" xfId="0" applyNumberFormat="1" applyFont="1" applyFill="1" applyBorder="1" applyAlignment="1">
      <alignment horizontal="center"/>
    </xf>
    <xf numFmtId="164" fontId="47" fillId="7" borderId="1" xfId="0" applyNumberFormat="1" applyFont="1" applyFill="1" applyBorder="1" applyAlignment="1">
      <alignment horizontal="center"/>
    </xf>
    <xf numFmtId="1" fontId="47" fillId="5" borderId="1" xfId="0" applyNumberFormat="1" applyFont="1" applyFill="1" applyBorder="1" applyAlignment="1">
      <alignment horizontal="center"/>
    </xf>
    <xf numFmtId="168" fontId="47" fillId="7" borderId="1" xfId="1" applyNumberFormat="1" applyFont="1" applyFill="1" applyBorder="1" applyAlignment="1">
      <alignment horizontal="center"/>
    </xf>
    <xf numFmtId="168" fontId="47" fillId="7" borderId="5" xfId="0" applyNumberFormat="1" applyFont="1" applyFill="1" applyBorder="1" applyAlignment="1">
      <alignment horizontal="center"/>
    </xf>
    <xf numFmtId="10" fontId="47" fillId="0" borderId="1" xfId="1" applyNumberFormat="1" applyFont="1" applyFill="1" applyBorder="1" applyAlignment="1">
      <alignment horizontal="center"/>
    </xf>
    <xf numFmtId="43" fontId="47" fillId="0" borderId="1" xfId="1" applyFont="1" applyFill="1" applyBorder="1" applyAlignment="1">
      <alignment horizontal="center"/>
    </xf>
    <xf numFmtId="10" fontId="47" fillId="0" borderId="0" xfId="0" applyNumberFormat="1" applyFont="1" applyAlignment="1">
      <alignment horizontal="center"/>
    </xf>
    <xf numFmtId="1" fontId="48" fillId="0" borderId="1" xfId="0" applyNumberFormat="1" applyFont="1" applyBorder="1" applyAlignment="1">
      <alignment horizontal="center"/>
    </xf>
    <xf numFmtId="1" fontId="48" fillId="0" borderId="1" xfId="3" applyNumberFormat="1" applyFont="1" applyFill="1" applyBorder="1" applyAlignment="1">
      <alignment horizontal="center"/>
    </xf>
    <xf numFmtId="164" fontId="48" fillId="0" borderId="1" xfId="0" applyNumberFormat="1" applyFont="1" applyBorder="1" applyAlignment="1">
      <alignment horizontal="center"/>
    </xf>
    <xf numFmtId="164" fontId="48" fillId="0" borderId="1" xfId="3" applyNumberFormat="1" applyFont="1" applyFill="1" applyBorder="1" applyAlignment="1">
      <alignment horizontal="center"/>
    </xf>
    <xf numFmtId="168" fontId="48" fillId="7" borderId="1" xfId="0" applyNumberFormat="1" applyFont="1" applyFill="1" applyBorder="1" applyAlignment="1">
      <alignment horizontal="center"/>
    </xf>
    <xf numFmtId="164" fontId="48" fillId="7" borderId="1" xfId="0" applyNumberFormat="1" applyFont="1" applyFill="1" applyBorder="1" applyAlignment="1">
      <alignment horizontal="center"/>
    </xf>
    <xf numFmtId="1" fontId="48" fillId="5" borderId="1" xfId="0" applyNumberFormat="1" applyFont="1" applyFill="1" applyBorder="1" applyAlignment="1">
      <alignment horizontal="center"/>
    </xf>
    <xf numFmtId="168" fontId="48" fillId="7" borderId="1" xfId="1" applyNumberFormat="1" applyFont="1" applyFill="1" applyBorder="1" applyAlignment="1">
      <alignment horizontal="center"/>
    </xf>
    <xf numFmtId="168" fontId="48" fillId="7" borderId="5" xfId="0" applyNumberFormat="1" applyFont="1" applyFill="1" applyBorder="1" applyAlignment="1">
      <alignment horizontal="center"/>
    </xf>
    <xf numFmtId="10" fontId="48" fillId="0" borderId="1" xfId="1" applyNumberFormat="1" applyFont="1" applyFill="1" applyBorder="1" applyAlignment="1">
      <alignment horizontal="center"/>
    </xf>
    <xf numFmtId="43" fontId="48" fillId="0" borderId="1" xfId="1" applyFont="1" applyFill="1" applyBorder="1" applyAlignment="1">
      <alignment horizontal="center"/>
    </xf>
    <xf numFmtId="10" fontId="48" fillId="0" borderId="0" xfId="0" applyNumberFormat="1" applyFont="1" applyAlignment="1">
      <alignment horizontal="center"/>
    </xf>
    <xf numFmtId="0" fontId="5" fillId="3" borderId="0" xfId="0" applyFont="1" applyFill="1" applyAlignment="1">
      <alignment horizontal="center" vertical="center" wrapText="1"/>
    </xf>
    <xf numFmtId="165" fontId="5" fillId="3" borderId="0" xfId="0" applyNumberFormat="1" applyFont="1" applyFill="1" applyAlignment="1">
      <alignment horizontal="center" vertical="center" wrapText="1"/>
    </xf>
    <xf numFmtId="43" fontId="5" fillId="3" borderId="0" xfId="1" applyFont="1" applyFill="1" applyAlignment="1">
      <alignment horizontal="center" vertical="center" wrapText="1"/>
    </xf>
    <xf numFmtId="0" fontId="5" fillId="3" borderId="38" xfId="0" applyFont="1" applyFill="1" applyBorder="1" applyAlignment="1">
      <alignment horizontal="center" vertical="center" wrapText="1"/>
    </xf>
    <xf numFmtId="1" fontId="0" fillId="0" borderId="0" xfId="0" applyNumberFormat="1" applyAlignment="1">
      <alignment horizontal="center" vertical="center"/>
    </xf>
    <xf numFmtId="17" fontId="0" fillId="0" borderId="0" xfId="0" applyNumberFormat="1" applyAlignment="1">
      <alignment horizontal="center" vertical="center"/>
    </xf>
    <xf numFmtId="15" fontId="0" fillId="0" borderId="0" xfId="0" applyNumberFormat="1" applyAlignment="1">
      <alignment horizontal="center" vertical="center"/>
    </xf>
    <xf numFmtId="169" fontId="0" fillId="0" borderId="0" xfId="0" applyNumberFormat="1" applyAlignment="1">
      <alignment horizontal="center" vertical="center"/>
    </xf>
    <xf numFmtId="2" fontId="0" fillId="7" borderId="8" xfId="0" applyNumberFormat="1" applyFill="1" applyBorder="1" applyAlignment="1">
      <alignment horizontal="center" vertical="center"/>
    </xf>
    <xf numFmtId="43" fontId="0" fillId="0" borderId="0" xfId="1" applyFont="1" applyFill="1" applyAlignment="1">
      <alignment horizontal="center" vertical="center"/>
    </xf>
    <xf numFmtId="9" fontId="0" fillId="0" borderId="0" xfId="0" applyNumberFormat="1" applyAlignment="1">
      <alignment horizontal="center" vertical="center"/>
    </xf>
    <xf numFmtId="170" fontId="0" fillId="0" borderId="0" xfId="0" applyNumberFormat="1" applyAlignment="1">
      <alignment vertical="center"/>
    </xf>
    <xf numFmtId="170" fontId="26" fillId="0" borderId="0" xfId="0" applyNumberFormat="1" applyFont="1" applyAlignment="1">
      <alignment vertical="center"/>
    </xf>
    <xf numFmtId="170" fontId="26" fillId="0" borderId="0" xfId="0" applyNumberFormat="1" applyFont="1" applyAlignment="1">
      <alignment horizontal="center" vertical="center"/>
    </xf>
    <xf numFmtId="2" fontId="0" fillId="0" borderId="0" xfId="1" applyNumberFormat="1" applyFont="1" applyFill="1" applyAlignment="1">
      <alignment horizontal="center" vertical="center"/>
    </xf>
    <xf numFmtId="0" fontId="5" fillId="3" borderId="75" xfId="0" applyFont="1" applyFill="1" applyBorder="1" applyAlignment="1">
      <alignment horizontal="center" vertical="center" wrapText="1"/>
    </xf>
    <xf numFmtId="0" fontId="5" fillId="3" borderId="76" xfId="0" applyFont="1" applyFill="1" applyBorder="1" applyAlignment="1">
      <alignment horizontal="center" vertical="center" wrapText="1"/>
    </xf>
    <xf numFmtId="165" fontId="5" fillId="3" borderId="76" xfId="0" applyNumberFormat="1" applyFont="1" applyFill="1" applyBorder="1" applyAlignment="1">
      <alignment horizontal="center" vertical="center" wrapText="1"/>
    </xf>
    <xf numFmtId="10" fontId="0" fillId="0" borderId="0" xfId="2" applyNumberFormat="1" applyFont="1" applyAlignment="1">
      <alignment horizontal="center" vertical="center"/>
    </xf>
    <xf numFmtId="0" fontId="0" fillId="0" borderId="0" xfId="0" applyAlignment="1">
      <alignment horizontal="left" vertical="center"/>
    </xf>
    <xf numFmtId="170" fontId="0" fillId="0" borderId="0" xfId="0" applyNumberFormat="1" applyAlignment="1">
      <alignment horizontal="center" vertical="center"/>
    </xf>
    <xf numFmtId="2" fontId="0" fillId="0" borderId="0" xfId="0" applyNumberFormat="1" applyAlignment="1">
      <alignment horizontal="center" vertical="center"/>
    </xf>
    <xf numFmtId="0" fontId="5" fillId="3" borderId="10" xfId="0" applyFont="1" applyFill="1" applyBorder="1" applyAlignment="1">
      <alignment horizontal="center" vertical="center" wrapText="1"/>
    </xf>
    <xf numFmtId="169" fontId="0" fillId="0" borderId="0" xfId="2" applyNumberFormat="1" applyFont="1" applyFill="1" applyAlignment="1">
      <alignment horizontal="center"/>
    </xf>
    <xf numFmtId="170" fontId="0" fillId="0" borderId="0" xfId="0" applyNumberFormat="1" applyAlignment="1">
      <alignment horizontal="center"/>
    </xf>
    <xf numFmtId="20" fontId="0" fillId="0" borderId="0" xfId="0" applyNumberFormat="1" applyAlignment="1">
      <alignment horizontal="center"/>
    </xf>
    <xf numFmtId="0" fontId="11" fillId="0" borderId="0" xfId="0" applyFont="1" applyAlignment="1">
      <alignment horizontal="left"/>
    </xf>
    <xf numFmtId="43" fontId="0" fillId="0" borderId="0" xfId="1" applyFont="1" applyAlignment="1">
      <alignment horizontal="center"/>
    </xf>
    <xf numFmtId="10" fontId="0" fillId="0" borderId="0" xfId="0" applyNumberFormat="1"/>
    <xf numFmtId="2" fontId="0" fillId="0" borderId="0" xfId="1" applyNumberFormat="1" applyFont="1" applyAlignment="1">
      <alignment horizontal="center"/>
    </xf>
    <xf numFmtId="0" fontId="0" fillId="0" borderId="0" xfId="0" applyAlignment="1">
      <alignment horizontal="left"/>
    </xf>
    <xf numFmtId="1" fontId="49" fillId="0" borderId="1" xfId="0" applyNumberFormat="1" applyFont="1" applyBorder="1" applyAlignment="1">
      <alignment horizontal="center"/>
    </xf>
    <xf numFmtId="1" fontId="49" fillId="0" borderId="1" xfId="3" applyNumberFormat="1" applyFont="1" applyFill="1" applyBorder="1" applyAlignment="1">
      <alignment horizontal="center"/>
    </xf>
    <xf numFmtId="164" fontId="49" fillId="0" borderId="1" xfId="0" applyNumberFormat="1" applyFont="1" applyBorder="1" applyAlignment="1">
      <alignment horizontal="center"/>
    </xf>
    <xf numFmtId="164" fontId="49" fillId="0" borderId="1" xfId="3" applyNumberFormat="1" applyFont="1" applyFill="1" applyBorder="1" applyAlignment="1">
      <alignment horizontal="center"/>
    </xf>
    <xf numFmtId="168" fontId="49" fillId="7" borderId="1" xfId="0" applyNumberFormat="1" applyFont="1" applyFill="1" applyBorder="1" applyAlignment="1">
      <alignment horizontal="center"/>
    </xf>
    <xf numFmtId="164" fontId="49" fillId="7" borderId="1" xfId="0" applyNumberFormat="1" applyFont="1" applyFill="1" applyBorder="1" applyAlignment="1">
      <alignment horizontal="center"/>
    </xf>
    <xf numFmtId="1" fontId="49" fillId="5" borderId="1" xfId="0" applyNumberFormat="1" applyFont="1" applyFill="1" applyBorder="1" applyAlignment="1">
      <alignment horizontal="center"/>
    </xf>
    <xf numFmtId="168" fontId="49" fillId="7" borderId="1" xfId="1" applyNumberFormat="1" applyFont="1" applyFill="1" applyBorder="1" applyAlignment="1">
      <alignment horizontal="center"/>
    </xf>
    <xf numFmtId="168" fontId="49" fillId="7" borderId="5" xfId="0" applyNumberFormat="1" applyFont="1" applyFill="1" applyBorder="1" applyAlignment="1">
      <alignment horizontal="center"/>
    </xf>
    <xf numFmtId="10" fontId="49" fillId="0" borderId="1" xfId="1" applyNumberFormat="1" applyFont="1" applyFill="1" applyBorder="1" applyAlignment="1">
      <alignment horizontal="center"/>
    </xf>
    <xf numFmtId="43" fontId="49" fillId="0" borderId="1" xfId="1" applyFont="1" applyFill="1" applyBorder="1" applyAlignment="1">
      <alignment horizontal="center"/>
    </xf>
    <xf numFmtId="10" fontId="49" fillId="0" borderId="0" xfId="0" applyNumberFormat="1" applyFont="1" applyAlignment="1">
      <alignment horizontal="center"/>
    </xf>
    <xf numFmtId="1" fontId="50" fillId="0" borderId="1" xfId="0" applyNumberFormat="1" applyFont="1" applyBorder="1" applyAlignment="1">
      <alignment horizontal="center"/>
    </xf>
    <xf numFmtId="1" fontId="50" fillId="0" borderId="1" xfId="3" applyNumberFormat="1" applyFont="1" applyFill="1" applyBorder="1" applyAlignment="1">
      <alignment horizontal="center"/>
    </xf>
    <xf numFmtId="164" fontId="50" fillId="0" borderId="1" xfId="0" applyNumberFormat="1" applyFont="1" applyBorder="1" applyAlignment="1">
      <alignment horizontal="center"/>
    </xf>
    <xf numFmtId="164" fontId="50" fillId="0" borderId="1" xfId="3" applyNumberFormat="1" applyFont="1" applyFill="1" applyBorder="1" applyAlignment="1">
      <alignment horizontal="center"/>
    </xf>
    <xf numFmtId="168" fontId="50" fillId="7" borderId="1" xfId="0" applyNumberFormat="1" applyFont="1" applyFill="1" applyBorder="1" applyAlignment="1">
      <alignment horizontal="center"/>
    </xf>
    <xf numFmtId="164" fontId="50" fillId="7" borderId="1" xfId="0" applyNumberFormat="1" applyFont="1" applyFill="1" applyBorder="1" applyAlignment="1">
      <alignment horizontal="center"/>
    </xf>
    <xf numFmtId="1" fontId="50" fillId="5" borderId="1" xfId="0" applyNumberFormat="1" applyFont="1" applyFill="1" applyBorder="1" applyAlignment="1">
      <alignment horizontal="center"/>
    </xf>
    <xf numFmtId="168" fontId="50" fillId="7" borderId="1" xfId="1" applyNumberFormat="1" applyFont="1" applyFill="1" applyBorder="1" applyAlignment="1">
      <alignment horizontal="center"/>
    </xf>
    <xf numFmtId="168" fontId="50" fillId="7" borderId="5" xfId="0" applyNumberFormat="1" applyFont="1" applyFill="1" applyBorder="1" applyAlignment="1">
      <alignment horizontal="center"/>
    </xf>
    <xf numFmtId="10" fontId="50" fillId="0" borderId="1" xfId="1" applyNumberFormat="1" applyFont="1" applyFill="1" applyBorder="1" applyAlignment="1">
      <alignment horizontal="center"/>
    </xf>
    <xf numFmtId="43" fontId="50" fillId="0" borderId="1" xfId="1" applyFont="1" applyFill="1" applyBorder="1" applyAlignment="1">
      <alignment horizontal="center"/>
    </xf>
    <xf numFmtId="10" fontId="50" fillId="0" borderId="0" xfId="0" applyNumberFormat="1" applyFont="1" applyAlignment="1">
      <alignment horizontal="center"/>
    </xf>
    <xf numFmtId="1" fontId="51" fillId="0" borderId="1" xfId="0" applyNumberFormat="1" applyFont="1" applyBorder="1" applyAlignment="1">
      <alignment horizontal="center"/>
    </xf>
    <xf numFmtId="1" fontId="51" fillId="0" borderId="1" xfId="3" applyNumberFormat="1" applyFont="1" applyFill="1" applyBorder="1" applyAlignment="1">
      <alignment horizontal="center"/>
    </xf>
    <xf numFmtId="164" fontId="51" fillId="0" borderId="1" xfId="0" applyNumberFormat="1" applyFont="1" applyBorder="1" applyAlignment="1">
      <alignment horizontal="center"/>
    </xf>
    <xf numFmtId="164" fontId="51" fillId="0" borderId="1" xfId="3" applyNumberFormat="1" applyFont="1" applyFill="1" applyBorder="1" applyAlignment="1">
      <alignment horizontal="center"/>
    </xf>
    <xf numFmtId="168" fontId="51" fillId="7" borderId="1" xfId="0" applyNumberFormat="1" applyFont="1" applyFill="1" applyBorder="1" applyAlignment="1">
      <alignment horizontal="center"/>
    </xf>
    <xf numFmtId="164" fontId="51" fillId="7" borderId="1" xfId="0" applyNumberFormat="1" applyFont="1" applyFill="1" applyBorder="1" applyAlignment="1">
      <alignment horizontal="center"/>
    </xf>
    <xf numFmtId="1" fontId="51" fillId="5" borderId="1" xfId="0" applyNumberFormat="1" applyFont="1" applyFill="1" applyBorder="1" applyAlignment="1">
      <alignment horizontal="center"/>
    </xf>
    <xf numFmtId="168" fontId="51" fillId="7" borderId="1" xfId="1" applyNumberFormat="1" applyFont="1" applyFill="1" applyBorder="1" applyAlignment="1">
      <alignment horizontal="center"/>
    </xf>
    <xf numFmtId="168" fontId="51" fillId="7" borderId="5" xfId="0" applyNumberFormat="1" applyFont="1" applyFill="1" applyBorder="1" applyAlignment="1">
      <alignment horizontal="center"/>
    </xf>
    <xf numFmtId="10" fontId="51" fillId="0" borderId="1" xfId="1" applyNumberFormat="1" applyFont="1" applyFill="1" applyBorder="1" applyAlignment="1">
      <alignment horizontal="center"/>
    </xf>
    <xf numFmtId="43" fontId="51" fillId="0" borderId="1" xfId="1" applyFont="1" applyFill="1" applyBorder="1" applyAlignment="1">
      <alignment horizontal="center"/>
    </xf>
    <xf numFmtId="10" fontId="51" fillId="0" borderId="0" xfId="0" applyNumberFormat="1" applyFont="1" applyAlignment="1">
      <alignment horizontal="center"/>
    </xf>
    <xf numFmtId="14" fontId="0" fillId="0" borderId="0" xfId="0" applyNumberFormat="1" applyAlignment="1">
      <alignment vertical="center"/>
    </xf>
    <xf numFmtId="1" fontId="52" fillId="0" borderId="1" xfId="0" applyNumberFormat="1" applyFont="1" applyBorder="1" applyAlignment="1">
      <alignment horizontal="center"/>
    </xf>
    <xf numFmtId="1" fontId="52" fillId="0" borderId="1" xfId="3" applyNumberFormat="1" applyFont="1" applyFill="1" applyBorder="1" applyAlignment="1">
      <alignment horizontal="center"/>
    </xf>
    <xf numFmtId="164" fontId="52" fillId="0" borderId="1" xfId="0" applyNumberFormat="1" applyFont="1" applyBorder="1" applyAlignment="1">
      <alignment horizontal="center"/>
    </xf>
    <xf numFmtId="164" fontId="52" fillId="0" borderId="1" xfId="3" applyNumberFormat="1" applyFont="1" applyFill="1" applyBorder="1" applyAlignment="1">
      <alignment horizontal="center"/>
    </xf>
    <xf numFmtId="168" fontId="52" fillId="7" borderId="1" xfId="0" applyNumberFormat="1" applyFont="1" applyFill="1" applyBorder="1" applyAlignment="1">
      <alignment horizontal="center"/>
    </xf>
    <xf numFmtId="164" fontId="52" fillId="7" borderId="1" xfId="0" applyNumberFormat="1" applyFont="1" applyFill="1" applyBorder="1" applyAlignment="1">
      <alignment horizontal="center"/>
    </xf>
    <xf numFmtId="1" fontId="52" fillId="5" borderId="1" xfId="0" applyNumberFormat="1" applyFont="1" applyFill="1" applyBorder="1" applyAlignment="1">
      <alignment horizontal="center"/>
    </xf>
    <xf numFmtId="168" fontId="52" fillId="7" borderId="1" xfId="1" applyNumberFormat="1" applyFont="1" applyFill="1" applyBorder="1" applyAlignment="1">
      <alignment horizontal="center"/>
    </xf>
    <xf numFmtId="168" fontId="52" fillId="7" borderId="5" xfId="0" applyNumberFormat="1" applyFont="1" applyFill="1" applyBorder="1" applyAlignment="1">
      <alignment horizontal="center"/>
    </xf>
    <xf numFmtId="10" fontId="52" fillId="0" borderId="1" xfId="1" applyNumberFormat="1" applyFont="1" applyFill="1" applyBorder="1" applyAlignment="1">
      <alignment horizontal="center"/>
    </xf>
    <xf numFmtId="43" fontId="52" fillId="0" borderId="1" xfId="1" applyFont="1" applyFill="1" applyBorder="1" applyAlignment="1">
      <alignment horizontal="center"/>
    </xf>
    <xf numFmtId="10" fontId="52" fillId="0" borderId="0" xfId="0" applyNumberFormat="1" applyFont="1" applyAlignment="1">
      <alignment horizontal="center"/>
    </xf>
    <xf numFmtId="2" fontId="0" fillId="7" borderId="77" xfId="0" applyNumberFormat="1" applyFill="1" applyBorder="1" applyAlignment="1">
      <alignment horizontal="center"/>
    </xf>
    <xf numFmtId="15" fontId="39" fillId="0" borderId="62" xfId="0" applyNumberFormat="1" applyFont="1" applyBorder="1" applyAlignment="1">
      <alignment horizontal="right"/>
    </xf>
    <xf numFmtId="15" fontId="0" fillId="0" borderId="44" xfId="0" applyNumberFormat="1" applyBorder="1" applyAlignment="1">
      <alignment horizontal="right" vertical="center"/>
    </xf>
    <xf numFmtId="164" fontId="0" fillId="0" borderId="0" xfId="0" applyNumberFormat="1" applyAlignment="1">
      <alignment horizontal="center" vertical="center"/>
    </xf>
    <xf numFmtId="2" fontId="0" fillId="7" borderId="78" xfId="0" applyNumberFormat="1" applyFill="1" applyBorder="1" applyAlignment="1">
      <alignment horizontal="center" vertical="center"/>
    </xf>
    <xf numFmtId="2" fontId="0" fillId="0" borderId="0" xfId="1" applyNumberFormat="1" applyFont="1" applyFill="1" applyBorder="1" applyAlignment="1">
      <alignment horizontal="center" vertical="center"/>
    </xf>
    <xf numFmtId="10" fontId="0" fillId="0" borderId="0" xfId="2" applyNumberFormat="1" applyFont="1" applyBorder="1" applyAlignment="1">
      <alignment horizontal="center" vertical="center"/>
    </xf>
    <xf numFmtId="2" fontId="0" fillId="7" borderId="78" xfId="0" applyNumberFormat="1" applyFill="1" applyBorder="1" applyAlignment="1">
      <alignment horizontal="center"/>
    </xf>
    <xf numFmtId="2" fontId="0" fillId="7" borderId="79" xfId="0" applyNumberFormat="1" applyFill="1" applyBorder="1" applyAlignment="1">
      <alignment horizontal="center"/>
    </xf>
    <xf numFmtId="1" fontId="53" fillId="0" borderId="1" xfId="0" applyNumberFormat="1" applyFont="1" applyBorder="1" applyAlignment="1">
      <alignment horizontal="center"/>
    </xf>
    <xf numFmtId="1" fontId="53" fillId="0" borderId="1" xfId="3" applyNumberFormat="1" applyFont="1" applyFill="1" applyBorder="1" applyAlignment="1">
      <alignment horizontal="center"/>
    </xf>
    <xf numFmtId="164" fontId="53" fillId="0" borderId="1" xfId="0" applyNumberFormat="1" applyFont="1" applyBorder="1" applyAlignment="1">
      <alignment horizontal="center"/>
    </xf>
    <xf numFmtId="164" fontId="53" fillId="0" borderId="1" xfId="3" applyNumberFormat="1" applyFont="1" applyFill="1" applyBorder="1" applyAlignment="1">
      <alignment horizontal="center"/>
    </xf>
    <xf numFmtId="168" fontId="53" fillId="7" borderId="1" xfId="0" applyNumberFormat="1" applyFont="1" applyFill="1" applyBorder="1" applyAlignment="1">
      <alignment horizontal="center"/>
    </xf>
    <xf numFmtId="164" fontId="53" fillId="7" borderId="1" xfId="0" applyNumberFormat="1" applyFont="1" applyFill="1" applyBorder="1" applyAlignment="1">
      <alignment horizontal="center"/>
    </xf>
    <xf numFmtId="1" fontId="53" fillId="5" borderId="1" xfId="0" applyNumberFormat="1" applyFont="1" applyFill="1" applyBorder="1" applyAlignment="1">
      <alignment horizontal="center"/>
    </xf>
    <xf numFmtId="168" fontId="53" fillId="7" borderId="1" xfId="1" applyNumberFormat="1" applyFont="1" applyFill="1" applyBorder="1" applyAlignment="1">
      <alignment horizontal="center"/>
    </xf>
    <xf numFmtId="168" fontId="53" fillId="7" borderId="5" xfId="0" applyNumberFormat="1" applyFont="1" applyFill="1" applyBorder="1" applyAlignment="1">
      <alignment horizontal="center"/>
    </xf>
    <xf numFmtId="10" fontId="53" fillId="0" borderId="1" xfId="1" applyNumberFormat="1" applyFont="1" applyFill="1" applyBorder="1" applyAlignment="1">
      <alignment horizontal="center"/>
    </xf>
    <xf numFmtId="43" fontId="53" fillId="0" borderId="1" xfId="1" applyFont="1" applyFill="1" applyBorder="1" applyAlignment="1">
      <alignment horizontal="center"/>
    </xf>
    <xf numFmtId="10" fontId="53" fillId="0" borderId="0" xfId="0" applyNumberFormat="1" applyFont="1" applyAlignment="1">
      <alignment horizontal="center"/>
    </xf>
    <xf numFmtId="0" fontId="55" fillId="23" borderId="44" xfId="0" applyFont="1" applyFill="1" applyBorder="1" applyAlignment="1">
      <alignment horizontal="center" vertical="center"/>
    </xf>
    <xf numFmtId="20" fontId="0" fillId="0" borderId="44" xfId="0" applyNumberFormat="1" applyBorder="1" applyAlignment="1">
      <alignment horizontal="center" vertical="center"/>
    </xf>
    <xf numFmtId="20" fontId="0" fillId="0" borderId="44" xfId="0" applyNumberFormat="1" applyBorder="1" applyAlignment="1">
      <alignment horizontal="center"/>
    </xf>
    <xf numFmtId="9" fontId="0" fillId="0" borderId="44" xfId="0" applyNumberFormat="1" applyBorder="1" applyAlignment="1">
      <alignment horizontal="center" vertical="center"/>
    </xf>
    <xf numFmtId="9" fontId="0" fillId="0" borderId="44" xfId="0" applyNumberFormat="1" applyBorder="1" applyAlignment="1">
      <alignment horizontal="center"/>
    </xf>
    <xf numFmtId="0" fontId="0" fillId="17" borderId="44" xfId="0" applyFill="1" applyBorder="1" applyAlignment="1">
      <alignment horizontal="center" vertical="center"/>
    </xf>
    <xf numFmtId="14" fontId="54" fillId="17" borderId="44" xfId="54783" applyNumberFormat="1" applyFill="1" applyBorder="1" applyAlignment="1">
      <alignment horizontal="center" vertical="center"/>
    </xf>
    <xf numFmtId="20" fontId="54" fillId="17" borderId="44" xfId="54783" applyNumberFormat="1" applyFill="1" applyBorder="1" applyAlignment="1">
      <alignment horizontal="center"/>
    </xf>
    <xf numFmtId="0" fontId="54" fillId="17" borderId="44" xfId="54783" applyFill="1" applyBorder="1" applyAlignment="1">
      <alignment horizontal="center"/>
    </xf>
    <xf numFmtId="9" fontId="54" fillId="17" borderId="44" xfId="54783" applyNumberFormat="1" applyFill="1" applyBorder="1" applyAlignment="1">
      <alignment horizontal="center"/>
    </xf>
    <xf numFmtId="2" fontId="54" fillId="17" borderId="44" xfId="54783" applyNumberFormat="1" applyFill="1" applyBorder="1" applyAlignment="1">
      <alignment horizontal="center" vertical="center"/>
    </xf>
    <xf numFmtId="0" fontId="54" fillId="17" borderId="44" xfId="54783" applyFill="1" applyBorder="1" applyAlignment="1">
      <alignment horizontal="center" vertical="center"/>
    </xf>
    <xf numFmtId="0" fontId="54" fillId="17" borderId="44" xfId="54783" applyFill="1" applyBorder="1"/>
    <xf numFmtId="0" fontId="54" fillId="5" borderId="0" xfId="54783" applyFill="1"/>
    <xf numFmtId="14" fontId="0" fillId="0" borderId="44" xfId="0" applyNumberFormat="1" applyBorder="1" applyAlignment="1">
      <alignment horizontal="center"/>
    </xf>
    <xf numFmtId="14" fontId="0" fillId="17" borderId="44" xfId="0" applyNumberFormat="1" applyFill="1" applyBorder="1" applyAlignment="1">
      <alignment horizontal="center"/>
    </xf>
    <xf numFmtId="20" fontId="0" fillId="17" borderId="44" xfId="0" applyNumberFormat="1" applyFill="1" applyBorder="1" applyAlignment="1">
      <alignment horizontal="center"/>
    </xf>
    <xf numFmtId="0" fontId="0" fillId="17" borderId="44" xfId="0" applyFill="1" applyBorder="1" applyAlignment="1">
      <alignment horizontal="center"/>
    </xf>
    <xf numFmtId="9" fontId="0" fillId="17" borderId="44" xfId="0" applyNumberFormat="1" applyFill="1" applyBorder="1" applyAlignment="1">
      <alignment horizontal="center"/>
    </xf>
    <xf numFmtId="2" fontId="0" fillId="17" borderId="44" xfId="0" applyNumberFormat="1" applyFill="1" applyBorder="1" applyAlignment="1">
      <alignment horizontal="center" vertical="center"/>
    </xf>
    <xf numFmtId="14" fontId="0" fillId="17" borderId="44" xfId="0" applyNumberFormat="1" applyFill="1" applyBorder="1" applyAlignment="1">
      <alignment horizontal="center" vertical="center"/>
    </xf>
    <xf numFmtId="20" fontId="0" fillId="17" borderId="44" xfId="0" applyNumberFormat="1" applyFill="1" applyBorder="1" applyAlignment="1">
      <alignment horizontal="center" vertical="center"/>
    </xf>
    <xf numFmtId="9" fontId="0" fillId="17" borderId="44" xfId="0" applyNumberFormat="1" applyFill="1" applyBorder="1" applyAlignment="1">
      <alignment horizontal="center" vertical="center"/>
    </xf>
    <xf numFmtId="2" fontId="0" fillId="0" borderId="44" xfId="0" applyNumberFormat="1" applyBorder="1" applyAlignment="1">
      <alignment horizontal="center"/>
    </xf>
    <xf numFmtId="1" fontId="56" fillId="0" borderId="1" xfId="0" applyNumberFormat="1" applyFont="1" applyBorder="1" applyAlignment="1">
      <alignment horizontal="center"/>
    </xf>
    <xf numFmtId="1" fontId="56" fillId="0" borderId="1" xfId="3" applyNumberFormat="1" applyFont="1" applyFill="1" applyBorder="1" applyAlignment="1">
      <alignment horizontal="center"/>
    </xf>
    <xf numFmtId="164" fontId="56" fillId="0" borderId="1" xfId="0" applyNumberFormat="1" applyFont="1" applyBorder="1" applyAlignment="1">
      <alignment horizontal="center"/>
    </xf>
    <xf numFmtId="164" fontId="56" fillId="0" borderId="1" xfId="3" applyNumberFormat="1" applyFont="1" applyFill="1" applyBorder="1" applyAlignment="1">
      <alignment horizontal="center"/>
    </xf>
    <xf numFmtId="168" fontId="56" fillId="7" borderId="1" xfId="0" applyNumberFormat="1" applyFont="1" applyFill="1" applyBorder="1" applyAlignment="1">
      <alignment horizontal="center"/>
    </xf>
    <xf numFmtId="164" fontId="56" fillId="7" borderId="1" xfId="0" applyNumberFormat="1" applyFont="1" applyFill="1" applyBorder="1" applyAlignment="1">
      <alignment horizontal="center"/>
    </xf>
    <xf numFmtId="1" fontId="56" fillId="5" borderId="1" xfId="0" applyNumberFormat="1" applyFont="1" applyFill="1" applyBorder="1" applyAlignment="1">
      <alignment horizontal="center"/>
    </xf>
    <xf numFmtId="168" fontId="56" fillId="7" borderId="1" xfId="1" applyNumberFormat="1" applyFont="1" applyFill="1" applyBorder="1" applyAlignment="1">
      <alignment horizontal="center"/>
    </xf>
    <xf numFmtId="168" fontId="56" fillId="7" borderId="5" xfId="0" applyNumberFormat="1" applyFont="1" applyFill="1" applyBorder="1" applyAlignment="1">
      <alignment horizontal="center"/>
    </xf>
    <xf numFmtId="10" fontId="56" fillId="0" borderId="1" xfId="1" applyNumberFormat="1" applyFont="1" applyFill="1" applyBorder="1" applyAlignment="1">
      <alignment horizontal="center"/>
    </xf>
    <xf numFmtId="43" fontId="56" fillId="0" borderId="1" xfId="1" applyFont="1" applyFill="1" applyBorder="1" applyAlignment="1">
      <alignment horizontal="center"/>
    </xf>
    <xf numFmtId="10" fontId="56" fillId="0" borderId="0" xfId="0" applyNumberFormat="1" applyFont="1" applyAlignment="1">
      <alignment horizontal="center"/>
    </xf>
    <xf numFmtId="1" fontId="57" fillId="0" borderId="1" xfId="0" applyNumberFormat="1" applyFont="1" applyBorder="1" applyAlignment="1">
      <alignment horizontal="center"/>
    </xf>
    <xf numFmtId="1" fontId="57" fillId="0" borderId="1" xfId="3" applyNumberFormat="1" applyFont="1" applyFill="1" applyBorder="1" applyAlignment="1">
      <alignment horizontal="center"/>
    </xf>
    <xf numFmtId="164" fontId="57" fillId="0" borderId="1" xfId="0" applyNumberFormat="1" applyFont="1" applyBorder="1" applyAlignment="1">
      <alignment horizontal="center"/>
    </xf>
    <xf numFmtId="164" fontId="57" fillId="0" borderId="1" xfId="3" applyNumberFormat="1" applyFont="1" applyFill="1" applyBorder="1" applyAlignment="1">
      <alignment horizontal="center"/>
    </xf>
    <xf numFmtId="168" fontId="57" fillId="7" borderId="1" xfId="0" applyNumberFormat="1" applyFont="1" applyFill="1" applyBorder="1" applyAlignment="1">
      <alignment horizontal="center"/>
    </xf>
    <xf numFmtId="164" fontId="57" fillId="7" borderId="1" xfId="0" applyNumberFormat="1" applyFont="1" applyFill="1" applyBorder="1" applyAlignment="1">
      <alignment horizontal="center"/>
    </xf>
    <xf numFmtId="1" fontId="57" fillId="5" borderId="1" xfId="0" applyNumberFormat="1" applyFont="1" applyFill="1" applyBorder="1" applyAlignment="1">
      <alignment horizontal="center"/>
    </xf>
    <xf numFmtId="168" fontId="57" fillId="7" borderId="1" xfId="1" applyNumberFormat="1" applyFont="1" applyFill="1" applyBorder="1" applyAlignment="1">
      <alignment horizontal="center"/>
    </xf>
    <xf numFmtId="168" fontId="57" fillId="7" borderId="5" xfId="0" applyNumberFormat="1" applyFont="1" applyFill="1" applyBorder="1" applyAlignment="1">
      <alignment horizontal="center"/>
    </xf>
    <xf numFmtId="10" fontId="57" fillId="0" borderId="1" xfId="1" applyNumberFormat="1" applyFont="1" applyFill="1" applyBorder="1" applyAlignment="1">
      <alignment horizontal="center"/>
    </xf>
    <xf numFmtId="43" fontId="57" fillId="0" borderId="1" xfId="1" applyFont="1" applyFill="1" applyBorder="1" applyAlignment="1">
      <alignment horizontal="center"/>
    </xf>
    <xf numFmtId="10" fontId="57" fillId="0" borderId="0" xfId="0" applyNumberFormat="1" applyFont="1" applyAlignment="1">
      <alignment horizontal="center"/>
    </xf>
    <xf numFmtId="1" fontId="58" fillId="0" borderId="1" xfId="0" applyNumberFormat="1" applyFont="1" applyBorder="1" applyAlignment="1">
      <alignment horizontal="center"/>
    </xf>
    <xf numFmtId="1" fontId="58" fillId="0" borderId="1" xfId="3" applyNumberFormat="1" applyFont="1" applyFill="1" applyBorder="1" applyAlignment="1">
      <alignment horizontal="center"/>
    </xf>
    <xf numFmtId="164" fontId="58" fillId="0" borderId="1" xfId="0" applyNumberFormat="1" applyFont="1" applyBorder="1" applyAlignment="1">
      <alignment horizontal="center"/>
    </xf>
    <xf numFmtId="164" fontId="58" fillId="0" borderId="1" xfId="3" applyNumberFormat="1" applyFont="1" applyFill="1" applyBorder="1" applyAlignment="1">
      <alignment horizontal="center"/>
    </xf>
    <xf numFmtId="168" fontId="58" fillId="7" borderId="1" xfId="0" applyNumberFormat="1" applyFont="1" applyFill="1" applyBorder="1" applyAlignment="1">
      <alignment horizontal="center"/>
    </xf>
    <xf numFmtId="164" fontId="58" fillId="7" borderId="1" xfId="0" applyNumberFormat="1" applyFont="1" applyFill="1" applyBorder="1" applyAlignment="1">
      <alignment horizontal="center"/>
    </xf>
    <xf numFmtId="1" fontId="58" fillId="5" borderId="1" xfId="0" applyNumberFormat="1" applyFont="1" applyFill="1" applyBorder="1" applyAlignment="1">
      <alignment horizontal="center"/>
    </xf>
    <xf numFmtId="168" fontId="58" fillId="7" borderId="1" xfId="1" applyNumberFormat="1" applyFont="1" applyFill="1" applyBorder="1" applyAlignment="1">
      <alignment horizontal="center"/>
    </xf>
    <xf numFmtId="168" fontId="58" fillId="7" borderId="5" xfId="0" applyNumberFormat="1" applyFont="1" applyFill="1" applyBorder="1" applyAlignment="1">
      <alignment horizontal="center"/>
    </xf>
    <xf numFmtId="10" fontId="58" fillId="0" borderId="1" xfId="1" applyNumberFormat="1" applyFont="1" applyFill="1" applyBorder="1" applyAlignment="1">
      <alignment horizontal="center"/>
    </xf>
    <xf numFmtId="43" fontId="58" fillId="0" borderId="1" xfId="1" applyFont="1" applyFill="1" applyBorder="1" applyAlignment="1">
      <alignment horizontal="center"/>
    </xf>
    <xf numFmtId="10" fontId="58" fillId="0" borderId="0" xfId="0" applyNumberFormat="1" applyFont="1" applyAlignment="1">
      <alignment horizontal="center"/>
    </xf>
    <xf numFmtId="0" fontId="19" fillId="5" borderId="34" xfId="0" applyFont="1" applyFill="1" applyBorder="1" applyAlignment="1">
      <alignment horizontal="center" vertical="center"/>
    </xf>
    <xf numFmtId="0" fontId="19" fillId="5" borderId="35" xfId="0" applyFont="1" applyFill="1" applyBorder="1" applyAlignment="1">
      <alignment horizontal="center" vertical="center"/>
    </xf>
    <xf numFmtId="0" fontId="19" fillId="5" borderId="36" xfId="0" applyFont="1" applyFill="1" applyBorder="1" applyAlignment="1">
      <alignment horizontal="center" vertical="center"/>
    </xf>
    <xf numFmtId="0" fontId="15" fillId="12" borderId="12" xfId="0" applyFont="1" applyFill="1" applyBorder="1" applyAlignment="1">
      <alignment horizontal="center" vertical="center"/>
    </xf>
    <xf numFmtId="0" fontId="15" fillId="12" borderId="13" xfId="0" applyFont="1" applyFill="1" applyBorder="1" applyAlignment="1">
      <alignment horizontal="center" vertical="center"/>
    </xf>
    <xf numFmtId="0" fontId="0" fillId="0" borderId="44" xfId="0" applyBorder="1" applyAlignment="1">
      <alignment horizontal="center" vertical="center"/>
    </xf>
    <xf numFmtId="43" fontId="0" fillId="0" borderId="44" xfId="1" applyFont="1" applyBorder="1" applyAlignment="1">
      <alignment horizontal="center" vertical="center"/>
    </xf>
    <xf numFmtId="0" fontId="23" fillId="0" borderId="44" xfId="0" applyFont="1" applyBorder="1" applyAlignment="1">
      <alignment horizontal="center" vertical="center"/>
    </xf>
    <xf numFmtId="0" fontId="38" fillId="23" borderId="65" xfId="0" applyFont="1" applyFill="1" applyBorder="1" applyAlignment="1">
      <alignment horizontal="center" vertical="center"/>
    </xf>
    <xf numFmtId="0" fontId="38" fillId="23" borderId="66" xfId="0" applyFont="1" applyFill="1" applyBorder="1" applyAlignment="1">
      <alignment horizontal="center" vertical="center"/>
    </xf>
    <xf numFmtId="0" fontId="38" fillId="24" borderId="65" xfId="0" applyFont="1" applyFill="1" applyBorder="1" applyAlignment="1">
      <alignment horizontal="center" vertical="center" wrapText="1"/>
    </xf>
    <xf numFmtId="0" fontId="38" fillId="24" borderId="66" xfId="0" applyFont="1" applyFill="1" applyBorder="1" applyAlignment="1">
      <alignment horizontal="center" vertical="center" wrapText="1"/>
    </xf>
    <xf numFmtId="0" fontId="38" fillId="24" borderId="67" xfId="0" applyFont="1" applyFill="1" applyBorder="1" applyAlignment="1">
      <alignment horizontal="center" vertical="center" wrapText="1"/>
    </xf>
    <xf numFmtId="0" fontId="38" fillId="23" borderId="59" xfId="0" applyFont="1" applyFill="1" applyBorder="1" applyAlignment="1">
      <alignment horizontal="center" vertical="center" wrapText="1"/>
    </xf>
    <xf numFmtId="0" fontId="38" fillId="23" borderId="60" xfId="0" applyFont="1" applyFill="1" applyBorder="1" applyAlignment="1">
      <alignment horizontal="center" vertical="center" wrapText="1"/>
    </xf>
    <xf numFmtId="0" fontId="38" fillId="23" borderId="61" xfId="0" applyFont="1" applyFill="1" applyBorder="1" applyAlignment="1">
      <alignment horizontal="center" vertical="center" wrapText="1"/>
    </xf>
    <xf numFmtId="0" fontId="38" fillId="24" borderId="59" xfId="0" applyFont="1" applyFill="1" applyBorder="1" applyAlignment="1">
      <alignment horizontal="center" vertical="center"/>
    </xf>
    <xf numFmtId="0" fontId="38" fillId="24" borderId="60" xfId="0" applyFont="1" applyFill="1" applyBorder="1" applyAlignment="1">
      <alignment horizontal="center" vertical="center"/>
    </xf>
    <xf numFmtId="0" fontId="38" fillId="24" borderId="69" xfId="0" applyFont="1" applyFill="1" applyBorder="1" applyAlignment="1">
      <alignment horizontal="center" vertical="center"/>
    </xf>
    <xf numFmtId="0" fontId="38" fillId="17" borderId="74" xfId="0" applyFont="1" applyFill="1" applyBorder="1" applyAlignment="1">
      <alignment horizontal="center" vertical="center"/>
    </xf>
    <xf numFmtId="0" fontId="38" fillId="17" borderId="22" xfId="0" applyFont="1" applyFill="1" applyBorder="1" applyAlignment="1">
      <alignment horizontal="center" vertical="center"/>
    </xf>
    <xf numFmtId="0" fontId="38" fillId="17" borderId="63" xfId="0" applyFont="1" applyFill="1" applyBorder="1" applyAlignment="1">
      <alignment horizontal="center" vertical="center"/>
    </xf>
    <xf numFmtId="0" fontId="38" fillId="17" borderId="68" xfId="0" applyFont="1" applyFill="1" applyBorder="1" applyAlignment="1">
      <alignment horizontal="center" vertical="center"/>
    </xf>
    <xf numFmtId="0" fontId="38" fillId="17" borderId="70" xfId="0" applyFont="1" applyFill="1" applyBorder="1" applyAlignment="1">
      <alignment horizontal="center" vertical="center"/>
    </xf>
    <xf numFmtId="0" fontId="38" fillId="17" borderId="64" xfId="0" applyFont="1" applyFill="1" applyBorder="1" applyAlignment="1">
      <alignment horizontal="center" vertical="center"/>
    </xf>
    <xf numFmtId="0" fontId="38" fillId="17" borderId="38" xfId="0" applyFont="1" applyFill="1" applyBorder="1" applyAlignment="1">
      <alignment horizontal="center" vertical="center"/>
    </xf>
    <xf numFmtId="0" fontId="38" fillId="17" borderId="62" xfId="0" applyFont="1" applyFill="1" applyBorder="1" applyAlignment="1">
      <alignment horizontal="center" vertical="center"/>
    </xf>
    <xf numFmtId="0" fontId="38" fillId="17" borderId="64" xfId="0" applyFont="1" applyFill="1" applyBorder="1" applyAlignment="1">
      <alignment horizontal="center" vertical="center" wrapText="1"/>
    </xf>
    <xf numFmtId="0" fontId="38" fillId="17" borderId="38" xfId="0" applyFont="1" applyFill="1" applyBorder="1" applyAlignment="1">
      <alignment horizontal="center" vertical="center" wrapText="1"/>
    </xf>
    <xf numFmtId="0" fontId="38" fillId="17" borderId="62" xfId="0" applyFont="1" applyFill="1" applyBorder="1" applyAlignment="1">
      <alignment horizontal="center" vertical="center" wrapText="1"/>
    </xf>
    <xf numFmtId="0" fontId="55" fillId="23" borderId="44" xfId="0" applyFont="1" applyFill="1" applyBorder="1" applyAlignment="1">
      <alignment horizontal="center" vertical="center"/>
    </xf>
    <xf numFmtId="0" fontId="55" fillId="23" borderId="38" xfId="0" applyFont="1" applyFill="1" applyBorder="1" applyAlignment="1">
      <alignment horizontal="center" vertical="center"/>
    </xf>
    <xf numFmtId="0" fontId="55" fillId="23" borderId="62" xfId="0" applyFont="1" applyFill="1" applyBorder="1" applyAlignment="1">
      <alignment horizontal="center" vertical="center"/>
    </xf>
    <xf numFmtId="0" fontId="0" fillId="0" borderId="0" xfId="0" applyAlignment="1">
      <alignment horizontal="center" vertical="center"/>
    </xf>
  </cellXfs>
  <cellStyles count="54784">
    <cellStyle name="Comma" xfId="1" builtinId="3"/>
    <cellStyle name="Comma 10 10" xfId="1576" xr:uid="{F769C4BD-AC14-4D05-A7A6-2AE597C728D4}"/>
    <cellStyle name="Comma 10 10 2" xfId="16176" xr:uid="{A0573378-C11E-4592-A6BD-405E45D353F3}"/>
    <cellStyle name="Comma 10 10 2 2" xfId="52684" xr:uid="{54972613-45D5-4732-AD35-0ED43AA35B98}"/>
    <cellStyle name="Comma 10 10 2 3" xfId="34430" xr:uid="{F4CCDEE0-912C-4CDC-8C6D-411B61E0D327}"/>
    <cellStyle name="Comma 10 10 3" xfId="12526" xr:uid="{03447F57-982C-4C44-B2D5-3BBE0C406087}"/>
    <cellStyle name="Comma 10 10 3 2" xfId="49034" xr:uid="{0B777DE7-090F-453F-B997-B07B9E38AF99}"/>
    <cellStyle name="Comma 10 10 3 3" xfId="30780" xr:uid="{A5F37EF5-9962-49EE-8DF5-E051CDD918BB}"/>
    <cellStyle name="Comma 10 10 4" xfId="8876" xr:uid="{1CF2775F-7D92-4D49-91D2-D5890F8AF11C}"/>
    <cellStyle name="Comma 10 10 4 2" xfId="45384" xr:uid="{4ED74D3E-EC65-4135-98BC-D8BA3988B15C}"/>
    <cellStyle name="Comma 10 10 4 3" xfId="27130" xr:uid="{3D0E0D3A-1944-4E45-98E2-7056C3AECB27}"/>
    <cellStyle name="Comma 10 10 5" xfId="5226" xr:uid="{7FB6D9D8-06DF-4A4F-81BF-F6446869D202}"/>
    <cellStyle name="Comma 10 10 5 2" xfId="41734" xr:uid="{0BB22B1D-5A7C-4E96-99C6-970F52A5F3EA}"/>
    <cellStyle name="Comma 10 10 5 3" xfId="23480" xr:uid="{4860EC03-9556-4719-BF33-1912303254D9}"/>
    <cellStyle name="Comma 10 10 6" xfId="38084" xr:uid="{729DB2B3-83F0-430F-B5E0-C7BC3A21B5E7}"/>
    <cellStyle name="Comma 10 10 7" xfId="19830" xr:uid="{C999B08B-00E6-4CA8-9DCE-6CEE894E8027}"/>
    <cellStyle name="Comma 10 11" xfId="846" xr:uid="{D63777E8-A641-4C73-AC95-8A07F5E11173}"/>
    <cellStyle name="Comma 10 11 2" xfId="15446" xr:uid="{21185A63-40FC-4916-905D-A8D9B579ED2C}"/>
    <cellStyle name="Comma 10 11 2 2" xfId="51954" xr:uid="{425AC53D-7635-4355-9B67-DD3C2505F501}"/>
    <cellStyle name="Comma 10 11 2 3" xfId="33700" xr:uid="{8867F754-B031-41E1-90CE-6041801BF5F3}"/>
    <cellStyle name="Comma 10 11 3" xfId="11796" xr:uid="{51A4A927-84D9-4BAC-9B23-CB65218DEE91}"/>
    <cellStyle name="Comma 10 11 3 2" xfId="48304" xr:uid="{754BAB38-D2F4-4323-A63B-E36B0BBFB7F1}"/>
    <cellStyle name="Comma 10 11 3 3" xfId="30050" xr:uid="{9FC9AE7A-DF9B-4187-B264-2A252CE1320C}"/>
    <cellStyle name="Comma 10 11 4" xfId="8146" xr:uid="{F93825E4-9018-4FC5-BE67-3AC9F745E49A}"/>
    <cellStyle name="Comma 10 11 4 2" xfId="44654" xr:uid="{5DCF05E4-6FFF-4DB3-AF7D-47727E5BF554}"/>
    <cellStyle name="Comma 10 11 4 3" xfId="26400" xr:uid="{583D825E-AFE1-4F1B-AC9E-4883541430BB}"/>
    <cellStyle name="Comma 10 11 5" xfId="4496" xr:uid="{BE18B828-42C5-482B-BED3-1C241E475484}"/>
    <cellStyle name="Comma 10 11 5 2" xfId="41004" xr:uid="{FE4D72F2-B0CD-486F-BD82-31B6C0C96CBE}"/>
    <cellStyle name="Comma 10 11 5 3" xfId="22750" xr:uid="{0E5E178A-C14E-4FB7-A72B-AF0D8D5FD551}"/>
    <cellStyle name="Comma 10 11 6" xfId="37354" xr:uid="{560FB5CF-39EA-40D7-AAF5-06E58ED35D31}"/>
    <cellStyle name="Comma 10 11 7" xfId="19100" xr:uid="{68A0681E-A51D-4750-A747-755C54D145D2}"/>
    <cellStyle name="Comma 10 12" xfId="14716" xr:uid="{E9DA9573-00D9-4CAE-B695-927BC120816D}"/>
    <cellStyle name="Comma 10 12 2" xfId="51224" xr:uid="{C4FC56B6-A77E-4E79-B3BB-838911A1BE54}"/>
    <cellStyle name="Comma 10 12 3" xfId="32970" xr:uid="{4B98EC1A-C744-42A6-A6B4-A14A34A3AEEC}"/>
    <cellStyle name="Comma 10 13" xfId="11066" xr:uid="{B34E4045-E9F9-4670-A3D6-946D3D102D5E}"/>
    <cellStyle name="Comma 10 13 2" xfId="47574" xr:uid="{B9D0674D-7D40-4306-A6FF-E9AE2E1A744D}"/>
    <cellStyle name="Comma 10 13 3" xfId="29320" xr:uid="{750165EB-8F7F-4075-8E8C-9A78D87EAACE}"/>
    <cellStyle name="Comma 10 14" xfId="7416" xr:uid="{7A12476F-CBD4-4A94-8437-5DA0B8E95AC1}"/>
    <cellStyle name="Comma 10 14 2" xfId="43924" xr:uid="{231076B3-0883-4DBD-87F2-48F5B2F5162B}"/>
    <cellStyle name="Comma 10 14 3" xfId="25670" xr:uid="{3EA4981E-1A0D-4B5B-9BFD-00E00C179C58}"/>
    <cellStyle name="Comma 10 15" xfId="3766" xr:uid="{1C662614-60B3-41DB-B1F0-4FEF3BDAB301}"/>
    <cellStyle name="Comma 10 15 2" xfId="40274" xr:uid="{5EC922FE-A105-4861-BAF4-AD957050CCFE}"/>
    <cellStyle name="Comma 10 15 3" xfId="22020" xr:uid="{D9878764-E1FD-4277-9352-29C2C17279CB}"/>
    <cellStyle name="Comma 10 16" xfId="36624" xr:uid="{9B3BE0EC-1FAC-44D0-A5A3-79531059AC93}"/>
    <cellStyle name="Comma 10 17" xfId="18370" xr:uid="{FEC2EC53-0416-4D90-ACDE-466C312B1D58}"/>
    <cellStyle name="Comma 10 2" xfId="740" xr:uid="{582B4451-52D6-4EB6-B254-3D94F03A3BC5}"/>
    <cellStyle name="Comma 10 2 10" xfId="37248" xr:uid="{5A778C8E-7DDA-4018-ACB0-EF806A5853B4}"/>
    <cellStyle name="Comma 10 2 11" xfId="18994" xr:uid="{A251D0B9-6564-4BC5-909E-35DBBE82B63A}"/>
    <cellStyle name="Comma 10 2 2" xfId="3660" xr:uid="{42302365-5E9E-4FA9-A7E9-9D4270475985}"/>
    <cellStyle name="Comma 10 2 2 2" xfId="18260" xr:uid="{3683ECBB-7C78-4BB9-908A-8CC98EEC20E2}"/>
    <cellStyle name="Comma 10 2 2 2 2" xfId="54768" xr:uid="{51A2D50A-382E-4EAD-9F56-3DCBF984A92E}"/>
    <cellStyle name="Comma 10 2 2 2 3" xfId="36514" xr:uid="{C32AD110-7161-4B53-AA87-5CBAAC3E0F3C}"/>
    <cellStyle name="Comma 10 2 2 3" xfId="14610" xr:uid="{18764960-B931-4D15-97EC-C3699E4E6BAE}"/>
    <cellStyle name="Comma 10 2 2 3 2" xfId="51118" xr:uid="{475A331E-22D9-4DA6-B008-E8015E5EE755}"/>
    <cellStyle name="Comma 10 2 2 3 3" xfId="32864" xr:uid="{8E099738-EAF0-4F2E-9D76-AF1881690C6C}"/>
    <cellStyle name="Comma 10 2 2 4" xfId="10960" xr:uid="{7707E0E1-C193-4969-B7D6-677421D89846}"/>
    <cellStyle name="Comma 10 2 2 4 2" xfId="47468" xr:uid="{0D511123-3420-4F63-B0AC-2E29B56737DA}"/>
    <cellStyle name="Comma 10 2 2 4 3" xfId="29214" xr:uid="{6C0B3E92-4BF8-40E8-BECD-B5FACC1D0557}"/>
    <cellStyle name="Comma 10 2 2 5" xfId="7310" xr:uid="{CF830E52-39D7-45D9-9C3B-3ED318844FBB}"/>
    <cellStyle name="Comma 10 2 2 5 2" xfId="43818" xr:uid="{6BF4B162-691E-43DF-A068-B40C65C9BDC0}"/>
    <cellStyle name="Comma 10 2 2 5 3" xfId="25564" xr:uid="{E19A83CA-9F11-4278-8A46-9A073171D871}"/>
    <cellStyle name="Comma 10 2 2 6" xfId="40168" xr:uid="{8E2FB139-ADCB-4C35-BF3D-AC863D6DE760}"/>
    <cellStyle name="Comma 10 2 2 7" xfId="21914" xr:uid="{01C19939-A6D0-48E8-92F9-4CC500A361E7}"/>
    <cellStyle name="Comma 10 2 3" xfId="2930" xr:uid="{62232F80-3112-4EAB-AADF-279ACB640008}"/>
    <cellStyle name="Comma 10 2 3 2" xfId="17530" xr:uid="{9B4F3FB4-ED2D-4B18-B7B9-D5B785D3C6FA}"/>
    <cellStyle name="Comma 10 2 3 2 2" xfId="54038" xr:uid="{67E963FC-7BF9-4529-B409-570D4D5966BC}"/>
    <cellStyle name="Comma 10 2 3 2 3" xfId="35784" xr:uid="{3FBDEF35-E047-40F7-9795-2E21B0714DB8}"/>
    <cellStyle name="Comma 10 2 3 3" xfId="13880" xr:uid="{BE8BD2E3-99E1-4D83-9B84-859D6CA7D7AC}"/>
    <cellStyle name="Comma 10 2 3 3 2" xfId="50388" xr:uid="{871AF0B1-D5D0-403D-9562-40BC3BC8627C}"/>
    <cellStyle name="Comma 10 2 3 3 3" xfId="32134" xr:uid="{C0FCB26C-68DF-4C92-8CDA-71E240457B8C}"/>
    <cellStyle name="Comma 10 2 3 4" xfId="10230" xr:uid="{EBEAC3D1-4AC6-4BF8-AD2A-5AAFEB455B49}"/>
    <cellStyle name="Comma 10 2 3 4 2" xfId="46738" xr:uid="{4FD8579E-8934-48E8-928E-7A226EC88BAB}"/>
    <cellStyle name="Comma 10 2 3 4 3" xfId="28484" xr:uid="{D74DA5BE-7143-427E-A8D1-46EFE0F509F5}"/>
    <cellStyle name="Comma 10 2 3 5" xfId="6580" xr:uid="{7C18A353-06F7-446B-9C60-11C4F3FEF2D0}"/>
    <cellStyle name="Comma 10 2 3 5 2" xfId="43088" xr:uid="{AF6A97CF-EB92-4B55-8335-6561F147B818}"/>
    <cellStyle name="Comma 10 2 3 5 3" xfId="24834" xr:uid="{86255A4D-E86E-49F5-9C27-90ACF47825DB}"/>
    <cellStyle name="Comma 10 2 3 6" xfId="39438" xr:uid="{F8E2C9D5-0CFC-4891-AD10-9F73C4989900}"/>
    <cellStyle name="Comma 10 2 3 7" xfId="21184" xr:uid="{E4AF4959-3278-4FA5-B40E-E5F64926A5A4}"/>
    <cellStyle name="Comma 10 2 4" xfId="2200" xr:uid="{C152CDDF-4121-4C8B-97F7-1A1FA96739E1}"/>
    <cellStyle name="Comma 10 2 4 2" xfId="16800" xr:uid="{E2F73588-8691-4F84-AC7A-1F72220BC82D}"/>
    <cellStyle name="Comma 10 2 4 2 2" xfId="53308" xr:uid="{E1A1C97F-FCBB-4832-9D8D-1E0F855A72AA}"/>
    <cellStyle name="Comma 10 2 4 2 3" xfId="35054" xr:uid="{FABB7FD9-B17D-429E-A5E4-602D03A4BFE5}"/>
    <cellStyle name="Comma 10 2 4 3" xfId="13150" xr:uid="{EEF8A8F0-0B45-4936-BBE7-45FCDE72EEE7}"/>
    <cellStyle name="Comma 10 2 4 3 2" xfId="49658" xr:uid="{9C2031EA-74DE-4080-A022-93D21CFC7174}"/>
    <cellStyle name="Comma 10 2 4 3 3" xfId="31404" xr:uid="{1F5CDEAE-913F-45F5-BAD3-9F2D68749639}"/>
    <cellStyle name="Comma 10 2 4 4" xfId="9500" xr:uid="{47A53A04-45AF-414B-8906-0BED936F86AA}"/>
    <cellStyle name="Comma 10 2 4 4 2" xfId="46008" xr:uid="{F13FB665-7894-44A9-AC98-3379110C1607}"/>
    <cellStyle name="Comma 10 2 4 4 3" xfId="27754" xr:uid="{85C688A1-B553-4483-BBDA-8217E4358A6F}"/>
    <cellStyle name="Comma 10 2 4 5" xfId="5850" xr:uid="{9169EC40-3C5C-4618-A578-F8A2033060DB}"/>
    <cellStyle name="Comma 10 2 4 5 2" xfId="42358" xr:uid="{748A1B51-6E95-4A33-821F-07DBF9BB2A81}"/>
    <cellStyle name="Comma 10 2 4 5 3" xfId="24104" xr:uid="{1BD3B836-99E5-4766-841B-4CA32662070D}"/>
    <cellStyle name="Comma 10 2 4 6" xfId="38708" xr:uid="{E017C104-1D74-4ED7-ABDF-838D1DCB8E38}"/>
    <cellStyle name="Comma 10 2 4 7" xfId="20454" xr:uid="{B67CD4E5-74FD-48B0-B80E-194DB749081B}"/>
    <cellStyle name="Comma 10 2 5" xfId="1470" xr:uid="{3B12BC80-3B92-49C3-A2E8-F05E8CFB8AD7}"/>
    <cellStyle name="Comma 10 2 5 2" xfId="16070" xr:uid="{368FA159-7CD1-40FC-B637-7D3FFECC4CE8}"/>
    <cellStyle name="Comma 10 2 5 2 2" xfId="52578" xr:uid="{AB5E0343-7F18-4474-8187-41CE4EFD69EC}"/>
    <cellStyle name="Comma 10 2 5 2 3" xfId="34324" xr:uid="{05F7D6A0-A962-4600-830B-C70C26DB2A7B}"/>
    <cellStyle name="Comma 10 2 5 3" xfId="12420" xr:uid="{6A380FBC-3FAE-4E15-9155-555B595515D0}"/>
    <cellStyle name="Comma 10 2 5 3 2" xfId="48928" xr:uid="{098B4B2C-7651-434E-AA52-F0CE8FE35856}"/>
    <cellStyle name="Comma 10 2 5 3 3" xfId="30674" xr:uid="{075DBB77-6A61-4371-96C5-AED0E33CC443}"/>
    <cellStyle name="Comma 10 2 5 4" xfId="8770" xr:uid="{51163468-C88A-43E5-8127-2CE4AC55D4A7}"/>
    <cellStyle name="Comma 10 2 5 4 2" xfId="45278" xr:uid="{CBCEB5E5-027A-4C68-8F24-6FDD59FC6A57}"/>
    <cellStyle name="Comma 10 2 5 4 3" xfId="27024" xr:uid="{A42767BF-9573-4D51-A1A3-3B0BC0F87C2E}"/>
    <cellStyle name="Comma 10 2 5 5" xfId="5120" xr:uid="{E542EFC8-39EB-45C5-98AD-65C4317A9969}"/>
    <cellStyle name="Comma 10 2 5 5 2" xfId="41628" xr:uid="{BB9C1695-874C-4207-A045-568FBAB74BB7}"/>
    <cellStyle name="Comma 10 2 5 5 3" xfId="23374" xr:uid="{7ED35D77-3697-478B-8431-1D2CCC180990}"/>
    <cellStyle name="Comma 10 2 5 6" xfId="37978" xr:uid="{007F25C4-8996-4624-955A-11C48355C0A7}"/>
    <cellStyle name="Comma 10 2 5 7" xfId="19724" xr:uid="{CC88DA4B-3552-4DEC-AF6B-118A3ABFF261}"/>
    <cellStyle name="Comma 10 2 6" xfId="15340" xr:uid="{7F1BBEB5-1E8B-4350-B627-5747423EB4C7}"/>
    <cellStyle name="Comma 10 2 6 2" xfId="51848" xr:uid="{069E1017-BA36-44AC-A95E-E5DAE5D3AD0C}"/>
    <cellStyle name="Comma 10 2 6 3" xfId="33594" xr:uid="{9D663A0F-49D9-461B-8613-E1E80862697E}"/>
    <cellStyle name="Comma 10 2 7" xfId="11690" xr:uid="{AA8FC7D4-8015-47E7-9433-9113CAFE27E4}"/>
    <cellStyle name="Comma 10 2 7 2" xfId="48198" xr:uid="{1DEADA1D-9E8C-4EE6-8AAE-2B55784E4959}"/>
    <cellStyle name="Comma 10 2 7 3" xfId="29944" xr:uid="{00F3FE0E-249F-48A6-A653-2D458CBCD548}"/>
    <cellStyle name="Comma 10 2 8" xfId="8040" xr:uid="{5F415ADF-2453-4C0B-AF38-9553C9F31965}"/>
    <cellStyle name="Comma 10 2 8 2" xfId="44548" xr:uid="{5D6AB679-8FC5-4FC6-9E7C-83269E5EA801}"/>
    <cellStyle name="Comma 10 2 8 3" xfId="26294" xr:uid="{B5CD60A9-688A-48FB-823F-943D63EDF2F4}"/>
    <cellStyle name="Comma 10 2 9" xfId="4390" xr:uid="{F1F40EAB-E585-4C23-9201-16CF05CBC566}"/>
    <cellStyle name="Comma 10 2 9 2" xfId="40898" xr:uid="{4AC75308-320E-4FF3-BF5B-B8109F95A118}"/>
    <cellStyle name="Comma 10 2 9 3" xfId="22644" xr:uid="{F3163612-FDCA-465B-8078-B08B3CA1C0AB}"/>
    <cellStyle name="Comma 10 3" xfId="636" xr:uid="{117F0859-5A5A-40D9-B242-4868AEC061BC}"/>
    <cellStyle name="Comma 10 3 10" xfId="37144" xr:uid="{006C90F0-75ED-478B-8768-7D40C123A1E4}"/>
    <cellStyle name="Comma 10 3 11" xfId="18890" xr:uid="{39422B7A-0CD4-4290-8D10-8FBA50C40F52}"/>
    <cellStyle name="Comma 10 3 2" xfId="3556" xr:uid="{648E15E6-D8C2-468E-B159-1DE47A2E0008}"/>
    <cellStyle name="Comma 10 3 2 2" xfId="18156" xr:uid="{26D30B8B-0A1A-4393-8D1D-2096B7603958}"/>
    <cellStyle name="Comma 10 3 2 2 2" xfId="54664" xr:uid="{63282C4A-5CBA-4818-8212-32E4EA013419}"/>
    <cellStyle name="Comma 10 3 2 2 3" xfId="36410" xr:uid="{D7E27419-A56D-40BA-BB99-A6ABAE1582D6}"/>
    <cellStyle name="Comma 10 3 2 3" xfId="14506" xr:uid="{46A823FD-3BE8-45D4-9CF3-4BC86FF216C3}"/>
    <cellStyle name="Comma 10 3 2 3 2" xfId="51014" xr:uid="{4FAD2DC5-2B4B-4A71-9E55-6F1BD3F982F8}"/>
    <cellStyle name="Comma 10 3 2 3 3" xfId="32760" xr:uid="{7FF79B6C-91DF-439D-93BB-02598BB27C1D}"/>
    <cellStyle name="Comma 10 3 2 4" xfId="10856" xr:uid="{BBFE3EBB-F6E1-490A-B14D-0682C82BB24A}"/>
    <cellStyle name="Comma 10 3 2 4 2" xfId="47364" xr:uid="{682EC40A-9A19-4526-8B66-74E34FECFE5B}"/>
    <cellStyle name="Comma 10 3 2 4 3" xfId="29110" xr:uid="{AA7E143A-8B06-4EB8-AECD-02A40412E386}"/>
    <cellStyle name="Comma 10 3 2 5" xfId="7206" xr:uid="{4F2A0456-B765-48D9-A98E-68F5ADC97FC5}"/>
    <cellStyle name="Comma 10 3 2 5 2" xfId="43714" xr:uid="{92CCECE7-2C7F-45D8-AAE7-B20F06A64DB4}"/>
    <cellStyle name="Comma 10 3 2 5 3" xfId="25460" xr:uid="{F1F2902E-743A-4075-9735-60C669E4C982}"/>
    <cellStyle name="Comma 10 3 2 6" xfId="40064" xr:uid="{4C7E86F6-8446-4AFE-A7C2-37734FF0F484}"/>
    <cellStyle name="Comma 10 3 2 7" xfId="21810" xr:uid="{A3EB071C-ACD6-4285-8183-AD69EA95AA4E}"/>
    <cellStyle name="Comma 10 3 3" xfId="2826" xr:uid="{A6D2724C-BF9B-4E96-B9E2-423A5BEB1A65}"/>
    <cellStyle name="Comma 10 3 3 2" xfId="17426" xr:uid="{10800011-C576-4BAA-8527-97BF17774F56}"/>
    <cellStyle name="Comma 10 3 3 2 2" xfId="53934" xr:uid="{749329E8-3D9F-42C3-9A2C-736F37430980}"/>
    <cellStyle name="Comma 10 3 3 2 3" xfId="35680" xr:uid="{3A81085A-73BC-4AD1-AD42-1930E7247054}"/>
    <cellStyle name="Comma 10 3 3 3" xfId="13776" xr:uid="{AC7D6CF8-DCBE-48DA-9DAA-BDC81D42A978}"/>
    <cellStyle name="Comma 10 3 3 3 2" xfId="50284" xr:uid="{289EA0A8-CD0C-4BC8-81AF-DB35ADB319D4}"/>
    <cellStyle name="Comma 10 3 3 3 3" xfId="32030" xr:uid="{06D14ABD-9485-41E4-A1D9-D420A0E5E009}"/>
    <cellStyle name="Comma 10 3 3 4" xfId="10126" xr:uid="{C3398B36-9E11-4349-9818-DABC2656DFFE}"/>
    <cellStyle name="Comma 10 3 3 4 2" xfId="46634" xr:uid="{9A3B2B4E-A20B-4A4A-9DB5-5A229ECFB0AC}"/>
    <cellStyle name="Comma 10 3 3 4 3" xfId="28380" xr:uid="{F596C45C-0638-4A06-9BD7-7CD4349768EE}"/>
    <cellStyle name="Comma 10 3 3 5" xfId="6476" xr:uid="{16898D04-7EEE-48BC-9D41-08468B84280D}"/>
    <cellStyle name="Comma 10 3 3 5 2" xfId="42984" xr:uid="{999FEE53-23EF-4E6F-82DA-7F66EA9D7423}"/>
    <cellStyle name="Comma 10 3 3 5 3" xfId="24730" xr:uid="{37465255-10DC-4AEF-9B07-3938CBC4EEE4}"/>
    <cellStyle name="Comma 10 3 3 6" xfId="39334" xr:uid="{F1024046-1EF7-42BD-BB67-BB39DD479A66}"/>
    <cellStyle name="Comma 10 3 3 7" xfId="21080" xr:uid="{16F29F83-F09D-4932-A14B-655796277863}"/>
    <cellStyle name="Comma 10 3 4" xfId="2096" xr:uid="{31FCC5CE-C128-41FD-B1AB-D3802BF5D472}"/>
    <cellStyle name="Comma 10 3 4 2" xfId="16696" xr:uid="{96C5167F-B433-47EF-A612-EF0344CD5CE3}"/>
    <cellStyle name="Comma 10 3 4 2 2" xfId="53204" xr:uid="{56800C90-5F77-4D13-A742-5AB25045F8C6}"/>
    <cellStyle name="Comma 10 3 4 2 3" xfId="34950" xr:uid="{4A99FE7D-8C8E-43B2-A5C8-2E6E926B8EA6}"/>
    <cellStyle name="Comma 10 3 4 3" xfId="13046" xr:uid="{539DEFA7-4DBE-45C0-B935-4BAF5C69C67B}"/>
    <cellStyle name="Comma 10 3 4 3 2" xfId="49554" xr:uid="{EA58CA83-1A57-4F49-B980-BEE56FB142A6}"/>
    <cellStyle name="Comma 10 3 4 3 3" xfId="31300" xr:uid="{E70BE8D9-6B6B-4463-B830-CF3D508A292C}"/>
    <cellStyle name="Comma 10 3 4 4" xfId="9396" xr:uid="{33AB672E-E8FD-416A-B1B2-60A5ABD80AE1}"/>
    <cellStyle name="Comma 10 3 4 4 2" xfId="45904" xr:uid="{B17ECA22-BCFE-4550-9FF9-1A06A0D181DF}"/>
    <cellStyle name="Comma 10 3 4 4 3" xfId="27650" xr:uid="{079ED12D-14C0-4BB1-A4CC-3DF70A52646B}"/>
    <cellStyle name="Comma 10 3 4 5" xfId="5746" xr:uid="{76193E09-B18F-482D-92A7-D83C05B347DC}"/>
    <cellStyle name="Comma 10 3 4 5 2" xfId="42254" xr:uid="{117F7E51-F372-43FF-9346-6068F6875AEB}"/>
    <cellStyle name="Comma 10 3 4 5 3" xfId="24000" xr:uid="{DDC12EFE-E9ED-4BF8-B1EA-A577A80ED9A7}"/>
    <cellStyle name="Comma 10 3 4 6" xfId="38604" xr:uid="{4474D690-08BD-4B39-ACD1-924DE121E6A0}"/>
    <cellStyle name="Comma 10 3 4 7" xfId="20350" xr:uid="{EB66CE26-B1FB-4A18-A4B9-A7601E04734C}"/>
    <cellStyle name="Comma 10 3 5" xfId="1366" xr:uid="{3742758D-2F86-438B-B211-66CB6243041B}"/>
    <cellStyle name="Comma 10 3 5 2" xfId="15966" xr:uid="{8766F257-BA14-4717-8403-F7118FD68EC7}"/>
    <cellStyle name="Comma 10 3 5 2 2" xfId="52474" xr:uid="{D1394879-42E0-42C4-9F95-EE95DB0D7DF6}"/>
    <cellStyle name="Comma 10 3 5 2 3" xfId="34220" xr:uid="{AD789C0C-CABA-4633-8D17-35FF97BC08D8}"/>
    <cellStyle name="Comma 10 3 5 3" xfId="12316" xr:uid="{63EB4216-0E62-4706-B8B4-F64301F6359E}"/>
    <cellStyle name="Comma 10 3 5 3 2" xfId="48824" xr:uid="{8862DA07-1309-429F-AED9-C16CE9660D55}"/>
    <cellStyle name="Comma 10 3 5 3 3" xfId="30570" xr:uid="{CBBBCEDD-8CD9-49B2-99C6-317517E2C144}"/>
    <cellStyle name="Comma 10 3 5 4" xfId="8666" xr:uid="{8F5C5FB3-D314-4AA0-A54E-074A9F22D799}"/>
    <cellStyle name="Comma 10 3 5 4 2" xfId="45174" xr:uid="{242E95B3-1BF9-434D-9881-9A7818DCD6AD}"/>
    <cellStyle name="Comma 10 3 5 4 3" xfId="26920" xr:uid="{FFB84291-0154-4EEA-8035-502040349208}"/>
    <cellStyle name="Comma 10 3 5 5" xfId="5016" xr:uid="{D7FE98F1-FEC7-4380-AD58-F922D8D2F21A}"/>
    <cellStyle name="Comma 10 3 5 5 2" xfId="41524" xr:uid="{10F6CD10-C431-4023-92E3-7F8D1B008515}"/>
    <cellStyle name="Comma 10 3 5 5 3" xfId="23270" xr:uid="{51522BC3-66EE-4DFC-BA18-12B47B9D0B6F}"/>
    <cellStyle name="Comma 10 3 5 6" xfId="37874" xr:uid="{94965D83-AEB1-4BCC-A94A-44064EF6CB1F}"/>
    <cellStyle name="Comma 10 3 5 7" xfId="19620" xr:uid="{E3DD7A87-F2F3-418D-A4CF-A7F83D4BC1D7}"/>
    <cellStyle name="Comma 10 3 6" xfId="15236" xr:uid="{0511DE01-DF10-403E-9F79-FE37DAEF7581}"/>
    <cellStyle name="Comma 10 3 6 2" xfId="51744" xr:uid="{887383FE-F3BA-46D2-8622-7BE37B178F78}"/>
    <cellStyle name="Comma 10 3 6 3" xfId="33490" xr:uid="{A3E0B55C-C347-4CAD-8FF7-C9E9051D8635}"/>
    <cellStyle name="Comma 10 3 7" xfId="11586" xr:uid="{A8DCB417-A852-4FD7-A307-D42DA8396888}"/>
    <cellStyle name="Comma 10 3 7 2" xfId="48094" xr:uid="{C9F55D62-47C8-4987-BD94-3E5330DF6386}"/>
    <cellStyle name="Comma 10 3 7 3" xfId="29840" xr:uid="{B1AC9556-C749-42D7-B7EC-A2E58096980E}"/>
    <cellStyle name="Comma 10 3 8" xfId="7936" xr:uid="{9ED644CD-C137-4ADA-9ADC-ECAD2B297265}"/>
    <cellStyle name="Comma 10 3 8 2" xfId="44444" xr:uid="{0FBA0429-7FCF-4CBB-8AD8-C4E77F0FDAF9}"/>
    <cellStyle name="Comma 10 3 8 3" xfId="26190" xr:uid="{C2D202C1-60F3-4733-B821-809ECA01FF61}"/>
    <cellStyle name="Comma 10 3 9" xfId="4286" xr:uid="{59C81822-E865-4656-A718-952BDB3DE958}"/>
    <cellStyle name="Comma 10 3 9 2" xfId="40794" xr:uid="{8C24DE50-1B98-41A9-8B15-6F628BC06EF4}"/>
    <cellStyle name="Comma 10 3 9 3" xfId="22540" xr:uid="{1142F063-529D-4D9B-9D89-43832A8DB77F}"/>
    <cellStyle name="Comma 10 4" xfId="532" xr:uid="{7B99332B-6635-4246-901F-A217AC0F36BD}"/>
    <cellStyle name="Comma 10 4 10" xfId="37040" xr:uid="{3788857B-AD2D-496E-8DA0-15977F5EA90B}"/>
    <cellStyle name="Comma 10 4 11" xfId="18786" xr:uid="{E255C67C-2ED0-4C82-99C6-53C11DAEB7BC}"/>
    <cellStyle name="Comma 10 4 2" xfId="3452" xr:uid="{CA429535-79ED-4424-969D-68E8301B9B55}"/>
    <cellStyle name="Comma 10 4 2 2" xfId="18052" xr:uid="{3E4782AD-090B-4116-BEE7-1803457DC8B5}"/>
    <cellStyle name="Comma 10 4 2 2 2" xfId="54560" xr:uid="{389F6FB4-1A1F-44D5-A375-5F7626D7C457}"/>
    <cellStyle name="Comma 10 4 2 2 3" xfId="36306" xr:uid="{51FA47E9-331A-4DBD-A4C1-2BEE85B4AB17}"/>
    <cellStyle name="Comma 10 4 2 3" xfId="14402" xr:uid="{FACCB3D9-FB88-4DD5-B102-9AA3616D45D6}"/>
    <cellStyle name="Comma 10 4 2 3 2" xfId="50910" xr:uid="{7E66DE00-6E0E-4DCA-80F7-CB2E0894535F}"/>
    <cellStyle name="Comma 10 4 2 3 3" xfId="32656" xr:uid="{5E5A82C9-1E6A-47B2-B3CF-3DB3B7101E3D}"/>
    <cellStyle name="Comma 10 4 2 4" xfId="10752" xr:uid="{2954041F-CE89-4654-AC52-AD9A12D635EA}"/>
    <cellStyle name="Comma 10 4 2 4 2" xfId="47260" xr:uid="{8B2788D4-7972-43A9-8095-882CBA5B9DBC}"/>
    <cellStyle name="Comma 10 4 2 4 3" xfId="29006" xr:uid="{54DD90AB-C6FF-4E11-BB3E-3CDE304F933B}"/>
    <cellStyle name="Comma 10 4 2 5" xfId="7102" xr:uid="{73A9A5AF-7163-4EF1-BB4F-F881BF3614DF}"/>
    <cellStyle name="Comma 10 4 2 5 2" xfId="43610" xr:uid="{CC404C5C-780C-4696-A334-4C02E381DB73}"/>
    <cellStyle name="Comma 10 4 2 5 3" xfId="25356" xr:uid="{1BAF4850-36D5-49C2-BAEB-6DD0A3F07646}"/>
    <cellStyle name="Comma 10 4 2 6" xfId="39960" xr:uid="{7D08513E-C0C4-44EE-B340-56279052B1FB}"/>
    <cellStyle name="Comma 10 4 2 7" xfId="21706" xr:uid="{1716C643-D486-44E9-9A59-BE28326C6147}"/>
    <cellStyle name="Comma 10 4 3" xfId="2722" xr:uid="{1C6762A2-B13D-4B3A-925D-300717BE6FC5}"/>
    <cellStyle name="Comma 10 4 3 2" xfId="17322" xr:uid="{B6170CF0-A89A-4D2A-A5CB-653849AFCB6B}"/>
    <cellStyle name="Comma 10 4 3 2 2" xfId="53830" xr:uid="{B95C3239-6664-4275-B826-4EFB2C769655}"/>
    <cellStyle name="Comma 10 4 3 2 3" xfId="35576" xr:uid="{1982DBE8-27AD-45FB-9AFA-010FAF349B1E}"/>
    <cellStyle name="Comma 10 4 3 3" xfId="13672" xr:uid="{5D455139-7393-4960-9F3F-FB17F6547A94}"/>
    <cellStyle name="Comma 10 4 3 3 2" xfId="50180" xr:uid="{8F5EBE56-C3ED-41F5-99E5-B9FE2CEAF5D1}"/>
    <cellStyle name="Comma 10 4 3 3 3" xfId="31926" xr:uid="{CB98BAC7-7E24-4453-A141-5A69402A0C0C}"/>
    <cellStyle name="Comma 10 4 3 4" xfId="10022" xr:uid="{E5D407CE-3B6D-4F24-AB80-97B508D44DBC}"/>
    <cellStyle name="Comma 10 4 3 4 2" xfId="46530" xr:uid="{EA734CA6-B1E7-4A02-8B38-B8F43F6637D1}"/>
    <cellStyle name="Comma 10 4 3 4 3" xfId="28276" xr:uid="{DC827718-78A5-41D9-88AD-81DD59E5FFAD}"/>
    <cellStyle name="Comma 10 4 3 5" xfId="6372" xr:uid="{B0B6F94E-7E98-4BDC-AEBD-D50045385240}"/>
    <cellStyle name="Comma 10 4 3 5 2" xfId="42880" xr:uid="{6D4BD85E-A1EE-4CDC-90E7-2C2C50EECA1F}"/>
    <cellStyle name="Comma 10 4 3 5 3" xfId="24626" xr:uid="{7EC19AC2-DCD7-4B74-B920-6B87240A8CAD}"/>
    <cellStyle name="Comma 10 4 3 6" xfId="39230" xr:uid="{B64BBA5E-8FB0-4BC0-AB73-4866026EF5BB}"/>
    <cellStyle name="Comma 10 4 3 7" xfId="20976" xr:uid="{1F8AB559-D46A-487D-8BD3-44DD527EF6BB}"/>
    <cellStyle name="Comma 10 4 4" xfId="1992" xr:uid="{1BD38CE4-D54C-4581-8E22-375E2732D9EA}"/>
    <cellStyle name="Comma 10 4 4 2" xfId="16592" xr:uid="{05E13952-0F94-4F4A-9615-469D20482A19}"/>
    <cellStyle name="Comma 10 4 4 2 2" xfId="53100" xr:uid="{819FBD49-15C3-44A3-8CE5-A46253374127}"/>
    <cellStyle name="Comma 10 4 4 2 3" xfId="34846" xr:uid="{3DF15597-D8D4-4898-84AF-3987C33533FA}"/>
    <cellStyle name="Comma 10 4 4 3" xfId="12942" xr:uid="{3EB90FBD-978C-4EB4-A645-77EF413D3B61}"/>
    <cellStyle name="Comma 10 4 4 3 2" xfId="49450" xr:uid="{5597C104-87F5-41A6-A61C-AE6807D91189}"/>
    <cellStyle name="Comma 10 4 4 3 3" xfId="31196" xr:uid="{DD4CD386-66F3-499D-A8B3-668A3CC5E0B6}"/>
    <cellStyle name="Comma 10 4 4 4" xfId="9292" xr:uid="{CD15CFAD-A4AF-4E82-8208-EA24E1BBF50C}"/>
    <cellStyle name="Comma 10 4 4 4 2" xfId="45800" xr:uid="{185BFCC1-4A30-4DD0-BFCB-8DF2A675231C}"/>
    <cellStyle name="Comma 10 4 4 4 3" xfId="27546" xr:uid="{5BEE53EB-F44D-4C29-9BE6-FFCEA325896E}"/>
    <cellStyle name="Comma 10 4 4 5" xfId="5642" xr:uid="{33FBCD09-943D-4CA0-80B1-BAFFDCA2BCAC}"/>
    <cellStyle name="Comma 10 4 4 5 2" xfId="42150" xr:uid="{19C781DD-804E-4716-9C95-02707471A24F}"/>
    <cellStyle name="Comma 10 4 4 5 3" xfId="23896" xr:uid="{3F3408E4-835A-49FA-BA52-03A87D17635C}"/>
    <cellStyle name="Comma 10 4 4 6" xfId="38500" xr:uid="{8CF63C0E-E118-473F-A557-9C92505D91F0}"/>
    <cellStyle name="Comma 10 4 4 7" xfId="20246" xr:uid="{CBD7338E-546C-45F1-ABBB-AC23A13F33AA}"/>
    <cellStyle name="Comma 10 4 5" xfId="1262" xr:uid="{16C3DB55-06AC-4AD1-85F9-BF3BB81FD2E3}"/>
    <cellStyle name="Comma 10 4 5 2" xfId="15862" xr:uid="{DBFFE464-D4EC-4AA9-A834-79B772E36948}"/>
    <cellStyle name="Comma 10 4 5 2 2" xfId="52370" xr:uid="{46C4E8C0-88D5-4032-A89A-56BF0A5A6EAD}"/>
    <cellStyle name="Comma 10 4 5 2 3" xfId="34116" xr:uid="{882A9852-EE99-4736-BDB2-3B88CD795CC1}"/>
    <cellStyle name="Comma 10 4 5 3" xfId="12212" xr:uid="{7D26356F-6521-4583-A436-845D7D380B85}"/>
    <cellStyle name="Comma 10 4 5 3 2" xfId="48720" xr:uid="{135C11B8-5FA5-4A70-9178-2C4E47C70230}"/>
    <cellStyle name="Comma 10 4 5 3 3" xfId="30466" xr:uid="{FC707951-BEAD-4607-B358-197580D2F855}"/>
    <cellStyle name="Comma 10 4 5 4" xfId="8562" xr:uid="{90735072-9F10-476F-A45B-0BE1B9D87D9B}"/>
    <cellStyle name="Comma 10 4 5 4 2" xfId="45070" xr:uid="{D410B883-F965-4729-812D-348F8F29602E}"/>
    <cellStyle name="Comma 10 4 5 4 3" xfId="26816" xr:uid="{3BE1EAFE-744F-4769-B51E-3C1DE55A7C63}"/>
    <cellStyle name="Comma 10 4 5 5" xfId="4912" xr:uid="{94B1973E-FBB7-44BC-A7E9-C1AC7697279C}"/>
    <cellStyle name="Comma 10 4 5 5 2" xfId="41420" xr:uid="{887C6311-C64D-4B19-ABB2-7ECE0210DB5F}"/>
    <cellStyle name="Comma 10 4 5 5 3" xfId="23166" xr:uid="{B3705958-F2CD-493C-AAEF-DC3EB2CFCB47}"/>
    <cellStyle name="Comma 10 4 5 6" xfId="37770" xr:uid="{939627BA-C2FB-40D1-BBFF-F1A7ED3DAB28}"/>
    <cellStyle name="Comma 10 4 5 7" xfId="19516" xr:uid="{93F25E91-1A33-4A5F-98C8-6F59995F3F1B}"/>
    <cellStyle name="Comma 10 4 6" xfId="15132" xr:uid="{60B36928-264E-4D6A-858E-CFD4B6B9DD9A}"/>
    <cellStyle name="Comma 10 4 6 2" xfId="51640" xr:uid="{84334227-3360-44C2-A72A-3F357DAEE04B}"/>
    <cellStyle name="Comma 10 4 6 3" xfId="33386" xr:uid="{4C8B5622-101D-421E-8566-8286760CF6C5}"/>
    <cellStyle name="Comma 10 4 7" xfId="11482" xr:uid="{D9505BDB-AF96-44B1-B05D-581CF7E50416}"/>
    <cellStyle name="Comma 10 4 7 2" xfId="47990" xr:uid="{F40E91CE-AA96-42F8-B3EC-77EB59773291}"/>
    <cellStyle name="Comma 10 4 7 3" xfId="29736" xr:uid="{93CB6054-093B-47E5-8D59-C07C7C3853C4}"/>
    <cellStyle name="Comma 10 4 8" xfId="7832" xr:uid="{90219FF9-0673-4849-85B7-1E9D7830CAA3}"/>
    <cellStyle name="Comma 10 4 8 2" xfId="44340" xr:uid="{46558589-E777-4F39-93CD-2F9B1853ED45}"/>
    <cellStyle name="Comma 10 4 8 3" xfId="26086" xr:uid="{824E8610-B8A9-4250-BECA-0820AC78CADB}"/>
    <cellStyle name="Comma 10 4 9" xfId="4182" xr:uid="{B182AEA6-192A-4110-9002-BBD781446B78}"/>
    <cellStyle name="Comma 10 4 9 2" xfId="40690" xr:uid="{BF11A9ED-DCAB-4554-9B96-752BD900B8C6}"/>
    <cellStyle name="Comma 10 4 9 3" xfId="22436" xr:uid="{87313530-5C68-4D5C-BA25-B9AA6F74BF8F}"/>
    <cellStyle name="Comma 10 5" xfId="428" xr:uid="{30995FD5-7B9E-4AED-A4A8-9DF2C3BF0B99}"/>
    <cellStyle name="Comma 10 5 10" xfId="36936" xr:uid="{22B716B3-6583-4478-833A-8E1CF0757BC8}"/>
    <cellStyle name="Comma 10 5 11" xfId="18682" xr:uid="{0E7EF122-4650-4FA3-8C2F-4C911CDBE169}"/>
    <cellStyle name="Comma 10 5 2" xfId="3348" xr:uid="{2E584B11-CE3D-4F4A-B7BB-ECC9F16DCCDB}"/>
    <cellStyle name="Comma 10 5 2 2" xfId="17948" xr:uid="{04F4EC11-B0D9-48E8-ACF8-C957C0812823}"/>
    <cellStyle name="Comma 10 5 2 2 2" xfId="54456" xr:uid="{AC3A8BAD-A51E-4BF5-BC32-1674503D5AE9}"/>
    <cellStyle name="Comma 10 5 2 2 3" xfId="36202" xr:uid="{FEF13421-8A17-4E74-8FDD-26ACD1A5F0C3}"/>
    <cellStyle name="Comma 10 5 2 3" xfId="14298" xr:uid="{08D1384B-49A5-4A19-8CC4-A8222D85DF8F}"/>
    <cellStyle name="Comma 10 5 2 3 2" xfId="50806" xr:uid="{391612A9-3550-4980-BFB9-ABA72A3E5B5C}"/>
    <cellStyle name="Comma 10 5 2 3 3" xfId="32552" xr:uid="{9E0A49CE-EB71-40CA-B7B7-56D6C0CD6687}"/>
    <cellStyle name="Comma 10 5 2 4" xfId="10648" xr:uid="{DA11B38D-65EF-4A38-8DC3-D94D2D31708C}"/>
    <cellStyle name="Comma 10 5 2 4 2" xfId="47156" xr:uid="{9EBF5401-7360-42B6-B75C-214C77B92299}"/>
    <cellStyle name="Comma 10 5 2 4 3" xfId="28902" xr:uid="{D2D3BAED-E52E-4E6E-A33A-7DEB1A6CCEFC}"/>
    <cellStyle name="Comma 10 5 2 5" xfId="6998" xr:uid="{E1B406C8-6552-4B4E-BA79-0A6A149D3EBC}"/>
    <cellStyle name="Comma 10 5 2 5 2" xfId="43506" xr:uid="{3977DC4D-EC5D-4FD6-A420-3457F8DD04CE}"/>
    <cellStyle name="Comma 10 5 2 5 3" xfId="25252" xr:uid="{7D300D52-9CA6-4B8D-B788-2566A67E7E9D}"/>
    <cellStyle name="Comma 10 5 2 6" xfId="39856" xr:uid="{0CAC52E3-5FB8-4B64-BBBA-6C4744E84EB8}"/>
    <cellStyle name="Comma 10 5 2 7" xfId="21602" xr:uid="{33671BCE-22A2-4FC1-BCA0-9940C912522D}"/>
    <cellStyle name="Comma 10 5 3" xfId="2618" xr:uid="{6C34A056-31B1-4319-98C9-1AA4836F965D}"/>
    <cellStyle name="Comma 10 5 3 2" xfId="17218" xr:uid="{D75EFE92-3ECC-4BF5-9494-0E1E8BF78842}"/>
    <cellStyle name="Comma 10 5 3 2 2" xfId="53726" xr:uid="{2E11E847-8663-4664-A778-FE92126A0300}"/>
    <cellStyle name="Comma 10 5 3 2 3" xfId="35472" xr:uid="{87379870-D110-4077-9DFC-C68346E70477}"/>
    <cellStyle name="Comma 10 5 3 3" xfId="13568" xr:uid="{ECC3C1DE-ED87-4591-8C37-5459BA4DE9E2}"/>
    <cellStyle name="Comma 10 5 3 3 2" xfId="50076" xr:uid="{C757C7BD-5D26-4C4E-B096-E8596BB88A96}"/>
    <cellStyle name="Comma 10 5 3 3 3" xfId="31822" xr:uid="{00F72D4D-A8B3-4FED-AD89-0C30BF76EA3F}"/>
    <cellStyle name="Comma 10 5 3 4" xfId="9918" xr:uid="{E8B78858-253A-44C1-91E2-FDC932F00593}"/>
    <cellStyle name="Comma 10 5 3 4 2" xfId="46426" xr:uid="{47D23D47-3EBB-479B-9DF3-E9422DAB2FAC}"/>
    <cellStyle name="Comma 10 5 3 4 3" xfId="28172" xr:uid="{3A14EF54-DE9C-41C8-937C-CF6E69658B3B}"/>
    <cellStyle name="Comma 10 5 3 5" xfId="6268" xr:uid="{72B92888-3A73-4BF9-B3AC-816319C74FE3}"/>
    <cellStyle name="Comma 10 5 3 5 2" xfId="42776" xr:uid="{23DD0828-AD56-47B3-8FEB-55256ADE3132}"/>
    <cellStyle name="Comma 10 5 3 5 3" xfId="24522" xr:uid="{ACB73CCA-C9C2-40BF-B6C7-5370E6E27E12}"/>
    <cellStyle name="Comma 10 5 3 6" xfId="39126" xr:uid="{ED86D3B1-B56F-48CB-B577-F3B52C515800}"/>
    <cellStyle name="Comma 10 5 3 7" xfId="20872" xr:uid="{1E2F3AB9-03FA-4C12-90C7-CE8A85EA0A2F}"/>
    <cellStyle name="Comma 10 5 4" xfId="1888" xr:uid="{825A49F6-BB5A-4E50-A69D-BE344D2E7C23}"/>
    <cellStyle name="Comma 10 5 4 2" xfId="16488" xr:uid="{A982FAF9-03F9-4CEC-ACBF-22EA00CF6A45}"/>
    <cellStyle name="Comma 10 5 4 2 2" xfId="52996" xr:uid="{0CE48011-5CDA-4BF6-95F4-A7863106E6FD}"/>
    <cellStyle name="Comma 10 5 4 2 3" xfId="34742" xr:uid="{918C8F5D-4DC8-4147-9F50-C515A4E37D95}"/>
    <cellStyle name="Comma 10 5 4 3" xfId="12838" xr:uid="{80A770CA-881F-4377-BB5E-DC65D62256E6}"/>
    <cellStyle name="Comma 10 5 4 3 2" xfId="49346" xr:uid="{92DFC22C-20BF-4DB0-8623-5ACBCE5B25FF}"/>
    <cellStyle name="Comma 10 5 4 3 3" xfId="31092" xr:uid="{12A9E323-09EE-4B43-AE81-5E1B2CA0920A}"/>
    <cellStyle name="Comma 10 5 4 4" xfId="9188" xr:uid="{2ED70ACF-710D-4DA2-B9CA-67A8C0B6318E}"/>
    <cellStyle name="Comma 10 5 4 4 2" xfId="45696" xr:uid="{78985BF7-4D87-4577-B721-6F9A0EB2E781}"/>
    <cellStyle name="Comma 10 5 4 4 3" xfId="27442" xr:uid="{A7DC52F3-ADC3-4A57-81F8-4917FA10D6BD}"/>
    <cellStyle name="Comma 10 5 4 5" xfId="5538" xr:uid="{A2723030-EE93-423C-AB93-C07245D1D047}"/>
    <cellStyle name="Comma 10 5 4 5 2" xfId="42046" xr:uid="{7414000B-A63B-4614-A436-40F4FDB66045}"/>
    <cellStyle name="Comma 10 5 4 5 3" xfId="23792" xr:uid="{774782ED-F64C-465E-9722-DC40CA558AB9}"/>
    <cellStyle name="Comma 10 5 4 6" xfId="38396" xr:uid="{5E2609EA-E931-43E9-9E20-890282AFB204}"/>
    <cellStyle name="Comma 10 5 4 7" xfId="20142" xr:uid="{FEE09556-FA41-43E0-8C2B-20031A1D85B5}"/>
    <cellStyle name="Comma 10 5 5" xfId="1158" xr:uid="{6C747882-9ABF-4CB2-9B00-6E715AC9F6C6}"/>
    <cellStyle name="Comma 10 5 5 2" xfId="15758" xr:uid="{F0DDF576-2AF5-43B7-A30F-B0CD4248DDFD}"/>
    <cellStyle name="Comma 10 5 5 2 2" xfId="52266" xr:uid="{E79E5048-F397-4DD0-AD3C-2344F350D75A}"/>
    <cellStyle name="Comma 10 5 5 2 3" xfId="34012" xr:uid="{5511A0CB-634C-4B62-B9DD-CFD2D1DF4D3F}"/>
    <cellStyle name="Comma 10 5 5 3" xfId="12108" xr:uid="{41D025A8-CF33-4B00-ADDD-A3D48BB7A580}"/>
    <cellStyle name="Comma 10 5 5 3 2" xfId="48616" xr:uid="{53EE1E32-B78A-4AA4-B824-BB4916122EEC}"/>
    <cellStyle name="Comma 10 5 5 3 3" xfId="30362" xr:uid="{45C56726-E4DB-414C-B028-353816677138}"/>
    <cellStyle name="Comma 10 5 5 4" xfId="8458" xr:uid="{72BDFD27-A055-4278-BA8D-0FC429265AA7}"/>
    <cellStyle name="Comma 10 5 5 4 2" xfId="44966" xr:uid="{880A7DC1-9283-4961-BE61-AEE73EF0800F}"/>
    <cellStyle name="Comma 10 5 5 4 3" xfId="26712" xr:uid="{48237398-6C17-46A3-A316-EA5BC7B07F24}"/>
    <cellStyle name="Comma 10 5 5 5" xfId="4808" xr:uid="{3F19AD80-C1A2-4EAE-BB18-54EACCCA3EBA}"/>
    <cellStyle name="Comma 10 5 5 5 2" xfId="41316" xr:uid="{9746070C-62C1-426E-A690-9A7BF5F6823F}"/>
    <cellStyle name="Comma 10 5 5 5 3" xfId="23062" xr:uid="{FF837059-1080-48F4-B4B7-070B3E648BE7}"/>
    <cellStyle name="Comma 10 5 5 6" xfId="37666" xr:uid="{AEC048A5-0625-4716-865A-DCD7FE02DA8E}"/>
    <cellStyle name="Comma 10 5 5 7" xfId="19412" xr:uid="{72EBBC10-BCA5-406D-AC96-AEDDFFCF2F64}"/>
    <cellStyle name="Comma 10 5 6" xfId="15028" xr:uid="{7480C9F0-1A78-41BB-865B-B293D1E0517D}"/>
    <cellStyle name="Comma 10 5 6 2" xfId="51536" xr:uid="{819AE3F4-1CDC-4CBA-9D68-A7A3C83555DF}"/>
    <cellStyle name="Comma 10 5 6 3" xfId="33282" xr:uid="{7D79BBF5-79C7-444E-9575-884B1C50AC8B}"/>
    <cellStyle name="Comma 10 5 7" xfId="11378" xr:uid="{2F0DAB0A-AC94-4E83-84C4-63BAD7CA9DCA}"/>
    <cellStyle name="Comma 10 5 7 2" xfId="47886" xr:uid="{38589D62-F217-4E77-A61F-AA45083270F6}"/>
    <cellStyle name="Comma 10 5 7 3" xfId="29632" xr:uid="{BE966FE6-523A-45B2-BE0C-494EE94A2F18}"/>
    <cellStyle name="Comma 10 5 8" xfId="7728" xr:uid="{E503FB79-7E44-44FA-87EF-911507FDEE41}"/>
    <cellStyle name="Comma 10 5 8 2" xfId="44236" xr:uid="{FA2016CD-7F4C-47F8-9341-E2AE7978009F}"/>
    <cellStyle name="Comma 10 5 8 3" xfId="25982" xr:uid="{79C15B47-525D-4808-A012-201702E98BA0}"/>
    <cellStyle name="Comma 10 5 9" xfId="4078" xr:uid="{FDA77972-982C-4F9C-9C00-00F647EB6E38}"/>
    <cellStyle name="Comma 10 5 9 2" xfId="40586" xr:uid="{FFEFADA4-F977-4154-A6CE-B6AA7F973275}"/>
    <cellStyle name="Comma 10 5 9 3" xfId="22332" xr:uid="{E87EE6CA-262E-4461-B3D2-1E637B91E27E}"/>
    <cellStyle name="Comma 10 6" xfId="324" xr:uid="{74FBE6FF-F7A6-4799-89CB-C192C0CD260D}"/>
    <cellStyle name="Comma 10 6 10" xfId="36832" xr:uid="{12C69CC9-F62E-4F15-B6D6-34A76E9172CF}"/>
    <cellStyle name="Comma 10 6 11" xfId="18578" xr:uid="{FDAEAFB0-05D7-451C-AD39-AAD5D4309F07}"/>
    <cellStyle name="Comma 10 6 2" xfId="3244" xr:uid="{F5C035B6-5022-45CE-880C-9572F35347EF}"/>
    <cellStyle name="Comma 10 6 2 2" xfId="17844" xr:uid="{8D3B39AE-9597-4176-A177-2BCC8121655B}"/>
    <cellStyle name="Comma 10 6 2 2 2" xfId="54352" xr:uid="{415E1F0C-A0FA-4F1B-B98E-CE985F360F59}"/>
    <cellStyle name="Comma 10 6 2 2 3" xfId="36098" xr:uid="{3EAF1214-FA0F-4D17-9121-3709BD69AA3C}"/>
    <cellStyle name="Comma 10 6 2 3" xfId="14194" xr:uid="{DAC2B4B3-76DC-4E9F-8442-EBE7C56F4974}"/>
    <cellStyle name="Comma 10 6 2 3 2" xfId="50702" xr:uid="{FC1B4924-456A-41BA-B043-0DB0870F128C}"/>
    <cellStyle name="Comma 10 6 2 3 3" xfId="32448" xr:uid="{676E07E8-CC55-413E-B321-19CBD33C9057}"/>
    <cellStyle name="Comma 10 6 2 4" xfId="10544" xr:uid="{68B01EA3-F44F-442E-83DD-2E7A08203FD4}"/>
    <cellStyle name="Comma 10 6 2 4 2" xfId="47052" xr:uid="{03982F56-CD4D-4424-B7C1-856F888A4679}"/>
    <cellStyle name="Comma 10 6 2 4 3" xfId="28798" xr:uid="{65C95476-E193-4225-8DE5-7688E3D89048}"/>
    <cellStyle name="Comma 10 6 2 5" xfId="6894" xr:uid="{DE5DFDEA-BC15-43FC-A90F-F897364E6787}"/>
    <cellStyle name="Comma 10 6 2 5 2" xfId="43402" xr:uid="{56EFD4F9-2B0A-4D9D-ABE3-EBAE1A15D3E6}"/>
    <cellStyle name="Comma 10 6 2 5 3" xfId="25148" xr:uid="{0DC0B51D-9C25-4E81-9F52-73FC9AD3E9E2}"/>
    <cellStyle name="Comma 10 6 2 6" xfId="39752" xr:uid="{B62D6173-68BD-404B-A8A4-6EA26838C93F}"/>
    <cellStyle name="Comma 10 6 2 7" xfId="21498" xr:uid="{866A2EEA-A62B-4E04-9B0E-04AD4038E1C8}"/>
    <cellStyle name="Comma 10 6 3" xfId="2514" xr:uid="{3DE9910B-8928-456E-BAC1-F65555B881AE}"/>
    <cellStyle name="Comma 10 6 3 2" xfId="17114" xr:uid="{99F4DDD2-15DD-4DE1-9A7A-94FED1BC70B9}"/>
    <cellStyle name="Comma 10 6 3 2 2" xfId="53622" xr:uid="{2E561E8A-C2F6-4DC7-831B-E79A053AD9C6}"/>
    <cellStyle name="Comma 10 6 3 2 3" xfId="35368" xr:uid="{BD0FD328-296F-44F8-A3C8-33E38A4FB3A7}"/>
    <cellStyle name="Comma 10 6 3 3" xfId="13464" xr:uid="{10D8AD47-ECB3-4843-B92D-77092F79D6A1}"/>
    <cellStyle name="Comma 10 6 3 3 2" xfId="49972" xr:uid="{5AF986C3-135A-4425-87EF-73D9F62B50EF}"/>
    <cellStyle name="Comma 10 6 3 3 3" xfId="31718" xr:uid="{5A824EE3-1269-496C-970B-51436699EDF6}"/>
    <cellStyle name="Comma 10 6 3 4" xfId="9814" xr:uid="{0A5FD5D8-3F49-45E3-B2B0-97C276C39ED9}"/>
    <cellStyle name="Comma 10 6 3 4 2" xfId="46322" xr:uid="{17FA38EF-093B-47EC-B893-745A6A525B67}"/>
    <cellStyle name="Comma 10 6 3 4 3" xfId="28068" xr:uid="{0B0FD1DB-EA80-46F3-AC5F-31D25E97C82D}"/>
    <cellStyle name="Comma 10 6 3 5" xfId="6164" xr:uid="{AA05C342-A6AF-4EB4-B9B9-5D3327E3637A}"/>
    <cellStyle name="Comma 10 6 3 5 2" xfId="42672" xr:uid="{10AC97B9-A0F4-42CA-A0B0-7D7750E418B6}"/>
    <cellStyle name="Comma 10 6 3 5 3" xfId="24418" xr:uid="{836656E9-6E89-4793-9076-E2EF1A853433}"/>
    <cellStyle name="Comma 10 6 3 6" xfId="39022" xr:uid="{860ECE67-AD93-4889-9C5F-46DC317B9075}"/>
    <cellStyle name="Comma 10 6 3 7" xfId="20768" xr:uid="{A4778ABC-99D8-44DF-AA19-E75539BC4E9E}"/>
    <cellStyle name="Comma 10 6 4" xfId="1784" xr:uid="{17E38BA9-AEA2-417C-B5E7-79CA309D253E}"/>
    <cellStyle name="Comma 10 6 4 2" xfId="16384" xr:uid="{7CEA6E55-BE7C-4D95-9C73-C42A9A339D89}"/>
    <cellStyle name="Comma 10 6 4 2 2" xfId="52892" xr:uid="{2EB4C20F-F5F9-4584-B0E3-6CBED173940F}"/>
    <cellStyle name="Comma 10 6 4 2 3" xfId="34638" xr:uid="{91D07E01-142B-4E24-B9C4-C7F56230387F}"/>
    <cellStyle name="Comma 10 6 4 3" xfId="12734" xr:uid="{002FCBCD-2D17-4FDC-9BE9-6B1F98428ED0}"/>
    <cellStyle name="Comma 10 6 4 3 2" xfId="49242" xr:uid="{95197B72-D66E-4C55-AFF6-35C460D46606}"/>
    <cellStyle name="Comma 10 6 4 3 3" xfId="30988" xr:uid="{6BDA5142-307D-4BA4-8CDD-D6DBAFAAA6C5}"/>
    <cellStyle name="Comma 10 6 4 4" xfId="9084" xr:uid="{EE52C2B7-3CFF-480C-9E04-AE66C5B5603B}"/>
    <cellStyle name="Comma 10 6 4 4 2" xfId="45592" xr:uid="{0511C0E1-4F95-4AA4-8003-CD5F46804382}"/>
    <cellStyle name="Comma 10 6 4 4 3" xfId="27338" xr:uid="{C09F1883-8AC0-42F9-A84B-471A0A8293B3}"/>
    <cellStyle name="Comma 10 6 4 5" xfId="5434" xr:uid="{D5662AAB-3DBF-49BF-B20B-3292917C7D8B}"/>
    <cellStyle name="Comma 10 6 4 5 2" xfId="41942" xr:uid="{9F3099BC-925D-4079-8032-9C7FCE1619B9}"/>
    <cellStyle name="Comma 10 6 4 5 3" xfId="23688" xr:uid="{ECBEEAA1-2D37-4032-AEF3-6B12D7AC8646}"/>
    <cellStyle name="Comma 10 6 4 6" xfId="38292" xr:uid="{AB8625AE-5FD2-4429-B5E4-1AF547AA7DFC}"/>
    <cellStyle name="Comma 10 6 4 7" xfId="20038" xr:uid="{4E66F081-371C-47DE-85F6-2169184F48A0}"/>
    <cellStyle name="Comma 10 6 5" xfId="1054" xr:uid="{26DF85B4-CAFB-4BFF-9547-EB05240C0A27}"/>
    <cellStyle name="Comma 10 6 5 2" xfId="15654" xr:uid="{DEDA06F7-D882-46AA-A2C4-86CA6AC4DAB5}"/>
    <cellStyle name="Comma 10 6 5 2 2" xfId="52162" xr:uid="{A19276F0-0E0A-44A5-94D3-BCADC1F75A81}"/>
    <cellStyle name="Comma 10 6 5 2 3" xfId="33908" xr:uid="{B99451FF-B10E-40BE-B06D-86530CE91A41}"/>
    <cellStyle name="Comma 10 6 5 3" xfId="12004" xr:uid="{DE2DA6E2-5AD8-4DBA-A673-28F5DAA5140F}"/>
    <cellStyle name="Comma 10 6 5 3 2" xfId="48512" xr:uid="{6C6F4E7F-D7DA-426D-AF0D-575BF75DC943}"/>
    <cellStyle name="Comma 10 6 5 3 3" xfId="30258" xr:uid="{8E1C8CB1-2534-4F07-B088-9028635D2888}"/>
    <cellStyle name="Comma 10 6 5 4" xfId="8354" xr:uid="{10313215-FDB9-4C0F-9F28-C92429730900}"/>
    <cellStyle name="Comma 10 6 5 4 2" xfId="44862" xr:uid="{DFCDC59A-7EE1-4D21-8442-38C33AE5BEB7}"/>
    <cellStyle name="Comma 10 6 5 4 3" xfId="26608" xr:uid="{F6D0D924-256B-42E8-BE21-4172157F039A}"/>
    <cellStyle name="Comma 10 6 5 5" xfId="4704" xr:uid="{2E1C983B-D243-4633-AA30-CB70CEAD94E5}"/>
    <cellStyle name="Comma 10 6 5 5 2" xfId="41212" xr:uid="{31DAB45F-0F4F-4FD6-A72B-CD8DF9046057}"/>
    <cellStyle name="Comma 10 6 5 5 3" xfId="22958" xr:uid="{78F565F4-213E-4165-A2ED-7FCF9E1CCF11}"/>
    <cellStyle name="Comma 10 6 5 6" xfId="37562" xr:uid="{4EAE4CC3-9FD2-4C27-BE57-545C663B2FEC}"/>
    <cellStyle name="Comma 10 6 5 7" xfId="19308" xr:uid="{775ADEA8-8A6A-4118-AD3B-E67E222AEE19}"/>
    <cellStyle name="Comma 10 6 6" xfId="14924" xr:uid="{E4F7DB37-48C1-4392-90C8-B898D108EF3A}"/>
    <cellStyle name="Comma 10 6 6 2" xfId="51432" xr:uid="{D41B7496-1261-40E7-BCF8-2C88C79157A2}"/>
    <cellStyle name="Comma 10 6 6 3" xfId="33178" xr:uid="{20759E4A-3EEA-4111-9D65-18EC44C8C1D0}"/>
    <cellStyle name="Comma 10 6 7" xfId="11274" xr:uid="{82B9E584-5668-4440-81AF-EF14D98D477E}"/>
    <cellStyle name="Comma 10 6 7 2" xfId="47782" xr:uid="{CCA17B4B-F536-4B72-83B5-7822E07F9530}"/>
    <cellStyle name="Comma 10 6 7 3" xfId="29528" xr:uid="{B9232A21-73AF-4433-8A77-9DEAD5BEDD51}"/>
    <cellStyle name="Comma 10 6 8" xfId="7624" xr:uid="{C41A5691-FE1B-46D8-B16F-00DAC970F028}"/>
    <cellStyle name="Comma 10 6 8 2" xfId="44132" xr:uid="{89539CF8-D0E1-460F-B755-5509E49B5067}"/>
    <cellStyle name="Comma 10 6 8 3" xfId="25878" xr:uid="{64C1E8EC-76FA-4682-B0D0-FBF4A65A2571}"/>
    <cellStyle name="Comma 10 6 9" xfId="3974" xr:uid="{90404376-15CC-446A-A56B-B371B70787E3}"/>
    <cellStyle name="Comma 10 6 9 2" xfId="40482" xr:uid="{EB73C20C-F1FA-4CC1-87AA-E17EC2E867A8}"/>
    <cellStyle name="Comma 10 6 9 3" xfId="22228" xr:uid="{543BC6B6-748E-4739-9EBB-085116F73584}"/>
    <cellStyle name="Comma 10 7" xfId="220" xr:uid="{858C8BCA-AF93-421D-8CED-256F58C12C66}"/>
    <cellStyle name="Comma 10 7 10" xfId="36728" xr:uid="{E75070DA-0E4B-4D64-8683-1BF22638F5BE}"/>
    <cellStyle name="Comma 10 7 11" xfId="18474" xr:uid="{ED5F14D6-9E16-4A3C-9824-A884D7D2EAE5}"/>
    <cellStyle name="Comma 10 7 2" xfId="3140" xr:uid="{DA8567CA-00A4-4627-90FE-4797024D3D2C}"/>
    <cellStyle name="Comma 10 7 2 2" xfId="17740" xr:uid="{279F2836-3CF6-4C0B-915A-4AD77656FDDF}"/>
    <cellStyle name="Comma 10 7 2 2 2" xfId="54248" xr:uid="{8E5AADD1-DB4E-4229-865F-9804EDA77010}"/>
    <cellStyle name="Comma 10 7 2 2 3" xfId="35994" xr:uid="{097E0832-9C39-4CB4-A885-C3BC0E41628B}"/>
    <cellStyle name="Comma 10 7 2 3" xfId="14090" xr:uid="{F286D4E5-D4AD-456A-A91C-7B0152C3DBC0}"/>
    <cellStyle name="Comma 10 7 2 3 2" xfId="50598" xr:uid="{F725B0C5-CDD2-473F-B007-1E92D7012465}"/>
    <cellStyle name="Comma 10 7 2 3 3" xfId="32344" xr:uid="{57A4BD1D-2CD1-4526-80C6-114EF80B25D7}"/>
    <cellStyle name="Comma 10 7 2 4" xfId="10440" xr:uid="{619F5A6E-868A-4722-AE0A-E6DECC8BFD9F}"/>
    <cellStyle name="Comma 10 7 2 4 2" xfId="46948" xr:uid="{81EDED08-1DEA-4ADB-9AD1-CE0F360AC1B7}"/>
    <cellStyle name="Comma 10 7 2 4 3" xfId="28694" xr:uid="{98B4CA6B-CBF8-4CD6-8C23-2B7D87588D27}"/>
    <cellStyle name="Comma 10 7 2 5" xfId="6790" xr:uid="{FFBD15C8-DBA6-4A92-A1AF-AD8625670B65}"/>
    <cellStyle name="Comma 10 7 2 5 2" xfId="43298" xr:uid="{F7FD7037-7E1D-42FF-BA67-FD99A03D803B}"/>
    <cellStyle name="Comma 10 7 2 5 3" xfId="25044" xr:uid="{FE479BF6-9872-4B12-A5BC-18DAEB252757}"/>
    <cellStyle name="Comma 10 7 2 6" xfId="39648" xr:uid="{A6010963-4187-4157-AA90-227FDCD28519}"/>
    <cellStyle name="Comma 10 7 2 7" xfId="21394" xr:uid="{AE26D99C-5A13-437E-832E-499E6F72DB3F}"/>
    <cellStyle name="Comma 10 7 3" xfId="2410" xr:uid="{553F2C4D-0BC4-43F0-B12A-F1DE83796343}"/>
    <cellStyle name="Comma 10 7 3 2" xfId="17010" xr:uid="{A3F7EBCE-72C6-4594-AD4E-0F9DBA8F956A}"/>
    <cellStyle name="Comma 10 7 3 2 2" xfId="53518" xr:uid="{31026D2B-709F-435E-BB64-882F7401BD8D}"/>
    <cellStyle name="Comma 10 7 3 2 3" xfId="35264" xr:uid="{7615BF72-EF36-4E1B-A765-53C965354DD7}"/>
    <cellStyle name="Comma 10 7 3 3" xfId="13360" xr:uid="{EA95AB1B-7AD5-42DC-8FF7-5DD820A2263A}"/>
    <cellStyle name="Comma 10 7 3 3 2" xfId="49868" xr:uid="{21EC4306-DF17-4ED3-A3F4-A99118B9B707}"/>
    <cellStyle name="Comma 10 7 3 3 3" xfId="31614" xr:uid="{FCE2C66C-D0D3-4594-8B17-78A84710E999}"/>
    <cellStyle name="Comma 10 7 3 4" xfId="9710" xr:uid="{485866A9-4391-4F39-9116-04CEAA0641EB}"/>
    <cellStyle name="Comma 10 7 3 4 2" xfId="46218" xr:uid="{1E2A04CC-ACE2-4FDF-AF59-38E281B5EE65}"/>
    <cellStyle name="Comma 10 7 3 4 3" xfId="27964" xr:uid="{78DF89F9-E483-4805-99D6-D34CA41C9412}"/>
    <cellStyle name="Comma 10 7 3 5" xfId="6060" xr:uid="{F81A5335-541B-4DC4-8FCF-892B41B73273}"/>
    <cellStyle name="Comma 10 7 3 5 2" xfId="42568" xr:uid="{06B386DB-9EC9-4740-8D9A-EEB29F01971A}"/>
    <cellStyle name="Comma 10 7 3 5 3" xfId="24314" xr:uid="{5A995B4E-57AD-4B1D-AFD3-59A2A24C5F54}"/>
    <cellStyle name="Comma 10 7 3 6" xfId="38918" xr:uid="{EDFEECFC-6D6E-43E2-AD7A-FA86A4E8ACCD}"/>
    <cellStyle name="Comma 10 7 3 7" xfId="20664" xr:uid="{93C9DAD9-96B0-44A8-B9C5-E0CB155A7CB4}"/>
    <cellStyle name="Comma 10 7 4" xfId="1680" xr:uid="{319F5B00-7117-4DD5-98C0-FAA6BCD760CE}"/>
    <cellStyle name="Comma 10 7 4 2" xfId="16280" xr:uid="{E9E5EA47-596A-4B38-9446-91CA36674DCE}"/>
    <cellStyle name="Comma 10 7 4 2 2" xfId="52788" xr:uid="{E3852266-D16B-4B2B-A7C1-906EA657F913}"/>
    <cellStyle name="Comma 10 7 4 2 3" xfId="34534" xr:uid="{F7A8673A-E7A3-4D23-A5A6-2CC43C0CB96F}"/>
    <cellStyle name="Comma 10 7 4 3" xfId="12630" xr:uid="{462E6E91-AE67-4211-84EA-FE6402DFA681}"/>
    <cellStyle name="Comma 10 7 4 3 2" xfId="49138" xr:uid="{9CB2FE9F-4D8D-4A85-9EDD-E935D6F9671E}"/>
    <cellStyle name="Comma 10 7 4 3 3" xfId="30884" xr:uid="{11C26205-64A4-41A1-BF27-A80F77DC26B7}"/>
    <cellStyle name="Comma 10 7 4 4" xfId="8980" xr:uid="{37AEB006-7086-4AC2-A0CB-3A29723A3132}"/>
    <cellStyle name="Comma 10 7 4 4 2" xfId="45488" xr:uid="{C62BA5CE-E7D7-4DCA-831E-64424CCA8A64}"/>
    <cellStyle name="Comma 10 7 4 4 3" xfId="27234" xr:uid="{198F84B8-E9C3-47BD-922A-F2FCE17EAB4F}"/>
    <cellStyle name="Comma 10 7 4 5" xfId="5330" xr:uid="{3E71A733-180D-456B-A01B-EFB91DD79FB8}"/>
    <cellStyle name="Comma 10 7 4 5 2" xfId="41838" xr:uid="{0C7FD070-53FB-41EF-8585-14A11B3435EB}"/>
    <cellStyle name="Comma 10 7 4 5 3" xfId="23584" xr:uid="{BEA3E088-0EEA-4BEF-99D0-57720C7A0494}"/>
    <cellStyle name="Comma 10 7 4 6" xfId="38188" xr:uid="{B6D4EF80-26B4-41B9-8598-F20F42D544AF}"/>
    <cellStyle name="Comma 10 7 4 7" xfId="19934" xr:uid="{EA813C0D-F40E-40CA-80C8-7E14D0675C69}"/>
    <cellStyle name="Comma 10 7 5" xfId="950" xr:uid="{FB1528A5-95E3-4E4A-BFDD-884391ED3383}"/>
    <cellStyle name="Comma 10 7 5 2" xfId="15550" xr:uid="{7D177A44-A908-48CE-9830-F0C753A3266A}"/>
    <cellStyle name="Comma 10 7 5 2 2" xfId="52058" xr:uid="{120C7BDF-4E55-4747-B3E2-2D4597B5D883}"/>
    <cellStyle name="Comma 10 7 5 2 3" xfId="33804" xr:uid="{EFD3DB68-43DC-45AE-8745-44CC788FDF88}"/>
    <cellStyle name="Comma 10 7 5 3" xfId="11900" xr:uid="{A44C00DD-1957-4174-8443-9BB943768C2F}"/>
    <cellStyle name="Comma 10 7 5 3 2" xfId="48408" xr:uid="{D27FD70D-0EC9-45CC-A5E6-1AB96207C368}"/>
    <cellStyle name="Comma 10 7 5 3 3" xfId="30154" xr:uid="{3AEBCB68-E299-4B86-9240-9EF35DCEEC30}"/>
    <cellStyle name="Comma 10 7 5 4" xfId="8250" xr:uid="{7712AE63-3D4B-4223-8B02-EF636DED000C}"/>
    <cellStyle name="Comma 10 7 5 4 2" xfId="44758" xr:uid="{AF7117D8-DE5A-4EDC-9B8A-6A295C33FB7D}"/>
    <cellStyle name="Comma 10 7 5 4 3" xfId="26504" xr:uid="{CCFE1344-0D79-4EC1-BC93-7242EAD33815}"/>
    <cellStyle name="Comma 10 7 5 5" xfId="4600" xr:uid="{831CEB6B-105E-4F55-97D0-AACD54CE56FB}"/>
    <cellStyle name="Comma 10 7 5 5 2" xfId="41108" xr:uid="{2320EF3F-3383-482E-A46A-EA41DF354378}"/>
    <cellStyle name="Comma 10 7 5 5 3" xfId="22854" xr:uid="{B7617C3C-B868-466A-95E1-6ED090693789}"/>
    <cellStyle name="Comma 10 7 5 6" xfId="37458" xr:uid="{DDCA34D3-DF31-4C06-AC5E-8EE006D302E5}"/>
    <cellStyle name="Comma 10 7 5 7" xfId="19204" xr:uid="{CC8CE5F4-5E69-4AF1-BB40-3C2A164E6165}"/>
    <cellStyle name="Comma 10 7 6" xfId="14820" xr:uid="{91868E10-F8A8-48D2-810B-03413461404F}"/>
    <cellStyle name="Comma 10 7 6 2" xfId="51328" xr:uid="{FA19FBCE-E07B-4CAE-8DF2-277849843B98}"/>
    <cellStyle name="Comma 10 7 6 3" xfId="33074" xr:uid="{3219D227-DA8C-4C4E-B399-8DE27E1FCB41}"/>
    <cellStyle name="Comma 10 7 7" xfId="11170" xr:uid="{C42D38DB-E379-4D7E-81FA-9782E3B50306}"/>
    <cellStyle name="Comma 10 7 7 2" xfId="47678" xr:uid="{5212D272-54CA-4BE8-8919-CE0388C1C309}"/>
    <cellStyle name="Comma 10 7 7 3" xfId="29424" xr:uid="{781D47D2-E4D1-4DAD-80FF-DCC7967889F1}"/>
    <cellStyle name="Comma 10 7 8" xfId="7520" xr:uid="{CF3EEEB5-2EC2-4315-9A43-4E8503F46DE7}"/>
    <cellStyle name="Comma 10 7 8 2" xfId="44028" xr:uid="{2E8322D0-F416-4E20-9428-405EB123830C}"/>
    <cellStyle name="Comma 10 7 8 3" xfId="25774" xr:uid="{7B8BA931-E614-4124-BD0E-6C2657AA4A53}"/>
    <cellStyle name="Comma 10 7 9" xfId="3870" xr:uid="{D0719190-B17C-489D-A757-10EC1D6D7FCD}"/>
    <cellStyle name="Comma 10 7 9 2" xfId="40378" xr:uid="{43E7A4AE-0ABD-48F8-99B8-C547E35EA802}"/>
    <cellStyle name="Comma 10 7 9 3" xfId="22124" xr:uid="{ABD671A1-64D3-4197-A35A-E01776F36E88}"/>
    <cellStyle name="Comma 10 8" xfId="3036" xr:uid="{8F106E1F-74AF-4780-AD1B-74381B18460D}"/>
    <cellStyle name="Comma 10 8 2" xfId="17636" xr:uid="{CC9EA3FF-D445-4907-9A0C-F7FBD0C534E4}"/>
    <cellStyle name="Comma 10 8 2 2" xfId="54144" xr:uid="{50BF5569-13E4-408E-B697-A9BDC4638CF0}"/>
    <cellStyle name="Comma 10 8 2 3" xfId="35890" xr:uid="{439073B6-E7D5-4F7F-9AA1-21EE32D19F04}"/>
    <cellStyle name="Comma 10 8 3" xfId="13986" xr:uid="{F07A38E0-37B6-4B91-A6DB-759A14D37C7D}"/>
    <cellStyle name="Comma 10 8 3 2" xfId="50494" xr:uid="{F9C65518-0B7E-4AC6-AD23-E2DB9747D426}"/>
    <cellStyle name="Comma 10 8 3 3" xfId="32240" xr:uid="{0618F8D6-BF9F-456F-BED7-5B8922BFDF56}"/>
    <cellStyle name="Comma 10 8 4" xfId="10336" xr:uid="{AC18BDE8-D51B-4ECA-AFB8-C41CA1E44DBD}"/>
    <cellStyle name="Comma 10 8 4 2" xfId="46844" xr:uid="{C6C6BF13-E52B-4AAF-A67B-7E6B969E1173}"/>
    <cellStyle name="Comma 10 8 4 3" xfId="28590" xr:uid="{6C8CE5FC-FD9D-4123-A1E6-247893AEC34A}"/>
    <cellStyle name="Comma 10 8 5" xfId="6686" xr:uid="{C859BF18-D22A-420F-9400-76242E402B54}"/>
    <cellStyle name="Comma 10 8 5 2" xfId="43194" xr:uid="{EB3BEDD3-9E73-4239-93FC-9FC62814BB4C}"/>
    <cellStyle name="Comma 10 8 5 3" xfId="24940" xr:uid="{67A43D14-BD2A-4FED-A87E-095E7990DF12}"/>
    <cellStyle name="Comma 10 8 6" xfId="39544" xr:uid="{5AF22FA5-2223-4DDE-AE3C-DE3AAB048A5C}"/>
    <cellStyle name="Comma 10 8 7" xfId="21290" xr:uid="{18FD8FFF-260A-4F52-A04C-31E09C86FA40}"/>
    <cellStyle name="Comma 10 9" xfId="2306" xr:uid="{AD2A8ECC-B142-44C7-BDFE-13F9716AF3C3}"/>
    <cellStyle name="Comma 10 9 2" xfId="16906" xr:uid="{B04DC5A7-DB5B-4498-8084-0BD9E9EFC297}"/>
    <cellStyle name="Comma 10 9 2 2" xfId="53414" xr:uid="{9855C07F-95B4-4A4E-B9B8-A713C4867E1E}"/>
    <cellStyle name="Comma 10 9 2 3" xfId="35160" xr:uid="{C2520CD6-66EA-444B-AA72-2F764D451DBF}"/>
    <cellStyle name="Comma 10 9 3" xfId="13256" xr:uid="{6D08DDB1-C62F-44FB-92BC-E6D6AF7D8EDB}"/>
    <cellStyle name="Comma 10 9 3 2" xfId="49764" xr:uid="{9CC54E73-B0BF-40E9-B2EE-3F79459C0D1B}"/>
    <cellStyle name="Comma 10 9 3 3" xfId="31510" xr:uid="{195CF61D-C4BD-4EFE-BB38-EE2E2A0CAE60}"/>
    <cellStyle name="Comma 10 9 4" xfId="9606" xr:uid="{689962C1-94A7-4F31-91EB-85240A25D982}"/>
    <cellStyle name="Comma 10 9 4 2" xfId="46114" xr:uid="{0C10A4FC-4363-4346-A69E-5A1686C12EA6}"/>
    <cellStyle name="Comma 10 9 4 3" xfId="27860" xr:uid="{05FF04E9-1A3E-4D14-91D0-3AFBBB768416}"/>
    <cellStyle name="Comma 10 9 5" xfId="5956" xr:uid="{2C9E6636-DA15-42CE-8915-0D773939D6F8}"/>
    <cellStyle name="Comma 10 9 5 2" xfId="42464" xr:uid="{E80F7C63-3B33-492A-8FC2-09F6764E5DD4}"/>
    <cellStyle name="Comma 10 9 5 3" xfId="24210" xr:uid="{334B55BF-C8EB-473B-BE1C-E6FDF9D9A69E}"/>
    <cellStyle name="Comma 10 9 6" xfId="38814" xr:uid="{9858B6D7-C728-4D54-BACB-E8ED46323051}"/>
    <cellStyle name="Comma 10 9 7" xfId="20560" xr:uid="{CEED84CA-4619-454A-A223-69CDBE4F2E79}"/>
    <cellStyle name="Comma 11" xfId="117" xr:uid="{45B2F3E6-AE69-4F19-AA99-C0BFD0221E23}"/>
    <cellStyle name="Comma 11 10" xfId="1577" xr:uid="{FD80B921-CAD3-4807-8733-5C9520F8A270}"/>
    <cellStyle name="Comma 11 10 2" xfId="16177" xr:uid="{9566289B-1DB4-449D-A47B-E89FAA6665EB}"/>
    <cellStyle name="Comma 11 10 2 2" xfId="52685" xr:uid="{C021B481-7E76-4524-AEBB-52E4431F3C7E}"/>
    <cellStyle name="Comma 11 10 2 3" xfId="34431" xr:uid="{E45C79DA-A5AD-4125-AA9E-BFCA19E876F4}"/>
    <cellStyle name="Comma 11 10 3" xfId="12527" xr:uid="{69C585D4-5388-4B84-A18E-855855D03807}"/>
    <cellStyle name="Comma 11 10 3 2" xfId="49035" xr:uid="{8EC9AF9D-989C-4CFC-B7AA-BFCD1F6B88C4}"/>
    <cellStyle name="Comma 11 10 3 3" xfId="30781" xr:uid="{7B5831EB-8A39-4CE5-BDC7-80838D75172B}"/>
    <cellStyle name="Comma 11 10 4" xfId="8877" xr:uid="{CC4D9F70-0443-428B-8C9F-7EBA07172C35}"/>
    <cellStyle name="Comma 11 10 4 2" xfId="45385" xr:uid="{9A8DEA50-22FF-463E-B138-69C6E24E37DF}"/>
    <cellStyle name="Comma 11 10 4 3" xfId="27131" xr:uid="{A288A99C-6844-445A-8C13-14EC037CB5A6}"/>
    <cellStyle name="Comma 11 10 5" xfId="5227" xr:uid="{7EF27687-B592-4E2E-B335-47D647D90BF8}"/>
    <cellStyle name="Comma 11 10 5 2" xfId="41735" xr:uid="{8D322B99-AA02-4D4F-8C51-37254D3BD91B}"/>
    <cellStyle name="Comma 11 10 5 3" xfId="23481" xr:uid="{164B7C80-7F6F-42D2-975C-B3C6CA38733F}"/>
    <cellStyle name="Comma 11 10 6" xfId="38085" xr:uid="{D48AFE9D-DDE4-4D2C-869F-C6FCC690211A}"/>
    <cellStyle name="Comma 11 10 7" xfId="19831" xr:uid="{9BAF3211-8E84-4D6A-ACA8-BFAD20E7B31B}"/>
    <cellStyle name="Comma 11 11" xfId="847" xr:uid="{1F2A767A-2CDE-4392-80A4-AE6EB7EF12E9}"/>
    <cellStyle name="Comma 11 11 2" xfId="15447" xr:uid="{EB86B34D-3E94-4DE3-B705-AD3E0DEF40F2}"/>
    <cellStyle name="Comma 11 11 2 2" xfId="51955" xr:uid="{5C385B71-DC4E-4CC5-9445-9CEF277836B8}"/>
    <cellStyle name="Comma 11 11 2 3" xfId="33701" xr:uid="{993A08EA-1A85-4FC6-89E8-DF4EA50C27B8}"/>
    <cellStyle name="Comma 11 11 3" xfId="11797" xr:uid="{F5923EA1-5010-43DD-BA28-680A8CD7A581}"/>
    <cellStyle name="Comma 11 11 3 2" xfId="48305" xr:uid="{50423729-FF47-4D0E-BDD4-2E0F4B1B016E}"/>
    <cellStyle name="Comma 11 11 3 3" xfId="30051" xr:uid="{0675B2F0-9D58-4F78-A6C6-A97CD425FD05}"/>
    <cellStyle name="Comma 11 11 4" xfId="8147" xr:uid="{4DE87B9D-B02E-4003-A7AF-57F17E934BFF}"/>
    <cellStyle name="Comma 11 11 4 2" xfId="44655" xr:uid="{76C95562-EA9F-44C5-B87E-7870B059FEE8}"/>
    <cellStyle name="Comma 11 11 4 3" xfId="26401" xr:uid="{003860CC-B109-4343-9B60-0937BE9B83EF}"/>
    <cellStyle name="Comma 11 11 5" xfId="4497" xr:uid="{FA8B0FB7-E92D-4A77-86B4-B8160919E2D1}"/>
    <cellStyle name="Comma 11 11 5 2" xfId="41005" xr:uid="{F7533C3E-F75E-47E5-A575-B7CFC4205020}"/>
    <cellStyle name="Comma 11 11 5 3" xfId="22751" xr:uid="{1CF5556E-F5A0-4585-9A77-6A6268956E26}"/>
    <cellStyle name="Comma 11 11 6" xfId="37355" xr:uid="{CDFE6707-83EE-47A9-9223-E9D3FD3E668C}"/>
    <cellStyle name="Comma 11 11 7" xfId="19101" xr:uid="{CC6BE0BC-D2A9-4CDD-A38D-01E08A4D6EEE}"/>
    <cellStyle name="Comma 11 12" xfId="14717" xr:uid="{9B3F4B40-C24E-46E7-9B2B-1451089DB23C}"/>
    <cellStyle name="Comma 11 12 2" xfId="51225" xr:uid="{6C1C6FB2-7276-4513-A833-FFB873E18913}"/>
    <cellStyle name="Comma 11 12 3" xfId="32971" xr:uid="{CDA996F7-D2F2-4604-B983-F39FF7AC3BDD}"/>
    <cellStyle name="Comma 11 13" xfId="11067" xr:uid="{9958FA59-4326-4918-BE8F-F8FA224C94DF}"/>
    <cellStyle name="Comma 11 13 2" xfId="47575" xr:uid="{49CF2E47-E539-4B28-8215-5F78D0C30804}"/>
    <cellStyle name="Comma 11 13 3" xfId="29321" xr:uid="{D312AA19-8D56-43AA-B28C-6973B289B065}"/>
    <cellStyle name="Comma 11 14" xfId="7417" xr:uid="{B81E82C0-1E0D-4F3E-96CF-BC194BA04A88}"/>
    <cellStyle name="Comma 11 14 2" xfId="43925" xr:uid="{F0E2F278-E501-41A1-8EAF-6FB4FCAC17B9}"/>
    <cellStyle name="Comma 11 14 3" xfId="25671" xr:uid="{B8D5F52B-D44D-43CD-88EE-3EEDA9EECA58}"/>
    <cellStyle name="Comma 11 15" xfId="3767" xr:uid="{4AD3658A-C21B-4263-A432-B65FB645A5F2}"/>
    <cellStyle name="Comma 11 15 2" xfId="40275" xr:uid="{7571D0D7-012C-4A57-9504-0CC70EE89311}"/>
    <cellStyle name="Comma 11 15 3" xfId="22021" xr:uid="{6B56FA38-21F3-4325-B86F-76A73DD203F5}"/>
    <cellStyle name="Comma 11 16" xfId="36625" xr:uid="{6DEA0D9B-2EBA-442D-A029-1E5461CF6B0F}"/>
    <cellStyle name="Comma 11 17" xfId="18371" xr:uid="{833206CA-9906-4D27-958B-2317BE7CA70A}"/>
    <cellStyle name="Comma 11 2" xfId="741" xr:uid="{75599647-C632-4642-988D-37ECFCFDE783}"/>
    <cellStyle name="Comma 11 2 10" xfId="37249" xr:uid="{AE996494-E64A-4B79-AF53-173245A16627}"/>
    <cellStyle name="Comma 11 2 11" xfId="18995" xr:uid="{7393101A-9A99-4D8A-98E1-B4306D66671B}"/>
    <cellStyle name="Comma 11 2 2" xfId="3661" xr:uid="{C3AFD0CE-D923-4FA5-984D-6FAC48010F2B}"/>
    <cellStyle name="Comma 11 2 2 2" xfId="18261" xr:uid="{FFC9D0F3-BC74-4338-906B-FECD6317C385}"/>
    <cellStyle name="Comma 11 2 2 2 2" xfId="54769" xr:uid="{5D6996E7-9371-4888-8EE7-B371BBD86373}"/>
    <cellStyle name="Comma 11 2 2 2 3" xfId="36515" xr:uid="{DB9E1FFB-2776-4C84-9E8A-56A026E1A451}"/>
    <cellStyle name="Comma 11 2 2 3" xfId="14611" xr:uid="{93594E9E-59C8-4F95-A6A7-3EB76A5B01DD}"/>
    <cellStyle name="Comma 11 2 2 3 2" xfId="51119" xr:uid="{CA9D085B-42E7-4529-91F3-419BE24F5FC0}"/>
    <cellStyle name="Comma 11 2 2 3 3" xfId="32865" xr:uid="{AC11801E-1D46-42E0-9F42-D2F4D1F62879}"/>
    <cellStyle name="Comma 11 2 2 4" xfId="10961" xr:uid="{1CCC42D1-D3E8-4074-8BF8-1C1250CD93BE}"/>
    <cellStyle name="Comma 11 2 2 4 2" xfId="47469" xr:uid="{EEF48BD2-EAF0-4AB8-902C-E50625BD8FC7}"/>
    <cellStyle name="Comma 11 2 2 4 3" xfId="29215" xr:uid="{1FE28137-AB6B-4725-B73E-81B5B7FB6631}"/>
    <cellStyle name="Comma 11 2 2 5" xfId="7311" xr:uid="{10548B21-B137-4B5C-8ACC-AA5431E38578}"/>
    <cellStyle name="Comma 11 2 2 5 2" xfId="43819" xr:uid="{F6975618-6F6B-4881-8578-C8509C3347CE}"/>
    <cellStyle name="Comma 11 2 2 5 3" xfId="25565" xr:uid="{7FD55E89-D9EF-4E8F-A703-4F0D8764DFDD}"/>
    <cellStyle name="Comma 11 2 2 6" xfId="40169" xr:uid="{3F55A4F2-0286-470B-BFBE-5F89F74254F3}"/>
    <cellStyle name="Comma 11 2 2 7" xfId="21915" xr:uid="{762F157F-B908-4B5B-BEC5-65873060D0AB}"/>
    <cellStyle name="Comma 11 2 3" xfId="2931" xr:uid="{72BA321E-8660-407D-BAC0-AB0A1D352139}"/>
    <cellStyle name="Comma 11 2 3 2" xfId="17531" xr:uid="{C660035D-654B-4C90-BFFA-F158C557897C}"/>
    <cellStyle name="Comma 11 2 3 2 2" xfId="54039" xr:uid="{027D21C9-0F72-4416-A8CF-C71B65DD2B27}"/>
    <cellStyle name="Comma 11 2 3 2 3" xfId="35785" xr:uid="{14F42DD6-B884-49B2-96BF-0D5554146587}"/>
    <cellStyle name="Comma 11 2 3 3" xfId="13881" xr:uid="{43BFF0F4-9546-489E-B39B-4A77599548D6}"/>
    <cellStyle name="Comma 11 2 3 3 2" xfId="50389" xr:uid="{7914B64A-E3FD-4758-A118-1182454335F6}"/>
    <cellStyle name="Comma 11 2 3 3 3" xfId="32135" xr:uid="{577F62B5-E52B-4721-B981-1908F54FCF42}"/>
    <cellStyle name="Comma 11 2 3 4" xfId="10231" xr:uid="{A8659E08-4F35-4ECD-BD5B-98F1CD81F33C}"/>
    <cellStyle name="Comma 11 2 3 4 2" xfId="46739" xr:uid="{7AAE37CB-41AF-4CAC-A3BF-ABFADFF856B5}"/>
    <cellStyle name="Comma 11 2 3 4 3" xfId="28485" xr:uid="{6C503279-A4C2-4C64-B86A-B7A6BD7C156A}"/>
    <cellStyle name="Comma 11 2 3 5" xfId="6581" xr:uid="{ABE7014F-930E-4B52-BB61-F181B0A0254D}"/>
    <cellStyle name="Comma 11 2 3 5 2" xfId="43089" xr:uid="{1B74A6C9-732A-4F86-9CEB-DCBF186D6305}"/>
    <cellStyle name="Comma 11 2 3 5 3" xfId="24835" xr:uid="{752570AE-35F5-4706-85F1-D0847DB6C6E5}"/>
    <cellStyle name="Comma 11 2 3 6" xfId="39439" xr:uid="{522E8A39-218F-44B5-A584-CF5D1FDB353E}"/>
    <cellStyle name="Comma 11 2 3 7" xfId="21185" xr:uid="{3684F854-DF43-42AD-AC25-7FAE8E22A3AB}"/>
    <cellStyle name="Comma 11 2 4" xfId="2201" xr:uid="{95964F43-38CE-49F6-988B-D98A6CAB423E}"/>
    <cellStyle name="Comma 11 2 4 2" xfId="16801" xr:uid="{82EEE877-66AF-4B82-B3D6-63F4B073AA7E}"/>
    <cellStyle name="Comma 11 2 4 2 2" xfId="53309" xr:uid="{BA125232-A686-487A-BBC0-B75EA78AB71D}"/>
    <cellStyle name="Comma 11 2 4 2 3" xfId="35055" xr:uid="{950D0F61-4F57-4CDF-8BA7-16510AA13B6B}"/>
    <cellStyle name="Comma 11 2 4 3" xfId="13151" xr:uid="{39A7BD95-4837-43E1-A9B0-12DEAC142A8D}"/>
    <cellStyle name="Comma 11 2 4 3 2" xfId="49659" xr:uid="{AA1ED9CD-E493-4A46-8B44-AD54FD2C5A46}"/>
    <cellStyle name="Comma 11 2 4 3 3" xfId="31405" xr:uid="{546ECC4E-FB47-4142-8DE9-1F06042C50FC}"/>
    <cellStyle name="Comma 11 2 4 4" xfId="9501" xr:uid="{7354D056-5419-40A5-A364-6D23953DC609}"/>
    <cellStyle name="Comma 11 2 4 4 2" xfId="46009" xr:uid="{32A1720D-0A49-43D2-9966-208FCB24A480}"/>
    <cellStyle name="Comma 11 2 4 4 3" xfId="27755" xr:uid="{F7C21E55-3002-4B7B-A65E-F6420E00B757}"/>
    <cellStyle name="Comma 11 2 4 5" xfId="5851" xr:uid="{5F6E413E-425C-4643-9EB8-44B58C8A8550}"/>
    <cellStyle name="Comma 11 2 4 5 2" xfId="42359" xr:uid="{9D370E39-8791-4169-8D77-3E363C0C7711}"/>
    <cellStyle name="Comma 11 2 4 5 3" xfId="24105" xr:uid="{B65F9CAC-F1B9-43CF-B210-852AE69A7DF5}"/>
    <cellStyle name="Comma 11 2 4 6" xfId="38709" xr:uid="{04EEA9FF-4920-4B2E-B01A-7FE9EB5F0599}"/>
    <cellStyle name="Comma 11 2 4 7" xfId="20455" xr:uid="{B8BDB67F-A43F-4F38-A4F7-BAED23821B9F}"/>
    <cellStyle name="Comma 11 2 5" xfId="1471" xr:uid="{6CF3E2E0-FEB3-49FE-8293-9C23D4100CE7}"/>
    <cellStyle name="Comma 11 2 5 2" xfId="16071" xr:uid="{E11D2079-72E6-43B8-8E29-7929E7EA0BBB}"/>
    <cellStyle name="Comma 11 2 5 2 2" xfId="52579" xr:uid="{2168D582-4DAE-46C7-969E-15B8E50EFE5A}"/>
    <cellStyle name="Comma 11 2 5 2 3" xfId="34325" xr:uid="{5BB9C46C-DB76-4CE9-8942-17EF84097EB7}"/>
    <cellStyle name="Comma 11 2 5 3" xfId="12421" xr:uid="{3B8AEDEC-074B-4DA4-A0C8-2300274C1C8B}"/>
    <cellStyle name="Comma 11 2 5 3 2" xfId="48929" xr:uid="{5B191265-1BEC-4B51-A3A9-10520382ECC6}"/>
    <cellStyle name="Comma 11 2 5 3 3" xfId="30675" xr:uid="{595B67F5-2F0E-4A8C-91B6-501B12ECA17D}"/>
    <cellStyle name="Comma 11 2 5 4" xfId="8771" xr:uid="{855103AC-57B3-412B-B21D-45769D6F5B5D}"/>
    <cellStyle name="Comma 11 2 5 4 2" xfId="45279" xr:uid="{2FADCBE8-9B59-4FCF-8117-B01B2A398FC2}"/>
    <cellStyle name="Comma 11 2 5 4 3" xfId="27025" xr:uid="{A1401436-12B5-43AA-900C-AF596CEEE8D9}"/>
    <cellStyle name="Comma 11 2 5 5" xfId="5121" xr:uid="{AE3D9466-3D77-45F1-A289-5683B8FC83BD}"/>
    <cellStyle name="Comma 11 2 5 5 2" xfId="41629" xr:uid="{6701E74C-B7EC-4C07-97F8-ED62A16309E4}"/>
    <cellStyle name="Comma 11 2 5 5 3" xfId="23375" xr:uid="{C2CAA938-490B-434F-A684-A1094653BC8E}"/>
    <cellStyle name="Comma 11 2 5 6" xfId="37979" xr:uid="{471DEE7E-5DDF-44AC-942E-189C89728DB7}"/>
    <cellStyle name="Comma 11 2 5 7" xfId="19725" xr:uid="{4BE0DABB-B205-4C3B-8DAA-AD7BC5D9C2F6}"/>
    <cellStyle name="Comma 11 2 6" xfId="15341" xr:uid="{F547B8DD-29C7-41DF-8AC4-B7EC04D54808}"/>
    <cellStyle name="Comma 11 2 6 2" xfId="51849" xr:uid="{269606E2-8EE6-42E0-8B71-A4DD482FA48B}"/>
    <cellStyle name="Comma 11 2 6 3" xfId="33595" xr:uid="{4BD6CEB7-B90A-4F8E-90C7-9FD7C51F48D0}"/>
    <cellStyle name="Comma 11 2 7" xfId="11691" xr:uid="{E756D720-7D74-4061-924C-71969CE601D7}"/>
    <cellStyle name="Comma 11 2 7 2" xfId="48199" xr:uid="{CA8BDA27-D170-4BD5-B104-B877268B37D8}"/>
    <cellStyle name="Comma 11 2 7 3" xfId="29945" xr:uid="{01717169-A3FF-4EE1-94EB-7367E4C128CC}"/>
    <cellStyle name="Comma 11 2 8" xfId="8041" xr:uid="{D5B94B6C-7CF8-4B5C-9FF6-C6B52596B52C}"/>
    <cellStyle name="Comma 11 2 8 2" xfId="44549" xr:uid="{47E6F1C1-FEF3-41EA-86C1-88CC044AD259}"/>
    <cellStyle name="Comma 11 2 8 3" xfId="26295" xr:uid="{35F11544-AE78-4492-83AB-1F4D0CD02BE0}"/>
    <cellStyle name="Comma 11 2 9" xfId="4391" xr:uid="{224D5B46-65B2-4E71-BC4B-5AC5440DD79A}"/>
    <cellStyle name="Comma 11 2 9 2" xfId="40899" xr:uid="{FF69CD65-C1D5-4722-BC23-97DA83D18DD5}"/>
    <cellStyle name="Comma 11 2 9 3" xfId="22645" xr:uid="{FE1D5A4E-6972-4137-9AD6-A67A9920A6F4}"/>
    <cellStyle name="Comma 11 3" xfId="637" xr:uid="{A1D44676-5357-4EBD-B0BA-7AE9491BDF2E}"/>
    <cellStyle name="Comma 11 3 10" xfId="37145" xr:uid="{E1F4C6F0-43EC-4301-A0E9-171E8DCB09F7}"/>
    <cellStyle name="Comma 11 3 11" xfId="18891" xr:uid="{F2BAAF37-AD3B-4CF3-9205-D37718892FBE}"/>
    <cellStyle name="Comma 11 3 2" xfId="3557" xr:uid="{27CC672E-39CD-410C-80F5-F98F9A01AA78}"/>
    <cellStyle name="Comma 11 3 2 2" xfId="18157" xr:uid="{189A7728-1802-42CB-BF94-0FAEF88CBE0A}"/>
    <cellStyle name="Comma 11 3 2 2 2" xfId="54665" xr:uid="{C8239FAC-14E2-47CA-A114-E71C0B32A9DC}"/>
    <cellStyle name="Comma 11 3 2 2 3" xfId="36411" xr:uid="{CD6811D4-69D7-496C-A53F-210A75BAE51B}"/>
    <cellStyle name="Comma 11 3 2 3" xfId="14507" xr:uid="{16C28F1B-FF0A-4321-AE0A-1ECF8A523801}"/>
    <cellStyle name="Comma 11 3 2 3 2" xfId="51015" xr:uid="{077A01E7-267C-44CD-9B58-75F3A762C7B8}"/>
    <cellStyle name="Comma 11 3 2 3 3" xfId="32761" xr:uid="{D9158138-3CC7-4C3F-8187-D85B2DC790E9}"/>
    <cellStyle name="Comma 11 3 2 4" xfId="10857" xr:uid="{5C29CCFF-A743-4274-B82E-2283B9C43BD6}"/>
    <cellStyle name="Comma 11 3 2 4 2" xfId="47365" xr:uid="{88046AEA-7309-4636-B477-5283FDBC56F0}"/>
    <cellStyle name="Comma 11 3 2 4 3" xfId="29111" xr:uid="{C8605283-35F9-4702-9CE7-7546F5DD15F6}"/>
    <cellStyle name="Comma 11 3 2 5" xfId="7207" xr:uid="{B662D4D9-42A4-4894-AC03-3FC3DD62423A}"/>
    <cellStyle name="Comma 11 3 2 5 2" xfId="43715" xr:uid="{54E2A4D0-9E53-4941-8396-C806310B5DB6}"/>
    <cellStyle name="Comma 11 3 2 5 3" xfId="25461" xr:uid="{83DCE496-0835-4409-8458-DE201251F1E5}"/>
    <cellStyle name="Comma 11 3 2 6" xfId="40065" xr:uid="{4DABB788-5E9F-44BF-B022-B5D422E64728}"/>
    <cellStyle name="Comma 11 3 2 7" xfId="21811" xr:uid="{ABD853EF-D86C-42AF-B1FD-E94CE0AAD232}"/>
    <cellStyle name="Comma 11 3 3" xfId="2827" xr:uid="{DC9AA1D8-251C-413E-A56B-17B10EF22347}"/>
    <cellStyle name="Comma 11 3 3 2" xfId="17427" xr:uid="{C8C88C7C-7D40-4DC8-9DAF-E2DAF3709873}"/>
    <cellStyle name="Comma 11 3 3 2 2" xfId="53935" xr:uid="{E9908FBC-8A1A-4554-84B8-6DFB42222439}"/>
    <cellStyle name="Comma 11 3 3 2 3" xfId="35681" xr:uid="{3B7DC8CB-3AEA-4B76-AF2D-995C897D0754}"/>
    <cellStyle name="Comma 11 3 3 3" xfId="13777" xr:uid="{04420BF0-5853-495D-BDA8-047FA1CA2454}"/>
    <cellStyle name="Comma 11 3 3 3 2" xfId="50285" xr:uid="{89072272-4E8B-4919-BBE7-76646DF413F5}"/>
    <cellStyle name="Comma 11 3 3 3 3" xfId="32031" xr:uid="{8D4E0C66-3B97-414F-8B69-185E34DA390F}"/>
    <cellStyle name="Comma 11 3 3 4" xfId="10127" xr:uid="{51E35C2B-3463-4E28-915C-029A27BA6C7F}"/>
    <cellStyle name="Comma 11 3 3 4 2" xfId="46635" xr:uid="{6035B9BB-F018-4A72-A287-B3A2EFE6C668}"/>
    <cellStyle name="Comma 11 3 3 4 3" xfId="28381" xr:uid="{A65004B8-221E-4AE3-BE23-09E7FE40B8BF}"/>
    <cellStyle name="Comma 11 3 3 5" xfId="6477" xr:uid="{90AFEDD8-DFD1-42B4-AF65-41B6199CA0A9}"/>
    <cellStyle name="Comma 11 3 3 5 2" xfId="42985" xr:uid="{F532060C-3D2E-42BC-8432-DE364FB12046}"/>
    <cellStyle name="Comma 11 3 3 5 3" xfId="24731" xr:uid="{A3AB9E24-4B7B-4366-B396-8C7DC3BDBF79}"/>
    <cellStyle name="Comma 11 3 3 6" xfId="39335" xr:uid="{F28665D9-19CB-4EB0-9B46-7CBD4B9979BE}"/>
    <cellStyle name="Comma 11 3 3 7" xfId="21081" xr:uid="{07C23579-7545-4A66-B08E-8C2A76F9763A}"/>
    <cellStyle name="Comma 11 3 4" xfId="2097" xr:uid="{A1C447D3-0A3C-4D8A-B44C-F2BE508B10ED}"/>
    <cellStyle name="Comma 11 3 4 2" xfId="16697" xr:uid="{E809D97A-43D4-41C8-9356-A46D4577FE99}"/>
    <cellStyle name="Comma 11 3 4 2 2" xfId="53205" xr:uid="{689C16E3-63D4-4666-8F3D-6ECFAD171A48}"/>
    <cellStyle name="Comma 11 3 4 2 3" xfId="34951" xr:uid="{35594A71-2A4F-4292-A295-72B33C929C23}"/>
    <cellStyle name="Comma 11 3 4 3" xfId="13047" xr:uid="{CED28487-C4BD-4704-A2E8-FCB7E72B0BC2}"/>
    <cellStyle name="Comma 11 3 4 3 2" xfId="49555" xr:uid="{3F5E804D-1A9F-4FD4-8179-CB82EFF5AAF7}"/>
    <cellStyle name="Comma 11 3 4 3 3" xfId="31301" xr:uid="{6B6235F0-04B8-4C23-91DB-5FB0383F97E6}"/>
    <cellStyle name="Comma 11 3 4 4" xfId="9397" xr:uid="{B6FF347D-F475-4379-8401-64A949CC4922}"/>
    <cellStyle name="Comma 11 3 4 4 2" xfId="45905" xr:uid="{630B64BE-8C87-46DB-A4F3-912342B03A78}"/>
    <cellStyle name="Comma 11 3 4 4 3" xfId="27651" xr:uid="{82EA4D08-45A6-4796-B18F-FF52F1D5DC19}"/>
    <cellStyle name="Comma 11 3 4 5" xfId="5747" xr:uid="{B8B591AC-E3FD-4BB7-8E05-3DA053827B57}"/>
    <cellStyle name="Comma 11 3 4 5 2" xfId="42255" xr:uid="{0EF85377-49DD-4850-B4CA-EBC13F5E8E39}"/>
    <cellStyle name="Comma 11 3 4 5 3" xfId="24001" xr:uid="{4724E34B-9EB8-4C06-BF09-0E95349A8320}"/>
    <cellStyle name="Comma 11 3 4 6" xfId="38605" xr:uid="{4524E24F-C402-457E-8C3F-4A18953BC001}"/>
    <cellStyle name="Comma 11 3 4 7" xfId="20351" xr:uid="{02CBB381-7812-4BE8-8B27-AF4B8DA43DEE}"/>
    <cellStyle name="Comma 11 3 5" xfId="1367" xr:uid="{DE211158-88E3-4BA6-AF15-0B8F2ABDD9B0}"/>
    <cellStyle name="Comma 11 3 5 2" xfId="15967" xr:uid="{22F99EE3-1DCE-44B5-A681-D0F8D6723005}"/>
    <cellStyle name="Comma 11 3 5 2 2" xfId="52475" xr:uid="{6EE6DBF5-F50A-4261-9D29-D24ED6CE0852}"/>
    <cellStyle name="Comma 11 3 5 2 3" xfId="34221" xr:uid="{CBBE0A3F-8422-404F-BDF8-B2EC11E82B56}"/>
    <cellStyle name="Comma 11 3 5 3" xfId="12317" xr:uid="{B3BF6E3C-7CB6-416F-86D4-C884CA792AA8}"/>
    <cellStyle name="Comma 11 3 5 3 2" xfId="48825" xr:uid="{4A8689F0-0A55-4B9E-BA1D-2A031F5D0BE7}"/>
    <cellStyle name="Comma 11 3 5 3 3" xfId="30571" xr:uid="{2504BE39-38A9-40A2-897E-91403D4F0D43}"/>
    <cellStyle name="Comma 11 3 5 4" xfId="8667" xr:uid="{D763E843-C88B-4042-8929-AC0D3BEC2AA8}"/>
    <cellStyle name="Comma 11 3 5 4 2" xfId="45175" xr:uid="{6C2CD328-44DA-410F-9585-69E881C56CD6}"/>
    <cellStyle name="Comma 11 3 5 4 3" xfId="26921" xr:uid="{675859D9-6C26-4E99-BE63-95E349893A1F}"/>
    <cellStyle name="Comma 11 3 5 5" xfId="5017" xr:uid="{1FA39948-C055-491B-A070-A64428F7824D}"/>
    <cellStyle name="Comma 11 3 5 5 2" xfId="41525" xr:uid="{F7576DF0-ABE5-404F-9414-95CEDAC4EF52}"/>
    <cellStyle name="Comma 11 3 5 5 3" xfId="23271" xr:uid="{6295A428-1CA8-40B5-BC7F-667B16FFB50A}"/>
    <cellStyle name="Comma 11 3 5 6" xfId="37875" xr:uid="{E38774BF-2C34-425E-8E8C-E909A205BFC5}"/>
    <cellStyle name="Comma 11 3 5 7" xfId="19621" xr:uid="{95C3D232-5E1B-4381-88EB-337FE9B45510}"/>
    <cellStyle name="Comma 11 3 6" xfId="15237" xr:uid="{77B5EE24-FE7C-42C6-BB41-ABCCC367BF65}"/>
    <cellStyle name="Comma 11 3 6 2" xfId="51745" xr:uid="{BB191721-D818-41EA-A3ED-8BD17FA3FC22}"/>
    <cellStyle name="Comma 11 3 6 3" xfId="33491" xr:uid="{AB15786F-4882-45BD-84DA-2504CEFEEB3A}"/>
    <cellStyle name="Comma 11 3 7" xfId="11587" xr:uid="{C11CA271-0D19-4104-B0E4-06CDB2883F0D}"/>
    <cellStyle name="Comma 11 3 7 2" xfId="48095" xr:uid="{EAD039BD-4F5C-4E2A-8C68-CEE64F0D5B77}"/>
    <cellStyle name="Comma 11 3 7 3" xfId="29841" xr:uid="{53544938-E039-446E-8906-1B6D091D68F2}"/>
    <cellStyle name="Comma 11 3 8" xfId="7937" xr:uid="{B36D37AE-E6F6-4CA4-9791-74CD9110B6B1}"/>
    <cellStyle name="Comma 11 3 8 2" xfId="44445" xr:uid="{B72D8A54-91F9-4C4B-8774-652D5CD9E51D}"/>
    <cellStyle name="Comma 11 3 8 3" xfId="26191" xr:uid="{CFE28694-C2DA-4F5A-B868-4E613A323375}"/>
    <cellStyle name="Comma 11 3 9" xfId="4287" xr:uid="{309852B7-7688-45CF-902D-A967FB094030}"/>
    <cellStyle name="Comma 11 3 9 2" xfId="40795" xr:uid="{FA5FFCBE-1A6A-46A4-AEBE-80A19D041DBD}"/>
    <cellStyle name="Comma 11 3 9 3" xfId="22541" xr:uid="{70243A54-8658-4C21-9364-D4DDC31D3013}"/>
    <cellStyle name="Comma 11 4" xfId="533" xr:uid="{1861788F-78E3-48EB-85AE-175AF362C1E1}"/>
    <cellStyle name="Comma 11 4 10" xfId="37041" xr:uid="{51EF6D21-3FCF-425A-9E9E-10468DEF009B}"/>
    <cellStyle name="Comma 11 4 11" xfId="18787" xr:uid="{9981B376-B71D-47C2-A528-E65B9DEE4DE5}"/>
    <cellStyle name="Comma 11 4 2" xfId="3453" xr:uid="{33969CA0-CED5-46D1-8690-FDC2ABFAF0ED}"/>
    <cellStyle name="Comma 11 4 2 2" xfId="18053" xr:uid="{49C6794E-39B9-4CFD-8A5D-B5C2323EFF27}"/>
    <cellStyle name="Comma 11 4 2 2 2" xfId="54561" xr:uid="{699A845E-97A1-4CD3-BDCB-89A0E02AED81}"/>
    <cellStyle name="Comma 11 4 2 2 3" xfId="36307" xr:uid="{B87B92C4-006B-4006-B4BA-F530C054C8A8}"/>
    <cellStyle name="Comma 11 4 2 3" xfId="14403" xr:uid="{22947779-489B-4E85-B70B-707265A92708}"/>
    <cellStyle name="Comma 11 4 2 3 2" xfId="50911" xr:uid="{AD9F2C6A-4C6B-4D95-9372-22C2CB41C1B1}"/>
    <cellStyle name="Comma 11 4 2 3 3" xfId="32657" xr:uid="{14ECEAC5-C2EC-4888-B563-9A706679776E}"/>
    <cellStyle name="Comma 11 4 2 4" xfId="10753" xr:uid="{86A49422-558C-4B80-908D-FF3BAAE32841}"/>
    <cellStyle name="Comma 11 4 2 4 2" xfId="47261" xr:uid="{30DD6F36-98CE-4D3A-BA7C-A0CB792D7FFF}"/>
    <cellStyle name="Comma 11 4 2 4 3" xfId="29007" xr:uid="{046ED656-55BC-4796-96F2-16EBF3F52B10}"/>
    <cellStyle name="Comma 11 4 2 5" xfId="7103" xr:uid="{417FA91A-9CD0-45EB-9C46-878E228BD0AD}"/>
    <cellStyle name="Comma 11 4 2 5 2" xfId="43611" xr:uid="{AD0BDFE8-46DD-47DB-9C5B-AEDAEAC9E4AE}"/>
    <cellStyle name="Comma 11 4 2 5 3" xfId="25357" xr:uid="{ED32D43A-B162-47A4-A276-72E4CA07AE84}"/>
    <cellStyle name="Comma 11 4 2 6" xfId="39961" xr:uid="{674EB853-7A1E-4D6E-87EF-BB58AC04F3C2}"/>
    <cellStyle name="Comma 11 4 2 7" xfId="21707" xr:uid="{58AE4AA8-10E6-4647-A524-D3C200370922}"/>
    <cellStyle name="Comma 11 4 3" xfId="2723" xr:uid="{0E015003-971C-491E-83D2-ADA23B93EB6E}"/>
    <cellStyle name="Comma 11 4 3 2" xfId="17323" xr:uid="{E8FE07EF-F216-4C69-8B4A-84FBCB019058}"/>
    <cellStyle name="Comma 11 4 3 2 2" xfId="53831" xr:uid="{B363B7BE-7460-4B6F-B917-39C8BF724B82}"/>
    <cellStyle name="Comma 11 4 3 2 3" xfId="35577" xr:uid="{8DC1AE54-1B60-4AA7-B6D2-BB719CDF6D28}"/>
    <cellStyle name="Comma 11 4 3 3" xfId="13673" xr:uid="{CA7EBD5A-9FAA-4516-BF31-2013F48F7116}"/>
    <cellStyle name="Comma 11 4 3 3 2" xfId="50181" xr:uid="{B69E8394-54F2-4B08-8075-0C38EB37332D}"/>
    <cellStyle name="Comma 11 4 3 3 3" xfId="31927" xr:uid="{3C9833F4-0032-46EE-938C-AC885725545F}"/>
    <cellStyle name="Comma 11 4 3 4" xfId="10023" xr:uid="{F192649A-B275-4A52-9CDA-01C8028F9604}"/>
    <cellStyle name="Comma 11 4 3 4 2" xfId="46531" xr:uid="{68E2F815-3C5F-49D4-92EB-E77995502161}"/>
    <cellStyle name="Comma 11 4 3 4 3" xfId="28277" xr:uid="{16A4D5CB-C313-4406-A80E-430734D658F7}"/>
    <cellStyle name="Comma 11 4 3 5" xfId="6373" xr:uid="{071878E5-C896-4481-9C40-3D0955C95993}"/>
    <cellStyle name="Comma 11 4 3 5 2" xfId="42881" xr:uid="{41269836-B288-454F-B03E-9ED39D67F9D2}"/>
    <cellStyle name="Comma 11 4 3 5 3" xfId="24627" xr:uid="{2AD39E50-6CC1-4F8E-87B0-FE22AEF0ABFF}"/>
    <cellStyle name="Comma 11 4 3 6" xfId="39231" xr:uid="{D7D11349-F977-41A8-B883-E301B2DD37CD}"/>
    <cellStyle name="Comma 11 4 3 7" xfId="20977" xr:uid="{F02D181D-ABE2-48DA-B603-9381E2B930F1}"/>
    <cellStyle name="Comma 11 4 4" xfId="1993" xr:uid="{7C218B18-8FB2-4734-9C61-283FA6F2796C}"/>
    <cellStyle name="Comma 11 4 4 2" xfId="16593" xr:uid="{8C293B82-09FF-4EE9-A6CD-60671BD6E7BB}"/>
    <cellStyle name="Comma 11 4 4 2 2" xfId="53101" xr:uid="{79EE5E03-599A-44C5-B7C4-5C6C74F13127}"/>
    <cellStyle name="Comma 11 4 4 2 3" xfId="34847" xr:uid="{04F45733-D1F9-458E-8949-5CDDB5FDF966}"/>
    <cellStyle name="Comma 11 4 4 3" xfId="12943" xr:uid="{AF2726E5-124E-4497-94BB-224422D219E2}"/>
    <cellStyle name="Comma 11 4 4 3 2" xfId="49451" xr:uid="{17F68F90-D488-413A-8157-376D877B4F13}"/>
    <cellStyle name="Comma 11 4 4 3 3" xfId="31197" xr:uid="{686356F0-7C5F-4960-BE31-8F31B7048634}"/>
    <cellStyle name="Comma 11 4 4 4" xfId="9293" xr:uid="{78D98934-95C0-4237-824D-100E4384718A}"/>
    <cellStyle name="Comma 11 4 4 4 2" xfId="45801" xr:uid="{7362D160-89C3-4672-AD8A-45A2DF2EE188}"/>
    <cellStyle name="Comma 11 4 4 4 3" xfId="27547" xr:uid="{72CAC70A-3879-4352-A2F7-8F9756F5EE57}"/>
    <cellStyle name="Comma 11 4 4 5" xfId="5643" xr:uid="{FA567FF8-04CE-4790-BEFF-6C7080F6EB2D}"/>
    <cellStyle name="Comma 11 4 4 5 2" xfId="42151" xr:uid="{8E183443-7317-4C27-9504-12AF55F1E563}"/>
    <cellStyle name="Comma 11 4 4 5 3" xfId="23897" xr:uid="{643F22BA-DC94-4BFC-B11B-3B95067ECF1B}"/>
    <cellStyle name="Comma 11 4 4 6" xfId="38501" xr:uid="{34EE9D05-4A3A-4A9A-86BB-07E392BAA4F0}"/>
    <cellStyle name="Comma 11 4 4 7" xfId="20247" xr:uid="{0CC5778C-49F8-4C33-B6E4-1BADEFFC509E}"/>
    <cellStyle name="Comma 11 4 5" xfId="1263" xr:uid="{CDF61778-24F9-475B-9A00-7C71907D0A1E}"/>
    <cellStyle name="Comma 11 4 5 2" xfId="15863" xr:uid="{923A3033-5608-4594-9835-D57FF28281D6}"/>
    <cellStyle name="Comma 11 4 5 2 2" xfId="52371" xr:uid="{5235E037-81F2-4BFF-9E85-052CE90F2FC1}"/>
    <cellStyle name="Comma 11 4 5 2 3" xfId="34117" xr:uid="{8B70DADF-043E-42A3-BFCB-F17212E0B764}"/>
    <cellStyle name="Comma 11 4 5 3" xfId="12213" xr:uid="{4C7488EA-9614-4E7C-8585-7B6D4674ACE9}"/>
    <cellStyle name="Comma 11 4 5 3 2" xfId="48721" xr:uid="{F7D9EAD2-5EB3-4EDC-B893-48BD455DB689}"/>
    <cellStyle name="Comma 11 4 5 3 3" xfId="30467" xr:uid="{E79AB397-2C99-4E55-9627-420FD958E9CD}"/>
    <cellStyle name="Comma 11 4 5 4" xfId="8563" xr:uid="{463DD934-9BDE-425A-B225-80C5BDFCD440}"/>
    <cellStyle name="Comma 11 4 5 4 2" xfId="45071" xr:uid="{840C6643-48D5-4168-BFD5-DA5948F2DDFB}"/>
    <cellStyle name="Comma 11 4 5 4 3" xfId="26817" xr:uid="{8B4ACAD7-25E5-497A-A2A5-EBA98D08064A}"/>
    <cellStyle name="Comma 11 4 5 5" xfId="4913" xr:uid="{8316CEB7-0226-4DCC-AADE-9CCFEF6A4CCE}"/>
    <cellStyle name="Comma 11 4 5 5 2" xfId="41421" xr:uid="{F1A9948C-5B8B-4076-9965-50B4B695CC06}"/>
    <cellStyle name="Comma 11 4 5 5 3" xfId="23167" xr:uid="{795E96BF-D23B-4711-8B76-038D0BF2E550}"/>
    <cellStyle name="Comma 11 4 5 6" xfId="37771" xr:uid="{5FCA25E2-7B27-4E72-9863-C93BB9878E3C}"/>
    <cellStyle name="Comma 11 4 5 7" xfId="19517" xr:uid="{AA855602-388C-4609-9A03-325ED6C8158D}"/>
    <cellStyle name="Comma 11 4 6" xfId="15133" xr:uid="{E11E8F9D-5E2C-4A3A-B8FE-A21F42CBFCDA}"/>
    <cellStyle name="Comma 11 4 6 2" xfId="51641" xr:uid="{59126945-0722-48FC-AE2C-14F28C3177BD}"/>
    <cellStyle name="Comma 11 4 6 3" xfId="33387" xr:uid="{DC85D483-B442-4AA2-84CB-2CC9887C207D}"/>
    <cellStyle name="Comma 11 4 7" xfId="11483" xr:uid="{D55C5CAA-6390-4788-BB75-DE5D139DF850}"/>
    <cellStyle name="Comma 11 4 7 2" xfId="47991" xr:uid="{9AFB8FE1-E818-455D-A2C6-EE2CFD560342}"/>
    <cellStyle name="Comma 11 4 7 3" xfId="29737" xr:uid="{210A07AA-A4E3-4C6A-B2AC-E0D0CAA36A18}"/>
    <cellStyle name="Comma 11 4 8" xfId="7833" xr:uid="{76027F29-2553-4073-A72C-CA39B457D4DA}"/>
    <cellStyle name="Comma 11 4 8 2" xfId="44341" xr:uid="{DBB5D201-647C-44B2-AF1E-35FD17931F48}"/>
    <cellStyle name="Comma 11 4 8 3" xfId="26087" xr:uid="{8768D09D-2053-4F4F-9AC0-DFDB32FF7B4C}"/>
    <cellStyle name="Comma 11 4 9" xfId="4183" xr:uid="{CBFA1075-28C4-43C3-9896-1981D96B9C37}"/>
    <cellStyle name="Comma 11 4 9 2" xfId="40691" xr:uid="{65F29F9E-9821-4CA6-BD17-BD0D9785A596}"/>
    <cellStyle name="Comma 11 4 9 3" xfId="22437" xr:uid="{564FE30B-66DF-4F11-BD5C-FB394139425C}"/>
    <cellStyle name="Comma 11 5" xfId="429" xr:uid="{B5621EA9-3B39-4462-991B-A95EA8C74CBE}"/>
    <cellStyle name="Comma 11 5 10" xfId="36937" xr:uid="{F61FCC6E-27E9-4826-83AA-F81AF0594C4F}"/>
    <cellStyle name="Comma 11 5 11" xfId="18683" xr:uid="{EA62DF35-C5F7-40BB-8107-CDB3D2D1B270}"/>
    <cellStyle name="Comma 11 5 2" xfId="3349" xr:uid="{B2E5D26F-5F87-4135-8575-87F75D48EAC4}"/>
    <cellStyle name="Comma 11 5 2 2" xfId="17949" xr:uid="{3B658520-A801-4039-8737-E2BBDB431D23}"/>
    <cellStyle name="Comma 11 5 2 2 2" xfId="54457" xr:uid="{F4F7BDCB-A6E0-49D2-A483-E530A1EA6DC1}"/>
    <cellStyle name="Comma 11 5 2 2 3" xfId="36203" xr:uid="{56806F2C-8C79-4448-9909-209F4A44CEF2}"/>
    <cellStyle name="Comma 11 5 2 3" xfId="14299" xr:uid="{0F3F3E92-E8A7-452E-93F7-644E05A49922}"/>
    <cellStyle name="Comma 11 5 2 3 2" xfId="50807" xr:uid="{C4E886C5-74D3-4729-8C87-2850E3C5B56B}"/>
    <cellStyle name="Comma 11 5 2 3 3" xfId="32553" xr:uid="{F2D8475B-E5B9-4A05-981B-936DECCFA921}"/>
    <cellStyle name="Comma 11 5 2 4" xfId="10649" xr:uid="{3A066C00-62D2-480B-9A3C-1FFCC68D15FF}"/>
    <cellStyle name="Comma 11 5 2 4 2" xfId="47157" xr:uid="{21B53D16-6E50-4DBD-A491-106AA6572EDA}"/>
    <cellStyle name="Comma 11 5 2 4 3" xfId="28903" xr:uid="{1FD2634D-9858-4DC8-9B22-C6AB37B8E738}"/>
    <cellStyle name="Comma 11 5 2 5" xfId="6999" xr:uid="{D42BCBF4-02ED-4C73-A6E0-5179FBC2838F}"/>
    <cellStyle name="Comma 11 5 2 5 2" xfId="43507" xr:uid="{046A3AB1-1FC7-46F0-BD36-35C14EBB4168}"/>
    <cellStyle name="Comma 11 5 2 5 3" xfId="25253" xr:uid="{2F489D87-9E6B-40E7-9D16-E74623CB6B24}"/>
    <cellStyle name="Comma 11 5 2 6" xfId="39857" xr:uid="{9D717A37-FEFF-4954-AC75-E928A2861E69}"/>
    <cellStyle name="Comma 11 5 2 7" xfId="21603" xr:uid="{34D48D75-9940-4FD2-864B-6DAC737755C5}"/>
    <cellStyle name="Comma 11 5 3" xfId="2619" xr:uid="{CA1F4666-BFD1-4695-B997-EBBAC7BA303F}"/>
    <cellStyle name="Comma 11 5 3 2" xfId="17219" xr:uid="{0A82CA15-21F7-41A1-87C7-9BEAE33CCCD0}"/>
    <cellStyle name="Comma 11 5 3 2 2" xfId="53727" xr:uid="{FF2BBEA9-3BC9-43B2-9B86-525B7C851200}"/>
    <cellStyle name="Comma 11 5 3 2 3" xfId="35473" xr:uid="{E334D1FB-A730-4C23-827B-313D7395F6E9}"/>
    <cellStyle name="Comma 11 5 3 3" xfId="13569" xr:uid="{62203B1E-67EE-4101-9403-E5A72345A32F}"/>
    <cellStyle name="Comma 11 5 3 3 2" xfId="50077" xr:uid="{CF6297AE-A704-47F8-AC71-8DA5C3E5D91C}"/>
    <cellStyle name="Comma 11 5 3 3 3" xfId="31823" xr:uid="{7BB7F639-1DCF-4F70-9CBB-ABECFB76FF12}"/>
    <cellStyle name="Comma 11 5 3 4" xfId="9919" xr:uid="{686FC133-0FEC-4CE7-A6A2-8BA77096EC1D}"/>
    <cellStyle name="Comma 11 5 3 4 2" xfId="46427" xr:uid="{C934E80B-6F04-471A-90D7-AC1578D560C1}"/>
    <cellStyle name="Comma 11 5 3 4 3" xfId="28173" xr:uid="{88C82AB8-303B-4A59-B1BF-99DA6235388B}"/>
    <cellStyle name="Comma 11 5 3 5" xfId="6269" xr:uid="{F83C933E-3081-4CF6-AF8C-E6EDFD3D9567}"/>
    <cellStyle name="Comma 11 5 3 5 2" xfId="42777" xr:uid="{6AE8EF90-2A38-4F08-BBE0-330E052B8390}"/>
    <cellStyle name="Comma 11 5 3 5 3" xfId="24523" xr:uid="{08D90296-CFB4-48A6-ABA4-E46450B78B00}"/>
    <cellStyle name="Comma 11 5 3 6" xfId="39127" xr:uid="{9A06D9BE-95C2-48FE-851A-4762A750E27A}"/>
    <cellStyle name="Comma 11 5 3 7" xfId="20873" xr:uid="{5C19DBD7-088F-491E-8617-6E18D6456564}"/>
    <cellStyle name="Comma 11 5 4" xfId="1889" xr:uid="{9DE9E710-3D79-4412-8DE2-C515AAB90284}"/>
    <cellStyle name="Comma 11 5 4 2" xfId="16489" xr:uid="{2846EAF1-1593-433A-A7F9-5A5FB4F09D47}"/>
    <cellStyle name="Comma 11 5 4 2 2" xfId="52997" xr:uid="{3FD4590C-3F5E-439A-BB1B-00C721D54FA3}"/>
    <cellStyle name="Comma 11 5 4 2 3" xfId="34743" xr:uid="{F30A17C3-0F79-40F4-A835-25EAA07BED87}"/>
    <cellStyle name="Comma 11 5 4 3" xfId="12839" xr:uid="{5ED0A83B-DACF-4E60-96F9-EA86B97D4B9C}"/>
    <cellStyle name="Comma 11 5 4 3 2" xfId="49347" xr:uid="{F1CB0A14-074C-45BF-B0C5-DD00F19508F8}"/>
    <cellStyle name="Comma 11 5 4 3 3" xfId="31093" xr:uid="{6B41C5AC-DCA4-4C25-926C-643DD1CA9286}"/>
    <cellStyle name="Comma 11 5 4 4" xfId="9189" xr:uid="{A81EA35C-40E2-4B45-8DAF-6358B167D71A}"/>
    <cellStyle name="Comma 11 5 4 4 2" xfId="45697" xr:uid="{C377695F-58D2-4484-8195-CF0AA2CE6BD2}"/>
    <cellStyle name="Comma 11 5 4 4 3" xfId="27443" xr:uid="{7DAB932E-7E24-4294-8278-E924AD4E7FD3}"/>
    <cellStyle name="Comma 11 5 4 5" xfId="5539" xr:uid="{D56AE863-299A-459D-8FA3-6360FC81B2BF}"/>
    <cellStyle name="Comma 11 5 4 5 2" xfId="42047" xr:uid="{71F33CD4-D0DD-495D-A203-8AEF66F8374C}"/>
    <cellStyle name="Comma 11 5 4 5 3" xfId="23793" xr:uid="{64880701-078F-448F-A31E-6F10B72928DC}"/>
    <cellStyle name="Comma 11 5 4 6" xfId="38397" xr:uid="{C095CC50-6B6A-4BAF-8A04-6FE2CB49C305}"/>
    <cellStyle name="Comma 11 5 4 7" xfId="20143" xr:uid="{5BDF291E-CEF9-4985-8CE0-ACE1BFEA9748}"/>
    <cellStyle name="Comma 11 5 5" xfId="1159" xr:uid="{894E6F47-F5B9-41BC-BA70-C6E52E216CFA}"/>
    <cellStyle name="Comma 11 5 5 2" xfId="15759" xr:uid="{2C0F98D9-608E-4B70-BA3A-08C766F1ED58}"/>
    <cellStyle name="Comma 11 5 5 2 2" xfId="52267" xr:uid="{8C5E90FC-49FD-446D-BCA9-7C3CDD4A0E1C}"/>
    <cellStyle name="Comma 11 5 5 2 3" xfId="34013" xr:uid="{1B3EC6B9-C0C8-49D1-9B72-3F73AF850F29}"/>
    <cellStyle name="Comma 11 5 5 3" xfId="12109" xr:uid="{9B35D835-445B-4508-834E-BEBF4EA622C0}"/>
    <cellStyle name="Comma 11 5 5 3 2" xfId="48617" xr:uid="{8A012803-1013-479B-A2BC-CC7EA1078A9C}"/>
    <cellStyle name="Comma 11 5 5 3 3" xfId="30363" xr:uid="{34FD90F3-2C82-4930-82F3-E072AAE8138F}"/>
    <cellStyle name="Comma 11 5 5 4" xfId="8459" xr:uid="{ECD73F9F-9C7D-41A8-B65B-42D823A7F275}"/>
    <cellStyle name="Comma 11 5 5 4 2" xfId="44967" xr:uid="{65C895F8-72F0-48C8-9022-21DBFA5A1E61}"/>
    <cellStyle name="Comma 11 5 5 4 3" xfId="26713" xr:uid="{1F3A9B3A-4AA2-4BDE-8611-891E72B81FCC}"/>
    <cellStyle name="Comma 11 5 5 5" xfId="4809" xr:uid="{3CBAF22D-A5C9-4248-9018-6154D1401A28}"/>
    <cellStyle name="Comma 11 5 5 5 2" xfId="41317" xr:uid="{5DA41365-75F1-4565-B7F0-63D114CC0329}"/>
    <cellStyle name="Comma 11 5 5 5 3" xfId="23063" xr:uid="{F28D0F73-CF46-4E6A-9305-9E5D64332ED4}"/>
    <cellStyle name="Comma 11 5 5 6" xfId="37667" xr:uid="{C554638A-1834-40FC-BDE5-EA73E22B3C97}"/>
    <cellStyle name="Comma 11 5 5 7" xfId="19413" xr:uid="{538288DE-76A4-40F9-96CD-A0E310DE800B}"/>
    <cellStyle name="Comma 11 5 6" xfId="15029" xr:uid="{7CACD5F4-A3E8-49B2-BA64-F9A3D4B95D82}"/>
    <cellStyle name="Comma 11 5 6 2" xfId="51537" xr:uid="{35096EB8-2F69-4F3C-8A78-480CDA338974}"/>
    <cellStyle name="Comma 11 5 6 3" xfId="33283" xr:uid="{3334DF89-2582-4848-A57E-811BF8EC56DA}"/>
    <cellStyle name="Comma 11 5 7" xfId="11379" xr:uid="{A107CC3B-C513-48D1-9383-978CCBD935D3}"/>
    <cellStyle name="Comma 11 5 7 2" xfId="47887" xr:uid="{5520A76A-736C-4A3C-B5FD-D2A1620D6B6B}"/>
    <cellStyle name="Comma 11 5 7 3" xfId="29633" xr:uid="{F0D23A26-44AE-4362-A162-04988CD000BF}"/>
    <cellStyle name="Comma 11 5 8" xfId="7729" xr:uid="{71CD8179-3571-430D-9D75-D523C7A8D067}"/>
    <cellStyle name="Comma 11 5 8 2" xfId="44237" xr:uid="{0FC8FA8A-A1BB-4D03-8309-0DE71DF5962A}"/>
    <cellStyle name="Comma 11 5 8 3" xfId="25983" xr:uid="{4E5215AB-5AA1-4CD0-8522-2A7E65CAE850}"/>
    <cellStyle name="Comma 11 5 9" xfId="4079" xr:uid="{D87B077D-F461-4AAE-8B6E-D65974B966F5}"/>
    <cellStyle name="Comma 11 5 9 2" xfId="40587" xr:uid="{C0AFF1AA-6ED8-435F-BC47-051DB6DBEE97}"/>
    <cellStyle name="Comma 11 5 9 3" xfId="22333" xr:uid="{CE47EF25-A688-42E9-8E5F-2AC5E60747C0}"/>
    <cellStyle name="Comma 11 6" xfId="325" xr:uid="{A0B28565-8F17-4C70-8883-84E50F68CC67}"/>
    <cellStyle name="Comma 11 6 10" xfId="36833" xr:uid="{504DF80D-CE12-4CDB-B3B3-BECF0A9802C5}"/>
    <cellStyle name="Comma 11 6 11" xfId="18579" xr:uid="{78B84E32-5640-42F2-8329-FD0B7736603C}"/>
    <cellStyle name="Comma 11 6 2" xfId="3245" xr:uid="{D0C2D5AF-0EB0-4BF7-A9C6-90744B7FB273}"/>
    <cellStyle name="Comma 11 6 2 2" xfId="17845" xr:uid="{9E1F5808-AC51-40AD-ADF1-EAE59A0FC2F0}"/>
    <cellStyle name="Comma 11 6 2 2 2" xfId="54353" xr:uid="{5372F37F-B4B3-47E0-81DE-BE308C1AD76B}"/>
    <cellStyle name="Comma 11 6 2 2 3" xfId="36099" xr:uid="{8AB1D69C-B96E-4A7C-8DE3-46136C052DC0}"/>
    <cellStyle name="Comma 11 6 2 3" xfId="14195" xr:uid="{10155814-B078-4F0A-ABAB-260DB52BD2AE}"/>
    <cellStyle name="Comma 11 6 2 3 2" xfId="50703" xr:uid="{6708E8B1-0459-45B5-880D-E80316DFF998}"/>
    <cellStyle name="Comma 11 6 2 3 3" xfId="32449" xr:uid="{04DC4331-41C5-4339-82B7-1914AA3B594E}"/>
    <cellStyle name="Comma 11 6 2 4" xfId="10545" xr:uid="{B1C68D43-0C77-40A5-93AA-AB4A4B02D239}"/>
    <cellStyle name="Comma 11 6 2 4 2" xfId="47053" xr:uid="{7081ED93-A33F-48EA-ACAF-3DC715EF5495}"/>
    <cellStyle name="Comma 11 6 2 4 3" xfId="28799" xr:uid="{A6296F8A-9626-4EB0-82D8-9A81A7292FB2}"/>
    <cellStyle name="Comma 11 6 2 5" xfId="6895" xr:uid="{E0A8B304-21A2-4801-A5B6-38B7C97DB228}"/>
    <cellStyle name="Comma 11 6 2 5 2" xfId="43403" xr:uid="{15EF662D-15C3-4114-AE1B-059B1AFED355}"/>
    <cellStyle name="Comma 11 6 2 5 3" xfId="25149" xr:uid="{2572FFBE-C043-45A8-B64D-BCB9A8FA89C4}"/>
    <cellStyle name="Comma 11 6 2 6" xfId="39753" xr:uid="{DE14473D-DBEA-4569-962D-38A3BDB2D5F7}"/>
    <cellStyle name="Comma 11 6 2 7" xfId="21499" xr:uid="{51171DDF-F136-41BA-B22F-1FDE976D5A01}"/>
    <cellStyle name="Comma 11 6 3" xfId="2515" xr:uid="{EEDB32E5-539C-456B-9DDD-249FF9ACB1BC}"/>
    <cellStyle name="Comma 11 6 3 2" xfId="17115" xr:uid="{49589E8D-F259-42BC-BBEB-315C80B54266}"/>
    <cellStyle name="Comma 11 6 3 2 2" xfId="53623" xr:uid="{48A8791B-DA20-497A-81D1-1803AE3A0C3C}"/>
    <cellStyle name="Comma 11 6 3 2 3" xfId="35369" xr:uid="{92672108-83B1-498F-BF82-CA16B2F53E4A}"/>
    <cellStyle name="Comma 11 6 3 3" xfId="13465" xr:uid="{C6F57882-A400-4C13-9349-53FBDBEDDA06}"/>
    <cellStyle name="Comma 11 6 3 3 2" xfId="49973" xr:uid="{919F4E5E-D2CB-40CE-9D29-41985D77BE78}"/>
    <cellStyle name="Comma 11 6 3 3 3" xfId="31719" xr:uid="{46C850C1-2A9E-474F-9F08-EC7800A6C95F}"/>
    <cellStyle name="Comma 11 6 3 4" xfId="9815" xr:uid="{2CCDE2BD-6D30-46C4-84D0-45728FD450BD}"/>
    <cellStyle name="Comma 11 6 3 4 2" xfId="46323" xr:uid="{65D19F32-467A-421F-8DA1-C13200FD76E9}"/>
    <cellStyle name="Comma 11 6 3 4 3" xfId="28069" xr:uid="{CC801C67-2317-4B99-BBA9-D551DB5AABE0}"/>
    <cellStyle name="Comma 11 6 3 5" xfId="6165" xr:uid="{B3D3112B-8DD2-467D-B24E-E5DEDC192DA8}"/>
    <cellStyle name="Comma 11 6 3 5 2" xfId="42673" xr:uid="{F6E3CFCC-B2F9-475F-B594-3DA014E7D0CC}"/>
    <cellStyle name="Comma 11 6 3 5 3" xfId="24419" xr:uid="{1EDC3D9C-CAC4-433F-B7B0-5674BDBE60EF}"/>
    <cellStyle name="Comma 11 6 3 6" xfId="39023" xr:uid="{F68D0700-848D-4094-8849-20DDCB90A6E3}"/>
    <cellStyle name="Comma 11 6 3 7" xfId="20769" xr:uid="{343F9EC1-337F-40AF-B420-2EFD7E98AC7E}"/>
    <cellStyle name="Comma 11 6 4" xfId="1785" xr:uid="{D1900699-694D-4D3A-9778-236466CC74E9}"/>
    <cellStyle name="Comma 11 6 4 2" xfId="16385" xr:uid="{E4DB66DF-F3F4-4178-BD4D-2B5EC30F6F57}"/>
    <cellStyle name="Comma 11 6 4 2 2" xfId="52893" xr:uid="{777DFC72-0FF6-4CAC-A4A8-D516C1168ED3}"/>
    <cellStyle name="Comma 11 6 4 2 3" xfId="34639" xr:uid="{3E117C1A-A3C6-43CD-B5AF-1EA85211BE75}"/>
    <cellStyle name="Comma 11 6 4 3" xfId="12735" xr:uid="{23244722-6972-445F-ADD2-AB506C73C79D}"/>
    <cellStyle name="Comma 11 6 4 3 2" xfId="49243" xr:uid="{A35E6150-C3E8-43FA-9934-155CD4D6CEDA}"/>
    <cellStyle name="Comma 11 6 4 3 3" xfId="30989" xr:uid="{49254F70-4866-4C98-93BF-99CB9B963364}"/>
    <cellStyle name="Comma 11 6 4 4" xfId="9085" xr:uid="{3803AE88-943C-4856-BB24-1645D3FA2B4D}"/>
    <cellStyle name="Comma 11 6 4 4 2" xfId="45593" xr:uid="{638B763C-E984-4657-8C3E-E72D7BD8D3CD}"/>
    <cellStyle name="Comma 11 6 4 4 3" xfId="27339" xr:uid="{96639355-1CD1-4F8D-8609-182B0157A118}"/>
    <cellStyle name="Comma 11 6 4 5" xfId="5435" xr:uid="{7F2D6CF5-AE9E-445A-B93A-F044B99AFACB}"/>
    <cellStyle name="Comma 11 6 4 5 2" xfId="41943" xr:uid="{23DC4072-07AA-423D-ABE0-561F51C82272}"/>
    <cellStyle name="Comma 11 6 4 5 3" xfId="23689" xr:uid="{7A982142-0531-4AA3-A56C-C75E3334650D}"/>
    <cellStyle name="Comma 11 6 4 6" xfId="38293" xr:uid="{2CBA9FD3-35A9-4196-AC01-5AAE99859536}"/>
    <cellStyle name="Comma 11 6 4 7" xfId="20039" xr:uid="{66909871-F888-4F7C-B3D5-A3553BEDAB38}"/>
    <cellStyle name="Comma 11 6 5" xfId="1055" xr:uid="{2EA4B464-65D1-46AD-B782-8A8B1CA4B98D}"/>
    <cellStyle name="Comma 11 6 5 2" xfId="15655" xr:uid="{E84EC783-FB7F-4EF1-86DF-12AB1032E9E5}"/>
    <cellStyle name="Comma 11 6 5 2 2" xfId="52163" xr:uid="{BC1E7FE0-56FA-413A-8D58-9979D87ADD1F}"/>
    <cellStyle name="Comma 11 6 5 2 3" xfId="33909" xr:uid="{0D106F3D-993C-48FC-801D-4638A01FA308}"/>
    <cellStyle name="Comma 11 6 5 3" xfId="12005" xr:uid="{268639AF-B205-4B56-BF69-7F26DE5C1E68}"/>
    <cellStyle name="Comma 11 6 5 3 2" xfId="48513" xr:uid="{0C6ABC57-443E-4CB0-8E0B-51CA746E7A69}"/>
    <cellStyle name="Comma 11 6 5 3 3" xfId="30259" xr:uid="{A52C271C-EAAA-409E-A4C0-5ACBD682CD71}"/>
    <cellStyle name="Comma 11 6 5 4" xfId="8355" xr:uid="{4D3CAAE3-3006-4EDF-B6F4-4FEB130547FA}"/>
    <cellStyle name="Comma 11 6 5 4 2" xfId="44863" xr:uid="{FEF33DEC-1C3D-411E-812C-DA123F57A304}"/>
    <cellStyle name="Comma 11 6 5 4 3" xfId="26609" xr:uid="{2A4B4D51-2D6E-4CE5-B00C-CF62BF672B04}"/>
    <cellStyle name="Comma 11 6 5 5" xfId="4705" xr:uid="{A69662ED-1AF8-4008-B33D-4535621139F3}"/>
    <cellStyle name="Comma 11 6 5 5 2" xfId="41213" xr:uid="{416BD325-5D2D-45BC-8910-264FA16AD45D}"/>
    <cellStyle name="Comma 11 6 5 5 3" xfId="22959" xr:uid="{13078FF8-621A-4B02-A6C7-8AE7ACB1F506}"/>
    <cellStyle name="Comma 11 6 5 6" xfId="37563" xr:uid="{A466C079-DC29-4E82-BD0C-5D80A44575D3}"/>
    <cellStyle name="Comma 11 6 5 7" xfId="19309" xr:uid="{FB90CFAC-0EAE-4AA9-9198-A68E7C0BBB63}"/>
    <cellStyle name="Comma 11 6 6" xfId="14925" xr:uid="{C41DC6EF-DEAA-49DE-A473-3527BA6F21A5}"/>
    <cellStyle name="Comma 11 6 6 2" xfId="51433" xr:uid="{4A3A2CC6-CEF8-43A4-9762-B25FDBAE2CFF}"/>
    <cellStyle name="Comma 11 6 6 3" xfId="33179" xr:uid="{EA955449-4E29-4D6E-9A57-F5844103E403}"/>
    <cellStyle name="Comma 11 6 7" xfId="11275" xr:uid="{8DC4337A-DCE0-446C-8E26-A7F211E26F09}"/>
    <cellStyle name="Comma 11 6 7 2" xfId="47783" xr:uid="{3C0BDFA0-166D-48EA-B24A-1F45B040C1E2}"/>
    <cellStyle name="Comma 11 6 7 3" xfId="29529" xr:uid="{908AB8B4-B9B7-4AED-9C35-41BEC01D253F}"/>
    <cellStyle name="Comma 11 6 8" xfId="7625" xr:uid="{50E36C31-4D9D-41AA-9976-171DDC9B5A86}"/>
    <cellStyle name="Comma 11 6 8 2" xfId="44133" xr:uid="{A1E61311-61D7-49E9-BAA8-51F10FD7D6D5}"/>
    <cellStyle name="Comma 11 6 8 3" xfId="25879" xr:uid="{5F105415-7EA0-4876-B32A-D68D1604AC8A}"/>
    <cellStyle name="Comma 11 6 9" xfId="3975" xr:uid="{CAF393C5-A444-4041-A30B-8E9B9558280A}"/>
    <cellStyle name="Comma 11 6 9 2" xfId="40483" xr:uid="{B353E142-4DB7-4555-B441-F055F02A5F1F}"/>
    <cellStyle name="Comma 11 6 9 3" xfId="22229" xr:uid="{D40AF41E-30C6-420C-A72B-5E03607757F1}"/>
    <cellStyle name="Comma 11 7" xfId="221" xr:uid="{1C20FBDB-5577-4724-8FB9-107472F9369D}"/>
    <cellStyle name="Comma 11 7 10" xfId="36729" xr:uid="{B8CD3C5A-CCD4-470A-B33C-D4E7B89CDACB}"/>
    <cellStyle name="Comma 11 7 11" xfId="18475" xr:uid="{3D86D447-2E08-4FAE-AF10-486C5D6FDE12}"/>
    <cellStyle name="Comma 11 7 2" xfId="3141" xr:uid="{944EFC94-8D39-434D-9F2F-3327D8E359BA}"/>
    <cellStyle name="Comma 11 7 2 2" xfId="17741" xr:uid="{5914485D-51EE-4EBB-8848-D8437F82CC2D}"/>
    <cellStyle name="Comma 11 7 2 2 2" xfId="54249" xr:uid="{7A034885-1BC8-4005-8152-A9FA9E927D53}"/>
    <cellStyle name="Comma 11 7 2 2 3" xfId="35995" xr:uid="{04A65A2D-2CEC-4B03-9EC6-C818825E2CE6}"/>
    <cellStyle name="Comma 11 7 2 3" xfId="14091" xr:uid="{227C864E-BBD9-44BD-9666-CD258BA23733}"/>
    <cellStyle name="Comma 11 7 2 3 2" xfId="50599" xr:uid="{374081DD-92F4-409A-81D4-3415BDFD7687}"/>
    <cellStyle name="Comma 11 7 2 3 3" xfId="32345" xr:uid="{D50E04F5-9B4A-4BBD-968E-58E00741A9B0}"/>
    <cellStyle name="Comma 11 7 2 4" xfId="10441" xr:uid="{88361D57-F619-46A4-9DB4-50ED7EFA52A5}"/>
    <cellStyle name="Comma 11 7 2 4 2" xfId="46949" xr:uid="{22748DE9-DF04-488D-86E0-DD61DFFAA1BC}"/>
    <cellStyle name="Comma 11 7 2 4 3" xfId="28695" xr:uid="{B183F2FF-A523-4CE5-9812-D41DCA5D1C1A}"/>
    <cellStyle name="Comma 11 7 2 5" xfId="6791" xr:uid="{4ABDFD32-D7F0-4262-90C4-F6263D990FB6}"/>
    <cellStyle name="Comma 11 7 2 5 2" xfId="43299" xr:uid="{3686CBC0-F5C3-458B-8836-66A5E8B709BB}"/>
    <cellStyle name="Comma 11 7 2 5 3" xfId="25045" xr:uid="{F99973B2-C68B-479E-B1D3-9566403A7ED5}"/>
    <cellStyle name="Comma 11 7 2 6" xfId="39649" xr:uid="{B3C5B3E9-ED19-40C9-BB64-939A8402F668}"/>
    <cellStyle name="Comma 11 7 2 7" xfId="21395" xr:uid="{91CDB3EC-2AAA-4F91-9F1F-A6D1DE9D1C1B}"/>
    <cellStyle name="Comma 11 7 3" xfId="2411" xr:uid="{5CCDAFBB-338A-4BE1-8F34-3E92CE4DCE5F}"/>
    <cellStyle name="Comma 11 7 3 2" xfId="17011" xr:uid="{82022856-7F7A-43D9-BEC6-C4051FE4CE63}"/>
    <cellStyle name="Comma 11 7 3 2 2" xfId="53519" xr:uid="{F6E18DAE-15E5-4788-8C1E-27C3E730C3E5}"/>
    <cellStyle name="Comma 11 7 3 2 3" xfId="35265" xr:uid="{AE1B4A07-A95E-49CD-A665-D196EB54886C}"/>
    <cellStyle name="Comma 11 7 3 3" xfId="13361" xr:uid="{B2FE4A1F-350F-49E1-AAA1-97679BED881A}"/>
    <cellStyle name="Comma 11 7 3 3 2" xfId="49869" xr:uid="{B6556DF4-5E4C-42B5-8E39-706943E5CEBD}"/>
    <cellStyle name="Comma 11 7 3 3 3" xfId="31615" xr:uid="{05A2D942-B7A2-42AE-8526-14B2E2CF2D4C}"/>
    <cellStyle name="Comma 11 7 3 4" xfId="9711" xr:uid="{4C974ED1-9B9C-4082-BD50-CE18DA25302B}"/>
    <cellStyle name="Comma 11 7 3 4 2" xfId="46219" xr:uid="{888EC69D-AD4D-4764-8A34-673EDA9BEBC6}"/>
    <cellStyle name="Comma 11 7 3 4 3" xfId="27965" xr:uid="{3418377E-E672-437A-8D10-CDDD9AB1CAEB}"/>
    <cellStyle name="Comma 11 7 3 5" xfId="6061" xr:uid="{78211A3F-C47F-4D6C-AEA9-B8632CA94515}"/>
    <cellStyle name="Comma 11 7 3 5 2" xfId="42569" xr:uid="{8659CDB0-4431-4903-9BE9-A8D5C6B5679F}"/>
    <cellStyle name="Comma 11 7 3 5 3" xfId="24315" xr:uid="{636C5D23-3A82-4E06-9718-66DE8C3CCA11}"/>
    <cellStyle name="Comma 11 7 3 6" xfId="38919" xr:uid="{2188312A-A1B9-429E-BC7B-CBB89FE8F6DA}"/>
    <cellStyle name="Comma 11 7 3 7" xfId="20665" xr:uid="{D81CAFC6-560D-4017-8ED6-AABCA630E4DE}"/>
    <cellStyle name="Comma 11 7 4" xfId="1681" xr:uid="{FE5B131A-22F1-4C4D-BFD7-73488118514A}"/>
    <cellStyle name="Comma 11 7 4 2" xfId="16281" xr:uid="{92D6A3A9-E184-46CF-9CC4-05FB6D2ECDB3}"/>
    <cellStyle name="Comma 11 7 4 2 2" xfId="52789" xr:uid="{F0325070-A4B5-4469-AD28-09E61F3C7FB5}"/>
    <cellStyle name="Comma 11 7 4 2 3" xfId="34535" xr:uid="{2A797F8A-CBD1-41AE-8F65-D99B975DFB54}"/>
    <cellStyle name="Comma 11 7 4 3" xfId="12631" xr:uid="{984AF81C-D520-4B70-A9F2-0879FA720D50}"/>
    <cellStyle name="Comma 11 7 4 3 2" xfId="49139" xr:uid="{EB1EB07A-7C65-46E0-BD1F-E3019D6AE332}"/>
    <cellStyle name="Comma 11 7 4 3 3" xfId="30885" xr:uid="{E27B258F-B1C9-4EE1-A141-02E37644378C}"/>
    <cellStyle name="Comma 11 7 4 4" xfId="8981" xr:uid="{F7E112E1-3B6D-4A0A-ABD8-B0C759F1C583}"/>
    <cellStyle name="Comma 11 7 4 4 2" xfId="45489" xr:uid="{EE49611B-E251-4A72-AF86-ACE45E4B3B41}"/>
    <cellStyle name="Comma 11 7 4 4 3" xfId="27235" xr:uid="{AFFD95F4-BC32-461A-9793-03A2621BEAB8}"/>
    <cellStyle name="Comma 11 7 4 5" xfId="5331" xr:uid="{110D5787-9E65-4971-A75F-370CF66A675D}"/>
    <cellStyle name="Comma 11 7 4 5 2" xfId="41839" xr:uid="{E9945112-18E8-4EA3-842B-C884504B6A45}"/>
    <cellStyle name="Comma 11 7 4 5 3" xfId="23585" xr:uid="{D6A2B1DC-D913-49C4-B77D-A11BD067DF8B}"/>
    <cellStyle name="Comma 11 7 4 6" xfId="38189" xr:uid="{CC415FAC-44B2-4CE9-9CA2-A868B229C307}"/>
    <cellStyle name="Comma 11 7 4 7" xfId="19935" xr:uid="{CB6751B5-4939-47A8-B3AE-6D5794B20DB2}"/>
    <cellStyle name="Comma 11 7 5" xfId="951" xr:uid="{217A5166-929D-48DD-9659-9C838F55CE5F}"/>
    <cellStyle name="Comma 11 7 5 2" xfId="15551" xr:uid="{E41A3908-2328-4631-AC1A-3E2D0B816B70}"/>
    <cellStyle name="Comma 11 7 5 2 2" xfId="52059" xr:uid="{82FA2AD0-960A-4202-9A0B-9449B5EE1D82}"/>
    <cellStyle name="Comma 11 7 5 2 3" xfId="33805" xr:uid="{4C12B062-25A9-4924-B29D-6FDF09B4D285}"/>
    <cellStyle name="Comma 11 7 5 3" xfId="11901" xr:uid="{2C24C8B7-C8A3-44D4-8F32-54CECF53640E}"/>
    <cellStyle name="Comma 11 7 5 3 2" xfId="48409" xr:uid="{E54F189B-13B9-4FD2-B70E-67B9CC8A2BC1}"/>
    <cellStyle name="Comma 11 7 5 3 3" xfId="30155" xr:uid="{9C6AB696-269A-46E7-93E1-4F2566DDF9F1}"/>
    <cellStyle name="Comma 11 7 5 4" xfId="8251" xr:uid="{E436DC7F-0F34-4D41-959D-78516EE7FF77}"/>
    <cellStyle name="Comma 11 7 5 4 2" xfId="44759" xr:uid="{FDEBA15C-5A67-4C30-A90F-A63AE7D04A18}"/>
    <cellStyle name="Comma 11 7 5 4 3" xfId="26505" xr:uid="{C1DE1670-41C1-4816-B46F-4BCB0D34E51A}"/>
    <cellStyle name="Comma 11 7 5 5" xfId="4601" xr:uid="{AD4470A4-8E9F-44A0-B277-4B019F90E906}"/>
    <cellStyle name="Comma 11 7 5 5 2" xfId="41109" xr:uid="{82D7EB2B-92D3-4A0B-9005-D452AD0745D7}"/>
    <cellStyle name="Comma 11 7 5 5 3" xfId="22855" xr:uid="{40A34270-01DF-4AEA-89C5-31A26F638D40}"/>
    <cellStyle name="Comma 11 7 5 6" xfId="37459" xr:uid="{FE217F93-1A67-4FA6-AB12-3A5CDE86007C}"/>
    <cellStyle name="Comma 11 7 5 7" xfId="19205" xr:uid="{9E8B2169-0D3B-4741-9E7B-DAB8A332BF82}"/>
    <cellStyle name="Comma 11 7 6" xfId="14821" xr:uid="{EBA2A410-E556-469F-B173-4EB2CBBDCD73}"/>
    <cellStyle name="Comma 11 7 6 2" xfId="51329" xr:uid="{A5CFB170-444E-400F-88EA-A5F12C821A83}"/>
    <cellStyle name="Comma 11 7 6 3" xfId="33075" xr:uid="{ED09DE33-DC3B-4A10-ACA7-AF890E454CB1}"/>
    <cellStyle name="Comma 11 7 7" xfId="11171" xr:uid="{E95B92B1-2853-4A7B-9BD7-14BB77C2F80F}"/>
    <cellStyle name="Comma 11 7 7 2" xfId="47679" xr:uid="{3A855CE9-D5BC-476D-9E7A-1B9A9D58EE83}"/>
    <cellStyle name="Comma 11 7 7 3" xfId="29425" xr:uid="{44F004A8-8254-4DBC-A525-E48CAB7CC05B}"/>
    <cellStyle name="Comma 11 7 8" xfId="7521" xr:uid="{F9D204FA-9C3C-4709-8469-3710A69F7E27}"/>
    <cellStyle name="Comma 11 7 8 2" xfId="44029" xr:uid="{2F709820-357C-4A3C-A317-4A638A84FBA7}"/>
    <cellStyle name="Comma 11 7 8 3" xfId="25775" xr:uid="{E90E229E-1300-4780-97F9-8C469723E3C7}"/>
    <cellStyle name="Comma 11 7 9" xfId="3871" xr:uid="{97F4A206-282F-4235-A1E4-C29627411445}"/>
    <cellStyle name="Comma 11 7 9 2" xfId="40379" xr:uid="{BC1BD7EB-077F-49EA-805B-0252CE5FBA2F}"/>
    <cellStyle name="Comma 11 7 9 3" xfId="22125" xr:uid="{07CD1588-28B9-461C-AE90-BE463CA06783}"/>
    <cellStyle name="Comma 11 8" xfId="3037" xr:uid="{D4A6C051-94CF-4BF6-9652-3D0D96E709FC}"/>
    <cellStyle name="Comma 11 8 2" xfId="17637" xr:uid="{268B87FA-7999-4AFF-A335-874C3A365F81}"/>
    <cellStyle name="Comma 11 8 2 2" xfId="54145" xr:uid="{40482880-D216-4A8E-8BE4-FAE530A41223}"/>
    <cellStyle name="Comma 11 8 2 3" xfId="35891" xr:uid="{9E0F6179-5112-4311-AA5D-C7C0191EBDA8}"/>
    <cellStyle name="Comma 11 8 3" xfId="13987" xr:uid="{9866AFF2-F5E7-4583-8161-259873520F79}"/>
    <cellStyle name="Comma 11 8 3 2" xfId="50495" xr:uid="{2C0A4FED-1566-409E-909A-DEBA0A8F506E}"/>
    <cellStyle name="Comma 11 8 3 3" xfId="32241" xr:uid="{8F578144-8306-4202-A8CD-E8C74905DFCF}"/>
    <cellStyle name="Comma 11 8 4" xfId="10337" xr:uid="{C9E0702F-06DE-47E8-B9CA-36F2A1995BF5}"/>
    <cellStyle name="Comma 11 8 4 2" xfId="46845" xr:uid="{9745F2EE-705C-4B80-BCCA-783CA4F1D61A}"/>
    <cellStyle name="Comma 11 8 4 3" xfId="28591" xr:uid="{6D439850-F842-409C-96C8-5561DF3F29EF}"/>
    <cellStyle name="Comma 11 8 5" xfId="6687" xr:uid="{3DDFE601-EF89-4746-B334-0FD9B55BF6FD}"/>
    <cellStyle name="Comma 11 8 5 2" xfId="43195" xr:uid="{C6531984-782E-48B7-9D08-D84D5DBB9C81}"/>
    <cellStyle name="Comma 11 8 5 3" xfId="24941" xr:uid="{418BB803-35F0-4BA9-9821-156E83810B0F}"/>
    <cellStyle name="Comma 11 8 6" xfId="39545" xr:uid="{4F71D88D-705A-469A-BBD7-63808EE63782}"/>
    <cellStyle name="Comma 11 8 7" xfId="21291" xr:uid="{D06ED1A6-C080-4B7F-9768-32C7B8EB9343}"/>
    <cellStyle name="Comma 11 9" xfId="2307" xr:uid="{3715ABF4-E6B1-4AAF-BA84-14AB30DEB8B7}"/>
    <cellStyle name="Comma 11 9 2" xfId="16907" xr:uid="{A8B3D6BA-D447-48D8-A2D9-884068220EB0}"/>
    <cellStyle name="Comma 11 9 2 2" xfId="53415" xr:uid="{018E065D-4C86-4A71-8278-8011D4821377}"/>
    <cellStyle name="Comma 11 9 2 3" xfId="35161" xr:uid="{5D15ABB3-923F-483C-B6E9-60C21C91BA3D}"/>
    <cellStyle name="Comma 11 9 3" xfId="13257" xr:uid="{D1DE737E-CC92-453F-9A09-4C979109790E}"/>
    <cellStyle name="Comma 11 9 3 2" xfId="49765" xr:uid="{AB16A9B1-009F-462C-8479-B14A2D8981D7}"/>
    <cellStyle name="Comma 11 9 3 3" xfId="31511" xr:uid="{675CE8D9-3E0C-40DB-A20C-177E3B7E9BA5}"/>
    <cellStyle name="Comma 11 9 4" xfId="9607" xr:uid="{0E5138A2-EC5B-4A39-9F3E-A917DECAB6E9}"/>
    <cellStyle name="Comma 11 9 4 2" xfId="46115" xr:uid="{05590AA3-9F79-4EB3-B54A-C552B31BA3F2}"/>
    <cellStyle name="Comma 11 9 4 3" xfId="27861" xr:uid="{006178E9-CBDD-45A9-B292-9E01FD8C59BF}"/>
    <cellStyle name="Comma 11 9 5" xfId="5957" xr:uid="{B534CBDF-7D6D-404D-AE40-E7C03436404B}"/>
    <cellStyle name="Comma 11 9 5 2" xfId="42465" xr:uid="{CC25FD28-604A-42E1-8C8E-C42D20091D7F}"/>
    <cellStyle name="Comma 11 9 5 3" xfId="24211" xr:uid="{6C6A7156-4FF2-4594-9E99-E2627C9F37CD}"/>
    <cellStyle name="Comma 11 9 6" xfId="38815" xr:uid="{D6C7CFE1-6F33-4BC6-B32B-34555F85B5CB}"/>
    <cellStyle name="Comma 11 9 7" xfId="20561" xr:uid="{4E129561-1A3C-43CA-8884-00FECFEDCCE8}"/>
    <cellStyle name="Comma 12" xfId="118" xr:uid="{D9103F6D-98A3-4CF4-80AF-CC89613E5773}"/>
    <cellStyle name="Comma 12 10" xfId="1578" xr:uid="{5C09B5EB-E8CC-46D6-83D2-34455C675783}"/>
    <cellStyle name="Comma 12 10 2" xfId="16178" xr:uid="{0F0A4D45-C50E-4D82-89F9-7F066276238E}"/>
    <cellStyle name="Comma 12 10 2 2" xfId="52686" xr:uid="{A8503F00-728B-4FCE-85B0-8C4DDB5A6A84}"/>
    <cellStyle name="Comma 12 10 2 3" xfId="34432" xr:uid="{9EFC48C2-6A85-42C3-BD53-63CE1562D55F}"/>
    <cellStyle name="Comma 12 10 3" xfId="12528" xr:uid="{4D44B194-E3F3-4AD1-8BE0-6F9D8A3DC3EB}"/>
    <cellStyle name="Comma 12 10 3 2" xfId="49036" xr:uid="{8603C95D-F137-4FB9-898F-1BCE6ACE7E6A}"/>
    <cellStyle name="Comma 12 10 3 3" xfId="30782" xr:uid="{32255864-054D-47FE-9637-6BACCB52DC4A}"/>
    <cellStyle name="Comma 12 10 4" xfId="8878" xr:uid="{C918E502-DA7E-40A5-8D39-A067723E470E}"/>
    <cellStyle name="Comma 12 10 4 2" xfId="45386" xr:uid="{AD96E875-9A8D-479F-AB03-A3E7A1887B34}"/>
    <cellStyle name="Comma 12 10 4 3" xfId="27132" xr:uid="{7D792414-802B-4F55-8389-113A7491D986}"/>
    <cellStyle name="Comma 12 10 5" xfId="5228" xr:uid="{081274C3-F298-4370-BEC1-4AD0D5C7F5ED}"/>
    <cellStyle name="Comma 12 10 5 2" xfId="41736" xr:uid="{16DB020C-AFBC-49C3-B47C-FD7D2A169165}"/>
    <cellStyle name="Comma 12 10 5 3" xfId="23482" xr:uid="{4D254F54-9F74-4D6D-B392-964479F61623}"/>
    <cellStyle name="Comma 12 10 6" xfId="38086" xr:uid="{48842CC9-853A-4E6D-A17F-A2A0FF7ABF58}"/>
    <cellStyle name="Comma 12 10 7" xfId="19832" xr:uid="{15966415-2F8E-4D7D-9CEC-B3A74F5F8B7E}"/>
    <cellStyle name="Comma 12 11" xfId="848" xr:uid="{61E71FA5-F111-43F3-8B1E-1A632D2712B5}"/>
    <cellStyle name="Comma 12 11 2" xfId="15448" xr:uid="{F9F226BC-0FC8-413A-988B-146D664449E3}"/>
    <cellStyle name="Comma 12 11 2 2" xfId="51956" xr:uid="{64AF253E-3955-4E53-8FF8-50628892D2CD}"/>
    <cellStyle name="Comma 12 11 2 3" xfId="33702" xr:uid="{995741E4-6D59-43E9-BD54-8E8AB362AEA7}"/>
    <cellStyle name="Comma 12 11 3" xfId="11798" xr:uid="{80AD58C3-A064-4E4B-8E73-E71C98C88F93}"/>
    <cellStyle name="Comma 12 11 3 2" xfId="48306" xr:uid="{1DE728EC-F125-4D92-B8A4-32AE51C3A7EE}"/>
    <cellStyle name="Comma 12 11 3 3" xfId="30052" xr:uid="{E593F521-8D44-4317-94C8-C917ED1E9486}"/>
    <cellStyle name="Comma 12 11 4" xfId="8148" xr:uid="{23D4073F-A401-417E-9E93-791B1AA863D4}"/>
    <cellStyle name="Comma 12 11 4 2" xfId="44656" xr:uid="{DEA3FB8A-DC31-46AD-9C94-ABFC55EAEC1B}"/>
    <cellStyle name="Comma 12 11 4 3" xfId="26402" xr:uid="{014E81A4-ADAD-4C15-8D51-603708135A7C}"/>
    <cellStyle name="Comma 12 11 5" xfId="4498" xr:uid="{3AADCE45-425F-4535-A3A9-0D834965719A}"/>
    <cellStyle name="Comma 12 11 5 2" xfId="41006" xr:uid="{41D75FB0-E1C2-4850-B4AE-ED51CD8D9562}"/>
    <cellStyle name="Comma 12 11 5 3" xfId="22752" xr:uid="{1AC01B01-9B1E-4F35-8262-4C7EA0B7CBE1}"/>
    <cellStyle name="Comma 12 11 6" xfId="37356" xr:uid="{4CD4B073-9CFB-472C-9233-F577048EC5FE}"/>
    <cellStyle name="Comma 12 11 7" xfId="19102" xr:uid="{0F5FD8C3-6051-4D3D-89E7-90C9C3B53677}"/>
    <cellStyle name="Comma 12 12" xfId="14718" xr:uid="{EFEA18F4-5636-4E45-AF36-85D66C749748}"/>
    <cellStyle name="Comma 12 12 2" xfId="51226" xr:uid="{252C4401-FABA-4577-822C-25C1439AC53E}"/>
    <cellStyle name="Comma 12 12 3" xfId="32972" xr:uid="{6C4BECA6-3316-4234-9BD2-E06792816287}"/>
    <cellStyle name="Comma 12 13" xfId="11068" xr:uid="{049932F5-9D0D-4389-8350-1A1A94DC9C65}"/>
    <cellStyle name="Comma 12 13 2" xfId="47576" xr:uid="{E1E9C079-881E-48D5-8450-2EAC48D9B378}"/>
    <cellStyle name="Comma 12 13 3" xfId="29322" xr:uid="{DE34A62E-025F-4188-AD1C-D8F714515B74}"/>
    <cellStyle name="Comma 12 14" xfId="7418" xr:uid="{0B7FC8B7-D500-48FA-80D0-94E3B3BA8F05}"/>
    <cellStyle name="Comma 12 14 2" xfId="43926" xr:uid="{D4D7029D-2AA8-4062-BCB8-7BB61F3B47E9}"/>
    <cellStyle name="Comma 12 14 3" xfId="25672" xr:uid="{78C77826-FB1D-4B85-B7FB-3B3C1C53F385}"/>
    <cellStyle name="Comma 12 15" xfId="3768" xr:uid="{3B8AA0B4-2DC6-473A-8BA5-BB85FC65A3F9}"/>
    <cellStyle name="Comma 12 15 2" xfId="40276" xr:uid="{EA8887CD-29B6-4C95-85DA-38107A20B636}"/>
    <cellStyle name="Comma 12 15 3" xfId="22022" xr:uid="{BA76B738-F4F5-45EE-9FD0-3379E61C201A}"/>
    <cellStyle name="Comma 12 16" xfId="36626" xr:uid="{8E515603-5AF6-400A-B37A-8BC50A05ADCB}"/>
    <cellStyle name="Comma 12 17" xfId="18372" xr:uid="{19457312-851F-4B96-A9B6-A46A3E2EC164}"/>
    <cellStyle name="Comma 12 2" xfId="742" xr:uid="{633E6644-DBC7-4A50-BADD-D3FD952EE684}"/>
    <cellStyle name="Comma 12 2 10" xfId="37250" xr:uid="{4E2C0414-B36A-42A1-A63F-3E982DBDAE03}"/>
    <cellStyle name="Comma 12 2 11" xfId="18996" xr:uid="{A214CDD6-5A4A-44E0-8CC7-CABBBF60A88C}"/>
    <cellStyle name="Comma 12 2 2" xfId="3662" xr:uid="{ED6AEE86-D312-4DE0-8CA3-B2B2CC839645}"/>
    <cellStyle name="Comma 12 2 2 2" xfId="18262" xr:uid="{01AAE945-9AF8-4959-9EC8-708A3068E010}"/>
    <cellStyle name="Comma 12 2 2 2 2" xfId="54770" xr:uid="{28832237-60A0-40B7-B689-6C88E7C13097}"/>
    <cellStyle name="Comma 12 2 2 2 3" xfId="36516" xr:uid="{9B714430-EE5D-4D8C-9B83-584359ECBB0D}"/>
    <cellStyle name="Comma 12 2 2 3" xfId="14612" xr:uid="{E05E2922-5310-4865-AA36-554360512413}"/>
    <cellStyle name="Comma 12 2 2 3 2" xfId="51120" xr:uid="{12307D6D-4FA1-4885-BD03-737081FBEE0C}"/>
    <cellStyle name="Comma 12 2 2 3 3" xfId="32866" xr:uid="{48713646-E215-4C02-992B-FF81D527CA75}"/>
    <cellStyle name="Comma 12 2 2 4" xfId="10962" xr:uid="{86AA2C0C-856E-46E3-A102-05711C90BFD5}"/>
    <cellStyle name="Comma 12 2 2 4 2" xfId="47470" xr:uid="{BF6DD93B-26BE-453C-BC2D-3069F088069E}"/>
    <cellStyle name="Comma 12 2 2 4 3" xfId="29216" xr:uid="{733999EA-4B89-42F8-896F-3ECAE284610C}"/>
    <cellStyle name="Comma 12 2 2 5" xfId="7312" xr:uid="{6B311C5C-DB3D-4041-8F8D-7EFE934D2F91}"/>
    <cellStyle name="Comma 12 2 2 5 2" xfId="43820" xr:uid="{0FABC29A-E848-4299-9E9F-A86B6BA606D6}"/>
    <cellStyle name="Comma 12 2 2 5 3" xfId="25566" xr:uid="{345BBF1C-272A-4B45-80B1-73704C75D663}"/>
    <cellStyle name="Comma 12 2 2 6" xfId="40170" xr:uid="{BCAFDC29-8BA2-4CE7-9BE7-03C0C4583FA2}"/>
    <cellStyle name="Comma 12 2 2 7" xfId="21916" xr:uid="{8AF6CF9B-42BB-4E24-9A7A-3B1D9BE4F9E1}"/>
    <cellStyle name="Comma 12 2 3" xfId="2932" xr:uid="{1E9C8CE0-A45E-476E-B8F3-2BAD8513412A}"/>
    <cellStyle name="Comma 12 2 3 2" xfId="17532" xr:uid="{134A609C-8D1B-435F-ACAE-C10398B7DAF9}"/>
    <cellStyle name="Comma 12 2 3 2 2" xfId="54040" xr:uid="{0D6EDD0E-0FA4-4F88-A0B2-E45295B5DA59}"/>
    <cellStyle name="Comma 12 2 3 2 3" xfId="35786" xr:uid="{46111A55-3028-4C6B-8704-31DB569FA189}"/>
    <cellStyle name="Comma 12 2 3 3" xfId="13882" xr:uid="{DDEC464C-0360-46F7-8DDE-CD3358B0DDB0}"/>
    <cellStyle name="Comma 12 2 3 3 2" xfId="50390" xr:uid="{2DF51FA2-DFC9-4110-B278-D972B7D53094}"/>
    <cellStyle name="Comma 12 2 3 3 3" xfId="32136" xr:uid="{830EE1D8-E1FD-43C7-AF74-390B34066C23}"/>
    <cellStyle name="Comma 12 2 3 4" xfId="10232" xr:uid="{F834D515-9E00-4BC2-98DA-8FC8B1F48485}"/>
    <cellStyle name="Comma 12 2 3 4 2" xfId="46740" xr:uid="{86FE0D68-0088-49D0-8A88-09054595DDF2}"/>
    <cellStyle name="Comma 12 2 3 4 3" xfId="28486" xr:uid="{0DF18C0E-8BB3-47FE-AA96-A35D1F6E7DFF}"/>
    <cellStyle name="Comma 12 2 3 5" xfId="6582" xr:uid="{67823F64-407A-40C1-ACD4-9CE03054BB0C}"/>
    <cellStyle name="Comma 12 2 3 5 2" xfId="43090" xr:uid="{A47D1694-11A7-4FD4-B721-27D4EE2A73F9}"/>
    <cellStyle name="Comma 12 2 3 5 3" xfId="24836" xr:uid="{5A5D98BB-D782-4EE3-B623-723784E81F35}"/>
    <cellStyle name="Comma 12 2 3 6" xfId="39440" xr:uid="{B5D973A3-9619-403B-B20F-F6C6465D36E3}"/>
    <cellStyle name="Comma 12 2 3 7" xfId="21186" xr:uid="{1583C2D3-1EA5-4403-AFC2-3597779DAE43}"/>
    <cellStyle name="Comma 12 2 4" xfId="2202" xr:uid="{6EFB9A14-9DC5-47EF-A05C-4C5601DBE866}"/>
    <cellStyle name="Comma 12 2 4 2" xfId="16802" xr:uid="{9D681EA3-B6D6-45A0-8D14-6C128B01225C}"/>
    <cellStyle name="Comma 12 2 4 2 2" xfId="53310" xr:uid="{DF470D57-1504-4D96-9920-6D3A15E11FF7}"/>
    <cellStyle name="Comma 12 2 4 2 3" xfId="35056" xr:uid="{6005FC98-FF6C-42C1-8497-AFC46CCB9E41}"/>
    <cellStyle name="Comma 12 2 4 3" xfId="13152" xr:uid="{4E2F137F-C989-4BF2-BFE7-7595B1C0FAF9}"/>
    <cellStyle name="Comma 12 2 4 3 2" xfId="49660" xr:uid="{3032714E-7846-4366-923E-3B0F32912451}"/>
    <cellStyle name="Comma 12 2 4 3 3" xfId="31406" xr:uid="{9EE2DBAD-1669-4630-B346-4107433AE505}"/>
    <cellStyle name="Comma 12 2 4 4" xfId="9502" xr:uid="{BACF1FCC-79B7-41A3-983E-DCAF8C25CEA2}"/>
    <cellStyle name="Comma 12 2 4 4 2" xfId="46010" xr:uid="{9E3DCC4F-EAF5-417D-B910-633084D6A617}"/>
    <cellStyle name="Comma 12 2 4 4 3" xfId="27756" xr:uid="{8B6C90E7-DB3C-4B33-8DC2-7A30D6784E16}"/>
    <cellStyle name="Comma 12 2 4 5" xfId="5852" xr:uid="{9E7D84DE-6502-4739-BC62-A799FADF7049}"/>
    <cellStyle name="Comma 12 2 4 5 2" xfId="42360" xr:uid="{14CE4A83-5638-431F-AC7F-19A67A6024E2}"/>
    <cellStyle name="Comma 12 2 4 5 3" xfId="24106" xr:uid="{917F6D95-67F9-403B-9545-7F4BE8F8E7FD}"/>
    <cellStyle name="Comma 12 2 4 6" xfId="38710" xr:uid="{A9692959-669C-46D5-868F-0E93E8B7D8A2}"/>
    <cellStyle name="Comma 12 2 4 7" xfId="20456" xr:uid="{186CA4C2-01F5-45A8-95FB-2F04F26BD990}"/>
    <cellStyle name="Comma 12 2 5" xfId="1472" xr:uid="{C1E60A5B-297D-49DA-B139-3D4EA42BE901}"/>
    <cellStyle name="Comma 12 2 5 2" xfId="16072" xr:uid="{8D7A9B03-8E92-4508-9B0F-70C8B16ED9ED}"/>
    <cellStyle name="Comma 12 2 5 2 2" xfId="52580" xr:uid="{D7156CDD-65CE-4D71-AB73-806CCF885FEC}"/>
    <cellStyle name="Comma 12 2 5 2 3" xfId="34326" xr:uid="{B2303449-7918-4B4E-B8D2-DA07B1398D8B}"/>
    <cellStyle name="Comma 12 2 5 3" xfId="12422" xr:uid="{D52562C9-BC34-486A-AD2F-4A4D3CE73229}"/>
    <cellStyle name="Comma 12 2 5 3 2" xfId="48930" xr:uid="{63BB6B55-CA05-4BE2-8B73-DDD43FF96F1B}"/>
    <cellStyle name="Comma 12 2 5 3 3" xfId="30676" xr:uid="{2E80EF28-B490-4C94-BDF9-7C3A45FC125B}"/>
    <cellStyle name="Comma 12 2 5 4" xfId="8772" xr:uid="{B516D475-48B0-4CBD-9D32-E51F3E92CBE8}"/>
    <cellStyle name="Comma 12 2 5 4 2" xfId="45280" xr:uid="{005E5956-18BE-4326-B457-46DDA92319AC}"/>
    <cellStyle name="Comma 12 2 5 4 3" xfId="27026" xr:uid="{A5766C4F-27B0-4869-9D22-1F9F9FDE024A}"/>
    <cellStyle name="Comma 12 2 5 5" xfId="5122" xr:uid="{275E07DC-43D8-4DAE-9F84-4D7830CA4DB9}"/>
    <cellStyle name="Comma 12 2 5 5 2" xfId="41630" xr:uid="{72B55F34-64D7-4C20-89FB-30996E323AFE}"/>
    <cellStyle name="Comma 12 2 5 5 3" xfId="23376" xr:uid="{71AB27D6-D26E-433E-BB56-6A0E5DB336D6}"/>
    <cellStyle name="Comma 12 2 5 6" xfId="37980" xr:uid="{62B0476A-77D5-4315-BC99-EE3C975834E3}"/>
    <cellStyle name="Comma 12 2 5 7" xfId="19726" xr:uid="{9DC720B3-FBDF-409E-AC19-D84D038EF834}"/>
    <cellStyle name="Comma 12 2 6" xfId="15342" xr:uid="{A5EC53B6-A017-4D03-BAEF-C79DF71D0257}"/>
    <cellStyle name="Comma 12 2 6 2" xfId="51850" xr:uid="{10DFC1E8-5EFD-441F-B0A8-F02389ED63DC}"/>
    <cellStyle name="Comma 12 2 6 3" xfId="33596" xr:uid="{AB4F7A2C-90D0-4D62-AF1F-F4127C1150F4}"/>
    <cellStyle name="Comma 12 2 7" xfId="11692" xr:uid="{B87A20D5-A0F5-45C5-820F-495A4F410215}"/>
    <cellStyle name="Comma 12 2 7 2" xfId="48200" xr:uid="{729556FD-4E9A-49C8-8811-0BCEE0A755AE}"/>
    <cellStyle name="Comma 12 2 7 3" xfId="29946" xr:uid="{D5D09FDE-FB5D-4124-8939-F10407F9FDC5}"/>
    <cellStyle name="Comma 12 2 8" xfId="8042" xr:uid="{01A88CA2-6579-48DB-8179-78AF0B9F92DF}"/>
    <cellStyle name="Comma 12 2 8 2" xfId="44550" xr:uid="{F30433BE-4F7A-4822-B4D4-4B087E12E0B5}"/>
    <cellStyle name="Comma 12 2 8 3" xfId="26296" xr:uid="{5EAE6EE3-2546-482B-AB4F-2D6CF2672FA8}"/>
    <cellStyle name="Comma 12 2 9" xfId="4392" xr:uid="{491282CF-11F1-42D3-AC92-797DCB3598C4}"/>
    <cellStyle name="Comma 12 2 9 2" xfId="40900" xr:uid="{D858A220-B446-4120-A0D5-AA8915D55489}"/>
    <cellStyle name="Comma 12 2 9 3" xfId="22646" xr:uid="{5AF682D3-BC58-4378-8351-24BFB73083C1}"/>
    <cellStyle name="Comma 12 3" xfId="638" xr:uid="{287D2F24-FEDB-4E72-9F11-1B1D109576C4}"/>
    <cellStyle name="Comma 12 3 10" xfId="37146" xr:uid="{D58CC8C9-DF49-48A7-81AF-CCDB36FAE660}"/>
    <cellStyle name="Comma 12 3 11" xfId="18892" xr:uid="{DAAA55BA-7080-4881-933C-5C117D3D9BEB}"/>
    <cellStyle name="Comma 12 3 2" xfId="3558" xr:uid="{B8C9813E-6243-4AC4-A694-8F3CF460D708}"/>
    <cellStyle name="Comma 12 3 2 2" xfId="18158" xr:uid="{BEC64AE3-5AC6-4EB4-B282-90107D1965E8}"/>
    <cellStyle name="Comma 12 3 2 2 2" xfId="54666" xr:uid="{75CF02DA-6C19-4BC8-8410-90D0514D399D}"/>
    <cellStyle name="Comma 12 3 2 2 3" xfId="36412" xr:uid="{3C186587-7866-474C-AA81-AF15C6F914E8}"/>
    <cellStyle name="Comma 12 3 2 3" xfId="14508" xr:uid="{2CF8B0A4-895E-4AF3-8F3E-632AAFC8851E}"/>
    <cellStyle name="Comma 12 3 2 3 2" xfId="51016" xr:uid="{5F123779-A3C6-452F-9163-06BB1C26F125}"/>
    <cellStyle name="Comma 12 3 2 3 3" xfId="32762" xr:uid="{9B6ACD74-790D-4734-BB3A-372B6DFA5E8A}"/>
    <cellStyle name="Comma 12 3 2 4" xfId="10858" xr:uid="{1B2C7135-113F-4CF6-811B-817C99AF8C06}"/>
    <cellStyle name="Comma 12 3 2 4 2" xfId="47366" xr:uid="{592B1294-F8FD-4E5C-AB50-FE448309992F}"/>
    <cellStyle name="Comma 12 3 2 4 3" xfId="29112" xr:uid="{239F44B6-1D47-4E63-A922-4F869A5CCD89}"/>
    <cellStyle name="Comma 12 3 2 5" xfId="7208" xr:uid="{7542DF4B-C9FC-4A1D-93D9-2B7F486BFA71}"/>
    <cellStyle name="Comma 12 3 2 5 2" xfId="43716" xr:uid="{4082D616-AB09-496D-AB0A-6E22094D1058}"/>
    <cellStyle name="Comma 12 3 2 5 3" xfId="25462" xr:uid="{25189C03-C91B-484B-85BA-C9EF1E1F97EA}"/>
    <cellStyle name="Comma 12 3 2 6" xfId="40066" xr:uid="{22C398D8-2D6E-401F-B1BF-B37980D68906}"/>
    <cellStyle name="Comma 12 3 2 7" xfId="21812" xr:uid="{095D9893-03FC-49E8-85C8-A7F68BC65152}"/>
    <cellStyle name="Comma 12 3 3" xfId="2828" xr:uid="{01A6D07B-FAED-4286-A992-675E1A81931D}"/>
    <cellStyle name="Comma 12 3 3 2" xfId="17428" xr:uid="{0DB63E08-2880-4FEB-8056-C6111F33D93B}"/>
    <cellStyle name="Comma 12 3 3 2 2" xfId="53936" xr:uid="{63CC828C-BA99-4AE7-A80A-74A44CCB83AD}"/>
    <cellStyle name="Comma 12 3 3 2 3" xfId="35682" xr:uid="{F629B0DD-DAFE-4B72-B64D-D04757F797B9}"/>
    <cellStyle name="Comma 12 3 3 3" xfId="13778" xr:uid="{0C9D3BEB-700E-4066-8A2C-C3283F1FCDC0}"/>
    <cellStyle name="Comma 12 3 3 3 2" xfId="50286" xr:uid="{FBCF1E1C-2A01-4133-A651-C7AEAAB43814}"/>
    <cellStyle name="Comma 12 3 3 3 3" xfId="32032" xr:uid="{58BD58AD-65B9-4F64-94CE-A59B37A3321A}"/>
    <cellStyle name="Comma 12 3 3 4" xfId="10128" xr:uid="{5310EC88-B7B1-47AE-9E2A-1E5222C5DAA7}"/>
    <cellStyle name="Comma 12 3 3 4 2" xfId="46636" xr:uid="{C8DE5E4E-A1C9-4DDC-A24D-6F1AB5FBD539}"/>
    <cellStyle name="Comma 12 3 3 4 3" xfId="28382" xr:uid="{EB45CBD1-2B18-49FA-8D0D-139E3B271F0B}"/>
    <cellStyle name="Comma 12 3 3 5" xfId="6478" xr:uid="{8AB941B1-B15C-4E36-8CBD-A13BC4948F3E}"/>
    <cellStyle name="Comma 12 3 3 5 2" xfId="42986" xr:uid="{8ED0D221-C966-41BA-BFE3-329589B50AC1}"/>
    <cellStyle name="Comma 12 3 3 5 3" xfId="24732" xr:uid="{182F7F2C-7826-472B-9826-D2F3376B0CEA}"/>
    <cellStyle name="Comma 12 3 3 6" xfId="39336" xr:uid="{F7A0917C-0EFC-4A88-8785-95E26223BF5B}"/>
    <cellStyle name="Comma 12 3 3 7" xfId="21082" xr:uid="{CD707E21-016E-4D6B-BB74-F9B73CB20236}"/>
    <cellStyle name="Comma 12 3 4" xfId="2098" xr:uid="{74DC9493-28A2-4C55-94B6-3B5460E73450}"/>
    <cellStyle name="Comma 12 3 4 2" xfId="16698" xr:uid="{6803DE04-EFD3-4FE5-989C-DB58D2580EA9}"/>
    <cellStyle name="Comma 12 3 4 2 2" xfId="53206" xr:uid="{E7C44B4C-A38C-4F89-9B16-2E155F704EFA}"/>
    <cellStyle name="Comma 12 3 4 2 3" xfId="34952" xr:uid="{A1FB39A1-E379-425C-88B1-16B43222E33A}"/>
    <cellStyle name="Comma 12 3 4 3" xfId="13048" xr:uid="{CC183B0A-90EE-4019-8A08-9550C58E4336}"/>
    <cellStyle name="Comma 12 3 4 3 2" xfId="49556" xr:uid="{8914EE57-BCAA-4454-B51A-D2AF69339D0F}"/>
    <cellStyle name="Comma 12 3 4 3 3" xfId="31302" xr:uid="{6F840A1D-3C2C-4373-AFD6-B83269FA9A7F}"/>
    <cellStyle name="Comma 12 3 4 4" xfId="9398" xr:uid="{FA0884F6-CFA0-4156-A7B2-72C9B53EEB8D}"/>
    <cellStyle name="Comma 12 3 4 4 2" xfId="45906" xr:uid="{DC832F31-307C-4F5B-9F2F-D120FA5A72B3}"/>
    <cellStyle name="Comma 12 3 4 4 3" xfId="27652" xr:uid="{7AC57B3B-B5C8-401C-B280-84CF9B4CB185}"/>
    <cellStyle name="Comma 12 3 4 5" xfId="5748" xr:uid="{A7AB6ED6-1F3D-4082-9459-51BF343AA8CA}"/>
    <cellStyle name="Comma 12 3 4 5 2" xfId="42256" xr:uid="{E347F2D2-E67A-415D-B396-DAF883C22DD4}"/>
    <cellStyle name="Comma 12 3 4 5 3" xfId="24002" xr:uid="{7A4BFD94-E4B6-4EDF-BE57-68675A151A43}"/>
    <cellStyle name="Comma 12 3 4 6" xfId="38606" xr:uid="{D76AAFA2-BBBF-4B36-BFA0-BC265AE3C030}"/>
    <cellStyle name="Comma 12 3 4 7" xfId="20352" xr:uid="{9B884922-D73A-4391-AAEA-6B4F89FBF5AB}"/>
    <cellStyle name="Comma 12 3 5" xfId="1368" xr:uid="{DA92F25A-B04C-42F6-A62F-99A8904AE8D8}"/>
    <cellStyle name="Comma 12 3 5 2" xfId="15968" xr:uid="{8EF9E04A-96D2-428C-A951-368254934A13}"/>
    <cellStyle name="Comma 12 3 5 2 2" xfId="52476" xr:uid="{E87E1A66-CB5B-443C-9EBC-805BAC605EA5}"/>
    <cellStyle name="Comma 12 3 5 2 3" xfId="34222" xr:uid="{677ED741-0CC8-4D79-A758-27C66FFFACD9}"/>
    <cellStyle name="Comma 12 3 5 3" xfId="12318" xr:uid="{9C808FCC-5022-4D94-90AF-0359D335870B}"/>
    <cellStyle name="Comma 12 3 5 3 2" xfId="48826" xr:uid="{B429704F-4C65-4511-AEAF-6948B149FAA1}"/>
    <cellStyle name="Comma 12 3 5 3 3" xfId="30572" xr:uid="{02725809-DF9A-4C9B-A7F0-3B258979E802}"/>
    <cellStyle name="Comma 12 3 5 4" xfId="8668" xr:uid="{46085B57-06F8-4BA2-97DF-9935B6BD0FAB}"/>
    <cellStyle name="Comma 12 3 5 4 2" xfId="45176" xr:uid="{BEF5A253-F8F9-4FF7-A93A-542285A3A0B3}"/>
    <cellStyle name="Comma 12 3 5 4 3" xfId="26922" xr:uid="{78995432-1A33-4D1B-9DE1-99DA9D318817}"/>
    <cellStyle name="Comma 12 3 5 5" xfId="5018" xr:uid="{D9769B5B-5D44-4A95-9ADA-1D95EF229A92}"/>
    <cellStyle name="Comma 12 3 5 5 2" xfId="41526" xr:uid="{AFEE301C-4939-4BA5-98B5-2542F9BC8F2E}"/>
    <cellStyle name="Comma 12 3 5 5 3" xfId="23272" xr:uid="{7A7DCA06-F688-462A-9325-227B8BE4E976}"/>
    <cellStyle name="Comma 12 3 5 6" xfId="37876" xr:uid="{A32A80AD-DC0F-4C08-BC11-4DEA6FB86E3C}"/>
    <cellStyle name="Comma 12 3 5 7" xfId="19622" xr:uid="{3884BED1-021A-4EEB-BF96-0F4B844594FC}"/>
    <cellStyle name="Comma 12 3 6" xfId="15238" xr:uid="{9CB37104-EAC3-43D9-9EA7-3FD6F169956E}"/>
    <cellStyle name="Comma 12 3 6 2" xfId="51746" xr:uid="{A73633E1-DE55-4A4A-AD71-9A2C9BAC12E5}"/>
    <cellStyle name="Comma 12 3 6 3" xfId="33492" xr:uid="{A529291C-653A-46DE-963C-E37DFA6032AF}"/>
    <cellStyle name="Comma 12 3 7" xfId="11588" xr:uid="{B4470282-905A-4D40-BE30-B2B42935C600}"/>
    <cellStyle name="Comma 12 3 7 2" xfId="48096" xr:uid="{B5424DF4-0979-4C70-89E4-A92D8F025F28}"/>
    <cellStyle name="Comma 12 3 7 3" xfId="29842" xr:uid="{AA74462B-35B2-4201-8EB8-16761078CDA4}"/>
    <cellStyle name="Comma 12 3 8" xfId="7938" xr:uid="{78DABCD8-EB4D-462C-B5E3-A98F8108A535}"/>
    <cellStyle name="Comma 12 3 8 2" xfId="44446" xr:uid="{12BA3174-9556-4A1D-8BDF-F4D903E86AAD}"/>
    <cellStyle name="Comma 12 3 8 3" xfId="26192" xr:uid="{086BEB97-22DA-4DE9-8EE3-9335871F2AA2}"/>
    <cellStyle name="Comma 12 3 9" xfId="4288" xr:uid="{BC7AC6AB-DC2B-4F90-82BF-8E9A24E82278}"/>
    <cellStyle name="Comma 12 3 9 2" xfId="40796" xr:uid="{F9956211-A69A-4A7C-92EC-597BE4D36291}"/>
    <cellStyle name="Comma 12 3 9 3" xfId="22542" xr:uid="{B0331F43-78CC-4A72-8E36-217B522EF1FD}"/>
    <cellStyle name="Comma 12 4" xfId="534" xr:uid="{8273F342-8BF3-4BD8-BCE0-3E14DC0F8626}"/>
    <cellStyle name="Comma 12 4 10" xfId="37042" xr:uid="{3E32F131-6A99-46A1-8390-426085C6D1D3}"/>
    <cellStyle name="Comma 12 4 11" xfId="18788" xr:uid="{D80BAAE4-BE68-479E-87C0-70DCAC0B40B2}"/>
    <cellStyle name="Comma 12 4 2" xfId="3454" xr:uid="{B5683A41-8A04-4A1E-9A4C-553EC1409E20}"/>
    <cellStyle name="Comma 12 4 2 2" xfId="18054" xr:uid="{2A1B95C7-2B3A-477C-A0A6-8BB8483DB217}"/>
    <cellStyle name="Comma 12 4 2 2 2" xfId="54562" xr:uid="{9103E058-0A8F-4A50-81F1-C1E42E6E633A}"/>
    <cellStyle name="Comma 12 4 2 2 3" xfId="36308" xr:uid="{8F069048-B892-4A55-862C-BEC9A7E0C332}"/>
    <cellStyle name="Comma 12 4 2 3" xfId="14404" xr:uid="{4A98BE8A-0609-4274-8FD3-D730C8F533A7}"/>
    <cellStyle name="Comma 12 4 2 3 2" xfId="50912" xr:uid="{EB793E0D-2C8C-4B4A-B93B-C2B6153F157E}"/>
    <cellStyle name="Comma 12 4 2 3 3" xfId="32658" xr:uid="{87E4599E-D452-4C92-B1B3-1FC87FCC52D9}"/>
    <cellStyle name="Comma 12 4 2 4" xfId="10754" xr:uid="{D4E2E296-955E-408F-92EE-E02538E6EB44}"/>
    <cellStyle name="Comma 12 4 2 4 2" xfId="47262" xr:uid="{DDEE79B7-5B67-4B1B-A705-96239BD44BBF}"/>
    <cellStyle name="Comma 12 4 2 4 3" xfId="29008" xr:uid="{0C353EF1-EB28-40D7-AC66-D40400CE6CC8}"/>
    <cellStyle name="Comma 12 4 2 5" xfId="7104" xr:uid="{1F2A14CD-7DDE-480E-8A32-76E632A82B96}"/>
    <cellStyle name="Comma 12 4 2 5 2" xfId="43612" xr:uid="{7126E24C-3B44-45FF-9D83-84E9E0FBD7E0}"/>
    <cellStyle name="Comma 12 4 2 5 3" xfId="25358" xr:uid="{507BE44A-FB42-4C52-9BAD-6830D7F7033D}"/>
    <cellStyle name="Comma 12 4 2 6" xfId="39962" xr:uid="{E5D99ABF-C97A-4792-B3F5-1A270BCA2562}"/>
    <cellStyle name="Comma 12 4 2 7" xfId="21708" xr:uid="{5F2BD352-06E9-47F3-830C-CFB254CB6E8B}"/>
    <cellStyle name="Comma 12 4 3" xfId="2724" xr:uid="{38ED02EC-6108-4095-BF0F-DFD4D0F45C82}"/>
    <cellStyle name="Comma 12 4 3 2" xfId="17324" xr:uid="{A1978908-8DE4-427E-BBDC-63F88E93C19C}"/>
    <cellStyle name="Comma 12 4 3 2 2" xfId="53832" xr:uid="{D45C975A-EBB1-40D9-A8C0-B73CD17D173E}"/>
    <cellStyle name="Comma 12 4 3 2 3" xfId="35578" xr:uid="{379CD802-2B18-4AB3-9FD0-FC3BF45717BE}"/>
    <cellStyle name="Comma 12 4 3 3" xfId="13674" xr:uid="{44175401-F83F-4FB9-838B-13DD5801EA04}"/>
    <cellStyle name="Comma 12 4 3 3 2" xfId="50182" xr:uid="{34F99BA6-BC44-4D00-B243-9413843CF491}"/>
    <cellStyle name="Comma 12 4 3 3 3" xfId="31928" xr:uid="{F4A265C9-4212-4FFD-AC80-35E1C2E6CADD}"/>
    <cellStyle name="Comma 12 4 3 4" xfId="10024" xr:uid="{0AAD9812-BF9F-4B61-BF6B-6B1EB53FAA7E}"/>
    <cellStyle name="Comma 12 4 3 4 2" xfId="46532" xr:uid="{3A4991BB-C4CC-4EE7-B150-8B987C624A12}"/>
    <cellStyle name="Comma 12 4 3 4 3" xfId="28278" xr:uid="{712215F2-0AF9-4143-839C-E83AB25BC065}"/>
    <cellStyle name="Comma 12 4 3 5" xfId="6374" xr:uid="{2779740B-0CC0-46E5-A535-A0640EA5ABC4}"/>
    <cellStyle name="Comma 12 4 3 5 2" xfId="42882" xr:uid="{1CE4D1AF-65D0-46E9-9CDC-1D9DA081906B}"/>
    <cellStyle name="Comma 12 4 3 5 3" xfId="24628" xr:uid="{79A42D43-A742-4777-AA9B-311A5DA3C34F}"/>
    <cellStyle name="Comma 12 4 3 6" xfId="39232" xr:uid="{9C27D1FB-A77C-4428-B0BB-420FE1077632}"/>
    <cellStyle name="Comma 12 4 3 7" xfId="20978" xr:uid="{1811DB75-EBCD-48D1-BB33-53BED72F8A4A}"/>
    <cellStyle name="Comma 12 4 4" xfId="1994" xr:uid="{E105B457-9B93-48BA-888B-FF2C80060118}"/>
    <cellStyle name="Comma 12 4 4 2" xfId="16594" xr:uid="{A5B00954-E2EE-46E3-8DA8-D106184583DA}"/>
    <cellStyle name="Comma 12 4 4 2 2" xfId="53102" xr:uid="{05D6D37A-5C37-4862-A9CA-0A3DDC33C39E}"/>
    <cellStyle name="Comma 12 4 4 2 3" xfId="34848" xr:uid="{264CCF35-7988-467A-8D78-5058F02F017B}"/>
    <cellStyle name="Comma 12 4 4 3" xfId="12944" xr:uid="{AFBAAFBC-9C84-4EFB-BBD4-11B91E87F79A}"/>
    <cellStyle name="Comma 12 4 4 3 2" xfId="49452" xr:uid="{386C9217-A33E-41A0-805E-195FABEF2261}"/>
    <cellStyle name="Comma 12 4 4 3 3" xfId="31198" xr:uid="{1EB7A3CD-4519-4C95-9F17-5CB186DE407E}"/>
    <cellStyle name="Comma 12 4 4 4" xfId="9294" xr:uid="{EC96C3EA-00AA-46EE-876C-2F8F89437836}"/>
    <cellStyle name="Comma 12 4 4 4 2" xfId="45802" xr:uid="{BC3C2BC7-6014-4DCF-9A31-083F4827FE69}"/>
    <cellStyle name="Comma 12 4 4 4 3" xfId="27548" xr:uid="{2585E440-3A5D-4683-9CEB-95374F59ED0E}"/>
    <cellStyle name="Comma 12 4 4 5" xfId="5644" xr:uid="{FDDE8213-A2FB-4BDF-81D2-1C9B1BA9F6B1}"/>
    <cellStyle name="Comma 12 4 4 5 2" xfId="42152" xr:uid="{48A9B104-922E-4E1C-881E-12A5FD5859B7}"/>
    <cellStyle name="Comma 12 4 4 5 3" xfId="23898" xr:uid="{25315A40-FAD0-4B00-990E-BC056B415ADC}"/>
    <cellStyle name="Comma 12 4 4 6" xfId="38502" xr:uid="{0012A997-D344-443A-884B-8C9FA471AEC5}"/>
    <cellStyle name="Comma 12 4 4 7" xfId="20248" xr:uid="{7F84DF75-9CC2-4993-BB17-F44D0C6A689C}"/>
    <cellStyle name="Comma 12 4 5" xfId="1264" xr:uid="{322F0A2B-578C-4BF9-BF66-73AD55F7A0C5}"/>
    <cellStyle name="Comma 12 4 5 2" xfId="15864" xr:uid="{6B30B1C8-9646-4144-8A88-6E064C4508B2}"/>
    <cellStyle name="Comma 12 4 5 2 2" xfId="52372" xr:uid="{481ED430-227E-44AE-A513-5EC8D0B8A173}"/>
    <cellStyle name="Comma 12 4 5 2 3" xfId="34118" xr:uid="{54422FEB-4D1C-421C-A6EA-9C8A2D67E4B9}"/>
    <cellStyle name="Comma 12 4 5 3" xfId="12214" xr:uid="{2A82031C-1C51-4446-A800-A2C3663C9A97}"/>
    <cellStyle name="Comma 12 4 5 3 2" xfId="48722" xr:uid="{7A555A68-E77B-41D9-8625-3E9FA8735274}"/>
    <cellStyle name="Comma 12 4 5 3 3" xfId="30468" xr:uid="{EBA5E1E2-A098-46E6-93C5-16F85B1B0425}"/>
    <cellStyle name="Comma 12 4 5 4" xfId="8564" xr:uid="{4372E203-5D28-4195-A9E2-8538E7E6945C}"/>
    <cellStyle name="Comma 12 4 5 4 2" xfId="45072" xr:uid="{6252B498-86E7-4909-8B5B-9B36982937C6}"/>
    <cellStyle name="Comma 12 4 5 4 3" xfId="26818" xr:uid="{890C2BAC-2B60-4504-809C-8B5204485B7D}"/>
    <cellStyle name="Comma 12 4 5 5" xfId="4914" xr:uid="{9AE58FDC-7A7C-4532-BBCD-F0166AC4AACD}"/>
    <cellStyle name="Comma 12 4 5 5 2" xfId="41422" xr:uid="{B0E75F49-1B79-455C-B413-FA0A6AB3B284}"/>
    <cellStyle name="Comma 12 4 5 5 3" xfId="23168" xr:uid="{6867FF29-378B-40CB-9FEB-54AE49326324}"/>
    <cellStyle name="Comma 12 4 5 6" xfId="37772" xr:uid="{0D8CE628-BB42-4A85-98AD-A6D085704432}"/>
    <cellStyle name="Comma 12 4 5 7" xfId="19518" xr:uid="{32FF32DB-00C2-483A-9811-AFB068937FE5}"/>
    <cellStyle name="Comma 12 4 6" xfId="15134" xr:uid="{9DD245C0-267B-4764-9481-18C4C7B5CCF3}"/>
    <cellStyle name="Comma 12 4 6 2" xfId="51642" xr:uid="{A7F1C290-DACE-4DBF-A4AA-3EC3A727B276}"/>
    <cellStyle name="Comma 12 4 6 3" xfId="33388" xr:uid="{E1A0CBBA-ABE8-4D71-898E-7F90CD51639E}"/>
    <cellStyle name="Comma 12 4 7" xfId="11484" xr:uid="{8EE36AC3-1E4D-4AC4-9DD3-A32EDB0CDEA1}"/>
    <cellStyle name="Comma 12 4 7 2" xfId="47992" xr:uid="{3BFB45C9-AB94-4010-8D22-345031E31BCA}"/>
    <cellStyle name="Comma 12 4 7 3" xfId="29738" xr:uid="{DA4C54F2-4754-4290-A741-D7B17BD01435}"/>
    <cellStyle name="Comma 12 4 8" xfId="7834" xr:uid="{E4D48A06-E3B8-4AA7-AE02-B97AE3302E01}"/>
    <cellStyle name="Comma 12 4 8 2" xfId="44342" xr:uid="{E53C7379-593E-4F92-B07C-15A77C16B8BF}"/>
    <cellStyle name="Comma 12 4 8 3" xfId="26088" xr:uid="{DF308917-E77D-4A9A-98BF-0346A66A397C}"/>
    <cellStyle name="Comma 12 4 9" xfId="4184" xr:uid="{C4CEF412-C6A7-45C4-8A33-DDE36B513399}"/>
    <cellStyle name="Comma 12 4 9 2" xfId="40692" xr:uid="{B10F2B78-584F-480F-BA85-864827B9C977}"/>
    <cellStyle name="Comma 12 4 9 3" xfId="22438" xr:uid="{C4770E22-45D1-4E2A-A77A-985CFEE46CB5}"/>
    <cellStyle name="Comma 12 5" xfId="430" xr:uid="{38B2543E-E7A2-4A54-9004-229ACE5F3571}"/>
    <cellStyle name="Comma 12 5 10" xfId="36938" xr:uid="{800D9E6B-9F62-4901-84E6-7CB3DD45CA4D}"/>
    <cellStyle name="Comma 12 5 11" xfId="18684" xr:uid="{7E86666A-C965-465F-B7AA-FAC9336DCBCF}"/>
    <cellStyle name="Comma 12 5 2" xfId="3350" xr:uid="{00917C87-E15F-4E03-8515-AB46E853BF1C}"/>
    <cellStyle name="Comma 12 5 2 2" xfId="17950" xr:uid="{226FDEFE-4695-4E9A-B0AA-74E51999C901}"/>
    <cellStyle name="Comma 12 5 2 2 2" xfId="54458" xr:uid="{D7C59CEB-6B31-4AC1-8BFC-90874304EE38}"/>
    <cellStyle name="Comma 12 5 2 2 3" xfId="36204" xr:uid="{704BA3E7-CC6C-4044-8E18-FEB0200AE03B}"/>
    <cellStyle name="Comma 12 5 2 3" xfId="14300" xr:uid="{450D4AD7-A7BA-4268-B28A-046A6898E796}"/>
    <cellStyle name="Comma 12 5 2 3 2" xfId="50808" xr:uid="{7D78575B-F139-4B51-8D3C-21AB4795BDA8}"/>
    <cellStyle name="Comma 12 5 2 3 3" xfId="32554" xr:uid="{7D564FA5-C139-4D36-B2E0-3487992167CD}"/>
    <cellStyle name="Comma 12 5 2 4" xfId="10650" xr:uid="{71C4CF3B-9260-4983-A5B1-717F5BDCE0F2}"/>
    <cellStyle name="Comma 12 5 2 4 2" xfId="47158" xr:uid="{AFB71953-68F2-44A5-9FBC-395DB93F59EE}"/>
    <cellStyle name="Comma 12 5 2 4 3" xfId="28904" xr:uid="{1117B53E-C817-4DE8-9FEA-FD0366FB403D}"/>
    <cellStyle name="Comma 12 5 2 5" xfId="7000" xr:uid="{DF4A0FB0-0C6B-4A8A-8108-7C5B03BFF46C}"/>
    <cellStyle name="Comma 12 5 2 5 2" xfId="43508" xr:uid="{C778C9B2-8EBE-4C9F-A020-F4A28A3BB053}"/>
    <cellStyle name="Comma 12 5 2 5 3" xfId="25254" xr:uid="{84410799-1392-43FD-AD95-047EDF9085E0}"/>
    <cellStyle name="Comma 12 5 2 6" xfId="39858" xr:uid="{13B98863-0919-4624-B308-4A3BB507C149}"/>
    <cellStyle name="Comma 12 5 2 7" xfId="21604" xr:uid="{25A169FA-F824-4ACA-98E7-9C77B689D09B}"/>
    <cellStyle name="Comma 12 5 3" xfId="2620" xr:uid="{6FF0DB69-ADE3-448E-B4E2-15CB127824F6}"/>
    <cellStyle name="Comma 12 5 3 2" xfId="17220" xr:uid="{BC772B75-4F81-4DF6-B1F4-76F20C46304E}"/>
    <cellStyle name="Comma 12 5 3 2 2" xfId="53728" xr:uid="{B5E1C049-3242-4B64-83AB-6CE8D4217B82}"/>
    <cellStyle name="Comma 12 5 3 2 3" xfId="35474" xr:uid="{0DE9FD1D-C8D1-45E1-807A-03FF7BD3B63E}"/>
    <cellStyle name="Comma 12 5 3 3" xfId="13570" xr:uid="{4CAB1339-258B-457D-9884-B3C24600A747}"/>
    <cellStyle name="Comma 12 5 3 3 2" xfId="50078" xr:uid="{CD1100C6-200D-4657-B702-52A3965D909C}"/>
    <cellStyle name="Comma 12 5 3 3 3" xfId="31824" xr:uid="{61CE041D-7748-47C2-8C97-C6C8EEF86AD7}"/>
    <cellStyle name="Comma 12 5 3 4" xfId="9920" xr:uid="{BFA86CC7-3384-4FEC-B912-D2981A0C8E49}"/>
    <cellStyle name="Comma 12 5 3 4 2" xfId="46428" xr:uid="{AF16ABBC-16E2-43CE-BDA5-6146408D69C9}"/>
    <cellStyle name="Comma 12 5 3 4 3" xfId="28174" xr:uid="{398F1954-BF30-448F-80D5-78125AE61704}"/>
    <cellStyle name="Comma 12 5 3 5" xfId="6270" xr:uid="{4DECA5EC-5242-4474-B099-01DF60558B22}"/>
    <cellStyle name="Comma 12 5 3 5 2" xfId="42778" xr:uid="{BBCA4BE8-7C58-45D8-A779-B5A866C5BAB3}"/>
    <cellStyle name="Comma 12 5 3 5 3" xfId="24524" xr:uid="{287CE009-9DA6-4C71-A50B-8FD542A0ED8D}"/>
    <cellStyle name="Comma 12 5 3 6" xfId="39128" xr:uid="{9D0C1B98-6484-439E-8209-E9924BFB07D7}"/>
    <cellStyle name="Comma 12 5 3 7" xfId="20874" xr:uid="{F1365F65-97EB-43CC-A095-109C38280058}"/>
    <cellStyle name="Comma 12 5 4" xfId="1890" xr:uid="{DE016168-6A25-4DF3-A95A-92C1A92ABAA3}"/>
    <cellStyle name="Comma 12 5 4 2" xfId="16490" xr:uid="{95F26533-BAA2-4E4B-995E-EA2CD09D6618}"/>
    <cellStyle name="Comma 12 5 4 2 2" xfId="52998" xr:uid="{8C3E884B-9761-4EE5-9136-30DC5ABB235A}"/>
    <cellStyle name="Comma 12 5 4 2 3" xfId="34744" xr:uid="{32D53447-44DA-418A-B244-0606A10102B4}"/>
    <cellStyle name="Comma 12 5 4 3" xfId="12840" xr:uid="{E378C935-FEA4-4899-A0BE-C3E7766FA4F4}"/>
    <cellStyle name="Comma 12 5 4 3 2" xfId="49348" xr:uid="{6578AB9C-BDB2-43D1-9084-B38B21D00866}"/>
    <cellStyle name="Comma 12 5 4 3 3" xfId="31094" xr:uid="{25724A09-E449-4C36-A233-E8975746487A}"/>
    <cellStyle name="Comma 12 5 4 4" xfId="9190" xr:uid="{F21938A7-CE39-4306-ABC4-C1100F53941D}"/>
    <cellStyle name="Comma 12 5 4 4 2" xfId="45698" xr:uid="{E0656486-9D6E-418B-B254-BBFFADED6288}"/>
    <cellStyle name="Comma 12 5 4 4 3" xfId="27444" xr:uid="{A4E8C956-4B21-4327-BE0A-D3E088767B21}"/>
    <cellStyle name="Comma 12 5 4 5" xfId="5540" xr:uid="{C0869D6C-F159-4CD6-B93C-487086AA9403}"/>
    <cellStyle name="Comma 12 5 4 5 2" xfId="42048" xr:uid="{D52A0BD7-D55D-44A6-83B8-896D7690F43A}"/>
    <cellStyle name="Comma 12 5 4 5 3" xfId="23794" xr:uid="{3D67E92C-A826-4103-9E1D-E99ECE21C47D}"/>
    <cellStyle name="Comma 12 5 4 6" xfId="38398" xr:uid="{AA6C6087-92CA-406F-9032-8E227596E266}"/>
    <cellStyle name="Comma 12 5 4 7" xfId="20144" xr:uid="{0AD7FCC6-C19B-4373-934D-59F777E63605}"/>
    <cellStyle name="Comma 12 5 5" xfId="1160" xr:uid="{E7E78ECC-DDF6-4BCA-90D9-6528A5CF08A3}"/>
    <cellStyle name="Comma 12 5 5 2" xfId="15760" xr:uid="{8B4767C5-6A31-438A-99E7-4D56C7CDCD7C}"/>
    <cellStyle name="Comma 12 5 5 2 2" xfId="52268" xr:uid="{A771CAE1-D0C1-453E-9DA3-D4B30D22597B}"/>
    <cellStyle name="Comma 12 5 5 2 3" xfId="34014" xr:uid="{7BA20180-149B-49AE-9512-DA330B8B635F}"/>
    <cellStyle name="Comma 12 5 5 3" xfId="12110" xr:uid="{67CA729E-370D-47AD-AB25-1DD2BF5183CE}"/>
    <cellStyle name="Comma 12 5 5 3 2" xfId="48618" xr:uid="{B1B69BDD-C7C4-4BA9-98A4-C0AE0407CB02}"/>
    <cellStyle name="Comma 12 5 5 3 3" xfId="30364" xr:uid="{95838F09-7335-48B7-8DFD-1C24D6A189E9}"/>
    <cellStyle name="Comma 12 5 5 4" xfId="8460" xr:uid="{CE8E57A4-1A83-48E0-B0F8-7D65CAE6B560}"/>
    <cellStyle name="Comma 12 5 5 4 2" xfId="44968" xr:uid="{032AB994-D449-4433-86FD-E5503AC5E936}"/>
    <cellStyle name="Comma 12 5 5 4 3" xfId="26714" xr:uid="{C54EACCF-512E-4963-9FCE-FD65B797DC5B}"/>
    <cellStyle name="Comma 12 5 5 5" xfId="4810" xr:uid="{2D4F5251-BDBE-4C87-8CAF-42FE12A70295}"/>
    <cellStyle name="Comma 12 5 5 5 2" xfId="41318" xr:uid="{FE744F1A-BC35-40DB-BC4D-334EEDC16F61}"/>
    <cellStyle name="Comma 12 5 5 5 3" xfId="23064" xr:uid="{8752F85B-925B-4015-B434-F7A43AC7FA93}"/>
    <cellStyle name="Comma 12 5 5 6" xfId="37668" xr:uid="{A2B94489-4EFD-49F7-AF2A-0724CA01CC75}"/>
    <cellStyle name="Comma 12 5 5 7" xfId="19414" xr:uid="{44A08585-301F-482E-870D-88FF2AA46269}"/>
    <cellStyle name="Comma 12 5 6" xfId="15030" xr:uid="{8A67B8B6-664D-4B4C-95ED-9BCBE1C43348}"/>
    <cellStyle name="Comma 12 5 6 2" xfId="51538" xr:uid="{9DDF9ABA-C042-4763-A385-BAD2FDFC8EB4}"/>
    <cellStyle name="Comma 12 5 6 3" xfId="33284" xr:uid="{74A0AC9A-E699-4C16-8B98-20C9673FF6AC}"/>
    <cellStyle name="Comma 12 5 7" xfId="11380" xr:uid="{DBC309FF-DD09-4352-A2F2-0485E0CA8EC6}"/>
    <cellStyle name="Comma 12 5 7 2" xfId="47888" xr:uid="{199E87CD-7222-4307-B683-BAFF004AA43D}"/>
    <cellStyle name="Comma 12 5 7 3" xfId="29634" xr:uid="{2094EB6C-4963-4D4A-993A-E0F3A44BCC48}"/>
    <cellStyle name="Comma 12 5 8" xfId="7730" xr:uid="{FEC2D3B0-5F50-4FA1-8B92-DE1936201469}"/>
    <cellStyle name="Comma 12 5 8 2" xfId="44238" xr:uid="{2D18CABB-10FB-4B09-8711-1C651964CFD9}"/>
    <cellStyle name="Comma 12 5 8 3" xfId="25984" xr:uid="{6A36BADE-6B73-49C4-BBCA-0BCE1308AEFF}"/>
    <cellStyle name="Comma 12 5 9" xfId="4080" xr:uid="{0DC6F087-8EBB-40F0-825E-3C1CF53BD55B}"/>
    <cellStyle name="Comma 12 5 9 2" xfId="40588" xr:uid="{93808BB0-34A5-4643-828F-E4186F31B820}"/>
    <cellStyle name="Comma 12 5 9 3" xfId="22334" xr:uid="{4AF10645-40F5-4A51-BDEB-7CA092D9BAB9}"/>
    <cellStyle name="Comma 12 6" xfId="326" xr:uid="{CEFADE2E-58C9-42BF-9760-DBE53CEAC76B}"/>
    <cellStyle name="Comma 12 6 10" xfId="36834" xr:uid="{70B768DC-7D26-4A11-8B8C-58EB2E65BAF1}"/>
    <cellStyle name="Comma 12 6 11" xfId="18580" xr:uid="{47ECA5D3-4CF4-43BB-96FB-5A11CAE81D4A}"/>
    <cellStyle name="Comma 12 6 2" xfId="3246" xr:uid="{D44FAB34-3F08-4880-9D77-F9E1CD2FE02B}"/>
    <cellStyle name="Comma 12 6 2 2" xfId="17846" xr:uid="{AAA4A8DB-0170-4DA8-8ABD-034988424520}"/>
    <cellStyle name="Comma 12 6 2 2 2" xfId="54354" xr:uid="{5578CF8F-819E-4D3F-8221-47A5E9538E25}"/>
    <cellStyle name="Comma 12 6 2 2 3" xfId="36100" xr:uid="{CAA69AC0-C1C6-4C1C-B086-F2076FC25E71}"/>
    <cellStyle name="Comma 12 6 2 3" xfId="14196" xr:uid="{1F37F3BD-1126-410F-BD87-F2B5A82F373F}"/>
    <cellStyle name="Comma 12 6 2 3 2" xfId="50704" xr:uid="{CD278CF5-37FF-4364-A5B4-72BD7C960152}"/>
    <cellStyle name="Comma 12 6 2 3 3" xfId="32450" xr:uid="{CB72BF8E-E4DA-428C-BF13-42FC0212D252}"/>
    <cellStyle name="Comma 12 6 2 4" xfId="10546" xr:uid="{A9FB0D2E-2D1E-4639-9D92-093E79019B6A}"/>
    <cellStyle name="Comma 12 6 2 4 2" xfId="47054" xr:uid="{1202AFE1-13B2-4F81-98C4-1AAFD96590B2}"/>
    <cellStyle name="Comma 12 6 2 4 3" xfId="28800" xr:uid="{82B7DF02-FB78-4CEC-8357-8D26A6852ED8}"/>
    <cellStyle name="Comma 12 6 2 5" xfId="6896" xr:uid="{D79105B1-F8F0-4B1D-AFB1-CEE06AB082D7}"/>
    <cellStyle name="Comma 12 6 2 5 2" xfId="43404" xr:uid="{BA7BDBCD-A91C-463F-977A-6CA58C5EF3F3}"/>
    <cellStyle name="Comma 12 6 2 5 3" xfId="25150" xr:uid="{D1F13384-E389-433B-B6A4-13DF93ADF546}"/>
    <cellStyle name="Comma 12 6 2 6" xfId="39754" xr:uid="{222EF671-3610-4E76-909D-98C9DEDA70C5}"/>
    <cellStyle name="Comma 12 6 2 7" xfId="21500" xr:uid="{4BCF182C-2574-42A5-A5EF-47DA66451B97}"/>
    <cellStyle name="Comma 12 6 3" xfId="2516" xr:uid="{C00C50F5-ABDE-4A74-BF60-AD4E6CD5A69A}"/>
    <cellStyle name="Comma 12 6 3 2" xfId="17116" xr:uid="{7BAC2579-9606-495C-9526-E2DDD7657982}"/>
    <cellStyle name="Comma 12 6 3 2 2" xfId="53624" xr:uid="{18D61198-C3A9-45A8-89BC-1852A9222735}"/>
    <cellStyle name="Comma 12 6 3 2 3" xfId="35370" xr:uid="{81E32AD7-29D5-4B2C-A234-F9B5FF2FB29A}"/>
    <cellStyle name="Comma 12 6 3 3" xfId="13466" xr:uid="{01547E2E-18C3-4250-9B8E-1A3751533B95}"/>
    <cellStyle name="Comma 12 6 3 3 2" xfId="49974" xr:uid="{CAAD02B8-6209-49EA-935F-57B5626079FC}"/>
    <cellStyle name="Comma 12 6 3 3 3" xfId="31720" xr:uid="{BFC5275F-71B3-4EC3-AE7C-20BF5652F9FE}"/>
    <cellStyle name="Comma 12 6 3 4" xfId="9816" xr:uid="{2C413A82-7299-4D9E-9F3F-D50E61D7CEBF}"/>
    <cellStyle name="Comma 12 6 3 4 2" xfId="46324" xr:uid="{7D923FFA-A34E-4B93-BF82-64A1681E9132}"/>
    <cellStyle name="Comma 12 6 3 4 3" xfId="28070" xr:uid="{26C2FFDB-269C-473D-8267-F943B926CFB8}"/>
    <cellStyle name="Comma 12 6 3 5" xfId="6166" xr:uid="{B02758CA-DB44-4AE0-9C12-839A055CDDB9}"/>
    <cellStyle name="Comma 12 6 3 5 2" xfId="42674" xr:uid="{3BFBBF97-6B26-4810-89B9-396E12172F75}"/>
    <cellStyle name="Comma 12 6 3 5 3" xfId="24420" xr:uid="{291F9F95-2EA2-4677-9F0E-98D8F89B8F29}"/>
    <cellStyle name="Comma 12 6 3 6" xfId="39024" xr:uid="{2F926893-C6C3-4C48-914E-6C60D9BD9762}"/>
    <cellStyle name="Comma 12 6 3 7" xfId="20770" xr:uid="{7D0D0E89-E0F6-43DD-837C-2FAFFC1A6593}"/>
    <cellStyle name="Comma 12 6 4" xfId="1786" xr:uid="{90D7F120-4FF7-4EC8-946C-080ECC4D2B96}"/>
    <cellStyle name="Comma 12 6 4 2" xfId="16386" xr:uid="{BFF2764B-86F1-42DF-8128-4DF3352D31C8}"/>
    <cellStyle name="Comma 12 6 4 2 2" xfId="52894" xr:uid="{1A480928-EEA9-47D7-A633-7D5F0C35AE68}"/>
    <cellStyle name="Comma 12 6 4 2 3" xfId="34640" xr:uid="{D52D36FB-E5A4-491D-9966-99F581295CB0}"/>
    <cellStyle name="Comma 12 6 4 3" xfId="12736" xr:uid="{BCFE851D-2E91-4E6F-B244-9F68EEF202C2}"/>
    <cellStyle name="Comma 12 6 4 3 2" xfId="49244" xr:uid="{7A3B52C7-AC4B-40F9-A9F1-B9317AB8D541}"/>
    <cellStyle name="Comma 12 6 4 3 3" xfId="30990" xr:uid="{5300D736-60C6-4265-9741-C566B3EE70F7}"/>
    <cellStyle name="Comma 12 6 4 4" xfId="9086" xr:uid="{A970E3B0-02AD-408E-B165-087ABEA7E5C6}"/>
    <cellStyle name="Comma 12 6 4 4 2" xfId="45594" xr:uid="{C962A527-4D40-4F57-8A8E-9D391ECDEA98}"/>
    <cellStyle name="Comma 12 6 4 4 3" xfId="27340" xr:uid="{BA0E5E7C-B173-4B6A-B57B-ECDE7137782D}"/>
    <cellStyle name="Comma 12 6 4 5" xfId="5436" xr:uid="{C5F7F4D9-8C39-4CD8-8FF7-21E9730FCC16}"/>
    <cellStyle name="Comma 12 6 4 5 2" xfId="41944" xr:uid="{8B7DED0E-FD7D-424A-8907-DF75453D5DF9}"/>
    <cellStyle name="Comma 12 6 4 5 3" xfId="23690" xr:uid="{13B6CEE3-FC1B-48C3-83B0-88CE70988F02}"/>
    <cellStyle name="Comma 12 6 4 6" xfId="38294" xr:uid="{7B4DAEEC-5C80-4A0E-8EED-5933F03047AA}"/>
    <cellStyle name="Comma 12 6 4 7" xfId="20040" xr:uid="{209A0C3C-796F-473C-BC43-3FF8C6EDC812}"/>
    <cellStyle name="Comma 12 6 5" xfId="1056" xr:uid="{D060C134-302C-4831-B54F-8395A9F6682D}"/>
    <cellStyle name="Comma 12 6 5 2" xfId="15656" xr:uid="{A45360C0-CF8A-470D-9B73-9B4426B2F789}"/>
    <cellStyle name="Comma 12 6 5 2 2" xfId="52164" xr:uid="{77496D78-C8BB-4520-B539-08C7EE068937}"/>
    <cellStyle name="Comma 12 6 5 2 3" xfId="33910" xr:uid="{1129D3F4-E68A-4258-9400-DE20F4064963}"/>
    <cellStyle name="Comma 12 6 5 3" xfId="12006" xr:uid="{B29C4D36-FD59-443E-9D10-0CD38F0D20EF}"/>
    <cellStyle name="Comma 12 6 5 3 2" xfId="48514" xr:uid="{9BC3F033-6199-4E04-9717-F7A156FA2801}"/>
    <cellStyle name="Comma 12 6 5 3 3" xfId="30260" xr:uid="{9FE2DF06-1FBA-4210-918D-C4C8CBAEB684}"/>
    <cellStyle name="Comma 12 6 5 4" xfId="8356" xr:uid="{C694BBC5-A3AD-423C-95C3-297B503CE059}"/>
    <cellStyle name="Comma 12 6 5 4 2" xfId="44864" xr:uid="{EAC13A4C-010E-4570-B7A8-C485EC4FAB7B}"/>
    <cellStyle name="Comma 12 6 5 4 3" xfId="26610" xr:uid="{35EE6C80-CA9C-4638-A25D-C319D166E6C7}"/>
    <cellStyle name="Comma 12 6 5 5" xfId="4706" xr:uid="{2CE88594-38D9-4692-B8C4-DB70732D70C1}"/>
    <cellStyle name="Comma 12 6 5 5 2" xfId="41214" xr:uid="{F4CEC18D-3F22-42F3-8E5F-77119C33F5B1}"/>
    <cellStyle name="Comma 12 6 5 5 3" xfId="22960" xr:uid="{98F9FF3E-E05F-40DD-AEB2-65923B807025}"/>
    <cellStyle name="Comma 12 6 5 6" xfId="37564" xr:uid="{64C23CC2-7890-4D79-8DA9-B65B56FDE681}"/>
    <cellStyle name="Comma 12 6 5 7" xfId="19310" xr:uid="{CC3A3606-43B6-41DB-8322-1AE719719502}"/>
    <cellStyle name="Comma 12 6 6" xfId="14926" xr:uid="{FDB6AE7E-0110-45F4-A81C-F46AA853343F}"/>
    <cellStyle name="Comma 12 6 6 2" xfId="51434" xr:uid="{E179B7DE-F507-463C-BD59-2B22D43C7053}"/>
    <cellStyle name="Comma 12 6 6 3" xfId="33180" xr:uid="{9F40BAED-5BD5-4136-8655-780D64E68DC8}"/>
    <cellStyle name="Comma 12 6 7" xfId="11276" xr:uid="{7D1A6357-5C39-4FE4-89F4-457BEEA2778E}"/>
    <cellStyle name="Comma 12 6 7 2" xfId="47784" xr:uid="{9015091F-F650-48FE-859F-4E1C1FEF22C2}"/>
    <cellStyle name="Comma 12 6 7 3" xfId="29530" xr:uid="{711F42BD-5687-4C80-8438-8A195463EC70}"/>
    <cellStyle name="Comma 12 6 8" xfId="7626" xr:uid="{0E7C7466-855E-4724-80DE-3F740F784221}"/>
    <cellStyle name="Comma 12 6 8 2" xfId="44134" xr:uid="{5781DC47-6C94-4F05-8D6E-F811D5A3257F}"/>
    <cellStyle name="Comma 12 6 8 3" xfId="25880" xr:uid="{302AFF33-2014-4B89-BD2D-BFB3DE611F9A}"/>
    <cellStyle name="Comma 12 6 9" xfId="3976" xr:uid="{37047B66-1502-44BB-86EF-649D839E5C1B}"/>
    <cellStyle name="Comma 12 6 9 2" xfId="40484" xr:uid="{5CC17C4D-8C6C-4AA4-9453-0613A0083510}"/>
    <cellStyle name="Comma 12 6 9 3" xfId="22230" xr:uid="{5B355A15-73A6-4C5D-A6C5-DB722D984FAD}"/>
    <cellStyle name="Comma 12 7" xfId="222" xr:uid="{5C715054-B628-4707-9409-FFC8CF773AC3}"/>
    <cellStyle name="Comma 12 7 10" xfId="36730" xr:uid="{11118215-07A5-4A29-9A6A-D5DD9A01481E}"/>
    <cellStyle name="Comma 12 7 11" xfId="18476" xr:uid="{AE50463F-C7FE-4105-B1EF-0D28BFFCDABD}"/>
    <cellStyle name="Comma 12 7 2" xfId="3142" xr:uid="{FF3F04B5-66F5-4AA4-8496-D904B923178C}"/>
    <cellStyle name="Comma 12 7 2 2" xfId="17742" xr:uid="{8D8718C0-4B87-4D55-8377-11B8EC01B6CE}"/>
    <cellStyle name="Comma 12 7 2 2 2" xfId="54250" xr:uid="{176451B6-3350-4774-9296-2B050AEC8528}"/>
    <cellStyle name="Comma 12 7 2 2 3" xfId="35996" xr:uid="{138E9A6F-76B0-4ED8-B60E-F730C8AFB521}"/>
    <cellStyle name="Comma 12 7 2 3" xfId="14092" xr:uid="{13865848-69AD-4EA5-B420-157279915B76}"/>
    <cellStyle name="Comma 12 7 2 3 2" xfId="50600" xr:uid="{7352ACCC-0506-4070-9798-928855B2317F}"/>
    <cellStyle name="Comma 12 7 2 3 3" xfId="32346" xr:uid="{EB7B2543-DA6D-4650-91CD-541615B78240}"/>
    <cellStyle name="Comma 12 7 2 4" xfId="10442" xr:uid="{60D20FC5-6543-4D7B-A535-1080D47AC044}"/>
    <cellStyle name="Comma 12 7 2 4 2" xfId="46950" xr:uid="{B1EA4BCC-1F67-4CC4-9BAC-6CC5B738F30F}"/>
    <cellStyle name="Comma 12 7 2 4 3" xfId="28696" xr:uid="{E00FBFD9-15F1-4BF3-A09D-1E113DECBE47}"/>
    <cellStyle name="Comma 12 7 2 5" xfId="6792" xr:uid="{07E25E05-641D-4A9C-87F1-2CB65C8405C0}"/>
    <cellStyle name="Comma 12 7 2 5 2" xfId="43300" xr:uid="{568ADB2A-9433-4861-B7A2-CB31F11B133A}"/>
    <cellStyle name="Comma 12 7 2 5 3" xfId="25046" xr:uid="{CE0F95A0-F6A7-419D-A584-ADD64365CE56}"/>
    <cellStyle name="Comma 12 7 2 6" xfId="39650" xr:uid="{BF8A712F-F9D7-4E7A-A77D-55508ADEB58C}"/>
    <cellStyle name="Comma 12 7 2 7" xfId="21396" xr:uid="{E734009D-BA36-41D4-AE55-98EDB491740E}"/>
    <cellStyle name="Comma 12 7 3" xfId="2412" xr:uid="{D32F933D-F177-4642-9A46-E5D3E7F1E44D}"/>
    <cellStyle name="Comma 12 7 3 2" xfId="17012" xr:uid="{EB6698FC-C3F7-435E-922E-A3D751A0C095}"/>
    <cellStyle name="Comma 12 7 3 2 2" xfId="53520" xr:uid="{ABC7C88C-3C09-460F-87F9-68DC0FCA0364}"/>
    <cellStyle name="Comma 12 7 3 2 3" xfId="35266" xr:uid="{4B737655-4DB7-43D8-BE18-7BFF5637FB1D}"/>
    <cellStyle name="Comma 12 7 3 3" xfId="13362" xr:uid="{93F16B56-BA54-4008-8C0E-AAC3504A6D58}"/>
    <cellStyle name="Comma 12 7 3 3 2" xfId="49870" xr:uid="{9C7DBF63-B270-45C9-864F-929A264600B5}"/>
    <cellStyle name="Comma 12 7 3 3 3" xfId="31616" xr:uid="{57C61567-1FD4-4C44-8CBD-20343DA39F64}"/>
    <cellStyle name="Comma 12 7 3 4" xfId="9712" xr:uid="{BD201F77-B0EC-43BA-98A1-494DAA6FFB04}"/>
    <cellStyle name="Comma 12 7 3 4 2" xfId="46220" xr:uid="{DCE88C29-07E0-4A4D-B85B-47D06EEEA197}"/>
    <cellStyle name="Comma 12 7 3 4 3" xfId="27966" xr:uid="{E686AE53-0F23-4AB4-90AC-25A7C52CE83A}"/>
    <cellStyle name="Comma 12 7 3 5" xfId="6062" xr:uid="{7D78827A-B2EE-4AF2-9879-8E1CB7DF0A7F}"/>
    <cellStyle name="Comma 12 7 3 5 2" xfId="42570" xr:uid="{B69D8C08-F9E2-43D7-9049-EC3C82980B3B}"/>
    <cellStyle name="Comma 12 7 3 5 3" xfId="24316" xr:uid="{C8063AFD-9CD0-459A-BD29-4AC67FE4C5F1}"/>
    <cellStyle name="Comma 12 7 3 6" xfId="38920" xr:uid="{98BA8350-7183-46C9-A1B7-4DFBB8DE2E7D}"/>
    <cellStyle name="Comma 12 7 3 7" xfId="20666" xr:uid="{3F3F089E-61FA-48F0-A661-2B46F1BC4B67}"/>
    <cellStyle name="Comma 12 7 4" xfId="1682" xr:uid="{BC3C3C89-F0C2-4D57-85E4-1E4D2A5597BB}"/>
    <cellStyle name="Comma 12 7 4 2" xfId="16282" xr:uid="{930F7740-429C-497C-B2BB-FA035718F507}"/>
    <cellStyle name="Comma 12 7 4 2 2" xfId="52790" xr:uid="{0A83884C-3B5D-4B63-A20B-F7FB30E0E484}"/>
    <cellStyle name="Comma 12 7 4 2 3" xfId="34536" xr:uid="{0AC52665-4DEB-46E3-9AB3-BB0D54AA8826}"/>
    <cellStyle name="Comma 12 7 4 3" xfId="12632" xr:uid="{00A67319-BAE4-4E5B-9111-D21E195D7F9A}"/>
    <cellStyle name="Comma 12 7 4 3 2" xfId="49140" xr:uid="{980965BF-4F0D-42F3-B023-B6FA511DF0A8}"/>
    <cellStyle name="Comma 12 7 4 3 3" xfId="30886" xr:uid="{7AF89F28-382D-428E-BD37-7796822FE5A0}"/>
    <cellStyle name="Comma 12 7 4 4" xfId="8982" xr:uid="{7449B5E8-7BF7-495E-A6C8-D78CD9308EAB}"/>
    <cellStyle name="Comma 12 7 4 4 2" xfId="45490" xr:uid="{1B3E1706-57DA-4842-9C87-ACDB54470B5F}"/>
    <cellStyle name="Comma 12 7 4 4 3" xfId="27236" xr:uid="{827087F1-8A6F-4BBE-94BB-2BE244E0762F}"/>
    <cellStyle name="Comma 12 7 4 5" xfId="5332" xr:uid="{C1D822FC-62A0-4232-B910-8EFD6C2C9470}"/>
    <cellStyle name="Comma 12 7 4 5 2" xfId="41840" xr:uid="{30E549D3-8B32-4CE4-B105-01E274D7F362}"/>
    <cellStyle name="Comma 12 7 4 5 3" xfId="23586" xr:uid="{2B51CB11-650F-45D7-8FBC-1621DAE2C697}"/>
    <cellStyle name="Comma 12 7 4 6" xfId="38190" xr:uid="{9D070721-66F6-44C6-8359-41FA0C6127D3}"/>
    <cellStyle name="Comma 12 7 4 7" xfId="19936" xr:uid="{2C997854-D05D-476E-BA8C-F227EB7588D2}"/>
    <cellStyle name="Comma 12 7 5" xfId="952" xr:uid="{7A7116CF-9F2F-4F40-9420-8513D0F2F8CA}"/>
    <cellStyle name="Comma 12 7 5 2" xfId="15552" xr:uid="{4ED608AB-F8C4-43E6-A1DC-BBC0A4F99567}"/>
    <cellStyle name="Comma 12 7 5 2 2" xfId="52060" xr:uid="{33B31B2A-5361-4A6B-949D-750B5DEF93A3}"/>
    <cellStyle name="Comma 12 7 5 2 3" xfId="33806" xr:uid="{AA1932BE-AA82-453D-A4B9-DE6F6A452B43}"/>
    <cellStyle name="Comma 12 7 5 3" xfId="11902" xr:uid="{1F8EBC42-945F-4C48-9791-F106F2F6872D}"/>
    <cellStyle name="Comma 12 7 5 3 2" xfId="48410" xr:uid="{30AF77C1-BBC7-4534-92ED-DBBC9F082626}"/>
    <cellStyle name="Comma 12 7 5 3 3" xfId="30156" xr:uid="{A8A0BB51-D890-4932-8B14-5A3245D8AAF7}"/>
    <cellStyle name="Comma 12 7 5 4" xfId="8252" xr:uid="{064D0823-638B-46B9-A826-15BEAC9DA50F}"/>
    <cellStyle name="Comma 12 7 5 4 2" xfId="44760" xr:uid="{7FD318C8-D774-43B9-8D3D-54116DD40B37}"/>
    <cellStyle name="Comma 12 7 5 4 3" xfId="26506" xr:uid="{BB06A43A-DC81-4893-8C3C-0FD6415C9AE1}"/>
    <cellStyle name="Comma 12 7 5 5" xfId="4602" xr:uid="{29BE675B-0089-4692-A39E-B25A9C388F80}"/>
    <cellStyle name="Comma 12 7 5 5 2" xfId="41110" xr:uid="{FE57464D-0106-4D8A-B39E-CA5AF4A5CC5E}"/>
    <cellStyle name="Comma 12 7 5 5 3" xfId="22856" xr:uid="{A1B007AC-20CA-4857-AC14-3609734A726D}"/>
    <cellStyle name="Comma 12 7 5 6" xfId="37460" xr:uid="{36AB44C1-33F0-4F71-A328-233993669F53}"/>
    <cellStyle name="Comma 12 7 5 7" xfId="19206" xr:uid="{12CB4AA9-384E-4B30-82E4-B267E86E5944}"/>
    <cellStyle name="Comma 12 7 6" xfId="14822" xr:uid="{075AF265-39C8-43A0-93DC-2805EDA38005}"/>
    <cellStyle name="Comma 12 7 6 2" xfId="51330" xr:uid="{7043B1D5-D39E-465D-9C31-AA2B54BFF975}"/>
    <cellStyle name="Comma 12 7 6 3" xfId="33076" xr:uid="{552589C3-357C-416A-B0CC-853A98228C0E}"/>
    <cellStyle name="Comma 12 7 7" xfId="11172" xr:uid="{5677A0EE-CCE9-40F0-809C-C8153A55E46C}"/>
    <cellStyle name="Comma 12 7 7 2" xfId="47680" xr:uid="{DAD81B8A-3758-4E96-BB0A-F1CE97714E1B}"/>
    <cellStyle name="Comma 12 7 7 3" xfId="29426" xr:uid="{1D034494-3D72-430E-8903-D2FA5F4E8CB8}"/>
    <cellStyle name="Comma 12 7 8" xfId="7522" xr:uid="{B442F3F9-68BE-4F12-A69C-EF8F5839557A}"/>
    <cellStyle name="Comma 12 7 8 2" xfId="44030" xr:uid="{A67C1DCE-530D-4917-9BA1-6F1930916CA3}"/>
    <cellStyle name="Comma 12 7 8 3" xfId="25776" xr:uid="{8DECF3E0-111B-4D20-AC2B-036C9FC5BB7B}"/>
    <cellStyle name="Comma 12 7 9" xfId="3872" xr:uid="{0A9B2ED9-6D8A-466A-8563-149B894982D9}"/>
    <cellStyle name="Comma 12 7 9 2" xfId="40380" xr:uid="{9E3A027C-04BB-4E14-990A-7499780F526A}"/>
    <cellStyle name="Comma 12 7 9 3" xfId="22126" xr:uid="{69A3D6A2-FF9F-4DE9-803E-9BCCE2AFBAAA}"/>
    <cellStyle name="Comma 12 8" xfId="3038" xr:uid="{1086EBD4-2EE8-4F9B-998B-F970986524C9}"/>
    <cellStyle name="Comma 12 8 2" xfId="17638" xr:uid="{A09BF28C-6D5C-4386-B3AB-76EBE85FE0D3}"/>
    <cellStyle name="Comma 12 8 2 2" xfId="54146" xr:uid="{5C366886-319E-4C59-87D2-43E4E54FB7EC}"/>
    <cellStyle name="Comma 12 8 2 3" xfId="35892" xr:uid="{F2381FF4-52A6-4E28-9863-E27299CBF607}"/>
    <cellStyle name="Comma 12 8 3" xfId="13988" xr:uid="{8A42919B-BB48-473A-9A79-8F9EF5E972E4}"/>
    <cellStyle name="Comma 12 8 3 2" xfId="50496" xr:uid="{84A08286-61CD-4D6C-AC5A-30194B60A45F}"/>
    <cellStyle name="Comma 12 8 3 3" xfId="32242" xr:uid="{FE3463E8-67C5-4EF7-AC57-E5FB46E94D27}"/>
    <cellStyle name="Comma 12 8 4" xfId="10338" xr:uid="{F9B9B097-FBE2-4592-A149-57277A49E407}"/>
    <cellStyle name="Comma 12 8 4 2" xfId="46846" xr:uid="{6FDF8636-30D6-491B-9A56-660F497406AE}"/>
    <cellStyle name="Comma 12 8 4 3" xfId="28592" xr:uid="{B82D33EA-980C-4FF6-AD66-2F293961C324}"/>
    <cellStyle name="Comma 12 8 5" xfId="6688" xr:uid="{3CC3E28D-8DA8-40FA-907C-902F63ECEEC7}"/>
    <cellStyle name="Comma 12 8 5 2" xfId="43196" xr:uid="{3AF97DF2-75A9-4033-BFC9-AFABF10922FA}"/>
    <cellStyle name="Comma 12 8 5 3" xfId="24942" xr:uid="{C7F9F377-04D6-4494-B74B-F0CFCAD52EB9}"/>
    <cellStyle name="Comma 12 8 6" xfId="39546" xr:uid="{3857E265-83C7-4D9D-9C8B-D69EB361F485}"/>
    <cellStyle name="Comma 12 8 7" xfId="21292" xr:uid="{CA08776F-6598-40B3-84B2-2C06B513407E}"/>
    <cellStyle name="Comma 12 9" xfId="2308" xr:uid="{2546896B-E325-47ED-BB4A-664EDB4AAD1F}"/>
    <cellStyle name="Comma 12 9 2" xfId="16908" xr:uid="{1980E1FC-25D0-43CC-830A-1EE13BB2C5A9}"/>
    <cellStyle name="Comma 12 9 2 2" xfId="53416" xr:uid="{09093185-2EBD-4603-947C-1605F6CD7250}"/>
    <cellStyle name="Comma 12 9 2 3" xfId="35162" xr:uid="{64356E86-F026-4EF5-A689-B55DC572A724}"/>
    <cellStyle name="Comma 12 9 3" xfId="13258" xr:uid="{077BAF1E-E6D1-40B6-8E00-DCBFD82397BD}"/>
    <cellStyle name="Comma 12 9 3 2" xfId="49766" xr:uid="{2C23CDDA-C856-467E-B200-0A7C4095BEF1}"/>
    <cellStyle name="Comma 12 9 3 3" xfId="31512" xr:uid="{9F082FCC-59C9-49DC-A679-83301E58D8F2}"/>
    <cellStyle name="Comma 12 9 4" xfId="9608" xr:uid="{38746426-54BB-48C7-8302-407C3A2DEDAD}"/>
    <cellStyle name="Comma 12 9 4 2" xfId="46116" xr:uid="{35DB813D-94F6-4B4D-9B8A-CD44AFC266D9}"/>
    <cellStyle name="Comma 12 9 4 3" xfId="27862" xr:uid="{4F8FE612-B0CC-4DE2-846D-7E5F85068F19}"/>
    <cellStyle name="Comma 12 9 5" xfId="5958" xr:uid="{1FE20C56-7D54-4F8E-BBE0-1CEC3302BFD2}"/>
    <cellStyle name="Comma 12 9 5 2" xfId="42466" xr:uid="{19F9A2F2-BEFB-475C-BB59-417C220165EB}"/>
    <cellStyle name="Comma 12 9 5 3" xfId="24212" xr:uid="{EEE53722-96BA-44A4-B1C6-C19198433B25}"/>
    <cellStyle name="Comma 12 9 6" xfId="38816" xr:uid="{25D9C244-468F-43C9-B2E6-C64B22727842}"/>
    <cellStyle name="Comma 12 9 7" xfId="20562" xr:uid="{D23E3360-E06C-4694-AD17-54CC750621BC}"/>
    <cellStyle name="Comma 13" xfId="119" xr:uid="{36BEF6FC-42AA-4923-8030-B2904291ED23}"/>
    <cellStyle name="Comma 13 10" xfId="1579" xr:uid="{EA474F3A-AA9C-4771-AB0F-07B7EA88CD7C}"/>
    <cellStyle name="Comma 13 10 2" xfId="16179" xr:uid="{C3C05C57-B35C-4E27-B83B-D1E46BA40E8F}"/>
    <cellStyle name="Comma 13 10 2 2" xfId="52687" xr:uid="{C23E8F18-C7E6-41EB-BC4F-444C81501796}"/>
    <cellStyle name="Comma 13 10 2 3" xfId="34433" xr:uid="{606E3AAC-DA95-4E3B-8BA9-49DE346A2EB2}"/>
    <cellStyle name="Comma 13 10 3" xfId="12529" xr:uid="{CDF02D45-6121-49E1-9110-ECB06E07B600}"/>
    <cellStyle name="Comma 13 10 3 2" xfId="49037" xr:uid="{90A4A6F2-5B19-4826-84FB-BF3F76461EB8}"/>
    <cellStyle name="Comma 13 10 3 3" xfId="30783" xr:uid="{5A9F6C3D-2F0E-4E04-B06A-55E7694DD74A}"/>
    <cellStyle name="Comma 13 10 4" xfId="8879" xr:uid="{0E08FB49-6966-482D-A208-FF84F0BB61F5}"/>
    <cellStyle name="Comma 13 10 4 2" xfId="45387" xr:uid="{F9EBA57D-20FE-418D-9262-13A9CCAA4721}"/>
    <cellStyle name="Comma 13 10 4 3" xfId="27133" xr:uid="{8CC09B67-3BFC-439E-B3AD-3DCDDB293A9C}"/>
    <cellStyle name="Comma 13 10 5" xfId="5229" xr:uid="{24E6EDF7-8D41-4DDB-B2F5-1B2B5F272001}"/>
    <cellStyle name="Comma 13 10 5 2" xfId="41737" xr:uid="{F2A465FE-E30C-4693-8DE8-316154B200D2}"/>
    <cellStyle name="Comma 13 10 5 3" xfId="23483" xr:uid="{7824CE5D-D80B-4C4A-A805-15A90607C321}"/>
    <cellStyle name="Comma 13 10 6" xfId="38087" xr:uid="{ED437945-7187-4475-85C2-E861A37E5D3A}"/>
    <cellStyle name="Comma 13 10 7" xfId="19833" xr:uid="{8723B190-7B8F-480E-8E62-823FAB2EFEC5}"/>
    <cellStyle name="Comma 13 11" xfId="849" xr:uid="{EA19FDB8-223C-474E-A01F-8630268EBA33}"/>
    <cellStyle name="Comma 13 11 2" xfId="15449" xr:uid="{3B12776F-011A-46ED-9965-5885821F7793}"/>
    <cellStyle name="Comma 13 11 2 2" xfId="51957" xr:uid="{EBE45DFE-18C4-4D04-A8D7-08B7C46A36F0}"/>
    <cellStyle name="Comma 13 11 2 3" xfId="33703" xr:uid="{F3E49113-8F33-474B-8FC9-C99A13852EBE}"/>
    <cellStyle name="Comma 13 11 3" xfId="11799" xr:uid="{390C2FC7-FF98-4164-9381-7B1E5811534E}"/>
    <cellStyle name="Comma 13 11 3 2" xfId="48307" xr:uid="{CBCC921A-30A7-43AB-ABB5-DA68017246F5}"/>
    <cellStyle name="Comma 13 11 3 3" xfId="30053" xr:uid="{079F2E87-BEF1-4377-8423-AC6D14AAE40F}"/>
    <cellStyle name="Comma 13 11 4" xfId="8149" xr:uid="{8B0CBBA3-DCFC-49B4-B513-4D2553B3CF5F}"/>
    <cellStyle name="Comma 13 11 4 2" xfId="44657" xr:uid="{07699EC8-5FD9-4E7E-ACDE-9DD16D088ECD}"/>
    <cellStyle name="Comma 13 11 4 3" xfId="26403" xr:uid="{4CC59881-E741-48CB-B761-EB6A825A0DD5}"/>
    <cellStyle name="Comma 13 11 5" xfId="4499" xr:uid="{B171FDC0-3BE2-4B04-8D77-AF19BA86C69B}"/>
    <cellStyle name="Comma 13 11 5 2" xfId="41007" xr:uid="{E1F81C01-DABE-4D34-B308-67C4312ED2B4}"/>
    <cellStyle name="Comma 13 11 5 3" xfId="22753" xr:uid="{C215A268-F134-4945-BD93-7216742B19CE}"/>
    <cellStyle name="Comma 13 11 6" xfId="37357" xr:uid="{494B8D0D-47ED-406C-8646-C16AF224F2EB}"/>
    <cellStyle name="Comma 13 11 7" xfId="19103" xr:uid="{0FCD5CC9-B875-4AA8-B6B5-2ED84655DE44}"/>
    <cellStyle name="Comma 13 12" xfId="14719" xr:uid="{70ECBF3B-FB5F-4A14-8FA5-69D92C3A512C}"/>
    <cellStyle name="Comma 13 12 2" xfId="51227" xr:uid="{C5BD7A7D-B15A-4720-80CA-150FF09C6675}"/>
    <cellStyle name="Comma 13 12 3" xfId="32973" xr:uid="{D566CDB7-923F-4D88-8270-0187F024FFED}"/>
    <cellStyle name="Comma 13 13" xfId="11069" xr:uid="{3DFFD3D5-FAAE-4386-9B2C-2C8131219B98}"/>
    <cellStyle name="Comma 13 13 2" xfId="47577" xr:uid="{D5986A79-C144-4FC0-A603-3A2353184CC4}"/>
    <cellStyle name="Comma 13 13 3" xfId="29323" xr:uid="{C65E06F6-037D-4A03-8805-6B58069E7BEF}"/>
    <cellStyle name="Comma 13 14" xfId="7419" xr:uid="{3C329841-4691-4D9F-96D8-35498D4B745B}"/>
    <cellStyle name="Comma 13 14 2" xfId="43927" xr:uid="{B9B544D5-B496-4A2D-AE02-DB890D4CE82F}"/>
    <cellStyle name="Comma 13 14 3" xfId="25673" xr:uid="{9FEB65FC-E5D2-4BD5-9EBE-6BBD56F92A7A}"/>
    <cellStyle name="Comma 13 15" xfId="3769" xr:uid="{AFB2D30C-EC68-44AC-AA26-FB62436C8EF4}"/>
    <cellStyle name="Comma 13 15 2" xfId="40277" xr:uid="{8FC17198-B569-4FEA-98AC-59103156E96B}"/>
    <cellStyle name="Comma 13 15 3" xfId="22023" xr:uid="{800C16F6-7E64-4535-8B92-607B17E13F25}"/>
    <cellStyle name="Comma 13 16" xfId="36627" xr:uid="{6459B9E2-A4D6-4BA1-9F7F-8F1925CDEE08}"/>
    <cellStyle name="Comma 13 17" xfId="18373" xr:uid="{E1C73E83-214D-4591-B053-C471C1445176}"/>
    <cellStyle name="Comma 13 2" xfId="743" xr:uid="{12235CC1-7CAC-4B16-B53B-04AE4F737E11}"/>
    <cellStyle name="Comma 13 2 10" xfId="37251" xr:uid="{C5E2F0EF-DB39-421F-905C-C796BCFA2A8D}"/>
    <cellStyle name="Comma 13 2 11" xfId="18997" xr:uid="{A8F4118E-66A5-4F15-A83B-6004D0D8AC9C}"/>
    <cellStyle name="Comma 13 2 2" xfId="3663" xr:uid="{F9BCD12E-A1A5-4FC8-9C34-E66A2049F1F9}"/>
    <cellStyle name="Comma 13 2 2 2" xfId="18263" xr:uid="{16BC0E64-2F5A-4285-819B-FE32C7D1E6E8}"/>
    <cellStyle name="Comma 13 2 2 2 2" xfId="54771" xr:uid="{11B86461-535C-434A-8F87-3B98132A0D78}"/>
    <cellStyle name="Comma 13 2 2 2 3" xfId="36517" xr:uid="{1251C200-DBD4-4452-8436-E7CB12B35C30}"/>
    <cellStyle name="Comma 13 2 2 3" xfId="14613" xr:uid="{C28D061B-44E4-43E5-AE12-CB3640F900FB}"/>
    <cellStyle name="Comma 13 2 2 3 2" xfId="51121" xr:uid="{3ECF2268-F15A-45AF-9E40-DFEA769C6482}"/>
    <cellStyle name="Comma 13 2 2 3 3" xfId="32867" xr:uid="{E38DB5A8-2701-4422-BB4D-73C05636CBA2}"/>
    <cellStyle name="Comma 13 2 2 4" xfId="10963" xr:uid="{81B15252-A385-4626-8CB0-BB3B6CF54B09}"/>
    <cellStyle name="Comma 13 2 2 4 2" xfId="47471" xr:uid="{60AABF9B-119B-4E13-8E80-358D2B254DC3}"/>
    <cellStyle name="Comma 13 2 2 4 3" xfId="29217" xr:uid="{D893AFD2-F44D-47F5-A116-5F6935461537}"/>
    <cellStyle name="Comma 13 2 2 5" xfId="7313" xr:uid="{9DFAE05D-F12E-44CF-9433-10CFC30AD32D}"/>
    <cellStyle name="Comma 13 2 2 5 2" xfId="43821" xr:uid="{CE2AB8EC-CC72-469E-AEFE-648FE06B65E0}"/>
    <cellStyle name="Comma 13 2 2 5 3" xfId="25567" xr:uid="{C1B569D3-0B86-482B-89D2-0E19CEF73C4B}"/>
    <cellStyle name="Comma 13 2 2 6" xfId="40171" xr:uid="{64C64710-4F75-4FDC-BDB2-D5D985CEBED7}"/>
    <cellStyle name="Comma 13 2 2 7" xfId="21917" xr:uid="{B6A929FA-33A6-45D5-810C-CEA298B0FF6F}"/>
    <cellStyle name="Comma 13 2 3" xfId="2933" xr:uid="{9049BC70-2A54-4B09-A9FC-450B6FAB5D02}"/>
    <cellStyle name="Comma 13 2 3 2" xfId="17533" xr:uid="{4D7FC5CC-AE1E-42CB-9252-827126F2B608}"/>
    <cellStyle name="Comma 13 2 3 2 2" xfId="54041" xr:uid="{04E371D4-5F84-4200-96F6-88780D1B942B}"/>
    <cellStyle name="Comma 13 2 3 2 3" xfId="35787" xr:uid="{7C200916-E4B2-41F4-8D25-BA79B90BD5FB}"/>
    <cellStyle name="Comma 13 2 3 3" xfId="13883" xr:uid="{7357F081-FF73-494E-9F20-68BA20921E8E}"/>
    <cellStyle name="Comma 13 2 3 3 2" xfId="50391" xr:uid="{DBBF89C2-15DA-41EC-B2BC-BBBF3287D828}"/>
    <cellStyle name="Comma 13 2 3 3 3" xfId="32137" xr:uid="{717A74DD-53AD-42E6-BC9C-ECFDB9F6E864}"/>
    <cellStyle name="Comma 13 2 3 4" xfId="10233" xr:uid="{DE168C50-8639-40A1-9CA7-57A9FE6A3128}"/>
    <cellStyle name="Comma 13 2 3 4 2" xfId="46741" xr:uid="{1713A39F-137C-46FA-9932-6A974BD9AF93}"/>
    <cellStyle name="Comma 13 2 3 4 3" xfId="28487" xr:uid="{D3B56DF2-1BE0-44B2-9CF5-A6F39233B188}"/>
    <cellStyle name="Comma 13 2 3 5" xfId="6583" xr:uid="{E5C3B37A-2E77-429C-B15A-9B4A18CF42B9}"/>
    <cellStyle name="Comma 13 2 3 5 2" xfId="43091" xr:uid="{8FD08FFE-961A-4BE5-BC2B-807BE2340C33}"/>
    <cellStyle name="Comma 13 2 3 5 3" xfId="24837" xr:uid="{EF487F3B-F095-4BBC-A778-34C8566E1880}"/>
    <cellStyle name="Comma 13 2 3 6" xfId="39441" xr:uid="{3B538ACC-BDAE-45C6-B3A9-B9EFEE734E09}"/>
    <cellStyle name="Comma 13 2 3 7" xfId="21187" xr:uid="{E49A7A38-7CAA-4516-AA74-10B993DB6CBB}"/>
    <cellStyle name="Comma 13 2 4" xfId="2203" xr:uid="{D1AD90B4-EC20-498C-B95D-D19E6E70AE56}"/>
    <cellStyle name="Comma 13 2 4 2" xfId="16803" xr:uid="{260B7B18-849D-4EB0-AC26-FEF890C4050B}"/>
    <cellStyle name="Comma 13 2 4 2 2" xfId="53311" xr:uid="{2A625B92-6771-4489-AA3F-D340E4C27F13}"/>
    <cellStyle name="Comma 13 2 4 2 3" xfId="35057" xr:uid="{B5C8A6D9-696F-4E24-9D58-E3517D917296}"/>
    <cellStyle name="Comma 13 2 4 3" xfId="13153" xr:uid="{54F020E4-DA68-42A9-982A-477CA7B1047E}"/>
    <cellStyle name="Comma 13 2 4 3 2" xfId="49661" xr:uid="{E248B5E6-3DFB-4B14-8A9B-48543A701D6B}"/>
    <cellStyle name="Comma 13 2 4 3 3" xfId="31407" xr:uid="{2FCBD279-4DCE-4E99-83D3-5B266B715DC7}"/>
    <cellStyle name="Comma 13 2 4 4" xfId="9503" xr:uid="{24EC55D4-E96A-4838-BC7D-375FFD5B16D3}"/>
    <cellStyle name="Comma 13 2 4 4 2" xfId="46011" xr:uid="{D55A49F7-2215-42CB-A56C-F1F3400769FB}"/>
    <cellStyle name="Comma 13 2 4 4 3" xfId="27757" xr:uid="{624E8971-8C8D-47AA-A104-F32390CE1B50}"/>
    <cellStyle name="Comma 13 2 4 5" xfId="5853" xr:uid="{3C166204-320E-4062-AA91-50C280E96A6A}"/>
    <cellStyle name="Comma 13 2 4 5 2" xfId="42361" xr:uid="{19013C03-F66F-4DC5-9149-FED3BC37EFCE}"/>
    <cellStyle name="Comma 13 2 4 5 3" xfId="24107" xr:uid="{ABF1297E-648E-405D-A76E-2D7689E6E8F3}"/>
    <cellStyle name="Comma 13 2 4 6" xfId="38711" xr:uid="{256C9109-3EC2-4104-A5CF-A52F86A675AF}"/>
    <cellStyle name="Comma 13 2 4 7" xfId="20457" xr:uid="{7BE60060-C004-46CD-B7A6-33DCA3AF8653}"/>
    <cellStyle name="Comma 13 2 5" xfId="1473" xr:uid="{04561093-866F-46FC-98DC-AA404E455449}"/>
    <cellStyle name="Comma 13 2 5 2" xfId="16073" xr:uid="{02441E41-E608-44D3-B542-EB6896957937}"/>
    <cellStyle name="Comma 13 2 5 2 2" xfId="52581" xr:uid="{F8C62E3A-55F5-4E45-AA7F-C06DF05A560C}"/>
    <cellStyle name="Comma 13 2 5 2 3" xfId="34327" xr:uid="{9EE0EE91-96D5-4DD6-81F6-41BA8C9E8F85}"/>
    <cellStyle name="Comma 13 2 5 3" xfId="12423" xr:uid="{9E00473E-1F09-4EFE-BBF9-D8B6175A042C}"/>
    <cellStyle name="Comma 13 2 5 3 2" xfId="48931" xr:uid="{4BF67C7C-9D9A-410E-A475-A9412A1FB500}"/>
    <cellStyle name="Comma 13 2 5 3 3" xfId="30677" xr:uid="{5FF1C5FD-A404-4870-8AC7-9BEA31769E98}"/>
    <cellStyle name="Comma 13 2 5 4" xfId="8773" xr:uid="{F73BED0C-D4CF-486E-8121-4BFA32B040C2}"/>
    <cellStyle name="Comma 13 2 5 4 2" xfId="45281" xr:uid="{AF13331C-EE1D-473F-A67C-5F6B3EA50BDE}"/>
    <cellStyle name="Comma 13 2 5 4 3" xfId="27027" xr:uid="{8DED24DB-6226-4D8C-89F5-8BEDA1575C3A}"/>
    <cellStyle name="Comma 13 2 5 5" xfId="5123" xr:uid="{D9C54B98-199B-45EF-BC9D-6D48AA9CDFAF}"/>
    <cellStyle name="Comma 13 2 5 5 2" xfId="41631" xr:uid="{1A48E364-0E54-4469-80FD-7C7AB0A0562D}"/>
    <cellStyle name="Comma 13 2 5 5 3" xfId="23377" xr:uid="{C7649921-1941-4FC5-94EB-975B13EEBDBF}"/>
    <cellStyle name="Comma 13 2 5 6" xfId="37981" xr:uid="{89D9830D-D857-47BE-A4F1-F7E759C468A6}"/>
    <cellStyle name="Comma 13 2 5 7" xfId="19727" xr:uid="{8F68DCF7-2F29-42A5-B95D-6F47EC2B7312}"/>
    <cellStyle name="Comma 13 2 6" xfId="15343" xr:uid="{FE67707D-0179-4F77-9E83-E6576B7E7365}"/>
    <cellStyle name="Comma 13 2 6 2" xfId="51851" xr:uid="{E534938B-B87B-4AC5-B778-EFBCF5532E53}"/>
    <cellStyle name="Comma 13 2 6 3" xfId="33597" xr:uid="{2E2D6993-6E03-44A7-A9B2-49038566D534}"/>
    <cellStyle name="Comma 13 2 7" xfId="11693" xr:uid="{DA9041B6-8D6D-455E-B08F-3859919875CC}"/>
    <cellStyle name="Comma 13 2 7 2" xfId="48201" xr:uid="{E11CBECB-940F-4842-90F1-7C4C0C4201A0}"/>
    <cellStyle name="Comma 13 2 7 3" xfId="29947" xr:uid="{A538A66D-4968-4E03-BEE4-716BEDC2329C}"/>
    <cellStyle name="Comma 13 2 8" xfId="8043" xr:uid="{065A7980-1D09-48A0-AA44-C6FC4D0577D6}"/>
    <cellStyle name="Comma 13 2 8 2" xfId="44551" xr:uid="{08452371-DC3B-498A-A288-9FB8BAAEA890}"/>
    <cellStyle name="Comma 13 2 8 3" xfId="26297" xr:uid="{507EDAC6-2C50-403B-9933-E884E453DB24}"/>
    <cellStyle name="Comma 13 2 9" xfId="4393" xr:uid="{CD083E13-4C8F-4B07-8614-26F8FB3AF202}"/>
    <cellStyle name="Comma 13 2 9 2" xfId="40901" xr:uid="{B5696EF4-BE91-4692-98F3-56D0ADF9C7C7}"/>
    <cellStyle name="Comma 13 2 9 3" xfId="22647" xr:uid="{B4873B7B-F498-4651-B151-0EDC3B4E2409}"/>
    <cellStyle name="Comma 13 3" xfId="639" xr:uid="{7362EB15-BADD-42D0-83A6-12AA96D1709C}"/>
    <cellStyle name="Comma 13 3 10" xfId="37147" xr:uid="{2D5B4CCF-7F93-4082-BDA6-CCD46D4D0828}"/>
    <cellStyle name="Comma 13 3 11" xfId="18893" xr:uid="{EB82115D-E8A1-467F-BF36-8BE4B19B651F}"/>
    <cellStyle name="Comma 13 3 2" xfId="3559" xr:uid="{6F754DAE-1462-4A4D-8341-08E45FBB5A73}"/>
    <cellStyle name="Comma 13 3 2 2" xfId="18159" xr:uid="{FB916BD2-EA0C-4134-B289-D3BB6AB4AA91}"/>
    <cellStyle name="Comma 13 3 2 2 2" xfId="54667" xr:uid="{1338F914-C7B6-4889-A914-50EB2FC3D658}"/>
    <cellStyle name="Comma 13 3 2 2 3" xfId="36413" xr:uid="{DF6E25BC-E05C-441A-9EC6-B61313DFFF92}"/>
    <cellStyle name="Comma 13 3 2 3" xfId="14509" xr:uid="{67A458B1-5776-4DC4-9313-E710BD176F77}"/>
    <cellStyle name="Comma 13 3 2 3 2" xfId="51017" xr:uid="{5979F754-4E2B-48B1-B43A-33ACC481D8F3}"/>
    <cellStyle name="Comma 13 3 2 3 3" xfId="32763" xr:uid="{9B590D42-9238-4E03-B90B-306040F2BF2D}"/>
    <cellStyle name="Comma 13 3 2 4" xfId="10859" xr:uid="{55D15220-C8A0-40FD-8586-73215CB175A0}"/>
    <cellStyle name="Comma 13 3 2 4 2" xfId="47367" xr:uid="{D82C0EDD-360B-4511-8E05-3AB65A8F373A}"/>
    <cellStyle name="Comma 13 3 2 4 3" xfId="29113" xr:uid="{82BBC898-A99B-4A8E-B1F4-1094A38D7068}"/>
    <cellStyle name="Comma 13 3 2 5" xfId="7209" xr:uid="{F8D3E537-F02F-42E2-AE17-A80C5AF16611}"/>
    <cellStyle name="Comma 13 3 2 5 2" xfId="43717" xr:uid="{1DC2B785-5EA5-4F43-A121-425709AB409B}"/>
    <cellStyle name="Comma 13 3 2 5 3" xfId="25463" xr:uid="{7C7311B6-314D-40C4-85CF-F80171F226EA}"/>
    <cellStyle name="Comma 13 3 2 6" xfId="40067" xr:uid="{10AF276F-D81D-4A1B-860D-63124B3D0305}"/>
    <cellStyle name="Comma 13 3 2 7" xfId="21813" xr:uid="{0C7130A8-1029-4EAC-B0BD-2B895A42F018}"/>
    <cellStyle name="Comma 13 3 3" xfId="2829" xr:uid="{49B0D81E-A93E-4B0F-A34E-1547674FFCA6}"/>
    <cellStyle name="Comma 13 3 3 2" xfId="17429" xr:uid="{FEA23F03-A392-40D8-A57C-3DBB20C6686D}"/>
    <cellStyle name="Comma 13 3 3 2 2" xfId="53937" xr:uid="{51BCF1C1-4ACA-4503-B3C0-86A7D1B6FC40}"/>
    <cellStyle name="Comma 13 3 3 2 3" xfId="35683" xr:uid="{D29C46CD-DCA7-430B-97E8-FC8644DA25D9}"/>
    <cellStyle name="Comma 13 3 3 3" xfId="13779" xr:uid="{B56F117E-EA3F-41F4-ABCF-A6562C909FB1}"/>
    <cellStyle name="Comma 13 3 3 3 2" xfId="50287" xr:uid="{7C7A8FEF-EAD4-4B57-A306-9DE07DD19871}"/>
    <cellStyle name="Comma 13 3 3 3 3" xfId="32033" xr:uid="{21AD6B5C-CC23-466E-8464-F9210B3C157B}"/>
    <cellStyle name="Comma 13 3 3 4" xfId="10129" xr:uid="{F3739930-A21C-4A03-8BB5-A671EE72F533}"/>
    <cellStyle name="Comma 13 3 3 4 2" xfId="46637" xr:uid="{E27A1912-28C2-4528-B538-81D442526CB0}"/>
    <cellStyle name="Comma 13 3 3 4 3" xfId="28383" xr:uid="{C22EBCE3-AD72-43CF-B144-0F454E878795}"/>
    <cellStyle name="Comma 13 3 3 5" xfId="6479" xr:uid="{EA7AEDC0-B45A-4FA5-A5E8-6422E3954596}"/>
    <cellStyle name="Comma 13 3 3 5 2" xfId="42987" xr:uid="{FB90AEDE-357F-4D62-ACDD-8EE9F4C9F3D3}"/>
    <cellStyle name="Comma 13 3 3 5 3" xfId="24733" xr:uid="{DF588222-89CB-42DA-8B8A-A771036C2D08}"/>
    <cellStyle name="Comma 13 3 3 6" xfId="39337" xr:uid="{536B67C1-CAA5-4FB2-9EBD-35BE430BA131}"/>
    <cellStyle name="Comma 13 3 3 7" xfId="21083" xr:uid="{28ACB9B3-F086-4AF4-B266-95DF55E2CB71}"/>
    <cellStyle name="Comma 13 3 4" xfId="2099" xr:uid="{8419A495-8B87-45A2-98C6-C9EB534A73FF}"/>
    <cellStyle name="Comma 13 3 4 2" xfId="16699" xr:uid="{5A3D1B31-4786-4964-8F2E-4C3DC9938528}"/>
    <cellStyle name="Comma 13 3 4 2 2" xfId="53207" xr:uid="{139560AF-9ADA-4185-B150-AEA9151B0BCE}"/>
    <cellStyle name="Comma 13 3 4 2 3" xfId="34953" xr:uid="{5AE09D6A-F204-4ADA-98EB-C69D9A7CEE28}"/>
    <cellStyle name="Comma 13 3 4 3" xfId="13049" xr:uid="{25099AEC-B590-4AE6-87FB-0F24F71C8E57}"/>
    <cellStyle name="Comma 13 3 4 3 2" xfId="49557" xr:uid="{A2D7ED1C-A4C4-4336-9FB0-5607ACD42182}"/>
    <cellStyle name="Comma 13 3 4 3 3" xfId="31303" xr:uid="{BD8CC0FF-6723-4D00-9A61-5D0F9467ACD7}"/>
    <cellStyle name="Comma 13 3 4 4" xfId="9399" xr:uid="{33775E8E-7565-400F-B851-5D48FE9BBB9C}"/>
    <cellStyle name="Comma 13 3 4 4 2" xfId="45907" xr:uid="{4C5C6D16-F6D3-4917-AC35-E1765093206D}"/>
    <cellStyle name="Comma 13 3 4 4 3" xfId="27653" xr:uid="{81B41AD0-734E-4302-9098-198CF830F21E}"/>
    <cellStyle name="Comma 13 3 4 5" xfId="5749" xr:uid="{51D6EFD2-1141-4867-9042-54322C34A646}"/>
    <cellStyle name="Comma 13 3 4 5 2" xfId="42257" xr:uid="{840CB9D0-EE7C-4BA1-80A1-AD2F71C8FB95}"/>
    <cellStyle name="Comma 13 3 4 5 3" xfId="24003" xr:uid="{0B0B67B4-D1C5-4E5C-808F-EE89D12C7C7F}"/>
    <cellStyle name="Comma 13 3 4 6" xfId="38607" xr:uid="{7CBF116F-0600-4A1C-AC2C-E8600CB7E829}"/>
    <cellStyle name="Comma 13 3 4 7" xfId="20353" xr:uid="{48F8FC39-3B25-446B-8E86-5EF80111E75B}"/>
    <cellStyle name="Comma 13 3 5" xfId="1369" xr:uid="{60A8A97C-9990-4835-B27B-3AAC54C8D365}"/>
    <cellStyle name="Comma 13 3 5 2" xfId="15969" xr:uid="{7BB34109-2082-46F6-AF17-ECB652D0A271}"/>
    <cellStyle name="Comma 13 3 5 2 2" xfId="52477" xr:uid="{F5CCBFE5-C2C2-44AF-BC5B-11887ADD1CF2}"/>
    <cellStyle name="Comma 13 3 5 2 3" xfId="34223" xr:uid="{0C761ABB-2F41-4B7F-A709-2730AA7B38C7}"/>
    <cellStyle name="Comma 13 3 5 3" xfId="12319" xr:uid="{831D68E9-6E51-46D8-A408-98A38498585F}"/>
    <cellStyle name="Comma 13 3 5 3 2" xfId="48827" xr:uid="{D1A7605E-2A53-460E-AE97-589D523F15EF}"/>
    <cellStyle name="Comma 13 3 5 3 3" xfId="30573" xr:uid="{B5A8FA3A-4F9D-437D-AA07-55637856BD1C}"/>
    <cellStyle name="Comma 13 3 5 4" xfId="8669" xr:uid="{8FAA2CA3-CC9C-43E9-A92D-8D3B7433CDE9}"/>
    <cellStyle name="Comma 13 3 5 4 2" xfId="45177" xr:uid="{7344FE1C-D0D2-43B4-A5F4-6F2DF3AF3D89}"/>
    <cellStyle name="Comma 13 3 5 4 3" xfId="26923" xr:uid="{6C9156F5-B4B6-4675-8FE3-C61D25A6BDB6}"/>
    <cellStyle name="Comma 13 3 5 5" xfId="5019" xr:uid="{9D8F2EF7-C1DE-4046-AE80-1451FFC5A895}"/>
    <cellStyle name="Comma 13 3 5 5 2" xfId="41527" xr:uid="{DB41AEC1-65A1-4B5D-8E51-6EB35F0F79BA}"/>
    <cellStyle name="Comma 13 3 5 5 3" xfId="23273" xr:uid="{24B80FA3-DC8C-4877-84D6-EBEF5DD62968}"/>
    <cellStyle name="Comma 13 3 5 6" xfId="37877" xr:uid="{6569BBBF-108C-43DE-A0CC-92A1AAF2FE60}"/>
    <cellStyle name="Comma 13 3 5 7" xfId="19623" xr:uid="{51F50273-F447-4D4E-8CC7-BE5B4F457B51}"/>
    <cellStyle name="Comma 13 3 6" xfId="15239" xr:uid="{2DEC6B1E-B21C-4C0D-A13B-D5E74F754621}"/>
    <cellStyle name="Comma 13 3 6 2" xfId="51747" xr:uid="{2923B5E5-8118-42F6-91ED-E42C08EBE303}"/>
    <cellStyle name="Comma 13 3 6 3" xfId="33493" xr:uid="{58096FD7-B046-490A-89EB-3A1AE723EBE0}"/>
    <cellStyle name="Comma 13 3 7" xfId="11589" xr:uid="{4E9B18D6-56DE-4A03-9214-93B76BCEA0B9}"/>
    <cellStyle name="Comma 13 3 7 2" xfId="48097" xr:uid="{4CFEB1E7-1E0E-409A-BF0B-CF7A0C663968}"/>
    <cellStyle name="Comma 13 3 7 3" xfId="29843" xr:uid="{DDEB9A2D-84DB-49BB-B835-2AAB19BF48D7}"/>
    <cellStyle name="Comma 13 3 8" xfId="7939" xr:uid="{84792051-407A-4A75-A1B5-3FF88DA0B0EE}"/>
    <cellStyle name="Comma 13 3 8 2" xfId="44447" xr:uid="{883FCBB6-561C-4D24-A0A9-E449B71662CD}"/>
    <cellStyle name="Comma 13 3 8 3" xfId="26193" xr:uid="{370637ED-E1A4-4BF8-9725-F1F2C3AF7E05}"/>
    <cellStyle name="Comma 13 3 9" xfId="4289" xr:uid="{F774FCC0-61BD-4D21-8EF7-685C95A0AA66}"/>
    <cellStyle name="Comma 13 3 9 2" xfId="40797" xr:uid="{6E8822BD-9249-4670-A62C-77BC8D625E00}"/>
    <cellStyle name="Comma 13 3 9 3" xfId="22543" xr:uid="{FF5C8A6D-84C4-4073-A04A-0C55615E195E}"/>
    <cellStyle name="Comma 13 4" xfId="535" xr:uid="{4371E909-C2B4-4178-B942-D984D903835B}"/>
    <cellStyle name="Comma 13 4 10" xfId="37043" xr:uid="{D61C1B45-518B-4DB7-874C-BDDFEC920E08}"/>
    <cellStyle name="Comma 13 4 11" xfId="18789" xr:uid="{F94B7159-A6E1-4D95-82D2-9FC5789E6725}"/>
    <cellStyle name="Comma 13 4 2" xfId="3455" xr:uid="{2E80FB56-C9AD-4D65-917A-F3706643FDB7}"/>
    <cellStyle name="Comma 13 4 2 2" xfId="18055" xr:uid="{266C964F-B9EB-44CD-82FF-A4DF52A23E79}"/>
    <cellStyle name="Comma 13 4 2 2 2" xfId="54563" xr:uid="{9DF976B9-AD23-4CCC-9508-A5453159AB60}"/>
    <cellStyle name="Comma 13 4 2 2 3" xfId="36309" xr:uid="{9379F37F-C55F-423D-BFA5-40A25137358B}"/>
    <cellStyle name="Comma 13 4 2 3" xfId="14405" xr:uid="{5DCFB5F3-3A2C-4E11-98E7-A4D1C552F9F9}"/>
    <cellStyle name="Comma 13 4 2 3 2" xfId="50913" xr:uid="{31BAADCA-C829-48BD-A6B5-B7F9F37D3BC5}"/>
    <cellStyle name="Comma 13 4 2 3 3" xfId="32659" xr:uid="{594A39F9-33A6-4D4D-852A-2D1256956014}"/>
    <cellStyle name="Comma 13 4 2 4" xfId="10755" xr:uid="{A5B89905-B699-4443-B970-F0353BE071F6}"/>
    <cellStyle name="Comma 13 4 2 4 2" xfId="47263" xr:uid="{DFCC4FFF-31C2-4E80-A8F1-0E5807AEDA87}"/>
    <cellStyle name="Comma 13 4 2 4 3" xfId="29009" xr:uid="{BDCB846A-B6ED-47F1-90D4-A761BF058409}"/>
    <cellStyle name="Comma 13 4 2 5" xfId="7105" xr:uid="{DFF1A108-266D-4A41-A403-EC5819A32326}"/>
    <cellStyle name="Comma 13 4 2 5 2" xfId="43613" xr:uid="{7CF74EDE-081F-4FAA-ABD0-3D6F626692BD}"/>
    <cellStyle name="Comma 13 4 2 5 3" xfId="25359" xr:uid="{8D1DA615-6169-43A2-8C58-40C8DE66C681}"/>
    <cellStyle name="Comma 13 4 2 6" xfId="39963" xr:uid="{DD75DDDA-72CC-4449-9CA6-4114DFDEBD72}"/>
    <cellStyle name="Comma 13 4 2 7" xfId="21709" xr:uid="{9E559272-A90B-469A-A5EF-6EB1D20EE3C9}"/>
    <cellStyle name="Comma 13 4 3" xfId="2725" xr:uid="{F45829C4-B15B-4BF1-8F2E-E3AC6BE01361}"/>
    <cellStyle name="Comma 13 4 3 2" xfId="17325" xr:uid="{00BB143D-B5AB-45E6-942C-97BFE662D22A}"/>
    <cellStyle name="Comma 13 4 3 2 2" xfId="53833" xr:uid="{C69954DA-30CA-4B2D-8420-3563F9DA52ED}"/>
    <cellStyle name="Comma 13 4 3 2 3" xfId="35579" xr:uid="{D0614CF8-0B09-4123-A0C7-5D35C38FF94E}"/>
    <cellStyle name="Comma 13 4 3 3" xfId="13675" xr:uid="{DD34A70E-DA28-4656-9500-46C410FE1C6D}"/>
    <cellStyle name="Comma 13 4 3 3 2" xfId="50183" xr:uid="{88ABC3A0-832A-409E-9758-4929B18820F8}"/>
    <cellStyle name="Comma 13 4 3 3 3" xfId="31929" xr:uid="{5BDF6BF1-3477-4532-BC80-E5E747A62E68}"/>
    <cellStyle name="Comma 13 4 3 4" xfId="10025" xr:uid="{DDB0383F-CE51-42D8-BB19-CEC4834F2264}"/>
    <cellStyle name="Comma 13 4 3 4 2" xfId="46533" xr:uid="{2C5ADD65-93B2-4EC7-BDE6-C6885C0E2867}"/>
    <cellStyle name="Comma 13 4 3 4 3" xfId="28279" xr:uid="{D17498CA-97AF-4B25-8740-3CF229F969C8}"/>
    <cellStyle name="Comma 13 4 3 5" xfId="6375" xr:uid="{3EDBB52C-F747-474B-8F52-9B6B39841B98}"/>
    <cellStyle name="Comma 13 4 3 5 2" xfId="42883" xr:uid="{0F26A82F-70D5-4A37-AE8B-CC545852EFCD}"/>
    <cellStyle name="Comma 13 4 3 5 3" xfId="24629" xr:uid="{F56246A2-D708-4CED-BE44-F9228FADA8F5}"/>
    <cellStyle name="Comma 13 4 3 6" xfId="39233" xr:uid="{588FF404-7D58-4ED9-A4BC-4BDEB8548522}"/>
    <cellStyle name="Comma 13 4 3 7" xfId="20979" xr:uid="{33482A48-1413-4DAA-9EC4-926B34893877}"/>
    <cellStyle name="Comma 13 4 4" xfId="1995" xr:uid="{144D40F3-CBAF-406D-8715-D751C0571252}"/>
    <cellStyle name="Comma 13 4 4 2" xfId="16595" xr:uid="{A17824AA-1EF4-4412-AD85-BAE0E77F74F5}"/>
    <cellStyle name="Comma 13 4 4 2 2" xfId="53103" xr:uid="{3C2049A9-D8E5-4E0F-8658-69294531E895}"/>
    <cellStyle name="Comma 13 4 4 2 3" xfId="34849" xr:uid="{E60AF3E1-B915-48FE-B7D8-3EE8ADE9E5FF}"/>
    <cellStyle name="Comma 13 4 4 3" xfId="12945" xr:uid="{6956A7C9-973E-4988-AFAE-3B8F23458D7E}"/>
    <cellStyle name="Comma 13 4 4 3 2" xfId="49453" xr:uid="{49B398E9-E389-4AF7-9813-45D36B973E5C}"/>
    <cellStyle name="Comma 13 4 4 3 3" xfId="31199" xr:uid="{53049D50-3A40-4598-9AB7-8DEF7DD4E3BF}"/>
    <cellStyle name="Comma 13 4 4 4" xfId="9295" xr:uid="{7C82D63E-CE91-4995-B360-66A9C5EF8F2B}"/>
    <cellStyle name="Comma 13 4 4 4 2" xfId="45803" xr:uid="{8F5F8B5F-C829-4D68-8A87-1CD7DBECFDA6}"/>
    <cellStyle name="Comma 13 4 4 4 3" xfId="27549" xr:uid="{EAA381CB-B451-40D9-9C15-D06A87C71619}"/>
    <cellStyle name="Comma 13 4 4 5" xfId="5645" xr:uid="{3D00B78D-FD15-4B11-B5FD-B0F9B087E80E}"/>
    <cellStyle name="Comma 13 4 4 5 2" xfId="42153" xr:uid="{09DE7622-733A-4E3C-9415-09B3FD0FA100}"/>
    <cellStyle name="Comma 13 4 4 5 3" xfId="23899" xr:uid="{D13A9CE5-AA7C-4830-845E-B2A100529530}"/>
    <cellStyle name="Comma 13 4 4 6" xfId="38503" xr:uid="{A493E801-C6B7-470C-B291-E37E23F0EEEC}"/>
    <cellStyle name="Comma 13 4 4 7" xfId="20249" xr:uid="{0749FC58-0339-4D22-8817-2910667D882C}"/>
    <cellStyle name="Comma 13 4 5" xfId="1265" xr:uid="{E03F0828-96DC-42E0-9DF2-8D63F4939663}"/>
    <cellStyle name="Comma 13 4 5 2" xfId="15865" xr:uid="{75A91D88-4802-42EE-A0B5-2FD5B0DF91FB}"/>
    <cellStyle name="Comma 13 4 5 2 2" xfId="52373" xr:uid="{5ADC153F-B191-4F34-97D5-E8435608428B}"/>
    <cellStyle name="Comma 13 4 5 2 3" xfId="34119" xr:uid="{5EC4B2F4-7A0C-465B-88FF-BE1747D33BA5}"/>
    <cellStyle name="Comma 13 4 5 3" xfId="12215" xr:uid="{591A2624-BF23-4428-8694-55BB728CA257}"/>
    <cellStyle name="Comma 13 4 5 3 2" xfId="48723" xr:uid="{01B9E89D-13F5-4207-8678-BC45703E4F4D}"/>
    <cellStyle name="Comma 13 4 5 3 3" xfId="30469" xr:uid="{FA88FE3B-4B72-41AA-8AE1-D6850A79B4B1}"/>
    <cellStyle name="Comma 13 4 5 4" xfId="8565" xr:uid="{FCBF6037-FB91-4EEC-829A-FF21D86334F2}"/>
    <cellStyle name="Comma 13 4 5 4 2" xfId="45073" xr:uid="{035CAE2B-BAB0-4599-B57C-FD86E57B9F87}"/>
    <cellStyle name="Comma 13 4 5 4 3" xfId="26819" xr:uid="{771159FD-A243-4566-8747-16924699C274}"/>
    <cellStyle name="Comma 13 4 5 5" xfId="4915" xr:uid="{C405B342-9525-49F7-9C1D-1651A55C6974}"/>
    <cellStyle name="Comma 13 4 5 5 2" xfId="41423" xr:uid="{A259AA60-1E7A-46C3-9372-97D04DFEB113}"/>
    <cellStyle name="Comma 13 4 5 5 3" xfId="23169" xr:uid="{09CAED54-BBAF-4CFB-AA0E-0F12689FA248}"/>
    <cellStyle name="Comma 13 4 5 6" xfId="37773" xr:uid="{196BD6D2-4D92-4691-A490-5C1DE7307772}"/>
    <cellStyle name="Comma 13 4 5 7" xfId="19519" xr:uid="{E1AB3A47-59CF-4761-ADC6-D85123AD4FAD}"/>
    <cellStyle name="Comma 13 4 6" xfId="15135" xr:uid="{DCA127AE-661D-4083-8810-3F5C54E66136}"/>
    <cellStyle name="Comma 13 4 6 2" xfId="51643" xr:uid="{5888AC94-7DB0-49F1-A49D-C87D0E0C2504}"/>
    <cellStyle name="Comma 13 4 6 3" xfId="33389" xr:uid="{734A6CED-CCAE-484B-9C0A-BFB04DC3633F}"/>
    <cellStyle name="Comma 13 4 7" xfId="11485" xr:uid="{8F78450F-0410-42A9-BC75-0B544A5DEB1D}"/>
    <cellStyle name="Comma 13 4 7 2" xfId="47993" xr:uid="{7775B7C9-C0BB-4A86-BC22-E65E9D8D2319}"/>
    <cellStyle name="Comma 13 4 7 3" xfId="29739" xr:uid="{364CBA4D-DA49-42C2-9D95-190BA1786C0D}"/>
    <cellStyle name="Comma 13 4 8" xfId="7835" xr:uid="{E700DDC8-1F0A-42B6-A255-EBEFD4B58E37}"/>
    <cellStyle name="Comma 13 4 8 2" xfId="44343" xr:uid="{00A34353-CCB7-4274-950C-43A9075EF1B2}"/>
    <cellStyle name="Comma 13 4 8 3" xfId="26089" xr:uid="{CEAD0BF4-0F89-49DB-8C67-1314220016E9}"/>
    <cellStyle name="Comma 13 4 9" xfId="4185" xr:uid="{6C3F541E-BC1A-4B33-AF49-03FD8CDA95DC}"/>
    <cellStyle name="Comma 13 4 9 2" xfId="40693" xr:uid="{0F10BC71-52AB-49D7-9819-4D2FA0A34FD4}"/>
    <cellStyle name="Comma 13 4 9 3" xfId="22439" xr:uid="{7F3230DF-BF15-48BF-B982-091D6B526FD6}"/>
    <cellStyle name="Comma 13 5" xfId="431" xr:uid="{D4258EC5-B843-48F6-A3EF-EC0566EDBC30}"/>
    <cellStyle name="Comma 13 5 10" xfId="36939" xr:uid="{379B8E16-644F-4C93-B10D-6B0DC9532A97}"/>
    <cellStyle name="Comma 13 5 11" xfId="18685" xr:uid="{56B3EF87-09AE-4BFA-A73A-3810A6A0B9BC}"/>
    <cellStyle name="Comma 13 5 2" xfId="3351" xr:uid="{48A3CE93-2FFC-4D4A-920F-C13AE5068839}"/>
    <cellStyle name="Comma 13 5 2 2" xfId="17951" xr:uid="{00AE987C-06AF-46A0-9F3E-A7D21E46BE72}"/>
    <cellStyle name="Comma 13 5 2 2 2" xfId="54459" xr:uid="{02C141CB-58E4-4F49-9CE6-52B8EF9FFFBE}"/>
    <cellStyle name="Comma 13 5 2 2 3" xfId="36205" xr:uid="{3E96DE60-7FF3-4F7F-A14A-5E3A35074AD6}"/>
    <cellStyle name="Comma 13 5 2 3" xfId="14301" xr:uid="{DDD12060-280B-4591-93B4-9C321CD3B5AF}"/>
    <cellStyle name="Comma 13 5 2 3 2" xfId="50809" xr:uid="{B7CF7762-8F1A-402E-8E21-A79B595DA52B}"/>
    <cellStyle name="Comma 13 5 2 3 3" xfId="32555" xr:uid="{7F66B208-9115-4FB8-8D10-5D6A71B66077}"/>
    <cellStyle name="Comma 13 5 2 4" xfId="10651" xr:uid="{2EEBD87E-6754-4AC3-8D02-80DE71235FEA}"/>
    <cellStyle name="Comma 13 5 2 4 2" xfId="47159" xr:uid="{907F88DB-EC30-4D9A-BA92-1BF1CE4B3512}"/>
    <cellStyle name="Comma 13 5 2 4 3" xfId="28905" xr:uid="{52F351B8-B72D-42F0-B646-7D3C2BC5156D}"/>
    <cellStyle name="Comma 13 5 2 5" xfId="7001" xr:uid="{530551C8-0B84-4C8B-903E-45ED7FF2C3F8}"/>
    <cellStyle name="Comma 13 5 2 5 2" xfId="43509" xr:uid="{74804D0E-ECAE-43F5-9B3A-98D10F3BA4CC}"/>
    <cellStyle name="Comma 13 5 2 5 3" xfId="25255" xr:uid="{0D7A3669-D26F-498E-A91F-E5311C60394F}"/>
    <cellStyle name="Comma 13 5 2 6" xfId="39859" xr:uid="{F3635DC6-EAFE-4D7D-9995-C2AE271481CB}"/>
    <cellStyle name="Comma 13 5 2 7" xfId="21605" xr:uid="{599C4EAD-966E-4311-A727-ABC5106A9025}"/>
    <cellStyle name="Comma 13 5 3" xfId="2621" xr:uid="{6083F823-6EF5-437E-8410-43F33CD82FB7}"/>
    <cellStyle name="Comma 13 5 3 2" xfId="17221" xr:uid="{085EC19F-1029-4B05-8FEE-12C5BA06CF00}"/>
    <cellStyle name="Comma 13 5 3 2 2" xfId="53729" xr:uid="{2A59A816-4554-4F27-9FD1-BE63EC41E588}"/>
    <cellStyle name="Comma 13 5 3 2 3" xfId="35475" xr:uid="{84A276AC-E75D-4FC1-B884-8A7C17CAAFF8}"/>
    <cellStyle name="Comma 13 5 3 3" xfId="13571" xr:uid="{95795B8E-041B-46E2-9F03-2F7D6FBCF321}"/>
    <cellStyle name="Comma 13 5 3 3 2" xfId="50079" xr:uid="{44799A90-2921-43C4-80B3-647F253BCB0C}"/>
    <cellStyle name="Comma 13 5 3 3 3" xfId="31825" xr:uid="{BA12E320-2A56-47D8-B693-24DDF6456448}"/>
    <cellStyle name="Comma 13 5 3 4" xfId="9921" xr:uid="{7B52CC2F-4507-4CC9-B3E1-8ECAC924FCC3}"/>
    <cellStyle name="Comma 13 5 3 4 2" xfId="46429" xr:uid="{A8886837-520B-483B-A48F-D523A37047E0}"/>
    <cellStyle name="Comma 13 5 3 4 3" xfId="28175" xr:uid="{9028369E-5133-46D4-908E-92C26949AAA8}"/>
    <cellStyle name="Comma 13 5 3 5" xfId="6271" xr:uid="{EBFE3FA4-78F2-49F4-8DB0-EC44390943F8}"/>
    <cellStyle name="Comma 13 5 3 5 2" xfId="42779" xr:uid="{85404E72-31D1-4F88-9FCB-80FED23B6DF3}"/>
    <cellStyle name="Comma 13 5 3 5 3" xfId="24525" xr:uid="{7E512557-73A9-45D8-9911-D891311CA38D}"/>
    <cellStyle name="Comma 13 5 3 6" xfId="39129" xr:uid="{48D0B1CE-FF33-4EC3-8E68-FD04B0FE493F}"/>
    <cellStyle name="Comma 13 5 3 7" xfId="20875" xr:uid="{300D4823-137D-49EF-B1E3-B7A34DAAAD21}"/>
    <cellStyle name="Comma 13 5 4" xfId="1891" xr:uid="{7179A7D0-D6E7-42BE-8A60-8BBD96A0FA71}"/>
    <cellStyle name="Comma 13 5 4 2" xfId="16491" xr:uid="{8719816F-0628-4B68-AA17-1E79BFB68520}"/>
    <cellStyle name="Comma 13 5 4 2 2" xfId="52999" xr:uid="{BB29B221-DB83-4641-B067-4672F03CA9D9}"/>
    <cellStyle name="Comma 13 5 4 2 3" xfId="34745" xr:uid="{614EF055-AF7A-4B70-922B-E6DD74238D49}"/>
    <cellStyle name="Comma 13 5 4 3" xfId="12841" xr:uid="{940DEABA-35F6-4D24-A669-D36CECF586FE}"/>
    <cellStyle name="Comma 13 5 4 3 2" xfId="49349" xr:uid="{3DC2388C-969F-4765-A5B6-D3F971F331F3}"/>
    <cellStyle name="Comma 13 5 4 3 3" xfId="31095" xr:uid="{B50BD333-1FCC-4BC9-9E7D-DCFF409190C2}"/>
    <cellStyle name="Comma 13 5 4 4" xfId="9191" xr:uid="{D8B26EB4-47B3-48F4-9EA8-1F40B57BB100}"/>
    <cellStyle name="Comma 13 5 4 4 2" xfId="45699" xr:uid="{9CEE224C-9384-4125-88F9-B45A752AAF9C}"/>
    <cellStyle name="Comma 13 5 4 4 3" xfId="27445" xr:uid="{C1F1B0A6-C2D7-45EE-90CA-32EEE5C56BE1}"/>
    <cellStyle name="Comma 13 5 4 5" xfId="5541" xr:uid="{C8E01E5F-3F45-4C5D-AE2F-1DC188D9968F}"/>
    <cellStyle name="Comma 13 5 4 5 2" xfId="42049" xr:uid="{F8B52C2D-F026-4C34-9F78-2E6D2126EE47}"/>
    <cellStyle name="Comma 13 5 4 5 3" xfId="23795" xr:uid="{6A27BB10-2729-4C5A-AAC7-DEF61162FE3F}"/>
    <cellStyle name="Comma 13 5 4 6" xfId="38399" xr:uid="{8B3B7DD4-900F-45CF-82FE-CB5E1FDC2094}"/>
    <cellStyle name="Comma 13 5 4 7" xfId="20145" xr:uid="{A81E212F-92D4-4961-8A64-0C6891F227CC}"/>
    <cellStyle name="Comma 13 5 5" xfId="1161" xr:uid="{6E98C47D-4AEB-4D39-9C1F-CE047E156874}"/>
    <cellStyle name="Comma 13 5 5 2" xfId="15761" xr:uid="{8793704B-79B2-4816-B10E-A7B94DB88901}"/>
    <cellStyle name="Comma 13 5 5 2 2" xfId="52269" xr:uid="{0E1FC328-7F44-49D0-99D5-4864B7EE9FB5}"/>
    <cellStyle name="Comma 13 5 5 2 3" xfId="34015" xr:uid="{25A5A702-F5A4-4A48-B10B-1B311307DDE3}"/>
    <cellStyle name="Comma 13 5 5 3" xfId="12111" xr:uid="{E7BF2374-6F35-4C5B-BCDD-BA32B33C0044}"/>
    <cellStyle name="Comma 13 5 5 3 2" xfId="48619" xr:uid="{B40D3EEB-DF4D-4DA8-8D2A-9CC02B2FBF81}"/>
    <cellStyle name="Comma 13 5 5 3 3" xfId="30365" xr:uid="{4C8F43F1-079E-4EC3-98E2-D4E6D0381DAA}"/>
    <cellStyle name="Comma 13 5 5 4" xfId="8461" xr:uid="{B4F6E825-8902-4676-8653-E40DE95B2D37}"/>
    <cellStyle name="Comma 13 5 5 4 2" xfId="44969" xr:uid="{397DCD6A-314E-4B20-831B-04CB5756A8FC}"/>
    <cellStyle name="Comma 13 5 5 4 3" xfId="26715" xr:uid="{0B1449C7-0FD7-4D65-B708-7CEA0E90C0AA}"/>
    <cellStyle name="Comma 13 5 5 5" xfId="4811" xr:uid="{B7D24C81-9B48-41CB-8E48-979A9E9247B4}"/>
    <cellStyle name="Comma 13 5 5 5 2" xfId="41319" xr:uid="{D80F5559-72E4-4822-9EAB-3907826A5008}"/>
    <cellStyle name="Comma 13 5 5 5 3" xfId="23065" xr:uid="{0D061BC2-84E0-4F1D-9150-CAC5F678955C}"/>
    <cellStyle name="Comma 13 5 5 6" xfId="37669" xr:uid="{9FA788D2-A431-4C2B-A650-E5AD6C357DA8}"/>
    <cellStyle name="Comma 13 5 5 7" xfId="19415" xr:uid="{DBBF371B-BFFD-476F-9296-4E3E91DCA1CE}"/>
    <cellStyle name="Comma 13 5 6" xfId="15031" xr:uid="{29442D07-12EF-4B17-8497-5666821D3B1F}"/>
    <cellStyle name="Comma 13 5 6 2" xfId="51539" xr:uid="{F58A2ABC-383F-49A5-9050-B8931D84C120}"/>
    <cellStyle name="Comma 13 5 6 3" xfId="33285" xr:uid="{B7E59321-B011-4419-BA57-62C6DF409007}"/>
    <cellStyle name="Comma 13 5 7" xfId="11381" xr:uid="{4252B2B4-5E93-4A20-9351-2E2AD6139F1D}"/>
    <cellStyle name="Comma 13 5 7 2" xfId="47889" xr:uid="{698113C8-9219-441A-9B49-E9B1A8564BD1}"/>
    <cellStyle name="Comma 13 5 7 3" xfId="29635" xr:uid="{642CAF9A-534D-4109-8521-1EA99A6F270F}"/>
    <cellStyle name="Comma 13 5 8" xfId="7731" xr:uid="{0DAA2EC2-5A55-4497-B0D4-2F22AFF3B219}"/>
    <cellStyle name="Comma 13 5 8 2" xfId="44239" xr:uid="{A48AB485-16A8-4852-8000-D16FDE37BA51}"/>
    <cellStyle name="Comma 13 5 8 3" xfId="25985" xr:uid="{1EC31D6D-B91B-4350-A9C2-E903EC32ECD7}"/>
    <cellStyle name="Comma 13 5 9" xfId="4081" xr:uid="{C59DDCE6-BAAE-44AE-9061-091ADD706989}"/>
    <cellStyle name="Comma 13 5 9 2" xfId="40589" xr:uid="{C110D9A1-D848-4573-92AF-F98B383775BD}"/>
    <cellStyle name="Comma 13 5 9 3" xfId="22335" xr:uid="{1BE5CC47-B962-4398-B102-90CA1AE5EADA}"/>
    <cellStyle name="Comma 13 6" xfId="327" xr:uid="{466C50AC-E58A-4E1D-838F-54D0B136D1B6}"/>
    <cellStyle name="Comma 13 6 10" xfId="36835" xr:uid="{748A6CFA-2393-4E6D-BD7E-B3A6164928D1}"/>
    <cellStyle name="Comma 13 6 11" xfId="18581" xr:uid="{6DBCEA99-17E5-4D0C-BCED-40E5A1A47B49}"/>
    <cellStyle name="Comma 13 6 2" xfId="3247" xr:uid="{E73A1F25-09C9-4F5C-952E-9F9DE295298F}"/>
    <cellStyle name="Comma 13 6 2 2" xfId="17847" xr:uid="{C6C6092D-27F1-492C-8A03-49B212B6B144}"/>
    <cellStyle name="Comma 13 6 2 2 2" xfId="54355" xr:uid="{116F7462-8ADE-447C-8FFB-FCC0986F5DEA}"/>
    <cellStyle name="Comma 13 6 2 2 3" xfId="36101" xr:uid="{05EA119D-ABDF-4E35-B0D9-682DA159B896}"/>
    <cellStyle name="Comma 13 6 2 3" xfId="14197" xr:uid="{936166F5-B650-4AE9-9533-85003378D3C0}"/>
    <cellStyle name="Comma 13 6 2 3 2" xfId="50705" xr:uid="{EFB3FA30-6B25-4D4D-B568-77D2FE7C917C}"/>
    <cellStyle name="Comma 13 6 2 3 3" xfId="32451" xr:uid="{C7E9A0A3-B993-4734-9E51-3A687929676C}"/>
    <cellStyle name="Comma 13 6 2 4" xfId="10547" xr:uid="{7891D61B-811C-4DCF-ACEF-71ACFC9C88A1}"/>
    <cellStyle name="Comma 13 6 2 4 2" xfId="47055" xr:uid="{56B92F7F-B37C-442E-B37F-3FCE2C45DEC5}"/>
    <cellStyle name="Comma 13 6 2 4 3" xfId="28801" xr:uid="{CA458CB3-D36F-4A48-8CB7-BAF8077F1D94}"/>
    <cellStyle name="Comma 13 6 2 5" xfId="6897" xr:uid="{9E1C8903-3372-4EDB-9463-5DC788446C79}"/>
    <cellStyle name="Comma 13 6 2 5 2" xfId="43405" xr:uid="{12BCD165-AD5A-406F-A7E3-077BB5ACDCC0}"/>
    <cellStyle name="Comma 13 6 2 5 3" xfId="25151" xr:uid="{6B310C51-B1B6-4CB2-8029-D8B5338938FF}"/>
    <cellStyle name="Comma 13 6 2 6" xfId="39755" xr:uid="{7B4894FD-3625-4808-8432-F7814CE2E2F6}"/>
    <cellStyle name="Comma 13 6 2 7" xfId="21501" xr:uid="{195C64B3-D124-4E13-8B89-84280AC07515}"/>
    <cellStyle name="Comma 13 6 3" xfId="2517" xr:uid="{E8202A5F-0C2C-4D6B-86B6-1498E7CCB1DD}"/>
    <cellStyle name="Comma 13 6 3 2" xfId="17117" xr:uid="{B3AA577B-CC10-47AC-8BA4-4D9B52CD860E}"/>
    <cellStyle name="Comma 13 6 3 2 2" xfId="53625" xr:uid="{72407C3C-DFC1-41D5-9F8D-07FF4DB060C3}"/>
    <cellStyle name="Comma 13 6 3 2 3" xfId="35371" xr:uid="{6E147F0A-552B-4378-B9BB-9CBA61D9F419}"/>
    <cellStyle name="Comma 13 6 3 3" xfId="13467" xr:uid="{0086B277-BA4E-4286-A1A8-9E23ABCB862F}"/>
    <cellStyle name="Comma 13 6 3 3 2" xfId="49975" xr:uid="{E95BB60E-55E3-4824-854A-47CEAB57C32C}"/>
    <cellStyle name="Comma 13 6 3 3 3" xfId="31721" xr:uid="{C5DFF27A-1AB3-4E0E-A567-1ECB2BE47BD4}"/>
    <cellStyle name="Comma 13 6 3 4" xfId="9817" xr:uid="{E7FD9A8E-A1AA-4327-BBAA-A9F2E165839D}"/>
    <cellStyle name="Comma 13 6 3 4 2" xfId="46325" xr:uid="{16608B86-AD24-476E-979E-62700B8B2519}"/>
    <cellStyle name="Comma 13 6 3 4 3" xfId="28071" xr:uid="{0DE5FAF8-F590-4397-A10C-D8E5C5F9B7B9}"/>
    <cellStyle name="Comma 13 6 3 5" xfId="6167" xr:uid="{3B7113D4-7B1A-4210-82B5-3807FAC3A00C}"/>
    <cellStyle name="Comma 13 6 3 5 2" xfId="42675" xr:uid="{B8AE8B18-487F-4CB9-9C84-3C195AD825B7}"/>
    <cellStyle name="Comma 13 6 3 5 3" xfId="24421" xr:uid="{DD7BC6FB-CAE9-4242-87B4-52F6556A8E57}"/>
    <cellStyle name="Comma 13 6 3 6" xfId="39025" xr:uid="{4C91A069-1783-4FD0-89AD-3495E3070A1B}"/>
    <cellStyle name="Comma 13 6 3 7" xfId="20771" xr:uid="{81FAE8E7-9CD1-4755-B4EC-73539F01ACF3}"/>
    <cellStyle name="Comma 13 6 4" xfId="1787" xr:uid="{B6F365A7-8B94-4487-AB30-68E6EBF18E70}"/>
    <cellStyle name="Comma 13 6 4 2" xfId="16387" xr:uid="{FEBBCAE2-573E-468F-AEE0-4CCBBC5E51BF}"/>
    <cellStyle name="Comma 13 6 4 2 2" xfId="52895" xr:uid="{A31701D1-CE03-4948-B78F-9AB14ECAE07F}"/>
    <cellStyle name="Comma 13 6 4 2 3" xfId="34641" xr:uid="{35C5744C-9C6C-4B41-B934-014662E10420}"/>
    <cellStyle name="Comma 13 6 4 3" xfId="12737" xr:uid="{45A00B4C-0635-4954-83BA-19F62C761851}"/>
    <cellStyle name="Comma 13 6 4 3 2" xfId="49245" xr:uid="{6218A555-6B2B-4B71-BD19-0AC5FD84DD09}"/>
    <cellStyle name="Comma 13 6 4 3 3" xfId="30991" xr:uid="{C166EC21-E773-4F37-BBC7-FBB60DEDB919}"/>
    <cellStyle name="Comma 13 6 4 4" xfId="9087" xr:uid="{591B8E28-47D7-45AA-99D1-8076F61D6A77}"/>
    <cellStyle name="Comma 13 6 4 4 2" xfId="45595" xr:uid="{E3879BE6-18E7-4895-B455-DD4DB7099D6B}"/>
    <cellStyle name="Comma 13 6 4 4 3" xfId="27341" xr:uid="{A42B4998-E394-4B27-AC21-91C71D95E8B1}"/>
    <cellStyle name="Comma 13 6 4 5" xfId="5437" xr:uid="{3C0A4D09-4AD6-412C-9B45-22C656C33277}"/>
    <cellStyle name="Comma 13 6 4 5 2" xfId="41945" xr:uid="{F34F714A-1247-4174-B3C0-8BE6E5C177F7}"/>
    <cellStyle name="Comma 13 6 4 5 3" xfId="23691" xr:uid="{4C4810D6-0C1D-4978-9420-F161785AEE44}"/>
    <cellStyle name="Comma 13 6 4 6" xfId="38295" xr:uid="{B37B772B-8F44-4828-9D08-8ABC701DA942}"/>
    <cellStyle name="Comma 13 6 4 7" xfId="20041" xr:uid="{B5EAB704-4979-44C8-9819-B8C16F038CE1}"/>
    <cellStyle name="Comma 13 6 5" xfId="1057" xr:uid="{0B0948B9-2EE1-48BF-B586-21D1F7BB2043}"/>
    <cellStyle name="Comma 13 6 5 2" xfId="15657" xr:uid="{E2C0D636-C498-40E3-AAC0-554DF6B746A1}"/>
    <cellStyle name="Comma 13 6 5 2 2" xfId="52165" xr:uid="{0B3E76F8-1BAF-4D78-AC52-ECC38343B3B4}"/>
    <cellStyle name="Comma 13 6 5 2 3" xfId="33911" xr:uid="{35EBB363-5C42-4222-AC59-BD8BB288743E}"/>
    <cellStyle name="Comma 13 6 5 3" xfId="12007" xr:uid="{D0732FBA-5725-4612-A755-08BF67E97C66}"/>
    <cellStyle name="Comma 13 6 5 3 2" xfId="48515" xr:uid="{80F10FA2-1977-46D2-84C9-51B5FCE7C1FF}"/>
    <cellStyle name="Comma 13 6 5 3 3" xfId="30261" xr:uid="{18FD4045-2061-4D17-96F2-D777C4888F7A}"/>
    <cellStyle name="Comma 13 6 5 4" xfId="8357" xr:uid="{2B640A4E-8DE7-4290-901C-E7EDFC369297}"/>
    <cellStyle name="Comma 13 6 5 4 2" xfId="44865" xr:uid="{7DD7E844-D329-4081-84A9-6E8FC093CD2D}"/>
    <cellStyle name="Comma 13 6 5 4 3" xfId="26611" xr:uid="{EAC26727-EA70-4624-B022-856C047D51BC}"/>
    <cellStyle name="Comma 13 6 5 5" xfId="4707" xr:uid="{8D557C0F-06CE-4EBE-99DF-23EC62437295}"/>
    <cellStyle name="Comma 13 6 5 5 2" xfId="41215" xr:uid="{B7ADEE40-238B-4DA0-9D33-CDB91DC3222C}"/>
    <cellStyle name="Comma 13 6 5 5 3" xfId="22961" xr:uid="{500DFBDA-C3DF-4EB0-89BC-6129068A2E53}"/>
    <cellStyle name="Comma 13 6 5 6" xfId="37565" xr:uid="{2EEF4364-EEAE-48DC-9D66-4E367C20D1BB}"/>
    <cellStyle name="Comma 13 6 5 7" xfId="19311" xr:uid="{B4374F15-6C4F-4D3A-B5AC-6388AF7E4B07}"/>
    <cellStyle name="Comma 13 6 6" xfId="14927" xr:uid="{EFEBCB69-10D0-4B1A-B5ED-E0249E8EFA2F}"/>
    <cellStyle name="Comma 13 6 6 2" xfId="51435" xr:uid="{AD54012D-560F-41F3-8361-4510BF7B6963}"/>
    <cellStyle name="Comma 13 6 6 3" xfId="33181" xr:uid="{1A876FF2-356A-4A6A-9D43-E7432CA7A8E9}"/>
    <cellStyle name="Comma 13 6 7" xfId="11277" xr:uid="{1AAE1EED-E05A-4B0A-BA29-9D05B74443BB}"/>
    <cellStyle name="Comma 13 6 7 2" xfId="47785" xr:uid="{F4EE9073-B452-4E14-8BCE-37C3514A5026}"/>
    <cellStyle name="Comma 13 6 7 3" xfId="29531" xr:uid="{E3D9F5E9-91AA-422A-A6E7-1766D5ED4D03}"/>
    <cellStyle name="Comma 13 6 8" xfId="7627" xr:uid="{2E75487F-9E86-45E0-863F-FCB73A24388B}"/>
    <cellStyle name="Comma 13 6 8 2" xfId="44135" xr:uid="{9F5A65A1-703F-450F-8708-BC6EE897EFD4}"/>
    <cellStyle name="Comma 13 6 8 3" xfId="25881" xr:uid="{C520A5BE-DB63-4C46-8F29-A05F7624257D}"/>
    <cellStyle name="Comma 13 6 9" xfId="3977" xr:uid="{ED3EF020-7C74-49B8-8E63-87B8A5273623}"/>
    <cellStyle name="Comma 13 6 9 2" xfId="40485" xr:uid="{982DBABD-FAFB-4BAC-99E2-F760B338538F}"/>
    <cellStyle name="Comma 13 6 9 3" xfId="22231" xr:uid="{38628436-FB66-4B37-927F-E96859125C3B}"/>
    <cellStyle name="Comma 13 7" xfId="223" xr:uid="{0865C64E-13C4-42B8-BF77-17207E3A71C4}"/>
    <cellStyle name="Comma 13 7 10" xfId="36731" xr:uid="{76B5E273-1DE1-4E15-B7B4-2C114B530C5F}"/>
    <cellStyle name="Comma 13 7 11" xfId="18477" xr:uid="{9BBA8AB9-9E16-4A27-B1E8-D7EB3B6E4E12}"/>
    <cellStyle name="Comma 13 7 2" xfId="3143" xr:uid="{D3D10717-2DE5-4974-A374-073FF002FC21}"/>
    <cellStyle name="Comma 13 7 2 2" xfId="17743" xr:uid="{24009B2C-7036-438D-B5B9-0E3F451D9359}"/>
    <cellStyle name="Comma 13 7 2 2 2" xfId="54251" xr:uid="{FDE10A9E-97A6-4689-A569-FC90FCEFF636}"/>
    <cellStyle name="Comma 13 7 2 2 3" xfId="35997" xr:uid="{2389B9D6-E898-44ED-8F3A-3882EAA0F8A4}"/>
    <cellStyle name="Comma 13 7 2 3" xfId="14093" xr:uid="{704DA756-3952-4389-BCDC-644AA6BFA0C4}"/>
    <cellStyle name="Comma 13 7 2 3 2" xfId="50601" xr:uid="{E7AA6DDB-1B0A-4EE3-B5E3-C9FA8837EAAA}"/>
    <cellStyle name="Comma 13 7 2 3 3" xfId="32347" xr:uid="{43B85C16-DE5A-46D9-871B-68D2CD2233FD}"/>
    <cellStyle name="Comma 13 7 2 4" xfId="10443" xr:uid="{D42EAD7E-001C-48BF-9CEB-0E1CB629E091}"/>
    <cellStyle name="Comma 13 7 2 4 2" xfId="46951" xr:uid="{E9160836-CEFE-49B2-911A-4DB3FC21F0B7}"/>
    <cellStyle name="Comma 13 7 2 4 3" xfId="28697" xr:uid="{F8D2481F-0F2D-4FA3-82E2-BB4C3DA5E8D8}"/>
    <cellStyle name="Comma 13 7 2 5" xfId="6793" xr:uid="{789CC770-6D8C-4B07-8A47-406F31D6A093}"/>
    <cellStyle name="Comma 13 7 2 5 2" xfId="43301" xr:uid="{38012C8C-A9BD-43F6-84DA-BED9323D4319}"/>
    <cellStyle name="Comma 13 7 2 5 3" xfId="25047" xr:uid="{55F35745-E16C-423E-9EDA-F50615ED6226}"/>
    <cellStyle name="Comma 13 7 2 6" xfId="39651" xr:uid="{375B7D75-E416-428E-8A30-F82330F16161}"/>
    <cellStyle name="Comma 13 7 2 7" xfId="21397" xr:uid="{CC24457A-CCC7-43A6-B902-0C0A53953B44}"/>
    <cellStyle name="Comma 13 7 3" xfId="2413" xr:uid="{2FAAE315-107C-423C-B59B-4E9BFD165692}"/>
    <cellStyle name="Comma 13 7 3 2" xfId="17013" xr:uid="{4CE2D0A8-2D0D-4FE8-A64B-80F2F870C4B9}"/>
    <cellStyle name="Comma 13 7 3 2 2" xfId="53521" xr:uid="{F3FAB54E-5060-4AA9-807D-7EF13FA7C19F}"/>
    <cellStyle name="Comma 13 7 3 2 3" xfId="35267" xr:uid="{EA759D83-F312-4A86-BC99-A52ABB66E353}"/>
    <cellStyle name="Comma 13 7 3 3" xfId="13363" xr:uid="{BBD8663F-A46E-4B0D-A348-9453607BACC6}"/>
    <cellStyle name="Comma 13 7 3 3 2" xfId="49871" xr:uid="{5CCC891B-4B79-464C-B26B-F7B401258A87}"/>
    <cellStyle name="Comma 13 7 3 3 3" xfId="31617" xr:uid="{F7CB5BF2-367B-4FDF-8E21-3374F3904556}"/>
    <cellStyle name="Comma 13 7 3 4" xfId="9713" xr:uid="{101F4382-5EDF-48A4-A034-6F4EA72A4215}"/>
    <cellStyle name="Comma 13 7 3 4 2" xfId="46221" xr:uid="{D8E4EB7B-E328-4911-A4BB-907DCB7FDAA6}"/>
    <cellStyle name="Comma 13 7 3 4 3" xfId="27967" xr:uid="{FB0379DA-E281-4D8C-A14B-D5EB1E6B2E71}"/>
    <cellStyle name="Comma 13 7 3 5" xfId="6063" xr:uid="{436B42B1-34C0-4C05-9B87-5EDAFB2C0EA1}"/>
    <cellStyle name="Comma 13 7 3 5 2" xfId="42571" xr:uid="{22869A4F-23C1-446B-9D29-E71D2479BEF7}"/>
    <cellStyle name="Comma 13 7 3 5 3" xfId="24317" xr:uid="{7A3E5BD3-E9C8-40FC-8EE5-30CB0509A330}"/>
    <cellStyle name="Comma 13 7 3 6" xfId="38921" xr:uid="{CD5D2182-5E7C-4920-AED5-FBEBB4EE0118}"/>
    <cellStyle name="Comma 13 7 3 7" xfId="20667" xr:uid="{1DEAAA97-F10F-49A0-8090-4BC7B3DEA336}"/>
    <cellStyle name="Comma 13 7 4" xfId="1683" xr:uid="{FCE419D9-E47F-47A5-88A1-3575B130F054}"/>
    <cellStyle name="Comma 13 7 4 2" xfId="16283" xr:uid="{266F12AD-6FAD-477B-AC3F-F3E3B06D6B92}"/>
    <cellStyle name="Comma 13 7 4 2 2" xfId="52791" xr:uid="{D858E78C-6FFA-447A-AEA6-C3315EEE4962}"/>
    <cellStyle name="Comma 13 7 4 2 3" xfId="34537" xr:uid="{A4CF67EB-F6DB-499C-8946-36F6A8BA4764}"/>
    <cellStyle name="Comma 13 7 4 3" xfId="12633" xr:uid="{DC310374-FE8A-4E22-8FFB-D74DF56CBD55}"/>
    <cellStyle name="Comma 13 7 4 3 2" xfId="49141" xr:uid="{0B88764E-06CF-47C0-946E-9F4B3C5887D0}"/>
    <cellStyle name="Comma 13 7 4 3 3" xfId="30887" xr:uid="{65EA9F8B-7CBD-44F4-BD2B-9ACED905CC4C}"/>
    <cellStyle name="Comma 13 7 4 4" xfId="8983" xr:uid="{BB8BFF55-A53D-48B2-9734-37C1827AE444}"/>
    <cellStyle name="Comma 13 7 4 4 2" xfId="45491" xr:uid="{A19D2C6E-0E41-4416-AD4F-54D79A5C75CA}"/>
    <cellStyle name="Comma 13 7 4 4 3" xfId="27237" xr:uid="{5F747742-4038-44A9-B567-BBE05FB5767E}"/>
    <cellStyle name="Comma 13 7 4 5" xfId="5333" xr:uid="{61655B4D-A4B0-4B87-AE00-EC6FFCF42456}"/>
    <cellStyle name="Comma 13 7 4 5 2" xfId="41841" xr:uid="{CB444DCF-CEE3-45F1-BAD2-18DABB407BFB}"/>
    <cellStyle name="Comma 13 7 4 5 3" xfId="23587" xr:uid="{AC94F1E0-4DA8-4CAC-B4A4-0E4611E482C9}"/>
    <cellStyle name="Comma 13 7 4 6" xfId="38191" xr:uid="{6C57E31A-C4AA-4EA6-AE90-267A4B7812D0}"/>
    <cellStyle name="Comma 13 7 4 7" xfId="19937" xr:uid="{7F4F3D66-F8BD-48B9-BEEA-5A0A18E71B7F}"/>
    <cellStyle name="Comma 13 7 5" xfId="953" xr:uid="{2A58960E-F870-46E8-A0EE-32E03618CFC7}"/>
    <cellStyle name="Comma 13 7 5 2" xfId="15553" xr:uid="{D4C5208F-E230-46F7-AD76-C18F0135B838}"/>
    <cellStyle name="Comma 13 7 5 2 2" xfId="52061" xr:uid="{53403A57-B301-47E1-9A18-67D4A3A4BD1F}"/>
    <cellStyle name="Comma 13 7 5 2 3" xfId="33807" xr:uid="{8C0EE9AE-F225-4926-9B76-214B63FC36CA}"/>
    <cellStyle name="Comma 13 7 5 3" xfId="11903" xr:uid="{27B09074-D1BA-4718-B81F-D85094B16D00}"/>
    <cellStyle name="Comma 13 7 5 3 2" xfId="48411" xr:uid="{41B659FE-7475-479A-8B74-3C33F04BF6BB}"/>
    <cellStyle name="Comma 13 7 5 3 3" xfId="30157" xr:uid="{DCE73F2B-39DE-4F67-AB03-6789FDE73761}"/>
    <cellStyle name="Comma 13 7 5 4" xfId="8253" xr:uid="{7AB77D60-7DFF-48D6-A28A-5CDE756843AE}"/>
    <cellStyle name="Comma 13 7 5 4 2" xfId="44761" xr:uid="{A97F2303-BC3A-49F5-865F-629CA32F7659}"/>
    <cellStyle name="Comma 13 7 5 4 3" xfId="26507" xr:uid="{EC41B5EE-E28F-41C1-B475-02AC3E954313}"/>
    <cellStyle name="Comma 13 7 5 5" xfId="4603" xr:uid="{06B98D2A-F345-4DD7-A73A-0B2164CFDEA0}"/>
    <cellStyle name="Comma 13 7 5 5 2" xfId="41111" xr:uid="{18341A46-A7A9-4BDC-A7B4-F07F2A9BAB45}"/>
    <cellStyle name="Comma 13 7 5 5 3" xfId="22857" xr:uid="{95EEA199-8DED-4516-9BBA-DC6BCF864280}"/>
    <cellStyle name="Comma 13 7 5 6" xfId="37461" xr:uid="{DD2AE509-5AC1-40E5-B558-16772FE94894}"/>
    <cellStyle name="Comma 13 7 5 7" xfId="19207" xr:uid="{9242B9E4-0785-4719-84ED-32E4A02565AA}"/>
    <cellStyle name="Comma 13 7 6" xfId="14823" xr:uid="{E3841AE2-69D8-46EA-AD4C-D0EAEC2EF75C}"/>
    <cellStyle name="Comma 13 7 6 2" xfId="51331" xr:uid="{7055A37E-7587-4358-82B6-483ADAFE488D}"/>
    <cellStyle name="Comma 13 7 6 3" xfId="33077" xr:uid="{5DBA83EA-2D54-49E0-8142-19645D7324E3}"/>
    <cellStyle name="Comma 13 7 7" xfId="11173" xr:uid="{4D25F608-4D7E-42CF-A842-73E9ED98DB31}"/>
    <cellStyle name="Comma 13 7 7 2" xfId="47681" xr:uid="{9A6207B2-FA00-4370-B3C1-AF7A87AD0FEF}"/>
    <cellStyle name="Comma 13 7 7 3" xfId="29427" xr:uid="{B2170392-F329-413E-AA62-59F7E524A97B}"/>
    <cellStyle name="Comma 13 7 8" xfId="7523" xr:uid="{8D9E8751-E53A-450E-9753-3DA9107EA2C0}"/>
    <cellStyle name="Comma 13 7 8 2" xfId="44031" xr:uid="{956B35C9-1389-4F48-B6F5-FB7EDCBE9B59}"/>
    <cellStyle name="Comma 13 7 8 3" xfId="25777" xr:uid="{5F2B4154-CCE5-4EA5-A6C0-859C7BD6058A}"/>
    <cellStyle name="Comma 13 7 9" xfId="3873" xr:uid="{5E11DE31-F3CE-4D06-9AFB-8BFD3297C3BD}"/>
    <cellStyle name="Comma 13 7 9 2" xfId="40381" xr:uid="{E792F9FF-3B4B-4D0F-91C7-2A0D394BD1A9}"/>
    <cellStyle name="Comma 13 7 9 3" xfId="22127" xr:uid="{561D0672-195D-4F5F-89C2-0020021D3754}"/>
    <cellStyle name="Comma 13 8" xfId="3039" xr:uid="{FE6EF7F5-9A73-4A24-8B13-7BD42C14C7B7}"/>
    <cellStyle name="Comma 13 8 2" xfId="17639" xr:uid="{3B056C7F-7EBE-4DE2-87A3-023D15EC6AC7}"/>
    <cellStyle name="Comma 13 8 2 2" xfId="54147" xr:uid="{139BAB2B-EC76-46A8-9818-CC2FA13B06FE}"/>
    <cellStyle name="Comma 13 8 2 3" xfId="35893" xr:uid="{AFB97785-E6E1-46BD-82D6-C9EC2D093131}"/>
    <cellStyle name="Comma 13 8 3" xfId="13989" xr:uid="{12A44676-7B5A-4367-81FD-995E2F202652}"/>
    <cellStyle name="Comma 13 8 3 2" xfId="50497" xr:uid="{353AF2A8-3BFC-42B0-9BA7-A564CA082139}"/>
    <cellStyle name="Comma 13 8 3 3" xfId="32243" xr:uid="{3F1E7766-EE19-4C31-ABB6-D5BFB770679C}"/>
    <cellStyle name="Comma 13 8 4" xfId="10339" xr:uid="{BD260086-08A7-4D40-92FB-AE4BA9E91A00}"/>
    <cellStyle name="Comma 13 8 4 2" xfId="46847" xr:uid="{9A601E86-4D3D-44F8-9A95-405311F23596}"/>
    <cellStyle name="Comma 13 8 4 3" xfId="28593" xr:uid="{A465502F-E417-4259-956C-AF122DD12457}"/>
    <cellStyle name="Comma 13 8 5" xfId="6689" xr:uid="{DA2FEF2C-8719-4379-9A06-F2B37614315E}"/>
    <cellStyle name="Comma 13 8 5 2" xfId="43197" xr:uid="{C31C95CF-DBE7-40F0-8E15-B17B7F585A0C}"/>
    <cellStyle name="Comma 13 8 5 3" xfId="24943" xr:uid="{AC23479C-A337-4FA9-84D2-51549B2A838E}"/>
    <cellStyle name="Comma 13 8 6" xfId="39547" xr:uid="{D68E51D1-C4E5-445F-B275-A1493E213EFD}"/>
    <cellStyle name="Comma 13 8 7" xfId="21293" xr:uid="{5207D4E3-9596-407F-AF7F-E0A367C8CD6B}"/>
    <cellStyle name="Comma 13 9" xfId="2309" xr:uid="{5DC8A066-CE68-43C3-B4DB-C40B47431EE0}"/>
    <cellStyle name="Comma 13 9 2" xfId="16909" xr:uid="{4559D47F-FD6F-4E31-B559-31BCCA4D48CC}"/>
    <cellStyle name="Comma 13 9 2 2" xfId="53417" xr:uid="{77443468-61A7-48F8-A26F-ECD3A92C0603}"/>
    <cellStyle name="Comma 13 9 2 3" xfId="35163" xr:uid="{B2FEB38E-A213-4588-9DC0-BEF7292E568E}"/>
    <cellStyle name="Comma 13 9 3" xfId="13259" xr:uid="{03E62874-E6CB-40DB-8532-89DED8348B8D}"/>
    <cellStyle name="Comma 13 9 3 2" xfId="49767" xr:uid="{40476DB7-189F-48E3-B292-1429EFC5E470}"/>
    <cellStyle name="Comma 13 9 3 3" xfId="31513" xr:uid="{ED48ABD5-8B25-415D-AA60-84AEB9DFB92B}"/>
    <cellStyle name="Comma 13 9 4" xfId="9609" xr:uid="{3666B2AC-A3D5-4271-80DF-F92FF6D49FCD}"/>
    <cellStyle name="Comma 13 9 4 2" xfId="46117" xr:uid="{BAD9546F-3FCD-4FCE-8DEC-C36F7827771C}"/>
    <cellStyle name="Comma 13 9 4 3" xfId="27863" xr:uid="{416FDA73-133B-4CC4-9172-EC01D31432E0}"/>
    <cellStyle name="Comma 13 9 5" xfId="5959" xr:uid="{B3520B5E-67C1-4548-B8FB-64DFC876E751}"/>
    <cellStyle name="Comma 13 9 5 2" xfId="42467" xr:uid="{6AAEBFC7-E962-45EA-AB57-828E529452EF}"/>
    <cellStyle name="Comma 13 9 5 3" xfId="24213" xr:uid="{13B42C79-29BA-4565-A1A1-4D2EBCC12CF5}"/>
    <cellStyle name="Comma 13 9 6" xfId="38817" xr:uid="{C55C8F40-7830-4202-8F46-0CB4C9E46FB7}"/>
    <cellStyle name="Comma 13 9 7" xfId="20563" xr:uid="{113664D2-9E65-49D6-A022-94AD494A4F90}"/>
    <cellStyle name="Comma 14" xfId="120" xr:uid="{687FF9B9-F8C8-4E72-B034-15329BEB3142}"/>
    <cellStyle name="Comma 14 10" xfId="1580" xr:uid="{ED0DD873-8177-4287-8B04-9861B1A7A544}"/>
    <cellStyle name="Comma 14 10 2" xfId="16180" xr:uid="{6103F347-BA0E-4903-A6F2-924ACC013912}"/>
    <cellStyle name="Comma 14 10 2 2" xfId="52688" xr:uid="{1EBCA3CA-083F-4D70-B4CB-5B7CA76394B3}"/>
    <cellStyle name="Comma 14 10 2 3" xfId="34434" xr:uid="{312CB3CE-B406-4292-B7B3-E1041B44BDFE}"/>
    <cellStyle name="Comma 14 10 3" xfId="12530" xr:uid="{F2AD05D3-AC3B-4D97-AF95-A33D0FCD4E93}"/>
    <cellStyle name="Comma 14 10 3 2" xfId="49038" xr:uid="{EE862C6F-8158-48AA-A918-7CD02F52A5C0}"/>
    <cellStyle name="Comma 14 10 3 3" xfId="30784" xr:uid="{EAE8B570-07ED-45BB-8427-EF59DD38AADA}"/>
    <cellStyle name="Comma 14 10 4" xfId="8880" xr:uid="{58C80473-F9E0-4DC2-BAA9-2F7993DB47D1}"/>
    <cellStyle name="Comma 14 10 4 2" xfId="45388" xr:uid="{9CD44512-24E9-4A28-9B0D-6A09A11D1971}"/>
    <cellStyle name="Comma 14 10 4 3" xfId="27134" xr:uid="{ED3332DF-7A28-414E-8F29-31D835DC5157}"/>
    <cellStyle name="Comma 14 10 5" xfId="5230" xr:uid="{B9DBE717-8699-46A3-8F98-29766A140242}"/>
    <cellStyle name="Comma 14 10 5 2" xfId="41738" xr:uid="{AE551DC3-9CB7-488A-A4EE-3BBF0E640E15}"/>
    <cellStyle name="Comma 14 10 5 3" xfId="23484" xr:uid="{B73CA972-71E4-40E6-A09E-A555F016D46F}"/>
    <cellStyle name="Comma 14 10 6" xfId="38088" xr:uid="{CD9948A8-10EE-4CD0-BFED-F39826CECB18}"/>
    <cellStyle name="Comma 14 10 7" xfId="19834" xr:uid="{9154ED61-7815-4FF7-AFE4-BA7E92E72466}"/>
    <cellStyle name="Comma 14 11" xfId="850" xr:uid="{61CD9582-3E7D-4D8C-863D-E2C69F07D1EC}"/>
    <cellStyle name="Comma 14 11 2" xfId="15450" xr:uid="{F4845DD5-E21C-4216-A7DE-14E3C5E3B913}"/>
    <cellStyle name="Comma 14 11 2 2" xfId="51958" xr:uid="{2FE3C36F-042B-4A71-AE4A-E023F2B94D23}"/>
    <cellStyle name="Comma 14 11 2 3" xfId="33704" xr:uid="{A3EC9576-8AEA-4DC4-A957-B6059AD428FE}"/>
    <cellStyle name="Comma 14 11 3" xfId="11800" xr:uid="{AE143E88-A064-466E-B4EE-7F7BCC995DAF}"/>
    <cellStyle name="Comma 14 11 3 2" xfId="48308" xr:uid="{1694D379-8217-4442-A785-1D5831F114F9}"/>
    <cellStyle name="Comma 14 11 3 3" xfId="30054" xr:uid="{A9C3FE87-C361-4457-AECC-CE8E02312769}"/>
    <cellStyle name="Comma 14 11 4" xfId="8150" xr:uid="{62C9DD14-7301-4944-8165-02F7C534020B}"/>
    <cellStyle name="Comma 14 11 4 2" xfId="44658" xr:uid="{3BAEC6E1-FF9A-406C-8D7B-DE3190FBF852}"/>
    <cellStyle name="Comma 14 11 4 3" xfId="26404" xr:uid="{AB70A3AC-4796-43C0-AFA7-E403523F62C5}"/>
    <cellStyle name="Comma 14 11 5" xfId="4500" xr:uid="{1F585B18-BB5C-4DC3-85DC-2FFAFAEE984D}"/>
    <cellStyle name="Comma 14 11 5 2" xfId="41008" xr:uid="{B299295A-A012-434A-8C7C-D808BB0F1AA7}"/>
    <cellStyle name="Comma 14 11 5 3" xfId="22754" xr:uid="{630C20DF-3B1C-4991-AD02-5B14280113D1}"/>
    <cellStyle name="Comma 14 11 6" xfId="37358" xr:uid="{446D5D50-828A-4AA7-87AE-242F8FADA42A}"/>
    <cellStyle name="Comma 14 11 7" xfId="19104" xr:uid="{0AEFB18A-A8D2-4DA2-A76D-78210BBF65D2}"/>
    <cellStyle name="Comma 14 12" xfId="14720" xr:uid="{971BAABF-D3A8-4832-A6E2-27D786643D20}"/>
    <cellStyle name="Comma 14 12 2" xfId="51228" xr:uid="{61AA9B4B-F4DE-46E0-9AC1-21162EB46E12}"/>
    <cellStyle name="Comma 14 12 3" xfId="32974" xr:uid="{0861F4AE-D0A4-4D01-AFDB-CE96E050AD7E}"/>
    <cellStyle name="Comma 14 13" xfId="11070" xr:uid="{522BCFB5-3725-41A5-A57F-124A6B57AE1E}"/>
    <cellStyle name="Comma 14 13 2" xfId="47578" xr:uid="{E8D8A3E2-A87B-4A0D-841A-068D3F8FE998}"/>
    <cellStyle name="Comma 14 13 3" xfId="29324" xr:uid="{5F3549C9-38FE-4D78-9638-E2F5C1C3E6B7}"/>
    <cellStyle name="Comma 14 14" xfId="7420" xr:uid="{A09A600A-48E7-42C6-9FBF-96F7EAFBCA78}"/>
    <cellStyle name="Comma 14 14 2" xfId="43928" xr:uid="{2324DF85-9D2D-4B8C-9794-1262E33B5384}"/>
    <cellStyle name="Comma 14 14 3" xfId="25674" xr:uid="{0ABB53FB-A04F-4C75-B796-A19F96C2AA9D}"/>
    <cellStyle name="Comma 14 15" xfId="3770" xr:uid="{92ECBD16-156B-4102-9784-EEE6FEB23BE2}"/>
    <cellStyle name="Comma 14 15 2" xfId="40278" xr:uid="{F51D887B-B6C9-4651-84CC-23804827D72E}"/>
    <cellStyle name="Comma 14 15 3" xfId="22024" xr:uid="{78BFBC2D-FFEB-48DD-B851-09CDAE8B6C98}"/>
    <cellStyle name="Comma 14 16" xfId="36628" xr:uid="{9F3D2283-11B3-4CC5-8897-63ADD4500B5B}"/>
    <cellStyle name="Comma 14 17" xfId="18374" xr:uid="{BF023C94-FD4F-4E96-BBBD-2C832C7A759F}"/>
    <cellStyle name="Comma 14 2" xfId="744" xr:uid="{40877F51-D2F4-43C4-B8B3-53433AD2ECA0}"/>
    <cellStyle name="Comma 14 2 10" xfId="37252" xr:uid="{C1ACED1A-1079-4E39-8498-B3D8B265BE24}"/>
    <cellStyle name="Comma 14 2 11" xfId="18998" xr:uid="{58565FE2-7726-4D56-943F-65B819BC1B87}"/>
    <cellStyle name="Comma 14 2 2" xfId="3664" xr:uid="{93E4DB9C-FB96-42F7-85B7-7688E14A6B38}"/>
    <cellStyle name="Comma 14 2 2 2" xfId="18264" xr:uid="{7B6C992B-27F3-4441-B1D5-C579C605BAE1}"/>
    <cellStyle name="Comma 14 2 2 2 2" xfId="54772" xr:uid="{52441FBC-9467-4845-9062-83C3CD2C1005}"/>
    <cellStyle name="Comma 14 2 2 2 3" xfId="36518" xr:uid="{27AF2E03-C942-4473-BCC4-2AD020576DD9}"/>
    <cellStyle name="Comma 14 2 2 3" xfId="14614" xr:uid="{EA95F442-25F6-440B-A7B4-328B29AABA25}"/>
    <cellStyle name="Comma 14 2 2 3 2" xfId="51122" xr:uid="{6D2485F3-B852-4467-B125-76D12CA9F06C}"/>
    <cellStyle name="Comma 14 2 2 3 3" xfId="32868" xr:uid="{AF0112A8-F88C-4AF9-A98E-FEFCC39C29A3}"/>
    <cellStyle name="Comma 14 2 2 4" xfId="10964" xr:uid="{18753A0C-6D54-4E7C-8522-EF529CD0329A}"/>
    <cellStyle name="Comma 14 2 2 4 2" xfId="47472" xr:uid="{085AE183-DD1E-4A04-B326-EA7551964D5E}"/>
    <cellStyle name="Comma 14 2 2 4 3" xfId="29218" xr:uid="{5453C7EC-6E07-4F4A-9DF3-AD009D6DA161}"/>
    <cellStyle name="Comma 14 2 2 5" xfId="7314" xr:uid="{1B0E06F5-8F0F-4EA1-9108-A9F35420ADE2}"/>
    <cellStyle name="Comma 14 2 2 5 2" xfId="43822" xr:uid="{4D8381EA-37BF-455D-8C32-A300C43B311F}"/>
    <cellStyle name="Comma 14 2 2 5 3" xfId="25568" xr:uid="{AF836546-62B5-4C5D-A582-BDD0A4A69FD1}"/>
    <cellStyle name="Comma 14 2 2 6" xfId="40172" xr:uid="{E88909A6-E3C6-44E8-B1DE-F963B0C21818}"/>
    <cellStyle name="Comma 14 2 2 7" xfId="21918" xr:uid="{F20A7B83-9C29-43AC-AAC4-993388BCF6DD}"/>
    <cellStyle name="Comma 14 2 3" xfId="2934" xr:uid="{C6F77747-2064-4DA8-B0D3-BAE65D920123}"/>
    <cellStyle name="Comma 14 2 3 2" xfId="17534" xr:uid="{3DEC86E8-C801-40CF-A766-4F1DF7B9FCC7}"/>
    <cellStyle name="Comma 14 2 3 2 2" xfId="54042" xr:uid="{BE6EA3A9-D53D-4928-ADE4-94A2CE08DFB3}"/>
    <cellStyle name="Comma 14 2 3 2 3" xfId="35788" xr:uid="{C2215D12-E9A5-4950-90DB-BB50C8216D4C}"/>
    <cellStyle name="Comma 14 2 3 3" xfId="13884" xr:uid="{4EC6DFBE-8738-4FC4-B0B5-BFC2F1C3B8F6}"/>
    <cellStyle name="Comma 14 2 3 3 2" xfId="50392" xr:uid="{762C045F-267F-4551-841A-3DB70C7E5EB9}"/>
    <cellStyle name="Comma 14 2 3 3 3" xfId="32138" xr:uid="{C267880D-DF67-4D79-9C81-940A0B4A5A36}"/>
    <cellStyle name="Comma 14 2 3 4" xfId="10234" xr:uid="{DDC574F2-4237-415B-AD1E-673DF1BAEFD6}"/>
    <cellStyle name="Comma 14 2 3 4 2" xfId="46742" xr:uid="{D15F3F3E-121F-444C-9928-33CCF010D04E}"/>
    <cellStyle name="Comma 14 2 3 4 3" xfId="28488" xr:uid="{E97C8A5F-A2A9-477E-B0C5-8D70558E8FC4}"/>
    <cellStyle name="Comma 14 2 3 5" xfId="6584" xr:uid="{B45C8CA9-59AB-4B23-B431-8D22D23E6A2E}"/>
    <cellStyle name="Comma 14 2 3 5 2" xfId="43092" xr:uid="{F903BEBA-4D48-412C-9111-8C134E097DF6}"/>
    <cellStyle name="Comma 14 2 3 5 3" xfId="24838" xr:uid="{1DC1C460-DBC6-4230-9AF2-2AB6BBD0F1DE}"/>
    <cellStyle name="Comma 14 2 3 6" xfId="39442" xr:uid="{ECAC5CC9-2540-4E60-B2D1-25FFB5B3E9ED}"/>
    <cellStyle name="Comma 14 2 3 7" xfId="21188" xr:uid="{B0298D28-A760-402A-AE36-862358269228}"/>
    <cellStyle name="Comma 14 2 4" xfId="2204" xr:uid="{0C8D68D7-0D09-423A-8768-6B559602B161}"/>
    <cellStyle name="Comma 14 2 4 2" xfId="16804" xr:uid="{49C22799-89DC-4982-A0A5-6B4F9A668D7B}"/>
    <cellStyle name="Comma 14 2 4 2 2" xfId="53312" xr:uid="{D93E8D6E-7BE3-4767-AC6F-DF093B8DED65}"/>
    <cellStyle name="Comma 14 2 4 2 3" xfId="35058" xr:uid="{8BDD6DD9-7248-4DE0-A87E-DDE78407E37A}"/>
    <cellStyle name="Comma 14 2 4 3" xfId="13154" xr:uid="{D8C554C6-EF67-459E-8058-17FFBFB33F3E}"/>
    <cellStyle name="Comma 14 2 4 3 2" xfId="49662" xr:uid="{B3354B4A-789D-4699-BA47-59F873EC7A8B}"/>
    <cellStyle name="Comma 14 2 4 3 3" xfId="31408" xr:uid="{F6A16043-F8B8-42C7-BFB9-E2378DC7B267}"/>
    <cellStyle name="Comma 14 2 4 4" xfId="9504" xr:uid="{E7016CFD-2E05-4930-8DD4-E9F7BB183A35}"/>
    <cellStyle name="Comma 14 2 4 4 2" xfId="46012" xr:uid="{66EED9ED-7240-48DF-8928-E273C88BB19D}"/>
    <cellStyle name="Comma 14 2 4 4 3" xfId="27758" xr:uid="{80252CD7-4229-4A65-8365-C9DFF919B6D6}"/>
    <cellStyle name="Comma 14 2 4 5" xfId="5854" xr:uid="{7C719E77-9781-4215-B993-4117318A2A8C}"/>
    <cellStyle name="Comma 14 2 4 5 2" xfId="42362" xr:uid="{B0C4BAA4-BA71-41F5-8DD5-CDAB9B986B71}"/>
    <cellStyle name="Comma 14 2 4 5 3" xfId="24108" xr:uid="{F90C964D-5109-42DF-99E8-6BAE55903858}"/>
    <cellStyle name="Comma 14 2 4 6" xfId="38712" xr:uid="{5EC2EE8F-D92B-4821-A9E1-A6B0A36E2CBE}"/>
    <cellStyle name="Comma 14 2 4 7" xfId="20458" xr:uid="{BA5AEC39-1C72-47D9-8168-5C4332F14A20}"/>
    <cellStyle name="Comma 14 2 5" xfId="1474" xr:uid="{51976FC9-D26D-47B2-B7FD-AFCA638A4368}"/>
    <cellStyle name="Comma 14 2 5 2" xfId="16074" xr:uid="{2D38FE7C-2675-4695-9826-0A8776D4A591}"/>
    <cellStyle name="Comma 14 2 5 2 2" xfId="52582" xr:uid="{EAA9924F-778F-48D8-BA1D-6BEA49E05CC8}"/>
    <cellStyle name="Comma 14 2 5 2 3" xfId="34328" xr:uid="{82DD5A5F-A03A-49E9-B423-005BA8126B7E}"/>
    <cellStyle name="Comma 14 2 5 3" xfId="12424" xr:uid="{2D75E89B-074D-4067-94FB-869B6AF64209}"/>
    <cellStyle name="Comma 14 2 5 3 2" xfId="48932" xr:uid="{E969AC58-C859-4AC8-A320-7687CC748522}"/>
    <cellStyle name="Comma 14 2 5 3 3" xfId="30678" xr:uid="{DBEA004F-430C-4D98-86A3-0F8B38568AEB}"/>
    <cellStyle name="Comma 14 2 5 4" xfId="8774" xr:uid="{E2E0F694-65A9-49A6-B452-61C1D4A59994}"/>
    <cellStyle name="Comma 14 2 5 4 2" xfId="45282" xr:uid="{16D8CCB4-05A0-4AAF-9EBF-B71F634730A3}"/>
    <cellStyle name="Comma 14 2 5 4 3" xfId="27028" xr:uid="{335F4BEC-2113-4736-A4EF-B05CC94210B6}"/>
    <cellStyle name="Comma 14 2 5 5" xfId="5124" xr:uid="{51ADD832-42AB-46FE-B596-8915D241F0F6}"/>
    <cellStyle name="Comma 14 2 5 5 2" xfId="41632" xr:uid="{3D3E2FD5-88FA-4CB9-AE13-C317217F20FD}"/>
    <cellStyle name="Comma 14 2 5 5 3" xfId="23378" xr:uid="{4F67D871-C2E4-403B-980E-069075C1B627}"/>
    <cellStyle name="Comma 14 2 5 6" xfId="37982" xr:uid="{2ADDFF70-B04A-4E5A-97A0-F1442039E709}"/>
    <cellStyle name="Comma 14 2 5 7" xfId="19728" xr:uid="{F386FE85-B45F-4E78-AC13-0E1DA33E549D}"/>
    <cellStyle name="Comma 14 2 6" xfId="15344" xr:uid="{533A9B88-D237-49EA-B4E8-02DBC95DFA4F}"/>
    <cellStyle name="Comma 14 2 6 2" xfId="51852" xr:uid="{B2ACC01B-D8A5-4CAF-895C-77926E4A38FD}"/>
    <cellStyle name="Comma 14 2 6 3" xfId="33598" xr:uid="{77A56D8F-E12B-4975-AB50-0BB4CAA71D27}"/>
    <cellStyle name="Comma 14 2 7" xfId="11694" xr:uid="{D33BE6A9-FED1-4B04-B5C0-5C03BCD5344E}"/>
    <cellStyle name="Comma 14 2 7 2" xfId="48202" xr:uid="{51D41A38-9045-4CD3-B081-FB023BF54907}"/>
    <cellStyle name="Comma 14 2 7 3" xfId="29948" xr:uid="{8F4F6A27-676C-4AD5-8A2B-B833EAF1EE14}"/>
    <cellStyle name="Comma 14 2 8" xfId="8044" xr:uid="{78AE42FF-CE42-483D-B5F3-26179D7382D1}"/>
    <cellStyle name="Comma 14 2 8 2" xfId="44552" xr:uid="{84C51405-715C-407F-BDB9-4843495471B5}"/>
    <cellStyle name="Comma 14 2 8 3" xfId="26298" xr:uid="{1B418068-2C77-4D7F-8C6E-3231765B9798}"/>
    <cellStyle name="Comma 14 2 9" xfId="4394" xr:uid="{0A488A62-8D32-405D-812E-987B2FCD6C4D}"/>
    <cellStyle name="Comma 14 2 9 2" xfId="40902" xr:uid="{B84115D3-2129-4A10-9459-78AE0F414977}"/>
    <cellStyle name="Comma 14 2 9 3" xfId="22648" xr:uid="{D80CDECA-8C12-4620-9FAC-5EB65A9A3DD6}"/>
    <cellStyle name="Comma 14 3" xfId="640" xr:uid="{E17F357C-9483-4BDF-842B-3ACE22835092}"/>
    <cellStyle name="Comma 14 3 10" xfId="37148" xr:uid="{48CD8287-16DD-4731-A623-03B51DEBD82C}"/>
    <cellStyle name="Comma 14 3 11" xfId="18894" xr:uid="{335044B3-C5C7-4CC0-A2E5-E23EA00D6B4C}"/>
    <cellStyle name="Comma 14 3 2" xfId="3560" xr:uid="{3904BFC6-0083-484F-842A-3C2DFD56976A}"/>
    <cellStyle name="Comma 14 3 2 2" xfId="18160" xr:uid="{57BB1005-42D3-4F8C-8792-FB3F876CD98E}"/>
    <cellStyle name="Comma 14 3 2 2 2" xfId="54668" xr:uid="{7AD6431F-9226-4287-9F12-EB2D5FC6A633}"/>
    <cellStyle name="Comma 14 3 2 2 3" xfId="36414" xr:uid="{3D793A65-9DC4-40AF-9027-EB3B86A2C6ED}"/>
    <cellStyle name="Comma 14 3 2 3" xfId="14510" xr:uid="{A4270A8E-E6A4-4072-9C2B-5135C62FA81A}"/>
    <cellStyle name="Comma 14 3 2 3 2" xfId="51018" xr:uid="{07848176-6678-419C-BA28-447D2E48C5DE}"/>
    <cellStyle name="Comma 14 3 2 3 3" xfId="32764" xr:uid="{C023A570-C1F4-4518-9B0F-2A05D40251EF}"/>
    <cellStyle name="Comma 14 3 2 4" xfId="10860" xr:uid="{E25B68F8-9835-4E17-8A5F-E746B1622454}"/>
    <cellStyle name="Comma 14 3 2 4 2" xfId="47368" xr:uid="{E5E3BB41-D45F-4D62-A534-BA76D27E604C}"/>
    <cellStyle name="Comma 14 3 2 4 3" xfId="29114" xr:uid="{8112896B-259F-4F75-9650-1E3B5D772EB6}"/>
    <cellStyle name="Comma 14 3 2 5" xfId="7210" xr:uid="{7BDEC2B4-C786-4683-B31A-B43E77600369}"/>
    <cellStyle name="Comma 14 3 2 5 2" xfId="43718" xr:uid="{0A2CC47F-713E-4761-A27A-6F919B800AD6}"/>
    <cellStyle name="Comma 14 3 2 5 3" xfId="25464" xr:uid="{2C04D434-3A81-4ECD-AB3C-B572F2C1F7EC}"/>
    <cellStyle name="Comma 14 3 2 6" xfId="40068" xr:uid="{2AC090A4-2E65-467C-A91B-F11AD112B472}"/>
    <cellStyle name="Comma 14 3 2 7" xfId="21814" xr:uid="{76CAA6F7-3F96-4E88-805A-2B9BBA87D3AE}"/>
    <cellStyle name="Comma 14 3 3" xfId="2830" xr:uid="{FD3628AB-08E3-4173-8B51-1CA39409F60B}"/>
    <cellStyle name="Comma 14 3 3 2" xfId="17430" xr:uid="{FAA03C53-99FF-444D-8A22-97E16687E0B1}"/>
    <cellStyle name="Comma 14 3 3 2 2" xfId="53938" xr:uid="{CFBEB056-B7B2-4340-A6AB-B2E1E4BA5E49}"/>
    <cellStyle name="Comma 14 3 3 2 3" xfId="35684" xr:uid="{85FA7F5B-13BA-4D8E-9E7B-35AB832286CF}"/>
    <cellStyle name="Comma 14 3 3 3" xfId="13780" xr:uid="{8D6A6FE2-5F64-444A-968B-1FDDA22EFBBC}"/>
    <cellStyle name="Comma 14 3 3 3 2" xfId="50288" xr:uid="{7BDD3A3E-FD15-48BE-BD0A-31B8AE2DC6E4}"/>
    <cellStyle name="Comma 14 3 3 3 3" xfId="32034" xr:uid="{A741CE65-F5B3-4A89-8357-608C51D45238}"/>
    <cellStyle name="Comma 14 3 3 4" xfId="10130" xr:uid="{82F8C273-E934-4CF4-BCA7-39A5F369FD94}"/>
    <cellStyle name="Comma 14 3 3 4 2" xfId="46638" xr:uid="{B0B8344D-0B36-4D5F-B0AC-3999C2F9B18F}"/>
    <cellStyle name="Comma 14 3 3 4 3" xfId="28384" xr:uid="{BEBBF4F0-16C6-44F1-B436-BE7AB23CD948}"/>
    <cellStyle name="Comma 14 3 3 5" xfId="6480" xr:uid="{810BB49C-5B96-430F-8AD9-92D5F4E8296D}"/>
    <cellStyle name="Comma 14 3 3 5 2" xfId="42988" xr:uid="{E1ACB0C0-73CD-4B41-AC8D-C237516EB7BB}"/>
    <cellStyle name="Comma 14 3 3 5 3" xfId="24734" xr:uid="{4A44EC2A-9F5B-4216-9FD6-E23D98B38345}"/>
    <cellStyle name="Comma 14 3 3 6" xfId="39338" xr:uid="{273ED97D-1D88-4676-B15E-CBC9C4C72D90}"/>
    <cellStyle name="Comma 14 3 3 7" xfId="21084" xr:uid="{1BE126D0-8A1E-46E5-B038-C431832062DB}"/>
    <cellStyle name="Comma 14 3 4" xfId="2100" xr:uid="{E7BE2D66-490B-47FC-AEAE-27AC0E298959}"/>
    <cellStyle name="Comma 14 3 4 2" xfId="16700" xr:uid="{E3A981ED-D950-40B6-913B-6CCCF56FDD70}"/>
    <cellStyle name="Comma 14 3 4 2 2" xfId="53208" xr:uid="{BBD631DC-B1F4-4125-82B2-8ED6164C2749}"/>
    <cellStyle name="Comma 14 3 4 2 3" xfId="34954" xr:uid="{0E9FF416-0301-426D-904A-17A2685139D2}"/>
    <cellStyle name="Comma 14 3 4 3" xfId="13050" xr:uid="{7480C725-55FA-4B7A-97D2-8055847F9A75}"/>
    <cellStyle name="Comma 14 3 4 3 2" xfId="49558" xr:uid="{CAE79017-311D-4498-B83D-CF618E986846}"/>
    <cellStyle name="Comma 14 3 4 3 3" xfId="31304" xr:uid="{12B3A071-2BFA-4B78-92E4-B9571DAED1FF}"/>
    <cellStyle name="Comma 14 3 4 4" xfId="9400" xr:uid="{7F962D91-9A00-4A98-AD38-F6440AE3071B}"/>
    <cellStyle name="Comma 14 3 4 4 2" xfId="45908" xr:uid="{81C6588B-A1E9-4216-929F-16B07F2208FE}"/>
    <cellStyle name="Comma 14 3 4 4 3" xfId="27654" xr:uid="{64458697-3BF3-43B1-B7FF-ADD75FB65B97}"/>
    <cellStyle name="Comma 14 3 4 5" xfId="5750" xr:uid="{F228FFC5-BC3C-4C05-B16F-96E9F96AAE9F}"/>
    <cellStyle name="Comma 14 3 4 5 2" xfId="42258" xr:uid="{F8A3B50E-685C-4468-8FB4-15CD1396E114}"/>
    <cellStyle name="Comma 14 3 4 5 3" xfId="24004" xr:uid="{860C6422-F6E6-485B-AD8B-CBBF61A76CF2}"/>
    <cellStyle name="Comma 14 3 4 6" xfId="38608" xr:uid="{F74911EA-CBBC-482A-B8DE-6B0150BECA7A}"/>
    <cellStyle name="Comma 14 3 4 7" xfId="20354" xr:uid="{DBA99300-C48B-4C9D-BBA8-77F608AD629C}"/>
    <cellStyle name="Comma 14 3 5" xfId="1370" xr:uid="{A14B8B92-494D-4001-A5BA-0745F8C0D052}"/>
    <cellStyle name="Comma 14 3 5 2" xfId="15970" xr:uid="{5714ADF1-FEE1-4831-8EBC-7AEC8840955C}"/>
    <cellStyle name="Comma 14 3 5 2 2" xfId="52478" xr:uid="{E656EEE7-2819-427F-B2D7-BD1D5DEC9343}"/>
    <cellStyle name="Comma 14 3 5 2 3" xfId="34224" xr:uid="{5AD02DB4-A69D-4E7A-9874-4D1A565BD6E1}"/>
    <cellStyle name="Comma 14 3 5 3" xfId="12320" xr:uid="{EADF3E85-166A-4CEC-8F3C-21E38A70880E}"/>
    <cellStyle name="Comma 14 3 5 3 2" xfId="48828" xr:uid="{95714823-401D-4347-8E88-BBC7FBF551E9}"/>
    <cellStyle name="Comma 14 3 5 3 3" xfId="30574" xr:uid="{56B2CD50-6FDB-4AB9-9B5F-A5820E0391A6}"/>
    <cellStyle name="Comma 14 3 5 4" xfId="8670" xr:uid="{B5C89E57-5697-48CD-8683-1881EB4DECEA}"/>
    <cellStyle name="Comma 14 3 5 4 2" xfId="45178" xr:uid="{72DCE132-2C8A-4C14-9A98-85E654DB13F7}"/>
    <cellStyle name="Comma 14 3 5 4 3" xfId="26924" xr:uid="{E031C999-803E-4A72-A88D-7B2DF77F7BB8}"/>
    <cellStyle name="Comma 14 3 5 5" xfId="5020" xr:uid="{BB2CAAFB-224A-4C71-AEE4-9A33B4AFE72F}"/>
    <cellStyle name="Comma 14 3 5 5 2" xfId="41528" xr:uid="{37B6BD9A-837C-4863-8799-0F8951C2FFF7}"/>
    <cellStyle name="Comma 14 3 5 5 3" xfId="23274" xr:uid="{43F9E729-1F46-4D76-A06D-929DDA54538D}"/>
    <cellStyle name="Comma 14 3 5 6" xfId="37878" xr:uid="{06DE38A3-1445-4AE2-837E-950E9CCF4C42}"/>
    <cellStyle name="Comma 14 3 5 7" xfId="19624" xr:uid="{E8DD1973-6AC7-43CB-A18C-EA697DF7E8E4}"/>
    <cellStyle name="Comma 14 3 6" xfId="15240" xr:uid="{2ACDCB28-497B-46C7-8B2B-1038318E4859}"/>
    <cellStyle name="Comma 14 3 6 2" xfId="51748" xr:uid="{1D350545-E827-49CF-8625-07AB0D8C3D88}"/>
    <cellStyle name="Comma 14 3 6 3" xfId="33494" xr:uid="{1D73CD70-4DC1-408A-947E-0CFB16F4A65B}"/>
    <cellStyle name="Comma 14 3 7" xfId="11590" xr:uid="{49555B62-FCE5-4A7F-8511-A04C26996665}"/>
    <cellStyle name="Comma 14 3 7 2" xfId="48098" xr:uid="{3A0DF37D-DD03-4D18-978E-BCAA1273D2AE}"/>
    <cellStyle name="Comma 14 3 7 3" xfId="29844" xr:uid="{67BEAC6E-C288-4280-89E4-99D1BFD8A016}"/>
    <cellStyle name="Comma 14 3 8" xfId="7940" xr:uid="{A618C1B3-E643-4F32-8139-C8313F289D03}"/>
    <cellStyle name="Comma 14 3 8 2" xfId="44448" xr:uid="{D6DF12F9-5E10-45CC-822E-06CAB0D0FDF3}"/>
    <cellStyle name="Comma 14 3 8 3" xfId="26194" xr:uid="{7BE9E747-5824-4731-972D-41F135D1D834}"/>
    <cellStyle name="Comma 14 3 9" xfId="4290" xr:uid="{FC7E4BC6-F6FA-4C88-AF0A-A069A8AA766E}"/>
    <cellStyle name="Comma 14 3 9 2" xfId="40798" xr:uid="{76597D36-BB77-4729-90B9-A06334BB6848}"/>
    <cellStyle name="Comma 14 3 9 3" xfId="22544" xr:uid="{07612F8E-E7D7-4759-9B24-474A320DD166}"/>
    <cellStyle name="Comma 14 4" xfId="536" xr:uid="{B5872BE8-05BC-445E-B0C9-D3F053BBD278}"/>
    <cellStyle name="Comma 14 4 10" xfId="37044" xr:uid="{97AE6B05-81CC-4233-B195-F3515D876DD2}"/>
    <cellStyle name="Comma 14 4 11" xfId="18790" xr:uid="{88482887-EBC1-4E6E-9AE3-166BA438A13F}"/>
    <cellStyle name="Comma 14 4 2" xfId="3456" xr:uid="{53E15D0F-DD1E-4C21-B6FF-167502EB8524}"/>
    <cellStyle name="Comma 14 4 2 2" xfId="18056" xr:uid="{504D0BD6-0855-4560-89B9-89E1EF9A52F2}"/>
    <cellStyle name="Comma 14 4 2 2 2" xfId="54564" xr:uid="{9F36DC4D-7E82-41D8-A674-CB2343700303}"/>
    <cellStyle name="Comma 14 4 2 2 3" xfId="36310" xr:uid="{19A7AE82-CF5D-447A-8BF4-D45FBC04FE50}"/>
    <cellStyle name="Comma 14 4 2 3" xfId="14406" xr:uid="{9B78B771-B321-4E53-B28D-D3ABB15B6B25}"/>
    <cellStyle name="Comma 14 4 2 3 2" xfId="50914" xr:uid="{3511E6A1-E64C-4FD7-A8A8-64D7F8EC78E6}"/>
    <cellStyle name="Comma 14 4 2 3 3" xfId="32660" xr:uid="{4D6FF614-4E5B-4D20-9B80-B840A75F08E2}"/>
    <cellStyle name="Comma 14 4 2 4" xfId="10756" xr:uid="{176E0854-9E36-4AD7-BC65-534EC901FFA7}"/>
    <cellStyle name="Comma 14 4 2 4 2" xfId="47264" xr:uid="{AF7DD8CB-9D45-4383-AE20-F9AFE1741C48}"/>
    <cellStyle name="Comma 14 4 2 4 3" xfId="29010" xr:uid="{689E3700-855E-480D-A332-4E84B4D81FE1}"/>
    <cellStyle name="Comma 14 4 2 5" xfId="7106" xr:uid="{821168EB-18DD-4251-B337-4AF6B5AE6ED5}"/>
    <cellStyle name="Comma 14 4 2 5 2" xfId="43614" xr:uid="{F9204410-6BF4-4104-A7D1-7045EE619922}"/>
    <cellStyle name="Comma 14 4 2 5 3" xfId="25360" xr:uid="{B46F5BC9-E332-408D-8129-B5E1C535FCA8}"/>
    <cellStyle name="Comma 14 4 2 6" xfId="39964" xr:uid="{E40CB8AE-8EE3-4DA7-BA74-86CB2C6855CE}"/>
    <cellStyle name="Comma 14 4 2 7" xfId="21710" xr:uid="{1498A5CF-F87D-42BB-BC62-118C6265A13F}"/>
    <cellStyle name="Comma 14 4 3" xfId="2726" xr:uid="{89F7BA1E-39E2-44E8-8E3B-79CD9E841450}"/>
    <cellStyle name="Comma 14 4 3 2" xfId="17326" xr:uid="{9B8C5DC0-48C1-45D1-AEAC-0310F0F32858}"/>
    <cellStyle name="Comma 14 4 3 2 2" xfId="53834" xr:uid="{73EDCFB8-0DF6-492E-BA8A-036BB534DF1B}"/>
    <cellStyle name="Comma 14 4 3 2 3" xfId="35580" xr:uid="{7F9BCF2C-AC9A-4945-AC30-34D3E3AEFB49}"/>
    <cellStyle name="Comma 14 4 3 3" xfId="13676" xr:uid="{9767205D-856D-43DB-92B2-792C209D6437}"/>
    <cellStyle name="Comma 14 4 3 3 2" xfId="50184" xr:uid="{2E19C0CD-04EC-40BA-9EFB-7BBEDF1FFCBD}"/>
    <cellStyle name="Comma 14 4 3 3 3" xfId="31930" xr:uid="{468BCC7C-86BA-4C54-92E2-3B00AFADE663}"/>
    <cellStyle name="Comma 14 4 3 4" xfId="10026" xr:uid="{B2E06F9F-3487-49C4-BEC3-1CC3EFF88966}"/>
    <cellStyle name="Comma 14 4 3 4 2" xfId="46534" xr:uid="{790D6BB4-1493-49C5-AD88-DB5ED6179728}"/>
    <cellStyle name="Comma 14 4 3 4 3" xfId="28280" xr:uid="{59A1F818-D83B-4F04-9105-589A74AC95C0}"/>
    <cellStyle name="Comma 14 4 3 5" xfId="6376" xr:uid="{97A4C91B-9176-497B-97EC-9C3EA36A3154}"/>
    <cellStyle name="Comma 14 4 3 5 2" xfId="42884" xr:uid="{A0210F80-D673-4139-A831-033B853AF6CE}"/>
    <cellStyle name="Comma 14 4 3 5 3" xfId="24630" xr:uid="{31E7B84F-6745-43CA-ABD9-AC96559D370C}"/>
    <cellStyle name="Comma 14 4 3 6" xfId="39234" xr:uid="{F1B7DF5F-A888-48F3-B2E6-8D83EA51448A}"/>
    <cellStyle name="Comma 14 4 3 7" xfId="20980" xr:uid="{A8FBA9AC-41E2-4D38-8799-DB5BE3534C69}"/>
    <cellStyle name="Comma 14 4 4" xfId="1996" xr:uid="{F2BA6B4A-181D-4504-ACDA-DA5A02103CEA}"/>
    <cellStyle name="Comma 14 4 4 2" xfId="16596" xr:uid="{92EBDCE7-E04B-43BE-9C62-ED9C87D13198}"/>
    <cellStyle name="Comma 14 4 4 2 2" xfId="53104" xr:uid="{753D53DD-E15A-4034-820A-90614C19D6C4}"/>
    <cellStyle name="Comma 14 4 4 2 3" xfId="34850" xr:uid="{BE659BF3-5B70-4833-9E14-8118F57328C3}"/>
    <cellStyle name="Comma 14 4 4 3" xfId="12946" xr:uid="{84CFFE1C-B8C0-43F5-8C1C-64C43F2E698E}"/>
    <cellStyle name="Comma 14 4 4 3 2" xfId="49454" xr:uid="{6CEAB5A1-07FF-4243-8F6B-3598BA16F53E}"/>
    <cellStyle name="Comma 14 4 4 3 3" xfId="31200" xr:uid="{80085861-583D-45E3-BE09-186FAA1E52AE}"/>
    <cellStyle name="Comma 14 4 4 4" xfId="9296" xr:uid="{0612EB39-B944-4FB8-8EB6-2A63D8A404DC}"/>
    <cellStyle name="Comma 14 4 4 4 2" xfId="45804" xr:uid="{EFE69C65-01A0-46E8-8481-87056921F10E}"/>
    <cellStyle name="Comma 14 4 4 4 3" xfId="27550" xr:uid="{1FDBFBB5-67BE-4E6E-8165-4298DE88A153}"/>
    <cellStyle name="Comma 14 4 4 5" xfId="5646" xr:uid="{CCCA9A2C-02CD-49A8-A2FB-A946920D53F3}"/>
    <cellStyle name="Comma 14 4 4 5 2" xfId="42154" xr:uid="{00D0DB08-3099-4A3B-966E-15C43397E1AC}"/>
    <cellStyle name="Comma 14 4 4 5 3" xfId="23900" xr:uid="{9703668A-99ED-47B6-89C3-F8D629621D38}"/>
    <cellStyle name="Comma 14 4 4 6" xfId="38504" xr:uid="{6705AA61-AFC3-4BE2-9252-3464342DA579}"/>
    <cellStyle name="Comma 14 4 4 7" xfId="20250" xr:uid="{46245021-0DB2-4319-9438-5282F07AEBE0}"/>
    <cellStyle name="Comma 14 4 5" xfId="1266" xr:uid="{0872C2CE-8690-4202-B5B4-D59D12420588}"/>
    <cellStyle name="Comma 14 4 5 2" xfId="15866" xr:uid="{B4F71773-507C-4E56-A847-5DE5375B1AD3}"/>
    <cellStyle name="Comma 14 4 5 2 2" xfId="52374" xr:uid="{BFB69BAF-318F-4419-94B1-C7D5BFB10430}"/>
    <cellStyle name="Comma 14 4 5 2 3" xfId="34120" xr:uid="{66DE813E-D280-4C87-980E-B0A7C7D81016}"/>
    <cellStyle name="Comma 14 4 5 3" xfId="12216" xr:uid="{EFD28634-8987-4BE7-9E3F-5408E5DD9CDD}"/>
    <cellStyle name="Comma 14 4 5 3 2" xfId="48724" xr:uid="{2879D03D-8B56-4855-9D85-E64F7FC1B3BC}"/>
    <cellStyle name="Comma 14 4 5 3 3" xfId="30470" xr:uid="{D1AE58A9-7DAC-4B31-AA3D-CD33275F9CD2}"/>
    <cellStyle name="Comma 14 4 5 4" xfId="8566" xr:uid="{FCAE1CF5-0A36-43F1-AA9F-00808F899D78}"/>
    <cellStyle name="Comma 14 4 5 4 2" xfId="45074" xr:uid="{FCB63A7A-D279-4EDA-A89A-16AE05D9285E}"/>
    <cellStyle name="Comma 14 4 5 4 3" xfId="26820" xr:uid="{378E5B4B-C761-4B64-BB11-CCACC4826E5A}"/>
    <cellStyle name="Comma 14 4 5 5" xfId="4916" xr:uid="{2F0D2DD7-A394-49BE-AFF2-6067F77CDEBE}"/>
    <cellStyle name="Comma 14 4 5 5 2" xfId="41424" xr:uid="{A0B6A5AA-E59E-43AA-9AAB-1CBCA3B477AD}"/>
    <cellStyle name="Comma 14 4 5 5 3" xfId="23170" xr:uid="{5603BEE6-5978-47D2-8671-A571B3E507FF}"/>
    <cellStyle name="Comma 14 4 5 6" xfId="37774" xr:uid="{52447149-8E17-42B4-B805-124A591907C1}"/>
    <cellStyle name="Comma 14 4 5 7" xfId="19520" xr:uid="{26A61626-76AD-4C16-89A4-4AB95FA3EB48}"/>
    <cellStyle name="Comma 14 4 6" xfId="15136" xr:uid="{99CA8225-025E-4410-A56A-B49D25C12121}"/>
    <cellStyle name="Comma 14 4 6 2" xfId="51644" xr:uid="{04D525BB-A398-4149-AAFA-AEDCFCE58CF4}"/>
    <cellStyle name="Comma 14 4 6 3" xfId="33390" xr:uid="{AC71FEFB-5343-4B35-8F2E-A87B83DBD7B0}"/>
    <cellStyle name="Comma 14 4 7" xfId="11486" xr:uid="{CA95ADA9-BB6E-4BA0-81F8-709C56B920D6}"/>
    <cellStyle name="Comma 14 4 7 2" xfId="47994" xr:uid="{7771755D-7902-4EDC-9258-F2657C0EC807}"/>
    <cellStyle name="Comma 14 4 7 3" xfId="29740" xr:uid="{88344530-7D57-4DCE-B8A8-24987CCAF1A4}"/>
    <cellStyle name="Comma 14 4 8" xfId="7836" xr:uid="{97ABECC6-D17A-40EB-9263-86FD3643EE27}"/>
    <cellStyle name="Comma 14 4 8 2" xfId="44344" xr:uid="{1A8B9264-2C19-459D-A741-437D661A4AEE}"/>
    <cellStyle name="Comma 14 4 8 3" xfId="26090" xr:uid="{02C74612-218B-4E98-84AC-4C638CD158D0}"/>
    <cellStyle name="Comma 14 4 9" xfId="4186" xr:uid="{95A621A8-97A2-4A10-B33B-60D9F41EBD4D}"/>
    <cellStyle name="Comma 14 4 9 2" xfId="40694" xr:uid="{A5EF6C8D-1500-4DE1-B9B4-5173F52255C1}"/>
    <cellStyle name="Comma 14 4 9 3" xfId="22440" xr:uid="{32B73DF2-E58B-45AA-B2A1-E2D0E773AFE8}"/>
    <cellStyle name="Comma 14 5" xfId="432" xr:uid="{D9514C17-3BD3-4729-9DAB-ABA087DE2387}"/>
    <cellStyle name="Comma 14 5 10" xfId="36940" xr:uid="{15C1CA56-6A0B-4868-A3EE-02A012B3BE9D}"/>
    <cellStyle name="Comma 14 5 11" xfId="18686" xr:uid="{8360DCAC-2111-48F7-BFDD-87BCE412A572}"/>
    <cellStyle name="Comma 14 5 2" xfId="3352" xr:uid="{F9A45FC4-BF7B-4A4A-88F1-0BB701B92F88}"/>
    <cellStyle name="Comma 14 5 2 2" xfId="17952" xr:uid="{F04C806E-4C1C-4958-81FA-75A0C5942AFC}"/>
    <cellStyle name="Comma 14 5 2 2 2" xfId="54460" xr:uid="{980FC9EF-8B16-4947-8361-B041248014AB}"/>
    <cellStyle name="Comma 14 5 2 2 3" xfId="36206" xr:uid="{7B5C1E3B-0CAB-4A55-A772-7D79C9780395}"/>
    <cellStyle name="Comma 14 5 2 3" xfId="14302" xr:uid="{2D509179-7433-4501-85A1-EA4DA3A6276C}"/>
    <cellStyle name="Comma 14 5 2 3 2" xfId="50810" xr:uid="{7B3E2373-3F2E-45B1-AB88-845B47AFA737}"/>
    <cellStyle name="Comma 14 5 2 3 3" xfId="32556" xr:uid="{A62E2139-B3BA-41AD-94D2-2F2D7DD79DCA}"/>
    <cellStyle name="Comma 14 5 2 4" xfId="10652" xr:uid="{3637169E-882E-4D88-8215-F18D27E6F26D}"/>
    <cellStyle name="Comma 14 5 2 4 2" xfId="47160" xr:uid="{2DCAE2DB-287B-48CB-92BC-1DF5E7EBCAD8}"/>
    <cellStyle name="Comma 14 5 2 4 3" xfId="28906" xr:uid="{A7B09980-5075-4C0A-A662-03CFAC66E3E5}"/>
    <cellStyle name="Comma 14 5 2 5" xfId="7002" xr:uid="{C68776A1-BD96-4F23-B2B2-C0B8F9C61628}"/>
    <cellStyle name="Comma 14 5 2 5 2" xfId="43510" xr:uid="{0165878C-D8EC-4696-A961-1EFFB2984976}"/>
    <cellStyle name="Comma 14 5 2 5 3" xfId="25256" xr:uid="{6ED2A210-6C14-4EA4-91CB-87FCFFA5ABB1}"/>
    <cellStyle name="Comma 14 5 2 6" xfId="39860" xr:uid="{0F5E3C1B-21E6-4D39-A5DB-613DABC4245A}"/>
    <cellStyle name="Comma 14 5 2 7" xfId="21606" xr:uid="{46ADF1B5-5EC6-4B24-8C27-1F0C534990B2}"/>
    <cellStyle name="Comma 14 5 3" xfId="2622" xr:uid="{2624BBC7-468E-460A-B297-72094469A944}"/>
    <cellStyle name="Comma 14 5 3 2" xfId="17222" xr:uid="{A43AB2B0-EAF7-4C82-803C-495263EDD2A0}"/>
    <cellStyle name="Comma 14 5 3 2 2" xfId="53730" xr:uid="{43BD12D4-5ABA-4A9A-A61A-FF633871D2CE}"/>
    <cellStyle name="Comma 14 5 3 2 3" xfId="35476" xr:uid="{D8F9A6E4-5FFB-4E76-B4D5-9E1C910B24F8}"/>
    <cellStyle name="Comma 14 5 3 3" xfId="13572" xr:uid="{944A83A2-ADFE-4FA5-89DB-5AE8E0C88D3C}"/>
    <cellStyle name="Comma 14 5 3 3 2" xfId="50080" xr:uid="{8B0AE2F1-D785-41B0-B133-32F326ADE69E}"/>
    <cellStyle name="Comma 14 5 3 3 3" xfId="31826" xr:uid="{2A13313F-5011-4D83-A3D6-60D92AB17522}"/>
    <cellStyle name="Comma 14 5 3 4" xfId="9922" xr:uid="{E09328E9-3295-409F-8894-0B1CFBE079CF}"/>
    <cellStyle name="Comma 14 5 3 4 2" xfId="46430" xr:uid="{933A1668-33E3-4322-B1DA-5FD6496D973E}"/>
    <cellStyle name="Comma 14 5 3 4 3" xfId="28176" xr:uid="{F0370A61-67DD-4A82-9AA9-7761B2F2B976}"/>
    <cellStyle name="Comma 14 5 3 5" xfId="6272" xr:uid="{206B3F82-2376-403F-A4DA-F12DDE2F1AD2}"/>
    <cellStyle name="Comma 14 5 3 5 2" xfId="42780" xr:uid="{4B585E7D-239A-44F2-A789-7286B3541CAE}"/>
    <cellStyle name="Comma 14 5 3 5 3" xfId="24526" xr:uid="{3158063F-AE92-429E-AA06-3FB90811260C}"/>
    <cellStyle name="Comma 14 5 3 6" xfId="39130" xr:uid="{C7BA5484-596D-40B4-9658-0308BF4B0F30}"/>
    <cellStyle name="Comma 14 5 3 7" xfId="20876" xr:uid="{4BF288D9-F9CB-4300-9482-107DEB3F7FC9}"/>
    <cellStyle name="Comma 14 5 4" xfId="1892" xr:uid="{1D2C2CBD-AAC4-4BAA-BE23-549379A42F93}"/>
    <cellStyle name="Comma 14 5 4 2" xfId="16492" xr:uid="{A71C275F-C787-4314-9DD3-BDA47AC43BB2}"/>
    <cellStyle name="Comma 14 5 4 2 2" xfId="53000" xr:uid="{8C53DFF7-6429-405F-9AAB-37DD77D4A226}"/>
    <cellStyle name="Comma 14 5 4 2 3" xfId="34746" xr:uid="{68740921-C1F6-4358-8044-DC4B4F1F4C8E}"/>
    <cellStyle name="Comma 14 5 4 3" xfId="12842" xr:uid="{307951E4-FCBF-4F7C-8AC7-684A660D66C4}"/>
    <cellStyle name="Comma 14 5 4 3 2" xfId="49350" xr:uid="{13D16577-1CE2-4D9C-8F65-C068953E04E7}"/>
    <cellStyle name="Comma 14 5 4 3 3" xfId="31096" xr:uid="{66307BD3-BA98-4342-943F-91E5F3C5D54A}"/>
    <cellStyle name="Comma 14 5 4 4" xfId="9192" xr:uid="{254826C5-1D46-466F-8F2B-13F9E2A6FFE0}"/>
    <cellStyle name="Comma 14 5 4 4 2" xfId="45700" xr:uid="{29FFF99C-0123-4866-BE77-A71B3E7E5FFF}"/>
    <cellStyle name="Comma 14 5 4 4 3" xfId="27446" xr:uid="{2A4FBD14-B92F-4778-BBF4-4958503E4B46}"/>
    <cellStyle name="Comma 14 5 4 5" xfId="5542" xr:uid="{242D66D0-480F-471A-AD8B-85242DA9174F}"/>
    <cellStyle name="Comma 14 5 4 5 2" xfId="42050" xr:uid="{7182BF86-8BB5-4F70-8299-55F7B9C66F01}"/>
    <cellStyle name="Comma 14 5 4 5 3" xfId="23796" xr:uid="{B725065D-8E58-4403-9C95-8CFA582AD564}"/>
    <cellStyle name="Comma 14 5 4 6" xfId="38400" xr:uid="{703C963B-315B-4E0F-84B6-4ACE032E0642}"/>
    <cellStyle name="Comma 14 5 4 7" xfId="20146" xr:uid="{B87A72D2-DFCA-434E-A5C8-A7611D15FAB3}"/>
    <cellStyle name="Comma 14 5 5" xfId="1162" xr:uid="{C24CF7DC-5214-4A59-8004-B27367CF4FA7}"/>
    <cellStyle name="Comma 14 5 5 2" xfId="15762" xr:uid="{2E595A5D-894C-4D5E-A1ED-4056262F129A}"/>
    <cellStyle name="Comma 14 5 5 2 2" xfId="52270" xr:uid="{19029487-D858-466C-86EF-DC74D1487565}"/>
    <cellStyle name="Comma 14 5 5 2 3" xfId="34016" xr:uid="{1EAECC52-0942-4FA4-9787-260A54F37FCC}"/>
    <cellStyle name="Comma 14 5 5 3" xfId="12112" xr:uid="{71060E89-8272-447F-B75F-E5848AEFB37F}"/>
    <cellStyle name="Comma 14 5 5 3 2" xfId="48620" xr:uid="{62998A25-735F-4370-86EC-6DD17708AC86}"/>
    <cellStyle name="Comma 14 5 5 3 3" xfId="30366" xr:uid="{662FED1E-3AA2-40C9-BE09-30CDE043F1BB}"/>
    <cellStyle name="Comma 14 5 5 4" xfId="8462" xr:uid="{EE02D7FB-82DC-4521-83D3-DEDEF0C275F0}"/>
    <cellStyle name="Comma 14 5 5 4 2" xfId="44970" xr:uid="{3A45CCD2-D932-45B3-8690-E82BEF3D5ADB}"/>
    <cellStyle name="Comma 14 5 5 4 3" xfId="26716" xr:uid="{469F4397-3795-4EA4-94E9-E3083284A2A3}"/>
    <cellStyle name="Comma 14 5 5 5" xfId="4812" xr:uid="{2E0AF961-075E-4369-9D20-E9EB9EC07C1F}"/>
    <cellStyle name="Comma 14 5 5 5 2" xfId="41320" xr:uid="{9369F931-2056-4B35-A3AD-9E1FED25BCD4}"/>
    <cellStyle name="Comma 14 5 5 5 3" xfId="23066" xr:uid="{7E1CFB00-F095-4E42-889E-601CD9FF629E}"/>
    <cellStyle name="Comma 14 5 5 6" xfId="37670" xr:uid="{80ED62DA-1C27-446D-B882-9CA4E95EA880}"/>
    <cellStyle name="Comma 14 5 5 7" xfId="19416" xr:uid="{265D7329-7F4A-4B3E-87DD-112DDBE495FB}"/>
    <cellStyle name="Comma 14 5 6" xfId="15032" xr:uid="{A91B3AC5-E61B-49E9-86C4-EE7CE73EB202}"/>
    <cellStyle name="Comma 14 5 6 2" xfId="51540" xr:uid="{D70D8080-C788-4AC5-8AFD-98301997585B}"/>
    <cellStyle name="Comma 14 5 6 3" xfId="33286" xr:uid="{6DD99C91-7EC2-463C-9CBA-B08A9A5043E8}"/>
    <cellStyle name="Comma 14 5 7" xfId="11382" xr:uid="{F3FA011A-F750-4A16-B3CA-DB7407E67BBE}"/>
    <cellStyle name="Comma 14 5 7 2" xfId="47890" xr:uid="{B3DEF953-5C87-48F3-AC28-76067CA1636E}"/>
    <cellStyle name="Comma 14 5 7 3" xfId="29636" xr:uid="{0D9F12B5-6C5E-4616-9C9D-2FAA9414271E}"/>
    <cellStyle name="Comma 14 5 8" xfId="7732" xr:uid="{0B982D4F-A42B-4685-B873-D02AC5444506}"/>
    <cellStyle name="Comma 14 5 8 2" xfId="44240" xr:uid="{64247C0D-9746-4F32-8D17-73EBC09368D4}"/>
    <cellStyle name="Comma 14 5 8 3" xfId="25986" xr:uid="{832AE391-4ABB-4824-8976-0C111C2773C7}"/>
    <cellStyle name="Comma 14 5 9" xfId="4082" xr:uid="{CAE9CEDA-5EFC-45C8-BF2D-C0B1B0780B8F}"/>
    <cellStyle name="Comma 14 5 9 2" xfId="40590" xr:uid="{B44B9D9E-9F07-46E7-AF9C-B2E887EE425E}"/>
    <cellStyle name="Comma 14 5 9 3" xfId="22336" xr:uid="{89184838-9CD1-4609-9C49-FFBEC48B4A50}"/>
    <cellStyle name="Comma 14 6" xfId="328" xr:uid="{C4FFAB75-E1D0-4757-92F9-530B331C120F}"/>
    <cellStyle name="Comma 14 6 10" xfId="36836" xr:uid="{FDFF333D-8125-4AEE-B6F0-D07B41D87240}"/>
    <cellStyle name="Comma 14 6 11" xfId="18582" xr:uid="{A8A77148-86D1-4218-A4E9-5811608A9017}"/>
    <cellStyle name="Comma 14 6 2" xfId="3248" xr:uid="{76FA7754-CD05-4D2A-864E-67D526AB5543}"/>
    <cellStyle name="Comma 14 6 2 2" xfId="17848" xr:uid="{75F04D3E-4032-4C56-92CC-4B718F97544A}"/>
    <cellStyle name="Comma 14 6 2 2 2" xfId="54356" xr:uid="{A0F180FE-60A8-451D-81DA-BC299F463199}"/>
    <cellStyle name="Comma 14 6 2 2 3" xfId="36102" xr:uid="{2B194F90-0BDD-40A8-A1C9-EB40842EF1E8}"/>
    <cellStyle name="Comma 14 6 2 3" xfId="14198" xr:uid="{EB73338C-78CB-4F93-B29E-BEE57288FE9A}"/>
    <cellStyle name="Comma 14 6 2 3 2" xfId="50706" xr:uid="{8440F1BE-EAA3-4372-89CB-07EBF62B8145}"/>
    <cellStyle name="Comma 14 6 2 3 3" xfId="32452" xr:uid="{A74B11D0-49D4-401A-A5AE-7E7572898947}"/>
    <cellStyle name="Comma 14 6 2 4" xfId="10548" xr:uid="{2C3D9BA4-6ECC-4C6C-892F-CAB90180AB79}"/>
    <cellStyle name="Comma 14 6 2 4 2" xfId="47056" xr:uid="{9CC77E99-5F3E-481D-98B3-BF45A06F52FB}"/>
    <cellStyle name="Comma 14 6 2 4 3" xfId="28802" xr:uid="{D222CED3-EAF9-49D8-9CB3-2FFEA6FB788F}"/>
    <cellStyle name="Comma 14 6 2 5" xfId="6898" xr:uid="{15B477EF-F037-4237-8F6E-FE9AD33A9F5C}"/>
    <cellStyle name="Comma 14 6 2 5 2" xfId="43406" xr:uid="{B3DA9462-DF87-4D99-8BE8-88DE16DFB225}"/>
    <cellStyle name="Comma 14 6 2 5 3" xfId="25152" xr:uid="{082AFDE9-00F2-4997-949A-D84084691537}"/>
    <cellStyle name="Comma 14 6 2 6" xfId="39756" xr:uid="{61DC8B30-8CD3-47D9-9AEE-E335BF9ADC90}"/>
    <cellStyle name="Comma 14 6 2 7" xfId="21502" xr:uid="{3897D3DB-6A34-4F21-8D09-925E0CC87F81}"/>
    <cellStyle name="Comma 14 6 3" xfId="2518" xr:uid="{A2E07ECC-F464-42C4-A64F-31BCBFA67D9C}"/>
    <cellStyle name="Comma 14 6 3 2" xfId="17118" xr:uid="{65826B36-D9E3-4F51-8695-CBF53DAE27B8}"/>
    <cellStyle name="Comma 14 6 3 2 2" xfId="53626" xr:uid="{876DFE31-6E65-470C-B3C6-9E5C331052C9}"/>
    <cellStyle name="Comma 14 6 3 2 3" xfId="35372" xr:uid="{8B63315D-E114-4E12-A43F-74FFFD56C2BA}"/>
    <cellStyle name="Comma 14 6 3 3" xfId="13468" xr:uid="{193E12FE-95CC-481C-B014-4F2F225E262A}"/>
    <cellStyle name="Comma 14 6 3 3 2" xfId="49976" xr:uid="{6ADCE14A-70A8-4197-B856-359824E3352C}"/>
    <cellStyle name="Comma 14 6 3 3 3" xfId="31722" xr:uid="{43A6A2C3-CA44-4731-9015-B22997EF56F8}"/>
    <cellStyle name="Comma 14 6 3 4" xfId="9818" xr:uid="{71A0F7AD-C3DD-497A-8D96-C1E16395848D}"/>
    <cellStyle name="Comma 14 6 3 4 2" xfId="46326" xr:uid="{B7F1601E-01A3-4560-A968-B276E2C24627}"/>
    <cellStyle name="Comma 14 6 3 4 3" xfId="28072" xr:uid="{A5511F9A-AC69-4DFB-BBAB-B14C50BAB834}"/>
    <cellStyle name="Comma 14 6 3 5" xfId="6168" xr:uid="{13821D36-768C-4D39-82E0-7C4D9B14F491}"/>
    <cellStyle name="Comma 14 6 3 5 2" xfId="42676" xr:uid="{8139BAAC-560F-4D63-960E-E9DFF8B3B045}"/>
    <cellStyle name="Comma 14 6 3 5 3" xfId="24422" xr:uid="{DBBB9548-E23F-48C6-8E3B-4FC0F3B8B469}"/>
    <cellStyle name="Comma 14 6 3 6" xfId="39026" xr:uid="{DA02C391-05F2-4782-9A56-9D8B15DFF8B5}"/>
    <cellStyle name="Comma 14 6 3 7" xfId="20772" xr:uid="{99DE45D6-532C-43FC-BCDB-A9210322E7C0}"/>
    <cellStyle name="Comma 14 6 4" xfId="1788" xr:uid="{FC3740F3-9502-4250-9F86-382C91D2CF34}"/>
    <cellStyle name="Comma 14 6 4 2" xfId="16388" xr:uid="{E0E8FB1F-888F-4029-AD1C-20A6B9EFA59A}"/>
    <cellStyle name="Comma 14 6 4 2 2" xfId="52896" xr:uid="{47FA3BEC-198A-4851-AB98-FA1849542B49}"/>
    <cellStyle name="Comma 14 6 4 2 3" xfId="34642" xr:uid="{A7999E1A-4577-4CAA-8CD3-46A4BD1F1BD7}"/>
    <cellStyle name="Comma 14 6 4 3" xfId="12738" xr:uid="{14ABF4B3-5BFE-4CB3-BDAD-6945C203A401}"/>
    <cellStyle name="Comma 14 6 4 3 2" xfId="49246" xr:uid="{B2EC01C5-B486-4196-80E8-08D8E0EC649C}"/>
    <cellStyle name="Comma 14 6 4 3 3" xfId="30992" xr:uid="{5736A612-8984-43A9-9BE1-5E53C2F008A1}"/>
    <cellStyle name="Comma 14 6 4 4" xfId="9088" xr:uid="{78947080-8A7A-493A-A9B5-E421FA257514}"/>
    <cellStyle name="Comma 14 6 4 4 2" xfId="45596" xr:uid="{652295C6-954E-41C4-A705-E1D2FD7B1379}"/>
    <cellStyle name="Comma 14 6 4 4 3" xfId="27342" xr:uid="{FF6AF943-F081-4741-B572-D58C9F1F70FB}"/>
    <cellStyle name="Comma 14 6 4 5" xfId="5438" xr:uid="{12ED5906-9F5C-4A72-B337-18FCC52D9E25}"/>
    <cellStyle name="Comma 14 6 4 5 2" xfId="41946" xr:uid="{666AF3A7-6637-4B99-987C-B4AD24687873}"/>
    <cellStyle name="Comma 14 6 4 5 3" xfId="23692" xr:uid="{77C94462-15F1-4322-BA4D-148AF24B8722}"/>
    <cellStyle name="Comma 14 6 4 6" xfId="38296" xr:uid="{6356341C-3E0A-4815-8595-BD7C53805B6B}"/>
    <cellStyle name="Comma 14 6 4 7" xfId="20042" xr:uid="{A4997658-5134-4E7A-983A-8DE6BC287744}"/>
    <cellStyle name="Comma 14 6 5" xfId="1058" xr:uid="{9E402F59-C2CD-4549-AE2E-2664B497AD3F}"/>
    <cellStyle name="Comma 14 6 5 2" xfId="15658" xr:uid="{46F18DF8-8CD3-4255-99FB-9A526DD9E18B}"/>
    <cellStyle name="Comma 14 6 5 2 2" xfId="52166" xr:uid="{1A930A9E-80C6-44E2-A113-9802F435C24A}"/>
    <cellStyle name="Comma 14 6 5 2 3" xfId="33912" xr:uid="{338C9F6F-19C4-4D12-B8AF-17654AB7012E}"/>
    <cellStyle name="Comma 14 6 5 3" xfId="12008" xr:uid="{85D51CAD-54E8-47CB-AF4D-A365259BF0AB}"/>
    <cellStyle name="Comma 14 6 5 3 2" xfId="48516" xr:uid="{14819551-4650-4D16-9CC0-B9A0D5CFDB5D}"/>
    <cellStyle name="Comma 14 6 5 3 3" xfId="30262" xr:uid="{6FD84971-9BF0-4EF0-B504-CD31BD2BE99C}"/>
    <cellStyle name="Comma 14 6 5 4" xfId="8358" xr:uid="{F6861F0B-E636-423D-AAB6-8B33751D25E6}"/>
    <cellStyle name="Comma 14 6 5 4 2" xfId="44866" xr:uid="{66622BED-6A4A-4C18-B3AA-26719921C96F}"/>
    <cellStyle name="Comma 14 6 5 4 3" xfId="26612" xr:uid="{7D5A83D1-80CE-43C7-9918-B4882CD86833}"/>
    <cellStyle name="Comma 14 6 5 5" xfId="4708" xr:uid="{0F663AA2-39EB-4075-9693-34D041AB1229}"/>
    <cellStyle name="Comma 14 6 5 5 2" xfId="41216" xr:uid="{E989BFBC-6651-470D-98C4-FBC077AFB1B2}"/>
    <cellStyle name="Comma 14 6 5 5 3" xfId="22962" xr:uid="{78AE60B5-8A0D-4729-8292-0999E14FB5B6}"/>
    <cellStyle name="Comma 14 6 5 6" xfId="37566" xr:uid="{89C0028D-ACEB-49F7-A325-3FD2A25A8CCE}"/>
    <cellStyle name="Comma 14 6 5 7" xfId="19312" xr:uid="{64A1ECAD-2472-4CAF-BC7E-75F96E14D939}"/>
    <cellStyle name="Comma 14 6 6" xfId="14928" xr:uid="{8C334A3A-6C3C-49A7-A2A0-1294B8CB4B9B}"/>
    <cellStyle name="Comma 14 6 6 2" xfId="51436" xr:uid="{6DE2B77C-225B-4580-B5DB-3560DBBF0003}"/>
    <cellStyle name="Comma 14 6 6 3" xfId="33182" xr:uid="{88791AD4-1F0B-4A06-B985-0125D3E50675}"/>
    <cellStyle name="Comma 14 6 7" xfId="11278" xr:uid="{2804641D-590E-49F0-AFFA-D336452F2821}"/>
    <cellStyle name="Comma 14 6 7 2" xfId="47786" xr:uid="{17DA3205-1E8B-49F5-A715-7349C77B52D6}"/>
    <cellStyle name="Comma 14 6 7 3" xfId="29532" xr:uid="{CD7624DA-91B9-47BA-A192-FC11BC8BADC7}"/>
    <cellStyle name="Comma 14 6 8" xfId="7628" xr:uid="{F950F35A-1D89-467B-A6CB-E70748DFABDA}"/>
    <cellStyle name="Comma 14 6 8 2" xfId="44136" xr:uid="{29D8CDB8-9799-4DA7-9DAD-982E37751DEB}"/>
    <cellStyle name="Comma 14 6 8 3" xfId="25882" xr:uid="{AE7321BE-1BE2-4BD1-8A57-E0F0B99105F5}"/>
    <cellStyle name="Comma 14 6 9" xfId="3978" xr:uid="{1368FE89-F892-4333-A343-EB59D67205C6}"/>
    <cellStyle name="Comma 14 6 9 2" xfId="40486" xr:uid="{95773633-5C03-4EC5-A4FA-8F0953457F0B}"/>
    <cellStyle name="Comma 14 6 9 3" xfId="22232" xr:uid="{F4E564E1-4412-4119-8FD4-2DDBFFA2ABA0}"/>
    <cellStyle name="Comma 14 7" xfId="224" xr:uid="{783CE57F-B097-49D1-83D2-D278BF0A22D2}"/>
    <cellStyle name="Comma 14 7 10" xfId="36732" xr:uid="{918A975D-0316-436B-8470-56A34F2AAC1E}"/>
    <cellStyle name="Comma 14 7 11" xfId="18478" xr:uid="{5EF190DC-F527-4E30-A6BD-884DE2415BFA}"/>
    <cellStyle name="Comma 14 7 2" xfId="3144" xr:uid="{B3A6581B-F0E6-4078-B48C-7148F564DE89}"/>
    <cellStyle name="Comma 14 7 2 2" xfId="17744" xr:uid="{9A2AD302-E2CF-4588-B40A-CEA2F216228F}"/>
    <cellStyle name="Comma 14 7 2 2 2" xfId="54252" xr:uid="{98263EA5-EA8E-409C-9787-012FB5F8C2A2}"/>
    <cellStyle name="Comma 14 7 2 2 3" xfId="35998" xr:uid="{96DC2F77-DE6D-4CB3-AE48-ED68D3C58566}"/>
    <cellStyle name="Comma 14 7 2 3" xfId="14094" xr:uid="{B207FAE5-9391-47C9-8D26-B6D2F416842D}"/>
    <cellStyle name="Comma 14 7 2 3 2" xfId="50602" xr:uid="{636EF2AE-4EB1-4294-AB42-4039D149BB4E}"/>
    <cellStyle name="Comma 14 7 2 3 3" xfId="32348" xr:uid="{ED140D1C-E76D-4FE3-A1A4-06F00F853094}"/>
    <cellStyle name="Comma 14 7 2 4" xfId="10444" xr:uid="{21BB2210-227D-44CE-AC8A-BC040C3213AB}"/>
    <cellStyle name="Comma 14 7 2 4 2" xfId="46952" xr:uid="{298DE009-BB72-4F07-A984-7E1BAAE134D2}"/>
    <cellStyle name="Comma 14 7 2 4 3" xfId="28698" xr:uid="{E75C0E0A-2541-4031-A25D-B118D24D2144}"/>
    <cellStyle name="Comma 14 7 2 5" xfId="6794" xr:uid="{4C63F240-FEB3-48B9-8094-9657039A09B3}"/>
    <cellStyle name="Comma 14 7 2 5 2" xfId="43302" xr:uid="{C60CE402-E86B-48F1-9031-949E5BD7C743}"/>
    <cellStyle name="Comma 14 7 2 5 3" xfId="25048" xr:uid="{A94A9D78-BD97-4FED-AE22-99C053235787}"/>
    <cellStyle name="Comma 14 7 2 6" xfId="39652" xr:uid="{B61F8038-295A-498D-912D-31E556D7DE55}"/>
    <cellStyle name="Comma 14 7 2 7" xfId="21398" xr:uid="{2DE98854-8889-47A0-B797-16FCD5AB8B7C}"/>
    <cellStyle name="Comma 14 7 3" xfId="2414" xr:uid="{855FC8F5-F710-4531-BBDF-43C5948A3DA1}"/>
    <cellStyle name="Comma 14 7 3 2" xfId="17014" xr:uid="{A6D6329F-7271-419C-977E-8B74EF5097CF}"/>
    <cellStyle name="Comma 14 7 3 2 2" xfId="53522" xr:uid="{C7F6C8B6-DB3E-488C-B1A6-005CC7E44C2D}"/>
    <cellStyle name="Comma 14 7 3 2 3" xfId="35268" xr:uid="{CCFE3190-BEB2-4F2F-A81D-574E9A9D215E}"/>
    <cellStyle name="Comma 14 7 3 3" xfId="13364" xr:uid="{3C7DD478-AF07-4A4E-8EBD-FADECBEE5F3C}"/>
    <cellStyle name="Comma 14 7 3 3 2" xfId="49872" xr:uid="{39D13172-9B07-4CD8-BCA7-FC3EEA031D18}"/>
    <cellStyle name="Comma 14 7 3 3 3" xfId="31618" xr:uid="{951F54D5-7F50-426F-B950-FB259A25BB63}"/>
    <cellStyle name="Comma 14 7 3 4" xfId="9714" xr:uid="{05C3F5D9-AB13-4324-8A1F-ED248AB9EFE0}"/>
    <cellStyle name="Comma 14 7 3 4 2" xfId="46222" xr:uid="{C44C8E42-D463-4A0B-B99A-ACAA5219ABBA}"/>
    <cellStyle name="Comma 14 7 3 4 3" xfId="27968" xr:uid="{A4544A86-ED74-4018-80A2-E8A3E80EE19C}"/>
    <cellStyle name="Comma 14 7 3 5" xfId="6064" xr:uid="{01E60A21-628A-4268-B194-81A2545E31D3}"/>
    <cellStyle name="Comma 14 7 3 5 2" xfId="42572" xr:uid="{9084779A-7A11-40D1-9B0A-66A902CAE7E7}"/>
    <cellStyle name="Comma 14 7 3 5 3" xfId="24318" xr:uid="{1B37D855-0267-4B7A-8543-7B3C3882E5CD}"/>
    <cellStyle name="Comma 14 7 3 6" xfId="38922" xr:uid="{15446EA0-AD65-4BC8-8E36-D276A7984E93}"/>
    <cellStyle name="Comma 14 7 3 7" xfId="20668" xr:uid="{E926519F-855A-453B-A7D0-C95900194F05}"/>
    <cellStyle name="Comma 14 7 4" xfId="1684" xr:uid="{243E29CC-1F3A-4A77-8E37-4D5C7AAC13E6}"/>
    <cellStyle name="Comma 14 7 4 2" xfId="16284" xr:uid="{CFD83E7F-FA6C-477C-9DEE-E26A2DC81E0C}"/>
    <cellStyle name="Comma 14 7 4 2 2" xfId="52792" xr:uid="{7EC6C194-DA3D-4AF6-8101-F87256A16727}"/>
    <cellStyle name="Comma 14 7 4 2 3" xfId="34538" xr:uid="{727B71E7-DD46-4BDC-8A67-B96D3D654E06}"/>
    <cellStyle name="Comma 14 7 4 3" xfId="12634" xr:uid="{EA5FB691-848D-4122-A782-4F40458BCF6C}"/>
    <cellStyle name="Comma 14 7 4 3 2" xfId="49142" xr:uid="{F4106747-843D-4A91-930D-9E167BC49C08}"/>
    <cellStyle name="Comma 14 7 4 3 3" xfId="30888" xr:uid="{44D473AE-6981-4F34-BCAB-F8EA14896D16}"/>
    <cellStyle name="Comma 14 7 4 4" xfId="8984" xr:uid="{40B51F81-9D73-4811-9F27-07639DEE4327}"/>
    <cellStyle name="Comma 14 7 4 4 2" xfId="45492" xr:uid="{D5DDB3BB-9DF2-446C-9C7D-9EED8DF4C47E}"/>
    <cellStyle name="Comma 14 7 4 4 3" xfId="27238" xr:uid="{FE04BAD0-1513-4FF7-88ED-AC225B5CFDEF}"/>
    <cellStyle name="Comma 14 7 4 5" xfId="5334" xr:uid="{F9825E2A-DCB6-4C24-B27C-6AB41F571FD5}"/>
    <cellStyle name="Comma 14 7 4 5 2" xfId="41842" xr:uid="{45CA0467-CE96-4DF6-86CE-305A9FE23F50}"/>
    <cellStyle name="Comma 14 7 4 5 3" xfId="23588" xr:uid="{1AE7453B-26E7-42CE-871B-9D41A32FECE4}"/>
    <cellStyle name="Comma 14 7 4 6" xfId="38192" xr:uid="{5F2BC56C-C831-4974-8A32-926BBD4B792F}"/>
    <cellStyle name="Comma 14 7 4 7" xfId="19938" xr:uid="{F74F79E2-74CB-4A3F-952A-1A1E09BEEBE4}"/>
    <cellStyle name="Comma 14 7 5" xfId="954" xr:uid="{47E8DE4F-6690-4EAD-AB7A-9B43ADC13AA5}"/>
    <cellStyle name="Comma 14 7 5 2" xfId="15554" xr:uid="{E9904AD2-3B7E-426D-9BC0-3B75ECCBB3A5}"/>
    <cellStyle name="Comma 14 7 5 2 2" xfId="52062" xr:uid="{493D8364-AA6C-42DF-971C-27FFC5E2AEB8}"/>
    <cellStyle name="Comma 14 7 5 2 3" xfId="33808" xr:uid="{D000110B-158D-4BA0-A110-9F994A765961}"/>
    <cellStyle name="Comma 14 7 5 3" xfId="11904" xr:uid="{7822564C-7065-4D87-8F41-37061A6A6501}"/>
    <cellStyle name="Comma 14 7 5 3 2" xfId="48412" xr:uid="{5B339F40-AAB8-40D7-98F5-744CC42C73FB}"/>
    <cellStyle name="Comma 14 7 5 3 3" xfId="30158" xr:uid="{7E7CB57C-9F29-4982-A727-995A85AD265F}"/>
    <cellStyle name="Comma 14 7 5 4" xfId="8254" xr:uid="{997D43A3-C4C3-43D5-B473-EF39FDA0A8FC}"/>
    <cellStyle name="Comma 14 7 5 4 2" xfId="44762" xr:uid="{DD235220-ABCA-4DAE-B161-22408646CB61}"/>
    <cellStyle name="Comma 14 7 5 4 3" xfId="26508" xr:uid="{1B9A0CA1-EB30-4877-B307-8303399F0521}"/>
    <cellStyle name="Comma 14 7 5 5" xfId="4604" xr:uid="{B107B2EE-E89D-4D23-912F-C0C7C6CD81B3}"/>
    <cellStyle name="Comma 14 7 5 5 2" xfId="41112" xr:uid="{10F2BA03-A576-4CC4-B266-68A3D19A4EBC}"/>
    <cellStyle name="Comma 14 7 5 5 3" xfId="22858" xr:uid="{52C4C31A-0AFF-4336-A10F-72B5B81C3BCA}"/>
    <cellStyle name="Comma 14 7 5 6" xfId="37462" xr:uid="{C59FD9B4-6D7D-4AF3-92D6-91B0226B4572}"/>
    <cellStyle name="Comma 14 7 5 7" xfId="19208" xr:uid="{E4F4FDE6-80B2-4B45-AE04-AB65F0896BD9}"/>
    <cellStyle name="Comma 14 7 6" xfId="14824" xr:uid="{A4ADD85C-9616-4F7E-A45C-1E2DB9360BB4}"/>
    <cellStyle name="Comma 14 7 6 2" xfId="51332" xr:uid="{2BCEED5F-20CF-4ECA-978C-77AC7CEE974B}"/>
    <cellStyle name="Comma 14 7 6 3" xfId="33078" xr:uid="{A6DFEC2A-D7E7-4A19-978D-1B0357879F91}"/>
    <cellStyle name="Comma 14 7 7" xfId="11174" xr:uid="{2ACC0925-81FE-47DD-A8BF-0CF39C2CBABB}"/>
    <cellStyle name="Comma 14 7 7 2" xfId="47682" xr:uid="{B58B7C69-414F-480C-AFEC-DFE3EF59B198}"/>
    <cellStyle name="Comma 14 7 7 3" xfId="29428" xr:uid="{BDAB1186-53E7-44C3-A11A-813C78CFFCCB}"/>
    <cellStyle name="Comma 14 7 8" xfId="7524" xr:uid="{3C578B6B-1B03-4512-808A-313A1C889895}"/>
    <cellStyle name="Comma 14 7 8 2" xfId="44032" xr:uid="{9376F782-221C-4309-B98B-B7B220376983}"/>
    <cellStyle name="Comma 14 7 8 3" xfId="25778" xr:uid="{84381EFD-B6FC-4397-9B53-89DB0751F24D}"/>
    <cellStyle name="Comma 14 7 9" xfId="3874" xr:uid="{CC5B558F-86C9-4689-B5EF-7C7F07A491DD}"/>
    <cellStyle name="Comma 14 7 9 2" xfId="40382" xr:uid="{44EDECED-F979-442E-956B-E23FDA9EC350}"/>
    <cellStyle name="Comma 14 7 9 3" xfId="22128" xr:uid="{4C437F4A-59C1-4C6A-B1EF-831B0EA2758A}"/>
    <cellStyle name="Comma 14 8" xfId="3040" xr:uid="{98578354-40A8-4D9B-8F5E-FF470EA77DB7}"/>
    <cellStyle name="Comma 14 8 2" xfId="17640" xr:uid="{BCEFA4DA-F2EA-4C0C-A90C-2254DDF38113}"/>
    <cellStyle name="Comma 14 8 2 2" xfId="54148" xr:uid="{5627F2E7-529E-4414-B50C-FE310C77EA67}"/>
    <cellStyle name="Comma 14 8 2 3" xfId="35894" xr:uid="{7295D61D-CAF1-4B0A-8A82-B834F5335325}"/>
    <cellStyle name="Comma 14 8 3" xfId="13990" xr:uid="{FE2F176C-CA93-4FBD-88A0-BDD68E6335E1}"/>
    <cellStyle name="Comma 14 8 3 2" xfId="50498" xr:uid="{0576ADC9-B4CC-4410-A0ED-5DC6D830BC7F}"/>
    <cellStyle name="Comma 14 8 3 3" xfId="32244" xr:uid="{438EBE92-FF06-460B-A9C1-22FB14F3D717}"/>
    <cellStyle name="Comma 14 8 4" xfId="10340" xr:uid="{31BC0C91-2B35-4D2B-97AB-E177B2A3B70A}"/>
    <cellStyle name="Comma 14 8 4 2" xfId="46848" xr:uid="{A09C6641-AAE7-4136-971B-45C1B3D05D13}"/>
    <cellStyle name="Comma 14 8 4 3" xfId="28594" xr:uid="{6492D3D0-E6F0-4206-8C85-DB45086EFAF4}"/>
    <cellStyle name="Comma 14 8 5" xfId="6690" xr:uid="{381FE040-D47E-4281-A6C1-0693B6C09D98}"/>
    <cellStyle name="Comma 14 8 5 2" xfId="43198" xr:uid="{B0A9E027-6ACB-4479-88FA-E2F3F485C003}"/>
    <cellStyle name="Comma 14 8 5 3" xfId="24944" xr:uid="{D07FF07F-28C7-4D6B-B236-D0FAB19F84F0}"/>
    <cellStyle name="Comma 14 8 6" xfId="39548" xr:uid="{0427802E-A809-46D3-92AF-9C470F2D05BC}"/>
    <cellStyle name="Comma 14 8 7" xfId="21294" xr:uid="{DC0E55C6-011E-4FA8-BDE2-A899153ADA9F}"/>
    <cellStyle name="Comma 14 9" xfId="2310" xr:uid="{F515194D-F28B-4E3B-AF60-6A992CD534E6}"/>
    <cellStyle name="Comma 14 9 2" xfId="16910" xr:uid="{7503629E-4090-4F64-B2E0-E085738A695A}"/>
    <cellStyle name="Comma 14 9 2 2" xfId="53418" xr:uid="{5D34F967-2FB6-467A-8683-8FD26C271B70}"/>
    <cellStyle name="Comma 14 9 2 3" xfId="35164" xr:uid="{CA9E6058-E79D-4F9E-88FC-FC1451146580}"/>
    <cellStyle name="Comma 14 9 3" xfId="13260" xr:uid="{3C4CA19F-18CC-4A3A-9C6D-3F8F1E813E62}"/>
    <cellStyle name="Comma 14 9 3 2" xfId="49768" xr:uid="{972658DC-6472-415D-AFC4-50A629467F6C}"/>
    <cellStyle name="Comma 14 9 3 3" xfId="31514" xr:uid="{065412FD-3CCF-4850-B1E1-2C05E3AC2D94}"/>
    <cellStyle name="Comma 14 9 4" xfId="9610" xr:uid="{7C67CAB2-FF8B-4FA7-A410-626C14F70FCA}"/>
    <cellStyle name="Comma 14 9 4 2" xfId="46118" xr:uid="{41D53BF6-7571-4921-A394-D6B3BE8187F2}"/>
    <cellStyle name="Comma 14 9 4 3" xfId="27864" xr:uid="{ED5E9F48-4E0B-4D03-905E-0FB45577A9F0}"/>
    <cellStyle name="Comma 14 9 5" xfId="5960" xr:uid="{D5719D4E-6823-45E3-8890-76052540832D}"/>
    <cellStyle name="Comma 14 9 5 2" xfId="42468" xr:uid="{1D5E3291-71A1-4376-829B-A1E042C7FD2D}"/>
    <cellStyle name="Comma 14 9 5 3" xfId="24214" xr:uid="{CD591EB2-6C97-4467-B7DA-C210692BBB80}"/>
    <cellStyle name="Comma 14 9 6" xfId="38818" xr:uid="{4CF57514-C60A-4619-BEC8-4F785FA8E4FB}"/>
    <cellStyle name="Comma 14 9 7" xfId="20564" xr:uid="{9B37490C-B596-450D-A7AC-147F57A60A04}"/>
    <cellStyle name="Comma 15" xfId="121" xr:uid="{8456E847-982E-4931-8D90-B7C1148FDD82}"/>
    <cellStyle name="Comma 15 10" xfId="1581" xr:uid="{3A426AB9-D023-41DC-86BD-E654D7E8B14A}"/>
    <cellStyle name="Comma 15 10 2" xfId="16181" xr:uid="{440A1AD4-840B-49B9-9A06-D008C040A5D0}"/>
    <cellStyle name="Comma 15 10 2 2" xfId="52689" xr:uid="{B820626C-9598-4BC1-9D18-3709969B7ECC}"/>
    <cellStyle name="Comma 15 10 2 3" xfId="34435" xr:uid="{4B154071-1FAE-437C-8B82-E374DA4AE822}"/>
    <cellStyle name="Comma 15 10 3" xfId="12531" xr:uid="{FD0AC305-063A-4C87-BA50-B291D651503A}"/>
    <cellStyle name="Comma 15 10 3 2" xfId="49039" xr:uid="{C47C8A40-DBE6-47B6-A6C4-C0F4909AFD5F}"/>
    <cellStyle name="Comma 15 10 3 3" xfId="30785" xr:uid="{C5692EDE-C30A-4E21-9145-6B4594AAFE37}"/>
    <cellStyle name="Comma 15 10 4" xfId="8881" xr:uid="{3FB3ED14-BF46-4339-ABC5-4D94DF0DD3DC}"/>
    <cellStyle name="Comma 15 10 4 2" xfId="45389" xr:uid="{62D8D7F1-EF90-4B32-A820-01AA2C1ECCFB}"/>
    <cellStyle name="Comma 15 10 4 3" xfId="27135" xr:uid="{136E4A02-D409-4B4B-BF76-E7B1C48C028F}"/>
    <cellStyle name="Comma 15 10 5" xfId="5231" xr:uid="{336943B8-6996-4FA8-AE9A-95CAD1D1DE28}"/>
    <cellStyle name="Comma 15 10 5 2" xfId="41739" xr:uid="{CF6E6A68-2112-4A18-B1A4-C24C93E6ADD1}"/>
    <cellStyle name="Comma 15 10 5 3" xfId="23485" xr:uid="{ADF64423-A5DA-4C06-876F-E84481F0EE4B}"/>
    <cellStyle name="Comma 15 10 6" xfId="38089" xr:uid="{AC55886D-A633-4F5B-853A-F50E860F660A}"/>
    <cellStyle name="Comma 15 10 7" xfId="19835" xr:uid="{11F663FA-6457-4237-BEA0-6D19DDD83852}"/>
    <cellStyle name="Comma 15 11" xfId="851" xr:uid="{BE572031-E0DE-4331-B5E0-732E90810FED}"/>
    <cellStyle name="Comma 15 11 2" xfId="15451" xr:uid="{7BDB3437-17FD-4DBF-9DA9-9827F7E6BF34}"/>
    <cellStyle name="Comma 15 11 2 2" xfId="51959" xr:uid="{460E5219-263A-4118-AC96-3B8B9E2562B1}"/>
    <cellStyle name="Comma 15 11 2 3" xfId="33705" xr:uid="{0B425B6E-2412-46B0-87A0-35BD1C7F587D}"/>
    <cellStyle name="Comma 15 11 3" xfId="11801" xr:uid="{5E75BFBF-491A-4DCB-8329-69E328BBDD17}"/>
    <cellStyle name="Comma 15 11 3 2" xfId="48309" xr:uid="{9C365E02-CF76-407F-B1F0-801E987445BF}"/>
    <cellStyle name="Comma 15 11 3 3" xfId="30055" xr:uid="{24069661-C4AB-46DB-A4F4-FF436D8B8E7E}"/>
    <cellStyle name="Comma 15 11 4" xfId="8151" xr:uid="{2AEF0394-B0B6-4DBE-8072-D0A82EBC1BF1}"/>
    <cellStyle name="Comma 15 11 4 2" xfId="44659" xr:uid="{B547F03A-30B1-48D8-BC97-8C402F724366}"/>
    <cellStyle name="Comma 15 11 4 3" xfId="26405" xr:uid="{C2D1C3FC-4644-4C56-B117-B2DB4A836E55}"/>
    <cellStyle name="Comma 15 11 5" xfId="4501" xr:uid="{BFD83E83-AA19-41D7-BAC8-34BB3C7723DA}"/>
    <cellStyle name="Comma 15 11 5 2" xfId="41009" xr:uid="{E5E19E10-56DE-4F51-B51D-90B3E47E488F}"/>
    <cellStyle name="Comma 15 11 5 3" xfId="22755" xr:uid="{BF488655-569E-4DD5-82FD-B83DCBAE2844}"/>
    <cellStyle name="Comma 15 11 6" xfId="37359" xr:uid="{98672782-23D6-42D1-98CB-C4A10354C7BD}"/>
    <cellStyle name="Comma 15 11 7" xfId="19105" xr:uid="{539FB440-4E9E-4848-A815-695EB13F874D}"/>
    <cellStyle name="Comma 15 12" xfId="14721" xr:uid="{07E57257-842E-440B-B921-C24E161A431E}"/>
    <cellStyle name="Comma 15 12 2" xfId="51229" xr:uid="{5BF374A9-26E9-40B3-8BD3-939C8EC1C960}"/>
    <cellStyle name="Comma 15 12 3" xfId="32975" xr:uid="{E7BAA4B2-3B1C-4904-A48D-9522BA32D687}"/>
    <cellStyle name="Comma 15 13" xfId="11071" xr:uid="{D08B5BC3-CDC4-4D8F-B023-52AEB5E5495D}"/>
    <cellStyle name="Comma 15 13 2" xfId="47579" xr:uid="{81791F47-D2F4-49A3-A2AF-8B98A77B4B22}"/>
    <cellStyle name="Comma 15 13 3" xfId="29325" xr:uid="{7E9BEF7F-69D2-42C6-876D-0AC81663207F}"/>
    <cellStyle name="Comma 15 14" xfId="7421" xr:uid="{1C66129F-ADFA-49FD-A1B8-87E694ECD4D2}"/>
    <cellStyle name="Comma 15 14 2" xfId="43929" xr:uid="{818715E8-EBAF-44A9-83DD-2F340DD9F512}"/>
    <cellStyle name="Comma 15 14 3" xfId="25675" xr:uid="{F2983031-1585-4B40-8425-64D02D9F6AA3}"/>
    <cellStyle name="Comma 15 15" xfId="3771" xr:uid="{80662751-AD6B-4156-9E7D-AAB04AB2D314}"/>
    <cellStyle name="Comma 15 15 2" xfId="40279" xr:uid="{3B76B45B-76E3-412A-90C3-E86C85C397FE}"/>
    <cellStyle name="Comma 15 15 3" xfId="22025" xr:uid="{8DE67B13-61E2-43E5-B14A-642B48BFA07F}"/>
    <cellStyle name="Comma 15 16" xfId="36629" xr:uid="{D78183EF-E895-410B-BEEF-5166E8933EA5}"/>
    <cellStyle name="Comma 15 17" xfId="18375" xr:uid="{E046036B-5F01-4A9C-8059-86D1C459027E}"/>
    <cellStyle name="Comma 15 2" xfId="745" xr:uid="{A00B9507-E1F8-47BB-988F-87416CC9C8D1}"/>
    <cellStyle name="Comma 15 2 10" xfId="37253" xr:uid="{6FDF3CBB-B9B2-4907-8A7B-587099F2E8D1}"/>
    <cellStyle name="Comma 15 2 11" xfId="18999" xr:uid="{73EE615C-A250-4B5D-9A4B-97CA4F42C65A}"/>
    <cellStyle name="Comma 15 2 2" xfId="3665" xr:uid="{CEA82F72-A810-4AF9-B3BB-BA40CA843D29}"/>
    <cellStyle name="Comma 15 2 2 2" xfId="18265" xr:uid="{399C0CE6-DBF8-4A82-8EAC-A4209842E763}"/>
    <cellStyle name="Comma 15 2 2 2 2" xfId="54773" xr:uid="{C67D2EC1-8302-4D41-BC19-1584958E76C4}"/>
    <cellStyle name="Comma 15 2 2 2 3" xfId="36519" xr:uid="{4063F083-BC01-43E0-B601-B157F0FBBDD7}"/>
    <cellStyle name="Comma 15 2 2 3" xfId="14615" xr:uid="{707EAEF4-95B7-4A86-9A00-65D461B950AE}"/>
    <cellStyle name="Comma 15 2 2 3 2" xfId="51123" xr:uid="{09672E4D-B810-4370-9789-22FDD7373897}"/>
    <cellStyle name="Comma 15 2 2 3 3" xfId="32869" xr:uid="{422C8142-0B19-411C-97F7-BF4EC2639A51}"/>
    <cellStyle name="Comma 15 2 2 4" xfId="10965" xr:uid="{7673BDDB-03C4-4FD4-BB9D-FFB84DF5A942}"/>
    <cellStyle name="Comma 15 2 2 4 2" xfId="47473" xr:uid="{88CAF3DB-05A2-4586-9456-A1DFB6D6A771}"/>
    <cellStyle name="Comma 15 2 2 4 3" xfId="29219" xr:uid="{3816D2E9-331E-4484-BD4F-64BB323EBB16}"/>
    <cellStyle name="Comma 15 2 2 5" xfId="7315" xr:uid="{C32CE0FC-A859-4310-8624-DF9FB54099CD}"/>
    <cellStyle name="Comma 15 2 2 5 2" xfId="43823" xr:uid="{724E9C04-86DE-49F5-BC8A-CDDF26DE1DB8}"/>
    <cellStyle name="Comma 15 2 2 5 3" xfId="25569" xr:uid="{63306AF0-EE81-4668-8E74-23C42725D0C2}"/>
    <cellStyle name="Comma 15 2 2 6" xfId="40173" xr:uid="{966F5A67-BC14-440E-A04F-9C34DFA57B5E}"/>
    <cellStyle name="Comma 15 2 2 7" xfId="21919" xr:uid="{3439869D-EC2F-44AB-98A5-3A47A71BF301}"/>
    <cellStyle name="Comma 15 2 3" xfId="2935" xr:uid="{682399D3-E6F3-472D-8741-B812C20C5BC3}"/>
    <cellStyle name="Comma 15 2 3 2" xfId="17535" xr:uid="{AF58333F-84E0-4A5C-A6F8-75E766EA2F98}"/>
    <cellStyle name="Comma 15 2 3 2 2" xfId="54043" xr:uid="{D46BE506-62C2-4176-94B4-4E442DA492F5}"/>
    <cellStyle name="Comma 15 2 3 2 3" xfId="35789" xr:uid="{883F494D-F0DC-4EC7-A3F1-029CDD0EF83B}"/>
    <cellStyle name="Comma 15 2 3 3" xfId="13885" xr:uid="{A1CCBA3A-DD2C-4C62-AC7D-475D90899BDC}"/>
    <cellStyle name="Comma 15 2 3 3 2" xfId="50393" xr:uid="{3D46DE00-720F-449F-A467-2EF327990C9A}"/>
    <cellStyle name="Comma 15 2 3 3 3" xfId="32139" xr:uid="{B9CAFD22-80D2-4EC9-BA76-61BB325E6152}"/>
    <cellStyle name="Comma 15 2 3 4" xfId="10235" xr:uid="{62271035-7EBF-4483-9E72-2D683C74E8C0}"/>
    <cellStyle name="Comma 15 2 3 4 2" xfId="46743" xr:uid="{352E7ED0-5A0D-43A5-BDDE-7FB746478F31}"/>
    <cellStyle name="Comma 15 2 3 4 3" xfId="28489" xr:uid="{11244E33-CAFA-4625-8AC9-B852D59FAD42}"/>
    <cellStyle name="Comma 15 2 3 5" xfId="6585" xr:uid="{BE090301-FEAE-4395-AA48-ADAA6290573D}"/>
    <cellStyle name="Comma 15 2 3 5 2" xfId="43093" xr:uid="{EC110576-4598-4D23-ABB3-A217B28C8912}"/>
    <cellStyle name="Comma 15 2 3 5 3" xfId="24839" xr:uid="{7F71838B-521E-4C10-8C02-71CD3D46A1F1}"/>
    <cellStyle name="Comma 15 2 3 6" xfId="39443" xr:uid="{FCE5EC23-ACB4-4B5E-863D-00BDD1485848}"/>
    <cellStyle name="Comma 15 2 3 7" xfId="21189" xr:uid="{10EC840F-0F98-4ACB-A98A-19826AC0E198}"/>
    <cellStyle name="Comma 15 2 4" xfId="2205" xr:uid="{180D590A-C06A-4106-AAF1-40BCE863F253}"/>
    <cellStyle name="Comma 15 2 4 2" xfId="16805" xr:uid="{2AE82C02-57E1-4D0E-8295-B5423A37AFE4}"/>
    <cellStyle name="Comma 15 2 4 2 2" xfId="53313" xr:uid="{628E2578-5377-4441-B55B-9375456C5CE1}"/>
    <cellStyle name="Comma 15 2 4 2 3" xfId="35059" xr:uid="{6374D877-800E-43B7-A57B-5C7F1F67B151}"/>
    <cellStyle name="Comma 15 2 4 3" xfId="13155" xr:uid="{76B9C98F-F590-41FA-B602-1465C6431DCB}"/>
    <cellStyle name="Comma 15 2 4 3 2" xfId="49663" xr:uid="{0857179D-62C9-424B-B395-4D8890F78ED8}"/>
    <cellStyle name="Comma 15 2 4 3 3" xfId="31409" xr:uid="{689B438F-CE9F-4794-8043-2359F08C8149}"/>
    <cellStyle name="Comma 15 2 4 4" xfId="9505" xr:uid="{87169F1E-7B9B-4BA6-A6FC-0E182C580060}"/>
    <cellStyle name="Comma 15 2 4 4 2" xfId="46013" xr:uid="{4C7F6D8E-5910-42BA-80A5-2C3ACACFF42F}"/>
    <cellStyle name="Comma 15 2 4 4 3" xfId="27759" xr:uid="{A62F141E-1885-4FBC-BFE9-94F5894D5482}"/>
    <cellStyle name="Comma 15 2 4 5" xfId="5855" xr:uid="{94256AE2-8647-4CCD-810B-79BB809E99D5}"/>
    <cellStyle name="Comma 15 2 4 5 2" xfId="42363" xr:uid="{199014FB-944F-4438-B664-0CB22258260A}"/>
    <cellStyle name="Comma 15 2 4 5 3" xfId="24109" xr:uid="{8B018BE9-C511-461C-AB1D-CE124D6D127F}"/>
    <cellStyle name="Comma 15 2 4 6" xfId="38713" xr:uid="{2D88B98E-7EC6-4E81-9529-990F4F2BC787}"/>
    <cellStyle name="Comma 15 2 4 7" xfId="20459" xr:uid="{6D98EB20-0390-495F-86D3-3F51BB71914D}"/>
    <cellStyle name="Comma 15 2 5" xfId="1475" xr:uid="{C6D3764A-5654-4B4A-8887-2908D9787C39}"/>
    <cellStyle name="Comma 15 2 5 2" xfId="16075" xr:uid="{83D7CF63-455F-4807-959D-17515E9F0E10}"/>
    <cellStyle name="Comma 15 2 5 2 2" xfId="52583" xr:uid="{5B247288-69C0-475E-9BDC-62FDF358D8E9}"/>
    <cellStyle name="Comma 15 2 5 2 3" xfId="34329" xr:uid="{9524F6AB-C193-45A8-9A46-12B0D16454CD}"/>
    <cellStyle name="Comma 15 2 5 3" xfId="12425" xr:uid="{61186184-A042-41B2-8E07-40DACFEA2D4F}"/>
    <cellStyle name="Comma 15 2 5 3 2" xfId="48933" xr:uid="{0265A97D-899D-4143-95ED-C47F5714B954}"/>
    <cellStyle name="Comma 15 2 5 3 3" xfId="30679" xr:uid="{4FC2BBC2-6A48-4395-B439-BEBFF45BFBA3}"/>
    <cellStyle name="Comma 15 2 5 4" xfId="8775" xr:uid="{524140B5-85FA-47CB-942A-80D1B620E162}"/>
    <cellStyle name="Comma 15 2 5 4 2" xfId="45283" xr:uid="{CE09EFDB-D728-46DE-A8A5-EA84ACDD8D56}"/>
    <cellStyle name="Comma 15 2 5 4 3" xfId="27029" xr:uid="{B3BD8F07-3F1A-43F0-8C39-70D09A46C18A}"/>
    <cellStyle name="Comma 15 2 5 5" xfId="5125" xr:uid="{F90B8378-B349-4C69-9FCC-8B3D19D16EF8}"/>
    <cellStyle name="Comma 15 2 5 5 2" xfId="41633" xr:uid="{9BB4D31B-F088-4B20-98D3-57A78EA52694}"/>
    <cellStyle name="Comma 15 2 5 5 3" xfId="23379" xr:uid="{FC7DF4E6-7259-4773-925D-103576683639}"/>
    <cellStyle name="Comma 15 2 5 6" xfId="37983" xr:uid="{79C0E5F6-BBA7-42DD-BD91-376BB0E87DFA}"/>
    <cellStyle name="Comma 15 2 5 7" xfId="19729" xr:uid="{77DFB184-2997-40BA-91F5-E3A4BBB805EB}"/>
    <cellStyle name="Comma 15 2 6" xfId="15345" xr:uid="{F3CDE24F-5EDC-49ED-9BBB-13D551B54AFB}"/>
    <cellStyle name="Comma 15 2 6 2" xfId="51853" xr:uid="{A705BEEB-A84C-475F-911C-B928DC6BB9F1}"/>
    <cellStyle name="Comma 15 2 6 3" xfId="33599" xr:uid="{3258C607-B69F-4545-A814-92A1754102BD}"/>
    <cellStyle name="Comma 15 2 7" xfId="11695" xr:uid="{765235DE-6199-4053-ABAF-E17EC19C59D7}"/>
    <cellStyle name="Comma 15 2 7 2" xfId="48203" xr:uid="{79455F01-6546-41A9-AEE7-48F44ACDA149}"/>
    <cellStyle name="Comma 15 2 7 3" xfId="29949" xr:uid="{A7C59313-3665-40B0-8105-AAE57264B3DD}"/>
    <cellStyle name="Comma 15 2 8" xfId="8045" xr:uid="{9D45D236-BF6C-4DCD-BD91-C7F1F22069D9}"/>
    <cellStyle name="Comma 15 2 8 2" xfId="44553" xr:uid="{88312D6F-9C73-4A8B-BBB8-E6E79542BAC4}"/>
    <cellStyle name="Comma 15 2 8 3" xfId="26299" xr:uid="{BE847DD6-BDFD-4A85-9FF6-048CC2217059}"/>
    <cellStyle name="Comma 15 2 9" xfId="4395" xr:uid="{400B24B7-9E6E-4207-8C03-6D082370DC26}"/>
    <cellStyle name="Comma 15 2 9 2" xfId="40903" xr:uid="{D182E27A-7FD5-46F8-A005-92F851D8FF42}"/>
    <cellStyle name="Comma 15 2 9 3" xfId="22649" xr:uid="{D86FB23E-0F59-4BE1-9F74-D12E3C13055A}"/>
    <cellStyle name="Comma 15 3" xfId="641" xr:uid="{FB755048-E72D-42D9-A54B-091C81714451}"/>
    <cellStyle name="Comma 15 3 10" xfId="37149" xr:uid="{37D553FB-0A1F-4555-9B1A-6B26681B8440}"/>
    <cellStyle name="Comma 15 3 11" xfId="18895" xr:uid="{08C527F2-FF0A-4B31-9E82-8A4F7454393B}"/>
    <cellStyle name="Comma 15 3 2" xfId="3561" xr:uid="{9EFDCDB5-D9AD-41FC-8B3A-098E67424F8E}"/>
    <cellStyle name="Comma 15 3 2 2" xfId="18161" xr:uid="{E2C7185D-14B7-4331-B164-E9AFD34A881E}"/>
    <cellStyle name="Comma 15 3 2 2 2" xfId="54669" xr:uid="{DFD67B8E-ECF4-4982-A82A-5441E0D6394F}"/>
    <cellStyle name="Comma 15 3 2 2 3" xfId="36415" xr:uid="{DEBE7CF8-D6FE-42FF-9C1E-EA9513719039}"/>
    <cellStyle name="Comma 15 3 2 3" xfId="14511" xr:uid="{E40C9BD2-3497-4629-97ED-C8549B3ECAA6}"/>
    <cellStyle name="Comma 15 3 2 3 2" xfId="51019" xr:uid="{C7C82FFF-5AED-4F9C-B5E7-CA1A55D8C23D}"/>
    <cellStyle name="Comma 15 3 2 3 3" xfId="32765" xr:uid="{7B803C60-1E4B-439C-84FA-2695D8A16A2B}"/>
    <cellStyle name="Comma 15 3 2 4" xfId="10861" xr:uid="{D41C70B1-AF4D-4947-BD7B-3749C8174D6F}"/>
    <cellStyle name="Comma 15 3 2 4 2" xfId="47369" xr:uid="{69A2BE7E-DA4E-40B7-93D4-394F461A941A}"/>
    <cellStyle name="Comma 15 3 2 4 3" xfId="29115" xr:uid="{C352BE04-9B6A-46B0-B6CC-9E441F8A4FC8}"/>
    <cellStyle name="Comma 15 3 2 5" xfId="7211" xr:uid="{D5254D78-C62A-4C96-A00C-D5F158722778}"/>
    <cellStyle name="Comma 15 3 2 5 2" xfId="43719" xr:uid="{FEFE5869-63D6-45A6-B356-3556168344D1}"/>
    <cellStyle name="Comma 15 3 2 5 3" xfId="25465" xr:uid="{CFE341E3-FB1D-42B9-AF71-6F791A3B0245}"/>
    <cellStyle name="Comma 15 3 2 6" xfId="40069" xr:uid="{71E68702-000E-46D2-9DE3-0C333FDEFA80}"/>
    <cellStyle name="Comma 15 3 2 7" xfId="21815" xr:uid="{1C9612B5-2DDC-4059-833C-597E285F9891}"/>
    <cellStyle name="Comma 15 3 3" xfId="2831" xr:uid="{CF9AF3EB-48DC-4309-A761-1942650EA59B}"/>
    <cellStyle name="Comma 15 3 3 2" xfId="17431" xr:uid="{61972A80-E873-4454-82EF-12CE24E57F25}"/>
    <cellStyle name="Comma 15 3 3 2 2" xfId="53939" xr:uid="{3337F8D7-9C44-423C-9307-A8BC3FE3F556}"/>
    <cellStyle name="Comma 15 3 3 2 3" xfId="35685" xr:uid="{C3B69675-2885-4EF4-B72F-FB2CDA024BA9}"/>
    <cellStyle name="Comma 15 3 3 3" xfId="13781" xr:uid="{996DBF17-DE6D-47AB-A096-F272D425535F}"/>
    <cellStyle name="Comma 15 3 3 3 2" xfId="50289" xr:uid="{2665602D-CECE-4B02-A0C6-1B0BC2223E90}"/>
    <cellStyle name="Comma 15 3 3 3 3" xfId="32035" xr:uid="{342E49E5-8A0E-4165-B5AF-227E090E544F}"/>
    <cellStyle name="Comma 15 3 3 4" xfId="10131" xr:uid="{C37BEDED-303A-433E-B46D-8594ED9C3547}"/>
    <cellStyle name="Comma 15 3 3 4 2" xfId="46639" xr:uid="{DCBB5973-41E9-41A4-AA03-86BB3A13B905}"/>
    <cellStyle name="Comma 15 3 3 4 3" xfId="28385" xr:uid="{DB37F4F7-A95A-42D9-A01D-C4B81C7E486D}"/>
    <cellStyle name="Comma 15 3 3 5" xfId="6481" xr:uid="{8DDAB3FF-E749-44AD-8DED-7E72D608A54D}"/>
    <cellStyle name="Comma 15 3 3 5 2" xfId="42989" xr:uid="{7BC26847-DF13-4E88-8462-597AF233E44E}"/>
    <cellStyle name="Comma 15 3 3 5 3" xfId="24735" xr:uid="{6242B8BB-81E1-4CE5-BDBE-1D641A83127C}"/>
    <cellStyle name="Comma 15 3 3 6" xfId="39339" xr:uid="{649CCB82-1124-491E-A846-913AAC9B4D03}"/>
    <cellStyle name="Comma 15 3 3 7" xfId="21085" xr:uid="{8EB005D3-92C8-4768-8B5C-C27A7D4B2230}"/>
    <cellStyle name="Comma 15 3 4" xfId="2101" xr:uid="{876DE53F-2207-4937-A862-4E8892C5CD4F}"/>
    <cellStyle name="Comma 15 3 4 2" xfId="16701" xr:uid="{617D6DD4-0656-4F80-9B20-E1487F32FC02}"/>
    <cellStyle name="Comma 15 3 4 2 2" xfId="53209" xr:uid="{3CFDC3CB-FD3F-4215-9AF0-45875AE15B5B}"/>
    <cellStyle name="Comma 15 3 4 2 3" xfId="34955" xr:uid="{DB080382-2691-4194-8D7E-3F74312FBBBD}"/>
    <cellStyle name="Comma 15 3 4 3" xfId="13051" xr:uid="{8CE8FFB2-F98E-4C78-8569-AA011B7C00BE}"/>
    <cellStyle name="Comma 15 3 4 3 2" xfId="49559" xr:uid="{59E77409-37F6-4905-A1A8-2AFA1C784B49}"/>
    <cellStyle name="Comma 15 3 4 3 3" xfId="31305" xr:uid="{623D4446-00BD-45A5-B7B7-CAE21AE185E8}"/>
    <cellStyle name="Comma 15 3 4 4" xfId="9401" xr:uid="{FB4B1B51-2A06-4096-84C8-962AE563B0F6}"/>
    <cellStyle name="Comma 15 3 4 4 2" xfId="45909" xr:uid="{D6F63242-FFAB-4F65-A3E8-6609B0892EA6}"/>
    <cellStyle name="Comma 15 3 4 4 3" xfId="27655" xr:uid="{E76FE394-40C9-4CCD-A105-59E5462E68C0}"/>
    <cellStyle name="Comma 15 3 4 5" xfId="5751" xr:uid="{C73D8B35-71BE-44B2-8F40-BB7AE47A9D36}"/>
    <cellStyle name="Comma 15 3 4 5 2" xfId="42259" xr:uid="{AA5E75AE-682E-4E7C-9618-C4EA29C1830F}"/>
    <cellStyle name="Comma 15 3 4 5 3" xfId="24005" xr:uid="{2490D85F-C4D7-48E3-8B2D-C86BA690F659}"/>
    <cellStyle name="Comma 15 3 4 6" xfId="38609" xr:uid="{9C26FFD5-BB06-4EB5-A871-B3F237D9A7AA}"/>
    <cellStyle name="Comma 15 3 4 7" xfId="20355" xr:uid="{F2E999D8-98E3-4735-A1C2-8D0D0E386423}"/>
    <cellStyle name="Comma 15 3 5" xfId="1371" xr:uid="{3D564E29-1A0B-4DC7-BC0F-5D88266FE10E}"/>
    <cellStyle name="Comma 15 3 5 2" xfId="15971" xr:uid="{C9539CCE-E035-4C4D-BEB7-074924A34DAC}"/>
    <cellStyle name="Comma 15 3 5 2 2" xfId="52479" xr:uid="{1AC82953-8759-4BD3-A7D3-BC3377338927}"/>
    <cellStyle name="Comma 15 3 5 2 3" xfId="34225" xr:uid="{A3E3AB0A-54C8-4766-9E09-E534F948849A}"/>
    <cellStyle name="Comma 15 3 5 3" xfId="12321" xr:uid="{E7B79F45-3124-44CF-8C60-58DA7B4129B8}"/>
    <cellStyle name="Comma 15 3 5 3 2" xfId="48829" xr:uid="{01B8521D-B9B5-4EDB-BE4D-D06803A35A5A}"/>
    <cellStyle name="Comma 15 3 5 3 3" xfId="30575" xr:uid="{D653B431-6706-4912-B3B5-E442D29EE858}"/>
    <cellStyle name="Comma 15 3 5 4" xfId="8671" xr:uid="{0350F56D-9138-42EF-B939-748DFC3D29DD}"/>
    <cellStyle name="Comma 15 3 5 4 2" xfId="45179" xr:uid="{23DE73A3-7340-4D9C-89F4-58A0BE02AA46}"/>
    <cellStyle name="Comma 15 3 5 4 3" xfId="26925" xr:uid="{6DC8382A-306D-470B-B064-40BDB6AA7C90}"/>
    <cellStyle name="Comma 15 3 5 5" xfId="5021" xr:uid="{ABA9242E-109E-4DC6-91E7-C5D768CA554E}"/>
    <cellStyle name="Comma 15 3 5 5 2" xfId="41529" xr:uid="{A4D4F1F9-EEAD-4E17-85BF-B61639D83AC1}"/>
    <cellStyle name="Comma 15 3 5 5 3" xfId="23275" xr:uid="{8823DCE0-A7FD-45C9-81CD-456AF13DB00A}"/>
    <cellStyle name="Comma 15 3 5 6" xfId="37879" xr:uid="{01E49399-EBAF-46A3-8398-4903280E96B0}"/>
    <cellStyle name="Comma 15 3 5 7" xfId="19625" xr:uid="{4A324639-9E05-492A-A2B0-E07B20C0F2F2}"/>
    <cellStyle name="Comma 15 3 6" xfId="15241" xr:uid="{F42E76CB-7A93-47D8-8412-A7697A50BC1C}"/>
    <cellStyle name="Comma 15 3 6 2" xfId="51749" xr:uid="{FD95B5C8-F431-48A0-837C-448519924156}"/>
    <cellStyle name="Comma 15 3 6 3" xfId="33495" xr:uid="{BB7CC15B-A19D-449C-BACB-DEA2DE0D7EFB}"/>
    <cellStyle name="Comma 15 3 7" xfId="11591" xr:uid="{9C6591C2-03EF-4C49-A8FA-6D5A5B528F73}"/>
    <cellStyle name="Comma 15 3 7 2" xfId="48099" xr:uid="{4B21F3AB-9F2B-44F4-818A-328CDC2D3E6B}"/>
    <cellStyle name="Comma 15 3 7 3" xfId="29845" xr:uid="{0FEECFD4-ADB0-4B06-A08C-7AFBF493811C}"/>
    <cellStyle name="Comma 15 3 8" xfId="7941" xr:uid="{779DBE6B-863E-4B91-A44D-41A5FEFDD91A}"/>
    <cellStyle name="Comma 15 3 8 2" xfId="44449" xr:uid="{9F4C1EB2-895E-42CE-81BD-704BBD759328}"/>
    <cellStyle name="Comma 15 3 8 3" xfId="26195" xr:uid="{612AD3C2-6C4E-42C2-BCF7-26CD47B57DEE}"/>
    <cellStyle name="Comma 15 3 9" xfId="4291" xr:uid="{0A2AD8C1-FFA3-4C5B-A308-B0C7C33BF78F}"/>
    <cellStyle name="Comma 15 3 9 2" xfId="40799" xr:uid="{790C575A-17CA-4E79-B467-A67D888EB6F9}"/>
    <cellStyle name="Comma 15 3 9 3" xfId="22545" xr:uid="{7646DFE8-DF79-44DF-B9D5-C07C7639194C}"/>
    <cellStyle name="Comma 15 4" xfId="537" xr:uid="{ED9B7FAE-B47B-4F36-A101-4FC6E1988B2A}"/>
    <cellStyle name="Comma 15 4 10" xfId="37045" xr:uid="{BE5F29BD-68C4-4AC0-945E-16769CAC9BC2}"/>
    <cellStyle name="Comma 15 4 11" xfId="18791" xr:uid="{532E6E63-1705-4841-AC3E-1D784F124D44}"/>
    <cellStyle name="Comma 15 4 2" xfId="3457" xr:uid="{A1C6A00D-4391-4C27-BC0F-B4D8761248AC}"/>
    <cellStyle name="Comma 15 4 2 2" xfId="18057" xr:uid="{D2C9A5B1-D532-49FC-9EAE-7E5A4FC971CA}"/>
    <cellStyle name="Comma 15 4 2 2 2" xfId="54565" xr:uid="{79E96B4A-0892-4E73-894C-B99FF4175DDE}"/>
    <cellStyle name="Comma 15 4 2 2 3" xfId="36311" xr:uid="{ECC18042-6D39-4D6B-879D-2B4F4186DB44}"/>
    <cellStyle name="Comma 15 4 2 3" xfId="14407" xr:uid="{D6788895-F823-4DDE-941B-E1C22D39E45B}"/>
    <cellStyle name="Comma 15 4 2 3 2" xfId="50915" xr:uid="{F2E0F9C4-1210-46C4-B291-BA1AA7AE5922}"/>
    <cellStyle name="Comma 15 4 2 3 3" xfId="32661" xr:uid="{1DC5D9BB-170E-4F78-A436-91F3DA712EF8}"/>
    <cellStyle name="Comma 15 4 2 4" xfId="10757" xr:uid="{B2AA1083-EAFB-4E89-94F6-D96AF6520E3A}"/>
    <cellStyle name="Comma 15 4 2 4 2" xfId="47265" xr:uid="{93E93108-805C-4277-8924-369D39E8F29D}"/>
    <cellStyle name="Comma 15 4 2 4 3" xfId="29011" xr:uid="{B14FB141-6A50-4BFC-A04F-92F460B21C08}"/>
    <cellStyle name="Comma 15 4 2 5" xfId="7107" xr:uid="{9999D1F9-5E9E-46D9-82A7-A802C375E8AA}"/>
    <cellStyle name="Comma 15 4 2 5 2" xfId="43615" xr:uid="{9D4E5E1B-88E9-415F-A5ED-11553A1DDF0D}"/>
    <cellStyle name="Comma 15 4 2 5 3" xfId="25361" xr:uid="{F391660B-E82D-43CA-B5C4-D55E8D7053D7}"/>
    <cellStyle name="Comma 15 4 2 6" xfId="39965" xr:uid="{E35004DC-8491-4C4A-A552-7F87B269DC18}"/>
    <cellStyle name="Comma 15 4 2 7" xfId="21711" xr:uid="{AEE0D09B-3A3A-4BC4-A816-6C10F20B15A7}"/>
    <cellStyle name="Comma 15 4 3" xfId="2727" xr:uid="{1A5833C3-9218-4685-A9BB-A803216A7975}"/>
    <cellStyle name="Comma 15 4 3 2" xfId="17327" xr:uid="{5CCCA73A-0B8C-4E31-9ECF-895A5A7A92BC}"/>
    <cellStyle name="Comma 15 4 3 2 2" xfId="53835" xr:uid="{58295E78-80AC-43F4-A72E-C3F56E601186}"/>
    <cellStyle name="Comma 15 4 3 2 3" xfId="35581" xr:uid="{C94C3175-267E-4C6F-A6A7-1960165AF4B3}"/>
    <cellStyle name="Comma 15 4 3 3" xfId="13677" xr:uid="{56E9D56F-33A9-42AF-9F20-3106BC87DB0E}"/>
    <cellStyle name="Comma 15 4 3 3 2" xfId="50185" xr:uid="{C5D47A01-3803-42D5-9F36-B05279856605}"/>
    <cellStyle name="Comma 15 4 3 3 3" xfId="31931" xr:uid="{30DF85B0-84F9-4D9E-A24D-EFC805791745}"/>
    <cellStyle name="Comma 15 4 3 4" xfId="10027" xr:uid="{8730CE22-C99C-4084-BA2A-1A68EBE8218E}"/>
    <cellStyle name="Comma 15 4 3 4 2" xfId="46535" xr:uid="{07FE1DDD-4287-431E-A715-CE29CE428152}"/>
    <cellStyle name="Comma 15 4 3 4 3" xfId="28281" xr:uid="{74F60D10-EEEC-4F43-A184-B9E9AF05AA17}"/>
    <cellStyle name="Comma 15 4 3 5" xfId="6377" xr:uid="{C19543CE-779C-4D5E-AF58-8BD0086F4047}"/>
    <cellStyle name="Comma 15 4 3 5 2" xfId="42885" xr:uid="{920267E5-FFFE-480F-A503-D84996A321E6}"/>
    <cellStyle name="Comma 15 4 3 5 3" xfId="24631" xr:uid="{FB5A6136-E1EB-40DD-B3D4-B86B41BF376B}"/>
    <cellStyle name="Comma 15 4 3 6" xfId="39235" xr:uid="{B0B27D4F-0905-4BE2-8A05-F11B30910A1D}"/>
    <cellStyle name="Comma 15 4 3 7" xfId="20981" xr:uid="{63767B2F-A0BC-406D-8800-F9E596D8E1BB}"/>
    <cellStyle name="Comma 15 4 4" xfId="1997" xr:uid="{91968351-C84C-47B8-8C0D-15B100716A2B}"/>
    <cellStyle name="Comma 15 4 4 2" xfId="16597" xr:uid="{7E89A301-33DB-419D-9B41-AB2F25DDFEDD}"/>
    <cellStyle name="Comma 15 4 4 2 2" xfId="53105" xr:uid="{85F2EC4E-C094-4116-9FAB-01597B7DC487}"/>
    <cellStyle name="Comma 15 4 4 2 3" xfId="34851" xr:uid="{23807A51-9415-446C-80EA-903EB8512EC9}"/>
    <cellStyle name="Comma 15 4 4 3" xfId="12947" xr:uid="{5F72645A-C330-45FB-BA56-B38A42895263}"/>
    <cellStyle name="Comma 15 4 4 3 2" xfId="49455" xr:uid="{8C2E0969-5954-4928-A20D-63539BB8B8AB}"/>
    <cellStyle name="Comma 15 4 4 3 3" xfId="31201" xr:uid="{33A22650-2F62-4F0B-AFF5-BF134011F2B9}"/>
    <cellStyle name="Comma 15 4 4 4" xfId="9297" xr:uid="{937CED5D-158E-476F-9FE1-B614B12890F3}"/>
    <cellStyle name="Comma 15 4 4 4 2" xfId="45805" xr:uid="{2BF6F776-C96D-42FA-86FA-83B1EAEFCA48}"/>
    <cellStyle name="Comma 15 4 4 4 3" xfId="27551" xr:uid="{37C95CF8-09E6-45CC-9BB9-A43B91701A49}"/>
    <cellStyle name="Comma 15 4 4 5" xfId="5647" xr:uid="{206B4D0D-08DA-48BD-883A-00063325AD25}"/>
    <cellStyle name="Comma 15 4 4 5 2" xfId="42155" xr:uid="{AD954B97-6729-4BCB-A348-55DBE0F59E6D}"/>
    <cellStyle name="Comma 15 4 4 5 3" xfId="23901" xr:uid="{2AF34CB7-496E-4C92-AC4F-5DA8237357D1}"/>
    <cellStyle name="Comma 15 4 4 6" xfId="38505" xr:uid="{23E2B4DA-FFAF-4A64-A34C-04A66AFDF296}"/>
    <cellStyle name="Comma 15 4 4 7" xfId="20251" xr:uid="{26AEB276-61F2-46E0-8CD0-365B910D709E}"/>
    <cellStyle name="Comma 15 4 5" xfId="1267" xr:uid="{A5E4306E-4309-4B78-A713-9AF7FB53FD37}"/>
    <cellStyle name="Comma 15 4 5 2" xfId="15867" xr:uid="{B263695B-D4B6-4555-8448-046920F5ED45}"/>
    <cellStyle name="Comma 15 4 5 2 2" xfId="52375" xr:uid="{17203D53-BCEF-457B-A962-3E6E22B50010}"/>
    <cellStyle name="Comma 15 4 5 2 3" xfId="34121" xr:uid="{E765AEBC-4DD5-4E49-9996-CC871051845B}"/>
    <cellStyle name="Comma 15 4 5 3" xfId="12217" xr:uid="{266E332F-D56A-4A21-BEE4-58546DB57E97}"/>
    <cellStyle name="Comma 15 4 5 3 2" xfId="48725" xr:uid="{B47C0F41-85E4-488F-B2FD-751844412B5D}"/>
    <cellStyle name="Comma 15 4 5 3 3" xfId="30471" xr:uid="{7F59C526-8ADC-44AE-9525-019CF3092CB1}"/>
    <cellStyle name="Comma 15 4 5 4" xfId="8567" xr:uid="{A3B9ACC3-EB92-4927-88FD-2CCB5D8055E1}"/>
    <cellStyle name="Comma 15 4 5 4 2" xfId="45075" xr:uid="{06AE16A3-16C2-4625-ABD5-3CA16E2DD18F}"/>
    <cellStyle name="Comma 15 4 5 4 3" xfId="26821" xr:uid="{F4F2F55F-25FB-48C4-9562-A48DA6857F96}"/>
    <cellStyle name="Comma 15 4 5 5" xfId="4917" xr:uid="{E7B68B52-3DCF-42E4-BD96-4BEDED30F207}"/>
    <cellStyle name="Comma 15 4 5 5 2" xfId="41425" xr:uid="{97F119EF-3955-4656-A6AB-4E7A83AC5DDF}"/>
    <cellStyle name="Comma 15 4 5 5 3" xfId="23171" xr:uid="{C90A686E-FBA4-4E6A-964C-492F84471E55}"/>
    <cellStyle name="Comma 15 4 5 6" xfId="37775" xr:uid="{6F700455-A582-41D0-8C00-20B853C4D402}"/>
    <cellStyle name="Comma 15 4 5 7" xfId="19521" xr:uid="{4707A0EE-0607-44F2-9E49-F4C237964941}"/>
    <cellStyle name="Comma 15 4 6" xfId="15137" xr:uid="{CC79CF8C-49C0-41C4-9FE8-CB7ECBF177F9}"/>
    <cellStyle name="Comma 15 4 6 2" xfId="51645" xr:uid="{4BCB63E2-CA6F-461C-8DCA-60A87A050B80}"/>
    <cellStyle name="Comma 15 4 6 3" xfId="33391" xr:uid="{98933A06-55C1-422B-8383-B4C04B8FDB38}"/>
    <cellStyle name="Comma 15 4 7" xfId="11487" xr:uid="{7159D1B5-8DA2-4EA0-8EDD-48F87C2B0762}"/>
    <cellStyle name="Comma 15 4 7 2" xfId="47995" xr:uid="{748179D3-5BDA-4F67-87C4-627C6C4BFAD2}"/>
    <cellStyle name="Comma 15 4 7 3" xfId="29741" xr:uid="{8F6CC8CF-3DE8-49F0-AA52-D4B194F99DE4}"/>
    <cellStyle name="Comma 15 4 8" xfId="7837" xr:uid="{34946BF9-0B89-4903-AF65-8628A5ADD512}"/>
    <cellStyle name="Comma 15 4 8 2" xfId="44345" xr:uid="{7E6FE3E4-652B-4486-84CB-55ED0DD71566}"/>
    <cellStyle name="Comma 15 4 8 3" xfId="26091" xr:uid="{6096B433-706B-417A-8610-EFBAFB207BF1}"/>
    <cellStyle name="Comma 15 4 9" xfId="4187" xr:uid="{B6D981F5-9F7F-4C67-A47A-8E3DB4BF7230}"/>
    <cellStyle name="Comma 15 4 9 2" xfId="40695" xr:uid="{E43319AA-8CC6-4DB4-9D98-DFDB153E6864}"/>
    <cellStyle name="Comma 15 4 9 3" xfId="22441" xr:uid="{2213182E-C448-4734-B191-9A23D03E90CB}"/>
    <cellStyle name="Comma 15 5" xfId="433" xr:uid="{4612EDC0-E0B5-4CA2-BA44-BBD788502269}"/>
    <cellStyle name="Comma 15 5 10" xfId="36941" xr:uid="{E789CB9C-4803-429C-8138-F45EA2D78C6A}"/>
    <cellStyle name="Comma 15 5 11" xfId="18687" xr:uid="{2A07577B-F642-44B5-850B-4359777C0673}"/>
    <cellStyle name="Comma 15 5 2" xfId="3353" xr:uid="{45C72BC9-2FDE-43E0-92AB-198A3709170F}"/>
    <cellStyle name="Comma 15 5 2 2" xfId="17953" xr:uid="{A783ED5E-1A69-478C-B134-8F0C69BCD229}"/>
    <cellStyle name="Comma 15 5 2 2 2" xfId="54461" xr:uid="{EA122E8A-5C8A-4118-8C95-0D9DF99A667C}"/>
    <cellStyle name="Comma 15 5 2 2 3" xfId="36207" xr:uid="{41AB5193-97B3-4C9B-8ED8-214C7AB43294}"/>
    <cellStyle name="Comma 15 5 2 3" xfId="14303" xr:uid="{D286B614-A597-4398-899F-2FFA43EFFB3B}"/>
    <cellStyle name="Comma 15 5 2 3 2" xfId="50811" xr:uid="{344971FD-53C2-4D47-92C6-2DFCD2BC53C5}"/>
    <cellStyle name="Comma 15 5 2 3 3" xfId="32557" xr:uid="{99B899C0-3410-4DDA-9B79-B939E2DD14C1}"/>
    <cellStyle name="Comma 15 5 2 4" xfId="10653" xr:uid="{29B1C529-9C58-4848-8B18-ABFC83CA27ED}"/>
    <cellStyle name="Comma 15 5 2 4 2" xfId="47161" xr:uid="{142EC0F3-F913-46CC-9A1D-18033E123FFF}"/>
    <cellStyle name="Comma 15 5 2 4 3" xfId="28907" xr:uid="{14B055A8-C557-4B3E-A292-EE43500F11AD}"/>
    <cellStyle name="Comma 15 5 2 5" xfId="7003" xr:uid="{9B2CFDB5-1AA4-4DEF-9B45-07ED1E6FCF1D}"/>
    <cellStyle name="Comma 15 5 2 5 2" xfId="43511" xr:uid="{D6419704-BBAB-40E7-ABB2-18D088FBE8F3}"/>
    <cellStyle name="Comma 15 5 2 5 3" xfId="25257" xr:uid="{C7516874-BC21-460D-A47E-3CAB752CAAD2}"/>
    <cellStyle name="Comma 15 5 2 6" xfId="39861" xr:uid="{472F83B8-8F3B-40EF-8960-DE514A9F8444}"/>
    <cellStyle name="Comma 15 5 2 7" xfId="21607" xr:uid="{3E2BC2DD-1509-4356-8ED0-803EF9464F0F}"/>
    <cellStyle name="Comma 15 5 3" xfId="2623" xr:uid="{D1D12AFE-A1B4-48DF-A5FE-DF6DA27ABA36}"/>
    <cellStyle name="Comma 15 5 3 2" xfId="17223" xr:uid="{25AB929A-D561-4E43-85D7-87CE05975D67}"/>
    <cellStyle name="Comma 15 5 3 2 2" xfId="53731" xr:uid="{11736B02-730B-423D-8022-93EA9151BA80}"/>
    <cellStyle name="Comma 15 5 3 2 3" xfId="35477" xr:uid="{9A2F86A3-721D-44A4-922B-CB76E1B5F23C}"/>
    <cellStyle name="Comma 15 5 3 3" xfId="13573" xr:uid="{8E6138BC-D498-4BC2-9104-EC5E106138CF}"/>
    <cellStyle name="Comma 15 5 3 3 2" xfId="50081" xr:uid="{7C75CE24-FF6B-4635-B359-07D472BADB09}"/>
    <cellStyle name="Comma 15 5 3 3 3" xfId="31827" xr:uid="{82A9DB10-691F-46A5-B025-92D4817DED0C}"/>
    <cellStyle name="Comma 15 5 3 4" xfId="9923" xr:uid="{0E8F34D1-4015-4768-B8AB-11852A50DEA8}"/>
    <cellStyle name="Comma 15 5 3 4 2" xfId="46431" xr:uid="{57DE3D00-2D5E-4AB4-AB26-2F180710988C}"/>
    <cellStyle name="Comma 15 5 3 4 3" xfId="28177" xr:uid="{8E0D1FBE-3EC6-412C-871A-F810E74A7B91}"/>
    <cellStyle name="Comma 15 5 3 5" xfId="6273" xr:uid="{2B4D88A8-C2A0-45FF-85F8-58737691DB70}"/>
    <cellStyle name="Comma 15 5 3 5 2" xfId="42781" xr:uid="{20806628-34EF-4804-860B-01A5A6C6F9B5}"/>
    <cellStyle name="Comma 15 5 3 5 3" xfId="24527" xr:uid="{00B3780E-B3E5-4125-94D3-5BDF45C8CDC7}"/>
    <cellStyle name="Comma 15 5 3 6" xfId="39131" xr:uid="{CD982E64-54B7-4C68-A248-DD8BE0713EDB}"/>
    <cellStyle name="Comma 15 5 3 7" xfId="20877" xr:uid="{1B5BF38D-5044-49F8-92A6-A37271CC33E6}"/>
    <cellStyle name="Comma 15 5 4" xfId="1893" xr:uid="{87A0834B-E3D3-406D-90D0-0E7BB0C88CFD}"/>
    <cellStyle name="Comma 15 5 4 2" xfId="16493" xr:uid="{83AEB9A3-B781-4431-985F-D17FCA154777}"/>
    <cellStyle name="Comma 15 5 4 2 2" xfId="53001" xr:uid="{E1175EA3-2170-4DBA-81B3-99AE293FD3B2}"/>
    <cellStyle name="Comma 15 5 4 2 3" xfId="34747" xr:uid="{CFB6A6DD-294A-4AFC-9BC1-7554513FB977}"/>
    <cellStyle name="Comma 15 5 4 3" xfId="12843" xr:uid="{D25EFDAB-3254-4D0B-B947-A6743D1B474C}"/>
    <cellStyle name="Comma 15 5 4 3 2" xfId="49351" xr:uid="{2D3D4F26-D911-47E3-B5D2-3BD15CB6DBD6}"/>
    <cellStyle name="Comma 15 5 4 3 3" xfId="31097" xr:uid="{E0E0FF87-CDAB-4588-BB85-A7A4F74EB667}"/>
    <cellStyle name="Comma 15 5 4 4" xfId="9193" xr:uid="{0A33D75D-8D9D-423F-AE44-E36670027BA1}"/>
    <cellStyle name="Comma 15 5 4 4 2" xfId="45701" xr:uid="{F8880754-3544-42A2-B866-7EE6CE871BBE}"/>
    <cellStyle name="Comma 15 5 4 4 3" xfId="27447" xr:uid="{2F1CC819-8569-4A90-8EB3-5A93778557AA}"/>
    <cellStyle name="Comma 15 5 4 5" xfId="5543" xr:uid="{2AFBB0A9-FD42-41E5-9A6B-342E150F2C6E}"/>
    <cellStyle name="Comma 15 5 4 5 2" xfId="42051" xr:uid="{23D3EBDD-EF76-4930-B390-E5A6DF171900}"/>
    <cellStyle name="Comma 15 5 4 5 3" xfId="23797" xr:uid="{5D317DC2-97FF-4540-805A-42CC0E80DC0A}"/>
    <cellStyle name="Comma 15 5 4 6" xfId="38401" xr:uid="{0779E898-A6AE-425D-92E9-41B7FBEDFF45}"/>
    <cellStyle name="Comma 15 5 4 7" xfId="20147" xr:uid="{2F61D4D5-331C-415F-8A0B-76DE902CE559}"/>
    <cellStyle name="Comma 15 5 5" xfId="1163" xr:uid="{B7B39982-4E62-4BC7-8585-ECECE64D5580}"/>
    <cellStyle name="Comma 15 5 5 2" xfId="15763" xr:uid="{F5B0642B-73C0-47F8-A2A9-D08C04775BCA}"/>
    <cellStyle name="Comma 15 5 5 2 2" xfId="52271" xr:uid="{6CD12F01-4DD2-4DE6-A7CA-ACAECDD1425E}"/>
    <cellStyle name="Comma 15 5 5 2 3" xfId="34017" xr:uid="{4A024B0A-FA69-4DFA-9359-19F0EEBAD697}"/>
    <cellStyle name="Comma 15 5 5 3" xfId="12113" xr:uid="{B5AB661A-70BC-4B30-8DC8-9F8B822E5FFB}"/>
    <cellStyle name="Comma 15 5 5 3 2" xfId="48621" xr:uid="{B1530DAA-EB79-413F-BB3E-10EB8BBD6811}"/>
    <cellStyle name="Comma 15 5 5 3 3" xfId="30367" xr:uid="{51731418-6BA8-45BE-96F7-218B65CC280F}"/>
    <cellStyle name="Comma 15 5 5 4" xfId="8463" xr:uid="{5E777D71-AA10-4F4B-A2DE-F84981A1D9AC}"/>
    <cellStyle name="Comma 15 5 5 4 2" xfId="44971" xr:uid="{93907DA0-9477-486B-A9D1-CF14CD962294}"/>
    <cellStyle name="Comma 15 5 5 4 3" xfId="26717" xr:uid="{A79CA4AD-D079-4D35-A83A-96B1281C1BE9}"/>
    <cellStyle name="Comma 15 5 5 5" xfId="4813" xr:uid="{C2877903-1B20-4F29-9756-A285281866EC}"/>
    <cellStyle name="Comma 15 5 5 5 2" xfId="41321" xr:uid="{49EFBE59-10D5-482B-9293-4292660FF8D1}"/>
    <cellStyle name="Comma 15 5 5 5 3" xfId="23067" xr:uid="{9178665D-4C83-4841-BC19-C0D6FF2025A0}"/>
    <cellStyle name="Comma 15 5 5 6" xfId="37671" xr:uid="{F8D2E2D1-B12B-43A5-B02D-FAA11A2AA6AE}"/>
    <cellStyle name="Comma 15 5 5 7" xfId="19417" xr:uid="{80230EEC-869A-45AC-9B76-6496A5F83050}"/>
    <cellStyle name="Comma 15 5 6" xfId="15033" xr:uid="{86A30EE4-2407-4540-8770-8DBC066AE57F}"/>
    <cellStyle name="Comma 15 5 6 2" xfId="51541" xr:uid="{4FAACDA5-3A0A-4BF9-91DD-FB2FD3569221}"/>
    <cellStyle name="Comma 15 5 6 3" xfId="33287" xr:uid="{872E0BA0-862A-4D15-AE1F-809291982DAA}"/>
    <cellStyle name="Comma 15 5 7" xfId="11383" xr:uid="{E2DA05B1-4A4F-4F6E-AA6A-7E23044758D8}"/>
    <cellStyle name="Comma 15 5 7 2" xfId="47891" xr:uid="{5CFEDEF2-CF9F-416D-B47B-325C11063099}"/>
    <cellStyle name="Comma 15 5 7 3" xfId="29637" xr:uid="{FA1BCCF0-C1BE-43EE-B5AD-8D8E3426A49C}"/>
    <cellStyle name="Comma 15 5 8" xfId="7733" xr:uid="{B9E32ECB-40C5-4778-9BFC-DA7CF52A459E}"/>
    <cellStyle name="Comma 15 5 8 2" xfId="44241" xr:uid="{94B8AEE8-1135-4793-A462-C2C2CE18CDF3}"/>
    <cellStyle name="Comma 15 5 8 3" xfId="25987" xr:uid="{A529A512-BA8F-48DD-A380-CA02FE881E1A}"/>
    <cellStyle name="Comma 15 5 9" xfId="4083" xr:uid="{D90CBF53-CFE4-4A2A-97E6-E7E8EAE1B162}"/>
    <cellStyle name="Comma 15 5 9 2" xfId="40591" xr:uid="{56D0183F-D457-442A-9868-362ABCB0ED46}"/>
    <cellStyle name="Comma 15 5 9 3" xfId="22337" xr:uid="{D0B930D1-EE9D-4E38-AF2B-FA5E8F9F0DAD}"/>
    <cellStyle name="Comma 15 6" xfId="329" xr:uid="{3BEB29EC-C928-43A2-A7B5-D223B1BF84B8}"/>
    <cellStyle name="Comma 15 6 10" xfId="36837" xr:uid="{79D6DBFD-302E-43CF-9297-FE490309566F}"/>
    <cellStyle name="Comma 15 6 11" xfId="18583" xr:uid="{411A9F9C-413A-4610-97FB-C3B1EF0F35B7}"/>
    <cellStyle name="Comma 15 6 2" xfId="3249" xr:uid="{F6437773-C411-404F-91F8-B48A85BC529A}"/>
    <cellStyle name="Comma 15 6 2 2" xfId="17849" xr:uid="{B50D0135-257D-46B6-A3BA-DC1B94AF7C9F}"/>
    <cellStyle name="Comma 15 6 2 2 2" xfId="54357" xr:uid="{B018BDCC-B821-4DED-BAFE-A557370D66E6}"/>
    <cellStyle name="Comma 15 6 2 2 3" xfId="36103" xr:uid="{9C8D2904-0CAD-4874-9189-68DA9638EA91}"/>
    <cellStyle name="Comma 15 6 2 3" xfId="14199" xr:uid="{9A219AF5-03FB-48BA-8179-2346EC85F675}"/>
    <cellStyle name="Comma 15 6 2 3 2" xfId="50707" xr:uid="{502F7CEE-B0AC-4EA4-87F1-9BE8063B3590}"/>
    <cellStyle name="Comma 15 6 2 3 3" xfId="32453" xr:uid="{33D51CA0-24B2-4928-96AD-D9D549FF04A6}"/>
    <cellStyle name="Comma 15 6 2 4" xfId="10549" xr:uid="{B5E0B136-809D-45F3-8E44-91AECC98319E}"/>
    <cellStyle name="Comma 15 6 2 4 2" xfId="47057" xr:uid="{343EDB45-99C4-4012-8335-72145C9508F9}"/>
    <cellStyle name="Comma 15 6 2 4 3" xfId="28803" xr:uid="{0B2EB999-1E73-4188-BDEC-5F7F196346BA}"/>
    <cellStyle name="Comma 15 6 2 5" xfId="6899" xr:uid="{8431996C-AEAC-4F5C-B511-2C2B7797F956}"/>
    <cellStyle name="Comma 15 6 2 5 2" xfId="43407" xr:uid="{CB8614F4-3B23-4CB8-9480-DDBBE893F512}"/>
    <cellStyle name="Comma 15 6 2 5 3" xfId="25153" xr:uid="{167342C6-2994-49A1-B8CD-F7B8F137E343}"/>
    <cellStyle name="Comma 15 6 2 6" xfId="39757" xr:uid="{5BDF839F-82E1-42B2-8F9C-824E2F2235B5}"/>
    <cellStyle name="Comma 15 6 2 7" xfId="21503" xr:uid="{60EE8240-1EE0-4887-8BAC-63412242E527}"/>
    <cellStyle name="Comma 15 6 3" xfId="2519" xr:uid="{8FC7DEEC-D1E6-4473-997A-D71EBA9551E6}"/>
    <cellStyle name="Comma 15 6 3 2" xfId="17119" xr:uid="{7B6E7D64-5D5C-4BCA-A52E-EF6A6DE0C250}"/>
    <cellStyle name="Comma 15 6 3 2 2" xfId="53627" xr:uid="{F595AE6B-D2B0-4DEA-987A-2564FCE09A48}"/>
    <cellStyle name="Comma 15 6 3 2 3" xfId="35373" xr:uid="{B0746003-9E8D-4819-89A5-DD13533BC3B5}"/>
    <cellStyle name="Comma 15 6 3 3" xfId="13469" xr:uid="{183722B1-86A8-4632-9654-76691BE91060}"/>
    <cellStyle name="Comma 15 6 3 3 2" xfId="49977" xr:uid="{2FD5E45C-F82F-4CC1-A546-E6734AD0ED1E}"/>
    <cellStyle name="Comma 15 6 3 3 3" xfId="31723" xr:uid="{4A93A9DC-B2AF-4681-A422-0D561182CF2B}"/>
    <cellStyle name="Comma 15 6 3 4" xfId="9819" xr:uid="{2BA30A26-C088-4E7E-9110-334345294D70}"/>
    <cellStyle name="Comma 15 6 3 4 2" xfId="46327" xr:uid="{2080E8EA-5F0E-4ACD-92C6-632CC9D0093F}"/>
    <cellStyle name="Comma 15 6 3 4 3" xfId="28073" xr:uid="{5DB02E6B-2299-43AA-8CE4-40E6B6BB4769}"/>
    <cellStyle name="Comma 15 6 3 5" xfId="6169" xr:uid="{F2534118-E384-4F3F-9C57-8B7C1C912A18}"/>
    <cellStyle name="Comma 15 6 3 5 2" xfId="42677" xr:uid="{79C21498-6960-4E53-A1DC-D3D1349A661E}"/>
    <cellStyle name="Comma 15 6 3 5 3" xfId="24423" xr:uid="{0718BC62-A7FE-4DF5-900C-91D8B52E5320}"/>
    <cellStyle name="Comma 15 6 3 6" xfId="39027" xr:uid="{9590C0A6-C953-433D-8A36-C338C5DF050A}"/>
    <cellStyle name="Comma 15 6 3 7" xfId="20773" xr:uid="{91FA8260-D03E-4A62-BC6F-8F5A0DE53F0B}"/>
    <cellStyle name="Comma 15 6 4" xfId="1789" xr:uid="{28B306D6-7617-42AE-B386-8DB4B23A9B98}"/>
    <cellStyle name="Comma 15 6 4 2" xfId="16389" xr:uid="{3BA31B3D-5050-49DA-8002-3DCA53A7EA0D}"/>
    <cellStyle name="Comma 15 6 4 2 2" xfId="52897" xr:uid="{AE4C022D-4C1E-4A3C-9F88-10CBB9FFA86A}"/>
    <cellStyle name="Comma 15 6 4 2 3" xfId="34643" xr:uid="{5D81956A-A529-4BF1-8EE7-E23CDE1DFF4C}"/>
    <cellStyle name="Comma 15 6 4 3" xfId="12739" xr:uid="{92FF8FE8-24B1-4F9E-934B-19A496974542}"/>
    <cellStyle name="Comma 15 6 4 3 2" xfId="49247" xr:uid="{206C5E5B-1DEC-4139-9153-BA79BFA3C9A9}"/>
    <cellStyle name="Comma 15 6 4 3 3" xfId="30993" xr:uid="{5C2371B1-6E0D-451E-88BE-2902DBD149F0}"/>
    <cellStyle name="Comma 15 6 4 4" xfId="9089" xr:uid="{37A6EE87-9BDA-456F-9075-C012018D564D}"/>
    <cellStyle name="Comma 15 6 4 4 2" xfId="45597" xr:uid="{51D10F24-1B0B-47D2-ACCB-1110952F6F2E}"/>
    <cellStyle name="Comma 15 6 4 4 3" xfId="27343" xr:uid="{9B369780-1B72-49DA-8180-548AD31E935D}"/>
    <cellStyle name="Comma 15 6 4 5" xfId="5439" xr:uid="{8A595D7C-21AC-4B7F-8A81-E899CA70F6DC}"/>
    <cellStyle name="Comma 15 6 4 5 2" xfId="41947" xr:uid="{D28EDACB-665C-458C-81C1-B024F5D2E815}"/>
    <cellStyle name="Comma 15 6 4 5 3" xfId="23693" xr:uid="{648A1B1C-422B-4198-932E-69156CCA3D80}"/>
    <cellStyle name="Comma 15 6 4 6" xfId="38297" xr:uid="{720AB54E-AE8E-45DA-8281-816810B7DF64}"/>
    <cellStyle name="Comma 15 6 4 7" xfId="20043" xr:uid="{7744181B-2583-4FC7-8052-98CF4B65BC0A}"/>
    <cellStyle name="Comma 15 6 5" xfId="1059" xr:uid="{5425ADCC-0F88-4322-9E4F-5D96F000BC26}"/>
    <cellStyle name="Comma 15 6 5 2" xfId="15659" xr:uid="{ABE9886B-EA3C-42A8-B7F6-943298788C4F}"/>
    <cellStyle name="Comma 15 6 5 2 2" xfId="52167" xr:uid="{AE929DDD-B18F-4B8E-B511-D8AC229E4915}"/>
    <cellStyle name="Comma 15 6 5 2 3" xfId="33913" xr:uid="{B47311D5-4AF4-4F70-8257-4B3F3CBEBF14}"/>
    <cellStyle name="Comma 15 6 5 3" xfId="12009" xr:uid="{A8C8E18F-8DC9-428A-8E4E-6463BEBD7BD5}"/>
    <cellStyle name="Comma 15 6 5 3 2" xfId="48517" xr:uid="{5F8A2DFB-8C50-4EBB-80BC-D31953EA78F8}"/>
    <cellStyle name="Comma 15 6 5 3 3" xfId="30263" xr:uid="{476E8A3D-4ECE-46B2-BF33-01819FCFAAD5}"/>
    <cellStyle name="Comma 15 6 5 4" xfId="8359" xr:uid="{A59DC33E-93C2-48C5-B3AD-812CE7A7D2D6}"/>
    <cellStyle name="Comma 15 6 5 4 2" xfId="44867" xr:uid="{795A2835-BFCC-4B7D-9C8B-8A9FD50CB974}"/>
    <cellStyle name="Comma 15 6 5 4 3" xfId="26613" xr:uid="{714A8D88-29D8-4566-96AE-E89A78430BA3}"/>
    <cellStyle name="Comma 15 6 5 5" xfId="4709" xr:uid="{8DDE11F5-5ECF-4B73-81D7-02E42FEF21AC}"/>
    <cellStyle name="Comma 15 6 5 5 2" xfId="41217" xr:uid="{DFA07CEC-8F07-488E-9EBA-5317005B0726}"/>
    <cellStyle name="Comma 15 6 5 5 3" xfId="22963" xr:uid="{57769182-4E68-4F9C-AC05-0B8093F16760}"/>
    <cellStyle name="Comma 15 6 5 6" xfId="37567" xr:uid="{FD4D2848-F575-47BC-A044-C33DFD909734}"/>
    <cellStyle name="Comma 15 6 5 7" xfId="19313" xr:uid="{FEF3027F-D694-4701-80DE-A52B710C7DAC}"/>
    <cellStyle name="Comma 15 6 6" xfId="14929" xr:uid="{C6EC967A-74BE-42A4-862D-9F6880DF4479}"/>
    <cellStyle name="Comma 15 6 6 2" xfId="51437" xr:uid="{8D58762B-58E1-4070-B9E7-4957D5196BF6}"/>
    <cellStyle name="Comma 15 6 6 3" xfId="33183" xr:uid="{3CE462A6-A308-4776-9116-27D9ABAAEFB6}"/>
    <cellStyle name="Comma 15 6 7" xfId="11279" xr:uid="{890B4953-3CC5-418C-8B5E-E4E5F61CD4D7}"/>
    <cellStyle name="Comma 15 6 7 2" xfId="47787" xr:uid="{533B1F20-92E4-4192-8750-014DD3EFB728}"/>
    <cellStyle name="Comma 15 6 7 3" xfId="29533" xr:uid="{7776E163-E9B3-4113-A3B2-A6D9417E4614}"/>
    <cellStyle name="Comma 15 6 8" xfId="7629" xr:uid="{34A6C208-4201-4019-9978-B684A1E0490A}"/>
    <cellStyle name="Comma 15 6 8 2" xfId="44137" xr:uid="{4F278C81-4E74-4B59-93ED-72CA794963DF}"/>
    <cellStyle name="Comma 15 6 8 3" xfId="25883" xr:uid="{7C5C12F4-E75B-4A6D-9BBE-3702022EEF6A}"/>
    <cellStyle name="Comma 15 6 9" xfId="3979" xr:uid="{BEE85C0C-4DFC-4E42-94F6-7CD8C58F4AB1}"/>
    <cellStyle name="Comma 15 6 9 2" xfId="40487" xr:uid="{FC879960-4FE3-4984-9B43-A9DC8DB88D35}"/>
    <cellStyle name="Comma 15 6 9 3" xfId="22233" xr:uid="{169C75B6-92A4-4F29-BE13-FA87BA5DAD49}"/>
    <cellStyle name="Comma 15 7" xfId="225" xr:uid="{B7E69B43-D298-4C86-9DEC-3040A5A81070}"/>
    <cellStyle name="Comma 15 7 10" xfId="36733" xr:uid="{83471D2F-E47C-4410-9EC4-893AC57AC3A6}"/>
    <cellStyle name="Comma 15 7 11" xfId="18479" xr:uid="{00841312-C0D7-4C63-8F66-72693BF59BEF}"/>
    <cellStyle name="Comma 15 7 2" xfId="3145" xr:uid="{EE069690-7627-4592-AB9B-50B1BE8E80AC}"/>
    <cellStyle name="Comma 15 7 2 2" xfId="17745" xr:uid="{74D1AD69-A1AB-4058-B7C2-44EFD6C52697}"/>
    <cellStyle name="Comma 15 7 2 2 2" xfId="54253" xr:uid="{A77298A0-4A6C-4152-A284-398FE397723F}"/>
    <cellStyle name="Comma 15 7 2 2 3" xfId="35999" xr:uid="{78EFC6CC-FB3D-43B9-954F-AD9FFE1B14BD}"/>
    <cellStyle name="Comma 15 7 2 3" xfId="14095" xr:uid="{B14BC1D0-27A9-433E-A864-3D7022EE6B51}"/>
    <cellStyle name="Comma 15 7 2 3 2" xfId="50603" xr:uid="{5D9F37DB-B1F6-4F46-AD34-42750646FF3F}"/>
    <cellStyle name="Comma 15 7 2 3 3" xfId="32349" xr:uid="{2DF16EFD-54EA-4531-BB78-1E29D49DB8B0}"/>
    <cellStyle name="Comma 15 7 2 4" xfId="10445" xr:uid="{483AE147-AE58-48AD-882E-FA4D3695746D}"/>
    <cellStyle name="Comma 15 7 2 4 2" xfId="46953" xr:uid="{5BEF3D36-2CCC-49CC-A2D3-6CAB8C8061E0}"/>
    <cellStyle name="Comma 15 7 2 4 3" xfId="28699" xr:uid="{8A5ED598-7246-4A07-8A05-BA72B66CA885}"/>
    <cellStyle name="Comma 15 7 2 5" xfId="6795" xr:uid="{6457FDC9-6EF7-4C24-97E5-ADB0DA915B4D}"/>
    <cellStyle name="Comma 15 7 2 5 2" xfId="43303" xr:uid="{6401C46D-FD47-4AA9-A8CA-AF00A516C1B1}"/>
    <cellStyle name="Comma 15 7 2 5 3" xfId="25049" xr:uid="{C958F862-8696-4091-9876-54ADDA03C886}"/>
    <cellStyle name="Comma 15 7 2 6" xfId="39653" xr:uid="{335390B9-7059-45FA-A66F-37DBAA99365F}"/>
    <cellStyle name="Comma 15 7 2 7" xfId="21399" xr:uid="{96587A7F-DC1D-4612-A992-F152301B05B3}"/>
    <cellStyle name="Comma 15 7 3" xfId="2415" xr:uid="{9EEF881B-FFD7-44A5-AD14-6C0A7E7EF2B1}"/>
    <cellStyle name="Comma 15 7 3 2" xfId="17015" xr:uid="{0A2CC20C-BB74-480D-B10E-5AF4C83D8F17}"/>
    <cellStyle name="Comma 15 7 3 2 2" xfId="53523" xr:uid="{BC79C6CA-653E-40FF-A7BC-27BF567A4450}"/>
    <cellStyle name="Comma 15 7 3 2 3" xfId="35269" xr:uid="{A1B4B415-8015-402A-828F-1BEDC3434CCD}"/>
    <cellStyle name="Comma 15 7 3 3" xfId="13365" xr:uid="{163401FA-3078-4E56-AF67-DA8E1100A727}"/>
    <cellStyle name="Comma 15 7 3 3 2" xfId="49873" xr:uid="{F2E68370-545F-4697-A4F8-01D56BA2BCB0}"/>
    <cellStyle name="Comma 15 7 3 3 3" xfId="31619" xr:uid="{30B04F84-C38B-4935-B459-A66F63BB5346}"/>
    <cellStyle name="Comma 15 7 3 4" xfId="9715" xr:uid="{7CABCCF0-26DF-4F96-A05A-174BAC49C882}"/>
    <cellStyle name="Comma 15 7 3 4 2" xfId="46223" xr:uid="{5946A3A8-6CFF-4CBF-804C-612EB67FB4D4}"/>
    <cellStyle name="Comma 15 7 3 4 3" xfId="27969" xr:uid="{F13F56F7-F44E-4C52-9706-4E796080A25A}"/>
    <cellStyle name="Comma 15 7 3 5" xfId="6065" xr:uid="{970159C9-C3F3-4193-A197-D24EE0B5B584}"/>
    <cellStyle name="Comma 15 7 3 5 2" xfId="42573" xr:uid="{D0522B99-A55A-49A7-A351-F4FC7BAD08C4}"/>
    <cellStyle name="Comma 15 7 3 5 3" xfId="24319" xr:uid="{45B543B7-7A01-4724-B586-52018C9D564A}"/>
    <cellStyle name="Comma 15 7 3 6" xfId="38923" xr:uid="{5AB55CE2-EBAE-4332-873E-F26FB4AE7972}"/>
    <cellStyle name="Comma 15 7 3 7" xfId="20669" xr:uid="{735F1E81-1393-4119-A624-BEE21E1254DD}"/>
    <cellStyle name="Comma 15 7 4" xfId="1685" xr:uid="{964AA1C3-E0EA-462D-BF78-0953FDAB02E4}"/>
    <cellStyle name="Comma 15 7 4 2" xfId="16285" xr:uid="{54B815E9-37EF-4A79-A5B6-69CC18DD7833}"/>
    <cellStyle name="Comma 15 7 4 2 2" xfId="52793" xr:uid="{2C7DC44F-BCB2-49DE-9DDC-7204EAE120FF}"/>
    <cellStyle name="Comma 15 7 4 2 3" xfId="34539" xr:uid="{59A4F1DC-BA8C-43EE-A1E2-1FF287D6BF09}"/>
    <cellStyle name="Comma 15 7 4 3" xfId="12635" xr:uid="{F2641D02-FEA4-49A5-A6BA-7394023499F6}"/>
    <cellStyle name="Comma 15 7 4 3 2" xfId="49143" xr:uid="{0832A085-1C4B-484B-B420-9307AD15CF78}"/>
    <cellStyle name="Comma 15 7 4 3 3" xfId="30889" xr:uid="{C8545F66-8A36-479D-9314-B46CF3FFC405}"/>
    <cellStyle name="Comma 15 7 4 4" xfId="8985" xr:uid="{D5D6A5B0-0B90-4135-B51C-FCBBFD6676DF}"/>
    <cellStyle name="Comma 15 7 4 4 2" xfId="45493" xr:uid="{262EA91F-2A9F-47BE-AE60-A642B7691961}"/>
    <cellStyle name="Comma 15 7 4 4 3" xfId="27239" xr:uid="{A4F77212-0A56-4FA0-A37C-BA3BACA22F7D}"/>
    <cellStyle name="Comma 15 7 4 5" xfId="5335" xr:uid="{668012ED-514F-4797-A332-4381D03CABE3}"/>
    <cellStyle name="Comma 15 7 4 5 2" xfId="41843" xr:uid="{DCB90EF6-921E-4595-B5CD-67D1DE32F982}"/>
    <cellStyle name="Comma 15 7 4 5 3" xfId="23589" xr:uid="{5CAFE92C-55CD-4DB8-8B4A-416FE9220229}"/>
    <cellStyle name="Comma 15 7 4 6" xfId="38193" xr:uid="{D14EA958-040F-41B0-95E2-6D530DC48D20}"/>
    <cellStyle name="Comma 15 7 4 7" xfId="19939" xr:uid="{F813F4E0-51A1-481E-AB5D-F97D2302BF9C}"/>
    <cellStyle name="Comma 15 7 5" xfId="955" xr:uid="{8083E4F4-05FC-40CD-BC70-BF0CD52EF755}"/>
    <cellStyle name="Comma 15 7 5 2" xfId="15555" xr:uid="{1E538B19-6B3E-4284-9323-DDC7077A774E}"/>
    <cellStyle name="Comma 15 7 5 2 2" xfId="52063" xr:uid="{47DFA66B-6E6A-4635-AEFD-4FC2F9E785A0}"/>
    <cellStyle name="Comma 15 7 5 2 3" xfId="33809" xr:uid="{70A0BC7E-A345-460D-817F-785E3CEF9205}"/>
    <cellStyle name="Comma 15 7 5 3" xfId="11905" xr:uid="{F96117A6-1B3C-4441-BFA4-39123BDCCBF1}"/>
    <cellStyle name="Comma 15 7 5 3 2" xfId="48413" xr:uid="{48795A68-EDD2-4BE6-8A53-F63B5AED26C1}"/>
    <cellStyle name="Comma 15 7 5 3 3" xfId="30159" xr:uid="{EF3F16B7-E6AD-4C37-8C3A-08081B3E3BE4}"/>
    <cellStyle name="Comma 15 7 5 4" xfId="8255" xr:uid="{A0C06D41-DE48-4B26-A678-802218511B0F}"/>
    <cellStyle name="Comma 15 7 5 4 2" xfId="44763" xr:uid="{829E0E7C-9CF0-4A3F-B96C-A27920AFB563}"/>
    <cellStyle name="Comma 15 7 5 4 3" xfId="26509" xr:uid="{2CD7785A-1EA7-4EF9-A694-53ACB8051432}"/>
    <cellStyle name="Comma 15 7 5 5" xfId="4605" xr:uid="{8A0A5D0D-1F3E-4BA1-AC16-81BD16595D5D}"/>
    <cellStyle name="Comma 15 7 5 5 2" xfId="41113" xr:uid="{7FE5C91D-F676-46DA-AC0C-C77016303121}"/>
    <cellStyle name="Comma 15 7 5 5 3" xfId="22859" xr:uid="{3F743CF3-FDB4-402D-913F-F4FC7B0798DE}"/>
    <cellStyle name="Comma 15 7 5 6" xfId="37463" xr:uid="{7F6A521F-F107-4E2E-B949-75F13EBA7735}"/>
    <cellStyle name="Comma 15 7 5 7" xfId="19209" xr:uid="{50EF9058-988E-4356-80FA-4655771072E7}"/>
    <cellStyle name="Comma 15 7 6" xfId="14825" xr:uid="{A1B1359A-21F4-470D-ACAC-92E8884EDA97}"/>
    <cellStyle name="Comma 15 7 6 2" xfId="51333" xr:uid="{F3516469-9B32-4881-B72A-3468FC27AB99}"/>
    <cellStyle name="Comma 15 7 6 3" xfId="33079" xr:uid="{5D58D478-7484-4A4A-A90A-FC403BC65EFB}"/>
    <cellStyle name="Comma 15 7 7" xfId="11175" xr:uid="{53A8C4FC-3E3E-4940-89D8-B870B4756B7C}"/>
    <cellStyle name="Comma 15 7 7 2" xfId="47683" xr:uid="{AA94EBA8-DDC3-46A1-B33C-64FB85463950}"/>
    <cellStyle name="Comma 15 7 7 3" xfId="29429" xr:uid="{E5B51088-5790-4F55-BCA2-9D72B1060B63}"/>
    <cellStyle name="Comma 15 7 8" xfId="7525" xr:uid="{6334C9D1-E3D7-4864-BB7D-25389FC97FA1}"/>
    <cellStyle name="Comma 15 7 8 2" xfId="44033" xr:uid="{48367331-D77D-4375-9D91-4A8D4EE94B02}"/>
    <cellStyle name="Comma 15 7 8 3" xfId="25779" xr:uid="{4A3935AC-C8E1-4A30-9BDB-F2A702865FC2}"/>
    <cellStyle name="Comma 15 7 9" xfId="3875" xr:uid="{36CA7EAF-3C45-4B6C-97AD-C89D35F60AED}"/>
    <cellStyle name="Comma 15 7 9 2" xfId="40383" xr:uid="{352E8E3C-8242-4A22-8C70-A3FC08923DC8}"/>
    <cellStyle name="Comma 15 7 9 3" xfId="22129" xr:uid="{D3884B6C-1629-4F2C-A650-58FA6C63A8F0}"/>
    <cellStyle name="Comma 15 8" xfId="3041" xr:uid="{9C1835CA-B3CF-4D72-8D97-695A629B253F}"/>
    <cellStyle name="Comma 15 8 2" xfId="17641" xr:uid="{F2C5FB82-FE8B-450B-9FAF-CDBC0BBEF6E6}"/>
    <cellStyle name="Comma 15 8 2 2" xfId="54149" xr:uid="{E749F453-B7B6-452B-8788-A199E0673571}"/>
    <cellStyle name="Comma 15 8 2 3" xfId="35895" xr:uid="{368F715C-1CC0-48A3-92D0-57C23CB44978}"/>
    <cellStyle name="Comma 15 8 3" xfId="13991" xr:uid="{B2F2AB8E-6FD6-4129-AF32-9F490DC123F8}"/>
    <cellStyle name="Comma 15 8 3 2" xfId="50499" xr:uid="{93330C74-736E-4AAF-81DF-9BB7B6B5770B}"/>
    <cellStyle name="Comma 15 8 3 3" xfId="32245" xr:uid="{9636CB85-F35D-41E7-A6B0-953CCE4E13FC}"/>
    <cellStyle name="Comma 15 8 4" xfId="10341" xr:uid="{8523D0C6-0CAC-4454-AED6-868A0DA8AAD8}"/>
    <cellStyle name="Comma 15 8 4 2" xfId="46849" xr:uid="{E3C7C67B-A2CB-4D68-BCF3-7ACC930806C7}"/>
    <cellStyle name="Comma 15 8 4 3" xfId="28595" xr:uid="{D7C69A10-B1FA-4108-8D83-59BB5C35B1EA}"/>
    <cellStyle name="Comma 15 8 5" xfId="6691" xr:uid="{D455E86C-ABC8-45DB-BDEA-B9574C2FF127}"/>
    <cellStyle name="Comma 15 8 5 2" xfId="43199" xr:uid="{B4C0C6D8-5237-4BC8-8510-5EEC8F0EC598}"/>
    <cellStyle name="Comma 15 8 5 3" xfId="24945" xr:uid="{D5FE206F-FAD9-45F5-8538-8C75C7CDE4C2}"/>
    <cellStyle name="Comma 15 8 6" xfId="39549" xr:uid="{C71D432A-72D2-4C8C-AC42-DA0CC520A8DF}"/>
    <cellStyle name="Comma 15 8 7" xfId="21295" xr:uid="{593FF897-BD8B-49ED-A00D-CA4F06014911}"/>
    <cellStyle name="Comma 15 9" xfId="2311" xr:uid="{0325FC0E-C78A-48A7-A8F8-F3760418605C}"/>
    <cellStyle name="Comma 15 9 2" xfId="16911" xr:uid="{724E95FB-CF32-4375-A6AA-CBB200CBA72E}"/>
    <cellStyle name="Comma 15 9 2 2" xfId="53419" xr:uid="{8842A6E7-0545-4AAD-9784-6C3065868C12}"/>
    <cellStyle name="Comma 15 9 2 3" xfId="35165" xr:uid="{B217C63A-1503-45C1-A76D-BFCE0433CD62}"/>
    <cellStyle name="Comma 15 9 3" xfId="13261" xr:uid="{21C957B9-A88F-4279-B960-484F134E9786}"/>
    <cellStyle name="Comma 15 9 3 2" xfId="49769" xr:uid="{B10B2BC2-E8F4-4223-A483-A27C979051A8}"/>
    <cellStyle name="Comma 15 9 3 3" xfId="31515" xr:uid="{878612A4-3E56-4767-AA5F-F32BC9344CCE}"/>
    <cellStyle name="Comma 15 9 4" xfId="9611" xr:uid="{DFAAA645-E98F-4FDE-858A-6D0E14FC924B}"/>
    <cellStyle name="Comma 15 9 4 2" xfId="46119" xr:uid="{7D752DB4-909E-4877-BB34-8C3F37F7093A}"/>
    <cellStyle name="Comma 15 9 4 3" xfId="27865" xr:uid="{3FB7ECB1-5D69-4D50-A984-EC5500A1C135}"/>
    <cellStyle name="Comma 15 9 5" xfId="5961" xr:uid="{0E0A5BEF-3938-4AE9-8AD0-BE12067AC450}"/>
    <cellStyle name="Comma 15 9 5 2" xfId="42469" xr:uid="{10387DE2-B3F1-4B17-AF89-DA0DCE9584A9}"/>
    <cellStyle name="Comma 15 9 5 3" xfId="24215" xr:uid="{CEF74A5A-4F6F-4C21-997D-006A320FAC26}"/>
    <cellStyle name="Comma 15 9 6" xfId="38819" xr:uid="{8B23D9F1-758D-48A7-A785-8ED2C63ED5BF}"/>
    <cellStyle name="Comma 15 9 7" xfId="20565" xr:uid="{9BC91D17-5442-442C-8B8A-26EED1F992C4}"/>
    <cellStyle name="Comma 16" xfId="122" xr:uid="{FE3C858F-96AA-4F9C-AB17-B7034ED07F4D}"/>
    <cellStyle name="Comma 16 10" xfId="1582" xr:uid="{C069CD47-5AD0-4F5E-99D7-24B037A01FB6}"/>
    <cellStyle name="Comma 16 10 2" xfId="16182" xr:uid="{5E6BC24C-4BCD-4D63-A2C5-1877A1DF3649}"/>
    <cellStyle name="Comma 16 10 2 2" xfId="52690" xr:uid="{A6F0EF65-765A-432E-9ECD-92913C3FBF8B}"/>
    <cellStyle name="Comma 16 10 2 3" xfId="34436" xr:uid="{7C1A87CF-B3BB-4C74-B439-3F7DF37BD9D8}"/>
    <cellStyle name="Comma 16 10 3" xfId="12532" xr:uid="{7A2D40A8-9A85-4150-98B5-5A67AD63E067}"/>
    <cellStyle name="Comma 16 10 3 2" xfId="49040" xr:uid="{6FC8484A-974A-4FFD-87F0-50D2D0D995AA}"/>
    <cellStyle name="Comma 16 10 3 3" xfId="30786" xr:uid="{8DDA2A08-45E1-4996-BD13-755BC07E7751}"/>
    <cellStyle name="Comma 16 10 4" xfId="8882" xr:uid="{5DF63C9D-0B31-4218-B399-6B8EDDC64D59}"/>
    <cellStyle name="Comma 16 10 4 2" xfId="45390" xr:uid="{E7245309-35D2-4BC3-9604-D9960704D9B9}"/>
    <cellStyle name="Comma 16 10 4 3" xfId="27136" xr:uid="{FB090483-799F-4B08-AEE0-10B7914BA626}"/>
    <cellStyle name="Comma 16 10 5" xfId="5232" xr:uid="{7B6C7E29-A208-47CD-B1BB-2CFBE36FE155}"/>
    <cellStyle name="Comma 16 10 5 2" xfId="41740" xr:uid="{76C67D9A-E9E1-4C94-A21C-CD2250B683EF}"/>
    <cellStyle name="Comma 16 10 5 3" xfId="23486" xr:uid="{3A4D8445-80AD-4F03-B4C1-EB98C37310DC}"/>
    <cellStyle name="Comma 16 10 6" xfId="38090" xr:uid="{ADF4CBBF-6A1F-4DD9-9A40-0B267738F007}"/>
    <cellStyle name="Comma 16 10 7" xfId="19836" xr:uid="{DA9931CD-6AB5-48DD-8F36-B1F8827A2ECD}"/>
    <cellStyle name="Comma 16 11" xfId="852" xr:uid="{F3A7FDA3-52A2-4513-8A49-09B8F2B5E58B}"/>
    <cellStyle name="Comma 16 11 2" xfId="15452" xr:uid="{21B91574-C228-4328-9791-0AEF4815FF47}"/>
    <cellStyle name="Comma 16 11 2 2" xfId="51960" xr:uid="{4B58C731-DC22-4BB6-9F7B-9FD6BF986192}"/>
    <cellStyle name="Comma 16 11 2 3" xfId="33706" xr:uid="{2871B8C1-11F7-4385-AFEF-6037686D6030}"/>
    <cellStyle name="Comma 16 11 3" xfId="11802" xr:uid="{D590B822-3AA5-403A-91FB-41260F6B1098}"/>
    <cellStyle name="Comma 16 11 3 2" xfId="48310" xr:uid="{FD1FF61B-0180-4099-806E-0449EEDAF7E8}"/>
    <cellStyle name="Comma 16 11 3 3" xfId="30056" xr:uid="{E8597474-67D5-4865-A0EC-FC36565C5FB4}"/>
    <cellStyle name="Comma 16 11 4" xfId="8152" xr:uid="{460D1324-770B-444D-8A96-1ACDA1202473}"/>
    <cellStyle name="Comma 16 11 4 2" xfId="44660" xr:uid="{316CCFFE-29B3-42AD-867B-CACF0D79A728}"/>
    <cellStyle name="Comma 16 11 4 3" xfId="26406" xr:uid="{E492E814-16D5-408E-9567-BE40D36BAA08}"/>
    <cellStyle name="Comma 16 11 5" xfId="4502" xr:uid="{F479C4A5-DDCE-4575-AF48-FD310414E014}"/>
    <cellStyle name="Comma 16 11 5 2" xfId="41010" xr:uid="{7AD078B5-E7F6-4553-9BB8-8517644B804E}"/>
    <cellStyle name="Comma 16 11 5 3" xfId="22756" xr:uid="{09262919-339C-442F-B50C-01522892F830}"/>
    <cellStyle name="Comma 16 11 6" xfId="37360" xr:uid="{3A7FD6A8-A41F-484E-9342-26F9BD9EB916}"/>
    <cellStyle name="Comma 16 11 7" xfId="19106" xr:uid="{CBB98D5E-7324-4010-9D45-04C343043173}"/>
    <cellStyle name="Comma 16 12" xfId="14722" xr:uid="{50238A5C-53F4-4C3B-BA56-64F5B9897DE2}"/>
    <cellStyle name="Comma 16 12 2" xfId="51230" xr:uid="{D7012F76-7BD5-45BE-9B38-C0421944FA88}"/>
    <cellStyle name="Comma 16 12 3" xfId="32976" xr:uid="{D8E07BB2-9369-4D5C-86B4-23979EFBE5D5}"/>
    <cellStyle name="Comma 16 13" xfId="11072" xr:uid="{1F2A7B55-16FC-4796-8397-429784741B2C}"/>
    <cellStyle name="Comma 16 13 2" xfId="47580" xr:uid="{1E7EDD21-A93F-47C4-A3F1-C9C48D09A56B}"/>
    <cellStyle name="Comma 16 13 3" xfId="29326" xr:uid="{9CC4CF5D-C561-4C3D-972C-8661070C51E6}"/>
    <cellStyle name="Comma 16 14" xfId="7422" xr:uid="{DA05C083-C287-4567-958A-71D42AC0FD51}"/>
    <cellStyle name="Comma 16 14 2" xfId="43930" xr:uid="{52614E4E-B53C-41DE-9DAF-E5B58B4D0779}"/>
    <cellStyle name="Comma 16 14 3" xfId="25676" xr:uid="{4C218C15-5751-451D-889E-2A56757724D3}"/>
    <cellStyle name="Comma 16 15" xfId="3772" xr:uid="{E2CBE42C-5FAF-48A6-ABF2-8FAA96082A63}"/>
    <cellStyle name="Comma 16 15 2" xfId="40280" xr:uid="{340052C0-D4F4-48CC-8C19-B8A5EF117F15}"/>
    <cellStyle name="Comma 16 15 3" xfId="22026" xr:uid="{924B4887-5A59-4C84-965D-4C6B24DFC459}"/>
    <cellStyle name="Comma 16 16" xfId="36630" xr:uid="{92FE0FC5-D148-4502-8146-434F0F561631}"/>
    <cellStyle name="Comma 16 17" xfId="18376" xr:uid="{2C4829F3-DEF4-4D66-BC52-E525A6455AD9}"/>
    <cellStyle name="Comma 16 2" xfId="746" xr:uid="{5AE1327F-03E3-4DCB-A6B3-4E20668D2E96}"/>
    <cellStyle name="Comma 16 2 10" xfId="37254" xr:uid="{9D2FB2A9-96A9-4C02-8D47-D22B5B1741B2}"/>
    <cellStyle name="Comma 16 2 11" xfId="19000" xr:uid="{E71ED8ED-73B0-430A-A77C-3EB2A92A0B21}"/>
    <cellStyle name="Comma 16 2 2" xfId="3666" xr:uid="{C9BD198A-0EA4-46A9-8D72-0859EA5C061A}"/>
    <cellStyle name="Comma 16 2 2 2" xfId="18266" xr:uid="{55407F11-32CA-4431-BEE1-DA402485D81E}"/>
    <cellStyle name="Comma 16 2 2 2 2" xfId="54774" xr:uid="{F3B71E22-F34B-47FE-B491-B63B4A28D2DF}"/>
    <cellStyle name="Comma 16 2 2 2 3" xfId="36520" xr:uid="{5D912EC5-471D-41E0-AC36-4E74C94D2C9B}"/>
    <cellStyle name="Comma 16 2 2 3" xfId="14616" xr:uid="{288B5CC4-B2B8-4D6F-BD98-DF91CD1365B2}"/>
    <cellStyle name="Comma 16 2 2 3 2" xfId="51124" xr:uid="{A5E61214-2D17-4A44-812B-37555118A084}"/>
    <cellStyle name="Comma 16 2 2 3 3" xfId="32870" xr:uid="{AA2899BC-E68F-45F2-831E-5F22F03ED7D9}"/>
    <cellStyle name="Comma 16 2 2 4" xfId="10966" xr:uid="{81235E0D-43F4-4EF2-86F7-720AA7AECD0F}"/>
    <cellStyle name="Comma 16 2 2 4 2" xfId="47474" xr:uid="{741574DF-8811-45C9-8C2D-F43A015D7453}"/>
    <cellStyle name="Comma 16 2 2 4 3" xfId="29220" xr:uid="{38D89934-E90C-4C00-B05B-9B08D6ACED9E}"/>
    <cellStyle name="Comma 16 2 2 5" xfId="7316" xr:uid="{82CDE7AC-7EC5-4AEE-A931-A21E92C8B44C}"/>
    <cellStyle name="Comma 16 2 2 5 2" xfId="43824" xr:uid="{37AFC329-CAE6-48AC-9451-A65DF0C0BC6E}"/>
    <cellStyle name="Comma 16 2 2 5 3" xfId="25570" xr:uid="{F4123F20-931C-4106-B8F0-A27430D81ECE}"/>
    <cellStyle name="Comma 16 2 2 6" xfId="40174" xr:uid="{724D3CF8-60C8-441C-A906-5B20A8AEC6CF}"/>
    <cellStyle name="Comma 16 2 2 7" xfId="21920" xr:uid="{F903DA82-9258-4F49-BC32-7C9738F7F2E8}"/>
    <cellStyle name="Comma 16 2 3" xfId="2936" xr:uid="{AD36A0F5-0664-43F8-B1BA-F67CCFF4A388}"/>
    <cellStyle name="Comma 16 2 3 2" xfId="17536" xr:uid="{A7638419-D23F-48E4-9B97-7E21A2C035F2}"/>
    <cellStyle name="Comma 16 2 3 2 2" xfId="54044" xr:uid="{B76E9467-01A6-4E22-A583-061B48856BC5}"/>
    <cellStyle name="Comma 16 2 3 2 3" xfId="35790" xr:uid="{1E2DB3D4-A931-437B-826C-55288A122FCC}"/>
    <cellStyle name="Comma 16 2 3 3" xfId="13886" xr:uid="{8538E93E-0B41-41D5-8A8F-7A573D5BFF77}"/>
    <cellStyle name="Comma 16 2 3 3 2" xfId="50394" xr:uid="{6788D8EA-9E63-4A24-BC00-BF79DED1753D}"/>
    <cellStyle name="Comma 16 2 3 3 3" xfId="32140" xr:uid="{88BD8C4D-AC04-45AC-860D-C20378550B9B}"/>
    <cellStyle name="Comma 16 2 3 4" xfId="10236" xr:uid="{84A30967-5C82-4D1E-9B0E-0E26B9931EE2}"/>
    <cellStyle name="Comma 16 2 3 4 2" xfId="46744" xr:uid="{2F1A558C-3711-4AE1-BFD6-FF9AAF844255}"/>
    <cellStyle name="Comma 16 2 3 4 3" xfId="28490" xr:uid="{AD966C8E-620A-4060-AD8A-F8AE1CED7DFF}"/>
    <cellStyle name="Comma 16 2 3 5" xfId="6586" xr:uid="{DE139742-4629-49CF-A9C8-C542EEDFCAE5}"/>
    <cellStyle name="Comma 16 2 3 5 2" xfId="43094" xr:uid="{65AF1227-34B7-41D5-9AB7-184D14273735}"/>
    <cellStyle name="Comma 16 2 3 5 3" xfId="24840" xr:uid="{7AD6A64D-F577-45E6-BCC9-D021081C4701}"/>
    <cellStyle name="Comma 16 2 3 6" xfId="39444" xr:uid="{1759FB8C-77F7-4BFC-A59E-9B7C8083137D}"/>
    <cellStyle name="Comma 16 2 3 7" xfId="21190" xr:uid="{49AB2086-ABD8-42D1-A581-401936075061}"/>
    <cellStyle name="Comma 16 2 4" xfId="2206" xr:uid="{AA3FF42B-341C-4846-9246-6C1C3D449DEA}"/>
    <cellStyle name="Comma 16 2 4 2" xfId="16806" xr:uid="{628FCE8E-7EA9-42F9-AC3C-362271B751B8}"/>
    <cellStyle name="Comma 16 2 4 2 2" xfId="53314" xr:uid="{A9894F8D-8791-48AE-A63A-FEB4999744A9}"/>
    <cellStyle name="Comma 16 2 4 2 3" xfId="35060" xr:uid="{DCBE33E9-240B-4C69-A065-E344E45CC85A}"/>
    <cellStyle name="Comma 16 2 4 3" xfId="13156" xr:uid="{655662DE-7B0F-4289-8D02-E8C1AF30F6E1}"/>
    <cellStyle name="Comma 16 2 4 3 2" xfId="49664" xr:uid="{BAB85ECC-D45E-4D28-A316-39BE1A34AAE8}"/>
    <cellStyle name="Comma 16 2 4 3 3" xfId="31410" xr:uid="{E90AE5BF-0C7A-4948-9425-BAD646D7ADFB}"/>
    <cellStyle name="Comma 16 2 4 4" xfId="9506" xr:uid="{7CAA9A32-BDA2-46B0-B3F9-CDE0F9705C50}"/>
    <cellStyle name="Comma 16 2 4 4 2" xfId="46014" xr:uid="{99803F89-AEC0-4255-823E-94FD04AC0D61}"/>
    <cellStyle name="Comma 16 2 4 4 3" xfId="27760" xr:uid="{388A2181-9A94-49A8-8316-75515BF40DBF}"/>
    <cellStyle name="Comma 16 2 4 5" xfId="5856" xr:uid="{C90D9D5D-8253-479C-8114-2A733157D006}"/>
    <cellStyle name="Comma 16 2 4 5 2" xfId="42364" xr:uid="{F92B6D4C-5C49-48E7-8929-8330D6404FE9}"/>
    <cellStyle name="Comma 16 2 4 5 3" xfId="24110" xr:uid="{02B13DA6-14E6-43A6-9E0E-BD060EC03863}"/>
    <cellStyle name="Comma 16 2 4 6" xfId="38714" xr:uid="{9AC3FAD5-ACA3-4C5D-A980-1A6AD9583943}"/>
    <cellStyle name="Comma 16 2 4 7" xfId="20460" xr:uid="{206E1793-B3C2-4592-9371-4158A81145C5}"/>
    <cellStyle name="Comma 16 2 5" xfId="1476" xr:uid="{40DD23EB-256E-4515-85CE-98429D126922}"/>
    <cellStyle name="Comma 16 2 5 2" xfId="16076" xr:uid="{435E38A4-ABD5-489F-9CB2-08681E579A65}"/>
    <cellStyle name="Comma 16 2 5 2 2" xfId="52584" xr:uid="{B4168D3E-2AD3-4CAA-91A3-B0A808F55D53}"/>
    <cellStyle name="Comma 16 2 5 2 3" xfId="34330" xr:uid="{140B7FA0-7F48-40BC-8A16-008E6456D882}"/>
    <cellStyle name="Comma 16 2 5 3" xfId="12426" xr:uid="{E9CE9689-6030-41B6-BA0C-0D5336F9E9D7}"/>
    <cellStyle name="Comma 16 2 5 3 2" xfId="48934" xr:uid="{2B690E35-40C3-4B85-841B-8B08706D8744}"/>
    <cellStyle name="Comma 16 2 5 3 3" xfId="30680" xr:uid="{585D5303-12DC-4F0C-8EB5-A2166336C3D9}"/>
    <cellStyle name="Comma 16 2 5 4" xfId="8776" xr:uid="{FD99DD83-2F41-490C-994C-7963FA038031}"/>
    <cellStyle name="Comma 16 2 5 4 2" xfId="45284" xr:uid="{30C9CED7-52AB-41CD-A38D-BE9717F4A40C}"/>
    <cellStyle name="Comma 16 2 5 4 3" xfId="27030" xr:uid="{2E6F219A-DAEA-45F6-97DA-E387F030977E}"/>
    <cellStyle name="Comma 16 2 5 5" xfId="5126" xr:uid="{8B4053E8-DCBC-43FA-9993-0480D2BE1DD4}"/>
    <cellStyle name="Comma 16 2 5 5 2" xfId="41634" xr:uid="{539956CB-48D9-4231-8595-A74DA0C2D26F}"/>
    <cellStyle name="Comma 16 2 5 5 3" xfId="23380" xr:uid="{60F2141C-B1CF-4A26-9B9E-5ACCAF775E85}"/>
    <cellStyle name="Comma 16 2 5 6" xfId="37984" xr:uid="{84BDC2FC-1640-4494-8C87-74D9EBF4377B}"/>
    <cellStyle name="Comma 16 2 5 7" xfId="19730" xr:uid="{B78BB2EE-637B-4C68-A65A-DA60EE334F79}"/>
    <cellStyle name="Comma 16 2 6" xfId="15346" xr:uid="{5849C769-7EE1-4C33-8570-9A9DA9EBF7F1}"/>
    <cellStyle name="Comma 16 2 6 2" xfId="51854" xr:uid="{C131F610-B6B0-4A2C-9658-38F3CF3A6E47}"/>
    <cellStyle name="Comma 16 2 6 3" xfId="33600" xr:uid="{384CAC56-5690-4D79-9955-0FEEDB98F56E}"/>
    <cellStyle name="Comma 16 2 7" xfId="11696" xr:uid="{7646C6BF-ABB6-42EC-89A3-EE1EF5AFEDB5}"/>
    <cellStyle name="Comma 16 2 7 2" xfId="48204" xr:uid="{75F5C514-5CDB-4139-B0CF-072BC2541DCA}"/>
    <cellStyle name="Comma 16 2 7 3" xfId="29950" xr:uid="{D95CA2D8-C552-4D48-B75F-655980C8533C}"/>
    <cellStyle name="Comma 16 2 8" xfId="8046" xr:uid="{8E73F0A9-AD75-4883-8D17-D8EC925E6C1D}"/>
    <cellStyle name="Comma 16 2 8 2" xfId="44554" xr:uid="{408D3E5E-4B93-4E90-9980-55102E41ECCE}"/>
    <cellStyle name="Comma 16 2 8 3" xfId="26300" xr:uid="{979C0472-2E68-40FB-9535-954DA46A423F}"/>
    <cellStyle name="Comma 16 2 9" xfId="4396" xr:uid="{A662A04C-21E0-4067-BB07-4DDE8DF13B82}"/>
    <cellStyle name="Comma 16 2 9 2" xfId="40904" xr:uid="{48FE512F-517D-4302-AFC3-85F82B80627E}"/>
    <cellStyle name="Comma 16 2 9 3" xfId="22650" xr:uid="{87A6DACB-7008-41F0-B538-21E8C5707E04}"/>
    <cellStyle name="Comma 16 3" xfId="642" xr:uid="{CB6344F7-F0DA-44CE-9F1D-68235B28A9DA}"/>
    <cellStyle name="Comma 16 3 10" xfId="37150" xr:uid="{E3B6C176-D161-4F4C-8560-816D38A9D278}"/>
    <cellStyle name="Comma 16 3 11" xfId="18896" xr:uid="{D4465108-3F62-40EF-81E3-9352AFFC6940}"/>
    <cellStyle name="Comma 16 3 2" xfId="3562" xr:uid="{3DB0DB7A-D950-4E78-B34E-DEE8970397B5}"/>
    <cellStyle name="Comma 16 3 2 2" xfId="18162" xr:uid="{63D36AE4-7928-4608-A57D-067D4BAA6FC4}"/>
    <cellStyle name="Comma 16 3 2 2 2" xfId="54670" xr:uid="{5C371957-4A25-4D80-BE28-BCAE3ADCB331}"/>
    <cellStyle name="Comma 16 3 2 2 3" xfId="36416" xr:uid="{B9553902-A679-4E96-969C-DF7CCBB2595D}"/>
    <cellStyle name="Comma 16 3 2 3" xfId="14512" xr:uid="{F788BD09-E990-4B44-B142-AB78D0C3EF79}"/>
    <cellStyle name="Comma 16 3 2 3 2" xfId="51020" xr:uid="{55263A19-9659-4ACD-AE5E-673991593F74}"/>
    <cellStyle name="Comma 16 3 2 3 3" xfId="32766" xr:uid="{27E0C0E8-4989-41EA-B0D1-E292EADAD75F}"/>
    <cellStyle name="Comma 16 3 2 4" xfId="10862" xr:uid="{01E8997E-96A4-47C8-BECC-026CD2DA0BC7}"/>
    <cellStyle name="Comma 16 3 2 4 2" xfId="47370" xr:uid="{A08073FE-40D0-4D7F-91AF-88E46BA5517F}"/>
    <cellStyle name="Comma 16 3 2 4 3" xfId="29116" xr:uid="{7EAAB27C-A4FB-4319-A633-18A8556A70ED}"/>
    <cellStyle name="Comma 16 3 2 5" xfId="7212" xr:uid="{19362ECA-F1A4-41D9-95A1-4E6A6077164C}"/>
    <cellStyle name="Comma 16 3 2 5 2" xfId="43720" xr:uid="{AFFA8994-52E0-4F74-AFD6-C1F879E3361B}"/>
    <cellStyle name="Comma 16 3 2 5 3" xfId="25466" xr:uid="{3FCD5005-D981-45E1-8CE8-29CD6A3F42F0}"/>
    <cellStyle name="Comma 16 3 2 6" xfId="40070" xr:uid="{AD7A374C-266D-420C-98E4-4E177DDADC21}"/>
    <cellStyle name="Comma 16 3 2 7" xfId="21816" xr:uid="{0B9D3FDE-4459-4206-A872-668048131390}"/>
    <cellStyle name="Comma 16 3 3" xfId="2832" xr:uid="{84344FEE-05BE-4C25-96CA-80F0F61D46B1}"/>
    <cellStyle name="Comma 16 3 3 2" xfId="17432" xr:uid="{3D93B6AF-C458-4235-8C74-106BC2B9CCAE}"/>
    <cellStyle name="Comma 16 3 3 2 2" xfId="53940" xr:uid="{11A4AE92-EFF1-4936-8CB0-99767FEFF5DC}"/>
    <cellStyle name="Comma 16 3 3 2 3" xfId="35686" xr:uid="{7586FBE5-E2E6-4253-BC9B-F3D3D9F4C90B}"/>
    <cellStyle name="Comma 16 3 3 3" xfId="13782" xr:uid="{939C9F87-3C83-43E9-8048-9A94B6030E3C}"/>
    <cellStyle name="Comma 16 3 3 3 2" xfId="50290" xr:uid="{C5BA75B1-6799-43BA-AA2F-1FA0B04BC32C}"/>
    <cellStyle name="Comma 16 3 3 3 3" xfId="32036" xr:uid="{C4786A83-A618-45B7-B806-E95703E21101}"/>
    <cellStyle name="Comma 16 3 3 4" xfId="10132" xr:uid="{AB969583-0569-4751-8943-73016F1F6429}"/>
    <cellStyle name="Comma 16 3 3 4 2" xfId="46640" xr:uid="{0A20D379-FB54-49AA-9175-7B06A3811486}"/>
    <cellStyle name="Comma 16 3 3 4 3" xfId="28386" xr:uid="{1D109A15-81B9-4E42-8364-6D7077B94D75}"/>
    <cellStyle name="Comma 16 3 3 5" xfId="6482" xr:uid="{130DF9FD-3813-4C3A-9F67-EC01AAC3728D}"/>
    <cellStyle name="Comma 16 3 3 5 2" xfId="42990" xr:uid="{90BDC84D-4AA1-4581-AE3C-81AF0B647FAF}"/>
    <cellStyle name="Comma 16 3 3 5 3" xfId="24736" xr:uid="{151F60FB-252A-4EB9-8083-E9B4F6CD73B4}"/>
    <cellStyle name="Comma 16 3 3 6" xfId="39340" xr:uid="{92628A5D-5B2C-4F42-A338-D6E5D06709C5}"/>
    <cellStyle name="Comma 16 3 3 7" xfId="21086" xr:uid="{46B90F6B-AB89-4D95-95E9-9EEB6550E406}"/>
    <cellStyle name="Comma 16 3 4" xfId="2102" xr:uid="{984E91AC-13EF-4E06-9A4A-98940DD5F751}"/>
    <cellStyle name="Comma 16 3 4 2" xfId="16702" xr:uid="{1E6A5B53-D9CF-4654-84D5-D2D8B3CC0335}"/>
    <cellStyle name="Comma 16 3 4 2 2" xfId="53210" xr:uid="{AFD5F147-B9D0-468C-A4E8-A747E0A46B98}"/>
    <cellStyle name="Comma 16 3 4 2 3" xfId="34956" xr:uid="{BED3650D-CE02-4437-8C5D-702A0649F4E9}"/>
    <cellStyle name="Comma 16 3 4 3" xfId="13052" xr:uid="{1CFB02A8-CFF7-4A01-B880-494D45326C76}"/>
    <cellStyle name="Comma 16 3 4 3 2" xfId="49560" xr:uid="{E7678F9E-EC0E-4B29-9A53-F6EF6A3A7FF8}"/>
    <cellStyle name="Comma 16 3 4 3 3" xfId="31306" xr:uid="{A150294B-1A26-4982-B43E-611A2639D83C}"/>
    <cellStyle name="Comma 16 3 4 4" xfId="9402" xr:uid="{7E5F4E75-CFB7-4C81-B1EA-43737204A0B8}"/>
    <cellStyle name="Comma 16 3 4 4 2" xfId="45910" xr:uid="{B5472A39-A698-4F01-8E3D-3E1A48CE47D2}"/>
    <cellStyle name="Comma 16 3 4 4 3" xfId="27656" xr:uid="{CB5145E7-4C18-482B-B071-91F0238E32D4}"/>
    <cellStyle name="Comma 16 3 4 5" xfId="5752" xr:uid="{0145FCA7-BDB4-4E4C-848F-25743C63D9B9}"/>
    <cellStyle name="Comma 16 3 4 5 2" xfId="42260" xr:uid="{CE709765-7AA1-4384-AA69-F8FF30021088}"/>
    <cellStyle name="Comma 16 3 4 5 3" xfId="24006" xr:uid="{458C1F4E-DE52-40BE-A82F-8DCFBCCEF37A}"/>
    <cellStyle name="Comma 16 3 4 6" xfId="38610" xr:uid="{C519EB3D-7682-48BA-AC6D-4C9514CDB499}"/>
    <cellStyle name="Comma 16 3 4 7" xfId="20356" xr:uid="{D92DC30A-D545-49B3-A123-591C1821EB36}"/>
    <cellStyle name="Comma 16 3 5" xfId="1372" xr:uid="{260A54DB-CBD2-4C2B-9B12-FF11DA792288}"/>
    <cellStyle name="Comma 16 3 5 2" xfId="15972" xr:uid="{40B7754F-88A3-4678-B389-42826464160F}"/>
    <cellStyle name="Comma 16 3 5 2 2" xfId="52480" xr:uid="{734CCFEB-126E-4D81-B90B-DBA235C364B9}"/>
    <cellStyle name="Comma 16 3 5 2 3" xfId="34226" xr:uid="{EF1A1039-A85D-48D6-95A1-56704C86D4D1}"/>
    <cellStyle name="Comma 16 3 5 3" xfId="12322" xr:uid="{CEA74977-4040-486E-A1BB-085B22D6AAE3}"/>
    <cellStyle name="Comma 16 3 5 3 2" xfId="48830" xr:uid="{1B326E80-1C4F-4B1E-BBC1-2EBD1A69537E}"/>
    <cellStyle name="Comma 16 3 5 3 3" xfId="30576" xr:uid="{522C4DDD-7311-485F-BE36-5237F4E65E92}"/>
    <cellStyle name="Comma 16 3 5 4" xfId="8672" xr:uid="{1EE1E79A-3B9D-4C95-8B88-A047C12CE32D}"/>
    <cellStyle name="Comma 16 3 5 4 2" xfId="45180" xr:uid="{7BEF4C75-E5CF-47F0-B676-079C6C21F323}"/>
    <cellStyle name="Comma 16 3 5 4 3" xfId="26926" xr:uid="{7B7F6E8D-E8A7-4931-B4BA-48065A06B0A5}"/>
    <cellStyle name="Comma 16 3 5 5" xfId="5022" xr:uid="{61056655-46BC-4EC6-BD3A-D74BBA3BD414}"/>
    <cellStyle name="Comma 16 3 5 5 2" xfId="41530" xr:uid="{2AD5C5F6-D7BA-41BC-9916-1B9A408B4EC5}"/>
    <cellStyle name="Comma 16 3 5 5 3" xfId="23276" xr:uid="{910CB1D6-F940-401A-AF8A-D43A1DBA1A50}"/>
    <cellStyle name="Comma 16 3 5 6" xfId="37880" xr:uid="{C131877A-5656-4B3F-A8F0-E953A621A452}"/>
    <cellStyle name="Comma 16 3 5 7" xfId="19626" xr:uid="{F119E5B9-1C99-4B74-A2D9-FF259ECC844F}"/>
    <cellStyle name="Comma 16 3 6" xfId="15242" xr:uid="{68484E6B-C020-4DBD-9B54-C28281F990E3}"/>
    <cellStyle name="Comma 16 3 6 2" xfId="51750" xr:uid="{FAF9AACE-F548-4A68-B61C-EEB63F32EDCC}"/>
    <cellStyle name="Comma 16 3 6 3" xfId="33496" xr:uid="{664F9901-25E9-4DD6-B374-8C0D3F1C52D0}"/>
    <cellStyle name="Comma 16 3 7" xfId="11592" xr:uid="{B15A562A-D267-4B94-89CE-3DDBD7FE4DF6}"/>
    <cellStyle name="Comma 16 3 7 2" xfId="48100" xr:uid="{0B0FE10C-EC17-4A14-83B4-F5816C5CAE06}"/>
    <cellStyle name="Comma 16 3 7 3" xfId="29846" xr:uid="{EC8E0B7C-FEDC-4A4E-93A5-FA8B068C0878}"/>
    <cellStyle name="Comma 16 3 8" xfId="7942" xr:uid="{13EB8430-8636-4B00-95B1-97F321082B72}"/>
    <cellStyle name="Comma 16 3 8 2" xfId="44450" xr:uid="{7AC67B48-26F4-4050-8284-85EE5BF8B733}"/>
    <cellStyle name="Comma 16 3 8 3" xfId="26196" xr:uid="{5F4037AA-7E88-49B8-833A-43C73DD67068}"/>
    <cellStyle name="Comma 16 3 9" xfId="4292" xr:uid="{13FC9F70-4CF3-41AD-B3E2-19C80D469E9C}"/>
    <cellStyle name="Comma 16 3 9 2" xfId="40800" xr:uid="{08142A3E-74A9-4D17-8FBC-DAB12BA7A6B4}"/>
    <cellStyle name="Comma 16 3 9 3" xfId="22546" xr:uid="{FA1D4CF8-D8BF-4FDC-A5F6-8D2CEDD605BA}"/>
    <cellStyle name="Comma 16 4" xfId="538" xr:uid="{A1F5D3EC-B501-4D13-82D8-985471EF47A5}"/>
    <cellStyle name="Comma 16 4 10" xfId="37046" xr:uid="{2A3A4B76-0B40-450B-A25E-F044734F84BF}"/>
    <cellStyle name="Comma 16 4 11" xfId="18792" xr:uid="{1DBE7C8E-DCA6-491E-B1D2-08CC1BA62620}"/>
    <cellStyle name="Comma 16 4 2" xfId="3458" xr:uid="{E535608D-2953-4F5C-8E2D-CE16F135334B}"/>
    <cellStyle name="Comma 16 4 2 2" xfId="18058" xr:uid="{8B20C8FE-DABF-493E-864E-CBA91DFD392F}"/>
    <cellStyle name="Comma 16 4 2 2 2" xfId="54566" xr:uid="{928B4B59-AC71-45BF-AAAB-37762B1D4A48}"/>
    <cellStyle name="Comma 16 4 2 2 3" xfId="36312" xr:uid="{4030D768-2C82-4B19-A7AF-EDF4933B2ACA}"/>
    <cellStyle name="Comma 16 4 2 3" xfId="14408" xr:uid="{CE4FA7A3-4B22-4BCF-B9FE-EAEC318F6A71}"/>
    <cellStyle name="Comma 16 4 2 3 2" xfId="50916" xr:uid="{28D1B230-3D06-4635-B635-7593523C7F3F}"/>
    <cellStyle name="Comma 16 4 2 3 3" xfId="32662" xr:uid="{9945733A-6ED0-4F80-B029-B4CE25A8DB66}"/>
    <cellStyle name="Comma 16 4 2 4" xfId="10758" xr:uid="{F6091FA0-4F96-400C-A2D1-FBE6D5EB5B7F}"/>
    <cellStyle name="Comma 16 4 2 4 2" xfId="47266" xr:uid="{9CEC9491-1F8F-49EF-AE78-52DFD22FA382}"/>
    <cellStyle name="Comma 16 4 2 4 3" xfId="29012" xr:uid="{AFE933BC-147C-47DD-908F-32BCBF1BB1EA}"/>
    <cellStyle name="Comma 16 4 2 5" xfId="7108" xr:uid="{F49A68FB-E7D8-4FC9-AC91-E3BC232F6DC2}"/>
    <cellStyle name="Comma 16 4 2 5 2" xfId="43616" xr:uid="{07C530EE-2279-40CD-B373-C9E1C8D1E952}"/>
    <cellStyle name="Comma 16 4 2 5 3" xfId="25362" xr:uid="{20739271-DD8C-4B6F-9A07-FECECDC036E6}"/>
    <cellStyle name="Comma 16 4 2 6" xfId="39966" xr:uid="{7B92A330-4835-443A-9AA5-C2D5363479B5}"/>
    <cellStyle name="Comma 16 4 2 7" xfId="21712" xr:uid="{C2A70A27-58D0-48A9-AEB1-57697300AB27}"/>
    <cellStyle name="Comma 16 4 3" xfId="2728" xr:uid="{D99C6D84-0A4D-41EE-BA55-8EDE82155E46}"/>
    <cellStyle name="Comma 16 4 3 2" xfId="17328" xr:uid="{ED0C8FDF-D0F2-4F33-AF25-A45E8F99DFB7}"/>
    <cellStyle name="Comma 16 4 3 2 2" xfId="53836" xr:uid="{ADDD375B-1404-4D84-B933-A265C186ADD0}"/>
    <cellStyle name="Comma 16 4 3 2 3" xfId="35582" xr:uid="{F4306CCE-D006-4998-B042-17E401576415}"/>
    <cellStyle name="Comma 16 4 3 3" xfId="13678" xr:uid="{79F06C75-0ACE-4E5E-844C-BE55F70F8DB4}"/>
    <cellStyle name="Comma 16 4 3 3 2" xfId="50186" xr:uid="{D8F65683-27A6-42B8-A9FC-532B7F705E54}"/>
    <cellStyle name="Comma 16 4 3 3 3" xfId="31932" xr:uid="{7D02258D-295D-4146-B295-A8C613FB58E7}"/>
    <cellStyle name="Comma 16 4 3 4" xfId="10028" xr:uid="{49A62D0C-6827-43E2-90B5-EEC9A153449D}"/>
    <cellStyle name="Comma 16 4 3 4 2" xfId="46536" xr:uid="{C876BC45-C592-4CEB-BA05-2925A0BF1FD2}"/>
    <cellStyle name="Comma 16 4 3 4 3" xfId="28282" xr:uid="{EFB6613B-5C45-45BB-8992-44291378FFA9}"/>
    <cellStyle name="Comma 16 4 3 5" xfId="6378" xr:uid="{8C076891-2B24-45BF-9277-99F0EC66A0E6}"/>
    <cellStyle name="Comma 16 4 3 5 2" xfId="42886" xr:uid="{2216288C-B45F-4AEF-B983-73AAC85EDEE5}"/>
    <cellStyle name="Comma 16 4 3 5 3" xfId="24632" xr:uid="{BB185E71-6A62-42EA-BF44-AC1088469B5E}"/>
    <cellStyle name="Comma 16 4 3 6" xfId="39236" xr:uid="{07B86227-E251-44E7-8653-92EA2B813C72}"/>
    <cellStyle name="Comma 16 4 3 7" xfId="20982" xr:uid="{CE2FDD84-B65E-497C-AFFF-AC5ADA347DE8}"/>
    <cellStyle name="Comma 16 4 4" xfId="1998" xr:uid="{AA7C1EF5-7AB6-44E9-944E-AE35B2E250DE}"/>
    <cellStyle name="Comma 16 4 4 2" xfId="16598" xr:uid="{7946F7DB-5644-4AD1-8B51-84AA88B7FB59}"/>
    <cellStyle name="Comma 16 4 4 2 2" xfId="53106" xr:uid="{37A50D6E-8BAD-4E3E-9E02-2A690592FFDE}"/>
    <cellStyle name="Comma 16 4 4 2 3" xfId="34852" xr:uid="{99203F68-4337-4989-9002-6176F481CCA4}"/>
    <cellStyle name="Comma 16 4 4 3" xfId="12948" xr:uid="{2DB9283A-BB0F-4D08-A908-5AD8E718CE86}"/>
    <cellStyle name="Comma 16 4 4 3 2" xfId="49456" xr:uid="{8EAA5351-EFA1-42A4-AEF0-75D7ACB7B58E}"/>
    <cellStyle name="Comma 16 4 4 3 3" xfId="31202" xr:uid="{18D29721-C7B8-4966-9B14-CDFDEB69CA33}"/>
    <cellStyle name="Comma 16 4 4 4" xfId="9298" xr:uid="{A9D7B6B8-9ED0-4710-A1D9-83ABC7D4AF27}"/>
    <cellStyle name="Comma 16 4 4 4 2" xfId="45806" xr:uid="{99842F7F-9ACA-412E-9F9E-BCF884FAE66A}"/>
    <cellStyle name="Comma 16 4 4 4 3" xfId="27552" xr:uid="{CAD42525-7C67-4EC7-B140-2B7CEDD025FB}"/>
    <cellStyle name="Comma 16 4 4 5" xfId="5648" xr:uid="{3236A635-B266-471F-87FF-1E063F4CDF6C}"/>
    <cellStyle name="Comma 16 4 4 5 2" xfId="42156" xr:uid="{18760D1C-DBF1-46D7-B78A-06D72E1081F6}"/>
    <cellStyle name="Comma 16 4 4 5 3" xfId="23902" xr:uid="{FFCBB2EE-F8D7-45E0-ABED-82AA3DBDE30E}"/>
    <cellStyle name="Comma 16 4 4 6" xfId="38506" xr:uid="{BACB6685-D9BD-4A20-809B-DA023A4E7A14}"/>
    <cellStyle name="Comma 16 4 4 7" xfId="20252" xr:uid="{8F9D1249-6925-4848-9847-3083B809066B}"/>
    <cellStyle name="Comma 16 4 5" xfId="1268" xr:uid="{333B3975-E2A7-4DDD-88BE-46617F531AF5}"/>
    <cellStyle name="Comma 16 4 5 2" xfId="15868" xr:uid="{09A5A3ED-474B-435C-888E-ABD50474F232}"/>
    <cellStyle name="Comma 16 4 5 2 2" xfId="52376" xr:uid="{923B64D2-2243-4D32-92C8-D2D888FAEABE}"/>
    <cellStyle name="Comma 16 4 5 2 3" xfId="34122" xr:uid="{7026A9F9-57E7-43FA-B49D-D5713ABD64DA}"/>
    <cellStyle name="Comma 16 4 5 3" xfId="12218" xr:uid="{040B9711-65FB-4744-878A-0726C4017F0F}"/>
    <cellStyle name="Comma 16 4 5 3 2" xfId="48726" xr:uid="{FDDA9340-C4CF-424E-9E6F-ACAC424933FD}"/>
    <cellStyle name="Comma 16 4 5 3 3" xfId="30472" xr:uid="{5802FB0F-10EE-4876-8DBA-A632942EB611}"/>
    <cellStyle name="Comma 16 4 5 4" xfId="8568" xr:uid="{C620036D-6D3E-4F9A-9202-FE2AC54BC9A5}"/>
    <cellStyle name="Comma 16 4 5 4 2" xfId="45076" xr:uid="{118FBBCF-AD7D-461C-BA48-CF4535C760CC}"/>
    <cellStyle name="Comma 16 4 5 4 3" xfId="26822" xr:uid="{106495BF-DF6D-4051-B081-ED75C1DC0A8B}"/>
    <cellStyle name="Comma 16 4 5 5" xfId="4918" xr:uid="{BCDCCD8E-3869-4AFD-B2A0-658C6D7C1C6E}"/>
    <cellStyle name="Comma 16 4 5 5 2" xfId="41426" xr:uid="{1924935A-839A-4474-8C6A-E60A60F843DA}"/>
    <cellStyle name="Comma 16 4 5 5 3" xfId="23172" xr:uid="{85B17D26-F51B-4EC9-9479-7E4AC16BDD74}"/>
    <cellStyle name="Comma 16 4 5 6" xfId="37776" xr:uid="{31E93FDE-F3A7-49DA-8FA4-7B58C01F004E}"/>
    <cellStyle name="Comma 16 4 5 7" xfId="19522" xr:uid="{85862F41-FA8D-4BE0-90C3-47096181DF46}"/>
    <cellStyle name="Comma 16 4 6" xfId="15138" xr:uid="{016F3530-A8FA-4D1A-9BE1-630CE54619A4}"/>
    <cellStyle name="Comma 16 4 6 2" xfId="51646" xr:uid="{5ABD633D-7248-4751-A326-939396DBE3D1}"/>
    <cellStyle name="Comma 16 4 6 3" xfId="33392" xr:uid="{AA419615-C963-40FD-8838-042DEB236B26}"/>
    <cellStyle name="Comma 16 4 7" xfId="11488" xr:uid="{1DAF9785-2D99-4E00-B70F-EB73DEE57176}"/>
    <cellStyle name="Comma 16 4 7 2" xfId="47996" xr:uid="{22CF6289-46DC-4185-B787-9CBD69FD8248}"/>
    <cellStyle name="Comma 16 4 7 3" xfId="29742" xr:uid="{98FB5B0F-8D7F-4652-B5DA-4B8CCF974FD4}"/>
    <cellStyle name="Comma 16 4 8" xfId="7838" xr:uid="{C6608554-E587-43FF-AD6D-FD36BDDB7E41}"/>
    <cellStyle name="Comma 16 4 8 2" xfId="44346" xr:uid="{80BEFCF2-ECF4-4936-91B3-89FAB6BB5B83}"/>
    <cellStyle name="Comma 16 4 8 3" xfId="26092" xr:uid="{B5A16F64-4BD1-4E72-BDAF-F011A1496DDB}"/>
    <cellStyle name="Comma 16 4 9" xfId="4188" xr:uid="{3AA92B25-FFAA-4993-8BEB-A77263A77D84}"/>
    <cellStyle name="Comma 16 4 9 2" xfId="40696" xr:uid="{26243EEF-61C8-4D27-8E2A-170747AA3127}"/>
    <cellStyle name="Comma 16 4 9 3" xfId="22442" xr:uid="{8E189F8F-B459-4B8D-93CB-31846EDF34C7}"/>
    <cellStyle name="Comma 16 5" xfId="434" xr:uid="{17BC22BC-A85C-474D-9DA9-CEC0A189D145}"/>
    <cellStyle name="Comma 16 5 10" xfId="36942" xr:uid="{406D7033-0AAF-4ACD-B0AF-FD66A37419F6}"/>
    <cellStyle name="Comma 16 5 11" xfId="18688" xr:uid="{DB247678-88B5-4CF1-9E84-480D4DB2DD9F}"/>
    <cellStyle name="Comma 16 5 2" xfId="3354" xr:uid="{68EBEB3E-76D2-4382-B368-083C43C65D6F}"/>
    <cellStyle name="Comma 16 5 2 2" xfId="17954" xr:uid="{AD50B43A-8233-4E90-AB81-91B03B29CBF8}"/>
    <cellStyle name="Comma 16 5 2 2 2" xfId="54462" xr:uid="{D0A6D497-72A3-42DE-B508-68B25F87EF7F}"/>
    <cellStyle name="Comma 16 5 2 2 3" xfId="36208" xr:uid="{1AA79F64-46A1-49DB-8AB9-CB1897732621}"/>
    <cellStyle name="Comma 16 5 2 3" xfId="14304" xr:uid="{F18E31C9-5146-4FEA-A65A-226A54BB7499}"/>
    <cellStyle name="Comma 16 5 2 3 2" xfId="50812" xr:uid="{2E078D13-6747-4916-9CBE-ABE19D2C4B14}"/>
    <cellStyle name="Comma 16 5 2 3 3" xfId="32558" xr:uid="{9714342B-552D-4A69-B7C5-6D56BBD5369D}"/>
    <cellStyle name="Comma 16 5 2 4" xfId="10654" xr:uid="{E3A3D2F7-8755-475C-B793-1341C6403C73}"/>
    <cellStyle name="Comma 16 5 2 4 2" xfId="47162" xr:uid="{32CD2526-0835-47AF-A0E6-29D19EE2DD0F}"/>
    <cellStyle name="Comma 16 5 2 4 3" xfId="28908" xr:uid="{19E89390-9C18-41D3-8D97-500D2B3401B8}"/>
    <cellStyle name="Comma 16 5 2 5" xfId="7004" xr:uid="{9381D0B7-FAB6-4209-AE1E-0A8CF250E0BB}"/>
    <cellStyle name="Comma 16 5 2 5 2" xfId="43512" xr:uid="{71147A0C-233E-44DB-B862-BD4C5DFA0670}"/>
    <cellStyle name="Comma 16 5 2 5 3" xfId="25258" xr:uid="{1833B0CF-23CE-4BEB-8469-EFB336E27A00}"/>
    <cellStyle name="Comma 16 5 2 6" xfId="39862" xr:uid="{2E3ABDA1-4814-45B9-AD20-71976D182494}"/>
    <cellStyle name="Comma 16 5 2 7" xfId="21608" xr:uid="{28B9102E-F2E5-48C4-8C03-0FF858637B5A}"/>
    <cellStyle name="Comma 16 5 3" xfId="2624" xr:uid="{1472D035-918E-46A6-BD7A-EB0C095687A1}"/>
    <cellStyle name="Comma 16 5 3 2" xfId="17224" xr:uid="{C7EA07BB-0A8E-47C5-AB98-3B59B8F2C491}"/>
    <cellStyle name="Comma 16 5 3 2 2" xfId="53732" xr:uid="{ADDAF2A8-DC4D-4F5B-BDF7-ECD6FB0723AA}"/>
    <cellStyle name="Comma 16 5 3 2 3" xfId="35478" xr:uid="{4BD377B2-8382-4AFF-9B70-43725F9ACBDA}"/>
    <cellStyle name="Comma 16 5 3 3" xfId="13574" xr:uid="{6218DF04-33E4-400D-B361-AAD9B8C3DA69}"/>
    <cellStyle name="Comma 16 5 3 3 2" xfId="50082" xr:uid="{22D7056B-D28C-4407-B1BB-58996A95334C}"/>
    <cellStyle name="Comma 16 5 3 3 3" xfId="31828" xr:uid="{88629C08-CD8C-4D2A-9CC0-41C4E7D7683E}"/>
    <cellStyle name="Comma 16 5 3 4" xfId="9924" xr:uid="{88506BC1-9DF5-4228-BFC5-0C4D31A07601}"/>
    <cellStyle name="Comma 16 5 3 4 2" xfId="46432" xr:uid="{6A53C335-D4D0-4047-B8F3-11247C3393D7}"/>
    <cellStyle name="Comma 16 5 3 4 3" xfId="28178" xr:uid="{B6A7CB85-D23B-4B52-8F65-E6ADD34E21AF}"/>
    <cellStyle name="Comma 16 5 3 5" xfId="6274" xr:uid="{D6B48A4C-38A4-4D0E-99CB-DD8245FA6319}"/>
    <cellStyle name="Comma 16 5 3 5 2" xfId="42782" xr:uid="{196F0267-CE40-4DD0-A0BA-E308B7B616CD}"/>
    <cellStyle name="Comma 16 5 3 5 3" xfId="24528" xr:uid="{9CC7346B-67A7-4ABC-9864-6139684CE8D3}"/>
    <cellStyle name="Comma 16 5 3 6" xfId="39132" xr:uid="{11ACFC07-1AA4-4C9D-AE51-C87E4B0902B4}"/>
    <cellStyle name="Comma 16 5 3 7" xfId="20878" xr:uid="{44004CF5-BECA-4407-AFBE-C61D8E934038}"/>
    <cellStyle name="Comma 16 5 4" xfId="1894" xr:uid="{6E4EB7F3-7930-4C00-91E2-833A45816095}"/>
    <cellStyle name="Comma 16 5 4 2" xfId="16494" xr:uid="{BB8C1CE2-C6DC-4CDA-A843-C09932E1C8C7}"/>
    <cellStyle name="Comma 16 5 4 2 2" xfId="53002" xr:uid="{64B6ABAD-9D8F-4865-86E5-883E395BEFDF}"/>
    <cellStyle name="Comma 16 5 4 2 3" xfId="34748" xr:uid="{D36A2467-8827-4A03-9B7E-CC0D73C41267}"/>
    <cellStyle name="Comma 16 5 4 3" xfId="12844" xr:uid="{ED22DFB1-0D39-4838-B084-9DEE28740C89}"/>
    <cellStyle name="Comma 16 5 4 3 2" xfId="49352" xr:uid="{83EA40F8-AD60-4E5F-80C1-C03EBBC53EB9}"/>
    <cellStyle name="Comma 16 5 4 3 3" xfId="31098" xr:uid="{635E8D42-5B73-4F99-BB2C-C99109F5778A}"/>
    <cellStyle name="Comma 16 5 4 4" xfId="9194" xr:uid="{743AAE33-545F-482A-B294-8B796C050957}"/>
    <cellStyle name="Comma 16 5 4 4 2" xfId="45702" xr:uid="{EA00129A-8B36-41CF-9ADB-8FAA611007C6}"/>
    <cellStyle name="Comma 16 5 4 4 3" xfId="27448" xr:uid="{869782AC-FC77-4E61-B3BA-40FC3FFBB6B7}"/>
    <cellStyle name="Comma 16 5 4 5" xfId="5544" xr:uid="{CE857B4E-D3D6-440C-92FB-82E0328EE431}"/>
    <cellStyle name="Comma 16 5 4 5 2" xfId="42052" xr:uid="{C97A0BCA-9149-44DE-B7FC-F18A6B0E2F17}"/>
    <cellStyle name="Comma 16 5 4 5 3" xfId="23798" xr:uid="{2943AB4E-8621-4781-B9AA-5DC1A23B389B}"/>
    <cellStyle name="Comma 16 5 4 6" xfId="38402" xr:uid="{41AAAF65-4FF3-4476-942F-8B4BA2753C4A}"/>
    <cellStyle name="Comma 16 5 4 7" xfId="20148" xr:uid="{4243E9DA-42C4-4AC6-A953-22C81DD6E437}"/>
    <cellStyle name="Comma 16 5 5" xfId="1164" xr:uid="{5EAE5A7A-D335-46DB-8B3F-C4A057384D74}"/>
    <cellStyle name="Comma 16 5 5 2" xfId="15764" xr:uid="{BE1DD42F-11AC-4B40-93E6-AD791F2D2E93}"/>
    <cellStyle name="Comma 16 5 5 2 2" xfId="52272" xr:uid="{BBFD3F28-7178-4064-A9CC-9E93052FE8A7}"/>
    <cellStyle name="Comma 16 5 5 2 3" xfId="34018" xr:uid="{B51C298B-DDF0-46D9-83CE-27AFF42FBCF8}"/>
    <cellStyle name="Comma 16 5 5 3" xfId="12114" xr:uid="{440F6023-6EF5-41A3-AB60-5B631B2FC25C}"/>
    <cellStyle name="Comma 16 5 5 3 2" xfId="48622" xr:uid="{EE17FB4F-95DF-4E6D-9C9E-DEC2696A707A}"/>
    <cellStyle name="Comma 16 5 5 3 3" xfId="30368" xr:uid="{3B0A3477-4A2B-4364-9A69-43297E6B5A99}"/>
    <cellStyle name="Comma 16 5 5 4" xfId="8464" xr:uid="{D17F99AE-776F-43F5-AD7E-4AE121944A3A}"/>
    <cellStyle name="Comma 16 5 5 4 2" xfId="44972" xr:uid="{AABC8C0F-85C1-453C-9158-1E6AD0984FB5}"/>
    <cellStyle name="Comma 16 5 5 4 3" xfId="26718" xr:uid="{4F4AC0A0-6D2E-4A02-9B13-211BDD9C5C64}"/>
    <cellStyle name="Comma 16 5 5 5" xfId="4814" xr:uid="{06CD99FE-3770-4B6D-B0B1-97D7167ACB5E}"/>
    <cellStyle name="Comma 16 5 5 5 2" xfId="41322" xr:uid="{7AF879DC-DA9D-437D-8ACD-A4697CEB4037}"/>
    <cellStyle name="Comma 16 5 5 5 3" xfId="23068" xr:uid="{7E18C60A-4250-4611-8011-D9C63038AC04}"/>
    <cellStyle name="Comma 16 5 5 6" xfId="37672" xr:uid="{E2326A44-DEB6-404F-96EF-067655AE8386}"/>
    <cellStyle name="Comma 16 5 5 7" xfId="19418" xr:uid="{509C6C8D-868D-4E3E-B59F-C5679D1E6649}"/>
    <cellStyle name="Comma 16 5 6" xfId="15034" xr:uid="{342E73D7-4363-4D1D-9CE1-74F903D83FF9}"/>
    <cellStyle name="Comma 16 5 6 2" xfId="51542" xr:uid="{77D20315-23CA-414D-8EF3-8BA619776F18}"/>
    <cellStyle name="Comma 16 5 6 3" xfId="33288" xr:uid="{2AC72598-7762-4FBB-A199-8C39DC19E3EE}"/>
    <cellStyle name="Comma 16 5 7" xfId="11384" xr:uid="{71401FA6-16B7-43A0-93D5-C8B3AB8C6FEF}"/>
    <cellStyle name="Comma 16 5 7 2" xfId="47892" xr:uid="{934FCE4A-5A97-4FF5-89B9-C9BAF6DF898E}"/>
    <cellStyle name="Comma 16 5 7 3" xfId="29638" xr:uid="{D5992147-F3C3-4F30-9DF0-D814462A7264}"/>
    <cellStyle name="Comma 16 5 8" xfId="7734" xr:uid="{2123A444-1AA0-468C-BF5A-172E819B3C31}"/>
    <cellStyle name="Comma 16 5 8 2" xfId="44242" xr:uid="{A58F5A25-46A3-44BB-AD7F-D2497EA63939}"/>
    <cellStyle name="Comma 16 5 8 3" xfId="25988" xr:uid="{3CAC9F78-2BC6-4A49-B9D3-3D72FF6D6639}"/>
    <cellStyle name="Comma 16 5 9" xfId="4084" xr:uid="{AB58BF49-D3A1-49D1-91AE-037292BE0052}"/>
    <cellStyle name="Comma 16 5 9 2" xfId="40592" xr:uid="{148174ED-07FE-4A72-823E-B979360661F5}"/>
    <cellStyle name="Comma 16 5 9 3" xfId="22338" xr:uid="{266895B3-B615-46CB-B281-78CFE2355F2D}"/>
    <cellStyle name="Comma 16 6" xfId="330" xr:uid="{752F8DE5-1019-4D2B-96BE-8F251458B63D}"/>
    <cellStyle name="Comma 16 6 10" xfId="36838" xr:uid="{41F9F8AD-5237-43B7-BF9B-5F397DEF7850}"/>
    <cellStyle name="Comma 16 6 11" xfId="18584" xr:uid="{F9474343-BABD-43E6-AE26-2B24C83276BC}"/>
    <cellStyle name="Comma 16 6 2" xfId="3250" xr:uid="{D3A6CAEB-F227-4209-B53E-269A9B8E20C6}"/>
    <cellStyle name="Comma 16 6 2 2" xfId="17850" xr:uid="{8AEDF682-A2A5-4403-A6E4-F1EA88249FD4}"/>
    <cellStyle name="Comma 16 6 2 2 2" xfId="54358" xr:uid="{18C1C527-71E9-4153-8022-EBD52BBA7627}"/>
    <cellStyle name="Comma 16 6 2 2 3" xfId="36104" xr:uid="{27DE1048-4040-4074-B316-786E4472A877}"/>
    <cellStyle name="Comma 16 6 2 3" xfId="14200" xr:uid="{762A4CB8-990A-46EE-A17E-97CA1E6D32B7}"/>
    <cellStyle name="Comma 16 6 2 3 2" xfId="50708" xr:uid="{12E7023B-3BEF-40EA-B7B6-9B98B02B4637}"/>
    <cellStyle name="Comma 16 6 2 3 3" xfId="32454" xr:uid="{A603132D-AD8D-4467-B1B7-754E4FC0B66D}"/>
    <cellStyle name="Comma 16 6 2 4" xfId="10550" xr:uid="{CF0CCE47-B320-4EA0-8B4E-22BA66D88EE5}"/>
    <cellStyle name="Comma 16 6 2 4 2" xfId="47058" xr:uid="{C2547785-47B9-4178-BBC8-E86518A37A30}"/>
    <cellStyle name="Comma 16 6 2 4 3" xfId="28804" xr:uid="{580BDAA3-FA32-49C6-B04D-3258D76A9011}"/>
    <cellStyle name="Comma 16 6 2 5" xfId="6900" xr:uid="{DA5563B6-C30C-457F-BBB7-21A042B2F85F}"/>
    <cellStyle name="Comma 16 6 2 5 2" xfId="43408" xr:uid="{20AE5605-7ABF-4D91-B05D-A6337BC9BA1D}"/>
    <cellStyle name="Comma 16 6 2 5 3" xfId="25154" xr:uid="{82D628B0-35F2-47EC-A6A2-C2680DB8FBF2}"/>
    <cellStyle name="Comma 16 6 2 6" xfId="39758" xr:uid="{6DAD82CD-611B-42BE-9F6A-4C1C38CE98DB}"/>
    <cellStyle name="Comma 16 6 2 7" xfId="21504" xr:uid="{452A4FF0-9932-41B1-B6FA-09D1B9180C7E}"/>
    <cellStyle name="Comma 16 6 3" xfId="2520" xr:uid="{375EB641-7F09-487E-A189-3C70D0DFEC68}"/>
    <cellStyle name="Comma 16 6 3 2" xfId="17120" xr:uid="{4CDB1073-A4F6-4B1D-B3FD-A0736A6B1E69}"/>
    <cellStyle name="Comma 16 6 3 2 2" xfId="53628" xr:uid="{0F63CD59-EE72-49A6-A998-7B936BB1B742}"/>
    <cellStyle name="Comma 16 6 3 2 3" xfId="35374" xr:uid="{2FB0E1FE-5103-4685-83FC-910C71B25260}"/>
    <cellStyle name="Comma 16 6 3 3" xfId="13470" xr:uid="{54DD2EBA-2F49-479F-8935-9932D6CFE476}"/>
    <cellStyle name="Comma 16 6 3 3 2" xfId="49978" xr:uid="{A3FC3CA1-E13E-4368-8E9A-877D9C596C5F}"/>
    <cellStyle name="Comma 16 6 3 3 3" xfId="31724" xr:uid="{D18F4F5E-2BF7-4F15-98AA-BB69D7CF83F4}"/>
    <cellStyle name="Comma 16 6 3 4" xfId="9820" xr:uid="{B162D0B9-DB0C-418F-822A-BA49F9FCB6EB}"/>
    <cellStyle name="Comma 16 6 3 4 2" xfId="46328" xr:uid="{8B9C0868-AF8B-4F12-A4F9-1CE0808A9500}"/>
    <cellStyle name="Comma 16 6 3 4 3" xfId="28074" xr:uid="{0F71192B-0EC1-4438-B949-659C93D64E0B}"/>
    <cellStyle name="Comma 16 6 3 5" xfId="6170" xr:uid="{CF8AA3A0-969B-4BA7-A16B-29894D6268B6}"/>
    <cellStyle name="Comma 16 6 3 5 2" xfId="42678" xr:uid="{5506E9B0-1563-426D-9358-71EA50C9A2A5}"/>
    <cellStyle name="Comma 16 6 3 5 3" xfId="24424" xr:uid="{8E929A66-A794-4F63-89E8-608897015964}"/>
    <cellStyle name="Comma 16 6 3 6" xfId="39028" xr:uid="{145ECB60-A061-447A-AAB2-D122FB1A0445}"/>
    <cellStyle name="Comma 16 6 3 7" xfId="20774" xr:uid="{7D6F8A41-FE13-494F-BF00-6BA8661BEAA3}"/>
    <cellStyle name="Comma 16 6 4" xfId="1790" xr:uid="{EC730FA8-256B-46BD-A709-7A309AE41C6C}"/>
    <cellStyle name="Comma 16 6 4 2" xfId="16390" xr:uid="{253CA1EA-C884-4823-A14A-FC63DA397FBC}"/>
    <cellStyle name="Comma 16 6 4 2 2" xfId="52898" xr:uid="{32F7B5A1-17B9-4A84-B5B0-1D3F749E4CA4}"/>
    <cellStyle name="Comma 16 6 4 2 3" xfId="34644" xr:uid="{5CBE9258-7F00-4BDA-B5B6-1F283576A97C}"/>
    <cellStyle name="Comma 16 6 4 3" xfId="12740" xr:uid="{50646CA1-D660-483D-9B8C-33BFA6CD8B98}"/>
    <cellStyle name="Comma 16 6 4 3 2" xfId="49248" xr:uid="{75034FF1-8783-4E8F-8A7D-A36A363E70E8}"/>
    <cellStyle name="Comma 16 6 4 3 3" xfId="30994" xr:uid="{650BCD21-B342-42C6-84B8-5349CAB743AE}"/>
    <cellStyle name="Comma 16 6 4 4" xfId="9090" xr:uid="{425D7A0E-EEA5-4BDF-BD62-36B2B03B4EF1}"/>
    <cellStyle name="Comma 16 6 4 4 2" xfId="45598" xr:uid="{F495FB44-1189-4796-8755-C4E6419DFE59}"/>
    <cellStyle name="Comma 16 6 4 4 3" xfId="27344" xr:uid="{6CC25825-ED60-4E83-BCA4-7CE36A34CB2E}"/>
    <cellStyle name="Comma 16 6 4 5" xfId="5440" xr:uid="{F4E9B588-75D1-44A3-B061-9F313C474716}"/>
    <cellStyle name="Comma 16 6 4 5 2" xfId="41948" xr:uid="{CB21CD89-D7AC-4C3A-9212-A8DB00A3C9A6}"/>
    <cellStyle name="Comma 16 6 4 5 3" xfId="23694" xr:uid="{F8A607B5-58DC-4E72-AD47-771401A95805}"/>
    <cellStyle name="Comma 16 6 4 6" xfId="38298" xr:uid="{8E1A3110-E175-41DA-89F7-3C5BB2B1C11D}"/>
    <cellStyle name="Comma 16 6 4 7" xfId="20044" xr:uid="{AF961761-E016-4A94-B714-806BCA55A996}"/>
    <cellStyle name="Comma 16 6 5" xfId="1060" xr:uid="{E7ABB81E-438C-4DDF-B65B-5DF039A4EB93}"/>
    <cellStyle name="Comma 16 6 5 2" xfId="15660" xr:uid="{ED47D9CD-7D01-49FA-BC78-6A89AE73B6EA}"/>
    <cellStyle name="Comma 16 6 5 2 2" xfId="52168" xr:uid="{E6C99488-47BF-4FD6-99F1-D514EB3A6455}"/>
    <cellStyle name="Comma 16 6 5 2 3" xfId="33914" xr:uid="{56E5D9EA-21F2-4E78-AD35-3445C1AAA246}"/>
    <cellStyle name="Comma 16 6 5 3" xfId="12010" xr:uid="{FFD7B96C-90E3-4E40-8460-A8B54F49B559}"/>
    <cellStyle name="Comma 16 6 5 3 2" xfId="48518" xr:uid="{3B144C31-3A19-4924-9F88-F8328EE8E1AB}"/>
    <cellStyle name="Comma 16 6 5 3 3" xfId="30264" xr:uid="{5208BBA9-DA68-4D51-8DC8-A4BDED1B43CC}"/>
    <cellStyle name="Comma 16 6 5 4" xfId="8360" xr:uid="{C38034A7-901D-428D-ABAC-DE7A17FDA6B9}"/>
    <cellStyle name="Comma 16 6 5 4 2" xfId="44868" xr:uid="{C1E28F62-5284-47CC-8A70-2F35E6362658}"/>
    <cellStyle name="Comma 16 6 5 4 3" xfId="26614" xr:uid="{6DD9BF29-1C40-4EFF-8DC1-46A256A59A02}"/>
    <cellStyle name="Comma 16 6 5 5" xfId="4710" xr:uid="{5A656997-F555-4FE2-B3C1-531D4693E6A8}"/>
    <cellStyle name="Comma 16 6 5 5 2" xfId="41218" xr:uid="{6F6E6BD0-EA33-416A-BA0B-6EF17BB97F0B}"/>
    <cellStyle name="Comma 16 6 5 5 3" xfId="22964" xr:uid="{8FAC7567-13B3-4F96-8A9D-D1A85A2E3FB0}"/>
    <cellStyle name="Comma 16 6 5 6" xfId="37568" xr:uid="{285A73F7-4D64-4643-9C5D-9C649E3D6207}"/>
    <cellStyle name="Comma 16 6 5 7" xfId="19314" xr:uid="{C5C740A0-84F1-4509-AB78-CB7EE58F1E0B}"/>
    <cellStyle name="Comma 16 6 6" xfId="14930" xr:uid="{D2255EA0-1433-415A-9089-DBE6EB0D9F4A}"/>
    <cellStyle name="Comma 16 6 6 2" xfId="51438" xr:uid="{49C575C9-638C-4D13-8764-A605330B3BBE}"/>
    <cellStyle name="Comma 16 6 6 3" xfId="33184" xr:uid="{A3B7FDD0-2739-4B6E-A2E8-63256E724B58}"/>
    <cellStyle name="Comma 16 6 7" xfId="11280" xr:uid="{65E7D27E-6587-4E3F-923B-31158475518B}"/>
    <cellStyle name="Comma 16 6 7 2" xfId="47788" xr:uid="{5A14DB3C-982E-4A10-8BBA-E4C45A32DE6B}"/>
    <cellStyle name="Comma 16 6 7 3" xfId="29534" xr:uid="{E1559E87-711B-4DB6-977F-CBE4E7FF4680}"/>
    <cellStyle name="Comma 16 6 8" xfId="7630" xr:uid="{5A6DE455-F42C-4089-BD99-0A8EF34C1D71}"/>
    <cellStyle name="Comma 16 6 8 2" xfId="44138" xr:uid="{B2EFEE87-AD8F-4755-A3E1-0AB8C5DB30C5}"/>
    <cellStyle name="Comma 16 6 8 3" xfId="25884" xr:uid="{AE0B2E24-1BB6-4D61-8637-7B6B02762BC4}"/>
    <cellStyle name="Comma 16 6 9" xfId="3980" xr:uid="{59DF7AD5-8FFE-4CBE-93B5-84C643BF37C0}"/>
    <cellStyle name="Comma 16 6 9 2" xfId="40488" xr:uid="{65CCF9D0-CF36-4C65-84F9-BF779B593093}"/>
    <cellStyle name="Comma 16 6 9 3" xfId="22234" xr:uid="{76500B5A-437C-48CB-A8F1-593A77BEA4C4}"/>
    <cellStyle name="Comma 16 7" xfId="226" xr:uid="{5198F6FD-3245-4C87-820A-A3A52356882F}"/>
    <cellStyle name="Comma 16 7 10" xfId="36734" xr:uid="{4B4EB406-924E-4FB5-B69E-580C3B7CB69F}"/>
    <cellStyle name="Comma 16 7 11" xfId="18480" xr:uid="{69CCDA0F-7848-4F71-BE6A-70106092B97C}"/>
    <cellStyle name="Comma 16 7 2" xfId="3146" xr:uid="{7C2E2C18-5C07-4157-8199-5E45E7F6F43C}"/>
    <cellStyle name="Comma 16 7 2 2" xfId="17746" xr:uid="{7583A46B-CCB1-45B4-99AF-65ED0DCE7CA1}"/>
    <cellStyle name="Comma 16 7 2 2 2" xfId="54254" xr:uid="{01409836-2372-42B4-9946-2D085955E3A9}"/>
    <cellStyle name="Comma 16 7 2 2 3" xfId="36000" xr:uid="{1CF1CA45-34FE-403E-B49D-9AE379F4B343}"/>
    <cellStyle name="Comma 16 7 2 3" xfId="14096" xr:uid="{E8744545-861C-45C9-839E-0E967C7F272D}"/>
    <cellStyle name="Comma 16 7 2 3 2" xfId="50604" xr:uid="{80A524C2-C481-4A82-A7D6-E06EF6BB422B}"/>
    <cellStyle name="Comma 16 7 2 3 3" xfId="32350" xr:uid="{B662D503-A876-4C52-A8CF-643DAF2FD3F7}"/>
    <cellStyle name="Comma 16 7 2 4" xfId="10446" xr:uid="{B2027CD0-8C44-4361-A9F4-F4371A68B5D0}"/>
    <cellStyle name="Comma 16 7 2 4 2" xfId="46954" xr:uid="{36CE9E01-D094-453C-9813-A17FFE899338}"/>
    <cellStyle name="Comma 16 7 2 4 3" xfId="28700" xr:uid="{92366430-053C-4554-8805-ED4AEBAEDBD2}"/>
    <cellStyle name="Comma 16 7 2 5" xfId="6796" xr:uid="{38C1DA2A-38F9-440A-84D0-13E23F2A12D2}"/>
    <cellStyle name="Comma 16 7 2 5 2" xfId="43304" xr:uid="{F6EB2ABE-24CB-4804-99F3-60D6840FF395}"/>
    <cellStyle name="Comma 16 7 2 5 3" xfId="25050" xr:uid="{DBE6168E-FBAB-42B4-924B-E1A424E93031}"/>
    <cellStyle name="Comma 16 7 2 6" xfId="39654" xr:uid="{4E302FBD-60F3-4925-A133-8D0677DADFA8}"/>
    <cellStyle name="Comma 16 7 2 7" xfId="21400" xr:uid="{BB5F7565-C3A2-44B7-A272-5E85601CC006}"/>
    <cellStyle name="Comma 16 7 3" xfId="2416" xr:uid="{F617B620-A889-495B-B8A9-6F247F9ACEF5}"/>
    <cellStyle name="Comma 16 7 3 2" xfId="17016" xr:uid="{9325BFEC-4179-4AEF-9105-09E263277992}"/>
    <cellStyle name="Comma 16 7 3 2 2" xfId="53524" xr:uid="{E0CC414E-D1B9-469E-BD20-2719BAEC99C7}"/>
    <cellStyle name="Comma 16 7 3 2 3" xfId="35270" xr:uid="{61F2AD8D-4324-4106-8EE0-52E033196D1D}"/>
    <cellStyle name="Comma 16 7 3 3" xfId="13366" xr:uid="{A37AD5C2-4F21-480C-8C3E-8F1A73732CC6}"/>
    <cellStyle name="Comma 16 7 3 3 2" xfId="49874" xr:uid="{8B06AA29-E4B5-4BDC-8A21-21BAD4143E78}"/>
    <cellStyle name="Comma 16 7 3 3 3" xfId="31620" xr:uid="{29936B0F-2698-4728-8868-1324022200FD}"/>
    <cellStyle name="Comma 16 7 3 4" xfId="9716" xr:uid="{FC1D2F6A-3E98-4609-A9EB-08726A7F2256}"/>
    <cellStyle name="Comma 16 7 3 4 2" xfId="46224" xr:uid="{3D5EDEB5-5C69-43E8-8968-927C54981129}"/>
    <cellStyle name="Comma 16 7 3 4 3" xfId="27970" xr:uid="{C0643442-68CC-4824-ACA3-A2BF4CD046FA}"/>
    <cellStyle name="Comma 16 7 3 5" xfId="6066" xr:uid="{F2CF97FC-0852-4DAF-888E-8DA1894F18F2}"/>
    <cellStyle name="Comma 16 7 3 5 2" xfId="42574" xr:uid="{99266300-B924-4AB4-A2F9-C023AE68FFFE}"/>
    <cellStyle name="Comma 16 7 3 5 3" xfId="24320" xr:uid="{B5284DB5-47A4-4BDE-BB3A-AACC435CEFF2}"/>
    <cellStyle name="Comma 16 7 3 6" xfId="38924" xr:uid="{79BD7F49-DEAA-4533-82DC-2CC4FE334C9F}"/>
    <cellStyle name="Comma 16 7 3 7" xfId="20670" xr:uid="{E51035B1-2B74-4E5B-96BB-8281A7AF4ECD}"/>
    <cellStyle name="Comma 16 7 4" xfId="1686" xr:uid="{D7EC72B1-133D-44CB-851D-662C99B2D224}"/>
    <cellStyle name="Comma 16 7 4 2" xfId="16286" xr:uid="{F098E44E-45F1-42D8-8352-AB081BA576B2}"/>
    <cellStyle name="Comma 16 7 4 2 2" xfId="52794" xr:uid="{01E5A949-20B8-4EE1-8FAD-2F17C06BC7F7}"/>
    <cellStyle name="Comma 16 7 4 2 3" xfId="34540" xr:uid="{4CED7D49-D0DE-4877-A696-928B7CEAEEA8}"/>
    <cellStyle name="Comma 16 7 4 3" xfId="12636" xr:uid="{980AFEFC-0AA8-432B-9DF9-6610A9498A18}"/>
    <cellStyle name="Comma 16 7 4 3 2" xfId="49144" xr:uid="{60D47F5D-B7B4-4BF4-97F7-4641588691DF}"/>
    <cellStyle name="Comma 16 7 4 3 3" xfId="30890" xr:uid="{6705049A-8F76-44AF-88F5-0FB3EC2F1B23}"/>
    <cellStyle name="Comma 16 7 4 4" xfId="8986" xr:uid="{A580628E-805E-44B4-AFA3-2A50145944EB}"/>
    <cellStyle name="Comma 16 7 4 4 2" xfId="45494" xr:uid="{368FBCD9-A3C8-40D8-A6D1-5E9A6A06C06C}"/>
    <cellStyle name="Comma 16 7 4 4 3" xfId="27240" xr:uid="{DA94A67D-40D1-4C0C-8335-9D8CF83B0557}"/>
    <cellStyle name="Comma 16 7 4 5" xfId="5336" xr:uid="{2C0F7441-0AC7-444D-9D85-B257006F6168}"/>
    <cellStyle name="Comma 16 7 4 5 2" xfId="41844" xr:uid="{25D6F8AC-44D9-4070-9E93-0443C6EFA56C}"/>
    <cellStyle name="Comma 16 7 4 5 3" xfId="23590" xr:uid="{5CBAF460-9D75-47BC-9E02-19F4CCC9F30E}"/>
    <cellStyle name="Comma 16 7 4 6" xfId="38194" xr:uid="{9416BDB4-B13E-4986-A40B-7148FA559A07}"/>
    <cellStyle name="Comma 16 7 4 7" xfId="19940" xr:uid="{CDF0E116-E071-4CA7-8974-C4FAEC1F129F}"/>
    <cellStyle name="Comma 16 7 5" xfId="956" xr:uid="{879ED49C-C09A-4F4D-9FAE-E0982064375D}"/>
    <cellStyle name="Comma 16 7 5 2" xfId="15556" xr:uid="{9FF43963-CD14-4220-BA73-7705EC70EDDF}"/>
    <cellStyle name="Comma 16 7 5 2 2" xfId="52064" xr:uid="{5335DBE4-FA99-4553-9ECF-1FED275DE471}"/>
    <cellStyle name="Comma 16 7 5 2 3" xfId="33810" xr:uid="{8E3B2E8E-7657-4E19-A07C-2BE527B25D4C}"/>
    <cellStyle name="Comma 16 7 5 3" xfId="11906" xr:uid="{DCDCE9AD-883A-4C12-91FF-7F9EF6009EEF}"/>
    <cellStyle name="Comma 16 7 5 3 2" xfId="48414" xr:uid="{73932EFD-50C2-4C13-9A6B-78AE03BBB57F}"/>
    <cellStyle name="Comma 16 7 5 3 3" xfId="30160" xr:uid="{AA33E0B4-499C-47A6-83BC-53AE0064D376}"/>
    <cellStyle name="Comma 16 7 5 4" xfId="8256" xr:uid="{533843E7-65C4-42D0-8F2C-695659A7684C}"/>
    <cellStyle name="Comma 16 7 5 4 2" xfId="44764" xr:uid="{D46E8962-1A28-432B-A56C-237DA6330980}"/>
    <cellStyle name="Comma 16 7 5 4 3" xfId="26510" xr:uid="{9F1558F7-02E8-489B-A53B-C49B64C5F9E0}"/>
    <cellStyle name="Comma 16 7 5 5" xfId="4606" xr:uid="{5EB2CC55-2321-4D24-8661-F1C335C22D61}"/>
    <cellStyle name="Comma 16 7 5 5 2" xfId="41114" xr:uid="{0127FAE9-FA5F-4D64-A379-5C8890B749F3}"/>
    <cellStyle name="Comma 16 7 5 5 3" xfId="22860" xr:uid="{B22E800E-7CDF-40EC-82E4-EFD1C28749C5}"/>
    <cellStyle name="Comma 16 7 5 6" xfId="37464" xr:uid="{FDF7F299-79B1-4992-8957-CC09CC6DBCA4}"/>
    <cellStyle name="Comma 16 7 5 7" xfId="19210" xr:uid="{7F92BA4C-BED6-452F-8B78-91984254EF6C}"/>
    <cellStyle name="Comma 16 7 6" xfId="14826" xr:uid="{3DF735B4-9590-4476-9B32-BA2DFE224E44}"/>
    <cellStyle name="Comma 16 7 6 2" xfId="51334" xr:uid="{A9A72C20-426E-4BC5-90D0-727B7708B4E2}"/>
    <cellStyle name="Comma 16 7 6 3" xfId="33080" xr:uid="{56E58E62-6AC6-4DE7-8B8F-5245724E1510}"/>
    <cellStyle name="Comma 16 7 7" xfId="11176" xr:uid="{39C6AF4C-6146-452C-9800-0F3F76F87B99}"/>
    <cellStyle name="Comma 16 7 7 2" xfId="47684" xr:uid="{451702C1-2D8D-4D58-A714-293E6AB1B6E2}"/>
    <cellStyle name="Comma 16 7 7 3" xfId="29430" xr:uid="{78DB04A5-0DB9-4DB0-BB67-EA480FF7786B}"/>
    <cellStyle name="Comma 16 7 8" xfId="7526" xr:uid="{A4AC922F-AC76-417B-ACA6-A96EDCEFC267}"/>
    <cellStyle name="Comma 16 7 8 2" xfId="44034" xr:uid="{7DE1019D-033D-44A7-AFDD-EDBA12A8F415}"/>
    <cellStyle name="Comma 16 7 8 3" xfId="25780" xr:uid="{08814E99-0165-45E7-B345-65B9163DB550}"/>
    <cellStyle name="Comma 16 7 9" xfId="3876" xr:uid="{C23ACC2F-469D-4CD8-BB9E-52BC385E62B6}"/>
    <cellStyle name="Comma 16 7 9 2" xfId="40384" xr:uid="{7B7E8B10-D645-4249-B336-8F6FB9CF5B4B}"/>
    <cellStyle name="Comma 16 7 9 3" xfId="22130" xr:uid="{3D28B890-3EE5-43C7-A375-50151A0606CB}"/>
    <cellStyle name="Comma 16 8" xfId="3042" xr:uid="{8C006DE2-F83B-43FC-B243-2E338B8A0F5A}"/>
    <cellStyle name="Comma 16 8 2" xfId="17642" xr:uid="{68466026-CA93-4B20-8142-C49BD0206D39}"/>
    <cellStyle name="Comma 16 8 2 2" xfId="54150" xr:uid="{E015A100-A38F-4212-9F7B-6165BC5C2F18}"/>
    <cellStyle name="Comma 16 8 2 3" xfId="35896" xr:uid="{BDF48EB0-CEBC-4C56-AEC8-E3AC369FDE48}"/>
    <cellStyle name="Comma 16 8 3" xfId="13992" xr:uid="{74221E0F-50FC-48C0-B66E-D4AF666E4881}"/>
    <cellStyle name="Comma 16 8 3 2" xfId="50500" xr:uid="{CF6D19A2-F5DE-4500-8A9C-88B20AC8B8D8}"/>
    <cellStyle name="Comma 16 8 3 3" xfId="32246" xr:uid="{DF4FCAFC-E029-42E8-808E-2A8A371A8B2A}"/>
    <cellStyle name="Comma 16 8 4" xfId="10342" xr:uid="{BF53A059-0A1E-4454-BABD-37DFD8BDF42B}"/>
    <cellStyle name="Comma 16 8 4 2" xfId="46850" xr:uid="{FC3F133E-9EBD-4E5C-BFC2-F6F529AA693B}"/>
    <cellStyle name="Comma 16 8 4 3" xfId="28596" xr:uid="{84E2F794-F25C-4B47-A709-626617F22066}"/>
    <cellStyle name="Comma 16 8 5" xfId="6692" xr:uid="{CC92B35E-B04A-482F-BE67-0725BE233D67}"/>
    <cellStyle name="Comma 16 8 5 2" xfId="43200" xr:uid="{F1E2EA2D-05A0-4F1D-BC46-5681508C1755}"/>
    <cellStyle name="Comma 16 8 5 3" xfId="24946" xr:uid="{2E077E26-BA85-4460-B890-7FE7EE57CEC7}"/>
    <cellStyle name="Comma 16 8 6" xfId="39550" xr:uid="{AFF94357-4B93-45E4-A024-CEEC947A55D7}"/>
    <cellStyle name="Comma 16 8 7" xfId="21296" xr:uid="{002E318F-82FC-4D0E-A225-5D5AD3465AEC}"/>
    <cellStyle name="Comma 16 9" xfId="2312" xr:uid="{B2CB618C-2DE3-4F26-87BD-E148BA964FC4}"/>
    <cellStyle name="Comma 16 9 2" xfId="16912" xr:uid="{D9B31BD8-77D2-4F61-A44E-53B481E8EDFC}"/>
    <cellStyle name="Comma 16 9 2 2" xfId="53420" xr:uid="{4A5A6565-E872-4BEA-82CD-46F5C5AEC70E}"/>
    <cellStyle name="Comma 16 9 2 3" xfId="35166" xr:uid="{E9488E7C-4533-454E-8E3E-386FED1AA95A}"/>
    <cellStyle name="Comma 16 9 3" xfId="13262" xr:uid="{7F49C54C-5A4B-46A7-AC9A-18C6B2B710BF}"/>
    <cellStyle name="Comma 16 9 3 2" xfId="49770" xr:uid="{C65AF44C-7CE3-44C8-9120-BE80C81521EF}"/>
    <cellStyle name="Comma 16 9 3 3" xfId="31516" xr:uid="{E7492B8F-2FCE-49F4-BE4E-8BE664FF5411}"/>
    <cellStyle name="Comma 16 9 4" xfId="9612" xr:uid="{CD80481E-EB4A-47DD-B8C3-02AC9AD6A700}"/>
    <cellStyle name="Comma 16 9 4 2" xfId="46120" xr:uid="{50DF8D61-DA8F-4F81-B145-7C7F1C7907FF}"/>
    <cellStyle name="Comma 16 9 4 3" xfId="27866" xr:uid="{1C6BB902-E0EB-4C09-80E1-1919867FFD95}"/>
    <cellStyle name="Comma 16 9 5" xfId="5962" xr:uid="{7859077B-A031-4D17-84FD-5BC8CD6056DD}"/>
    <cellStyle name="Comma 16 9 5 2" xfId="42470" xr:uid="{81BAE860-ECA9-4C0B-AD07-5B65A1264975}"/>
    <cellStyle name="Comma 16 9 5 3" xfId="24216" xr:uid="{DA9C8E6E-66DD-48BA-AE82-47FF542099A5}"/>
    <cellStyle name="Comma 16 9 6" xfId="38820" xr:uid="{CFE4FAE8-2DF3-4E56-B0AD-CB474369FBEF}"/>
    <cellStyle name="Comma 16 9 7" xfId="20566" xr:uid="{1CDF5FF8-4A30-421B-A968-38524576EC26}"/>
    <cellStyle name="Comma 17" xfId="643" xr:uid="{6732087F-11B1-40B9-B5CC-18B5982DED65}"/>
    <cellStyle name="Comma 17 10" xfId="37151" xr:uid="{C384DE58-2545-4CCF-804C-7153007A75C3}"/>
    <cellStyle name="Comma 17 11" xfId="18897" xr:uid="{2B2FC5A8-208D-4C95-A4FA-32B2480AE4F9}"/>
    <cellStyle name="Comma 17 2" xfId="3563" xr:uid="{99F31ECE-CC5D-4378-98B1-F0112A77FE08}"/>
    <cellStyle name="Comma 17 2 2" xfId="18163" xr:uid="{21006091-9073-4577-8F18-70184AF2033A}"/>
    <cellStyle name="Comma 17 2 2 2" xfId="54671" xr:uid="{F42F73C9-DC73-44B6-9134-B4D0AF5C761E}"/>
    <cellStyle name="Comma 17 2 2 3" xfId="36417" xr:uid="{904A2E19-811A-44DC-99E1-DA9F7719C462}"/>
    <cellStyle name="Comma 17 2 3" xfId="14513" xr:uid="{BFE570DD-C9B2-46E1-9682-32B9BA66F7FF}"/>
    <cellStyle name="Comma 17 2 3 2" xfId="51021" xr:uid="{C17AA545-AE9F-41E7-BF87-BCE3F9334673}"/>
    <cellStyle name="Comma 17 2 3 3" xfId="32767" xr:uid="{9CA414C8-8DD0-47E7-A55D-61CB753EB3D5}"/>
    <cellStyle name="Comma 17 2 4" xfId="10863" xr:uid="{2BBB2B8A-6C53-464C-9787-FD9290B6BC57}"/>
    <cellStyle name="Comma 17 2 4 2" xfId="47371" xr:uid="{F0BEBCBC-278B-4151-8ACF-0F785208CEC1}"/>
    <cellStyle name="Comma 17 2 4 3" xfId="29117" xr:uid="{964A398F-5D78-406F-8AA5-F5ACCD95C666}"/>
    <cellStyle name="Comma 17 2 5" xfId="7213" xr:uid="{6BAE6255-E441-4E5A-B8E4-B6B520A9C853}"/>
    <cellStyle name="Comma 17 2 5 2" xfId="43721" xr:uid="{F7E29D72-5BEA-4A16-85CB-2F62B51C76C3}"/>
    <cellStyle name="Comma 17 2 5 3" xfId="25467" xr:uid="{04440220-ED39-4397-B3D7-8E027AE1DD1C}"/>
    <cellStyle name="Comma 17 2 6" xfId="40071" xr:uid="{101CAF49-BC77-478C-B0BD-BA3C1943B833}"/>
    <cellStyle name="Comma 17 2 7" xfId="21817" xr:uid="{116A80B7-0288-4540-945E-511A1A6D20BB}"/>
    <cellStyle name="Comma 17 3" xfId="2833" xr:uid="{FDF0FE6D-729B-4CD9-B702-DCCB58D2B172}"/>
    <cellStyle name="Comma 17 3 2" xfId="17433" xr:uid="{368642B3-C11C-4E79-BF67-CE5D00BD97F9}"/>
    <cellStyle name="Comma 17 3 2 2" xfId="53941" xr:uid="{87C066E4-3CB2-43E0-977E-CA02BC6065CA}"/>
    <cellStyle name="Comma 17 3 2 3" xfId="35687" xr:uid="{6721A0FB-EFA6-4278-A797-019B9DBEDDCB}"/>
    <cellStyle name="Comma 17 3 3" xfId="13783" xr:uid="{6A7F3D61-BCD1-4E0D-8AA2-A78219E16F05}"/>
    <cellStyle name="Comma 17 3 3 2" xfId="50291" xr:uid="{8E739424-9E1C-4697-805B-CF72D021E040}"/>
    <cellStyle name="Comma 17 3 3 3" xfId="32037" xr:uid="{9DC7FFD4-FF15-42EC-8950-3E8E4DEF7513}"/>
    <cellStyle name="Comma 17 3 4" xfId="10133" xr:uid="{FCAC2386-05E4-4107-B1C1-CF87215CDD5D}"/>
    <cellStyle name="Comma 17 3 4 2" xfId="46641" xr:uid="{FF0B7A2B-6FA8-4C57-8427-D598EEB6FED7}"/>
    <cellStyle name="Comma 17 3 4 3" xfId="28387" xr:uid="{603FF303-F231-4F39-9483-D0AB440EBFD2}"/>
    <cellStyle name="Comma 17 3 5" xfId="6483" xr:uid="{6F5F97B3-8D14-4D37-8835-9C1EB1053ABD}"/>
    <cellStyle name="Comma 17 3 5 2" xfId="42991" xr:uid="{4235F64B-0FE2-4513-B74A-8437DE41FFA1}"/>
    <cellStyle name="Comma 17 3 5 3" xfId="24737" xr:uid="{CF120355-4126-4903-9180-25D9D2DB8056}"/>
    <cellStyle name="Comma 17 3 6" xfId="39341" xr:uid="{123D53C1-B322-4D64-B9E9-70F63257BF83}"/>
    <cellStyle name="Comma 17 3 7" xfId="21087" xr:uid="{EDDBD88F-EAA5-4E3F-90AA-C0AC410D61DB}"/>
    <cellStyle name="Comma 17 4" xfId="2103" xr:uid="{5CBB17AE-B3AD-41D7-91A0-C0EE8CD3CC13}"/>
    <cellStyle name="Comma 17 4 2" xfId="16703" xr:uid="{16DFCCF1-24E1-43FE-AA27-21D438E014E1}"/>
    <cellStyle name="Comma 17 4 2 2" xfId="53211" xr:uid="{86369BAA-72A9-4B0D-9216-401D6509505A}"/>
    <cellStyle name="Comma 17 4 2 3" xfId="34957" xr:uid="{32931289-495D-4FCB-A0CA-818AE350226E}"/>
    <cellStyle name="Comma 17 4 3" xfId="13053" xr:uid="{5371A4CF-C435-491E-8E5A-EDB17257457B}"/>
    <cellStyle name="Comma 17 4 3 2" xfId="49561" xr:uid="{E10E1A76-B382-460E-8A4F-AF8BBE1CA982}"/>
    <cellStyle name="Comma 17 4 3 3" xfId="31307" xr:uid="{0CF4D4CC-F464-4B11-BAC0-AF3A142A33F2}"/>
    <cellStyle name="Comma 17 4 4" xfId="9403" xr:uid="{5AAFE8D2-5349-46E1-BB1D-B9761D8ED99B}"/>
    <cellStyle name="Comma 17 4 4 2" xfId="45911" xr:uid="{5DD67F9D-E247-4375-A3A3-DD547C6430EA}"/>
    <cellStyle name="Comma 17 4 4 3" xfId="27657" xr:uid="{97B2D4C2-AC07-4ABC-BEC2-8A3EFB4252FC}"/>
    <cellStyle name="Comma 17 4 5" xfId="5753" xr:uid="{E4F49FDE-B0D8-4011-803E-4EDA35CC553E}"/>
    <cellStyle name="Comma 17 4 5 2" xfId="42261" xr:uid="{2577A4F5-90F8-411C-B116-1474F3184DA5}"/>
    <cellStyle name="Comma 17 4 5 3" xfId="24007" xr:uid="{C2330DB5-EE5D-43FB-9656-B76434D3D9DB}"/>
    <cellStyle name="Comma 17 4 6" xfId="38611" xr:uid="{CA20DC33-9F18-4646-86E9-12F1FC8F7280}"/>
    <cellStyle name="Comma 17 4 7" xfId="20357" xr:uid="{3D7D56A4-1FCB-4888-A9C6-35A75CC432C7}"/>
    <cellStyle name="Comma 17 5" xfId="1373" xr:uid="{7ABEE667-E8B1-4755-8AED-2FEE33AC818F}"/>
    <cellStyle name="Comma 17 5 2" xfId="15973" xr:uid="{BEFA3F8C-2B00-4E5B-9D53-68D3B16FED46}"/>
    <cellStyle name="Comma 17 5 2 2" xfId="52481" xr:uid="{4FFB9A10-83B2-4CAF-809E-125C2C929383}"/>
    <cellStyle name="Comma 17 5 2 3" xfId="34227" xr:uid="{00C3CC0F-FDC1-4C58-9470-F40E4F90ED66}"/>
    <cellStyle name="Comma 17 5 3" xfId="12323" xr:uid="{67F0AB09-E779-4ECB-A57E-373561ABF4E7}"/>
    <cellStyle name="Comma 17 5 3 2" xfId="48831" xr:uid="{5CE5BC49-2565-4866-8F7B-6665C4C2967E}"/>
    <cellStyle name="Comma 17 5 3 3" xfId="30577" xr:uid="{F2544954-1D72-476F-BD48-D61C22074464}"/>
    <cellStyle name="Comma 17 5 4" xfId="8673" xr:uid="{1845DBF5-7FF5-405D-A3AB-D366D0BC6063}"/>
    <cellStyle name="Comma 17 5 4 2" xfId="45181" xr:uid="{999E16E4-C110-4143-B8BF-C57EF650C3F4}"/>
    <cellStyle name="Comma 17 5 4 3" xfId="26927" xr:uid="{22DB56ED-E6A5-426E-8500-9248DB791494}"/>
    <cellStyle name="Comma 17 5 5" xfId="5023" xr:uid="{4BDD87E0-B2D1-48B7-B1B1-AFE4454E5CD8}"/>
    <cellStyle name="Comma 17 5 5 2" xfId="41531" xr:uid="{80C7505A-407E-45C5-AC28-435EBB736C9B}"/>
    <cellStyle name="Comma 17 5 5 3" xfId="23277" xr:uid="{C72D7CCF-82B8-4EE3-9FCA-D661DC77CC7A}"/>
    <cellStyle name="Comma 17 5 6" xfId="37881" xr:uid="{21AA24C2-AAC1-4A0B-A7F2-ABBEB1F88E17}"/>
    <cellStyle name="Comma 17 5 7" xfId="19627" xr:uid="{121FF9EE-D98E-464F-9885-B6E90809A778}"/>
    <cellStyle name="Comma 17 6" xfId="15243" xr:uid="{849DFD69-DEA5-439B-9F27-FCA453790992}"/>
    <cellStyle name="Comma 17 6 2" xfId="51751" xr:uid="{C31A5E01-703D-47E5-A2C2-A009005C17C4}"/>
    <cellStyle name="Comma 17 6 3" xfId="33497" xr:uid="{10B8A563-5774-4C42-A9F2-680DDC8F0746}"/>
    <cellStyle name="Comma 17 7" xfId="11593" xr:uid="{2A325A54-C32D-4F7E-9DD0-ED685CD4EF48}"/>
    <cellStyle name="Comma 17 7 2" xfId="48101" xr:uid="{3215DA0D-85E7-4565-82BE-9926B6D9DE25}"/>
    <cellStyle name="Comma 17 7 3" xfId="29847" xr:uid="{075B7857-3A9B-44D0-AD04-A34859160DF0}"/>
    <cellStyle name="Comma 17 8" xfId="7943" xr:uid="{DCE0E49A-7DB0-431D-918E-178C25C8FC0D}"/>
    <cellStyle name="Comma 17 8 2" xfId="44451" xr:uid="{28050436-0B04-4BA1-9F67-A7C9E60D6D9D}"/>
    <cellStyle name="Comma 17 8 3" xfId="26197" xr:uid="{3F1F1B3C-7D66-43B3-9587-937F3C0C537E}"/>
    <cellStyle name="Comma 17 9" xfId="4293" xr:uid="{6F66360E-33EF-4064-8295-63046C93997B}"/>
    <cellStyle name="Comma 17 9 2" xfId="40801" xr:uid="{949275A7-ADDB-405F-AF0F-74BCA87BF61E}"/>
    <cellStyle name="Comma 17 9 3" xfId="22547" xr:uid="{7AFF9070-6544-490A-B962-DEDF5FCAF60E}"/>
    <cellStyle name="Comma 18" xfId="747" xr:uid="{6CD1D3CB-EA94-4F37-AD1D-425FBE94D58E}"/>
    <cellStyle name="Comma 18 10" xfId="37255" xr:uid="{DB5F4973-EA11-48B3-AD56-41CC5AC57D7D}"/>
    <cellStyle name="Comma 18 11" xfId="19001" xr:uid="{C8EFB6CF-3D9B-4239-A3DE-666D5C264429}"/>
    <cellStyle name="Comma 18 2" xfId="3667" xr:uid="{0680C4D9-CA3E-4008-8FE3-2B28C307B4FE}"/>
    <cellStyle name="Comma 18 2 2" xfId="18267" xr:uid="{C822D68A-7367-4F72-BDFF-BAC3778D0C04}"/>
    <cellStyle name="Comma 18 2 2 2" xfId="54775" xr:uid="{ADF7277D-2AF9-441E-A58E-01A1ACD75517}"/>
    <cellStyle name="Comma 18 2 2 3" xfId="36521" xr:uid="{107D9C7F-65A5-4E7D-A025-29C5CBCDEF5A}"/>
    <cellStyle name="Comma 18 2 3" xfId="14617" xr:uid="{0DD44A3C-9E2E-46D1-9B39-ACF59777D5E3}"/>
    <cellStyle name="Comma 18 2 3 2" xfId="51125" xr:uid="{ACD679DC-C198-45FD-A06D-6462167C832B}"/>
    <cellStyle name="Comma 18 2 3 3" xfId="32871" xr:uid="{7332D784-32B3-42AE-9708-C7540124D850}"/>
    <cellStyle name="Comma 18 2 4" xfId="10967" xr:uid="{A31AED35-7C13-4F21-89E9-9867B40BAE5F}"/>
    <cellStyle name="Comma 18 2 4 2" xfId="47475" xr:uid="{66013883-0509-472D-9108-E5D6F5C78F43}"/>
    <cellStyle name="Comma 18 2 4 3" xfId="29221" xr:uid="{C46202A8-113B-45AD-9173-5E6449149C01}"/>
    <cellStyle name="Comma 18 2 5" xfId="7317" xr:uid="{9132E621-1125-4A6D-81CF-84A43D326997}"/>
    <cellStyle name="Comma 18 2 5 2" xfId="43825" xr:uid="{A5417BF4-59E3-4097-9A5F-3C0E8B629193}"/>
    <cellStyle name="Comma 18 2 5 3" xfId="25571" xr:uid="{242947F4-B032-4460-A328-6C90C61B6B93}"/>
    <cellStyle name="Comma 18 2 6" xfId="40175" xr:uid="{0D999EDF-A699-4498-A590-3B2C0C659836}"/>
    <cellStyle name="Comma 18 2 7" xfId="21921" xr:uid="{7C4BEB16-E042-4FEC-A8D2-053B05E92C97}"/>
    <cellStyle name="Comma 18 3" xfId="2937" xr:uid="{A1A09560-C6F2-423D-9FFD-97B83EF60493}"/>
    <cellStyle name="Comma 18 3 2" xfId="17537" xr:uid="{9C70C70F-3757-47A4-BDA8-CEE1DAD6FA8F}"/>
    <cellStyle name="Comma 18 3 2 2" xfId="54045" xr:uid="{0C861D5B-B8F9-44A5-9C69-F8CEC3AAD5B9}"/>
    <cellStyle name="Comma 18 3 2 3" xfId="35791" xr:uid="{A3030B24-9C2C-491A-987D-3198D8A5A1C0}"/>
    <cellStyle name="Comma 18 3 3" xfId="13887" xr:uid="{E37FC81A-A58F-4270-8EAC-95997A61EB65}"/>
    <cellStyle name="Comma 18 3 3 2" xfId="50395" xr:uid="{40BC431A-BEAE-4CBE-834B-FFD053281108}"/>
    <cellStyle name="Comma 18 3 3 3" xfId="32141" xr:uid="{D950C77A-65C3-4960-ADF3-2A3ADEF4676A}"/>
    <cellStyle name="Comma 18 3 4" xfId="10237" xr:uid="{6FB8497F-A986-4C38-B532-2A84E1EDD547}"/>
    <cellStyle name="Comma 18 3 4 2" xfId="46745" xr:uid="{CA42F72C-B9F1-4333-898B-6113694EC577}"/>
    <cellStyle name="Comma 18 3 4 3" xfId="28491" xr:uid="{F15D2D70-76FC-456B-BA45-9B47AAA082E2}"/>
    <cellStyle name="Comma 18 3 5" xfId="6587" xr:uid="{3CC7A9A6-FD2C-4F6D-8763-99DA202201A7}"/>
    <cellStyle name="Comma 18 3 5 2" xfId="43095" xr:uid="{06FA3A6C-447F-44AF-BAAE-EB1C4E7A7F59}"/>
    <cellStyle name="Comma 18 3 5 3" xfId="24841" xr:uid="{231FB47F-9A92-414F-ADEC-A6896427FFCD}"/>
    <cellStyle name="Comma 18 3 6" xfId="39445" xr:uid="{0B9C6D37-7DF9-4E0C-94DF-71A5F8AE20B0}"/>
    <cellStyle name="Comma 18 3 7" xfId="21191" xr:uid="{C3578232-AE1E-4805-BB9A-F34E134FE2F0}"/>
    <cellStyle name="Comma 18 4" xfId="2207" xr:uid="{E431B63C-B634-45E8-9C76-DCFDB4492633}"/>
    <cellStyle name="Comma 18 4 2" xfId="16807" xr:uid="{637A40DB-05A1-4F51-8567-835D3131913E}"/>
    <cellStyle name="Comma 18 4 2 2" xfId="53315" xr:uid="{BD8B17A7-BE37-4281-B9C6-63DFFA0E1F17}"/>
    <cellStyle name="Comma 18 4 2 3" xfId="35061" xr:uid="{99DE8314-E442-4FD9-A04E-4C84D7DA1F49}"/>
    <cellStyle name="Comma 18 4 3" xfId="13157" xr:uid="{F69ED28B-76BF-4B91-A339-4D193821E525}"/>
    <cellStyle name="Comma 18 4 3 2" xfId="49665" xr:uid="{CAB06D46-003D-41AE-88AC-D723E038A1FE}"/>
    <cellStyle name="Comma 18 4 3 3" xfId="31411" xr:uid="{576E2495-C15C-4FEC-9039-288ECF0DA216}"/>
    <cellStyle name="Comma 18 4 4" xfId="9507" xr:uid="{4B8A0C71-0B2D-4AF6-AACB-B40EB957D23E}"/>
    <cellStyle name="Comma 18 4 4 2" xfId="46015" xr:uid="{F7A788F6-D119-42E4-95AD-18A90ED2D081}"/>
    <cellStyle name="Comma 18 4 4 3" xfId="27761" xr:uid="{4F3EAAF1-2746-4C07-982C-C766D8EA3BAD}"/>
    <cellStyle name="Comma 18 4 5" xfId="5857" xr:uid="{D0C135E8-B31B-428B-AB85-7335408532E8}"/>
    <cellStyle name="Comma 18 4 5 2" xfId="42365" xr:uid="{7B30ADBE-B7E3-49BA-8ECF-AF1F8CF9A83E}"/>
    <cellStyle name="Comma 18 4 5 3" xfId="24111" xr:uid="{2DFBDCB1-6D3B-4249-8BA1-772B490A736D}"/>
    <cellStyle name="Comma 18 4 6" xfId="38715" xr:uid="{0AE7870C-7782-4D34-A9F9-916DB3F2CF5F}"/>
    <cellStyle name="Comma 18 4 7" xfId="20461" xr:uid="{622C1D83-197A-402B-A19D-199F8802E7D3}"/>
    <cellStyle name="Comma 18 5" xfId="1477" xr:uid="{56AB2281-98E8-4800-B2E0-CDBC5488CCF8}"/>
    <cellStyle name="Comma 18 5 2" xfId="16077" xr:uid="{138F9FD2-1BB5-4A6D-A5DB-B2FCEE7DDC59}"/>
    <cellStyle name="Comma 18 5 2 2" xfId="52585" xr:uid="{798BABD0-3FE2-442F-9418-FCBAB3FEC974}"/>
    <cellStyle name="Comma 18 5 2 3" xfId="34331" xr:uid="{A392889C-286B-456C-95A9-B7DFB49B9B4B}"/>
    <cellStyle name="Comma 18 5 3" xfId="12427" xr:uid="{6E5133F8-031D-4E38-ADAC-3E1749387DFB}"/>
    <cellStyle name="Comma 18 5 3 2" xfId="48935" xr:uid="{8B3129A1-CBEC-4539-869B-E94E330554C7}"/>
    <cellStyle name="Comma 18 5 3 3" xfId="30681" xr:uid="{EA2D8FC1-C1AD-4962-9F02-AD18E0FC4DB8}"/>
    <cellStyle name="Comma 18 5 4" xfId="8777" xr:uid="{6C33A523-4AA2-49DF-BB90-DEA3A10912ED}"/>
    <cellStyle name="Comma 18 5 4 2" xfId="45285" xr:uid="{1683D982-5B53-4A44-957D-929A0434E799}"/>
    <cellStyle name="Comma 18 5 4 3" xfId="27031" xr:uid="{3716630A-4407-4DD3-B591-369DBE34D749}"/>
    <cellStyle name="Comma 18 5 5" xfId="5127" xr:uid="{B33C845D-5CF5-4EDC-830E-40E1CD3D1CD8}"/>
    <cellStyle name="Comma 18 5 5 2" xfId="41635" xr:uid="{969940F9-F588-4817-80DA-5E34AC651E62}"/>
    <cellStyle name="Comma 18 5 5 3" xfId="23381" xr:uid="{8FE25DE2-95C5-4AAD-A499-3BBC5539AE43}"/>
    <cellStyle name="Comma 18 5 6" xfId="37985" xr:uid="{82929D78-41D5-4F2D-BE15-BAE89604D3DF}"/>
    <cellStyle name="Comma 18 5 7" xfId="19731" xr:uid="{D9AB8511-521D-4229-8BFA-505035201F09}"/>
    <cellStyle name="Comma 18 6" xfId="15347" xr:uid="{6F4A8BEE-BF85-4792-BAB6-8A9419A103C2}"/>
    <cellStyle name="Comma 18 6 2" xfId="51855" xr:uid="{8127BEB4-A9CF-450B-AE12-3FA20BDD7EF1}"/>
    <cellStyle name="Comma 18 6 3" xfId="33601" xr:uid="{3169F1D3-5639-4521-8A28-43B81D05B944}"/>
    <cellStyle name="Comma 18 7" xfId="11697" xr:uid="{7AECA109-7B56-4D77-8929-1BC7B14B97D8}"/>
    <cellStyle name="Comma 18 7 2" xfId="48205" xr:uid="{5058DB6B-DCEF-47E3-8BA3-CEA7EF0D1C95}"/>
    <cellStyle name="Comma 18 7 3" xfId="29951" xr:uid="{41AB72AD-271E-479D-9E47-0D893D00A5B9}"/>
    <cellStyle name="Comma 18 8" xfId="8047" xr:uid="{526FAB9D-A9F6-491B-B210-D297E4298340}"/>
    <cellStyle name="Comma 18 8 2" xfId="44555" xr:uid="{050453C1-DB33-4821-8A98-F122390F65D0}"/>
    <cellStyle name="Comma 18 8 3" xfId="26301" xr:uid="{96DE1064-C964-4BF9-A841-AABBF4A7C344}"/>
    <cellStyle name="Comma 18 9" xfId="4397" xr:uid="{03157568-57B9-43F6-B927-4210F4093E69}"/>
    <cellStyle name="Comma 18 9 2" xfId="40905" xr:uid="{E46579B1-43EE-433D-857A-8C78EED227F9}"/>
    <cellStyle name="Comma 18 9 3" xfId="22651" xr:uid="{35139363-C610-46D9-8026-4DB129090949}"/>
    <cellStyle name="Comma 19" xfId="748" xr:uid="{F935CAA1-882F-4F69-A4A5-271ABB84D9F6}"/>
    <cellStyle name="Comma 19 10" xfId="37256" xr:uid="{DF85A4B7-E14C-4320-89BF-DD4179370D09}"/>
    <cellStyle name="Comma 19 11" xfId="19002" xr:uid="{066DA882-4306-464C-B5DD-E76B18454C1A}"/>
    <cellStyle name="Comma 19 2" xfId="3668" xr:uid="{B9A7C24E-D776-4D13-A890-7218C62E259D}"/>
    <cellStyle name="Comma 19 2 2" xfId="18268" xr:uid="{CEC1ED4F-F602-4560-8236-1BA1A3323122}"/>
    <cellStyle name="Comma 19 2 2 2" xfId="54776" xr:uid="{670F3E1F-9E2C-4A10-8C03-BFA1F6DDC4B0}"/>
    <cellStyle name="Comma 19 2 2 3" xfId="36522" xr:uid="{FC49763F-27BE-4DA0-90B5-6147627EBFEA}"/>
    <cellStyle name="Comma 19 2 3" xfId="14618" xr:uid="{982A2B97-42ED-42D8-A282-197F2D2D13B2}"/>
    <cellStyle name="Comma 19 2 3 2" xfId="51126" xr:uid="{5BC50A72-FE47-4F12-9715-6569C14F2164}"/>
    <cellStyle name="Comma 19 2 3 3" xfId="32872" xr:uid="{BD37812E-E41C-411E-8344-A4E58B0ADF28}"/>
    <cellStyle name="Comma 19 2 4" xfId="10968" xr:uid="{983FC63F-748F-4B99-93A6-2BBEF6606B42}"/>
    <cellStyle name="Comma 19 2 4 2" xfId="47476" xr:uid="{BCE0B9FB-E6C5-4698-8EBA-3F988ACF852C}"/>
    <cellStyle name="Comma 19 2 4 3" xfId="29222" xr:uid="{4F24D412-963D-42B4-9C1F-1A6662FB06D6}"/>
    <cellStyle name="Comma 19 2 5" xfId="7318" xr:uid="{04E145DB-42D6-491A-B7C4-FBA7116545C2}"/>
    <cellStyle name="Comma 19 2 5 2" xfId="43826" xr:uid="{D1F382E4-267F-49C9-A826-39A5D2478C28}"/>
    <cellStyle name="Comma 19 2 5 3" xfId="25572" xr:uid="{8C4EB446-6EFE-4AB3-8537-A74CCA65443E}"/>
    <cellStyle name="Comma 19 2 6" xfId="40176" xr:uid="{64078338-166D-40E0-B472-E42FD5D493C9}"/>
    <cellStyle name="Comma 19 2 7" xfId="21922" xr:uid="{24FF2DF2-3979-4DE7-A855-42E66BDADB31}"/>
    <cellStyle name="Comma 19 3" xfId="2938" xr:uid="{DDCFC8AD-C79F-402D-8FB9-6DE0E0A2F0C3}"/>
    <cellStyle name="Comma 19 3 2" xfId="17538" xr:uid="{ED7D090C-3DFB-4F3E-92AF-38181F340050}"/>
    <cellStyle name="Comma 19 3 2 2" xfId="54046" xr:uid="{FD7B399A-BE5A-4D8F-9810-7108D6A7FD7C}"/>
    <cellStyle name="Comma 19 3 2 3" xfId="35792" xr:uid="{F7AED73A-08BE-41C7-953C-6ED75984F18F}"/>
    <cellStyle name="Comma 19 3 3" xfId="13888" xr:uid="{3DB038BE-6EA4-4907-9D90-2A10B831AF33}"/>
    <cellStyle name="Comma 19 3 3 2" xfId="50396" xr:uid="{A03AC4FB-17B5-4FE5-A87E-33427CC48DF2}"/>
    <cellStyle name="Comma 19 3 3 3" xfId="32142" xr:uid="{B233CDC1-B785-4C34-9390-C149B7E35DA5}"/>
    <cellStyle name="Comma 19 3 4" xfId="10238" xr:uid="{EED55292-54E9-4E1E-B367-9BB132DE65EF}"/>
    <cellStyle name="Comma 19 3 4 2" xfId="46746" xr:uid="{06C0954F-645E-4ABD-B325-0DDAD8C1BA6D}"/>
    <cellStyle name="Comma 19 3 4 3" xfId="28492" xr:uid="{09A17F60-E52A-424F-A55D-48A1C1721DF1}"/>
    <cellStyle name="Comma 19 3 5" xfId="6588" xr:uid="{7DDAF0A8-7F61-4F6B-BE13-DB36CBC18B77}"/>
    <cellStyle name="Comma 19 3 5 2" xfId="43096" xr:uid="{226C3A10-830A-4D36-B6BE-30A41B9A9A16}"/>
    <cellStyle name="Comma 19 3 5 3" xfId="24842" xr:uid="{18EBEDAD-8443-4B18-ADF0-4CBC5EE9EE11}"/>
    <cellStyle name="Comma 19 3 6" xfId="39446" xr:uid="{CE9F84C6-EE14-47F1-96D6-10CA41C8D716}"/>
    <cellStyle name="Comma 19 3 7" xfId="21192" xr:uid="{D3EE9D6B-EE73-432E-91C8-799010A26D6D}"/>
    <cellStyle name="Comma 19 4" xfId="2208" xr:uid="{53023B28-2E3D-4894-B91E-F5AA632499F7}"/>
    <cellStyle name="Comma 19 4 2" xfId="16808" xr:uid="{2E12A84E-C19A-4F38-BC3E-E38958E8F33F}"/>
    <cellStyle name="Comma 19 4 2 2" xfId="53316" xr:uid="{159D114F-DE15-49F8-A750-7C967870ABD7}"/>
    <cellStyle name="Comma 19 4 2 3" xfId="35062" xr:uid="{73B26F27-2929-4EE8-88B7-93F2CD0A46E7}"/>
    <cellStyle name="Comma 19 4 3" xfId="13158" xr:uid="{0A14E164-3921-4278-BA7B-1FEB2E15E72F}"/>
    <cellStyle name="Comma 19 4 3 2" xfId="49666" xr:uid="{D2D3CD03-D985-48E7-A1C1-E08E4163F7C8}"/>
    <cellStyle name="Comma 19 4 3 3" xfId="31412" xr:uid="{51C72582-6AF8-4A36-B6DA-CEA0CB067A5D}"/>
    <cellStyle name="Comma 19 4 4" xfId="9508" xr:uid="{01D42E33-87FF-444D-B65F-7F7B10B73F28}"/>
    <cellStyle name="Comma 19 4 4 2" xfId="46016" xr:uid="{8CA70FEC-11CD-4571-9DC8-94D4D17FA433}"/>
    <cellStyle name="Comma 19 4 4 3" xfId="27762" xr:uid="{C7E9CE9F-84ED-4B40-8516-BA6B10DEA21A}"/>
    <cellStyle name="Comma 19 4 5" xfId="5858" xr:uid="{006677A5-94C3-4932-B3DE-EC502FB30024}"/>
    <cellStyle name="Comma 19 4 5 2" xfId="42366" xr:uid="{BC04A6A5-8DCD-444E-9D57-BBE62C192A56}"/>
    <cellStyle name="Comma 19 4 5 3" xfId="24112" xr:uid="{E982C61C-7034-4337-A164-E5FE0BF57788}"/>
    <cellStyle name="Comma 19 4 6" xfId="38716" xr:uid="{BD1B494B-DABE-4EC2-8DB5-4A86F5827671}"/>
    <cellStyle name="Comma 19 4 7" xfId="20462" xr:uid="{D23364AF-8ECF-470A-A9B0-607C0E2BE6CD}"/>
    <cellStyle name="Comma 19 5" xfId="1478" xr:uid="{28B62196-D05E-4A8F-8ADF-EE8673DE296A}"/>
    <cellStyle name="Comma 19 5 2" xfId="16078" xr:uid="{45693E09-22A3-4116-93C4-53558227317E}"/>
    <cellStyle name="Comma 19 5 2 2" xfId="52586" xr:uid="{64F79298-1009-4987-8381-575D43D48234}"/>
    <cellStyle name="Comma 19 5 2 3" xfId="34332" xr:uid="{A40B2C14-5787-4758-A022-05D8FAFD657A}"/>
    <cellStyle name="Comma 19 5 3" xfId="12428" xr:uid="{2562219A-A1AE-4841-9A13-9C05C09CB174}"/>
    <cellStyle name="Comma 19 5 3 2" xfId="48936" xr:uid="{CF6B5F85-F290-4A40-862A-299823730AB5}"/>
    <cellStyle name="Comma 19 5 3 3" xfId="30682" xr:uid="{CE3969BC-FE7A-48B0-8EE1-2B1C0FB20C89}"/>
    <cellStyle name="Comma 19 5 4" xfId="8778" xr:uid="{811CB0D1-4F21-4417-AEB5-1DE1B4FDC6C6}"/>
    <cellStyle name="Comma 19 5 4 2" xfId="45286" xr:uid="{FAD7C3E3-E89F-4968-8D46-192614EA45E9}"/>
    <cellStyle name="Comma 19 5 4 3" xfId="27032" xr:uid="{6DCE38E8-9E54-4C83-872D-1243AF10D642}"/>
    <cellStyle name="Comma 19 5 5" xfId="5128" xr:uid="{C67836E1-1073-4F23-BA79-D42BBF1FE98B}"/>
    <cellStyle name="Comma 19 5 5 2" xfId="41636" xr:uid="{C136131E-3098-43F5-BF89-181DFABBA16C}"/>
    <cellStyle name="Comma 19 5 5 3" xfId="23382" xr:uid="{83792739-679C-4D2D-A30E-07F758AF4AFD}"/>
    <cellStyle name="Comma 19 5 6" xfId="37986" xr:uid="{BFCC0F60-F05A-41CF-9914-4F76BBC37953}"/>
    <cellStyle name="Comma 19 5 7" xfId="19732" xr:uid="{2A4A3CA2-BA5E-4221-B08C-C522CF6F8FCF}"/>
    <cellStyle name="Comma 19 6" xfId="15348" xr:uid="{7CA3C051-095C-4F43-AC5C-1B5176A0AFFF}"/>
    <cellStyle name="Comma 19 6 2" xfId="51856" xr:uid="{45F9CEA1-9265-487B-8D58-1554AC6FC263}"/>
    <cellStyle name="Comma 19 6 3" xfId="33602" xr:uid="{CE53BED4-CCEA-4774-8E3B-BB1E9E91EF74}"/>
    <cellStyle name="Comma 19 7" xfId="11698" xr:uid="{69AF7D3C-86F3-463F-B863-B892A8B5D80F}"/>
    <cellStyle name="Comma 19 7 2" xfId="48206" xr:uid="{943B20D7-C24B-4721-B982-22021F676BDE}"/>
    <cellStyle name="Comma 19 7 3" xfId="29952" xr:uid="{043F2E5F-82A7-45DC-849E-AB8172F7139A}"/>
    <cellStyle name="Comma 19 8" xfId="8048" xr:uid="{0FC295F0-A950-42C8-A5A9-0FA3448CA123}"/>
    <cellStyle name="Comma 19 8 2" xfId="44556" xr:uid="{1D7662C2-7EBF-483A-A719-544CEB133AF2}"/>
    <cellStyle name="Comma 19 8 3" xfId="26302" xr:uid="{AE024BC0-EACA-4F72-8FA3-9B4BE899F17B}"/>
    <cellStyle name="Comma 19 9" xfId="4398" xr:uid="{995E6BDB-3E9C-4773-AD73-CD0CD179596F}"/>
    <cellStyle name="Comma 19 9 2" xfId="40906" xr:uid="{95EFFC52-541B-449D-A9EB-EFDF8FC41D05}"/>
    <cellStyle name="Comma 19 9 3" xfId="22652" xr:uid="{6F0910C1-273D-4128-950D-0B9839EEB6FE}"/>
    <cellStyle name="Comma 2" xfId="9" xr:uid="{00000000-0005-0000-0000-000001000000}"/>
    <cellStyle name="Comma 2 10" xfId="436" xr:uid="{CA29BD4E-77BE-4419-A5F6-AB0FD259DA35}"/>
    <cellStyle name="Comma 2 10 10" xfId="36944" xr:uid="{C2228172-B20F-4898-9819-4ED0FA20E4EE}"/>
    <cellStyle name="Comma 2 10 11" xfId="18690" xr:uid="{274DC01C-E18D-4B39-B71C-5D6031189932}"/>
    <cellStyle name="Comma 2 10 2" xfId="3356" xr:uid="{DB9DA0D6-C48E-43D4-BBE8-9A4D26A5B812}"/>
    <cellStyle name="Comma 2 10 2 2" xfId="17956" xr:uid="{C74EA043-AAB6-419F-AF7D-0F1197F29BCF}"/>
    <cellStyle name="Comma 2 10 2 2 2" xfId="54464" xr:uid="{24864342-57DB-4D3F-9D04-7B96321DC577}"/>
    <cellStyle name="Comma 2 10 2 2 3" xfId="36210" xr:uid="{D67190F3-C1D1-41B3-B36F-0530B2001BE3}"/>
    <cellStyle name="Comma 2 10 2 3" xfId="14306" xr:uid="{7133B7D3-6C15-4C06-A952-39B176FDC6EC}"/>
    <cellStyle name="Comma 2 10 2 3 2" xfId="50814" xr:uid="{661BE60C-917B-43C8-877F-1B2AA920F8F7}"/>
    <cellStyle name="Comma 2 10 2 3 3" xfId="32560" xr:uid="{FBE6E75C-83C9-4218-8467-0C1364DC5D3E}"/>
    <cellStyle name="Comma 2 10 2 4" xfId="10656" xr:uid="{4750BE95-ED45-422C-8009-AE4DC3AF9F0E}"/>
    <cellStyle name="Comma 2 10 2 4 2" xfId="47164" xr:uid="{D8AAF28D-2BBF-438C-86B3-4B2F7E03521E}"/>
    <cellStyle name="Comma 2 10 2 4 3" xfId="28910" xr:uid="{BDF18522-DE84-4A6E-B53B-35786D5DC640}"/>
    <cellStyle name="Comma 2 10 2 5" xfId="7006" xr:uid="{77BF32FE-CEDA-4FA0-837C-E154AB367D06}"/>
    <cellStyle name="Comma 2 10 2 5 2" xfId="43514" xr:uid="{3BCD3FCB-3B78-4278-835D-BCFAADA6E25F}"/>
    <cellStyle name="Comma 2 10 2 5 3" xfId="25260" xr:uid="{66DC4B71-B082-4F28-AA99-E5A8C0EAAC21}"/>
    <cellStyle name="Comma 2 10 2 6" xfId="39864" xr:uid="{4EFEC297-47AE-42E4-BBBA-F10C51CD436F}"/>
    <cellStyle name="Comma 2 10 2 7" xfId="21610" xr:uid="{7B4A41F1-166F-4715-8B7B-D0A8605B04DB}"/>
    <cellStyle name="Comma 2 10 3" xfId="2626" xr:uid="{5E2A4113-7E31-4647-8A2C-FB90DCBA5DEA}"/>
    <cellStyle name="Comma 2 10 3 2" xfId="17226" xr:uid="{8344D90E-69DF-4E22-A043-7AFE3E5F11ED}"/>
    <cellStyle name="Comma 2 10 3 2 2" xfId="53734" xr:uid="{F44E5B8F-E619-4A8F-AF48-8CC968A800B7}"/>
    <cellStyle name="Comma 2 10 3 2 3" xfId="35480" xr:uid="{89F5CE01-81C2-4DE6-A32C-DE17A9C30B09}"/>
    <cellStyle name="Comma 2 10 3 3" xfId="13576" xr:uid="{98BBD571-53F2-4E51-B300-11CA8820D8DB}"/>
    <cellStyle name="Comma 2 10 3 3 2" xfId="50084" xr:uid="{E9DD82A9-5DFE-4567-9FFD-3264B07A453A}"/>
    <cellStyle name="Comma 2 10 3 3 3" xfId="31830" xr:uid="{B04B10C6-A201-4E41-8F71-5D2A4AC15505}"/>
    <cellStyle name="Comma 2 10 3 4" xfId="9926" xr:uid="{7223F0ED-BE1D-4224-8363-4B3D75FBF2DC}"/>
    <cellStyle name="Comma 2 10 3 4 2" xfId="46434" xr:uid="{DC7B6674-5E99-42B4-A8D2-0F3F82D42F1F}"/>
    <cellStyle name="Comma 2 10 3 4 3" xfId="28180" xr:uid="{EFC677CF-1446-4B93-84C5-A29509131B55}"/>
    <cellStyle name="Comma 2 10 3 5" xfId="6276" xr:uid="{3EA680EE-4C86-4942-BFCA-0332B695404A}"/>
    <cellStyle name="Comma 2 10 3 5 2" xfId="42784" xr:uid="{7BD0474D-9DD0-4800-B659-93DCF9471A88}"/>
    <cellStyle name="Comma 2 10 3 5 3" xfId="24530" xr:uid="{7EAD8274-FD23-454A-84E4-662ECE67E37B}"/>
    <cellStyle name="Comma 2 10 3 6" xfId="39134" xr:uid="{724402A0-06EE-4E7B-8AC2-14F0FFD85BEF}"/>
    <cellStyle name="Comma 2 10 3 7" xfId="20880" xr:uid="{F7E90F19-EBDC-45E7-9524-8C4923C58ECC}"/>
    <cellStyle name="Comma 2 10 4" xfId="1896" xr:uid="{E96B4F15-48CC-47B8-910F-68FB27DDD70B}"/>
    <cellStyle name="Comma 2 10 4 2" xfId="16496" xr:uid="{CBF78D8E-08BC-46DB-9DAD-CEB6E8E5EEBC}"/>
    <cellStyle name="Comma 2 10 4 2 2" xfId="53004" xr:uid="{15F9C466-54E8-434F-AD4A-72740ED1E9EB}"/>
    <cellStyle name="Comma 2 10 4 2 3" xfId="34750" xr:uid="{6A3BBEEB-A4DE-4930-BA80-36AB60F1CC09}"/>
    <cellStyle name="Comma 2 10 4 3" xfId="12846" xr:uid="{1FDA7770-B382-432A-81E0-43151818847F}"/>
    <cellStyle name="Comma 2 10 4 3 2" xfId="49354" xr:uid="{F8795F3B-E8C6-46E6-ADD9-0E3C071D9DB3}"/>
    <cellStyle name="Comma 2 10 4 3 3" xfId="31100" xr:uid="{A03C9A13-526F-4151-AC79-4F22E690BEF5}"/>
    <cellStyle name="Comma 2 10 4 4" xfId="9196" xr:uid="{049E6E1B-32D8-488F-BCB2-4B70ADCCEB5C}"/>
    <cellStyle name="Comma 2 10 4 4 2" xfId="45704" xr:uid="{AD180F3D-465F-46EB-BD60-353A52FEE974}"/>
    <cellStyle name="Comma 2 10 4 4 3" xfId="27450" xr:uid="{C27047CD-4F99-4C6D-9B9B-E804C99FD4BE}"/>
    <cellStyle name="Comma 2 10 4 5" xfId="5546" xr:uid="{902A1A6F-533A-4115-9B29-F343E0FFA456}"/>
    <cellStyle name="Comma 2 10 4 5 2" xfId="42054" xr:uid="{1422B03A-FA3E-4372-97B9-BD427DF566BE}"/>
    <cellStyle name="Comma 2 10 4 5 3" xfId="23800" xr:uid="{DE79A87C-DF00-43A8-8C18-724E479E622D}"/>
    <cellStyle name="Comma 2 10 4 6" xfId="38404" xr:uid="{BF869CB1-B92F-477C-855B-9AD9C2BFAB00}"/>
    <cellStyle name="Comma 2 10 4 7" xfId="20150" xr:uid="{C37046A8-2759-4A44-B1B4-4E245B989E78}"/>
    <cellStyle name="Comma 2 10 5" xfId="1166" xr:uid="{995DED6C-010F-4BA9-B841-9D79F3FDD76C}"/>
    <cellStyle name="Comma 2 10 5 2" xfId="15766" xr:uid="{65685A88-AF22-4CC1-BDFF-3CDE6BA66C70}"/>
    <cellStyle name="Comma 2 10 5 2 2" xfId="52274" xr:uid="{B18DC6C5-5785-45FE-B79A-A740FA564FE1}"/>
    <cellStyle name="Comma 2 10 5 2 3" xfId="34020" xr:uid="{D21EA856-340B-4316-8D11-B5FC336942A0}"/>
    <cellStyle name="Comma 2 10 5 3" xfId="12116" xr:uid="{F225056F-49EB-4DE8-B587-C53940F2E04F}"/>
    <cellStyle name="Comma 2 10 5 3 2" xfId="48624" xr:uid="{D4F0DE1C-35E2-42E7-B9F8-24BB13B13C9B}"/>
    <cellStyle name="Comma 2 10 5 3 3" xfId="30370" xr:uid="{3D2DC4A0-CEF0-4156-AE36-0719EA125EC3}"/>
    <cellStyle name="Comma 2 10 5 4" xfId="8466" xr:uid="{A5A0F71A-109D-439F-BF05-91E8CD0923CE}"/>
    <cellStyle name="Comma 2 10 5 4 2" xfId="44974" xr:uid="{E245E70D-DB1D-4577-A8E5-B1F9827D7F22}"/>
    <cellStyle name="Comma 2 10 5 4 3" xfId="26720" xr:uid="{D50EB33A-813F-4529-BDAB-553E31363D23}"/>
    <cellStyle name="Comma 2 10 5 5" xfId="4816" xr:uid="{9AD62732-3A09-47DE-848E-6B27DA1B7700}"/>
    <cellStyle name="Comma 2 10 5 5 2" xfId="41324" xr:uid="{BCABE44F-6B6A-4F9A-B67A-A538CBA452D7}"/>
    <cellStyle name="Comma 2 10 5 5 3" xfId="23070" xr:uid="{E75F0D59-FC33-488C-B513-32C92ADB41EF}"/>
    <cellStyle name="Comma 2 10 5 6" xfId="37674" xr:uid="{327C3B9A-3D42-432A-B891-BBFCC38E0454}"/>
    <cellStyle name="Comma 2 10 5 7" xfId="19420" xr:uid="{B4DF2E16-1359-4A65-85C0-3F37763E98AA}"/>
    <cellStyle name="Comma 2 10 6" xfId="15036" xr:uid="{2F112FF4-0ACC-4CBE-AC9A-DA3B9F795B00}"/>
    <cellStyle name="Comma 2 10 6 2" xfId="51544" xr:uid="{141037A6-669F-400E-8225-B2418C6B2759}"/>
    <cellStyle name="Comma 2 10 6 3" xfId="33290" xr:uid="{496E8DC4-546B-46A9-864B-828CDB4B0C42}"/>
    <cellStyle name="Comma 2 10 7" xfId="11386" xr:uid="{4D1C5EAD-2CBF-438A-A297-C8FFFD6DBF34}"/>
    <cellStyle name="Comma 2 10 7 2" xfId="47894" xr:uid="{330FDADE-1D46-4CD0-9EEA-DBC96991416D}"/>
    <cellStyle name="Comma 2 10 7 3" xfId="29640" xr:uid="{4FFDA514-831D-4933-9462-B8665B66957C}"/>
    <cellStyle name="Comma 2 10 8" xfId="7736" xr:uid="{9F0D14A3-D13E-4E6A-8B5C-A19D88DA67CB}"/>
    <cellStyle name="Comma 2 10 8 2" xfId="44244" xr:uid="{D0ACE603-F1E5-43EE-867A-8DB8C7989F91}"/>
    <cellStyle name="Comma 2 10 8 3" xfId="25990" xr:uid="{0EE4AA54-7347-408C-BA22-54D2B22B3111}"/>
    <cellStyle name="Comma 2 10 9" xfId="4086" xr:uid="{7FA2FF49-101A-4511-BC28-6AA6E1ADDA5D}"/>
    <cellStyle name="Comma 2 10 9 2" xfId="40594" xr:uid="{73D0F2FD-2947-4E98-9854-6AA160E8B6BD}"/>
    <cellStyle name="Comma 2 10 9 3" xfId="22340" xr:uid="{FE566214-945A-440B-8E27-79F5D24E3947}"/>
    <cellStyle name="Comma 2 11" xfId="332" xr:uid="{517A3FF1-F4DF-450D-A9E4-202878D93B94}"/>
    <cellStyle name="Comma 2 11 10" xfId="36840" xr:uid="{B500FC0E-A8B2-460E-B781-757B23B49161}"/>
    <cellStyle name="Comma 2 11 11" xfId="18586" xr:uid="{285FB046-FB87-4587-9013-EA614674FB27}"/>
    <cellStyle name="Comma 2 11 2" xfId="3252" xr:uid="{6091AD6A-DA26-4E9E-973A-E197C7B4D726}"/>
    <cellStyle name="Comma 2 11 2 2" xfId="17852" xr:uid="{533A084D-8D8D-499D-978A-DF3060DB60EE}"/>
    <cellStyle name="Comma 2 11 2 2 2" xfId="54360" xr:uid="{EE084755-F6C5-41E0-B9F2-D0395D168857}"/>
    <cellStyle name="Comma 2 11 2 2 3" xfId="36106" xr:uid="{402F1374-F195-4C51-8E5D-5AC715D0C3DE}"/>
    <cellStyle name="Comma 2 11 2 3" xfId="14202" xr:uid="{E95CB451-11DC-4D99-83A5-9F1DE0978BE0}"/>
    <cellStyle name="Comma 2 11 2 3 2" xfId="50710" xr:uid="{AD15BEDF-91AF-42BB-B14A-95A3FF7776D7}"/>
    <cellStyle name="Comma 2 11 2 3 3" xfId="32456" xr:uid="{DEF477A9-7F70-4C90-9A8A-ADD9F7A9528A}"/>
    <cellStyle name="Comma 2 11 2 4" xfId="10552" xr:uid="{74D9F1F1-5071-4E1E-A15E-BA5F9A2B15AE}"/>
    <cellStyle name="Comma 2 11 2 4 2" xfId="47060" xr:uid="{E66A43A5-1675-4710-9442-53EAC55940F6}"/>
    <cellStyle name="Comma 2 11 2 4 3" xfId="28806" xr:uid="{75E3EB05-DF68-4957-8319-110F925D9768}"/>
    <cellStyle name="Comma 2 11 2 5" xfId="6902" xr:uid="{365222AC-007A-4713-A4EF-1E0D0568CF63}"/>
    <cellStyle name="Comma 2 11 2 5 2" xfId="43410" xr:uid="{0A4C0783-C310-4945-A133-1633351E7788}"/>
    <cellStyle name="Comma 2 11 2 5 3" xfId="25156" xr:uid="{1563323C-9ECA-4871-9F2D-017B96DFEFB8}"/>
    <cellStyle name="Comma 2 11 2 6" xfId="39760" xr:uid="{D712E208-6DBA-4AE1-9499-8644A13B9C9F}"/>
    <cellStyle name="Comma 2 11 2 7" xfId="21506" xr:uid="{779F9402-A4DA-4310-A415-4AE2D83697BA}"/>
    <cellStyle name="Comma 2 11 3" xfId="2522" xr:uid="{8F198747-6BA5-4936-AA5C-608A432AA218}"/>
    <cellStyle name="Comma 2 11 3 2" xfId="17122" xr:uid="{C71A7053-BD6A-437B-9919-69F576D9EB03}"/>
    <cellStyle name="Comma 2 11 3 2 2" xfId="53630" xr:uid="{B068B3A4-EE10-4D7E-B550-631A4A3525A4}"/>
    <cellStyle name="Comma 2 11 3 2 3" xfId="35376" xr:uid="{B26BF5F7-BCB2-4B56-B6BC-6AB7A37C3DDE}"/>
    <cellStyle name="Comma 2 11 3 3" xfId="13472" xr:uid="{39E27B1A-4CAD-49C8-853E-586FE45A1E26}"/>
    <cellStyle name="Comma 2 11 3 3 2" xfId="49980" xr:uid="{05E81761-439D-48C0-A996-DBAFE9C182FA}"/>
    <cellStyle name="Comma 2 11 3 3 3" xfId="31726" xr:uid="{8AB248FE-A16A-4639-ACAC-FC938CABA39B}"/>
    <cellStyle name="Comma 2 11 3 4" xfId="9822" xr:uid="{1D7EA63D-31B4-4FD9-9170-3B44E311373E}"/>
    <cellStyle name="Comma 2 11 3 4 2" xfId="46330" xr:uid="{6A11F631-91DF-4300-9732-F6A3B355A776}"/>
    <cellStyle name="Comma 2 11 3 4 3" xfId="28076" xr:uid="{53D4D64C-BB21-4086-890E-B206893D3350}"/>
    <cellStyle name="Comma 2 11 3 5" xfId="6172" xr:uid="{E8CA4A25-264B-4452-840F-BD1CCA175C5D}"/>
    <cellStyle name="Comma 2 11 3 5 2" xfId="42680" xr:uid="{8607E5E7-200E-4C7A-8FC8-33F7DD6CA656}"/>
    <cellStyle name="Comma 2 11 3 5 3" xfId="24426" xr:uid="{C750AD2D-7D7A-43AF-A9EB-1213ACAA0233}"/>
    <cellStyle name="Comma 2 11 3 6" xfId="39030" xr:uid="{41C7BBDC-D35D-4CCE-B4B7-1A362DEA3BCB}"/>
    <cellStyle name="Comma 2 11 3 7" xfId="20776" xr:uid="{8AC9CFB2-7C40-4307-B79C-CAD71FC34CCA}"/>
    <cellStyle name="Comma 2 11 4" xfId="1792" xr:uid="{25CB46F7-DF29-48CA-9E03-B06F251C1B7C}"/>
    <cellStyle name="Comma 2 11 4 2" xfId="16392" xr:uid="{D43F1664-ACB0-4AD6-8511-95D8CD1CC3B3}"/>
    <cellStyle name="Comma 2 11 4 2 2" xfId="52900" xr:uid="{647551E6-9398-4C65-B90E-739C6111DAB5}"/>
    <cellStyle name="Comma 2 11 4 2 3" xfId="34646" xr:uid="{95DB2C11-B19D-4EFB-8051-7AF6FEB273C1}"/>
    <cellStyle name="Comma 2 11 4 3" xfId="12742" xr:uid="{5A247389-7472-47A2-9629-4182E714A01F}"/>
    <cellStyle name="Comma 2 11 4 3 2" xfId="49250" xr:uid="{1E7BD85F-9EA5-4FF0-A8B5-4AA32AAD3812}"/>
    <cellStyle name="Comma 2 11 4 3 3" xfId="30996" xr:uid="{7D5D0F8C-A120-4090-A7D8-F9B95DE0894D}"/>
    <cellStyle name="Comma 2 11 4 4" xfId="9092" xr:uid="{4F48DB28-A4C9-4124-9351-5CB62130B60E}"/>
    <cellStyle name="Comma 2 11 4 4 2" xfId="45600" xr:uid="{A043F8F3-E27D-4E26-B1FD-510AE1D3ABFC}"/>
    <cellStyle name="Comma 2 11 4 4 3" xfId="27346" xr:uid="{FE9434AA-A48E-4E70-AF3A-A26034D7F1C4}"/>
    <cellStyle name="Comma 2 11 4 5" xfId="5442" xr:uid="{AB28B954-CEA3-47F8-A938-6C6AA5E3C6EB}"/>
    <cellStyle name="Comma 2 11 4 5 2" xfId="41950" xr:uid="{14628AB8-E7D1-4BCF-B342-525A4BE9FA04}"/>
    <cellStyle name="Comma 2 11 4 5 3" xfId="23696" xr:uid="{4491F0A4-9B24-41CE-9345-A1FA7C4905D1}"/>
    <cellStyle name="Comma 2 11 4 6" xfId="38300" xr:uid="{F3672551-8BEC-4913-87D4-751C0375BBEE}"/>
    <cellStyle name="Comma 2 11 4 7" xfId="20046" xr:uid="{573DC56A-7C81-4283-8C37-FD9CA7D4ACC4}"/>
    <cellStyle name="Comma 2 11 5" xfId="1062" xr:uid="{064FF09E-8D9B-41F9-A245-C80DFF344335}"/>
    <cellStyle name="Comma 2 11 5 2" xfId="15662" xr:uid="{587ECF0C-86EA-4BBF-AA5F-8A9919BB6FFA}"/>
    <cellStyle name="Comma 2 11 5 2 2" xfId="52170" xr:uid="{347348E7-D666-46CA-818A-C5AA50D56101}"/>
    <cellStyle name="Comma 2 11 5 2 3" xfId="33916" xr:uid="{30C39A46-8C81-4681-BA59-9BABCEED74B5}"/>
    <cellStyle name="Comma 2 11 5 3" xfId="12012" xr:uid="{A85BD55E-D935-4FEB-B670-09CDA46BF39E}"/>
    <cellStyle name="Comma 2 11 5 3 2" xfId="48520" xr:uid="{E6B5E632-74B0-43D2-A1C0-8226D7D824EE}"/>
    <cellStyle name="Comma 2 11 5 3 3" xfId="30266" xr:uid="{3DA4203C-0BFA-4D45-81E4-FB263427EB40}"/>
    <cellStyle name="Comma 2 11 5 4" xfId="8362" xr:uid="{ADB9FEEE-ADF8-444A-A53D-3AE32E0F00DD}"/>
    <cellStyle name="Comma 2 11 5 4 2" xfId="44870" xr:uid="{4C977C29-7EF3-4D9F-8492-FC7CE388A832}"/>
    <cellStyle name="Comma 2 11 5 4 3" xfId="26616" xr:uid="{103F42FD-122F-4969-AEEF-EBD01A45115F}"/>
    <cellStyle name="Comma 2 11 5 5" xfId="4712" xr:uid="{B0BCC2B4-F620-477C-B6F5-5DD125A51EBD}"/>
    <cellStyle name="Comma 2 11 5 5 2" xfId="41220" xr:uid="{8C6C82CE-CEDD-41CC-B356-A6B81BCFC7C8}"/>
    <cellStyle name="Comma 2 11 5 5 3" xfId="22966" xr:uid="{CF9468DD-305B-4F8F-948A-FDD38220B2BC}"/>
    <cellStyle name="Comma 2 11 5 6" xfId="37570" xr:uid="{D82488AF-A17E-4921-8B1B-C78D3FF29C37}"/>
    <cellStyle name="Comma 2 11 5 7" xfId="19316" xr:uid="{11AFBA1E-00C8-4594-B1DC-E11CB620F14E}"/>
    <cellStyle name="Comma 2 11 6" xfId="14932" xr:uid="{65A12E54-4D41-4A0A-9542-78B7F7C8553E}"/>
    <cellStyle name="Comma 2 11 6 2" xfId="51440" xr:uid="{7FA3B9B9-F6A3-44E0-859B-2CB5D8637024}"/>
    <cellStyle name="Comma 2 11 6 3" xfId="33186" xr:uid="{28F69E21-7946-4496-929A-D1E5469ABE16}"/>
    <cellStyle name="Comma 2 11 7" xfId="11282" xr:uid="{E2C888BF-E8A0-447F-B934-D3D656DBD51C}"/>
    <cellStyle name="Comma 2 11 7 2" xfId="47790" xr:uid="{D20FCDD9-5FAB-4A2A-B58A-DC17775F9B14}"/>
    <cellStyle name="Comma 2 11 7 3" xfId="29536" xr:uid="{23688F6B-1E19-47E0-85A7-3D7C17E30166}"/>
    <cellStyle name="Comma 2 11 8" xfId="7632" xr:uid="{9B3A5E43-8699-443C-9C63-430D7EBFA8D8}"/>
    <cellStyle name="Comma 2 11 8 2" xfId="44140" xr:uid="{4014CD03-12C4-4A1A-8B88-4D9E6CBE5ED3}"/>
    <cellStyle name="Comma 2 11 8 3" xfId="25886" xr:uid="{2074C804-3AE6-4B23-BFF5-340BB5286C95}"/>
    <cellStyle name="Comma 2 11 9" xfId="3982" xr:uid="{DC14D264-B968-47F9-9FBD-30E80ED3F804}"/>
    <cellStyle name="Comma 2 11 9 2" xfId="40490" xr:uid="{7B93CA6A-D01F-4977-A9DD-C57810491116}"/>
    <cellStyle name="Comma 2 11 9 3" xfId="22236" xr:uid="{7DCE6980-2682-40A5-AEE6-0BD844C24D15}"/>
    <cellStyle name="Comma 2 12" xfId="228" xr:uid="{60DD39AA-334A-41C3-A704-4E2F689D459F}"/>
    <cellStyle name="Comma 2 12 10" xfId="36736" xr:uid="{55A603B4-BAFF-4FD4-B01F-AC25C8FBB576}"/>
    <cellStyle name="Comma 2 12 11" xfId="18482" xr:uid="{FDBA2AA1-89BD-4CE0-84B4-680A9AD13A7D}"/>
    <cellStyle name="Comma 2 12 2" xfId="3148" xr:uid="{71AEF8BA-760D-486D-B430-E3774217A4B2}"/>
    <cellStyle name="Comma 2 12 2 2" xfId="17748" xr:uid="{528CF19E-DC29-402F-B45A-F2F50CF364E9}"/>
    <cellStyle name="Comma 2 12 2 2 2" xfId="54256" xr:uid="{88D15735-5B29-4B36-958E-68DCCF572E1D}"/>
    <cellStyle name="Comma 2 12 2 2 3" xfId="36002" xr:uid="{B5E5951D-9252-48D8-84AD-6B1762C6B869}"/>
    <cellStyle name="Comma 2 12 2 3" xfId="14098" xr:uid="{700A0B20-963D-4843-8EA6-D4163971D4FC}"/>
    <cellStyle name="Comma 2 12 2 3 2" xfId="50606" xr:uid="{FFBDE52A-84D9-4067-A267-74662AFFE96B}"/>
    <cellStyle name="Comma 2 12 2 3 3" xfId="32352" xr:uid="{B56042E9-A52F-4497-BA30-E69DB7EFCAA9}"/>
    <cellStyle name="Comma 2 12 2 4" xfId="10448" xr:uid="{529C9396-A47D-4A84-86F7-2FF55F084944}"/>
    <cellStyle name="Comma 2 12 2 4 2" xfId="46956" xr:uid="{522E15A2-F001-4EBA-B4E3-4AB2471F690A}"/>
    <cellStyle name="Comma 2 12 2 4 3" xfId="28702" xr:uid="{B05A4F06-1680-4C47-87CD-3A7C29D325D4}"/>
    <cellStyle name="Comma 2 12 2 5" xfId="6798" xr:uid="{E878301D-AEC2-4D07-A638-DD0AD837EB59}"/>
    <cellStyle name="Comma 2 12 2 5 2" xfId="43306" xr:uid="{6CF08FBE-F58C-4711-9648-11650309C83D}"/>
    <cellStyle name="Comma 2 12 2 5 3" xfId="25052" xr:uid="{2B6BF478-FD75-4548-BE65-7F64F72342F8}"/>
    <cellStyle name="Comma 2 12 2 6" xfId="39656" xr:uid="{6832E697-5D75-4D11-9BD6-7029A2AFF0F6}"/>
    <cellStyle name="Comma 2 12 2 7" xfId="21402" xr:uid="{2A7169D7-819D-42E0-9E7C-E444CADFE777}"/>
    <cellStyle name="Comma 2 12 3" xfId="2418" xr:uid="{80EF829D-8BAD-47F4-A51B-D89BC1AA39D4}"/>
    <cellStyle name="Comma 2 12 3 2" xfId="17018" xr:uid="{6B141717-0542-4FDD-84E2-77AFCDA7F367}"/>
    <cellStyle name="Comma 2 12 3 2 2" xfId="53526" xr:uid="{41CDDE64-9ABF-4331-8049-EF4AE8EE0970}"/>
    <cellStyle name="Comma 2 12 3 2 3" xfId="35272" xr:uid="{E615A947-4782-4E22-A62A-AE68100341D1}"/>
    <cellStyle name="Comma 2 12 3 3" xfId="13368" xr:uid="{4C2101B5-2219-47A9-8029-C2C1A8FFB663}"/>
    <cellStyle name="Comma 2 12 3 3 2" xfId="49876" xr:uid="{F708B31A-E2AD-48E9-858E-3289A3344321}"/>
    <cellStyle name="Comma 2 12 3 3 3" xfId="31622" xr:uid="{F4E55AC2-429E-46A4-8DD5-1A652FA3ED29}"/>
    <cellStyle name="Comma 2 12 3 4" xfId="9718" xr:uid="{CBF42BC5-347B-49CD-8948-32A51DCD395E}"/>
    <cellStyle name="Comma 2 12 3 4 2" xfId="46226" xr:uid="{5FFB82D3-5FE0-42D9-AD8B-5CDCDA022F9D}"/>
    <cellStyle name="Comma 2 12 3 4 3" xfId="27972" xr:uid="{7A864F6C-1A17-490B-A6B5-EB0BC19B45E0}"/>
    <cellStyle name="Comma 2 12 3 5" xfId="6068" xr:uid="{71FE00A1-BD17-44D0-AC3A-B78973095997}"/>
    <cellStyle name="Comma 2 12 3 5 2" xfId="42576" xr:uid="{E2047DB0-6A84-4A19-A046-9F2A40E70C04}"/>
    <cellStyle name="Comma 2 12 3 5 3" xfId="24322" xr:uid="{8072C3D5-E69B-4769-8587-E53ED05C85BA}"/>
    <cellStyle name="Comma 2 12 3 6" xfId="38926" xr:uid="{A8C33392-5237-4E4C-86CF-D4F6D250137B}"/>
    <cellStyle name="Comma 2 12 3 7" xfId="20672" xr:uid="{E1BDC795-2869-410E-97FB-DBED0F12A158}"/>
    <cellStyle name="Comma 2 12 4" xfId="1688" xr:uid="{2BAA56DB-3862-4B3E-AF2B-921E2180D623}"/>
    <cellStyle name="Comma 2 12 4 2" xfId="16288" xr:uid="{ACE3C20D-1A99-4DF4-969B-08B5791D94E2}"/>
    <cellStyle name="Comma 2 12 4 2 2" xfId="52796" xr:uid="{D9C4510A-D2F5-43D9-81BE-E34A7BFE6A0C}"/>
    <cellStyle name="Comma 2 12 4 2 3" xfId="34542" xr:uid="{DE241BE2-56BC-4DD3-9F36-7C97509F6B68}"/>
    <cellStyle name="Comma 2 12 4 3" xfId="12638" xr:uid="{6DEDD47E-6E50-4C73-A600-6674DC2C3661}"/>
    <cellStyle name="Comma 2 12 4 3 2" xfId="49146" xr:uid="{682B8C2E-5B22-43DD-9EA7-D2E8ECD6EB0E}"/>
    <cellStyle name="Comma 2 12 4 3 3" xfId="30892" xr:uid="{5D74FF33-3855-490B-94FA-2FBE6791F6CA}"/>
    <cellStyle name="Comma 2 12 4 4" xfId="8988" xr:uid="{51345499-7DDF-4A3B-8544-FB0EC7628581}"/>
    <cellStyle name="Comma 2 12 4 4 2" xfId="45496" xr:uid="{7F73313B-243F-467A-A277-ABE116085752}"/>
    <cellStyle name="Comma 2 12 4 4 3" xfId="27242" xr:uid="{B114ABBC-7539-4DAD-A5C8-0EC1E0B96A9A}"/>
    <cellStyle name="Comma 2 12 4 5" xfId="5338" xr:uid="{32C13F74-A5E1-4F3C-BA95-1542D9071340}"/>
    <cellStyle name="Comma 2 12 4 5 2" xfId="41846" xr:uid="{848F4EA8-6405-4F6C-81E3-45138EA331F9}"/>
    <cellStyle name="Comma 2 12 4 5 3" xfId="23592" xr:uid="{E19DE25D-7E45-43E1-B99F-E34E0F0FF2F1}"/>
    <cellStyle name="Comma 2 12 4 6" xfId="38196" xr:uid="{3071E378-A2D5-446A-8239-F8C84A559FFC}"/>
    <cellStyle name="Comma 2 12 4 7" xfId="19942" xr:uid="{492326FC-3CFB-490C-B126-ED91AC054E3D}"/>
    <cellStyle name="Comma 2 12 5" xfId="958" xr:uid="{32D36EA8-1884-4EB3-94D5-4887462A8A36}"/>
    <cellStyle name="Comma 2 12 5 2" xfId="15558" xr:uid="{15EB8789-19D1-47E1-8BBA-F0F2FFA381DC}"/>
    <cellStyle name="Comma 2 12 5 2 2" xfId="52066" xr:uid="{8634CBEB-DF63-4ED2-9D08-32E6A26C2342}"/>
    <cellStyle name="Comma 2 12 5 2 3" xfId="33812" xr:uid="{02A5F427-611D-4706-8231-DED19FED7658}"/>
    <cellStyle name="Comma 2 12 5 3" xfId="11908" xr:uid="{472FE2A3-0E38-4BA9-8716-1EFF951A5E65}"/>
    <cellStyle name="Comma 2 12 5 3 2" xfId="48416" xr:uid="{AD59D90C-037E-44A8-8953-4D391BB9BA25}"/>
    <cellStyle name="Comma 2 12 5 3 3" xfId="30162" xr:uid="{B18A914C-B545-48A2-A4D8-F94C29B002D5}"/>
    <cellStyle name="Comma 2 12 5 4" xfId="8258" xr:uid="{F12360CE-92E0-42BB-A000-C32C4342C6DE}"/>
    <cellStyle name="Comma 2 12 5 4 2" xfId="44766" xr:uid="{7211B1C1-147B-43F8-9833-D3B23ECA79E2}"/>
    <cellStyle name="Comma 2 12 5 4 3" xfId="26512" xr:uid="{491FF72F-3CC5-4D88-A4B7-3591625EF7EA}"/>
    <cellStyle name="Comma 2 12 5 5" xfId="4608" xr:uid="{B13DF3E5-A3B4-4208-8AFC-F20675E2B269}"/>
    <cellStyle name="Comma 2 12 5 5 2" xfId="41116" xr:uid="{86616B8E-D3A1-4839-AFD3-51D2E5E8574E}"/>
    <cellStyle name="Comma 2 12 5 5 3" xfId="22862" xr:uid="{4211B3E4-63C5-438A-B106-C6AA05FDD66F}"/>
    <cellStyle name="Comma 2 12 5 6" xfId="37466" xr:uid="{3D40382C-EAC3-4BB4-ADD4-0DBBDF201015}"/>
    <cellStyle name="Comma 2 12 5 7" xfId="19212" xr:uid="{A29E6265-C035-45E5-AB9D-AC5D87556169}"/>
    <cellStyle name="Comma 2 12 6" xfId="14828" xr:uid="{159B8AB4-611E-4079-942C-09208B69A99B}"/>
    <cellStyle name="Comma 2 12 6 2" xfId="51336" xr:uid="{0F93E636-9B05-466D-AA5C-915EF9E7A993}"/>
    <cellStyle name="Comma 2 12 6 3" xfId="33082" xr:uid="{B4C061DD-B5CC-4F62-8980-4B01C9A48B5B}"/>
    <cellStyle name="Comma 2 12 7" xfId="11178" xr:uid="{4D2A82DD-E6BE-4DE5-B7DF-B502B14C2A8C}"/>
    <cellStyle name="Comma 2 12 7 2" xfId="47686" xr:uid="{A1349BE6-854F-44B8-9946-A6386BD24F3E}"/>
    <cellStyle name="Comma 2 12 7 3" xfId="29432" xr:uid="{C41D6656-AF7B-43F7-8386-C7C5FA581F4B}"/>
    <cellStyle name="Comma 2 12 8" xfId="7528" xr:uid="{54FF448B-16EB-40A4-B927-FD1200D2EE94}"/>
    <cellStyle name="Comma 2 12 8 2" xfId="44036" xr:uid="{E759C335-1416-48D2-ABC7-34BC56929A31}"/>
    <cellStyle name="Comma 2 12 8 3" xfId="25782" xr:uid="{199EAB94-E3F8-42A9-93BA-73D6A3DEA7FD}"/>
    <cellStyle name="Comma 2 12 9" xfId="3878" xr:uid="{F8F5F4A0-1D8D-4C28-9D2E-DE9640E20976}"/>
    <cellStyle name="Comma 2 12 9 2" xfId="40386" xr:uid="{DBF7AEB2-12F1-4080-BA77-2A6DB009E093}"/>
    <cellStyle name="Comma 2 12 9 3" xfId="22132" xr:uid="{9F325EEA-C575-4F8A-A75D-765D95057FA6}"/>
    <cellStyle name="Comma 2 13" xfId="124" xr:uid="{44EFF9A3-5555-4FA6-88F2-69EDCD8171FE}"/>
    <cellStyle name="Comma 2 13 10" xfId="36632" xr:uid="{155E894E-5193-4DC1-99EF-2706BB5C0BA0}"/>
    <cellStyle name="Comma 2 13 11" xfId="18378" xr:uid="{ABC97FA2-BF6D-4650-8A5B-D7430B45B25F}"/>
    <cellStyle name="Comma 2 13 2" xfId="3044" xr:uid="{F36436EC-9A6F-46FB-9E1B-4D7021B8D4BB}"/>
    <cellStyle name="Comma 2 13 2 2" xfId="17644" xr:uid="{7690FDFD-82F9-44B4-9C77-DAD9D01B3C18}"/>
    <cellStyle name="Comma 2 13 2 2 2" xfId="54152" xr:uid="{C90FA4ED-6FAD-4DE2-8527-C099C15A76DE}"/>
    <cellStyle name="Comma 2 13 2 2 3" xfId="35898" xr:uid="{B1E4E3AB-D46E-48E8-82DE-FC727D392095}"/>
    <cellStyle name="Comma 2 13 2 3" xfId="13994" xr:uid="{90DBAE97-580F-40DA-9F93-38E0BE60EB77}"/>
    <cellStyle name="Comma 2 13 2 3 2" xfId="50502" xr:uid="{71451860-9F5F-4CC1-9CE7-0EB4C19D3D81}"/>
    <cellStyle name="Comma 2 13 2 3 3" xfId="32248" xr:uid="{7A74C478-07E8-4CC6-8899-B21B9CC3CBE9}"/>
    <cellStyle name="Comma 2 13 2 4" xfId="10344" xr:uid="{78DD71CE-FA4B-43AB-8C36-49B63E6FDF53}"/>
    <cellStyle name="Comma 2 13 2 4 2" xfId="46852" xr:uid="{F17BD0D2-E441-4D13-8E9B-A5A693315759}"/>
    <cellStyle name="Comma 2 13 2 4 3" xfId="28598" xr:uid="{C81B39C9-4B3D-4935-839E-FD356885D228}"/>
    <cellStyle name="Comma 2 13 2 5" xfId="6694" xr:uid="{4E4A0A7F-A205-42BD-8657-85436D2F5E3E}"/>
    <cellStyle name="Comma 2 13 2 5 2" xfId="43202" xr:uid="{2D649C78-7498-4005-ABE8-A05EE91858A4}"/>
    <cellStyle name="Comma 2 13 2 5 3" xfId="24948" xr:uid="{6CFE5E09-CE55-4088-A091-7B2B81F8EE9C}"/>
    <cellStyle name="Comma 2 13 2 6" xfId="39552" xr:uid="{9213A81F-8744-4EB5-AC34-C68A8A0ECC8C}"/>
    <cellStyle name="Comma 2 13 2 7" xfId="21298" xr:uid="{F72F2BE0-4F31-4766-AA1B-45BDF67697F9}"/>
    <cellStyle name="Comma 2 13 3" xfId="2314" xr:uid="{EB705074-483A-43EB-BAA4-6C5D219341EF}"/>
    <cellStyle name="Comma 2 13 3 2" xfId="16914" xr:uid="{8AFE273D-A699-4E2C-9DFF-88BF06DA86E0}"/>
    <cellStyle name="Comma 2 13 3 2 2" xfId="53422" xr:uid="{B04B907B-D83B-43C4-8102-40B114308F5E}"/>
    <cellStyle name="Comma 2 13 3 2 3" xfId="35168" xr:uid="{DB8EF30A-53DA-447C-A56D-BED5FD72617E}"/>
    <cellStyle name="Comma 2 13 3 3" xfId="13264" xr:uid="{0D843F8F-BE08-4CCF-A64D-FC57E4E8985A}"/>
    <cellStyle name="Comma 2 13 3 3 2" xfId="49772" xr:uid="{9F28C829-515F-4571-80A0-6F3A46370B1A}"/>
    <cellStyle name="Comma 2 13 3 3 3" xfId="31518" xr:uid="{4253F8C7-2538-455B-9701-DA4362822B2D}"/>
    <cellStyle name="Comma 2 13 3 4" xfId="9614" xr:uid="{06D0F569-C3DF-417A-A71F-B6D7A172D848}"/>
    <cellStyle name="Comma 2 13 3 4 2" xfId="46122" xr:uid="{79F552DE-F76B-49B7-83CD-F90278D4BF67}"/>
    <cellStyle name="Comma 2 13 3 4 3" xfId="27868" xr:uid="{4838CB64-49A9-483C-8ED1-EF0D81DF379E}"/>
    <cellStyle name="Comma 2 13 3 5" xfId="5964" xr:uid="{BF43D692-5ACF-4212-B3D7-8224A9E15206}"/>
    <cellStyle name="Comma 2 13 3 5 2" xfId="42472" xr:uid="{A31F8EAD-4776-4F32-9437-E45B847F7D74}"/>
    <cellStyle name="Comma 2 13 3 5 3" xfId="24218" xr:uid="{F7FD4E52-8793-4A0C-B854-72CA9B3C81D7}"/>
    <cellStyle name="Comma 2 13 3 6" xfId="38822" xr:uid="{BA2C5CFB-0863-41CD-A814-B68557C07376}"/>
    <cellStyle name="Comma 2 13 3 7" xfId="20568" xr:uid="{30F5EB51-3373-4E6D-97B1-C24CD8B3A209}"/>
    <cellStyle name="Comma 2 13 4" xfId="1584" xr:uid="{6D794AFB-6FDD-45DB-A253-48B6CF975773}"/>
    <cellStyle name="Comma 2 13 4 2" xfId="16184" xr:uid="{41BA4792-5985-44DA-90BC-AB0A56B50297}"/>
    <cellStyle name="Comma 2 13 4 2 2" xfId="52692" xr:uid="{349CEAD5-26B1-4262-AF31-79F83016D945}"/>
    <cellStyle name="Comma 2 13 4 2 3" xfId="34438" xr:uid="{4B5D9C8C-9C78-4C8C-A567-F11D09ACC231}"/>
    <cellStyle name="Comma 2 13 4 3" xfId="12534" xr:uid="{1E7EE274-DA85-42CE-BA4E-8DCEB8B8F2F6}"/>
    <cellStyle name="Comma 2 13 4 3 2" xfId="49042" xr:uid="{E26048B1-653A-42D9-9CA3-91BC232B169D}"/>
    <cellStyle name="Comma 2 13 4 3 3" xfId="30788" xr:uid="{D5DCFFCD-A407-400D-8BF2-FFFD428C4AFA}"/>
    <cellStyle name="Comma 2 13 4 4" xfId="8884" xr:uid="{36979E80-6098-4A98-8D7C-F00CCCAC4B5B}"/>
    <cellStyle name="Comma 2 13 4 4 2" xfId="45392" xr:uid="{2CAD7F45-5A06-4801-928E-095BE70FFFF7}"/>
    <cellStyle name="Comma 2 13 4 4 3" xfId="27138" xr:uid="{9B5D7A6A-1B49-4C88-AD46-B9CC3C701321}"/>
    <cellStyle name="Comma 2 13 4 5" xfId="5234" xr:uid="{D32ED4D3-A628-4592-BAFF-06594189BA00}"/>
    <cellStyle name="Comma 2 13 4 5 2" xfId="41742" xr:uid="{94DBA874-095E-42BC-8230-656449F23717}"/>
    <cellStyle name="Comma 2 13 4 5 3" xfId="23488" xr:uid="{7AD33867-B040-4727-B657-DBA2896F25D4}"/>
    <cellStyle name="Comma 2 13 4 6" xfId="38092" xr:uid="{141F81EB-A7AA-44DA-9B50-C5B9B84F01A1}"/>
    <cellStyle name="Comma 2 13 4 7" xfId="19838" xr:uid="{C9F04573-8673-40FA-BE58-CAC2E453B275}"/>
    <cellStyle name="Comma 2 13 5" xfId="854" xr:uid="{49760AB4-0434-4343-9DA0-45A68CDF34BC}"/>
    <cellStyle name="Comma 2 13 5 2" xfId="15454" xr:uid="{EDC8514F-F188-40F8-9D7A-59DC2B36FAA8}"/>
    <cellStyle name="Comma 2 13 5 2 2" xfId="51962" xr:uid="{97A74003-9C15-4197-BD17-9A254B217CFA}"/>
    <cellStyle name="Comma 2 13 5 2 3" xfId="33708" xr:uid="{E89A4A71-FFFE-4FC6-BEA2-092BDFF4ACAE}"/>
    <cellStyle name="Comma 2 13 5 3" xfId="11804" xr:uid="{A2BC910D-1FFD-4044-91DF-4A3F7648E881}"/>
    <cellStyle name="Comma 2 13 5 3 2" xfId="48312" xr:uid="{36EEDAE1-FAB5-425A-BC19-4B189C5CFC2C}"/>
    <cellStyle name="Comma 2 13 5 3 3" xfId="30058" xr:uid="{B10A0AFB-2667-4161-8FCC-5481F2DBD382}"/>
    <cellStyle name="Comma 2 13 5 4" xfId="8154" xr:uid="{D44EA19E-A408-4381-8441-9C89BD7A1430}"/>
    <cellStyle name="Comma 2 13 5 4 2" xfId="44662" xr:uid="{8FF36EBD-6F68-4E6B-927A-84E63232B9FC}"/>
    <cellStyle name="Comma 2 13 5 4 3" xfId="26408" xr:uid="{B296E8AC-1D61-42B7-B25F-11106BDF84C0}"/>
    <cellStyle name="Comma 2 13 5 5" xfId="4504" xr:uid="{4D0C3351-FC5C-489C-9F22-78C5A9FF6FED}"/>
    <cellStyle name="Comma 2 13 5 5 2" xfId="41012" xr:uid="{D40928F9-2FFB-4127-9769-50F867242DBB}"/>
    <cellStyle name="Comma 2 13 5 5 3" xfId="22758" xr:uid="{34158F2D-61B2-41FA-96A7-823477FEDCB2}"/>
    <cellStyle name="Comma 2 13 5 6" xfId="37362" xr:uid="{C0139AA7-59B6-49D3-8105-FFD2446D8091}"/>
    <cellStyle name="Comma 2 13 5 7" xfId="19108" xr:uid="{8EC5168B-B8C5-429C-825F-357613FE7E48}"/>
    <cellStyle name="Comma 2 13 6" xfId="14724" xr:uid="{37E6EF36-156C-41C9-84DA-4C2BD195978E}"/>
    <cellStyle name="Comma 2 13 6 2" xfId="51232" xr:uid="{6971DAE1-68E1-4670-B76C-4BD35FF46814}"/>
    <cellStyle name="Comma 2 13 6 3" xfId="32978" xr:uid="{B31F51E0-DF03-45D3-B2F6-DB29C4C7BC00}"/>
    <cellStyle name="Comma 2 13 7" xfId="11074" xr:uid="{9C701A42-AA3F-449B-B45C-F79355A3946B}"/>
    <cellStyle name="Comma 2 13 7 2" xfId="47582" xr:uid="{2566EF6E-BABB-4CBD-BDA1-FB0704F7D4C1}"/>
    <cellStyle name="Comma 2 13 7 3" xfId="29328" xr:uid="{FFE59504-F1DF-4386-88A2-32DE58969FD4}"/>
    <cellStyle name="Comma 2 13 8" xfId="7424" xr:uid="{33960F79-D34C-4196-80D0-37779D19DA3B}"/>
    <cellStyle name="Comma 2 13 8 2" xfId="43932" xr:uid="{D088135C-698D-41F2-942B-A27F8EC7BFEF}"/>
    <cellStyle name="Comma 2 13 8 3" xfId="25678" xr:uid="{3923836C-00AF-4E00-A1AD-43B8BA781929}"/>
    <cellStyle name="Comma 2 13 9" xfId="3774" xr:uid="{D323DF1C-08B5-4F58-AAC9-0E80BBFADAD8}"/>
    <cellStyle name="Comma 2 13 9 2" xfId="40282" xr:uid="{0EF2BFB1-6AF2-4E90-BE4D-33CAB660D59B}"/>
    <cellStyle name="Comma 2 13 9 3" xfId="22028" xr:uid="{155AB097-BBB9-4DB5-923A-38DC92E3A411}"/>
    <cellStyle name="Comma 2 14" xfId="2940" xr:uid="{3021BB62-1F33-4FC7-827D-84B4AD588E40}"/>
    <cellStyle name="Comma 2 14 2" xfId="17540" xr:uid="{02D8884F-0B25-4098-B364-77BC15B25CED}"/>
    <cellStyle name="Comma 2 14 2 2" xfId="54048" xr:uid="{4106E657-5B16-4FA9-B0CC-B57EDF20554B}"/>
    <cellStyle name="Comma 2 14 2 3" xfId="35794" xr:uid="{FC4FC211-8364-46EB-9A8A-0D58B392E5C9}"/>
    <cellStyle name="Comma 2 14 3" xfId="13890" xr:uid="{9905FB7C-330A-4F9E-8A21-A70EE700AD71}"/>
    <cellStyle name="Comma 2 14 3 2" xfId="50398" xr:uid="{2A95211B-78E3-45BE-B61B-55D57820D090}"/>
    <cellStyle name="Comma 2 14 3 3" xfId="32144" xr:uid="{029B3344-93D1-4435-8F2C-091FE2F5CF9B}"/>
    <cellStyle name="Comma 2 14 4" xfId="10240" xr:uid="{F9279051-B7A2-4D4E-8F57-854F8877B481}"/>
    <cellStyle name="Comma 2 14 4 2" xfId="46748" xr:uid="{CB603A9B-410B-4E35-8E6E-FC8AE6F0AB13}"/>
    <cellStyle name="Comma 2 14 4 3" xfId="28494" xr:uid="{704A25B8-ECE0-4D72-A033-2DB41E50D529}"/>
    <cellStyle name="Comma 2 14 5" xfId="6590" xr:uid="{BFA4AEDF-015B-40AB-A9F0-3359E800A84E}"/>
    <cellStyle name="Comma 2 14 5 2" xfId="43098" xr:uid="{AA398D2A-A2AB-4C23-BC88-203E570C5F8A}"/>
    <cellStyle name="Comma 2 14 5 3" xfId="24844" xr:uid="{785A91B2-1155-429F-B553-7DD6024822D6}"/>
    <cellStyle name="Comma 2 14 6" xfId="39448" xr:uid="{DA5F5492-7FEA-402A-A416-A128A9CEAC80}"/>
    <cellStyle name="Comma 2 14 7" xfId="21194" xr:uid="{227D86BB-7EB7-407E-9032-7B62456CC94F}"/>
    <cellStyle name="Comma 2 15" xfId="2210" xr:uid="{4647C7DC-D6F3-4B35-B486-BD5B3F2D422D}"/>
    <cellStyle name="Comma 2 15 2" xfId="16810" xr:uid="{6BC84C2D-8299-4507-8ED7-8D65B2F9FF9E}"/>
    <cellStyle name="Comma 2 15 2 2" xfId="53318" xr:uid="{4F6B3A11-D2DA-49AD-ABB8-0AD90621C024}"/>
    <cellStyle name="Comma 2 15 2 3" xfId="35064" xr:uid="{9ADBE85B-9694-41DC-90A0-081284997BF8}"/>
    <cellStyle name="Comma 2 15 3" xfId="13160" xr:uid="{48ADE80B-BDAF-480E-A675-BD7F2107DB7E}"/>
    <cellStyle name="Comma 2 15 3 2" xfId="49668" xr:uid="{70291E70-CEB1-43EB-B2B3-F8136181871D}"/>
    <cellStyle name="Comma 2 15 3 3" xfId="31414" xr:uid="{CEEDDEEB-8E52-4574-881B-421C3CFB06FA}"/>
    <cellStyle name="Comma 2 15 4" xfId="9510" xr:uid="{2996F1C0-75FA-4007-9014-B81A901BC0E4}"/>
    <cellStyle name="Comma 2 15 4 2" xfId="46018" xr:uid="{9568D722-6376-47C6-8313-72F9FA51C574}"/>
    <cellStyle name="Comma 2 15 4 3" xfId="27764" xr:uid="{7D2E8502-5EBE-4D50-AC24-4AA1D6392393}"/>
    <cellStyle name="Comma 2 15 5" xfId="5860" xr:uid="{3E613B38-6822-472F-A8A5-FDB5C83808C5}"/>
    <cellStyle name="Comma 2 15 5 2" xfId="42368" xr:uid="{39C12721-592B-4819-96C8-72B5DEBEFF4A}"/>
    <cellStyle name="Comma 2 15 5 3" xfId="24114" xr:uid="{5113EBC3-07FC-478F-8411-F7F842E3BE7D}"/>
    <cellStyle name="Comma 2 15 6" xfId="38718" xr:uid="{C2B37AFE-1438-4981-8CD4-1964F0F00C25}"/>
    <cellStyle name="Comma 2 15 7" xfId="20464" xr:uid="{4D9A955E-DBB6-4C21-BB50-86285D21D880}"/>
    <cellStyle name="Comma 2 16" xfId="1480" xr:uid="{AA34CDAF-82B4-4530-B443-877E484CE79A}"/>
    <cellStyle name="Comma 2 16 2" xfId="16080" xr:uid="{81E4FA7B-7DF3-48A0-A7E7-6464E649C207}"/>
    <cellStyle name="Comma 2 16 2 2" xfId="52588" xr:uid="{06D6F96F-E018-42D6-A702-6F1D29485F5F}"/>
    <cellStyle name="Comma 2 16 2 3" xfId="34334" xr:uid="{A386B242-44D5-4650-A9BC-498F9CED456F}"/>
    <cellStyle name="Comma 2 16 3" xfId="12430" xr:uid="{FF56FD12-423F-49DD-8BB4-0296556BEC6B}"/>
    <cellStyle name="Comma 2 16 3 2" xfId="48938" xr:uid="{95A2C6BA-1B93-406E-AD1E-279EEB5FFDEB}"/>
    <cellStyle name="Comma 2 16 3 3" xfId="30684" xr:uid="{8AD8621C-D5BC-416F-A322-01577ABCCA1C}"/>
    <cellStyle name="Comma 2 16 4" xfId="8780" xr:uid="{5B2AC040-F59E-4F23-9D14-DF62F82CBF3C}"/>
    <cellStyle name="Comma 2 16 4 2" xfId="45288" xr:uid="{FF72DE6A-E9DF-4A4E-A6B9-2D0BE9016540}"/>
    <cellStyle name="Comma 2 16 4 3" xfId="27034" xr:uid="{D087E3D1-1919-447D-B068-E35FE0DB41C7}"/>
    <cellStyle name="Comma 2 16 5" xfId="5130" xr:uid="{E650D178-D460-4174-8B65-18C670A8969E}"/>
    <cellStyle name="Comma 2 16 5 2" xfId="41638" xr:uid="{A92037BE-E295-4BCF-BD8A-8423AF16E87A}"/>
    <cellStyle name="Comma 2 16 5 3" xfId="23384" xr:uid="{CDDF6DDD-D18F-45F4-A7AD-08545477FE50}"/>
    <cellStyle name="Comma 2 16 6" xfId="37988" xr:uid="{1D99447A-F4B5-41FB-9860-01BCD2EF82FE}"/>
    <cellStyle name="Comma 2 16 7" xfId="19734" xr:uid="{7B6766F5-8B33-486B-84ED-0E3F6593A02F}"/>
    <cellStyle name="Comma 2 17" xfId="750" xr:uid="{8C22C1BB-A6C0-4EFA-AB2A-A9FD44948770}"/>
    <cellStyle name="Comma 2 17 2" xfId="15350" xr:uid="{FE1636ED-7B91-4884-889D-25E01983B95C}"/>
    <cellStyle name="Comma 2 17 2 2" xfId="51858" xr:uid="{DE23A6C2-09E2-4345-95E2-70996DA3C9FC}"/>
    <cellStyle name="Comma 2 17 2 3" xfId="33604" xr:uid="{C6F53454-D681-40D0-91DA-42C3D409FFC1}"/>
    <cellStyle name="Comma 2 17 3" xfId="11700" xr:uid="{63876DDA-8A09-4736-8C69-25DD507FFA21}"/>
    <cellStyle name="Comma 2 17 3 2" xfId="48208" xr:uid="{0B6B705C-4273-46C8-93A9-9634B5E0D34A}"/>
    <cellStyle name="Comma 2 17 3 3" xfId="29954" xr:uid="{D432EEAD-85B5-4E70-B379-FD873DD9650D}"/>
    <cellStyle name="Comma 2 17 4" xfId="8050" xr:uid="{6385ADBE-2C1D-45A9-8457-D07F8D238CC8}"/>
    <cellStyle name="Comma 2 17 4 2" xfId="44558" xr:uid="{340D8E76-DB35-4613-9F25-102B7008A9D4}"/>
    <cellStyle name="Comma 2 17 4 3" xfId="26304" xr:uid="{041CB102-8B48-4949-806F-FAC3A703C7CD}"/>
    <cellStyle name="Comma 2 17 5" xfId="4400" xr:uid="{E803D4DA-6E54-4B98-8382-8A02B5CF7D58}"/>
    <cellStyle name="Comma 2 17 5 2" xfId="40908" xr:uid="{85CCFFA1-1F32-4591-A291-B0203B303AFD}"/>
    <cellStyle name="Comma 2 17 5 3" xfId="22654" xr:uid="{B60011A1-FE4D-494C-9571-77BEE9C63DAA}"/>
    <cellStyle name="Comma 2 17 6" xfId="37258" xr:uid="{D8EFFCE6-FD5F-4497-9EBC-EC7159AE0A0A}"/>
    <cellStyle name="Comma 2 17 7" xfId="19004" xr:uid="{A10EFF5C-32AD-454F-91AB-6F17B507B401}"/>
    <cellStyle name="Comma 2 18" xfId="14620" xr:uid="{086EE502-4081-483F-B8B8-C49BDFEA9D0A}"/>
    <cellStyle name="Comma 2 18 2" xfId="51128" xr:uid="{B25875E1-FE56-4047-91C7-3E21992158C0}"/>
    <cellStyle name="Comma 2 18 3" xfId="32874" xr:uid="{279FDE15-9C17-4010-8F29-541D23AD4B3F}"/>
    <cellStyle name="Comma 2 19" xfId="10970" xr:uid="{AE16F162-A3B8-42E3-BF4C-EAD8D0D4342E}"/>
    <cellStyle name="Comma 2 19 2" xfId="47478" xr:uid="{FA713AE5-1D53-4703-9C87-F346F2C5011A}"/>
    <cellStyle name="Comma 2 19 3" xfId="29224" xr:uid="{1F34E831-FA7E-4F34-9BC3-7CD5D51B92E0}"/>
    <cellStyle name="Comma 2 2" xfId="11" xr:uid="{00000000-0005-0000-0000-000002000000}"/>
    <cellStyle name="Comma 2 2 10" xfId="334" xr:uid="{2015129B-EE43-47D7-A55A-C6B7DF670B51}"/>
    <cellStyle name="Comma 2 2 10 10" xfId="36842" xr:uid="{803B9F6E-BDA1-4830-A79B-A1002EA982A3}"/>
    <cellStyle name="Comma 2 2 10 11" xfId="18588" xr:uid="{1C69CC04-47A1-495F-BEBE-7F46980FB0F2}"/>
    <cellStyle name="Comma 2 2 10 2" xfId="3254" xr:uid="{00B96359-566B-4119-A66A-76F3EAD99682}"/>
    <cellStyle name="Comma 2 2 10 2 2" xfId="17854" xr:uid="{271726D5-8F32-4E19-B4C4-7755B04FC60D}"/>
    <cellStyle name="Comma 2 2 10 2 2 2" xfId="54362" xr:uid="{190E5178-77B3-4D12-96CF-44003956BA97}"/>
    <cellStyle name="Comma 2 2 10 2 2 3" xfId="36108" xr:uid="{8E825AA9-57EC-4126-B42B-BE74D33357C2}"/>
    <cellStyle name="Comma 2 2 10 2 3" xfId="14204" xr:uid="{676D3846-E4B6-4858-8533-0EB44A3AEAB6}"/>
    <cellStyle name="Comma 2 2 10 2 3 2" xfId="50712" xr:uid="{BDC057CF-193B-4C45-B1A1-82B4E4083902}"/>
    <cellStyle name="Comma 2 2 10 2 3 3" xfId="32458" xr:uid="{8BDE3B81-2133-4C11-AE0E-0C36BED6C8A9}"/>
    <cellStyle name="Comma 2 2 10 2 4" xfId="10554" xr:uid="{89C4C9D1-0F2E-4F33-B3CB-5A369ED9AFDA}"/>
    <cellStyle name="Comma 2 2 10 2 4 2" xfId="47062" xr:uid="{042F0216-132F-4BFA-AB51-8B035285771C}"/>
    <cellStyle name="Comma 2 2 10 2 4 3" xfId="28808" xr:uid="{26F1E0D3-899E-430A-9A6B-2A242D7E4160}"/>
    <cellStyle name="Comma 2 2 10 2 5" xfId="6904" xr:uid="{D6C5D285-C45E-4C76-88E5-1E11E89568EE}"/>
    <cellStyle name="Comma 2 2 10 2 5 2" xfId="43412" xr:uid="{FBCB6618-4E68-4B21-B647-8146BB70ED5A}"/>
    <cellStyle name="Comma 2 2 10 2 5 3" xfId="25158" xr:uid="{41016134-BABC-4D2E-B8D4-B1E8E9EB4F89}"/>
    <cellStyle name="Comma 2 2 10 2 6" xfId="39762" xr:uid="{7CEED4B4-DD19-4AC1-8538-29E7EFE60ACB}"/>
    <cellStyle name="Comma 2 2 10 2 7" xfId="21508" xr:uid="{B84B5FC9-E983-40B6-B009-15432D727A1E}"/>
    <cellStyle name="Comma 2 2 10 3" xfId="2524" xr:uid="{CADEDC80-095E-4961-84B8-BA6B6EB923BB}"/>
    <cellStyle name="Comma 2 2 10 3 2" xfId="17124" xr:uid="{11F001B0-E86F-4818-9A57-EBF3FA2539D6}"/>
    <cellStyle name="Comma 2 2 10 3 2 2" xfId="53632" xr:uid="{B22F6A2B-DACC-4CFC-868C-EB405489629C}"/>
    <cellStyle name="Comma 2 2 10 3 2 3" xfId="35378" xr:uid="{DAF253F2-9B56-4508-908A-3F4BEAC044BB}"/>
    <cellStyle name="Comma 2 2 10 3 3" xfId="13474" xr:uid="{E473BA0D-37D8-428C-B544-B1ABEF241FCA}"/>
    <cellStyle name="Comma 2 2 10 3 3 2" xfId="49982" xr:uid="{BDBF29E2-454F-4491-8331-72A474FDF602}"/>
    <cellStyle name="Comma 2 2 10 3 3 3" xfId="31728" xr:uid="{AAC7AA30-C8B7-4380-8912-353034D5E0FB}"/>
    <cellStyle name="Comma 2 2 10 3 4" xfId="9824" xr:uid="{151A6616-CC27-490A-8FEF-CC5403A7C35D}"/>
    <cellStyle name="Comma 2 2 10 3 4 2" xfId="46332" xr:uid="{19DB2AED-E1D2-4591-A366-5B2C2960710B}"/>
    <cellStyle name="Comma 2 2 10 3 4 3" xfId="28078" xr:uid="{5DCA5A12-DB8F-4F5C-8D21-2B8877B9D62D}"/>
    <cellStyle name="Comma 2 2 10 3 5" xfId="6174" xr:uid="{9F0BD7DB-35CC-4864-BAB8-38505DE19DCE}"/>
    <cellStyle name="Comma 2 2 10 3 5 2" xfId="42682" xr:uid="{767D541E-0F52-4902-9D46-9717B508BDE6}"/>
    <cellStyle name="Comma 2 2 10 3 5 3" xfId="24428" xr:uid="{206370DA-7616-4D19-83CD-48FCEAFC0D66}"/>
    <cellStyle name="Comma 2 2 10 3 6" xfId="39032" xr:uid="{8C072DAF-1A2F-4246-8D28-BC33E1533396}"/>
    <cellStyle name="Comma 2 2 10 3 7" xfId="20778" xr:uid="{86ACDEE3-DBDB-47BF-BD1C-FBC0C7A7E334}"/>
    <cellStyle name="Comma 2 2 10 4" xfId="1794" xr:uid="{A511C0A4-A2E1-42BD-AC6B-045A44D0E89A}"/>
    <cellStyle name="Comma 2 2 10 4 2" xfId="16394" xr:uid="{7E96E559-F13B-4116-A04F-DB2F8BEC78AB}"/>
    <cellStyle name="Comma 2 2 10 4 2 2" xfId="52902" xr:uid="{1D996278-61E1-4194-B1D4-EE10AAADF17F}"/>
    <cellStyle name="Comma 2 2 10 4 2 3" xfId="34648" xr:uid="{C53A5395-4638-487A-9E78-3895617BC139}"/>
    <cellStyle name="Comma 2 2 10 4 3" xfId="12744" xr:uid="{D6BCF172-9B2F-4367-A1E4-795659E9AB88}"/>
    <cellStyle name="Comma 2 2 10 4 3 2" xfId="49252" xr:uid="{0E135B73-3721-48A9-939D-EAD8C549D5EE}"/>
    <cellStyle name="Comma 2 2 10 4 3 3" xfId="30998" xr:uid="{902037F9-4C49-42E6-A481-4DA398DBA07C}"/>
    <cellStyle name="Comma 2 2 10 4 4" xfId="9094" xr:uid="{4B44C177-448C-4FEE-88A8-F2E35EC0DE43}"/>
    <cellStyle name="Comma 2 2 10 4 4 2" xfId="45602" xr:uid="{145CB0B1-ABDF-42ED-814E-CBABB5F24E34}"/>
    <cellStyle name="Comma 2 2 10 4 4 3" xfId="27348" xr:uid="{89491D48-C04B-43FC-A0F4-535EF1D42FEB}"/>
    <cellStyle name="Comma 2 2 10 4 5" xfId="5444" xr:uid="{8E2F63A2-68F6-4162-9533-3EC1EA5157E3}"/>
    <cellStyle name="Comma 2 2 10 4 5 2" xfId="41952" xr:uid="{391E2FBD-FAEC-425B-BB43-D067FFB26830}"/>
    <cellStyle name="Comma 2 2 10 4 5 3" xfId="23698" xr:uid="{5CCBB254-AC01-4558-80F6-87B06E0A13FD}"/>
    <cellStyle name="Comma 2 2 10 4 6" xfId="38302" xr:uid="{39233655-8944-45D6-9816-79828D038E90}"/>
    <cellStyle name="Comma 2 2 10 4 7" xfId="20048" xr:uid="{CFD44879-45A3-4EF4-93BF-07AF750AFCEA}"/>
    <cellStyle name="Comma 2 2 10 5" xfId="1064" xr:uid="{E47623BE-9989-45F3-8D97-69625B054B5E}"/>
    <cellStyle name="Comma 2 2 10 5 2" xfId="15664" xr:uid="{6FBABD5D-EACD-4F08-A1C0-2F95C2ED94B2}"/>
    <cellStyle name="Comma 2 2 10 5 2 2" xfId="52172" xr:uid="{48368FCD-34B4-4E58-9827-4E802836669E}"/>
    <cellStyle name="Comma 2 2 10 5 2 3" xfId="33918" xr:uid="{42E441EE-EF34-45B9-83E7-014649A04EF8}"/>
    <cellStyle name="Comma 2 2 10 5 3" xfId="12014" xr:uid="{E5C86225-D877-43AE-9383-28E7D6080618}"/>
    <cellStyle name="Comma 2 2 10 5 3 2" xfId="48522" xr:uid="{595B8DF5-5D2A-4453-A5E5-66C564C341AA}"/>
    <cellStyle name="Comma 2 2 10 5 3 3" xfId="30268" xr:uid="{EEA842E5-0662-480B-B452-AAD28BE0DCDB}"/>
    <cellStyle name="Comma 2 2 10 5 4" xfId="8364" xr:uid="{5CFA1222-747D-499D-A0D0-5CA5336CB6D3}"/>
    <cellStyle name="Comma 2 2 10 5 4 2" xfId="44872" xr:uid="{F87007AA-070B-4D57-AE2A-401BD438FC24}"/>
    <cellStyle name="Comma 2 2 10 5 4 3" xfId="26618" xr:uid="{0534E530-92DB-4ABB-AFA0-E1DB76426BA0}"/>
    <cellStyle name="Comma 2 2 10 5 5" xfId="4714" xr:uid="{4D4D3570-D3F8-41B0-A079-3FD007FF2CEB}"/>
    <cellStyle name="Comma 2 2 10 5 5 2" xfId="41222" xr:uid="{DF95ED72-B58C-4AF1-9EE8-97C0F3F289B9}"/>
    <cellStyle name="Comma 2 2 10 5 5 3" xfId="22968" xr:uid="{60365BFC-E449-433F-9E26-F6F3FB4D797A}"/>
    <cellStyle name="Comma 2 2 10 5 6" xfId="37572" xr:uid="{6F9F7A70-19CE-4A8A-A5A3-FEB71232A838}"/>
    <cellStyle name="Comma 2 2 10 5 7" xfId="19318" xr:uid="{BB365B54-E0BD-4378-A5DA-97AA890A25AB}"/>
    <cellStyle name="Comma 2 2 10 6" xfId="14934" xr:uid="{6E6DBFD0-3A45-4976-98FA-9A1872D5663F}"/>
    <cellStyle name="Comma 2 2 10 6 2" xfId="51442" xr:uid="{C7997DC4-8099-4E0E-92F7-37C871A45BBC}"/>
    <cellStyle name="Comma 2 2 10 6 3" xfId="33188" xr:uid="{CFC80055-A4DA-4069-8F48-742BD8CEBD3E}"/>
    <cellStyle name="Comma 2 2 10 7" xfId="11284" xr:uid="{E934875C-7742-4674-A6DA-8B28421979FE}"/>
    <cellStyle name="Comma 2 2 10 7 2" xfId="47792" xr:uid="{05953FFC-61A5-4978-99BA-7AF61D5081FB}"/>
    <cellStyle name="Comma 2 2 10 7 3" xfId="29538" xr:uid="{D647ACC8-D4EA-4BAC-9305-2DFF19C8E333}"/>
    <cellStyle name="Comma 2 2 10 8" xfId="7634" xr:uid="{84D21AA3-2FC9-43B1-9FD7-324A15685779}"/>
    <cellStyle name="Comma 2 2 10 8 2" xfId="44142" xr:uid="{E6684FEE-CFDE-4A1C-B1E2-907972EC7F54}"/>
    <cellStyle name="Comma 2 2 10 8 3" xfId="25888" xr:uid="{5240E1CF-6D3C-4809-9978-69F59332CBF3}"/>
    <cellStyle name="Comma 2 2 10 9" xfId="3984" xr:uid="{C264BC7D-9D99-4667-A92A-B4F22850E21A}"/>
    <cellStyle name="Comma 2 2 10 9 2" xfId="40492" xr:uid="{4CBFBB77-F696-4B54-B5AD-E822EE0542F4}"/>
    <cellStyle name="Comma 2 2 10 9 3" xfId="22238" xr:uid="{A0D2D51B-7435-4840-8DF7-2E9DC9347611}"/>
    <cellStyle name="Comma 2 2 11" xfId="230" xr:uid="{8576EE0C-B8B0-422C-9D82-E2064458AD96}"/>
    <cellStyle name="Comma 2 2 11 10" xfId="36738" xr:uid="{833DCAED-36C4-4AC4-B411-9842FB2B21AB}"/>
    <cellStyle name="Comma 2 2 11 11" xfId="18484" xr:uid="{1C574B58-EDAD-4968-B015-F45EFC3BA684}"/>
    <cellStyle name="Comma 2 2 11 2" xfId="3150" xr:uid="{E80753FE-50B9-474D-9D5B-E78F014D980F}"/>
    <cellStyle name="Comma 2 2 11 2 2" xfId="17750" xr:uid="{419A0E37-E5E0-4F61-88D8-AAFA9FB31D37}"/>
    <cellStyle name="Comma 2 2 11 2 2 2" xfId="54258" xr:uid="{A33ACB4F-5DB3-48FD-A58A-F443AAFA986B}"/>
    <cellStyle name="Comma 2 2 11 2 2 3" xfId="36004" xr:uid="{3E292D84-95DA-444C-B196-85E3F4DDF682}"/>
    <cellStyle name="Comma 2 2 11 2 3" xfId="14100" xr:uid="{EFD60307-FEB0-4A04-AAEF-BFEBF8E0BC5B}"/>
    <cellStyle name="Comma 2 2 11 2 3 2" xfId="50608" xr:uid="{2E24E608-3FA0-4A86-893B-C8E920594D73}"/>
    <cellStyle name="Comma 2 2 11 2 3 3" xfId="32354" xr:uid="{BD88CC56-96C4-467F-8595-74FBE08CE6F6}"/>
    <cellStyle name="Comma 2 2 11 2 4" xfId="10450" xr:uid="{07BAC849-2B3B-4801-A81A-7C8B760F38EC}"/>
    <cellStyle name="Comma 2 2 11 2 4 2" xfId="46958" xr:uid="{7482BBB3-FA08-4E95-8CB4-8CA483B2A228}"/>
    <cellStyle name="Comma 2 2 11 2 4 3" xfId="28704" xr:uid="{A7F10E1A-7ECA-41BA-B08F-B6DB5BE66329}"/>
    <cellStyle name="Comma 2 2 11 2 5" xfId="6800" xr:uid="{5662DD99-8ACA-4B7D-95B0-A3127B01741C}"/>
    <cellStyle name="Comma 2 2 11 2 5 2" xfId="43308" xr:uid="{982D6B72-333D-4829-8623-564BD86FF0D6}"/>
    <cellStyle name="Comma 2 2 11 2 5 3" xfId="25054" xr:uid="{B25B14BE-E972-42B5-AC05-5C35BF3D1C42}"/>
    <cellStyle name="Comma 2 2 11 2 6" xfId="39658" xr:uid="{8282BE85-6016-4FE5-86C2-2915747C7791}"/>
    <cellStyle name="Comma 2 2 11 2 7" xfId="21404" xr:uid="{739AD7F2-E8B1-4017-A186-2454F7914DB6}"/>
    <cellStyle name="Comma 2 2 11 3" xfId="2420" xr:uid="{40D1F67B-1BCA-43BA-A622-EC314ADBCBCE}"/>
    <cellStyle name="Comma 2 2 11 3 2" xfId="17020" xr:uid="{0307B65B-B833-499F-BEBE-7BA335C8EA22}"/>
    <cellStyle name="Comma 2 2 11 3 2 2" xfId="53528" xr:uid="{52C731C3-92E0-42F4-85DD-E2D2127FB6F9}"/>
    <cellStyle name="Comma 2 2 11 3 2 3" xfId="35274" xr:uid="{4E653BDD-ABBF-4547-B67C-8E8C5F66F143}"/>
    <cellStyle name="Comma 2 2 11 3 3" xfId="13370" xr:uid="{ED5599EF-C5F2-41A6-831C-21F5EAD32134}"/>
    <cellStyle name="Comma 2 2 11 3 3 2" xfId="49878" xr:uid="{37F9C084-F70C-4DC6-B265-B738AF8C1195}"/>
    <cellStyle name="Comma 2 2 11 3 3 3" xfId="31624" xr:uid="{0B0E6E86-4AF5-4A83-A05D-9D8DF3946E15}"/>
    <cellStyle name="Comma 2 2 11 3 4" xfId="9720" xr:uid="{2A995751-8CF0-47DA-A225-D9D7391CED5C}"/>
    <cellStyle name="Comma 2 2 11 3 4 2" xfId="46228" xr:uid="{F08ADBDB-3F10-4DBA-B18C-0C64E72C441A}"/>
    <cellStyle name="Comma 2 2 11 3 4 3" xfId="27974" xr:uid="{7B573A1F-5709-4A5B-A5F1-05874F0F11D9}"/>
    <cellStyle name="Comma 2 2 11 3 5" xfId="6070" xr:uid="{7EA533E7-1EBE-494B-9B8B-1AA0A902B282}"/>
    <cellStyle name="Comma 2 2 11 3 5 2" xfId="42578" xr:uid="{939D24C9-4FBE-452F-AF07-F3273D0AB357}"/>
    <cellStyle name="Comma 2 2 11 3 5 3" xfId="24324" xr:uid="{048B9A29-1962-407C-8769-24EBD800CDB0}"/>
    <cellStyle name="Comma 2 2 11 3 6" xfId="38928" xr:uid="{E88A10C5-EAEB-422A-A56B-28CE93A4F28A}"/>
    <cellStyle name="Comma 2 2 11 3 7" xfId="20674" xr:uid="{5FE9B735-C322-4501-A10D-156985D09E2F}"/>
    <cellStyle name="Comma 2 2 11 4" xfId="1690" xr:uid="{394A727F-0331-4027-84DE-71517F7A2A76}"/>
    <cellStyle name="Comma 2 2 11 4 2" xfId="16290" xr:uid="{A2DDA671-B5BC-4FAB-8BB5-DCF93BE5B0DB}"/>
    <cellStyle name="Comma 2 2 11 4 2 2" xfId="52798" xr:uid="{22B9ED25-6FEB-4009-9B38-57A3905AABDE}"/>
    <cellStyle name="Comma 2 2 11 4 2 3" xfId="34544" xr:uid="{4C6E478B-68D4-4561-BF76-BEC33A4EBB41}"/>
    <cellStyle name="Comma 2 2 11 4 3" xfId="12640" xr:uid="{7685E3D8-506E-4B60-861B-652CC8C7E5E1}"/>
    <cellStyle name="Comma 2 2 11 4 3 2" xfId="49148" xr:uid="{AAF71F39-22E5-4BD0-95E5-8F0BC14F2513}"/>
    <cellStyle name="Comma 2 2 11 4 3 3" xfId="30894" xr:uid="{8C313756-DEFB-46F3-92C4-FBE9C60CF2F7}"/>
    <cellStyle name="Comma 2 2 11 4 4" xfId="8990" xr:uid="{81B9F4CC-B1B3-4026-A859-8C2744386F5E}"/>
    <cellStyle name="Comma 2 2 11 4 4 2" xfId="45498" xr:uid="{DA60C840-51DB-405B-BFA4-FA2E59561F1A}"/>
    <cellStyle name="Comma 2 2 11 4 4 3" xfId="27244" xr:uid="{7C9FD903-C232-4779-AB82-A0E264B0D0B8}"/>
    <cellStyle name="Comma 2 2 11 4 5" xfId="5340" xr:uid="{613A6859-1749-4631-82CB-C2678F5DCC55}"/>
    <cellStyle name="Comma 2 2 11 4 5 2" xfId="41848" xr:uid="{D5241C30-B575-4F7F-876B-F06CD92F1FF6}"/>
    <cellStyle name="Comma 2 2 11 4 5 3" xfId="23594" xr:uid="{82FFF312-019B-47D2-9B3F-4E8AA8A3EE68}"/>
    <cellStyle name="Comma 2 2 11 4 6" xfId="38198" xr:uid="{E6D637B3-3ECB-4F58-BF47-F1294EC61B6E}"/>
    <cellStyle name="Comma 2 2 11 4 7" xfId="19944" xr:uid="{DDEAC687-F3D2-4BD7-9E97-F6C0D862CA62}"/>
    <cellStyle name="Comma 2 2 11 5" xfId="960" xr:uid="{D8083EEB-A0AE-4E33-8082-EFE0CFB56DE9}"/>
    <cellStyle name="Comma 2 2 11 5 2" xfId="15560" xr:uid="{2F219044-F013-419B-A970-C1F9B48585B8}"/>
    <cellStyle name="Comma 2 2 11 5 2 2" xfId="52068" xr:uid="{70C75E6B-DAE7-4797-9485-C34FAB4435FD}"/>
    <cellStyle name="Comma 2 2 11 5 2 3" xfId="33814" xr:uid="{E350F11A-3C94-4DBD-9BAD-49B6DE809834}"/>
    <cellStyle name="Comma 2 2 11 5 3" xfId="11910" xr:uid="{C39E66CD-6D06-47F4-B5EE-1183293C1CE2}"/>
    <cellStyle name="Comma 2 2 11 5 3 2" xfId="48418" xr:uid="{5D88285C-2831-4FDA-9182-013215F0532F}"/>
    <cellStyle name="Comma 2 2 11 5 3 3" xfId="30164" xr:uid="{F4B837AF-F226-4ED0-86C3-1378303A50C9}"/>
    <cellStyle name="Comma 2 2 11 5 4" xfId="8260" xr:uid="{75BCD3C5-3521-4561-A7B7-B87CC0EF19E7}"/>
    <cellStyle name="Comma 2 2 11 5 4 2" xfId="44768" xr:uid="{B4F88EE7-B0DF-4B20-8FAA-5B7D710920C5}"/>
    <cellStyle name="Comma 2 2 11 5 4 3" xfId="26514" xr:uid="{670E87AF-DDEA-4527-9334-8216833C5523}"/>
    <cellStyle name="Comma 2 2 11 5 5" xfId="4610" xr:uid="{726DEFDB-7A3B-4FAF-9EA9-59F17DC0139F}"/>
    <cellStyle name="Comma 2 2 11 5 5 2" xfId="41118" xr:uid="{D6008B09-472B-4F50-88F4-50FFC91CE190}"/>
    <cellStyle name="Comma 2 2 11 5 5 3" xfId="22864" xr:uid="{CD3E5D84-CDF4-4EF0-BCAE-DD9FADB0843C}"/>
    <cellStyle name="Comma 2 2 11 5 6" xfId="37468" xr:uid="{6EF44116-8744-499C-A4F1-AE140361E7E8}"/>
    <cellStyle name="Comma 2 2 11 5 7" xfId="19214" xr:uid="{C5C43AAD-8B61-43F0-8D8C-38E4DD5BE400}"/>
    <cellStyle name="Comma 2 2 11 6" xfId="14830" xr:uid="{D32E12A8-F439-401A-A447-19E6A3E2CF17}"/>
    <cellStyle name="Comma 2 2 11 6 2" xfId="51338" xr:uid="{70697F90-411D-439A-A2B6-4EDFA7821F4D}"/>
    <cellStyle name="Comma 2 2 11 6 3" xfId="33084" xr:uid="{4B2E8047-25CC-4C57-AA91-ADB36A62F6A1}"/>
    <cellStyle name="Comma 2 2 11 7" xfId="11180" xr:uid="{2A2433BA-99EB-4CBD-B53B-723F76BD6DE8}"/>
    <cellStyle name="Comma 2 2 11 7 2" xfId="47688" xr:uid="{203DD013-8F26-4A08-BCCA-F58FF47A82EF}"/>
    <cellStyle name="Comma 2 2 11 7 3" xfId="29434" xr:uid="{D141B1B8-0E43-435D-ACD4-FCFF01EE5404}"/>
    <cellStyle name="Comma 2 2 11 8" xfId="7530" xr:uid="{026E4644-AAD9-438B-A351-A4C0E7E4F608}"/>
    <cellStyle name="Comma 2 2 11 8 2" xfId="44038" xr:uid="{DB3A557F-0B15-41D7-A43A-57FFDF16E5F0}"/>
    <cellStyle name="Comma 2 2 11 8 3" xfId="25784" xr:uid="{0C88927C-2DF8-4457-B618-95E7A27452AE}"/>
    <cellStyle name="Comma 2 2 11 9" xfId="3880" xr:uid="{700EF722-F3B3-4F65-A65D-BEEF374F94AA}"/>
    <cellStyle name="Comma 2 2 11 9 2" xfId="40388" xr:uid="{3288E359-25E0-41E3-B7FF-8083615EFE81}"/>
    <cellStyle name="Comma 2 2 11 9 3" xfId="22134" xr:uid="{5F5ED631-D232-4788-A257-816EC61CD1A3}"/>
    <cellStyle name="Comma 2 2 12" xfId="126" xr:uid="{1905BE30-A06B-47D0-97CC-AF6BC9A2F9A4}"/>
    <cellStyle name="Comma 2 2 12 10" xfId="36634" xr:uid="{B342A9B6-0A60-4F95-A281-0F07252928E0}"/>
    <cellStyle name="Comma 2 2 12 11" xfId="18380" xr:uid="{448ED5D0-B027-486D-8465-4560ED3E18B0}"/>
    <cellStyle name="Comma 2 2 12 2" xfId="3046" xr:uid="{53C989D9-CCAF-4827-A8E3-F072C24B3DD5}"/>
    <cellStyle name="Comma 2 2 12 2 2" xfId="17646" xr:uid="{965C9CC3-AB3C-4C6A-B5CD-3EACFA978041}"/>
    <cellStyle name="Comma 2 2 12 2 2 2" xfId="54154" xr:uid="{71776DE1-F1B1-43E0-B512-C5F425557086}"/>
    <cellStyle name="Comma 2 2 12 2 2 3" xfId="35900" xr:uid="{71ED759F-3643-4862-9EE7-0D5D5AE62CF4}"/>
    <cellStyle name="Comma 2 2 12 2 3" xfId="13996" xr:uid="{9105D416-3A58-47D9-97B1-6F6EC5F8D0BC}"/>
    <cellStyle name="Comma 2 2 12 2 3 2" xfId="50504" xr:uid="{BC550CF3-8E4A-4E61-A7F6-A5C9DF92D5C7}"/>
    <cellStyle name="Comma 2 2 12 2 3 3" xfId="32250" xr:uid="{B397F861-973A-459F-A1F1-B50C16A1BEA6}"/>
    <cellStyle name="Comma 2 2 12 2 4" xfId="10346" xr:uid="{FFD975D8-1CC1-441B-8875-A764CF9C20DC}"/>
    <cellStyle name="Comma 2 2 12 2 4 2" xfId="46854" xr:uid="{ADBE6883-BF6A-4A58-8AEF-3EDF862C27E8}"/>
    <cellStyle name="Comma 2 2 12 2 4 3" xfId="28600" xr:uid="{3A14E3D9-5201-4BD4-85A9-1A3F56028C5A}"/>
    <cellStyle name="Comma 2 2 12 2 5" xfId="6696" xr:uid="{04C691A7-5B19-45DB-A6DC-0E0050596C55}"/>
    <cellStyle name="Comma 2 2 12 2 5 2" xfId="43204" xr:uid="{E773A8DF-F0AC-4C83-BDFE-75FB5B8E1180}"/>
    <cellStyle name="Comma 2 2 12 2 5 3" xfId="24950" xr:uid="{07B3D86A-29EA-4E81-A908-E6AC17D8DDB8}"/>
    <cellStyle name="Comma 2 2 12 2 6" xfId="39554" xr:uid="{93C0032A-E886-4773-A775-9B670F7ED79A}"/>
    <cellStyle name="Comma 2 2 12 2 7" xfId="21300" xr:uid="{4C6CC80E-A468-4248-A278-B1F591C02854}"/>
    <cellStyle name="Comma 2 2 12 3" xfId="2316" xr:uid="{F783BBA4-88DC-490B-AF04-C78D8CB83E08}"/>
    <cellStyle name="Comma 2 2 12 3 2" xfId="16916" xr:uid="{34B8F764-9DDA-47A3-B75F-225799252C52}"/>
    <cellStyle name="Comma 2 2 12 3 2 2" xfId="53424" xr:uid="{AED1BDDF-3217-41FE-981D-8B4B04A7EF56}"/>
    <cellStyle name="Comma 2 2 12 3 2 3" xfId="35170" xr:uid="{31E6D040-AF9D-47CE-8DC6-FFB7C4A56768}"/>
    <cellStyle name="Comma 2 2 12 3 3" xfId="13266" xr:uid="{72824479-6BB9-476F-A825-FF16F299C58A}"/>
    <cellStyle name="Comma 2 2 12 3 3 2" xfId="49774" xr:uid="{EFC8B0DC-8909-4266-9700-E516CA8FBBA5}"/>
    <cellStyle name="Comma 2 2 12 3 3 3" xfId="31520" xr:uid="{0F1570A7-7F69-4EC6-8992-C81091B68B45}"/>
    <cellStyle name="Comma 2 2 12 3 4" xfId="9616" xr:uid="{9428C519-D350-4614-B251-D1A8BDA814A8}"/>
    <cellStyle name="Comma 2 2 12 3 4 2" xfId="46124" xr:uid="{2E01B890-C3C7-4890-BBFA-7DB016127C16}"/>
    <cellStyle name="Comma 2 2 12 3 4 3" xfId="27870" xr:uid="{C1D35639-338C-4D3E-88DC-97F5B450601C}"/>
    <cellStyle name="Comma 2 2 12 3 5" xfId="5966" xr:uid="{EFEFFDCB-2160-419E-95BE-136176F9A9D6}"/>
    <cellStyle name="Comma 2 2 12 3 5 2" xfId="42474" xr:uid="{1F207C1C-949C-4E38-994D-80BDCF223EBC}"/>
    <cellStyle name="Comma 2 2 12 3 5 3" xfId="24220" xr:uid="{16B46424-E09C-411A-99EE-740C2338358E}"/>
    <cellStyle name="Comma 2 2 12 3 6" xfId="38824" xr:uid="{2C4D2159-11FD-455D-87BA-F88044419827}"/>
    <cellStyle name="Comma 2 2 12 3 7" xfId="20570" xr:uid="{7211A61B-47CD-40F2-BFD5-6D2AF26417AC}"/>
    <cellStyle name="Comma 2 2 12 4" xfId="1586" xr:uid="{909C328A-F46A-4D90-A47A-40CBB44E833E}"/>
    <cellStyle name="Comma 2 2 12 4 2" xfId="16186" xr:uid="{8AB85D74-7679-4B5E-905D-4BA0B95C2832}"/>
    <cellStyle name="Comma 2 2 12 4 2 2" xfId="52694" xr:uid="{61EB6AE7-B6E4-4A04-8EFD-D1EC078307CD}"/>
    <cellStyle name="Comma 2 2 12 4 2 3" xfId="34440" xr:uid="{F29AB1B2-D1CA-4226-A76D-12D727B00020}"/>
    <cellStyle name="Comma 2 2 12 4 3" xfId="12536" xr:uid="{B3CE8261-5FF4-4F6E-BD5C-B0B7AA0BA04D}"/>
    <cellStyle name="Comma 2 2 12 4 3 2" xfId="49044" xr:uid="{901FAF01-5138-4CC5-B5BB-8AF6449E6658}"/>
    <cellStyle name="Comma 2 2 12 4 3 3" xfId="30790" xr:uid="{D1331B66-4EA6-4CA4-89B9-A29631764C0A}"/>
    <cellStyle name="Comma 2 2 12 4 4" xfId="8886" xr:uid="{BF59AC4A-2BA3-4548-9A96-7C0EB5EBEBD6}"/>
    <cellStyle name="Comma 2 2 12 4 4 2" xfId="45394" xr:uid="{369F25E8-5E2B-4756-B790-384CFE02F43D}"/>
    <cellStyle name="Comma 2 2 12 4 4 3" xfId="27140" xr:uid="{2B5F6D97-F8B8-4A06-AB90-B1F4A53DA345}"/>
    <cellStyle name="Comma 2 2 12 4 5" xfId="5236" xr:uid="{43608978-4F30-4279-AAD1-FF30BA9666AC}"/>
    <cellStyle name="Comma 2 2 12 4 5 2" xfId="41744" xr:uid="{E91C6649-76BB-4E87-A220-02C250032262}"/>
    <cellStyle name="Comma 2 2 12 4 5 3" xfId="23490" xr:uid="{E5F86D34-2C8D-455A-B842-53862CD8D1DC}"/>
    <cellStyle name="Comma 2 2 12 4 6" xfId="38094" xr:uid="{C91428AC-D3A2-4781-9C1D-5910C2CD5139}"/>
    <cellStyle name="Comma 2 2 12 4 7" xfId="19840" xr:uid="{D9B149DC-8E5A-46D3-8365-88959371736B}"/>
    <cellStyle name="Comma 2 2 12 5" xfId="856" xr:uid="{902985D7-753E-44AB-BDA4-CE389193D15A}"/>
    <cellStyle name="Comma 2 2 12 5 2" xfId="15456" xr:uid="{DA59E947-194A-41DA-B00A-5DD71A44F213}"/>
    <cellStyle name="Comma 2 2 12 5 2 2" xfId="51964" xr:uid="{8AED2854-8AB1-4437-ADCB-E5E30699B4CD}"/>
    <cellStyle name="Comma 2 2 12 5 2 3" xfId="33710" xr:uid="{FA622F63-5FAF-466D-AF56-70050A0D9795}"/>
    <cellStyle name="Comma 2 2 12 5 3" xfId="11806" xr:uid="{774CE638-373C-4AEA-B587-F683F4D35FBA}"/>
    <cellStyle name="Comma 2 2 12 5 3 2" xfId="48314" xr:uid="{296CB6AD-A74D-4830-BDE3-2423461CE38E}"/>
    <cellStyle name="Comma 2 2 12 5 3 3" xfId="30060" xr:uid="{E481C135-9197-4380-ADDF-59A2B30B9EF1}"/>
    <cellStyle name="Comma 2 2 12 5 4" xfId="8156" xr:uid="{36E0E1EC-44DA-417F-8742-EBA86912C213}"/>
    <cellStyle name="Comma 2 2 12 5 4 2" xfId="44664" xr:uid="{C57A43CD-60FC-4EB7-9C61-510235428B8E}"/>
    <cellStyle name="Comma 2 2 12 5 4 3" xfId="26410" xr:uid="{0097BA1E-951D-4602-933A-C7280047E2B7}"/>
    <cellStyle name="Comma 2 2 12 5 5" xfId="4506" xr:uid="{E84C17AE-7ABB-4649-8CEC-A5851E59E1E1}"/>
    <cellStyle name="Comma 2 2 12 5 5 2" xfId="41014" xr:uid="{E948E771-CB88-43EA-961A-25D3B336FE5A}"/>
    <cellStyle name="Comma 2 2 12 5 5 3" xfId="22760" xr:uid="{0C52274D-68D3-4D4E-9E34-CE62623F0A24}"/>
    <cellStyle name="Comma 2 2 12 5 6" xfId="37364" xr:uid="{1B22E68F-C220-4723-AD08-7C72C345BB14}"/>
    <cellStyle name="Comma 2 2 12 5 7" xfId="19110" xr:uid="{716F50F7-83F2-4308-A19B-C2D7139E1A81}"/>
    <cellStyle name="Comma 2 2 12 6" xfId="14726" xr:uid="{7DAAB782-B1BA-4BD2-8A02-3B3578BDCB71}"/>
    <cellStyle name="Comma 2 2 12 6 2" xfId="51234" xr:uid="{C7B45E48-0CCF-497C-A993-BC0CC8E4EBA7}"/>
    <cellStyle name="Comma 2 2 12 6 3" xfId="32980" xr:uid="{208C6B59-7323-49DD-AE69-BD56C7CDCDAB}"/>
    <cellStyle name="Comma 2 2 12 7" xfId="11076" xr:uid="{223B8138-0396-428C-BB9E-6551CD58C23C}"/>
    <cellStyle name="Comma 2 2 12 7 2" xfId="47584" xr:uid="{83378480-BCC6-488C-A3E7-6EAB385A49F2}"/>
    <cellStyle name="Comma 2 2 12 7 3" xfId="29330" xr:uid="{B86A0967-4562-4819-BEE2-D813144073F6}"/>
    <cellStyle name="Comma 2 2 12 8" xfId="7426" xr:uid="{2F8E2539-CD72-4B60-991A-443586D6D7C7}"/>
    <cellStyle name="Comma 2 2 12 8 2" xfId="43934" xr:uid="{BE1EBD66-7E3E-4B4F-9F5A-0CEA375DDED8}"/>
    <cellStyle name="Comma 2 2 12 8 3" xfId="25680" xr:uid="{0B1E1E02-804F-4E83-8C0E-4CD08718FCFE}"/>
    <cellStyle name="Comma 2 2 12 9" xfId="3776" xr:uid="{D20F97D2-B13A-41BD-B8A0-973056E69F85}"/>
    <cellStyle name="Comma 2 2 12 9 2" xfId="40284" xr:uid="{7DE78695-9192-423D-9F60-A0460D1F6C8C}"/>
    <cellStyle name="Comma 2 2 12 9 3" xfId="22030" xr:uid="{8676BA18-097A-48D7-BA03-88F8F8A24799}"/>
    <cellStyle name="Comma 2 2 13" xfId="2942" xr:uid="{C6815858-1694-43E3-861B-2B8B385E2216}"/>
    <cellStyle name="Comma 2 2 13 2" xfId="17542" xr:uid="{C4A411C4-CF9B-4E02-859C-255B76969B45}"/>
    <cellStyle name="Comma 2 2 13 2 2" xfId="54050" xr:uid="{CCAAB743-79DB-4A65-924D-D9B4F5FF0B29}"/>
    <cellStyle name="Comma 2 2 13 2 3" xfId="35796" xr:uid="{59588521-715A-45B7-A07B-596AB47A6706}"/>
    <cellStyle name="Comma 2 2 13 3" xfId="13892" xr:uid="{73773DBF-019E-40E3-AB1D-6FE47499F858}"/>
    <cellStyle name="Comma 2 2 13 3 2" xfId="50400" xr:uid="{C42883C1-11FA-442B-B823-EA291E101AC6}"/>
    <cellStyle name="Comma 2 2 13 3 3" xfId="32146" xr:uid="{9DC61AC4-6641-4E9F-A413-08247AA78508}"/>
    <cellStyle name="Comma 2 2 13 4" xfId="10242" xr:uid="{62015707-A0FC-487B-9680-C4F9422592D6}"/>
    <cellStyle name="Comma 2 2 13 4 2" xfId="46750" xr:uid="{0D715A63-C6EB-430B-9D71-2325941C046C}"/>
    <cellStyle name="Comma 2 2 13 4 3" xfId="28496" xr:uid="{6A28B013-35B2-46AB-937C-B5014628F71B}"/>
    <cellStyle name="Comma 2 2 13 5" xfId="6592" xr:uid="{0B7428E1-3406-4E4F-BB8C-4BBB92EE2645}"/>
    <cellStyle name="Comma 2 2 13 5 2" xfId="43100" xr:uid="{51DD6EBC-70B3-46F8-8B23-17374897B350}"/>
    <cellStyle name="Comma 2 2 13 5 3" xfId="24846" xr:uid="{856F406E-BD7B-4328-B832-C7F2147C54CE}"/>
    <cellStyle name="Comma 2 2 13 6" xfId="39450" xr:uid="{4273099E-1203-41EB-9C76-F8D277CCE14E}"/>
    <cellStyle name="Comma 2 2 13 7" xfId="21196" xr:uid="{884B9F14-384A-4B24-B918-505A5840FF26}"/>
    <cellStyle name="Comma 2 2 14" xfId="2212" xr:uid="{01D8DD6A-0D4E-43A7-8FCE-CDC68B75610D}"/>
    <cellStyle name="Comma 2 2 14 2" xfId="16812" xr:uid="{E6378E8E-9118-4B0C-955E-957F2077E78B}"/>
    <cellStyle name="Comma 2 2 14 2 2" xfId="53320" xr:uid="{AA69B0EB-BB15-4227-801E-832B746AB858}"/>
    <cellStyle name="Comma 2 2 14 2 3" xfId="35066" xr:uid="{40FD9A75-E84C-4C38-AEB0-7D3527522B71}"/>
    <cellStyle name="Comma 2 2 14 3" xfId="13162" xr:uid="{934033D2-A10A-4AA4-89EE-8B3223A6617D}"/>
    <cellStyle name="Comma 2 2 14 3 2" xfId="49670" xr:uid="{96BD9CF0-1151-412C-8943-1CC51B58D4B8}"/>
    <cellStyle name="Comma 2 2 14 3 3" xfId="31416" xr:uid="{7107D926-742E-4349-8B04-2FF2DFA67CC1}"/>
    <cellStyle name="Comma 2 2 14 4" xfId="9512" xr:uid="{FF156585-0B64-496E-8F02-11619D279E72}"/>
    <cellStyle name="Comma 2 2 14 4 2" xfId="46020" xr:uid="{C4252CC1-D573-4FA4-9E29-20C9BAAC05A0}"/>
    <cellStyle name="Comma 2 2 14 4 3" xfId="27766" xr:uid="{F08DBAA8-5D59-4ECE-945E-D5A95A89B43F}"/>
    <cellStyle name="Comma 2 2 14 5" xfId="5862" xr:uid="{7FC913B6-11B9-49D8-9914-D2501439D1E3}"/>
    <cellStyle name="Comma 2 2 14 5 2" xfId="42370" xr:uid="{CA37CA4A-D7ED-49A6-9403-E4A1884FCC78}"/>
    <cellStyle name="Comma 2 2 14 5 3" xfId="24116" xr:uid="{C2E878B9-338D-4594-95FE-6A4CFE059611}"/>
    <cellStyle name="Comma 2 2 14 6" xfId="38720" xr:uid="{21F59999-C1DF-437C-8FAA-3B200B77FBC8}"/>
    <cellStyle name="Comma 2 2 14 7" xfId="20466" xr:uid="{8976FB76-56C3-458C-B97E-00E4E92F04C8}"/>
    <cellStyle name="Comma 2 2 15" xfId="1482" xr:uid="{CC61AB00-ACA2-48AD-9D50-4F3B23945FA1}"/>
    <cellStyle name="Comma 2 2 15 2" xfId="16082" xr:uid="{EAE1473B-5FBD-434C-90DB-26C2165AB9C9}"/>
    <cellStyle name="Comma 2 2 15 2 2" xfId="52590" xr:uid="{60BAD264-6A85-417D-ABEA-B8D0BB1A6A19}"/>
    <cellStyle name="Comma 2 2 15 2 3" xfId="34336" xr:uid="{832CADD2-CAFA-409C-862D-B666C90F14C2}"/>
    <cellStyle name="Comma 2 2 15 3" xfId="12432" xr:uid="{690FB451-DBFC-4DB7-AC5E-1EEF376ED8C2}"/>
    <cellStyle name="Comma 2 2 15 3 2" xfId="48940" xr:uid="{D91ABF6E-E129-4F46-858D-470DA953DE97}"/>
    <cellStyle name="Comma 2 2 15 3 3" xfId="30686" xr:uid="{79C05297-8CAD-452C-B832-B22AB1C87099}"/>
    <cellStyle name="Comma 2 2 15 4" xfId="8782" xr:uid="{7910984A-4246-43AD-9DDC-9A8F64070674}"/>
    <cellStyle name="Comma 2 2 15 4 2" xfId="45290" xr:uid="{66AADA84-5B4A-467A-8714-F462D3D859D2}"/>
    <cellStyle name="Comma 2 2 15 4 3" xfId="27036" xr:uid="{EDEAD6D4-5A65-492B-BFD1-FDEA3BB2A772}"/>
    <cellStyle name="Comma 2 2 15 5" xfId="5132" xr:uid="{D3C3FB11-B4F4-441F-A7A6-C6EF48CE64E1}"/>
    <cellStyle name="Comma 2 2 15 5 2" xfId="41640" xr:uid="{7FD6A61D-25CB-4132-8B06-7ABEAA133087}"/>
    <cellStyle name="Comma 2 2 15 5 3" xfId="23386" xr:uid="{62D0F3D7-BFF8-449F-B2F5-F2C439730E74}"/>
    <cellStyle name="Comma 2 2 15 6" xfId="37990" xr:uid="{9445B99A-0A48-4165-A920-0451BC0B900D}"/>
    <cellStyle name="Comma 2 2 15 7" xfId="19736" xr:uid="{326DFA4B-E347-46D4-B9CA-FD2FA4981F4D}"/>
    <cellStyle name="Comma 2 2 16" xfId="752" xr:uid="{BB87A9A5-4C25-4C24-B6AD-FF5DF70D323F}"/>
    <cellStyle name="Comma 2 2 16 2" xfId="15352" xr:uid="{3A77C37C-0E13-47C1-B89E-EE2D5C94DFA6}"/>
    <cellStyle name="Comma 2 2 16 2 2" xfId="51860" xr:uid="{E8D320B9-F7B5-4222-ACEE-6EF2D36450A5}"/>
    <cellStyle name="Comma 2 2 16 2 3" xfId="33606" xr:uid="{DF69D09C-0D9F-4C1A-AD8D-940D7A24F459}"/>
    <cellStyle name="Comma 2 2 16 3" xfId="11702" xr:uid="{97A52A72-032D-43F3-815C-A830A4DC6B46}"/>
    <cellStyle name="Comma 2 2 16 3 2" xfId="48210" xr:uid="{BF0F39C8-376B-44EF-BFB9-20D0B99BC3B8}"/>
    <cellStyle name="Comma 2 2 16 3 3" xfId="29956" xr:uid="{139CAA7E-41E3-42D8-ADFB-0C6D7845D15B}"/>
    <cellStyle name="Comma 2 2 16 4" xfId="8052" xr:uid="{760F8DEF-DD15-4DB5-860C-F8A8E15051C7}"/>
    <cellStyle name="Comma 2 2 16 4 2" xfId="44560" xr:uid="{13E55594-927B-4C77-AED1-97F57B271FC7}"/>
    <cellStyle name="Comma 2 2 16 4 3" xfId="26306" xr:uid="{2C14BFD6-11EF-44DF-B688-975F320B8E65}"/>
    <cellStyle name="Comma 2 2 16 5" xfId="4402" xr:uid="{2E2DF35D-5F17-41F9-9040-4A3DE6CE6710}"/>
    <cellStyle name="Comma 2 2 16 5 2" xfId="40910" xr:uid="{2CB185F9-6ECD-4C49-8FBA-0E4ADEA68B5A}"/>
    <cellStyle name="Comma 2 2 16 5 3" xfId="22656" xr:uid="{C55AC693-B260-43DB-94D2-C6625F8259CC}"/>
    <cellStyle name="Comma 2 2 16 6" xfId="37260" xr:uid="{99EEC5DB-E679-45E9-B07A-E32E2E3947AF}"/>
    <cellStyle name="Comma 2 2 16 7" xfId="19006" xr:uid="{30D19096-DE5F-4C31-8AED-DB15C1E516A7}"/>
    <cellStyle name="Comma 2 2 17" xfId="14622" xr:uid="{947DEAD4-6B7B-48E7-B3A3-34186D790D88}"/>
    <cellStyle name="Comma 2 2 17 2" xfId="51130" xr:uid="{5A8D7083-E6F8-4C46-A018-4F9B19DF9A1E}"/>
    <cellStyle name="Comma 2 2 17 3" xfId="32876" xr:uid="{DDEF4DD5-ECC6-46A9-8D77-C4FDCA7B0250}"/>
    <cellStyle name="Comma 2 2 18" xfId="10972" xr:uid="{9BCD6EF5-A7E5-4F9E-B4EA-8A03B19414C5}"/>
    <cellStyle name="Comma 2 2 18 2" xfId="47480" xr:uid="{B01C6C57-A918-4BCB-BBED-EB9E64B713C4}"/>
    <cellStyle name="Comma 2 2 18 3" xfId="29226" xr:uid="{A6046600-EA44-4A03-8688-A201BBAEFCF1}"/>
    <cellStyle name="Comma 2 2 19" xfId="7322" xr:uid="{388153B6-C931-459D-8B57-A363600B27C2}"/>
    <cellStyle name="Comma 2 2 19 2" xfId="43830" xr:uid="{4F555F5D-5E36-4F04-A779-53D5139865E0}"/>
    <cellStyle name="Comma 2 2 19 3" xfId="25576" xr:uid="{538BF669-3B32-4E46-885D-B93196ADFE0F}"/>
    <cellStyle name="Comma 2 2 2" xfId="14" xr:uid="{00000000-0005-0000-0000-000003000000}"/>
    <cellStyle name="Comma 2 2 2 10" xfId="234" xr:uid="{CE28462D-246D-47C8-BD58-89B51CA50221}"/>
    <cellStyle name="Comma 2 2 2 10 10" xfId="36742" xr:uid="{D5F8837D-AABC-43D1-B39C-F27DDF3143E0}"/>
    <cellStyle name="Comma 2 2 2 10 11" xfId="18488" xr:uid="{18A409CD-0E60-4AA2-B6A1-4FF06D6D4D1A}"/>
    <cellStyle name="Comma 2 2 2 10 2" xfId="3154" xr:uid="{5E45305C-1A08-4155-AA8D-87DC619106BE}"/>
    <cellStyle name="Comma 2 2 2 10 2 2" xfId="17754" xr:uid="{566ADDAC-A658-462F-BEF7-8822BC19DAC9}"/>
    <cellStyle name="Comma 2 2 2 10 2 2 2" xfId="54262" xr:uid="{90C2B2D4-2638-469D-AD87-87D496A64D08}"/>
    <cellStyle name="Comma 2 2 2 10 2 2 3" xfId="36008" xr:uid="{A3FAC784-60FE-4067-B328-B1EC1765BADE}"/>
    <cellStyle name="Comma 2 2 2 10 2 3" xfId="14104" xr:uid="{9BA0D0DD-A8EB-49F1-BEA8-9F2AD35FEEFE}"/>
    <cellStyle name="Comma 2 2 2 10 2 3 2" xfId="50612" xr:uid="{2703F1E2-9556-4129-899C-A92721B460A5}"/>
    <cellStyle name="Comma 2 2 2 10 2 3 3" xfId="32358" xr:uid="{61493FD7-DC44-41DB-86B4-A7C05CD70E53}"/>
    <cellStyle name="Comma 2 2 2 10 2 4" xfId="10454" xr:uid="{91DF0631-4F5F-4A80-B309-3203B6B47271}"/>
    <cellStyle name="Comma 2 2 2 10 2 4 2" xfId="46962" xr:uid="{F9B98771-E1DF-445A-BF85-725E0362D43F}"/>
    <cellStyle name="Comma 2 2 2 10 2 4 3" xfId="28708" xr:uid="{E51CE361-4835-46A6-B391-DB2124C6E564}"/>
    <cellStyle name="Comma 2 2 2 10 2 5" xfId="6804" xr:uid="{3FDE0470-DBCD-48EA-A3B3-ECACC0419DD4}"/>
    <cellStyle name="Comma 2 2 2 10 2 5 2" xfId="43312" xr:uid="{1EA3D0D5-5529-47A6-92A5-74F45EE9665C}"/>
    <cellStyle name="Comma 2 2 2 10 2 5 3" xfId="25058" xr:uid="{C3DFB9F3-F710-437A-AED4-97672AE85DCB}"/>
    <cellStyle name="Comma 2 2 2 10 2 6" xfId="39662" xr:uid="{DD3F2C18-8B4F-44AE-BF2F-9116424EF3B6}"/>
    <cellStyle name="Comma 2 2 2 10 2 7" xfId="21408" xr:uid="{9F3EA8B3-23F6-42F1-877E-D135DAB0D716}"/>
    <cellStyle name="Comma 2 2 2 10 3" xfId="2424" xr:uid="{B9314BE0-FED0-4FEE-9786-52BFBBC020DB}"/>
    <cellStyle name="Comma 2 2 2 10 3 2" xfId="17024" xr:uid="{21D6269E-CABC-40BC-84DF-72DA25A1D98C}"/>
    <cellStyle name="Comma 2 2 2 10 3 2 2" xfId="53532" xr:uid="{F5FB354C-F79E-4C89-A3C6-EEA7B2C8E5F0}"/>
    <cellStyle name="Comma 2 2 2 10 3 2 3" xfId="35278" xr:uid="{303FD522-62A0-4299-BBFC-35C2183C566D}"/>
    <cellStyle name="Comma 2 2 2 10 3 3" xfId="13374" xr:uid="{9A5D88A3-125D-474F-8242-7BD0A551BCA1}"/>
    <cellStyle name="Comma 2 2 2 10 3 3 2" xfId="49882" xr:uid="{F011634B-E550-4CA5-9B52-81C0A4963D5D}"/>
    <cellStyle name="Comma 2 2 2 10 3 3 3" xfId="31628" xr:uid="{D4834D79-6E20-4C88-8E30-7D03DCCD40D5}"/>
    <cellStyle name="Comma 2 2 2 10 3 4" xfId="9724" xr:uid="{87735251-6DE5-4D97-AC88-4276298523CE}"/>
    <cellStyle name="Comma 2 2 2 10 3 4 2" xfId="46232" xr:uid="{C86111D3-95AD-4CE2-8E04-536B97DC5FC1}"/>
    <cellStyle name="Comma 2 2 2 10 3 4 3" xfId="27978" xr:uid="{166C8957-72C2-4308-82DB-FE8216609915}"/>
    <cellStyle name="Comma 2 2 2 10 3 5" xfId="6074" xr:uid="{B146E161-2385-42B0-AB80-43A39D42E96C}"/>
    <cellStyle name="Comma 2 2 2 10 3 5 2" xfId="42582" xr:uid="{B41D378A-F18E-4E78-A4BD-E46128EC7787}"/>
    <cellStyle name="Comma 2 2 2 10 3 5 3" xfId="24328" xr:uid="{18F43135-4EAD-41C4-9571-866222242D8C}"/>
    <cellStyle name="Comma 2 2 2 10 3 6" xfId="38932" xr:uid="{C595DC80-91C3-4D9E-B3D8-DF9A05079DA0}"/>
    <cellStyle name="Comma 2 2 2 10 3 7" xfId="20678" xr:uid="{F71C0E8C-5C34-4D3B-B026-BDD42875FFFE}"/>
    <cellStyle name="Comma 2 2 2 10 4" xfId="1694" xr:uid="{25E9BBFA-F422-4F53-82C3-40CCF0F87447}"/>
    <cellStyle name="Comma 2 2 2 10 4 2" xfId="16294" xr:uid="{2D94ACC1-031A-4A2E-8292-5364A5775B87}"/>
    <cellStyle name="Comma 2 2 2 10 4 2 2" xfId="52802" xr:uid="{9CA2E64B-6592-4F43-BF5A-E7F17D1110D5}"/>
    <cellStyle name="Comma 2 2 2 10 4 2 3" xfId="34548" xr:uid="{7A5AD14D-4CF7-47E6-B6E2-CEE3588B134B}"/>
    <cellStyle name="Comma 2 2 2 10 4 3" xfId="12644" xr:uid="{2F19E250-DA76-452C-9407-E2ECAE819813}"/>
    <cellStyle name="Comma 2 2 2 10 4 3 2" xfId="49152" xr:uid="{CCFF980D-E686-4D93-90D1-828DAFF6B967}"/>
    <cellStyle name="Comma 2 2 2 10 4 3 3" xfId="30898" xr:uid="{BF1ED7A1-A433-4A94-BC54-A22123319546}"/>
    <cellStyle name="Comma 2 2 2 10 4 4" xfId="8994" xr:uid="{6A749D1D-8BE3-4198-B3CA-979BE6702ACD}"/>
    <cellStyle name="Comma 2 2 2 10 4 4 2" xfId="45502" xr:uid="{8E6CDC5F-1D27-4E4E-AE52-BCA28F252FA9}"/>
    <cellStyle name="Comma 2 2 2 10 4 4 3" xfId="27248" xr:uid="{381E1C5C-D54C-4C3B-BF70-82BFFD4E7922}"/>
    <cellStyle name="Comma 2 2 2 10 4 5" xfId="5344" xr:uid="{66080DFB-5332-465A-8ADE-855271A79316}"/>
    <cellStyle name="Comma 2 2 2 10 4 5 2" xfId="41852" xr:uid="{A46636D1-4AA9-4439-9F9B-92DBFA699586}"/>
    <cellStyle name="Comma 2 2 2 10 4 5 3" xfId="23598" xr:uid="{313B1CEB-EF9E-4291-B947-4649187BE072}"/>
    <cellStyle name="Comma 2 2 2 10 4 6" xfId="38202" xr:uid="{F19D0B0C-4A34-4E90-9C6D-F8FC2494605D}"/>
    <cellStyle name="Comma 2 2 2 10 4 7" xfId="19948" xr:uid="{613F902F-F0A4-47E2-AD8B-D9534B5878DF}"/>
    <cellStyle name="Comma 2 2 2 10 5" xfId="964" xr:uid="{D91FCFE8-708B-491C-98A2-56E5EC1623B1}"/>
    <cellStyle name="Comma 2 2 2 10 5 2" xfId="15564" xr:uid="{7CCB1915-2BD2-47A2-B87D-200086B670E0}"/>
    <cellStyle name="Comma 2 2 2 10 5 2 2" xfId="52072" xr:uid="{796BB3F4-EC03-4BAC-9A2E-3BF09D307415}"/>
    <cellStyle name="Comma 2 2 2 10 5 2 3" xfId="33818" xr:uid="{F5FA794F-08E6-48E6-BDC0-D0B2BD5E7E95}"/>
    <cellStyle name="Comma 2 2 2 10 5 3" xfId="11914" xr:uid="{1282E555-7AB5-47A8-9DF9-B986EDC6B60D}"/>
    <cellStyle name="Comma 2 2 2 10 5 3 2" xfId="48422" xr:uid="{7E3F2C49-A155-4267-9D69-D8C95058BFF3}"/>
    <cellStyle name="Comma 2 2 2 10 5 3 3" xfId="30168" xr:uid="{031C4C84-AB55-4909-A4CC-894C2AC0593B}"/>
    <cellStyle name="Comma 2 2 2 10 5 4" xfId="8264" xr:uid="{1E9DEFC9-9782-4890-9A88-AFDA523E4AFF}"/>
    <cellStyle name="Comma 2 2 2 10 5 4 2" xfId="44772" xr:uid="{1A335C0E-59DE-44E3-BC3A-E2B4938BEA6C}"/>
    <cellStyle name="Comma 2 2 2 10 5 4 3" xfId="26518" xr:uid="{1D81B428-9B10-4282-88E0-C1458F94B698}"/>
    <cellStyle name="Comma 2 2 2 10 5 5" xfId="4614" xr:uid="{8411DCF6-D218-445D-8F94-8D6C2A5B06BB}"/>
    <cellStyle name="Comma 2 2 2 10 5 5 2" xfId="41122" xr:uid="{668A0689-6605-43D3-AB03-2E12BB459EA6}"/>
    <cellStyle name="Comma 2 2 2 10 5 5 3" xfId="22868" xr:uid="{6E5A3B38-2979-48A8-881B-BE3909700A8A}"/>
    <cellStyle name="Comma 2 2 2 10 5 6" xfId="37472" xr:uid="{C23C3AEA-41E9-4F00-A690-BE69EEED65D4}"/>
    <cellStyle name="Comma 2 2 2 10 5 7" xfId="19218" xr:uid="{4BF5161F-329A-47CA-905A-4E025DFA0C17}"/>
    <cellStyle name="Comma 2 2 2 10 6" xfId="14834" xr:uid="{E2F7B064-0EFD-4850-B165-A3AAD260646C}"/>
    <cellStyle name="Comma 2 2 2 10 6 2" xfId="51342" xr:uid="{88849B15-E40F-43DA-9B86-C1752E6F6470}"/>
    <cellStyle name="Comma 2 2 2 10 6 3" xfId="33088" xr:uid="{DA2293EB-A772-43E1-8119-318ADB63F3EA}"/>
    <cellStyle name="Comma 2 2 2 10 7" xfId="11184" xr:uid="{1275393F-6F3B-48B1-9D15-BBDC5B50C501}"/>
    <cellStyle name="Comma 2 2 2 10 7 2" xfId="47692" xr:uid="{9236B5F1-6FA6-4846-9B8A-6FEAB10DC670}"/>
    <cellStyle name="Comma 2 2 2 10 7 3" xfId="29438" xr:uid="{C7C6C3C1-66E3-4648-9A28-5A335D8B0B47}"/>
    <cellStyle name="Comma 2 2 2 10 8" xfId="7534" xr:uid="{CC4F31C0-2478-4A30-98CB-886DBE02F8D0}"/>
    <cellStyle name="Comma 2 2 2 10 8 2" xfId="44042" xr:uid="{9A290662-B8EB-470B-976D-79E2843D41EA}"/>
    <cellStyle name="Comma 2 2 2 10 8 3" xfId="25788" xr:uid="{13E43F19-7EE4-431C-8EF3-70E7E3E3B738}"/>
    <cellStyle name="Comma 2 2 2 10 9" xfId="3884" xr:uid="{71873D02-9391-401A-A575-A2A0D61E26CC}"/>
    <cellStyle name="Comma 2 2 2 10 9 2" xfId="40392" xr:uid="{D1240570-87D2-45B1-8DED-BD6040EC31C7}"/>
    <cellStyle name="Comma 2 2 2 10 9 3" xfId="22138" xr:uid="{7F5755C7-B360-4DD3-B177-78B9BE70EA17}"/>
    <cellStyle name="Comma 2 2 2 11" xfId="130" xr:uid="{EDABFB31-D45F-441B-A62A-027D67A5E333}"/>
    <cellStyle name="Comma 2 2 2 11 10" xfId="36638" xr:uid="{3D55AF72-93E8-49A1-B387-0115FF05E845}"/>
    <cellStyle name="Comma 2 2 2 11 11" xfId="18384" xr:uid="{641655C2-A1A3-4334-B67B-4B41F8085685}"/>
    <cellStyle name="Comma 2 2 2 11 2" xfId="3050" xr:uid="{847CBA42-DA4E-4F3C-8D69-7916985D79A5}"/>
    <cellStyle name="Comma 2 2 2 11 2 2" xfId="17650" xr:uid="{453611C5-7478-4325-BC69-C8F65C92F34B}"/>
    <cellStyle name="Comma 2 2 2 11 2 2 2" xfId="54158" xr:uid="{62C1072D-B879-45F8-A019-C6E5D600BDE2}"/>
    <cellStyle name="Comma 2 2 2 11 2 2 3" xfId="35904" xr:uid="{66CB8737-0CAD-4A2D-8646-37E42F4BFB2A}"/>
    <cellStyle name="Comma 2 2 2 11 2 3" xfId="14000" xr:uid="{2BEC2D84-28C7-4E3C-B7D6-DFB28F273D8D}"/>
    <cellStyle name="Comma 2 2 2 11 2 3 2" xfId="50508" xr:uid="{09555778-EEDE-46CC-B5DB-73DC5B6F28AD}"/>
    <cellStyle name="Comma 2 2 2 11 2 3 3" xfId="32254" xr:uid="{421D89E9-18D0-4026-87DE-57247EEEB75A}"/>
    <cellStyle name="Comma 2 2 2 11 2 4" xfId="10350" xr:uid="{A4A2BEB7-04F7-4147-8E1E-C1C217E62E34}"/>
    <cellStyle name="Comma 2 2 2 11 2 4 2" xfId="46858" xr:uid="{8C74A7F7-7C5F-4EBC-9921-558A48E034CD}"/>
    <cellStyle name="Comma 2 2 2 11 2 4 3" xfId="28604" xr:uid="{F6B53E5F-FFC4-402F-97C8-B7C13E8B5B41}"/>
    <cellStyle name="Comma 2 2 2 11 2 5" xfId="6700" xr:uid="{2C0E54CF-8CBF-4C29-ADEB-C4015949E925}"/>
    <cellStyle name="Comma 2 2 2 11 2 5 2" xfId="43208" xr:uid="{359083A4-9145-43B2-B029-309DF2BD7D92}"/>
    <cellStyle name="Comma 2 2 2 11 2 5 3" xfId="24954" xr:uid="{05199B97-A754-4E99-B108-20B54D3C3BED}"/>
    <cellStyle name="Comma 2 2 2 11 2 6" xfId="39558" xr:uid="{096C7E57-0CAB-413A-A090-E28EBA776CD5}"/>
    <cellStyle name="Comma 2 2 2 11 2 7" xfId="21304" xr:uid="{E546FF97-733C-4EFB-863F-2B51852567EF}"/>
    <cellStyle name="Comma 2 2 2 11 3" xfId="2320" xr:uid="{1CD344F2-C2DE-4F9D-BEA8-4ED46D9631AA}"/>
    <cellStyle name="Comma 2 2 2 11 3 2" xfId="16920" xr:uid="{3FEABFB5-A9F5-46E0-85E5-844DC76E53D6}"/>
    <cellStyle name="Comma 2 2 2 11 3 2 2" xfId="53428" xr:uid="{1DEAEC58-15E0-4B64-A68B-BDD047DB442C}"/>
    <cellStyle name="Comma 2 2 2 11 3 2 3" xfId="35174" xr:uid="{394BF36A-083A-4108-A0BC-03D4A23C4A83}"/>
    <cellStyle name="Comma 2 2 2 11 3 3" xfId="13270" xr:uid="{E382A1C2-7B78-4B21-BCA9-F5F702A8D164}"/>
    <cellStyle name="Comma 2 2 2 11 3 3 2" xfId="49778" xr:uid="{8DD302AC-CE13-47DA-83C5-564E43DDC0E5}"/>
    <cellStyle name="Comma 2 2 2 11 3 3 3" xfId="31524" xr:uid="{5A198FF2-C755-4FCA-B9C6-B08AB4B7CE8E}"/>
    <cellStyle name="Comma 2 2 2 11 3 4" xfId="9620" xr:uid="{1E667D04-9615-42A7-B36C-17B10938AC4B}"/>
    <cellStyle name="Comma 2 2 2 11 3 4 2" xfId="46128" xr:uid="{95B48AD3-C426-4DB3-AA53-3AEABC8025F6}"/>
    <cellStyle name="Comma 2 2 2 11 3 4 3" xfId="27874" xr:uid="{96A1CBDC-842E-4B23-BB6F-99735D558201}"/>
    <cellStyle name="Comma 2 2 2 11 3 5" xfId="5970" xr:uid="{D036140B-3447-43AC-9B27-65145841E6ED}"/>
    <cellStyle name="Comma 2 2 2 11 3 5 2" xfId="42478" xr:uid="{84DF901B-94DB-4B39-AA8E-DB5AB62DE502}"/>
    <cellStyle name="Comma 2 2 2 11 3 5 3" xfId="24224" xr:uid="{726D3C88-3EC4-433C-8440-1DE400C5EC57}"/>
    <cellStyle name="Comma 2 2 2 11 3 6" xfId="38828" xr:uid="{695B54D7-C839-4E9B-AFA4-49A86769E137}"/>
    <cellStyle name="Comma 2 2 2 11 3 7" xfId="20574" xr:uid="{907E4F06-18FF-4C66-81B1-BE8EF5FEB691}"/>
    <cellStyle name="Comma 2 2 2 11 4" xfId="1590" xr:uid="{9E4AC038-889E-401A-91C1-66E9972B817D}"/>
    <cellStyle name="Comma 2 2 2 11 4 2" xfId="16190" xr:uid="{19037145-A851-4F97-8FD0-019C37AEF505}"/>
    <cellStyle name="Comma 2 2 2 11 4 2 2" xfId="52698" xr:uid="{BDDCF086-DBC4-4BB9-97B0-0CEDDE88B011}"/>
    <cellStyle name="Comma 2 2 2 11 4 2 3" xfId="34444" xr:uid="{75BEF4C5-0961-452F-872F-BB93A45AB3E4}"/>
    <cellStyle name="Comma 2 2 2 11 4 3" xfId="12540" xr:uid="{20599CDE-7E71-4752-80EC-2FAE76F9D70C}"/>
    <cellStyle name="Comma 2 2 2 11 4 3 2" xfId="49048" xr:uid="{30352B4C-DF93-49F9-ACCE-FB9DB0956A09}"/>
    <cellStyle name="Comma 2 2 2 11 4 3 3" xfId="30794" xr:uid="{A8316003-60E1-4ED4-93C9-FAA8AAA2F0E7}"/>
    <cellStyle name="Comma 2 2 2 11 4 4" xfId="8890" xr:uid="{154BA563-22E8-41CC-960C-F814E359BFEC}"/>
    <cellStyle name="Comma 2 2 2 11 4 4 2" xfId="45398" xr:uid="{F96E7963-398D-4F45-91CB-D0BE7ADAC650}"/>
    <cellStyle name="Comma 2 2 2 11 4 4 3" xfId="27144" xr:uid="{B0BE085A-6837-4268-9CAB-2FFD844229E9}"/>
    <cellStyle name="Comma 2 2 2 11 4 5" xfId="5240" xr:uid="{6775081F-990F-4F7F-A2F6-8FA1EC6F15B8}"/>
    <cellStyle name="Comma 2 2 2 11 4 5 2" xfId="41748" xr:uid="{E1EB06CB-D40F-4965-BAAB-5531923678BB}"/>
    <cellStyle name="Comma 2 2 2 11 4 5 3" xfId="23494" xr:uid="{DA014131-8D4F-4372-8B79-30F982238612}"/>
    <cellStyle name="Comma 2 2 2 11 4 6" xfId="38098" xr:uid="{E7E0DA81-34D9-4A87-87B8-F043D1FA60A2}"/>
    <cellStyle name="Comma 2 2 2 11 4 7" xfId="19844" xr:uid="{791B0173-08D1-42FE-AA49-E1DA5D0D8F10}"/>
    <cellStyle name="Comma 2 2 2 11 5" xfId="860" xr:uid="{61255F2C-A0A9-469A-BC6A-0E54453D3258}"/>
    <cellStyle name="Comma 2 2 2 11 5 2" xfId="15460" xr:uid="{57B10957-9A09-43A8-AADE-C59C59A8F50B}"/>
    <cellStyle name="Comma 2 2 2 11 5 2 2" xfId="51968" xr:uid="{5714B011-F524-47E3-8196-6CE6833C840A}"/>
    <cellStyle name="Comma 2 2 2 11 5 2 3" xfId="33714" xr:uid="{4AEE03B8-E683-42ED-8898-A3288C48AD5B}"/>
    <cellStyle name="Comma 2 2 2 11 5 3" xfId="11810" xr:uid="{2CF8C07A-301C-437A-80F1-EC068D48D49A}"/>
    <cellStyle name="Comma 2 2 2 11 5 3 2" xfId="48318" xr:uid="{F4892826-A540-4235-B49D-B0359B222BED}"/>
    <cellStyle name="Comma 2 2 2 11 5 3 3" xfId="30064" xr:uid="{E5C1BFE6-8239-49F7-B946-98FE48C6819E}"/>
    <cellStyle name="Comma 2 2 2 11 5 4" xfId="8160" xr:uid="{1A6C2760-D253-42E9-8922-C3C6E9C66172}"/>
    <cellStyle name="Comma 2 2 2 11 5 4 2" xfId="44668" xr:uid="{7A2F72F8-0CDE-4BE6-A7F0-E22969149592}"/>
    <cellStyle name="Comma 2 2 2 11 5 4 3" xfId="26414" xr:uid="{922D341F-F4AE-4356-9AC9-4CE4A157D44E}"/>
    <cellStyle name="Comma 2 2 2 11 5 5" xfId="4510" xr:uid="{1833E342-832A-4F39-866B-545EB9A58864}"/>
    <cellStyle name="Comma 2 2 2 11 5 5 2" xfId="41018" xr:uid="{09AE421E-A893-445A-A35D-7F025C8EFACE}"/>
    <cellStyle name="Comma 2 2 2 11 5 5 3" xfId="22764" xr:uid="{1950F74E-0B0E-4104-98CA-D539B6D06099}"/>
    <cellStyle name="Comma 2 2 2 11 5 6" xfId="37368" xr:uid="{26381BB3-E54A-4A92-929C-0162FC18C978}"/>
    <cellStyle name="Comma 2 2 2 11 5 7" xfId="19114" xr:uid="{37073ADC-8669-42EC-B6FC-30EE8E77A29D}"/>
    <cellStyle name="Comma 2 2 2 11 6" xfId="14730" xr:uid="{F7AEE7D8-ACB2-4019-94BA-AD28803CAB64}"/>
    <cellStyle name="Comma 2 2 2 11 6 2" xfId="51238" xr:uid="{757550AF-6F0F-4B01-898E-5C1227C34E9B}"/>
    <cellStyle name="Comma 2 2 2 11 6 3" xfId="32984" xr:uid="{F628FC88-C96B-43FC-972D-CC04B8EBACB1}"/>
    <cellStyle name="Comma 2 2 2 11 7" xfId="11080" xr:uid="{1DF0F923-BA56-4886-BE95-BFF191D1366E}"/>
    <cellStyle name="Comma 2 2 2 11 7 2" xfId="47588" xr:uid="{FBCA2EF7-8D23-4783-A93E-869FDD329CA5}"/>
    <cellStyle name="Comma 2 2 2 11 7 3" xfId="29334" xr:uid="{C15A64B0-71F2-41C0-A78E-D6E1597C046B}"/>
    <cellStyle name="Comma 2 2 2 11 8" xfId="7430" xr:uid="{8D9D75F5-2FF1-468C-9BB3-52A2CD720D68}"/>
    <cellStyle name="Comma 2 2 2 11 8 2" xfId="43938" xr:uid="{75C03F3E-47FC-4BE2-AF2D-1485B7925F80}"/>
    <cellStyle name="Comma 2 2 2 11 8 3" xfId="25684" xr:uid="{3950810A-9C7F-4B97-953F-6394E2D98A7C}"/>
    <cellStyle name="Comma 2 2 2 11 9" xfId="3780" xr:uid="{3763B1C2-3C71-437C-AE3A-9EC4A5349F08}"/>
    <cellStyle name="Comma 2 2 2 11 9 2" xfId="40288" xr:uid="{44999C97-A137-4665-AA34-1E6ED9704387}"/>
    <cellStyle name="Comma 2 2 2 11 9 3" xfId="22034" xr:uid="{EF1243B5-0C17-4BDE-9940-E2BC2E91D5E0}"/>
    <cellStyle name="Comma 2 2 2 12" xfId="2946" xr:uid="{F883E8E3-4426-4EC7-B041-C98D0D929ED5}"/>
    <cellStyle name="Comma 2 2 2 12 2" xfId="17546" xr:uid="{4874DE84-84C7-4961-97B6-1D20FF2C6920}"/>
    <cellStyle name="Comma 2 2 2 12 2 2" xfId="54054" xr:uid="{343070DF-C901-4DB8-B6AD-72A7C0700A4C}"/>
    <cellStyle name="Comma 2 2 2 12 2 3" xfId="35800" xr:uid="{4E99373A-CD74-4316-98A6-C17F6652248A}"/>
    <cellStyle name="Comma 2 2 2 12 3" xfId="13896" xr:uid="{0DC743FA-55C7-426C-90C5-47097897DC9C}"/>
    <cellStyle name="Comma 2 2 2 12 3 2" xfId="50404" xr:uid="{B67CFFEC-B148-4E4D-A6BC-72ACF19EA24D}"/>
    <cellStyle name="Comma 2 2 2 12 3 3" xfId="32150" xr:uid="{49EED7FF-B693-4C46-A59D-0A6DD14D1576}"/>
    <cellStyle name="Comma 2 2 2 12 4" xfId="10246" xr:uid="{D3578E23-E960-4A19-8CAF-7ACC592D946B}"/>
    <cellStyle name="Comma 2 2 2 12 4 2" xfId="46754" xr:uid="{13F8C9DD-40A9-405B-BFAF-14F4DF5231B1}"/>
    <cellStyle name="Comma 2 2 2 12 4 3" xfId="28500" xr:uid="{E5BD42CD-FB81-43F7-861F-9489423B8EF4}"/>
    <cellStyle name="Comma 2 2 2 12 5" xfId="6596" xr:uid="{A6C987B9-DF6F-4D05-B547-A132A94246AB}"/>
    <cellStyle name="Comma 2 2 2 12 5 2" xfId="43104" xr:uid="{2DFECDE9-3F70-4BD3-A35C-A4780CE9542C}"/>
    <cellStyle name="Comma 2 2 2 12 5 3" xfId="24850" xr:uid="{578078D6-9E07-4F2A-84D6-6A4051A6FD1C}"/>
    <cellStyle name="Comma 2 2 2 12 6" xfId="39454" xr:uid="{4B84D622-F1A8-45B4-8017-11AD6BAE0BCB}"/>
    <cellStyle name="Comma 2 2 2 12 7" xfId="21200" xr:uid="{CBF681BC-FD56-4856-B5E5-B90288FD3AC5}"/>
    <cellStyle name="Comma 2 2 2 13" xfId="2216" xr:uid="{D722FFE3-DC26-434F-8BF2-F28E292396E6}"/>
    <cellStyle name="Comma 2 2 2 13 2" xfId="16816" xr:uid="{BF8249A6-6520-4FC6-AAE4-621F8F2D8F57}"/>
    <cellStyle name="Comma 2 2 2 13 2 2" xfId="53324" xr:uid="{28E70207-CA9C-4DBD-A089-6CDA1E2C2D66}"/>
    <cellStyle name="Comma 2 2 2 13 2 3" xfId="35070" xr:uid="{0E16E8ED-4D3E-4BDF-8CFE-6D082DFFA4FB}"/>
    <cellStyle name="Comma 2 2 2 13 3" xfId="13166" xr:uid="{1C5621FB-99E7-4F3E-8734-AEF054266EE2}"/>
    <cellStyle name="Comma 2 2 2 13 3 2" xfId="49674" xr:uid="{5CA97D38-12EE-4AF4-8421-1AAF0B84FF13}"/>
    <cellStyle name="Comma 2 2 2 13 3 3" xfId="31420" xr:uid="{9431D32A-1C01-47B1-96EA-B70CFEEB0820}"/>
    <cellStyle name="Comma 2 2 2 13 4" xfId="9516" xr:uid="{236E7B15-D99C-4CB8-8BCA-48E4AB867124}"/>
    <cellStyle name="Comma 2 2 2 13 4 2" xfId="46024" xr:uid="{16EFE5F6-BC3D-4035-B566-651A7649D6AB}"/>
    <cellStyle name="Comma 2 2 2 13 4 3" xfId="27770" xr:uid="{446A00CC-4CC3-4C14-877B-5909E282F402}"/>
    <cellStyle name="Comma 2 2 2 13 5" xfId="5866" xr:uid="{31400ED0-CD58-42B6-8D42-1716C2604A52}"/>
    <cellStyle name="Comma 2 2 2 13 5 2" xfId="42374" xr:uid="{75E1FFAB-6403-40A7-9931-6108AB81DEE0}"/>
    <cellStyle name="Comma 2 2 2 13 5 3" xfId="24120" xr:uid="{42D84DA8-EB0C-4C01-BE24-CEAF38EF0F26}"/>
    <cellStyle name="Comma 2 2 2 13 6" xfId="38724" xr:uid="{3A37022B-D80B-47A5-9718-437E4AB8F194}"/>
    <cellStyle name="Comma 2 2 2 13 7" xfId="20470" xr:uid="{AD342945-D82B-4297-900D-CE5F1765588E}"/>
    <cellStyle name="Comma 2 2 2 14" xfId="1486" xr:uid="{3F480FE0-4F02-411B-A0EC-C4714E423FF7}"/>
    <cellStyle name="Comma 2 2 2 14 2" xfId="16086" xr:uid="{F0D689DC-5341-481D-9474-B7B03AB0E134}"/>
    <cellStyle name="Comma 2 2 2 14 2 2" xfId="52594" xr:uid="{474DE418-BF43-4D0B-83C8-2FFFF99F6473}"/>
    <cellStyle name="Comma 2 2 2 14 2 3" xfId="34340" xr:uid="{B709C90D-165D-4916-8335-6761A53F7E14}"/>
    <cellStyle name="Comma 2 2 2 14 3" xfId="12436" xr:uid="{F9261B7D-88EE-4FDE-8704-1C46656D27BA}"/>
    <cellStyle name="Comma 2 2 2 14 3 2" xfId="48944" xr:uid="{9C0EA7B0-8F66-48B5-9E35-C88489C91A96}"/>
    <cellStyle name="Comma 2 2 2 14 3 3" xfId="30690" xr:uid="{23BF2B50-59C5-4340-849F-58CE85473591}"/>
    <cellStyle name="Comma 2 2 2 14 4" xfId="8786" xr:uid="{EB7E4F88-F8F6-412F-8098-EF9F9F328904}"/>
    <cellStyle name="Comma 2 2 2 14 4 2" xfId="45294" xr:uid="{970295DB-78E0-4BD7-AFF2-1CCAFCE04E39}"/>
    <cellStyle name="Comma 2 2 2 14 4 3" xfId="27040" xr:uid="{4B8F70C3-70D7-4DA1-A281-9A82AC89375B}"/>
    <cellStyle name="Comma 2 2 2 14 5" xfId="5136" xr:uid="{A9F1B080-91AB-483D-962F-84E3D669B6A1}"/>
    <cellStyle name="Comma 2 2 2 14 5 2" xfId="41644" xr:uid="{024A7F02-F610-4190-A4A4-8308B2CD9E44}"/>
    <cellStyle name="Comma 2 2 2 14 5 3" xfId="23390" xr:uid="{DFE540FD-A72D-4407-8C53-E4C599EC6193}"/>
    <cellStyle name="Comma 2 2 2 14 6" xfId="37994" xr:uid="{5FDC71CC-A09D-4472-BA80-36D7D54E2188}"/>
    <cellStyle name="Comma 2 2 2 14 7" xfId="19740" xr:uid="{6A123A14-580C-47C4-8618-400079AE8EB2}"/>
    <cellStyle name="Comma 2 2 2 15" xfId="756" xr:uid="{7C7F6C8F-89FE-4550-889C-78CEC49F61E0}"/>
    <cellStyle name="Comma 2 2 2 15 2" xfId="15356" xr:uid="{6823E799-5654-48FC-8515-34D936D27E1F}"/>
    <cellStyle name="Comma 2 2 2 15 2 2" xfId="51864" xr:uid="{AE049CD9-ACE3-4646-A4C8-F2568821A969}"/>
    <cellStyle name="Comma 2 2 2 15 2 3" xfId="33610" xr:uid="{9AEF1ED7-F6EB-4E4A-8037-BBF0CFF09DC4}"/>
    <cellStyle name="Comma 2 2 2 15 3" xfId="11706" xr:uid="{083D67FA-3876-4482-B2B9-774B5BD27377}"/>
    <cellStyle name="Comma 2 2 2 15 3 2" xfId="48214" xr:uid="{B03E643A-EDB8-4909-ADD7-12AA6E98481F}"/>
    <cellStyle name="Comma 2 2 2 15 3 3" xfId="29960" xr:uid="{033542B9-6221-4BA2-997C-0584C705B5F4}"/>
    <cellStyle name="Comma 2 2 2 15 4" xfId="8056" xr:uid="{9BEBB42F-63A7-48A6-9C9C-0068118F8BF2}"/>
    <cellStyle name="Comma 2 2 2 15 4 2" xfId="44564" xr:uid="{1F24044D-6102-4E5E-9C47-09B1E4868D96}"/>
    <cellStyle name="Comma 2 2 2 15 4 3" xfId="26310" xr:uid="{22E94FCE-F587-4EE7-83DE-2138FBF58893}"/>
    <cellStyle name="Comma 2 2 2 15 5" xfId="4406" xr:uid="{217631BC-4A6B-4732-B1BE-B6A4CFC70B2A}"/>
    <cellStyle name="Comma 2 2 2 15 5 2" xfId="40914" xr:uid="{19FF3E38-404A-40F4-B827-39C4B9F5CA3F}"/>
    <cellStyle name="Comma 2 2 2 15 5 3" xfId="22660" xr:uid="{3564E4DD-1328-4EAE-B05D-55FDB05F60E2}"/>
    <cellStyle name="Comma 2 2 2 15 6" xfId="37264" xr:uid="{B23B1F62-2379-41DF-B9CF-87D62E8C996C}"/>
    <cellStyle name="Comma 2 2 2 15 7" xfId="19010" xr:uid="{42EE6B4C-FB16-4074-92B3-3D4FB3C5A304}"/>
    <cellStyle name="Comma 2 2 2 16" xfId="14626" xr:uid="{81C71FF6-3F64-42C6-9D97-E8972E057674}"/>
    <cellStyle name="Comma 2 2 2 16 2" xfId="51134" xr:uid="{ACD17C9A-A09E-4E4F-AF96-A387F485B56F}"/>
    <cellStyle name="Comma 2 2 2 16 3" xfId="32880" xr:uid="{F40710A1-74CA-41F0-88BD-36C07EE53C93}"/>
    <cellStyle name="Comma 2 2 2 17" xfId="10976" xr:uid="{E4563C5A-C6FA-4C0B-BFAF-616104EB174A}"/>
    <cellStyle name="Comma 2 2 2 17 2" xfId="47484" xr:uid="{CA9BF590-A232-4A8E-87DA-06B6D44A4B2A}"/>
    <cellStyle name="Comma 2 2 2 17 3" xfId="29230" xr:uid="{36075D18-7EE3-4780-AD04-9E5E3ADFE589}"/>
    <cellStyle name="Comma 2 2 2 18" xfId="7326" xr:uid="{684F044D-1F84-43C1-8933-E9DDBEB9E04F}"/>
    <cellStyle name="Comma 2 2 2 18 2" xfId="43834" xr:uid="{A00E494D-EA1F-47DB-8DB2-86309EF2D1C2}"/>
    <cellStyle name="Comma 2 2 2 18 3" xfId="25580" xr:uid="{3E511C69-659F-4504-B5AE-BC1F218292DE}"/>
    <cellStyle name="Comma 2 2 2 19" xfId="3676" xr:uid="{9163AC6B-6ECB-4A09-A27B-A6FB6BF67342}"/>
    <cellStyle name="Comma 2 2 2 19 2" xfId="40184" xr:uid="{10D4F61D-D816-4660-8241-52981AA62F49}"/>
    <cellStyle name="Comma 2 2 2 19 3" xfId="21930" xr:uid="{D039B1F2-FED1-41CF-9653-27F2CEA582D4}"/>
    <cellStyle name="Comma 2 2 2 2" xfId="22" xr:uid="{00000000-0005-0000-0000-000004000000}"/>
    <cellStyle name="Comma 2 2 2 2 10" xfId="138" xr:uid="{1EEFA26E-2A5A-4C74-98FC-E2858C107D53}"/>
    <cellStyle name="Comma 2 2 2 2 10 10" xfId="36646" xr:uid="{216E0C4E-87B6-4102-800B-3E7780CDB7F1}"/>
    <cellStyle name="Comma 2 2 2 2 10 11" xfId="18392" xr:uid="{87D64CF8-EFE0-4CE2-8A49-7B9C1C510B20}"/>
    <cellStyle name="Comma 2 2 2 2 10 2" xfId="3058" xr:uid="{EE986ED9-C035-480A-9F83-7E667B2B6982}"/>
    <cellStyle name="Comma 2 2 2 2 10 2 2" xfId="17658" xr:uid="{B41B00F4-5129-425B-854B-3B894834C907}"/>
    <cellStyle name="Comma 2 2 2 2 10 2 2 2" xfId="54166" xr:uid="{FF5F1844-DBEE-40FA-9F70-35C68CCA4305}"/>
    <cellStyle name="Comma 2 2 2 2 10 2 2 3" xfId="35912" xr:uid="{FF5DE79F-8A24-4EA2-8B23-F15129FD4AE1}"/>
    <cellStyle name="Comma 2 2 2 2 10 2 3" xfId="14008" xr:uid="{04535B59-2A5A-4833-AA10-964441B79313}"/>
    <cellStyle name="Comma 2 2 2 2 10 2 3 2" xfId="50516" xr:uid="{2805E230-D6F8-4015-B8ED-54C435E4B055}"/>
    <cellStyle name="Comma 2 2 2 2 10 2 3 3" xfId="32262" xr:uid="{1A70BCDE-CFFE-43BD-9B9F-37F2851E98C2}"/>
    <cellStyle name="Comma 2 2 2 2 10 2 4" xfId="10358" xr:uid="{1B8198C3-43CB-41B6-81DB-A9380831F1B8}"/>
    <cellStyle name="Comma 2 2 2 2 10 2 4 2" xfId="46866" xr:uid="{D822E523-9DEB-443F-B99E-5F94EF49437B}"/>
    <cellStyle name="Comma 2 2 2 2 10 2 4 3" xfId="28612" xr:uid="{2837CC33-9911-4AD4-AFB0-2E2CA8535AC8}"/>
    <cellStyle name="Comma 2 2 2 2 10 2 5" xfId="6708" xr:uid="{F96B4723-8C90-42EA-8346-8866A33C0116}"/>
    <cellStyle name="Comma 2 2 2 2 10 2 5 2" xfId="43216" xr:uid="{DFFA7DEB-E837-4D4F-9939-D513AF75FA7D}"/>
    <cellStyle name="Comma 2 2 2 2 10 2 5 3" xfId="24962" xr:uid="{B46CBD97-6512-4955-BC63-0D1ACB3328B0}"/>
    <cellStyle name="Comma 2 2 2 2 10 2 6" xfId="39566" xr:uid="{8A3D2BB9-B6A6-41AC-8BDA-360C92861D5F}"/>
    <cellStyle name="Comma 2 2 2 2 10 2 7" xfId="21312" xr:uid="{3ECB1985-E039-40EC-9377-3746393C1315}"/>
    <cellStyle name="Comma 2 2 2 2 10 3" xfId="2328" xr:uid="{A8E13855-0C35-4008-9299-81BA3C784E05}"/>
    <cellStyle name="Comma 2 2 2 2 10 3 2" xfId="16928" xr:uid="{92DA6341-7424-4014-9D08-E3B914EA48B2}"/>
    <cellStyle name="Comma 2 2 2 2 10 3 2 2" xfId="53436" xr:uid="{A642E990-5183-4FEB-9969-928329F7834B}"/>
    <cellStyle name="Comma 2 2 2 2 10 3 2 3" xfId="35182" xr:uid="{E9A6B175-C339-4239-8AFA-9BDCF28BC446}"/>
    <cellStyle name="Comma 2 2 2 2 10 3 3" xfId="13278" xr:uid="{7FAF47F0-8763-4D8F-B3DA-CE5D557129CF}"/>
    <cellStyle name="Comma 2 2 2 2 10 3 3 2" xfId="49786" xr:uid="{97F34556-51DC-4899-B78D-483DFC7EE6CC}"/>
    <cellStyle name="Comma 2 2 2 2 10 3 3 3" xfId="31532" xr:uid="{2A9251B4-7E20-438F-B28F-201F932FDB09}"/>
    <cellStyle name="Comma 2 2 2 2 10 3 4" xfId="9628" xr:uid="{4C572F09-F830-417B-87D3-7BF69F2F0E46}"/>
    <cellStyle name="Comma 2 2 2 2 10 3 4 2" xfId="46136" xr:uid="{7F0DDFF4-5994-48D3-B7DA-60B677337671}"/>
    <cellStyle name="Comma 2 2 2 2 10 3 4 3" xfId="27882" xr:uid="{0AA5F1E2-2403-4F6C-9324-1ED9060E7305}"/>
    <cellStyle name="Comma 2 2 2 2 10 3 5" xfId="5978" xr:uid="{F0B5A595-6E01-42B8-9AB6-B1B9B9DD6ADA}"/>
    <cellStyle name="Comma 2 2 2 2 10 3 5 2" xfId="42486" xr:uid="{00FA88E8-1A79-45D2-AEA1-D7B46438DFEF}"/>
    <cellStyle name="Comma 2 2 2 2 10 3 5 3" xfId="24232" xr:uid="{491DF8E1-0101-4E8F-B713-3CC386421F67}"/>
    <cellStyle name="Comma 2 2 2 2 10 3 6" xfId="38836" xr:uid="{603A0477-0043-4F6D-961C-3C431731FE00}"/>
    <cellStyle name="Comma 2 2 2 2 10 3 7" xfId="20582" xr:uid="{505B1C69-CDE4-47F2-9C59-D6A348DEF326}"/>
    <cellStyle name="Comma 2 2 2 2 10 4" xfId="1598" xr:uid="{F850204E-0F24-473D-BDC2-B2CF482986A0}"/>
    <cellStyle name="Comma 2 2 2 2 10 4 2" xfId="16198" xr:uid="{D004FAD5-C151-4FF2-B957-80D892F72E94}"/>
    <cellStyle name="Comma 2 2 2 2 10 4 2 2" xfId="52706" xr:uid="{C21C94C2-3069-452E-9E8F-7BF7D4BBD797}"/>
    <cellStyle name="Comma 2 2 2 2 10 4 2 3" xfId="34452" xr:uid="{93FEC4F0-D27C-45F2-8FCB-9FB74C9C9747}"/>
    <cellStyle name="Comma 2 2 2 2 10 4 3" xfId="12548" xr:uid="{4C8B4EC4-F32D-442E-90B2-C5A92223281B}"/>
    <cellStyle name="Comma 2 2 2 2 10 4 3 2" xfId="49056" xr:uid="{F7B188D5-6802-4C45-9ECF-B643857B9D96}"/>
    <cellStyle name="Comma 2 2 2 2 10 4 3 3" xfId="30802" xr:uid="{62E06D07-4352-4C9F-9EE3-EC8522D86FE7}"/>
    <cellStyle name="Comma 2 2 2 2 10 4 4" xfId="8898" xr:uid="{E7E7BA61-3843-474F-BB61-90A2C1D3F363}"/>
    <cellStyle name="Comma 2 2 2 2 10 4 4 2" xfId="45406" xr:uid="{359A7C16-3BF8-4E0A-965B-D76F8D7C2DAF}"/>
    <cellStyle name="Comma 2 2 2 2 10 4 4 3" xfId="27152" xr:uid="{DD4A4AB0-E4C6-46D7-9BAE-57B4FD9E6D63}"/>
    <cellStyle name="Comma 2 2 2 2 10 4 5" xfId="5248" xr:uid="{0B802119-F25C-49B0-8E5A-40DC657FE57E}"/>
    <cellStyle name="Comma 2 2 2 2 10 4 5 2" xfId="41756" xr:uid="{96B72941-C323-4E7E-9B0D-29C68851E382}"/>
    <cellStyle name="Comma 2 2 2 2 10 4 5 3" xfId="23502" xr:uid="{74A5D657-B1F9-4DE6-B01E-F6F4333644DE}"/>
    <cellStyle name="Comma 2 2 2 2 10 4 6" xfId="38106" xr:uid="{C1F5A00E-4557-43C3-8362-DE8E7D08385F}"/>
    <cellStyle name="Comma 2 2 2 2 10 4 7" xfId="19852" xr:uid="{0463CA7D-22EF-4AA0-8D59-6F67C30EE209}"/>
    <cellStyle name="Comma 2 2 2 2 10 5" xfId="868" xr:uid="{53BBD188-5816-4728-88E5-10E1D2207571}"/>
    <cellStyle name="Comma 2 2 2 2 10 5 2" xfId="15468" xr:uid="{8251EDC5-09E4-4D00-A32D-FC1CC8600DE4}"/>
    <cellStyle name="Comma 2 2 2 2 10 5 2 2" xfId="51976" xr:uid="{A5B83AFF-FB6D-44B5-8A8B-307AC80004FB}"/>
    <cellStyle name="Comma 2 2 2 2 10 5 2 3" xfId="33722" xr:uid="{453895BE-0D86-428B-8414-C6195E50BE3E}"/>
    <cellStyle name="Comma 2 2 2 2 10 5 3" xfId="11818" xr:uid="{D0EB8F02-02EE-44BF-9737-19955C1E8B06}"/>
    <cellStyle name="Comma 2 2 2 2 10 5 3 2" xfId="48326" xr:uid="{D8EE7C6A-9B33-45CA-AC45-77CB2C984392}"/>
    <cellStyle name="Comma 2 2 2 2 10 5 3 3" xfId="30072" xr:uid="{7AF595F6-EE23-4694-892C-4274FD03934E}"/>
    <cellStyle name="Comma 2 2 2 2 10 5 4" xfId="8168" xr:uid="{4B6B93D0-5D2A-4339-B0C3-59DB07CB33BA}"/>
    <cellStyle name="Comma 2 2 2 2 10 5 4 2" xfId="44676" xr:uid="{81F64BB5-0E36-4D71-8C0E-4B30CA00CE94}"/>
    <cellStyle name="Comma 2 2 2 2 10 5 4 3" xfId="26422" xr:uid="{9DA43195-C36D-4E42-B4FE-983DE5D6472C}"/>
    <cellStyle name="Comma 2 2 2 2 10 5 5" xfId="4518" xr:uid="{8E84EB07-B572-46D5-822E-CBB617707AFD}"/>
    <cellStyle name="Comma 2 2 2 2 10 5 5 2" xfId="41026" xr:uid="{A6A51DE0-4C57-4EEF-AC28-5477936273B7}"/>
    <cellStyle name="Comma 2 2 2 2 10 5 5 3" xfId="22772" xr:uid="{372A1F33-2EC2-4049-A552-B1DE51154123}"/>
    <cellStyle name="Comma 2 2 2 2 10 5 6" xfId="37376" xr:uid="{2283B407-A676-4DC6-9B45-D63E6429CB83}"/>
    <cellStyle name="Comma 2 2 2 2 10 5 7" xfId="19122" xr:uid="{39AFFBE4-9F09-4DCD-8F22-060E8EE5CC28}"/>
    <cellStyle name="Comma 2 2 2 2 10 6" xfId="14738" xr:uid="{558F0016-419A-4B10-8CA2-D94C9F93619C}"/>
    <cellStyle name="Comma 2 2 2 2 10 6 2" xfId="51246" xr:uid="{AFBC3984-697C-46F9-AE7F-FF64880B84F9}"/>
    <cellStyle name="Comma 2 2 2 2 10 6 3" xfId="32992" xr:uid="{797546ED-229F-43B4-A11E-62C1891802C8}"/>
    <cellStyle name="Comma 2 2 2 2 10 7" xfId="11088" xr:uid="{5BC3413A-4354-47ED-A640-4B17CA787805}"/>
    <cellStyle name="Comma 2 2 2 2 10 7 2" xfId="47596" xr:uid="{7DEF85B5-71A4-4DF2-9207-7A0B32964C2A}"/>
    <cellStyle name="Comma 2 2 2 2 10 7 3" xfId="29342" xr:uid="{01AC637B-4527-407C-95F7-409558C57745}"/>
    <cellStyle name="Comma 2 2 2 2 10 8" xfId="7438" xr:uid="{4E1DE82E-55D7-451D-B77E-1126C79043F6}"/>
    <cellStyle name="Comma 2 2 2 2 10 8 2" xfId="43946" xr:uid="{85D95498-6C08-4702-8B37-394735B5D46C}"/>
    <cellStyle name="Comma 2 2 2 2 10 8 3" xfId="25692" xr:uid="{49BBA019-66A5-41AE-A3DC-BEEC7F82B2CA}"/>
    <cellStyle name="Comma 2 2 2 2 10 9" xfId="3788" xr:uid="{19252E07-AED7-4439-B9F7-E0C1883DF0C0}"/>
    <cellStyle name="Comma 2 2 2 2 10 9 2" xfId="40296" xr:uid="{8E8E28B5-1051-456B-BF4A-635C7AA00651}"/>
    <cellStyle name="Comma 2 2 2 2 10 9 3" xfId="22042" xr:uid="{6698B4AE-90D2-487D-AAF9-C08E954FDFAD}"/>
    <cellStyle name="Comma 2 2 2 2 11" xfId="2954" xr:uid="{CE6153F5-19CA-490B-AF13-E190E317DB06}"/>
    <cellStyle name="Comma 2 2 2 2 11 2" xfId="17554" xr:uid="{3D0F220B-EBCC-4004-A6D2-0ADE1FF1D6B5}"/>
    <cellStyle name="Comma 2 2 2 2 11 2 2" xfId="54062" xr:uid="{6B0AAA8D-65E8-435D-9D40-C6BD7835D6EE}"/>
    <cellStyle name="Comma 2 2 2 2 11 2 3" xfId="35808" xr:uid="{90F31A14-A9F4-4567-BD38-E7116F7E31BB}"/>
    <cellStyle name="Comma 2 2 2 2 11 3" xfId="13904" xr:uid="{45B52876-62F2-4F48-9F21-918778611399}"/>
    <cellStyle name="Comma 2 2 2 2 11 3 2" xfId="50412" xr:uid="{17342E17-A5FC-4400-9F11-B49BAA165BCE}"/>
    <cellStyle name="Comma 2 2 2 2 11 3 3" xfId="32158" xr:uid="{396DCF7D-E6C5-4EAC-8DCC-F90D0CB055B6}"/>
    <cellStyle name="Comma 2 2 2 2 11 4" xfId="10254" xr:uid="{958C3174-7751-453C-A07E-E0CD28E41B86}"/>
    <cellStyle name="Comma 2 2 2 2 11 4 2" xfId="46762" xr:uid="{AFEF4EC0-16CE-4FD3-B37A-D682C334C629}"/>
    <cellStyle name="Comma 2 2 2 2 11 4 3" xfId="28508" xr:uid="{68D968A4-D057-4022-AE6C-A1A2D798C67F}"/>
    <cellStyle name="Comma 2 2 2 2 11 5" xfId="6604" xr:uid="{188CF5B2-7E11-4968-ABE0-8CDA58697989}"/>
    <cellStyle name="Comma 2 2 2 2 11 5 2" xfId="43112" xr:uid="{4B7FE131-9713-4008-9FDC-412C64EBF701}"/>
    <cellStyle name="Comma 2 2 2 2 11 5 3" xfId="24858" xr:uid="{0B868C3A-0CDD-4047-9124-141A46B30B88}"/>
    <cellStyle name="Comma 2 2 2 2 11 6" xfId="39462" xr:uid="{3DC66578-8BAE-4F69-BBAB-F14D0E6F580E}"/>
    <cellStyle name="Comma 2 2 2 2 11 7" xfId="21208" xr:uid="{70F2B755-3982-4F8B-9A15-C9DA80B7BEDC}"/>
    <cellStyle name="Comma 2 2 2 2 12" xfId="2224" xr:uid="{49FD5B3E-B51F-4414-B731-61AB101F51DE}"/>
    <cellStyle name="Comma 2 2 2 2 12 2" xfId="16824" xr:uid="{558E7CC3-2A7D-4415-850F-7B6191DA7AD1}"/>
    <cellStyle name="Comma 2 2 2 2 12 2 2" xfId="53332" xr:uid="{75908598-18AE-457E-93F9-D2C07D56E926}"/>
    <cellStyle name="Comma 2 2 2 2 12 2 3" xfId="35078" xr:uid="{F76B839D-37CD-4A14-A03B-B80BBEA823AF}"/>
    <cellStyle name="Comma 2 2 2 2 12 3" xfId="13174" xr:uid="{63DDE135-BADE-4FD2-9820-D2FCA18F9915}"/>
    <cellStyle name="Comma 2 2 2 2 12 3 2" xfId="49682" xr:uid="{780252FE-4768-4BAC-9D9E-67956DF4400A}"/>
    <cellStyle name="Comma 2 2 2 2 12 3 3" xfId="31428" xr:uid="{4B8191F8-47DF-49C7-A1F7-59997C7AE80C}"/>
    <cellStyle name="Comma 2 2 2 2 12 4" xfId="9524" xr:uid="{8169248B-5F88-485D-A3C2-8F4D2AC78151}"/>
    <cellStyle name="Comma 2 2 2 2 12 4 2" xfId="46032" xr:uid="{FD1C3C72-E948-4C86-8166-7737B15094C3}"/>
    <cellStyle name="Comma 2 2 2 2 12 4 3" xfId="27778" xr:uid="{7884D782-B81B-4128-97F2-C3C025F6A618}"/>
    <cellStyle name="Comma 2 2 2 2 12 5" xfId="5874" xr:uid="{7F5278D8-13F5-4F44-AB6D-C30398871B80}"/>
    <cellStyle name="Comma 2 2 2 2 12 5 2" xfId="42382" xr:uid="{1CAD2494-C4BF-48E6-8943-8C9BF300D2CA}"/>
    <cellStyle name="Comma 2 2 2 2 12 5 3" xfId="24128" xr:uid="{3E6D35D0-2888-406B-9A5B-36BE1640A42E}"/>
    <cellStyle name="Comma 2 2 2 2 12 6" xfId="38732" xr:uid="{A5B17D31-69DA-439E-9974-0655E14784FC}"/>
    <cellStyle name="Comma 2 2 2 2 12 7" xfId="20478" xr:uid="{2EC8A378-E4CE-4DCB-80B3-A103E101B14A}"/>
    <cellStyle name="Comma 2 2 2 2 13" xfId="1494" xr:uid="{AA7B4CC5-099B-48AC-AF64-D63E726A518E}"/>
    <cellStyle name="Comma 2 2 2 2 13 2" xfId="16094" xr:uid="{A6BFCA07-AC72-4B60-B9B3-2A2162951528}"/>
    <cellStyle name="Comma 2 2 2 2 13 2 2" xfId="52602" xr:uid="{BD41E8CA-B635-4EC9-896B-7A754A2BF01B}"/>
    <cellStyle name="Comma 2 2 2 2 13 2 3" xfId="34348" xr:uid="{83D2DD2B-839B-41AA-AA93-891995C53462}"/>
    <cellStyle name="Comma 2 2 2 2 13 3" xfId="12444" xr:uid="{66BA0DB5-AF96-4C94-82A2-2EF1D1A94034}"/>
    <cellStyle name="Comma 2 2 2 2 13 3 2" xfId="48952" xr:uid="{A56D6A11-6C9A-4AEB-AFA8-53212CDBE1F7}"/>
    <cellStyle name="Comma 2 2 2 2 13 3 3" xfId="30698" xr:uid="{19553AA9-F4D1-485E-B6BF-5DF6EFD41169}"/>
    <cellStyle name="Comma 2 2 2 2 13 4" xfId="8794" xr:uid="{D66D0171-32A1-457C-B062-E96CB593675E}"/>
    <cellStyle name="Comma 2 2 2 2 13 4 2" xfId="45302" xr:uid="{B9444794-B440-4D52-984E-CE5A6E515BE7}"/>
    <cellStyle name="Comma 2 2 2 2 13 4 3" xfId="27048" xr:uid="{F5B9A0EC-31C5-4B67-A2F6-A107E0F3AE81}"/>
    <cellStyle name="Comma 2 2 2 2 13 5" xfId="5144" xr:uid="{336E041D-6EF4-452A-99D7-4843C0D58203}"/>
    <cellStyle name="Comma 2 2 2 2 13 5 2" xfId="41652" xr:uid="{23F4F7EA-5FBD-4045-9988-CC3102956C87}"/>
    <cellStyle name="Comma 2 2 2 2 13 5 3" xfId="23398" xr:uid="{BC068113-489B-487A-8C00-72C7CC6140AD}"/>
    <cellStyle name="Comma 2 2 2 2 13 6" xfId="38002" xr:uid="{782C07CB-82AA-4893-B43C-9BF2AED060ED}"/>
    <cellStyle name="Comma 2 2 2 2 13 7" xfId="19748" xr:uid="{329B58C4-23B4-4460-B4EF-47A1C9EF4761}"/>
    <cellStyle name="Comma 2 2 2 2 14" xfId="764" xr:uid="{BAC102F7-A494-49D5-ABD5-BCE7193A28EA}"/>
    <cellStyle name="Comma 2 2 2 2 14 2" xfId="15364" xr:uid="{0B6B3E2F-2426-41BB-A358-CB04C10CDEF6}"/>
    <cellStyle name="Comma 2 2 2 2 14 2 2" xfId="51872" xr:uid="{9ECB1710-3BDA-4AC0-8685-573CA39741D8}"/>
    <cellStyle name="Comma 2 2 2 2 14 2 3" xfId="33618" xr:uid="{D976EADB-6951-4476-A647-3751A3340D67}"/>
    <cellStyle name="Comma 2 2 2 2 14 3" xfId="11714" xr:uid="{8A0D4EB6-3CBF-4261-9837-4538FC5E9F71}"/>
    <cellStyle name="Comma 2 2 2 2 14 3 2" xfId="48222" xr:uid="{83642AD1-12FA-4A3D-A741-609E7596084E}"/>
    <cellStyle name="Comma 2 2 2 2 14 3 3" xfId="29968" xr:uid="{DADE25CE-4A45-4EFC-AA3E-38FDAAFBD8DC}"/>
    <cellStyle name="Comma 2 2 2 2 14 4" xfId="8064" xr:uid="{C0F910A9-1F76-4F58-A893-59CE0D74029A}"/>
    <cellStyle name="Comma 2 2 2 2 14 4 2" xfId="44572" xr:uid="{C9B49C6D-987B-462E-BB13-9B606C79D1CE}"/>
    <cellStyle name="Comma 2 2 2 2 14 4 3" xfId="26318" xr:uid="{558F1D84-9B25-4B46-983E-03710EC4AD89}"/>
    <cellStyle name="Comma 2 2 2 2 14 5" xfId="4414" xr:uid="{0143659C-D65C-4A8B-B124-32BDCA36C547}"/>
    <cellStyle name="Comma 2 2 2 2 14 5 2" xfId="40922" xr:uid="{B6E4EA71-6CEA-4B5C-8B7B-310DA94F4DA8}"/>
    <cellStyle name="Comma 2 2 2 2 14 5 3" xfId="22668" xr:uid="{DC298ABB-3BFA-46AC-ADA8-6E9137D527D8}"/>
    <cellStyle name="Comma 2 2 2 2 14 6" xfId="37272" xr:uid="{90E49F8C-48CD-4091-A016-19F53FD27675}"/>
    <cellStyle name="Comma 2 2 2 2 14 7" xfId="19018" xr:uid="{951E3CC0-5FBB-47B0-8F52-CBCD21203629}"/>
    <cellStyle name="Comma 2 2 2 2 15" xfId="14634" xr:uid="{1A901D37-0749-41F4-A3B2-0804B951CDA3}"/>
    <cellStyle name="Comma 2 2 2 2 15 2" xfId="51142" xr:uid="{80255F2D-7107-418C-A133-ACAB3E75AE54}"/>
    <cellStyle name="Comma 2 2 2 2 15 3" xfId="32888" xr:uid="{DCF9D57B-34F8-4D32-9A75-AE72EC246049}"/>
    <cellStyle name="Comma 2 2 2 2 16" xfId="10984" xr:uid="{A7C01776-FA1E-40E1-BE4B-4B5CF26C1FFC}"/>
    <cellStyle name="Comma 2 2 2 2 16 2" xfId="47492" xr:uid="{F67A917C-7570-434C-BF36-88B16E84A66C}"/>
    <cellStyle name="Comma 2 2 2 2 16 3" xfId="29238" xr:uid="{B1299182-09E9-4409-B6BD-77F8E9E03144}"/>
    <cellStyle name="Comma 2 2 2 2 17" xfId="7334" xr:uid="{121135E4-DDE9-4B9B-AA27-A657595D657F}"/>
    <cellStyle name="Comma 2 2 2 2 17 2" xfId="43842" xr:uid="{A47BB57C-1202-4711-A315-3F9F6BD25DB8}"/>
    <cellStyle name="Comma 2 2 2 2 17 3" xfId="25588" xr:uid="{998D4810-FEF1-4120-BEB2-8F6497DD4B01}"/>
    <cellStyle name="Comma 2 2 2 2 18" xfId="3684" xr:uid="{F5E6C60F-F148-4FCD-9F97-C50156157C59}"/>
    <cellStyle name="Comma 2 2 2 2 18 2" xfId="40192" xr:uid="{5108E3BD-589D-4B95-8266-6D5C2BF5EC20}"/>
    <cellStyle name="Comma 2 2 2 2 18 3" xfId="21938" xr:uid="{5A7E63B7-0B0A-424C-B9FE-8305B3F54774}"/>
    <cellStyle name="Comma 2 2 2 2 19" xfId="36542" xr:uid="{1AFD338D-A8BB-4D9D-8DFC-186531B4E11D}"/>
    <cellStyle name="Comma 2 2 2 2 2" xfId="41" xr:uid="{227BB5F7-D4ED-47EE-8AB1-A0DB2C412A32}"/>
    <cellStyle name="Comma 2 2 2 2 2 10" xfId="2970" xr:uid="{F04F70BC-B9CC-442B-83F5-F6FA5EAD9489}"/>
    <cellStyle name="Comma 2 2 2 2 2 10 2" xfId="17570" xr:uid="{3F1FF967-DB3A-45D0-98BE-3386B7A7AC98}"/>
    <cellStyle name="Comma 2 2 2 2 2 10 2 2" xfId="54078" xr:uid="{9729CFC3-AD36-48AC-9887-950F54BF69E0}"/>
    <cellStyle name="Comma 2 2 2 2 2 10 2 3" xfId="35824" xr:uid="{DA8FC3A3-7596-48CD-A042-A58B5A79716B}"/>
    <cellStyle name="Comma 2 2 2 2 2 10 3" xfId="13920" xr:uid="{54267A1D-9DD4-4595-91E2-3160DF804950}"/>
    <cellStyle name="Comma 2 2 2 2 2 10 3 2" xfId="50428" xr:uid="{F120A91C-8D5C-4A28-9E2E-62625A61E17D}"/>
    <cellStyle name="Comma 2 2 2 2 2 10 3 3" xfId="32174" xr:uid="{202FA12F-9960-4971-83FE-D6BC4280119D}"/>
    <cellStyle name="Comma 2 2 2 2 2 10 4" xfId="10270" xr:uid="{80DA96B5-8786-4746-8D25-54A9CE62971E}"/>
    <cellStyle name="Comma 2 2 2 2 2 10 4 2" xfId="46778" xr:uid="{D7271092-36AB-47ED-8CBF-7427CDF93C8D}"/>
    <cellStyle name="Comma 2 2 2 2 2 10 4 3" xfId="28524" xr:uid="{B967FD9D-2870-4BF0-8F07-1FEEB41E1D97}"/>
    <cellStyle name="Comma 2 2 2 2 2 10 5" xfId="6620" xr:uid="{F3016043-D04A-4795-BD1A-5CDAB42CEA4D}"/>
    <cellStyle name="Comma 2 2 2 2 2 10 5 2" xfId="43128" xr:uid="{00FFCD3B-E39A-479D-856A-58E48669E1F0}"/>
    <cellStyle name="Comma 2 2 2 2 2 10 5 3" xfId="24874" xr:uid="{A1AC2110-D139-476C-8632-84ACD7961DE9}"/>
    <cellStyle name="Comma 2 2 2 2 2 10 6" xfId="39478" xr:uid="{EB457FE3-2B5A-4901-B6B8-40552766D2CB}"/>
    <cellStyle name="Comma 2 2 2 2 2 10 7" xfId="21224" xr:uid="{FFEE5FB5-B8C7-4A95-8FCB-521EFA283C63}"/>
    <cellStyle name="Comma 2 2 2 2 2 11" xfId="2240" xr:uid="{1101AD67-AB96-40DD-A50D-FD4ED9BED548}"/>
    <cellStyle name="Comma 2 2 2 2 2 11 2" xfId="16840" xr:uid="{140EB3F5-AE49-48BD-88D3-E3A39FA8C41D}"/>
    <cellStyle name="Comma 2 2 2 2 2 11 2 2" xfId="53348" xr:uid="{5E997894-8DA1-4DA0-8D5A-B005684FCB3A}"/>
    <cellStyle name="Comma 2 2 2 2 2 11 2 3" xfId="35094" xr:uid="{D460B088-227E-4945-87D0-E1FFE64179F3}"/>
    <cellStyle name="Comma 2 2 2 2 2 11 3" xfId="13190" xr:uid="{E5A1E63A-FF85-49B1-9162-98DCE0181A09}"/>
    <cellStyle name="Comma 2 2 2 2 2 11 3 2" xfId="49698" xr:uid="{40B89A66-4B33-4AD6-A61F-521F2AC6E627}"/>
    <cellStyle name="Comma 2 2 2 2 2 11 3 3" xfId="31444" xr:uid="{A96DE72B-3BD9-4ED0-A0D4-D56B354DC4F9}"/>
    <cellStyle name="Comma 2 2 2 2 2 11 4" xfId="9540" xr:uid="{62705149-FA76-4957-BBE0-3119D00C1471}"/>
    <cellStyle name="Comma 2 2 2 2 2 11 4 2" xfId="46048" xr:uid="{D16C7A6C-2FE8-4C2A-87FA-ECD6D5C834BD}"/>
    <cellStyle name="Comma 2 2 2 2 2 11 4 3" xfId="27794" xr:uid="{5336C6BB-D48A-4C53-8D9F-B8BB27414D89}"/>
    <cellStyle name="Comma 2 2 2 2 2 11 5" xfId="5890" xr:uid="{CB291338-97E0-4E67-82F7-103D007286C6}"/>
    <cellStyle name="Comma 2 2 2 2 2 11 5 2" xfId="42398" xr:uid="{3AE2202C-EA4A-4D24-B50E-D3859239A32A}"/>
    <cellStyle name="Comma 2 2 2 2 2 11 5 3" xfId="24144" xr:uid="{DD719ADD-8F97-454B-A27B-C4529CDF521B}"/>
    <cellStyle name="Comma 2 2 2 2 2 11 6" xfId="38748" xr:uid="{6845951F-4D50-4538-954A-7A1F221D96BF}"/>
    <cellStyle name="Comma 2 2 2 2 2 11 7" xfId="20494" xr:uid="{CF187FFA-C1E6-4BE7-8DC6-1D0AE3987FBE}"/>
    <cellStyle name="Comma 2 2 2 2 2 12" xfId="1510" xr:uid="{5E78CCD2-07E2-4211-8C4D-9220A5418F29}"/>
    <cellStyle name="Comma 2 2 2 2 2 12 2" xfId="16110" xr:uid="{630537B6-5747-45FD-BF5F-914F6447F8C7}"/>
    <cellStyle name="Comma 2 2 2 2 2 12 2 2" xfId="52618" xr:uid="{40CDDBA4-8AA6-4D22-995F-A896CB451CC3}"/>
    <cellStyle name="Comma 2 2 2 2 2 12 2 3" xfId="34364" xr:uid="{9961FBF8-3C44-44AE-AADC-28ACB97016C8}"/>
    <cellStyle name="Comma 2 2 2 2 2 12 3" xfId="12460" xr:uid="{D91921AA-95D6-423E-88A5-E99C7952DC74}"/>
    <cellStyle name="Comma 2 2 2 2 2 12 3 2" xfId="48968" xr:uid="{D1F36240-0246-4A1D-B2FA-139C74273CA7}"/>
    <cellStyle name="Comma 2 2 2 2 2 12 3 3" xfId="30714" xr:uid="{6900DF6E-8BF3-481E-93EC-3BED738593F1}"/>
    <cellStyle name="Comma 2 2 2 2 2 12 4" xfId="8810" xr:uid="{2397C513-54E3-4C42-B735-DBE3FE9554EE}"/>
    <cellStyle name="Comma 2 2 2 2 2 12 4 2" xfId="45318" xr:uid="{CF33E692-0CA5-418F-BE45-1C9BF53F1110}"/>
    <cellStyle name="Comma 2 2 2 2 2 12 4 3" xfId="27064" xr:uid="{0F2EDC14-5FC0-44AB-8DCE-C3791BC85359}"/>
    <cellStyle name="Comma 2 2 2 2 2 12 5" xfId="5160" xr:uid="{C761B01F-A700-44F5-B831-DEDFC2574998}"/>
    <cellStyle name="Comma 2 2 2 2 2 12 5 2" xfId="41668" xr:uid="{96E6D1EB-F9B9-4651-BA11-74566D11F554}"/>
    <cellStyle name="Comma 2 2 2 2 2 12 5 3" xfId="23414" xr:uid="{63699ED9-CBF8-458F-B320-C0470BDCD3A7}"/>
    <cellStyle name="Comma 2 2 2 2 2 12 6" xfId="38018" xr:uid="{B8972EB5-5300-4945-829B-3200EBD41A03}"/>
    <cellStyle name="Comma 2 2 2 2 2 12 7" xfId="19764" xr:uid="{C46C6D8F-0AB7-4390-9CA9-CAE201BC2399}"/>
    <cellStyle name="Comma 2 2 2 2 2 13" xfId="780" xr:uid="{C0228588-F4F3-4A68-9BD8-42EA0EB02141}"/>
    <cellStyle name="Comma 2 2 2 2 2 13 2" xfId="15380" xr:uid="{44FD52F8-A3CD-4F61-A124-C3646868DFF4}"/>
    <cellStyle name="Comma 2 2 2 2 2 13 2 2" xfId="51888" xr:uid="{3AC4F109-B34C-48AE-ABB0-D75CC585A37D}"/>
    <cellStyle name="Comma 2 2 2 2 2 13 2 3" xfId="33634" xr:uid="{31FF6F02-1589-4758-8026-C106A9CF1BF2}"/>
    <cellStyle name="Comma 2 2 2 2 2 13 3" xfId="11730" xr:uid="{19508D52-B600-430E-A1DC-A19FBA286D6A}"/>
    <cellStyle name="Comma 2 2 2 2 2 13 3 2" xfId="48238" xr:uid="{0C97A68F-9076-4F4D-96BE-C9C25A0F56EC}"/>
    <cellStyle name="Comma 2 2 2 2 2 13 3 3" xfId="29984" xr:uid="{F2ABAC82-7F53-4131-86CD-231781E651F3}"/>
    <cellStyle name="Comma 2 2 2 2 2 13 4" xfId="8080" xr:uid="{FE490B33-EFBF-48C7-B4BD-75F9E8882526}"/>
    <cellStyle name="Comma 2 2 2 2 2 13 4 2" xfId="44588" xr:uid="{B0490095-9E39-4DE9-8B7C-8EE055666EFD}"/>
    <cellStyle name="Comma 2 2 2 2 2 13 4 3" xfId="26334" xr:uid="{F1F9A113-D964-4BB9-B2E2-D5EED03F6343}"/>
    <cellStyle name="Comma 2 2 2 2 2 13 5" xfId="4430" xr:uid="{3D305F0A-B1DF-4411-818B-11C6B7326F9D}"/>
    <cellStyle name="Comma 2 2 2 2 2 13 5 2" xfId="40938" xr:uid="{445978EC-3B7C-446A-92E4-CA54719A539C}"/>
    <cellStyle name="Comma 2 2 2 2 2 13 5 3" xfId="22684" xr:uid="{B78CEF4A-F766-4FA2-81BE-591EAE14D7FB}"/>
    <cellStyle name="Comma 2 2 2 2 2 13 6" xfId="37288" xr:uid="{06415D1C-AA95-4015-A683-9D4174A605F0}"/>
    <cellStyle name="Comma 2 2 2 2 2 13 7" xfId="19034" xr:uid="{5E429017-439B-4520-AF27-3A7DCC80C795}"/>
    <cellStyle name="Comma 2 2 2 2 2 14" xfId="14650" xr:uid="{94A6C7F4-B16F-4EE2-AF16-E0C3969F86E8}"/>
    <cellStyle name="Comma 2 2 2 2 2 14 2" xfId="51158" xr:uid="{80B58CE9-089D-435D-895D-0A81A58F7EAC}"/>
    <cellStyle name="Comma 2 2 2 2 2 14 3" xfId="32904" xr:uid="{BA6D7A29-A7D9-453C-B0FB-3A469311D3D5}"/>
    <cellStyle name="Comma 2 2 2 2 2 15" xfId="11000" xr:uid="{25967ADC-1249-42F4-89CC-DD8A523EC471}"/>
    <cellStyle name="Comma 2 2 2 2 2 15 2" xfId="47508" xr:uid="{378DBA2D-5E07-4AC0-B01C-9A03EA979EEC}"/>
    <cellStyle name="Comma 2 2 2 2 2 15 3" xfId="29254" xr:uid="{0AB98838-B134-4BF2-84E6-21AA14B2C584}"/>
    <cellStyle name="Comma 2 2 2 2 2 16" xfId="7350" xr:uid="{A3AB0C85-D976-4BB9-899E-3A5C2DAE6267}"/>
    <cellStyle name="Comma 2 2 2 2 2 16 2" xfId="43858" xr:uid="{3104FAC0-C1CF-4098-84DE-74BA3D97EB72}"/>
    <cellStyle name="Comma 2 2 2 2 2 16 3" xfId="25604" xr:uid="{B1961F19-6297-4E5F-9966-14BA38E81C24}"/>
    <cellStyle name="Comma 2 2 2 2 2 17" xfId="3700" xr:uid="{E91FCE08-798A-4A2B-A581-37F018CDAEE3}"/>
    <cellStyle name="Comma 2 2 2 2 2 17 2" xfId="40208" xr:uid="{75279DA4-1CCE-46CC-90F0-50C08F8F215D}"/>
    <cellStyle name="Comma 2 2 2 2 2 17 3" xfId="21954" xr:uid="{D7E99E19-DF42-49EC-8AB8-1782315CBA06}"/>
    <cellStyle name="Comma 2 2 2 2 2 18" xfId="36558" xr:uid="{973822D0-F93A-4EF8-8E23-0E865139884C}"/>
    <cellStyle name="Comma 2 2 2 2 2 19" xfId="18304" xr:uid="{469E5F3F-0C9D-488D-8623-7569C296A163}"/>
    <cellStyle name="Comma 2 2 2 2 2 2" xfId="115" xr:uid="{3321F51B-FC47-44CE-8536-E1AC7328A531}"/>
    <cellStyle name="Comma 2 2 2 2 2 2 10" xfId="1574" xr:uid="{0CA6A1A3-51B5-41D8-8A80-A2E3AFFD8730}"/>
    <cellStyle name="Comma 2 2 2 2 2 2 10 2" xfId="16174" xr:uid="{CAB5BF29-0A37-40F8-9B60-E65D57EE057D}"/>
    <cellStyle name="Comma 2 2 2 2 2 2 10 2 2" xfId="52682" xr:uid="{92D8F030-71BD-4857-8C2B-9266263C57F9}"/>
    <cellStyle name="Comma 2 2 2 2 2 2 10 2 3" xfId="34428" xr:uid="{C0E94FAD-5484-4F95-B78D-9716158C965C}"/>
    <cellStyle name="Comma 2 2 2 2 2 2 10 3" xfId="12524" xr:uid="{5C34906E-5507-4981-8B1C-166432125C3F}"/>
    <cellStyle name="Comma 2 2 2 2 2 2 10 3 2" xfId="49032" xr:uid="{9E84671A-6052-4E64-AB44-DDB247DC3840}"/>
    <cellStyle name="Comma 2 2 2 2 2 2 10 3 3" xfId="30778" xr:uid="{38A753A3-918B-4FF6-BFBC-AC6ACD3CCB02}"/>
    <cellStyle name="Comma 2 2 2 2 2 2 10 4" xfId="8874" xr:uid="{00049433-A616-4CE9-AACE-D25887ED4A07}"/>
    <cellStyle name="Comma 2 2 2 2 2 2 10 4 2" xfId="45382" xr:uid="{3E285004-C7AE-46B8-A79D-F4253DA6C733}"/>
    <cellStyle name="Comma 2 2 2 2 2 2 10 4 3" xfId="27128" xr:uid="{F2BA3033-7CE3-4405-9250-B1561891D56A}"/>
    <cellStyle name="Comma 2 2 2 2 2 2 10 5" xfId="5224" xr:uid="{E76C0621-B5D5-44B6-ADA8-86D5ACDCE924}"/>
    <cellStyle name="Comma 2 2 2 2 2 2 10 5 2" xfId="41732" xr:uid="{44E072D8-88D1-4E93-9DB3-947D208058EC}"/>
    <cellStyle name="Comma 2 2 2 2 2 2 10 5 3" xfId="23478" xr:uid="{7DFF486A-B80C-4F9A-9503-92F9618E437A}"/>
    <cellStyle name="Comma 2 2 2 2 2 2 10 6" xfId="38082" xr:uid="{8F05EED4-7BC6-48F5-B7B3-11D41D12F335}"/>
    <cellStyle name="Comma 2 2 2 2 2 2 10 7" xfId="19828" xr:uid="{D100BE25-B38D-42D2-ADDE-3908C262A457}"/>
    <cellStyle name="Comma 2 2 2 2 2 2 11" xfId="844" xr:uid="{8C961AF5-A943-4CF3-B4D9-790D86D2F374}"/>
    <cellStyle name="Comma 2 2 2 2 2 2 11 2" xfId="15444" xr:uid="{81A6B7EC-B33F-44FC-A3B7-4ABF7D97D8D8}"/>
    <cellStyle name="Comma 2 2 2 2 2 2 11 2 2" xfId="51952" xr:uid="{3B0D4F1C-7CD3-4297-A92B-5DA3FE7C35C8}"/>
    <cellStyle name="Comma 2 2 2 2 2 2 11 2 3" xfId="33698" xr:uid="{671AFDE0-5EA3-4487-A4DC-BF8AE05670C6}"/>
    <cellStyle name="Comma 2 2 2 2 2 2 11 3" xfId="11794" xr:uid="{37CA0D8F-76E6-4757-87F9-5D27ABE3D511}"/>
    <cellStyle name="Comma 2 2 2 2 2 2 11 3 2" xfId="48302" xr:uid="{C7042D34-1AA2-4084-BC92-C04031183E28}"/>
    <cellStyle name="Comma 2 2 2 2 2 2 11 3 3" xfId="30048" xr:uid="{89122AC1-9AD3-43FB-8665-557E075945A2}"/>
    <cellStyle name="Comma 2 2 2 2 2 2 11 4" xfId="8144" xr:uid="{4310CEB9-8B1B-483A-92C5-31398A2846C1}"/>
    <cellStyle name="Comma 2 2 2 2 2 2 11 4 2" xfId="44652" xr:uid="{7738FEA0-A475-49E5-A147-FF32270A0A30}"/>
    <cellStyle name="Comma 2 2 2 2 2 2 11 4 3" xfId="26398" xr:uid="{4B50341E-D253-426C-AFB6-9E739391DD67}"/>
    <cellStyle name="Comma 2 2 2 2 2 2 11 5" xfId="4494" xr:uid="{21C630C2-BB64-403B-963A-58ECB34DCA1A}"/>
    <cellStyle name="Comma 2 2 2 2 2 2 11 5 2" xfId="41002" xr:uid="{37B5A740-894C-4274-A86D-FE57668C6A95}"/>
    <cellStyle name="Comma 2 2 2 2 2 2 11 5 3" xfId="22748" xr:uid="{70F8A910-BAEF-4D05-BF11-CEF00540F2CF}"/>
    <cellStyle name="Comma 2 2 2 2 2 2 11 6" xfId="37352" xr:uid="{76D9682B-B71B-46A2-A091-1EDD4E3F7FB8}"/>
    <cellStyle name="Comma 2 2 2 2 2 2 11 7" xfId="19098" xr:uid="{280C1D98-5427-4AFB-A9B0-2E0AEB4C21C7}"/>
    <cellStyle name="Comma 2 2 2 2 2 2 12" xfId="14714" xr:uid="{404DDC67-6989-4781-BA54-F37FC47D802C}"/>
    <cellStyle name="Comma 2 2 2 2 2 2 12 2" xfId="51222" xr:uid="{E4F3015D-18EC-4314-9FD5-D2A2F9913466}"/>
    <cellStyle name="Comma 2 2 2 2 2 2 12 3" xfId="32968" xr:uid="{07D2C969-408F-44FB-BFD5-A941E27B41EA}"/>
    <cellStyle name="Comma 2 2 2 2 2 2 13" xfId="11064" xr:uid="{78F6C7F9-A178-43EF-9E11-3A1FDECB5BF4}"/>
    <cellStyle name="Comma 2 2 2 2 2 2 13 2" xfId="47572" xr:uid="{7478A894-2B58-4712-9222-CC66D95058A4}"/>
    <cellStyle name="Comma 2 2 2 2 2 2 13 3" xfId="29318" xr:uid="{F284F67F-D4FD-4503-A4FA-16A594D5F3F5}"/>
    <cellStyle name="Comma 2 2 2 2 2 2 14" xfId="7414" xr:uid="{D43894FB-4745-47AA-A1BD-F8AE188307C1}"/>
    <cellStyle name="Comma 2 2 2 2 2 2 14 2" xfId="43922" xr:uid="{7766AC40-452E-479F-B39A-CCE91476FDCF}"/>
    <cellStyle name="Comma 2 2 2 2 2 2 14 3" xfId="25668" xr:uid="{FFFE4ED9-D03C-444B-AE8F-AD96911CD0D9}"/>
    <cellStyle name="Comma 2 2 2 2 2 2 15" xfId="3764" xr:uid="{4D2D8D64-6CA0-4105-8ADD-71E63B4FF4A2}"/>
    <cellStyle name="Comma 2 2 2 2 2 2 15 2" xfId="40272" xr:uid="{4BB4C2F0-88B3-453D-AD1A-970262754D64}"/>
    <cellStyle name="Comma 2 2 2 2 2 2 15 3" xfId="22018" xr:uid="{5BBDA4A6-8D99-46A7-BA86-B221710DE1C9}"/>
    <cellStyle name="Comma 2 2 2 2 2 2 16" xfId="36622" xr:uid="{2838E9EF-3894-408C-8A45-282004DFFB08}"/>
    <cellStyle name="Comma 2 2 2 2 2 2 17" xfId="18368" xr:uid="{AC1926C7-EA50-46FF-A271-1FD92AD4FF71}"/>
    <cellStyle name="Comma 2 2 2 2 2 2 2" xfId="738" xr:uid="{D2958097-6BB1-4F6B-BDC0-059C968E03DE}"/>
    <cellStyle name="Comma 2 2 2 2 2 2 2 10" xfId="37246" xr:uid="{18C117A6-1179-45B9-BEC3-C0A37949F9DA}"/>
    <cellStyle name="Comma 2 2 2 2 2 2 2 11" xfId="18992" xr:uid="{B26C9CB8-6592-4356-8940-31B87EB98CD3}"/>
    <cellStyle name="Comma 2 2 2 2 2 2 2 2" xfId="3658" xr:uid="{9C5AFF69-E296-43D6-8CA5-4BAEB448BE8E}"/>
    <cellStyle name="Comma 2 2 2 2 2 2 2 2 2" xfId="18258" xr:uid="{478DB85F-0855-43F4-ABA5-5877B5F93EBB}"/>
    <cellStyle name="Comma 2 2 2 2 2 2 2 2 2 2" xfId="54766" xr:uid="{8D73A88C-3962-4E44-BF73-B80FB39CC373}"/>
    <cellStyle name="Comma 2 2 2 2 2 2 2 2 2 3" xfId="36512" xr:uid="{9BF48B97-F597-40B9-8AB9-6DAAB5A45A3F}"/>
    <cellStyle name="Comma 2 2 2 2 2 2 2 2 3" xfId="14608" xr:uid="{5543EA5B-E05C-4734-B66A-5E51B75C0E5B}"/>
    <cellStyle name="Comma 2 2 2 2 2 2 2 2 3 2" xfId="51116" xr:uid="{7232A73A-1C49-4A41-8841-AC67A3ABE5D4}"/>
    <cellStyle name="Comma 2 2 2 2 2 2 2 2 3 3" xfId="32862" xr:uid="{632BDC67-E997-48F4-9F9D-428078F4E46B}"/>
    <cellStyle name="Comma 2 2 2 2 2 2 2 2 4" xfId="10958" xr:uid="{C7FE9CF2-2AA0-4C50-906B-83569F922DEE}"/>
    <cellStyle name="Comma 2 2 2 2 2 2 2 2 4 2" xfId="47466" xr:uid="{EF169EE4-D043-45D1-92BE-490BA52AA332}"/>
    <cellStyle name="Comma 2 2 2 2 2 2 2 2 4 3" xfId="29212" xr:uid="{39179AEA-ED80-4322-9C02-0F69F397370F}"/>
    <cellStyle name="Comma 2 2 2 2 2 2 2 2 5" xfId="7308" xr:uid="{0807C5F1-9AD2-4C00-BB7B-EED986C10553}"/>
    <cellStyle name="Comma 2 2 2 2 2 2 2 2 5 2" xfId="43816" xr:uid="{A39814D8-181B-48AA-A220-0D96618DCA9F}"/>
    <cellStyle name="Comma 2 2 2 2 2 2 2 2 5 3" xfId="25562" xr:uid="{D0875B4A-958A-4526-B6F6-69CD71A92E6A}"/>
    <cellStyle name="Comma 2 2 2 2 2 2 2 2 6" xfId="40166" xr:uid="{3FE51632-0A87-42A5-A48C-9EAE681FF950}"/>
    <cellStyle name="Comma 2 2 2 2 2 2 2 2 7" xfId="21912" xr:uid="{1AF80780-2373-4C50-9499-8162F8C9DE5D}"/>
    <cellStyle name="Comma 2 2 2 2 2 2 2 3" xfId="2928" xr:uid="{624A987A-4C81-40F9-B616-6E4953E5000A}"/>
    <cellStyle name="Comma 2 2 2 2 2 2 2 3 2" xfId="17528" xr:uid="{B163F4A6-CB8A-462C-852A-A612DA4C69A2}"/>
    <cellStyle name="Comma 2 2 2 2 2 2 2 3 2 2" xfId="54036" xr:uid="{52074CC0-DA65-4A70-8D05-02F4CB024350}"/>
    <cellStyle name="Comma 2 2 2 2 2 2 2 3 2 3" xfId="35782" xr:uid="{C79EA3CB-3AAD-4417-8AFC-687E6F3F3D33}"/>
    <cellStyle name="Comma 2 2 2 2 2 2 2 3 3" xfId="13878" xr:uid="{FB8428AF-1DE8-461D-9A46-DAFF4EE1AC5D}"/>
    <cellStyle name="Comma 2 2 2 2 2 2 2 3 3 2" xfId="50386" xr:uid="{D094723B-3E2A-4D93-B267-AC422692D438}"/>
    <cellStyle name="Comma 2 2 2 2 2 2 2 3 3 3" xfId="32132" xr:uid="{72AC97BA-7F2B-4677-A1CF-4903EF7BC517}"/>
    <cellStyle name="Comma 2 2 2 2 2 2 2 3 4" xfId="10228" xr:uid="{15C29BB4-1F26-4273-B6DD-6D52533A814F}"/>
    <cellStyle name="Comma 2 2 2 2 2 2 2 3 4 2" xfId="46736" xr:uid="{3B002269-9DB2-4917-96E7-845B67EC1FE0}"/>
    <cellStyle name="Comma 2 2 2 2 2 2 2 3 4 3" xfId="28482" xr:uid="{4C0D459D-931D-4099-8FDD-30303B24BE16}"/>
    <cellStyle name="Comma 2 2 2 2 2 2 2 3 5" xfId="6578" xr:uid="{8294DEBE-0FEA-4017-8A5D-605AA0510FA6}"/>
    <cellStyle name="Comma 2 2 2 2 2 2 2 3 5 2" xfId="43086" xr:uid="{F3C1F08D-5F24-48C0-BF6B-44616107D324}"/>
    <cellStyle name="Comma 2 2 2 2 2 2 2 3 5 3" xfId="24832" xr:uid="{3ABB216A-ED71-4669-A2B6-4F049BE5ACC2}"/>
    <cellStyle name="Comma 2 2 2 2 2 2 2 3 6" xfId="39436" xr:uid="{1421D918-F8B3-4C38-AF06-0B9DB176A108}"/>
    <cellStyle name="Comma 2 2 2 2 2 2 2 3 7" xfId="21182" xr:uid="{6E4745EA-874B-4B12-BA2F-CD8D1ED900B3}"/>
    <cellStyle name="Comma 2 2 2 2 2 2 2 4" xfId="2198" xr:uid="{867D609B-F18D-4D72-8EEA-6901BA89D002}"/>
    <cellStyle name="Comma 2 2 2 2 2 2 2 4 2" xfId="16798" xr:uid="{3DDCAC22-3168-4AC7-8CB6-19989A40E2A1}"/>
    <cellStyle name="Comma 2 2 2 2 2 2 2 4 2 2" xfId="53306" xr:uid="{851953CB-3F8B-48B0-9F68-16D8EBA794C2}"/>
    <cellStyle name="Comma 2 2 2 2 2 2 2 4 2 3" xfId="35052" xr:uid="{335D2B9A-55D8-4B5D-8387-75A2D25BCCA2}"/>
    <cellStyle name="Comma 2 2 2 2 2 2 2 4 3" xfId="13148" xr:uid="{A934A279-1195-4308-A908-8FA1F6744B26}"/>
    <cellStyle name="Comma 2 2 2 2 2 2 2 4 3 2" xfId="49656" xr:uid="{34E96066-2D27-4A24-9BB3-A5AAD5C6A069}"/>
    <cellStyle name="Comma 2 2 2 2 2 2 2 4 3 3" xfId="31402" xr:uid="{02E8D88F-C79F-4636-98ED-BC6A2AC088CD}"/>
    <cellStyle name="Comma 2 2 2 2 2 2 2 4 4" xfId="9498" xr:uid="{93730A5A-656C-4229-AFA6-A13141A5DEDC}"/>
    <cellStyle name="Comma 2 2 2 2 2 2 2 4 4 2" xfId="46006" xr:uid="{3742BBFA-D95D-4507-BB36-0FA62B84472E}"/>
    <cellStyle name="Comma 2 2 2 2 2 2 2 4 4 3" xfId="27752" xr:uid="{79DBC65F-508D-40C9-986E-A0951C2CC9CD}"/>
    <cellStyle name="Comma 2 2 2 2 2 2 2 4 5" xfId="5848" xr:uid="{4D2EED8F-877A-4F2F-BEF9-04FD351389BC}"/>
    <cellStyle name="Comma 2 2 2 2 2 2 2 4 5 2" xfId="42356" xr:uid="{061936BD-68B7-4B5A-88BB-903CC3F65886}"/>
    <cellStyle name="Comma 2 2 2 2 2 2 2 4 5 3" xfId="24102" xr:uid="{FB7FE17E-FEC8-4E64-AB06-2E39A1246943}"/>
    <cellStyle name="Comma 2 2 2 2 2 2 2 4 6" xfId="38706" xr:uid="{6C2BE318-15CC-4E2B-AC95-10EE88C1DC5A}"/>
    <cellStyle name="Comma 2 2 2 2 2 2 2 4 7" xfId="20452" xr:uid="{4B56B075-63B3-45B7-BF40-2EE94562185C}"/>
    <cellStyle name="Comma 2 2 2 2 2 2 2 5" xfId="1468" xr:uid="{EA6CDBE0-5170-4831-B9B9-C449A799590E}"/>
    <cellStyle name="Comma 2 2 2 2 2 2 2 5 2" xfId="16068" xr:uid="{9A205AA5-F5AF-4CF4-9B5B-4C9BAC39C2B5}"/>
    <cellStyle name="Comma 2 2 2 2 2 2 2 5 2 2" xfId="52576" xr:uid="{441DAC8A-63F2-4290-8F29-A008DE8390C9}"/>
    <cellStyle name="Comma 2 2 2 2 2 2 2 5 2 3" xfId="34322" xr:uid="{512DA992-1022-4023-A39F-075FB4DBC032}"/>
    <cellStyle name="Comma 2 2 2 2 2 2 2 5 3" xfId="12418" xr:uid="{81E3BCB0-0ED9-4453-AA44-D9EA934C581B}"/>
    <cellStyle name="Comma 2 2 2 2 2 2 2 5 3 2" xfId="48926" xr:uid="{A9E6B4A8-86BB-45D2-9C69-AA13C2FB0B79}"/>
    <cellStyle name="Comma 2 2 2 2 2 2 2 5 3 3" xfId="30672" xr:uid="{DD78FE70-70A8-4623-9890-56410FF68626}"/>
    <cellStyle name="Comma 2 2 2 2 2 2 2 5 4" xfId="8768" xr:uid="{1197DD35-6CDA-480C-98D0-89A70CDA3D18}"/>
    <cellStyle name="Comma 2 2 2 2 2 2 2 5 4 2" xfId="45276" xr:uid="{6DA924AF-6843-42F8-99F6-42F170C0CCA0}"/>
    <cellStyle name="Comma 2 2 2 2 2 2 2 5 4 3" xfId="27022" xr:uid="{0F776C93-B880-4082-9DEA-68EB383613CB}"/>
    <cellStyle name="Comma 2 2 2 2 2 2 2 5 5" xfId="5118" xr:uid="{D79EE8AE-98A8-4E91-9500-D3D6387D75C4}"/>
    <cellStyle name="Comma 2 2 2 2 2 2 2 5 5 2" xfId="41626" xr:uid="{99E09EDC-7687-4FDA-B78C-9EAE749DB8EE}"/>
    <cellStyle name="Comma 2 2 2 2 2 2 2 5 5 3" xfId="23372" xr:uid="{7ADF1308-37A9-45AC-91D3-1B1D2C9B7BDD}"/>
    <cellStyle name="Comma 2 2 2 2 2 2 2 5 6" xfId="37976" xr:uid="{1864E612-2903-4A52-AB7B-55670FDD6336}"/>
    <cellStyle name="Comma 2 2 2 2 2 2 2 5 7" xfId="19722" xr:uid="{8E9EF47D-6A0F-4E84-B7D6-5B6C23200454}"/>
    <cellStyle name="Comma 2 2 2 2 2 2 2 6" xfId="15338" xr:uid="{353B8E25-6637-45BB-A9A5-2381DF440381}"/>
    <cellStyle name="Comma 2 2 2 2 2 2 2 6 2" xfId="51846" xr:uid="{A4398C52-C1CA-4B55-9C12-C62B32D89D99}"/>
    <cellStyle name="Comma 2 2 2 2 2 2 2 6 3" xfId="33592" xr:uid="{E118E303-12B5-4A9E-BF20-D40CA1132CFB}"/>
    <cellStyle name="Comma 2 2 2 2 2 2 2 7" xfId="11688" xr:uid="{DDCA10EF-992D-47D9-90CC-287B05A40B92}"/>
    <cellStyle name="Comma 2 2 2 2 2 2 2 7 2" xfId="48196" xr:uid="{0D309922-9A46-4AD5-8F6C-AC87F7632C15}"/>
    <cellStyle name="Comma 2 2 2 2 2 2 2 7 3" xfId="29942" xr:uid="{0AC61298-1E12-4AF5-BDF9-17D51AF87AF4}"/>
    <cellStyle name="Comma 2 2 2 2 2 2 2 8" xfId="8038" xr:uid="{0F420763-8105-4308-884C-1DDE71DC6DB0}"/>
    <cellStyle name="Comma 2 2 2 2 2 2 2 8 2" xfId="44546" xr:uid="{580EF929-2AFF-417A-ABC1-05B0D2FAF4E7}"/>
    <cellStyle name="Comma 2 2 2 2 2 2 2 8 3" xfId="26292" xr:uid="{F431B2ED-70E5-4578-8BE6-98C852ACDE04}"/>
    <cellStyle name="Comma 2 2 2 2 2 2 2 9" xfId="4388" xr:uid="{ECD4D5A3-B40B-44F3-8113-742A188A9D65}"/>
    <cellStyle name="Comma 2 2 2 2 2 2 2 9 2" xfId="40896" xr:uid="{8195FB63-D222-4CF5-B600-9A1375FA6D03}"/>
    <cellStyle name="Comma 2 2 2 2 2 2 2 9 3" xfId="22642" xr:uid="{FFEDD9D2-8716-488E-BA16-6D1F14CA2D2C}"/>
    <cellStyle name="Comma 2 2 2 2 2 2 3" xfId="634" xr:uid="{F55D7C78-4F6A-4EF3-9789-67DD5ABE2509}"/>
    <cellStyle name="Comma 2 2 2 2 2 2 3 10" xfId="37142" xr:uid="{7AE169C5-58D5-4CD5-B83B-53DC7395AA37}"/>
    <cellStyle name="Comma 2 2 2 2 2 2 3 11" xfId="18888" xr:uid="{FF8DC4E9-2ACB-4B7A-A57A-65F2EA2D38FC}"/>
    <cellStyle name="Comma 2 2 2 2 2 2 3 2" xfId="3554" xr:uid="{CD6A6BF7-4F0D-4524-A01A-6311F3FAB811}"/>
    <cellStyle name="Comma 2 2 2 2 2 2 3 2 2" xfId="18154" xr:uid="{B6144FC2-C716-4C54-BBDF-92AD97B306A7}"/>
    <cellStyle name="Comma 2 2 2 2 2 2 3 2 2 2" xfId="54662" xr:uid="{6CFF88A9-78D7-4246-AC7D-21E0E68866D9}"/>
    <cellStyle name="Comma 2 2 2 2 2 2 3 2 2 3" xfId="36408" xr:uid="{CC9342D9-71BD-4D83-9EDB-03B2E0C35B95}"/>
    <cellStyle name="Comma 2 2 2 2 2 2 3 2 3" xfId="14504" xr:uid="{E35A82D4-E5F1-4D35-988E-959A40CEDAD7}"/>
    <cellStyle name="Comma 2 2 2 2 2 2 3 2 3 2" xfId="51012" xr:uid="{CC643D22-AE00-4B65-8B9E-05FC80F8F420}"/>
    <cellStyle name="Comma 2 2 2 2 2 2 3 2 3 3" xfId="32758" xr:uid="{347A1D4D-A4B3-4E08-BF22-AAAD7F63DA6E}"/>
    <cellStyle name="Comma 2 2 2 2 2 2 3 2 4" xfId="10854" xr:uid="{B6136D57-385C-436A-9661-F5ECCFE53757}"/>
    <cellStyle name="Comma 2 2 2 2 2 2 3 2 4 2" xfId="47362" xr:uid="{9386B501-1FB9-4837-81C9-E73FD5DD06DC}"/>
    <cellStyle name="Comma 2 2 2 2 2 2 3 2 4 3" xfId="29108" xr:uid="{22F0C244-9744-4FA0-BA43-B1D07A9CF000}"/>
    <cellStyle name="Comma 2 2 2 2 2 2 3 2 5" xfId="7204" xr:uid="{2FD5D2ED-D273-4AD1-A9AE-D59969D9F053}"/>
    <cellStyle name="Comma 2 2 2 2 2 2 3 2 5 2" xfId="43712" xr:uid="{14297ABB-74E7-40EE-B4B2-9B82D8B5CAC3}"/>
    <cellStyle name="Comma 2 2 2 2 2 2 3 2 5 3" xfId="25458" xr:uid="{C4563C41-9C46-4202-8614-6A51D973B78A}"/>
    <cellStyle name="Comma 2 2 2 2 2 2 3 2 6" xfId="40062" xr:uid="{A43D440E-797F-4994-A93F-423CC62289B5}"/>
    <cellStyle name="Comma 2 2 2 2 2 2 3 2 7" xfId="21808" xr:uid="{5D8AFBC7-0303-40FE-A527-C60FC78C973A}"/>
    <cellStyle name="Comma 2 2 2 2 2 2 3 3" xfId="2824" xr:uid="{A9C07741-A299-4C02-A294-BFBEA7BFC799}"/>
    <cellStyle name="Comma 2 2 2 2 2 2 3 3 2" xfId="17424" xr:uid="{49888304-CB77-4B75-8E9B-723059325C31}"/>
    <cellStyle name="Comma 2 2 2 2 2 2 3 3 2 2" xfId="53932" xr:uid="{672BAFE0-11E4-4BF7-B523-0CAB1830DB91}"/>
    <cellStyle name="Comma 2 2 2 2 2 2 3 3 2 3" xfId="35678" xr:uid="{216CE1EC-02DE-4A64-BC34-B7F668EE39B0}"/>
    <cellStyle name="Comma 2 2 2 2 2 2 3 3 3" xfId="13774" xr:uid="{0FFF9F25-2BEC-4142-9760-2725052D8A6E}"/>
    <cellStyle name="Comma 2 2 2 2 2 2 3 3 3 2" xfId="50282" xr:uid="{11A06ADD-1381-4471-B09B-7A459DCC9AB0}"/>
    <cellStyle name="Comma 2 2 2 2 2 2 3 3 3 3" xfId="32028" xr:uid="{2BA7002D-D374-4C93-A115-6A3FB116CB35}"/>
    <cellStyle name="Comma 2 2 2 2 2 2 3 3 4" xfId="10124" xr:uid="{B7178B6F-D89C-40CD-ACB1-4E762674EF96}"/>
    <cellStyle name="Comma 2 2 2 2 2 2 3 3 4 2" xfId="46632" xr:uid="{E2A69AE6-9589-4E9A-A6BB-3AC44CEB238B}"/>
    <cellStyle name="Comma 2 2 2 2 2 2 3 3 4 3" xfId="28378" xr:uid="{16EB2C0C-3BAE-40D3-B82D-3D4F55A87D2A}"/>
    <cellStyle name="Comma 2 2 2 2 2 2 3 3 5" xfId="6474" xr:uid="{9DBFA2E3-245E-47B2-AB70-23B99403E9E1}"/>
    <cellStyle name="Comma 2 2 2 2 2 2 3 3 5 2" xfId="42982" xr:uid="{552CD9D7-47F2-4908-893F-24E0B1220E2B}"/>
    <cellStyle name="Comma 2 2 2 2 2 2 3 3 5 3" xfId="24728" xr:uid="{9B6857A4-9F4E-4323-B64F-3AF93F468F84}"/>
    <cellStyle name="Comma 2 2 2 2 2 2 3 3 6" xfId="39332" xr:uid="{8E57F90A-4463-4AA0-996F-26352B53B26A}"/>
    <cellStyle name="Comma 2 2 2 2 2 2 3 3 7" xfId="21078" xr:uid="{2DC6A460-EDC6-4147-80D3-39D49909A5C9}"/>
    <cellStyle name="Comma 2 2 2 2 2 2 3 4" xfId="2094" xr:uid="{82BF449C-1B28-4BA0-A799-0C0421CF5563}"/>
    <cellStyle name="Comma 2 2 2 2 2 2 3 4 2" xfId="16694" xr:uid="{EC72CFB8-A288-43BE-AA2A-C3C5C0E90AFB}"/>
    <cellStyle name="Comma 2 2 2 2 2 2 3 4 2 2" xfId="53202" xr:uid="{1216B892-AA76-43CC-94F3-CE7819E494ED}"/>
    <cellStyle name="Comma 2 2 2 2 2 2 3 4 2 3" xfId="34948" xr:uid="{2286903E-80B8-4343-ADDD-F16DED9CF932}"/>
    <cellStyle name="Comma 2 2 2 2 2 2 3 4 3" xfId="13044" xr:uid="{C6D3E2CA-385C-4270-8706-AF7C471FE937}"/>
    <cellStyle name="Comma 2 2 2 2 2 2 3 4 3 2" xfId="49552" xr:uid="{2904860D-AAE1-4F62-91D1-156283561BA8}"/>
    <cellStyle name="Comma 2 2 2 2 2 2 3 4 3 3" xfId="31298" xr:uid="{E141463B-B5F5-48EA-A75C-E49DB7F9CBC4}"/>
    <cellStyle name="Comma 2 2 2 2 2 2 3 4 4" xfId="9394" xr:uid="{0841BB08-E86C-4C9E-B13A-7938DF03B053}"/>
    <cellStyle name="Comma 2 2 2 2 2 2 3 4 4 2" xfId="45902" xr:uid="{5CB8D61A-105B-49E7-8466-62CA412F3585}"/>
    <cellStyle name="Comma 2 2 2 2 2 2 3 4 4 3" xfId="27648" xr:uid="{6F7C8B0A-34F9-4761-9E2B-9E9B9796CB23}"/>
    <cellStyle name="Comma 2 2 2 2 2 2 3 4 5" xfId="5744" xr:uid="{6608D156-C7A8-4584-A5F9-EDB473A41049}"/>
    <cellStyle name="Comma 2 2 2 2 2 2 3 4 5 2" xfId="42252" xr:uid="{21EA1890-B759-45BB-B271-1A956F82C622}"/>
    <cellStyle name="Comma 2 2 2 2 2 2 3 4 5 3" xfId="23998" xr:uid="{FAB4A390-38C7-4B56-BADF-D15D29AA0C71}"/>
    <cellStyle name="Comma 2 2 2 2 2 2 3 4 6" xfId="38602" xr:uid="{254B4358-36CB-47AD-B55B-66EE8A5574B8}"/>
    <cellStyle name="Comma 2 2 2 2 2 2 3 4 7" xfId="20348" xr:uid="{C6CE0DD9-078C-48FD-8382-F332B870B8DB}"/>
    <cellStyle name="Comma 2 2 2 2 2 2 3 5" xfId="1364" xr:uid="{9F92345B-3619-45FE-A169-5DFA0E925F0E}"/>
    <cellStyle name="Comma 2 2 2 2 2 2 3 5 2" xfId="15964" xr:uid="{C6E25268-B3E2-464D-922D-AFB5E1C9487D}"/>
    <cellStyle name="Comma 2 2 2 2 2 2 3 5 2 2" xfId="52472" xr:uid="{AFD2DDC5-2CBE-4696-966D-66B77B64EFB6}"/>
    <cellStyle name="Comma 2 2 2 2 2 2 3 5 2 3" xfId="34218" xr:uid="{0A4C8DC3-B2D7-4796-BF18-00FD4AE661D1}"/>
    <cellStyle name="Comma 2 2 2 2 2 2 3 5 3" xfId="12314" xr:uid="{B11515FB-7E6E-422F-A621-4314251C0F2B}"/>
    <cellStyle name="Comma 2 2 2 2 2 2 3 5 3 2" xfId="48822" xr:uid="{F7E372C1-3928-4385-9CEB-82494D3754D4}"/>
    <cellStyle name="Comma 2 2 2 2 2 2 3 5 3 3" xfId="30568" xr:uid="{B3958D4A-15F7-46AA-BCB9-F1CCB9FD723E}"/>
    <cellStyle name="Comma 2 2 2 2 2 2 3 5 4" xfId="8664" xr:uid="{BE7AF084-233E-4680-800A-520BC1182198}"/>
    <cellStyle name="Comma 2 2 2 2 2 2 3 5 4 2" xfId="45172" xr:uid="{986BB013-887A-4FBE-9CC2-D532BC62C5BB}"/>
    <cellStyle name="Comma 2 2 2 2 2 2 3 5 4 3" xfId="26918" xr:uid="{A7495077-C119-4AA1-AA79-FB76574505F9}"/>
    <cellStyle name="Comma 2 2 2 2 2 2 3 5 5" xfId="5014" xr:uid="{3265863B-6BFC-4EB1-91B8-8372A6A346D9}"/>
    <cellStyle name="Comma 2 2 2 2 2 2 3 5 5 2" xfId="41522" xr:uid="{5377CEE1-4239-44F0-B7B9-FA20D90FD275}"/>
    <cellStyle name="Comma 2 2 2 2 2 2 3 5 5 3" xfId="23268" xr:uid="{4EE6BD62-DFB7-430E-BA3B-E92E4B0AA27D}"/>
    <cellStyle name="Comma 2 2 2 2 2 2 3 5 6" xfId="37872" xr:uid="{CEC2E68E-206A-4264-8C52-CE589BFE7718}"/>
    <cellStyle name="Comma 2 2 2 2 2 2 3 5 7" xfId="19618" xr:uid="{054226AE-994C-419D-9FF9-611AC1609527}"/>
    <cellStyle name="Comma 2 2 2 2 2 2 3 6" xfId="15234" xr:uid="{9274DDB2-D433-4246-BE91-3C6F393EA4A0}"/>
    <cellStyle name="Comma 2 2 2 2 2 2 3 6 2" xfId="51742" xr:uid="{39389501-D39E-46A1-822B-AC7FD517DA19}"/>
    <cellStyle name="Comma 2 2 2 2 2 2 3 6 3" xfId="33488" xr:uid="{40F0B6C1-3AA2-4CCB-A59F-D743AC2762B5}"/>
    <cellStyle name="Comma 2 2 2 2 2 2 3 7" xfId="11584" xr:uid="{88CFE50C-E5E7-4501-84F3-D9D41A8CF535}"/>
    <cellStyle name="Comma 2 2 2 2 2 2 3 7 2" xfId="48092" xr:uid="{25B0056B-59D6-4BB5-92CD-A56F50436B45}"/>
    <cellStyle name="Comma 2 2 2 2 2 2 3 7 3" xfId="29838" xr:uid="{C0E5140D-231C-43F5-A832-5EB3AC970A65}"/>
    <cellStyle name="Comma 2 2 2 2 2 2 3 8" xfId="7934" xr:uid="{B59888C2-4155-4114-A5DE-E3E5BF9BA716}"/>
    <cellStyle name="Comma 2 2 2 2 2 2 3 8 2" xfId="44442" xr:uid="{714E3D6B-DE1A-4F2F-B06C-79F498828E8C}"/>
    <cellStyle name="Comma 2 2 2 2 2 2 3 8 3" xfId="26188" xr:uid="{05DD825F-A04B-41F6-A4FE-7E774149C12B}"/>
    <cellStyle name="Comma 2 2 2 2 2 2 3 9" xfId="4284" xr:uid="{CD2F831E-17F1-4D5F-B0DD-600DC408853A}"/>
    <cellStyle name="Comma 2 2 2 2 2 2 3 9 2" xfId="40792" xr:uid="{03642F0E-1051-45CB-9997-F3F9218BE367}"/>
    <cellStyle name="Comma 2 2 2 2 2 2 3 9 3" xfId="22538" xr:uid="{F978C5C5-993B-4EA2-8917-647D60AE8999}"/>
    <cellStyle name="Comma 2 2 2 2 2 2 4" xfId="530" xr:uid="{0465D796-02D2-487E-B02B-AA1E9879B92B}"/>
    <cellStyle name="Comma 2 2 2 2 2 2 4 10" xfId="37038" xr:uid="{C76BA72B-8C31-4879-A1B4-833585A4D9E4}"/>
    <cellStyle name="Comma 2 2 2 2 2 2 4 11" xfId="18784" xr:uid="{B15ACDFB-38F5-44F9-B62A-747AB533E74E}"/>
    <cellStyle name="Comma 2 2 2 2 2 2 4 2" xfId="3450" xr:uid="{27793052-9BA9-4612-AF12-4BCA3DEF4A92}"/>
    <cellStyle name="Comma 2 2 2 2 2 2 4 2 2" xfId="18050" xr:uid="{51F802D6-FBEE-4246-9002-706B0378B780}"/>
    <cellStyle name="Comma 2 2 2 2 2 2 4 2 2 2" xfId="54558" xr:uid="{67CF3BB9-4ECB-4F1E-B0A3-DE977F802BAE}"/>
    <cellStyle name="Comma 2 2 2 2 2 2 4 2 2 3" xfId="36304" xr:uid="{560B9A53-F330-4ADF-BFFA-454416D5F855}"/>
    <cellStyle name="Comma 2 2 2 2 2 2 4 2 3" xfId="14400" xr:uid="{72D5725B-894A-419A-A6AD-43C719394F5D}"/>
    <cellStyle name="Comma 2 2 2 2 2 2 4 2 3 2" xfId="50908" xr:uid="{ACBA962F-6340-431E-8368-EA68BB5FDAA5}"/>
    <cellStyle name="Comma 2 2 2 2 2 2 4 2 3 3" xfId="32654" xr:uid="{4666978F-76F9-4F63-A34D-CAC3109B06AE}"/>
    <cellStyle name="Comma 2 2 2 2 2 2 4 2 4" xfId="10750" xr:uid="{F2D6364D-89C7-4D3B-A56D-6DB7000565C8}"/>
    <cellStyle name="Comma 2 2 2 2 2 2 4 2 4 2" xfId="47258" xr:uid="{0929DCAF-C217-4E09-88A6-30163E24D13F}"/>
    <cellStyle name="Comma 2 2 2 2 2 2 4 2 4 3" xfId="29004" xr:uid="{434AF8FE-C77C-455F-AFDE-2ADA99FC7B43}"/>
    <cellStyle name="Comma 2 2 2 2 2 2 4 2 5" xfId="7100" xr:uid="{D2361376-418A-4D1B-89A7-57D356519F58}"/>
    <cellStyle name="Comma 2 2 2 2 2 2 4 2 5 2" xfId="43608" xr:uid="{38D2ACDA-227D-4D9D-91B5-729D43FDDC93}"/>
    <cellStyle name="Comma 2 2 2 2 2 2 4 2 5 3" xfId="25354" xr:uid="{45D6C7DB-9F3D-4FD1-A19F-04B0AC61475D}"/>
    <cellStyle name="Comma 2 2 2 2 2 2 4 2 6" xfId="39958" xr:uid="{70EAFABF-DDD3-4EAB-9E40-386536BE6563}"/>
    <cellStyle name="Comma 2 2 2 2 2 2 4 2 7" xfId="21704" xr:uid="{76A6028C-BA10-4EE1-B610-F2F77A809062}"/>
    <cellStyle name="Comma 2 2 2 2 2 2 4 3" xfId="2720" xr:uid="{FF70E02B-6678-4414-A41E-E127C2F609C7}"/>
    <cellStyle name="Comma 2 2 2 2 2 2 4 3 2" xfId="17320" xr:uid="{B73EAEB6-3715-415F-81FC-DC9088D08532}"/>
    <cellStyle name="Comma 2 2 2 2 2 2 4 3 2 2" xfId="53828" xr:uid="{D8AB91A1-E52D-47F7-9F65-1A377C0ED798}"/>
    <cellStyle name="Comma 2 2 2 2 2 2 4 3 2 3" xfId="35574" xr:uid="{F61AF922-0CF7-4868-A075-186C96DEFC47}"/>
    <cellStyle name="Comma 2 2 2 2 2 2 4 3 3" xfId="13670" xr:uid="{D4A60792-9083-455B-9273-216B54A07B8B}"/>
    <cellStyle name="Comma 2 2 2 2 2 2 4 3 3 2" xfId="50178" xr:uid="{E13CCDF1-19E6-44A6-92B6-D6F0D25F65B4}"/>
    <cellStyle name="Comma 2 2 2 2 2 2 4 3 3 3" xfId="31924" xr:uid="{40343EB3-771D-40C4-8FB1-981F2E5AD938}"/>
    <cellStyle name="Comma 2 2 2 2 2 2 4 3 4" xfId="10020" xr:uid="{3C761B5F-6508-48FC-A2A1-CF78F1B172F5}"/>
    <cellStyle name="Comma 2 2 2 2 2 2 4 3 4 2" xfId="46528" xr:uid="{62F07037-F69B-4E6D-98C8-83A87F799819}"/>
    <cellStyle name="Comma 2 2 2 2 2 2 4 3 4 3" xfId="28274" xr:uid="{3B10E749-F3CC-4E56-B2D4-11C69E1BC943}"/>
    <cellStyle name="Comma 2 2 2 2 2 2 4 3 5" xfId="6370" xr:uid="{D0CE7FF1-97F5-4C35-8BB0-DC9F6B32C3B2}"/>
    <cellStyle name="Comma 2 2 2 2 2 2 4 3 5 2" xfId="42878" xr:uid="{D2CFCACF-B841-46E3-8A5F-B6B04CA0B62A}"/>
    <cellStyle name="Comma 2 2 2 2 2 2 4 3 5 3" xfId="24624" xr:uid="{FBF25F11-880B-4A89-BB0C-E7EE4E829218}"/>
    <cellStyle name="Comma 2 2 2 2 2 2 4 3 6" xfId="39228" xr:uid="{CF7691C0-2537-40C9-9D75-030B2023BB4C}"/>
    <cellStyle name="Comma 2 2 2 2 2 2 4 3 7" xfId="20974" xr:uid="{B4C56B9A-C7A2-4300-B858-BD0E30A6D660}"/>
    <cellStyle name="Comma 2 2 2 2 2 2 4 4" xfId="1990" xr:uid="{B5D3F341-D8DB-46E2-9270-994DABCABDE7}"/>
    <cellStyle name="Comma 2 2 2 2 2 2 4 4 2" xfId="16590" xr:uid="{6ED942D7-81B8-4163-B6AF-3AD6180692E7}"/>
    <cellStyle name="Comma 2 2 2 2 2 2 4 4 2 2" xfId="53098" xr:uid="{11EDA421-C3D0-47E3-936E-E496555E0903}"/>
    <cellStyle name="Comma 2 2 2 2 2 2 4 4 2 3" xfId="34844" xr:uid="{B1DBADC2-EA2E-43D5-9E54-8B617AB8FD1B}"/>
    <cellStyle name="Comma 2 2 2 2 2 2 4 4 3" xfId="12940" xr:uid="{F6CB95EA-26D8-41A0-B2AE-6C6519FB8B7A}"/>
    <cellStyle name="Comma 2 2 2 2 2 2 4 4 3 2" xfId="49448" xr:uid="{671C4E97-BAF6-40FA-9623-C84C214A5CDC}"/>
    <cellStyle name="Comma 2 2 2 2 2 2 4 4 3 3" xfId="31194" xr:uid="{DA812D6D-C24E-43CD-89FF-C13AA50281B0}"/>
    <cellStyle name="Comma 2 2 2 2 2 2 4 4 4" xfId="9290" xr:uid="{2C99ADAD-9E6A-4F6F-9856-A72959C52459}"/>
    <cellStyle name="Comma 2 2 2 2 2 2 4 4 4 2" xfId="45798" xr:uid="{74A9A4B5-EAF0-4631-B1F4-FAB7BAE9C0C1}"/>
    <cellStyle name="Comma 2 2 2 2 2 2 4 4 4 3" xfId="27544" xr:uid="{94FF03E3-2D8A-4BAE-BD7C-7D6FFEACB43E}"/>
    <cellStyle name="Comma 2 2 2 2 2 2 4 4 5" xfId="5640" xr:uid="{5118A412-A35C-4ACA-92C5-E9F57E220120}"/>
    <cellStyle name="Comma 2 2 2 2 2 2 4 4 5 2" xfId="42148" xr:uid="{6AB58121-F0ED-4702-A884-B669BA09A07B}"/>
    <cellStyle name="Comma 2 2 2 2 2 2 4 4 5 3" xfId="23894" xr:uid="{A2A960BB-FE54-438B-9FD4-F25F2E87C1D3}"/>
    <cellStyle name="Comma 2 2 2 2 2 2 4 4 6" xfId="38498" xr:uid="{E2558140-5E3F-4A31-9A1C-36498DDB2A5B}"/>
    <cellStyle name="Comma 2 2 2 2 2 2 4 4 7" xfId="20244" xr:uid="{9026C20D-701F-45A7-B528-1CF31180AEC7}"/>
    <cellStyle name="Comma 2 2 2 2 2 2 4 5" xfId="1260" xr:uid="{99C21EA8-261F-4A08-82F3-368FA5A68070}"/>
    <cellStyle name="Comma 2 2 2 2 2 2 4 5 2" xfId="15860" xr:uid="{6A386EEB-8808-41EF-8202-BD5A2232D644}"/>
    <cellStyle name="Comma 2 2 2 2 2 2 4 5 2 2" xfId="52368" xr:uid="{5DAF106B-F191-4107-B4C7-7578F3ABE5EB}"/>
    <cellStyle name="Comma 2 2 2 2 2 2 4 5 2 3" xfId="34114" xr:uid="{EFD0DEF0-C2B7-4FF8-8B2F-C906A26597AF}"/>
    <cellStyle name="Comma 2 2 2 2 2 2 4 5 3" xfId="12210" xr:uid="{9AF2D665-224B-4287-B0CB-E090399B7CC5}"/>
    <cellStyle name="Comma 2 2 2 2 2 2 4 5 3 2" xfId="48718" xr:uid="{50A859F4-5B81-4676-BEB5-40BF73877DA9}"/>
    <cellStyle name="Comma 2 2 2 2 2 2 4 5 3 3" xfId="30464" xr:uid="{1F152A5D-7CBD-459D-8499-023164A1B977}"/>
    <cellStyle name="Comma 2 2 2 2 2 2 4 5 4" xfId="8560" xr:uid="{2245BAFC-C990-411D-AED1-DDA05D62F6C3}"/>
    <cellStyle name="Comma 2 2 2 2 2 2 4 5 4 2" xfId="45068" xr:uid="{B05A9BE0-F96A-4C63-BED4-BFB7BEB54DF3}"/>
    <cellStyle name="Comma 2 2 2 2 2 2 4 5 4 3" xfId="26814" xr:uid="{156355FA-9491-4A4A-BC3A-68E366A1E705}"/>
    <cellStyle name="Comma 2 2 2 2 2 2 4 5 5" xfId="4910" xr:uid="{FE89A858-419D-4AA0-8963-916E42CCF6EB}"/>
    <cellStyle name="Comma 2 2 2 2 2 2 4 5 5 2" xfId="41418" xr:uid="{71560249-DFC6-48C2-973F-C238C9E009ED}"/>
    <cellStyle name="Comma 2 2 2 2 2 2 4 5 5 3" xfId="23164" xr:uid="{66E7BCAE-9A38-4F8A-997F-3BE520A697C8}"/>
    <cellStyle name="Comma 2 2 2 2 2 2 4 5 6" xfId="37768" xr:uid="{4EBA3E1C-956C-41C3-A473-A17A358F6BFF}"/>
    <cellStyle name="Comma 2 2 2 2 2 2 4 5 7" xfId="19514" xr:uid="{DCA03551-0456-4B06-9426-ED62318FA70D}"/>
    <cellStyle name="Comma 2 2 2 2 2 2 4 6" xfId="15130" xr:uid="{3BC9370F-4D5E-4942-A994-B57F9B77BAAA}"/>
    <cellStyle name="Comma 2 2 2 2 2 2 4 6 2" xfId="51638" xr:uid="{B12EA934-60EA-474F-AA83-2B56474FEC04}"/>
    <cellStyle name="Comma 2 2 2 2 2 2 4 6 3" xfId="33384" xr:uid="{A71E0ADA-9C46-4333-8815-ECBDCE331446}"/>
    <cellStyle name="Comma 2 2 2 2 2 2 4 7" xfId="11480" xr:uid="{52D6EB79-49BA-4F92-9249-7B3A2014E2A9}"/>
    <cellStyle name="Comma 2 2 2 2 2 2 4 7 2" xfId="47988" xr:uid="{F8BE5F1D-7525-4FD9-AB32-1D62239FF13E}"/>
    <cellStyle name="Comma 2 2 2 2 2 2 4 7 3" xfId="29734" xr:uid="{F2C8E5DA-E5FE-472A-BAC2-A4E5E31C6A21}"/>
    <cellStyle name="Comma 2 2 2 2 2 2 4 8" xfId="7830" xr:uid="{70C44CF7-7FFC-4679-A7F5-7DCC89489D9D}"/>
    <cellStyle name="Comma 2 2 2 2 2 2 4 8 2" xfId="44338" xr:uid="{D3F20565-B1BB-41A2-9054-BDD7D05CAC51}"/>
    <cellStyle name="Comma 2 2 2 2 2 2 4 8 3" xfId="26084" xr:uid="{ED656C45-1493-4CD0-845B-0CF7829A13C9}"/>
    <cellStyle name="Comma 2 2 2 2 2 2 4 9" xfId="4180" xr:uid="{6C738C30-F901-4045-831A-A0F623E4BAF3}"/>
    <cellStyle name="Comma 2 2 2 2 2 2 4 9 2" xfId="40688" xr:uid="{5F991CF9-6A6B-41F2-A060-F8F4950FB90A}"/>
    <cellStyle name="Comma 2 2 2 2 2 2 4 9 3" xfId="22434" xr:uid="{0F2A4A62-3435-4E7E-96DB-B7703388EB7D}"/>
    <cellStyle name="Comma 2 2 2 2 2 2 5" xfId="426" xr:uid="{ADEF0BF8-C31E-4B04-875C-C8670CF5D437}"/>
    <cellStyle name="Comma 2 2 2 2 2 2 5 10" xfId="36934" xr:uid="{9C2A6D09-BBE8-4A66-810B-BE1DB22E86B9}"/>
    <cellStyle name="Comma 2 2 2 2 2 2 5 11" xfId="18680" xr:uid="{9171CC68-1FE6-49C6-9688-4213E0AED701}"/>
    <cellStyle name="Comma 2 2 2 2 2 2 5 2" xfId="3346" xr:uid="{5DF7C4D3-AB33-41E1-8A20-CA7F3DC413C3}"/>
    <cellStyle name="Comma 2 2 2 2 2 2 5 2 2" xfId="17946" xr:uid="{2F6C6CE9-C571-4BD0-B2BF-5803AD122ACA}"/>
    <cellStyle name="Comma 2 2 2 2 2 2 5 2 2 2" xfId="54454" xr:uid="{C1A37A48-E646-44CE-B573-DB6EC55F77F2}"/>
    <cellStyle name="Comma 2 2 2 2 2 2 5 2 2 3" xfId="36200" xr:uid="{0500529D-2E82-4FFA-AE8D-2F0F982102C1}"/>
    <cellStyle name="Comma 2 2 2 2 2 2 5 2 3" xfId="14296" xr:uid="{F59077DA-9BB5-467E-925C-34E34C2858DD}"/>
    <cellStyle name="Comma 2 2 2 2 2 2 5 2 3 2" xfId="50804" xr:uid="{135C6718-A8A4-4BDB-B557-E3FDA45F87D0}"/>
    <cellStyle name="Comma 2 2 2 2 2 2 5 2 3 3" xfId="32550" xr:uid="{FD4C2534-03B0-4B7E-AEC0-CA05C611CBE9}"/>
    <cellStyle name="Comma 2 2 2 2 2 2 5 2 4" xfId="10646" xr:uid="{BF04E55D-11E6-4979-8A0B-D25FB94394DF}"/>
    <cellStyle name="Comma 2 2 2 2 2 2 5 2 4 2" xfId="47154" xr:uid="{279B4284-ECC0-4094-9C4D-65D654923068}"/>
    <cellStyle name="Comma 2 2 2 2 2 2 5 2 4 3" xfId="28900" xr:uid="{884DACDC-939A-455E-A515-999F69A4B5AA}"/>
    <cellStyle name="Comma 2 2 2 2 2 2 5 2 5" xfId="6996" xr:uid="{0DBD9250-AC3A-4419-AB12-330C1CFEB745}"/>
    <cellStyle name="Comma 2 2 2 2 2 2 5 2 5 2" xfId="43504" xr:uid="{F6F57ACF-343E-479C-8CB2-B409A18794C0}"/>
    <cellStyle name="Comma 2 2 2 2 2 2 5 2 5 3" xfId="25250" xr:uid="{91484A86-4D88-4D0C-B8E9-A4E51CFF1227}"/>
    <cellStyle name="Comma 2 2 2 2 2 2 5 2 6" xfId="39854" xr:uid="{36A8DD54-20F8-4BD1-806B-E745C71E35D3}"/>
    <cellStyle name="Comma 2 2 2 2 2 2 5 2 7" xfId="21600" xr:uid="{2AFEC25A-94B9-40B8-8E0D-D166DB8FE75C}"/>
    <cellStyle name="Comma 2 2 2 2 2 2 5 3" xfId="2616" xr:uid="{69CA9B99-1FFD-4E68-89AA-0CC79D57BC2E}"/>
    <cellStyle name="Comma 2 2 2 2 2 2 5 3 2" xfId="17216" xr:uid="{E03A6C74-6473-469E-91B9-6B65D93095F9}"/>
    <cellStyle name="Comma 2 2 2 2 2 2 5 3 2 2" xfId="53724" xr:uid="{4D047DF8-39CA-4745-9B58-6FB099B7CE6A}"/>
    <cellStyle name="Comma 2 2 2 2 2 2 5 3 2 3" xfId="35470" xr:uid="{291D174E-F2B8-4729-A152-AC40B70887F4}"/>
    <cellStyle name="Comma 2 2 2 2 2 2 5 3 3" xfId="13566" xr:uid="{45878FD2-509E-41A2-83EE-3ECDA3D1B637}"/>
    <cellStyle name="Comma 2 2 2 2 2 2 5 3 3 2" xfId="50074" xr:uid="{653DD1D5-179E-4619-867F-795EBA974DDF}"/>
    <cellStyle name="Comma 2 2 2 2 2 2 5 3 3 3" xfId="31820" xr:uid="{EA7E4164-C2E7-4E81-BF6F-8DBF49CF499B}"/>
    <cellStyle name="Comma 2 2 2 2 2 2 5 3 4" xfId="9916" xr:uid="{12ABD33E-8B00-4467-AABB-478B83D7855F}"/>
    <cellStyle name="Comma 2 2 2 2 2 2 5 3 4 2" xfId="46424" xr:uid="{7D633AE1-783E-4C40-84EC-A7BDC3F9B84E}"/>
    <cellStyle name="Comma 2 2 2 2 2 2 5 3 4 3" xfId="28170" xr:uid="{5954D307-89E0-4A88-9746-FAD939548D99}"/>
    <cellStyle name="Comma 2 2 2 2 2 2 5 3 5" xfId="6266" xr:uid="{3D762FB5-5D4F-48C1-AB79-12EFC061081C}"/>
    <cellStyle name="Comma 2 2 2 2 2 2 5 3 5 2" xfId="42774" xr:uid="{C8C1CC6F-78E4-49E4-9031-361478AE87CA}"/>
    <cellStyle name="Comma 2 2 2 2 2 2 5 3 5 3" xfId="24520" xr:uid="{F6279877-C1EB-4F44-9172-E074BFAE398F}"/>
    <cellStyle name="Comma 2 2 2 2 2 2 5 3 6" xfId="39124" xr:uid="{A29AF207-F8E2-4481-8598-EDD5C2196B5A}"/>
    <cellStyle name="Comma 2 2 2 2 2 2 5 3 7" xfId="20870" xr:uid="{ADCD4D07-3F39-4D31-BC3B-633E89AAB63F}"/>
    <cellStyle name="Comma 2 2 2 2 2 2 5 4" xfId="1886" xr:uid="{B75D4237-4AA7-4259-915F-1F999225C7B7}"/>
    <cellStyle name="Comma 2 2 2 2 2 2 5 4 2" xfId="16486" xr:uid="{9E91CDE7-5B96-4D5E-9A8A-BAE66EE5728B}"/>
    <cellStyle name="Comma 2 2 2 2 2 2 5 4 2 2" xfId="52994" xr:uid="{59BA233B-8A46-462B-A322-75BDD7A74230}"/>
    <cellStyle name="Comma 2 2 2 2 2 2 5 4 2 3" xfId="34740" xr:uid="{C47DC0E6-9A47-4EE4-BF1A-25E2C2643E89}"/>
    <cellStyle name="Comma 2 2 2 2 2 2 5 4 3" xfId="12836" xr:uid="{9C124606-5E94-47CD-BB3A-BC4B4787C3EC}"/>
    <cellStyle name="Comma 2 2 2 2 2 2 5 4 3 2" xfId="49344" xr:uid="{1EFADC96-3D7E-455A-B92C-1A156A7A0AC5}"/>
    <cellStyle name="Comma 2 2 2 2 2 2 5 4 3 3" xfId="31090" xr:uid="{64C5F9F1-41F6-4A0F-8FDD-7C77A0DB051D}"/>
    <cellStyle name="Comma 2 2 2 2 2 2 5 4 4" xfId="9186" xr:uid="{2B04C5E1-D17C-4286-899A-642FACA41094}"/>
    <cellStyle name="Comma 2 2 2 2 2 2 5 4 4 2" xfId="45694" xr:uid="{0D1EC8CE-64D3-4192-8AB4-FF5DFB180E51}"/>
    <cellStyle name="Comma 2 2 2 2 2 2 5 4 4 3" xfId="27440" xr:uid="{31DCFB33-F7AA-49FF-8320-67C04670A85D}"/>
    <cellStyle name="Comma 2 2 2 2 2 2 5 4 5" xfId="5536" xr:uid="{4F6F2F72-9AB0-45BC-8FCF-17592619CE0B}"/>
    <cellStyle name="Comma 2 2 2 2 2 2 5 4 5 2" xfId="42044" xr:uid="{9A60F217-5543-4468-A607-0C3FE6FD1791}"/>
    <cellStyle name="Comma 2 2 2 2 2 2 5 4 5 3" xfId="23790" xr:uid="{C04E9DE1-EF92-4925-BD3E-F2A9C76B523D}"/>
    <cellStyle name="Comma 2 2 2 2 2 2 5 4 6" xfId="38394" xr:uid="{4EE0FA6C-E761-4B32-9658-97395E2E259B}"/>
    <cellStyle name="Comma 2 2 2 2 2 2 5 4 7" xfId="20140" xr:uid="{AF94D705-02BF-4FAC-9E19-799570FE3440}"/>
    <cellStyle name="Comma 2 2 2 2 2 2 5 5" xfId="1156" xr:uid="{DCE59E9F-9737-475D-932B-B7F380B704AF}"/>
    <cellStyle name="Comma 2 2 2 2 2 2 5 5 2" xfId="15756" xr:uid="{FBFBA5AA-B8B9-437B-82F8-E99BA39AC395}"/>
    <cellStyle name="Comma 2 2 2 2 2 2 5 5 2 2" xfId="52264" xr:uid="{37BA28A5-924C-48E0-8E12-F624FCE1021D}"/>
    <cellStyle name="Comma 2 2 2 2 2 2 5 5 2 3" xfId="34010" xr:uid="{9160679A-291B-4792-812C-5CE020F9F52E}"/>
    <cellStyle name="Comma 2 2 2 2 2 2 5 5 3" xfId="12106" xr:uid="{69146FEA-FAFA-426C-9736-BAC13C0BED7C}"/>
    <cellStyle name="Comma 2 2 2 2 2 2 5 5 3 2" xfId="48614" xr:uid="{9DE0019D-DEE5-415D-B8F3-C39D9D350970}"/>
    <cellStyle name="Comma 2 2 2 2 2 2 5 5 3 3" xfId="30360" xr:uid="{7F430067-8DCB-409F-9B68-A368C1C68B45}"/>
    <cellStyle name="Comma 2 2 2 2 2 2 5 5 4" xfId="8456" xr:uid="{1E72A5AB-F2E6-454B-9E1B-8F22A7053BD8}"/>
    <cellStyle name="Comma 2 2 2 2 2 2 5 5 4 2" xfId="44964" xr:uid="{7BA50C66-1FC8-45A4-A28F-B3868C4F85FF}"/>
    <cellStyle name="Comma 2 2 2 2 2 2 5 5 4 3" xfId="26710" xr:uid="{22B64E7C-5DCD-472C-8B04-FC8AB9F99A4E}"/>
    <cellStyle name="Comma 2 2 2 2 2 2 5 5 5" xfId="4806" xr:uid="{2AA9D55B-3B1B-444C-83C5-172F9BE7FC11}"/>
    <cellStyle name="Comma 2 2 2 2 2 2 5 5 5 2" xfId="41314" xr:uid="{981B4E63-95EA-45A4-9852-799693613617}"/>
    <cellStyle name="Comma 2 2 2 2 2 2 5 5 5 3" xfId="23060" xr:uid="{B8B74AAF-0E15-496F-AD36-33F480CD43AC}"/>
    <cellStyle name="Comma 2 2 2 2 2 2 5 5 6" xfId="37664" xr:uid="{DF0BF807-40AF-4B53-B69D-9CE7C44D158D}"/>
    <cellStyle name="Comma 2 2 2 2 2 2 5 5 7" xfId="19410" xr:uid="{D9F85281-5967-4163-BE40-285B591AC99C}"/>
    <cellStyle name="Comma 2 2 2 2 2 2 5 6" xfId="15026" xr:uid="{8C2FFFC9-9E18-41AD-AAAB-67971B985C5D}"/>
    <cellStyle name="Comma 2 2 2 2 2 2 5 6 2" xfId="51534" xr:uid="{2C0AE251-D423-48E3-8F03-CDB4D3DE3161}"/>
    <cellStyle name="Comma 2 2 2 2 2 2 5 6 3" xfId="33280" xr:uid="{D99212D4-D15C-489B-B18A-54867D154EA7}"/>
    <cellStyle name="Comma 2 2 2 2 2 2 5 7" xfId="11376" xr:uid="{B88BCF9E-5AFF-4499-8C5A-1924905C1AA5}"/>
    <cellStyle name="Comma 2 2 2 2 2 2 5 7 2" xfId="47884" xr:uid="{2E28990D-62F7-4B41-B179-6A0BA6318DDC}"/>
    <cellStyle name="Comma 2 2 2 2 2 2 5 7 3" xfId="29630" xr:uid="{4E47A411-7399-4D25-A160-E47B383EB4F0}"/>
    <cellStyle name="Comma 2 2 2 2 2 2 5 8" xfId="7726" xr:uid="{B8900549-4436-4CCD-8FD1-B439F2B86F54}"/>
    <cellStyle name="Comma 2 2 2 2 2 2 5 8 2" xfId="44234" xr:uid="{98A02EAA-0CA8-478B-BBD2-F43DC8A3A73E}"/>
    <cellStyle name="Comma 2 2 2 2 2 2 5 8 3" xfId="25980" xr:uid="{0967B77D-9550-40E3-A939-46497C0AE4D1}"/>
    <cellStyle name="Comma 2 2 2 2 2 2 5 9" xfId="4076" xr:uid="{DE1BB2E4-674E-4205-8A6D-CC9D7EE46162}"/>
    <cellStyle name="Comma 2 2 2 2 2 2 5 9 2" xfId="40584" xr:uid="{ED2F13FB-AA99-41DE-94EB-06B54D26D5BC}"/>
    <cellStyle name="Comma 2 2 2 2 2 2 5 9 3" xfId="22330" xr:uid="{56AE544E-AE40-4147-A920-FB0DC2ED168E}"/>
    <cellStyle name="Comma 2 2 2 2 2 2 6" xfId="322" xr:uid="{04327224-B407-41AA-9EDE-566405499B4B}"/>
    <cellStyle name="Comma 2 2 2 2 2 2 6 10" xfId="36830" xr:uid="{30022052-0655-4A60-ADE7-F896E150EAB0}"/>
    <cellStyle name="Comma 2 2 2 2 2 2 6 11" xfId="18576" xr:uid="{E2E2D4F3-DCCF-4BBB-85FD-3832E54C8CAA}"/>
    <cellStyle name="Comma 2 2 2 2 2 2 6 2" xfId="3242" xr:uid="{5350FD0C-43B1-4EFC-85E1-344EB8B7D948}"/>
    <cellStyle name="Comma 2 2 2 2 2 2 6 2 2" xfId="17842" xr:uid="{6BB906C7-A042-4822-83F3-B5AC48FB2D4A}"/>
    <cellStyle name="Comma 2 2 2 2 2 2 6 2 2 2" xfId="54350" xr:uid="{EAF78919-C921-4D3E-83AC-01C51DF5091E}"/>
    <cellStyle name="Comma 2 2 2 2 2 2 6 2 2 3" xfId="36096" xr:uid="{2B1AC39D-E8A3-4D89-9A30-9CACE9B84503}"/>
    <cellStyle name="Comma 2 2 2 2 2 2 6 2 3" xfId="14192" xr:uid="{FA80250D-2824-4567-91F0-26C9E8C3A6DD}"/>
    <cellStyle name="Comma 2 2 2 2 2 2 6 2 3 2" xfId="50700" xr:uid="{424B6C6B-9B10-4CF8-82F0-DD6B1A486C4C}"/>
    <cellStyle name="Comma 2 2 2 2 2 2 6 2 3 3" xfId="32446" xr:uid="{B28A86D8-CED5-44B2-A1D0-8EFFC2B8B253}"/>
    <cellStyle name="Comma 2 2 2 2 2 2 6 2 4" xfId="10542" xr:uid="{69574427-0956-447C-9FA7-10FEA2B42714}"/>
    <cellStyle name="Comma 2 2 2 2 2 2 6 2 4 2" xfId="47050" xr:uid="{EBE4070E-CE91-4646-8C72-6F504F4AF928}"/>
    <cellStyle name="Comma 2 2 2 2 2 2 6 2 4 3" xfId="28796" xr:uid="{1F4D4E1B-D107-48DA-A9EF-27A6688F21B6}"/>
    <cellStyle name="Comma 2 2 2 2 2 2 6 2 5" xfId="6892" xr:uid="{EC9AC0EF-1F05-4FDC-A9B0-A23597AD6891}"/>
    <cellStyle name="Comma 2 2 2 2 2 2 6 2 5 2" xfId="43400" xr:uid="{95DC63FA-7A97-4395-8DD9-6016B0CC4EEC}"/>
    <cellStyle name="Comma 2 2 2 2 2 2 6 2 5 3" xfId="25146" xr:uid="{C2CA3712-B22B-44B3-BC3E-AB02DB9CE550}"/>
    <cellStyle name="Comma 2 2 2 2 2 2 6 2 6" xfId="39750" xr:uid="{9BBA953A-B5B5-4EDF-B4B6-8E37E7D57C3A}"/>
    <cellStyle name="Comma 2 2 2 2 2 2 6 2 7" xfId="21496" xr:uid="{EE1F77F9-A22F-4582-9415-7B1741923E89}"/>
    <cellStyle name="Comma 2 2 2 2 2 2 6 3" xfId="2512" xr:uid="{34F6E055-8083-4140-B489-FE523CA174F2}"/>
    <cellStyle name="Comma 2 2 2 2 2 2 6 3 2" xfId="17112" xr:uid="{371C1940-D566-434B-A479-A8F1CC5C520C}"/>
    <cellStyle name="Comma 2 2 2 2 2 2 6 3 2 2" xfId="53620" xr:uid="{66C6841A-6931-4FF1-889C-9859E06F32D1}"/>
    <cellStyle name="Comma 2 2 2 2 2 2 6 3 2 3" xfId="35366" xr:uid="{A7C52CBD-5D91-4831-B923-E4BC57C36232}"/>
    <cellStyle name="Comma 2 2 2 2 2 2 6 3 3" xfId="13462" xr:uid="{7D243F87-A4BD-425A-B927-F5E179227F1F}"/>
    <cellStyle name="Comma 2 2 2 2 2 2 6 3 3 2" xfId="49970" xr:uid="{D7EA50C0-A8A4-4BD9-B38E-98263B4B18B4}"/>
    <cellStyle name="Comma 2 2 2 2 2 2 6 3 3 3" xfId="31716" xr:uid="{EB04CB5A-096F-4FA8-9B0B-E08BF44F34B8}"/>
    <cellStyle name="Comma 2 2 2 2 2 2 6 3 4" xfId="9812" xr:uid="{FC484D94-EB2C-43D2-B47A-9511BF3F9538}"/>
    <cellStyle name="Comma 2 2 2 2 2 2 6 3 4 2" xfId="46320" xr:uid="{BBF5F86A-CF40-4EBB-A222-B3DB63388EB2}"/>
    <cellStyle name="Comma 2 2 2 2 2 2 6 3 4 3" xfId="28066" xr:uid="{31CD9A1E-ED77-4A6C-8B41-1E33FF89AFC8}"/>
    <cellStyle name="Comma 2 2 2 2 2 2 6 3 5" xfId="6162" xr:uid="{30435AB9-27E0-4EA8-8901-8B1CDF961885}"/>
    <cellStyle name="Comma 2 2 2 2 2 2 6 3 5 2" xfId="42670" xr:uid="{C5505A5B-8F75-4235-9630-EDEF971B9C33}"/>
    <cellStyle name="Comma 2 2 2 2 2 2 6 3 5 3" xfId="24416" xr:uid="{FAAEDFB0-AAFC-44D3-A7DE-55113D7E2FC7}"/>
    <cellStyle name="Comma 2 2 2 2 2 2 6 3 6" xfId="39020" xr:uid="{8AEC406B-9117-4367-B586-3953C49F13D3}"/>
    <cellStyle name="Comma 2 2 2 2 2 2 6 3 7" xfId="20766" xr:uid="{01FC486F-6A20-4A55-8568-44854A658FD0}"/>
    <cellStyle name="Comma 2 2 2 2 2 2 6 4" xfId="1782" xr:uid="{4FA6C18A-2743-45FE-9273-C9F861BFC008}"/>
    <cellStyle name="Comma 2 2 2 2 2 2 6 4 2" xfId="16382" xr:uid="{265CFEA0-7695-4175-8DAF-D5DC18A0CB6D}"/>
    <cellStyle name="Comma 2 2 2 2 2 2 6 4 2 2" xfId="52890" xr:uid="{BCA1C9C3-3469-474B-A21E-FD591B136352}"/>
    <cellStyle name="Comma 2 2 2 2 2 2 6 4 2 3" xfId="34636" xr:uid="{E1B6DC87-C9AB-4DF4-97C5-2EBC76715A44}"/>
    <cellStyle name="Comma 2 2 2 2 2 2 6 4 3" xfId="12732" xr:uid="{D79D8959-691E-4BFE-A8E8-4B8CFAC2179D}"/>
    <cellStyle name="Comma 2 2 2 2 2 2 6 4 3 2" xfId="49240" xr:uid="{3CD4C15B-DF20-42A4-BAE6-E885B984565F}"/>
    <cellStyle name="Comma 2 2 2 2 2 2 6 4 3 3" xfId="30986" xr:uid="{5529C4F8-C15A-4C83-8321-541973EF4658}"/>
    <cellStyle name="Comma 2 2 2 2 2 2 6 4 4" xfId="9082" xr:uid="{6B1AD211-BB29-46D0-AE04-05AB67724CB3}"/>
    <cellStyle name="Comma 2 2 2 2 2 2 6 4 4 2" xfId="45590" xr:uid="{0C39F9F4-6A46-4C7B-A130-9D3CB33CF0B4}"/>
    <cellStyle name="Comma 2 2 2 2 2 2 6 4 4 3" xfId="27336" xr:uid="{B0E51D1E-11D6-4F91-B1FD-151E5FB8BE77}"/>
    <cellStyle name="Comma 2 2 2 2 2 2 6 4 5" xfId="5432" xr:uid="{3F337706-5B60-425D-9E44-4951BC725FD7}"/>
    <cellStyle name="Comma 2 2 2 2 2 2 6 4 5 2" xfId="41940" xr:uid="{27C1D110-D5E8-4E22-A4AB-97040F75C113}"/>
    <cellStyle name="Comma 2 2 2 2 2 2 6 4 5 3" xfId="23686" xr:uid="{10E7F8E6-B175-4132-A518-F0E896D8979C}"/>
    <cellStyle name="Comma 2 2 2 2 2 2 6 4 6" xfId="38290" xr:uid="{68973B23-D9AD-486E-AD77-F2A497570E51}"/>
    <cellStyle name="Comma 2 2 2 2 2 2 6 4 7" xfId="20036" xr:uid="{D0809C6F-F141-402F-BD77-7D6B88231C06}"/>
    <cellStyle name="Comma 2 2 2 2 2 2 6 5" xfId="1052" xr:uid="{1E648622-626B-4A92-9E78-311814089FBA}"/>
    <cellStyle name="Comma 2 2 2 2 2 2 6 5 2" xfId="15652" xr:uid="{AB942163-7482-4AB3-B4E0-94DCFA81061E}"/>
    <cellStyle name="Comma 2 2 2 2 2 2 6 5 2 2" xfId="52160" xr:uid="{6499A9A5-5911-40D2-88CE-624B16B4748F}"/>
    <cellStyle name="Comma 2 2 2 2 2 2 6 5 2 3" xfId="33906" xr:uid="{C0F13CF7-ECD3-4BB3-BB54-999BC9308223}"/>
    <cellStyle name="Comma 2 2 2 2 2 2 6 5 3" xfId="12002" xr:uid="{2A6582FF-0D00-4927-836F-B1D2AFF78388}"/>
    <cellStyle name="Comma 2 2 2 2 2 2 6 5 3 2" xfId="48510" xr:uid="{8166FEB7-19AC-4A51-9F54-8F3A17CE873E}"/>
    <cellStyle name="Comma 2 2 2 2 2 2 6 5 3 3" xfId="30256" xr:uid="{DB3F4081-1DFB-4CFC-AD19-EB2703B1E872}"/>
    <cellStyle name="Comma 2 2 2 2 2 2 6 5 4" xfId="8352" xr:uid="{A2D3459B-C212-4546-ADD4-EA15DEB5A061}"/>
    <cellStyle name="Comma 2 2 2 2 2 2 6 5 4 2" xfId="44860" xr:uid="{63C3B9A3-D339-4757-8D49-C014E75C84FA}"/>
    <cellStyle name="Comma 2 2 2 2 2 2 6 5 4 3" xfId="26606" xr:uid="{82864A88-BBB0-4AF2-9DA9-C496B6AD0B93}"/>
    <cellStyle name="Comma 2 2 2 2 2 2 6 5 5" xfId="4702" xr:uid="{44D4008E-96D5-46DD-B8AB-440C16437053}"/>
    <cellStyle name="Comma 2 2 2 2 2 2 6 5 5 2" xfId="41210" xr:uid="{187CE14A-FBFE-4AF0-BE74-0EFA1D0D1D3F}"/>
    <cellStyle name="Comma 2 2 2 2 2 2 6 5 5 3" xfId="22956" xr:uid="{78C7AEC0-F2F6-450B-BA2E-AC5BA0E99239}"/>
    <cellStyle name="Comma 2 2 2 2 2 2 6 5 6" xfId="37560" xr:uid="{D1E3B1E1-F2DD-4CF7-B2F3-837F47BDBB24}"/>
    <cellStyle name="Comma 2 2 2 2 2 2 6 5 7" xfId="19306" xr:uid="{9C847093-EE20-4F10-B90F-A3933E99D551}"/>
    <cellStyle name="Comma 2 2 2 2 2 2 6 6" xfId="14922" xr:uid="{A1C6E1AF-914F-4ED9-94AE-E967D3BE3BE8}"/>
    <cellStyle name="Comma 2 2 2 2 2 2 6 6 2" xfId="51430" xr:uid="{A2A6B5A2-121A-4AD9-8484-1A6CE7028939}"/>
    <cellStyle name="Comma 2 2 2 2 2 2 6 6 3" xfId="33176" xr:uid="{11F04A24-0A63-438B-8ED8-479068846F55}"/>
    <cellStyle name="Comma 2 2 2 2 2 2 6 7" xfId="11272" xr:uid="{1D7B3B54-5C65-41B5-A1FC-E0D2B3D4C569}"/>
    <cellStyle name="Comma 2 2 2 2 2 2 6 7 2" xfId="47780" xr:uid="{585388B0-C660-4563-90CB-67EE9176FA22}"/>
    <cellStyle name="Comma 2 2 2 2 2 2 6 7 3" xfId="29526" xr:uid="{FBD21D8C-CA97-441A-83FE-0C19FDF42BF3}"/>
    <cellStyle name="Comma 2 2 2 2 2 2 6 8" xfId="7622" xr:uid="{84C51203-EE1F-46D4-9129-5831C6615369}"/>
    <cellStyle name="Comma 2 2 2 2 2 2 6 8 2" xfId="44130" xr:uid="{E0797E94-6A8B-4057-A362-46D51387E7C8}"/>
    <cellStyle name="Comma 2 2 2 2 2 2 6 8 3" xfId="25876" xr:uid="{6AF05D67-63CF-4848-ADAB-30AC22E8DBED}"/>
    <cellStyle name="Comma 2 2 2 2 2 2 6 9" xfId="3972" xr:uid="{EFF9D032-62E9-424C-916F-175A36939654}"/>
    <cellStyle name="Comma 2 2 2 2 2 2 6 9 2" xfId="40480" xr:uid="{D484BF9C-2A68-4FF2-BE1E-71B7D189B59C}"/>
    <cellStyle name="Comma 2 2 2 2 2 2 6 9 3" xfId="22226" xr:uid="{DF58E1B6-93B2-40AD-B217-9389F7062B91}"/>
    <cellStyle name="Comma 2 2 2 2 2 2 7" xfId="218" xr:uid="{692460AB-D718-430E-98E5-688B08EEFF25}"/>
    <cellStyle name="Comma 2 2 2 2 2 2 7 10" xfId="36726" xr:uid="{97F37ABD-E331-4E45-895B-044ACD26B756}"/>
    <cellStyle name="Comma 2 2 2 2 2 2 7 11" xfId="18472" xr:uid="{BB3417BB-ABAC-47C8-8191-9455A9DECA00}"/>
    <cellStyle name="Comma 2 2 2 2 2 2 7 2" xfId="3138" xr:uid="{A1D312BD-6E66-49B3-AEAE-86AC11685192}"/>
    <cellStyle name="Comma 2 2 2 2 2 2 7 2 2" xfId="17738" xr:uid="{4CB5F507-956F-4403-8C62-C3404DE6B988}"/>
    <cellStyle name="Comma 2 2 2 2 2 2 7 2 2 2" xfId="54246" xr:uid="{820A7F7E-A1D0-40FC-9FD3-2B0D29E58AC2}"/>
    <cellStyle name="Comma 2 2 2 2 2 2 7 2 2 3" xfId="35992" xr:uid="{C909662D-B90B-4954-BAC4-2C88C66CFA73}"/>
    <cellStyle name="Comma 2 2 2 2 2 2 7 2 3" xfId="14088" xr:uid="{A397DAD1-4D2C-47F6-90B3-2D666A9C1306}"/>
    <cellStyle name="Comma 2 2 2 2 2 2 7 2 3 2" xfId="50596" xr:uid="{727628D1-DDE8-4248-BF4F-F85E80A7D649}"/>
    <cellStyle name="Comma 2 2 2 2 2 2 7 2 3 3" xfId="32342" xr:uid="{F3F3D3DE-1205-4278-AED6-3B607C435998}"/>
    <cellStyle name="Comma 2 2 2 2 2 2 7 2 4" xfId="10438" xr:uid="{A671D0E9-353B-467D-B6B2-438059D72A07}"/>
    <cellStyle name="Comma 2 2 2 2 2 2 7 2 4 2" xfId="46946" xr:uid="{F8CD5235-8A66-43B7-A488-E36913B99A43}"/>
    <cellStyle name="Comma 2 2 2 2 2 2 7 2 4 3" xfId="28692" xr:uid="{3B2747EC-BE02-4D38-BD97-712A36E32B65}"/>
    <cellStyle name="Comma 2 2 2 2 2 2 7 2 5" xfId="6788" xr:uid="{FDFC445A-8930-456B-AE56-84FFF5D4CF24}"/>
    <cellStyle name="Comma 2 2 2 2 2 2 7 2 5 2" xfId="43296" xr:uid="{321FE168-DDFD-4B36-9FDC-255B40AAB3EA}"/>
    <cellStyle name="Comma 2 2 2 2 2 2 7 2 5 3" xfId="25042" xr:uid="{AC7217CF-F056-4F0F-945F-1F0856232BDB}"/>
    <cellStyle name="Comma 2 2 2 2 2 2 7 2 6" xfId="39646" xr:uid="{DFB22569-B1B3-4B38-B791-930D273847B9}"/>
    <cellStyle name="Comma 2 2 2 2 2 2 7 2 7" xfId="21392" xr:uid="{C45E48BE-0F1C-41F6-8061-7FD2826404FC}"/>
    <cellStyle name="Comma 2 2 2 2 2 2 7 3" xfId="2408" xr:uid="{CE19AE38-8AAA-4D2B-A044-6FF0F0A61E51}"/>
    <cellStyle name="Comma 2 2 2 2 2 2 7 3 2" xfId="17008" xr:uid="{F8DC666A-A192-412C-A619-D614D300AB14}"/>
    <cellStyle name="Comma 2 2 2 2 2 2 7 3 2 2" xfId="53516" xr:uid="{50A0C13E-82C9-4495-BD6C-844993C9C8BB}"/>
    <cellStyle name="Comma 2 2 2 2 2 2 7 3 2 3" xfId="35262" xr:uid="{CA4C2B37-F097-409F-87F5-249BCF611FF5}"/>
    <cellStyle name="Comma 2 2 2 2 2 2 7 3 3" xfId="13358" xr:uid="{4F07EF02-AA35-4577-AF3A-95040234C460}"/>
    <cellStyle name="Comma 2 2 2 2 2 2 7 3 3 2" xfId="49866" xr:uid="{F768BDFF-2082-42D6-BF3C-766A740A9A18}"/>
    <cellStyle name="Comma 2 2 2 2 2 2 7 3 3 3" xfId="31612" xr:uid="{96A47BE0-2C6D-4E3E-8230-BA913FF24320}"/>
    <cellStyle name="Comma 2 2 2 2 2 2 7 3 4" xfId="9708" xr:uid="{676136A0-5735-4515-BA86-883CAFADC102}"/>
    <cellStyle name="Comma 2 2 2 2 2 2 7 3 4 2" xfId="46216" xr:uid="{428D3DB7-B36F-4473-80C7-D505AF64B482}"/>
    <cellStyle name="Comma 2 2 2 2 2 2 7 3 4 3" xfId="27962" xr:uid="{E1351802-EAC2-4262-80E5-508777F8D3E9}"/>
    <cellStyle name="Comma 2 2 2 2 2 2 7 3 5" xfId="6058" xr:uid="{D3D02999-86AF-40D3-928D-B6EE65FA1DEC}"/>
    <cellStyle name="Comma 2 2 2 2 2 2 7 3 5 2" xfId="42566" xr:uid="{5B0734AD-DE3B-4C7F-B5C0-A4D03498537E}"/>
    <cellStyle name="Comma 2 2 2 2 2 2 7 3 5 3" xfId="24312" xr:uid="{5238477B-69C7-4C45-B534-D7785B491B61}"/>
    <cellStyle name="Comma 2 2 2 2 2 2 7 3 6" xfId="38916" xr:uid="{95DE6FAB-91EC-41E3-9CFB-818F5B7F9E2F}"/>
    <cellStyle name="Comma 2 2 2 2 2 2 7 3 7" xfId="20662" xr:uid="{65FFB0E3-7467-4EB5-9B2F-7F354D0C2233}"/>
    <cellStyle name="Comma 2 2 2 2 2 2 7 4" xfId="1678" xr:uid="{ED7CD180-23B6-4826-9F18-78077316D1FD}"/>
    <cellStyle name="Comma 2 2 2 2 2 2 7 4 2" xfId="16278" xr:uid="{D60BC120-88F4-4346-8217-A6863666A085}"/>
    <cellStyle name="Comma 2 2 2 2 2 2 7 4 2 2" xfId="52786" xr:uid="{1B68F7EA-85B6-4B4A-9560-2B18318F84A1}"/>
    <cellStyle name="Comma 2 2 2 2 2 2 7 4 2 3" xfId="34532" xr:uid="{42DC16D6-E45D-428A-8964-748CD13C829D}"/>
    <cellStyle name="Comma 2 2 2 2 2 2 7 4 3" xfId="12628" xr:uid="{BA605CAE-E3A2-4D1B-A4C4-FCCF36B6F1B1}"/>
    <cellStyle name="Comma 2 2 2 2 2 2 7 4 3 2" xfId="49136" xr:uid="{0AB3F595-723C-4BD2-94A8-D34C682DEF49}"/>
    <cellStyle name="Comma 2 2 2 2 2 2 7 4 3 3" xfId="30882" xr:uid="{38FBBC6D-8A6D-49F5-8AD5-4AF809FEC98A}"/>
    <cellStyle name="Comma 2 2 2 2 2 2 7 4 4" xfId="8978" xr:uid="{55E70E4F-6B27-4DAE-B4DC-3796584FF924}"/>
    <cellStyle name="Comma 2 2 2 2 2 2 7 4 4 2" xfId="45486" xr:uid="{50357C0D-E4CF-440F-9F5A-06FA83F19888}"/>
    <cellStyle name="Comma 2 2 2 2 2 2 7 4 4 3" xfId="27232" xr:uid="{F1C3274E-0EA1-44D5-BE42-B14FD4E12E8F}"/>
    <cellStyle name="Comma 2 2 2 2 2 2 7 4 5" xfId="5328" xr:uid="{238718DD-6BDD-42C1-A8BD-367A2FDECD14}"/>
    <cellStyle name="Comma 2 2 2 2 2 2 7 4 5 2" xfId="41836" xr:uid="{788D63D6-44F0-4F65-BE99-9E762AC65D34}"/>
    <cellStyle name="Comma 2 2 2 2 2 2 7 4 5 3" xfId="23582" xr:uid="{9A706A95-3506-440F-8FF3-A88A2F001C21}"/>
    <cellStyle name="Comma 2 2 2 2 2 2 7 4 6" xfId="38186" xr:uid="{9FB3AB29-A9EA-40CC-B8DE-A5838418752B}"/>
    <cellStyle name="Comma 2 2 2 2 2 2 7 4 7" xfId="19932" xr:uid="{0A69C988-39D5-4550-B648-13F07F116185}"/>
    <cellStyle name="Comma 2 2 2 2 2 2 7 5" xfId="948" xr:uid="{AA2AF8A3-5595-472B-8FC7-24F4B125A107}"/>
    <cellStyle name="Comma 2 2 2 2 2 2 7 5 2" xfId="15548" xr:uid="{42B78627-0631-4828-B02A-F7413BB7C746}"/>
    <cellStyle name="Comma 2 2 2 2 2 2 7 5 2 2" xfId="52056" xr:uid="{E66F0FCC-5814-43E0-BAAB-45045AEE7E50}"/>
    <cellStyle name="Comma 2 2 2 2 2 2 7 5 2 3" xfId="33802" xr:uid="{A855E8A1-C0BF-4DEF-87D0-7A5FE08840E7}"/>
    <cellStyle name="Comma 2 2 2 2 2 2 7 5 3" xfId="11898" xr:uid="{DEF6DDC5-8218-43D0-B579-F57B41FC77D8}"/>
    <cellStyle name="Comma 2 2 2 2 2 2 7 5 3 2" xfId="48406" xr:uid="{5D791450-4E61-45A5-8D60-64D0F6BCCA45}"/>
    <cellStyle name="Comma 2 2 2 2 2 2 7 5 3 3" xfId="30152" xr:uid="{4446A32D-9A59-44E5-9F02-F5733668BFE7}"/>
    <cellStyle name="Comma 2 2 2 2 2 2 7 5 4" xfId="8248" xr:uid="{53901EC3-47A4-47D0-BA8A-5A0C74C836D2}"/>
    <cellStyle name="Comma 2 2 2 2 2 2 7 5 4 2" xfId="44756" xr:uid="{AC243156-AB59-4162-8FC5-55AA4349CE54}"/>
    <cellStyle name="Comma 2 2 2 2 2 2 7 5 4 3" xfId="26502" xr:uid="{B53D175D-2B7D-4EE3-BB22-0AF70BA84D30}"/>
    <cellStyle name="Comma 2 2 2 2 2 2 7 5 5" xfId="4598" xr:uid="{FC27FE6C-7923-4F77-8B80-B9E4C952B9B0}"/>
    <cellStyle name="Comma 2 2 2 2 2 2 7 5 5 2" xfId="41106" xr:uid="{390DB119-EEB0-4ADE-9F3B-CE1B392F4DE3}"/>
    <cellStyle name="Comma 2 2 2 2 2 2 7 5 5 3" xfId="22852" xr:uid="{A8431212-E7E6-4A7E-AA90-357D1A0B7358}"/>
    <cellStyle name="Comma 2 2 2 2 2 2 7 5 6" xfId="37456" xr:uid="{59AB0CFA-1C9E-4FD3-BA30-F487878FA294}"/>
    <cellStyle name="Comma 2 2 2 2 2 2 7 5 7" xfId="19202" xr:uid="{34FDABF3-2505-4DBD-90A4-54FEF365A894}"/>
    <cellStyle name="Comma 2 2 2 2 2 2 7 6" xfId="14818" xr:uid="{96066AD2-8867-497D-8098-EBF6ED29240A}"/>
    <cellStyle name="Comma 2 2 2 2 2 2 7 6 2" xfId="51326" xr:uid="{D47645BC-D9CB-4740-A56E-1F7118968B3F}"/>
    <cellStyle name="Comma 2 2 2 2 2 2 7 6 3" xfId="33072" xr:uid="{017E012F-7FE3-4630-89EF-0F79413CCEF8}"/>
    <cellStyle name="Comma 2 2 2 2 2 2 7 7" xfId="11168" xr:uid="{D13C67A5-F731-4F58-8997-C3768F687434}"/>
    <cellStyle name="Comma 2 2 2 2 2 2 7 7 2" xfId="47676" xr:uid="{C85495C5-9EA1-4A41-A67F-F11868B1F06B}"/>
    <cellStyle name="Comma 2 2 2 2 2 2 7 7 3" xfId="29422" xr:uid="{1ABEB63B-A1B2-450F-B160-8B3594E05020}"/>
    <cellStyle name="Comma 2 2 2 2 2 2 7 8" xfId="7518" xr:uid="{600D02B5-8FF3-4870-96D5-7FC5010AFE98}"/>
    <cellStyle name="Comma 2 2 2 2 2 2 7 8 2" xfId="44026" xr:uid="{8B4EA43E-EE20-418D-9F00-9B88EF274ADF}"/>
    <cellStyle name="Comma 2 2 2 2 2 2 7 8 3" xfId="25772" xr:uid="{82EAB64A-B3CF-41CB-9320-80CD40D7A157}"/>
    <cellStyle name="Comma 2 2 2 2 2 2 7 9" xfId="3868" xr:uid="{BFA9C65E-5D3C-4491-8C48-A2CC7EF9B802}"/>
    <cellStyle name="Comma 2 2 2 2 2 2 7 9 2" xfId="40376" xr:uid="{8AD6CEB0-7C81-483F-B8A9-6950988D4FCA}"/>
    <cellStyle name="Comma 2 2 2 2 2 2 7 9 3" xfId="22122" xr:uid="{00D92370-66D6-4393-B37B-83AFD73B4FF2}"/>
    <cellStyle name="Comma 2 2 2 2 2 2 8" xfId="3034" xr:uid="{CD9240FE-4427-4A15-890E-C6CE10142B39}"/>
    <cellStyle name="Comma 2 2 2 2 2 2 8 2" xfId="17634" xr:uid="{EE417115-819C-46BF-BCA9-D144D28CF43E}"/>
    <cellStyle name="Comma 2 2 2 2 2 2 8 2 2" xfId="54142" xr:uid="{54DA6864-E162-49D6-BC7A-4F0E34F3B04E}"/>
    <cellStyle name="Comma 2 2 2 2 2 2 8 2 3" xfId="35888" xr:uid="{EB4A88B3-E959-42B1-9E21-B7855DB852E9}"/>
    <cellStyle name="Comma 2 2 2 2 2 2 8 3" xfId="13984" xr:uid="{A93EF377-EC73-4AD8-AC0E-51C644052EFC}"/>
    <cellStyle name="Comma 2 2 2 2 2 2 8 3 2" xfId="50492" xr:uid="{EA7B495E-35B4-4467-891D-8D9B44F6807F}"/>
    <cellStyle name="Comma 2 2 2 2 2 2 8 3 3" xfId="32238" xr:uid="{D7CDC99C-252B-40C3-871C-A0435BFEC790}"/>
    <cellStyle name="Comma 2 2 2 2 2 2 8 4" xfId="10334" xr:uid="{D2761FE2-E89F-46CB-B87B-3960E00F1977}"/>
    <cellStyle name="Comma 2 2 2 2 2 2 8 4 2" xfId="46842" xr:uid="{67CC4AE8-8D8F-44B9-B39B-8D17BA23AC08}"/>
    <cellStyle name="Comma 2 2 2 2 2 2 8 4 3" xfId="28588" xr:uid="{72173EFE-BBAB-40B5-B414-6641FCB2B3F1}"/>
    <cellStyle name="Comma 2 2 2 2 2 2 8 5" xfId="6684" xr:uid="{B237C2CA-CFD7-4D8F-A7F0-DB76E8FFAB25}"/>
    <cellStyle name="Comma 2 2 2 2 2 2 8 5 2" xfId="43192" xr:uid="{2CFA9272-2C3F-4AF1-818F-D838EE396904}"/>
    <cellStyle name="Comma 2 2 2 2 2 2 8 5 3" xfId="24938" xr:uid="{87A1EAD6-D538-424B-93BF-283F48D8BE3E}"/>
    <cellStyle name="Comma 2 2 2 2 2 2 8 6" xfId="39542" xr:uid="{6234A7D5-D01E-46E4-852E-34AA2CDE79B8}"/>
    <cellStyle name="Comma 2 2 2 2 2 2 8 7" xfId="21288" xr:uid="{B2F4C7B6-6556-4421-8E8C-B31CD8103829}"/>
    <cellStyle name="Comma 2 2 2 2 2 2 9" xfId="2304" xr:uid="{E47A3B6A-329F-4391-AC2E-E04E1E586F72}"/>
    <cellStyle name="Comma 2 2 2 2 2 2 9 2" xfId="16904" xr:uid="{25A8C2E4-89A4-4879-BE2F-C8B4D93F0013}"/>
    <cellStyle name="Comma 2 2 2 2 2 2 9 2 2" xfId="53412" xr:uid="{DFA5981E-7FA0-44D3-9C16-49238CDC92B0}"/>
    <cellStyle name="Comma 2 2 2 2 2 2 9 2 3" xfId="35158" xr:uid="{1972C426-6B4B-4465-9A98-3FC323537D95}"/>
    <cellStyle name="Comma 2 2 2 2 2 2 9 3" xfId="13254" xr:uid="{6FF7B52E-39F3-4257-BE54-9A5426DF9CD0}"/>
    <cellStyle name="Comma 2 2 2 2 2 2 9 3 2" xfId="49762" xr:uid="{4F207A39-B14A-4F67-999A-8459CA4CF085}"/>
    <cellStyle name="Comma 2 2 2 2 2 2 9 3 3" xfId="31508" xr:uid="{E0A30009-0239-419A-A706-9DCF63C23C68}"/>
    <cellStyle name="Comma 2 2 2 2 2 2 9 4" xfId="9604" xr:uid="{DA6D1A38-EEB2-431D-A5FC-A67A41400BE4}"/>
    <cellStyle name="Comma 2 2 2 2 2 2 9 4 2" xfId="46112" xr:uid="{75E444FD-4CC0-489B-B4D1-D34A309FC092}"/>
    <cellStyle name="Comma 2 2 2 2 2 2 9 4 3" xfId="27858" xr:uid="{03EAAB36-D327-4485-94FB-0F55C69C2053}"/>
    <cellStyle name="Comma 2 2 2 2 2 2 9 5" xfId="5954" xr:uid="{39680074-0D68-46EE-9DFF-0A4E14361CD0}"/>
    <cellStyle name="Comma 2 2 2 2 2 2 9 5 2" xfId="42462" xr:uid="{FF2C97F2-FCDA-4AD2-BB15-1B68C85A2780}"/>
    <cellStyle name="Comma 2 2 2 2 2 2 9 5 3" xfId="24208" xr:uid="{3F153E30-6931-4990-A738-BA324FD79BE4}"/>
    <cellStyle name="Comma 2 2 2 2 2 2 9 6" xfId="38812" xr:uid="{5A2E5DC6-E16B-4F29-8E99-CCDF1EEB520F}"/>
    <cellStyle name="Comma 2 2 2 2 2 2 9 7" xfId="20558" xr:uid="{F46037C6-03ED-498A-89E7-6A5538221414}"/>
    <cellStyle name="Comma 2 2 2 2 2 3" xfId="79" xr:uid="{E9F56990-DD99-4766-A046-760A705C90B5}"/>
    <cellStyle name="Comma 2 2 2 2 2 3 10" xfId="1542" xr:uid="{4D291771-072B-4C3D-B2C4-0E3E3868096F}"/>
    <cellStyle name="Comma 2 2 2 2 2 3 10 2" xfId="16142" xr:uid="{A01568AF-2511-4090-BE9B-A473BE88292B}"/>
    <cellStyle name="Comma 2 2 2 2 2 3 10 2 2" xfId="52650" xr:uid="{17B0B580-7EF6-4E5A-9E69-F2A699FFCC16}"/>
    <cellStyle name="Comma 2 2 2 2 2 3 10 2 3" xfId="34396" xr:uid="{DCD78340-A993-4FB0-8D80-16E80B049B70}"/>
    <cellStyle name="Comma 2 2 2 2 2 3 10 3" xfId="12492" xr:uid="{90BF05E2-7B32-421D-A40E-51E080661505}"/>
    <cellStyle name="Comma 2 2 2 2 2 3 10 3 2" xfId="49000" xr:uid="{2641467F-7FF2-4847-929A-5458195D0B20}"/>
    <cellStyle name="Comma 2 2 2 2 2 3 10 3 3" xfId="30746" xr:uid="{0E2A7116-3067-4C11-8FC4-CEE7D54CD081}"/>
    <cellStyle name="Comma 2 2 2 2 2 3 10 4" xfId="8842" xr:uid="{3B985448-84B0-48DF-BFD5-682881FCFE0F}"/>
    <cellStyle name="Comma 2 2 2 2 2 3 10 4 2" xfId="45350" xr:uid="{E79716E6-1D95-409A-877F-6E9DFE67E9D0}"/>
    <cellStyle name="Comma 2 2 2 2 2 3 10 4 3" xfId="27096" xr:uid="{74E71391-A4A1-49E1-BF1C-38A029E82A9D}"/>
    <cellStyle name="Comma 2 2 2 2 2 3 10 5" xfId="5192" xr:uid="{7BE89DD2-23D8-449B-B8A5-8F6AF88BA112}"/>
    <cellStyle name="Comma 2 2 2 2 2 3 10 5 2" xfId="41700" xr:uid="{E5570B2F-8500-423D-816D-69D09BBB9681}"/>
    <cellStyle name="Comma 2 2 2 2 2 3 10 5 3" xfId="23446" xr:uid="{60EE98CD-5D34-44C4-A6F5-079B1104AF5F}"/>
    <cellStyle name="Comma 2 2 2 2 2 3 10 6" xfId="38050" xr:uid="{A0F7F2CF-9A2B-46F5-93EF-E139E5E89758}"/>
    <cellStyle name="Comma 2 2 2 2 2 3 10 7" xfId="19796" xr:uid="{930C8827-06A7-4298-89D5-75570C308835}"/>
    <cellStyle name="Comma 2 2 2 2 2 3 11" xfId="812" xr:uid="{7DB5B2CF-924C-415A-910E-DBD822BFF45B}"/>
    <cellStyle name="Comma 2 2 2 2 2 3 11 2" xfId="15412" xr:uid="{1491AC34-ADD5-4D91-B57D-46253D14961E}"/>
    <cellStyle name="Comma 2 2 2 2 2 3 11 2 2" xfId="51920" xr:uid="{3714A44B-D5D3-4AB4-BD30-D9CC426E007B}"/>
    <cellStyle name="Comma 2 2 2 2 2 3 11 2 3" xfId="33666" xr:uid="{643FF480-3840-4843-93E4-C6797ACBBD4C}"/>
    <cellStyle name="Comma 2 2 2 2 2 3 11 3" xfId="11762" xr:uid="{B5CFBB87-0BB6-436B-9D4C-8B3CBD3A0B73}"/>
    <cellStyle name="Comma 2 2 2 2 2 3 11 3 2" xfId="48270" xr:uid="{878D687F-1AEF-4AC6-94D5-E5184591E53A}"/>
    <cellStyle name="Comma 2 2 2 2 2 3 11 3 3" xfId="30016" xr:uid="{B1C05828-F0E3-4792-A68F-30A10B466DCA}"/>
    <cellStyle name="Comma 2 2 2 2 2 3 11 4" xfId="8112" xr:uid="{3A8D816E-C538-43F0-876D-6218E56A48AE}"/>
    <cellStyle name="Comma 2 2 2 2 2 3 11 4 2" xfId="44620" xr:uid="{9BC46F66-0B41-46A9-BDD6-A46292A1BA67}"/>
    <cellStyle name="Comma 2 2 2 2 2 3 11 4 3" xfId="26366" xr:uid="{940CD56A-697D-4279-A828-87E9C1724AFD}"/>
    <cellStyle name="Comma 2 2 2 2 2 3 11 5" xfId="4462" xr:uid="{DD8913EF-D575-4BDC-B1A4-C7D858B6A980}"/>
    <cellStyle name="Comma 2 2 2 2 2 3 11 5 2" xfId="40970" xr:uid="{3A961B69-8A20-4B52-B585-08AECED2E8EE}"/>
    <cellStyle name="Comma 2 2 2 2 2 3 11 5 3" xfId="22716" xr:uid="{B4E04ED3-EA2F-4623-9261-0D84D5F170F5}"/>
    <cellStyle name="Comma 2 2 2 2 2 3 11 6" xfId="37320" xr:uid="{2CBCD777-2455-4BBB-A596-2CDE06B5C17D}"/>
    <cellStyle name="Comma 2 2 2 2 2 3 11 7" xfId="19066" xr:uid="{555D27EC-84FD-4391-8DFF-9DD040914CBA}"/>
    <cellStyle name="Comma 2 2 2 2 2 3 12" xfId="14682" xr:uid="{B60B880E-6EAE-43CF-B489-59AE97565E1D}"/>
    <cellStyle name="Comma 2 2 2 2 2 3 12 2" xfId="51190" xr:uid="{8A2D7BD1-07BB-4C3D-A307-5A121B8528B0}"/>
    <cellStyle name="Comma 2 2 2 2 2 3 12 3" xfId="32936" xr:uid="{972DCC81-3E10-467E-B325-AC31CBC5EEC0}"/>
    <cellStyle name="Comma 2 2 2 2 2 3 13" xfId="11032" xr:uid="{CA9B0A19-6D48-4054-B827-286C693EDC6F}"/>
    <cellStyle name="Comma 2 2 2 2 2 3 13 2" xfId="47540" xr:uid="{6D84102E-AEAF-496E-82CB-D06838D15C3B}"/>
    <cellStyle name="Comma 2 2 2 2 2 3 13 3" xfId="29286" xr:uid="{0488055D-68B4-4131-85B5-459C5990540E}"/>
    <cellStyle name="Comma 2 2 2 2 2 3 14" xfId="7382" xr:uid="{8D7BA244-83AC-43D8-8012-4BF14B47908B}"/>
    <cellStyle name="Comma 2 2 2 2 2 3 14 2" xfId="43890" xr:uid="{EB1877D4-B80B-4703-BD2E-0019C8FBD8E3}"/>
    <cellStyle name="Comma 2 2 2 2 2 3 14 3" xfId="25636" xr:uid="{A2FCD909-2DD6-4272-8990-CDB83EB8478A}"/>
    <cellStyle name="Comma 2 2 2 2 2 3 15" xfId="3732" xr:uid="{55F0E0CD-5AFA-4601-8A88-7CAB4A9FBA8C}"/>
    <cellStyle name="Comma 2 2 2 2 2 3 15 2" xfId="40240" xr:uid="{9CC78EC6-EF24-41A2-85D1-7D10A5303A02}"/>
    <cellStyle name="Comma 2 2 2 2 2 3 15 3" xfId="21986" xr:uid="{C80801C8-7AF8-4E61-A67D-6AD86D0E338E}"/>
    <cellStyle name="Comma 2 2 2 2 2 3 16" xfId="36590" xr:uid="{41519E06-4C3B-4ED8-B5AB-4E70C0EA66FE}"/>
    <cellStyle name="Comma 2 2 2 2 2 3 17" xfId="18336" xr:uid="{86C3CA6D-A17E-4A0F-993F-8639C3641299}"/>
    <cellStyle name="Comma 2 2 2 2 2 3 2" xfId="706" xr:uid="{7E1CF47F-A1AE-4233-B45B-47F8414DCFF1}"/>
    <cellStyle name="Comma 2 2 2 2 2 3 2 10" xfId="37214" xr:uid="{52378D44-74DD-4EE3-8EC5-DA563BBF055E}"/>
    <cellStyle name="Comma 2 2 2 2 2 3 2 11" xfId="18960" xr:uid="{DA6B549B-BCFA-402A-A4AD-10949687696A}"/>
    <cellStyle name="Comma 2 2 2 2 2 3 2 2" xfId="3626" xr:uid="{0599D6D2-76F8-4F22-9495-E222DFBA5C45}"/>
    <cellStyle name="Comma 2 2 2 2 2 3 2 2 2" xfId="18226" xr:uid="{B22BB049-F138-44BA-90AE-6BF29DCE95E6}"/>
    <cellStyle name="Comma 2 2 2 2 2 3 2 2 2 2" xfId="54734" xr:uid="{98E44C60-B5DC-454F-891D-42DF83A04FC0}"/>
    <cellStyle name="Comma 2 2 2 2 2 3 2 2 2 3" xfId="36480" xr:uid="{51EDEB50-FF84-4DCC-A6EA-37DAF0B47630}"/>
    <cellStyle name="Comma 2 2 2 2 2 3 2 2 3" xfId="14576" xr:uid="{B5B8C446-41D1-4353-8619-2A94BCADD9C2}"/>
    <cellStyle name="Comma 2 2 2 2 2 3 2 2 3 2" xfId="51084" xr:uid="{D9B6DB20-734F-4883-9099-F95B68AA4031}"/>
    <cellStyle name="Comma 2 2 2 2 2 3 2 2 3 3" xfId="32830" xr:uid="{CCF24922-AC07-4781-B81B-BA25D0516F2F}"/>
    <cellStyle name="Comma 2 2 2 2 2 3 2 2 4" xfId="10926" xr:uid="{E37C9D8F-B49A-487A-9AA7-DF0C02769916}"/>
    <cellStyle name="Comma 2 2 2 2 2 3 2 2 4 2" xfId="47434" xr:uid="{93200EAD-CE88-446C-A45C-E492A59E9F47}"/>
    <cellStyle name="Comma 2 2 2 2 2 3 2 2 4 3" xfId="29180" xr:uid="{8BC219E4-8DB8-46E9-AC9A-A31B6F7DBE77}"/>
    <cellStyle name="Comma 2 2 2 2 2 3 2 2 5" xfId="7276" xr:uid="{C7A8A8A6-EB81-484E-B33A-614DE2072CD4}"/>
    <cellStyle name="Comma 2 2 2 2 2 3 2 2 5 2" xfId="43784" xr:uid="{CBC84ADF-1C0A-44B9-8C1F-7C746E0320B4}"/>
    <cellStyle name="Comma 2 2 2 2 2 3 2 2 5 3" xfId="25530" xr:uid="{CF47CF4B-3F16-48C2-ADDA-65A2A6349331}"/>
    <cellStyle name="Comma 2 2 2 2 2 3 2 2 6" xfId="40134" xr:uid="{F5ADCA40-AFFF-4250-88A0-C1A7541E53C2}"/>
    <cellStyle name="Comma 2 2 2 2 2 3 2 2 7" xfId="21880" xr:uid="{5D054E53-C962-4497-9DCA-A9D39D8717D9}"/>
    <cellStyle name="Comma 2 2 2 2 2 3 2 3" xfId="2896" xr:uid="{DD2BEDB3-C12C-4EDE-98DA-F49F476D93E6}"/>
    <cellStyle name="Comma 2 2 2 2 2 3 2 3 2" xfId="17496" xr:uid="{E72F1C82-F517-4D9E-BFF9-7D14758D3E29}"/>
    <cellStyle name="Comma 2 2 2 2 2 3 2 3 2 2" xfId="54004" xr:uid="{4A1C2BE5-0D41-4E74-B9D6-8D7F237C7D53}"/>
    <cellStyle name="Comma 2 2 2 2 2 3 2 3 2 3" xfId="35750" xr:uid="{CEF12716-5D09-4467-B2D6-BAC191833720}"/>
    <cellStyle name="Comma 2 2 2 2 2 3 2 3 3" xfId="13846" xr:uid="{7EBA8D4A-CFF0-4F4A-907C-E31D73F9553D}"/>
    <cellStyle name="Comma 2 2 2 2 2 3 2 3 3 2" xfId="50354" xr:uid="{F7F80EDB-DC5D-4A1B-9102-7B5C7E58D27C}"/>
    <cellStyle name="Comma 2 2 2 2 2 3 2 3 3 3" xfId="32100" xr:uid="{04444687-A81B-44D7-92CF-C8E1BD45F6DC}"/>
    <cellStyle name="Comma 2 2 2 2 2 3 2 3 4" xfId="10196" xr:uid="{043E983C-6864-4D4F-803D-D841B31C0F76}"/>
    <cellStyle name="Comma 2 2 2 2 2 3 2 3 4 2" xfId="46704" xr:uid="{C3B637E6-68F9-499F-8790-CB9C4C35B29B}"/>
    <cellStyle name="Comma 2 2 2 2 2 3 2 3 4 3" xfId="28450" xr:uid="{9D2F57CB-3BCB-49FA-A45F-1ABDE8BFF721}"/>
    <cellStyle name="Comma 2 2 2 2 2 3 2 3 5" xfId="6546" xr:uid="{295CBA84-D1EC-4461-A34D-35033DB5579F}"/>
    <cellStyle name="Comma 2 2 2 2 2 3 2 3 5 2" xfId="43054" xr:uid="{CEF47751-3B8C-4863-891C-0455F9EDB00D}"/>
    <cellStyle name="Comma 2 2 2 2 2 3 2 3 5 3" xfId="24800" xr:uid="{EAB55424-D77E-447D-B2E0-3B0DC5F1AAAF}"/>
    <cellStyle name="Comma 2 2 2 2 2 3 2 3 6" xfId="39404" xr:uid="{8243E144-2A0C-4FC4-942B-553514247D28}"/>
    <cellStyle name="Comma 2 2 2 2 2 3 2 3 7" xfId="21150" xr:uid="{1E601A7B-1EA8-448E-BD59-B64F8735F6E8}"/>
    <cellStyle name="Comma 2 2 2 2 2 3 2 4" xfId="2166" xr:uid="{ACE75BF4-1B6F-470C-BA51-D9F696B52B3A}"/>
    <cellStyle name="Comma 2 2 2 2 2 3 2 4 2" xfId="16766" xr:uid="{CDFA254D-B67F-4BA6-8F95-B361491801AF}"/>
    <cellStyle name="Comma 2 2 2 2 2 3 2 4 2 2" xfId="53274" xr:uid="{9C6B80F9-D7C7-4D18-998F-35B496058859}"/>
    <cellStyle name="Comma 2 2 2 2 2 3 2 4 2 3" xfId="35020" xr:uid="{CBF387CD-0676-4DF5-8393-3E28700C5EF7}"/>
    <cellStyle name="Comma 2 2 2 2 2 3 2 4 3" xfId="13116" xr:uid="{424A8607-5280-4914-A1F8-AFE70C392CD2}"/>
    <cellStyle name="Comma 2 2 2 2 2 3 2 4 3 2" xfId="49624" xr:uid="{DE061E8E-D0D5-47CE-9CA9-DB7D6A8E1692}"/>
    <cellStyle name="Comma 2 2 2 2 2 3 2 4 3 3" xfId="31370" xr:uid="{0B0A78EF-46EE-44B2-BDB4-7AD0E15A620F}"/>
    <cellStyle name="Comma 2 2 2 2 2 3 2 4 4" xfId="9466" xr:uid="{B65BE969-B212-495D-923E-DF6C816276DB}"/>
    <cellStyle name="Comma 2 2 2 2 2 3 2 4 4 2" xfId="45974" xr:uid="{BD365367-AC9E-44BA-BC4A-158BF1629DB2}"/>
    <cellStyle name="Comma 2 2 2 2 2 3 2 4 4 3" xfId="27720" xr:uid="{9E30004D-7CCF-4E06-A197-767E43DFCF0C}"/>
    <cellStyle name="Comma 2 2 2 2 2 3 2 4 5" xfId="5816" xr:uid="{FD00313A-A479-4088-8B35-A83D47BB1018}"/>
    <cellStyle name="Comma 2 2 2 2 2 3 2 4 5 2" xfId="42324" xr:uid="{7DF582A4-BAA8-43E2-AF13-1F532FE4531D}"/>
    <cellStyle name="Comma 2 2 2 2 2 3 2 4 5 3" xfId="24070" xr:uid="{614CA595-8A48-4674-B16D-352B4F6E6DB3}"/>
    <cellStyle name="Comma 2 2 2 2 2 3 2 4 6" xfId="38674" xr:uid="{861B8125-4A07-4A15-AAB2-C41FBC5A4B93}"/>
    <cellStyle name="Comma 2 2 2 2 2 3 2 4 7" xfId="20420" xr:uid="{173F0589-3094-48AE-974B-FE094D6CE3E2}"/>
    <cellStyle name="Comma 2 2 2 2 2 3 2 5" xfId="1436" xr:uid="{B1C1EE94-6C03-46F6-98A9-0CA3FBFCBA28}"/>
    <cellStyle name="Comma 2 2 2 2 2 3 2 5 2" xfId="16036" xr:uid="{31F214EF-8B7A-43F8-8354-BA3698BF60C8}"/>
    <cellStyle name="Comma 2 2 2 2 2 3 2 5 2 2" xfId="52544" xr:uid="{B1766B0F-FBE6-443B-BB07-3E2B4975D483}"/>
    <cellStyle name="Comma 2 2 2 2 2 3 2 5 2 3" xfId="34290" xr:uid="{D93F9B6F-7E7D-4162-9966-D65E288E13C8}"/>
    <cellStyle name="Comma 2 2 2 2 2 3 2 5 3" xfId="12386" xr:uid="{8A074015-B689-4CFE-9434-BD3DAD254197}"/>
    <cellStyle name="Comma 2 2 2 2 2 3 2 5 3 2" xfId="48894" xr:uid="{1FE57CDA-F8DB-43EE-BD8B-E5BB6C3CE75C}"/>
    <cellStyle name="Comma 2 2 2 2 2 3 2 5 3 3" xfId="30640" xr:uid="{AE659974-7A33-4A7A-BEEE-8BFAB48D527F}"/>
    <cellStyle name="Comma 2 2 2 2 2 3 2 5 4" xfId="8736" xr:uid="{913AAC93-4F43-4102-89A7-F7C20529EF1A}"/>
    <cellStyle name="Comma 2 2 2 2 2 3 2 5 4 2" xfId="45244" xr:uid="{F84B5947-024B-4581-8F3A-EF1C03C203F4}"/>
    <cellStyle name="Comma 2 2 2 2 2 3 2 5 4 3" xfId="26990" xr:uid="{E585DFF0-7120-4F2F-BAF3-5196AEF539C4}"/>
    <cellStyle name="Comma 2 2 2 2 2 3 2 5 5" xfId="5086" xr:uid="{87DFE1DA-E6DF-4C11-B731-09A03B8F2468}"/>
    <cellStyle name="Comma 2 2 2 2 2 3 2 5 5 2" xfId="41594" xr:uid="{8ADD49DD-ACB5-4524-AAE0-1B26854BBB62}"/>
    <cellStyle name="Comma 2 2 2 2 2 3 2 5 5 3" xfId="23340" xr:uid="{5F935E37-59F1-4D21-9517-D35069DC279D}"/>
    <cellStyle name="Comma 2 2 2 2 2 3 2 5 6" xfId="37944" xr:uid="{AD12C00E-925F-4182-9D72-9E6EB3E00B97}"/>
    <cellStyle name="Comma 2 2 2 2 2 3 2 5 7" xfId="19690" xr:uid="{26581B6B-9450-4346-8E57-0FD2A0DA0368}"/>
    <cellStyle name="Comma 2 2 2 2 2 3 2 6" xfId="15306" xr:uid="{64CA5312-EA0E-4A64-A411-28B89410324B}"/>
    <cellStyle name="Comma 2 2 2 2 2 3 2 6 2" xfId="51814" xr:uid="{97CCE276-3FC6-43D2-9DC2-2BC7C3C37389}"/>
    <cellStyle name="Comma 2 2 2 2 2 3 2 6 3" xfId="33560" xr:uid="{98B1502C-BB90-440F-B20E-9C974087B1BD}"/>
    <cellStyle name="Comma 2 2 2 2 2 3 2 7" xfId="11656" xr:uid="{81510B30-034D-44B7-90F8-CCAD569BFE52}"/>
    <cellStyle name="Comma 2 2 2 2 2 3 2 7 2" xfId="48164" xr:uid="{6ADF64A1-3B63-4E78-ABED-CC20702E4CEA}"/>
    <cellStyle name="Comma 2 2 2 2 2 3 2 7 3" xfId="29910" xr:uid="{C59EBA24-8B9C-4AA3-A819-FBEF977CC1AD}"/>
    <cellStyle name="Comma 2 2 2 2 2 3 2 8" xfId="8006" xr:uid="{60C440C0-C648-4002-B5C7-0843B391B68D}"/>
    <cellStyle name="Comma 2 2 2 2 2 3 2 8 2" xfId="44514" xr:uid="{3EFC8297-746A-4A13-A18A-A1B1A5A90086}"/>
    <cellStyle name="Comma 2 2 2 2 2 3 2 8 3" xfId="26260" xr:uid="{EDA8EC0B-68ED-40C4-A5C5-AEEA21BD81C4}"/>
    <cellStyle name="Comma 2 2 2 2 2 3 2 9" xfId="4356" xr:uid="{281FBC7C-6EFF-4C5B-907F-7E5F1EBBBFB1}"/>
    <cellStyle name="Comma 2 2 2 2 2 3 2 9 2" xfId="40864" xr:uid="{0C3EEC9B-1E38-4AEF-93DE-B3C65356B54E}"/>
    <cellStyle name="Comma 2 2 2 2 2 3 2 9 3" xfId="22610" xr:uid="{928DC943-5BD0-42CD-AFCA-5AE1C0A05733}"/>
    <cellStyle name="Comma 2 2 2 2 2 3 3" xfId="602" xr:uid="{7A6B0BDC-3557-4437-8F20-CFB5C7F3FB31}"/>
    <cellStyle name="Comma 2 2 2 2 2 3 3 10" xfId="37110" xr:uid="{5C24BAB7-97FC-4081-85A7-4E4943ADF469}"/>
    <cellStyle name="Comma 2 2 2 2 2 3 3 11" xfId="18856" xr:uid="{DDB80281-0C64-4FEB-90E0-26FF5E0BDC54}"/>
    <cellStyle name="Comma 2 2 2 2 2 3 3 2" xfId="3522" xr:uid="{22A82644-DC28-4197-B857-F59B3D29000B}"/>
    <cellStyle name="Comma 2 2 2 2 2 3 3 2 2" xfId="18122" xr:uid="{BFA514FB-F570-411C-805B-8AB313DBB622}"/>
    <cellStyle name="Comma 2 2 2 2 2 3 3 2 2 2" xfId="54630" xr:uid="{2A9419B6-B439-48C1-A17E-89B6378241DD}"/>
    <cellStyle name="Comma 2 2 2 2 2 3 3 2 2 3" xfId="36376" xr:uid="{42DE7EC7-32C2-48AB-9176-F292539C0F6C}"/>
    <cellStyle name="Comma 2 2 2 2 2 3 3 2 3" xfId="14472" xr:uid="{02D547ED-C27A-4E47-A692-5D8D5BF955F5}"/>
    <cellStyle name="Comma 2 2 2 2 2 3 3 2 3 2" xfId="50980" xr:uid="{C7C278A5-5B7D-4408-9548-13B214A27EBF}"/>
    <cellStyle name="Comma 2 2 2 2 2 3 3 2 3 3" xfId="32726" xr:uid="{76399E09-095E-4B86-8D99-D669D3C343A4}"/>
    <cellStyle name="Comma 2 2 2 2 2 3 3 2 4" xfId="10822" xr:uid="{A5D544E0-FEED-4E1C-B8E2-0D4156D36E11}"/>
    <cellStyle name="Comma 2 2 2 2 2 3 3 2 4 2" xfId="47330" xr:uid="{7F302F8A-EE21-4C64-807B-7E5A27EC5EB1}"/>
    <cellStyle name="Comma 2 2 2 2 2 3 3 2 4 3" xfId="29076" xr:uid="{01D8FDDF-DE1A-45E7-867C-1B8DBBD0348D}"/>
    <cellStyle name="Comma 2 2 2 2 2 3 3 2 5" xfId="7172" xr:uid="{B2AB9638-B4C9-4B00-978A-54AF0A928A84}"/>
    <cellStyle name="Comma 2 2 2 2 2 3 3 2 5 2" xfId="43680" xr:uid="{33B35F50-6042-4A82-B93D-F4D364BF7FAB}"/>
    <cellStyle name="Comma 2 2 2 2 2 3 3 2 5 3" xfId="25426" xr:uid="{05C299A1-7DEB-4DC3-A48E-D6C34556D56E}"/>
    <cellStyle name="Comma 2 2 2 2 2 3 3 2 6" xfId="40030" xr:uid="{4F954E2B-8119-4740-A61B-C729EE7BF4DC}"/>
    <cellStyle name="Comma 2 2 2 2 2 3 3 2 7" xfId="21776" xr:uid="{EAA72218-1758-4E51-BBED-D2B372CDB3DE}"/>
    <cellStyle name="Comma 2 2 2 2 2 3 3 3" xfId="2792" xr:uid="{11D012C1-B4B6-47D3-A5BE-14FFAEE8390B}"/>
    <cellStyle name="Comma 2 2 2 2 2 3 3 3 2" xfId="17392" xr:uid="{6EF8D7C6-2470-4B60-8C61-C5E6514CED95}"/>
    <cellStyle name="Comma 2 2 2 2 2 3 3 3 2 2" xfId="53900" xr:uid="{B270D0C9-9146-4754-829E-2F4BF710A852}"/>
    <cellStyle name="Comma 2 2 2 2 2 3 3 3 2 3" xfId="35646" xr:uid="{3C528E44-2624-4D13-A281-68C8842C938E}"/>
    <cellStyle name="Comma 2 2 2 2 2 3 3 3 3" xfId="13742" xr:uid="{198E74A7-93C3-4DE0-95A1-6EDAD2EBD18F}"/>
    <cellStyle name="Comma 2 2 2 2 2 3 3 3 3 2" xfId="50250" xr:uid="{71BC464B-B21A-4480-8F91-A56C514873DC}"/>
    <cellStyle name="Comma 2 2 2 2 2 3 3 3 3 3" xfId="31996" xr:uid="{B079B065-E35C-41F5-87B9-62732957ACBD}"/>
    <cellStyle name="Comma 2 2 2 2 2 3 3 3 4" xfId="10092" xr:uid="{32438493-B5EE-4A52-AEAC-CFD19135A908}"/>
    <cellStyle name="Comma 2 2 2 2 2 3 3 3 4 2" xfId="46600" xr:uid="{57BB70AD-56CF-4659-9A69-558092C31570}"/>
    <cellStyle name="Comma 2 2 2 2 2 3 3 3 4 3" xfId="28346" xr:uid="{E417236C-5705-4960-BCCC-1D1A164024B1}"/>
    <cellStyle name="Comma 2 2 2 2 2 3 3 3 5" xfId="6442" xr:uid="{79A035AD-9869-4C88-9957-BFF8812A179A}"/>
    <cellStyle name="Comma 2 2 2 2 2 3 3 3 5 2" xfId="42950" xr:uid="{B75157C0-A5CE-4C60-9FE7-0F6F069C354D}"/>
    <cellStyle name="Comma 2 2 2 2 2 3 3 3 5 3" xfId="24696" xr:uid="{C060486E-31E7-4926-BD5C-D03BC66440E6}"/>
    <cellStyle name="Comma 2 2 2 2 2 3 3 3 6" xfId="39300" xr:uid="{371B0BE6-2E0B-4850-B327-1D53F03ECCE1}"/>
    <cellStyle name="Comma 2 2 2 2 2 3 3 3 7" xfId="21046" xr:uid="{07C43A33-DD25-4C09-9D62-DD256F80091B}"/>
    <cellStyle name="Comma 2 2 2 2 2 3 3 4" xfId="2062" xr:uid="{297D7457-C5DA-4370-8B3F-D4A8F6369AA5}"/>
    <cellStyle name="Comma 2 2 2 2 2 3 3 4 2" xfId="16662" xr:uid="{DFC60DF9-742A-4D05-8371-17BAA4DE9F51}"/>
    <cellStyle name="Comma 2 2 2 2 2 3 3 4 2 2" xfId="53170" xr:uid="{F4DBE09E-9AB4-4824-AA88-8D1BEDFD82BE}"/>
    <cellStyle name="Comma 2 2 2 2 2 3 3 4 2 3" xfId="34916" xr:uid="{E672EC21-3790-4B4B-A3BB-9454BF8269E2}"/>
    <cellStyle name="Comma 2 2 2 2 2 3 3 4 3" xfId="13012" xr:uid="{9B43AE25-AB18-475E-AE07-FE713B0B7EC3}"/>
    <cellStyle name="Comma 2 2 2 2 2 3 3 4 3 2" xfId="49520" xr:uid="{65BF2B8F-A4D0-417C-9B4E-07D977338550}"/>
    <cellStyle name="Comma 2 2 2 2 2 3 3 4 3 3" xfId="31266" xr:uid="{2AF08242-1760-4CF7-9A11-37A0F28D009D}"/>
    <cellStyle name="Comma 2 2 2 2 2 3 3 4 4" xfId="9362" xr:uid="{FA2AC27B-C5DA-4731-ADE3-B2C15F96E81C}"/>
    <cellStyle name="Comma 2 2 2 2 2 3 3 4 4 2" xfId="45870" xr:uid="{2FA020CE-3ADB-45B0-9094-CBF500994196}"/>
    <cellStyle name="Comma 2 2 2 2 2 3 3 4 4 3" xfId="27616" xr:uid="{036EC8D9-335F-4D61-AA72-674C450EC3A1}"/>
    <cellStyle name="Comma 2 2 2 2 2 3 3 4 5" xfId="5712" xr:uid="{3CC0F0F1-D585-4A96-A65A-4D7A617AA0DC}"/>
    <cellStyle name="Comma 2 2 2 2 2 3 3 4 5 2" xfId="42220" xr:uid="{229EFF69-52BD-4917-950C-CC615E3A407D}"/>
    <cellStyle name="Comma 2 2 2 2 2 3 3 4 5 3" xfId="23966" xr:uid="{587F11CB-364A-4A01-AA62-1B95384F0A39}"/>
    <cellStyle name="Comma 2 2 2 2 2 3 3 4 6" xfId="38570" xr:uid="{3499E508-EA37-483D-B4F9-EDCE65DB06B8}"/>
    <cellStyle name="Comma 2 2 2 2 2 3 3 4 7" xfId="20316" xr:uid="{10DF27A3-FA3C-44FC-9590-49948CB90D1F}"/>
    <cellStyle name="Comma 2 2 2 2 2 3 3 5" xfId="1332" xr:uid="{5E8B5233-1361-4D95-9BD8-5F7D16EDF2CC}"/>
    <cellStyle name="Comma 2 2 2 2 2 3 3 5 2" xfId="15932" xr:uid="{F8DB86A4-7940-4E5B-9135-F6BC48E17E2F}"/>
    <cellStyle name="Comma 2 2 2 2 2 3 3 5 2 2" xfId="52440" xr:uid="{388704C9-6FFC-4B4A-86CE-FA6D634E79FD}"/>
    <cellStyle name="Comma 2 2 2 2 2 3 3 5 2 3" xfId="34186" xr:uid="{E5E09168-7E47-4E40-A088-7043E534F527}"/>
    <cellStyle name="Comma 2 2 2 2 2 3 3 5 3" xfId="12282" xr:uid="{4E4400E3-BEA8-4EAF-93D3-41E5B495CD54}"/>
    <cellStyle name="Comma 2 2 2 2 2 3 3 5 3 2" xfId="48790" xr:uid="{CEA6711C-D830-43ED-8CB9-50D08C5FC38A}"/>
    <cellStyle name="Comma 2 2 2 2 2 3 3 5 3 3" xfId="30536" xr:uid="{E9BDE08D-5BB6-4714-BB8E-CDA623AA1446}"/>
    <cellStyle name="Comma 2 2 2 2 2 3 3 5 4" xfId="8632" xr:uid="{6114DFD3-6488-4E2E-8182-FD1BE0C16F46}"/>
    <cellStyle name="Comma 2 2 2 2 2 3 3 5 4 2" xfId="45140" xr:uid="{C95DC345-6A11-415A-927C-6D4217728691}"/>
    <cellStyle name="Comma 2 2 2 2 2 3 3 5 4 3" xfId="26886" xr:uid="{A664E659-DCF5-4094-BB73-2F12405580D4}"/>
    <cellStyle name="Comma 2 2 2 2 2 3 3 5 5" xfId="4982" xr:uid="{6C641D03-5ED7-45EE-B2AD-A9D969F8E193}"/>
    <cellStyle name="Comma 2 2 2 2 2 3 3 5 5 2" xfId="41490" xr:uid="{D6D8B875-7C58-4949-BA79-98147C914086}"/>
    <cellStyle name="Comma 2 2 2 2 2 3 3 5 5 3" xfId="23236" xr:uid="{05055137-ADA2-415C-8DB4-3847FBAD4547}"/>
    <cellStyle name="Comma 2 2 2 2 2 3 3 5 6" xfId="37840" xr:uid="{9F2E74DA-0C3F-4C44-BC99-DF316417452A}"/>
    <cellStyle name="Comma 2 2 2 2 2 3 3 5 7" xfId="19586" xr:uid="{F28A7437-0776-4DC2-9B86-29D9FF7B7439}"/>
    <cellStyle name="Comma 2 2 2 2 2 3 3 6" xfId="15202" xr:uid="{ED812809-A25C-4391-B8F6-4680A7EC1CE1}"/>
    <cellStyle name="Comma 2 2 2 2 2 3 3 6 2" xfId="51710" xr:uid="{88ABFBD9-3B0E-49A9-8750-19D6CEC52E3B}"/>
    <cellStyle name="Comma 2 2 2 2 2 3 3 6 3" xfId="33456" xr:uid="{46B3A262-9D17-488E-A44F-0FFB46491293}"/>
    <cellStyle name="Comma 2 2 2 2 2 3 3 7" xfId="11552" xr:uid="{06EE8364-9C59-42AB-837D-B1253C6CCCE4}"/>
    <cellStyle name="Comma 2 2 2 2 2 3 3 7 2" xfId="48060" xr:uid="{24E4D232-236F-4904-B85E-C8EB9351B3E0}"/>
    <cellStyle name="Comma 2 2 2 2 2 3 3 7 3" xfId="29806" xr:uid="{1C24934B-ADC1-4113-AD92-99B70D171644}"/>
    <cellStyle name="Comma 2 2 2 2 2 3 3 8" xfId="7902" xr:uid="{583BBD33-17AF-48DB-9F01-326EA4010D24}"/>
    <cellStyle name="Comma 2 2 2 2 2 3 3 8 2" xfId="44410" xr:uid="{42790CC8-17E0-465B-8564-C8557F74FAF3}"/>
    <cellStyle name="Comma 2 2 2 2 2 3 3 8 3" xfId="26156" xr:uid="{70EA74B6-C6B8-4280-804E-4B53E730BD95}"/>
    <cellStyle name="Comma 2 2 2 2 2 3 3 9" xfId="4252" xr:uid="{FA2CF521-A776-46A8-A04B-ABF2417A1309}"/>
    <cellStyle name="Comma 2 2 2 2 2 3 3 9 2" xfId="40760" xr:uid="{C382617E-2A79-4505-9603-AB591413F447}"/>
    <cellStyle name="Comma 2 2 2 2 2 3 3 9 3" xfId="22506" xr:uid="{21199E33-8913-4D8F-9D33-2C4544FAE480}"/>
    <cellStyle name="Comma 2 2 2 2 2 3 4" xfId="498" xr:uid="{30C24A92-FD43-438C-B8B9-B765EB1BC671}"/>
    <cellStyle name="Comma 2 2 2 2 2 3 4 10" xfId="37006" xr:uid="{6DE803F0-5A4A-4AB3-A4C5-950AE2E7D36C}"/>
    <cellStyle name="Comma 2 2 2 2 2 3 4 11" xfId="18752" xr:uid="{11079838-037D-4002-B7BA-08964D819DF6}"/>
    <cellStyle name="Comma 2 2 2 2 2 3 4 2" xfId="3418" xr:uid="{E0879F9C-FC8E-489B-97D2-9E474D2FC265}"/>
    <cellStyle name="Comma 2 2 2 2 2 3 4 2 2" xfId="18018" xr:uid="{55BC656D-8198-4AB6-81DB-271CD9514803}"/>
    <cellStyle name="Comma 2 2 2 2 2 3 4 2 2 2" xfId="54526" xr:uid="{7804A045-92D8-42DC-8B48-F0C1F9B4B2C5}"/>
    <cellStyle name="Comma 2 2 2 2 2 3 4 2 2 3" xfId="36272" xr:uid="{3B1BB8B9-71A5-461D-BF08-F26A669F0C0F}"/>
    <cellStyle name="Comma 2 2 2 2 2 3 4 2 3" xfId="14368" xr:uid="{8975DD3E-5DEE-4FE6-B5C4-94CB73AD8148}"/>
    <cellStyle name="Comma 2 2 2 2 2 3 4 2 3 2" xfId="50876" xr:uid="{B501FC64-DF39-4CB7-A27D-8D8B4BA4A652}"/>
    <cellStyle name="Comma 2 2 2 2 2 3 4 2 3 3" xfId="32622" xr:uid="{F0664F87-B008-4C44-9358-F16A2305D492}"/>
    <cellStyle name="Comma 2 2 2 2 2 3 4 2 4" xfId="10718" xr:uid="{3C0DDE50-E329-4933-BD4F-026864A9CFFD}"/>
    <cellStyle name="Comma 2 2 2 2 2 3 4 2 4 2" xfId="47226" xr:uid="{A93569F6-EEEA-4E27-9F22-26B1D9C8AD34}"/>
    <cellStyle name="Comma 2 2 2 2 2 3 4 2 4 3" xfId="28972" xr:uid="{1F12AB1F-C4B5-40BD-80C2-329DA0207DC8}"/>
    <cellStyle name="Comma 2 2 2 2 2 3 4 2 5" xfId="7068" xr:uid="{E10D1164-D181-45EE-8C6F-0D305E87199E}"/>
    <cellStyle name="Comma 2 2 2 2 2 3 4 2 5 2" xfId="43576" xr:uid="{E5CB8BB9-A9C6-4628-9082-ADABAF82547B}"/>
    <cellStyle name="Comma 2 2 2 2 2 3 4 2 5 3" xfId="25322" xr:uid="{339ED5A0-F618-4772-A84E-3DB082B405A2}"/>
    <cellStyle name="Comma 2 2 2 2 2 3 4 2 6" xfId="39926" xr:uid="{CB2378BB-C214-4F32-BACD-526752EF8746}"/>
    <cellStyle name="Comma 2 2 2 2 2 3 4 2 7" xfId="21672" xr:uid="{27354B4D-0487-43F9-ADEF-816C6ACBAC0F}"/>
    <cellStyle name="Comma 2 2 2 2 2 3 4 3" xfId="2688" xr:uid="{70FB2A76-B84E-4A29-BEF8-A122D8481D6D}"/>
    <cellStyle name="Comma 2 2 2 2 2 3 4 3 2" xfId="17288" xr:uid="{C20E577D-D147-4BED-9008-B39254AAB79F}"/>
    <cellStyle name="Comma 2 2 2 2 2 3 4 3 2 2" xfId="53796" xr:uid="{A3B66E2E-860C-4F1E-AEF7-1FB0ACAF5303}"/>
    <cellStyle name="Comma 2 2 2 2 2 3 4 3 2 3" xfId="35542" xr:uid="{6ED2432A-A9EE-461A-BA75-DA153EB88919}"/>
    <cellStyle name="Comma 2 2 2 2 2 3 4 3 3" xfId="13638" xr:uid="{26EEF93B-3EB6-4BFA-9D3B-1284C801F366}"/>
    <cellStyle name="Comma 2 2 2 2 2 3 4 3 3 2" xfId="50146" xr:uid="{F0AC0EEE-BEEA-4F5D-8890-DF42D79F173F}"/>
    <cellStyle name="Comma 2 2 2 2 2 3 4 3 3 3" xfId="31892" xr:uid="{296BD397-0D05-4BCE-9F48-1222D5DB4D5B}"/>
    <cellStyle name="Comma 2 2 2 2 2 3 4 3 4" xfId="9988" xr:uid="{DB2D5DD4-6BA6-404C-B00B-0EDDEC170AD8}"/>
    <cellStyle name="Comma 2 2 2 2 2 3 4 3 4 2" xfId="46496" xr:uid="{1CB043CF-3DE0-430C-BA58-7673792A95F2}"/>
    <cellStyle name="Comma 2 2 2 2 2 3 4 3 4 3" xfId="28242" xr:uid="{8A04F2DC-F1CA-4221-AD81-5F360EC9E609}"/>
    <cellStyle name="Comma 2 2 2 2 2 3 4 3 5" xfId="6338" xr:uid="{9BB703A1-111C-4F79-A0A8-7CAA1EF1237D}"/>
    <cellStyle name="Comma 2 2 2 2 2 3 4 3 5 2" xfId="42846" xr:uid="{300E9E66-B426-4F62-9FB8-D6C1E40DF6C7}"/>
    <cellStyle name="Comma 2 2 2 2 2 3 4 3 5 3" xfId="24592" xr:uid="{C865D35B-D10E-47C7-8F98-700C7302340F}"/>
    <cellStyle name="Comma 2 2 2 2 2 3 4 3 6" xfId="39196" xr:uid="{1FD063A6-8465-4643-91F4-314717AD8251}"/>
    <cellStyle name="Comma 2 2 2 2 2 3 4 3 7" xfId="20942" xr:uid="{2F940CA1-3BFC-4144-BBEE-E37955EBC6B4}"/>
    <cellStyle name="Comma 2 2 2 2 2 3 4 4" xfId="1958" xr:uid="{D2CA934B-85FE-4096-8DF6-232069330DB5}"/>
    <cellStyle name="Comma 2 2 2 2 2 3 4 4 2" xfId="16558" xr:uid="{F47C8F81-D211-4247-AE3F-A73708FB6980}"/>
    <cellStyle name="Comma 2 2 2 2 2 3 4 4 2 2" xfId="53066" xr:uid="{CB79E74B-4BCA-44F2-950A-2B12935A4EE5}"/>
    <cellStyle name="Comma 2 2 2 2 2 3 4 4 2 3" xfId="34812" xr:uid="{05B2A082-65D0-4FBC-86D9-EF7E1525A20D}"/>
    <cellStyle name="Comma 2 2 2 2 2 3 4 4 3" xfId="12908" xr:uid="{F26DAA8D-708A-4A3C-AB54-9186646E9CBF}"/>
    <cellStyle name="Comma 2 2 2 2 2 3 4 4 3 2" xfId="49416" xr:uid="{7E151BD7-A5CE-48EA-BF81-97C38A446FA6}"/>
    <cellStyle name="Comma 2 2 2 2 2 3 4 4 3 3" xfId="31162" xr:uid="{25DDDF2C-EEB7-4988-BA57-9C0616F7F0E6}"/>
    <cellStyle name="Comma 2 2 2 2 2 3 4 4 4" xfId="9258" xr:uid="{E20B14F9-8A84-41B6-AE41-84D186179620}"/>
    <cellStyle name="Comma 2 2 2 2 2 3 4 4 4 2" xfId="45766" xr:uid="{7EDB8BBD-105A-4665-A67E-A14216441856}"/>
    <cellStyle name="Comma 2 2 2 2 2 3 4 4 4 3" xfId="27512" xr:uid="{93728976-A4F3-4336-9107-9393E7F0F004}"/>
    <cellStyle name="Comma 2 2 2 2 2 3 4 4 5" xfId="5608" xr:uid="{60F4DC96-98B7-4DAA-A0C1-FEC04F556609}"/>
    <cellStyle name="Comma 2 2 2 2 2 3 4 4 5 2" xfId="42116" xr:uid="{E24015DB-9053-46DD-8C28-E8D03D988D3A}"/>
    <cellStyle name="Comma 2 2 2 2 2 3 4 4 5 3" xfId="23862" xr:uid="{C67BE16F-690C-4A9B-9705-E5869E33C217}"/>
    <cellStyle name="Comma 2 2 2 2 2 3 4 4 6" xfId="38466" xr:uid="{A7F776BA-BEA6-45B4-8DDE-9DCFE558A402}"/>
    <cellStyle name="Comma 2 2 2 2 2 3 4 4 7" xfId="20212" xr:uid="{EF3D12D8-A5C0-42B7-BA66-655ACCA691A5}"/>
    <cellStyle name="Comma 2 2 2 2 2 3 4 5" xfId="1228" xr:uid="{2E21313F-CA65-491D-AA77-D1DC98AD264F}"/>
    <cellStyle name="Comma 2 2 2 2 2 3 4 5 2" xfId="15828" xr:uid="{7D441714-56CE-4635-8ABF-F873E5815D83}"/>
    <cellStyle name="Comma 2 2 2 2 2 3 4 5 2 2" xfId="52336" xr:uid="{3FCA8AFF-B008-4748-A292-22F3BADCCA66}"/>
    <cellStyle name="Comma 2 2 2 2 2 3 4 5 2 3" xfId="34082" xr:uid="{F3B8760C-8B24-4C31-93ED-5B46B057A276}"/>
    <cellStyle name="Comma 2 2 2 2 2 3 4 5 3" xfId="12178" xr:uid="{3F8DC0F4-4949-449A-8C8B-4E9ABD118F7D}"/>
    <cellStyle name="Comma 2 2 2 2 2 3 4 5 3 2" xfId="48686" xr:uid="{3AD71DD7-0876-4BAB-B4DB-57FA6366BEE8}"/>
    <cellStyle name="Comma 2 2 2 2 2 3 4 5 3 3" xfId="30432" xr:uid="{E0D3E76C-1677-46C3-B358-F291298D8044}"/>
    <cellStyle name="Comma 2 2 2 2 2 3 4 5 4" xfId="8528" xr:uid="{C9954943-E6C2-4CD7-98F0-99A0E283076C}"/>
    <cellStyle name="Comma 2 2 2 2 2 3 4 5 4 2" xfId="45036" xr:uid="{D5A03364-6A96-4EB5-A37F-6B155C8C58E9}"/>
    <cellStyle name="Comma 2 2 2 2 2 3 4 5 4 3" xfId="26782" xr:uid="{3604FE46-A477-4B9F-BE85-228D449DDAC1}"/>
    <cellStyle name="Comma 2 2 2 2 2 3 4 5 5" xfId="4878" xr:uid="{8DAF34E9-E722-4DA6-9617-61C77275ABB3}"/>
    <cellStyle name="Comma 2 2 2 2 2 3 4 5 5 2" xfId="41386" xr:uid="{4A06C8AB-5FE8-4A09-A70C-53B21CBD1DE9}"/>
    <cellStyle name="Comma 2 2 2 2 2 3 4 5 5 3" xfId="23132" xr:uid="{C685448A-04E8-4B7E-A92A-D4C90197F7B0}"/>
    <cellStyle name="Comma 2 2 2 2 2 3 4 5 6" xfId="37736" xr:uid="{49125AAB-94C3-4B47-A909-0BE3922B686B}"/>
    <cellStyle name="Comma 2 2 2 2 2 3 4 5 7" xfId="19482" xr:uid="{DB3FFC81-2C96-41B4-B5EE-87B1691BF411}"/>
    <cellStyle name="Comma 2 2 2 2 2 3 4 6" xfId="15098" xr:uid="{78D41FEA-3119-4D85-8B7B-89DD369EE7D1}"/>
    <cellStyle name="Comma 2 2 2 2 2 3 4 6 2" xfId="51606" xr:uid="{D3ED008D-5AE2-43A7-B3B3-4D822967BB63}"/>
    <cellStyle name="Comma 2 2 2 2 2 3 4 6 3" xfId="33352" xr:uid="{1F8B4DEF-8ED6-4827-9D67-FB4836E04002}"/>
    <cellStyle name="Comma 2 2 2 2 2 3 4 7" xfId="11448" xr:uid="{8D1B7E40-6E91-4C5A-B209-2ED26CA2B21A}"/>
    <cellStyle name="Comma 2 2 2 2 2 3 4 7 2" xfId="47956" xr:uid="{2819ECDA-4F4E-43B2-9D8F-56627A4A0F09}"/>
    <cellStyle name="Comma 2 2 2 2 2 3 4 7 3" xfId="29702" xr:uid="{0D8B2CCC-341F-417D-BC18-145C766FD322}"/>
    <cellStyle name="Comma 2 2 2 2 2 3 4 8" xfId="7798" xr:uid="{9A7B849C-4B2F-44CD-B649-0EB733A621FE}"/>
    <cellStyle name="Comma 2 2 2 2 2 3 4 8 2" xfId="44306" xr:uid="{8E3C3A5A-2FAB-4299-863C-1EE9F41A6AAB}"/>
    <cellStyle name="Comma 2 2 2 2 2 3 4 8 3" xfId="26052" xr:uid="{3F260D60-7A8B-4547-876E-2DAD0BB766F5}"/>
    <cellStyle name="Comma 2 2 2 2 2 3 4 9" xfId="4148" xr:uid="{F7099E4B-6069-4401-8040-D4011F66A1D3}"/>
    <cellStyle name="Comma 2 2 2 2 2 3 4 9 2" xfId="40656" xr:uid="{7F54B854-06A0-4AE0-ADED-D3F2C60C902F}"/>
    <cellStyle name="Comma 2 2 2 2 2 3 4 9 3" xfId="22402" xr:uid="{73C1D263-7E41-4E5A-922A-21416BE545C8}"/>
    <cellStyle name="Comma 2 2 2 2 2 3 5" xfId="394" xr:uid="{9B91757A-6BDF-4E13-AE3C-8295D427499E}"/>
    <cellStyle name="Comma 2 2 2 2 2 3 5 10" xfId="36902" xr:uid="{8E1B64C3-7DFF-4590-B010-205428C2ACA2}"/>
    <cellStyle name="Comma 2 2 2 2 2 3 5 11" xfId="18648" xr:uid="{EDA2E225-0256-4A9E-9AA1-BBD0A50B12F1}"/>
    <cellStyle name="Comma 2 2 2 2 2 3 5 2" xfId="3314" xr:uid="{95EA7084-DAEC-42F7-92DF-66AD2CAC9C5F}"/>
    <cellStyle name="Comma 2 2 2 2 2 3 5 2 2" xfId="17914" xr:uid="{EE9CCD84-33A1-4517-9AEC-39D392B4F967}"/>
    <cellStyle name="Comma 2 2 2 2 2 3 5 2 2 2" xfId="54422" xr:uid="{EECF821A-88F1-418F-BC2B-985B72B859F8}"/>
    <cellStyle name="Comma 2 2 2 2 2 3 5 2 2 3" xfId="36168" xr:uid="{917EA7B9-27B7-48C4-B980-1C33E818BD35}"/>
    <cellStyle name="Comma 2 2 2 2 2 3 5 2 3" xfId="14264" xr:uid="{C06DC4AF-754B-42CE-A12F-C9CB2881958C}"/>
    <cellStyle name="Comma 2 2 2 2 2 3 5 2 3 2" xfId="50772" xr:uid="{F2F09BF9-9BBD-4DE2-8D73-961FB60941CF}"/>
    <cellStyle name="Comma 2 2 2 2 2 3 5 2 3 3" xfId="32518" xr:uid="{5C657640-BE1D-4223-9764-3F60E8AB964D}"/>
    <cellStyle name="Comma 2 2 2 2 2 3 5 2 4" xfId="10614" xr:uid="{2F3178A7-2137-4907-8CD8-7CD69F713F75}"/>
    <cellStyle name="Comma 2 2 2 2 2 3 5 2 4 2" xfId="47122" xr:uid="{D0A46B86-978A-4E78-A2AE-560864623211}"/>
    <cellStyle name="Comma 2 2 2 2 2 3 5 2 4 3" xfId="28868" xr:uid="{6E8487F8-D67E-422D-BB0B-8E282A6B574E}"/>
    <cellStyle name="Comma 2 2 2 2 2 3 5 2 5" xfId="6964" xr:uid="{18859DEE-DC68-441A-B4E4-49397E488E1D}"/>
    <cellStyle name="Comma 2 2 2 2 2 3 5 2 5 2" xfId="43472" xr:uid="{2454C7F4-8D8C-4F6C-B85F-2CF9A515BAF7}"/>
    <cellStyle name="Comma 2 2 2 2 2 3 5 2 5 3" xfId="25218" xr:uid="{B630C8D8-5B3C-41D1-B958-FD50B868F5BD}"/>
    <cellStyle name="Comma 2 2 2 2 2 3 5 2 6" xfId="39822" xr:uid="{5FB5D22B-4BDD-471E-897A-3CCA9CEEE06C}"/>
    <cellStyle name="Comma 2 2 2 2 2 3 5 2 7" xfId="21568" xr:uid="{64DAA17B-0CD7-429E-A024-CCE1D83A58C4}"/>
    <cellStyle name="Comma 2 2 2 2 2 3 5 3" xfId="2584" xr:uid="{0268B392-F6CF-469A-B988-248431AC820A}"/>
    <cellStyle name="Comma 2 2 2 2 2 3 5 3 2" xfId="17184" xr:uid="{C8009F07-7032-411B-8116-E514068F4544}"/>
    <cellStyle name="Comma 2 2 2 2 2 3 5 3 2 2" xfId="53692" xr:uid="{00B45EFC-C8F7-4A00-B869-5749204DE769}"/>
    <cellStyle name="Comma 2 2 2 2 2 3 5 3 2 3" xfId="35438" xr:uid="{BFF83FFC-7EAF-4C64-8FEC-746CAB68AA64}"/>
    <cellStyle name="Comma 2 2 2 2 2 3 5 3 3" xfId="13534" xr:uid="{8FEC93A8-BA1E-44AC-8587-DFF476A5B1CA}"/>
    <cellStyle name="Comma 2 2 2 2 2 3 5 3 3 2" xfId="50042" xr:uid="{8AF2A86F-17D0-40D3-B933-E8E00066820E}"/>
    <cellStyle name="Comma 2 2 2 2 2 3 5 3 3 3" xfId="31788" xr:uid="{15682A49-C96A-412F-99B5-83F840FA4675}"/>
    <cellStyle name="Comma 2 2 2 2 2 3 5 3 4" xfId="9884" xr:uid="{606BCEC2-1438-4820-A751-A84E21656FBE}"/>
    <cellStyle name="Comma 2 2 2 2 2 3 5 3 4 2" xfId="46392" xr:uid="{0E4BAD1A-13DD-4437-B6CB-E912AC2D3B83}"/>
    <cellStyle name="Comma 2 2 2 2 2 3 5 3 4 3" xfId="28138" xr:uid="{953D8D33-1DD1-4BE7-9044-CC390399AC99}"/>
    <cellStyle name="Comma 2 2 2 2 2 3 5 3 5" xfId="6234" xr:uid="{14381870-0CDA-4092-85F7-C11D47F67E97}"/>
    <cellStyle name="Comma 2 2 2 2 2 3 5 3 5 2" xfId="42742" xr:uid="{1C1EB102-67AD-4EDE-B17B-C3BBE5BB8010}"/>
    <cellStyle name="Comma 2 2 2 2 2 3 5 3 5 3" xfId="24488" xr:uid="{CBB6DE4A-5672-4261-8F90-53C17C359F55}"/>
    <cellStyle name="Comma 2 2 2 2 2 3 5 3 6" xfId="39092" xr:uid="{83497E84-3732-4F89-9385-C9EAED51EF7A}"/>
    <cellStyle name="Comma 2 2 2 2 2 3 5 3 7" xfId="20838" xr:uid="{F6122CEE-B4D1-44AF-A456-4611C4FA2BA6}"/>
    <cellStyle name="Comma 2 2 2 2 2 3 5 4" xfId="1854" xr:uid="{C7CDE54F-3429-4F38-815E-2FE6F99B8509}"/>
    <cellStyle name="Comma 2 2 2 2 2 3 5 4 2" xfId="16454" xr:uid="{26F2472D-A7CA-4C64-83DD-FF8C99A428D5}"/>
    <cellStyle name="Comma 2 2 2 2 2 3 5 4 2 2" xfId="52962" xr:uid="{C8DC3FCF-C92C-4973-B481-146B4E8551E2}"/>
    <cellStyle name="Comma 2 2 2 2 2 3 5 4 2 3" xfId="34708" xr:uid="{67238BB5-40E7-497D-8D27-A215FE4F477F}"/>
    <cellStyle name="Comma 2 2 2 2 2 3 5 4 3" xfId="12804" xr:uid="{CDE43CF2-989F-44F3-B9C0-F103B7BE366F}"/>
    <cellStyle name="Comma 2 2 2 2 2 3 5 4 3 2" xfId="49312" xr:uid="{6B54D028-5479-44BE-8459-6FFA87646D76}"/>
    <cellStyle name="Comma 2 2 2 2 2 3 5 4 3 3" xfId="31058" xr:uid="{DE1CF4FE-2760-4EDB-991B-15CD059969F9}"/>
    <cellStyle name="Comma 2 2 2 2 2 3 5 4 4" xfId="9154" xr:uid="{C5AA0CDD-C3C2-48C4-83AB-72C48CCF3406}"/>
    <cellStyle name="Comma 2 2 2 2 2 3 5 4 4 2" xfId="45662" xr:uid="{470BF0BB-D0FF-4B8D-A3CA-91AA190A03C2}"/>
    <cellStyle name="Comma 2 2 2 2 2 3 5 4 4 3" xfId="27408" xr:uid="{2BB4E4C2-4528-4DB8-B8B0-FC9656C6706D}"/>
    <cellStyle name="Comma 2 2 2 2 2 3 5 4 5" xfId="5504" xr:uid="{701F8668-CAE1-4ACE-92F2-B90A9D4570AD}"/>
    <cellStyle name="Comma 2 2 2 2 2 3 5 4 5 2" xfId="42012" xr:uid="{2DC7FFD1-5B96-4B07-A0A6-571D500F8409}"/>
    <cellStyle name="Comma 2 2 2 2 2 3 5 4 5 3" xfId="23758" xr:uid="{6B4E3051-404A-4F31-A087-89A1045DBBF0}"/>
    <cellStyle name="Comma 2 2 2 2 2 3 5 4 6" xfId="38362" xr:uid="{2EC746CD-A72D-44A6-A5F5-F8B1C6207D80}"/>
    <cellStyle name="Comma 2 2 2 2 2 3 5 4 7" xfId="20108" xr:uid="{3A17EC04-BC59-419A-9DC1-940574463F8D}"/>
    <cellStyle name="Comma 2 2 2 2 2 3 5 5" xfId="1124" xr:uid="{DA1780F7-8ECD-46B4-AADB-A44C1FE58145}"/>
    <cellStyle name="Comma 2 2 2 2 2 3 5 5 2" xfId="15724" xr:uid="{00C12E62-CA15-437A-85C1-49E681845550}"/>
    <cellStyle name="Comma 2 2 2 2 2 3 5 5 2 2" xfId="52232" xr:uid="{C72BBD73-91E2-4380-970F-A8BC20327781}"/>
    <cellStyle name="Comma 2 2 2 2 2 3 5 5 2 3" xfId="33978" xr:uid="{D0B28796-65DC-44B1-836E-78048B4CE5E1}"/>
    <cellStyle name="Comma 2 2 2 2 2 3 5 5 3" xfId="12074" xr:uid="{87D56F4C-3441-4337-A601-B4D008138A3E}"/>
    <cellStyle name="Comma 2 2 2 2 2 3 5 5 3 2" xfId="48582" xr:uid="{E51FC43B-430B-481A-B3BF-0E48BB5A116E}"/>
    <cellStyle name="Comma 2 2 2 2 2 3 5 5 3 3" xfId="30328" xr:uid="{5DED4386-A165-42ED-AA3D-57458A50EF3A}"/>
    <cellStyle name="Comma 2 2 2 2 2 3 5 5 4" xfId="8424" xr:uid="{7BCE031A-087F-4E1B-BC94-95E460CAF1FB}"/>
    <cellStyle name="Comma 2 2 2 2 2 3 5 5 4 2" xfId="44932" xr:uid="{98180A5A-A22E-465C-8933-C45CEC63572C}"/>
    <cellStyle name="Comma 2 2 2 2 2 3 5 5 4 3" xfId="26678" xr:uid="{DA9CFE4B-CB86-432B-A63D-266F33709DD7}"/>
    <cellStyle name="Comma 2 2 2 2 2 3 5 5 5" xfId="4774" xr:uid="{FE2D8BFA-8CD8-47D5-800E-F7D96D17EB8E}"/>
    <cellStyle name="Comma 2 2 2 2 2 3 5 5 5 2" xfId="41282" xr:uid="{9AA5B0EE-EFBC-4533-83E5-E7FEF536FB5D}"/>
    <cellStyle name="Comma 2 2 2 2 2 3 5 5 5 3" xfId="23028" xr:uid="{04D30BA6-396A-4342-8A52-BFAEA68DBF57}"/>
    <cellStyle name="Comma 2 2 2 2 2 3 5 5 6" xfId="37632" xr:uid="{7A191489-A394-4E38-AF58-E52822ED2AC6}"/>
    <cellStyle name="Comma 2 2 2 2 2 3 5 5 7" xfId="19378" xr:uid="{46E27AF3-A706-44AB-99E3-65BD6A9878ED}"/>
    <cellStyle name="Comma 2 2 2 2 2 3 5 6" xfId="14994" xr:uid="{0A57DBFF-1E7B-4AB3-89B2-7C1B6636A721}"/>
    <cellStyle name="Comma 2 2 2 2 2 3 5 6 2" xfId="51502" xr:uid="{362AC51F-31BE-4934-8902-51A261421BB2}"/>
    <cellStyle name="Comma 2 2 2 2 2 3 5 6 3" xfId="33248" xr:uid="{9CB3F680-1BA0-4B79-BDF7-539B198C199D}"/>
    <cellStyle name="Comma 2 2 2 2 2 3 5 7" xfId="11344" xr:uid="{6219E1E6-E1C6-4AC5-94D9-99AE4FC2F564}"/>
    <cellStyle name="Comma 2 2 2 2 2 3 5 7 2" xfId="47852" xr:uid="{59EF0EB9-17D1-41E9-AE88-444CE35437F8}"/>
    <cellStyle name="Comma 2 2 2 2 2 3 5 7 3" xfId="29598" xr:uid="{43C3AA62-A912-4CFD-80B9-A9669A94279C}"/>
    <cellStyle name="Comma 2 2 2 2 2 3 5 8" xfId="7694" xr:uid="{265FE6C0-DCEB-478D-BFA6-67A8F6E27F16}"/>
    <cellStyle name="Comma 2 2 2 2 2 3 5 8 2" xfId="44202" xr:uid="{B762CCE0-49DC-4528-91BE-218809F08BE4}"/>
    <cellStyle name="Comma 2 2 2 2 2 3 5 8 3" xfId="25948" xr:uid="{B884EB5F-15A4-4B82-B747-F094E4C8C9E2}"/>
    <cellStyle name="Comma 2 2 2 2 2 3 5 9" xfId="4044" xr:uid="{37993473-4F59-46F2-BC78-751F6DDAD337}"/>
    <cellStyle name="Comma 2 2 2 2 2 3 5 9 2" xfId="40552" xr:uid="{BBB58922-3A78-4CD1-BD43-068880A8B4C5}"/>
    <cellStyle name="Comma 2 2 2 2 2 3 5 9 3" xfId="22298" xr:uid="{C91FD2D4-84DF-4AA6-A5D6-D8E247E31817}"/>
    <cellStyle name="Comma 2 2 2 2 2 3 6" xfId="290" xr:uid="{9AD6AC9F-6B77-46A2-84BF-507B30DC036E}"/>
    <cellStyle name="Comma 2 2 2 2 2 3 6 10" xfId="36798" xr:uid="{E785CC1E-6DF6-4D52-B6FA-ECC82E74CE72}"/>
    <cellStyle name="Comma 2 2 2 2 2 3 6 11" xfId="18544" xr:uid="{1DAAF118-5FE3-4B71-A6E3-F56DF372359D}"/>
    <cellStyle name="Comma 2 2 2 2 2 3 6 2" xfId="3210" xr:uid="{01536323-C4A5-4D9B-ADFC-2700C232AE18}"/>
    <cellStyle name="Comma 2 2 2 2 2 3 6 2 2" xfId="17810" xr:uid="{64783941-2BE4-4FB7-B369-55EF8D259431}"/>
    <cellStyle name="Comma 2 2 2 2 2 3 6 2 2 2" xfId="54318" xr:uid="{E1143090-4E4E-4AE0-9A9C-AC60D354F94D}"/>
    <cellStyle name="Comma 2 2 2 2 2 3 6 2 2 3" xfId="36064" xr:uid="{8A11007E-1FF4-46F7-8039-3BAEE1143530}"/>
    <cellStyle name="Comma 2 2 2 2 2 3 6 2 3" xfId="14160" xr:uid="{DF2101F6-BC79-4FE5-813C-8ECAB5DC875C}"/>
    <cellStyle name="Comma 2 2 2 2 2 3 6 2 3 2" xfId="50668" xr:uid="{9F43A7A9-C431-4F87-B3FE-870E290A2369}"/>
    <cellStyle name="Comma 2 2 2 2 2 3 6 2 3 3" xfId="32414" xr:uid="{32448EFC-4995-4894-9925-559C00CFB936}"/>
    <cellStyle name="Comma 2 2 2 2 2 3 6 2 4" xfId="10510" xr:uid="{4EEF82EE-1E59-4D87-B71F-99C86BCA6789}"/>
    <cellStyle name="Comma 2 2 2 2 2 3 6 2 4 2" xfId="47018" xr:uid="{C8838F96-9F2E-4542-ADE5-55EE20A75915}"/>
    <cellStyle name="Comma 2 2 2 2 2 3 6 2 4 3" xfId="28764" xr:uid="{9174CF59-598E-4C73-A2D2-7E71CB76558A}"/>
    <cellStyle name="Comma 2 2 2 2 2 3 6 2 5" xfId="6860" xr:uid="{EC17366E-9E03-4987-BC25-AF293E9A1967}"/>
    <cellStyle name="Comma 2 2 2 2 2 3 6 2 5 2" xfId="43368" xr:uid="{EF824BD1-5CBD-4D1A-9799-22A3B60C1061}"/>
    <cellStyle name="Comma 2 2 2 2 2 3 6 2 5 3" xfId="25114" xr:uid="{46E8C2BF-A16C-4E43-B994-49782133F8F7}"/>
    <cellStyle name="Comma 2 2 2 2 2 3 6 2 6" xfId="39718" xr:uid="{E5C09753-A1D9-48A8-A88E-DEB2248AED57}"/>
    <cellStyle name="Comma 2 2 2 2 2 3 6 2 7" xfId="21464" xr:uid="{4607101A-1F60-4E31-946A-729941E3646C}"/>
    <cellStyle name="Comma 2 2 2 2 2 3 6 3" xfId="2480" xr:uid="{5132E0A4-C627-4F60-ACE1-64BA43082855}"/>
    <cellStyle name="Comma 2 2 2 2 2 3 6 3 2" xfId="17080" xr:uid="{381D0711-BD5A-464F-A734-A4EDC745EAAF}"/>
    <cellStyle name="Comma 2 2 2 2 2 3 6 3 2 2" xfId="53588" xr:uid="{9E84DA28-9A3C-49E4-8B00-6C8667A5FA13}"/>
    <cellStyle name="Comma 2 2 2 2 2 3 6 3 2 3" xfId="35334" xr:uid="{C013FB12-BF97-4C5B-88B1-41964D597BA8}"/>
    <cellStyle name="Comma 2 2 2 2 2 3 6 3 3" xfId="13430" xr:uid="{B6570DAA-1E0D-4D96-BDE7-E4BC116D1EC5}"/>
    <cellStyle name="Comma 2 2 2 2 2 3 6 3 3 2" xfId="49938" xr:uid="{5EBB78E8-178D-4F14-AFE1-E17C9CC94121}"/>
    <cellStyle name="Comma 2 2 2 2 2 3 6 3 3 3" xfId="31684" xr:uid="{49CEADDA-1BAA-4C00-9AE9-003AEC58F710}"/>
    <cellStyle name="Comma 2 2 2 2 2 3 6 3 4" xfId="9780" xr:uid="{E6D15475-D5B2-4340-8628-2679FBBFD322}"/>
    <cellStyle name="Comma 2 2 2 2 2 3 6 3 4 2" xfId="46288" xr:uid="{28374D66-F63B-47DA-A96E-586BC4D22FFD}"/>
    <cellStyle name="Comma 2 2 2 2 2 3 6 3 4 3" xfId="28034" xr:uid="{873DCFFB-F9F9-4217-943A-154A299816E9}"/>
    <cellStyle name="Comma 2 2 2 2 2 3 6 3 5" xfId="6130" xr:uid="{D1E969D3-612E-4FC3-A67E-8194418B20B4}"/>
    <cellStyle name="Comma 2 2 2 2 2 3 6 3 5 2" xfId="42638" xr:uid="{6E2E5BA0-AD32-401C-8327-D6B7F8F50FE1}"/>
    <cellStyle name="Comma 2 2 2 2 2 3 6 3 5 3" xfId="24384" xr:uid="{8A8DA644-5A48-4968-A393-8442F9ABB3F8}"/>
    <cellStyle name="Comma 2 2 2 2 2 3 6 3 6" xfId="38988" xr:uid="{CE02EEC9-3275-416E-8D91-4C2678855773}"/>
    <cellStyle name="Comma 2 2 2 2 2 3 6 3 7" xfId="20734" xr:uid="{15DF8081-2D00-4C3B-8889-46739C6645B5}"/>
    <cellStyle name="Comma 2 2 2 2 2 3 6 4" xfId="1750" xr:uid="{CDFEC360-3FE4-463B-B4E6-D49D2736084C}"/>
    <cellStyle name="Comma 2 2 2 2 2 3 6 4 2" xfId="16350" xr:uid="{2A4FBC6D-E8A4-4701-9A5A-562F00EF16B5}"/>
    <cellStyle name="Comma 2 2 2 2 2 3 6 4 2 2" xfId="52858" xr:uid="{EE1883E6-39D7-443F-8955-F4C881D14C84}"/>
    <cellStyle name="Comma 2 2 2 2 2 3 6 4 2 3" xfId="34604" xr:uid="{F2572307-663D-4B41-925F-5264DAD55826}"/>
    <cellStyle name="Comma 2 2 2 2 2 3 6 4 3" xfId="12700" xr:uid="{9129CCA6-E7D2-42BF-AF7E-6E4EABCEAD6E}"/>
    <cellStyle name="Comma 2 2 2 2 2 3 6 4 3 2" xfId="49208" xr:uid="{08D47675-D1C4-4234-B6B1-23247D08C09B}"/>
    <cellStyle name="Comma 2 2 2 2 2 3 6 4 3 3" xfId="30954" xr:uid="{33B4813C-5835-4EA8-BE08-6B38AA8153CE}"/>
    <cellStyle name="Comma 2 2 2 2 2 3 6 4 4" xfId="9050" xr:uid="{573F5A93-58F6-4315-B5BC-4AA6B9513B83}"/>
    <cellStyle name="Comma 2 2 2 2 2 3 6 4 4 2" xfId="45558" xr:uid="{4266A4CE-A1E4-4F4E-80E6-5BAAE276BD14}"/>
    <cellStyle name="Comma 2 2 2 2 2 3 6 4 4 3" xfId="27304" xr:uid="{AA0C924F-09D9-49C2-8F4B-F5AF007BD14E}"/>
    <cellStyle name="Comma 2 2 2 2 2 3 6 4 5" xfId="5400" xr:uid="{59077A99-7CFA-4FB3-ADBB-2AF376E43F5B}"/>
    <cellStyle name="Comma 2 2 2 2 2 3 6 4 5 2" xfId="41908" xr:uid="{6415FE8D-01C7-4F02-93F5-4D601D122091}"/>
    <cellStyle name="Comma 2 2 2 2 2 3 6 4 5 3" xfId="23654" xr:uid="{179793F9-D123-4927-9FC9-07DC8BFB35E7}"/>
    <cellStyle name="Comma 2 2 2 2 2 3 6 4 6" xfId="38258" xr:uid="{82387B15-2704-450B-88ED-B9B142424EC9}"/>
    <cellStyle name="Comma 2 2 2 2 2 3 6 4 7" xfId="20004" xr:uid="{2D2D2E5C-F8AF-4BCE-B8E5-D72E43FA50A9}"/>
    <cellStyle name="Comma 2 2 2 2 2 3 6 5" xfId="1020" xr:uid="{7C88D1D7-DEA9-4FA1-B553-07ADCB2CB756}"/>
    <cellStyle name="Comma 2 2 2 2 2 3 6 5 2" xfId="15620" xr:uid="{AE4525C6-21E8-4934-91F5-2E59D2067248}"/>
    <cellStyle name="Comma 2 2 2 2 2 3 6 5 2 2" xfId="52128" xr:uid="{24E7808B-A3D8-4D24-BDB2-84F5B176EA7E}"/>
    <cellStyle name="Comma 2 2 2 2 2 3 6 5 2 3" xfId="33874" xr:uid="{8EC8F6A0-C827-4674-A7CB-2CF0751B922D}"/>
    <cellStyle name="Comma 2 2 2 2 2 3 6 5 3" xfId="11970" xr:uid="{6B3C3A56-240E-4F28-8C97-B329A9CB2289}"/>
    <cellStyle name="Comma 2 2 2 2 2 3 6 5 3 2" xfId="48478" xr:uid="{B343DBDA-5B21-4E83-9D9E-5A9F48685938}"/>
    <cellStyle name="Comma 2 2 2 2 2 3 6 5 3 3" xfId="30224" xr:uid="{26826FD0-7896-484E-A24A-5340F5490039}"/>
    <cellStyle name="Comma 2 2 2 2 2 3 6 5 4" xfId="8320" xr:uid="{6D420072-B83E-4EB8-ACB1-5901CB4F376D}"/>
    <cellStyle name="Comma 2 2 2 2 2 3 6 5 4 2" xfId="44828" xr:uid="{28E6F2FA-3F6A-4FA8-9CE9-A9D841385E22}"/>
    <cellStyle name="Comma 2 2 2 2 2 3 6 5 4 3" xfId="26574" xr:uid="{40917350-F16A-4941-A3AB-EC00937F8032}"/>
    <cellStyle name="Comma 2 2 2 2 2 3 6 5 5" xfId="4670" xr:uid="{F9D58FD0-BF65-496F-8904-DBBE91EE76D9}"/>
    <cellStyle name="Comma 2 2 2 2 2 3 6 5 5 2" xfId="41178" xr:uid="{03343940-AD7A-4DFF-8A4C-1ACFA7576CB8}"/>
    <cellStyle name="Comma 2 2 2 2 2 3 6 5 5 3" xfId="22924" xr:uid="{319307E2-0411-4032-9D4D-6E3A084BBA0E}"/>
    <cellStyle name="Comma 2 2 2 2 2 3 6 5 6" xfId="37528" xr:uid="{A522E47D-FF4A-4040-BEBE-DEE9D8079655}"/>
    <cellStyle name="Comma 2 2 2 2 2 3 6 5 7" xfId="19274" xr:uid="{46899DD0-BAD6-413B-8721-5D52C6804771}"/>
    <cellStyle name="Comma 2 2 2 2 2 3 6 6" xfId="14890" xr:uid="{045230EA-2DF5-4C87-8249-C7FB15EB2CF7}"/>
    <cellStyle name="Comma 2 2 2 2 2 3 6 6 2" xfId="51398" xr:uid="{3182184A-F547-452F-BB6F-67E2DDD8B54C}"/>
    <cellStyle name="Comma 2 2 2 2 2 3 6 6 3" xfId="33144" xr:uid="{EFFFA86C-F68C-473D-B102-88C5670142DE}"/>
    <cellStyle name="Comma 2 2 2 2 2 3 6 7" xfId="11240" xr:uid="{4C1D884C-56AE-4CCF-A6C2-800F1B4D3683}"/>
    <cellStyle name="Comma 2 2 2 2 2 3 6 7 2" xfId="47748" xr:uid="{729AD268-7F13-4408-A861-1C995C09FAD6}"/>
    <cellStyle name="Comma 2 2 2 2 2 3 6 7 3" xfId="29494" xr:uid="{C5BFD56B-29B2-4C4B-A372-949AA5413E70}"/>
    <cellStyle name="Comma 2 2 2 2 2 3 6 8" xfId="7590" xr:uid="{543CB8C9-843F-41B1-A760-4F52DD1DF89A}"/>
    <cellStyle name="Comma 2 2 2 2 2 3 6 8 2" xfId="44098" xr:uid="{40E1E853-9DBE-4DD8-BBCC-41D8772D614E}"/>
    <cellStyle name="Comma 2 2 2 2 2 3 6 8 3" xfId="25844" xr:uid="{03F4DA78-9C3B-4A9B-8A16-0E4A818C801B}"/>
    <cellStyle name="Comma 2 2 2 2 2 3 6 9" xfId="3940" xr:uid="{69A49804-2475-4572-904C-BF924ED1055C}"/>
    <cellStyle name="Comma 2 2 2 2 2 3 6 9 2" xfId="40448" xr:uid="{1C3E40C3-B02A-48D3-A9CD-5AAA106FBA12}"/>
    <cellStyle name="Comma 2 2 2 2 2 3 6 9 3" xfId="22194" xr:uid="{08B2B852-216B-40E3-B3D1-209B7E8D5F01}"/>
    <cellStyle name="Comma 2 2 2 2 2 3 7" xfId="186" xr:uid="{278E1CD0-E1F2-480F-AAC0-89E50FB98FAA}"/>
    <cellStyle name="Comma 2 2 2 2 2 3 7 10" xfId="36694" xr:uid="{301D65F8-D1C7-4C9B-AFFB-F8ABF55293E6}"/>
    <cellStyle name="Comma 2 2 2 2 2 3 7 11" xfId="18440" xr:uid="{CE054C29-696B-4A99-A128-12D8411E1BD9}"/>
    <cellStyle name="Comma 2 2 2 2 2 3 7 2" xfId="3106" xr:uid="{B4F52E44-6CF3-4B00-81CD-D181ABEA19D9}"/>
    <cellStyle name="Comma 2 2 2 2 2 3 7 2 2" xfId="17706" xr:uid="{7DB550B6-CE07-4837-9E5B-4301610C375A}"/>
    <cellStyle name="Comma 2 2 2 2 2 3 7 2 2 2" xfId="54214" xr:uid="{E978E4D4-1435-479E-B5C4-8A05E1BEF6D1}"/>
    <cellStyle name="Comma 2 2 2 2 2 3 7 2 2 3" xfId="35960" xr:uid="{3A40C752-4380-4C0A-A155-8BFB59A726FC}"/>
    <cellStyle name="Comma 2 2 2 2 2 3 7 2 3" xfId="14056" xr:uid="{C60C9998-A7D8-4C41-BB6A-6B2D1D652CC7}"/>
    <cellStyle name="Comma 2 2 2 2 2 3 7 2 3 2" xfId="50564" xr:uid="{B19B948F-4890-4850-B8C6-24D9E31E4449}"/>
    <cellStyle name="Comma 2 2 2 2 2 3 7 2 3 3" xfId="32310" xr:uid="{8FE779DF-4D7F-4110-A575-9E96A5B55910}"/>
    <cellStyle name="Comma 2 2 2 2 2 3 7 2 4" xfId="10406" xr:uid="{39D01401-F4AA-4633-8C50-FFA1B8D9A702}"/>
    <cellStyle name="Comma 2 2 2 2 2 3 7 2 4 2" xfId="46914" xr:uid="{B5D9588B-6CDB-4A6F-A7A4-633F10F90F7D}"/>
    <cellStyle name="Comma 2 2 2 2 2 3 7 2 4 3" xfId="28660" xr:uid="{97D7D82B-955F-4FEA-B648-5A5C44FA0658}"/>
    <cellStyle name="Comma 2 2 2 2 2 3 7 2 5" xfId="6756" xr:uid="{026F7C89-0333-4C99-82B3-745186098438}"/>
    <cellStyle name="Comma 2 2 2 2 2 3 7 2 5 2" xfId="43264" xr:uid="{20F06C7C-D841-4944-AB4F-89CBF6B76AEA}"/>
    <cellStyle name="Comma 2 2 2 2 2 3 7 2 5 3" xfId="25010" xr:uid="{9014FDF8-C1FB-45AE-AD2C-EAD7D93D0FB8}"/>
    <cellStyle name="Comma 2 2 2 2 2 3 7 2 6" xfId="39614" xr:uid="{327EFD6E-2B61-4611-8A94-3C5D81E80AB0}"/>
    <cellStyle name="Comma 2 2 2 2 2 3 7 2 7" xfId="21360" xr:uid="{905BC50A-5516-4AA4-AF50-1FE1930535A7}"/>
    <cellStyle name="Comma 2 2 2 2 2 3 7 3" xfId="2376" xr:uid="{D92B5032-3847-42C5-AAA8-803862A800E3}"/>
    <cellStyle name="Comma 2 2 2 2 2 3 7 3 2" xfId="16976" xr:uid="{DF3B9231-AB1D-486E-971D-DE974158D0AF}"/>
    <cellStyle name="Comma 2 2 2 2 2 3 7 3 2 2" xfId="53484" xr:uid="{53FEA00A-A7EF-406C-8838-8A9279D1A4A1}"/>
    <cellStyle name="Comma 2 2 2 2 2 3 7 3 2 3" xfId="35230" xr:uid="{BB699B1D-D258-4139-BAC5-FC2ED5414E46}"/>
    <cellStyle name="Comma 2 2 2 2 2 3 7 3 3" xfId="13326" xr:uid="{ADC7556D-284F-4280-951C-AB0A48A69C5C}"/>
    <cellStyle name="Comma 2 2 2 2 2 3 7 3 3 2" xfId="49834" xr:uid="{FEDD057A-3C95-4C3B-8A75-D37067670584}"/>
    <cellStyle name="Comma 2 2 2 2 2 3 7 3 3 3" xfId="31580" xr:uid="{F4528166-2DFA-4720-A5E6-486B82D3CEC3}"/>
    <cellStyle name="Comma 2 2 2 2 2 3 7 3 4" xfId="9676" xr:uid="{9FC228B6-7C1E-4F7B-AA44-E1398053352F}"/>
    <cellStyle name="Comma 2 2 2 2 2 3 7 3 4 2" xfId="46184" xr:uid="{4ED50855-4CF4-4AA6-A164-0A644686ED70}"/>
    <cellStyle name="Comma 2 2 2 2 2 3 7 3 4 3" xfId="27930" xr:uid="{0D6129BB-0488-4431-B8E0-9FD046069F52}"/>
    <cellStyle name="Comma 2 2 2 2 2 3 7 3 5" xfId="6026" xr:uid="{D4BE6E4A-2549-4607-A7DD-82F36F0A23EA}"/>
    <cellStyle name="Comma 2 2 2 2 2 3 7 3 5 2" xfId="42534" xr:uid="{B1375395-B961-4DBD-9B4B-0E431B664A25}"/>
    <cellStyle name="Comma 2 2 2 2 2 3 7 3 5 3" xfId="24280" xr:uid="{B4AA8D05-9246-47B1-984C-1DAF5EBFA124}"/>
    <cellStyle name="Comma 2 2 2 2 2 3 7 3 6" xfId="38884" xr:uid="{13A168D1-927F-41B5-A608-B97B278F4294}"/>
    <cellStyle name="Comma 2 2 2 2 2 3 7 3 7" xfId="20630" xr:uid="{260FBE3C-782E-4D7B-8D7F-0F29FE2689F0}"/>
    <cellStyle name="Comma 2 2 2 2 2 3 7 4" xfId="1646" xr:uid="{C81A5D87-70C2-4524-9148-06A7346C88F6}"/>
    <cellStyle name="Comma 2 2 2 2 2 3 7 4 2" xfId="16246" xr:uid="{4C151118-1345-43B8-9C20-2102DDCB0310}"/>
    <cellStyle name="Comma 2 2 2 2 2 3 7 4 2 2" xfId="52754" xr:uid="{F7F1358B-B055-4EA9-91E0-E9EE37F61397}"/>
    <cellStyle name="Comma 2 2 2 2 2 3 7 4 2 3" xfId="34500" xr:uid="{9924F871-680D-454A-AB1D-2B42DB62701A}"/>
    <cellStyle name="Comma 2 2 2 2 2 3 7 4 3" xfId="12596" xr:uid="{2E82608A-B345-4DF9-B1F7-E399EF7B67F3}"/>
    <cellStyle name="Comma 2 2 2 2 2 3 7 4 3 2" xfId="49104" xr:uid="{D7FB7561-BCC7-4649-9C75-8F120C67C430}"/>
    <cellStyle name="Comma 2 2 2 2 2 3 7 4 3 3" xfId="30850" xr:uid="{94CCE1B4-B432-4707-B3F7-E9EDA17578C1}"/>
    <cellStyle name="Comma 2 2 2 2 2 3 7 4 4" xfId="8946" xr:uid="{333D788E-2880-4615-9028-A223DF12924D}"/>
    <cellStyle name="Comma 2 2 2 2 2 3 7 4 4 2" xfId="45454" xr:uid="{494353D1-DFDE-4B29-86D7-9AD6CB8F2633}"/>
    <cellStyle name="Comma 2 2 2 2 2 3 7 4 4 3" xfId="27200" xr:uid="{9494D7B5-B3AF-4B80-BA3F-CED6703187B9}"/>
    <cellStyle name="Comma 2 2 2 2 2 3 7 4 5" xfId="5296" xr:uid="{AB70109C-D8F2-4F95-9B2F-6E05F21D95D2}"/>
    <cellStyle name="Comma 2 2 2 2 2 3 7 4 5 2" xfId="41804" xr:uid="{7D537CB6-E4E5-4C72-A135-12B2563ED61A}"/>
    <cellStyle name="Comma 2 2 2 2 2 3 7 4 5 3" xfId="23550" xr:uid="{893E0E4F-A71A-4CB5-9900-2A855E3F24A2}"/>
    <cellStyle name="Comma 2 2 2 2 2 3 7 4 6" xfId="38154" xr:uid="{E9AEB218-79B1-4CDF-8AEA-2D4BED2306A3}"/>
    <cellStyle name="Comma 2 2 2 2 2 3 7 4 7" xfId="19900" xr:uid="{CEFCA964-A412-4F3C-AF9B-FE73A657EF53}"/>
    <cellStyle name="Comma 2 2 2 2 2 3 7 5" xfId="916" xr:uid="{3FF00C12-F480-4E60-A606-B75B88D04C4C}"/>
    <cellStyle name="Comma 2 2 2 2 2 3 7 5 2" xfId="15516" xr:uid="{0F50C7E5-5751-4735-91D8-132A1CB98220}"/>
    <cellStyle name="Comma 2 2 2 2 2 3 7 5 2 2" xfId="52024" xr:uid="{2EEA422D-0FFD-4AFA-B537-E10B4707D0CA}"/>
    <cellStyle name="Comma 2 2 2 2 2 3 7 5 2 3" xfId="33770" xr:uid="{0E10D8CE-1E75-462C-9E88-4F700AEE75F1}"/>
    <cellStyle name="Comma 2 2 2 2 2 3 7 5 3" xfId="11866" xr:uid="{8D447588-B5E2-43BA-976B-4CE548AB3525}"/>
    <cellStyle name="Comma 2 2 2 2 2 3 7 5 3 2" xfId="48374" xr:uid="{1F0D7F08-FDC0-4190-8327-DD2241EB1C1F}"/>
    <cellStyle name="Comma 2 2 2 2 2 3 7 5 3 3" xfId="30120" xr:uid="{EA69D5EF-5D91-4C7A-9F3A-37B7D1746A68}"/>
    <cellStyle name="Comma 2 2 2 2 2 3 7 5 4" xfId="8216" xr:uid="{A4B61854-98F3-4114-BB88-8C2600584131}"/>
    <cellStyle name="Comma 2 2 2 2 2 3 7 5 4 2" xfId="44724" xr:uid="{6371D610-EAF8-4B56-A4B1-5A9A9CBC9F65}"/>
    <cellStyle name="Comma 2 2 2 2 2 3 7 5 4 3" xfId="26470" xr:uid="{999A45F8-DA8C-4E9E-8E15-53A6ABCA4119}"/>
    <cellStyle name="Comma 2 2 2 2 2 3 7 5 5" xfId="4566" xr:uid="{248C8CDB-D8F6-4F67-AB3B-EFB9A7D7371D}"/>
    <cellStyle name="Comma 2 2 2 2 2 3 7 5 5 2" xfId="41074" xr:uid="{B2FC1FD6-A9E7-4B70-A56D-55B533900F0E}"/>
    <cellStyle name="Comma 2 2 2 2 2 3 7 5 5 3" xfId="22820" xr:uid="{78C13F70-86BB-4A54-ADC8-39F232AE9F82}"/>
    <cellStyle name="Comma 2 2 2 2 2 3 7 5 6" xfId="37424" xr:uid="{4620B9AB-010B-4EA9-9065-88D29BED68F1}"/>
    <cellStyle name="Comma 2 2 2 2 2 3 7 5 7" xfId="19170" xr:uid="{7603186E-CD90-4B0E-9248-F68558D24965}"/>
    <cellStyle name="Comma 2 2 2 2 2 3 7 6" xfId="14786" xr:uid="{E9EBABAD-2AEC-4D40-884B-9BFA1F52E114}"/>
    <cellStyle name="Comma 2 2 2 2 2 3 7 6 2" xfId="51294" xr:uid="{CF94D33B-F14B-43AE-B27B-9DF5472300D1}"/>
    <cellStyle name="Comma 2 2 2 2 2 3 7 6 3" xfId="33040" xr:uid="{DB1F4F62-AC32-4035-80C7-976CA7118256}"/>
    <cellStyle name="Comma 2 2 2 2 2 3 7 7" xfId="11136" xr:uid="{9A2AB7AB-7CDF-47EA-88B3-26B57C4E02B6}"/>
    <cellStyle name="Comma 2 2 2 2 2 3 7 7 2" xfId="47644" xr:uid="{9D4DE014-B754-4DE2-AC89-BC4675B1E949}"/>
    <cellStyle name="Comma 2 2 2 2 2 3 7 7 3" xfId="29390" xr:uid="{FA2BB731-DCB4-460D-A2EC-96E39C63EBBF}"/>
    <cellStyle name="Comma 2 2 2 2 2 3 7 8" xfId="7486" xr:uid="{556992D9-5E48-4615-80CA-64B3E4A7F7E6}"/>
    <cellStyle name="Comma 2 2 2 2 2 3 7 8 2" xfId="43994" xr:uid="{A984AA54-E902-4A6D-A763-09D6FCDF9590}"/>
    <cellStyle name="Comma 2 2 2 2 2 3 7 8 3" xfId="25740" xr:uid="{E98E5F89-7489-440E-AA5C-1FD32C7EB530}"/>
    <cellStyle name="Comma 2 2 2 2 2 3 7 9" xfId="3836" xr:uid="{51D3FD92-0D7A-440C-A780-3FA43355FDC2}"/>
    <cellStyle name="Comma 2 2 2 2 2 3 7 9 2" xfId="40344" xr:uid="{C53FB500-92EA-4F69-AB32-460BE495116D}"/>
    <cellStyle name="Comma 2 2 2 2 2 3 7 9 3" xfId="22090" xr:uid="{E0ACBC10-5256-4CAE-8B22-F6BABAEDC3D6}"/>
    <cellStyle name="Comma 2 2 2 2 2 3 8" xfId="3002" xr:uid="{E8FFBF75-0143-4864-BAE3-0E7991FBE847}"/>
    <cellStyle name="Comma 2 2 2 2 2 3 8 2" xfId="17602" xr:uid="{FFEBD81A-1B96-4704-A516-C69DD9FB64E2}"/>
    <cellStyle name="Comma 2 2 2 2 2 3 8 2 2" xfId="54110" xr:uid="{0B89EE24-892E-4814-902A-8BBAE1747523}"/>
    <cellStyle name="Comma 2 2 2 2 2 3 8 2 3" xfId="35856" xr:uid="{3B75D40B-6F40-43A6-ABB7-7ED438C2AC08}"/>
    <cellStyle name="Comma 2 2 2 2 2 3 8 3" xfId="13952" xr:uid="{2FA60A49-8D30-43B5-9AFE-D36271A27C51}"/>
    <cellStyle name="Comma 2 2 2 2 2 3 8 3 2" xfId="50460" xr:uid="{4922B1ED-9E14-4018-B304-1679CB0E1AA3}"/>
    <cellStyle name="Comma 2 2 2 2 2 3 8 3 3" xfId="32206" xr:uid="{A3758B11-CA77-43D5-ACC4-F3F4732C53D9}"/>
    <cellStyle name="Comma 2 2 2 2 2 3 8 4" xfId="10302" xr:uid="{E0E80163-707A-4E1C-9794-1F5C90A53495}"/>
    <cellStyle name="Comma 2 2 2 2 2 3 8 4 2" xfId="46810" xr:uid="{0B43C537-4AAB-4FAF-A91A-51C2D02564B1}"/>
    <cellStyle name="Comma 2 2 2 2 2 3 8 4 3" xfId="28556" xr:uid="{147ADEDE-162C-4D07-A468-30BF3E71D010}"/>
    <cellStyle name="Comma 2 2 2 2 2 3 8 5" xfId="6652" xr:uid="{B7F42051-39F5-4E5F-A874-D48F4BD02C03}"/>
    <cellStyle name="Comma 2 2 2 2 2 3 8 5 2" xfId="43160" xr:uid="{A3974AC6-7D92-402C-B9E1-626EF956FF53}"/>
    <cellStyle name="Comma 2 2 2 2 2 3 8 5 3" xfId="24906" xr:uid="{8F11A93E-EF94-4449-A36B-AA570487FC95}"/>
    <cellStyle name="Comma 2 2 2 2 2 3 8 6" xfId="39510" xr:uid="{957E25B8-9EC0-40C2-BC12-483AF8C25C6B}"/>
    <cellStyle name="Comma 2 2 2 2 2 3 8 7" xfId="21256" xr:uid="{50D0A7C4-B93A-4C57-A96C-C2CD186DFDCD}"/>
    <cellStyle name="Comma 2 2 2 2 2 3 9" xfId="2272" xr:uid="{449637ED-EA34-4174-8F3A-072C3E25FC0B}"/>
    <cellStyle name="Comma 2 2 2 2 2 3 9 2" xfId="16872" xr:uid="{05B2A93A-604F-4968-AD97-69E503FA11DA}"/>
    <cellStyle name="Comma 2 2 2 2 2 3 9 2 2" xfId="53380" xr:uid="{97B6F504-B339-41A9-BFE0-4DFD6E5EF925}"/>
    <cellStyle name="Comma 2 2 2 2 2 3 9 2 3" xfId="35126" xr:uid="{C780EEB1-9821-4572-A58E-6BACC0CF56ED}"/>
    <cellStyle name="Comma 2 2 2 2 2 3 9 3" xfId="13222" xr:uid="{6D3A07BD-1E01-4F0B-90CA-48C5FB51AF88}"/>
    <cellStyle name="Comma 2 2 2 2 2 3 9 3 2" xfId="49730" xr:uid="{922AA976-49D5-4BEF-A0CA-6DB2026E2CF6}"/>
    <cellStyle name="Comma 2 2 2 2 2 3 9 3 3" xfId="31476" xr:uid="{A7A37E15-D68E-4D0E-953D-77D131D94CA3}"/>
    <cellStyle name="Comma 2 2 2 2 2 3 9 4" xfId="9572" xr:uid="{3E3561F1-09E6-4836-9350-4206DDF44FDB}"/>
    <cellStyle name="Comma 2 2 2 2 2 3 9 4 2" xfId="46080" xr:uid="{2EEC2393-3DEC-4469-8BA4-BEEF7C11D60D}"/>
    <cellStyle name="Comma 2 2 2 2 2 3 9 4 3" xfId="27826" xr:uid="{96A81DEC-F375-4F44-8C59-42C0927C3B2C}"/>
    <cellStyle name="Comma 2 2 2 2 2 3 9 5" xfId="5922" xr:uid="{1804D8D3-2952-43E1-A192-8429C1276AC3}"/>
    <cellStyle name="Comma 2 2 2 2 2 3 9 5 2" xfId="42430" xr:uid="{DDBCBD6C-C7D7-4F6B-95CE-C00EC462F2E5}"/>
    <cellStyle name="Comma 2 2 2 2 2 3 9 5 3" xfId="24176" xr:uid="{9DE9CF7C-62E3-47E4-99F0-4123F9C33157}"/>
    <cellStyle name="Comma 2 2 2 2 2 3 9 6" xfId="38780" xr:uid="{9F25D564-D648-4BB0-BDAC-B638B3780DE0}"/>
    <cellStyle name="Comma 2 2 2 2 2 3 9 7" xfId="20526" xr:uid="{F7A495C6-8B26-4CF5-A34F-03CE6DD71FE2}"/>
    <cellStyle name="Comma 2 2 2 2 2 4" xfId="674" xr:uid="{DDBC67BC-97BF-4A83-AB06-11B74079A669}"/>
    <cellStyle name="Comma 2 2 2 2 2 4 10" xfId="37182" xr:uid="{D2E91BCF-F079-433B-BCC9-70B75A150AE5}"/>
    <cellStyle name="Comma 2 2 2 2 2 4 11" xfId="18928" xr:uid="{9FE39ED4-A781-4BD6-929E-F5C1E501094D}"/>
    <cellStyle name="Comma 2 2 2 2 2 4 2" xfId="3594" xr:uid="{876A241F-CF8B-4348-9851-606FA1C73B1F}"/>
    <cellStyle name="Comma 2 2 2 2 2 4 2 2" xfId="18194" xr:uid="{45E892E4-3659-43B1-8187-745D2BD1E66D}"/>
    <cellStyle name="Comma 2 2 2 2 2 4 2 2 2" xfId="54702" xr:uid="{0A0F7744-5650-4B88-972A-01710BB6048D}"/>
    <cellStyle name="Comma 2 2 2 2 2 4 2 2 3" xfId="36448" xr:uid="{73372AF8-C478-445D-BA3E-C45023A7E9DF}"/>
    <cellStyle name="Comma 2 2 2 2 2 4 2 3" xfId="14544" xr:uid="{8CF36444-6418-4976-A387-6F83BE46C51B}"/>
    <cellStyle name="Comma 2 2 2 2 2 4 2 3 2" xfId="51052" xr:uid="{9380CEAF-43F3-492A-885E-EBB66D61CB01}"/>
    <cellStyle name="Comma 2 2 2 2 2 4 2 3 3" xfId="32798" xr:uid="{8DBA800B-85AA-48AF-9C5A-FA2447A7E00C}"/>
    <cellStyle name="Comma 2 2 2 2 2 4 2 4" xfId="10894" xr:uid="{E4EF1705-EE51-4CDC-920B-20C007784913}"/>
    <cellStyle name="Comma 2 2 2 2 2 4 2 4 2" xfId="47402" xr:uid="{E179BDEC-C66D-4309-B150-FE6FE850EA5A}"/>
    <cellStyle name="Comma 2 2 2 2 2 4 2 4 3" xfId="29148" xr:uid="{9A0168DA-5CB1-4309-A82B-5D08130A7C0C}"/>
    <cellStyle name="Comma 2 2 2 2 2 4 2 5" xfId="7244" xr:uid="{8FD4EBA9-A9C9-41BF-9FA7-DD2078892EDF}"/>
    <cellStyle name="Comma 2 2 2 2 2 4 2 5 2" xfId="43752" xr:uid="{7DDFAF98-1711-4BFC-B772-B624EFB669C3}"/>
    <cellStyle name="Comma 2 2 2 2 2 4 2 5 3" xfId="25498" xr:uid="{82F094E2-12CC-4D08-8F8A-52BAC60A000E}"/>
    <cellStyle name="Comma 2 2 2 2 2 4 2 6" xfId="40102" xr:uid="{6626DFF9-F032-40A7-A9C4-62CBB4377297}"/>
    <cellStyle name="Comma 2 2 2 2 2 4 2 7" xfId="21848" xr:uid="{5F8C1E3C-53E1-43E6-A735-B0662565586E}"/>
    <cellStyle name="Comma 2 2 2 2 2 4 3" xfId="2864" xr:uid="{76D3FF17-8316-45D8-83EF-8708E4F60C9E}"/>
    <cellStyle name="Comma 2 2 2 2 2 4 3 2" xfId="17464" xr:uid="{55AE800E-532C-4F88-9B54-625F685C98BA}"/>
    <cellStyle name="Comma 2 2 2 2 2 4 3 2 2" xfId="53972" xr:uid="{CE290903-A732-452D-8527-608B41747057}"/>
    <cellStyle name="Comma 2 2 2 2 2 4 3 2 3" xfId="35718" xr:uid="{78EECBCA-B936-454A-B04C-11CEEF2CCB7B}"/>
    <cellStyle name="Comma 2 2 2 2 2 4 3 3" xfId="13814" xr:uid="{0FF5BCAF-9A61-463F-9C21-FCFD3E68CF6B}"/>
    <cellStyle name="Comma 2 2 2 2 2 4 3 3 2" xfId="50322" xr:uid="{F72A1663-865A-4EEC-BE2D-6C7B7529DBCC}"/>
    <cellStyle name="Comma 2 2 2 2 2 4 3 3 3" xfId="32068" xr:uid="{A4FE2C4E-22FE-465A-B768-46A933501D7E}"/>
    <cellStyle name="Comma 2 2 2 2 2 4 3 4" xfId="10164" xr:uid="{6E31193E-6684-4EDC-B14F-EBEFFD621795}"/>
    <cellStyle name="Comma 2 2 2 2 2 4 3 4 2" xfId="46672" xr:uid="{91E79FA5-D415-45BE-9DAE-B77823B00468}"/>
    <cellStyle name="Comma 2 2 2 2 2 4 3 4 3" xfId="28418" xr:uid="{75523384-4278-4163-92F3-F95BF10B0B6F}"/>
    <cellStyle name="Comma 2 2 2 2 2 4 3 5" xfId="6514" xr:uid="{6872E753-F159-4310-BEA5-7B955E9D86B6}"/>
    <cellStyle name="Comma 2 2 2 2 2 4 3 5 2" xfId="43022" xr:uid="{40BE2E4D-A603-4ABD-A236-2F6A3910D25D}"/>
    <cellStyle name="Comma 2 2 2 2 2 4 3 5 3" xfId="24768" xr:uid="{7B1A5F20-6EA8-470A-AB5E-36FD59D6C117}"/>
    <cellStyle name="Comma 2 2 2 2 2 4 3 6" xfId="39372" xr:uid="{02D036CA-0ED3-4117-8FAD-C385890895F9}"/>
    <cellStyle name="Comma 2 2 2 2 2 4 3 7" xfId="21118" xr:uid="{57E2A252-AAC0-4F59-B2E0-66DEB2675CF5}"/>
    <cellStyle name="Comma 2 2 2 2 2 4 4" xfId="2134" xr:uid="{0DDFFE0C-B34C-4405-A5C2-EFDA4D4845CD}"/>
    <cellStyle name="Comma 2 2 2 2 2 4 4 2" xfId="16734" xr:uid="{A472234B-F852-4FD6-9EFC-B49E53537653}"/>
    <cellStyle name="Comma 2 2 2 2 2 4 4 2 2" xfId="53242" xr:uid="{04E8F167-DC77-4897-8347-66593038AB07}"/>
    <cellStyle name="Comma 2 2 2 2 2 4 4 2 3" xfId="34988" xr:uid="{6B897D5E-1EFC-4710-94EF-FE6350AEF04B}"/>
    <cellStyle name="Comma 2 2 2 2 2 4 4 3" xfId="13084" xr:uid="{4495040A-5485-48F1-A7F1-9EE1B567DA4E}"/>
    <cellStyle name="Comma 2 2 2 2 2 4 4 3 2" xfId="49592" xr:uid="{909958CB-2203-40D5-82CB-FD1D06FDFDCD}"/>
    <cellStyle name="Comma 2 2 2 2 2 4 4 3 3" xfId="31338" xr:uid="{D72A1B04-D487-4EF0-90D0-CBB83CC3C819}"/>
    <cellStyle name="Comma 2 2 2 2 2 4 4 4" xfId="9434" xr:uid="{CD750FDB-DA12-4933-9218-247A4849D677}"/>
    <cellStyle name="Comma 2 2 2 2 2 4 4 4 2" xfId="45942" xr:uid="{190B81D3-3A3C-4348-9091-A2208878C521}"/>
    <cellStyle name="Comma 2 2 2 2 2 4 4 4 3" xfId="27688" xr:uid="{CE6DA448-3E49-431B-A2E6-3D34780174F0}"/>
    <cellStyle name="Comma 2 2 2 2 2 4 4 5" xfId="5784" xr:uid="{8CE36481-4E8E-4C4C-9953-0E5F7C6B9CFF}"/>
    <cellStyle name="Comma 2 2 2 2 2 4 4 5 2" xfId="42292" xr:uid="{E7E006B4-1B4F-499F-A7C2-F8A91F5D37E4}"/>
    <cellStyle name="Comma 2 2 2 2 2 4 4 5 3" xfId="24038" xr:uid="{E9570395-A6FD-4069-8EFE-9E6AE59EBFF2}"/>
    <cellStyle name="Comma 2 2 2 2 2 4 4 6" xfId="38642" xr:uid="{32989D47-5F0C-43A2-8A84-5A0C97650276}"/>
    <cellStyle name="Comma 2 2 2 2 2 4 4 7" xfId="20388" xr:uid="{9B5F8324-BE7E-48B4-A47F-9F2312BE17BD}"/>
    <cellStyle name="Comma 2 2 2 2 2 4 5" xfId="1404" xr:uid="{4AEA6B29-6D03-446E-A7D0-1362D3FE859A}"/>
    <cellStyle name="Comma 2 2 2 2 2 4 5 2" xfId="16004" xr:uid="{CDEA0B60-FB59-4EE6-BF68-A66EF656A700}"/>
    <cellStyle name="Comma 2 2 2 2 2 4 5 2 2" xfId="52512" xr:uid="{E073EA88-9F2B-4B58-B2C4-E0E7524A6190}"/>
    <cellStyle name="Comma 2 2 2 2 2 4 5 2 3" xfId="34258" xr:uid="{0228A71F-3F43-4972-A1D2-CAF2160E4E47}"/>
    <cellStyle name="Comma 2 2 2 2 2 4 5 3" xfId="12354" xr:uid="{08F3DF69-D342-46F3-9A0D-A7710F71E5B7}"/>
    <cellStyle name="Comma 2 2 2 2 2 4 5 3 2" xfId="48862" xr:uid="{3D401772-F278-4B37-9BDF-B13AA21DDE1E}"/>
    <cellStyle name="Comma 2 2 2 2 2 4 5 3 3" xfId="30608" xr:uid="{DFF56D83-4A95-41E1-916C-39448D32E348}"/>
    <cellStyle name="Comma 2 2 2 2 2 4 5 4" xfId="8704" xr:uid="{10D3A037-8C68-49D3-B959-C817A2884119}"/>
    <cellStyle name="Comma 2 2 2 2 2 4 5 4 2" xfId="45212" xr:uid="{0A88D117-6CDB-4305-9631-FA551205586E}"/>
    <cellStyle name="Comma 2 2 2 2 2 4 5 4 3" xfId="26958" xr:uid="{B6E7DECE-AF86-4D55-91BA-0BC49010EE6C}"/>
    <cellStyle name="Comma 2 2 2 2 2 4 5 5" xfId="5054" xr:uid="{CE839EC5-491C-4175-BB74-8AEC59B28FA2}"/>
    <cellStyle name="Comma 2 2 2 2 2 4 5 5 2" xfId="41562" xr:uid="{C3F5448B-8497-4BBB-A8A3-8A7748AC6A6E}"/>
    <cellStyle name="Comma 2 2 2 2 2 4 5 5 3" xfId="23308" xr:uid="{FB1CB9F8-F2FB-4755-9663-691F4FF76BCD}"/>
    <cellStyle name="Comma 2 2 2 2 2 4 5 6" xfId="37912" xr:uid="{33666EB8-4498-4A15-A113-7D52BA908664}"/>
    <cellStyle name="Comma 2 2 2 2 2 4 5 7" xfId="19658" xr:uid="{637B8CC7-D230-4E4C-A0A5-815269AF59BD}"/>
    <cellStyle name="Comma 2 2 2 2 2 4 6" xfId="15274" xr:uid="{1EACCAE0-C33F-4321-874A-A85B84005399}"/>
    <cellStyle name="Comma 2 2 2 2 2 4 6 2" xfId="51782" xr:uid="{14B9DF38-084E-4E05-9989-E5FD7A24064E}"/>
    <cellStyle name="Comma 2 2 2 2 2 4 6 3" xfId="33528" xr:uid="{EA319930-BDD3-4CF0-8CC6-E24831CB7A5A}"/>
    <cellStyle name="Comma 2 2 2 2 2 4 7" xfId="11624" xr:uid="{C9D5A421-D2E1-49C2-A7A6-E38019E28BB1}"/>
    <cellStyle name="Comma 2 2 2 2 2 4 7 2" xfId="48132" xr:uid="{FB3EF512-2644-44EA-933A-37D28B22806A}"/>
    <cellStyle name="Comma 2 2 2 2 2 4 7 3" xfId="29878" xr:uid="{1805FA79-77A3-4420-B8E9-241483E529B0}"/>
    <cellStyle name="Comma 2 2 2 2 2 4 8" xfId="7974" xr:uid="{97A9F7DB-9576-4A18-8110-0F977D349B7B}"/>
    <cellStyle name="Comma 2 2 2 2 2 4 8 2" xfId="44482" xr:uid="{295A1297-9370-48EB-916A-6364A59DC52A}"/>
    <cellStyle name="Comma 2 2 2 2 2 4 8 3" xfId="26228" xr:uid="{8E584B8D-1FD4-4B57-951C-880369E5A4E3}"/>
    <cellStyle name="Comma 2 2 2 2 2 4 9" xfId="4324" xr:uid="{EC91DCC1-ED83-408F-882F-70D4B986C450}"/>
    <cellStyle name="Comma 2 2 2 2 2 4 9 2" xfId="40832" xr:uid="{F72D0AD5-95D4-46EC-B1CE-B42D1748FE6B}"/>
    <cellStyle name="Comma 2 2 2 2 2 4 9 3" xfId="22578" xr:uid="{D367949E-8681-4F14-9B32-D117FD513B5C}"/>
    <cellStyle name="Comma 2 2 2 2 2 5" xfId="570" xr:uid="{80B93A7B-A613-4566-A6F4-86003EAC2D3F}"/>
    <cellStyle name="Comma 2 2 2 2 2 5 10" xfId="37078" xr:uid="{A3153345-BE2E-431E-A54B-DB04F32AC7B4}"/>
    <cellStyle name="Comma 2 2 2 2 2 5 11" xfId="18824" xr:uid="{D10CE3F1-12D4-43F9-BF3C-43B21EDDAA0D}"/>
    <cellStyle name="Comma 2 2 2 2 2 5 2" xfId="3490" xr:uid="{B8B28F7E-E412-4CE7-BE98-EE39AA22E7A9}"/>
    <cellStyle name="Comma 2 2 2 2 2 5 2 2" xfId="18090" xr:uid="{7CE9FFFE-4B6E-472D-86FD-00EAD0427356}"/>
    <cellStyle name="Comma 2 2 2 2 2 5 2 2 2" xfId="54598" xr:uid="{3D6F75DA-9D44-4A61-907C-7E691142F481}"/>
    <cellStyle name="Comma 2 2 2 2 2 5 2 2 3" xfId="36344" xr:uid="{2071F4B8-FB18-4407-B817-81EF6FBCF95D}"/>
    <cellStyle name="Comma 2 2 2 2 2 5 2 3" xfId="14440" xr:uid="{6750C11B-B879-4AD0-A6D9-FAE78D70EE2E}"/>
    <cellStyle name="Comma 2 2 2 2 2 5 2 3 2" xfId="50948" xr:uid="{A88B8FCE-F551-4131-BEBD-570E58359410}"/>
    <cellStyle name="Comma 2 2 2 2 2 5 2 3 3" xfId="32694" xr:uid="{4D19F036-27D3-4617-882B-9397F96CB294}"/>
    <cellStyle name="Comma 2 2 2 2 2 5 2 4" xfId="10790" xr:uid="{1E8A77C7-226F-4A2A-90A5-FD6824237D20}"/>
    <cellStyle name="Comma 2 2 2 2 2 5 2 4 2" xfId="47298" xr:uid="{65C49BDD-91BD-4842-BEDF-A735240BB251}"/>
    <cellStyle name="Comma 2 2 2 2 2 5 2 4 3" xfId="29044" xr:uid="{D22F484E-0E0B-41FF-B79A-7DF4EE19698C}"/>
    <cellStyle name="Comma 2 2 2 2 2 5 2 5" xfId="7140" xr:uid="{5D116F7B-17E3-472E-BDD9-B78528B5BC4A}"/>
    <cellStyle name="Comma 2 2 2 2 2 5 2 5 2" xfId="43648" xr:uid="{B08B9239-4913-4060-92BC-F4A568CA2C61}"/>
    <cellStyle name="Comma 2 2 2 2 2 5 2 5 3" xfId="25394" xr:uid="{08F0D9FE-D1EB-4872-B4BA-E7691F7EB4D4}"/>
    <cellStyle name="Comma 2 2 2 2 2 5 2 6" xfId="39998" xr:uid="{73B83F41-8F33-41D5-8ADC-E189D1013E89}"/>
    <cellStyle name="Comma 2 2 2 2 2 5 2 7" xfId="21744" xr:uid="{1CA4740F-75A4-40AB-9701-009AB7E83457}"/>
    <cellStyle name="Comma 2 2 2 2 2 5 3" xfId="2760" xr:uid="{F8FCC35A-D21D-4464-A7A9-15BA0C552B9A}"/>
    <cellStyle name="Comma 2 2 2 2 2 5 3 2" xfId="17360" xr:uid="{E3165F16-518A-4082-BB32-EB28853B0B94}"/>
    <cellStyle name="Comma 2 2 2 2 2 5 3 2 2" xfId="53868" xr:uid="{54650EF1-B2EF-4D0D-BA20-DC7773931013}"/>
    <cellStyle name="Comma 2 2 2 2 2 5 3 2 3" xfId="35614" xr:uid="{BB4E82A2-553E-4FCD-BD15-ADE59B0BEBED}"/>
    <cellStyle name="Comma 2 2 2 2 2 5 3 3" xfId="13710" xr:uid="{7294323B-C027-4261-AD5A-AE1ACA657AAF}"/>
    <cellStyle name="Comma 2 2 2 2 2 5 3 3 2" xfId="50218" xr:uid="{FA3E9491-F7D7-412E-B25A-6D82E9B77E8B}"/>
    <cellStyle name="Comma 2 2 2 2 2 5 3 3 3" xfId="31964" xr:uid="{5A214C95-169D-45CD-AAB1-CA95C7C09810}"/>
    <cellStyle name="Comma 2 2 2 2 2 5 3 4" xfId="10060" xr:uid="{91E47F2B-4A32-4B1C-8347-FD9AADF23978}"/>
    <cellStyle name="Comma 2 2 2 2 2 5 3 4 2" xfId="46568" xr:uid="{6C8793B4-28CF-453C-AAB6-3F594DC51F40}"/>
    <cellStyle name="Comma 2 2 2 2 2 5 3 4 3" xfId="28314" xr:uid="{BF3B8F5B-3D9C-4EC8-8D60-2E00F5CD7E21}"/>
    <cellStyle name="Comma 2 2 2 2 2 5 3 5" xfId="6410" xr:uid="{1D5DDD7D-EC66-4D3C-ABB8-51FB40AEAF82}"/>
    <cellStyle name="Comma 2 2 2 2 2 5 3 5 2" xfId="42918" xr:uid="{80AF10D5-B603-46C2-8F70-B14AA39DDECF}"/>
    <cellStyle name="Comma 2 2 2 2 2 5 3 5 3" xfId="24664" xr:uid="{6E3733A9-2188-4798-9A33-269A6526894D}"/>
    <cellStyle name="Comma 2 2 2 2 2 5 3 6" xfId="39268" xr:uid="{E59212ED-4E51-41B6-86EC-FB703C1B37E0}"/>
    <cellStyle name="Comma 2 2 2 2 2 5 3 7" xfId="21014" xr:uid="{F24CAD80-7D08-490B-98D9-7CA67B18B2EC}"/>
    <cellStyle name="Comma 2 2 2 2 2 5 4" xfId="2030" xr:uid="{59503011-F108-494D-8B40-0ED9E405EF05}"/>
    <cellStyle name="Comma 2 2 2 2 2 5 4 2" xfId="16630" xr:uid="{025CE0E8-206B-495D-B05A-8C1E9BCB1649}"/>
    <cellStyle name="Comma 2 2 2 2 2 5 4 2 2" xfId="53138" xr:uid="{2171A1EA-56DE-4DAF-8026-5414DAC9CB26}"/>
    <cellStyle name="Comma 2 2 2 2 2 5 4 2 3" xfId="34884" xr:uid="{C3594E16-8A45-4623-AC8F-9882FDAEA45F}"/>
    <cellStyle name="Comma 2 2 2 2 2 5 4 3" xfId="12980" xr:uid="{D796BEB4-4D7E-4992-B7E3-AA0FCE04D86D}"/>
    <cellStyle name="Comma 2 2 2 2 2 5 4 3 2" xfId="49488" xr:uid="{2C0E866A-F906-457F-A06B-A53CABDBE628}"/>
    <cellStyle name="Comma 2 2 2 2 2 5 4 3 3" xfId="31234" xr:uid="{D2B5C6D6-5BB9-46CB-9083-D74AB53DA444}"/>
    <cellStyle name="Comma 2 2 2 2 2 5 4 4" xfId="9330" xr:uid="{B6861CFA-8DDC-4A98-91DC-A57EA732E813}"/>
    <cellStyle name="Comma 2 2 2 2 2 5 4 4 2" xfId="45838" xr:uid="{12D4A4ED-6E71-4137-BAE3-03F8CDBA9755}"/>
    <cellStyle name="Comma 2 2 2 2 2 5 4 4 3" xfId="27584" xr:uid="{22D2E854-EF09-4BF8-A759-69B3773DF31F}"/>
    <cellStyle name="Comma 2 2 2 2 2 5 4 5" xfId="5680" xr:uid="{10F896D1-2491-435C-8CC2-1B99F8653158}"/>
    <cellStyle name="Comma 2 2 2 2 2 5 4 5 2" xfId="42188" xr:uid="{95FC3518-43E5-46B6-8CB1-2AF32192F3F5}"/>
    <cellStyle name="Comma 2 2 2 2 2 5 4 5 3" xfId="23934" xr:uid="{A12D6D29-42D4-4B1F-A93D-7ACFE7943E7A}"/>
    <cellStyle name="Comma 2 2 2 2 2 5 4 6" xfId="38538" xr:uid="{179C5770-CE87-4C77-BFF8-F0D4FAE663BE}"/>
    <cellStyle name="Comma 2 2 2 2 2 5 4 7" xfId="20284" xr:uid="{6256A2D1-9F4C-44EB-AD9D-46632908B701}"/>
    <cellStyle name="Comma 2 2 2 2 2 5 5" xfId="1300" xr:uid="{3B04CAC7-9E96-4679-9580-E4050D7F4A6B}"/>
    <cellStyle name="Comma 2 2 2 2 2 5 5 2" xfId="15900" xr:uid="{6156AC3E-0D3A-4951-AE99-FFE8E6E487B9}"/>
    <cellStyle name="Comma 2 2 2 2 2 5 5 2 2" xfId="52408" xr:uid="{526F5DC1-AEEB-4687-AE7D-66254FCC0715}"/>
    <cellStyle name="Comma 2 2 2 2 2 5 5 2 3" xfId="34154" xr:uid="{91E17EE9-2E32-4D2A-B549-6D2B5D75BCCE}"/>
    <cellStyle name="Comma 2 2 2 2 2 5 5 3" xfId="12250" xr:uid="{2EC407AE-97E6-4284-B956-09ADF92FE10C}"/>
    <cellStyle name="Comma 2 2 2 2 2 5 5 3 2" xfId="48758" xr:uid="{1F02C935-0072-4EFA-842C-15F066A924C6}"/>
    <cellStyle name="Comma 2 2 2 2 2 5 5 3 3" xfId="30504" xr:uid="{AF3F0D23-A9EE-4DF9-B71A-789846151AB8}"/>
    <cellStyle name="Comma 2 2 2 2 2 5 5 4" xfId="8600" xr:uid="{EAADDF2D-8316-4E8F-AD22-36A90B7BAFE4}"/>
    <cellStyle name="Comma 2 2 2 2 2 5 5 4 2" xfId="45108" xr:uid="{6DEDCEE4-9090-46A9-BB47-78E7BABA31E8}"/>
    <cellStyle name="Comma 2 2 2 2 2 5 5 4 3" xfId="26854" xr:uid="{D91F42D2-2BA0-45CA-89E7-F66D5A2F4FE1}"/>
    <cellStyle name="Comma 2 2 2 2 2 5 5 5" xfId="4950" xr:uid="{E15630CE-8CAF-4FCB-A16F-D16DD61AC039}"/>
    <cellStyle name="Comma 2 2 2 2 2 5 5 5 2" xfId="41458" xr:uid="{E6D74AED-0150-4372-9522-483EBE2A017E}"/>
    <cellStyle name="Comma 2 2 2 2 2 5 5 5 3" xfId="23204" xr:uid="{98F4D7D1-9DA3-4144-AFA0-9EBD8A12D17F}"/>
    <cellStyle name="Comma 2 2 2 2 2 5 5 6" xfId="37808" xr:uid="{585C2930-744C-4F1F-8896-3D81E11FE0C2}"/>
    <cellStyle name="Comma 2 2 2 2 2 5 5 7" xfId="19554" xr:uid="{25B743F5-8FD8-4268-90F4-9E62351E4C13}"/>
    <cellStyle name="Comma 2 2 2 2 2 5 6" xfId="15170" xr:uid="{C68CFD6D-6A10-4941-94DB-056C485C84F3}"/>
    <cellStyle name="Comma 2 2 2 2 2 5 6 2" xfId="51678" xr:uid="{663154AD-5D49-482C-9AED-4CB73D6927C0}"/>
    <cellStyle name="Comma 2 2 2 2 2 5 6 3" xfId="33424" xr:uid="{C7E09CD7-343C-4036-BDD5-7880F3C43A57}"/>
    <cellStyle name="Comma 2 2 2 2 2 5 7" xfId="11520" xr:uid="{E762BE59-1200-416B-A1C0-FD758C79252D}"/>
    <cellStyle name="Comma 2 2 2 2 2 5 7 2" xfId="48028" xr:uid="{446578DD-9775-4A25-A36E-9C401DD08D5A}"/>
    <cellStyle name="Comma 2 2 2 2 2 5 7 3" xfId="29774" xr:uid="{13003F60-DCDB-4E9C-AAD8-7A4412283E8A}"/>
    <cellStyle name="Comma 2 2 2 2 2 5 8" xfId="7870" xr:uid="{AB66F235-61A3-47D3-AD53-E73CAE09181A}"/>
    <cellStyle name="Comma 2 2 2 2 2 5 8 2" xfId="44378" xr:uid="{5B000002-8CB9-49FA-B107-3F4CF66CBE62}"/>
    <cellStyle name="Comma 2 2 2 2 2 5 8 3" xfId="26124" xr:uid="{278B1B8B-A781-484D-B8D8-790765C61EB2}"/>
    <cellStyle name="Comma 2 2 2 2 2 5 9" xfId="4220" xr:uid="{46F0352F-2972-42F5-98F4-9337331E0029}"/>
    <cellStyle name="Comma 2 2 2 2 2 5 9 2" xfId="40728" xr:uid="{E392431C-731F-43FB-A090-07934EFE5D9C}"/>
    <cellStyle name="Comma 2 2 2 2 2 5 9 3" xfId="22474" xr:uid="{A4FF36D5-4110-4A5B-A3BC-8D329430F390}"/>
    <cellStyle name="Comma 2 2 2 2 2 6" xfId="466" xr:uid="{217FE32F-3933-4A54-ACB6-92E7ED828950}"/>
    <cellStyle name="Comma 2 2 2 2 2 6 10" xfId="36974" xr:uid="{BEAE240E-4509-447B-A79C-45021D5ECF21}"/>
    <cellStyle name="Comma 2 2 2 2 2 6 11" xfId="18720" xr:uid="{F175E898-CE10-4491-B8D7-BA49795725E3}"/>
    <cellStyle name="Comma 2 2 2 2 2 6 2" xfId="3386" xr:uid="{B2ABC044-0CF0-4F7F-8936-E1590CA46BCC}"/>
    <cellStyle name="Comma 2 2 2 2 2 6 2 2" xfId="17986" xr:uid="{784AB08F-6147-4A04-B46F-1A361C2DD707}"/>
    <cellStyle name="Comma 2 2 2 2 2 6 2 2 2" xfId="54494" xr:uid="{17C9D1B2-EB60-4317-AB71-337ECE2ADAE3}"/>
    <cellStyle name="Comma 2 2 2 2 2 6 2 2 3" xfId="36240" xr:uid="{2F4943E8-FA31-41FD-AEC2-6939C0AB6C6B}"/>
    <cellStyle name="Comma 2 2 2 2 2 6 2 3" xfId="14336" xr:uid="{841B27F4-A677-435B-B29E-8C3A74C296B3}"/>
    <cellStyle name="Comma 2 2 2 2 2 6 2 3 2" xfId="50844" xr:uid="{38A7601C-2B80-474F-B83C-612E457AE885}"/>
    <cellStyle name="Comma 2 2 2 2 2 6 2 3 3" xfId="32590" xr:uid="{F8F757C7-3C02-417D-BF48-4C2D0270B486}"/>
    <cellStyle name="Comma 2 2 2 2 2 6 2 4" xfId="10686" xr:uid="{A7CBFC03-79D9-44DB-91E8-B981E34A874E}"/>
    <cellStyle name="Comma 2 2 2 2 2 6 2 4 2" xfId="47194" xr:uid="{B298D606-5B59-47EC-88C5-7D27C4A31EBD}"/>
    <cellStyle name="Comma 2 2 2 2 2 6 2 4 3" xfId="28940" xr:uid="{3D489D51-6DDD-4D10-A85C-78371BABCDAB}"/>
    <cellStyle name="Comma 2 2 2 2 2 6 2 5" xfId="7036" xr:uid="{31B20A90-27D1-4D54-ADBB-2DD498D775B0}"/>
    <cellStyle name="Comma 2 2 2 2 2 6 2 5 2" xfId="43544" xr:uid="{DBA404F6-685E-40BE-8477-750990CB2EFD}"/>
    <cellStyle name="Comma 2 2 2 2 2 6 2 5 3" xfId="25290" xr:uid="{E2815F10-C5E1-420B-9DA3-A0FDC12DDAFD}"/>
    <cellStyle name="Comma 2 2 2 2 2 6 2 6" xfId="39894" xr:uid="{810532D9-C785-422D-A81C-6B20A8E8B119}"/>
    <cellStyle name="Comma 2 2 2 2 2 6 2 7" xfId="21640" xr:uid="{4C26F993-728E-46C2-B549-D54C5F271B1B}"/>
    <cellStyle name="Comma 2 2 2 2 2 6 3" xfId="2656" xr:uid="{51FDBA5F-1EE4-4075-B0E4-9821D2CEF8A6}"/>
    <cellStyle name="Comma 2 2 2 2 2 6 3 2" xfId="17256" xr:uid="{A0C70476-9862-41D7-8788-AF4ED97BCAB5}"/>
    <cellStyle name="Comma 2 2 2 2 2 6 3 2 2" xfId="53764" xr:uid="{CC24D513-4FC8-42A8-AD79-C62A5EAB417F}"/>
    <cellStyle name="Comma 2 2 2 2 2 6 3 2 3" xfId="35510" xr:uid="{90ED0291-83C4-417F-8AA8-01A015DC597B}"/>
    <cellStyle name="Comma 2 2 2 2 2 6 3 3" xfId="13606" xr:uid="{96137BB8-9389-4452-94FE-F942055C2351}"/>
    <cellStyle name="Comma 2 2 2 2 2 6 3 3 2" xfId="50114" xr:uid="{34F79E53-7B1F-4ACB-93F1-DB061BD51000}"/>
    <cellStyle name="Comma 2 2 2 2 2 6 3 3 3" xfId="31860" xr:uid="{541DEBDF-E992-4762-AB68-7742860981C7}"/>
    <cellStyle name="Comma 2 2 2 2 2 6 3 4" xfId="9956" xr:uid="{CBF4978B-4702-4C49-8CB0-2D01939A5290}"/>
    <cellStyle name="Comma 2 2 2 2 2 6 3 4 2" xfId="46464" xr:uid="{2C53E14A-E7C9-4CFF-8F8B-EFEBE584A9C5}"/>
    <cellStyle name="Comma 2 2 2 2 2 6 3 4 3" xfId="28210" xr:uid="{EE4B258D-98D8-4206-91DD-42293A03E0F0}"/>
    <cellStyle name="Comma 2 2 2 2 2 6 3 5" xfId="6306" xr:uid="{26A40671-48CA-4FC4-9001-1550F04E039B}"/>
    <cellStyle name="Comma 2 2 2 2 2 6 3 5 2" xfId="42814" xr:uid="{8847DC50-975F-41A3-AF75-58C23AA8EDB0}"/>
    <cellStyle name="Comma 2 2 2 2 2 6 3 5 3" xfId="24560" xr:uid="{91AD75C8-FAA3-4117-9AD3-18BA04BEA79B}"/>
    <cellStyle name="Comma 2 2 2 2 2 6 3 6" xfId="39164" xr:uid="{FBA09416-CA0C-4FB3-B9B9-7B78D75251B9}"/>
    <cellStyle name="Comma 2 2 2 2 2 6 3 7" xfId="20910" xr:uid="{3BB2DC95-668D-4314-A325-AD6F39876AD1}"/>
    <cellStyle name="Comma 2 2 2 2 2 6 4" xfId="1926" xr:uid="{1000F9B6-CBBD-4F03-B29D-AD4D7C4F51C9}"/>
    <cellStyle name="Comma 2 2 2 2 2 6 4 2" xfId="16526" xr:uid="{844AAE96-93BC-4BF3-A4D1-F69C805D51A3}"/>
    <cellStyle name="Comma 2 2 2 2 2 6 4 2 2" xfId="53034" xr:uid="{14858A5B-4E7B-49E8-8172-5654CF3E08FA}"/>
    <cellStyle name="Comma 2 2 2 2 2 6 4 2 3" xfId="34780" xr:uid="{34120D85-5306-41D3-B90C-64C6623C7388}"/>
    <cellStyle name="Comma 2 2 2 2 2 6 4 3" xfId="12876" xr:uid="{C5BB4E63-B555-49EF-A85A-DAC879A03FCC}"/>
    <cellStyle name="Comma 2 2 2 2 2 6 4 3 2" xfId="49384" xr:uid="{8F9C41F0-0388-4E2A-87B5-E3E6A871C188}"/>
    <cellStyle name="Comma 2 2 2 2 2 6 4 3 3" xfId="31130" xr:uid="{8B98A7A5-C25A-44B0-B6BD-046F9F3B9B0B}"/>
    <cellStyle name="Comma 2 2 2 2 2 6 4 4" xfId="9226" xr:uid="{FF72D4CF-4070-43F0-9BFD-998E596FE608}"/>
    <cellStyle name="Comma 2 2 2 2 2 6 4 4 2" xfId="45734" xr:uid="{9490B9A3-FF46-4B72-B02C-F8B6337E5C62}"/>
    <cellStyle name="Comma 2 2 2 2 2 6 4 4 3" xfId="27480" xr:uid="{89783037-14F0-4D81-9562-E2971474C170}"/>
    <cellStyle name="Comma 2 2 2 2 2 6 4 5" xfId="5576" xr:uid="{7B879081-F559-4109-BFF9-8ECDFA1DB53E}"/>
    <cellStyle name="Comma 2 2 2 2 2 6 4 5 2" xfId="42084" xr:uid="{DE8EE2CD-AF9D-4B07-BF49-927D1247ADE2}"/>
    <cellStyle name="Comma 2 2 2 2 2 6 4 5 3" xfId="23830" xr:uid="{0D14464A-E7AD-4008-8E2B-6C8F51748EAB}"/>
    <cellStyle name="Comma 2 2 2 2 2 6 4 6" xfId="38434" xr:uid="{B6C15081-1945-4950-8EAA-28A19D2A2639}"/>
    <cellStyle name="Comma 2 2 2 2 2 6 4 7" xfId="20180" xr:uid="{F787D80F-34AD-4CF6-A744-189F888427FF}"/>
    <cellStyle name="Comma 2 2 2 2 2 6 5" xfId="1196" xr:uid="{63FBC50F-3851-49FB-AC6C-91B99729267A}"/>
    <cellStyle name="Comma 2 2 2 2 2 6 5 2" xfId="15796" xr:uid="{7A06B4C9-BBBC-4C5D-BD1A-C942E7BE2A1E}"/>
    <cellStyle name="Comma 2 2 2 2 2 6 5 2 2" xfId="52304" xr:uid="{FBADDF53-06CF-468E-A23C-FA6FF43A0D13}"/>
    <cellStyle name="Comma 2 2 2 2 2 6 5 2 3" xfId="34050" xr:uid="{8E631F8A-F5E8-4CBF-9E64-4F27C3853E6C}"/>
    <cellStyle name="Comma 2 2 2 2 2 6 5 3" xfId="12146" xr:uid="{E1DC64D7-CB82-4E40-80C0-DB4045B3B03C}"/>
    <cellStyle name="Comma 2 2 2 2 2 6 5 3 2" xfId="48654" xr:uid="{596DF3F4-40A2-47BE-A577-ECEA474128FA}"/>
    <cellStyle name="Comma 2 2 2 2 2 6 5 3 3" xfId="30400" xr:uid="{50545B12-BC31-4830-B5A2-6611A3308C93}"/>
    <cellStyle name="Comma 2 2 2 2 2 6 5 4" xfId="8496" xr:uid="{0A289580-4642-4256-9DAA-16DCD0FEDBC8}"/>
    <cellStyle name="Comma 2 2 2 2 2 6 5 4 2" xfId="45004" xr:uid="{4EDE17E5-FBD9-4CC9-AD2D-89D5B2C90D28}"/>
    <cellStyle name="Comma 2 2 2 2 2 6 5 4 3" xfId="26750" xr:uid="{566FABE4-209D-4A36-A691-429207D94CA9}"/>
    <cellStyle name="Comma 2 2 2 2 2 6 5 5" xfId="4846" xr:uid="{F6478A90-6439-45D0-A4AA-863F767A2C55}"/>
    <cellStyle name="Comma 2 2 2 2 2 6 5 5 2" xfId="41354" xr:uid="{738A8E83-07DD-4574-95C0-B59F62C58720}"/>
    <cellStyle name="Comma 2 2 2 2 2 6 5 5 3" xfId="23100" xr:uid="{94F21E2C-F872-4FED-8FD7-0856C35604C4}"/>
    <cellStyle name="Comma 2 2 2 2 2 6 5 6" xfId="37704" xr:uid="{CF053653-4AE1-471F-A795-3F1450A8B425}"/>
    <cellStyle name="Comma 2 2 2 2 2 6 5 7" xfId="19450" xr:uid="{BCF52C0E-5FFE-4AC1-B05F-90EEF27D7518}"/>
    <cellStyle name="Comma 2 2 2 2 2 6 6" xfId="15066" xr:uid="{1409D635-C86C-49E0-9577-78AEFD3F5145}"/>
    <cellStyle name="Comma 2 2 2 2 2 6 6 2" xfId="51574" xr:uid="{BD4BD6BB-4644-4A37-88CC-C343A63DCCB5}"/>
    <cellStyle name="Comma 2 2 2 2 2 6 6 3" xfId="33320" xr:uid="{E725795F-A089-4183-8E7E-470E6C15E87D}"/>
    <cellStyle name="Comma 2 2 2 2 2 6 7" xfId="11416" xr:uid="{DB800F37-3B39-4944-A694-8D82CFE5B048}"/>
    <cellStyle name="Comma 2 2 2 2 2 6 7 2" xfId="47924" xr:uid="{9EA3899F-EAEF-498E-8F38-D158B662DF34}"/>
    <cellStyle name="Comma 2 2 2 2 2 6 7 3" xfId="29670" xr:uid="{32DBC94D-5F85-4587-86F8-25DF8A16B0F4}"/>
    <cellStyle name="Comma 2 2 2 2 2 6 8" xfId="7766" xr:uid="{4B467FFE-A689-4BFE-8EE6-348618D5E017}"/>
    <cellStyle name="Comma 2 2 2 2 2 6 8 2" xfId="44274" xr:uid="{2BE7B3FA-1FDD-4B63-B285-43B85406F52E}"/>
    <cellStyle name="Comma 2 2 2 2 2 6 8 3" xfId="26020" xr:uid="{353D3A3A-16A3-4A32-B394-7B2CB31F4EE6}"/>
    <cellStyle name="Comma 2 2 2 2 2 6 9" xfId="4116" xr:uid="{C444BF0C-F9F1-49F8-81E6-334CAE93F299}"/>
    <cellStyle name="Comma 2 2 2 2 2 6 9 2" xfId="40624" xr:uid="{DA0AC4FC-2E26-4FF0-9788-30C59142BE16}"/>
    <cellStyle name="Comma 2 2 2 2 2 6 9 3" xfId="22370" xr:uid="{F2362361-E3A5-46D1-BFF2-CD7EE42D23E2}"/>
    <cellStyle name="Comma 2 2 2 2 2 7" xfId="362" xr:uid="{DFB365C6-3895-4E35-A206-43C590C172A1}"/>
    <cellStyle name="Comma 2 2 2 2 2 7 10" xfId="36870" xr:uid="{A3ACF37D-0A6A-49A2-B084-E3E616DB4921}"/>
    <cellStyle name="Comma 2 2 2 2 2 7 11" xfId="18616" xr:uid="{538D9E92-2B7C-4E8E-BBF0-EDA7C1B767C8}"/>
    <cellStyle name="Comma 2 2 2 2 2 7 2" xfId="3282" xr:uid="{42A79F11-DAAD-4542-9181-69DE572FDC73}"/>
    <cellStyle name="Comma 2 2 2 2 2 7 2 2" xfId="17882" xr:uid="{34D5F09E-4320-41CF-BD14-60FB829C2D17}"/>
    <cellStyle name="Comma 2 2 2 2 2 7 2 2 2" xfId="54390" xr:uid="{53F0ACED-CABA-4C7A-A786-8D8458455003}"/>
    <cellStyle name="Comma 2 2 2 2 2 7 2 2 3" xfId="36136" xr:uid="{C6B4C0DC-AC7D-4244-B653-E9BF44961D54}"/>
    <cellStyle name="Comma 2 2 2 2 2 7 2 3" xfId="14232" xr:uid="{D7C1DD5F-F3B9-4A76-A69E-08BC6301F2E8}"/>
    <cellStyle name="Comma 2 2 2 2 2 7 2 3 2" xfId="50740" xr:uid="{9BA9B36E-71C8-4381-8DD0-D67548BB26AC}"/>
    <cellStyle name="Comma 2 2 2 2 2 7 2 3 3" xfId="32486" xr:uid="{B27206AD-8885-4900-B9EA-13F6C856AE43}"/>
    <cellStyle name="Comma 2 2 2 2 2 7 2 4" xfId="10582" xr:uid="{5A690B5A-47E5-4FE9-B472-538ED3E1AC5F}"/>
    <cellStyle name="Comma 2 2 2 2 2 7 2 4 2" xfId="47090" xr:uid="{94625E1C-0DBB-4C15-A28F-3AB504E9D016}"/>
    <cellStyle name="Comma 2 2 2 2 2 7 2 4 3" xfId="28836" xr:uid="{DDCD94ED-F201-4587-9924-8680C87B86D1}"/>
    <cellStyle name="Comma 2 2 2 2 2 7 2 5" xfId="6932" xr:uid="{6F8C89AF-C6E8-48D2-BBF3-0023E352E4C6}"/>
    <cellStyle name="Comma 2 2 2 2 2 7 2 5 2" xfId="43440" xr:uid="{FA9D77D9-9A18-437E-A8BB-4997C4751528}"/>
    <cellStyle name="Comma 2 2 2 2 2 7 2 5 3" xfId="25186" xr:uid="{EF31329E-2087-4C60-9E6E-2BBCC4A8909A}"/>
    <cellStyle name="Comma 2 2 2 2 2 7 2 6" xfId="39790" xr:uid="{38271AD9-7FDF-4C4B-8C9A-3A46181CFEA6}"/>
    <cellStyle name="Comma 2 2 2 2 2 7 2 7" xfId="21536" xr:uid="{127456D9-B6BE-4631-9793-D137FAC5EFB0}"/>
    <cellStyle name="Comma 2 2 2 2 2 7 3" xfId="2552" xr:uid="{1A2E15F4-9E6E-4EF5-A63D-065C7FEB9B4F}"/>
    <cellStyle name="Comma 2 2 2 2 2 7 3 2" xfId="17152" xr:uid="{ED08E707-EF4C-4710-8D24-42A36D342487}"/>
    <cellStyle name="Comma 2 2 2 2 2 7 3 2 2" xfId="53660" xr:uid="{E5DFFE52-3E25-4DC0-B6C2-52D1F31F7F60}"/>
    <cellStyle name="Comma 2 2 2 2 2 7 3 2 3" xfId="35406" xr:uid="{A3008AA2-2AF4-48D2-BBB1-1C2E7D252CAA}"/>
    <cellStyle name="Comma 2 2 2 2 2 7 3 3" xfId="13502" xr:uid="{2C3A5ED0-7860-43C6-B4E3-D24EBA013BF9}"/>
    <cellStyle name="Comma 2 2 2 2 2 7 3 3 2" xfId="50010" xr:uid="{24517A9D-26AE-46C4-9172-1D205F144DE9}"/>
    <cellStyle name="Comma 2 2 2 2 2 7 3 3 3" xfId="31756" xr:uid="{59078782-C295-4ECB-A343-B0D13AE8FA6B}"/>
    <cellStyle name="Comma 2 2 2 2 2 7 3 4" xfId="9852" xr:uid="{25B444C0-D5B0-42EE-BA2C-6901610F8A74}"/>
    <cellStyle name="Comma 2 2 2 2 2 7 3 4 2" xfId="46360" xr:uid="{0BCA63D9-6489-4F04-AB85-BB94CB097DDB}"/>
    <cellStyle name="Comma 2 2 2 2 2 7 3 4 3" xfId="28106" xr:uid="{6F661D56-68A4-4110-8716-5C027D46C088}"/>
    <cellStyle name="Comma 2 2 2 2 2 7 3 5" xfId="6202" xr:uid="{731E2DA5-A30A-4A28-B292-0F13207B3F7D}"/>
    <cellStyle name="Comma 2 2 2 2 2 7 3 5 2" xfId="42710" xr:uid="{60EC17CD-1DE3-4D5D-8692-BBB508206C60}"/>
    <cellStyle name="Comma 2 2 2 2 2 7 3 5 3" xfId="24456" xr:uid="{FCB43D9F-AE07-471D-8DF1-782F5704D812}"/>
    <cellStyle name="Comma 2 2 2 2 2 7 3 6" xfId="39060" xr:uid="{BA998177-787C-4D11-AA2D-771CD832C658}"/>
    <cellStyle name="Comma 2 2 2 2 2 7 3 7" xfId="20806" xr:uid="{9110147F-F15B-4A05-A56D-5032830C735C}"/>
    <cellStyle name="Comma 2 2 2 2 2 7 4" xfId="1822" xr:uid="{DBC59EB3-E7B3-48EB-9750-D070ADD9547B}"/>
    <cellStyle name="Comma 2 2 2 2 2 7 4 2" xfId="16422" xr:uid="{23C24D7A-C222-41AA-9FD5-5EF3E53474B4}"/>
    <cellStyle name="Comma 2 2 2 2 2 7 4 2 2" xfId="52930" xr:uid="{78848EF3-E92E-44B3-9A94-50C07B2244C9}"/>
    <cellStyle name="Comma 2 2 2 2 2 7 4 2 3" xfId="34676" xr:uid="{B39A182C-9094-44C1-907F-283D4538477C}"/>
    <cellStyle name="Comma 2 2 2 2 2 7 4 3" xfId="12772" xr:uid="{EDF37859-1DCF-4224-A739-75E72BECAD49}"/>
    <cellStyle name="Comma 2 2 2 2 2 7 4 3 2" xfId="49280" xr:uid="{F3A947A0-29B8-47B6-948B-F4471ABFFB91}"/>
    <cellStyle name="Comma 2 2 2 2 2 7 4 3 3" xfId="31026" xr:uid="{CA5C1AEF-BA1D-40CA-8032-73AF46E79565}"/>
    <cellStyle name="Comma 2 2 2 2 2 7 4 4" xfId="9122" xr:uid="{4D268E17-2186-4C68-A291-C058708E0DA2}"/>
    <cellStyle name="Comma 2 2 2 2 2 7 4 4 2" xfId="45630" xr:uid="{25300A54-3863-4754-B725-31C57F675AF3}"/>
    <cellStyle name="Comma 2 2 2 2 2 7 4 4 3" xfId="27376" xr:uid="{9B1BBC52-7CD8-4650-8C4C-F585BD79CD61}"/>
    <cellStyle name="Comma 2 2 2 2 2 7 4 5" xfId="5472" xr:uid="{6F360CBE-82C3-4F03-9048-34234EB343DF}"/>
    <cellStyle name="Comma 2 2 2 2 2 7 4 5 2" xfId="41980" xr:uid="{C6ED0F72-BB65-4695-A128-A9603D9A808F}"/>
    <cellStyle name="Comma 2 2 2 2 2 7 4 5 3" xfId="23726" xr:uid="{BCCE6E91-D72E-4D36-914B-09C3712F700E}"/>
    <cellStyle name="Comma 2 2 2 2 2 7 4 6" xfId="38330" xr:uid="{2F68102A-1E6B-46C3-97B4-2D85169D6820}"/>
    <cellStyle name="Comma 2 2 2 2 2 7 4 7" xfId="20076" xr:uid="{A3FB549B-E9D0-42E8-B034-2BC1780A9DD2}"/>
    <cellStyle name="Comma 2 2 2 2 2 7 5" xfId="1092" xr:uid="{26331D5D-A056-49AE-B1C6-536A9C2B87CE}"/>
    <cellStyle name="Comma 2 2 2 2 2 7 5 2" xfId="15692" xr:uid="{52F24CFB-FEE7-4F1E-9EB5-E5A3A09F665D}"/>
    <cellStyle name="Comma 2 2 2 2 2 7 5 2 2" xfId="52200" xr:uid="{6545B6A1-F3BE-4FAA-B164-6B90CF26504C}"/>
    <cellStyle name="Comma 2 2 2 2 2 7 5 2 3" xfId="33946" xr:uid="{75D62F9B-9935-46F0-8FB3-64900340ABDB}"/>
    <cellStyle name="Comma 2 2 2 2 2 7 5 3" xfId="12042" xr:uid="{B617579B-98B0-4A72-BA51-C5B4B146A5E4}"/>
    <cellStyle name="Comma 2 2 2 2 2 7 5 3 2" xfId="48550" xr:uid="{1EDB0810-1C84-4247-B813-E3D7C81FCADA}"/>
    <cellStyle name="Comma 2 2 2 2 2 7 5 3 3" xfId="30296" xr:uid="{772AEDFC-01D1-45ED-9D1A-C345D37BB46B}"/>
    <cellStyle name="Comma 2 2 2 2 2 7 5 4" xfId="8392" xr:uid="{420A1377-F4F0-40ED-B477-49190A716826}"/>
    <cellStyle name="Comma 2 2 2 2 2 7 5 4 2" xfId="44900" xr:uid="{25826C9B-BCF9-4F09-B4B2-CCFF97418762}"/>
    <cellStyle name="Comma 2 2 2 2 2 7 5 4 3" xfId="26646" xr:uid="{4101D796-4987-4E7C-8B3C-142C10217423}"/>
    <cellStyle name="Comma 2 2 2 2 2 7 5 5" xfId="4742" xr:uid="{07716469-5C1E-4CAF-8395-5FD7F2AE0ACF}"/>
    <cellStyle name="Comma 2 2 2 2 2 7 5 5 2" xfId="41250" xr:uid="{918838BB-5E18-43D9-8D8A-A5629768793A}"/>
    <cellStyle name="Comma 2 2 2 2 2 7 5 5 3" xfId="22996" xr:uid="{85D24574-9765-4AB9-BBF9-F3665F45379A}"/>
    <cellStyle name="Comma 2 2 2 2 2 7 5 6" xfId="37600" xr:uid="{62CFF569-7770-447F-8FF0-D20D0CB56438}"/>
    <cellStyle name="Comma 2 2 2 2 2 7 5 7" xfId="19346" xr:uid="{8C5A6915-9519-4C30-BD04-6B22FFE6DAFC}"/>
    <cellStyle name="Comma 2 2 2 2 2 7 6" xfId="14962" xr:uid="{16AE4A53-7AB0-4720-BE4C-72B190435999}"/>
    <cellStyle name="Comma 2 2 2 2 2 7 6 2" xfId="51470" xr:uid="{17ECD653-19ED-453E-B4BD-9AB1DB84814B}"/>
    <cellStyle name="Comma 2 2 2 2 2 7 6 3" xfId="33216" xr:uid="{B06C03F9-A970-4D16-B02A-CB7B5037598B}"/>
    <cellStyle name="Comma 2 2 2 2 2 7 7" xfId="11312" xr:uid="{A0408454-F790-4F8E-A3A2-59CBCBFAB2B3}"/>
    <cellStyle name="Comma 2 2 2 2 2 7 7 2" xfId="47820" xr:uid="{C3A9D521-FF14-4394-ADD4-96594AB58EE7}"/>
    <cellStyle name="Comma 2 2 2 2 2 7 7 3" xfId="29566" xr:uid="{A8EA5631-2A37-4769-9B51-6B9358FA3E00}"/>
    <cellStyle name="Comma 2 2 2 2 2 7 8" xfId="7662" xr:uid="{88E961AA-B82C-47DE-BCA6-3C235E2DD307}"/>
    <cellStyle name="Comma 2 2 2 2 2 7 8 2" xfId="44170" xr:uid="{9855CBA6-FDEC-476C-ACA2-9CD1963FE469}"/>
    <cellStyle name="Comma 2 2 2 2 2 7 8 3" xfId="25916" xr:uid="{D9FB0089-91A6-47CC-9D75-6D45A8673F49}"/>
    <cellStyle name="Comma 2 2 2 2 2 7 9" xfId="4012" xr:uid="{0752B5AF-E101-42B2-B4D2-495DE606916F}"/>
    <cellStyle name="Comma 2 2 2 2 2 7 9 2" xfId="40520" xr:uid="{B7F2BB17-5EDD-43B9-9E54-D332498E8F2F}"/>
    <cellStyle name="Comma 2 2 2 2 2 7 9 3" xfId="22266" xr:uid="{FD7A4D23-9603-4D39-BAC5-A1984AF520E5}"/>
    <cellStyle name="Comma 2 2 2 2 2 8" xfId="258" xr:uid="{3B7DC997-EDDF-4239-88F5-C4E39C4F632B}"/>
    <cellStyle name="Comma 2 2 2 2 2 8 10" xfId="36766" xr:uid="{B714AFE8-E8BC-4BFD-ABE2-0744A9A35BED}"/>
    <cellStyle name="Comma 2 2 2 2 2 8 11" xfId="18512" xr:uid="{A194228E-950F-4238-BCC8-0CF5EEF1AF99}"/>
    <cellStyle name="Comma 2 2 2 2 2 8 2" xfId="3178" xr:uid="{6CC817C2-C096-4266-A206-EE990DA87B52}"/>
    <cellStyle name="Comma 2 2 2 2 2 8 2 2" xfId="17778" xr:uid="{AFDF3EA8-9024-4601-AFED-F516A1240350}"/>
    <cellStyle name="Comma 2 2 2 2 2 8 2 2 2" xfId="54286" xr:uid="{5E2DB7D2-3CE9-43C7-8A50-BFC5F1F3D60A}"/>
    <cellStyle name="Comma 2 2 2 2 2 8 2 2 3" xfId="36032" xr:uid="{A14B18DF-CC88-4FFA-82E0-7BB21F8F3221}"/>
    <cellStyle name="Comma 2 2 2 2 2 8 2 3" xfId="14128" xr:uid="{C95BEFBC-B951-4C37-A0C6-E6ABBBF7B915}"/>
    <cellStyle name="Comma 2 2 2 2 2 8 2 3 2" xfId="50636" xr:uid="{F03B40CE-85E1-4F68-9A15-C432EA958508}"/>
    <cellStyle name="Comma 2 2 2 2 2 8 2 3 3" xfId="32382" xr:uid="{17D10834-79AA-4D80-99D1-4E04E202317D}"/>
    <cellStyle name="Comma 2 2 2 2 2 8 2 4" xfId="10478" xr:uid="{118767C4-0E81-4FEB-9C2D-CB99F0D60660}"/>
    <cellStyle name="Comma 2 2 2 2 2 8 2 4 2" xfId="46986" xr:uid="{F904371E-3C32-4243-B26E-9A492CA92F5C}"/>
    <cellStyle name="Comma 2 2 2 2 2 8 2 4 3" xfId="28732" xr:uid="{07A3E446-E99D-4F79-A56C-A85FCECA6EBF}"/>
    <cellStyle name="Comma 2 2 2 2 2 8 2 5" xfId="6828" xr:uid="{1C57E241-BD32-4E78-87C3-6F9C937B330F}"/>
    <cellStyle name="Comma 2 2 2 2 2 8 2 5 2" xfId="43336" xr:uid="{77EBBF3F-0A5C-442D-AFF5-AE4AF35EE648}"/>
    <cellStyle name="Comma 2 2 2 2 2 8 2 5 3" xfId="25082" xr:uid="{47FC6754-CD3E-4AD3-96D1-9B17ACB5D484}"/>
    <cellStyle name="Comma 2 2 2 2 2 8 2 6" xfId="39686" xr:uid="{4C1C0155-CE49-4EB7-9943-E0F395363339}"/>
    <cellStyle name="Comma 2 2 2 2 2 8 2 7" xfId="21432" xr:uid="{1BD8BC64-6A56-47C0-BD7E-5E193B2E6675}"/>
    <cellStyle name="Comma 2 2 2 2 2 8 3" xfId="2448" xr:uid="{F39866E8-8E75-415F-A530-DD6449A3E3C8}"/>
    <cellStyle name="Comma 2 2 2 2 2 8 3 2" xfId="17048" xr:uid="{6BBF1514-5EBB-49F7-A592-9DDDF1E9B4E8}"/>
    <cellStyle name="Comma 2 2 2 2 2 8 3 2 2" xfId="53556" xr:uid="{77C88945-085D-466F-8A48-09C20FAC6D17}"/>
    <cellStyle name="Comma 2 2 2 2 2 8 3 2 3" xfId="35302" xr:uid="{962493A0-B8C9-473F-871C-85CFA8A62C08}"/>
    <cellStyle name="Comma 2 2 2 2 2 8 3 3" xfId="13398" xr:uid="{5E919E2B-6A65-45BB-9056-94E58826B106}"/>
    <cellStyle name="Comma 2 2 2 2 2 8 3 3 2" xfId="49906" xr:uid="{7C901163-6BB4-49F7-B13B-0CF49A0AF8C2}"/>
    <cellStyle name="Comma 2 2 2 2 2 8 3 3 3" xfId="31652" xr:uid="{EC7E16B9-628B-41D3-8131-36F9720F501D}"/>
    <cellStyle name="Comma 2 2 2 2 2 8 3 4" xfId="9748" xr:uid="{0FE44FAD-969D-478F-BF9F-774836BD1543}"/>
    <cellStyle name="Comma 2 2 2 2 2 8 3 4 2" xfId="46256" xr:uid="{FD3CB295-DDBF-4AE6-A110-65A08EF4F3E3}"/>
    <cellStyle name="Comma 2 2 2 2 2 8 3 4 3" xfId="28002" xr:uid="{DD33B1EF-CE5D-4A0C-A8D8-C57A6A90E217}"/>
    <cellStyle name="Comma 2 2 2 2 2 8 3 5" xfId="6098" xr:uid="{F98537FC-D96B-4765-A8BA-EDC82CB94197}"/>
    <cellStyle name="Comma 2 2 2 2 2 8 3 5 2" xfId="42606" xr:uid="{7EA33A1E-0D62-4754-BAA5-9DB0B2391DE6}"/>
    <cellStyle name="Comma 2 2 2 2 2 8 3 5 3" xfId="24352" xr:uid="{A3327F5C-E08E-4B44-BEAA-447FB16E4531}"/>
    <cellStyle name="Comma 2 2 2 2 2 8 3 6" xfId="38956" xr:uid="{C203D1B2-6708-4352-9FFE-20356C4C4A91}"/>
    <cellStyle name="Comma 2 2 2 2 2 8 3 7" xfId="20702" xr:uid="{1973EB31-C3F2-4954-B607-7C3849AEE27F}"/>
    <cellStyle name="Comma 2 2 2 2 2 8 4" xfId="1718" xr:uid="{52763119-5013-48B8-B8B6-4920EEB43242}"/>
    <cellStyle name="Comma 2 2 2 2 2 8 4 2" xfId="16318" xr:uid="{4E5DEE3E-1767-48C0-B11A-D0BB9CFAD3B8}"/>
    <cellStyle name="Comma 2 2 2 2 2 8 4 2 2" xfId="52826" xr:uid="{0A821780-74F3-4BB3-829C-79A3043A9F6E}"/>
    <cellStyle name="Comma 2 2 2 2 2 8 4 2 3" xfId="34572" xr:uid="{4DA1D10D-CDB8-445C-A888-951115A4E0E6}"/>
    <cellStyle name="Comma 2 2 2 2 2 8 4 3" xfId="12668" xr:uid="{87F7BC43-26F6-4F54-81E3-7E340F960093}"/>
    <cellStyle name="Comma 2 2 2 2 2 8 4 3 2" xfId="49176" xr:uid="{743C12F5-1CD6-47FD-BF4C-7C5E778E068F}"/>
    <cellStyle name="Comma 2 2 2 2 2 8 4 3 3" xfId="30922" xr:uid="{FF36667B-B45C-486F-9C58-4FF4E0ADE82E}"/>
    <cellStyle name="Comma 2 2 2 2 2 8 4 4" xfId="9018" xr:uid="{170CDAF8-B733-49DC-9E40-CC9CEC435BDA}"/>
    <cellStyle name="Comma 2 2 2 2 2 8 4 4 2" xfId="45526" xr:uid="{BA3A8594-0A96-4BD1-B3F1-6D8B71E106C8}"/>
    <cellStyle name="Comma 2 2 2 2 2 8 4 4 3" xfId="27272" xr:uid="{BB85C9E3-A500-4EB1-96DF-D40C12111A44}"/>
    <cellStyle name="Comma 2 2 2 2 2 8 4 5" xfId="5368" xr:uid="{94E054BB-5221-4A79-8F5C-D41AF4282A97}"/>
    <cellStyle name="Comma 2 2 2 2 2 8 4 5 2" xfId="41876" xr:uid="{9B4695B3-5A32-426E-93C7-3D02ADC07903}"/>
    <cellStyle name="Comma 2 2 2 2 2 8 4 5 3" xfId="23622" xr:uid="{855DE06F-7217-4938-82DC-00CCD025251B}"/>
    <cellStyle name="Comma 2 2 2 2 2 8 4 6" xfId="38226" xr:uid="{1DF2A274-5428-4628-B8FA-8017A9FCA91E}"/>
    <cellStyle name="Comma 2 2 2 2 2 8 4 7" xfId="19972" xr:uid="{0DF23A49-942D-4F37-8177-00248F57ABCD}"/>
    <cellStyle name="Comma 2 2 2 2 2 8 5" xfId="988" xr:uid="{BC99FB40-A0CF-4EDA-8877-5F13102CDF5A}"/>
    <cellStyle name="Comma 2 2 2 2 2 8 5 2" xfId="15588" xr:uid="{467275CD-EBFB-4371-959D-98DED54827DB}"/>
    <cellStyle name="Comma 2 2 2 2 2 8 5 2 2" xfId="52096" xr:uid="{7E7DA3C9-839E-4A8B-9AE7-C558EAA948E9}"/>
    <cellStyle name="Comma 2 2 2 2 2 8 5 2 3" xfId="33842" xr:uid="{5C0B00EB-022E-4D23-8D3F-592D66B556A2}"/>
    <cellStyle name="Comma 2 2 2 2 2 8 5 3" xfId="11938" xr:uid="{F4A44BAA-DBF7-4360-A77A-A2CB3C74AABC}"/>
    <cellStyle name="Comma 2 2 2 2 2 8 5 3 2" xfId="48446" xr:uid="{42DEAC01-37FB-491B-A663-16A06E459A62}"/>
    <cellStyle name="Comma 2 2 2 2 2 8 5 3 3" xfId="30192" xr:uid="{FB965AE4-2FED-42E2-BA51-647697FBA052}"/>
    <cellStyle name="Comma 2 2 2 2 2 8 5 4" xfId="8288" xr:uid="{44A09ED0-3FA8-4B87-B7C9-74FB9F5893B3}"/>
    <cellStyle name="Comma 2 2 2 2 2 8 5 4 2" xfId="44796" xr:uid="{479785C3-9C97-4FEC-9AE8-BF0C65C1AF9B}"/>
    <cellStyle name="Comma 2 2 2 2 2 8 5 4 3" xfId="26542" xr:uid="{79FCCE5B-D279-44CD-BB50-FA4B90779F89}"/>
    <cellStyle name="Comma 2 2 2 2 2 8 5 5" xfId="4638" xr:uid="{D1B8FEF6-33DA-4214-A796-3579084C2774}"/>
    <cellStyle name="Comma 2 2 2 2 2 8 5 5 2" xfId="41146" xr:uid="{14F58861-0630-453C-85C4-AFADEA8197E7}"/>
    <cellStyle name="Comma 2 2 2 2 2 8 5 5 3" xfId="22892" xr:uid="{DB627519-E6BB-4ECA-AB56-AC2D396E5925}"/>
    <cellStyle name="Comma 2 2 2 2 2 8 5 6" xfId="37496" xr:uid="{32C960BD-21E6-44A7-8ADE-69E709B5FB1E}"/>
    <cellStyle name="Comma 2 2 2 2 2 8 5 7" xfId="19242" xr:uid="{0F8B2A53-6163-43BD-878C-84ECADF72375}"/>
    <cellStyle name="Comma 2 2 2 2 2 8 6" xfId="14858" xr:uid="{BEFEF1DC-5F84-4C78-8FA4-27B728256789}"/>
    <cellStyle name="Comma 2 2 2 2 2 8 6 2" xfId="51366" xr:uid="{2293DED6-B4B9-4DCD-93FF-25939F81C86F}"/>
    <cellStyle name="Comma 2 2 2 2 2 8 6 3" xfId="33112" xr:uid="{0B2C8DB4-1368-4BEF-9C25-2782CAEDE2E9}"/>
    <cellStyle name="Comma 2 2 2 2 2 8 7" xfId="11208" xr:uid="{1EA71763-AF60-42DC-9878-CF512ED9031F}"/>
    <cellStyle name="Comma 2 2 2 2 2 8 7 2" xfId="47716" xr:uid="{0D0DA6A7-458F-4009-B7D0-3E4669E363D6}"/>
    <cellStyle name="Comma 2 2 2 2 2 8 7 3" xfId="29462" xr:uid="{A502FA96-C742-488F-8E55-775ABFBD7CB4}"/>
    <cellStyle name="Comma 2 2 2 2 2 8 8" xfId="7558" xr:uid="{45E0B1C8-C9F2-4453-B1EA-78BFE6E7CB54}"/>
    <cellStyle name="Comma 2 2 2 2 2 8 8 2" xfId="44066" xr:uid="{5AF42A7C-36FD-4391-A7A5-A9AF45938024}"/>
    <cellStyle name="Comma 2 2 2 2 2 8 8 3" xfId="25812" xr:uid="{6DD64B43-6057-426D-AD0D-D7CE6848119F}"/>
    <cellStyle name="Comma 2 2 2 2 2 8 9" xfId="3908" xr:uid="{E92E74BE-A03A-4405-8A04-75CF9DC2DD64}"/>
    <cellStyle name="Comma 2 2 2 2 2 8 9 2" xfId="40416" xr:uid="{1D3C071E-2D4D-4A10-828C-B42B556A04A9}"/>
    <cellStyle name="Comma 2 2 2 2 2 8 9 3" xfId="22162" xr:uid="{D929B612-B241-49DC-BB5C-1D6D8268E7BD}"/>
    <cellStyle name="Comma 2 2 2 2 2 9" xfId="154" xr:uid="{36820ADA-C749-4E65-A364-9139D836E76E}"/>
    <cellStyle name="Comma 2 2 2 2 2 9 10" xfId="36662" xr:uid="{FB464477-EA3F-4D18-9AF1-050A075B1A4A}"/>
    <cellStyle name="Comma 2 2 2 2 2 9 11" xfId="18408" xr:uid="{5E56DF6C-8802-43C1-9CCB-0BBA38D613A2}"/>
    <cellStyle name="Comma 2 2 2 2 2 9 2" xfId="3074" xr:uid="{7795743B-2382-4B5F-A7CC-DD053F29AC4C}"/>
    <cellStyle name="Comma 2 2 2 2 2 9 2 2" xfId="17674" xr:uid="{FA1A8B46-2FE0-43BC-963D-E1FE04ED81D6}"/>
    <cellStyle name="Comma 2 2 2 2 2 9 2 2 2" xfId="54182" xr:uid="{BFD0FA7C-42ED-4288-BC51-43CCFE79EF6A}"/>
    <cellStyle name="Comma 2 2 2 2 2 9 2 2 3" xfId="35928" xr:uid="{7862E770-EF05-459F-B561-E3F53D46256F}"/>
    <cellStyle name="Comma 2 2 2 2 2 9 2 3" xfId="14024" xr:uid="{4A8A020A-2A60-4026-897A-05593EDF1A52}"/>
    <cellStyle name="Comma 2 2 2 2 2 9 2 3 2" xfId="50532" xr:uid="{0F59358F-9F5A-4E32-9B3E-D93527F93F91}"/>
    <cellStyle name="Comma 2 2 2 2 2 9 2 3 3" xfId="32278" xr:uid="{4618F4A2-B159-42EB-BF6E-D0B8F4CAA430}"/>
    <cellStyle name="Comma 2 2 2 2 2 9 2 4" xfId="10374" xr:uid="{0F14AFEB-0659-49AF-AC83-32FE9F80A287}"/>
    <cellStyle name="Comma 2 2 2 2 2 9 2 4 2" xfId="46882" xr:uid="{7DD364BC-42E9-4C08-9194-C0033E60FBDA}"/>
    <cellStyle name="Comma 2 2 2 2 2 9 2 4 3" xfId="28628" xr:uid="{C455AC8D-B5E8-44EF-9069-D8A7FE9A6BBB}"/>
    <cellStyle name="Comma 2 2 2 2 2 9 2 5" xfId="6724" xr:uid="{C21A3E48-5CAF-489F-BF35-3682A59B79AA}"/>
    <cellStyle name="Comma 2 2 2 2 2 9 2 5 2" xfId="43232" xr:uid="{11FD88CC-1D81-488B-88F8-59551CBEDFA3}"/>
    <cellStyle name="Comma 2 2 2 2 2 9 2 5 3" xfId="24978" xr:uid="{35306A0C-C38D-42A9-B7FB-EF72A4B4F0FA}"/>
    <cellStyle name="Comma 2 2 2 2 2 9 2 6" xfId="39582" xr:uid="{666EACF2-6D11-4393-A528-C74E7FDDCC83}"/>
    <cellStyle name="Comma 2 2 2 2 2 9 2 7" xfId="21328" xr:uid="{5055BF7E-C7F8-4FF6-B5A8-2D31B922DD8E}"/>
    <cellStyle name="Comma 2 2 2 2 2 9 3" xfId="2344" xr:uid="{57DC8FB1-4D3F-41F7-B622-5C625FEA9EAD}"/>
    <cellStyle name="Comma 2 2 2 2 2 9 3 2" xfId="16944" xr:uid="{E484E4E8-E007-4BC3-A66E-69B4F2EA978C}"/>
    <cellStyle name="Comma 2 2 2 2 2 9 3 2 2" xfId="53452" xr:uid="{49EB66BD-89A4-49BE-B9C0-B5ADCD3B525E}"/>
    <cellStyle name="Comma 2 2 2 2 2 9 3 2 3" xfId="35198" xr:uid="{9647E3B9-5766-4809-9E60-B7CBFEFFB62D}"/>
    <cellStyle name="Comma 2 2 2 2 2 9 3 3" xfId="13294" xr:uid="{B16387BA-F496-4EC4-B012-E5DD7AD33193}"/>
    <cellStyle name="Comma 2 2 2 2 2 9 3 3 2" xfId="49802" xr:uid="{B18BDE83-FBDB-43D2-96A1-7E4F04645024}"/>
    <cellStyle name="Comma 2 2 2 2 2 9 3 3 3" xfId="31548" xr:uid="{0E84552E-A742-4163-8EB0-56EE3BC75C25}"/>
    <cellStyle name="Comma 2 2 2 2 2 9 3 4" xfId="9644" xr:uid="{E2AAAD4E-D3F9-48DA-9B9E-3A923FC329B8}"/>
    <cellStyle name="Comma 2 2 2 2 2 9 3 4 2" xfId="46152" xr:uid="{713B3FDB-89E1-448F-BCB8-5C2110C92F15}"/>
    <cellStyle name="Comma 2 2 2 2 2 9 3 4 3" xfId="27898" xr:uid="{8495BB7A-0CAD-4DF9-A274-FDED7F1DDFA9}"/>
    <cellStyle name="Comma 2 2 2 2 2 9 3 5" xfId="5994" xr:uid="{DEEE6711-5B2E-4722-8578-124E4C60ADCF}"/>
    <cellStyle name="Comma 2 2 2 2 2 9 3 5 2" xfId="42502" xr:uid="{F1E67C39-8189-49BB-82BC-5F4388B49DC5}"/>
    <cellStyle name="Comma 2 2 2 2 2 9 3 5 3" xfId="24248" xr:uid="{80EA9B06-635F-4B7F-B1EF-AAB8C8429184}"/>
    <cellStyle name="Comma 2 2 2 2 2 9 3 6" xfId="38852" xr:uid="{761D8244-0D3D-44D6-AE90-C9361BE18548}"/>
    <cellStyle name="Comma 2 2 2 2 2 9 3 7" xfId="20598" xr:uid="{73C38A2C-09A0-4514-8697-C42F65EBC2E9}"/>
    <cellStyle name="Comma 2 2 2 2 2 9 4" xfId="1614" xr:uid="{0CDB95B0-5183-4CD6-A1C9-EEAF9C3B768F}"/>
    <cellStyle name="Comma 2 2 2 2 2 9 4 2" xfId="16214" xr:uid="{7C75A979-D8A0-4405-9EE3-E1A8AB3566B8}"/>
    <cellStyle name="Comma 2 2 2 2 2 9 4 2 2" xfId="52722" xr:uid="{2A5C9D32-BFAF-482B-8843-B30B499AB88A}"/>
    <cellStyle name="Comma 2 2 2 2 2 9 4 2 3" xfId="34468" xr:uid="{DBB4F096-1F38-4BDC-9EC9-E2A967678BF8}"/>
    <cellStyle name="Comma 2 2 2 2 2 9 4 3" xfId="12564" xr:uid="{EF4EA64F-15BB-4297-B5F8-AB0447B2E96D}"/>
    <cellStyle name="Comma 2 2 2 2 2 9 4 3 2" xfId="49072" xr:uid="{8519994E-5AB5-4E11-B27F-4F3FFF16F72E}"/>
    <cellStyle name="Comma 2 2 2 2 2 9 4 3 3" xfId="30818" xr:uid="{CF9493A9-F9D6-48D7-AED9-CB4C5222DFC7}"/>
    <cellStyle name="Comma 2 2 2 2 2 9 4 4" xfId="8914" xr:uid="{32806733-AFD0-4D1B-BBF8-F6D81A820EDD}"/>
    <cellStyle name="Comma 2 2 2 2 2 9 4 4 2" xfId="45422" xr:uid="{8BA046F0-429E-4A74-BFB6-81D1C30EA113}"/>
    <cellStyle name="Comma 2 2 2 2 2 9 4 4 3" xfId="27168" xr:uid="{FBF30300-1CF1-43F3-AC2B-20A9D6366540}"/>
    <cellStyle name="Comma 2 2 2 2 2 9 4 5" xfId="5264" xr:uid="{83254FEA-F382-4711-A089-327608E14025}"/>
    <cellStyle name="Comma 2 2 2 2 2 9 4 5 2" xfId="41772" xr:uid="{D13B5A46-634C-48E1-B4B9-8C0BF4D408CB}"/>
    <cellStyle name="Comma 2 2 2 2 2 9 4 5 3" xfId="23518" xr:uid="{A19A88C9-435A-4637-A79E-A9E7C827836F}"/>
    <cellStyle name="Comma 2 2 2 2 2 9 4 6" xfId="38122" xr:uid="{6C69BA82-CA39-4EF4-8AC6-AA891C7BEB18}"/>
    <cellStyle name="Comma 2 2 2 2 2 9 4 7" xfId="19868" xr:uid="{A1993DAF-0B87-4541-97A4-2490916D913A}"/>
    <cellStyle name="Comma 2 2 2 2 2 9 5" xfId="884" xr:uid="{6A681776-77B5-4C4B-84F0-BFABC80CEBA7}"/>
    <cellStyle name="Comma 2 2 2 2 2 9 5 2" xfId="15484" xr:uid="{4664BC20-86B8-4B17-9288-B290336A76C4}"/>
    <cellStyle name="Comma 2 2 2 2 2 9 5 2 2" xfId="51992" xr:uid="{70416D64-E144-4A21-97BC-94A5E10252C9}"/>
    <cellStyle name="Comma 2 2 2 2 2 9 5 2 3" xfId="33738" xr:uid="{4C4FF4B6-D68C-441F-94EB-96C170569979}"/>
    <cellStyle name="Comma 2 2 2 2 2 9 5 3" xfId="11834" xr:uid="{9AD67655-7C5D-4FB7-87F5-526B19F7BB8F}"/>
    <cellStyle name="Comma 2 2 2 2 2 9 5 3 2" xfId="48342" xr:uid="{103FA253-4C46-45BF-926B-B0BCC3A3CBC9}"/>
    <cellStyle name="Comma 2 2 2 2 2 9 5 3 3" xfId="30088" xr:uid="{DD934941-F566-43A2-AB89-AB71B583A94B}"/>
    <cellStyle name="Comma 2 2 2 2 2 9 5 4" xfId="8184" xr:uid="{00510B82-A913-48CD-89F7-3A889EC73A16}"/>
    <cellStyle name="Comma 2 2 2 2 2 9 5 4 2" xfId="44692" xr:uid="{A422D58A-9CC3-49A1-AA36-DB0B7AAE9126}"/>
    <cellStyle name="Comma 2 2 2 2 2 9 5 4 3" xfId="26438" xr:uid="{BFFC3A87-08E8-4A6D-97B4-D9E562F50000}"/>
    <cellStyle name="Comma 2 2 2 2 2 9 5 5" xfId="4534" xr:uid="{04059068-5E55-423D-A15B-87452BC87157}"/>
    <cellStyle name="Comma 2 2 2 2 2 9 5 5 2" xfId="41042" xr:uid="{F457DF83-98A4-4A06-B9CA-F1358AB37C4E}"/>
    <cellStyle name="Comma 2 2 2 2 2 9 5 5 3" xfId="22788" xr:uid="{F52CE851-961E-4A37-BCEC-BF52E4B51C99}"/>
    <cellStyle name="Comma 2 2 2 2 2 9 5 6" xfId="37392" xr:uid="{43C48BEC-3A1C-4FA2-91BC-5B278808F037}"/>
    <cellStyle name="Comma 2 2 2 2 2 9 5 7" xfId="19138" xr:uid="{1D516C03-34B3-4201-80C5-3383BB28E748}"/>
    <cellStyle name="Comma 2 2 2 2 2 9 6" xfId="14754" xr:uid="{3BF928A7-C328-4DBD-B3E6-736BB6AD89D1}"/>
    <cellStyle name="Comma 2 2 2 2 2 9 6 2" xfId="51262" xr:uid="{470DD7FF-D0EC-40F7-A730-7A914AE78AE8}"/>
    <cellStyle name="Comma 2 2 2 2 2 9 6 3" xfId="33008" xr:uid="{D5B06469-9DF7-46A0-97BB-1231014BF61B}"/>
    <cellStyle name="Comma 2 2 2 2 2 9 7" xfId="11104" xr:uid="{67D073AA-7AF2-4E83-9783-576A126E3A65}"/>
    <cellStyle name="Comma 2 2 2 2 2 9 7 2" xfId="47612" xr:uid="{63FA4EDB-898E-4B6B-84EC-D6A8831843DA}"/>
    <cellStyle name="Comma 2 2 2 2 2 9 7 3" xfId="29358" xr:uid="{94A0A140-F94B-4DA5-A9AA-18E447772120}"/>
    <cellStyle name="Comma 2 2 2 2 2 9 8" xfId="7454" xr:uid="{23F24251-ED73-41B1-A7BE-588FEEBDB3E4}"/>
    <cellStyle name="Comma 2 2 2 2 2 9 8 2" xfId="43962" xr:uid="{0CCC2455-9932-4266-A140-7187697E7632}"/>
    <cellStyle name="Comma 2 2 2 2 2 9 8 3" xfId="25708" xr:uid="{EA32172E-1B21-4021-80B6-FDDDB4970CE3}"/>
    <cellStyle name="Comma 2 2 2 2 2 9 9" xfId="3804" xr:uid="{FC236057-63F5-433D-B2DB-2BE6BA233412}"/>
    <cellStyle name="Comma 2 2 2 2 2 9 9 2" xfId="40312" xr:uid="{AA6C9CC9-D7E7-44D8-B8C4-594FDC44B9E5}"/>
    <cellStyle name="Comma 2 2 2 2 2 9 9 3" xfId="22058" xr:uid="{63588132-5017-4798-B289-D5C868F8EDA0}"/>
    <cellStyle name="Comma 2 2 2 2 20" xfId="18288" xr:uid="{598CD361-4C55-4F2B-A486-D7519F54E549}"/>
    <cellStyle name="Comma 2 2 2 2 3" xfId="98" xr:uid="{9A91558D-988C-4205-80F5-A759106F389F}"/>
    <cellStyle name="Comma 2 2 2 2 3 10" xfId="1558" xr:uid="{A0E223D7-E628-43A6-8A15-6E1F1938499E}"/>
    <cellStyle name="Comma 2 2 2 2 3 10 2" xfId="16158" xr:uid="{ECCA5316-5275-488F-B3F3-2B5399BF7A83}"/>
    <cellStyle name="Comma 2 2 2 2 3 10 2 2" xfId="52666" xr:uid="{C134786B-75BD-4A49-9879-64F4ABC3F342}"/>
    <cellStyle name="Comma 2 2 2 2 3 10 2 3" xfId="34412" xr:uid="{385D547B-198D-481A-9C6C-D1DF7FEDE7B7}"/>
    <cellStyle name="Comma 2 2 2 2 3 10 3" xfId="12508" xr:uid="{376CDB6A-DAD2-4C14-9034-ED0DFDE420E8}"/>
    <cellStyle name="Comma 2 2 2 2 3 10 3 2" xfId="49016" xr:uid="{A7B3FBBD-6EFA-43A7-9DBE-174D3D3D050E}"/>
    <cellStyle name="Comma 2 2 2 2 3 10 3 3" xfId="30762" xr:uid="{7DAAAB0C-21F8-49C1-98E1-E8FEB933B261}"/>
    <cellStyle name="Comma 2 2 2 2 3 10 4" xfId="8858" xr:uid="{DA92097C-0ABA-4A56-B557-8E4D84664D13}"/>
    <cellStyle name="Comma 2 2 2 2 3 10 4 2" xfId="45366" xr:uid="{91C76B78-CFF0-4D08-AA07-BA2070CFC792}"/>
    <cellStyle name="Comma 2 2 2 2 3 10 4 3" xfId="27112" xr:uid="{86D6FD80-995D-42B5-974A-95346A265352}"/>
    <cellStyle name="Comma 2 2 2 2 3 10 5" xfId="5208" xr:uid="{74135D0A-6BCD-49E4-BA03-15D5F50B571C}"/>
    <cellStyle name="Comma 2 2 2 2 3 10 5 2" xfId="41716" xr:uid="{A9064FFE-EEAA-4187-960A-E273C5B3C27A}"/>
    <cellStyle name="Comma 2 2 2 2 3 10 5 3" xfId="23462" xr:uid="{17C4F6F5-1C33-42C6-B169-66B2B7DF7A5E}"/>
    <cellStyle name="Comma 2 2 2 2 3 10 6" xfId="38066" xr:uid="{6BE9DB7D-EC79-4E3E-908C-4AD062CC9877}"/>
    <cellStyle name="Comma 2 2 2 2 3 10 7" xfId="19812" xr:uid="{237AE094-BEAE-48D9-B363-983C20FDB672}"/>
    <cellStyle name="Comma 2 2 2 2 3 11" xfId="828" xr:uid="{6F3F10E4-14A8-4F3B-BCCE-ED045CABB16F}"/>
    <cellStyle name="Comma 2 2 2 2 3 11 2" xfId="15428" xr:uid="{AE181AFF-B27D-40C1-9EBB-B7C0F0AB726B}"/>
    <cellStyle name="Comma 2 2 2 2 3 11 2 2" xfId="51936" xr:uid="{2F3C344D-87B9-4F12-BC7A-1CC97A0C2082}"/>
    <cellStyle name="Comma 2 2 2 2 3 11 2 3" xfId="33682" xr:uid="{ADE330F6-7FF1-4A89-BAF8-AD75F0D06768}"/>
    <cellStyle name="Comma 2 2 2 2 3 11 3" xfId="11778" xr:uid="{C317FBF0-11CD-496F-8CD8-B5B628AA2A2C}"/>
    <cellStyle name="Comma 2 2 2 2 3 11 3 2" xfId="48286" xr:uid="{5F26C362-F518-4B48-8539-05DB2FFF5739}"/>
    <cellStyle name="Comma 2 2 2 2 3 11 3 3" xfId="30032" xr:uid="{7713831F-61B5-4AF7-9B46-E20538F5D229}"/>
    <cellStyle name="Comma 2 2 2 2 3 11 4" xfId="8128" xr:uid="{EAADEEDC-B5C4-4B5E-B8F5-6E258B760A8A}"/>
    <cellStyle name="Comma 2 2 2 2 3 11 4 2" xfId="44636" xr:uid="{CA1A22A8-C735-4010-B4B3-46F39EF38546}"/>
    <cellStyle name="Comma 2 2 2 2 3 11 4 3" xfId="26382" xr:uid="{53C5B308-BAA2-4903-A675-779A26F2932D}"/>
    <cellStyle name="Comma 2 2 2 2 3 11 5" xfId="4478" xr:uid="{A2A2C933-0839-4AD6-9C29-BBDD1A9CE1D6}"/>
    <cellStyle name="Comma 2 2 2 2 3 11 5 2" xfId="40986" xr:uid="{73218130-5C5D-4AD3-A1D7-6016E170A8BA}"/>
    <cellStyle name="Comma 2 2 2 2 3 11 5 3" xfId="22732" xr:uid="{5E312966-E539-487D-A951-DD49F6645EA1}"/>
    <cellStyle name="Comma 2 2 2 2 3 11 6" xfId="37336" xr:uid="{645D54BA-D09D-4912-BBB2-C7CF0F28F614}"/>
    <cellStyle name="Comma 2 2 2 2 3 11 7" xfId="19082" xr:uid="{00C82D85-D26B-4E9B-985E-CF24878787E8}"/>
    <cellStyle name="Comma 2 2 2 2 3 12" xfId="14698" xr:uid="{55501341-53C7-4226-A122-BA1030A50846}"/>
    <cellStyle name="Comma 2 2 2 2 3 12 2" xfId="51206" xr:uid="{79282A71-A66B-4608-940D-9489104C83D5}"/>
    <cellStyle name="Comma 2 2 2 2 3 12 3" xfId="32952" xr:uid="{7FE28BB9-D163-4449-B88D-F31777BEE005}"/>
    <cellStyle name="Comma 2 2 2 2 3 13" xfId="11048" xr:uid="{DE1776D0-952D-4254-BFB4-ADE3DAB4ED31}"/>
    <cellStyle name="Comma 2 2 2 2 3 13 2" xfId="47556" xr:uid="{3FA5F6DA-D1FD-4DC9-830F-2C0123BEDC33}"/>
    <cellStyle name="Comma 2 2 2 2 3 13 3" xfId="29302" xr:uid="{E8C1B3AA-AE2C-48EE-9464-820F41BD3E2F}"/>
    <cellStyle name="Comma 2 2 2 2 3 14" xfId="7398" xr:uid="{AA814ACC-9483-4BC9-9347-D6AE5923D14A}"/>
    <cellStyle name="Comma 2 2 2 2 3 14 2" xfId="43906" xr:uid="{43A75B41-AD3C-431D-B643-9E3EB8EAC2F8}"/>
    <cellStyle name="Comma 2 2 2 2 3 14 3" xfId="25652" xr:uid="{873D4E48-EC85-4DBC-9F74-C576731DB042}"/>
    <cellStyle name="Comma 2 2 2 2 3 15" xfId="3748" xr:uid="{F5C6DBEA-2822-42F8-834E-CAB0A3E2AC7E}"/>
    <cellStyle name="Comma 2 2 2 2 3 15 2" xfId="40256" xr:uid="{7B4AFEFC-9A32-4F08-9672-C300C2D05233}"/>
    <cellStyle name="Comma 2 2 2 2 3 15 3" xfId="22002" xr:uid="{663E8DAA-DA59-4F77-B484-9599C2F1B106}"/>
    <cellStyle name="Comma 2 2 2 2 3 16" xfId="36606" xr:uid="{A4C7DC4F-9B08-48BB-B671-A0F49AAE29BB}"/>
    <cellStyle name="Comma 2 2 2 2 3 17" xfId="18352" xr:uid="{D92D45A1-C895-4F45-BE06-97AA55264AC3}"/>
    <cellStyle name="Comma 2 2 2 2 3 2" xfId="722" xr:uid="{34720579-2B22-46C1-BADF-F8CAFCDA281B}"/>
    <cellStyle name="Comma 2 2 2 2 3 2 10" xfId="37230" xr:uid="{9CB6B28A-9645-48BF-8D48-EF644CA92F42}"/>
    <cellStyle name="Comma 2 2 2 2 3 2 11" xfId="18976" xr:uid="{3661E2B4-F844-4776-A964-4E67CF564549}"/>
    <cellStyle name="Comma 2 2 2 2 3 2 2" xfId="3642" xr:uid="{4D1490BC-103B-490F-A876-FEF5DF8B06AD}"/>
    <cellStyle name="Comma 2 2 2 2 3 2 2 2" xfId="18242" xr:uid="{6E54EAE6-568C-4815-987A-5B97ED89B92C}"/>
    <cellStyle name="Comma 2 2 2 2 3 2 2 2 2" xfId="54750" xr:uid="{8108BE76-D3BC-4F12-8136-E5CA036C663E}"/>
    <cellStyle name="Comma 2 2 2 2 3 2 2 2 3" xfId="36496" xr:uid="{2110DA72-5926-4DF5-B553-636E93AAA172}"/>
    <cellStyle name="Comma 2 2 2 2 3 2 2 3" xfId="14592" xr:uid="{0605BD17-0DC5-4187-8E1A-B75303B8C8FF}"/>
    <cellStyle name="Comma 2 2 2 2 3 2 2 3 2" xfId="51100" xr:uid="{3E4EB114-DF28-425A-87F4-C9E94C3B1ACE}"/>
    <cellStyle name="Comma 2 2 2 2 3 2 2 3 3" xfId="32846" xr:uid="{7C164851-8EFE-47B1-ABF3-CA9F3C7DEFB7}"/>
    <cellStyle name="Comma 2 2 2 2 3 2 2 4" xfId="10942" xr:uid="{2382DDD1-80DE-4BBF-89A7-7AE29E64993E}"/>
    <cellStyle name="Comma 2 2 2 2 3 2 2 4 2" xfId="47450" xr:uid="{F4CA9B32-680F-4D48-903C-0C97002C5FD6}"/>
    <cellStyle name="Comma 2 2 2 2 3 2 2 4 3" xfId="29196" xr:uid="{04BF9E0B-FF55-4574-9BC2-B98392204B8F}"/>
    <cellStyle name="Comma 2 2 2 2 3 2 2 5" xfId="7292" xr:uid="{043DFE0C-7009-4F0D-B605-4D9AAA106002}"/>
    <cellStyle name="Comma 2 2 2 2 3 2 2 5 2" xfId="43800" xr:uid="{27667BC0-62DA-4224-AE5A-58B90C68DC82}"/>
    <cellStyle name="Comma 2 2 2 2 3 2 2 5 3" xfId="25546" xr:uid="{D04F6662-4273-4A2E-8A4D-C7FE325A7307}"/>
    <cellStyle name="Comma 2 2 2 2 3 2 2 6" xfId="40150" xr:uid="{7D0B74C4-36FD-4E5F-AE22-B94098CF032A}"/>
    <cellStyle name="Comma 2 2 2 2 3 2 2 7" xfId="21896" xr:uid="{1FED3C8D-E3CC-48D3-A015-5F4DE7F388DE}"/>
    <cellStyle name="Comma 2 2 2 2 3 2 3" xfId="2912" xr:uid="{F51C6B58-F4FC-4E76-8305-04B3C3C30E1F}"/>
    <cellStyle name="Comma 2 2 2 2 3 2 3 2" xfId="17512" xr:uid="{2214923C-ABE9-421C-BF3B-39FA0DA7E075}"/>
    <cellStyle name="Comma 2 2 2 2 3 2 3 2 2" xfId="54020" xr:uid="{51D994B1-24FA-4919-BE92-6FF2635ABF12}"/>
    <cellStyle name="Comma 2 2 2 2 3 2 3 2 3" xfId="35766" xr:uid="{81FD9344-8392-4ED5-BA26-9AC3866B50D3}"/>
    <cellStyle name="Comma 2 2 2 2 3 2 3 3" xfId="13862" xr:uid="{1EDF51D2-32BC-4F25-B150-015A803E00BF}"/>
    <cellStyle name="Comma 2 2 2 2 3 2 3 3 2" xfId="50370" xr:uid="{A901B06F-DDE0-41D4-AC5B-15EAD33D092A}"/>
    <cellStyle name="Comma 2 2 2 2 3 2 3 3 3" xfId="32116" xr:uid="{13387299-9A0B-45F1-AC4E-789667F86605}"/>
    <cellStyle name="Comma 2 2 2 2 3 2 3 4" xfId="10212" xr:uid="{17C6C6A8-3D58-492A-8D25-36A4C51853F8}"/>
    <cellStyle name="Comma 2 2 2 2 3 2 3 4 2" xfId="46720" xr:uid="{E2970490-9353-4A31-81C7-B06AAE6D1AA2}"/>
    <cellStyle name="Comma 2 2 2 2 3 2 3 4 3" xfId="28466" xr:uid="{A03B3EBC-C835-4F9B-9409-07EDCB98A5BA}"/>
    <cellStyle name="Comma 2 2 2 2 3 2 3 5" xfId="6562" xr:uid="{96DC416F-ACE5-4A7B-B60C-784A15FF7791}"/>
    <cellStyle name="Comma 2 2 2 2 3 2 3 5 2" xfId="43070" xr:uid="{EA161FB7-7960-4C47-BD46-14E70AB9F2DA}"/>
    <cellStyle name="Comma 2 2 2 2 3 2 3 5 3" xfId="24816" xr:uid="{240A054E-9FC3-4509-BB49-62250E3AE921}"/>
    <cellStyle name="Comma 2 2 2 2 3 2 3 6" xfId="39420" xr:uid="{0A362755-BE68-4A37-B094-844B55F9972C}"/>
    <cellStyle name="Comma 2 2 2 2 3 2 3 7" xfId="21166" xr:uid="{A9C08665-8133-4C49-9DC5-ECEB092C0342}"/>
    <cellStyle name="Comma 2 2 2 2 3 2 4" xfId="2182" xr:uid="{FD70BF2F-24C5-4EF5-8280-9066F10BC1C8}"/>
    <cellStyle name="Comma 2 2 2 2 3 2 4 2" xfId="16782" xr:uid="{A9901E4F-256C-4FF5-B286-34BAC6160349}"/>
    <cellStyle name="Comma 2 2 2 2 3 2 4 2 2" xfId="53290" xr:uid="{2269E0AF-D647-4C20-A53C-19FB6A9AE228}"/>
    <cellStyle name="Comma 2 2 2 2 3 2 4 2 3" xfId="35036" xr:uid="{A9F2BE90-53EE-4581-B181-89D8596ADE8E}"/>
    <cellStyle name="Comma 2 2 2 2 3 2 4 3" xfId="13132" xr:uid="{503C6E96-5577-4DFE-95CE-BEB4FB8C0299}"/>
    <cellStyle name="Comma 2 2 2 2 3 2 4 3 2" xfId="49640" xr:uid="{B4CE4B57-8368-494D-8F4B-293EB45FD248}"/>
    <cellStyle name="Comma 2 2 2 2 3 2 4 3 3" xfId="31386" xr:uid="{F49AEC69-0BA0-46A0-825F-68FC215F9AEB}"/>
    <cellStyle name="Comma 2 2 2 2 3 2 4 4" xfId="9482" xr:uid="{5033BED7-0FDA-47ED-9055-0B5C376D3D9F}"/>
    <cellStyle name="Comma 2 2 2 2 3 2 4 4 2" xfId="45990" xr:uid="{92557F06-9C5D-4053-A28F-30F07C37F5B3}"/>
    <cellStyle name="Comma 2 2 2 2 3 2 4 4 3" xfId="27736" xr:uid="{DBF99617-7A5D-48D0-AA82-447BD19C82D1}"/>
    <cellStyle name="Comma 2 2 2 2 3 2 4 5" xfId="5832" xr:uid="{1837A762-FF96-432E-9C99-EAE7CDB1B086}"/>
    <cellStyle name="Comma 2 2 2 2 3 2 4 5 2" xfId="42340" xr:uid="{04113580-B6C4-4D9F-99E6-8EFB4A59AFF5}"/>
    <cellStyle name="Comma 2 2 2 2 3 2 4 5 3" xfId="24086" xr:uid="{32E74533-5F46-4133-AB31-D29BA4708326}"/>
    <cellStyle name="Comma 2 2 2 2 3 2 4 6" xfId="38690" xr:uid="{883AFB25-0B5F-4B5A-9F87-F1BF2D8E2428}"/>
    <cellStyle name="Comma 2 2 2 2 3 2 4 7" xfId="20436" xr:uid="{89E11048-C60A-43CB-B87D-0115F6B1C71B}"/>
    <cellStyle name="Comma 2 2 2 2 3 2 5" xfId="1452" xr:uid="{D72D3474-F2DF-49C7-AF5D-497962D5B5D3}"/>
    <cellStyle name="Comma 2 2 2 2 3 2 5 2" xfId="16052" xr:uid="{EE3F5F09-52CD-4A01-A5CB-9695D8238FD3}"/>
    <cellStyle name="Comma 2 2 2 2 3 2 5 2 2" xfId="52560" xr:uid="{75F476CA-0C76-4381-8735-0381CE5B9C84}"/>
    <cellStyle name="Comma 2 2 2 2 3 2 5 2 3" xfId="34306" xr:uid="{599F241A-C1D6-4738-8299-2501A7E5B3B5}"/>
    <cellStyle name="Comma 2 2 2 2 3 2 5 3" xfId="12402" xr:uid="{E08CF7A8-9B63-43C8-B9C5-F73B392EF1EF}"/>
    <cellStyle name="Comma 2 2 2 2 3 2 5 3 2" xfId="48910" xr:uid="{B6E82E17-FFC4-4E2C-BE64-51AE071A5024}"/>
    <cellStyle name="Comma 2 2 2 2 3 2 5 3 3" xfId="30656" xr:uid="{907BE421-C8BC-4A4B-8155-0E87AC51BBDE}"/>
    <cellStyle name="Comma 2 2 2 2 3 2 5 4" xfId="8752" xr:uid="{FB021C5E-F94A-4808-BB61-5436C8AB4373}"/>
    <cellStyle name="Comma 2 2 2 2 3 2 5 4 2" xfId="45260" xr:uid="{90E7077C-DF49-4302-9916-59C4005B91E3}"/>
    <cellStyle name="Comma 2 2 2 2 3 2 5 4 3" xfId="27006" xr:uid="{5FC90523-27A1-4F54-BE39-DD469215AC14}"/>
    <cellStyle name="Comma 2 2 2 2 3 2 5 5" xfId="5102" xr:uid="{42EB3D55-F1FE-4316-B5AC-7EEB6DBC9255}"/>
    <cellStyle name="Comma 2 2 2 2 3 2 5 5 2" xfId="41610" xr:uid="{4E29DDC2-44CC-4E19-B735-7EC8DEB7C24F}"/>
    <cellStyle name="Comma 2 2 2 2 3 2 5 5 3" xfId="23356" xr:uid="{1BCBCAB5-CBF7-4083-BE39-4069D9319D2E}"/>
    <cellStyle name="Comma 2 2 2 2 3 2 5 6" xfId="37960" xr:uid="{070A7F27-75C2-4326-A0A6-D4BB87AC6E95}"/>
    <cellStyle name="Comma 2 2 2 2 3 2 5 7" xfId="19706" xr:uid="{8488DD56-BFA0-450B-A6EB-517E0F3317FF}"/>
    <cellStyle name="Comma 2 2 2 2 3 2 6" xfId="15322" xr:uid="{92332970-868D-4BA0-BDFC-AF5E6F5094A7}"/>
    <cellStyle name="Comma 2 2 2 2 3 2 6 2" xfId="51830" xr:uid="{EDAD78DA-4964-4685-AA99-217198660CAF}"/>
    <cellStyle name="Comma 2 2 2 2 3 2 6 3" xfId="33576" xr:uid="{65F86B2C-477F-4BD3-AE8D-D411D936FE9A}"/>
    <cellStyle name="Comma 2 2 2 2 3 2 7" xfId="11672" xr:uid="{AAFD715C-A6EF-491F-8BF8-5985C4A26881}"/>
    <cellStyle name="Comma 2 2 2 2 3 2 7 2" xfId="48180" xr:uid="{8297FDE7-F718-44B3-98D0-0F7B729E7D8F}"/>
    <cellStyle name="Comma 2 2 2 2 3 2 7 3" xfId="29926" xr:uid="{FF6685CC-84EA-4726-929F-A00E1790F1E4}"/>
    <cellStyle name="Comma 2 2 2 2 3 2 8" xfId="8022" xr:uid="{27BFBF53-6018-4860-A63A-3AC9D6FEB0FF}"/>
    <cellStyle name="Comma 2 2 2 2 3 2 8 2" xfId="44530" xr:uid="{390892BD-43B3-4645-B038-D05E48853CB7}"/>
    <cellStyle name="Comma 2 2 2 2 3 2 8 3" xfId="26276" xr:uid="{AB34F32F-9DA5-4D52-954B-A995DDB76505}"/>
    <cellStyle name="Comma 2 2 2 2 3 2 9" xfId="4372" xr:uid="{BC4FF5AE-C38B-4F89-B061-D33746334B0D}"/>
    <cellStyle name="Comma 2 2 2 2 3 2 9 2" xfId="40880" xr:uid="{B8950EC2-0514-4F87-BAC0-EABA75B01495}"/>
    <cellStyle name="Comma 2 2 2 2 3 2 9 3" xfId="22626" xr:uid="{E35B501A-1A8B-4455-9B2D-101FD62C36F5}"/>
    <cellStyle name="Comma 2 2 2 2 3 3" xfId="618" xr:uid="{9B0178C2-AC46-4414-983C-BE7260B2CB4C}"/>
    <cellStyle name="Comma 2 2 2 2 3 3 10" xfId="37126" xr:uid="{E824BA85-6949-4C97-A09B-0664D0507C06}"/>
    <cellStyle name="Comma 2 2 2 2 3 3 11" xfId="18872" xr:uid="{2A1F6E26-5CC3-4861-94B0-00555DFD7500}"/>
    <cellStyle name="Comma 2 2 2 2 3 3 2" xfId="3538" xr:uid="{E9FEF0A1-8764-40DB-96D6-2E1F6907B166}"/>
    <cellStyle name="Comma 2 2 2 2 3 3 2 2" xfId="18138" xr:uid="{E37C3ABD-C772-47E9-813D-084C3D34BC04}"/>
    <cellStyle name="Comma 2 2 2 2 3 3 2 2 2" xfId="54646" xr:uid="{E1F6296E-FF34-4253-B1BE-C0E58A0B65BC}"/>
    <cellStyle name="Comma 2 2 2 2 3 3 2 2 3" xfId="36392" xr:uid="{56B90CD7-2446-44C6-B16C-1968350A9B2C}"/>
    <cellStyle name="Comma 2 2 2 2 3 3 2 3" xfId="14488" xr:uid="{4DA56365-E5D3-4E85-B252-0E2B9C21897B}"/>
    <cellStyle name="Comma 2 2 2 2 3 3 2 3 2" xfId="50996" xr:uid="{9D3E15C3-3EEC-4215-8565-32726798F4FF}"/>
    <cellStyle name="Comma 2 2 2 2 3 3 2 3 3" xfId="32742" xr:uid="{E130E202-534A-4B32-8263-77B1E11102A2}"/>
    <cellStyle name="Comma 2 2 2 2 3 3 2 4" xfId="10838" xr:uid="{5EE4FACE-86EE-4D0C-A6E2-07C1166FC60A}"/>
    <cellStyle name="Comma 2 2 2 2 3 3 2 4 2" xfId="47346" xr:uid="{3CE4E640-1A82-4A4E-8905-C28126D78CC0}"/>
    <cellStyle name="Comma 2 2 2 2 3 3 2 4 3" xfId="29092" xr:uid="{16139EEF-3FED-471F-9885-5B1F8FAAA0F1}"/>
    <cellStyle name="Comma 2 2 2 2 3 3 2 5" xfId="7188" xr:uid="{4213C8A3-AFC3-4786-AC5D-E628073DC9DB}"/>
    <cellStyle name="Comma 2 2 2 2 3 3 2 5 2" xfId="43696" xr:uid="{20B2BBA3-6122-4F01-96F0-EE4E77F5BB47}"/>
    <cellStyle name="Comma 2 2 2 2 3 3 2 5 3" xfId="25442" xr:uid="{CC6BB30E-6444-4BE0-A814-5AE4F5B9BD07}"/>
    <cellStyle name="Comma 2 2 2 2 3 3 2 6" xfId="40046" xr:uid="{180E20D5-ADE7-45ED-BB3E-210A6372B3F4}"/>
    <cellStyle name="Comma 2 2 2 2 3 3 2 7" xfId="21792" xr:uid="{F2AC6721-1EB8-4732-86CF-633DAA367BA5}"/>
    <cellStyle name="Comma 2 2 2 2 3 3 3" xfId="2808" xr:uid="{E03B38A9-631E-4619-A740-1C1C1A7BC523}"/>
    <cellStyle name="Comma 2 2 2 2 3 3 3 2" xfId="17408" xr:uid="{1CF1F63F-C86C-4B8A-8497-7FE7C98BBD96}"/>
    <cellStyle name="Comma 2 2 2 2 3 3 3 2 2" xfId="53916" xr:uid="{21373258-8B72-4C69-9C7D-A8E83B31AE29}"/>
    <cellStyle name="Comma 2 2 2 2 3 3 3 2 3" xfId="35662" xr:uid="{A13A5D82-2B9A-4A42-9A89-1D11FB6181BD}"/>
    <cellStyle name="Comma 2 2 2 2 3 3 3 3" xfId="13758" xr:uid="{88AAF5FB-35A0-4EF2-A1FE-43BD34350983}"/>
    <cellStyle name="Comma 2 2 2 2 3 3 3 3 2" xfId="50266" xr:uid="{7EAAC7A0-6EA8-40EE-B0D9-051E639A0691}"/>
    <cellStyle name="Comma 2 2 2 2 3 3 3 3 3" xfId="32012" xr:uid="{015313A8-6F80-4F01-8169-927C682F4A43}"/>
    <cellStyle name="Comma 2 2 2 2 3 3 3 4" xfId="10108" xr:uid="{77FC74A9-AB9B-4888-907B-B8748B77D055}"/>
    <cellStyle name="Comma 2 2 2 2 3 3 3 4 2" xfId="46616" xr:uid="{E05901E5-5838-4756-BA10-F1F679504A81}"/>
    <cellStyle name="Comma 2 2 2 2 3 3 3 4 3" xfId="28362" xr:uid="{A72E4ED9-19A8-4651-9CAE-FECC905A5064}"/>
    <cellStyle name="Comma 2 2 2 2 3 3 3 5" xfId="6458" xr:uid="{2C039832-DF68-47AB-A6F7-ACC38A4755D8}"/>
    <cellStyle name="Comma 2 2 2 2 3 3 3 5 2" xfId="42966" xr:uid="{1E6011C5-120E-4A1B-93E1-935C71E46172}"/>
    <cellStyle name="Comma 2 2 2 2 3 3 3 5 3" xfId="24712" xr:uid="{A96472BE-610F-402A-B96D-E49EA8F6A4C9}"/>
    <cellStyle name="Comma 2 2 2 2 3 3 3 6" xfId="39316" xr:uid="{74AB9B14-38DA-43E0-A201-8F6A50344B8F}"/>
    <cellStyle name="Comma 2 2 2 2 3 3 3 7" xfId="21062" xr:uid="{4B7F5366-E817-4BBF-86D1-442CBDC4923C}"/>
    <cellStyle name="Comma 2 2 2 2 3 3 4" xfId="2078" xr:uid="{B37CD58C-C393-409A-8981-BAAC9437D584}"/>
    <cellStyle name="Comma 2 2 2 2 3 3 4 2" xfId="16678" xr:uid="{01BC97DF-2A42-405D-8802-227BE504631E}"/>
    <cellStyle name="Comma 2 2 2 2 3 3 4 2 2" xfId="53186" xr:uid="{019A54C9-C989-4630-912D-C7F5766A6F72}"/>
    <cellStyle name="Comma 2 2 2 2 3 3 4 2 3" xfId="34932" xr:uid="{94D9D96D-BA94-4FD8-8F33-C9395C78FAF2}"/>
    <cellStyle name="Comma 2 2 2 2 3 3 4 3" xfId="13028" xr:uid="{350C21FA-D7E4-47ED-9F43-3B4C394972C8}"/>
    <cellStyle name="Comma 2 2 2 2 3 3 4 3 2" xfId="49536" xr:uid="{3C9C4520-582E-4143-8C00-A039E7A5C0F9}"/>
    <cellStyle name="Comma 2 2 2 2 3 3 4 3 3" xfId="31282" xr:uid="{6DA62CDB-1BF4-4A2E-A70F-E0A1BD66B13B}"/>
    <cellStyle name="Comma 2 2 2 2 3 3 4 4" xfId="9378" xr:uid="{3076ADE7-0B5A-4009-A912-BEC8F2E21A3F}"/>
    <cellStyle name="Comma 2 2 2 2 3 3 4 4 2" xfId="45886" xr:uid="{4F66D444-90BD-4FE4-A566-DB6EB5828F38}"/>
    <cellStyle name="Comma 2 2 2 2 3 3 4 4 3" xfId="27632" xr:uid="{B497603B-2082-42C0-B768-C308B8FCEAAD}"/>
    <cellStyle name="Comma 2 2 2 2 3 3 4 5" xfId="5728" xr:uid="{304D63F9-B7BC-45AD-81C6-6415A9B181A2}"/>
    <cellStyle name="Comma 2 2 2 2 3 3 4 5 2" xfId="42236" xr:uid="{A4852691-9F1B-4365-B7DF-698625BE1F98}"/>
    <cellStyle name="Comma 2 2 2 2 3 3 4 5 3" xfId="23982" xr:uid="{91ECFAD5-3DAE-460B-BAB7-7E97D4F15D78}"/>
    <cellStyle name="Comma 2 2 2 2 3 3 4 6" xfId="38586" xr:uid="{46EB23C3-B940-431C-9130-6612EA9B4DE7}"/>
    <cellStyle name="Comma 2 2 2 2 3 3 4 7" xfId="20332" xr:uid="{12647675-6D3E-48F4-A893-E78DF2D5226A}"/>
    <cellStyle name="Comma 2 2 2 2 3 3 5" xfId="1348" xr:uid="{BEDE55A5-68AB-4E5F-B24F-74E3D1AFFFAD}"/>
    <cellStyle name="Comma 2 2 2 2 3 3 5 2" xfId="15948" xr:uid="{0DFA0A07-8628-4676-950F-8C6176097991}"/>
    <cellStyle name="Comma 2 2 2 2 3 3 5 2 2" xfId="52456" xr:uid="{18E47082-41F0-41C1-A6B3-3768ED94C0E3}"/>
    <cellStyle name="Comma 2 2 2 2 3 3 5 2 3" xfId="34202" xr:uid="{1418FF5B-DE0E-431E-B02B-F7C74F4D3F42}"/>
    <cellStyle name="Comma 2 2 2 2 3 3 5 3" xfId="12298" xr:uid="{CF8E971A-3606-4F0C-AA50-71DB8725A6EE}"/>
    <cellStyle name="Comma 2 2 2 2 3 3 5 3 2" xfId="48806" xr:uid="{25CCF5AE-6ACA-42D0-B616-016FFB79E8A3}"/>
    <cellStyle name="Comma 2 2 2 2 3 3 5 3 3" xfId="30552" xr:uid="{EB74340B-6F9A-4AF3-87E8-8543ECEBC2FD}"/>
    <cellStyle name="Comma 2 2 2 2 3 3 5 4" xfId="8648" xr:uid="{B1E414A4-4473-4365-BC09-ECD6552BD47D}"/>
    <cellStyle name="Comma 2 2 2 2 3 3 5 4 2" xfId="45156" xr:uid="{A20C9602-F45C-4C64-9D83-6508F6A30096}"/>
    <cellStyle name="Comma 2 2 2 2 3 3 5 4 3" xfId="26902" xr:uid="{2B4CBAB7-AF29-4BE9-B3EB-AEBE6F57C3C8}"/>
    <cellStyle name="Comma 2 2 2 2 3 3 5 5" xfId="4998" xr:uid="{6B3D1508-4C56-46D4-B7AB-938929923638}"/>
    <cellStyle name="Comma 2 2 2 2 3 3 5 5 2" xfId="41506" xr:uid="{14E3CB75-BF59-4373-B00F-ECD59A9E357A}"/>
    <cellStyle name="Comma 2 2 2 2 3 3 5 5 3" xfId="23252" xr:uid="{8C39E013-3647-4DFC-A164-F2E1A16BBCF6}"/>
    <cellStyle name="Comma 2 2 2 2 3 3 5 6" xfId="37856" xr:uid="{D73A1D82-FA5F-46BB-8D6C-F10A7696462C}"/>
    <cellStyle name="Comma 2 2 2 2 3 3 5 7" xfId="19602" xr:uid="{A352AE0A-486A-4B44-ACA2-69B75AF510CF}"/>
    <cellStyle name="Comma 2 2 2 2 3 3 6" xfId="15218" xr:uid="{524B205F-EF67-4DCE-ABA2-D8D96777273F}"/>
    <cellStyle name="Comma 2 2 2 2 3 3 6 2" xfId="51726" xr:uid="{B0B39FFD-7A4E-4142-9FD9-5F31651B6F2B}"/>
    <cellStyle name="Comma 2 2 2 2 3 3 6 3" xfId="33472" xr:uid="{2653568D-A9B8-493D-95FB-A5554E807305}"/>
    <cellStyle name="Comma 2 2 2 2 3 3 7" xfId="11568" xr:uid="{D2ABCC7C-3A62-4AA2-8CFC-18CAA547AF66}"/>
    <cellStyle name="Comma 2 2 2 2 3 3 7 2" xfId="48076" xr:uid="{61207B2E-ABB6-4DC4-B83B-FF67169DEC39}"/>
    <cellStyle name="Comma 2 2 2 2 3 3 7 3" xfId="29822" xr:uid="{B1665502-CF13-4A40-9DAA-87A48ED89AB9}"/>
    <cellStyle name="Comma 2 2 2 2 3 3 8" xfId="7918" xr:uid="{72A2F607-0E5A-4CB1-AA92-B3402E23FF0D}"/>
    <cellStyle name="Comma 2 2 2 2 3 3 8 2" xfId="44426" xr:uid="{7C5C9C12-07A9-411A-80AF-EE7893E5CC7B}"/>
    <cellStyle name="Comma 2 2 2 2 3 3 8 3" xfId="26172" xr:uid="{216B55AD-4568-4994-85C5-E93B68A17B3E}"/>
    <cellStyle name="Comma 2 2 2 2 3 3 9" xfId="4268" xr:uid="{9C6406DB-3C56-4E7C-9042-CEB4B84CA62E}"/>
    <cellStyle name="Comma 2 2 2 2 3 3 9 2" xfId="40776" xr:uid="{D10D6D0F-9C40-4287-9983-32F924E5F008}"/>
    <cellStyle name="Comma 2 2 2 2 3 3 9 3" xfId="22522" xr:uid="{09BB749C-9B18-4CAB-A8BD-2A1235439ECA}"/>
    <cellStyle name="Comma 2 2 2 2 3 4" xfId="514" xr:uid="{4B9C7ADB-185E-4C73-8FBC-D2FF943CA13D}"/>
    <cellStyle name="Comma 2 2 2 2 3 4 10" xfId="37022" xr:uid="{1CD362BB-CFA8-48B1-BE73-60B8F0D4214E}"/>
    <cellStyle name="Comma 2 2 2 2 3 4 11" xfId="18768" xr:uid="{FC8B2EB7-DA32-41FC-8047-E961FEC363C8}"/>
    <cellStyle name="Comma 2 2 2 2 3 4 2" xfId="3434" xr:uid="{F0C3410E-FC59-468E-A9A8-5C447C8AA94F}"/>
    <cellStyle name="Comma 2 2 2 2 3 4 2 2" xfId="18034" xr:uid="{EA6C17EE-74E4-4B1C-AED5-6DF0AA1CC1F6}"/>
    <cellStyle name="Comma 2 2 2 2 3 4 2 2 2" xfId="54542" xr:uid="{20407B34-D5DD-48B6-A93E-E7488D77440E}"/>
    <cellStyle name="Comma 2 2 2 2 3 4 2 2 3" xfId="36288" xr:uid="{341B77BB-9728-40E9-9ACD-22CAD86E62ED}"/>
    <cellStyle name="Comma 2 2 2 2 3 4 2 3" xfId="14384" xr:uid="{D51F4503-5C59-484F-BC81-96BCC26972EA}"/>
    <cellStyle name="Comma 2 2 2 2 3 4 2 3 2" xfId="50892" xr:uid="{359557AB-DFF8-43A9-8363-A9B49C3772BB}"/>
    <cellStyle name="Comma 2 2 2 2 3 4 2 3 3" xfId="32638" xr:uid="{4B07120A-69C0-49CE-9479-2714494ED7C7}"/>
    <cellStyle name="Comma 2 2 2 2 3 4 2 4" xfId="10734" xr:uid="{641B3EF1-5234-41EB-8C2D-B4D358821E12}"/>
    <cellStyle name="Comma 2 2 2 2 3 4 2 4 2" xfId="47242" xr:uid="{8F311737-77A3-4855-B3D7-53FA77C33DDB}"/>
    <cellStyle name="Comma 2 2 2 2 3 4 2 4 3" xfId="28988" xr:uid="{F1DCF276-EBDD-4665-82CA-CFE877B7D039}"/>
    <cellStyle name="Comma 2 2 2 2 3 4 2 5" xfId="7084" xr:uid="{A68ED7CB-6195-4FB7-B77F-EC30A0B9DF90}"/>
    <cellStyle name="Comma 2 2 2 2 3 4 2 5 2" xfId="43592" xr:uid="{BFFF0C8C-7BFA-448D-9A50-E9C68A28ED61}"/>
    <cellStyle name="Comma 2 2 2 2 3 4 2 5 3" xfId="25338" xr:uid="{D785F9D7-3E0B-42FD-A168-186DFC4A9B2D}"/>
    <cellStyle name="Comma 2 2 2 2 3 4 2 6" xfId="39942" xr:uid="{5CDD6519-12B6-446C-81BB-97AB0A40E218}"/>
    <cellStyle name="Comma 2 2 2 2 3 4 2 7" xfId="21688" xr:uid="{A9BC6DC5-57D1-4C5C-821B-A488D2D78B40}"/>
    <cellStyle name="Comma 2 2 2 2 3 4 3" xfId="2704" xr:uid="{83A78001-1AD0-4D4B-B525-3EEC326FFD68}"/>
    <cellStyle name="Comma 2 2 2 2 3 4 3 2" xfId="17304" xr:uid="{21437AB3-AA62-405E-A276-3A8007AA9799}"/>
    <cellStyle name="Comma 2 2 2 2 3 4 3 2 2" xfId="53812" xr:uid="{4C30E844-99FD-437C-8272-A295B97B858C}"/>
    <cellStyle name="Comma 2 2 2 2 3 4 3 2 3" xfId="35558" xr:uid="{B752F1AE-0C8E-4C2E-BF52-D33DEEE8E46C}"/>
    <cellStyle name="Comma 2 2 2 2 3 4 3 3" xfId="13654" xr:uid="{CF43EC68-7DA0-4CA0-B5E5-A76E1C9BFC91}"/>
    <cellStyle name="Comma 2 2 2 2 3 4 3 3 2" xfId="50162" xr:uid="{E206B2AF-4DEC-447B-80F7-BC8CC926837C}"/>
    <cellStyle name="Comma 2 2 2 2 3 4 3 3 3" xfId="31908" xr:uid="{21E51F07-3705-48F7-9049-306D4F33598C}"/>
    <cellStyle name="Comma 2 2 2 2 3 4 3 4" xfId="10004" xr:uid="{CFB3686E-F750-49F4-9C0D-29AC0BC52688}"/>
    <cellStyle name="Comma 2 2 2 2 3 4 3 4 2" xfId="46512" xr:uid="{205EEF1A-10E9-4B58-A4DD-FCE4F3BCA33B}"/>
    <cellStyle name="Comma 2 2 2 2 3 4 3 4 3" xfId="28258" xr:uid="{C2ABD3F6-246A-477B-9576-31484DEBEBC8}"/>
    <cellStyle name="Comma 2 2 2 2 3 4 3 5" xfId="6354" xr:uid="{3CF396AB-7178-4F4B-9850-18C7C5C1EE2A}"/>
    <cellStyle name="Comma 2 2 2 2 3 4 3 5 2" xfId="42862" xr:uid="{E3BC6991-E692-4995-A1BF-51F68F4D7974}"/>
    <cellStyle name="Comma 2 2 2 2 3 4 3 5 3" xfId="24608" xr:uid="{A95F5D14-4433-4B11-8A0D-EB2FBA24E0B1}"/>
    <cellStyle name="Comma 2 2 2 2 3 4 3 6" xfId="39212" xr:uid="{728EA920-D5DC-42AF-9784-D0747E52451A}"/>
    <cellStyle name="Comma 2 2 2 2 3 4 3 7" xfId="20958" xr:uid="{3F637232-ED49-4231-8959-E7E259F543DC}"/>
    <cellStyle name="Comma 2 2 2 2 3 4 4" xfId="1974" xr:uid="{F9843A02-00F5-4092-AE2C-E810B1F9FD35}"/>
    <cellStyle name="Comma 2 2 2 2 3 4 4 2" xfId="16574" xr:uid="{4A7662F1-ABA5-4126-B92B-90DCB55D6CD5}"/>
    <cellStyle name="Comma 2 2 2 2 3 4 4 2 2" xfId="53082" xr:uid="{55E917D6-27A5-4BB3-BFE4-A59EA3BA8862}"/>
    <cellStyle name="Comma 2 2 2 2 3 4 4 2 3" xfId="34828" xr:uid="{CEBB9C91-18F6-4856-9826-AC5141E348DB}"/>
    <cellStyle name="Comma 2 2 2 2 3 4 4 3" xfId="12924" xr:uid="{BC7B3AE6-11DE-4F43-983A-19C6E62B8070}"/>
    <cellStyle name="Comma 2 2 2 2 3 4 4 3 2" xfId="49432" xr:uid="{E82F427A-BDD5-4400-AE0D-9A93667688F6}"/>
    <cellStyle name="Comma 2 2 2 2 3 4 4 3 3" xfId="31178" xr:uid="{73CDAD78-1D98-4312-8762-48D44E9DEBDF}"/>
    <cellStyle name="Comma 2 2 2 2 3 4 4 4" xfId="9274" xr:uid="{09C22A9A-0075-48C5-A510-0059A0B46C02}"/>
    <cellStyle name="Comma 2 2 2 2 3 4 4 4 2" xfId="45782" xr:uid="{D370F982-8C03-432E-84DB-3EA8FE0F401E}"/>
    <cellStyle name="Comma 2 2 2 2 3 4 4 4 3" xfId="27528" xr:uid="{B970CA6B-3574-476B-9611-FC23A89A126E}"/>
    <cellStyle name="Comma 2 2 2 2 3 4 4 5" xfId="5624" xr:uid="{67992C37-EF13-4557-98CE-567DB61F449A}"/>
    <cellStyle name="Comma 2 2 2 2 3 4 4 5 2" xfId="42132" xr:uid="{23C1773E-4875-4B4D-9D3D-AD9BBC7A2412}"/>
    <cellStyle name="Comma 2 2 2 2 3 4 4 5 3" xfId="23878" xr:uid="{0011AB68-AD52-4754-B9F5-A415B5718F13}"/>
    <cellStyle name="Comma 2 2 2 2 3 4 4 6" xfId="38482" xr:uid="{D4DE7A7A-F036-444C-BD73-8A3F3BD0ADA9}"/>
    <cellStyle name="Comma 2 2 2 2 3 4 4 7" xfId="20228" xr:uid="{D999B4F1-A8EA-49D1-95B7-37492B99EEAE}"/>
    <cellStyle name="Comma 2 2 2 2 3 4 5" xfId="1244" xr:uid="{D263120F-ABF3-4C66-B082-776885AF7B36}"/>
    <cellStyle name="Comma 2 2 2 2 3 4 5 2" xfId="15844" xr:uid="{EC86B6F8-6D32-41E9-B4B2-B6AF9BB240B1}"/>
    <cellStyle name="Comma 2 2 2 2 3 4 5 2 2" xfId="52352" xr:uid="{6369ADD7-E888-4725-BFC8-BE584369BF61}"/>
    <cellStyle name="Comma 2 2 2 2 3 4 5 2 3" xfId="34098" xr:uid="{9064E061-2609-4C43-BB11-C04AE9F5DACC}"/>
    <cellStyle name="Comma 2 2 2 2 3 4 5 3" xfId="12194" xr:uid="{352B85C5-4D33-4D29-B872-F3DA469E8C79}"/>
    <cellStyle name="Comma 2 2 2 2 3 4 5 3 2" xfId="48702" xr:uid="{1795854D-9A6F-45DB-99B3-7AE74DC8F04E}"/>
    <cellStyle name="Comma 2 2 2 2 3 4 5 3 3" xfId="30448" xr:uid="{08C48C7B-D9B0-41CF-9D3A-258D14C231F4}"/>
    <cellStyle name="Comma 2 2 2 2 3 4 5 4" xfId="8544" xr:uid="{E927E396-0EDE-4ED1-83C9-B97019AB6788}"/>
    <cellStyle name="Comma 2 2 2 2 3 4 5 4 2" xfId="45052" xr:uid="{CCB0451C-024F-495A-8382-C24C10138AA6}"/>
    <cellStyle name="Comma 2 2 2 2 3 4 5 4 3" xfId="26798" xr:uid="{BD988B3C-73B5-4CE5-BB58-3273EFAE85D6}"/>
    <cellStyle name="Comma 2 2 2 2 3 4 5 5" xfId="4894" xr:uid="{10FBF834-C3E2-4802-856E-D5BFE3AD61E8}"/>
    <cellStyle name="Comma 2 2 2 2 3 4 5 5 2" xfId="41402" xr:uid="{CB5D3DD5-E4AC-463F-B4DB-30EE2AC9E402}"/>
    <cellStyle name="Comma 2 2 2 2 3 4 5 5 3" xfId="23148" xr:uid="{3B329D49-AF07-421B-8956-E603D1AD3197}"/>
    <cellStyle name="Comma 2 2 2 2 3 4 5 6" xfId="37752" xr:uid="{5AE3486F-4943-4E51-9689-7761ACA7C71E}"/>
    <cellStyle name="Comma 2 2 2 2 3 4 5 7" xfId="19498" xr:uid="{6C963A07-B15B-4C61-BFD6-17C94FE4EF56}"/>
    <cellStyle name="Comma 2 2 2 2 3 4 6" xfId="15114" xr:uid="{98AD5378-7C31-406A-8818-713D2EB06670}"/>
    <cellStyle name="Comma 2 2 2 2 3 4 6 2" xfId="51622" xr:uid="{078ED25F-0380-4168-92D3-C92F05D38CDE}"/>
    <cellStyle name="Comma 2 2 2 2 3 4 6 3" xfId="33368" xr:uid="{793F78EB-DB92-4D84-BFE3-3EBAE1DEEAD6}"/>
    <cellStyle name="Comma 2 2 2 2 3 4 7" xfId="11464" xr:uid="{9F5D1C1E-97DC-4FD8-90D3-9DB72E4D88D1}"/>
    <cellStyle name="Comma 2 2 2 2 3 4 7 2" xfId="47972" xr:uid="{1B3EB0E8-4350-4E23-A6B7-FF799C06841C}"/>
    <cellStyle name="Comma 2 2 2 2 3 4 7 3" xfId="29718" xr:uid="{21B850AF-F3B0-4428-81FA-F8E059A5CBFC}"/>
    <cellStyle name="Comma 2 2 2 2 3 4 8" xfId="7814" xr:uid="{5AD75227-EA11-4809-9B0A-44CF41BF3E3A}"/>
    <cellStyle name="Comma 2 2 2 2 3 4 8 2" xfId="44322" xr:uid="{F0AA3840-E07E-4408-9ED4-421FB7B03A1B}"/>
    <cellStyle name="Comma 2 2 2 2 3 4 8 3" xfId="26068" xr:uid="{4C6B81FB-5C00-41EF-BD99-AB8728958B9C}"/>
    <cellStyle name="Comma 2 2 2 2 3 4 9" xfId="4164" xr:uid="{3464F7CB-E850-4D6A-A9FF-65319836F83A}"/>
    <cellStyle name="Comma 2 2 2 2 3 4 9 2" xfId="40672" xr:uid="{56B5AEF6-41CD-4E0E-A87A-C7035DD5F26F}"/>
    <cellStyle name="Comma 2 2 2 2 3 4 9 3" xfId="22418" xr:uid="{51B48AFA-B5A4-4540-B39B-7BB154D1F9B9}"/>
    <cellStyle name="Comma 2 2 2 2 3 5" xfId="410" xr:uid="{AC003178-F7F8-475A-9118-A6C3468442D1}"/>
    <cellStyle name="Comma 2 2 2 2 3 5 10" xfId="36918" xr:uid="{6B7BF405-C30E-40A3-A6F5-4A1FA564EB98}"/>
    <cellStyle name="Comma 2 2 2 2 3 5 11" xfId="18664" xr:uid="{9300473D-E9E9-4B40-8D70-66140012A25D}"/>
    <cellStyle name="Comma 2 2 2 2 3 5 2" xfId="3330" xr:uid="{A8573293-5F42-4D91-AFDC-2895539451D8}"/>
    <cellStyle name="Comma 2 2 2 2 3 5 2 2" xfId="17930" xr:uid="{A3D9ED7C-2CCE-4242-9C80-FA1743D44462}"/>
    <cellStyle name="Comma 2 2 2 2 3 5 2 2 2" xfId="54438" xr:uid="{70E3EE6F-AFA3-437B-ABA1-D26530222108}"/>
    <cellStyle name="Comma 2 2 2 2 3 5 2 2 3" xfId="36184" xr:uid="{7CBE6196-F265-48B1-BACA-0E318B969FE3}"/>
    <cellStyle name="Comma 2 2 2 2 3 5 2 3" xfId="14280" xr:uid="{75A092F9-F049-4D0D-80F9-64D85B371556}"/>
    <cellStyle name="Comma 2 2 2 2 3 5 2 3 2" xfId="50788" xr:uid="{4D3B7D03-C675-421B-BEBB-B4D1FAE68861}"/>
    <cellStyle name="Comma 2 2 2 2 3 5 2 3 3" xfId="32534" xr:uid="{0A46D4F7-CCA7-4BA4-B24E-C3F7964CE8D1}"/>
    <cellStyle name="Comma 2 2 2 2 3 5 2 4" xfId="10630" xr:uid="{B53D15D6-1CF3-450D-9050-1CD9CDD43450}"/>
    <cellStyle name="Comma 2 2 2 2 3 5 2 4 2" xfId="47138" xr:uid="{E3686BA2-A4C8-44C4-BDD5-FB1C2CB87BBB}"/>
    <cellStyle name="Comma 2 2 2 2 3 5 2 4 3" xfId="28884" xr:uid="{235B7054-B6CB-40EA-9858-BD1D96C2228B}"/>
    <cellStyle name="Comma 2 2 2 2 3 5 2 5" xfId="6980" xr:uid="{D48AD9FC-E21F-4A0C-BA24-57819E403444}"/>
    <cellStyle name="Comma 2 2 2 2 3 5 2 5 2" xfId="43488" xr:uid="{7B952D7C-48CE-4911-87CD-3CAD48C81E0E}"/>
    <cellStyle name="Comma 2 2 2 2 3 5 2 5 3" xfId="25234" xr:uid="{6D5D2278-2AA7-4CD4-AC24-D36625734485}"/>
    <cellStyle name="Comma 2 2 2 2 3 5 2 6" xfId="39838" xr:uid="{4D7C1562-EE7E-4853-AF40-09F86AEA3897}"/>
    <cellStyle name="Comma 2 2 2 2 3 5 2 7" xfId="21584" xr:uid="{EC668C6B-AB9F-47A6-97DF-17B14D232855}"/>
    <cellStyle name="Comma 2 2 2 2 3 5 3" xfId="2600" xr:uid="{B6C3A036-7C00-44D6-A308-3E47C68EAB85}"/>
    <cellStyle name="Comma 2 2 2 2 3 5 3 2" xfId="17200" xr:uid="{1D6C75EC-571B-4A28-BCDD-E96F30AAAE7F}"/>
    <cellStyle name="Comma 2 2 2 2 3 5 3 2 2" xfId="53708" xr:uid="{5C5CDA00-5C20-4C80-8F98-4A9BFC96F177}"/>
    <cellStyle name="Comma 2 2 2 2 3 5 3 2 3" xfId="35454" xr:uid="{68FF5232-CBCF-4768-BC27-F3778FB54E21}"/>
    <cellStyle name="Comma 2 2 2 2 3 5 3 3" xfId="13550" xr:uid="{5634B402-6B2C-4F52-8752-D3C993EFFD3A}"/>
    <cellStyle name="Comma 2 2 2 2 3 5 3 3 2" xfId="50058" xr:uid="{6D320046-BCB3-478F-B1AD-8420B7834EA4}"/>
    <cellStyle name="Comma 2 2 2 2 3 5 3 3 3" xfId="31804" xr:uid="{E27F2AD3-C69D-4A87-BA6A-298A07B3CC3A}"/>
    <cellStyle name="Comma 2 2 2 2 3 5 3 4" xfId="9900" xr:uid="{17137EB0-17E2-43A4-ABDF-4C81F0827F08}"/>
    <cellStyle name="Comma 2 2 2 2 3 5 3 4 2" xfId="46408" xr:uid="{D84E7634-AF0F-4C1B-9F02-1BA5E186751A}"/>
    <cellStyle name="Comma 2 2 2 2 3 5 3 4 3" xfId="28154" xr:uid="{5EC3E24C-6F1C-45DF-8F26-FEF49F220B3D}"/>
    <cellStyle name="Comma 2 2 2 2 3 5 3 5" xfId="6250" xr:uid="{D153F35B-91AA-409B-BCFE-B300F06BED7F}"/>
    <cellStyle name="Comma 2 2 2 2 3 5 3 5 2" xfId="42758" xr:uid="{2C9FC462-4C7C-4CB5-A8CD-0CAEC1EC63C6}"/>
    <cellStyle name="Comma 2 2 2 2 3 5 3 5 3" xfId="24504" xr:uid="{CF74470B-4D99-4524-AD90-B2824BC2CA65}"/>
    <cellStyle name="Comma 2 2 2 2 3 5 3 6" xfId="39108" xr:uid="{3112E59F-5267-4A3A-9522-58C081AAF25B}"/>
    <cellStyle name="Comma 2 2 2 2 3 5 3 7" xfId="20854" xr:uid="{28074B54-79CE-4052-8A82-0958DE89FBE6}"/>
    <cellStyle name="Comma 2 2 2 2 3 5 4" xfId="1870" xr:uid="{A7DF0842-425A-4EF4-88EB-B934A6748A40}"/>
    <cellStyle name="Comma 2 2 2 2 3 5 4 2" xfId="16470" xr:uid="{3EAFB056-5BA2-4975-AC6B-0C1F2BD5D909}"/>
    <cellStyle name="Comma 2 2 2 2 3 5 4 2 2" xfId="52978" xr:uid="{8FBD1C82-E341-48C3-92E2-6F5AC953E58F}"/>
    <cellStyle name="Comma 2 2 2 2 3 5 4 2 3" xfId="34724" xr:uid="{07D64429-438F-4ABE-8764-488D60A5E6DE}"/>
    <cellStyle name="Comma 2 2 2 2 3 5 4 3" xfId="12820" xr:uid="{6D874225-F382-44E5-9E66-A639A959E137}"/>
    <cellStyle name="Comma 2 2 2 2 3 5 4 3 2" xfId="49328" xr:uid="{CA5D480E-CFB5-47BC-8C39-AB5F927BAFCE}"/>
    <cellStyle name="Comma 2 2 2 2 3 5 4 3 3" xfId="31074" xr:uid="{4C8733AF-8A02-4741-9D19-92614AD71349}"/>
    <cellStyle name="Comma 2 2 2 2 3 5 4 4" xfId="9170" xr:uid="{BC0D042F-BD26-4628-8D3A-CC6B50254A5F}"/>
    <cellStyle name="Comma 2 2 2 2 3 5 4 4 2" xfId="45678" xr:uid="{E0BD55A9-330F-405D-A0F0-A04C0091AB2B}"/>
    <cellStyle name="Comma 2 2 2 2 3 5 4 4 3" xfId="27424" xr:uid="{6D93C78D-89A1-440B-A959-9D09F8E4D848}"/>
    <cellStyle name="Comma 2 2 2 2 3 5 4 5" xfId="5520" xr:uid="{66EBD95E-E6E9-41B1-AEF1-404C04A9AD8F}"/>
    <cellStyle name="Comma 2 2 2 2 3 5 4 5 2" xfId="42028" xr:uid="{77CE9750-3D4C-40FA-A54E-757412524154}"/>
    <cellStyle name="Comma 2 2 2 2 3 5 4 5 3" xfId="23774" xr:uid="{AF362239-366F-4359-9D33-BDF03F348B85}"/>
    <cellStyle name="Comma 2 2 2 2 3 5 4 6" xfId="38378" xr:uid="{63BD9034-8813-4B9C-B295-A7FCF5BFEBAB}"/>
    <cellStyle name="Comma 2 2 2 2 3 5 4 7" xfId="20124" xr:uid="{C1F41C48-5FA4-489D-8D91-1369D4A50E3E}"/>
    <cellStyle name="Comma 2 2 2 2 3 5 5" xfId="1140" xr:uid="{3FF02E9B-EF00-4B8E-8336-0AE13F10B75D}"/>
    <cellStyle name="Comma 2 2 2 2 3 5 5 2" xfId="15740" xr:uid="{B86B4CBC-741B-4FB1-9A0D-DFC01171162A}"/>
    <cellStyle name="Comma 2 2 2 2 3 5 5 2 2" xfId="52248" xr:uid="{59D377D3-17CF-4DC6-9874-1B06842437C6}"/>
    <cellStyle name="Comma 2 2 2 2 3 5 5 2 3" xfId="33994" xr:uid="{05F69072-F144-4538-9011-B4523EB36C97}"/>
    <cellStyle name="Comma 2 2 2 2 3 5 5 3" xfId="12090" xr:uid="{B3D7EE8C-E9D9-48EF-9FEA-1371DEB9A8E1}"/>
    <cellStyle name="Comma 2 2 2 2 3 5 5 3 2" xfId="48598" xr:uid="{9882815D-EF74-4CCF-AE39-311A0A087AAB}"/>
    <cellStyle name="Comma 2 2 2 2 3 5 5 3 3" xfId="30344" xr:uid="{56CBE7C1-D945-4662-A540-920CCE3DFD10}"/>
    <cellStyle name="Comma 2 2 2 2 3 5 5 4" xfId="8440" xr:uid="{5ACB5E70-9E70-4B79-B765-D37241C8EDC0}"/>
    <cellStyle name="Comma 2 2 2 2 3 5 5 4 2" xfId="44948" xr:uid="{04A3975E-00A1-4ACF-9C4D-AAB50F2A432A}"/>
    <cellStyle name="Comma 2 2 2 2 3 5 5 4 3" xfId="26694" xr:uid="{5D3589C1-E866-4662-B1B1-0694E700E0E0}"/>
    <cellStyle name="Comma 2 2 2 2 3 5 5 5" xfId="4790" xr:uid="{EE31367C-D086-41F3-8DFD-AA11027A4B4A}"/>
    <cellStyle name="Comma 2 2 2 2 3 5 5 5 2" xfId="41298" xr:uid="{D71A0E0B-279E-445C-B813-09AF77ED9402}"/>
    <cellStyle name="Comma 2 2 2 2 3 5 5 5 3" xfId="23044" xr:uid="{B924A040-FF99-4283-9CA3-A2016A731EE5}"/>
    <cellStyle name="Comma 2 2 2 2 3 5 5 6" xfId="37648" xr:uid="{7D6101E1-7D82-48E6-9337-6025DDF3D5FB}"/>
    <cellStyle name="Comma 2 2 2 2 3 5 5 7" xfId="19394" xr:uid="{7899F8D5-417F-4DDB-A8F0-B2E307EFD434}"/>
    <cellStyle name="Comma 2 2 2 2 3 5 6" xfId="15010" xr:uid="{53D0F58C-1175-491E-BEE1-069607D0315F}"/>
    <cellStyle name="Comma 2 2 2 2 3 5 6 2" xfId="51518" xr:uid="{1FE3D87D-37B5-4A49-9DA0-677C081847B2}"/>
    <cellStyle name="Comma 2 2 2 2 3 5 6 3" xfId="33264" xr:uid="{E183E584-8148-4F67-A264-42582DEA02D3}"/>
    <cellStyle name="Comma 2 2 2 2 3 5 7" xfId="11360" xr:uid="{447F6006-4BF2-428C-B354-854CA1641815}"/>
    <cellStyle name="Comma 2 2 2 2 3 5 7 2" xfId="47868" xr:uid="{52360EFF-F779-4C8A-B178-FA6F5E666E86}"/>
    <cellStyle name="Comma 2 2 2 2 3 5 7 3" xfId="29614" xr:uid="{F126D63A-7D2B-4543-A520-D098BA89C18D}"/>
    <cellStyle name="Comma 2 2 2 2 3 5 8" xfId="7710" xr:uid="{3B4F5752-1EB2-4618-A2F7-533A495DA98B}"/>
    <cellStyle name="Comma 2 2 2 2 3 5 8 2" xfId="44218" xr:uid="{F6DC338A-ADAE-4F48-8E0F-739B1A689C0A}"/>
    <cellStyle name="Comma 2 2 2 2 3 5 8 3" xfId="25964" xr:uid="{853DDE71-A77B-4065-9201-A4A96C7F38EC}"/>
    <cellStyle name="Comma 2 2 2 2 3 5 9" xfId="4060" xr:uid="{9A9317C7-B2E1-4A6B-B0E1-80FB17DEED27}"/>
    <cellStyle name="Comma 2 2 2 2 3 5 9 2" xfId="40568" xr:uid="{E56DA315-757A-411F-9AAA-810B2E7DB6E6}"/>
    <cellStyle name="Comma 2 2 2 2 3 5 9 3" xfId="22314" xr:uid="{FBF406C7-84F2-43CA-BA2F-AB7F01B906DE}"/>
    <cellStyle name="Comma 2 2 2 2 3 6" xfId="306" xr:uid="{6E0B7CE3-5730-4E21-9932-A81976014B35}"/>
    <cellStyle name="Comma 2 2 2 2 3 6 10" xfId="36814" xr:uid="{69CE0D11-0B2F-45DE-9728-3971774CF1A2}"/>
    <cellStyle name="Comma 2 2 2 2 3 6 11" xfId="18560" xr:uid="{CA0AC081-A921-44EE-8C0B-EA067B2E49FE}"/>
    <cellStyle name="Comma 2 2 2 2 3 6 2" xfId="3226" xr:uid="{09CFD891-7B92-4E26-9C44-6A5F359BF09E}"/>
    <cellStyle name="Comma 2 2 2 2 3 6 2 2" xfId="17826" xr:uid="{C0BD9DAE-6936-4957-9948-F034623D7102}"/>
    <cellStyle name="Comma 2 2 2 2 3 6 2 2 2" xfId="54334" xr:uid="{ADE5422B-6EC1-40DB-A35A-6D1EF95E5FA2}"/>
    <cellStyle name="Comma 2 2 2 2 3 6 2 2 3" xfId="36080" xr:uid="{A7326FFF-837E-40F9-A1A4-6C51E9AACAAB}"/>
    <cellStyle name="Comma 2 2 2 2 3 6 2 3" xfId="14176" xr:uid="{8FBAE7E2-6768-4CAB-A22E-A6BD0E875D56}"/>
    <cellStyle name="Comma 2 2 2 2 3 6 2 3 2" xfId="50684" xr:uid="{F1DD8EDA-975C-422A-9DCD-831A8294F161}"/>
    <cellStyle name="Comma 2 2 2 2 3 6 2 3 3" xfId="32430" xr:uid="{7ABF335F-7F0B-4BDD-97AB-D0D901498169}"/>
    <cellStyle name="Comma 2 2 2 2 3 6 2 4" xfId="10526" xr:uid="{6F970374-7F60-4AFD-8192-8136ED2A41F5}"/>
    <cellStyle name="Comma 2 2 2 2 3 6 2 4 2" xfId="47034" xr:uid="{7848BEC8-E05F-48AB-BD7E-CD1392216ED0}"/>
    <cellStyle name="Comma 2 2 2 2 3 6 2 4 3" xfId="28780" xr:uid="{1763AC07-C4B9-43A3-AA56-1C6A3024DDEC}"/>
    <cellStyle name="Comma 2 2 2 2 3 6 2 5" xfId="6876" xr:uid="{0EFBD4C8-D4DF-48BA-B072-77A855930DF9}"/>
    <cellStyle name="Comma 2 2 2 2 3 6 2 5 2" xfId="43384" xr:uid="{4F63433D-3787-40B6-A483-F10562327A5D}"/>
    <cellStyle name="Comma 2 2 2 2 3 6 2 5 3" xfId="25130" xr:uid="{F9F7494A-212D-4548-9E18-5E7C110C606C}"/>
    <cellStyle name="Comma 2 2 2 2 3 6 2 6" xfId="39734" xr:uid="{E5D0BD7E-4669-4B75-9129-ABE08DD25777}"/>
    <cellStyle name="Comma 2 2 2 2 3 6 2 7" xfId="21480" xr:uid="{5C87B0B8-1D0D-41A9-98A5-0265CE6EF5E6}"/>
    <cellStyle name="Comma 2 2 2 2 3 6 3" xfId="2496" xr:uid="{77F11EB3-BA19-4726-89ED-96B3492CA66B}"/>
    <cellStyle name="Comma 2 2 2 2 3 6 3 2" xfId="17096" xr:uid="{25F9B9E2-BDCC-4361-8585-CFCEA0FF3107}"/>
    <cellStyle name="Comma 2 2 2 2 3 6 3 2 2" xfId="53604" xr:uid="{826F590B-CBFF-495D-8CA8-B0FFDF03C381}"/>
    <cellStyle name="Comma 2 2 2 2 3 6 3 2 3" xfId="35350" xr:uid="{31FB90D9-A15E-41D9-86E8-9EBC425B730F}"/>
    <cellStyle name="Comma 2 2 2 2 3 6 3 3" xfId="13446" xr:uid="{DEF96701-E0EC-4FC3-A411-E470F0AE55A0}"/>
    <cellStyle name="Comma 2 2 2 2 3 6 3 3 2" xfId="49954" xr:uid="{BB6F7A95-2B79-4E63-AD73-7A4D84B842BD}"/>
    <cellStyle name="Comma 2 2 2 2 3 6 3 3 3" xfId="31700" xr:uid="{360B19F4-6D1F-4C92-9327-1D8D0D966329}"/>
    <cellStyle name="Comma 2 2 2 2 3 6 3 4" xfId="9796" xr:uid="{1C95010E-BC5E-43B0-8D98-8D7133FC71A9}"/>
    <cellStyle name="Comma 2 2 2 2 3 6 3 4 2" xfId="46304" xr:uid="{5C46EEC2-AFDE-4B87-AA6E-81D7856FE74D}"/>
    <cellStyle name="Comma 2 2 2 2 3 6 3 4 3" xfId="28050" xr:uid="{F341E2A1-4FB5-4FD1-A439-EBFCE7F2337D}"/>
    <cellStyle name="Comma 2 2 2 2 3 6 3 5" xfId="6146" xr:uid="{C6F271C4-916A-462F-8274-CFF20A69A348}"/>
    <cellStyle name="Comma 2 2 2 2 3 6 3 5 2" xfId="42654" xr:uid="{70686B26-B4BB-4A06-BF71-D05EBA11CD65}"/>
    <cellStyle name="Comma 2 2 2 2 3 6 3 5 3" xfId="24400" xr:uid="{28861A0F-7FCD-48F3-AAAC-E760A856C25C}"/>
    <cellStyle name="Comma 2 2 2 2 3 6 3 6" xfId="39004" xr:uid="{0BEC3711-6DB2-49DD-A62F-D0A1C3BE010B}"/>
    <cellStyle name="Comma 2 2 2 2 3 6 3 7" xfId="20750" xr:uid="{98F2D21F-ABB1-4E01-A8C3-574332C76D92}"/>
    <cellStyle name="Comma 2 2 2 2 3 6 4" xfId="1766" xr:uid="{B3AA8038-DBE7-4697-B332-9754275183E3}"/>
    <cellStyle name="Comma 2 2 2 2 3 6 4 2" xfId="16366" xr:uid="{823D774B-EEF9-47EF-A8C7-15097EE435C8}"/>
    <cellStyle name="Comma 2 2 2 2 3 6 4 2 2" xfId="52874" xr:uid="{911D4C79-2283-4C38-84A7-2F6DC4E07D05}"/>
    <cellStyle name="Comma 2 2 2 2 3 6 4 2 3" xfId="34620" xr:uid="{76A87452-8366-4D0F-833E-403CF80006D8}"/>
    <cellStyle name="Comma 2 2 2 2 3 6 4 3" xfId="12716" xr:uid="{8628ACF9-A260-45E9-9C18-6272A48390A0}"/>
    <cellStyle name="Comma 2 2 2 2 3 6 4 3 2" xfId="49224" xr:uid="{6168B914-E9A4-49D9-8EBB-5BE97CF0D9D4}"/>
    <cellStyle name="Comma 2 2 2 2 3 6 4 3 3" xfId="30970" xr:uid="{776B2E5D-7D62-4FB5-A3DE-C104F51EA36F}"/>
    <cellStyle name="Comma 2 2 2 2 3 6 4 4" xfId="9066" xr:uid="{C4E534A6-00E8-4EE3-A599-23194A72C2CF}"/>
    <cellStyle name="Comma 2 2 2 2 3 6 4 4 2" xfId="45574" xr:uid="{AB695E30-E004-4600-80E1-B6D0399E1F98}"/>
    <cellStyle name="Comma 2 2 2 2 3 6 4 4 3" xfId="27320" xr:uid="{5BBED37C-BCA9-4877-8D6E-10043776D52D}"/>
    <cellStyle name="Comma 2 2 2 2 3 6 4 5" xfId="5416" xr:uid="{877B181A-7258-482F-8155-A500E82E7659}"/>
    <cellStyle name="Comma 2 2 2 2 3 6 4 5 2" xfId="41924" xr:uid="{80C21AD4-7460-44F2-B909-8E8820F2D6B4}"/>
    <cellStyle name="Comma 2 2 2 2 3 6 4 5 3" xfId="23670" xr:uid="{FDDD75D4-8FA8-4033-941D-49291CAE1B8B}"/>
    <cellStyle name="Comma 2 2 2 2 3 6 4 6" xfId="38274" xr:uid="{07F8772D-C7DF-40DB-80F2-B9CE33CDAD73}"/>
    <cellStyle name="Comma 2 2 2 2 3 6 4 7" xfId="20020" xr:uid="{35873307-C365-4CDD-9DD6-C0826EC027BA}"/>
    <cellStyle name="Comma 2 2 2 2 3 6 5" xfId="1036" xr:uid="{E6F4FB6B-21D9-4C69-8C3A-1E5C83FB4308}"/>
    <cellStyle name="Comma 2 2 2 2 3 6 5 2" xfId="15636" xr:uid="{C58DD93F-E326-41AD-BE6E-DD1196C1B7A1}"/>
    <cellStyle name="Comma 2 2 2 2 3 6 5 2 2" xfId="52144" xr:uid="{4A087AAC-9482-4CA4-AA81-2644DB34C37F}"/>
    <cellStyle name="Comma 2 2 2 2 3 6 5 2 3" xfId="33890" xr:uid="{50BE429B-DBA8-4A46-AE40-CE4CE789014A}"/>
    <cellStyle name="Comma 2 2 2 2 3 6 5 3" xfId="11986" xr:uid="{47B37DE4-C933-4925-BBA0-0CFC5C671EF4}"/>
    <cellStyle name="Comma 2 2 2 2 3 6 5 3 2" xfId="48494" xr:uid="{F9FD21AA-C627-4FA3-88D2-A351BA15D43E}"/>
    <cellStyle name="Comma 2 2 2 2 3 6 5 3 3" xfId="30240" xr:uid="{586F41CB-D283-411D-80B7-F1508346C00B}"/>
    <cellStyle name="Comma 2 2 2 2 3 6 5 4" xfId="8336" xr:uid="{1B274FF8-E74E-4AA5-9C9C-2149490C4F93}"/>
    <cellStyle name="Comma 2 2 2 2 3 6 5 4 2" xfId="44844" xr:uid="{5A00A52B-623E-4C25-9BF0-8031582770E2}"/>
    <cellStyle name="Comma 2 2 2 2 3 6 5 4 3" xfId="26590" xr:uid="{8D9E9096-05AF-4224-8CE3-92E95F6DDAC7}"/>
    <cellStyle name="Comma 2 2 2 2 3 6 5 5" xfId="4686" xr:uid="{9BBFD651-5031-48DD-8A9A-BDFAB6FC74CF}"/>
    <cellStyle name="Comma 2 2 2 2 3 6 5 5 2" xfId="41194" xr:uid="{EF6E5762-F773-45CF-9B87-977B5A0B3AFD}"/>
    <cellStyle name="Comma 2 2 2 2 3 6 5 5 3" xfId="22940" xr:uid="{6385F1D5-151E-4D27-AEEE-0205287111D4}"/>
    <cellStyle name="Comma 2 2 2 2 3 6 5 6" xfId="37544" xr:uid="{695AC8C2-887E-4657-A8E4-7D00EF7B088B}"/>
    <cellStyle name="Comma 2 2 2 2 3 6 5 7" xfId="19290" xr:uid="{91171AD1-EE53-405E-A916-4FDFB605D552}"/>
    <cellStyle name="Comma 2 2 2 2 3 6 6" xfId="14906" xr:uid="{5011D83A-5D42-469C-9318-A0DFB6716120}"/>
    <cellStyle name="Comma 2 2 2 2 3 6 6 2" xfId="51414" xr:uid="{C0ADA53C-F89F-41C0-B5F0-800CCFE5C137}"/>
    <cellStyle name="Comma 2 2 2 2 3 6 6 3" xfId="33160" xr:uid="{9213B025-4ABB-4EA3-A4DC-0B5DD337EF1F}"/>
    <cellStyle name="Comma 2 2 2 2 3 6 7" xfId="11256" xr:uid="{C1491221-3429-4DCB-8A59-42B45BB9D1C9}"/>
    <cellStyle name="Comma 2 2 2 2 3 6 7 2" xfId="47764" xr:uid="{A7BE42B1-467A-43A4-9C0A-CD791C36D72D}"/>
    <cellStyle name="Comma 2 2 2 2 3 6 7 3" xfId="29510" xr:uid="{590EE4F7-4625-42E8-A0F0-A58A0C2EC705}"/>
    <cellStyle name="Comma 2 2 2 2 3 6 8" xfId="7606" xr:uid="{D604D438-7F23-420D-8762-8139C58EE961}"/>
    <cellStyle name="Comma 2 2 2 2 3 6 8 2" xfId="44114" xr:uid="{D38B0DD9-CC96-47F5-A14B-AD53D73EDC8F}"/>
    <cellStyle name="Comma 2 2 2 2 3 6 8 3" xfId="25860" xr:uid="{C7BFD034-8EB4-4C77-839B-C4E3D91BCB47}"/>
    <cellStyle name="Comma 2 2 2 2 3 6 9" xfId="3956" xr:uid="{61A29557-CAF8-4D52-9745-ACF1CD8275CE}"/>
    <cellStyle name="Comma 2 2 2 2 3 6 9 2" xfId="40464" xr:uid="{C899DB28-5D9B-4E4F-A1D6-7B3E2388A7FB}"/>
    <cellStyle name="Comma 2 2 2 2 3 6 9 3" xfId="22210" xr:uid="{678AAC34-F973-4A95-8AC0-46685D6C3EB9}"/>
    <cellStyle name="Comma 2 2 2 2 3 7" xfId="202" xr:uid="{11B83BEE-B4AB-45CE-B976-BA57CEB11D55}"/>
    <cellStyle name="Comma 2 2 2 2 3 7 10" xfId="36710" xr:uid="{677B48CC-6607-4A24-AC48-C96A50C0FA97}"/>
    <cellStyle name="Comma 2 2 2 2 3 7 11" xfId="18456" xr:uid="{861DB2E7-2C68-4080-AE7C-2845088F835B}"/>
    <cellStyle name="Comma 2 2 2 2 3 7 2" xfId="3122" xr:uid="{571ECFFE-E6E6-4066-9FA9-0BF040E48DE0}"/>
    <cellStyle name="Comma 2 2 2 2 3 7 2 2" xfId="17722" xr:uid="{3BCEDABE-BB5A-4DB7-BC69-D07D76820AE7}"/>
    <cellStyle name="Comma 2 2 2 2 3 7 2 2 2" xfId="54230" xr:uid="{D6E34171-4264-4B7A-B47D-875430E63520}"/>
    <cellStyle name="Comma 2 2 2 2 3 7 2 2 3" xfId="35976" xr:uid="{A52B6F6D-4FCF-4DB5-B91E-79AC427695CD}"/>
    <cellStyle name="Comma 2 2 2 2 3 7 2 3" xfId="14072" xr:uid="{73F59A10-330F-411C-B877-866712484736}"/>
    <cellStyle name="Comma 2 2 2 2 3 7 2 3 2" xfId="50580" xr:uid="{4C25D700-0709-43C2-9762-365871BD1F92}"/>
    <cellStyle name="Comma 2 2 2 2 3 7 2 3 3" xfId="32326" xr:uid="{9B73651D-1789-4A74-8325-9C866D6AA9E8}"/>
    <cellStyle name="Comma 2 2 2 2 3 7 2 4" xfId="10422" xr:uid="{D6CC1985-AFB7-4AF5-B9B1-018D29BC248C}"/>
    <cellStyle name="Comma 2 2 2 2 3 7 2 4 2" xfId="46930" xr:uid="{2FC38DB8-F589-4CF3-9E91-7BAE7DD69174}"/>
    <cellStyle name="Comma 2 2 2 2 3 7 2 4 3" xfId="28676" xr:uid="{9F18BF12-2365-45E3-8344-8E1F33AF299A}"/>
    <cellStyle name="Comma 2 2 2 2 3 7 2 5" xfId="6772" xr:uid="{2DDC5E0C-769D-4D42-BB13-6B7E7D060BF7}"/>
    <cellStyle name="Comma 2 2 2 2 3 7 2 5 2" xfId="43280" xr:uid="{583540F0-88DC-4E99-AE02-593B15B4D091}"/>
    <cellStyle name="Comma 2 2 2 2 3 7 2 5 3" xfId="25026" xr:uid="{9EBB12DC-61C5-4F9D-8D23-DB4922C45B6B}"/>
    <cellStyle name="Comma 2 2 2 2 3 7 2 6" xfId="39630" xr:uid="{5354FA0D-C340-4853-9EEE-76359E84F5E4}"/>
    <cellStyle name="Comma 2 2 2 2 3 7 2 7" xfId="21376" xr:uid="{9E8159C7-09BA-451F-8588-A22AED7C4673}"/>
    <cellStyle name="Comma 2 2 2 2 3 7 3" xfId="2392" xr:uid="{401C4C29-6533-4B9C-A51F-85DE10EAAE64}"/>
    <cellStyle name="Comma 2 2 2 2 3 7 3 2" xfId="16992" xr:uid="{A69C475B-633C-4CB2-9F6B-8B85EB1DD7BA}"/>
    <cellStyle name="Comma 2 2 2 2 3 7 3 2 2" xfId="53500" xr:uid="{3B542A9C-3D0C-4FC2-9845-5202ADA8D339}"/>
    <cellStyle name="Comma 2 2 2 2 3 7 3 2 3" xfId="35246" xr:uid="{A6507A88-62E9-4DA3-BE3C-64B6AB28F24C}"/>
    <cellStyle name="Comma 2 2 2 2 3 7 3 3" xfId="13342" xr:uid="{A52BD29E-EF0D-44B6-BB29-5F5FF625BF31}"/>
    <cellStyle name="Comma 2 2 2 2 3 7 3 3 2" xfId="49850" xr:uid="{AD39C636-CD2B-4859-8F1F-6FF784574F42}"/>
    <cellStyle name="Comma 2 2 2 2 3 7 3 3 3" xfId="31596" xr:uid="{63466199-5A9D-4AFC-9682-5669305B9F7C}"/>
    <cellStyle name="Comma 2 2 2 2 3 7 3 4" xfId="9692" xr:uid="{B2B41D16-B9D1-4487-8F8D-A0545E40E86B}"/>
    <cellStyle name="Comma 2 2 2 2 3 7 3 4 2" xfId="46200" xr:uid="{69FD16B7-B365-47C5-86D2-C778368017F5}"/>
    <cellStyle name="Comma 2 2 2 2 3 7 3 4 3" xfId="27946" xr:uid="{685401A8-ACE9-4E96-976D-4F48EF550E91}"/>
    <cellStyle name="Comma 2 2 2 2 3 7 3 5" xfId="6042" xr:uid="{F4372781-CD76-4EAB-BA5C-4C38C438B895}"/>
    <cellStyle name="Comma 2 2 2 2 3 7 3 5 2" xfId="42550" xr:uid="{1823C764-C3E3-4BB0-A6A3-541368D7A05F}"/>
    <cellStyle name="Comma 2 2 2 2 3 7 3 5 3" xfId="24296" xr:uid="{A2A127F3-AB4A-4F49-A115-085F786F38AA}"/>
    <cellStyle name="Comma 2 2 2 2 3 7 3 6" xfId="38900" xr:uid="{0B129996-3652-46E1-830D-2696A2A3F239}"/>
    <cellStyle name="Comma 2 2 2 2 3 7 3 7" xfId="20646" xr:uid="{BF30F957-5363-4248-A1C4-5D6D3BA805A8}"/>
    <cellStyle name="Comma 2 2 2 2 3 7 4" xfId="1662" xr:uid="{70B55436-2528-4B31-B501-3CB21BCD7036}"/>
    <cellStyle name="Comma 2 2 2 2 3 7 4 2" xfId="16262" xr:uid="{63293F16-48E8-416A-A2C5-3B3C4414F934}"/>
    <cellStyle name="Comma 2 2 2 2 3 7 4 2 2" xfId="52770" xr:uid="{726DC8F0-25A5-4131-94FC-95C10CCDBD1E}"/>
    <cellStyle name="Comma 2 2 2 2 3 7 4 2 3" xfId="34516" xr:uid="{DE7D813D-29D8-4D86-8610-CFF57F66D7D4}"/>
    <cellStyle name="Comma 2 2 2 2 3 7 4 3" xfId="12612" xr:uid="{B0DC398A-4DE2-4EB6-9928-64C9F12C7A40}"/>
    <cellStyle name="Comma 2 2 2 2 3 7 4 3 2" xfId="49120" xr:uid="{288EBA0F-403E-4B0D-8BEE-2FE987506528}"/>
    <cellStyle name="Comma 2 2 2 2 3 7 4 3 3" xfId="30866" xr:uid="{CD959EC3-67FC-47A9-9DBB-E92B0427B14E}"/>
    <cellStyle name="Comma 2 2 2 2 3 7 4 4" xfId="8962" xr:uid="{C1789ABE-55CE-4C29-BBBC-043D50055E27}"/>
    <cellStyle name="Comma 2 2 2 2 3 7 4 4 2" xfId="45470" xr:uid="{C2BD0696-D34D-4FDD-990C-35F4066BFC66}"/>
    <cellStyle name="Comma 2 2 2 2 3 7 4 4 3" xfId="27216" xr:uid="{BA5C0EA0-3406-403F-B197-81A4EA3B7322}"/>
    <cellStyle name="Comma 2 2 2 2 3 7 4 5" xfId="5312" xr:uid="{28EF816D-8E5B-4F0F-B63D-2FD31B4696A8}"/>
    <cellStyle name="Comma 2 2 2 2 3 7 4 5 2" xfId="41820" xr:uid="{D5895708-3AD8-43B9-B573-C547964CFE42}"/>
    <cellStyle name="Comma 2 2 2 2 3 7 4 5 3" xfId="23566" xr:uid="{5AA388FA-8838-498C-9840-6664FE627A66}"/>
    <cellStyle name="Comma 2 2 2 2 3 7 4 6" xfId="38170" xr:uid="{4B6B9DE5-64CB-4B61-ABA5-68286CBB8561}"/>
    <cellStyle name="Comma 2 2 2 2 3 7 4 7" xfId="19916" xr:uid="{7612D7FF-9198-4ABB-8BEE-4B1A7B4534D0}"/>
    <cellStyle name="Comma 2 2 2 2 3 7 5" xfId="932" xr:uid="{E2DD6CA9-47CD-4DDD-B7D3-CFEEF6D0C5F8}"/>
    <cellStyle name="Comma 2 2 2 2 3 7 5 2" xfId="15532" xr:uid="{5352F268-0F05-4BE2-B96D-C5171065E2F0}"/>
    <cellStyle name="Comma 2 2 2 2 3 7 5 2 2" xfId="52040" xr:uid="{85A56512-4875-4ED5-9232-BC98828DCA10}"/>
    <cellStyle name="Comma 2 2 2 2 3 7 5 2 3" xfId="33786" xr:uid="{9D15798C-4BDB-4FFD-8405-F2F83CFAB05E}"/>
    <cellStyle name="Comma 2 2 2 2 3 7 5 3" xfId="11882" xr:uid="{39BE486A-7C7D-47C5-AA99-596446050B20}"/>
    <cellStyle name="Comma 2 2 2 2 3 7 5 3 2" xfId="48390" xr:uid="{D94CE1C6-5315-46F8-99E5-4D70DAD8D36F}"/>
    <cellStyle name="Comma 2 2 2 2 3 7 5 3 3" xfId="30136" xr:uid="{A16AD250-8829-4672-8DE9-A59357A982F0}"/>
    <cellStyle name="Comma 2 2 2 2 3 7 5 4" xfId="8232" xr:uid="{549EE679-A67D-4D76-A805-E52D885D9119}"/>
    <cellStyle name="Comma 2 2 2 2 3 7 5 4 2" xfId="44740" xr:uid="{679CB4C6-501E-4461-A501-471029323F2C}"/>
    <cellStyle name="Comma 2 2 2 2 3 7 5 4 3" xfId="26486" xr:uid="{6DB96FF6-C269-47AD-9C2D-5AA0AB7BF5B3}"/>
    <cellStyle name="Comma 2 2 2 2 3 7 5 5" xfId="4582" xr:uid="{9CE9E44F-4E80-4A12-9334-133CF609B778}"/>
    <cellStyle name="Comma 2 2 2 2 3 7 5 5 2" xfId="41090" xr:uid="{EB7A012E-157B-4174-BF0D-6F45596D8145}"/>
    <cellStyle name="Comma 2 2 2 2 3 7 5 5 3" xfId="22836" xr:uid="{CABB0460-9DE0-4FB9-8B3B-99D30E433411}"/>
    <cellStyle name="Comma 2 2 2 2 3 7 5 6" xfId="37440" xr:uid="{D317A17D-8A36-4216-AD9F-5375B0818EAF}"/>
    <cellStyle name="Comma 2 2 2 2 3 7 5 7" xfId="19186" xr:uid="{B13B449B-5DCC-46FB-90F7-66862AF7D09E}"/>
    <cellStyle name="Comma 2 2 2 2 3 7 6" xfId="14802" xr:uid="{88370440-9B6B-46CB-B983-C1A23D48D6EA}"/>
    <cellStyle name="Comma 2 2 2 2 3 7 6 2" xfId="51310" xr:uid="{AD54E031-B94B-412F-87A3-7FD9A3C654E5}"/>
    <cellStyle name="Comma 2 2 2 2 3 7 6 3" xfId="33056" xr:uid="{4B5417F1-F981-49EB-9F7E-F5453A6FC4C4}"/>
    <cellStyle name="Comma 2 2 2 2 3 7 7" xfId="11152" xr:uid="{00D17EEF-265B-489A-911E-E3D80FA16863}"/>
    <cellStyle name="Comma 2 2 2 2 3 7 7 2" xfId="47660" xr:uid="{840B419D-E3C4-480B-8395-FAAEF57BC844}"/>
    <cellStyle name="Comma 2 2 2 2 3 7 7 3" xfId="29406" xr:uid="{B2AE0CF1-E980-46CE-ABB9-A76101843A91}"/>
    <cellStyle name="Comma 2 2 2 2 3 7 8" xfId="7502" xr:uid="{FFCCA1BF-C793-402C-B5AE-0B2FB594C0B1}"/>
    <cellStyle name="Comma 2 2 2 2 3 7 8 2" xfId="44010" xr:uid="{BA1B3B0A-64FF-4F23-AD2B-0A4282213228}"/>
    <cellStyle name="Comma 2 2 2 2 3 7 8 3" xfId="25756" xr:uid="{819C0A03-1B09-4F6E-A224-B1A2D0015A52}"/>
    <cellStyle name="Comma 2 2 2 2 3 7 9" xfId="3852" xr:uid="{57116FE9-8F0F-43E4-8238-428B972170FD}"/>
    <cellStyle name="Comma 2 2 2 2 3 7 9 2" xfId="40360" xr:uid="{C54B5DB3-8650-44E4-BACF-5A9CD2F35536}"/>
    <cellStyle name="Comma 2 2 2 2 3 7 9 3" xfId="22106" xr:uid="{298FCED0-B789-45F0-B8BB-B741500755E7}"/>
    <cellStyle name="Comma 2 2 2 2 3 8" xfId="3018" xr:uid="{45530B7F-1264-46C7-978B-9372160ADF8F}"/>
    <cellStyle name="Comma 2 2 2 2 3 8 2" xfId="17618" xr:uid="{8F79FD0F-6FE2-4324-BA23-804EB1B6A695}"/>
    <cellStyle name="Comma 2 2 2 2 3 8 2 2" xfId="54126" xr:uid="{9E5743B6-4CDA-4070-AFA8-0720AAB34564}"/>
    <cellStyle name="Comma 2 2 2 2 3 8 2 3" xfId="35872" xr:uid="{24D289BB-858C-4F06-8F82-678C8B7BC203}"/>
    <cellStyle name="Comma 2 2 2 2 3 8 3" xfId="13968" xr:uid="{FD7FEB97-28C1-4CCE-89D5-47461B9DA868}"/>
    <cellStyle name="Comma 2 2 2 2 3 8 3 2" xfId="50476" xr:uid="{77691E60-6881-475E-949F-8B6B3ABEDC92}"/>
    <cellStyle name="Comma 2 2 2 2 3 8 3 3" xfId="32222" xr:uid="{037425EF-BD57-4EAF-B65E-7AD8972CA562}"/>
    <cellStyle name="Comma 2 2 2 2 3 8 4" xfId="10318" xr:uid="{F66C4BB3-16B7-4BB0-873B-D62C2F51E317}"/>
    <cellStyle name="Comma 2 2 2 2 3 8 4 2" xfId="46826" xr:uid="{32871A2D-5C89-49F9-A0A6-BF5FA49ADB13}"/>
    <cellStyle name="Comma 2 2 2 2 3 8 4 3" xfId="28572" xr:uid="{F770EA44-AD82-485A-8948-804BAE5FC2CA}"/>
    <cellStyle name="Comma 2 2 2 2 3 8 5" xfId="6668" xr:uid="{34BD7B76-E95A-44F9-BC4F-1FD92EE235AA}"/>
    <cellStyle name="Comma 2 2 2 2 3 8 5 2" xfId="43176" xr:uid="{87D2E988-B69F-44D5-91B1-634A40C8E757}"/>
    <cellStyle name="Comma 2 2 2 2 3 8 5 3" xfId="24922" xr:uid="{E66F3113-0C53-48FB-A97D-D7DA51828FD8}"/>
    <cellStyle name="Comma 2 2 2 2 3 8 6" xfId="39526" xr:uid="{40A52781-2C79-43BE-9C41-16255A48A8F3}"/>
    <cellStyle name="Comma 2 2 2 2 3 8 7" xfId="21272" xr:uid="{5A8AA600-B911-4ED0-AB69-CDD16145E9FA}"/>
    <cellStyle name="Comma 2 2 2 2 3 9" xfId="2288" xr:uid="{0C252097-52CB-4523-89CA-9513689172A3}"/>
    <cellStyle name="Comma 2 2 2 2 3 9 2" xfId="16888" xr:uid="{9A57E34C-A70D-480D-9F86-3B6FEC7083D2}"/>
    <cellStyle name="Comma 2 2 2 2 3 9 2 2" xfId="53396" xr:uid="{92C150B8-DBF9-4C0C-8073-C5F0AA384047}"/>
    <cellStyle name="Comma 2 2 2 2 3 9 2 3" xfId="35142" xr:uid="{7ECB8A98-2935-4A06-930E-4F4AAA0CA37A}"/>
    <cellStyle name="Comma 2 2 2 2 3 9 3" xfId="13238" xr:uid="{020F9C8B-2852-4387-AD63-387B3B68600C}"/>
    <cellStyle name="Comma 2 2 2 2 3 9 3 2" xfId="49746" xr:uid="{6EE703F0-94A2-4A6B-8305-5CDC43CEDD56}"/>
    <cellStyle name="Comma 2 2 2 2 3 9 3 3" xfId="31492" xr:uid="{91C22542-96D1-451F-A178-D8E933DCCF28}"/>
    <cellStyle name="Comma 2 2 2 2 3 9 4" xfId="9588" xr:uid="{62245CA5-2B15-4FA3-9B1C-29FBEDEBB756}"/>
    <cellStyle name="Comma 2 2 2 2 3 9 4 2" xfId="46096" xr:uid="{49F1B3A7-E814-4B62-9EAB-03B6E843128B}"/>
    <cellStyle name="Comma 2 2 2 2 3 9 4 3" xfId="27842" xr:uid="{ED9D12FE-FD0F-41D1-937C-23E17150737E}"/>
    <cellStyle name="Comma 2 2 2 2 3 9 5" xfId="5938" xr:uid="{A0F32416-C963-4C06-9891-AAAED05CC63E}"/>
    <cellStyle name="Comma 2 2 2 2 3 9 5 2" xfId="42446" xr:uid="{F26EB1E8-B15E-4781-BC23-1A7875A135ED}"/>
    <cellStyle name="Comma 2 2 2 2 3 9 5 3" xfId="24192" xr:uid="{84B2CC58-5B14-4EE5-BFC2-1F4699761BA5}"/>
    <cellStyle name="Comma 2 2 2 2 3 9 6" xfId="38796" xr:uid="{0FB5E6AF-B6D7-45AC-B7A9-ABBB054ECA54}"/>
    <cellStyle name="Comma 2 2 2 2 3 9 7" xfId="20542" xr:uid="{634F1A09-B82E-4223-A555-1EA2852398A5}"/>
    <cellStyle name="Comma 2 2 2 2 4" xfId="60" xr:uid="{6CD1D458-EA73-41B8-914B-A9540FBCC462}"/>
    <cellStyle name="Comma 2 2 2 2 4 10" xfId="1526" xr:uid="{CF75DA3A-7C35-4EEF-9D7C-4989D1B7A8BD}"/>
    <cellStyle name="Comma 2 2 2 2 4 10 2" xfId="16126" xr:uid="{20BD3032-3839-4C03-A903-2E47BA3A23F9}"/>
    <cellStyle name="Comma 2 2 2 2 4 10 2 2" xfId="52634" xr:uid="{15A8BBA6-3743-47E9-B71C-CA98853D2310}"/>
    <cellStyle name="Comma 2 2 2 2 4 10 2 3" xfId="34380" xr:uid="{4AA5FF50-F98D-4951-B0B1-CD50DA7C0117}"/>
    <cellStyle name="Comma 2 2 2 2 4 10 3" xfId="12476" xr:uid="{C23EFCBB-6356-4B14-92BE-A429DDFC7787}"/>
    <cellStyle name="Comma 2 2 2 2 4 10 3 2" xfId="48984" xr:uid="{F3F6774D-412B-4B9B-BF79-A16FC53988C5}"/>
    <cellStyle name="Comma 2 2 2 2 4 10 3 3" xfId="30730" xr:uid="{88E80462-CF1D-4D5F-BBD7-4120CF183163}"/>
    <cellStyle name="Comma 2 2 2 2 4 10 4" xfId="8826" xr:uid="{EF2398F8-594D-4B34-B745-ACC6C210D425}"/>
    <cellStyle name="Comma 2 2 2 2 4 10 4 2" xfId="45334" xr:uid="{423E1BDB-394F-4561-B278-65C603A3703D}"/>
    <cellStyle name="Comma 2 2 2 2 4 10 4 3" xfId="27080" xr:uid="{8EFEE575-E540-4647-AAAA-726832665BFB}"/>
    <cellStyle name="Comma 2 2 2 2 4 10 5" xfId="5176" xr:uid="{D259C74F-5D55-4BFB-989B-4E8ED3166A0C}"/>
    <cellStyle name="Comma 2 2 2 2 4 10 5 2" xfId="41684" xr:uid="{F7F28052-009D-4DD3-8750-4DFB0702AFAA}"/>
    <cellStyle name="Comma 2 2 2 2 4 10 5 3" xfId="23430" xr:uid="{C30126E1-B2E9-4582-8C93-324B16E57075}"/>
    <cellStyle name="Comma 2 2 2 2 4 10 6" xfId="38034" xr:uid="{5356FC7C-9FE8-4B85-9BC3-D05285277507}"/>
    <cellStyle name="Comma 2 2 2 2 4 10 7" xfId="19780" xr:uid="{803E1607-F894-48F6-9CB1-CAC54A579B3F}"/>
    <cellStyle name="Comma 2 2 2 2 4 11" xfId="796" xr:uid="{DADEF93C-4D08-4B5D-91B2-5A2564A585C8}"/>
    <cellStyle name="Comma 2 2 2 2 4 11 2" xfId="15396" xr:uid="{F8F8F640-B1ED-455E-98DA-E06FCE2BAB22}"/>
    <cellStyle name="Comma 2 2 2 2 4 11 2 2" xfId="51904" xr:uid="{5D334AF0-4D00-4577-9938-B4B50AC79AD1}"/>
    <cellStyle name="Comma 2 2 2 2 4 11 2 3" xfId="33650" xr:uid="{48CC25E5-E89B-4036-A7E3-FA9729E294B9}"/>
    <cellStyle name="Comma 2 2 2 2 4 11 3" xfId="11746" xr:uid="{A3CDCB3F-E304-40E3-BCC7-91C2E5942B46}"/>
    <cellStyle name="Comma 2 2 2 2 4 11 3 2" xfId="48254" xr:uid="{2459E834-6894-4E10-85C5-1741E1BDE8CB}"/>
    <cellStyle name="Comma 2 2 2 2 4 11 3 3" xfId="30000" xr:uid="{38B28EC0-8EEE-40CA-A3EA-F67A8859E2BF}"/>
    <cellStyle name="Comma 2 2 2 2 4 11 4" xfId="8096" xr:uid="{F8489D82-8BBC-40EF-B6FA-7B02B0E14ADC}"/>
    <cellStyle name="Comma 2 2 2 2 4 11 4 2" xfId="44604" xr:uid="{B1E7CD16-BBEB-4E1C-8C51-318513277F25}"/>
    <cellStyle name="Comma 2 2 2 2 4 11 4 3" xfId="26350" xr:uid="{3BEC072C-AA2C-472F-BAC7-B93F2CEFA1F5}"/>
    <cellStyle name="Comma 2 2 2 2 4 11 5" xfId="4446" xr:uid="{B2CDB7D8-A09F-407C-959E-420270A76EA0}"/>
    <cellStyle name="Comma 2 2 2 2 4 11 5 2" xfId="40954" xr:uid="{503A217E-9603-4BBB-B1C5-57586E1A8074}"/>
    <cellStyle name="Comma 2 2 2 2 4 11 5 3" xfId="22700" xr:uid="{EF2AE1E2-EE20-4FF9-9472-CA9E8AFDF2AE}"/>
    <cellStyle name="Comma 2 2 2 2 4 11 6" xfId="37304" xr:uid="{7EBD2B8E-EA9D-4792-9726-721B7C7B829E}"/>
    <cellStyle name="Comma 2 2 2 2 4 11 7" xfId="19050" xr:uid="{5696D74E-0990-4449-B469-87BB2C60C941}"/>
    <cellStyle name="Comma 2 2 2 2 4 12" xfId="14666" xr:uid="{2E055CAE-CAB4-4D9A-BB36-34E1B10BF232}"/>
    <cellStyle name="Comma 2 2 2 2 4 12 2" xfId="51174" xr:uid="{CA47DEEE-A98E-47A2-A8AB-CDF0E5BC6401}"/>
    <cellStyle name="Comma 2 2 2 2 4 12 3" xfId="32920" xr:uid="{29E2FB3D-3ED6-47C0-8870-9F927E53EA96}"/>
    <cellStyle name="Comma 2 2 2 2 4 13" xfId="11016" xr:uid="{DACED08A-682F-474A-BDA1-FE940CBF49BA}"/>
    <cellStyle name="Comma 2 2 2 2 4 13 2" xfId="47524" xr:uid="{F293F5EB-91A4-4311-9D71-13C5C8B9A281}"/>
    <cellStyle name="Comma 2 2 2 2 4 13 3" xfId="29270" xr:uid="{9BEA79D6-AFD6-4641-A704-193940F54943}"/>
    <cellStyle name="Comma 2 2 2 2 4 14" xfId="7366" xr:uid="{D1117E7F-9452-4C65-A6A5-2A94E6773BAE}"/>
    <cellStyle name="Comma 2 2 2 2 4 14 2" xfId="43874" xr:uid="{19C11E75-66DE-4877-8EE5-4ABE8215FBE5}"/>
    <cellStyle name="Comma 2 2 2 2 4 14 3" xfId="25620" xr:uid="{81CD92EF-B7C2-4AF6-A8BC-A2A59124CDE1}"/>
    <cellStyle name="Comma 2 2 2 2 4 15" xfId="3716" xr:uid="{0A2E7419-3579-4D20-8818-06EA2C95EF20}"/>
    <cellStyle name="Comma 2 2 2 2 4 15 2" xfId="40224" xr:uid="{767D26B6-A1BF-4558-8F19-A3666B92E10D}"/>
    <cellStyle name="Comma 2 2 2 2 4 15 3" xfId="21970" xr:uid="{226778A3-4C03-400C-AF4C-3B960C90E07E}"/>
    <cellStyle name="Comma 2 2 2 2 4 16" xfId="36574" xr:uid="{BF530BC4-1887-4E3D-88ED-17808D2C6BCD}"/>
    <cellStyle name="Comma 2 2 2 2 4 17" xfId="18320" xr:uid="{2ABD114A-4C9B-4A4B-BEA4-3FBF6EC6C90C}"/>
    <cellStyle name="Comma 2 2 2 2 4 2" xfId="690" xr:uid="{7A073B8D-6E37-4184-8B92-78C52F3C30FE}"/>
    <cellStyle name="Comma 2 2 2 2 4 2 10" xfId="37198" xr:uid="{BCE68F4E-CF04-4E58-A4E2-C813C00D2FA9}"/>
    <cellStyle name="Comma 2 2 2 2 4 2 11" xfId="18944" xr:uid="{BAD75E73-C5DB-4836-9E57-DED15A6EDBD9}"/>
    <cellStyle name="Comma 2 2 2 2 4 2 2" xfId="3610" xr:uid="{E01A3218-EBD0-46EE-A43A-1666DB59F333}"/>
    <cellStyle name="Comma 2 2 2 2 4 2 2 2" xfId="18210" xr:uid="{924A99E1-24EA-420E-A900-44FDB9A974EE}"/>
    <cellStyle name="Comma 2 2 2 2 4 2 2 2 2" xfId="54718" xr:uid="{44E42DE7-68A0-4911-A390-1CF0BDAFD537}"/>
    <cellStyle name="Comma 2 2 2 2 4 2 2 2 3" xfId="36464" xr:uid="{657826C9-76A3-4BF4-85CA-04F14B5456E2}"/>
    <cellStyle name="Comma 2 2 2 2 4 2 2 3" xfId="14560" xr:uid="{421BB42B-37DB-412B-A125-1FF1D91CDE09}"/>
    <cellStyle name="Comma 2 2 2 2 4 2 2 3 2" xfId="51068" xr:uid="{0ED824DF-2AC5-441E-94EA-A51F3A1F2C94}"/>
    <cellStyle name="Comma 2 2 2 2 4 2 2 3 3" xfId="32814" xr:uid="{9F9DF953-A6D1-4219-ACEA-46992BCFD83F}"/>
    <cellStyle name="Comma 2 2 2 2 4 2 2 4" xfId="10910" xr:uid="{4E303EDB-5153-4E07-B4AD-F148DD3861A9}"/>
    <cellStyle name="Comma 2 2 2 2 4 2 2 4 2" xfId="47418" xr:uid="{1A6890AB-4546-472E-9445-4EB642008C7F}"/>
    <cellStyle name="Comma 2 2 2 2 4 2 2 4 3" xfId="29164" xr:uid="{65C706A4-915F-4921-961B-A79E8EB0829D}"/>
    <cellStyle name="Comma 2 2 2 2 4 2 2 5" xfId="7260" xr:uid="{1359E537-0024-405A-BAED-CEE140A7A6D8}"/>
    <cellStyle name="Comma 2 2 2 2 4 2 2 5 2" xfId="43768" xr:uid="{4A086A0F-F797-48D8-B353-A0470F7CD4C3}"/>
    <cellStyle name="Comma 2 2 2 2 4 2 2 5 3" xfId="25514" xr:uid="{61E67477-4EED-428D-8C1C-67E459AA92C3}"/>
    <cellStyle name="Comma 2 2 2 2 4 2 2 6" xfId="40118" xr:uid="{056C1256-894E-43F3-877B-E5DB19937F66}"/>
    <cellStyle name="Comma 2 2 2 2 4 2 2 7" xfId="21864" xr:uid="{038D40FE-7AFD-40E7-8888-38332ED5E455}"/>
    <cellStyle name="Comma 2 2 2 2 4 2 3" xfId="2880" xr:uid="{7FDB3173-4FFD-4835-B0E0-BB6AF9B53614}"/>
    <cellStyle name="Comma 2 2 2 2 4 2 3 2" xfId="17480" xr:uid="{0F19E031-2B59-4BB8-95CC-D8FC5D94BCEC}"/>
    <cellStyle name="Comma 2 2 2 2 4 2 3 2 2" xfId="53988" xr:uid="{05397D00-9FE4-42E3-A62F-974352431F5E}"/>
    <cellStyle name="Comma 2 2 2 2 4 2 3 2 3" xfId="35734" xr:uid="{4D989E25-79B9-4284-9CA1-A87EC46C0523}"/>
    <cellStyle name="Comma 2 2 2 2 4 2 3 3" xfId="13830" xr:uid="{803ED6EB-679F-4AC7-A5D8-444B3A7B2E87}"/>
    <cellStyle name="Comma 2 2 2 2 4 2 3 3 2" xfId="50338" xr:uid="{803A3505-DDB0-4DD6-B12E-28B23F4D6C65}"/>
    <cellStyle name="Comma 2 2 2 2 4 2 3 3 3" xfId="32084" xr:uid="{BF761620-C1CB-4F89-8996-77A9E371ED96}"/>
    <cellStyle name="Comma 2 2 2 2 4 2 3 4" xfId="10180" xr:uid="{821E0657-9236-4B94-AC10-2EB5563D4C27}"/>
    <cellStyle name="Comma 2 2 2 2 4 2 3 4 2" xfId="46688" xr:uid="{1ABED7DF-E9A5-4014-91A7-C32A2829C087}"/>
    <cellStyle name="Comma 2 2 2 2 4 2 3 4 3" xfId="28434" xr:uid="{7A68B92A-6A12-4EFC-8149-68041D5EB5DC}"/>
    <cellStyle name="Comma 2 2 2 2 4 2 3 5" xfId="6530" xr:uid="{59DB652F-DCA7-4E04-85A6-8F3B1F02A4EB}"/>
    <cellStyle name="Comma 2 2 2 2 4 2 3 5 2" xfId="43038" xr:uid="{E6F52DFC-7992-48E8-9084-55539F0F5BD5}"/>
    <cellStyle name="Comma 2 2 2 2 4 2 3 5 3" xfId="24784" xr:uid="{83E74F96-7766-459C-8A83-F76B4435BAB5}"/>
    <cellStyle name="Comma 2 2 2 2 4 2 3 6" xfId="39388" xr:uid="{A73D2DC5-5F48-482A-AD9F-42EAB03792BC}"/>
    <cellStyle name="Comma 2 2 2 2 4 2 3 7" xfId="21134" xr:uid="{E32AC94E-84BD-4269-9190-BF44353E4C8F}"/>
    <cellStyle name="Comma 2 2 2 2 4 2 4" xfId="2150" xr:uid="{59674A00-2C94-433A-AF08-E3BC14C59365}"/>
    <cellStyle name="Comma 2 2 2 2 4 2 4 2" xfId="16750" xr:uid="{65E96651-181D-4753-8764-477295AAC688}"/>
    <cellStyle name="Comma 2 2 2 2 4 2 4 2 2" xfId="53258" xr:uid="{B51C24A9-1243-48A4-95CF-E9622DFDE51B}"/>
    <cellStyle name="Comma 2 2 2 2 4 2 4 2 3" xfId="35004" xr:uid="{2FB7E4DA-110B-4E1B-8FFD-20C4EC8607CB}"/>
    <cellStyle name="Comma 2 2 2 2 4 2 4 3" xfId="13100" xr:uid="{0D25F7B6-543B-471B-935B-53D7A7CD37E1}"/>
    <cellStyle name="Comma 2 2 2 2 4 2 4 3 2" xfId="49608" xr:uid="{A47B43DA-5402-47A6-8DE4-DD2561B9180F}"/>
    <cellStyle name="Comma 2 2 2 2 4 2 4 3 3" xfId="31354" xr:uid="{9034F76C-8A00-4C2C-80A4-DE2D9E32474A}"/>
    <cellStyle name="Comma 2 2 2 2 4 2 4 4" xfId="9450" xr:uid="{88DAD854-5225-4D55-8D30-ED86011A5FEC}"/>
    <cellStyle name="Comma 2 2 2 2 4 2 4 4 2" xfId="45958" xr:uid="{BB7BD9D4-164A-4FB4-99D9-63CD6274C70C}"/>
    <cellStyle name="Comma 2 2 2 2 4 2 4 4 3" xfId="27704" xr:uid="{80517C72-F9CF-4850-A15C-43EEF1F66916}"/>
    <cellStyle name="Comma 2 2 2 2 4 2 4 5" xfId="5800" xr:uid="{4EAA27F6-85C6-4731-983D-F96E4E6651BD}"/>
    <cellStyle name="Comma 2 2 2 2 4 2 4 5 2" xfId="42308" xr:uid="{B8AC4411-2ACB-4417-8100-81DCED9BBCA8}"/>
    <cellStyle name="Comma 2 2 2 2 4 2 4 5 3" xfId="24054" xr:uid="{FC09BDA0-92AB-41F9-B433-E241F1BD3F1C}"/>
    <cellStyle name="Comma 2 2 2 2 4 2 4 6" xfId="38658" xr:uid="{E20C78FB-1819-4F31-B0E9-303C28BCA646}"/>
    <cellStyle name="Comma 2 2 2 2 4 2 4 7" xfId="20404" xr:uid="{23D40AF3-E93F-4EF2-9068-121ADED1C857}"/>
    <cellStyle name="Comma 2 2 2 2 4 2 5" xfId="1420" xr:uid="{3CE947F1-BC7A-44C0-AB76-DA556B855FE0}"/>
    <cellStyle name="Comma 2 2 2 2 4 2 5 2" xfId="16020" xr:uid="{D9F3A368-B94F-491E-8990-179453642083}"/>
    <cellStyle name="Comma 2 2 2 2 4 2 5 2 2" xfId="52528" xr:uid="{B528CDDE-53C5-4695-B075-F5A20FFA430F}"/>
    <cellStyle name="Comma 2 2 2 2 4 2 5 2 3" xfId="34274" xr:uid="{6E17F32D-A737-47B5-9520-EC8A9D89C74B}"/>
    <cellStyle name="Comma 2 2 2 2 4 2 5 3" xfId="12370" xr:uid="{0B008FEB-D795-4BC0-B811-8256C5AF944C}"/>
    <cellStyle name="Comma 2 2 2 2 4 2 5 3 2" xfId="48878" xr:uid="{152741F8-A0AE-46A0-A91F-1745F44BCACC}"/>
    <cellStyle name="Comma 2 2 2 2 4 2 5 3 3" xfId="30624" xr:uid="{4F7758D9-F970-4CFE-B793-5C7DAD70F6BF}"/>
    <cellStyle name="Comma 2 2 2 2 4 2 5 4" xfId="8720" xr:uid="{B7120273-5E86-418C-B1BB-5AEDAF1687C8}"/>
    <cellStyle name="Comma 2 2 2 2 4 2 5 4 2" xfId="45228" xr:uid="{9ED0BF2D-686E-4BBA-BA6A-28FEC80F9970}"/>
    <cellStyle name="Comma 2 2 2 2 4 2 5 4 3" xfId="26974" xr:uid="{8D68DB2A-51FB-4CDA-B744-4730CA4B3F8D}"/>
    <cellStyle name="Comma 2 2 2 2 4 2 5 5" xfId="5070" xr:uid="{E0468B0B-C7D8-4084-8077-F4B41E0C06A3}"/>
    <cellStyle name="Comma 2 2 2 2 4 2 5 5 2" xfId="41578" xr:uid="{565630B4-E201-47F4-91FF-48D5288B0097}"/>
    <cellStyle name="Comma 2 2 2 2 4 2 5 5 3" xfId="23324" xr:uid="{88994DCA-AF64-4D06-9AED-1F4CF27B1D0C}"/>
    <cellStyle name="Comma 2 2 2 2 4 2 5 6" xfId="37928" xr:uid="{16B409BF-2E0F-48A7-8DE6-87DD4161E819}"/>
    <cellStyle name="Comma 2 2 2 2 4 2 5 7" xfId="19674" xr:uid="{6FEE0184-A3F0-4EB7-BC88-E43B922780E0}"/>
    <cellStyle name="Comma 2 2 2 2 4 2 6" xfId="15290" xr:uid="{3ECAF40B-9B44-4C2F-80BE-AD42E77B1953}"/>
    <cellStyle name="Comma 2 2 2 2 4 2 6 2" xfId="51798" xr:uid="{0C631374-D8A4-4136-A0D0-44FD1FB73F8C}"/>
    <cellStyle name="Comma 2 2 2 2 4 2 6 3" xfId="33544" xr:uid="{713169C3-822C-4162-82C2-2B4AECC934E5}"/>
    <cellStyle name="Comma 2 2 2 2 4 2 7" xfId="11640" xr:uid="{97BEDE51-3DEB-498A-A3C9-E5FF429E1DFC}"/>
    <cellStyle name="Comma 2 2 2 2 4 2 7 2" xfId="48148" xr:uid="{F35B2D81-9841-40FB-977D-32D557094CA6}"/>
    <cellStyle name="Comma 2 2 2 2 4 2 7 3" xfId="29894" xr:uid="{0234C51C-B528-4806-A195-B96E2BE1F791}"/>
    <cellStyle name="Comma 2 2 2 2 4 2 8" xfId="7990" xr:uid="{1441C8F6-BEA6-44D5-A5A9-8E54E832C22E}"/>
    <cellStyle name="Comma 2 2 2 2 4 2 8 2" xfId="44498" xr:uid="{B7240272-2FFC-467C-B442-FAC8EF897BA3}"/>
    <cellStyle name="Comma 2 2 2 2 4 2 8 3" xfId="26244" xr:uid="{B358ACC9-6A6F-4996-B560-553B2D83FEA2}"/>
    <cellStyle name="Comma 2 2 2 2 4 2 9" xfId="4340" xr:uid="{816070D5-813D-4D34-ADE2-92525FEC4123}"/>
    <cellStyle name="Comma 2 2 2 2 4 2 9 2" xfId="40848" xr:uid="{413BFEED-7A1B-433A-BC49-A757E3E4956F}"/>
    <cellStyle name="Comma 2 2 2 2 4 2 9 3" xfId="22594" xr:uid="{06F42A00-22CF-49A1-BBFD-F982B211326C}"/>
    <cellStyle name="Comma 2 2 2 2 4 3" xfId="586" xr:uid="{093B732D-70E9-44A5-804B-7BE498E9E9E8}"/>
    <cellStyle name="Comma 2 2 2 2 4 3 10" xfId="37094" xr:uid="{E2641060-608B-4C50-9035-C0BC03006862}"/>
    <cellStyle name="Comma 2 2 2 2 4 3 11" xfId="18840" xr:uid="{8DD98BE5-1C30-4BA1-A670-430B4AB3FBCE}"/>
    <cellStyle name="Comma 2 2 2 2 4 3 2" xfId="3506" xr:uid="{B281A7AB-478C-4D1E-92B6-B0F32BF008CA}"/>
    <cellStyle name="Comma 2 2 2 2 4 3 2 2" xfId="18106" xr:uid="{ADDE6734-4CEA-44F2-BF5B-DF6CFBC8AEA1}"/>
    <cellStyle name="Comma 2 2 2 2 4 3 2 2 2" xfId="54614" xr:uid="{837A470E-A507-49B6-B7AD-B4851CFA83A7}"/>
    <cellStyle name="Comma 2 2 2 2 4 3 2 2 3" xfId="36360" xr:uid="{C5917B0C-BF8D-4DF9-9E1B-FCB580C7726A}"/>
    <cellStyle name="Comma 2 2 2 2 4 3 2 3" xfId="14456" xr:uid="{986A4D2C-5B67-4218-891B-E3D19B1EFE0F}"/>
    <cellStyle name="Comma 2 2 2 2 4 3 2 3 2" xfId="50964" xr:uid="{1616C551-1819-4233-993F-391CF0361519}"/>
    <cellStyle name="Comma 2 2 2 2 4 3 2 3 3" xfId="32710" xr:uid="{16D5CCD5-1E6C-445F-AFC2-BB4B8877B32F}"/>
    <cellStyle name="Comma 2 2 2 2 4 3 2 4" xfId="10806" xr:uid="{B8BB3A9C-1212-4210-8827-50676FE81FA9}"/>
    <cellStyle name="Comma 2 2 2 2 4 3 2 4 2" xfId="47314" xr:uid="{452E6DD7-878C-48E2-A091-5EB79DA08C1E}"/>
    <cellStyle name="Comma 2 2 2 2 4 3 2 4 3" xfId="29060" xr:uid="{25F5D813-BC27-40C6-BDCE-F76CD6EE7279}"/>
    <cellStyle name="Comma 2 2 2 2 4 3 2 5" xfId="7156" xr:uid="{ADAA937B-6993-43CC-B6F3-96A67053C249}"/>
    <cellStyle name="Comma 2 2 2 2 4 3 2 5 2" xfId="43664" xr:uid="{DA97D56D-8709-43E0-ADC5-6727F0AAC61A}"/>
    <cellStyle name="Comma 2 2 2 2 4 3 2 5 3" xfId="25410" xr:uid="{15F1A0D3-2DA0-491C-AF0E-98203C32A58B}"/>
    <cellStyle name="Comma 2 2 2 2 4 3 2 6" xfId="40014" xr:uid="{6438F829-34CF-4E5B-9CE2-99C0D4DEF896}"/>
    <cellStyle name="Comma 2 2 2 2 4 3 2 7" xfId="21760" xr:uid="{91501A9A-BA00-4107-9B0E-F7BA0BBA4230}"/>
    <cellStyle name="Comma 2 2 2 2 4 3 3" xfId="2776" xr:uid="{25567226-0760-436C-84B0-BDFD9EF47C57}"/>
    <cellStyle name="Comma 2 2 2 2 4 3 3 2" xfId="17376" xr:uid="{01D6AB7C-9048-4C0E-89B7-202F8DD7C565}"/>
    <cellStyle name="Comma 2 2 2 2 4 3 3 2 2" xfId="53884" xr:uid="{E8047960-5549-42C1-9AAA-5A116A8848D4}"/>
    <cellStyle name="Comma 2 2 2 2 4 3 3 2 3" xfId="35630" xr:uid="{4423F20B-86FB-4F08-AF89-D732E622CC95}"/>
    <cellStyle name="Comma 2 2 2 2 4 3 3 3" xfId="13726" xr:uid="{E4C7D9F0-1635-4BD8-B676-8A6F52D416EC}"/>
    <cellStyle name="Comma 2 2 2 2 4 3 3 3 2" xfId="50234" xr:uid="{46C5A0A3-4ED7-4A2B-A3B1-86DCACEF72E5}"/>
    <cellStyle name="Comma 2 2 2 2 4 3 3 3 3" xfId="31980" xr:uid="{F7731203-9254-44C1-91B1-7016DE61D8A2}"/>
    <cellStyle name="Comma 2 2 2 2 4 3 3 4" xfId="10076" xr:uid="{3711C69A-6D5E-4A4D-8888-2903AA6FD962}"/>
    <cellStyle name="Comma 2 2 2 2 4 3 3 4 2" xfId="46584" xr:uid="{3F93722F-462B-4A83-9354-C87C277A9D3E}"/>
    <cellStyle name="Comma 2 2 2 2 4 3 3 4 3" xfId="28330" xr:uid="{4DC74C1C-26CE-4A3B-AC5C-8DFB70C0A129}"/>
    <cellStyle name="Comma 2 2 2 2 4 3 3 5" xfId="6426" xr:uid="{B5A22166-9D19-49B6-B653-014DF26A79E0}"/>
    <cellStyle name="Comma 2 2 2 2 4 3 3 5 2" xfId="42934" xr:uid="{450D5140-F7A0-4FA8-806D-266870C1590A}"/>
    <cellStyle name="Comma 2 2 2 2 4 3 3 5 3" xfId="24680" xr:uid="{DBF5AD91-44C5-4DBB-ADA2-B81A6A393812}"/>
    <cellStyle name="Comma 2 2 2 2 4 3 3 6" xfId="39284" xr:uid="{7BCECCCF-3BC8-4B03-8F97-5514D22EEA08}"/>
    <cellStyle name="Comma 2 2 2 2 4 3 3 7" xfId="21030" xr:uid="{B013FDC1-E18C-41F6-BCD2-6C2B45523FBA}"/>
    <cellStyle name="Comma 2 2 2 2 4 3 4" xfId="2046" xr:uid="{66B828BC-5BE3-49A5-B4C9-401D842B9B4D}"/>
    <cellStyle name="Comma 2 2 2 2 4 3 4 2" xfId="16646" xr:uid="{5B9E9CB3-7B7F-4B89-BEF6-692F0C7C8822}"/>
    <cellStyle name="Comma 2 2 2 2 4 3 4 2 2" xfId="53154" xr:uid="{A11AE1E2-0844-465F-848C-EA059807B035}"/>
    <cellStyle name="Comma 2 2 2 2 4 3 4 2 3" xfId="34900" xr:uid="{2FAF0CDA-21BC-4C1B-BD67-8BDC0A8E4388}"/>
    <cellStyle name="Comma 2 2 2 2 4 3 4 3" xfId="12996" xr:uid="{8D32CFF9-B76E-475A-9A5B-5AB0ACE35248}"/>
    <cellStyle name="Comma 2 2 2 2 4 3 4 3 2" xfId="49504" xr:uid="{8DFA2BF2-4527-45E0-BEEF-7B0791775E4F}"/>
    <cellStyle name="Comma 2 2 2 2 4 3 4 3 3" xfId="31250" xr:uid="{0A9C58B0-684F-4169-A7EB-C8786EDF3861}"/>
    <cellStyle name="Comma 2 2 2 2 4 3 4 4" xfId="9346" xr:uid="{5D6E58EC-E833-4E41-96E2-72E1B813C3DF}"/>
    <cellStyle name="Comma 2 2 2 2 4 3 4 4 2" xfId="45854" xr:uid="{D3F981BA-2CDC-4405-AE4B-9793D989DE93}"/>
    <cellStyle name="Comma 2 2 2 2 4 3 4 4 3" xfId="27600" xr:uid="{83192DB0-F769-467A-AB3F-B06624165F6F}"/>
    <cellStyle name="Comma 2 2 2 2 4 3 4 5" xfId="5696" xr:uid="{6DBA81DD-FB06-4C01-A082-C4AA71E22F6C}"/>
    <cellStyle name="Comma 2 2 2 2 4 3 4 5 2" xfId="42204" xr:uid="{5BFE4592-049B-4480-8412-33E7584065B9}"/>
    <cellStyle name="Comma 2 2 2 2 4 3 4 5 3" xfId="23950" xr:uid="{4730590C-F758-48D2-9B31-1E5BC137166F}"/>
    <cellStyle name="Comma 2 2 2 2 4 3 4 6" xfId="38554" xr:uid="{F809CDEA-5992-4962-966E-23337C8EED3B}"/>
    <cellStyle name="Comma 2 2 2 2 4 3 4 7" xfId="20300" xr:uid="{BB6FB48B-4445-4044-94E9-4F45F17702AC}"/>
    <cellStyle name="Comma 2 2 2 2 4 3 5" xfId="1316" xr:uid="{7068119A-DF42-4282-AE96-24E913A6E849}"/>
    <cellStyle name="Comma 2 2 2 2 4 3 5 2" xfId="15916" xr:uid="{DC8D94B5-9C7C-4D4F-A2DD-6FCBC20A55B5}"/>
    <cellStyle name="Comma 2 2 2 2 4 3 5 2 2" xfId="52424" xr:uid="{4B86D9EE-5193-4D30-947C-97802A8B423C}"/>
    <cellStyle name="Comma 2 2 2 2 4 3 5 2 3" xfId="34170" xr:uid="{30C1DD0D-A8A1-4FA1-973D-CC21B3E918DF}"/>
    <cellStyle name="Comma 2 2 2 2 4 3 5 3" xfId="12266" xr:uid="{7C774FE4-1705-4000-83EA-987CC102BFA1}"/>
    <cellStyle name="Comma 2 2 2 2 4 3 5 3 2" xfId="48774" xr:uid="{CECA37D0-FB4F-4E21-8499-DA5AC84AD372}"/>
    <cellStyle name="Comma 2 2 2 2 4 3 5 3 3" xfId="30520" xr:uid="{58571EF6-36A6-44E6-B803-7459870798C8}"/>
    <cellStyle name="Comma 2 2 2 2 4 3 5 4" xfId="8616" xr:uid="{57EE5031-43E5-4869-94E9-5F6F430CBF08}"/>
    <cellStyle name="Comma 2 2 2 2 4 3 5 4 2" xfId="45124" xr:uid="{FEC8971A-E757-41E9-92D6-098CE16C47BA}"/>
    <cellStyle name="Comma 2 2 2 2 4 3 5 4 3" xfId="26870" xr:uid="{51B35607-D691-4B24-A651-B6905E346120}"/>
    <cellStyle name="Comma 2 2 2 2 4 3 5 5" xfId="4966" xr:uid="{D9DCA28B-2B98-408C-A6CF-C09FE4F8DA15}"/>
    <cellStyle name="Comma 2 2 2 2 4 3 5 5 2" xfId="41474" xr:uid="{E8552A5C-9169-481B-B795-DE172E32A4AE}"/>
    <cellStyle name="Comma 2 2 2 2 4 3 5 5 3" xfId="23220" xr:uid="{2CCA128E-B887-4BC5-BC41-83BC189DE659}"/>
    <cellStyle name="Comma 2 2 2 2 4 3 5 6" xfId="37824" xr:uid="{D834FFC1-3DB6-4530-B406-A59110CC6F36}"/>
    <cellStyle name="Comma 2 2 2 2 4 3 5 7" xfId="19570" xr:uid="{17BA8473-A61A-492C-8704-DEE4BAD8B931}"/>
    <cellStyle name="Comma 2 2 2 2 4 3 6" xfId="15186" xr:uid="{A2547BF0-9657-4430-96E0-D2CDD80D06E1}"/>
    <cellStyle name="Comma 2 2 2 2 4 3 6 2" xfId="51694" xr:uid="{B1B7DD0E-E039-48F6-BBB9-040D6E44A794}"/>
    <cellStyle name="Comma 2 2 2 2 4 3 6 3" xfId="33440" xr:uid="{A9CB49AE-2735-4629-A6BB-38393747FB3C}"/>
    <cellStyle name="Comma 2 2 2 2 4 3 7" xfId="11536" xr:uid="{BDC99DFA-F66A-4F0C-BE30-2F0E1BBD60DE}"/>
    <cellStyle name="Comma 2 2 2 2 4 3 7 2" xfId="48044" xr:uid="{8B3D7284-7BAD-4C43-9546-DA3824416E83}"/>
    <cellStyle name="Comma 2 2 2 2 4 3 7 3" xfId="29790" xr:uid="{BEDCF917-81CC-49E2-89EE-2684B66AF96C}"/>
    <cellStyle name="Comma 2 2 2 2 4 3 8" xfId="7886" xr:uid="{D9244EA3-6217-4CBB-9A87-EE4F2BB145FA}"/>
    <cellStyle name="Comma 2 2 2 2 4 3 8 2" xfId="44394" xr:uid="{8B70926D-A16E-443A-A51D-7860E2BB934A}"/>
    <cellStyle name="Comma 2 2 2 2 4 3 8 3" xfId="26140" xr:uid="{0EF2361C-D0EB-4B96-B13F-10D505CE6D1D}"/>
    <cellStyle name="Comma 2 2 2 2 4 3 9" xfId="4236" xr:uid="{936BAD0B-CC21-47FA-8E89-E9EC263599AC}"/>
    <cellStyle name="Comma 2 2 2 2 4 3 9 2" xfId="40744" xr:uid="{50C49C75-7186-4616-BEE1-700E58720C01}"/>
    <cellStyle name="Comma 2 2 2 2 4 3 9 3" xfId="22490" xr:uid="{FFA9FE6F-B9AE-44AA-85E7-105E3CEB659E}"/>
    <cellStyle name="Comma 2 2 2 2 4 4" xfId="482" xr:uid="{3C43C174-4409-4678-A1C7-36B9224F570E}"/>
    <cellStyle name="Comma 2 2 2 2 4 4 10" xfId="36990" xr:uid="{F3393C9E-F789-41F7-93A0-55CD06B9CD8C}"/>
    <cellStyle name="Comma 2 2 2 2 4 4 11" xfId="18736" xr:uid="{9FCAF3AD-C4CB-4FEE-BD58-33CDC15738E5}"/>
    <cellStyle name="Comma 2 2 2 2 4 4 2" xfId="3402" xr:uid="{91BE6938-C993-4E07-8FA1-850B7E3CEDDC}"/>
    <cellStyle name="Comma 2 2 2 2 4 4 2 2" xfId="18002" xr:uid="{783402ED-4D08-4D3E-9907-70F4AA534AF1}"/>
    <cellStyle name="Comma 2 2 2 2 4 4 2 2 2" xfId="54510" xr:uid="{91580A64-629C-4D46-ACE4-33EDB5F71D9D}"/>
    <cellStyle name="Comma 2 2 2 2 4 4 2 2 3" xfId="36256" xr:uid="{45421DEC-262B-47A0-A6FA-8E330F0A325C}"/>
    <cellStyle name="Comma 2 2 2 2 4 4 2 3" xfId="14352" xr:uid="{70182501-1830-4767-8A25-4CB0DA55F39B}"/>
    <cellStyle name="Comma 2 2 2 2 4 4 2 3 2" xfId="50860" xr:uid="{0F8AA38E-164A-4240-99E7-D94491C304D7}"/>
    <cellStyle name="Comma 2 2 2 2 4 4 2 3 3" xfId="32606" xr:uid="{3C1F5164-C817-4C89-B94D-A8D3D2309470}"/>
    <cellStyle name="Comma 2 2 2 2 4 4 2 4" xfId="10702" xr:uid="{AEA8701E-7E21-4F8F-873C-26FF713764A7}"/>
    <cellStyle name="Comma 2 2 2 2 4 4 2 4 2" xfId="47210" xr:uid="{0A2AA858-CC4C-49C2-8259-7AC95D5104FA}"/>
    <cellStyle name="Comma 2 2 2 2 4 4 2 4 3" xfId="28956" xr:uid="{A9357B54-A51A-4FEC-B3B7-C20E3F7071C4}"/>
    <cellStyle name="Comma 2 2 2 2 4 4 2 5" xfId="7052" xr:uid="{172C8EC2-1238-453F-B605-600F7AF9AA67}"/>
    <cellStyle name="Comma 2 2 2 2 4 4 2 5 2" xfId="43560" xr:uid="{3FDDD472-F581-4B8F-9156-DDF7ACDD2D57}"/>
    <cellStyle name="Comma 2 2 2 2 4 4 2 5 3" xfId="25306" xr:uid="{C3DE2D55-9845-4930-96A7-E4C456294F0E}"/>
    <cellStyle name="Comma 2 2 2 2 4 4 2 6" xfId="39910" xr:uid="{4E896E51-E45D-4FE3-9758-4354507AE531}"/>
    <cellStyle name="Comma 2 2 2 2 4 4 2 7" xfId="21656" xr:uid="{13F9B934-2214-4441-90F7-F3BC1BAEDD69}"/>
    <cellStyle name="Comma 2 2 2 2 4 4 3" xfId="2672" xr:uid="{2E9BEFC5-1AC5-493B-9F75-C5B4B82E931C}"/>
    <cellStyle name="Comma 2 2 2 2 4 4 3 2" xfId="17272" xr:uid="{07B39E17-080A-4D8C-BA72-94D6D9C7EB3C}"/>
    <cellStyle name="Comma 2 2 2 2 4 4 3 2 2" xfId="53780" xr:uid="{DB0681F2-A801-4D31-84EF-1DDD9B4EC3F9}"/>
    <cellStyle name="Comma 2 2 2 2 4 4 3 2 3" xfId="35526" xr:uid="{F026750D-A895-4A26-B74B-9955D28973A5}"/>
    <cellStyle name="Comma 2 2 2 2 4 4 3 3" xfId="13622" xr:uid="{32BD86CA-DE12-40D9-B4E2-30F8487EF12D}"/>
    <cellStyle name="Comma 2 2 2 2 4 4 3 3 2" xfId="50130" xr:uid="{2C1ED1BE-5CD0-486D-8038-DFD9D14751E2}"/>
    <cellStyle name="Comma 2 2 2 2 4 4 3 3 3" xfId="31876" xr:uid="{E8CF20F9-D302-4979-B8C3-08A6B5209B01}"/>
    <cellStyle name="Comma 2 2 2 2 4 4 3 4" xfId="9972" xr:uid="{53C572EE-443A-46CC-A6B0-4DA84959018D}"/>
    <cellStyle name="Comma 2 2 2 2 4 4 3 4 2" xfId="46480" xr:uid="{ACEE158B-A2CC-4AF9-A873-CC8570DC4818}"/>
    <cellStyle name="Comma 2 2 2 2 4 4 3 4 3" xfId="28226" xr:uid="{C85599C7-AA03-4274-B66F-5CD585820ABD}"/>
    <cellStyle name="Comma 2 2 2 2 4 4 3 5" xfId="6322" xr:uid="{282FDF0D-A0B6-46D4-A900-DE444B537296}"/>
    <cellStyle name="Comma 2 2 2 2 4 4 3 5 2" xfId="42830" xr:uid="{2FC6528C-E317-4B4A-8AFC-DE7592CBB944}"/>
    <cellStyle name="Comma 2 2 2 2 4 4 3 5 3" xfId="24576" xr:uid="{6C92CEFE-5B46-4A92-A3D2-3BD95291FEA3}"/>
    <cellStyle name="Comma 2 2 2 2 4 4 3 6" xfId="39180" xr:uid="{90D9CB79-EA3E-4ECC-BB0B-F96079CB81A5}"/>
    <cellStyle name="Comma 2 2 2 2 4 4 3 7" xfId="20926" xr:uid="{0E0EDED9-7C56-49E3-86FB-3BE35EB70E23}"/>
    <cellStyle name="Comma 2 2 2 2 4 4 4" xfId="1942" xr:uid="{2B8556EB-9166-490D-989D-31A5470C1000}"/>
    <cellStyle name="Comma 2 2 2 2 4 4 4 2" xfId="16542" xr:uid="{D176A2A0-6BA0-454B-B45F-8EB257FE6733}"/>
    <cellStyle name="Comma 2 2 2 2 4 4 4 2 2" xfId="53050" xr:uid="{0CDB95B7-02A5-42B1-9BA1-03E817335EE9}"/>
    <cellStyle name="Comma 2 2 2 2 4 4 4 2 3" xfId="34796" xr:uid="{C4D95EAA-F6B9-454A-9448-D336F119DF50}"/>
    <cellStyle name="Comma 2 2 2 2 4 4 4 3" xfId="12892" xr:uid="{2B1E8B3B-2D45-461E-9F8B-C19B7C3DDA88}"/>
    <cellStyle name="Comma 2 2 2 2 4 4 4 3 2" xfId="49400" xr:uid="{7B6688A8-F805-4DE3-84D7-2E2ABC19E9BC}"/>
    <cellStyle name="Comma 2 2 2 2 4 4 4 3 3" xfId="31146" xr:uid="{622772CC-3897-432F-BB39-203DF9CE54EB}"/>
    <cellStyle name="Comma 2 2 2 2 4 4 4 4" xfId="9242" xr:uid="{89AAE844-04A8-44E3-8F83-A7C5209CE525}"/>
    <cellStyle name="Comma 2 2 2 2 4 4 4 4 2" xfId="45750" xr:uid="{EF23EA8C-43E9-46CC-AFDA-5CDCD9937FBD}"/>
    <cellStyle name="Comma 2 2 2 2 4 4 4 4 3" xfId="27496" xr:uid="{BF38F3C9-D984-4403-95EC-1E4075C54D26}"/>
    <cellStyle name="Comma 2 2 2 2 4 4 4 5" xfId="5592" xr:uid="{D20BB6B2-1D29-43A3-9820-BA998632AB98}"/>
    <cellStyle name="Comma 2 2 2 2 4 4 4 5 2" xfId="42100" xr:uid="{7032B27C-4224-47A5-8167-E8178A2FE82C}"/>
    <cellStyle name="Comma 2 2 2 2 4 4 4 5 3" xfId="23846" xr:uid="{5CD574F1-F37D-4606-BA60-4CDBAD635CF3}"/>
    <cellStyle name="Comma 2 2 2 2 4 4 4 6" xfId="38450" xr:uid="{95DEFFB4-970A-4ED1-984E-15A39C06C2F8}"/>
    <cellStyle name="Comma 2 2 2 2 4 4 4 7" xfId="20196" xr:uid="{91E8C764-5989-41ED-9A38-0920EDED6488}"/>
    <cellStyle name="Comma 2 2 2 2 4 4 5" xfId="1212" xr:uid="{277DA9E0-4A20-4A46-885A-7ED14D9601A4}"/>
    <cellStyle name="Comma 2 2 2 2 4 4 5 2" xfId="15812" xr:uid="{E1FDAC59-A70F-4FF3-B77C-11A91EE9BE21}"/>
    <cellStyle name="Comma 2 2 2 2 4 4 5 2 2" xfId="52320" xr:uid="{E3C46299-83BF-42A9-B4AB-D8A04A622D31}"/>
    <cellStyle name="Comma 2 2 2 2 4 4 5 2 3" xfId="34066" xr:uid="{83766DDD-0A16-4B69-AA8E-6F8C3E2F39EA}"/>
    <cellStyle name="Comma 2 2 2 2 4 4 5 3" xfId="12162" xr:uid="{B39D2F19-B59E-4A3A-AFED-62C20CC3F351}"/>
    <cellStyle name="Comma 2 2 2 2 4 4 5 3 2" xfId="48670" xr:uid="{9EE90CC1-8C5C-48AA-91F2-52CD07271510}"/>
    <cellStyle name="Comma 2 2 2 2 4 4 5 3 3" xfId="30416" xr:uid="{9ED7DF59-ED83-426F-8759-9A99C4EAED4D}"/>
    <cellStyle name="Comma 2 2 2 2 4 4 5 4" xfId="8512" xr:uid="{F288C20F-4817-4B55-B0F3-A9651807BAFE}"/>
    <cellStyle name="Comma 2 2 2 2 4 4 5 4 2" xfId="45020" xr:uid="{E5FD937F-BD97-4968-A580-AA4A0EC90EEC}"/>
    <cellStyle name="Comma 2 2 2 2 4 4 5 4 3" xfId="26766" xr:uid="{1A154464-9FD3-46BB-B4F4-FE41A826B1F6}"/>
    <cellStyle name="Comma 2 2 2 2 4 4 5 5" xfId="4862" xr:uid="{2EC06E9E-7FF8-4775-9BD1-E79671FD4792}"/>
    <cellStyle name="Comma 2 2 2 2 4 4 5 5 2" xfId="41370" xr:uid="{5CB49949-80E6-4A33-8C23-10E75C46DA4F}"/>
    <cellStyle name="Comma 2 2 2 2 4 4 5 5 3" xfId="23116" xr:uid="{9243B9E0-254F-420C-9D7C-C6A08DF339EC}"/>
    <cellStyle name="Comma 2 2 2 2 4 4 5 6" xfId="37720" xr:uid="{33774294-80CD-4F39-A1E4-8BBC1D9ED03F}"/>
    <cellStyle name="Comma 2 2 2 2 4 4 5 7" xfId="19466" xr:uid="{B13E99A7-BCAB-4373-AC83-68F8E8735C93}"/>
    <cellStyle name="Comma 2 2 2 2 4 4 6" xfId="15082" xr:uid="{0DD44EEF-113A-4545-BE51-4C0703BDA060}"/>
    <cellStyle name="Comma 2 2 2 2 4 4 6 2" xfId="51590" xr:uid="{A602A7B8-7B6F-4BA3-9C24-7C6398CB2115}"/>
    <cellStyle name="Comma 2 2 2 2 4 4 6 3" xfId="33336" xr:uid="{C24C5C67-5BEB-4644-B15D-9D0C6720F8AD}"/>
    <cellStyle name="Comma 2 2 2 2 4 4 7" xfId="11432" xr:uid="{DC8CE78B-A7FD-4FF6-A3FF-CBB48D097E5F}"/>
    <cellStyle name="Comma 2 2 2 2 4 4 7 2" xfId="47940" xr:uid="{1BB6EC2B-142B-4F25-A8F3-2F0E2CFD80B0}"/>
    <cellStyle name="Comma 2 2 2 2 4 4 7 3" xfId="29686" xr:uid="{D5322F04-5808-4DB0-A5E7-6F7E4B4051D5}"/>
    <cellStyle name="Comma 2 2 2 2 4 4 8" xfId="7782" xr:uid="{78A91061-A6E2-4F8C-9DA7-80E12C002303}"/>
    <cellStyle name="Comma 2 2 2 2 4 4 8 2" xfId="44290" xr:uid="{6AA88056-0CC7-4556-B748-CACB847FDDD6}"/>
    <cellStyle name="Comma 2 2 2 2 4 4 8 3" xfId="26036" xr:uid="{AAB92D65-5D54-41FF-B724-B13EBCDC30E6}"/>
    <cellStyle name="Comma 2 2 2 2 4 4 9" xfId="4132" xr:uid="{8A706E03-3F5C-487E-ADF3-4011B69FB2B6}"/>
    <cellStyle name="Comma 2 2 2 2 4 4 9 2" xfId="40640" xr:uid="{04B6371D-54E0-48EC-B92D-7FD8D486A778}"/>
    <cellStyle name="Comma 2 2 2 2 4 4 9 3" xfId="22386" xr:uid="{D45F12E7-0224-464F-B9BA-723F3B32E693}"/>
    <cellStyle name="Comma 2 2 2 2 4 5" xfId="378" xr:uid="{44743A77-A26E-4D53-A094-36710C28B85C}"/>
    <cellStyle name="Comma 2 2 2 2 4 5 10" xfId="36886" xr:uid="{D52FD520-8D36-4486-8534-7266B0CC19EB}"/>
    <cellStyle name="Comma 2 2 2 2 4 5 11" xfId="18632" xr:uid="{18DC662E-02FC-4025-8A91-D0689EB63676}"/>
    <cellStyle name="Comma 2 2 2 2 4 5 2" xfId="3298" xr:uid="{E3A80EA9-EA9C-43C2-9026-BB757813E03E}"/>
    <cellStyle name="Comma 2 2 2 2 4 5 2 2" xfId="17898" xr:uid="{0A48B19E-57B9-45A1-BCAF-345BC9E55CB0}"/>
    <cellStyle name="Comma 2 2 2 2 4 5 2 2 2" xfId="54406" xr:uid="{B4FC43F8-8787-4A41-9D57-F8B0AC6F78AB}"/>
    <cellStyle name="Comma 2 2 2 2 4 5 2 2 3" xfId="36152" xr:uid="{94AB1CEC-BF6A-4377-BF13-B6770A29C466}"/>
    <cellStyle name="Comma 2 2 2 2 4 5 2 3" xfId="14248" xr:uid="{AFD5FC06-921E-4898-BA11-C8BBD16E1B3D}"/>
    <cellStyle name="Comma 2 2 2 2 4 5 2 3 2" xfId="50756" xr:uid="{4AE63B01-B54F-4E9C-BFAC-77070C3F9B5B}"/>
    <cellStyle name="Comma 2 2 2 2 4 5 2 3 3" xfId="32502" xr:uid="{8711154F-9F5F-4FE7-BDFA-8606F104BE2E}"/>
    <cellStyle name="Comma 2 2 2 2 4 5 2 4" xfId="10598" xr:uid="{D086CC9E-1633-4289-9FE3-43F9F0438774}"/>
    <cellStyle name="Comma 2 2 2 2 4 5 2 4 2" xfId="47106" xr:uid="{3EBBEE8E-BDCD-4801-8DF9-40EC1040052A}"/>
    <cellStyle name="Comma 2 2 2 2 4 5 2 4 3" xfId="28852" xr:uid="{454E55F9-CADB-4140-9EA9-5E8A5D2A0828}"/>
    <cellStyle name="Comma 2 2 2 2 4 5 2 5" xfId="6948" xr:uid="{DF23EAA0-01E9-4183-94C2-38314F4EBE42}"/>
    <cellStyle name="Comma 2 2 2 2 4 5 2 5 2" xfId="43456" xr:uid="{DA511D12-8D1C-4B47-B2E1-D0CD932E3885}"/>
    <cellStyle name="Comma 2 2 2 2 4 5 2 5 3" xfId="25202" xr:uid="{C39B6CA4-07DB-438E-9497-4FE03236D5EB}"/>
    <cellStyle name="Comma 2 2 2 2 4 5 2 6" xfId="39806" xr:uid="{3146F7FE-87D0-4A62-B5AF-D88962D75B27}"/>
    <cellStyle name="Comma 2 2 2 2 4 5 2 7" xfId="21552" xr:uid="{D03A1962-3742-4139-8FBD-E2BA96618EC0}"/>
    <cellStyle name="Comma 2 2 2 2 4 5 3" xfId="2568" xr:uid="{953CC88A-7851-495C-B4F7-8928D0F5ABEA}"/>
    <cellStyle name="Comma 2 2 2 2 4 5 3 2" xfId="17168" xr:uid="{F0B9170C-6A26-4F1E-8FE4-C6F099780A4F}"/>
    <cellStyle name="Comma 2 2 2 2 4 5 3 2 2" xfId="53676" xr:uid="{D84D2D36-C5CF-41D5-9A93-D57CCCC91622}"/>
    <cellStyle name="Comma 2 2 2 2 4 5 3 2 3" xfId="35422" xr:uid="{CED5F833-BBCB-454B-ACC9-581DBBCFECD7}"/>
    <cellStyle name="Comma 2 2 2 2 4 5 3 3" xfId="13518" xr:uid="{0924A7B9-D15B-420C-A88E-4A4B76D81EAE}"/>
    <cellStyle name="Comma 2 2 2 2 4 5 3 3 2" xfId="50026" xr:uid="{B7F00927-33CB-4656-95C8-BA92FE7A7B71}"/>
    <cellStyle name="Comma 2 2 2 2 4 5 3 3 3" xfId="31772" xr:uid="{A99D20EA-7093-463A-B01F-A90BD7B9BB82}"/>
    <cellStyle name="Comma 2 2 2 2 4 5 3 4" xfId="9868" xr:uid="{250772A8-B250-4B0A-AE05-E7595880F1E0}"/>
    <cellStyle name="Comma 2 2 2 2 4 5 3 4 2" xfId="46376" xr:uid="{7E30355E-CC0B-4787-A07B-C94D3CEDC33C}"/>
    <cellStyle name="Comma 2 2 2 2 4 5 3 4 3" xfId="28122" xr:uid="{6FE7948E-AC4F-493F-847E-9736CD1BE2B5}"/>
    <cellStyle name="Comma 2 2 2 2 4 5 3 5" xfId="6218" xr:uid="{EF453404-5819-4129-AC5E-C6EC7F78FA30}"/>
    <cellStyle name="Comma 2 2 2 2 4 5 3 5 2" xfId="42726" xr:uid="{5D887202-A682-4754-BE0A-589B4A8622CE}"/>
    <cellStyle name="Comma 2 2 2 2 4 5 3 5 3" xfId="24472" xr:uid="{FFBCD623-AE51-4067-A7C5-FAE31DC62AA0}"/>
    <cellStyle name="Comma 2 2 2 2 4 5 3 6" xfId="39076" xr:uid="{4676CF19-89C4-442A-9B2D-81AD27E5B90C}"/>
    <cellStyle name="Comma 2 2 2 2 4 5 3 7" xfId="20822" xr:uid="{5CD290D3-AEAC-4B21-98B9-307DADDEFDFA}"/>
    <cellStyle name="Comma 2 2 2 2 4 5 4" xfId="1838" xr:uid="{495F1105-1439-425B-9C35-FC06F3E8AEBD}"/>
    <cellStyle name="Comma 2 2 2 2 4 5 4 2" xfId="16438" xr:uid="{BC07C29C-BB55-4521-AF53-F45A8AFB7602}"/>
    <cellStyle name="Comma 2 2 2 2 4 5 4 2 2" xfId="52946" xr:uid="{BFBF79CD-6B1B-4C28-81D4-8752CAB4DB93}"/>
    <cellStyle name="Comma 2 2 2 2 4 5 4 2 3" xfId="34692" xr:uid="{4909260B-5533-47A5-A087-5910020919A6}"/>
    <cellStyle name="Comma 2 2 2 2 4 5 4 3" xfId="12788" xr:uid="{F26A9826-2CE7-4B7F-BB1A-834A55864917}"/>
    <cellStyle name="Comma 2 2 2 2 4 5 4 3 2" xfId="49296" xr:uid="{A9E4ACD5-4C7D-4E51-9381-FA9E6CC875F5}"/>
    <cellStyle name="Comma 2 2 2 2 4 5 4 3 3" xfId="31042" xr:uid="{A0155BFD-0C6E-4D3F-A09E-C843595DE763}"/>
    <cellStyle name="Comma 2 2 2 2 4 5 4 4" xfId="9138" xr:uid="{023DB0CE-1B1A-4ED0-A1D8-AB3AD321B967}"/>
    <cellStyle name="Comma 2 2 2 2 4 5 4 4 2" xfId="45646" xr:uid="{AA2F6122-080B-4EA3-97AD-3DD42D7B558D}"/>
    <cellStyle name="Comma 2 2 2 2 4 5 4 4 3" xfId="27392" xr:uid="{D7E85667-A217-44E0-8480-1FDD5618E0A7}"/>
    <cellStyle name="Comma 2 2 2 2 4 5 4 5" xfId="5488" xr:uid="{CBE3E5CE-8FC7-4327-B644-47553364070A}"/>
    <cellStyle name="Comma 2 2 2 2 4 5 4 5 2" xfId="41996" xr:uid="{FC6E494F-5D12-4B52-9987-DB485E47DA1D}"/>
    <cellStyle name="Comma 2 2 2 2 4 5 4 5 3" xfId="23742" xr:uid="{9CE0C8DA-DF43-423F-A950-2F8DF488E493}"/>
    <cellStyle name="Comma 2 2 2 2 4 5 4 6" xfId="38346" xr:uid="{42D3F339-1429-4543-B50D-9A5E8DFB0DD0}"/>
    <cellStyle name="Comma 2 2 2 2 4 5 4 7" xfId="20092" xr:uid="{C5E561BF-C98A-408A-9269-1EDF87F71699}"/>
    <cellStyle name="Comma 2 2 2 2 4 5 5" xfId="1108" xr:uid="{2CE1BB2F-828E-41FE-B399-C58378DF2699}"/>
    <cellStyle name="Comma 2 2 2 2 4 5 5 2" xfId="15708" xr:uid="{D9CEDC1F-34C3-47C2-8B4A-F719A38EAD59}"/>
    <cellStyle name="Comma 2 2 2 2 4 5 5 2 2" xfId="52216" xr:uid="{14DAEFAB-0177-4299-A3A3-A4698829A254}"/>
    <cellStyle name="Comma 2 2 2 2 4 5 5 2 3" xfId="33962" xr:uid="{41AE2A92-C352-4851-AF3C-1B54706D5B2F}"/>
    <cellStyle name="Comma 2 2 2 2 4 5 5 3" xfId="12058" xr:uid="{CD120474-4FD9-4C05-9842-81086EB01104}"/>
    <cellStyle name="Comma 2 2 2 2 4 5 5 3 2" xfId="48566" xr:uid="{7DD2F63E-1666-4CAC-BBDA-E17FB5A6F5C5}"/>
    <cellStyle name="Comma 2 2 2 2 4 5 5 3 3" xfId="30312" xr:uid="{853155EA-1387-49FB-A2C2-AA8B27B55DB6}"/>
    <cellStyle name="Comma 2 2 2 2 4 5 5 4" xfId="8408" xr:uid="{B7B7AE71-5395-4815-9904-8732222742DC}"/>
    <cellStyle name="Comma 2 2 2 2 4 5 5 4 2" xfId="44916" xr:uid="{B6DA38CA-1847-4645-AACE-FF2484550686}"/>
    <cellStyle name="Comma 2 2 2 2 4 5 5 4 3" xfId="26662" xr:uid="{AF18A7FE-5CC1-4A5C-BD42-6205CFB92D4E}"/>
    <cellStyle name="Comma 2 2 2 2 4 5 5 5" xfId="4758" xr:uid="{2FC0EBAE-11E9-4EEC-B441-4E37157DC03D}"/>
    <cellStyle name="Comma 2 2 2 2 4 5 5 5 2" xfId="41266" xr:uid="{D232E3B0-1590-4F2D-9F15-A76DC5269F7F}"/>
    <cellStyle name="Comma 2 2 2 2 4 5 5 5 3" xfId="23012" xr:uid="{1051F097-5672-45B0-9F36-C8F57458BAB9}"/>
    <cellStyle name="Comma 2 2 2 2 4 5 5 6" xfId="37616" xr:uid="{0CC6B369-1F12-4E27-87D0-1CFDB04DA722}"/>
    <cellStyle name="Comma 2 2 2 2 4 5 5 7" xfId="19362" xr:uid="{7E7266D0-BFC0-4FFF-87C9-CB955B547941}"/>
    <cellStyle name="Comma 2 2 2 2 4 5 6" xfId="14978" xr:uid="{DF458FDF-B554-433A-95BF-E6FFD11896F2}"/>
    <cellStyle name="Comma 2 2 2 2 4 5 6 2" xfId="51486" xr:uid="{FD8ADDAF-30A7-406B-9DE6-39A81BF8685A}"/>
    <cellStyle name="Comma 2 2 2 2 4 5 6 3" xfId="33232" xr:uid="{53AB6B21-46E6-4909-BDE2-DB820267703C}"/>
    <cellStyle name="Comma 2 2 2 2 4 5 7" xfId="11328" xr:uid="{1734A264-14E7-4805-8427-C0DBE607C89E}"/>
    <cellStyle name="Comma 2 2 2 2 4 5 7 2" xfId="47836" xr:uid="{3BCDFED7-8FCE-4F86-9263-4C1DA191CC01}"/>
    <cellStyle name="Comma 2 2 2 2 4 5 7 3" xfId="29582" xr:uid="{A3ED92A5-4A7E-4D26-93B6-18BF3E71A291}"/>
    <cellStyle name="Comma 2 2 2 2 4 5 8" xfId="7678" xr:uid="{B78B149E-C461-4BFF-8E43-F6D06F805426}"/>
    <cellStyle name="Comma 2 2 2 2 4 5 8 2" xfId="44186" xr:uid="{D09AD44A-B4A3-4BEA-8978-C2DD3B349079}"/>
    <cellStyle name="Comma 2 2 2 2 4 5 8 3" xfId="25932" xr:uid="{9C8701B1-E557-4C09-ACE3-8BCC38E32215}"/>
    <cellStyle name="Comma 2 2 2 2 4 5 9" xfId="4028" xr:uid="{882F9CDE-BBE9-4E7F-80C2-47EEEF940224}"/>
    <cellStyle name="Comma 2 2 2 2 4 5 9 2" xfId="40536" xr:uid="{579FC0BF-994A-4BF7-A127-9C0DA192E713}"/>
    <cellStyle name="Comma 2 2 2 2 4 5 9 3" xfId="22282" xr:uid="{58F4D335-A8E7-41C5-88F7-A4EF7C1058ED}"/>
    <cellStyle name="Comma 2 2 2 2 4 6" xfId="274" xr:uid="{A83EB724-8453-44EF-9D2D-9BA6DC0C381C}"/>
    <cellStyle name="Comma 2 2 2 2 4 6 10" xfId="36782" xr:uid="{59F5F4A3-7BFE-4DFF-AFD9-E117E68D1D82}"/>
    <cellStyle name="Comma 2 2 2 2 4 6 11" xfId="18528" xr:uid="{DCABA1D5-2C51-4EC1-955D-49DDDB83E389}"/>
    <cellStyle name="Comma 2 2 2 2 4 6 2" xfId="3194" xr:uid="{AAB691AB-1BF7-4AB2-9A0E-E2B7EC253022}"/>
    <cellStyle name="Comma 2 2 2 2 4 6 2 2" xfId="17794" xr:uid="{807E00D0-8B6C-4CFF-A832-B8D19636492E}"/>
    <cellStyle name="Comma 2 2 2 2 4 6 2 2 2" xfId="54302" xr:uid="{7A6D10DA-99AD-4041-B803-5FE323586745}"/>
    <cellStyle name="Comma 2 2 2 2 4 6 2 2 3" xfId="36048" xr:uid="{9B53F4FA-4640-4791-B509-8267772AB78E}"/>
    <cellStyle name="Comma 2 2 2 2 4 6 2 3" xfId="14144" xr:uid="{D2248670-0478-4A36-8973-2D9B1A6588B4}"/>
    <cellStyle name="Comma 2 2 2 2 4 6 2 3 2" xfId="50652" xr:uid="{67AA93AB-C4BD-463C-9D06-93154C5EFC19}"/>
    <cellStyle name="Comma 2 2 2 2 4 6 2 3 3" xfId="32398" xr:uid="{D412FEE7-089B-4AF0-A860-D4E89E589EB7}"/>
    <cellStyle name="Comma 2 2 2 2 4 6 2 4" xfId="10494" xr:uid="{117B1CC1-84CE-41D3-8F58-A1F82A7B6AF4}"/>
    <cellStyle name="Comma 2 2 2 2 4 6 2 4 2" xfId="47002" xr:uid="{22CE3CEB-9F89-4F2E-A387-E554B49B82B1}"/>
    <cellStyle name="Comma 2 2 2 2 4 6 2 4 3" xfId="28748" xr:uid="{AAA7991B-B77C-4F58-8AA2-0081B2A27A37}"/>
    <cellStyle name="Comma 2 2 2 2 4 6 2 5" xfId="6844" xr:uid="{BE1389EA-160E-4326-BF6F-C9834ED8F5B5}"/>
    <cellStyle name="Comma 2 2 2 2 4 6 2 5 2" xfId="43352" xr:uid="{D781166C-2260-42C9-AC0C-7B4F6AC2B18C}"/>
    <cellStyle name="Comma 2 2 2 2 4 6 2 5 3" xfId="25098" xr:uid="{1D79FCB1-85F1-4D3D-9975-05D4A8157FF7}"/>
    <cellStyle name="Comma 2 2 2 2 4 6 2 6" xfId="39702" xr:uid="{EABA2D4A-ACE4-4463-8CF9-745B19B9D8ED}"/>
    <cellStyle name="Comma 2 2 2 2 4 6 2 7" xfId="21448" xr:uid="{43FAABFB-A8FF-428C-8F51-02F9B9906835}"/>
    <cellStyle name="Comma 2 2 2 2 4 6 3" xfId="2464" xr:uid="{F8DDE99E-8E25-4168-BAFF-0F8D63CC056D}"/>
    <cellStyle name="Comma 2 2 2 2 4 6 3 2" xfId="17064" xr:uid="{C1F078D5-A7A6-4B55-BEBE-78DB0D8E03CE}"/>
    <cellStyle name="Comma 2 2 2 2 4 6 3 2 2" xfId="53572" xr:uid="{BB0BB1C8-5FB7-4EAB-87CC-447B57470903}"/>
    <cellStyle name="Comma 2 2 2 2 4 6 3 2 3" xfId="35318" xr:uid="{D3FA223D-F98B-4AE5-B27A-98FA294AC2F8}"/>
    <cellStyle name="Comma 2 2 2 2 4 6 3 3" xfId="13414" xr:uid="{EF74C831-0AAA-4889-9AC0-07C3AF10A790}"/>
    <cellStyle name="Comma 2 2 2 2 4 6 3 3 2" xfId="49922" xr:uid="{F23317BD-0FC7-4165-803F-8DEE6873B1F4}"/>
    <cellStyle name="Comma 2 2 2 2 4 6 3 3 3" xfId="31668" xr:uid="{A57D36FC-52B9-4921-BCDD-E45785C96F1C}"/>
    <cellStyle name="Comma 2 2 2 2 4 6 3 4" xfId="9764" xr:uid="{A27EE2DC-0447-4F19-A445-CB6A577473AC}"/>
    <cellStyle name="Comma 2 2 2 2 4 6 3 4 2" xfId="46272" xr:uid="{FC43746B-28D4-4D64-9935-4E6B66F52B79}"/>
    <cellStyle name="Comma 2 2 2 2 4 6 3 4 3" xfId="28018" xr:uid="{C4F28B55-EC7C-4A76-9554-DEB09B3498E2}"/>
    <cellStyle name="Comma 2 2 2 2 4 6 3 5" xfId="6114" xr:uid="{472594DE-0378-4C77-A286-885DE431D66B}"/>
    <cellStyle name="Comma 2 2 2 2 4 6 3 5 2" xfId="42622" xr:uid="{A352F615-BCC0-479C-B95F-BDF02A48E693}"/>
    <cellStyle name="Comma 2 2 2 2 4 6 3 5 3" xfId="24368" xr:uid="{F13EB5A9-14BE-488C-91FF-0C2AAC5836E3}"/>
    <cellStyle name="Comma 2 2 2 2 4 6 3 6" xfId="38972" xr:uid="{8D0E81F5-D33D-467B-8AAD-A6E5BEE2D0D2}"/>
    <cellStyle name="Comma 2 2 2 2 4 6 3 7" xfId="20718" xr:uid="{218AD6DD-05BC-473F-A49C-063748BA2B61}"/>
    <cellStyle name="Comma 2 2 2 2 4 6 4" xfId="1734" xr:uid="{78D2EB17-4CF1-4511-9A21-13CA07F6A08C}"/>
    <cellStyle name="Comma 2 2 2 2 4 6 4 2" xfId="16334" xr:uid="{D4C15272-14C2-49A8-9C0C-B59C5B88DA39}"/>
    <cellStyle name="Comma 2 2 2 2 4 6 4 2 2" xfId="52842" xr:uid="{CE221491-32ED-4468-BBE6-9EBB7B2FA18F}"/>
    <cellStyle name="Comma 2 2 2 2 4 6 4 2 3" xfId="34588" xr:uid="{89E4B5E6-60C0-450A-8D09-71EF94DAF4A2}"/>
    <cellStyle name="Comma 2 2 2 2 4 6 4 3" xfId="12684" xr:uid="{258C67B6-9B87-4BD9-B25A-3EB0E1D32D42}"/>
    <cellStyle name="Comma 2 2 2 2 4 6 4 3 2" xfId="49192" xr:uid="{EA05BD30-BB1B-46B6-972C-AA7F4F76E740}"/>
    <cellStyle name="Comma 2 2 2 2 4 6 4 3 3" xfId="30938" xr:uid="{98CBF5AA-541C-4037-8334-BF174E591C42}"/>
    <cellStyle name="Comma 2 2 2 2 4 6 4 4" xfId="9034" xr:uid="{BB75C087-96DC-4A03-A09C-F3334F0CCE7F}"/>
    <cellStyle name="Comma 2 2 2 2 4 6 4 4 2" xfId="45542" xr:uid="{9D14A16C-093C-4769-85B7-478AAD5CE8B4}"/>
    <cellStyle name="Comma 2 2 2 2 4 6 4 4 3" xfId="27288" xr:uid="{FA733460-648C-4813-A16E-AAC47ABE3E47}"/>
    <cellStyle name="Comma 2 2 2 2 4 6 4 5" xfId="5384" xr:uid="{E82A44C8-7FC2-4A4B-BD8D-3D3472AE23C6}"/>
    <cellStyle name="Comma 2 2 2 2 4 6 4 5 2" xfId="41892" xr:uid="{9E24A386-D197-46AE-B70B-24F2E1CD5A66}"/>
    <cellStyle name="Comma 2 2 2 2 4 6 4 5 3" xfId="23638" xr:uid="{F6062CFE-BE8C-4F33-B5B3-46A6451F58EA}"/>
    <cellStyle name="Comma 2 2 2 2 4 6 4 6" xfId="38242" xr:uid="{6263F307-CA09-47FB-AEDD-127CA90DE3FD}"/>
    <cellStyle name="Comma 2 2 2 2 4 6 4 7" xfId="19988" xr:uid="{56981EAC-5763-406A-A30B-4FFC2979FB16}"/>
    <cellStyle name="Comma 2 2 2 2 4 6 5" xfId="1004" xr:uid="{5E0F692A-1224-4C7A-8E7B-8EF01B1CF002}"/>
    <cellStyle name="Comma 2 2 2 2 4 6 5 2" xfId="15604" xr:uid="{1343BA9C-A368-4D48-85D4-255D68C99BF0}"/>
    <cellStyle name="Comma 2 2 2 2 4 6 5 2 2" xfId="52112" xr:uid="{78D04FAD-ACF7-4CB2-AB89-E53D0D30DC99}"/>
    <cellStyle name="Comma 2 2 2 2 4 6 5 2 3" xfId="33858" xr:uid="{11FA52F0-36C4-4306-A956-F5509758490C}"/>
    <cellStyle name="Comma 2 2 2 2 4 6 5 3" xfId="11954" xr:uid="{D1D8A36E-5E36-4772-B18A-553C04CAD14F}"/>
    <cellStyle name="Comma 2 2 2 2 4 6 5 3 2" xfId="48462" xr:uid="{1D563B2E-FDD3-4245-A3B9-E6B986867DAC}"/>
    <cellStyle name="Comma 2 2 2 2 4 6 5 3 3" xfId="30208" xr:uid="{32E986BF-1010-40C7-B2AE-8DC422FA6B7D}"/>
    <cellStyle name="Comma 2 2 2 2 4 6 5 4" xfId="8304" xr:uid="{79995476-D7DF-43E1-9E63-2BE2F9EA51DC}"/>
    <cellStyle name="Comma 2 2 2 2 4 6 5 4 2" xfId="44812" xr:uid="{AD369C50-CA68-4840-9C46-70F2F947CA68}"/>
    <cellStyle name="Comma 2 2 2 2 4 6 5 4 3" xfId="26558" xr:uid="{EA533D32-CF4E-4B5D-8E7F-A6776947C82E}"/>
    <cellStyle name="Comma 2 2 2 2 4 6 5 5" xfId="4654" xr:uid="{AD7B719E-4711-4084-AFDE-69090741C6AD}"/>
    <cellStyle name="Comma 2 2 2 2 4 6 5 5 2" xfId="41162" xr:uid="{316C5387-CD8E-4EF0-A748-5A322467E372}"/>
    <cellStyle name="Comma 2 2 2 2 4 6 5 5 3" xfId="22908" xr:uid="{13A4190E-B7E5-4919-BA59-D6D28671359A}"/>
    <cellStyle name="Comma 2 2 2 2 4 6 5 6" xfId="37512" xr:uid="{E13C4C3A-0805-43EC-9B8D-B9DAB4AF2025}"/>
    <cellStyle name="Comma 2 2 2 2 4 6 5 7" xfId="19258" xr:uid="{2079BCF3-9838-4A97-BD28-5F6D1019D0DB}"/>
    <cellStyle name="Comma 2 2 2 2 4 6 6" xfId="14874" xr:uid="{595E94E6-E17A-44CE-945F-83B70CD7CDCC}"/>
    <cellStyle name="Comma 2 2 2 2 4 6 6 2" xfId="51382" xr:uid="{D2C4CDC1-BD43-4914-9ED2-906F0ADAFAD1}"/>
    <cellStyle name="Comma 2 2 2 2 4 6 6 3" xfId="33128" xr:uid="{BD2F8E85-847F-4546-8756-286407A32F45}"/>
    <cellStyle name="Comma 2 2 2 2 4 6 7" xfId="11224" xr:uid="{7D4680B2-0E19-449C-B214-DEBED0BBFC73}"/>
    <cellStyle name="Comma 2 2 2 2 4 6 7 2" xfId="47732" xr:uid="{6AA50168-52CA-497B-85EB-3331563832B2}"/>
    <cellStyle name="Comma 2 2 2 2 4 6 7 3" xfId="29478" xr:uid="{5138C969-2402-4FE2-B6D5-A46720FC0BDA}"/>
    <cellStyle name="Comma 2 2 2 2 4 6 8" xfId="7574" xr:uid="{16E42910-166E-425A-BFF5-71BBE83C4F55}"/>
    <cellStyle name="Comma 2 2 2 2 4 6 8 2" xfId="44082" xr:uid="{F87F8E76-D18F-404D-AF53-62DF1D9D9492}"/>
    <cellStyle name="Comma 2 2 2 2 4 6 8 3" xfId="25828" xr:uid="{2F7C25DC-1A44-4284-944F-FEFEEDD55D67}"/>
    <cellStyle name="Comma 2 2 2 2 4 6 9" xfId="3924" xr:uid="{398708B8-CD6F-4C58-ACAE-89F284A7B7C7}"/>
    <cellStyle name="Comma 2 2 2 2 4 6 9 2" xfId="40432" xr:uid="{5DB48E53-AEF2-4B25-90FA-39B4DDB5D216}"/>
    <cellStyle name="Comma 2 2 2 2 4 6 9 3" xfId="22178" xr:uid="{F74ED0C1-CF3A-441F-9A06-4CB39031061A}"/>
    <cellStyle name="Comma 2 2 2 2 4 7" xfId="170" xr:uid="{49FAEADA-3199-40DD-A38B-1B5CF9CFD711}"/>
    <cellStyle name="Comma 2 2 2 2 4 7 10" xfId="36678" xr:uid="{DC93A4B0-1253-49CF-86A8-BDF8F8B49B76}"/>
    <cellStyle name="Comma 2 2 2 2 4 7 11" xfId="18424" xr:uid="{C3DC85D6-D174-443A-97D1-F562CA1C9DC8}"/>
    <cellStyle name="Comma 2 2 2 2 4 7 2" xfId="3090" xr:uid="{B4EF6F5C-0DD8-4F47-9B0F-8D49F71B7E39}"/>
    <cellStyle name="Comma 2 2 2 2 4 7 2 2" xfId="17690" xr:uid="{001730E0-E9BC-419E-B4CF-70591C327599}"/>
    <cellStyle name="Comma 2 2 2 2 4 7 2 2 2" xfId="54198" xr:uid="{D091D584-2B49-450C-88CD-8A2FAA8F3DE3}"/>
    <cellStyle name="Comma 2 2 2 2 4 7 2 2 3" xfId="35944" xr:uid="{6F854D14-1104-4698-84F2-64A17D0017B6}"/>
    <cellStyle name="Comma 2 2 2 2 4 7 2 3" xfId="14040" xr:uid="{D1BB2903-8173-4F77-90B2-F2D796DB8653}"/>
    <cellStyle name="Comma 2 2 2 2 4 7 2 3 2" xfId="50548" xr:uid="{72F2EC24-B170-40B8-8FCC-3559F38F22DA}"/>
    <cellStyle name="Comma 2 2 2 2 4 7 2 3 3" xfId="32294" xr:uid="{CC6517F8-7F3C-486C-B4C0-199BF550B9BD}"/>
    <cellStyle name="Comma 2 2 2 2 4 7 2 4" xfId="10390" xr:uid="{64F729E0-7A2B-4FAE-A264-1EAB69D0DE1B}"/>
    <cellStyle name="Comma 2 2 2 2 4 7 2 4 2" xfId="46898" xr:uid="{61423B3B-E673-4ABE-8A4C-A5F8DA5E4E58}"/>
    <cellStyle name="Comma 2 2 2 2 4 7 2 4 3" xfId="28644" xr:uid="{5051002A-B4B5-4696-97F0-76FA88419776}"/>
    <cellStyle name="Comma 2 2 2 2 4 7 2 5" xfId="6740" xr:uid="{8BD594AE-D04A-4765-9252-315FFA928B81}"/>
    <cellStyle name="Comma 2 2 2 2 4 7 2 5 2" xfId="43248" xr:uid="{C1088083-B97E-4889-9543-3F30CAFC2A10}"/>
    <cellStyle name="Comma 2 2 2 2 4 7 2 5 3" xfId="24994" xr:uid="{9A81B76A-1EA0-4B50-AA30-1DBF49EA2B2D}"/>
    <cellStyle name="Comma 2 2 2 2 4 7 2 6" xfId="39598" xr:uid="{913B5DB9-64AA-4B2C-BDFF-5A08B0633A1B}"/>
    <cellStyle name="Comma 2 2 2 2 4 7 2 7" xfId="21344" xr:uid="{B637C512-8864-4408-A2AC-F1665CE803B8}"/>
    <cellStyle name="Comma 2 2 2 2 4 7 3" xfId="2360" xr:uid="{EF33B468-E4D2-42B3-A6F0-33159E86F5A0}"/>
    <cellStyle name="Comma 2 2 2 2 4 7 3 2" xfId="16960" xr:uid="{492B71F6-2F00-485C-BE21-227069389577}"/>
    <cellStyle name="Comma 2 2 2 2 4 7 3 2 2" xfId="53468" xr:uid="{5E7A29B9-ECA0-4782-99FC-B9D60A9D4D08}"/>
    <cellStyle name="Comma 2 2 2 2 4 7 3 2 3" xfId="35214" xr:uid="{8E7520F4-A378-4DAE-A329-4F923BA2E178}"/>
    <cellStyle name="Comma 2 2 2 2 4 7 3 3" xfId="13310" xr:uid="{DFC27AE6-4CCE-4129-81A2-44174D8EE24D}"/>
    <cellStyle name="Comma 2 2 2 2 4 7 3 3 2" xfId="49818" xr:uid="{9C8BF962-FF8D-47DD-B54A-58AB6ED1B04B}"/>
    <cellStyle name="Comma 2 2 2 2 4 7 3 3 3" xfId="31564" xr:uid="{B556B9FA-5CE7-4394-A1DD-18D58BD630BF}"/>
    <cellStyle name="Comma 2 2 2 2 4 7 3 4" xfId="9660" xr:uid="{179F5BA1-5AB9-4211-839D-1FCBF21B9A3C}"/>
    <cellStyle name="Comma 2 2 2 2 4 7 3 4 2" xfId="46168" xr:uid="{4CA0131C-A871-4946-8F9C-C6A9F0558601}"/>
    <cellStyle name="Comma 2 2 2 2 4 7 3 4 3" xfId="27914" xr:uid="{4484E2D0-D782-4F84-9585-6A0A5C2EB795}"/>
    <cellStyle name="Comma 2 2 2 2 4 7 3 5" xfId="6010" xr:uid="{391FF294-D2CF-4CBF-B3C1-4D6D62391F73}"/>
    <cellStyle name="Comma 2 2 2 2 4 7 3 5 2" xfId="42518" xr:uid="{AC2A8E04-4234-4B4C-BF1F-EE98E4D11321}"/>
    <cellStyle name="Comma 2 2 2 2 4 7 3 5 3" xfId="24264" xr:uid="{D0902E46-CCF2-4173-8BF1-68B991BC2D2B}"/>
    <cellStyle name="Comma 2 2 2 2 4 7 3 6" xfId="38868" xr:uid="{943D044B-27E7-4EE9-A3FD-ECF23690CC6D}"/>
    <cellStyle name="Comma 2 2 2 2 4 7 3 7" xfId="20614" xr:uid="{B8D2D462-9CB7-4E1C-A6A7-4FE05A7029E5}"/>
    <cellStyle name="Comma 2 2 2 2 4 7 4" xfId="1630" xr:uid="{11BC4201-C449-489F-B9DF-2EBFAF6AB51F}"/>
    <cellStyle name="Comma 2 2 2 2 4 7 4 2" xfId="16230" xr:uid="{173F547E-1470-4A34-8275-5A5165BFA997}"/>
    <cellStyle name="Comma 2 2 2 2 4 7 4 2 2" xfId="52738" xr:uid="{CD023278-D22B-47FA-87D6-4EB38432B1BA}"/>
    <cellStyle name="Comma 2 2 2 2 4 7 4 2 3" xfId="34484" xr:uid="{45689202-3FD9-443D-B7BD-C456C96406D0}"/>
    <cellStyle name="Comma 2 2 2 2 4 7 4 3" xfId="12580" xr:uid="{0EADC157-EC28-437F-898B-C9469B87A39A}"/>
    <cellStyle name="Comma 2 2 2 2 4 7 4 3 2" xfId="49088" xr:uid="{9380DA6D-A112-48CA-8FC8-38F64D4E9F74}"/>
    <cellStyle name="Comma 2 2 2 2 4 7 4 3 3" xfId="30834" xr:uid="{AFD2D904-98AA-49DC-B87E-46D34473E374}"/>
    <cellStyle name="Comma 2 2 2 2 4 7 4 4" xfId="8930" xr:uid="{6ED0B3EA-8758-48E8-8C2A-881070104F2D}"/>
    <cellStyle name="Comma 2 2 2 2 4 7 4 4 2" xfId="45438" xr:uid="{87D215CF-01B3-486A-89DD-81BB88647D13}"/>
    <cellStyle name="Comma 2 2 2 2 4 7 4 4 3" xfId="27184" xr:uid="{FF33EAC6-95A5-47D4-A632-03DFC69EBF62}"/>
    <cellStyle name="Comma 2 2 2 2 4 7 4 5" xfId="5280" xr:uid="{CE737DF2-0637-4009-BCC6-56975643D46D}"/>
    <cellStyle name="Comma 2 2 2 2 4 7 4 5 2" xfId="41788" xr:uid="{DE9C7D7A-DA39-4E7A-8B63-19865C5D7EC3}"/>
    <cellStyle name="Comma 2 2 2 2 4 7 4 5 3" xfId="23534" xr:uid="{3D1A07E5-3B23-44A2-A076-E06F58182276}"/>
    <cellStyle name="Comma 2 2 2 2 4 7 4 6" xfId="38138" xr:uid="{8597A672-1CA4-4333-A811-23F7692EC220}"/>
    <cellStyle name="Comma 2 2 2 2 4 7 4 7" xfId="19884" xr:uid="{7FAE8ED9-637D-44BB-9F18-D939FB4ED4C8}"/>
    <cellStyle name="Comma 2 2 2 2 4 7 5" xfId="900" xr:uid="{32B43185-68EF-43E6-9E4D-B4DCD4188DB1}"/>
    <cellStyle name="Comma 2 2 2 2 4 7 5 2" xfId="15500" xr:uid="{8953B686-3D4E-4CEC-9E9E-1ECA3FFBFB43}"/>
    <cellStyle name="Comma 2 2 2 2 4 7 5 2 2" xfId="52008" xr:uid="{DAB2F0C3-AA0B-452B-BA19-37C699B509E1}"/>
    <cellStyle name="Comma 2 2 2 2 4 7 5 2 3" xfId="33754" xr:uid="{0E1B8FFF-45BF-456E-962F-7EDC8FE9B68F}"/>
    <cellStyle name="Comma 2 2 2 2 4 7 5 3" xfId="11850" xr:uid="{DB0923AB-B0F7-4DD9-8161-1DFE7A36D05C}"/>
    <cellStyle name="Comma 2 2 2 2 4 7 5 3 2" xfId="48358" xr:uid="{2692CE34-7BC0-4C74-8B48-A79D1ED5ABC1}"/>
    <cellStyle name="Comma 2 2 2 2 4 7 5 3 3" xfId="30104" xr:uid="{0E45DB15-1167-455C-AD17-0EA8A4B87B33}"/>
    <cellStyle name="Comma 2 2 2 2 4 7 5 4" xfId="8200" xr:uid="{992D7BC2-E75B-4C89-8285-54DC133757A6}"/>
    <cellStyle name="Comma 2 2 2 2 4 7 5 4 2" xfId="44708" xr:uid="{73240C9B-CE48-4F23-8343-3096DE43FE6C}"/>
    <cellStyle name="Comma 2 2 2 2 4 7 5 4 3" xfId="26454" xr:uid="{0C674E6F-FE17-47A4-82C3-28691A313A43}"/>
    <cellStyle name="Comma 2 2 2 2 4 7 5 5" xfId="4550" xr:uid="{BB510F1D-2877-40C4-8351-479FD274AB18}"/>
    <cellStyle name="Comma 2 2 2 2 4 7 5 5 2" xfId="41058" xr:uid="{5C0B1357-8D10-467E-85D6-D9B42C96BCE1}"/>
    <cellStyle name="Comma 2 2 2 2 4 7 5 5 3" xfId="22804" xr:uid="{05A7A462-1430-4B4E-976A-513015C3F0EF}"/>
    <cellStyle name="Comma 2 2 2 2 4 7 5 6" xfId="37408" xr:uid="{E1BF146E-CF76-4DAC-A547-1BE817B5234D}"/>
    <cellStyle name="Comma 2 2 2 2 4 7 5 7" xfId="19154" xr:uid="{4B47B64F-0DAE-49E7-BE14-C8C7EEBB7614}"/>
    <cellStyle name="Comma 2 2 2 2 4 7 6" xfId="14770" xr:uid="{E523F906-3A95-4D52-A004-38AC0543498F}"/>
    <cellStyle name="Comma 2 2 2 2 4 7 6 2" xfId="51278" xr:uid="{C87E4C3E-7038-4DE8-85A1-AB1FCC95732B}"/>
    <cellStyle name="Comma 2 2 2 2 4 7 6 3" xfId="33024" xr:uid="{5773643F-F230-4AE1-92D2-63EC2FB2EC98}"/>
    <cellStyle name="Comma 2 2 2 2 4 7 7" xfId="11120" xr:uid="{8CC1FD94-6C8B-4DFA-9279-C2F6125E9CD3}"/>
    <cellStyle name="Comma 2 2 2 2 4 7 7 2" xfId="47628" xr:uid="{B166242D-0ABC-4B34-AAFA-940BE5CE9131}"/>
    <cellStyle name="Comma 2 2 2 2 4 7 7 3" xfId="29374" xr:uid="{619806D1-FE6A-4C03-9532-4A4BF4A502F6}"/>
    <cellStyle name="Comma 2 2 2 2 4 7 8" xfId="7470" xr:uid="{78C889E4-2493-4F6A-B676-E19804B62B41}"/>
    <cellStyle name="Comma 2 2 2 2 4 7 8 2" xfId="43978" xr:uid="{E9F7C227-73C4-4358-89AE-A01123D9E414}"/>
    <cellStyle name="Comma 2 2 2 2 4 7 8 3" xfId="25724" xr:uid="{C5697A5D-8C46-483F-8643-89EF987205C0}"/>
    <cellStyle name="Comma 2 2 2 2 4 7 9" xfId="3820" xr:uid="{E4D27F4F-2B0B-4C44-80ED-A97DA792D232}"/>
    <cellStyle name="Comma 2 2 2 2 4 7 9 2" xfId="40328" xr:uid="{DC677F1B-449C-4574-B029-04AAE7CB1D79}"/>
    <cellStyle name="Comma 2 2 2 2 4 7 9 3" xfId="22074" xr:uid="{EA38C111-C2E7-4D4D-A567-BF0EAAADAF44}"/>
    <cellStyle name="Comma 2 2 2 2 4 8" xfId="2986" xr:uid="{61510DC8-12ED-4C9B-ACEF-BA686A7DFD5F}"/>
    <cellStyle name="Comma 2 2 2 2 4 8 2" xfId="17586" xr:uid="{0E33F54C-EC23-4021-8993-9BFCA2577D76}"/>
    <cellStyle name="Comma 2 2 2 2 4 8 2 2" xfId="54094" xr:uid="{82512CA6-8CF5-47C1-8FB7-82A1FF868623}"/>
    <cellStyle name="Comma 2 2 2 2 4 8 2 3" xfId="35840" xr:uid="{E4E06CA9-562C-4571-960D-BBC125BA334D}"/>
    <cellStyle name="Comma 2 2 2 2 4 8 3" xfId="13936" xr:uid="{2CEC619D-9E36-4A7D-A554-1803416FE01C}"/>
    <cellStyle name="Comma 2 2 2 2 4 8 3 2" xfId="50444" xr:uid="{38C8B527-030F-433C-961F-C02D74657BF1}"/>
    <cellStyle name="Comma 2 2 2 2 4 8 3 3" xfId="32190" xr:uid="{3C17D12E-332D-45E7-B2E2-C307783583DE}"/>
    <cellStyle name="Comma 2 2 2 2 4 8 4" xfId="10286" xr:uid="{19A4C62A-402D-43E6-912A-8E38ECBC3D40}"/>
    <cellStyle name="Comma 2 2 2 2 4 8 4 2" xfId="46794" xr:uid="{726C81C4-BDC2-4A54-96F4-CC4E77F97BB6}"/>
    <cellStyle name="Comma 2 2 2 2 4 8 4 3" xfId="28540" xr:uid="{3EE951D9-3E84-4F78-BC5E-E698CF6F0073}"/>
    <cellStyle name="Comma 2 2 2 2 4 8 5" xfId="6636" xr:uid="{39656A01-0851-40D9-8BE1-1FCAF5FF7D48}"/>
    <cellStyle name="Comma 2 2 2 2 4 8 5 2" xfId="43144" xr:uid="{8B35E610-3E70-4400-9CD5-946D211E6383}"/>
    <cellStyle name="Comma 2 2 2 2 4 8 5 3" xfId="24890" xr:uid="{DA283B30-3A8C-416A-8906-9E08F9D5E098}"/>
    <cellStyle name="Comma 2 2 2 2 4 8 6" xfId="39494" xr:uid="{E3615FC4-784B-439F-B4BD-EDE000C16D94}"/>
    <cellStyle name="Comma 2 2 2 2 4 8 7" xfId="21240" xr:uid="{2A4F325F-F7AD-4077-99A4-13763F15A098}"/>
    <cellStyle name="Comma 2 2 2 2 4 9" xfId="2256" xr:uid="{272A4090-DB2D-4C84-A3A6-A11F00E78961}"/>
    <cellStyle name="Comma 2 2 2 2 4 9 2" xfId="16856" xr:uid="{50493D8B-30C6-4B6D-8A1F-AA8819E8FA46}"/>
    <cellStyle name="Comma 2 2 2 2 4 9 2 2" xfId="53364" xr:uid="{AAF6A453-9AAA-4F22-BCCF-F3F84A8D3E60}"/>
    <cellStyle name="Comma 2 2 2 2 4 9 2 3" xfId="35110" xr:uid="{DB583B6D-1940-480F-96E5-733F96A84F48}"/>
    <cellStyle name="Comma 2 2 2 2 4 9 3" xfId="13206" xr:uid="{0383C836-9656-41A3-A8DF-CDD7BF22CC90}"/>
    <cellStyle name="Comma 2 2 2 2 4 9 3 2" xfId="49714" xr:uid="{F2476B98-6D59-4AE0-BD5F-075EE45BA9D8}"/>
    <cellStyle name="Comma 2 2 2 2 4 9 3 3" xfId="31460" xr:uid="{F8CB483E-A584-49DF-BB0D-F538CD52746B}"/>
    <cellStyle name="Comma 2 2 2 2 4 9 4" xfId="9556" xr:uid="{CF1E3FAD-CB59-4F63-8562-D7BFFDE47D01}"/>
    <cellStyle name="Comma 2 2 2 2 4 9 4 2" xfId="46064" xr:uid="{069D5FB7-3025-476D-B598-4B701221E6DE}"/>
    <cellStyle name="Comma 2 2 2 2 4 9 4 3" xfId="27810" xr:uid="{E64B9263-70BF-4817-AB83-0E6B966A5890}"/>
    <cellStyle name="Comma 2 2 2 2 4 9 5" xfId="5906" xr:uid="{5BE87F6A-5B2C-4540-9513-006EA2B59AC3}"/>
    <cellStyle name="Comma 2 2 2 2 4 9 5 2" xfId="42414" xr:uid="{83603F67-A6E5-458A-9D8E-5982C2B69A0D}"/>
    <cellStyle name="Comma 2 2 2 2 4 9 5 3" xfId="24160" xr:uid="{05F8B6C7-C61A-4C6E-AB2A-B2FBD1F56FD9}"/>
    <cellStyle name="Comma 2 2 2 2 4 9 6" xfId="38764" xr:uid="{5421F581-94EC-485B-B472-B957B0A7A6F0}"/>
    <cellStyle name="Comma 2 2 2 2 4 9 7" xfId="20510" xr:uid="{7F8ADDE9-BC6A-4646-B1F9-F823F4B201E2}"/>
    <cellStyle name="Comma 2 2 2 2 5" xfId="658" xr:uid="{D137B334-65E2-4AC3-AC54-826532CD706A}"/>
    <cellStyle name="Comma 2 2 2 2 5 10" xfId="37166" xr:uid="{9FF75549-5795-431D-AA7D-5486BE1934D8}"/>
    <cellStyle name="Comma 2 2 2 2 5 11" xfId="18912" xr:uid="{EE9AC14C-BD71-4D9E-8A13-1FDBB524A0D5}"/>
    <cellStyle name="Comma 2 2 2 2 5 2" xfId="3578" xr:uid="{F966E40C-A542-41B1-9F5B-5C71FADD7655}"/>
    <cellStyle name="Comma 2 2 2 2 5 2 2" xfId="18178" xr:uid="{B4384A3C-A3EA-4F6E-96C8-FF0E1A027C95}"/>
    <cellStyle name="Comma 2 2 2 2 5 2 2 2" xfId="54686" xr:uid="{9310D5DC-D66E-41CB-8F18-180E491F3A17}"/>
    <cellStyle name="Comma 2 2 2 2 5 2 2 3" xfId="36432" xr:uid="{432602C3-82FE-4DC5-997C-2B5C45CCB2D7}"/>
    <cellStyle name="Comma 2 2 2 2 5 2 3" xfId="14528" xr:uid="{D107AE00-FA8E-4CCA-9E50-01B50C42C7D9}"/>
    <cellStyle name="Comma 2 2 2 2 5 2 3 2" xfId="51036" xr:uid="{C748DCA9-3E13-4C42-9E89-1B77D21FC1B6}"/>
    <cellStyle name="Comma 2 2 2 2 5 2 3 3" xfId="32782" xr:uid="{9AB6240C-367D-409F-90F3-6E94D506D9A0}"/>
    <cellStyle name="Comma 2 2 2 2 5 2 4" xfId="10878" xr:uid="{2825F54F-760E-48FD-BE99-C7FCD77C8787}"/>
    <cellStyle name="Comma 2 2 2 2 5 2 4 2" xfId="47386" xr:uid="{E3C8B4E8-6778-4E8D-8911-C85DE539029F}"/>
    <cellStyle name="Comma 2 2 2 2 5 2 4 3" xfId="29132" xr:uid="{8C8B5D09-8892-41E4-BA71-95189A777B7B}"/>
    <cellStyle name="Comma 2 2 2 2 5 2 5" xfId="7228" xr:uid="{BC04CA3E-A950-43CC-AD0D-7F8CE87AF8E5}"/>
    <cellStyle name="Comma 2 2 2 2 5 2 5 2" xfId="43736" xr:uid="{1B9B336E-B565-46F7-846F-BFC40BFDE466}"/>
    <cellStyle name="Comma 2 2 2 2 5 2 5 3" xfId="25482" xr:uid="{D1412384-1AC0-4446-BFE2-8BBFBBA03D25}"/>
    <cellStyle name="Comma 2 2 2 2 5 2 6" xfId="40086" xr:uid="{EA7B1141-FE53-44F0-B990-AF8789D0D4E5}"/>
    <cellStyle name="Comma 2 2 2 2 5 2 7" xfId="21832" xr:uid="{1E0B5E9E-102D-4AC7-A78E-18C142FC90C3}"/>
    <cellStyle name="Comma 2 2 2 2 5 3" xfId="2848" xr:uid="{F93E3D53-4376-4C08-B938-A3EA862732A6}"/>
    <cellStyle name="Comma 2 2 2 2 5 3 2" xfId="17448" xr:uid="{3EE8971D-B402-4981-A180-1257BB72E4AB}"/>
    <cellStyle name="Comma 2 2 2 2 5 3 2 2" xfId="53956" xr:uid="{AB801CE9-4278-404B-A57E-5ECEB9CA472E}"/>
    <cellStyle name="Comma 2 2 2 2 5 3 2 3" xfId="35702" xr:uid="{9CE923F2-417A-4FD8-9850-7D10718A47C6}"/>
    <cellStyle name="Comma 2 2 2 2 5 3 3" xfId="13798" xr:uid="{DD049C7F-FC3C-4156-BFFF-05772F4FE112}"/>
    <cellStyle name="Comma 2 2 2 2 5 3 3 2" xfId="50306" xr:uid="{B5804C83-7184-40B0-B49C-24EBFC20E995}"/>
    <cellStyle name="Comma 2 2 2 2 5 3 3 3" xfId="32052" xr:uid="{C6DB079D-5868-4786-93B5-A5AD154B37DF}"/>
    <cellStyle name="Comma 2 2 2 2 5 3 4" xfId="10148" xr:uid="{435DFB24-2A46-4E94-87AF-C94386116C44}"/>
    <cellStyle name="Comma 2 2 2 2 5 3 4 2" xfId="46656" xr:uid="{757D24DD-1894-4196-BA55-C1E05CB33C1F}"/>
    <cellStyle name="Comma 2 2 2 2 5 3 4 3" xfId="28402" xr:uid="{95F98DBB-A7A4-4430-B648-2C9EF6C2E9C2}"/>
    <cellStyle name="Comma 2 2 2 2 5 3 5" xfId="6498" xr:uid="{F148E376-CA2C-44EC-9148-63A25E79249A}"/>
    <cellStyle name="Comma 2 2 2 2 5 3 5 2" xfId="43006" xr:uid="{6040EB56-21C7-4FEC-B4DE-902A2DDC0046}"/>
    <cellStyle name="Comma 2 2 2 2 5 3 5 3" xfId="24752" xr:uid="{CAC77CE1-77A1-48DA-B679-56843108F47F}"/>
    <cellStyle name="Comma 2 2 2 2 5 3 6" xfId="39356" xr:uid="{9C01282C-0146-4FE9-A3CE-8740850B1E6A}"/>
    <cellStyle name="Comma 2 2 2 2 5 3 7" xfId="21102" xr:uid="{C067CD9D-D933-41E4-B779-0B2698FBD0A2}"/>
    <cellStyle name="Comma 2 2 2 2 5 4" xfId="2118" xr:uid="{EEDF203F-ABA0-4AC9-8697-55219AFBE49F}"/>
    <cellStyle name="Comma 2 2 2 2 5 4 2" xfId="16718" xr:uid="{738A3C48-14B3-4DAD-8AA5-D5018B25DB95}"/>
    <cellStyle name="Comma 2 2 2 2 5 4 2 2" xfId="53226" xr:uid="{E1FE1020-FA06-46E5-9E2B-6E117AACF127}"/>
    <cellStyle name="Comma 2 2 2 2 5 4 2 3" xfId="34972" xr:uid="{AC21E0C3-4EB3-4BF7-A7B9-6CE78EF8C91C}"/>
    <cellStyle name="Comma 2 2 2 2 5 4 3" xfId="13068" xr:uid="{E3063CBC-59EE-4432-A677-9999F56B965B}"/>
    <cellStyle name="Comma 2 2 2 2 5 4 3 2" xfId="49576" xr:uid="{42C727E6-80A1-4F58-B5DA-B7CB4513389C}"/>
    <cellStyle name="Comma 2 2 2 2 5 4 3 3" xfId="31322" xr:uid="{570A63B1-2BFF-4A2B-9267-55C559DFC1CE}"/>
    <cellStyle name="Comma 2 2 2 2 5 4 4" xfId="9418" xr:uid="{23F60708-AA8E-4197-828E-D229EBA334DB}"/>
    <cellStyle name="Comma 2 2 2 2 5 4 4 2" xfId="45926" xr:uid="{A8458111-DA7E-4A75-8D69-21B1686C949D}"/>
    <cellStyle name="Comma 2 2 2 2 5 4 4 3" xfId="27672" xr:uid="{CAA4776C-B0F8-4029-9290-75E6A3EF211A}"/>
    <cellStyle name="Comma 2 2 2 2 5 4 5" xfId="5768" xr:uid="{EC848727-AE57-499A-9940-ED8AFBD015E8}"/>
    <cellStyle name="Comma 2 2 2 2 5 4 5 2" xfId="42276" xr:uid="{12734E2A-B546-46BF-A959-418524791732}"/>
    <cellStyle name="Comma 2 2 2 2 5 4 5 3" xfId="24022" xr:uid="{D75986B9-67AE-4523-AA28-ECDD26618560}"/>
    <cellStyle name="Comma 2 2 2 2 5 4 6" xfId="38626" xr:uid="{149B96BE-4CED-45F5-8DC6-A96B5795E3CE}"/>
    <cellStyle name="Comma 2 2 2 2 5 4 7" xfId="20372" xr:uid="{F75516F9-DC85-4715-873E-490C571A6A6F}"/>
    <cellStyle name="Comma 2 2 2 2 5 5" xfId="1388" xr:uid="{5947DE89-56E7-4241-AF2E-F8902AF97827}"/>
    <cellStyle name="Comma 2 2 2 2 5 5 2" xfId="15988" xr:uid="{A3895589-D8C7-4C3E-A007-A4673078F778}"/>
    <cellStyle name="Comma 2 2 2 2 5 5 2 2" xfId="52496" xr:uid="{B3BA5B7D-9365-4987-8EFF-DFD00245265C}"/>
    <cellStyle name="Comma 2 2 2 2 5 5 2 3" xfId="34242" xr:uid="{FA90B109-2A80-44A2-92F7-7D8539E7B721}"/>
    <cellStyle name="Comma 2 2 2 2 5 5 3" xfId="12338" xr:uid="{D54AA498-654F-4254-85B5-7D5F6C8A72A7}"/>
    <cellStyle name="Comma 2 2 2 2 5 5 3 2" xfId="48846" xr:uid="{87188868-1AAF-4BB5-9CB4-8B2174630E4E}"/>
    <cellStyle name="Comma 2 2 2 2 5 5 3 3" xfId="30592" xr:uid="{77AF3750-B3FB-431E-BB68-41A6863F331F}"/>
    <cellStyle name="Comma 2 2 2 2 5 5 4" xfId="8688" xr:uid="{8799A811-685D-4E99-BABD-6F2FBB466769}"/>
    <cellStyle name="Comma 2 2 2 2 5 5 4 2" xfId="45196" xr:uid="{D33FFDBD-C163-4511-BC31-476A01096290}"/>
    <cellStyle name="Comma 2 2 2 2 5 5 4 3" xfId="26942" xr:uid="{1C4D1818-0C9B-452F-9B80-4FE8BD900587}"/>
    <cellStyle name="Comma 2 2 2 2 5 5 5" xfId="5038" xr:uid="{1AC9AA43-D2A2-4DD7-AFCB-A8DCD181DE7E}"/>
    <cellStyle name="Comma 2 2 2 2 5 5 5 2" xfId="41546" xr:uid="{57368654-FA76-416C-9029-7A95C41404BC}"/>
    <cellStyle name="Comma 2 2 2 2 5 5 5 3" xfId="23292" xr:uid="{B9790955-879A-42E3-A3B5-D66EA809EDCC}"/>
    <cellStyle name="Comma 2 2 2 2 5 5 6" xfId="37896" xr:uid="{1958EC6B-4CE4-45FD-9757-44F5F0BF52DE}"/>
    <cellStyle name="Comma 2 2 2 2 5 5 7" xfId="19642" xr:uid="{D87A569F-EC37-4262-9957-3F26D3E4DC62}"/>
    <cellStyle name="Comma 2 2 2 2 5 6" xfId="15258" xr:uid="{53521C20-54C7-429D-9A2A-6C4957FC513E}"/>
    <cellStyle name="Comma 2 2 2 2 5 6 2" xfId="51766" xr:uid="{5A106DB3-F846-460E-8123-F8E3AA737065}"/>
    <cellStyle name="Comma 2 2 2 2 5 6 3" xfId="33512" xr:uid="{03BBEBAB-CAFC-4896-9DE4-700AD351B91E}"/>
    <cellStyle name="Comma 2 2 2 2 5 7" xfId="11608" xr:uid="{6DFAAA10-C36B-4B83-90F3-A7F326CAAB59}"/>
    <cellStyle name="Comma 2 2 2 2 5 7 2" xfId="48116" xr:uid="{24786D9F-A085-452D-A5E6-7ED365C94127}"/>
    <cellStyle name="Comma 2 2 2 2 5 7 3" xfId="29862" xr:uid="{8F662AEF-FE30-4569-A4EA-5568C64BA88A}"/>
    <cellStyle name="Comma 2 2 2 2 5 8" xfId="7958" xr:uid="{3A29AFBF-9503-44F5-9E5E-657F020C0741}"/>
    <cellStyle name="Comma 2 2 2 2 5 8 2" xfId="44466" xr:uid="{FE73E78F-64A3-466D-A4EA-0076ADE879D4}"/>
    <cellStyle name="Comma 2 2 2 2 5 8 3" xfId="26212" xr:uid="{E711A70C-D509-4D3D-A95D-056F85E72F1C}"/>
    <cellStyle name="Comma 2 2 2 2 5 9" xfId="4308" xr:uid="{3A7A3350-0FC1-4C70-A6E1-E5C38AB1AB49}"/>
    <cellStyle name="Comma 2 2 2 2 5 9 2" xfId="40816" xr:uid="{ABD39820-BAE4-4EB8-93AD-3C9E425A464B}"/>
    <cellStyle name="Comma 2 2 2 2 5 9 3" xfId="22562" xr:uid="{E5883EB3-36BE-4871-93A6-23E2A4B8D20C}"/>
    <cellStyle name="Comma 2 2 2 2 6" xfId="554" xr:uid="{BADECA2F-53A8-46F6-BFEE-F4EFFC7AE780}"/>
    <cellStyle name="Comma 2 2 2 2 6 10" xfId="37062" xr:uid="{FBD81B16-8C34-4C5D-80F2-82B993542A23}"/>
    <cellStyle name="Comma 2 2 2 2 6 11" xfId="18808" xr:uid="{A0538B06-92BC-41C6-A051-F5917CB7ED3C}"/>
    <cellStyle name="Comma 2 2 2 2 6 2" xfId="3474" xr:uid="{A71F06D3-D593-4882-B07C-1A66D196E617}"/>
    <cellStyle name="Comma 2 2 2 2 6 2 2" xfId="18074" xr:uid="{FE0F605F-B40E-43FE-B461-0F036A9335BB}"/>
    <cellStyle name="Comma 2 2 2 2 6 2 2 2" xfId="54582" xr:uid="{86A12D76-98AA-49F8-A451-443583D911AC}"/>
    <cellStyle name="Comma 2 2 2 2 6 2 2 3" xfId="36328" xr:uid="{D0F17DBC-6FF6-4E38-9985-CBA1B6C2EB02}"/>
    <cellStyle name="Comma 2 2 2 2 6 2 3" xfId="14424" xr:uid="{E2F64F77-8329-4FF9-A872-44D1DAEC0720}"/>
    <cellStyle name="Comma 2 2 2 2 6 2 3 2" xfId="50932" xr:uid="{A5875295-3CDB-4998-BA12-56920A4CF4DB}"/>
    <cellStyle name="Comma 2 2 2 2 6 2 3 3" xfId="32678" xr:uid="{32A077EE-5B9F-47E9-9498-1110E6EB61BE}"/>
    <cellStyle name="Comma 2 2 2 2 6 2 4" xfId="10774" xr:uid="{EEF831F0-DE01-43A9-9B0A-4D260F22D162}"/>
    <cellStyle name="Comma 2 2 2 2 6 2 4 2" xfId="47282" xr:uid="{A5E38AEC-DDE5-4EA2-8C13-BBF4E9CEDA34}"/>
    <cellStyle name="Comma 2 2 2 2 6 2 4 3" xfId="29028" xr:uid="{9A7725B9-AE07-4317-82FE-7B34532E3954}"/>
    <cellStyle name="Comma 2 2 2 2 6 2 5" xfId="7124" xr:uid="{7F06E250-6D90-4E04-897A-D4157129B74B}"/>
    <cellStyle name="Comma 2 2 2 2 6 2 5 2" xfId="43632" xr:uid="{C80C758B-E2BD-4F11-A16F-3446BCB98C71}"/>
    <cellStyle name="Comma 2 2 2 2 6 2 5 3" xfId="25378" xr:uid="{72DBE45F-F165-44FA-BFEB-D9C5E5453745}"/>
    <cellStyle name="Comma 2 2 2 2 6 2 6" xfId="39982" xr:uid="{DF8F5952-1014-4D64-A3E7-870DB174CDC7}"/>
    <cellStyle name="Comma 2 2 2 2 6 2 7" xfId="21728" xr:uid="{A0D671E9-C71A-486D-9F8D-068B98C3F400}"/>
    <cellStyle name="Comma 2 2 2 2 6 3" xfId="2744" xr:uid="{3D8771F9-FFD3-4150-906B-E2E11E9852BD}"/>
    <cellStyle name="Comma 2 2 2 2 6 3 2" xfId="17344" xr:uid="{323629CD-D243-4DEA-976E-C6D667A98C48}"/>
    <cellStyle name="Comma 2 2 2 2 6 3 2 2" xfId="53852" xr:uid="{9B49E912-0896-411C-9E57-D82EC382A309}"/>
    <cellStyle name="Comma 2 2 2 2 6 3 2 3" xfId="35598" xr:uid="{07220060-1C48-488D-8F3A-A0257A305858}"/>
    <cellStyle name="Comma 2 2 2 2 6 3 3" xfId="13694" xr:uid="{3257AFAE-F9AD-4D79-8F27-70252FDB0DA0}"/>
    <cellStyle name="Comma 2 2 2 2 6 3 3 2" xfId="50202" xr:uid="{277223D0-52C7-46BC-ABE9-36C7E9407DD7}"/>
    <cellStyle name="Comma 2 2 2 2 6 3 3 3" xfId="31948" xr:uid="{C3765063-FD6A-4DC1-B3C3-F586C3D1D86A}"/>
    <cellStyle name="Comma 2 2 2 2 6 3 4" xfId="10044" xr:uid="{443514B5-D94B-492C-8710-36CBBFBBA1BC}"/>
    <cellStyle name="Comma 2 2 2 2 6 3 4 2" xfId="46552" xr:uid="{2AC563D7-5798-4B29-9467-C0A9C6209CE4}"/>
    <cellStyle name="Comma 2 2 2 2 6 3 4 3" xfId="28298" xr:uid="{7464B7DC-612B-45E5-84EA-FC4F1156D0C2}"/>
    <cellStyle name="Comma 2 2 2 2 6 3 5" xfId="6394" xr:uid="{20B3402F-D19D-40C3-B09F-DF084A3B48DC}"/>
    <cellStyle name="Comma 2 2 2 2 6 3 5 2" xfId="42902" xr:uid="{7AC39D3D-4ADB-4100-A453-1A95474F81BC}"/>
    <cellStyle name="Comma 2 2 2 2 6 3 5 3" xfId="24648" xr:uid="{85C1EF48-5130-4C51-8883-90DCE42814AF}"/>
    <cellStyle name="Comma 2 2 2 2 6 3 6" xfId="39252" xr:uid="{845B1686-93DB-46A3-A02C-2A8FBFA1D82E}"/>
    <cellStyle name="Comma 2 2 2 2 6 3 7" xfId="20998" xr:uid="{42FCB107-A74B-4081-B33B-E3EE4202EE6D}"/>
    <cellStyle name="Comma 2 2 2 2 6 4" xfId="2014" xr:uid="{1291F5C3-0D6F-4D30-A005-D0CBFD0272C0}"/>
    <cellStyle name="Comma 2 2 2 2 6 4 2" xfId="16614" xr:uid="{E392BE0C-5DF5-41C0-8133-61DE07A6AE93}"/>
    <cellStyle name="Comma 2 2 2 2 6 4 2 2" xfId="53122" xr:uid="{C24640ED-B934-4B7D-8BCB-5D04F7757757}"/>
    <cellStyle name="Comma 2 2 2 2 6 4 2 3" xfId="34868" xr:uid="{D1AF5033-4812-4CB4-B37B-87BB9C572FD4}"/>
    <cellStyle name="Comma 2 2 2 2 6 4 3" xfId="12964" xr:uid="{8BA69D19-17C2-4C42-8220-342558CC585B}"/>
    <cellStyle name="Comma 2 2 2 2 6 4 3 2" xfId="49472" xr:uid="{B94AB736-D3EF-4CE8-9DDB-5AAE7AA796A0}"/>
    <cellStyle name="Comma 2 2 2 2 6 4 3 3" xfId="31218" xr:uid="{02CDEB17-EB7E-484E-8C08-DB62D195B82F}"/>
    <cellStyle name="Comma 2 2 2 2 6 4 4" xfId="9314" xr:uid="{3E679C92-0D47-451C-92CA-A9D1376AC1E5}"/>
    <cellStyle name="Comma 2 2 2 2 6 4 4 2" xfId="45822" xr:uid="{02190833-76D2-4043-960E-6E72EEE36A72}"/>
    <cellStyle name="Comma 2 2 2 2 6 4 4 3" xfId="27568" xr:uid="{94FB1D15-4579-484B-8C57-EE4F2427B917}"/>
    <cellStyle name="Comma 2 2 2 2 6 4 5" xfId="5664" xr:uid="{AE042C7D-AD64-4208-A528-35454A839510}"/>
    <cellStyle name="Comma 2 2 2 2 6 4 5 2" xfId="42172" xr:uid="{0F649DBA-EDE5-49F3-9EF7-78E78F07D09E}"/>
    <cellStyle name="Comma 2 2 2 2 6 4 5 3" xfId="23918" xr:uid="{EAA87BA0-DE80-4807-B8BA-893D47DF748B}"/>
    <cellStyle name="Comma 2 2 2 2 6 4 6" xfId="38522" xr:uid="{64C118D2-CE57-491D-AE44-AEB6EC31169E}"/>
    <cellStyle name="Comma 2 2 2 2 6 4 7" xfId="20268" xr:uid="{8722496D-2E4D-4CC5-8F3B-B60DD210F146}"/>
    <cellStyle name="Comma 2 2 2 2 6 5" xfId="1284" xr:uid="{6E8543B9-43D8-4422-B77E-685F6091230F}"/>
    <cellStyle name="Comma 2 2 2 2 6 5 2" xfId="15884" xr:uid="{5B4E0DBB-C386-416F-9600-F5D09B81D533}"/>
    <cellStyle name="Comma 2 2 2 2 6 5 2 2" xfId="52392" xr:uid="{112AECBA-9F4D-437A-8DD8-2E71CF8E8190}"/>
    <cellStyle name="Comma 2 2 2 2 6 5 2 3" xfId="34138" xr:uid="{EB3EBBE0-1931-4564-9A31-863924995DCA}"/>
    <cellStyle name="Comma 2 2 2 2 6 5 3" xfId="12234" xr:uid="{484DA6F7-E4EA-46F5-816A-C2482E731184}"/>
    <cellStyle name="Comma 2 2 2 2 6 5 3 2" xfId="48742" xr:uid="{8BAF7DAB-B58E-4E52-9041-E414611DF0F0}"/>
    <cellStyle name="Comma 2 2 2 2 6 5 3 3" xfId="30488" xr:uid="{7E065A42-FBB5-4D7E-A0D6-4382F0A48C05}"/>
    <cellStyle name="Comma 2 2 2 2 6 5 4" xfId="8584" xr:uid="{56D458BF-D118-4D5E-9C71-A7278A178449}"/>
    <cellStyle name="Comma 2 2 2 2 6 5 4 2" xfId="45092" xr:uid="{C9BF91C0-6F64-43EB-9B3C-921365D0EC25}"/>
    <cellStyle name="Comma 2 2 2 2 6 5 4 3" xfId="26838" xr:uid="{77286290-262F-40F5-BCBA-1F32F083E490}"/>
    <cellStyle name="Comma 2 2 2 2 6 5 5" xfId="4934" xr:uid="{D82AE850-8271-49F6-A328-BF9DDD6C741C}"/>
    <cellStyle name="Comma 2 2 2 2 6 5 5 2" xfId="41442" xr:uid="{2F9F9843-08E9-4A98-B182-8ED993359650}"/>
    <cellStyle name="Comma 2 2 2 2 6 5 5 3" xfId="23188" xr:uid="{EDD14993-43DC-45C6-A7D3-8D0667E8D8D0}"/>
    <cellStyle name="Comma 2 2 2 2 6 5 6" xfId="37792" xr:uid="{4F474AC5-7E23-41F1-9008-03425493E565}"/>
    <cellStyle name="Comma 2 2 2 2 6 5 7" xfId="19538" xr:uid="{6B7C8CF8-8956-439A-9F92-C50C35551B22}"/>
    <cellStyle name="Comma 2 2 2 2 6 6" xfId="15154" xr:uid="{DFBF2961-7846-4FB2-96C1-1EEAEDFADD14}"/>
    <cellStyle name="Comma 2 2 2 2 6 6 2" xfId="51662" xr:uid="{903427F5-5F1A-48A9-B173-D82FB436EA85}"/>
    <cellStyle name="Comma 2 2 2 2 6 6 3" xfId="33408" xr:uid="{747B88BB-535A-41C8-B88B-1F7A26E853D3}"/>
    <cellStyle name="Comma 2 2 2 2 6 7" xfId="11504" xr:uid="{70C8C5BA-C43D-4E12-9C5D-335982B0ECC7}"/>
    <cellStyle name="Comma 2 2 2 2 6 7 2" xfId="48012" xr:uid="{5A44CE75-B32B-457C-B601-1377E0496A5B}"/>
    <cellStyle name="Comma 2 2 2 2 6 7 3" xfId="29758" xr:uid="{97BEEE99-0A62-4B1D-960D-DC7B12B9054E}"/>
    <cellStyle name="Comma 2 2 2 2 6 8" xfId="7854" xr:uid="{849DCBB7-CF59-4608-94C8-AD4FB1B1313A}"/>
    <cellStyle name="Comma 2 2 2 2 6 8 2" xfId="44362" xr:uid="{B327D634-7A89-42FF-B864-C7C2A1398DC3}"/>
    <cellStyle name="Comma 2 2 2 2 6 8 3" xfId="26108" xr:uid="{4E370152-9FE8-4586-871A-66030245E567}"/>
    <cellStyle name="Comma 2 2 2 2 6 9" xfId="4204" xr:uid="{C50DAE27-32F8-4F7F-AD14-E58D196BD6E3}"/>
    <cellStyle name="Comma 2 2 2 2 6 9 2" xfId="40712" xr:uid="{AEDDF47A-ABAA-4D12-81DE-30E60D09476C}"/>
    <cellStyle name="Comma 2 2 2 2 6 9 3" xfId="22458" xr:uid="{932A7877-3130-4150-9203-6DDE75AB85F6}"/>
    <cellStyle name="Comma 2 2 2 2 7" xfId="450" xr:uid="{89D78A61-7E12-4E39-8C9B-A89A05FA3241}"/>
    <cellStyle name="Comma 2 2 2 2 7 10" xfId="36958" xr:uid="{40579EF7-05B1-40CE-9614-34DE846B1DA1}"/>
    <cellStyle name="Comma 2 2 2 2 7 11" xfId="18704" xr:uid="{00514C77-8FDB-4CAF-B0F2-DD26ADA2691D}"/>
    <cellStyle name="Comma 2 2 2 2 7 2" xfId="3370" xr:uid="{A9AC549A-7F70-4244-B864-3660E2166814}"/>
    <cellStyle name="Comma 2 2 2 2 7 2 2" xfId="17970" xr:uid="{D88A4FD1-711D-4E07-B28A-53FCFDD1B983}"/>
    <cellStyle name="Comma 2 2 2 2 7 2 2 2" xfId="54478" xr:uid="{FDC1899B-0D0C-44CB-B704-CA0AA63871C6}"/>
    <cellStyle name="Comma 2 2 2 2 7 2 2 3" xfId="36224" xr:uid="{53B9CA0C-E3EB-4D35-ABDA-D2D11FA34ABF}"/>
    <cellStyle name="Comma 2 2 2 2 7 2 3" xfId="14320" xr:uid="{8057225A-DA60-47F7-AEFC-933C7AB59B7E}"/>
    <cellStyle name="Comma 2 2 2 2 7 2 3 2" xfId="50828" xr:uid="{BDB4A25A-2F3F-4B43-9DA2-CEEECFDBC1F8}"/>
    <cellStyle name="Comma 2 2 2 2 7 2 3 3" xfId="32574" xr:uid="{532617D2-2E4C-4B9C-9CC8-3E8C5CE18C23}"/>
    <cellStyle name="Comma 2 2 2 2 7 2 4" xfId="10670" xr:uid="{A7F0A013-4511-48F1-A8B7-666595DF1416}"/>
    <cellStyle name="Comma 2 2 2 2 7 2 4 2" xfId="47178" xr:uid="{F07D37EA-D9CB-43F9-887B-437CF3AA492C}"/>
    <cellStyle name="Comma 2 2 2 2 7 2 4 3" xfId="28924" xr:uid="{A89829A5-A317-4C22-8469-ABA8C9996BBE}"/>
    <cellStyle name="Comma 2 2 2 2 7 2 5" xfId="7020" xr:uid="{7C3D1BDF-5F44-41E7-A602-9AF062207377}"/>
    <cellStyle name="Comma 2 2 2 2 7 2 5 2" xfId="43528" xr:uid="{88FD2704-EDC9-46D1-A23A-A66DF92FFBF7}"/>
    <cellStyle name="Comma 2 2 2 2 7 2 5 3" xfId="25274" xr:uid="{65EEBCEB-8041-41CB-B924-0F3267660E60}"/>
    <cellStyle name="Comma 2 2 2 2 7 2 6" xfId="39878" xr:uid="{E246A9B2-3374-4A0F-B099-D0FD5559DF0C}"/>
    <cellStyle name="Comma 2 2 2 2 7 2 7" xfId="21624" xr:uid="{CA023D3B-8DB9-4709-8A71-041C43997C89}"/>
    <cellStyle name="Comma 2 2 2 2 7 3" xfId="2640" xr:uid="{DCDB4DC1-C31E-4106-8A3A-B405545BF271}"/>
    <cellStyle name="Comma 2 2 2 2 7 3 2" xfId="17240" xr:uid="{68E57987-8E6F-44F0-A840-9B69F93882E5}"/>
    <cellStyle name="Comma 2 2 2 2 7 3 2 2" xfId="53748" xr:uid="{7274AB47-0C1E-4A24-A0DB-8D847515E6A9}"/>
    <cellStyle name="Comma 2 2 2 2 7 3 2 3" xfId="35494" xr:uid="{4B47B2B8-1142-4742-AA47-8F09CB5BCBD0}"/>
    <cellStyle name="Comma 2 2 2 2 7 3 3" xfId="13590" xr:uid="{51329186-B443-4B23-A7B8-897549137A22}"/>
    <cellStyle name="Comma 2 2 2 2 7 3 3 2" xfId="50098" xr:uid="{AB110602-A40B-4E93-884A-B1410ABD7067}"/>
    <cellStyle name="Comma 2 2 2 2 7 3 3 3" xfId="31844" xr:uid="{498ADFB0-0F7C-4F85-8631-46D157376E17}"/>
    <cellStyle name="Comma 2 2 2 2 7 3 4" xfId="9940" xr:uid="{78E9348A-F98D-49ED-B045-9E32DA258A61}"/>
    <cellStyle name="Comma 2 2 2 2 7 3 4 2" xfId="46448" xr:uid="{450FDABE-513A-4D1B-A8B1-927E2EFEFC50}"/>
    <cellStyle name="Comma 2 2 2 2 7 3 4 3" xfId="28194" xr:uid="{78C3A60B-B06B-4686-806D-69EAF15C36F4}"/>
    <cellStyle name="Comma 2 2 2 2 7 3 5" xfId="6290" xr:uid="{2767DBBA-1B64-46AD-9DCE-980131950EB5}"/>
    <cellStyle name="Comma 2 2 2 2 7 3 5 2" xfId="42798" xr:uid="{8B366F6B-035D-4224-80DA-0FAD2B7F2399}"/>
    <cellStyle name="Comma 2 2 2 2 7 3 5 3" xfId="24544" xr:uid="{7DDD81DA-814F-4606-902E-9B5ADBEEE362}"/>
    <cellStyle name="Comma 2 2 2 2 7 3 6" xfId="39148" xr:uid="{333E73F7-E043-4AC1-8A1F-1841C0A523C4}"/>
    <cellStyle name="Comma 2 2 2 2 7 3 7" xfId="20894" xr:uid="{0C1089AF-02C7-4368-A7D5-1FCFF6ED8B6B}"/>
    <cellStyle name="Comma 2 2 2 2 7 4" xfId="1910" xr:uid="{074AB2D9-BF4C-45C9-85FD-E411C52D0901}"/>
    <cellStyle name="Comma 2 2 2 2 7 4 2" xfId="16510" xr:uid="{EDD914D7-12A6-4B74-8481-3845DF5BBA13}"/>
    <cellStyle name="Comma 2 2 2 2 7 4 2 2" xfId="53018" xr:uid="{B4B5B3BB-4065-4916-A4DD-C8B11E9EA332}"/>
    <cellStyle name="Comma 2 2 2 2 7 4 2 3" xfId="34764" xr:uid="{AD7322A3-17F0-484F-BC7E-DBDE9E38095A}"/>
    <cellStyle name="Comma 2 2 2 2 7 4 3" xfId="12860" xr:uid="{3968F187-A6BB-4F6A-A534-E90D1CC9FC62}"/>
    <cellStyle name="Comma 2 2 2 2 7 4 3 2" xfId="49368" xr:uid="{837557D6-D058-4556-B0B4-297B8D096BBC}"/>
    <cellStyle name="Comma 2 2 2 2 7 4 3 3" xfId="31114" xr:uid="{C10AD9CB-FCA6-4653-9E2B-A4518B9921F0}"/>
    <cellStyle name="Comma 2 2 2 2 7 4 4" xfId="9210" xr:uid="{1CCB31C1-4377-4947-88F3-E7AE9295430E}"/>
    <cellStyle name="Comma 2 2 2 2 7 4 4 2" xfId="45718" xr:uid="{ACDDF2FC-0537-4633-8F2E-0FDB962F36C5}"/>
    <cellStyle name="Comma 2 2 2 2 7 4 4 3" xfId="27464" xr:uid="{57EF7D69-28B4-40DC-9E73-A0F26313CE65}"/>
    <cellStyle name="Comma 2 2 2 2 7 4 5" xfId="5560" xr:uid="{E6E3B3EE-87EE-413E-BBB2-627C594732D7}"/>
    <cellStyle name="Comma 2 2 2 2 7 4 5 2" xfId="42068" xr:uid="{D1119C3F-6E0D-44FC-B87C-DA362D933235}"/>
    <cellStyle name="Comma 2 2 2 2 7 4 5 3" xfId="23814" xr:uid="{552F79A5-6B31-435A-A820-02623F5A85E6}"/>
    <cellStyle name="Comma 2 2 2 2 7 4 6" xfId="38418" xr:uid="{C23B130A-DAFA-4B03-90D6-05950A694CEA}"/>
    <cellStyle name="Comma 2 2 2 2 7 4 7" xfId="20164" xr:uid="{9A884442-7EFE-4E87-A297-94C8558EBE79}"/>
    <cellStyle name="Comma 2 2 2 2 7 5" xfId="1180" xr:uid="{175FA95B-FD0F-4F04-A441-C1320B825E0D}"/>
    <cellStyle name="Comma 2 2 2 2 7 5 2" xfId="15780" xr:uid="{587A6145-5579-4E58-A427-443B7E921E65}"/>
    <cellStyle name="Comma 2 2 2 2 7 5 2 2" xfId="52288" xr:uid="{B02BBE67-D08A-4FF2-A864-DD10C351C168}"/>
    <cellStyle name="Comma 2 2 2 2 7 5 2 3" xfId="34034" xr:uid="{7420C14E-D2D4-4501-84A6-541B3F352389}"/>
    <cellStyle name="Comma 2 2 2 2 7 5 3" xfId="12130" xr:uid="{4119B068-FA0E-4593-A8E0-181AD5E5F05A}"/>
    <cellStyle name="Comma 2 2 2 2 7 5 3 2" xfId="48638" xr:uid="{5FD644C9-4040-43CE-9126-3B4AE39CEE8E}"/>
    <cellStyle name="Comma 2 2 2 2 7 5 3 3" xfId="30384" xr:uid="{5F8C00A8-DB21-499F-90CC-17E13541A82D}"/>
    <cellStyle name="Comma 2 2 2 2 7 5 4" xfId="8480" xr:uid="{A5F1708C-01BD-4CAB-AE62-5B6ABCE11E48}"/>
    <cellStyle name="Comma 2 2 2 2 7 5 4 2" xfId="44988" xr:uid="{A6268984-8991-4F5C-A3C8-513B8DDB085F}"/>
    <cellStyle name="Comma 2 2 2 2 7 5 4 3" xfId="26734" xr:uid="{38A647FC-038F-4DEC-91F4-2CF66EF26737}"/>
    <cellStyle name="Comma 2 2 2 2 7 5 5" xfId="4830" xr:uid="{34A9A9C5-2BF3-4519-B748-BBFD5BE12263}"/>
    <cellStyle name="Comma 2 2 2 2 7 5 5 2" xfId="41338" xr:uid="{2625A0BE-30FD-45F9-A096-53C6FF237125}"/>
    <cellStyle name="Comma 2 2 2 2 7 5 5 3" xfId="23084" xr:uid="{C8CC91A0-4680-46CB-96CA-D861D42B5D76}"/>
    <cellStyle name="Comma 2 2 2 2 7 5 6" xfId="37688" xr:uid="{C00AC1A0-F961-45DD-82AD-7A6982E63CF5}"/>
    <cellStyle name="Comma 2 2 2 2 7 5 7" xfId="19434" xr:uid="{D73C85E3-CCD0-4296-9D84-A73938649723}"/>
    <cellStyle name="Comma 2 2 2 2 7 6" xfId="15050" xr:uid="{B3FFCE5B-5517-48C1-AF7C-AB5453355763}"/>
    <cellStyle name="Comma 2 2 2 2 7 6 2" xfId="51558" xr:uid="{234683AC-05B9-4A2A-8E29-E9FE02EE7811}"/>
    <cellStyle name="Comma 2 2 2 2 7 6 3" xfId="33304" xr:uid="{3BA58317-9466-4DF7-9907-DC441A4D4ADA}"/>
    <cellStyle name="Comma 2 2 2 2 7 7" xfId="11400" xr:uid="{1A4BB0C7-9FD9-4F5D-93A8-53AA59DE84F8}"/>
    <cellStyle name="Comma 2 2 2 2 7 7 2" xfId="47908" xr:uid="{2FF4AD5E-162D-4CBB-AFB2-8DED466251A5}"/>
    <cellStyle name="Comma 2 2 2 2 7 7 3" xfId="29654" xr:uid="{81DC91A3-8D65-4740-B230-579908C5FC3F}"/>
    <cellStyle name="Comma 2 2 2 2 7 8" xfId="7750" xr:uid="{F2535686-6704-41C2-830C-149F1BFD6EA3}"/>
    <cellStyle name="Comma 2 2 2 2 7 8 2" xfId="44258" xr:uid="{C8895EE9-7FF1-4403-86A7-CD1042F89CBB}"/>
    <cellStyle name="Comma 2 2 2 2 7 8 3" xfId="26004" xr:uid="{58B9319A-CCD1-4F02-8CA2-68C63F858D99}"/>
    <cellStyle name="Comma 2 2 2 2 7 9" xfId="4100" xr:uid="{79B5A2E1-722B-4609-A8BD-6CB16DD273B8}"/>
    <cellStyle name="Comma 2 2 2 2 7 9 2" xfId="40608" xr:uid="{80EA6652-5FDA-43E2-BC56-641F84EEBEA4}"/>
    <cellStyle name="Comma 2 2 2 2 7 9 3" xfId="22354" xr:uid="{42DC835F-53D7-4016-9579-7A0D8DF2C8BD}"/>
    <cellStyle name="Comma 2 2 2 2 8" xfId="346" xr:uid="{22ED50CE-6AE4-4377-B9C1-41387E52B5BC}"/>
    <cellStyle name="Comma 2 2 2 2 8 10" xfId="36854" xr:uid="{33F8292F-C24B-440D-AA37-208F269053BF}"/>
    <cellStyle name="Comma 2 2 2 2 8 11" xfId="18600" xr:uid="{3279602F-6F2B-41F0-9679-1D479E31E8B1}"/>
    <cellStyle name="Comma 2 2 2 2 8 2" xfId="3266" xr:uid="{59DD5B8E-9A14-49A8-92E0-CF51B665071C}"/>
    <cellStyle name="Comma 2 2 2 2 8 2 2" xfId="17866" xr:uid="{7CB9F453-EBCC-4337-BA8F-7111AD188566}"/>
    <cellStyle name="Comma 2 2 2 2 8 2 2 2" xfId="54374" xr:uid="{37D04C88-BA13-40E4-B450-AC92256BD457}"/>
    <cellStyle name="Comma 2 2 2 2 8 2 2 3" xfId="36120" xr:uid="{1AADE4F7-E575-4268-A4ED-38952CB606CD}"/>
    <cellStyle name="Comma 2 2 2 2 8 2 3" xfId="14216" xr:uid="{EC897D55-4CFB-485D-9F9B-3D468D6B04F6}"/>
    <cellStyle name="Comma 2 2 2 2 8 2 3 2" xfId="50724" xr:uid="{9BB8303B-D56D-4386-A8C6-562437C96E35}"/>
    <cellStyle name="Comma 2 2 2 2 8 2 3 3" xfId="32470" xr:uid="{D9D36C21-32C3-4A54-90A2-530B1D9EA640}"/>
    <cellStyle name="Comma 2 2 2 2 8 2 4" xfId="10566" xr:uid="{9C110439-B0CB-4A72-87CB-2F58ED3F2D8B}"/>
    <cellStyle name="Comma 2 2 2 2 8 2 4 2" xfId="47074" xr:uid="{5D55FB7F-6ED8-40A5-A4DD-0DE5099FB38A}"/>
    <cellStyle name="Comma 2 2 2 2 8 2 4 3" xfId="28820" xr:uid="{C8C1507E-A294-4BF1-8261-361895D30438}"/>
    <cellStyle name="Comma 2 2 2 2 8 2 5" xfId="6916" xr:uid="{278985B8-E042-43FB-8135-3B8197870E38}"/>
    <cellStyle name="Comma 2 2 2 2 8 2 5 2" xfId="43424" xr:uid="{66A67F56-5D9F-41FC-B130-CEC34A78B17D}"/>
    <cellStyle name="Comma 2 2 2 2 8 2 5 3" xfId="25170" xr:uid="{8B8B25E6-E3B6-42D5-A51B-C33275897D32}"/>
    <cellStyle name="Comma 2 2 2 2 8 2 6" xfId="39774" xr:uid="{64B07FC1-C1B7-45C5-92DC-D38B6C5A4C0E}"/>
    <cellStyle name="Comma 2 2 2 2 8 2 7" xfId="21520" xr:uid="{60B922CF-6939-49FC-86A0-6586C0914EA9}"/>
    <cellStyle name="Comma 2 2 2 2 8 3" xfId="2536" xr:uid="{55BB4B3C-B791-421A-94DE-7FFC3D541233}"/>
    <cellStyle name="Comma 2 2 2 2 8 3 2" xfId="17136" xr:uid="{C74457BC-FBFA-4979-BCBC-5BF4A8F61492}"/>
    <cellStyle name="Comma 2 2 2 2 8 3 2 2" xfId="53644" xr:uid="{D03EEF86-B92D-4DAC-9540-94805546AB2D}"/>
    <cellStyle name="Comma 2 2 2 2 8 3 2 3" xfId="35390" xr:uid="{23B919DC-A17E-45C7-86A9-98228AEC8C56}"/>
    <cellStyle name="Comma 2 2 2 2 8 3 3" xfId="13486" xr:uid="{506E0C7F-CB29-4FBC-8765-DAB69F1F1518}"/>
    <cellStyle name="Comma 2 2 2 2 8 3 3 2" xfId="49994" xr:uid="{185F19DB-300C-4DCC-8196-E1B693984EC2}"/>
    <cellStyle name="Comma 2 2 2 2 8 3 3 3" xfId="31740" xr:uid="{0F6DB318-B1B7-4B71-AF29-5A9250647909}"/>
    <cellStyle name="Comma 2 2 2 2 8 3 4" xfId="9836" xr:uid="{3BB6123B-E325-4CB7-8243-107E115B2D58}"/>
    <cellStyle name="Comma 2 2 2 2 8 3 4 2" xfId="46344" xr:uid="{8F1179A0-02FD-4DFA-93C9-C74AEB398548}"/>
    <cellStyle name="Comma 2 2 2 2 8 3 4 3" xfId="28090" xr:uid="{BB86D9C4-B439-4D50-8715-663F80C78EFB}"/>
    <cellStyle name="Comma 2 2 2 2 8 3 5" xfId="6186" xr:uid="{806CDEBC-D696-44DB-ACC0-615E71748EA2}"/>
    <cellStyle name="Comma 2 2 2 2 8 3 5 2" xfId="42694" xr:uid="{D864715A-A8A4-43EA-B681-0891FD961E74}"/>
    <cellStyle name="Comma 2 2 2 2 8 3 5 3" xfId="24440" xr:uid="{F469B32F-4DD1-4759-BA11-D7466E8C608B}"/>
    <cellStyle name="Comma 2 2 2 2 8 3 6" xfId="39044" xr:uid="{D5481653-B129-41F1-9F1B-B3B661FBB485}"/>
    <cellStyle name="Comma 2 2 2 2 8 3 7" xfId="20790" xr:uid="{982D4078-B70C-48F9-B849-1157CC32AED5}"/>
    <cellStyle name="Comma 2 2 2 2 8 4" xfId="1806" xr:uid="{DE52F7E2-57D2-489C-86FF-2282575F5A33}"/>
    <cellStyle name="Comma 2 2 2 2 8 4 2" xfId="16406" xr:uid="{030EE10D-3471-4486-B8FC-E1DB64A18871}"/>
    <cellStyle name="Comma 2 2 2 2 8 4 2 2" xfId="52914" xr:uid="{F4C8CD40-AA60-429B-A506-9C2C8962B54A}"/>
    <cellStyle name="Comma 2 2 2 2 8 4 2 3" xfId="34660" xr:uid="{B137EDF4-C678-4B22-9DB4-65ABAC2209B1}"/>
    <cellStyle name="Comma 2 2 2 2 8 4 3" xfId="12756" xr:uid="{305FB824-745E-4B55-A9B6-5CFEDA0D409A}"/>
    <cellStyle name="Comma 2 2 2 2 8 4 3 2" xfId="49264" xr:uid="{016064A5-C09A-4AE7-994A-CE44C49011B2}"/>
    <cellStyle name="Comma 2 2 2 2 8 4 3 3" xfId="31010" xr:uid="{C0EEE281-0EF5-46FB-BAC5-4CD41118C8F7}"/>
    <cellStyle name="Comma 2 2 2 2 8 4 4" xfId="9106" xr:uid="{F7A6A8BB-A155-49E5-880F-03D1C60EA031}"/>
    <cellStyle name="Comma 2 2 2 2 8 4 4 2" xfId="45614" xr:uid="{410E5146-61CA-4108-ACF8-F508F84D6B4C}"/>
    <cellStyle name="Comma 2 2 2 2 8 4 4 3" xfId="27360" xr:uid="{886F0997-E8CE-4CB1-B697-93D52E0BAE20}"/>
    <cellStyle name="Comma 2 2 2 2 8 4 5" xfId="5456" xr:uid="{26FB8A2F-8184-4B5C-8A98-592089CCC4AA}"/>
    <cellStyle name="Comma 2 2 2 2 8 4 5 2" xfId="41964" xr:uid="{A687A969-BB46-498B-93F8-95F20D56DE79}"/>
    <cellStyle name="Comma 2 2 2 2 8 4 5 3" xfId="23710" xr:uid="{3EE34BFB-B155-408E-8F2A-7695A61377EA}"/>
    <cellStyle name="Comma 2 2 2 2 8 4 6" xfId="38314" xr:uid="{91513223-1488-4E41-ADC0-BE60030C7B10}"/>
    <cellStyle name="Comma 2 2 2 2 8 4 7" xfId="20060" xr:uid="{2458F46C-41F1-4894-8155-DD09EB8C8C49}"/>
    <cellStyle name="Comma 2 2 2 2 8 5" xfId="1076" xr:uid="{7AD5949D-5165-43E9-82BB-770F661CE406}"/>
    <cellStyle name="Comma 2 2 2 2 8 5 2" xfId="15676" xr:uid="{EF590D59-F49E-45ED-8175-4B043106D032}"/>
    <cellStyle name="Comma 2 2 2 2 8 5 2 2" xfId="52184" xr:uid="{857EDDF9-0960-4B40-8243-621426AF4307}"/>
    <cellStyle name="Comma 2 2 2 2 8 5 2 3" xfId="33930" xr:uid="{7F7E8AEA-FE45-4242-AF14-045644FCAF5A}"/>
    <cellStyle name="Comma 2 2 2 2 8 5 3" xfId="12026" xr:uid="{4E11E9C5-195A-4690-B734-81BE0A3B2C09}"/>
    <cellStyle name="Comma 2 2 2 2 8 5 3 2" xfId="48534" xr:uid="{CBA69FAA-BE22-4E1C-966A-B07C9A99F024}"/>
    <cellStyle name="Comma 2 2 2 2 8 5 3 3" xfId="30280" xr:uid="{0DF9A0AF-C848-4D90-A5A0-5C3B20155FA7}"/>
    <cellStyle name="Comma 2 2 2 2 8 5 4" xfId="8376" xr:uid="{C973311E-508E-499F-8800-58EBC47CA9CF}"/>
    <cellStyle name="Comma 2 2 2 2 8 5 4 2" xfId="44884" xr:uid="{76FA8CDA-F904-492B-90B5-7CA5F1D2CC2D}"/>
    <cellStyle name="Comma 2 2 2 2 8 5 4 3" xfId="26630" xr:uid="{1F7025E9-25A0-4B5B-B894-861ED79DB19E}"/>
    <cellStyle name="Comma 2 2 2 2 8 5 5" xfId="4726" xr:uid="{7653296A-4C11-45C6-BE4C-34BB5E3360B4}"/>
    <cellStyle name="Comma 2 2 2 2 8 5 5 2" xfId="41234" xr:uid="{4625A97B-A7DC-4E13-9FC4-10B276383099}"/>
    <cellStyle name="Comma 2 2 2 2 8 5 5 3" xfId="22980" xr:uid="{D6E02448-94FE-44A6-84EC-77B96350D17F}"/>
    <cellStyle name="Comma 2 2 2 2 8 5 6" xfId="37584" xr:uid="{FDB6820E-5AFE-407D-A840-8A00F856B798}"/>
    <cellStyle name="Comma 2 2 2 2 8 5 7" xfId="19330" xr:uid="{E46829D6-DBAB-45CC-A2D9-A74980352C80}"/>
    <cellStyle name="Comma 2 2 2 2 8 6" xfId="14946" xr:uid="{FBE8ED6C-2DA3-41C1-A7A4-D6E85DBC8EB4}"/>
    <cellStyle name="Comma 2 2 2 2 8 6 2" xfId="51454" xr:uid="{B77B968A-C957-4F69-A1DB-41604344431F}"/>
    <cellStyle name="Comma 2 2 2 2 8 6 3" xfId="33200" xr:uid="{988B9FBB-2790-45C3-8606-D6C913106CF1}"/>
    <cellStyle name="Comma 2 2 2 2 8 7" xfId="11296" xr:uid="{53FEDA52-1725-40E7-B4E3-1FBBCECE1F09}"/>
    <cellStyle name="Comma 2 2 2 2 8 7 2" xfId="47804" xr:uid="{112EF758-FC21-4EB4-9962-CFA3749F731A}"/>
    <cellStyle name="Comma 2 2 2 2 8 7 3" xfId="29550" xr:uid="{E7F0BDCE-7B6C-42EA-8BC1-570D1D1F5904}"/>
    <cellStyle name="Comma 2 2 2 2 8 8" xfId="7646" xr:uid="{1418F8C6-2E43-40B3-B655-DEDF328077FA}"/>
    <cellStyle name="Comma 2 2 2 2 8 8 2" xfId="44154" xr:uid="{00D1A479-0D57-48A9-B98B-0CC74FB8E8C5}"/>
    <cellStyle name="Comma 2 2 2 2 8 8 3" xfId="25900" xr:uid="{680BBC80-3897-4AD2-88DB-972CAA582678}"/>
    <cellStyle name="Comma 2 2 2 2 8 9" xfId="3996" xr:uid="{6A406D18-0504-46CB-B83B-2AF67134817F}"/>
    <cellStyle name="Comma 2 2 2 2 8 9 2" xfId="40504" xr:uid="{B2C04902-3ED4-4724-BB1C-DD093616872A}"/>
    <cellStyle name="Comma 2 2 2 2 8 9 3" xfId="22250" xr:uid="{519A6CCD-6B55-4916-AE17-B4642BDC1E96}"/>
    <cellStyle name="Comma 2 2 2 2 9" xfId="242" xr:uid="{5E1F5C3B-4465-4460-A80C-1B37953569B9}"/>
    <cellStyle name="Comma 2 2 2 2 9 10" xfId="36750" xr:uid="{53EE78AE-4737-414D-ABC8-746E713E80FA}"/>
    <cellStyle name="Comma 2 2 2 2 9 11" xfId="18496" xr:uid="{ACA067C0-2229-49A2-BEC1-87AB0DDD44A1}"/>
    <cellStyle name="Comma 2 2 2 2 9 2" xfId="3162" xr:uid="{A765848F-0664-4F47-9389-DE4BB1336FDB}"/>
    <cellStyle name="Comma 2 2 2 2 9 2 2" xfId="17762" xr:uid="{FDEB99BF-03B5-464C-9870-9E46B3C7C7B4}"/>
    <cellStyle name="Comma 2 2 2 2 9 2 2 2" xfId="54270" xr:uid="{73AE72E2-9A69-4410-A385-61BFCF279976}"/>
    <cellStyle name="Comma 2 2 2 2 9 2 2 3" xfId="36016" xr:uid="{218BE5D6-EEEA-4F78-A51F-98C62D70176A}"/>
    <cellStyle name="Comma 2 2 2 2 9 2 3" xfId="14112" xr:uid="{B1EB4E52-37CC-4F0E-9728-C82C2B95617D}"/>
    <cellStyle name="Comma 2 2 2 2 9 2 3 2" xfId="50620" xr:uid="{9FADB624-D9D2-4EED-8CC3-2EB0339D379C}"/>
    <cellStyle name="Comma 2 2 2 2 9 2 3 3" xfId="32366" xr:uid="{22169B26-4298-4FF9-8CA2-0443950A66C1}"/>
    <cellStyle name="Comma 2 2 2 2 9 2 4" xfId="10462" xr:uid="{303A9F74-EB47-4999-9C58-178C0F3741F5}"/>
    <cellStyle name="Comma 2 2 2 2 9 2 4 2" xfId="46970" xr:uid="{1E850000-1774-4479-B8B9-61A3217A3D7B}"/>
    <cellStyle name="Comma 2 2 2 2 9 2 4 3" xfId="28716" xr:uid="{D6EB69F6-C417-4260-BE78-91CF08AC574B}"/>
    <cellStyle name="Comma 2 2 2 2 9 2 5" xfId="6812" xr:uid="{D75D844B-0402-4238-B912-D84321655E87}"/>
    <cellStyle name="Comma 2 2 2 2 9 2 5 2" xfId="43320" xr:uid="{D8CFE0BB-33EA-4ED4-89B9-A3CB9070F7F4}"/>
    <cellStyle name="Comma 2 2 2 2 9 2 5 3" xfId="25066" xr:uid="{1216951C-D68D-403B-A469-DC57B14BD200}"/>
    <cellStyle name="Comma 2 2 2 2 9 2 6" xfId="39670" xr:uid="{8A1B3E68-A81A-400E-AA09-8243236331D3}"/>
    <cellStyle name="Comma 2 2 2 2 9 2 7" xfId="21416" xr:uid="{E74F1EF2-D3D7-4B20-BD92-764AA71520B7}"/>
    <cellStyle name="Comma 2 2 2 2 9 3" xfId="2432" xr:uid="{2FB27F2A-352E-45D8-AC64-9756A7286285}"/>
    <cellStyle name="Comma 2 2 2 2 9 3 2" xfId="17032" xr:uid="{2158D022-53F4-4BFF-9F0F-B83B62E3948D}"/>
    <cellStyle name="Comma 2 2 2 2 9 3 2 2" xfId="53540" xr:uid="{9C6EA2EB-9FA9-4EC2-80AF-78C831FE6EC9}"/>
    <cellStyle name="Comma 2 2 2 2 9 3 2 3" xfId="35286" xr:uid="{AFC06439-374C-4C6D-923B-3E34D135EEA2}"/>
    <cellStyle name="Comma 2 2 2 2 9 3 3" xfId="13382" xr:uid="{CAFB8F2E-F68C-4776-A1E3-23C75D0F2307}"/>
    <cellStyle name="Comma 2 2 2 2 9 3 3 2" xfId="49890" xr:uid="{423F8FCF-9FC5-42EE-8D32-A04B57E80F8F}"/>
    <cellStyle name="Comma 2 2 2 2 9 3 3 3" xfId="31636" xr:uid="{528ED3A5-521A-4DD1-A0CF-DA904D0337C6}"/>
    <cellStyle name="Comma 2 2 2 2 9 3 4" xfId="9732" xr:uid="{0D445CAB-D80D-4949-B5DF-9CC13C815D8E}"/>
    <cellStyle name="Comma 2 2 2 2 9 3 4 2" xfId="46240" xr:uid="{936E87C8-71E6-4B57-8A6F-C816616A2A7D}"/>
    <cellStyle name="Comma 2 2 2 2 9 3 4 3" xfId="27986" xr:uid="{7764DDE2-997D-4155-9260-96103C507074}"/>
    <cellStyle name="Comma 2 2 2 2 9 3 5" xfId="6082" xr:uid="{00D6D5E0-6269-4BA7-B5A3-793F13C621F9}"/>
    <cellStyle name="Comma 2 2 2 2 9 3 5 2" xfId="42590" xr:uid="{4D656EB3-55B2-426B-A1F3-0ADB01452E51}"/>
    <cellStyle name="Comma 2 2 2 2 9 3 5 3" xfId="24336" xr:uid="{75EAFBA4-5C86-485B-953C-CB6A4B78D262}"/>
    <cellStyle name="Comma 2 2 2 2 9 3 6" xfId="38940" xr:uid="{7E312304-76E9-440A-924F-70638722CD43}"/>
    <cellStyle name="Comma 2 2 2 2 9 3 7" xfId="20686" xr:uid="{CBBA7E28-2B35-469F-ABE7-AA32C592DA8B}"/>
    <cellStyle name="Comma 2 2 2 2 9 4" xfId="1702" xr:uid="{8252E6E8-8F0C-4B17-A926-5023310F73B8}"/>
    <cellStyle name="Comma 2 2 2 2 9 4 2" xfId="16302" xr:uid="{5C3B7FDD-25BB-4ECC-B0C2-18A9E3311E83}"/>
    <cellStyle name="Comma 2 2 2 2 9 4 2 2" xfId="52810" xr:uid="{C5AAF5C7-4294-443D-BFD1-D80B6992EF0B}"/>
    <cellStyle name="Comma 2 2 2 2 9 4 2 3" xfId="34556" xr:uid="{FBFE10AC-162A-444D-9F5B-66D575F1FDC3}"/>
    <cellStyle name="Comma 2 2 2 2 9 4 3" xfId="12652" xr:uid="{24C38AE4-5C76-4233-B5CA-0D038EFD1CEF}"/>
    <cellStyle name="Comma 2 2 2 2 9 4 3 2" xfId="49160" xr:uid="{E45B89AF-E154-4025-9B71-D31916BF384D}"/>
    <cellStyle name="Comma 2 2 2 2 9 4 3 3" xfId="30906" xr:uid="{2FD29B80-A220-498A-910E-EFB319964F4D}"/>
    <cellStyle name="Comma 2 2 2 2 9 4 4" xfId="9002" xr:uid="{1DAE4B3A-71F7-4AE2-9C50-EFDF810D9B03}"/>
    <cellStyle name="Comma 2 2 2 2 9 4 4 2" xfId="45510" xr:uid="{FA9C2D21-F975-42C1-9801-BF65ED215D5B}"/>
    <cellStyle name="Comma 2 2 2 2 9 4 4 3" xfId="27256" xr:uid="{B9B0C06A-46A1-40E3-ABF4-E03B7962C518}"/>
    <cellStyle name="Comma 2 2 2 2 9 4 5" xfId="5352" xr:uid="{B2F35BC5-FE94-4996-B10A-10B0F05BFB1C}"/>
    <cellStyle name="Comma 2 2 2 2 9 4 5 2" xfId="41860" xr:uid="{3960ECD3-8B67-43EC-B6A5-D4257465F5F8}"/>
    <cellStyle name="Comma 2 2 2 2 9 4 5 3" xfId="23606" xr:uid="{FEFC2A12-4E33-4B4F-9E7B-C0D21450B723}"/>
    <cellStyle name="Comma 2 2 2 2 9 4 6" xfId="38210" xr:uid="{A33415B0-5A8F-4241-9251-84BAFA60F03F}"/>
    <cellStyle name="Comma 2 2 2 2 9 4 7" xfId="19956" xr:uid="{237F5F61-E105-4223-AD95-351ABD8F6AAE}"/>
    <cellStyle name="Comma 2 2 2 2 9 5" xfId="972" xr:uid="{4AE5AB58-BC91-415F-8CB1-3564365CF78D}"/>
    <cellStyle name="Comma 2 2 2 2 9 5 2" xfId="15572" xr:uid="{A30CC05D-F839-48F6-A59A-9258422DACFA}"/>
    <cellStyle name="Comma 2 2 2 2 9 5 2 2" xfId="52080" xr:uid="{B0FDEFD8-BD15-453C-9FC4-C92EE47E8270}"/>
    <cellStyle name="Comma 2 2 2 2 9 5 2 3" xfId="33826" xr:uid="{4975903A-E980-443C-B124-0B0E81B0E8A6}"/>
    <cellStyle name="Comma 2 2 2 2 9 5 3" xfId="11922" xr:uid="{C0431D59-07C7-49CA-B7B4-4A9990525809}"/>
    <cellStyle name="Comma 2 2 2 2 9 5 3 2" xfId="48430" xr:uid="{A26F115A-E055-4E1A-BF64-797FB3B7BEAA}"/>
    <cellStyle name="Comma 2 2 2 2 9 5 3 3" xfId="30176" xr:uid="{733FF4E3-EE6C-49E7-8D49-AFAB3AC8EF12}"/>
    <cellStyle name="Comma 2 2 2 2 9 5 4" xfId="8272" xr:uid="{CA68E3D4-083C-4203-835B-E8EE02D2908E}"/>
    <cellStyle name="Comma 2 2 2 2 9 5 4 2" xfId="44780" xr:uid="{20E37203-7034-440B-816A-D0C40A275A36}"/>
    <cellStyle name="Comma 2 2 2 2 9 5 4 3" xfId="26526" xr:uid="{A588EB56-0F70-4835-A4A7-66779EAE1303}"/>
    <cellStyle name="Comma 2 2 2 2 9 5 5" xfId="4622" xr:uid="{EA229320-EE32-47E5-8D29-3D924688200D}"/>
    <cellStyle name="Comma 2 2 2 2 9 5 5 2" xfId="41130" xr:uid="{522C4306-561C-4EB9-93AE-34E4E1C8DA53}"/>
    <cellStyle name="Comma 2 2 2 2 9 5 5 3" xfId="22876" xr:uid="{F5F372F5-5DEF-4130-803E-CBB0BE72A934}"/>
    <cellStyle name="Comma 2 2 2 2 9 5 6" xfId="37480" xr:uid="{C098B057-B720-42D2-9958-6139C9D308D4}"/>
    <cellStyle name="Comma 2 2 2 2 9 5 7" xfId="19226" xr:uid="{34E8A12B-1578-43CA-9D7B-8D50F7AF825E}"/>
    <cellStyle name="Comma 2 2 2 2 9 6" xfId="14842" xr:uid="{5BE143FB-355E-47AE-B963-3AE5030010D6}"/>
    <cellStyle name="Comma 2 2 2 2 9 6 2" xfId="51350" xr:uid="{96BA31FC-4A2F-40D5-A444-5EB3C9BCFF4E}"/>
    <cellStyle name="Comma 2 2 2 2 9 6 3" xfId="33096" xr:uid="{6B08EAA0-0332-4DE4-87D2-C7BEF84C45E8}"/>
    <cellStyle name="Comma 2 2 2 2 9 7" xfId="11192" xr:uid="{6E3D3DC3-9D57-4D32-B4BF-34E0C8F45268}"/>
    <cellStyle name="Comma 2 2 2 2 9 7 2" xfId="47700" xr:uid="{2A24FEC8-1181-4715-808B-C3E211136EF8}"/>
    <cellStyle name="Comma 2 2 2 2 9 7 3" xfId="29446" xr:uid="{04D7A734-9BF9-41C8-9BE3-202075CF86B8}"/>
    <cellStyle name="Comma 2 2 2 2 9 8" xfId="7542" xr:uid="{E3C783B0-EC6A-4F1B-A5BF-1F65F638B493}"/>
    <cellStyle name="Comma 2 2 2 2 9 8 2" xfId="44050" xr:uid="{6137034D-0445-4E74-83C7-8B3618E79F0A}"/>
    <cellStyle name="Comma 2 2 2 2 9 8 3" xfId="25796" xr:uid="{EF5CE8E5-DF17-4B29-9327-0B48404EFFBA}"/>
    <cellStyle name="Comma 2 2 2 2 9 9" xfId="3892" xr:uid="{298B5AB5-09F8-43C8-BE74-D896B5571164}"/>
    <cellStyle name="Comma 2 2 2 2 9 9 2" xfId="40400" xr:uid="{3F69B09C-AB1F-49AF-9A85-88FE47392EA0}"/>
    <cellStyle name="Comma 2 2 2 2 9 9 3" xfId="22146" xr:uid="{06C60867-ECA2-41C8-BA86-8D49D6A7C32F}"/>
    <cellStyle name="Comma 2 2 2 20" xfId="36534" xr:uid="{B0F2E4C4-F78B-46D9-9AA7-A73D9ADC5BBA}"/>
    <cellStyle name="Comma 2 2 2 21" xfId="18280" xr:uid="{B93B841D-4005-4BE3-9D91-32008EE18349}"/>
    <cellStyle name="Comma 2 2 2 3" xfId="33" xr:uid="{40F20C66-133C-4C1F-84A2-E0211D07A6B8}"/>
    <cellStyle name="Comma 2 2 2 3 10" xfId="2962" xr:uid="{46286456-9DB9-4197-8ADE-99BA097ABE42}"/>
    <cellStyle name="Comma 2 2 2 3 10 2" xfId="17562" xr:uid="{C199115C-D3BE-4D1D-A616-316AB815E1DB}"/>
    <cellStyle name="Comma 2 2 2 3 10 2 2" xfId="54070" xr:uid="{36EFC299-2FFE-49D6-95CC-13EB09244177}"/>
    <cellStyle name="Comma 2 2 2 3 10 2 3" xfId="35816" xr:uid="{C781FCD2-EA6B-41B7-ABCE-E6253C5D7766}"/>
    <cellStyle name="Comma 2 2 2 3 10 3" xfId="13912" xr:uid="{81734C63-8306-4F80-AEB3-EB67AECBD81E}"/>
    <cellStyle name="Comma 2 2 2 3 10 3 2" xfId="50420" xr:uid="{90B849BE-4113-4F64-8BC9-F8B68C461970}"/>
    <cellStyle name="Comma 2 2 2 3 10 3 3" xfId="32166" xr:uid="{B5239092-3D8B-4C95-B4B6-B7256ADC4016}"/>
    <cellStyle name="Comma 2 2 2 3 10 4" xfId="10262" xr:uid="{7E3F07F2-8F1A-44A8-8E6F-BD3F25F04821}"/>
    <cellStyle name="Comma 2 2 2 3 10 4 2" xfId="46770" xr:uid="{B5425749-DF55-4ACE-9F58-96A9B457E470}"/>
    <cellStyle name="Comma 2 2 2 3 10 4 3" xfId="28516" xr:uid="{354E8068-B7B9-4E99-9CAA-0BF7E1AAD1BB}"/>
    <cellStyle name="Comma 2 2 2 3 10 5" xfId="6612" xr:uid="{5BB31A17-0CA8-4FF4-B8DE-B6EBFB174383}"/>
    <cellStyle name="Comma 2 2 2 3 10 5 2" xfId="43120" xr:uid="{6EBCBAD2-5E8C-4CD8-B7F3-8A0492337650}"/>
    <cellStyle name="Comma 2 2 2 3 10 5 3" xfId="24866" xr:uid="{138DFEC2-8875-45B9-A140-6F2976209D97}"/>
    <cellStyle name="Comma 2 2 2 3 10 6" xfId="39470" xr:uid="{C56AA421-4422-4C63-8DE1-CF71C27FB782}"/>
    <cellStyle name="Comma 2 2 2 3 10 7" xfId="21216" xr:uid="{94999F59-7945-45D1-B8F3-A533A0A35933}"/>
    <cellStyle name="Comma 2 2 2 3 11" xfId="2232" xr:uid="{8C88761A-4C74-46CD-8628-266C61311D82}"/>
    <cellStyle name="Comma 2 2 2 3 11 2" xfId="16832" xr:uid="{9308F8F2-5BBA-4511-B42D-64980494CE09}"/>
    <cellStyle name="Comma 2 2 2 3 11 2 2" xfId="53340" xr:uid="{EBE02A84-3057-4C36-BA2E-A8E46DC3DA1A}"/>
    <cellStyle name="Comma 2 2 2 3 11 2 3" xfId="35086" xr:uid="{575C153B-213A-490F-BEAE-A54E101934AB}"/>
    <cellStyle name="Comma 2 2 2 3 11 3" xfId="13182" xr:uid="{C6F2032E-CE78-44D5-8B08-8DDDF3CEF251}"/>
    <cellStyle name="Comma 2 2 2 3 11 3 2" xfId="49690" xr:uid="{B8A8537E-68C6-4FBD-AF25-CEAC689ED213}"/>
    <cellStyle name="Comma 2 2 2 3 11 3 3" xfId="31436" xr:uid="{6F2F6404-A32E-462F-AE3C-6E24349A9818}"/>
    <cellStyle name="Comma 2 2 2 3 11 4" xfId="9532" xr:uid="{72C78FDE-1C10-43D2-87A7-E87C99D7042A}"/>
    <cellStyle name="Comma 2 2 2 3 11 4 2" xfId="46040" xr:uid="{3828CDE3-234E-4C70-AC8C-43B6DDE2CA78}"/>
    <cellStyle name="Comma 2 2 2 3 11 4 3" xfId="27786" xr:uid="{4E2DD130-A934-4D1F-A796-C2A69FF0ECED}"/>
    <cellStyle name="Comma 2 2 2 3 11 5" xfId="5882" xr:uid="{B828108C-8681-489C-A693-E7E7C85EF4D5}"/>
    <cellStyle name="Comma 2 2 2 3 11 5 2" xfId="42390" xr:uid="{E16DA89E-142B-4942-B130-6F329E75F5DF}"/>
    <cellStyle name="Comma 2 2 2 3 11 5 3" xfId="24136" xr:uid="{C1F7C0D5-B212-4EC1-B3C4-91CE11290384}"/>
    <cellStyle name="Comma 2 2 2 3 11 6" xfId="38740" xr:uid="{D16C917D-70B0-4B5E-8A98-DE5BF0BB522E}"/>
    <cellStyle name="Comma 2 2 2 3 11 7" xfId="20486" xr:uid="{64C1DB61-1E9F-40C2-8636-ABD89DFCB52F}"/>
    <cellStyle name="Comma 2 2 2 3 12" xfId="1502" xr:uid="{520F69FC-F762-4EAD-AFEE-6B38EB5F90A2}"/>
    <cellStyle name="Comma 2 2 2 3 12 2" xfId="16102" xr:uid="{625397CF-B280-4BFD-B190-79F8F10CFC8B}"/>
    <cellStyle name="Comma 2 2 2 3 12 2 2" xfId="52610" xr:uid="{E6AFDFDD-86FA-4AF6-9826-13EEAF2FFB01}"/>
    <cellStyle name="Comma 2 2 2 3 12 2 3" xfId="34356" xr:uid="{3C2FFF81-CA40-4C2F-9D6E-694DAD4BFE48}"/>
    <cellStyle name="Comma 2 2 2 3 12 3" xfId="12452" xr:uid="{8730319A-174A-4BCC-8D1C-17C12A8ABDD6}"/>
    <cellStyle name="Comma 2 2 2 3 12 3 2" xfId="48960" xr:uid="{4D8A42D9-A63A-4D8F-8B0E-568FD4CF3903}"/>
    <cellStyle name="Comma 2 2 2 3 12 3 3" xfId="30706" xr:uid="{6044F368-44D6-4F1A-ACE3-46A711103D52}"/>
    <cellStyle name="Comma 2 2 2 3 12 4" xfId="8802" xr:uid="{458C1536-A3B9-46CB-8D06-D12AD418425A}"/>
    <cellStyle name="Comma 2 2 2 3 12 4 2" xfId="45310" xr:uid="{02393397-2FCA-4E71-902B-EB5B132315D3}"/>
    <cellStyle name="Comma 2 2 2 3 12 4 3" xfId="27056" xr:uid="{81FAB959-2437-413E-857D-CFEBEB92F46E}"/>
    <cellStyle name="Comma 2 2 2 3 12 5" xfId="5152" xr:uid="{4ED5EC38-665A-4552-AE77-59D6A7DB584E}"/>
    <cellStyle name="Comma 2 2 2 3 12 5 2" xfId="41660" xr:uid="{5BD8750D-8505-48C5-A590-A366D3B2143A}"/>
    <cellStyle name="Comma 2 2 2 3 12 5 3" xfId="23406" xr:uid="{7958B1A2-6063-4C92-9B43-974383C5835A}"/>
    <cellStyle name="Comma 2 2 2 3 12 6" xfId="38010" xr:uid="{3E94D6B6-2B21-45E9-B644-1D40FCBC991C}"/>
    <cellStyle name="Comma 2 2 2 3 12 7" xfId="19756" xr:uid="{E31A56E8-7B5B-4326-953E-B67EA76C98DE}"/>
    <cellStyle name="Comma 2 2 2 3 13" xfId="772" xr:uid="{1A2AA18A-0BF1-4D26-B7E5-624C5268B6B4}"/>
    <cellStyle name="Comma 2 2 2 3 13 2" xfId="15372" xr:uid="{28F74EF1-5A3D-4A37-9841-960395234EDC}"/>
    <cellStyle name="Comma 2 2 2 3 13 2 2" xfId="51880" xr:uid="{9E4298A0-601B-484C-B02C-214CED606E2A}"/>
    <cellStyle name="Comma 2 2 2 3 13 2 3" xfId="33626" xr:uid="{80096E2E-50FA-4F75-9E97-EADA1F39FC10}"/>
    <cellStyle name="Comma 2 2 2 3 13 3" xfId="11722" xr:uid="{6E29A4D1-C427-4753-A80D-E20432F11015}"/>
    <cellStyle name="Comma 2 2 2 3 13 3 2" xfId="48230" xr:uid="{2757FC31-9C25-4562-98D5-BE0AEE9415F8}"/>
    <cellStyle name="Comma 2 2 2 3 13 3 3" xfId="29976" xr:uid="{6B8BCFDE-5A16-47CC-9590-061E2B19887B}"/>
    <cellStyle name="Comma 2 2 2 3 13 4" xfId="8072" xr:uid="{4E031427-E309-4B63-B500-F63403581153}"/>
    <cellStyle name="Comma 2 2 2 3 13 4 2" xfId="44580" xr:uid="{827B2A0C-CBA4-49EA-B2FC-CE5559DE7E33}"/>
    <cellStyle name="Comma 2 2 2 3 13 4 3" xfId="26326" xr:uid="{5504F250-6EB6-41D0-B403-B6E642696A50}"/>
    <cellStyle name="Comma 2 2 2 3 13 5" xfId="4422" xr:uid="{0278BEEF-2449-4006-9ECB-0F0CEC138212}"/>
    <cellStyle name="Comma 2 2 2 3 13 5 2" xfId="40930" xr:uid="{01D7FFDD-76AA-426F-B335-01BA0829DA52}"/>
    <cellStyle name="Comma 2 2 2 3 13 5 3" xfId="22676" xr:uid="{AA9B8E26-4708-42F6-A4F4-406813F1183F}"/>
    <cellStyle name="Comma 2 2 2 3 13 6" xfId="37280" xr:uid="{FC39E5FD-53F7-4CDC-A230-8982819359E3}"/>
    <cellStyle name="Comma 2 2 2 3 13 7" xfId="19026" xr:uid="{B74BF91A-71AB-4F2D-9E3B-D2BF43639352}"/>
    <cellStyle name="Comma 2 2 2 3 14" xfId="14642" xr:uid="{F15554BA-15D0-406B-88A0-ACA05E6C5503}"/>
    <cellStyle name="Comma 2 2 2 3 14 2" xfId="51150" xr:uid="{3C4A72A4-61A4-46A3-9280-760519C9A550}"/>
    <cellStyle name="Comma 2 2 2 3 14 3" xfId="32896" xr:uid="{1B0F4EA2-C5D3-4E5D-8424-1A34A4F0B5E9}"/>
    <cellStyle name="Comma 2 2 2 3 15" xfId="10992" xr:uid="{61844C15-5C46-4F84-80AE-2695154592C1}"/>
    <cellStyle name="Comma 2 2 2 3 15 2" xfId="47500" xr:uid="{E4A7DF11-0658-43FC-833B-18273026E4BA}"/>
    <cellStyle name="Comma 2 2 2 3 15 3" xfId="29246" xr:uid="{58CDACF2-79FD-434A-BB05-E57781978002}"/>
    <cellStyle name="Comma 2 2 2 3 16" xfId="7342" xr:uid="{4C8E2320-F833-4E5D-B02F-AEB42551085C}"/>
    <cellStyle name="Comma 2 2 2 3 16 2" xfId="43850" xr:uid="{455DD110-E7BC-4EB9-A492-87C6834EC6B8}"/>
    <cellStyle name="Comma 2 2 2 3 16 3" xfId="25596" xr:uid="{6FB06F0D-FDC7-4D3C-A11A-F2BA60828FD0}"/>
    <cellStyle name="Comma 2 2 2 3 17" xfId="3692" xr:uid="{EFA9BB49-EDFC-4CE1-A327-2C2FC7282FC1}"/>
    <cellStyle name="Comma 2 2 2 3 17 2" xfId="40200" xr:uid="{9D4B0762-C0F0-46D2-A5FF-C3027C36AB1D}"/>
    <cellStyle name="Comma 2 2 2 3 17 3" xfId="21946" xr:uid="{16379CE7-0741-4C3C-AD72-9A18C3E026EC}"/>
    <cellStyle name="Comma 2 2 2 3 18" xfId="36550" xr:uid="{32DCD280-6484-4252-BE8C-6DDA1E85A72E}"/>
    <cellStyle name="Comma 2 2 2 3 19" xfId="18296" xr:uid="{843D033D-F766-4E2D-977C-876831CC4ECF}"/>
    <cellStyle name="Comma 2 2 2 3 2" xfId="107" xr:uid="{FD772C55-937A-4154-B764-5AE864FFD7A4}"/>
    <cellStyle name="Comma 2 2 2 3 2 10" xfId="1566" xr:uid="{F1FA0D2A-2C7E-4E3E-ADC3-0EC175E9A709}"/>
    <cellStyle name="Comma 2 2 2 3 2 10 2" xfId="16166" xr:uid="{C68DD156-06C4-43E5-B212-AEE1FFF74BBF}"/>
    <cellStyle name="Comma 2 2 2 3 2 10 2 2" xfId="52674" xr:uid="{010DA1CD-C309-438D-9D54-381F4F4325FF}"/>
    <cellStyle name="Comma 2 2 2 3 2 10 2 3" xfId="34420" xr:uid="{E35B0FC2-FF75-43A7-896F-7DB00F1B088C}"/>
    <cellStyle name="Comma 2 2 2 3 2 10 3" xfId="12516" xr:uid="{7067D423-7DCA-4A42-A4D6-EA2B6520A4AD}"/>
    <cellStyle name="Comma 2 2 2 3 2 10 3 2" xfId="49024" xr:uid="{92836C12-E3B2-4C32-BA1D-857BEC7D9ABB}"/>
    <cellStyle name="Comma 2 2 2 3 2 10 3 3" xfId="30770" xr:uid="{210E5CF3-5A1E-440A-9758-0A223F3C67F4}"/>
    <cellStyle name="Comma 2 2 2 3 2 10 4" xfId="8866" xr:uid="{3361864F-45A9-4187-AFE9-7A407AD59BEE}"/>
    <cellStyle name="Comma 2 2 2 3 2 10 4 2" xfId="45374" xr:uid="{DD7EFD6F-156B-4C0F-BDA5-3D02802F9370}"/>
    <cellStyle name="Comma 2 2 2 3 2 10 4 3" xfId="27120" xr:uid="{ED0F51DE-30D8-4BC4-B04A-C67E9C9A6B77}"/>
    <cellStyle name="Comma 2 2 2 3 2 10 5" xfId="5216" xr:uid="{707F20C6-E64C-4A49-B321-8FB88ED5AA89}"/>
    <cellStyle name="Comma 2 2 2 3 2 10 5 2" xfId="41724" xr:uid="{C2A7A76E-E7E2-4A40-8A69-E49085000DFF}"/>
    <cellStyle name="Comma 2 2 2 3 2 10 5 3" xfId="23470" xr:uid="{B11D5FAD-EECE-4960-AF64-40F173513748}"/>
    <cellStyle name="Comma 2 2 2 3 2 10 6" xfId="38074" xr:uid="{6AE4B03A-BFA1-4A12-8684-401C416EA7D2}"/>
    <cellStyle name="Comma 2 2 2 3 2 10 7" xfId="19820" xr:uid="{64554CC3-3503-4BE2-B815-2186BE1B5282}"/>
    <cellStyle name="Comma 2 2 2 3 2 11" xfId="836" xr:uid="{81591F42-6F9F-41F9-B15F-F43AC6182129}"/>
    <cellStyle name="Comma 2 2 2 3 2 11 2" xfId="15436" xr:uid="{9E8F8C28-9B65-4B3D-B2B9-DE828B298986}"/>
    <cellStyle name="Comma 2 2 2 3 2 11 2 2" xfId="51944" xr:uid="{6EC8F567-F89B-4F37-AAB6-28D515E8C30C}"/>
    <cellStyle name="Comma 2 2 2 3 2 11 2 3" xfId="33690" xr:uid="{F30C51A1-794D-4826-84E0-4D06F14A59BA}"/>
    <cellStyle name="Comma 2 2 2 3 2 11 3" xfId="11786" xr:uid="{9AD12309-1167-4A37-8DEE-8A1FF9B3A95D}"/>
    <cellStyle name="Comma 2 2 2 3 2 11 3 2" xfId="48294" xr:uid="{6326D6AD-3338-44A4-86D9-FB32F4A72046}"/>
    <cellStyle name="Comma 2 2 2 3 2 11 3 3" xfId="30040" xr:uid="{D92C3A16-D8C6-4801-9A51-A2752EF95608}"/>
    <cellStyle name="Comma 2 2 2 3 2 11 4" xfId="8136" xr:uid="{D63B2086-7743-4789-ACC3-8695D23BC88D}"/>
    <cellStyle name="Comma 2 2 2 3 2 11 4 2" xfId="44644" xr:uid="{19CD7CF9-80F2-4C3E-BA86-4D0638234C88}"/>
    <cellStyle name="Comma 2 2 2 3 2 11 4 3" xfId="26390" xr:uid="{8644EA81-FB0A-4B9A-8EE8-12A4FD707CA2}"/>
    <cellStyle name="Comma 2 2 2 3 2 11 5" xfId="4486" xr:uid="{0A1D19BC-20F2-4728-93A7-EA6400B29157}"/>
    <cellStyle name="Comma 2 2 2 3 2 11 5 2" xfId="40994" xr:uid="{08DF9AB0-1700-4D99-9B40-C49EB74C7B39}"/>
    <cellStyle name="Comma 2 2 2 3 2 11 5 3" xfId="22740" xr:uid="{905EDBA4-9547-49F1-B5CB-16747CEAC511}"/>
    <cellStyle name="Comma 2 2 2 3 2 11 6" xfId="37344" xr:uid="{349EDA8A-6742-4911-B1E6-FDA60AD53375}"/>
    <cellStyle name="Comma 2 2 2 3 2 11 7" xfId="19090" xr:uid="{01DA37F9-55E6-4203-99A5-6CCD71AED23F}"/>
    <cellStyle name="Comma 2 2 2 3 2 12" xfId="14706" xr:uid="{9B8ABF9C-CFE9-4B3F-9A7B-7C6DFCCBFC58}"/>
    <cellStyle name="Comma 2 2 2 3 2 12 2" xfId="51214" xr:uid="{3F938C0C-FF31-405F-8F8A-4E3C7753CC11}"/>
    <cellStyle name="Comma 2 2 2 3 2 12 3" xfId="32960" xr:uid="{FAED4A72-A7D5-4365-9AB9-5C034EE32A33}"/>
    <cellStyle name="Comma 2 2 2 3 2 13" xfId="11056" xr:uid="{9141EB78-8C39-46EA-BE41-96578FA977F2}"/>
    <cellStyle name="Comma 2 2 2 3 2 13 2" xfId="47564" xr:uid="{03A89A0A-091A-4153-8261-C4C9C50AEA95}"/>
    <cellStyle name="Comma 2 2 2 3 2 13 3" xfId="29310" xr:uid="{2A2F2BAF-37A4-47FC-B4BD-8386BE474000}"/>
    <cellStyle name="Comma 2 2 2 3 2 14" xfId="7406" xr:uid="{38B510BF-5E02-46FF-B0C4-18680B01A5E4}"/>
    <cellStyle name="Comma 2 2 2 3 2 14 2" xfId="43914" xr:uid="{BBFC97A9-5661-451E-8D95-F960CCC756D3}"/>
    <cellStyle name="Comma 2 2 2 3 2 14 3" xfId="25660" xr:uid="{87274A2A-51A3-432D-8984-D41D04F63004}"/>
    <cellStyle name="Comma 2 2 2 3 2 15" xfId="3756" xr:uid="{9611B4FF-96A8-44C9-B65F-052B6FACB42E}"/>
    <cellStyle name="Comma 2 2 2 3 2 15 2" xfId="40264" xr:uid="{0487C49C-FC05-4680-B55E-E71F0A5B3AC1}"/>
    <cellStyle name="Comma 2 2 2 3 2 15 3" xfId="22010" xr:uid="{34BE686D-A82F-4A15-9E90-6E672C9BF36A}"/>
    <cellStyle name="Comma 2 2 2 3 2 16" xfId="36614" xr:uid="{58CA6699-6BAF-48B9-A02C-A3EAF11BF610}"/>
    <cellStyle name="Comma 2 2 2 3 2 17" xfId="18360" xr:uid="{2E7BA3BF-21C4-4468-B8EB-B27D37C41915}"/>
    <cellStyle name="Comma 2 2 2 3 2 2" xfId="730" xr:uid="{8077117E-D4F8-493A-AFC8-28CD7A0D644A}"/>
    <cellStyle name="Comma 2 2 2 3 2 2 10" xfId="37238" xr:uid="{B3F60A17-2BAC-42BF-BCC0-C795A945DA22}"/>
    <cellStyle name="Comma 2 2 2 3 2 2 11" xfId="18984" xr:uid="{BF2A3F40-BE9B-4491-9AAB-E7A363F45AEB}"/>
    <cellStyle name="Comma 2 2 2 3 2 2 2" xfId="3650" xr:uid="{4059BED6-F204-425E-917C-FB14FE7C8F2A}"/>
    <cellStyle name="Comma 2 2 2 3 2 2 2 2" xfId="18250" xr:uid="{368AF305-4BE8-458E-A441-962EC62B9599}"/>
    <cellStyle name="Comma 2 2 2 3 2 2 2 2 2" xfId="54758" xr:uid="{051BC3EB-184B-43E8-B7E4-DD2BE610E650}"/>
    <cellStyle name="Comma 2 2 2 3 2 2 2 2 3" xfId="36504" xr:uid="{FE073948-8791-4FE6-8496-40BB0F7E3E64}"/>
    <cellStyle name="Comma 2 2 2 3 2 2 2 3" xfId="14600" xr:uid="{2745D0B0-8611-4491-89C5-75D9A4BCB65B}"/>
    <cellStyle name="Comma 2 2 2 3 2 2 2 3 2" xfId="51108" xr:uid="{7B2A2A98-65F6-404E-9AA8-043417F4C0A4}"/>
    <cellStyle name="Comma 2 2 2 3 2 2 2 3 3" xfId="32854" xr:uid="{5F31AF75-214F-4912-AAC0-165990F5E0FF}"/>
    <cellStyle name="Comma 2 2 2 3 2 2 2 4" xfId="10950" xr:uid="{CBD78B90-92D8-4E48-994F-B8E4A8B2931D}"/>
    <cellStyle name="Comma 2 2 2 3 2 2 2 4 2" xfId="47458" xr:uid="{D6DB5D71-8580-448E-8948-F6C7DD295CC5}"/>
    <cellStyle name="Comma 2 2 2 3 2 2 2 4 3" xfId="29204" xr:uid="{3850282B-10BF-4EEC-BC25-FFA587032614}"/>
    <cellStyle name="Comma 2 2 2 3 2 2 2 5" xfId="7300" xr:uid="{712953D8-746F-431F-9AEE-72475CF30F53}"/>
    <cellStyle name="Comma 2 2 2 3 2 2 2 5 2" xfId="43808" xr:uid="{A2163AA3-6388-4E29-ADB7-562899469DEA}"/>
    <cellStyle name="Comma 2 2 2 3 2 2 2 5 3" xfId="25554" xr:uid="{D05360B5-CBD7-417C-B423-4A4E8F30BCF6}"/>
    <cellStyle name="Comma 2 2 2 3 2 2 2 6" xfId="40158" xr:uid="{DC057DA6-8885-4576-BC0B-F4EEC7E98129}"/>
    <cellStyle name="Comma 2 2 2 3 2 2 2 7" xfId="21904" xr:uid="{CE82AC2D-2F60-4112-9F3A-821CC5F23D90}"/>
    <cellStyle name="Comma 2 2 2 3 2 2 3" xfId="2920" xr:uid="{82476C01-1205-4978-9462-B4B921484E80}"/>
    <cellStyle name="Comma 2 2 2 3 2 2 3 2" xfId="17520" xr:uid="{0A05BAAC-ACF1-4F52-8045-A5C28BC2E491}"/>
    <cellStyle name="Comma 2 2 2 3 2 2 3 2 2" xfId="54028" xr:uid="{44232FFE-C0E6-437E-AFCF-04E307057A62}"/>
    <cellStyle name="Comma 2 2 2 3 2 2 3 2 3" xfId="35774" xr:uid="{FD959315-BBF0-424B-B545-A4BAC5013A0C}"/>
    <cellStyle name="Comma 2 2 2 3 2 2 3 3" xfId="13870" xr:uid="{9E1A27AD-89A4-4F76-B9DF-C5DF6235DC3B}"/>
    <cellStyle name="Comma 2 2 2 3 2 2 3 3 2" xfId="50378" xr:uid="{D4F13D3D-9FB8-4792-A2BF-EB498C981461}"/>
    <cellStyle name="Comma 2 2 2 3 2 2 3 3 3" xfId="32124" xr:uid="{BC8A6142-835C-4316-A6CE-1C8DB88D80AB}"/>
    <cellStyle name="Comma 2 2 2 3 2 2 3 4" xfId="10220" xr:uid="{516F207F-187E-43BA-9D2D-63E809AEB891}"/>
    <cellStyle name="Comma 2 2 2 3 2 2 3 4 2" xfId="46728" xr:uid="{C69A9996-E242-4B93-B8DC-54151AA283D9}"/>
    <cellStyle name="Comma 2 2 2 3 2 2 3 4 3" xfId="28474" xr:uid="{81F577C2-CFE1-4FBE-94F7-A65C569352EC}"/>
    <cellStyle name="Comma 2 2 2 3 2 2 3 5" xfId="6570" xr:uid="{37836594-A384-400A-A5DC-CBB0A62568E3}"/>
    <cellStyle name="Comma 2 2 2 3 2 2 3 5 2" xfId="43078" xr:uid="{B41AA47C-C088-4704-83F6-F2135AEF69B7}"/>
    <cellStyle name="Comma 2 2 2 3 2 2 3 5 3" xfId="24824" xr:uid="{F73414BE-3AE4-47C1-BB42-BD3AFF4BEDBE}"/>
    <cellStyle name="Comma 2 2 2 3 2 2 3 6" xfId="39428" xr:uid="{FC4BD4D7-6570-442C-859C-9D4795ADF794}"/>
    <cellStyle name="Comma 2 2 2 3 2 2 3 7" xfId="21174" xr:uid="{848475B8-C91B-4639-8506-1972ED5467CD}"/>
    <cellStyle name="Comma 2 2 2 3 2 2 4" xfId="2190" xr:uid="{BB529592-6EED-4DEA-B499-A06015217672}"/>
    <cellStyle name="Comma 2 2 2 3 2 2 4 2" xfId="16790" xr:uid="{239713D0-FA70-42A6-B063-A7A70BE04483}"/>
    <cellStyle name="Comma 2 2 2 3 2 2 4 2 2" xfId="53298" xr:uid="{9888E765-03F4-43C7-B2A1-B3A31085E98F}"/>
    <cellStyle name="Comma 2 2 2 3 2 2 4 2 3" xfId="35044" xr:uid="{1EE0C9C4-5076-42FE-BAE5-A0A7D3E09621}"/>
    <cellStyle name="Comma 2 2 2 3 2 2 4 3" xfId="13140" xr:uid="{AEA3A887-9385-45C3-A95A-CD1CE058D49B}"/>
    <cellStyle name="Comma 2 2 2 3 2 2 4 3 2" xfId="49648" xr:uid="{1C90799A-6812-4CAE-8DF6-5C515DCFEE98}"/>
    <cellStyle name="Comma 2 2 2 3 2 2 4 3 3" xfId="31394" xr:uid="{21857030-1AEC-4F8C-9FCC-41E05C87022B}"/>
    <cellStyle name="Comma 2 2 2 3 2 2 4 4" xfId="9490" xr:uid="{1D6D27BF-EB2B-41E4-8FAD-0F3724041BDD}"/>
    <cellStyle name="Comma 2 2 2 3 2 2 4 4 2" xfId="45998" xr:uid="{949D4422-48E3-495A-A827-B3717E750BFA}"/>
    <cellStyle name="Comma 2 2 2 3 2 2 4 4 3" xfId="27744" xr:uid="{9819A300-7696-46B1-91C1-DD63C23F95B4}"/>
    <cellStyle name="Comma 2 2 2 3 2 2 4 5" xfId="5840" xr:uid="{1DF24492-E04A-4696-A384-8660B20EC7D0}"/>
    <cellStyle name="Comma 2 2 2 3 2 2 4 5 2" xfId="42348" xr:uid="{82282357-C2B5-47CC-9718-6E91BCA26F52}"/>
    <cellStyle name="Comma 2 2 2 3 2 2 4 5 3" xfId="24094" xr:uid="{5D2DC513-78BE-4BBF-BFA2-EDCE616018CA}"/>
    <cellStyle name="Comma 2 2 2 3 2 2 4 6" xfId="38698" xr:uid="{7703125E-505A-4CB9-AF0E-EA59C416F32A}"/>
    <cellStyle name="Comma 2 2 2 3 2 2 4 7" xfId="20444" xr:uid="{E2F1B2EB-3E0C-4213-80D4-94F539469E9E}"/>
    <cellStyle name="Comma 2 2 2 3 2 2 5" xfId="1460" xr:uid="{156CD445-878B-46F7-B83E-B60117C3AD6E}"/>
    <cellStyle name="Comma 2 2 2 3 2 2 5 2" xfId="16060" xr:uid="{D2F4D4AD-A9F2-486F-A6F4-624DCFE526FB}"/>
    <cellStyle name="Comma 2 2 2 3 2 2 5 2 2" xfId="52568" xr:uid="{7C778428-2E47-48F7-AEC6-5483F57B10BD}"/>
    <cellStyle name="Comma 2 2 2 3 2 2 5 2 3" xfId="34314" xr:uid="{56D3B9AB-58D2-47DA-B676-9629650DC9B7}"/>
    <cellStyle name="Comma 2 2 2 3 2 2 5 3" xfId="12410" xr:uid="{2C12D5AB-4F49-4FA7-89A2-B73335EF13E0}"/>
    <cellStyle name="Comma 2 2 2 3 2 2 5 3 2" xfId="48918" xr:uid="{72657CDB-6ED4-434B-97BF-01A5BEB2DD9A}"/>
    <cellStyle name="Comma 2 2 2 3 2 2 5 3 3" xfId="30664" xr:uid="{42B4428A-3E48-47F1-A38E-F8E98DBF8EA7}"/>
    <cellStyle name="Comma 2 2 2 3 2 2 5 4" xfId="8760" xr:uid="{015BE5BF-6AF0-4D03-8814-B3DC84B295F3}"/>
    <cellStyle name="Comma 2 2 2 3 2 2 5 4 2" xfId="45268" xr:uid="{4604B5F3-4703-413F-8ABC-81AF9AA181DE}"/>
    <cellStyle name="Comma 2 2 2 3 2 2 5 4 3" xfId="27014" xr:uid="{F02CA429-19F5-4452-A383-AEE091EE2D60}"/>
    <cellStyle name="Comma 2 2 2 3 2 2 5 5" xfId="5110" xr:uid="{AE90DBD5-9130-47E6-A88D-83B6F1C04657}"/>
    <cellStyle name="Comma 2 2 2 3 2 2 5 5 2" xfId="41618" xr:uid="{ECAE1B45-368E-4372-841F-9D874BC4D1F8}"/>
    <cellStyle name="Comma 2 2 2 3 2 2 5 5 3" xfId="23364" xr:uid="{718974EE-A938-4CAA-88DF-C23C9D37D785}"/>
    <cellStyle name="Comma 2 2 2 3 2 2 5 6" xfId="37968" xr:uid="{D306E815-0BA3-4886-8384-EAF29A652B7B}"/>
    <cellStyle name="Comma 2 2 2 3 2 2 5 7" xfId="19714" xr:uid="{557ACA06-2975-4734-AEF2-B4E4697EC638}"/>
    <cellStyle name="Comma 2 2 2 3 2 2 6" xfId="15330" xr:uid="{35F092D2-2A0B-44EB-B610-B96E8B73D4BD}"/>
    <cellStyle name="Comma 2 2 2 3 2 2 6 2" xfId="51838" xr:uid="{A874502F-4F0E-4A37-884C-E6F2C68242A3}"/>
    <cellStyle name="Comma 2 2 2 3 2 2 6 3" xfId="33584" xr:uid="{C5ED95CB-F40B-44D6-84B4-A6026420A345}"/>
    <cellStyle name="Comma 2 2 2 3 2 2 7" xfId="11680" xr:uid="{41D62EED-5597-40F7-9DB5-D8B8AC27A413}"/>
    <cellStyle name="Comma 2 2 2 3 2 2 7 2" xfId="48188" xr:uid="{945EBA92-B53A-42A2-9CFD-2EED15F93145}"/>
    <cellStyle name="Comma 2 2 2 3 2 2 7 3" xfId="29934" xr:uid="{A0F4AB4B-F86F-425B-9B21-5BC557D21763}"/>
    <cellStyle name="Comma 2 2 2 3 2 2 8" xfId="8030" xr:uid="{83E90754-37FB-4BA3-B526-C66007CC5070}"/>
    <cellStyle name="Comma 2 2 2 3 2 2 8 2" xfId="44538" xr:uid="{08F1A00B-2933-4877-879E-18A4A771B59B}"/>
    <cellStyle name="Comma 2 2 2 3 2 2 8 3" xfId="26284" xr:uid="{37662D7D-8DE7-4A47-A962-5C6A10AF623A}"/>
    <cellStyle name="Comma 2 2 2 3 2 2 9" xfId="4380" xr:uid="{D61C5A3D-ABF1-4A23-B720-E2D4D3EC0147}"/>
    <cellStyle name="Comma 2 2 2 3 2 2 9 2" xfId="40888" xr:uid="{27F19690-8804-4C8D-A6A0-F811D7920025}"/>
    <cellStyle name="Comma 2 2 2 3 2 2 9 3" xfId="22634" xr:uid="{4EA72DA7-97F6-4F23-A758-FF81616F464D}"/>
    <cellStyle name="Comma 2 2 2 3 2 3" xfId="626" xr:uid="{F10384AA-5965-478A-931C-B275F9F5720A}"/>
    <cellStyle name="Comma 2 2 2 3 2 3 10" xfId="37134" xr:uid="{02509756-7CE9-4303-B8DA-B94084633E4A}"/>
    <cellStyle name="Comma 2 2 2 3 2 3 11" xfId="18880" xr:uid="{1E8ED083-5942-4120-BCB0-5B167ECD3207}"/>
    <cellStyle name="Comma 2 2 2 3 2 3 2" xfId="3546" xr:uid="{5DD308F3-DCEA-47F6-9F84-4E88357C3E48}"/>
    <cellStyle name="Comma 2 2 2 3 2 3 2 2" xfId="18146" xr:uid="{C7E9F478-6FC1-4BB2-8594-D390E0DB6786}"/>
    <cellStyle name="Comma 2 2 2 3 2 3 2 2 2" xfId="54654" xr:uid="{35314999-E7F3-4DC0-9B96-5C46A6001445}"/>
    <cellStyle name="Comma 2 2 2 3 2 3 2 2 3" xfId="36400" xr:uid="{3A26DC44-09E4-464D-BBFC-7E2348DA9317}"/>
    <cellStyle name="Comma 2 2 2 3 2 3 2 3" xfId="14496" xr:uid="{316A0AE6-4529-4211-9F7D-90D5F1C2DA25}"/>
    <cellStyle name="Comma 2 2 2 3 2 3 2 3 2" xfId="51004" xr:uid="{8621E087-B10C-4A70-9731-E297A8C901A0}"/>
    <cellStyle name="Comma 2 2 2 3 2 3 2 3 3" xfId="32750" xr:uid="{C07AF778-344D-4094-9F0C-46122B8CB67F}"/>
    <cellStyle name="Comma 2 2 2 3 2 3 2 4" xfId="10846" xr:uid="{6371BC5A-E8E8-483E-A9CE-60061CA5BDB0}"/>
    <cellStyle name="Comma 2 2 2 3 2 3 2 4 2" xfId="47354" xr:uid="{D1FB1903-8336-49A4-81D8-D3ACB2B86ECA}"/>
    <cellStyle name="Comma 2 2 2 3 2 3 2 4 3" xfId="29100" xr:uid="{48BB3967-8DE8-4DA7-A586-04C6A1251A1A}"/>
    <cellStyle name="Comma 2 2 2 3 2 3 2 5" xfId="7196" xr:uid="{A88A0997-C8E4-4A1F-A544-2F5985003264}"/>
    <cellStyle name="Comma 2 2 2 3 2 3 2 5 2" xfId="43704" xr:uid="{3C85D342-2157-48B2-A9ED-9D67A7A54F79}"/>
    <cellStyle name="Comma 2 2 2 3 2 3 2 5 3" xfId="25450" xr:uid="{0A5B6A6C-B5B0-4C85-BBCE-A51804C1D9CE}"/>
    <cellStyle name="Comma 2 2 2 3 2 3 2 6" xfId="40054" xr:uid="{6E61D440-1106-470E-93FD-C400C0712974}"/>
    <cellStyle name="Comma 2 2 2 3 2 3 2 7" xfId="21800" xr:uid="{80F8DEC5-5997-4500-9292-B7DD88A1BFD5}"/>
    <cellStyle name="Comma 2 2 2 3 2 3 3" xfId="2816" xr:uid="{CE103132-E9BA-48BC-961E-78B9EC066E6D}"/>
    <cellStyle name="Comma 2 2 2 3 2 3 3 2" xfId="17416" xr:uid="{42CB3DFD-D36C-496B-8E43-E919C5DE8948}"/>
    <cellStyle name="Comma 2 2 2 3 2 3 3 2 2" xfId="53924" xr:uid="{38B37B18-3D44-40AB-99CF-BD16367E433E}"/>
    <cellStyle name="Comma 2 2 2 3 2 3 3 2 3" xfId="35670" xr:uid="{57AD6809-1C63-48B4-9A46-ACD8499B6E07}"/>
    <cellStyle name="Comma 2 2 2 3 2 3 3 3" xfId="13766" xr:uid="{13DE79D4-D430-4C1C-BDE7-33A4CB8FEB50}"/>
    <cellStyle name="Comma 2 2 2 3 2 3 3 3 2" xfId="50274" xr:uid="{107CF1F9-E968-4668-9B9D-CD2184B2AD52}"/>
    <cellStyle name="Comma 2 2 2 3 2 3 3 3 3" xfId="32020" xr:uid="{0DD05D7F-79A1-4770-8578-3B1050BF71DA}"/>
    <cellStyle name="Comma 2 2 2 3 2 3 3 4" xfId="10116" xr:uid="{FB379E52-5C9A-4C9C-8DD3-42A658974FED}"/>
    <cellStyle name="Comma 2 2 2 3 2 3 3 4 2" xfId="46624" xr:uid="{537033FC-A2A0-4737-97A6-84B86624BD05}"/>
    <cellStyle name="Comma 2 2 2 3 2 3 3 4 3" xfId="28370" xr:uid="{63BDCA98-22A2-4F5E-8034-7AE9DD2DC7BB}"/>
    <cellStyle name="Comma 2 2 2 3 2 3 3 5" xfId="6466" xr:uid="{8B1140AC-2B41-4CF8-90FC-6E3783F89711}"/>
    <cellStyle name="Comma 2 2 2 3 2 3 3 5 2" xfId="42974" xr:uid="{EA55A081-42A5-4E86-B1CA-05118B68732B}"/>
    <cellStyle name="Comma 2 2 2 3 2 3 3 5 3" xfId="24720" xr:uid="{9ED30C32-ECCE-4022-876E-56C9C50174E4}"/>
    <cellStyle name="Comma 2 2 2 3 2 3 3 6" xfId="39324" xr:uid="{25E746C9-4072-4F6E-B4D9-C1DA89DB8BFB}"/>
    <cellStyle name="Comma 2 2 2 3 2 3 3 7" xfId="21070" xr:uid="{81F756E2-7C5C-44E6-9F1B-9F58F4463509}"/>
    <cellStyle name="Comma 2 2 2 3 2 3 4" xfId="2086" xr:uid="{483837D8-D300-4D86-98DA-BC010B003DC1}"/>
    <cellStyle name="Comma 2 2 2 3 2 3 4 2" xfId="16686" xr:uid="{726BE576-EE07-4990-A885-49A0696DA8C6}"/>
    <cellStyle name="Comma 2 2 2 3 2 3 4 2 2" xfId="53194" xr:uid="{69569559-58BD-4964-843A-9C01DEA94DB5}"/>
    <cellStyle name="Comma 2 2 2 3 2 3 4 2 3" xfId="34940" xr:uid="{FA284D65-59B8-43BA-8795-FEA30F0AB237}"/>
    <cellStyle name="Comma 2 2 2 3 2 3 4 3" xfId="13036" xr:uid="{8B0290FB-3FD0-4A36-86B5-1BA74A2313D7}"/>
    <cellStyle name="Comma 2 2 2 3 2 3 4 3 2" xfId="49544" xr:uid="{58FFD102-3516-4A59-941C-F791C2814994}"/>
    <cellStyle name="Comma 2 2 2 3 2 3 4 3 3" xfId="31290" xr:uid="{993888DC-16DA-42ED-8460-05B31EDF29D6}"/>
    <cellStyle name="Comma 2 2 2 3 2 3 4 4" xfId="9386" xr:uid="{C542E6E7-975C-4100-B29F-7A391A77D523}"/>
    <cellStyle name="Comma 2 2 2 3 2 3 4 4 2" xfId="45894" xr:uid="{A7BA1EDA-5D02-4BDD-8C37-C4F117B71AA2}"/>
    <cellStyle name="Comma 2 2 2 3 2 3 4 4 3" xfId="27640" xr:uid="{BDBA5BB1-1766-482A-A08C-CD85EE1D1D30}"/>
    <cellStyle name="Comma 2 2 2 3 2 3 4 5" xfId="5736" xr:uid="{865A7706-F9AB-46FD-943F-53DEFDE91B0A}"/>
    <cellStyle name="Comma 2 2 2 3 2 3 4 5 2" xfId="42244" xr:uid="{E063B301-7F22-4763-9001-C71F89CFD2EE}"/>
    <cellStyle name="Comma 2 2 2 3 2 3 4 5 3" xfId="23990" xr:uid="{F723C63A-3E42-4B36-B083-17D13DB2A107}"/>
    <cellStyle name="Comma 2 2 2 3 2 3 4 6" xfId="38594" xr:uid="{AF30B912-4A2B-44E9-9800-B4D6CE791594}"/>
    <cellStyle name="Comma 2 2 2 3 2 3 4 7" xfId="20340" xr:uid="{56265A1F-6995-445B-98E7-3403A25EAA8F}"/>
    <cellStyle name="Comma 2 2 2 3 2 3 5" xfId="1356" xr:uid="{75951232-03D7-466F-AEC3-9E00A8C79F82}"/>
    <cellStyle name="Comma 2 2 2 3 2 3 5 2" xfId="15956" xr:uid="{E34A473B-0FAC-4EF3-8FEA-2AC433259255}"/>
    <cellStyle name="Comma 2 2 2 3 2 3 5 2 2" xfId="52464" xr:uid="{14518DAF-3054-44D4-8DA0-47CDE81C6ADF}"/>
    <cellStyle name="Comma 2 2 2 3 2 3 5 2 3" xfId="34210" xr:uid="{1D69DDE7-7FCB-4024-AD7F-6FEEEB5B79DA}"/>
    <cellStyle name="Comma 2 2 2 3 2 3 5 3" xfId="12306" xr:uid="{37AA6940-DA93-4304-85EB-9768B0DBB41E}"/>
    <cellStyle name="Comma 2 2 2 3 2 3 5 3 2" xfId="48814" xr:uid="{31CBFC69-27F9-4B84-A2B9-5920097AD6B4}"/>
    <cellStyle name="Comma 2 2 2 3 2 3 5 3 3" xfId="30560" xr:uid="{E546E20C-542A-430D-86F1-5C6FD48192D9}"/>
    <cellStyle name="Comma 2 2 2 3 2 3 5 4" xfId="8656" xr:uid="{BEFF1A4F-AE19-4D0B-8B2A-101A2F2A4374}"/>
    <cellStyle name="Comma 2 2 2 3 2 3 5 4 2" xfId="45164" xr:uid="{99EE148A-8FD0-4EBD-8703-DE5B5E1B2181}"/>
    <cellStyle name="Comma 2 2 2 3 2 3 5 4 3" xfId="26910" xr:uid="{002B5400-7639-4F5D-9849-8315BBEBE89C}"/>
    <cellStyle name="Comma 2 2 2 3 2 3 5 5" xfId="5006" xr:uid="{7A69B9FB-D3D2-48E6-BE7D-0C4B71BD635D}"/>
    <cellStyle name="Comma 2 2 2 3 2 3 5 5 2" xfId="41514" xr:uid="{AFD0E767-D97B-4496-941C-AED63FC7E683}"/>
    <cellStyle name="Comma 2 2 2 3 2 3 5 5 3" xfId="23260" xr:uid="{45D95569-09B7-4F90-8D8A-5063A64A1516}"/>
    <cellStyle name="Comma 2 2 2 3 2 3 5 6" xfId="37864" xr:uid="{6DED05EC-2377-496A-9FF2-A3AA3A4B9E51}"/>
    <cellStyle name="Comma 2 2 2 3 2 3 5 7" xfId="19610" xr:uid="{7675BD69-E86F-45DE-B549-D236DB6B6672}"/>
    <cellStyle name="Comma 2 2 2 3 2 3 6" xfId="15226" xr:uid="{5D28766D-6D29-4C74-A93C-EC4AE48F78DE}"/>
    <cellStyle name="Comma 2 2 2 3 2 3 6 2" xfId="51734" xr:uid="{DFA620BD-9A81-4651-B3F7-6840BECC7760}"/>
    <cellStyle name="Comma 2 2 2 3 2 3 6 3" xfId="33480" xr:uid="{89ED0BA1-2290-4F8E-B37B-256C07C4861B}"/>
    <cellStyle name="Comma 2 2 2 3 2 3 7" xfId="11576" xr:uid="{9B3EB06A-242B-46E3-A11F-E836A50C46F6}"/>
    <cellStyle name="Comma 2 2 2 3 2 3 7 2" xfId="48084" xr:uid="{AF199E2D-7658-4168-A1B6-CDBEB3393D0B}"/>
    <cellStyle name="Comma 2 2 2 3 2 3 7 3" xfId="29830" xr:uid="{601EDE7C-5157-41E5-9A3D-475587B412E0}"/>
    <cellStyle name="Comma 2 2 2 3 2 3 8" xfId="7926" xr:uid="{F019A1AE-6E9D-491D-ADC5-17CDD52BB567}"/>
    <cellStyle name="Comma 2 2 2 3 2 3 8 2" xfId="44434" xr:uid="{A066D6BB-5282-470A-B4A9-F8D3F5EC7853}"/>
    <cellStyle name="Comma 2 2 2 3 2 3 8 3" xfId="26180" xr:uid="{E1197CF3-F9DD-48BB-AB7F-56AE884CCE91}"/>
    <cellStyle name="Comma 2 2 2 3 2 3 9" xfId="4276" xr:uid="{C52395A1-1DE3-4D76-86ED-2C7E38710203}"/>
    <cellStyle name="Comma 2 2 2 3 2 3 9 2" xfId="40784" xr:uid="{7CF61BF6-399C-41DE-9DB3-4B36E2460C33}"/>
    <cellStyle name="Comma 2 2 2 3 2 3 9 3" xfId="22530" xr:uid="{7B72160B-A42C-4EC1-A94A-6835B0539B63}"/>
    <cellStyle name="Comma 2 2 2 3 2 4" xfId="522" xr:uid="{A3466FF8-C10A-46F5-910D-65CECDC0304D}"/>
    <cellStyle name="Comma 2 2 2 3 2 4 10" xfId="37030" xr:uid="{33B800CD-B427-4579-BC3C-D3349C62D75C}"/>
    <cellStyle name="Comma 2 2 2 3 2 4 11" xfId="18776" xr:uid="{380CCC6E-C98B-4C2E-9BAC-EBB2AA925525}"/>
    <cellStyle name="Comma 2 2 2 3 2 4 2" xfId="3442" xr:uid="{3C6E6FDF-4DCF-4FB1-835E-09786A4D439B}"/>
    <cellStyle name="Comma 2 2 2 3 2 4 2 2" xfId="18042" xr:uid="{82BA8C58-3EC2-4505-B42A-BF18CB64D7C3}"/>
    <cellStyle name="Comma 2 2 2 3 2 4 2 2 2" xfId="54550" xr:uid="{5F23305E-F130-4A13-89F6-F8012E66B2C9}"/>
    <cellStyle name="Comma 2 2 2 3 2 4 2 2 3" xfId="36296" xr:uid="{320E997B-FA63-42AA-9D46-A647BB316216}"/>
    <cellStyle name="Comma 2 2 2 3 2 4 2 3" xfId="14392" xr:uid="{4994FB83-85B3-4175-8171-88C8F7C2B923}"/>
    <cellStyle name="Comma 2 2 2 3 2 4 2 3 2" xfId="50900" xr:uid="{8C72E75E-2EA3-4720-B766-0F60A8C3B848}"/>
    <cellStyle name="Comma 2 2 2 3 2 4 2 3 3" xfId="32646" xr:uid="{4664189C-9E9F-470E-8D1F-22BDF56C8A27}"/>
    <cellStyle name="Comma 2 2 2 3 2 4 2 4" xfId="10742" xr:uid="{BCF5BC8F-9D15-4760-8E21-1DC6618788EA}"/>
    <cellStyle name="Comma 2 2 2 3 2 4 2 4 2" xfId="47250" xr:uid="{BAC7A7C0-89C1-4416-A06F-4ABCAEDB0397}"/>
    <cellStyle name="Comma 2 2 2 3 2 4 2 4 3" xfId="28996" xr:uid="{879E0BC5-2DA9-405A-A6DF-1743DE8FF35C}"/>
    <cellStyle name="Comma 2 2 2 3 2 4 2 5" xfId="7092" xr:uid="{2D3C634B-33F1-4875-A3AC-A56CB3A14FFD}"/>
    <cellStyle name="Comma 2 2 2 3 2 4 2 5 2" xfId="43600" xr:uid="{219C23F2-9455-468B-97EA-C0176AB0CF70}"/>
    <cellStyle name="Comma 2 2 2 3 2 4 2 5 3" xfId="25346" xr:uid="{FCA4AF56-71D7-4B93-BA5F-F8D4CC58CD6F}"/>
    <cellStyle name="Comma 2 2 2 3 2 4 2 6" xfId="39950" xr:uid="{695E964E-7B4D-4DE8-9268-BED737C957AD}"/>
    <cellStyle name="Comma 2 2 2 3 2 4 2 7" xfId="21696" xr:uid="{2CBDFCC4-7015-457E-B434-10F82BC62BAE}"/>
    <cellStyle name="Comma 2 2 2 3 2 4 3" xfId="2712" xr:uid="{A4494495-BFD7-4A8D-A1ED-219AEE7F85F3}"/>
    <cellStyle name="Comma 2 2 2 3 2 4 3 2" xfId="17312" xr:uid="{96FBB764-09E1-4988-816F-C0BCFE033DFC}"/>
    <cellStyle name="Comma 2 2 2 3 2 4 3 2 2" xfId="53820" xr:uid="{4EB5AAE9-C942-42C4-9A68-C2EFFCF655D7}"/>
    <cellStyle name="Comma 2 2 2 3 2 4 3 2 3" xfId="35566" xr:uid="{1A2E426D-447D-4B67-82B1-CE54E9E4D55C}"/>
    <cellStyle name="Comma 2 2 2 3 2 4 3 3" xfId="13662" xr:uid="{E81A390D-F30E-4921-9891-3701E1343787}"/>
    <cellStyle name="Comma 2 2 2 3 2 4 3 3 2" xfId="50170" xr:uid="{A50E64BA-0BFF-4275-B333-AE1D14DEDC63}"/>
    <cellStyle name="Comma 2 2 2 3 2 4 3 3 3" xfId="31916" xr:uid="{EC071878-B17E-47A0-8334-106E961B09EF}"/>
    <cellStyle name="Comma 2 2 2 3 2 4 3 4" xfId="10012" xr:uid="{7F0BC331-A5F1-417B-B17D-9CC539BBD54D}"/>
    <cellStyle name="Comma 2 2 2 3 2 4 3 4 2" xfId="46520" xr:uid="{114BC7A0-F9DE-422A-A07F-24217697377B}"/>
    <cellStyle name="Comma 2 2 2 3 2 4 3 4 3" xfId="28266" xr:uid="{39E0DBA5-6DE7-493B-A118-E5109A5D27D9}"/>
    <cellStyle name="Comma 2 2 2 3 2 4 3 5" xfId="6362" xr:uid="{A58F67E0-3408-49F5-8E90-E113A248E504}"/>
    <cellStyle name="Comma 2 2 2 3 2 4 3 5 2" xfId="42870" xr:uid="{1A4F617F-D200-4500-A3A2-E5FE5C9B1D7B}"/>
    <cellStyle name="Comma 2 2 2 3 2 4 3 5 3" xfId="24616" xr:uid="{CD13190A-7F8C-497A-8AF0-C60A23739584}"/>
    <cellStyle name="Comma 2 2 2 3 2 4 3 6" xfId="39220" xr:uid="{5F604D1E-5AED-4E1C-89D9-9EAA7B2448F6}"/>
    <cellStyle name="Comma 2 2 2 3 2 4 3 7" xfId="20966" xr:uid="{76E7161F-53A7-49E2-8D60-2DB110F791D1}"/>
    <cellStyle name="Comma 2 2 2 3 2 4 4" xfId="1982" xr:uid="{95498798-4018-4A41-94AF-E3D943FB052B}"/>
    <cellStyle name="Comma 2 2 2 3 2 4 4 2" xfId="16582" xr:uid="{B7175749-3B7A-4003-878A-2A6F677E1817}"/>
    <cellStyle name="Comma 2 2 2 3 2 4 4 2 2" xfId="53090" xr:uid="{207924CE-0E17-4139-BC43-72C7DABBD981}"/>
    <cellStyle name="Comma 2 2 2 3 2 4 4 2 3" xfId="34836" xr:uid="{67A37062-EBA3-4797-8401-4CFC0C46E489}"/>
    <cellStyle name="Comma 2 2 2 3 2 4 4 3" xfId="12932" xr:uid="{6D527B99-4780-4964-877C-008C501C0E87}"/>
    <cellStyle name="Comma 2 2 2 3 2 4 4 3 2" xfId="49440" xr:uid="{5D0EB4D5-94A8-4B13-A64D-678EFE0B8EDA}"/>
    <cellStyle name="Comma 2 2 2 3 2 4 4 3 3" xfId="31186" xr:uid="{938D6604-53CD-4755-AF0D-4554E98815E4}"/>
    <cellStyle name="Comma 2 2 2 3 2 4 4 4" xfId="9282" xr:uid="{3881796E-04B0-4F62-9BBC-12A13ED58AFB}"/>
    <cellStyle name="Comma 2 2 2 3 2 4 4 4 2" xfId="45790" xr:uid="{B7AE7DA4-9F44-46C5-9747-92E1BACD6310}"/>
    <cellStyle name="Comma 2 2 2 3 2 4 4 4 3" xfId="27536" xr:uid="{99868D10-DDBE-4292-AECD-09BCC5D8FD13}"/>
    <cellStyle name="Comma 2 2 2 3 2 4 4 5" xfId="5632" xr:uid="{F17A83CB-A0B8-477B-903E-04D370FC4932}"/>
    <cellStyle name="Comma 2 2 2 3 2 4 4 5 2" xfId="42140" xr:uid="{B8F007AD-7985-4D4D-A2FA-944EC28B7606}"/>
    <cellStyle name="Comma 2 2 2 3 2 4 4 5 3" xfId="23886" xr:uid="{F701FC16-AFC8-4DC8-BF62-9231D5E271A1}"/>
    <cellStyle name="Comma 2 2 2 3 2 4 4 6" xfId="38490" xr:uid="{6237338B-F0D4-4BDD-9252-A929AC8CFB12}"/>
    <cellStyle name="Comma 2 2 2 3 2 4 4 7" xfId="20236" xr:uid="{7B0F336A-4293-4725-B14B-D673D09AF982}"/>
    <cellStyle name="Comma 2 2 2 3 2 4 5" xfId="1252" xr:uid="{2CFC9B65-487D-4D38-8456-4455C8768354}"/>
    <cellStyle name="Comma 2 2 2 3 2 4 5 2" xfId="15852" xr:uid="{57FFAC3F-2E14-41D6-BF91-8F63FBCC2798}"/>
    <cellStyle name="Comma 2 2 2 3 2 4 5 2 2" xfId="52360" xr:uid="{193E7BBE-8D11-4A2B-8DE4-29AB32DCADA6}"/>
    <cellStyle name="Comma 2 2 2 3 2 4 5 2 3" xfId="34106" xr:uid="{74431A1A-E7BB-4F94-ACFC-722A727FA7BD}"/>
    <cellStyle name="Comma 2 2 2 3 2 4 5 3" xfId="12202" xr:uid="{E301DBF8-0AA9-4606-A2F3-46C76679D46E}"/>
    <cellStyle name="Comma 2 2 2 3 2 4 5 3 2" xfId="48710" xr:uid="{35EAB69E-3E28-46AB-8EC9-4F752165D5A1}"/>
    <cellStyle name="Comma 2 2 2 3 2 4 5 3 3" xfId="30456" xr:uid="{569C93A1-1CF1-4D52-83F4-DB95D990EB64}"/>
    <cellStyle name="Comma 2 2 2 3 2 4 5 4" xfId="8552" xr:uid="{E9E2279D-F8FF-4326-B4C9-D44C29D8A732}"/>
    <cellStyle name="Comma 2 2 2 3 2 4 5 4 2" xfId="45060" xr:uid="{2FAF182C-2A05-44CA-BA82-37D6EC6016C4}"/>
    <cellStyle name="Comma 2 2 2 3 2 4 5 4 3" xfId="26806" xr:uid="{878B3589-881F-43B2-AC32-B44A51102D55}"/>
    <cellStyle name="Comma 2 2 2 3 2 4 5 5" xfId="4902" xr:uid="{CAF24B88-6837-43B7-B531-CD6780436A16}"/>
    <cellStyle name="Comma 2 2 2 3 2 4 5 5 2" xfId="41410" xr:uid="{DBDA3C50-9710-45AA-8172-6C7164714130}"/>
    <cellStyle name="Comma 2 2 2 3 2 4 5 5 3" xfId="23156" xr:uid="{7FEC6154-9492-4E94-AB1B-C31A08583303}"/>
    <cellStyle name="Comma 2 2 2 3 2 4 5 6" xfId="37760" xr:uid="{5725DAD4-3F73-499A-B0DA-527AE7AE8725}"/>
    <cellStyle name="Comma 2 2 2 3 2 4 5 7" xfId="19506" xr:uid="{522D9595-5CBA-4D16-98DD-6706E3CC2520}"/>
    <cellStyle name="Comma 2 2 2 3 2 4 6" xfId="15122" xr:uid="{5053661B-6BAD-4088-9625-4D2606525AC8}"/>
    <cellStyle name="Comma 2 2 2 3 2 4 6 2" xfId="51630" xr:uid="{4BF0AE38-541F-4E19-BC03-C0FE18FB905B}"/>
    <cellStyle name="Comma 2 2 2 3 2 4 6 3" xfId="33376" xr:uid="{F86EC3D0-085B-493A-BC35-2784FE7739D6}"/>
    <cellStyle name="Comma 2 2 2 3 2 4 7" xfId="11472" xr:uid="{08B8DD4A-E830-4ED3-A88E-7A2C1A8B216B}"/>
    <cellStyle name="Comma 2 2 2 3 2 4 7 2" xfId="47980" xr:uid="{0EA7D3B6-1D9D-4C4A-B660-E86ADC9F5AAD}"/>
    <cellStyle name="Comma 2 2 2 3 2 4 7 3" xfId="29726" xr:uid="{AA3D18AE-C761-4FA6-B660-AA927D07253C}"/>
    <cellStyle name="Comma 2 2 2 3 2 4 8" xfId="7822" xr:uid="{5CF08BFA-F0CB-4805-A961-02C0C24964A2}"/>
    <cellStyle name="Comma 2 2 2 3 2 4 8 2" xfId="44330" xr:uid="{832C8165-249D-4D46-8F61-4E07C78CF2EF}"/>
    <cellStyle name="Comma 2 2 2 3 2 4 8 3" xfId="26076" xr:uid="{789435BB-E1A6-4BE6-9C77-234429A9810F}"/>
    <cellStyle name="Comma 2 2 2 3 2 4 9" xfId="4172" xr:uid="{B33CA439-AB89-4979-AC7A-D607B7C0088D}"/>
    <cellStyle name="Comma 2 2 2 3 2 4 9 2" xfId="40680" xr:uid="{30CCEE80-E323-4C7E-AEDD-89FAC6EA27B8}"/>
    <cellStyle name="Comma 2 2 2 3 2 4 9 3" xfId="22426" xr:uid="{89792D87-8725-4597-9238-DB39C5E96539}"/>
    <cellStyle name="Comma 2 2 2 3 2 5" xfId="418" xr:uid="{641BF2F0-EAAF-442A-BE4D-34CC354C895B}"/>
    <cellStyle name="Comma 2 2 2 3 2 5 10" xfId="36926" xr:uid="{6E5A382C-7A0E-42E8-BFC4-F69114DD7190}"/>
    <cellStyle name="Comma 2 2 2 3 2 5 11" xfId="18672" xr:uid="{826A4BD6-0694-484A-8B4C-CAA7137CFE0F}"/>
    <cellStyle name="Comma 2 2 2 3 2 5 2" xfId="3338" xr:uid="{AC4A2ADA-8B9B-4AF5-8729-6990337A3102}"/>
    <cellStyle name="Comma 2 2 2 3 2 5 2 2" xfId="17938" xr:uid="{1C0EB016-7005-47C9-AFB4-DD29DB26AAD8}"/>
    <cellStyle name="Comma 2 2 2 3 2 5 2 2 2" xfId="54446" xr:uid="{0699C434-F610-47B0-9EAB-B76CD180071B}"/>
    <cellStyle name="Comma 2 2 2 3 2 5 2 2 3" xfId="36192" xr:uid="{2EE5EFB8-F99B-411F-9739-AD42AFFE7EEB}"/>
    <cellStyle name="Comma 2 2 2 3 2 5 2 3" xfId="14288" xr:uid="{E642BCB6-02B2-4244-B4EA-DAF779FDD3D6}"/>
    <cellStyle name="Comma 2 2 2 3 2 5 2 3 2" xfId="50796" xr:uid="{C2CB6C89-3538-40C2-A2A0-43A5C35271D5}"/>
    <cellStyle name="Comma 2 2 2 3 2 5 2 3 3" xfId="32542" xr:uid="{3D06F604-0FA6-4DE5-A8DC-FA933B45A8AE}"/>
    <cellStyle name="Comma 2 2 2 3 2 5 2 4" xfId="10638" xr:uid="{437DA166-D636-4126-8DEB-160FF88D4DA8}"/>
    <cellStyle name="Comma 2 2 2 3 2 5 2 4 2" xfId="47146" xr:uid="{B0B60680-EE68-491D-B62D-23A370E19616}"/>
    <cellStyle name="Comma 2 2 2 3 2 5 2 4 3" xfId="28892" xr:uid="{AD332C43-2409-4CB6-A434-B8285FAFF70F}"/>
    <cellStyle name="Comma 2 2 2 3 2 5 2 5" xfId="6988" xr:uid="{58219E79-3E8D-4DC5-8F2D-3D71E5B95019}"/>
    <cellStyle name="Comma 2 2 2 3 2 5 2 5 2" xfId="43496" xr:uid="{1D70A782-1FD1-4ED3-9C34-3DE836CF5C18}"/>
    <cellStyle name="Comma 2 2 2 3 2 5 2 5 3" xfId="25242" xr:uid="{D814A790-ABDC-4E59-B390-0F2E73328A3B}"/>
    <cellStyle name="Comma 2 2 2 3 2 5 2 6" xfId="39846" xr:uid="{FC12EB7E-5023-4194-90A0-E7B8BCD38B7F}"/>
    <cellStyle name="Comma 2 2 2 3 2 5 2 7" xfId="21592" xr:uid="{C3DA8D6D-4984-452F-BE58-662456836ACE}"/>
    <cellStyle name="Comma 2 2 2 3 2 5 3" xfId="2608" xr:uid="{DA92EE7F-AF0B-47DB-BC36-CEC7C5DE7048}"/>
    <cellStyle name="Comma 2 2 2 3 2 5 3 2" xfId="17208" xr:uid="{63BE25B7-A8BE-47DF-9CEC-C96486BDAFAD}"/>
    <cellStyle name="Comma 2 2 2 3 2 5 3 2 2" xfId="53716" xr:uid="{89A3EA0F-8C32-4F77-AD8E-3F6CB910401F}"/>
    <cellStyle name="Comma 2 2 2 3 2 5 3 2 3" xfId="35462" xr:uid="{743F1B41-53A5-4022-B015-341C69344965}"/>
    <cellStyle name="Comma 2 2 2 3 2 5 3 3" xfId="13558" xr:uid="{5EF3A76C-50D2-4B5C-A88D-8D1E068DD3CF}"/>
    <cellStyle name="Comma 2 2 2 3 2 5 3 3 2" xfId="50066" xr:uid="{38232FDA-9225-4CBA-811C-8367D648C0F8}"/>
    <cellStyle name="Comma 2 2 2 3 2 5 3 3 3" xfId="31812" xr:uid="{A8866B9E-1F2E-497D-A279-1B5A5F1D4731}"/>
    <cellStyle name="Comma 2 2 2 3 2 5 3 4" xfId="9908" xr:uid="{57A63DF6-10EB-4FAC-A8A1-E122D2FB1B24}"/>
    <cellStyle name="Comma 2 2 2 3 2 5 3 4 2" xfId="46416" xr:uid="{DD3A58DA-A9DE-4E0B-B84F-36327B03258D}"/>
    <cellStyle name="Comma 2 2 2 3 2 5 3 4 3" xfId="28162" xr:uid="{4945828E-6368-4867-81E5-D417FB0E6ACC}"/>
    <cellStyle name="Comma 2 2 2 3 2 5 3 5" xfId="6258" xr:uid="{D6DC5032-B63A-4D92-A70C-1CE4BD6CD813}"/>
    <cellStyle name="Comma 2 2 2 3 2 5 3 5 2" xfId="42766" xr:uid="{42948C41-AE03-410D-A1CB-F24509982929}"/>
    <cellStyle name="Comma 2 2 2 3 2 5 3 5 3" xfId="24512" xr:uid="{BEF7EE50-E3C1-49DA-A495-9B1A81419BCA}"/>
    <cellStyle name="Comma 2 2 2 3 2 5 3 6" xfId="39116" xr:uid="{8B496CCC-DDDE-4589-91DC-6DFF63C110EB}"/>
    <cellStyle name="Comma 2 2 2 3 2 5 3 7" xfId="20862" xr:uid="{8E957DE8-BB51-4AC6-9B58-D01A4395F3A3}"/>
    <cellStyle name="Comma 2 2 2 3 2 5 4" xfId="1878" xr:uid="{91E31F62-BCA0-48FD-A497-969AE777B7F7}"/>
    <cellStyle name="Comma 2 2 2 3 2 5 4 2" xfId="16478" xr:uid="{4E91CCBA-1E7A-4311-B3C5-1D05E85290FD}"/>
    <cellStyle name="Comma 2 2 2 3 2 5 4 2 2" xfId="52986" xr:uid="{09FFE34C-90BC-4B05-B5DF-A405D251FAB4}"/>
    <cellStyle name="Comma 2 2 2 3 2 5 4 2 3" xfId="34732" xr:uid="{7992EC40-1ABC-424A-97BF-0F7505D517DF}"/>
    <cellStyle name="Comma 2 2 2 3 2 5 4 3" xfId="12828" xr:uid="{E71403E7-C6E0-41D4-BD60-0B781CA50829}"/>
    <cellStyle name="Comma 2 2 2 3 2 5 4 3 2" xfId="49336" xr:uid="{F8C34F30-D776-483E-AC27-66B65E182BA2}"/>
    <cellStyle name="Comma 2 2 2 3 2 5 4 3 3" xfId="31082" xr:uid="{F5B2545B-DD3F-4F02-9D6D-D509FBCDB561}"/>
    <cellStyle name="Comma 2 2 2 3 2 5 4 4" xfId="9178" xr:uid="{3E7300D6-5F59-48BB-92CE-F303F58D4E63}"/>
    <cellStyle name="Comma 2 2 2 3 2 5 4 4 2" xfId="45686" xr:uid="{7699570A-BF95-4B87-9FF9-DD77208FBB2E}"/>
    <cellStyle name="Comma 2 2 2 3 2 5 4 4 3" xfId="27432" xr:uid="{ACE0FC8B-6805-4FFF-ACF2-CB9C953A7191}"/>
    <cellStyle name="Comma 2 2 2 3 2 5 4 5" xfId="5528" xr:uid="{9F4131F2-1C58-4D34-BEB7-7A8EF8ABCC0A}"/>
    <cellStyle name="Comma 2 2 2 3 2 5 4 5 2" xfId="42036" xr:uid="{C8948645-E4D1-44F4-8E58-E738CF7DD01C}"/>
    <cellStyle name="Comma 2 2 2 3 2 5 4 5 3" xfId="23782" xr:uid="{9EE9F919-0AAE-43B7-92F3-43E9BB59D88C}"/>
    <cellStyle name="Comma 2 2 2 3 2 5 4 6" xfId="38386" xr:uid="{47371C65-91A4-4FBA-B4C6-0B038F850C72}"/>
    <cellStyle name="Comma 2 2 2 3 2 5 4 7" xfId="20132" xr:uid="{714E5D4D-3A82-4A0D-8CC3-A5B2BF26847A}"/>
    <cellStyle name="Comma 2 2 2 3 2 5 5" xfId="1148" xr:uid="{BEA2E9D6-F87F-4CED-9A9C-B106E8DEC45A}"/>
    <cellStyle name="Comma 2 2 2 3 2 5 5 2" xfId="15748" xr:uid="{0319D208-41A0-4051-BA69-E2974EFA168E}"/>
    <cellStyle name="Comma 2 2 2 3 2 5 5 2 2" xfId="52256" xr:uid="{71B421F4-536B-4812-B8CB-A30A5F7ED61E}"/>
    <cellStyle name="Comma 2 2 2 3 2 5 5 2 3" xfId="34002" xr:uid="{3A0F1217-F841-43B3-8D71-E1BB1E027146}"/>
    <cellStyle name="Comma 2 2 2 3 2 5 5 3" xfId="12098" xr:uid="{F47EDCB7-181B-48D9-B622-58655A3F9CF1}"/>
    <cellStyle name="Comma 2 2 2 3 2 5 5 3 2" xfId="48606" xr:uid="{451863A1-562B-450E-85F3-0A1E7E663FFD}"/>
    <cellStyle name="Comma 2 2 2 3 2 5 5 3 3" xfId="30352" xr:uid="{318A45D1-E151-4EF8-82F4-773FC8F8EFAA}"/>
    <cellStyle name="Comma 2 2 2 3 2 5 5 4" xfId="8448" xr:uid="{4256CAC7-A97D-421D-B0DE-0C3F70151E31}"/>
    <cellStyle name="Comma 2 2 2 3 2 5 5 4 2" xfId="44956" xr:uid="{FD536968-FF1F-4BE8-8AE9-4BFC76D503BD}"/>
    <cellStyle name="Comma 2 2 2 3 2 5 5 4 3" xfId="26702" xr:uid="{B12E0F89-4D45-42DE-B9A5-BA599D8994C7}"/>
    <cellStyle name="Comma 2 2 2 3 2 5 5 5" xfId="4798" xr:uid="{30E641B3-CF90-4FC2-BB5A-0D4003F4E8AD}"/>
    <cellStyle name="Comma 2 2 2 3 2 5 5 5 2" xfId="41306" xr:uid="{570AB831-4E4A-4566-84E0-701221A36705}"/>
    <cellStyle name="Comma 2 2 2 3 2 5 5 5 3" xfId="23052" xr:uid="{18C73E59-8EDF-452F-A9F3-2D05BE77AD86}"/>
    <cellStyle name="Comma 2 2 2 3 2 5 5 6" xfId="37656" xr:uid="{FA9A2BA9-F35B-455D-A617-EE99A47B88F9}"/>
    <cellStyle name="Comma 2 2 2 3 2 5 5 7" xfId="19402" xr:uid="{D6D827A1-4639-490E-8834-56EF3F4F3ECA}"/>
    <cellStyle name="Comma 2 2 2 3 2 5 6" xfId="15018" xr:uid="{C678D15D-BA46-4141-B5C0-37E77EF3F673}"/>
    <cellStyle name="Comma 2 2 2 3 2 5 6 2" xfId="51526" xr:uid="{BE11AC73-4D7D-4F5B-BEF9-1D51A3607083}"/>
    <cellStyle name="Comma 2 2 2 3 2 5 6 3" xfId="33272" xr:uid="{56B872C0-76C9-4CD8-B61D-73BF17A3AC5B}"/>
    <cellStyle name="Comma 2 2 2 3 2 5 7" xfId="11368" xr:uid="{774B0CA1-6FFB-43AF-975F-21B4ADEFDB67}"/>
    <cellStyle name="Comma 2 2 2 3 2 5 7 2" xfId="47876" xr:uid="{D3346585-23BB-43C5-AEFC-2C5D8810D47D}"/>
    <cellStyle name="Comma 2 2 2 3 2 5 7 3" xfId="29622" xr:uid="{5CCEB98F-BE9C-446E-888A-AF14D4FE8E42}"/>
    <cellStyle name="Comma 2 2 2 3 2 5 8" xfId="7718" xr:uid="{C3CEB62D-B804-42B8-B609-4C0504191CBB}"/>
    <cellStyle name="Comma 2 2 2 3 2 5 8 2" xfId="44226" xr:uid="{A2B01C36-2996-42F0-AD33-4A1C08A4BF8D}"/>
    <cellStyle name="Comma 2 2 2 3 2 5 8 3" xfId="25972" xr:uid="{8E7C63EA-C97C-4FF1-802D-6CA86EE06069}"/>
    <cellStyle name="Comma 2 2 2 3 2 5 9" xfId="4068" xr:uid="{44BFC61C-F151-4E89-8424-0A51E6B04F69}"/>
    <cellStyle name="Comma 2 2 2 3 2 5 9 2" xfId="40576" xr:uid="{104BD492-BF38-453C-97C0-325A0750898A}"/>
    <cellStyle name="Comma 2 2 2 3 2 5 9 3" xfId="22322" xr:uid="{B2949C27-90E4-48E0-BAAD-44DA239F38BD}"/>
    <cellStyle name="Comma 2 2 2 3 2 6" xfId="314" xr:uid="{53484DBA-EEB1-417A-9F72-EDE372F5A546}"/>
    <cellStyle name="Comma 2 2 2 3 2 6 10" xfId="36822" xr:uid="{104E210F-0CD4-4FCC-A232-EC28E3AE9BAD}"/>
    <cellStyle name="Comma 2 2 2 3 2 6 11" xfId="18568" xr:uid="{F32C5478-C11F-472C-8E03-E6C6E9244D91}"/>
    <cellStyle name="Comma 2 2 2 3 2 6 2" xfId="3234" xr:uid="{0C806EB6-062B-446E-88F9-8FDF10FA876B}"/>
    <cellStyle name="Comma 2 2 2 3 2 6 2 2" xfId="17834" xr:uid="{B618870E-79CD-43A4-A9F1-9AA9236F0186}"/>
    <cellStyle name="Comma 2 2 2 3 2 6 2 2 2" xfId="54342" xr:uid="{078E88A1-3AF6-4F0D-B3BD-98AF193CDF60}"/>
    <cellStyle name="Comma 2 2 2 3 2 6 2 2 3" xfId="36088" xr:uid="{E9C47814-7508-4880-A29E-F86AA3CF526C}"/>
    <cellStyle name="Comma 2 2 2 3 2 6 2 3" xfId="14184" xr:uid="{980AD06E-DCF1-4965-8AEB-CF6026BE8813}"/>
    <cellStyle name="Comma 2 2 2 3 2 6 2 3 2" xfId="50692" xr:uid="{28E02958-BBF0-48F4-A19C-43E558834D33}"/>
    <cellStyle name="Comma 2 2 2 3 2 6 2 3 3" xfId="32438" xr:uid="{4158ADC4-FD98-4E10-A575-4C8B8557A8AD}"/>
    <cellStyle name="Comma 2 2 2 3 2 6 2 4" xfId="10534" xr:uid="{9FACD702-7F07-41BC-AE11-3CB789C31D7D}"/>
    <cellStyle name="Comma 2 2 2 3 2 6 2 4 2" xfId="47042" xr:uid="{1AD6666E-FDAE-40BC-B62E-157B26DEBB0C}"/>
    <cellStyle name="Comma 2 2 2 3 2 6 2 4 3" xfId="28788" xr:uid="{00B2E337-6AC5-4FF8-8DBA-8B76966058C2}"/>
    <cellStyle name="Comma 2 2 2 3 2 6 2 5" xfId="6884" xr:uid="{B27BFEB4-650B-48A7-999D-99F1B020E7F7}"/>
    <cellStyle name="Comma 2 2 2 3 2 6 2 5 2" xfId="43392" xr:uid="{D3B53DC3-3F03-4057-864C-8A962D91B197}"/>
    <cellStyle name="Comma 2 2 2 3 2 6 2 5 3" xfId="25138" xr:uid="{D38B86B8-50D2-49D9-8EB2-706DB3A8632B}"/>
    <cellStyle name="Comma 2 2 2 3 2 6 2 6" xfId="39742" xr:uid="{9A54D4D9-94C8-41EB-A14B-669168D10A3F}"/>
    <cellStyle name="Comma 2 2 2 3 2 6 2 7" xfId="21488" xr:uid="{89AB48CF-1F7F-44C0-A8C1-7C577EE3C056}"/>
    <cellStyle name="Comma 2 2 2 3 2 6 3" xfId="2504" xr:uid="{57104383-8373-4ED3-89C2-BE2B6B8A09E4}"/>
    <cellStyle name="Comma 2 2 2 3 2 6 3 2" xfId="17104" xr:uid="{5A12D7AF-5882-4FA5-AC6A-561BBA13777E}"/>
    <cellStyle name="Comma 2 2 2 3 2 6 3 2 2" xfId="53612" xr:uid="{EEA32750-396C-4ABA-84C6-1D20ACACCF32}"/>
    <cellStyle name="Comma 2 2 2 3 2 6 3 2 3" xfId="35358" xr:uid="{4E6FDAF4-76B7-4F4A-B2AA-2FD5F69AB7C6}"/>
    <cellStyle name="Comma 2 2 2 3 2 6 3 3" xfId="13454" xr:uid="{165BE32E-5FEF-40FE-A9E2-E68E30EF651D}"/>
    <cellStyle name="Comma 2 2 2 3 2 6 3 3 2" xfId="49962" xr:uid="{B07A5087-4240-40A3-9804-257515EA17FC}"/>
    <cellStyle name="Comma 2 2 2 3 2 6 3 3 3" xfId="31708" xr:uid="{D17F3532-0286-4C4E-A800-91D7C9D089B1}"/>
    <cellStyle name="Comma 2 2 2 3 2 6 3 4" xfId="9804" xr:uid="{187DD0AA-8966-462A-BF48-F80DAE1E061D}"/>
    <cellStyle name="Comma 2 2 2 3 2 6 3 4 2" xfId="46312" xr:uid="{12B2352B-8991-4588-8AE6-EFF9B94A86F8}"/>
    <cellStyle name="Comma 2 2 2 3 2 6 3 4 3" xfId="28058" xr:uid="{C308E7D6-0C7D-47FD-BC02-F1FDA65A76F8}"/>
    <cellStyle name="Comma 2 2 2 3 2 6 3 5" xfId="6154" xr:uid="{F23480AE-8647-438F-8A79-EFA82337CFFB}"/>
    <cellStyle name="Comma 2 2 2 3 2 6 3 5 2" xfId="42662" xr:uid="{B95E2DCB-1D3A-427B-B75C-E655910280E6}"/>
    <cellStyle name="Comma 2 2 2 3 2 6 3 5 3" xfId="24408" xr:uid="{78EE2E45-CDF8-4C0C-9220-3581A26A0285}"/>
    <cellStyle name="Comma 2 2 2 3 2 6 3 6" xfId="39012" xr:uid="{5D1349D1-DFFE-4C46-9ACE-3327B2BA6008}"/>
    <cellStyle name="Comma 2 2 2 3 2 6 3 7" xfId="20758" xr:uid="{1A4B9E90-5110-4F52-AEF9-99AC5954A76D}"/>
    <cellStyle name="Comma 2 2 2 3 2 6 4" xfId="1774" xr:uid="{0885468E-2100-4F8F-BCFB-5179AD4C204B}"/>
    <cellStyle name="Comma 2 2 2 3 2 6 4 2" xfId="16374" xr:uid="{92228843-3BD6-4355-881A-DC7B18EC785C}"/>
    <cellStyle name="Comma 2 2 2 3 2 6 4 2 2" xfId="52882" xr:uid="{0B21C460-61F8-422E-914E-65C94D4765DB}"/>
    <cellStyle name="Comma 2 2 2 3 2 6 4 2 3" xfId="34628" xr:uid="{698C1AB8-768E-4CE5-BA13-8BDBA8B16BE2}"/>
    <cellStyle name="Comma 2 2 2 3 2 6 4 3" xfId="12724" xr:uid="{683931BF-A268-473F-826F-9AEF9765689B}"/>
    <cellStyle name="Comma 2 2 2 3 2 6 4 3 2" xfId="49232" xr:uid="{8D7C953E-EB28-43A4-9B0D-E632233D54D4}"/>
    <cellStyle name="Comma 2 2 2 3 2 6 4 3 3" xfId="30978" xr:uid="{9B82F758-2EDF-4494-A207-3D1BCF293DF0}"/>
    <cellStyle name="Comma 2 2 2 3 2 6 4 4" xfId="9074" xr:uid="{3BC588BF-6032-4131-9D0F-41C9CF8A1ABE}"/>
    <cellStyle name="Comma 2 2 2 3 2 6 4 4 2" xfId="45582" xr:uid="{5DA80719-33C3-40A6-A64B-8B4ED681246E}"/>
    <cellStyle name="Comma 2 2 2 3 2 6 4 4 3" xfId="27328" xr:uid="{47BB8E97-1C12-48DD-A017-F13B2CE7BE03}"/>
    <cellStyle name="Comma 2 2 2 3 2 6 4 5" xfId="5424" xr:uid="{CC57BFE9-BFC9-4F87-85A1-DEE39354F741}"/>
    <cellStyle name="Comma 2 2 2 3 2 6 4 5 2" xfId="41932" xr:uid="{243D3C4B-0B28-4A22-B0CE-774D05DE30B0}"/>
    <cellStyle name="Comma 2 2 2 3 2 6 4 5 3" xfId="23678" xr:uid="{00E0F151-81AD-4FC6-8914-EF686F88807F}"/>
    <cellStyle name="Comma 2 2 2 3 2 6 4 6" xfId="38282" xr:uid="{A66C4CC4-3795-4517-8DA5-78BC751C9801}"/>
    <cellStyle name="Comma 2 2 2 3 2 6 4 7" xfId="20028" xr:uid="{DB3DD317-D26E-40DB-B212-E94B79DE33BE}"/>
    <cellStyle name="Comma 2 2 2 3 2 6 5" xfId="1044" xr:uid="{4CE8D4FE-45FC-412E-9B8B-769ED3107177}"/>
    <cellStyle name="Comma 2 2 2 3 2 6 5 2" xfId="15644" xr:uid="{8F41317E-2130-471A-92E8-328A9C3147E1}"/>
    <cellStyle name="Comma 2 2 2 3 2 6 5 2 2" xfId="52152" xr:uid="{C946A15F-B938-44DD-BE7E-4DACEC7CD821}"/>
    <cellStyle name="Comma 2 2 2 3 2 6 5 2 3" xfId="33898" xr:uid="{8225AD89-740D-4A25-AECE-130DD3B0108A}"/>
    <cellStyle name="Comma 2 2 2 3 2 6 5 3" xfId="11994" xr:uid="{72455DE2-421E-46C3-84C6-F60B9A572510}"/>
    <cellStyle name="Comma 2 2 2 3 2 6 5 3 2" xfId="48502" xr:uid="{CB1290BF-F4A0-40A7-BF34-A38F463F42BC}"/>
    <cellStyle name="Comma 2 2 2 3 2 6 5 3 3" xfId="30248" xr:uid="{90AD2504-FC6F-46DF-A3ED-DCEA1737EC78}"/>
    <cellStyle name="Comma 2 2 2 3 2 6 5 4" xfId="8344" xr:uid="{A68E34DF-1616-4797-A5E7-95BEA69C338A}"/>
    <cellStyle name="Comma 2 2 2 3 2 6 5 4 2" xfId="44852" xr:uid="{8B80D05A-D0C7-47C3-9771-CB14B78DF203}"/>
    <cellStyle name="Comma 2 2 2 3 2 6 5 4 3" xfId="26598" xr:uid="{A08717F3-26C2-45F6-A588-67DE75BE89E7}"/>
    <cellStyle name="Comma 2 2 2 3 2 6 5 5" xfId="4694" xr:uid="{F7CF3E11-A054-41A8-9E45-70979BFB1391}"/>
    <cellStyle name="Comma 2 2 2 3 2 6 5 5 2" xfId="41202" xr:uid="{A102D4AA-7699-41D9-B9C4-5CC096DA14D4}"/>
    <cellStyle name="Comma 2 2 2 3 2 6 5 5 3" xfId="22948" xr:uid="{DB999F4B-B88F-432A-92A8-0ECD242553DB}"/>
    <cellStyle name="Comma 2 2 2 3 2 6 5 6" xfId="37552" xr:uid="{07534F26-08FC-41E6-BE95-25E711033E73}"/>
    <cellStyle name="Comma 2 2 2 3 2 6 5 7" xfId="19298" xr:uid="{8CB56603-8C5D-4644-9261-181C6D2B8B0A}"/>
    <cellStyle name="Comma 2 2 2 3 2 6 6" xfId="14914" xr:uid="{B374A40C-3AC3-4872-B192-7EF4B55867F0}"/>
    <cellStyle name="Comma 2 2 2 3 2 6 6 2" xfId="51422" xr:uid="{451CA186-1574-42C9-8910-D5EE9CB0D6D3}"/>
    <cellStyle name="Comma 2 2 2 3 2 6 6 3" xfId="33168" xr:uid="{22A9904E-2150-4453-A9C5-C6858DE400BB}"/>
    <cellStyle name="Comma 2 2 2 3 2 6 7" xfId="11264" xr:uid="{64133EF9-A5D7-45BE-9FDA-6AC1DF6477F8}"/>
    <cellStyle name="Comma 2 2 2 3 2 6 7 2" xfId="47772" xr:uid="{E2F8DE92-2717-45DE-AB4F-6673379F4AE8}"/>
    <cellStyle name="Comma 2 2 2 3 2 6 7 3" xfId="29518" xr:uid="{2E830C40-FAE4-4E4B-A69C-D2E6B36C2DF5}"/>
    <cellStyle name="Comma 2 2 2 3 2 6 8" xfId="7614" xr:uid="{3575A21A-F2AD-440C-A336-081D000338EF}"/>
    <cellStyle name="Comma 2 2 2 3 2 6 8 2" xfId="44122" xr:uid="{DCC653ED-B600-4564-98E6-9CB61D0C69D4}"/>
    <cellStyle name="Comma 2 2 2 3 2 6 8 3" xfId="25868" xr:uid="{0DC8E839-3E4F-46E4-B8E5-7F6C88C0D076}"/>
    <cellStyle name="Comma 2 2 2 3 2 6 9" xfId="3964" xr:uid="{187ADE03-763F-4794-8ACC-BA7939209D86}"/>
    <cellStyle name="Comma 2 2 2 3 2 6 9 2" xfId="40472" xr:uid="{38BEE963-DBD2-4418-B9E2-A1417A98AE5E}"/>
    <cellStyle name="Comma 2 2 2 3 2 6 9 3" xfId="22218" xr:uid="{78557596-0338-401E-A773-43B09476E2C3}"/>
    <cellStyle name="Comma 2 2 2 3 2 7" xfId="210" xr:uid="{340D720C-2EA2-4031-AC87-33CE14E2F075}"/>
    <cellStyle name="Comma 2 2 2 3 2 7 10" xfId="36718" xr:uid="{579EEC23-8151-4289-823C-DC18798D85CA}"/>
    <cellStyle name="Comma 2 2 2 3 2 7 11" xfId="18464" xr:uid="{BB844C9B-2F5B-41D9-B8DD-2C6964F2A7ED}"/>
    <cellStyle name="Comma 2 2 2 3 2 7 2" xfId="3130" xr:uid="{2BAF5ECA-D95C-4C14-B147-3FDE36E1C0F9}"/>
    <cellStyle name="Comma 2 2 2 3 2 7 2 2" xfId="17730" xr:uid="{E6AAFB5D-EE5D-4C58-AE96-7D1D64734B26}"/>
    <cellStyle name="Comma 2 2 2 3 2 7 2 2 2" xfId="54238" xr:uid="{6417D95A-0B4C-44CB-AECE-A4C8BFAE0D2D}"/>
    <cellStyle name="Comma 2 2 2 3 2 7 2 2 3" xfId="35984" xr:uid="{E2BD7A66-6E6B-46D0-9F68-64E2F12946ED}"/>
    <cellStyle name="Comma 2 2 2 3 2 7 2 3" xfId="14080" xr:uid="{8E4E79F4-9F55-431F-ACC4-044C4FFA2AD9}"/>
    <cellStyle name="Comma 2 2 2 3 2 7 2 3 2" xfId="50588" xr:uid="{D2C005FF-8A9E-47DC-A002-92ADD7ECA73E}"/>
    <cellStyle name="Comma 2 2 2 3 2 7 2 3 3" xfId="32334" xr:uid="{043E9C23-74F7-4CE5-900E-326ABED859BE}"/>
    <cellStyle name="Comma 2 2 2 3 2 7 2 4" xfId="10430" xr:uid="{6A9E1E3B-4F9A-4093-828B-9683F4BD81CF}"/>
    <cellStyle name="Comma 2 2 2 3 2 7 2 4 2" xfId="46938" xr:uid="{520CFCF7-A767-44C9-904E-9CF2A8A0AE95}"/>
    <cellStyle name="Comma 2 2 2 3 2 7 2 4 3" xfId="28684" xr:uid="{A5A4ED6E-C160-4500-BF39-2178E4365E00}"/>
    <cellStyle name="Comma 2 2 2 3 2 7 2 5" xfId="6780" xr:uid="{86211A59-AF4E-46C4-B115-E33F5917E23F}"/>
    <cellStyle name="Comma 2 2 2 3 2 7 2 5 2" xfId="43288" xr:uid="{46769F60-37CF-462B-B6C8-8EEBAD6A5AF8}"/>
    <cellStyle name="Comma 2 2 2 3 2 7 2 5 3" xfId="25034" xr:uid="{379EF56B-BC35-483B-9CE7-6287977A0769}"/>
    <cellStyle name="Comma 2 2 2 3 2 7 2 6" xfId="39638" xr:uid="{AAE3D446-5B40-4EC0-8D99-2B0CF9029C88}"/>
    <cellStyle name="Comma 2 2 2 3 2 7 2 7" xfId="21384" xr:uid="{F1836F07-2467-4A73-8122-8FE0D07A96AD}"/>
    <cellStyle name="Comma 2 2 2 3 2 7 3" xfId="2400" xr:uid="{DCFF8635-6456-412C-BE92-7AB228046295}"/>
    <cellStyle name="Comma 2 2 2 3 2 7 3 2" xfId="17000" xr:uid="{8B44D917-6BD9-4652-BAB9-86F0D9790F5C}"/>
    <cellStyle name="Comma 2 2 2 3 2 7 3 2 2" xfId="53508" xr:uid="{FBFA54F5-7145-47FD-AD6A-95FD2C11C60B}"/>
    <cellStyle name="Comma 2 2 2 3 2 7 3 2 3" xfId="35254" xr:uid="{E4E1759D-63FA-45B8-9B28-28B6A62E961F}"/>
    <cellStyle name="Comma 2 2 2 3 2 7 3 3" xfId="13350" xr:uid="{28D5CA36-D360-4DBE-888C-60B0BD5F6083}"/>
    <cellStyle name="Comma 2 2 2 3 2 7 3 3 2" xfId="49858" xr:uid="{3CCF834E-4BFE-4ACC-B1B6-9BE865AA731D}"/>
    <cellStyle name="Comma 2 2 2 3 2 7 3 3 3" xfId="31604" xr:uid="{5BDDF105-49D5-46D2-95BB-132793F98540}"/>
    <cellStyle name="Comma 2 2 2 3 2 7 3 4" xfId="9700" xr:uid="{DF4BD587-705D-46BE-A459-BF3969050CA6}"/>
    <cellStyle name="Comma 2 2 2 3 2 7 3 4 2" xfId="46208" xr:uid="{8535DFA3-3E81-44E2-A8B2-06D8E9FCFCC0}"/>
    <cellStyle name="Comma 2 2 2 3 2 7 3 4 3" xfId="27954" xr:uid="{A92D1B83-33B6-462A-B2F6-F378DCC428A4}"/>
    <cellStyle name="Comma 2 2 2 3 2 7 3 5" xfId="6050" xr:uid="{89C1D1A0-1748-47A7-98EF-7285106BC39A}"/>
    <cellStyle name="Comma 2 2 2 3 2 7 3 5 2" xfId="42558" xr:uid="{D7959611-6E8C-4487-A439-E33AABA265F7}"/>
    <cellStyle name="Comma 2 2 2 3 2 7 3 5 3" xfId="24304" xr:uid="{5DF7B2ED-A30B-4F95-B845-3A68D059D1F3}"/>
    <cellStyle name="Comma 2 2 2 3 2 7 3 6" xfId="38908" xr:uid="{F9F534C1-8478-4832-8088-A9B1CA43F48F}"/>
    <cellStyle name="Comma 2 2 2 3 2 7 3 7" xfId="20654" xr:uid="{0BCD0C9A-480B-4BD3-BDF0-D0702BBF74EB}"/>
    <cellStyle name="Comma 2 2 2 3 2 7 4" xfId="1670" xr:uid="{E7700F94-20BA-416D-9141-DD8B3E2BFCB0}"/>
    <cellStyle name="Comma 2 2 2 3 2 7 4 2" xfId="16270" xr:uid="{31145151-2AF0-4D23-BCE8-324260D9887A}"/>
    <cellStyle name="Comma 2 2 2 3 2 7 4 2 2" xfId="52778" xr:uid="{EBFBD347-CC18-42CE-935D-EC9472A4B21E}"/>
    <cellStyle name="Comma 2 2 2 3 2 7 4 2 3" xfId="34524" xr:uid="{3BE934D3-A1FA-4485-B5FD-234E7B3DF34F}"/>
    <cellStyle name="Comma 2 2 2 3 2 7 4 3" xfId="12620" xr:uid="{3051EB68-8F0D-4834-8BFC-FF22A8E7205F}"/>
    <cellStyle name="Comma 2 2 2 3 2 7 4 3 2" xfId="49128" xr:uid="{2A305C0E-A86F-443C-A711-063649378903}"/>
    <cellStyle name="Comma 2 2 2 3 2 7 4 3 3" xfId="30874" xr:uid="{8039F875-1E57-4B44-A3BD-E13DE63BC2EB}"/>
    <cellStyle name="Comma 2 2 2 3 2 7 4 4" xfId="8970" xr:uid="{B49DE035-0605-4E34-BAC7-293E2E94405B}"/>
    <cellStyle name="Comma 2 2 2 3 2 7 4 4 2" xfId="45478" xr:uid="{443A1250-A154-49E9-80B4-DDAEC44D8BE1}"/>
    <cellStyle name="Comma 2 2 2 3 2 7 4 4 3" xfId="27224" xr:uid="{83D979D8-D63E-4AB7-BB80-DE4720B3586E}"/>
    <cellStyle name="Comma 2 2 2 3 2 7 4 5" xfId="5320" xr:uid="{AC0D3CAD-7942-4107-ACEF-9123F03B86E8}"/>
    <cellStyle name="Comma 2 2 2 3 2 7 4 5 2" xfId="41828" xr:uid="{DE4C072E-745A-4579-BFF6-7652C1F2FCBC}"/>
    <cellStyle name="Comma 2 2 2 3 2 7 4 5 3" xfId="23574" xr:uid="{04B46133-3D5D-44C0-AC67-0CDD0E6B172A}"/>
    <cellStyle name="Comma 2 2 2 3 2 7 4 6" xfId="38178" xr:uid="{38464CF7-A69B-4D74-A467-C20A02EAFE85}"/>
    <cellStyle name="Comma 2 2 2 3 2 7 4 7" xfId="19924" xr:uid="{59CB248F-67CC-434D-957E-278F639DCE6A}"/>
    <cellStyle name="Comma 2 2 2 3 2 7 5" xfId="940" xr:uid="{E2E22ED1-2876-4229-829B-73D81AC35150}"/>
    <cellStyle name="Comma 2 2 2 3 2 7 5 2" xfId="15540" xr:uid="{A79797A8-7D80-4185-9B90-8A6859DD6CA4}"/>
    <cellStyle name="Comma 2 2 2 3 2 7 5 2 2" xfId="52048" xr:uid="{2E3C70A1-3010-4B2D-B0BC-6A1D6DC89B1D}"/>
    <cellStyle name="Comma 2 2 2 3 2 7 5 2 3" xfId="33794" xr:uid="{D53006EB-3CF6-4925-935C-1025FF449DAA}"/>
    <cellStyle name="Comma 2 2 2 3 2 7 5 3" xfId="11890" xr:uid="{0B54EC81-1FD0-41BB-9C52-62546427D627}"/>
    <cellStyle name="Comma 2 2 2 3 2 7 5 3 2" xfId="48398" xr:uid="{61B22BFD-69CC-4BA3-BC9B-400AFD605E73}"/>
    <cellStyle name="Comma 2 2 2 3 2 7 5 3 3" xfId="30144" xr:uid="{E75086A8-190B-40F4-8E1A-B31BFF786AE1}"/>
    <cellStyle name="Comma 2 2 2 3 2 7 5 4" xfId="8240" xr:uid="{96382111-DFA9-4C71-A01E-01120232C855}"/>
    <cellStyle name="Comma 2 2 2 3 2 7 5 4 2" xfId="44748" xr:uid="{0A3B4133-4833-47C5-9758-CD22AD424D0D}"/>
    <cellStyle name="Comma 2 2 2 3 2 7 5 4 3" xfId="26494" xr:uid="{791F4BE4-B52C-40EF-8FB0-D89FF3BFAACA}"/>
    <cellStyle name="Comma 2 2 2 3 2 7 5 5" xfId="4590" xr:uid="{BE3B699C-6DB7-4211-ADE9-6BC350CE1473}"/>
    <cellStyle name="Comma 2 2 2 3 2 7 5 5 2" xfId="41098" xr:uid="{BA21BF46-329A-4097-8A99-240351E48B41}"/>
    <cellStyle name="Comma 2 2 2 3 2 7 5 5 3" xfId="22844" xr:uid="{62B503CC-4750-4D10-9F93-860D61F07CA3}"/>
    <cellStyle name="Comma 2 2 2 3 2 7 5 6" xfId="37448" xr:uid="{367CA502-4FD8-4424-8857-5B352C374BCC}"/>
    <cellStyle name="Comma 2 2 2 3 2 7 5 7" xfId="19194" xr:uid="{6A83A470-5F33-4E60-B89E-0816F2E68E2F}"/>
    <cellStyle name="Comma 2 2 2 3 2 7 6" xfId="14810" xr:uid="{2237913A-18D9-48D7-9317-945597B57952}"/>
    <cellStyle name="Comma 2 2 2 3 2 7 6 2" xfId="51318" xr:uid="{3CDC91E1-5072-47A2-98C7-3EAD51CFC10F}"/>
    <cellStyle name="Comma 2 2 2 3 2 7 6 3" xfId="33064" xr:uid="{1ECABEB8-B2C3-496C-BC41-A99E1AC8E08F}"/>
    <cellStyle name="Comma 2 2 2 3 2 7 7" xfId="11160" xr:uid="{5974C23C-ACE9-43A9-A3D4-C0112CF97AA0}"/>
    <cellStyle name="Comma 2 2 2 3 2 7 7 2" xfId="47668" xr:uid="{F2B6DE82-3BB9-4D9B-B289-434979A5583E}"/>
    <cellStyle name="Comma 2 2 2 3 2 7 7 3" xfId="29414" xr:uid="{E8104FF2-E271-40DB-B15F-9A50BFE0A3B3}"/>
    <cellStyle name="Comma 2 2 2 3 2 7 8" xfId="7510" xr:uid="{1D2FA3DD-158B-433F-8E83-DD7D6D8CC273}"/>
    <cellStyle name="Comma 2 2 2 3 2 7 8 2" xfId="44018" xr:uid="{4E966AE7-5921-4B73-9C0B-0453E21F9F08}"/>
    <cellStyle name="Comma 2 2 2 3 2 7 8 3" xfId="25764" xr:uid="{56A9AE2A-36DF-45EA-888A-3658EF47B041}"/>
    <cellStyle name="Comma 2 2 2 3 2 7 9" xfId="3860" xr:uid="{405A6D4E-CCBF-40A5-9CD4-2D75094BC6EF}"/>
    <cellStyle name="Comma 2 2 2 3 2 7 9 2" xfId="40368" xr:uid="{19D75ACD-28EB-4353-937B-9CFCE802EBAC}"/>
    <cellStyle name="Comma 2 2 2 3 2 7 9 3" xfId="22114" xr:uid="{DDB030FC-ACF3-4ED3-95CD-1F87DBF0DCED}"/>
    <cellStyle name="Comma 2 2 2 3 2 8" xfId="3026" xr:uid="{AECA61EC-8EAF-4390-834D-FDF38826DB6B}"/>
    <cellStyle name="Comma 2 2 2 3 2 8 2" xfId="17626" xr:uid="{8A63E814-4298-4508-AA81-4EB9A776235E}"/>
    <cellStyle name="Comma 2 2 2 3 2 8 2 2" xfId="54134" xr:uid="{CEF3E3FE-62C3-4822-ADE4-62714D94A2C4}"/>
    <cellStyle name="Comma 2 2 2 3 2 8 2 3" xfId="35880" xr:uid="{E969EC4A-813D-4E02-994B-B666F36CEFD9}"/>
    <cellStyle name="Comma 2 2 2 3 2 8 3" xfId="13976" xr:uid="{9D2339A1-61E7-487E-B07D-24EDA2C67215}"/>
    <cellStyle name="Comma 2 2 2 3 2 8 3 2" xfId="50484" xr:uid="{F7C7040E-14FA-4D7E-8359-D9EF49E3D166}"/>
    <cellStyle name="Comma 2 2 2 3 2 8 3 3" xfId="32230" xr:uid="{B4E29C43-2EB9-4EDE-AFDE-768A7918FA67}"/>
    <cellStyle name="Comma 2 2 2 3 2 8 4" xfId="10326" xr:uid="{71ABE2F7-3578-4094-A4E5-2511B6E2FFC5}"/>
    <cellStyle name="Comma 2 2 2 3 2 8 4 2" xfId="46834" xr:uid="{372BF444-ECE1-48E0-BC0F-2B7E34F5935D}"/>
    <cellStyle name="Comma 2 2 2 3 2 8 4 3" xfId="28580" xr:uid="{D2CC3F22-8B3A-4116-A601-9538393743B5}"/>
    <cellStyle name="Comma 2 2 2 3 2 8 5" xfId="6676" xr:uid="{507814C0-4E4B-4815-BF41-EB59F6CA6C54}"/>
    <cellStyle name="Comma 2 2 2 3 2 8 5 2" xfId="43184" xr:uid="{B071AD05-89DE-40A6-AC71-C738F5F2C535}"/>
    <cellStyle name="Comma 2 2 2 3 2 8 5 3" xfId="24930" xr:uid="{06917554-35AE-4F5D-90A0-AEFEE21CACF5}"/>
    <cellStyle name="Comma 2 2 2 3 2 8 6" xfId="39534" xr:uid="{A7FF4BA6-FB15-4A9F-8194-F3B0ECE86098}"/>
    <cellStyle name="Comma 2 2 2 3 2 8 7" xfId="21280" xr:uid="{42A4624D-DA3D-4773-9D2C-F2864E0C1735}"/>
    <cellStyle name="Comma 2 2 2 3 2 9" xfId="2296" xr:uid="{51F47CBA-6881-4054-9F58-7676EC35B2F9}"/>
    <cellStyle name="Comma 2 2 2 3 2 9 2" xfId="16896" xr:uid="{6DACE8A5-BDFA-4015-8AC2-F15B76B19C64}"/>
    <cellStyle name="Comma 2 2 2 3 2 9 2 2" xfId="53404" xr:uid="{71500416-6E62-4269-9CFA-5AE864B8BE9E}"/>
    <cellStyle name="Comma 2 2 2 3 2 9 2 3" xfId="35150" xr:uid="{6A66DC87-66CA-4983-BD97-ED9D90D24625}"/>
    <cellStyle name="Comma 2 2 2 3 2 9 3" xfId="13246" xr:uid="{7AFDB048-CB61-4CA0-9222-72357D3DCEC7}"/>
    <cellStyle name="Comma 2 2 2 3 2 9 3 2" xfId="49754" xr:uid="{E39EBFEB-489E-4EE4-A7CB-54B8858EAC9D}"/>
    <cellStyle name="Comma 2 2 2 3 2 9 3 3" xfId="31500" xr:uid="{8D6DDD55-F7C4-40D5-8D27-8DCA8D36A5ED}"/>
    <cellStyle name="Comma 2 2 2 3 2 9 4" xfId="9596" xr:uid="{6157E731-4739-4F12-BDA6-B54703BBE7D7}"/>
    <cellStyle name="Comma 2 2 2 3 2 9 4 2" xfId="46104" xr:uid="{C4E0295A-3E59-4EBE-A758-723E416804B8}"/>
    <cellStyle name="Comma 2 2 2 3 2 9 4 3" xfId="27850" xr:uid="{62D2111C-E48D-4938-AB9F-95AA43BE6D3A}"/>
    <cellStyle name="Comma 2 2 2 3 2 9 5" xfId="5946" xr:uid="{ED69FA64-2145-45BB-853F-17E653BC7C1E}"/>
    <cellStyle name="Comma 2 2 2 3 2 9 5 2" xfId="42454" xr:uid="{FBED0901-8B0C-4E74-9EBE-55D612B27CF5}"/>
    <cellStyle name="Comma 2 2 2 3 2 9 5 3" xfId="24200" xr:uid="{107E528C-9344-4EF6-B542-7DFE05B82188}"/>
    <cellStyle name="Comma 2 2 2 3 2 9 6" xfId="38804" xr:uid="{FF3BC6EE-D4E8-409B-840A-C18D5D7BF733}"/>
    <cellStyle name="Comma 2 2 2 3 2 9 7" xfId="20550" xr:uid="{4A5D492B-6426-4EFA-A58A-7E72D179695F}"/>
    <cellStyle name="Comma 2 2 2 3 3" xfId="71" xr:uid="{EED86CDD-4E0E-415F-AEAE-112AECD6832A}"/>
    <cellStyle name="Comma 2 2 2 3 3 10" xfId="1534" xr:uid="{19A7E996-0186-4401-9B1A-7ABD92BC7ED3}"/>
    <cellStyle name="Comma 2 2 2 3 3 10 2" xfId="16134" xr:uid="{A57099D8-4649-4AE7-8654-4C3D9B619BEC}"/>
    <cellStyle name="Comma 2 2 2 3 3 10 2 2" xfId="52642" xr:uid="{7A6E904A-FD26-4404-8909-E74B6BCEE47A}"/>
    <cellStyle name="Comma 2 2 2 3 3 10 2 3" xfId="34388" xr:uid="{6EE8FECC-7C93-4FA5-874A-85A9341AAB1A}"/>
    <cellStyle name="Comma 2 2 2 3 3 10 3" xfId="12484" xr:uid="{E2D2748F-4F7E-4A62-91C6-F8E7DD543035}"/>
    <cellStyle name="Comma 2 2 2 3 3 10 3 2" xfId="48992" xr:uid="{54D652AC-D3AA-4E5C-A04F-6C9CB6C75BAB}"/>
    <cellStyle name="Comma 2 2 2 3 3 10 3 3" xfId="30738" xr:uid="{F23295FC-634B-48A8-AFE8-0C8B76869D3C}"/>
    <cellStyle name="Comma 2 2 2 3 3 10 4" xfId="8834" xr:uid="{3D7F101D-6738-4233-A832-56AAEEF5B4BE}"/>
    <cellStyle name="Comma 2 2 2 3 3 10 4 2" xfId="45342" xr:uid="{29768A60-97A2-4140-B2EF-039284E2437C}"/>
    <cellStyle name="Comma 2 2 2 3 3 10 4 3" xfId="27088" xr:uid="{C0CD40CE-B9D2-4EA3-8EBF-BAAEBE6B322C}"/>
    <cellStyle name="Comma 2 2 2 3 3 10 5" xfId="5184" xr:uid="{8DA86CE0-674A-4A72-AA03-E2379F11C327}"/>
    <cellStyle name="Comma 2 2 2 3 3 10 5 2" xfId="41692" xr:uid="{56D07611-1A57-416F-B880-2B41791A5562}"/>
    <cellStyle name="Comma 2 2 2 3 3 10 5 3" xfId="23438" xr:uid="{33C66C13-324C-4786-BAB5-857650DD72AF}"/>
    <cellStyle name="Comma 2 2 2 3 3 10 6" xfId="38042" xr:uid="{6D3446BC-24B1-43E6-93BF-035D3E10E8D3}"/>
    <cellStyle name="Comma 2 2 2 3 3 10 7" xfId="19788" xr:uid="{F3582120-1ABF-4638-A81C-A454272651D7}"/>
    <cellStyle name="Comma 2 2 2 3 3 11" xfId="804" xr:uid="{1FCEF310-965E-4C0C-9D91-FB7D04773CDB}"/>
    <cellStyle name="Comma 2 2 2 3 3 11 2" xfId="15404" xr:uid="{D63D2E93-6FC6-4588-ACD9-C0047A37EFE9}"/>
    <cellStyle name="Comma 2 2 2 3 3 11 2 2" xfId="51912" xr:uid="{27C70125-FF19-41E4-906F-8364DFE06467}"/>
    <cellStyle name="Comma 2 2 2 3 3 11 2 3" xfId="33658" xr:uid="{F474E6A8-991D-4E31-A5F6-99244BBEC044}"/>
    <cellStyle name="Comma 2 2 2 3 3 11 3" xfId="11754" xr:uid="{E5391DB0-BE2C-4B5F-A435-F15F11883D75}"/>
    <cellStyle name="Comma 2 2 2 3 3 11 3 2" xfId="48262" xr:uid="{97B32D78-AC12-480F-9C36-55AD6FF3AA9E}"/>
    <cellStyle name="Comma 2 2 2 3 3 11 3 3" xfId="30008" xr:uid="{07D3897D-31DB-4E63-8F23-F787E212BA16}"/>
    <cellStyle name="Comma 2 2 2 3 3 11 4" xfId="8104" xr:uid="{E054968A-F5F7-410B-910B-0F1654F754AB}"/>
    <cellStyle name="Comma 2 2 2 3 3 11 4 2" xfId="44612" xr:uid="{C9CCE587-600B-4A15-96D1-6F105DB2E97C}"/>
    <cellStyle name="Comma 2 2 2 3 3 11 4 3" xfId="26358" xr:uid="{4E7D34DC-E148-4892-9A77-063779195B0C}"/>
    <cellStyle name="Comma 2 2 2 3 3 11 5" xfId="4454" xr:uid="{0A18B1A2-A88D-4C1E-AA33-4BFC638C4C17}"/>
    <cellStyle name="Comma 2 2 2 3 3 11 5 2" xfId="40962" xr:uid="{4B0B5AA5-E849-4C88-993A-523CB8CE7A9D}"/>
    <cellStyle name="Comma 2 2 2 3 3 11 5 3" xfId="22708" xr:uid="{F99533E9-CEF9-4478-8E43-A26C6F3B4D77}"/>
    <cellStyle name="Comma 2 2 2 3 3 11 6" xfId="37312" xr:uid="{11857357-A5E7-4EE7-B336-0726E1F83E56}"/>
    <cellStyle name="Comma 2 2 2 3 3 11 7" xfId="19058" xr:uid="{7078C122-48CA-47C2-9DAB-4953AED4984B}"/>
    <cellStyle name="Comma 2 2 2 3 3 12" xfId="14674" xr:uid="{9A7CE91D-853A-43EF-859A-899321610896}"/>
    <cellStyle name="Comma 2 2 2 3 3 12 2" xfId="51182" xr:uid="{214F5032-B596-436B-B826-5DF0EE472C3E}"/>
    <cellStyle name="Comma 2 2 2 3 3 12 3" xfId="32928" xr:uid="{903CE6FE-E61B-40A1-B057-AD24028F92C7}"/>
    <cellStyle name="Comma 2 2 2 3 3 13" xfId="11024" xr:uid="{BD0DDF0B-0DE9-4C0E-AA7C-D92F692942A8}"/>
    <cellStyle name="Comma 2 2 2 3 3 13 2" xfId="47532" xr:uid="{5ECC079C-F20B-414C-982D-E008F23497DD}"/>
    <cellStyle name="Comma 2 2 2 3 3 13 3" xfId="29278" xr:uid="{726DBD24-5BDF-4098-8785-036D3257003F}"/>
    <cellStyle name="Comma 2 2 2 3 3 14" xfId="7374" xr:uid="{745E67D6-C13F-4BFF-AF26-A32E2312FE34}"/>
    <cellStyle name="Comma 2 2 2 3 3 14 2" xfId="43882" xr:uid="{AB191F65-F1B8-44CC-BDCE-6FC6FDBA0396}"/>
    <cellStyle name="Comma 2 2 2 3 3 14 3" xfId="25628" xr:uid="{4926759B-C4A7-4DF5-AD64-4407EEA95800}"/>
    <cellStyle name="Comma 2 2 2 3 3 15" xfId="3724" xr:uid="{85825429-B8E9-4702-898B-F00A60165414}"/>
    <cellStyle name="Comma 2 2 2 3 3 15 2" xfId="40232" xr:uid="{0DAB387F-CBBF-4144-9993-A7BE9EFA769C}"/>
    <cellStyle name="Comma 2 2 2 3 3 15 3" xfId="21978" xr:uid="{8DFF0EA7-70B5-4218-9255-426F319BF692}"/>
    <cellStyle name="Comma 2 2 2 3 3 16" xfId="36582" xr:uid="{5D5E09A7-A268-4077-BCA7-62C9B5FEB352}"/>
    <cellStyle name="Comma 2 2 2 3 3 17" xfId="18328" xr:uid="{DB853091-987B-48FB-B00B-A52EE3639765}"/>
    <cellStyle name="Comma 2 2 2 3 3 2" xfId="698" xr:uid="{346AB125-E493-43E2-B84E-466958799F85}"/>
    <cellStyle name="Comma 2 2 2 3 3 2 10" xfId="37206" xr:uid="{BCCA2E18-60A7-42F5-87D9-34153B545947}"/>
    <cellStyle name="Comma 2 2 2 3 3 2 11" xfId="18952" xr:uid="{3945414C-89C2-423E-8F37-3E1D122C72E2}"/>
    <cellStyle name="Comma 2 2 2 3 3 2 2" xfId="3618" xr:uid="{0F42F39B-3CFB-4A5B-9339-875E7868DC23}"/>
    <cellStyle name="Comma 2 2 2 3 3 2 2 2" xfId="18218" xr:uid="{F4C26DE9-E36A-4580-8D25-D0BC8657115B}"/>
    <cellStyle name="Comma 2 2 2 3 3 2 2 2 2" xfId="54726" xr:uid="{ED42ED96-8C3E-4919-851A-24F3BF0AED51}"/>
    <cellStyle name="Comma 2 2 2 3 3 2 2 2 3" xfId="36472" xr:uid="{77915731-4E81-4F5F-983C-1CFC69F852D2}"/>
    <cellStyle name="Comma 2 2 2 3 3 2 2 3" xfId="14568" xr:uid="{3384B655-70FF-4284-AB30-4D1EABA95E15}"/>
    <cellStyle name="Comma 2 2 2 3 3 2 2 3 2" xfId="51076" xr:uid="{B2EEC2DC-1980-4841-99F9-AB7A74B348CB}"/>
    <cellStyle name="Comma 2 2 2 3 3 2 2 3 3" xfId="32822" xr:uid="{19E01A22-5708-4599-A6DD-BC4DC6E3426E}"/>
    <cellStyle name="Comma 2 2 2 3 3 2 2 4" xfId="10918" xr:uid="{1F3BC33B-8DF0-4B3C-B413-A7C5731D6B22}"/>
    <cellStyle name="Comma 2 2 2 3 3 2 2 4 2" xfId="47426" xr:uid="{71DAE5F8-BA41-447F-AFED-C0DEC3258030}"/>
    <cellStyle name="Comma 2 2 2 3 3 2 2 4 3" xfId="29172" xr:uid="{C3249E39-FB0F-4E37-9E97-328A6B3F5C96}"/>
    <cellStyle name="Comma 2 2 2 3 3 2 2 5" xfId="7268" xr:uid="{4EB5B970-4D4F-46AF-95BB-6E8341CEE674}"/>
    <cellStyle name="Comma 2 2 2 3 3 2 2 5 2" xfId="43776" xr:uid="{FF5F6CB9-DCF3-4BAA-A5FF-80DB4563FF89}"/>
    <cellStyle name="Comma 2 2 2 3 3 2 2 5 3" xfId="25522" xr:uid="{459979AF-AD4F-41D1-8C7B-35867BC091C1}"/>
    <cellStyle name="Comma 2 2 2 3 3 2 2 6" xfId="40126" xr:uid="{8F67B29C-09E9-40FA-ADB0-A2A60F9BA25E}"/>
    <cellStyle name="Comma 2 2 2 3 3 2 2 7" xfId="21872" xr:uid="{D38921B3-A766-433E-8191-04339BC4B058}"/>
    <cellStyle name="Comma 2 2 2 3 3 2 3" xfId="2888" xr:uid="{E61D9E72-E3DE-48CE-9FDE-5A127F8D62B5}"/>
    <cellStyle name="Comma 2 2 2 3 3 2 3 2" xfId="17488" xr:uid="{7354FE63-92F2-4116-8A59-3728FF1B4014}"/>
    <cellStyle name="Comma 2 2 2 3 3 2 3 2 2" xfId="53996" xr:uid="{F145C9B9-6332-438F-A01A-A0BE10E0D6CA}"/>
    <cellStyle name="Comma 2 2 2 3 3 2 3 2 3" xfId="35742" xr:uid="{B93B3AD6-AF77-4BF4-AE92-F768353BE3DB}"/>
    <cellStyle name="Comma 2 2 2 3 3 2 3 3" xfId="13838" xr:uid="{A9A27F72-133E-441C-8853-5DA705A1D23F}"/>
    <cellStyle name="Comma 2 2 2 3 3 2 3 3 2" xfId="50346" xr:uid="{09DF834A-A6B9-4218-89E0-086B6020A505}"/>
    <cellStyle name="Comma 2 2 2 3 3 2 3 3 3" xfId="32092" xr:uid="{44BD94A6-7EA0-4801-A0EE-27EE85212AAE}"/>
    <cellStyle name="Comma 2 2 2 3 3 2 3 4" xfId="10188" xr:uid="{6634D647-4C96-4317-83BF-4CB8849F2D08}"/>
    <cellStyle name="Comma 2 2 2 3 3 2 3 4 2" xfId="46696" xr:uid="{6E8FEE37-7EB0-435D-A27B-84740D154B23}"/>
    <cellStyle name="Comma 2 2 2 3 3 2 3 4 3" xfId="28442" xr:uid="{257270E7-8828-454E-BD49-D9A0B20AB514}"/>
    <cellStyle name="Comma 2 2 2 3 3 2 3 5" xfId="6538" xr:uid="{18A45B33-5B8E-480C-BF07-FFE7E5DE4ADB}"/>
    <cellStyle name="Comma 2 2 2 3 3 2 3 5 2" xfId="43046" xr:uid="{35330EC8-B662-47DD-9D6E-662456E81DD0}"/>
    <cellStyle name="Comma 2 2 2 3 3 2 3 5 3" xfId="24792" xr:uid="{AAE5F2EE-FC02-46A2-A8FF-A2774CED9880}"/>
    <cellStyle name="Comma 2 2 2 3 3 2 3 6" xfId="39396" xr:uid="{26ADE5BE-5CE9-4DE2-9C90-D220AA48FA35}"/>
    <cellStyle name="Comma 2 2 2 3 3 2 3 7" xfId="21142" xr:uid="{62284347-393A-4202-A877-FC6C05F8DB47}"/>
    <cellStyle name="Comma 2 2 2 3 3 2 4" xfId="2158" xr:uid="{20747CFB-2177-40A2-B9E7-D8B2D906A252}"/>
    <cellStyle name="Comma 2 2 2 3 3 2 4 2" xfId="16758" xr:uid="{CF8DE6E4-AEF9-4DB5-9AC5-81348D8C9718}"/>
    <cellStyle name="Comma 2 2 2 3 3 2 4 2 2" xfId="53266" xr:uid="{27BA619D-2C47-4761-A513-DAC1458AF831}"/>
    <cellStyle name="Comma 2 2 2 3 3 2 4 2 3" xfId="35012" xr:uid="{A9C8C07E-8968-483C-B15D-92E5FA90ED68}"/>
    <cellStyle name="Comma 2 2 2 3 3 2 4 3" xfId="13108" xr:uid="{B3942658-1E70-49ED-8A0E-819B59D52718}"/>
    <cellStyle name="Comma 2 2 2 3 3 2 4 3 2" xfId="49616" xr:uid="{D10F2F1A-029E-44CA-AE7C-29863E9CC36C}"/>
    <cellStyle name="Comma 2 2 2 3 3 2 4 3 3" xfId="31362" xr:uid="{F51F25D9-8689-4EB2-BB3E-5A0423429B83}"/>
    <cellStyle name="Comma 2 2 2 3 3 2 4 4" xfId="9458" xr:uid="{2A35B092-B128-4ECE-830B-1A61A9C91E22}"/>
    <cellStyle name="Comma 2 2 2 3 3 2 4 4 2" xfId="45966" xr:uid="{B2CE365A-873F-4B4B-B881-A20D01B3E64B}"/>
    <cellStyle name="Comma 2 2 2 3 3 2 4 4 3" xfId="27712" xr:uid="{2DDC57C9-7910-41CB-8CDC-1EA26565C69B}"/>
    <cellStyle name="Comma 2 2 2 3 3 2 4 5" xfId="5808" xr:uid="{0A78F610-DFC9-431C-81FB-258B06715E09}"/>
    <cellStyle name="Comma 2 2 2 3 3 2 4 5 2" xfId="42316" xr:uid="{293BDEE0-2E42-4F68-97E3-6566C45C85B5}"/>
    <cellStyle name="Comma 2 2 2 3 3 2 4 5 3" xfId="24062" xr:uid="{3C01F94E-7DFC-413A-A08C-2EC560A03D32}"/>
    <cellStyle name="Comma 2 2 2 3 3 2 4 6" xfId="38666" xr:uid="{CABF9919-B63C-4D9F-8273-94299DB57F1E}"/>
    <cellStyle name="Comma 2 2 2 3 3 2 4 7" xfId="20412" xr:uid="{9D7C60DA-7118-4FCF-8276-AFC07DDF061B}"/>
    <cellStyle name="Comma 2 2 2 3 3 2 5" xfId="1428" xr:uid="{EABD6954-4F9B-4466-B7A5-5823ED5D2711}"/>
    <cellStyle name="Comma 2 2 2 3 3 2 5 2" xfId="16028" xr:uid="{553A2E0E-C750-4712-9575-BEEC16B9D2A2}"/>
    <cellStyle name="Comma 2 2 2 3 3 2 5 2 2" xfId="52536" xr:uid="{412EBEBD-0F39-4C51-9A5B-C4BD8FAC7347}"/>
    <cellStyle name="Comma 2 2 2 3 3 2 5 2 3" xfId="34282" xr:uid="{AA94112C-7EC8-4377-8227-AC63472221C9}"/>
    <cellStyle name="Comma 2 2 2 3 3 2 5 3" xfId="12378" xr:uid="{357F8D15-6037-4657-90A2-D229EB38E64A}"/>
    <cellStyle name="Comma 2 2 2 3 3 2 5 3 2" xfId="48886" xr:uid="{BDA4A41B-7FFB-45FD-A6C7-06A6C73B2FB5}"/>
    <cellStyle name="Comma 2 2 2 3 3 2 5 3 3" xfId="30632" xr:uid="{E3AF7363-6CF4-4B95-9767-948C51758A55}"/>
    <cellStyle name="Comma 2 2 2 3 3 2 5 4" xfId="8728" xr:uid="{A90F6AE9-6EE1-4A0F-83FE-91B3334CDBD4}"/>
    <cellStyle name="Comma 2 2 2 3 3 2 5 4 2" xfId="45236" xr:uid="{2A24E100-B5FE-4427-BE2B-2D5DEA3BD8C3}"/>
    <cellStyle name="Comma 2 2 2 3 3 2 5 4 3" xfId="26982" xr:uid="{B8572B9F-C8C1-4C1D-87F3-7A8389190EF6}"/>
    <cellStyle name="Comma 2 2 2 3 3 2 5 5" xfId="5078" xr:uid="{69EF0CFF-3ECF-4CFD-B1CD-72B9B098549B}"/>
    <cellStyle name="Comma 2 2 2 3 3 2 5 5 2" xfId="41586" xr:uid="{D08603CF-E626-406E-8D5C-F7F3F491A9D3}"/>
    <cellStyle name="Comma 2 2 2 3 3 2 5 5 3" xfId="23332" xr:uid="{1ECAB5D3-94EA-4549-8BED-0A3384798054}"/>
    <cellStyle name="Comma 2 2 2 3 3 2 5 6" xfId="37936" xr:uid="{714C0EA2-4E65-49B2-AE67-B1DAEED74FE9}"/>
    <cellStyle name="Comma 2 2 2 3 3 2 5 7" xfId="19682" xr:uid="{7CC85C4E-AB97-4CF8-A082-5D7139A3502F}"/>
    <cellStyle name="Comma 2 2 2 3 3 2 6" xfId="15298" xr:uid="{ADF61BBE-82B7-45F5-8610-F5172716F56D}"/>
    <cellStyle name="Comma 2 2 2 3 3 2 6 2" xfId="51806" xr:uid="{BDC5D740-CBEE-4CFA-A42E-E1C4083E7370}"/>
    <cellStyle name="Comma 2 2 2 3 3 2 6 3" xfId="33552" xr:uid="{BC3630A7-AA87-4A50-A156-EEC61201013D}"/>
    <cellStyle name="Comma 2 2 2 3 3 2 7" xfId="11648" xr:uid="{60320BED-0957-4B36-8408-D058B55DA918}"/>
    <cellStyle name="Comma 2 2 2 3 3 2 7 2" xfId="48156" xr:uid="{493A966F-7ECE-490A-B0E4-2BA88EB0BAFC}"/>
    <cellStyle name="Comma 2 2 2 3 3 2 7 3" xfId="29902" xr:uid="{6123C326-AF86-438A-A93E-8EC6A020C42E}"/>
    <cellStyle name="Comma 2 2 2 3 3 2 8" xfId="7998" xr:uid="{4F189B1B-0768-4FB6-93DE-655F4BA24D41}"/>
    <cellStyle name="Comma 2 2 2 3 3 2 8 2" xfId="44506" xr:uid="{F801FBEE-1861-4EBF-A8D0-E7A85C81AF02}"/>
    <cellStyle name="Comma 2 2 2 3 3 2 8 3" xfId="26252" xr:uid="{B6094C4A-72C7-4302-93C4-B81D655010B7}"/>
    <cellStyle name="Comma 2 2 2 3 3 2 9" xfId="4348" xr:uid="{04E630BE-B9FB-4B4B-8E10-DF165569C2E9}"/>
    <cellStyle name="Comma 2 2 2 3 3 2 9 2" xfId="40856" xr:uid="{E404DA09-F4D2-4DED-96D9-4C9A28543082}"/>
    <cellStyle name="Comma 2 2 2 3 3 2 9 3" xfId="22602" xr:uid="{37896C8C-784C-42A4-827A-0805AADBFED2}"/>
    <cellStyle name="Comma 2 2 2 3 3 3" xfId="594" xr:uid="{A2902613-9293-4A07-9030-713139F9E1C2}"/>
    <cellStyle name="Comma 2 2 2 3 3 3 10" xfId="37102" xr:uid="{8AD3BF74-576A-4899-8550-815150EC734C}"/>
    <cellStyle name="Comma 2 2 2 3 3 3 11" xfId="18848" xr:uid="{289F2428-9975-467F-993B-B823EB5458B9}"/>
    <cellStyle name="Comma 2 2 2 3 3 3 2" xfId="3514" xr:uid="{88CB0622-535B-4542-A48D-82D167BC516E}"/>
    <cellStyle name="Comma 2 2 2 3 3 3 2 2" xfId="18114" xr:uid="{9FF438C6-F371-4EA8-91BC-FCDC5233B524}"/>
    <cellStyle name="Comma 2 2 2 3 3 3 2 2 2" xfId="54622" xr:uid="{14804195-F4D4-4D1B-A99D-36982EA62001}"/>
    <cellStyle name="Comma 2 2 2 3 3 3 2 2 3" xfId="36368" xr:uid="{0E968E40-2DA7-4A10-9D03-2B2C916F9C50}"/>
    <cellStyle name="Comma 2 2 2 3 3 3 2 3" xfId="14464" xr:uid="{F41474F3-DA64-4832-9A9D-947DD871CE0F}"/>
    <cellStyle name="Comma 2 2 2 3 3 3 2 3 2" xfId="50972" xr:uid="{84BFE04B-DA38-4E25-9374-76C21FB5F15A}"/>
    <cellStyle name="Comma 2 2 2 3 3 3 2 3 3" xfId="32718" xr:uid="{C1249876-1112-48BB-B84A-4292CC9F2F3E}"/>
    <cellStyle name="Comma 2 2 2 3 3 3 2 4" xfId="10814" xr:uid="{529F6D9A-7EDA-4998-A13A-009015244659}"/>
    <cellStyle name="Comma 2 2 2 3 3 3 2 4 2" xfId="47322" xr:uid="{50D61461-443C-433E-9791-C31377AC62FA}"/>
    <cellStyle name="Comma 2 2 2 3 3 3 2 4 3" xfId="29068" xr:uid="{D30651A7-0C30-437E-B7B0-CE83E00DECFA}"/>
    <cellStyle name="Comma 2 2 2 3 3 3 2 5" xfId="7164" xr:uid="{B1BF98F0-E961-412E-82A4-412AF209DF15}"/>
    <cellStyle name="Comma 2 2 2 3 3 3 2 5 2" xfId="43672" xr:uid="{19C94AD9-AF19-4617-AFA3-4BAC5FA1EBA7}"/>
    <cellStyle name="Comma 2 2 2 3 3 3 2 5 3" xfId="25418" xr:uid="{EFA04350-2A27-40A3-8F0B-3C45E9C17DD2}"/>
    <cellStyle name="Comma 2 2 2 3 3 3 2 6" xfId="40022" xr:uid="{9C213532-49F7-44B6-809B-50CBC16A62E4}"/>
    <cellStyle name="Comma 2 2 2 3 3 3 2 7" xfId="21768" xr:uid="{1614F724-1609-4D79-9EA7-697BBAB9B14D}"/>
    <cellStyle name="Comma 2 2 2 3 3 3 3" xfId="2784" xr:uid="{4A22296F-EA53-40EE-81BC-2AEEA93CFC9A}"/>
    <cellStyle name="Comma 2 2 2 3 3 3 3 2" xfId="17384" xr:uid="{567B7EC2-3AC5-4112-8A10-8A70797D21F1}"/>
    <cellStyle name="Comma 2 2 2 3 3 3 3 2 2" xfId="53892" xr:uid="{479729C7-60E8-40C2-A9E8-E5F6037B4667}"/>
    <cellStyle name="Comma 2 2 2 3 3 3 3 2 3" xfId="35638" xr:uid="{FBDF7C22-1275-4216-B2CE-834E19D1A6EC}"/>
    <cellStyle name="Comma 2 2 2 3 3 3 3 3" xfId="13734" xr:uid="{300B6CF8-BBCA-4B26-96D5-F2D181014B35}"/>
    <cellStyle name="Comma 2 2 2 3 3 3 3 3 2" xfId="50242" xr:uid="{7A7D7F4D-7AB3-40F9-A2E2-9756D5965E0B}"/>
    <cellStyle name="Comma 2 2 2 3 3 3 3 3 3" xfId="31988" xr:uid="{C607196C-D690-4080-9778-6C0FBFFDEFC4}"/>
    <cellStyle name="Comma 2 2 2 3 3 3 3 4" xfId="10084" xr:uid="{051E2D6B-43A1-4487-B032-D0211CEF7DFA}"/>
    <cellStyle name="Comma 2 2 2 3 3 3 3 4 2" xfId="46592" xr:uid="{450C75D7-387C-447F-935A-A9F59A1E31C2}"/>
    <cellStyle name="Comma 2 2 2 3 3 3 3 4 3" xfId="28338" xr:uid="{7C272FB0-1A9B-4974-8C1E-4A8FD1DD9B6F}"/>
    <cellStyle name="Comma 2 2 2 3 3 3 3 5" xfId="6434" xr:uid="{6C2A1F10-F5C9-4CA4-B5A4-F27EEDA18E54}"/>
    <cellStyle name="Comma 2 2 2 3 3 3 3 5 2" xfId="42942" xr:uid="{08DD3070-02BB-425B-81ED-1A759ABEB41B}"/>
    <cellStyle name="Comma 2 2 2 3 3 3 3 5 3" xfId="24688" xr:uid="{B239E107-2EAF-4D2C-A3E8-02C5DBE36889}"/>
    <cellStyle name="Comma 2 2 2 3 3 3 3 6" xfId="39292" xr:uid="{27635FA1-E08B-4439-A8EE-62309382C8EB}"/>
    <cellStyle name="Comma 2 2 2 3 3 3 3 7" xfId="21038" xr:uid="{76796E0F-658A-4899-AEA9-9BF657C8D73A}"/>
    <cellStyle name="Comma 2 2 2 3 3 3 4" xfId="2054" xr:uid="{D76E9B3E-0BDD-4E83-9C4C-7FCA3648179B}"/>
    <cellStyle name="Comma 2 2 2 3 3 3 4 2" xfId="16654" xr:uid="{C5BFC97C-A711-47EF-9D6C-3EB9F4F0FCE1}"/>
    <cellStyle name="Comma 2 2 2 3 3 3 4 2 2" xfId="53162" xr:uid="{233663BF-D6CC-49DC-A9C6-88F2D3F8F7F7}"/>
    <cellStyle name="Comma 2 2 2 3 3 3 4 2 3" xfId="34908" xr:uid="{1ED9A07B-C1BE-4E01-980B-EBCFACB50A33}"/>
    <cellStyle name="Comma 2 2 2 3 3 3 4 3" xfId="13004" xr:uid="{9D6B0E7E-C36F-4CC5-8D97-B654488FA77D}"/>
    <cellStyle name="Comma 2 2 2 3 3 3 4 3 2" xfId="49512" xr:uid="{7A4DD461-1054-4460-84E5-FAA9F25B8658}"/>
    <cellStyle name="Comma 2 2 2 3 3 3 4 3 3" xfId="31258" xr:uid="{F4CA341E-8956-45D6-BFE9-01C763AF8928}"/>
    <cellStyle name="Comma 2 2 2 3 3 3 4 4" xfId="9354" xr:uid="{74C443C2-9C49-47C2-93B8-CE47D6034B2E}"/>
    <cellStyle name="Comma 2 2 2 3 3 3 4 4 2" xfId="45862" xr:uid="{D555BE57-0370-4E8F-9CA2-241FA78AA95B}"/>
    <cellStyle name="Comma 2 2 2 3 3 3 4 4 3" xfId="27608" xr:uid="{619AE2C3-6587-40DB-A925-A596AAD5CD6D}"/>
    <cellStyle name="Comma 2 2 2 3 3 3 4 5" xfId="5704" xr:uid="{4F0B6CE6-5E4D-4E3E-9BE2-8C88EC5534D1}"/>
    <cellStyle name="Comma 2 2 2 3 3 3 4 5 2" xfId="42212" xr:uid="{45F7AB8B-1CF5-4174-9066-9C2D1D826838}"/>
    <cellStyle name="Comma 2 2 2 3 3 3 4 5 3" xfId="23958" xr:uid="{E21F8182-5272-4E96-AE9E-DC06C1855061}"/>
    <cellStyle name="Comma 2 2 2 3 3 3 4 6" xfId="38562" xr:uid="{F61A8315-9CBB-4216-AFE6-F4BCADDD2DB3}"/>
    <cellStyle name="Comma 2 2 2 3 3 3 4 7" xfId="20308" xr:uid="{0C63833E-4B7C-4634-AF42-EFBF5F25ABF4}"/>
    <cellStyle name="Comma 2 2 2 3 3 3 5" xfId="1324" xr:uid="{77157D26-B22C-412C-866E-38F73D530749}"/>
    <cellStyle name="Comma 2 2 2 3 3 3 5 2" xfId="15924" xr:uid="{B43FC948-35D5-45A1-9CFB-96ECF1D5CB9D}"/>
    <cellStyle name="Comma 2 2 2 3 3 3 5 2 2" xfId="52432" xr:uid="{54ABB734-E4CA-430E-9735-0B70767A84AA}"/>
    <cellStyle name="Comma 2 2 2 3 3 3 5 2 3" xfId="34178" xr:uid="{1899A532-1AC0-4358-8478-B44FCE5E9BD1}"/>
    <cellStyle name="Comma 2 2 2 3 3 3 5 3" xfId="12274" xr:uid="{580D321A-EC2A-4BA9-92ED-4CF4096A36B8}"/>
    <cellStyle name="Comma 2 2 2 3 3 3 5 3 2" xfId="48782" xr:uid="{BF8A840F-E512-49C8-AC53-2B086305F0B1}"/>
    <cellStyle name="Comma 2 2 2 3 3 3 5 3 3" xfId="30528" xr:uid="{8946D681-0651-4923-B4DB-6BCCA6221B70}"/>
    <cellStyle name="Comma 2 2 2 3 3 3 5 4" xfId="8624" xr:uid="{D6BB8AEC-E767-4B2B-B66D-57CAD002F681}"/>
    <cellStyle name="Comma 2 2 2 3 3 3 5 4 2" xfId="45132" xr:uid="{197027C8-7B5B-4443-BE35-2500ED02755B}"/>
    <cellStyle name="Comma 2 2 2 3 3 3 5 4 3" xfId="26878" xr:uid="{075D20E1-0242-410E-9888-38BBC5114DA7}"/>
    <cellStyle name="Comma 2 2 2 3 3 3 5 5" xfId="4974" xr:uid="{45F90EE5-5E24-4AC0-BB20-7DC83A73EEFE}"/>
    <cellStyle name="Comma 2 2 2 3 3 3 5 5 2" xfId="41482" xr:uid="{050BB8B7-FFD2-4508-B678-949E1032C696}"/>
    <cellStyle name="Comma 2 2 2 3 3 3 5 5 3" xfId="23228" xr:uid="{28C35910-4815-4333-A722-704B65888B7D}"/>
    <cellStyle name="Comma 2 2 2 3 3 3 5 6" xfId="37832" xr:uid="{5E49247D-54E7-4AF8-8DE5-9D4D08CF75CE}"/>
    <cellStyle name="Comma 2 2 2 3 3 3 5 7" xfId="19578" xr:uid="{003EA016-2F04-4C42-9298-6D884D6FA91E}"/>
    <cellStyle name="Comma 2 2 2 3 3 3 6" xfId="15194" xr:uid="{D9B08C23-4AF1-41B3-9493-0DE56DFE7645}"/>
    <cellStyle name="Comma 2 2 2 3 3 3 6 2" xfId="51702" xr:uid="{95E1E808-7C43-46A3-84D8-A17C215047B8}"/>
    <cellStyle name="Comma 2 2 2 3 3 3 6 3" xfId="33448" xr:uid="{FF4F674E-394D-4F97-AC9D-426E5D43D30A}"/>
    <cellStyle name="Comma 2 2 2 3 3 3 7" xfId="11544" xr:uid="{B50B7336-3001-46AF-8733-23C0B089DEDD}"/>
    <cellStyle name="Comma 2 2 2 3 3 3 7 2" xfId="48052" xr:uid="{1A0F82BA-5233-4C46-8E81-EBBEA46357C4}"/>
    <cellStyle name="Comma 2 2 2 3 3 3 7 3" xfId="29798" xr:uid="{5C63F4D4-0D8A-4FD7-81D8-4D70A9A885E0}"/>
    <cellStyle name="Comma 2 2 2 3 3 3 8" xfId="7894" xr:uid="{841CF3E6-0514-471C-B7B6-97D1F224225E}"/>
    <cellStyle name="Comma 2 2 2 3 3 3 8 2" xfId="44402" xr:uid="{35D7E681-5309-446A-AD50-47A27AB5C571}"/>
    <cellStyle name="Comma 2 2 2 3 3 3 8 3" xfId="26148" xr:uid="{74B85F5C-5420-4C4E-9AD5-E141E4D42AFF}"/>
    <cellStyle name="Comma 2 2 2 3 3 3 9" xfId="4244" xr:uid="{96F44D83-4840-4312-851D-AE5A765B76F2}"/>
    <cellStyle name="Comma 2 2 2 3 3 3 9 2" xfId="40752" xr:uid="{4C563638-05A9-432D-A7D8-ADFFD779D5BB}"/>
    <cellStyle name="Comma 2 2 2 3 3 3 9 3" xfId="22498" xr:uid="{9E5B3D82-706C-46F5-A941-2DB16C7A4CC3}"/>
    <cellStyle name="Comma 2 2 2 3 3 4" xfId="490" xr:uid="{09A31453-E4B2-4C62-BDC6-6AD7A404645D}"/>
    <cellStyle name="Comma 2 2 2 3 3 4 10" xfId="36998" xr:uid="{CD8DF9C6-C5E4-4DC7-98C9-481F82717BDA}"/>
    <cellStyle name="Comma 2 2 2 3 3 4 11" xfId="18744" xr:uid="{A10D5CF2-7FC6-48B1-B579-A8AD31752EF9}"/>
    <cellStyle name="Comma 2 2 2 3 3 4 2" xfId="3410" xr:uid="{B7B962FF-A860-4650-B2FD-77A9F4D9B624}"/>
    <cellStyle name="Comma 2 2 2 3 3 4 2 2" xfId="18010" xr:uid="{F1BCE0B8-63EF-46CC-BF04-CD302DE24ED8}"/>
    <cellStyle name="Comma 2 2 2 3 3 4 2 2 2" xfId="54518" xr:uid="{29F591DA-5F4B-4E91-9CBA-14EF7F8EC67C}"/>
    <cellStyle name="Comma 2 2 2 3 3 4 2 2 3" xfId="36264" xr:uid="{5AD3AC3F-8460-41DA-98E1-426BFE398AB9}"/>
    <cellStyle name="Comma 2 2 2 3 3 4 2 3" xfId="14360" xr:uid="{24EADE1C-DF13-4296-A04E-483A2E65C5DF}"/>
    <cellStyle name="Comma 2 2 2 3 3 4 2 3 2" xfId="50868" xr:uid="{316BE52F-D52C-4041-A043-17BB38DC5E2A}"/>
    <cellStyle name="Comma 2 2 2 3 3 4 2 3 3" xfId="32614" xr:uid="{A9925CAD-37FC-49BB-8C42-FC23277F8596}"/>
    <cellStyle name="Comma 2 2 2 3 3 4 2 4" xfId="10710" xr:uid="{AE091FCB-3427-4947-B9F3-66232588B06A}"/>
    <cellStyle name="Comma 2 2 2 3 3 4 2 4 2" xfId="47218" xr:uid="{0F7F4B42-DBF6-4BCC-BAE5-9E51F40BF2C5}"/>
    <cellStyle name="Comma 2 2 2 3 3 4 2 4 3" xfId="28964" xr:uid="{C7A30A52-E752-4502-AD03-D1C7C3CBEBF5}"/>
    <cellStyle name="Comma 2 2 2 3 3 4 2 5" xfId="7060" xr:uid="{A2C326D7-BC59-496A-B016-4C8769C4C687}"/>
    <cellStyle name="Comma 2 2 2 3 3 4 2 5 2" xfId="43568" xr:uid="{C7F41AA0-B3CD-4E5E-A0D7-74BD94B9C11A}"/>
    <cellStyle name="Comma 2 2 2 3 3 4 2 5 3" xfId="25314" xr:uid="{FC8B3D50-9158-4E76-A3E4-254BA824BA2C}"/>
    <cellStyle name="Comma 2 2 2 3 3 4 2 6" xfId="39918" xr:uid="{61401C60-3CB2-4039-9738-ED29DC6B8C2B}"/>
    <cellStyle name="Comma 2 2 2 3 3 4 2 7" xfId="21664" xr:uid="{C2D101F8-083F-4629-A7B6-06071DEC96DA}"/>
    <cellStyle name="Comma 2 2 2 3 3 4 3" xfId="2680" xr:uid="{49F8331E-F703-4365-9346-49571A8A3BE0}"/>
    <cellStyle name="Comma 2 2 2 3 3 4 3 2" xfId="17280" xr:uid="{B737E9B1-7ABD-4DEC-A3BF-8D4B5B49D861}"/>
    <cellStyle name="Comma 2 2 2 3 3 4 3 2 2" xfId="53788" xr:uid="{20986E0E-5ADC-4713-9B8B-8FC237C76608}"/>
    <cellStyle name="Comma 2 2 2 3 3 4 3 2 3" xfId="35534" xr:uid="{2B33BCD6-3756-4F77-BDDE-F73D77B37054}"/>
    <cellStyle name="Comma 2 2 2 3 3 4 3 3" xfId="13630" xr:uid="{4F2D8848-A4E8-4574-A0FE-799DD8896291}"/>
    <cellStyle name="Comma 2 2 2 3 3 4 3 3 2" xfId="50138" xr:uid="{DEEC7602-184F-4FF8-99A9-3724CF900462}"/>
    <cellStyle name="Comma 2 2 2 3 3 4 3 3 3" xfId="31884" xr:uid="{28F7A05F-D67E-426A-86D5-5030C76234A8}"/>
    <cellStyle name="Comma 2 2 2 3 3 4 3 4" xfId="9980" xr:uid="{2AA807D6-29CE-446E-B1D9-353542B26AD9}"/>
    <cellStyle name="Comma 2 2 2 3 3 4 3 4 2" xfId="46488" xr:uid="{1EC615F7-14F5-4646-8A98-BC3EC10F01DD}"/>
    <cellStyle name="Comma 2 2 2 3 3 4 3 4 3" xfId="28234" xr:uid="{63329E1F-C151-4126-84EC-217AF4206E2C}"/>
    <cellStyle name="Comma 2 2 2 3 3 4 3 5" xfId="6330" xr:uid="{BE819478-19A6-4E89-B8EE-C2CDA566F5E4}"/>
    <cellStyle name="Comma 2 2 2 3 3 4 3 5 2" xfId="42838" xr:uid="{0D994306-0F82-4DFD-A080-47F397A8A801}"/>
    <cellStyle name="Comma 2 2 2 3 3 4 3 5 3" xfId="24584" xr:uid="{89FB8003-0095-41C8-99AA-4DD330DAF384}"/>
    <cellStyle name="Comma 2 2 2 3 3 4 3 6" xfId="39188" xr:uid="{32036B26-AF63-4007-B301-70A7F260EB99}"/>
    <cellStyle name="Comma 2 2 2 3 3 4 3 7" xfId="20934" xr:uid="{5FDB3D8E-0249-4E9F-B608-9515BB9066E0}"/>
    <cellStyle name="Comma 2 2 2 3 3 4 4" xfId="1950" xr:uid="{CECBB7CB-A2B9-42A3-BF4B-40E9B37E5608}"/>
    <cellStyle name="Comma 2 2 2 3 3 4 4 2" xfId="16550" xr:uid="{91906606-4F49-4173-9E7E-5BD9B621613B}"/>
    <cellStyle name="Comma 2 2 2 3 3 4 4 2 2" xfId="53058" xr:uid="{B70DCEA6-1CB4-4D70-B0B5-E59B81BD18BC}"/>
    <cellStyle name="Comma 2 2 2 3 3 4 4 2 3" xfId="34804" xr:uid="{CDFCFAEE-4EB7-43D0-B45C-84522FDA31E8}"/>
    <cellStyle name="Comma 2 2 2 3 3 4 4 3" xfId="12900" xr:uid="{3C1A9085-E765-4C42-AB9A-B5C45E4C2D8F}"/>
    <cellStyle name="Comma 2 2 2 3 3 4 4 3 2" xfId="49408" xr:uid="{9D6E49DB-0146-4211-883A-B1ABB847AF02}"/>
    <cellStyle name="Comma 2 2 2 3 3 4 4 3 3" xfId="31154" xr:uid="{DB0A3FF0-DC15-446B-BB5A-5B62A3C6570E}"/>
    <cellStyle name="Comma 2 2 2 3 3 4 4 4" xfId="9250" xr:uid="{EB032348-54B3-4449-9F77-1AE046D1FC0F}"/>
    <cellStyle name="Comma 2 2 2 3 3 4 4 4 2" xfId="45758" xr:uid="{FCA329BC-D977-4CE9-8381-137E27D45AFA}"/>
    <cellStyle name="Comma 2 2 2 3 3 4 4 4 3" xfId="27504" xr:uid="{7A8EB88E-5427-45CC-826C-1D0B3352037A}"/>
    <cellStyle name="Comma 2 2 2 3 3 4 4 5" xfId="5600" xr:uid="{249FAFB0-6FC6-459C-AE99-307FBE1DC4F1}"/>
    <cellStyle name="Comma 2 2 2 3 3 4 4 5 2" xfId="42108" xr:uid="{B3B2EBA6-4EAF-41F0-BBEF-AB35670ABB7D}"/>
    <cellStyle name="Comma 2 2 2 3 3 4 4 5 3" xfId="23854" xr:uid="{5A4973BD-45B7-4317-8DEF-DA7B63FBD411}"/>
    <cellStyle name="Comma 2 2 2 3 3 4 4 6" xfId="38458" xr:uid="{BFD84271-181D-4094-BF6E-2EB950E3A7EB}"/>
    <cellStyle name="Comma 2 2 2 3 3 4 4 7" xfId="20204" xr:uid="{F9390EA9-A575-43DA-8C00-29C1199778AE}"/>
    <cellStyle name="Comma 2 2 2 3 3 4 5" xfId="1220" xr:uid="{F07AD442-0DCF-4D14-ADA8-E30D6D12A0F3}"/>
    <cellStyle name="Comma 2 2 2 3 3 4 5 2" xfId="15820" xr:uid="{A52BA670-34E9-4DBB-986E-AE80FD69679D}"/>
    <cellStyle name="Comma 2 2 2 3 3 4 5 2 2" xfId="52328" xr:uid="{62E10D2D-FE4A-4DF5-93E3-B5EC6908E23D}"/>
    <cellStyle name="Comma 2 2 2 3 3 4 5 2 3" xfId="34074" xr:uid="{E29124CF-885A-4195-BCAF-F7E30FBBAD79}"/>
    <cellStyle name="Comma 2 2 2 3 3 4 5 3" xfId="12170" xr:uid="{6459C970-1CFB-4B4B-832E-BFDAD87C6F16}"/>
    <cellStyle name="Comma 2 2 2 3 3 4 5 3 2" xfId="48678" xr:uid="{A4EB2FC1-9CC8-4FA8-B061-646869A61A78}"/>
    <cellStyle name="Comma 2 2 2 3 3 4 5 3 3" xfId="30424" xr:uid="{4ADF2137-2134-49BE-B4E8-65CF010E6264}"/>
    <cellStyle name="Comma 2 2 2 3 3 4 5 4" xfId="8520" xr:uid="{7171A190-6781-4137-A361-6CF660648B4B}"/>
    <cellStyle name="Comma 2 2 2 3 3 4 5 4 2" xfId="45028" xr:uid="{D4333BE3-1374-4FF9-96E0-169FE7C99D96}"/>
    <cellStyle name="Comma 2 2 2 3 3 4 5 4 3" xfId="26774" xr:uid="{E49CDCA6-1AFC-454B-9125-C2F1653A124C}"/>
    <cellStyle name="Comma 2 2 2 3 3 4 5 5" xfId="4870" xr:uid="{DF242AB3-7819-4FF2-8E41-FF54A9EBE6D6}"/>
    <cellStyle name="Comma 2 2 2 3 3 4 5 5 2" xfId="41378" xr:uid="{E96C69AE-8C28-4E85-A61B-CB72FE76B21E}"/>
    <cellStyle name="Comma 2 2 2 3 3 4 5 5 3" xfId="23124" xr:uid="{0346359A-FD83-4F32-8EFB-9C93767ED19E}"/>
    <cellStyle name="Comma 2 2 2 3 3 4 5 6" xfId="37728" xr:uid="{A622A137-2991-434A-B1EA-8D6993689A3E}"/>
    <cellStyle name="Comma 2 2 2 3 3 4 5 7" xfId="19474" xr:uid="{D5C4B795-EB77-4615-BB6E-0CEFEF84C341}"/>
    <cellStyle name="Comma 2 2 2 3 3 4 6" xfId="15090" xr:uid="{1633711A-F25F-4287-AA95-7AFFE9F407F9}"/>
    <cellStyle name="Comma 2 2 2 3 3 4 6 2" xfId="51598" xr:uid="{0ED666F5-53DD-4296-B757-A3F1C18386F5}"/>
    <cellStyle name="Comma 2 2 2 3 3 4 6 3" xfId="33344" xr:uid="{37DF643F-CCAD-45D9-B86B-6FE0FEAF0070}"/>
    <cellStyle name="Comma 2 2 2 3 3 4 7" xfId="11440" xr:uid="{C3C80DB1-6566-4ACF-AC6D-00A3A5129AC9}"/>
    <cellStyle name="Comma 2 2 2 3 3 4 7 2" xfId="47948" xr:uid="{207D89E4-FD7F-4A7E-8D70-44C52533B326}"/>
    <cellStyle name="Comma 2 2 2 3 3 4 7 3" xfId="29694" xr:uid="{6796013C-0F0B-47D2-AA42-4422D51EB8BE}"/>
    <cellStyle name="Comma 2 2 2 3 3 4 8" xfId="7790" xr:uid="{984D7F5D-A8A8-4BF2-AE01-08693391A626}"/>
    <cellStyle name="Comma 2 2 2 3 3 4 8 2" xfId="44298" xr:uid="{DC1316E2-B9AE-4E98-807E-A8F672E5F02B}"/>
    <cellStyle name="Comma 2 2 2 3 3 4 8 3" xfId="26044" xr:uid="{ECE250B0-11E4-4844-B107-FE973506140F}"/>
    <cellStyle name="Comma 2 2 2 3 3 4 9" xfId="4140" xr:uid="{5FD8AA5F-2156-4DB9-B87D-2B89CD1A0EF0}"/>
    <cellStyle name="Comma 2 2 2 3 3 4 9 2" xfId="40648" xr:uid="{690CEAAF-77B3-43E6-A73C-B8BD83D5989D}"/>
    <cellStyle name="Comma 2 2 2 3 3 4 9 3" xfId="22394" xr:uid="{A5C2FD29-3936-41EF-B3B7-626E6EDDA88C}"/>
    <cellStyle name="Comma 2 2 2 3 3 5" xfId="386" xr:uid="{A6F3739B-6F16-4C51-96AF-E3EF21B696BE}"/>
    <cellStyle name="Comma 2 2 2 3 3 5 10" xfId="36894" xr:uid="{A0689E54-C0F3-4082-A29B-C5812B2A9ABC}"/>
    <cellStyle name="Comma 2 2 2 3 3 5 11" xfId="18640" xr:uid="{C3B8236D-E734-427D-8BA0-9158B95C6801}"/>
    <cellStyle name="Comma 2 2 2 3 3 5 2" xfId="3306" xr:uid="{A1295AE7-3014-4179-BB83-4E250200517A}"/>
    <cellStyle name="Comma 2 2 2 3 3 5 2 2" xfId="17906" xr:uid="{6822161D-9AD2-463D-A0DF-855EEAD94C1A}"/>
    <cellStyle name="Comma 2 2 2 3 3 5 2 2 2" xfId="54414" xr:uid="{A531C242-F569-44CE-BF42-8BE6AC22C715}"/>
    <cellStyle name="Comma 2 2 2 3 3 5 2 2 3" xfId="36160" xr:uid="{1C781606-B28C-482E-9627-1B30836426C6}"/>
    <cellStyle name="Comma 2 2 2 3 3 5 2 3" xfId="14256" xr:uid="{AE9B6326-823D-41AC-9CDB-96E1018B5108}"/>
    <cellStyle name="Comma 2 2 2 3 3 5 2 3 2" xfId="50764" xr:uid="{F233A8A1-5B52-42F9-8A30-C6EA25104970}"/>
    <cellStyle name="Comma 2 2 2 3 3 5 2 3 3" xfId="32510" xr:uid="{5AC1CB33-AB91-40EF-8594-AFB37D87FED5}"/>
    <cellStyle name="Comma 2 2 2 3 3 5 2 4" xfId="10606" xr:uid="{3EC98F41-EBE4-4305-8AD3-72D39FCBC87F}"/>
    <cellStyle name="Comma 2 2 2 3 3 5 2 4 2" xfId="47114" xr:uid="{99D9F08F-4357-4BF7-9665-B9B651470B3B}"/>
    <cellStyle name="Comma 2 2 2 3 3 5 2 4 3" xfId="28860" xr:uid="{65D9A70F-0A5C-4855-90D5-E627081A47CA}"/>
    <cellStyle name="Comma 2 2 2 3 3 5 2 5" xfId="6956" xr:uid="{3F9401F9-C054-43F2-8DC3-19A0166AC962}"/>
    <cellStyle name="Comma 2 2 2 3 3 5 2 5 2" xfId="43464" xr:uid="{A86F51A8-AEEB-474B-8AB1-0A7323B2C3E0}"/>
    <cellStyle name="Comma 2 2 2 3 3 5 2 5 3" xfId="25210" xr:uid="{EC573586-2699-4C27-A129-B3A5CA80D99D}"/>
    <cellStyle name="Comma 2 2 2 3 3 5 2 6" xfId="39814" xr:uid="{39EE68C6-3060-4DE1-AE59-E17CA834AF80}"/>
    <cellStyle name="Comma 2 2 2 3 3 5 2 7" xfId="21560" xr:uid="{38FE78E4-7A2A-4C5F-A8CD-206BEA36CBAC}"/>
    <cellStyle name="Comma 2 2 2 3 3 5 3" xfId="2576" xr:uid="{F2743290-2547-4E70-BC87-3E5E74A034D5}"/>
    <cellStyle name="Comma 2 2 2 3 3 5 3 2" xfId="17176" xr:uid="{8BFD4AF8-23EB-449C-9431-DA1E7E89372C}"/>
    <cellStyle name="Comma 2 2 2 3 3 5 3 2 2" xfId="53684" xr:uid="{DC4154FA-0483-4418-B86C-F89DF84F92C4}"/>
    <cellStyle name="Comma 2 2 2 3 3 5 3 2 3" xfId="35430" xr:uid="{86DACCF4-A45C-4F5A-8A38-333E038E0584}"/>
    <cellStyle name="Comma 2 2 2 3 3 5 3 3" xfId="13526" xr:uid="{40642C2E-6B07-42F0-996B-1F86E935BF94}"/>
    <cellStyle name="Comma 2 2 2 3 3 5 3 3 2" xfId="50034" xr:uid="{879870FB-5B03-4E73-BC5F-69F663A82D5A}"/>
    <cellStyle name="Comma 2 2 2 3 3 5 3 3 3" xfId="31780" xr:uid="{B67C7843-A5E4-4FDB-8619-01DA55D93FEA}"/>
    <cellStyle name="Comma 2 2 2 3 3 5 3 4" xfId="9876" xr:uid="{36F01B97-0E56-4AA5-8B18-E6808B410960}"/>
    <cellStyle name="Comma 2 2 2 3 3 5 3 4 2" xfId="46384" xr:uid="{6B81862B-D88E-4063-A142-0BE95F04F0E9}"/>
    <cellStyle name="Comma 2 2 2 3 3 5 3 4 3" xfId="28130" xr:uid="{D83A26A0-F551-495C-9E4A-CAF5EF9DE923}"/>
    <cellStyle name="Comma 2 2 2 3 3 5 3 5" xfId="6226" xr:uid="{199475FB-E4EE-4AF7-81E6-FE618B6A0AA4}"/>
    <cellStyle name="Comma 2 2 2 3 3 5 3 5 2" xfId="42734" xr:uid="{C0A72CA0-D346-4731-838E-6BC104C96292}"/>
    <cellStyle name="Comma 2 2 2 3 3 5 3 5 3" xfId="24480" xr:uid="{160F6971-229E-4214-80CE-EEF7A822F18E}"/>
    <cellStyle name="Comma 2 2 2 3 3 5 3 6" xfId="39084" xr:uid="{0DEE1FF2-3E39-403B-89C6-E13113CBE181}"/>
    <cellStyle name="Comma 2 2 2 3 3 5 3 7" xfId="20830" xr:uid="{A27D1360-C7DE-446B-B8A9-9B281DC80E5D}"/>
    <cellStyle name="Comma 2 2 2 3 3 5 4" xfId="1846" xr:uid="{78F1B79F-0782-4FEE-B9EE-395207326324}"/>
    <cellStyle name="Comma 2 2 2 3 3 5 4 2" xfId="16446" xr:uid="{66888EDA-9B33-4958-B9A9-85EA7779E69B}"/>
    <cellStyle name="Comma 2 2 2 3 3 5 4 2 2" xfId="52954" xr:uid="{E82AA01E-A861-46C9-ACCC-73C33CE3FF3F}"/>
    <cellStyle name="Comma 2 2 2 3 3 5 4 2 3" xfId="34700" xr:uid="{2D9819F8-25E3-4DDC-B084-2C82F04F6CA7}"/>
    <cellStyle name="Comma 2 2 2 3 3 5 4 3" xfId="12796" xr:uid="{DB822FAA-8011-48F9-B445-CEF599FB4780}"/>
    <cellStyle name="Comma 2 2 2 3 3 5 4 3 2" xfId="49304" xr:uid="{F9537834-1DCD-4000-8D51-FD23F9AFB60D}"/>
    <cellStyle name="Comma 2 2 2 3 3 5 4 3 3" xfId="31050" xr:uid="{4FF33314-9B7B-4988-A83F-703BF7875B79}"/>
    <cellStyle name="Comma 2 2 2 3 3 5 4 4" xfId="9146" xr:uid="{21E9D6EC-33D0-40F2-91A8-02582E48ECE1}"/>
    <cellStyle name="Comma 2 2 2 3 3 5 4 4 2" xfId="45654" xr:uid="{2A9D754B-1B56-41A0-A3C4-05F8D422C4C5}"/>
    <cellStyle name="Comma 2 2 2 3 3 5 4 4 3" xfId="27400" xr:uid="{D3913557-7533-4FB9-B571-CC9C9EBFF8A2}"/>
    <cellStyle name="Comma 2 2 2 3 3 5 4 5" xfId="5496" xr:uid="{5E063A48-E493-49C4-BBD3-481A4E9BD800}"/>
    <cellStyle name="Comma 2 2 2 3 3 5 4 5 2" xfId="42004" xr:uid="{CA3F03C6-EC38-4F72-B690-5F7B60956AEC}"/>
    <cellStyle name="Comma 2 2 2 3 3 5 4 5 3" xfId="23750" xr:uid="{3DCCCD7A-7A1A-4538-B643-95ACCC91F030}"/>
    <cellStyle name="Comma 2 2 2 3 3 5 4 6" xfId="38354" xr:uid="{8388A211-2DFC-4B39-9FC7-95B3EEEF8F3D}"/>
    <cellStyle name="Comma 2 2 2 3 3 5 4 7" xfId="20100" xr:uid="{7F204D45-E0A8-4402-8053-0AA61F4A4D94}"/>
    <cellStyle name="Comma 2 2 2 3 3 5 5" xfId="1116" xr:uid="{D6B59D4F-57C1-46F7-9599-A853DC526D97}"/>
    <cellStyle name="Comma 2 2 2 3 3 5 5 2" xfId="15716" xr:uid="{481072AF-7DE0-4884-84C1-8658949D07B1}"/>
    <cellStyle name="Comma 2 2 2 3 3 5 5 2 2" xfId="52224" xr:uid="{A4A50143-7453-4954-9802-06F12B243478}"/>
    <cellStyle name="Comma 2 2 2 3 3 5 5 2 3" xfId="33970" xr:uid="{41F5A6E8-FCF9-4A31-98DA-F243F197ACFA}"/>
    <cellStyle name="Comma 2 2 2 3 3 5 5 3" xfId="12066" xr:uid="{C2700C90-87D1-4F88-A510-4C3D1F0E8556}"/>
    <cellStyle name="Comma 2 2 2 3 3 5 5 3 2" xfId="48574" xr:uid="{6AAC5508-1445-478D-9C25-8189D1DFFC40}"/>
    <cellStyle name="Comma 2 2 2 3 3 5 5 3 3" xfId="30320" xr:uid="{498BCFEB-0149-4B1F-B555-6E4A2BB2A02E}"/>
    <cellStyle name="Comma 2 2 2 3 3 5 5 4" xfId="8416" xr:uid="{E7877B7D-EAAB-4675-9466-7AE607849B78}"/>
    <cellStyle name="Comma 2 2 2 3 3 5 5 4 2" xfId="44924" xr:uid="{714BAED2-DA8A-4022-A5F4-91A1BB563329}"/>
    <cellStyle name="Comma 2 2 2 3 3 5 5 4 3" xfId="26670" xr:uid="{257EF4C8-822A-45DC-BB67-83236CA28743}"/>
    <cellStyle name="Comma 2 2 2 3 3 5 5 5" xfId="4766" xr:uid="{10B19354-8C3F-449D-8ADC-D0791F4E1B59}"/>
    <cellStyle name="Comma 2 2 2 3 3 5 5 5 2" xfId="41274" xr:uid="{6EE13A11-4A13-4617-876E-710EA0CDC08D}"/>
    <cellStyle name="Comma 2 2 2 3 3 5 5 5 3" xfId="23020" xr:uid="{30C01E84-DA0A-4306-9498-5F36CB7DA23A}"/>
    <cellStyle name="Comma 2 2 2 3 3 5 5 6" xfId="37624" xr:uid="{527B90E2-2F42-4F11-8A5D-D16916F44963}"/>
    <cellStyle name="Comma 2 2 2 3 3 5 5 7" xfId="19370" xr:uid="{D55586F4-0854-4AD4-8107-E0BC1B19C368}"/>
    <cellStyle name="Comma 2 2 2 3 3 5 6" xfId="14986" xr:uid="{6B8AB53C-AFBE-4A9B-AE14-B19957413362}"/>
    <cellStyle name="Comma 2 2 2 3 3 5 6 2" xfId="51494" xr:uid="{EBEFC7FB-6147-4759-B5A1-CBD6E362B078}"/>
    <cellStyle name="Comma 2 2 2 3 3 5 6 3" xfId="33240" xr:uid="{6395E900-A857-4D6F-BA3B-434B4A27D5B9}"/>
    <cellStyle name="Comma 2 2 2 3 3 5 7" xfId="11336" xr:uid="{98D01BA7-5247-41AA-B7C9-66540DBDBD65}"/>
    <cellStyle name="Comma 2 2 2 3 3 5 7 2" xfId="47844" xr:uid="{FC285AA8-3DC3-4E6A-BF72-57DD7BA20E7F}"/>
    <cellStyle name="Comma 2 2 2 3 3 5 7 3" xfId="29590" xr:uid="{AD9B46BB-450A-4036-ACB1-A3DD65C82930}"/>
    <cellStyle name="Comma 2 2 2 3 3 5 8" xfId="7686" xr:uid="{A982BA64-F9F8-4C8B-B65D-22604D559DFD}"/>
    <cellStyle name="Comma 2 2 2 3 3 5 8 2" xfId="44194" xr:uid="{68192C61-F253-43E5-A4BC-D23FB6058B30}"/>
    <cellStyle name="Comma 2 2 2 3 3 5 8 3" xfId="25940" xr:uid="{4E0F3C36-BC58-44B8-B7D5-924342B6571D}"/>
    <cellStyle name="Comma 2 2 2 3 3 5 9" xfId="4036" xr:uid="{C6160C7A-06D6-4A55-B98A-E8DA3173DD24}"/>
    <cellStyle name="Comma 2 2 2 3 3 5 9 2" xfId="40544" xr:uid="{5848245B-60D6-4298-819E-7CBCE9D8CD45}"/>
    <cellStyle name="Comma 2 2 2 3 3 5 9 3" xfId="22290" xr:uid="{463958F7-40A1-492D-884B-D20634BA7008}"/>
    <cellStyle name="Comma 2 2 2 3 3 6" xfId="282" xr:uid="{507BCF35-2C81-46E3-AD89-A1C98566CFD1}"/>
    <cellStyle name="Comma 2 2 2 3 3 6 10" xfId="36790" xr:uid="{F0E55F5E-6FA3-48A8-9E79-48B02C4085DC}"/>
    <cellStyle name="Comma 2 2 2 3 3 6 11" xfId="18536" xr:uid="{AE0B9BAF-519B-4AD4-AB71-6B4D44199F6B}"/>
    <cellStyle name="Comma 2 2 2 3 3 6 2" xfId="3202" xr:uid="{95A5D77F-AA8F-4FAF-B228-F0EC12414F0C}"/>
    <cellStyle name="Comma 2 2 2 3 3 6 2 2" xfId="17802" xr:uid="{D914A74F-9D78-48EB-94C4-9E39A0466EC4}"/>
    <cellStyle name="Comma 2 2 2 3 3 6 2 2 2" xfId="54310" xr:uid="{D55F84FE-D3D6-4338-B544-EA1AC25FC74E}"/>
    <cellStyle name="Comma 2 2 2 3 3 6 2 2 3" xfId="36056" xr:uid="{203AF548-65E2-4E7E-B5A6-36E12FD52D32}"/>
    <cellStyle name="Comma 2 2 2 3 3 6 2 3" xfId="14152" xr:uid="{ED87EA3A-72BD-470A-AF87-C87BB038AFE7}"/>
    <cellStyle name="Comma 2 2 2 3 3 6 2 3 2" xfId="50660" xr:uid="{9E217CE2-9938-475A-9953-66999AC39AED}"/>
    <cellStyle name="Comma 2 2 2 3 3 6 2 3 3" xfId="32406" xr:uid="{6BF6DB7E-FB5D-4D03-977C-EA2BB9EFA9E8}"/>
    <cellStyle name="Comma 2 2 2 3 3 6 2 4" xfId="10502" xr:uid="{AB2FAD38-E7F9-4934-B7B3-D730B774F607}"/>
    <cellStyle name="Comma 2 2 2 3 3 6 2 4 2" xfId="47010" xr:uid="{D7891F8A-861B-4005-8BA4-C8EA54789BC1}"/>
    <cellStyle name="Comma 2 2 2 3 3 6 2 4 3" xfId="28756" xr:uid="{F87FB6E7-CB7F-4EF0-8A73-814051D17BE9}"/>
    <cellStyle name="Comma 2 2 2 3 3 6 2 5" xfId="6852" xr:uid="{9D75C7E2-C2F4-4AE5-A08E-FC71975F76F6}"/>
    <cellStyle name="Comma 2 2 2 3 3 6 2 5 2" xfId="43360" xr:uid="{2C41D5AD-C77F-41E2-9EDA-D156C15092A6}"/>
    <cellStyle name="Comma 2 2 2 3 3 6 2 5 3" xfId="25106" xr:uid="{57A22192-1C4A-4910-98FE-0110966B8AED}"/>
    <cellStyle name="Comma 2 2 2 3 3 6 2 6" xfId="39710" xr:uid="{C98FE818-E934-4A36-8069-18D6755D065C}"/>
    <cellStyle name="Comma 2 2 2 3 3 6 2 7" xfId="21456" xr:uid="{1258C0FE-3B39-456F-AAEF-443EE8B547D3}"/>
    <cellStyle name="Comma 2 2 2 3 3 6 3" xfId="2472" xr:uid="{A90BA2F3-8B37-474C-A9F5-7F161E5E1BEF}"/>
    <cellStyle name="Comma 2 2 2 3 3 6 3 2" xfId="17072" xr:uid="{328C91C6-810E-4C48-8F31-76AEACC4CB29}"/>
    <cellStyle name="Comma 2 2 2 3 3 6 3 2 2" xfId="53580" xr:uid="{5FD3F5B2-A62A-4F95-86B1-06030927BA88}"/>
    <cellStyle name="Comma 2 2 2 3 3 6 3 2 3" xfId="35326" xr:uid="{9F2052B2-2B4C-46D5-9012-C3B18AD334D0}"/>
    <cellStyle name="Comma 2 2 2 3 3 6 3 3" xfId="13422" xr:uid="{4EC61C9B-DA2A-46A7-9997-E4F36E08FAFB}"/>
    <cellStyle name="Comma 2 2 2 3 3 6 3 3 2" xfId="49930" xr:uid="{8B25EDDE-BE7D-46D4-A652-AAC713A558E6}"/>
    <cellStyle name="Comma 2 2 2 3 3 6 3 3 3" xfId="31676" xr:uid="{9973D3EF-2606-40CB-8B75-BB625AE0DA80}"/>
    <cellStyle name="Comma 2 2 2 3 3 6 3 4" xfId="9772" xr:uid="{B720AD03-A968-4088-A980-7644774F0753}"/>
    <cellStyle name="Comma 2 2 2 3 3 6 3 4 2" xfId="46280" xr:uid="{F7B2704A-842F-449A-B210-62CBD728B1BA}"/>
    <cellStyle name="Comma 2 2 2 3 3 6 3 4 3" xfId="28026" xr:uid="{7795F6B4-D4BA-46F4-9325-9FC23DD1AE55}"/>
    <cellStyle name="Comma 2 2 2 3 3 6 3 5" xfId="6122" xr:uid="{E73FDD28-98FD-457B-BCBE-D6E465F40260}"/>
    <cellStyle name="Comma 2 2 2 3 3 6 3 5 2" xfId="42630" xr:uid="{58965B0E-26C4-470E-81CF-83A9B4E77C15}"/>
    <cellStyle name="Comma 2 2 2 3 3 6 3 5 3" xfId="24376" xr:uid="{900FD48B-A1C0-4E8A-B2AF-FFD25182903A}"/>
    <cellStyle name="Comma 2 2 2 3 3 6 3 6" xfId="38980" xr:uid="{4F9B13F7-7660-43AF-817A-8571570FAAA8}"/>
    <cellStyle name="Comma 2 2 2 3 3 6 3 7" xfId="20726" xr:uid="{569964B6-C52C-4D26-A558-4368693018B0}"/>
    <cellStyle name="Comma 2 2 2 3 3 6 4" xfId="1742" xr:uid="{0F9580FE-2215-4E71-ABD7-BE765B206EFB}"/>
    <cellStyle name="Comma 2 2 2 3 3 6 4 2" xfId="16342" xr:uid="{8B60D1D4-0838-4018-972F-05CF01538778}"/>
    <cellStyle name="Comma 2 2 2 3 3 6 4 2 2" xfId="52850" xr:uid="{733E82AC-7F54-4B21-8D55-345AD9F32210}"/>
    <cellStyle name="Comma 2 2 2 3 3 6 4 2 3" xfId="34596" xr:uid="{E071FE3A-5AF8-4439-BA62-BE5F8CA9EB4C}"/>
    <cellStyle name="Comma 2 2 2 3 3 6 4 3" xfId="12692" xr:uid="{1A182E41-96C8-410C-B56E-75B516CB493A}"/>
    <cellStyle name="Comma 2 2 2 3 3 6 4 3 2" xfId="49200" xr:uid="{7759CB2C-A494-4BD2-A0A2-305CDBF481B6}"/>
    <cellStyle name="Comma 2 2 2 3 3 6 4 3 3" xfId="30946" xr:uid="{C3DEBC7A-EF1B-4B9D-94AC-F45BCD9385A4}"/>
    <cellStyle name="Comma 2 2 2 3 3 6 4 4" xfId="9042" xr:uid="{82307BCD-FEAF-461D-8F04-F268B6A627BA}"/>
    <cellStyle name="Comma 2 2 2 3 3 6 4 4 2" xfId="45550" xr:uid="{BA95C30F-FEC7-4A43-98BC-8581E7994E69}"/>
    <cellStyle name="Comma 2 2 2 3 3 6 4 4 3" xfId="27296" xr:uid="{AFEF455B-3389-45F8-BC1A-306DB9927EAC}"/>
    <cellStyle name="Comma 2 2 2 3 3 6 4 5" xfId="5392" xr:uid="{EAD4F94F-A8EF-45AC-86AD-C4C44B631448}"/>
    <cellStyle name="Comma 2 2 2 3 3 6 4 5 2" xfId="41900" xr:uid="{61DF9ACB-63CC-439F-9B50-6AA757D4F90E}"/>
    <cellStyle name="Comma 2 2 2 3 3 6 4 5 3" xfId="23646" xr:uid="{B1216355-3785-4B29-8E24-C398132B0E7E}"/>
    <cellStyle name="Comma 2 2 2 3 3 6 4 6" xfId="38250" xr:uid="{E6B825C0-7B2C-4DB5-846E-483F17A8260B}"/>
    <cellStyle name="Comma 2 2 2 3 3 6 4 7" xfId="19996" xr:uid="{A62E6C09-D0F8-42EE-ADA6-974D55D61668}"/>
    <cellStyle name="Comma 2 2 2 3 3 6 5" xfId="1012" xr:uid="{64D620C2-3875-4A86-8979-BAE28D26D859}"/>
    <cellStyle name="Comma 2 2 2 3 3 6 5 2" xfId="15612" xr:uid="{462FAC1B-B08C-49A1-AEA0-CF62D8944987}"/>
    <cellStyle name="Comma 2 2 2 3 3 6 5 2 2" xfId="52120" xr:uid="{479CE2CC-932E-451B-AC3A-3E3E58F21193}"/>
    <cellStyle name="Comma 2 2 2 3 3 6 5 2 3" xfId="33866" xr:uid="{C9564CBC-3A1C-4785-AEA1-39425651EB53}"/>
    <cellStyle name="Comma 2 2 2 3 3 6 5 3" xfId="11962" xr:uid="{27ACF635-6C71-4D4F-A082-D8DCD13D43D1}"/>
    <cellStyle name="Comma 2 2 2 3 3 6 5 3 2" xfId="48470" xr:uid="{BB47F45D-0A31-42CB-84B5-D9726CC794DD}"/>
    <cellStyle name="Comma 2 2 2 3 3 6 5 3 3" xfId="30216" xr:uid="{9514A61F-8058-4232-A3C0-779DD8320E74}"/>
    <cellStyle name="Comma 2 2 2 3 3 6 5 4" xfId="8312" xr:uid="{61B16EAE-6CD3-4352-9EF7-44D99E48336C}"/>
    <cellStyle name="Comma 2 2 2 3 3 6 5 4 2" xfId="44820" xr:uid="{B376DCD3-CAF1-44C9-957D-111C4010AF18}"/>
    <cellStyle name="Comma 2 2 2 3 3 6 5 4 3" xfId="26566" xr:uid="{AD946680-9420-4537-87CB-20F9E0729F56}"/>
    <cellStyle name="Comma 2 2 2 3 3 6 5 5" xfId="4662" xr:uid="{1DF45BC2-473D-41CC-A33D-76B46D351F71}"/>
    <cellStyle name="Comma 2 2 2 3 3 6 5 5 2" xfId="41170" xr:uid="{49CC04FA-3787-4418-A6F9-1142D8FDC333}"/>
    <cellStyle name="Comma 2 2 2 3 3 6 5 5 3" xfId="22916" xr:uid="{18695182-8833-462C-819E-386BB80CC54E}"/>
    <cellStyle name="Comma 2 2 2 3 3 6 5 6" xfId="37520" xr:uid="{48DF0AD1-2BEE-4B8A-A5F4-A6C141BB827C}"/>
    <cellStyle name="Comma 2 2 2 3 3 6 5 7" xfId="19266" xr:uid="{E14F963C-B002-481E-BFF4-F4FE94B0694F}"/>
    <cellStyle name="Comma 2 2 2 3 3 6 6" xfId="14882" xr:uid="{D637F2B2-73BC-468E-9239-F665E73095A8}"/>
    <cellStyle name="Comma 2 2 2 3 3 6 6 2" xfId="51390" xr:uid="{BA77D027-C8F2-4D0F-A8C5-9F99D53B454B}"/>
    <cellStyle name="Comma 2 2 2 3 3 6 6 3" xfId="33136" xr:uid="{1A0735A3-8149-4580-A65D-5AC6A3BBBD1F}"/>
    <cellStyle name="Comma 2 2 2 3 3 6 7" xfId="11232" xr:uid="{F5D46669-25E4-4522-ADB1-6CB29609979C}"/>
    <cellStyle name="Comma 2 2 2 3 3 6 7 2" xfId="47740" xr:uid="{2171DE46-E6AD-425B-A71D-4608A26D7F5B}"/>
    <cellStyle name="Comma 2 2 2 3 3 6 7 3" xfId="29486" xr:uid="{ED7FF4C9-BEA1-4D94-8F0A-A1955CF384AE}"/>
    <cellStyle name="Comma 2 2 2 3 3 6 8" xfId="7582" xr:uid="{4DEFEA74-B930-43DE-AB97-F09A887D2D79}"/>
    <cellStyle name="Comma 2 2 2 3 3 6 8 2" xfId="44090" xr:uid="{5CF520D2-DF5C-443B-885D-4599EFA4CBA7}"/>
    <cellStyle name="Comma 2 2 2 3 3 6 8 3" xfId="25836" xr:uid="{174E0298-EF29-4BA1-A1EE-B19FA55BF1A3}"/>
    <cellStyle name="Comma 2 2 2 3 3 6 9" xfId="3932" xr:uid="{529E5DC1-34BD-448D-A52D-9D5B1C922330}"/>
    <cellStyle name="Comma 2 2 2 3 3 6 9 2" xfId="40440" xr:uid="{FA991001-8D61-4E59-AB86-AFFF7193E938}"/>
    <cellStyle name="Comma 2 2 2 3 3 6 9 3" xfId="22186" xr:uid="{1C941918-1777-462E-B2ED-9EFA48A87C1A}"/>
    <cellStyle name="Comma 2 2 2 3 3 7" xfId="178" xr:uid="{2F147A66-18F8-4BA0-BBE2-553A1A06D947}"/>
    <cellStyle name="Comma 2 2 2 3 3 7 10" xfId="36686" xr:uid="{1FAC9735-C04C-4033-9A6E-9227D5557622}"/>
    <cellStyle name="Comma 2 2 2 3 3 7 11" xfId="18432" xr:uid="{51E65ED3-FE52-49B4-A800-65A4F072925E}"/>
    <cellStyle name="Comma 2 2 2 3 3 7 2" xfId="3098" xr:uid="{26FFE42F-CBAD-4E32-B801-269A073BEECA}"/>
    <cellStyle name="Comma 2 2 2 3 3 7 2 2" xfId="17698" xr:uid="{DDD488FC-4050-4B8E-8142-528023D04601}"/>
    <cellStyle name="Comma 2 2 2 3 3 7 2 2 2" xfId="54206" xr:uid="{6D9A36DE-5FE5-409B-BC4B-B1B871AAE9DD}"/>
    <cellStyle name="Comma 2 2 2 3 3 7 2 2 3" xfId="35952" xr:uid="{70F04819-9F64-4C7E-B049-720D87F9BDE1}"/>
    <cellStyle name="Comma 2 2 2 3 3 7 2 3" xfId="14048" xr:uid="{76D8798C-1F31-448A-8243-970887B370D0}"/>
    <cellStyle name="Comma 2 2 2 3 3 7 2 3 2" xfId="50556" xr:uid="{40B39056-7091-4B41-9C47-5711554F9DA9}"/>
    <cellStyle name="Comma 2 2 2 3 3 7 2 3 3" xfId="32302" xr:uid="{BECB7E06-79C9-4894-A9D0-B7A5F503A115}"/>
    <cellStyle name="Comma 2 2 2 3 3 7 2 4" xfId="10398" xr:uid="{DEED50C4-6B20-477E-B1D3-C51270CE91FB}"/>
    <cellStyle name="Comma 2 2 2 3 3 7 2 4 2" xfId="46906" xr:uid="{0307A427-89A3-498D-BF6A-7745D544067D}"/>
    <cellStyle name="Comma 2 2 2 3 3 7 2 4 3" xfId="28652" xr:uid="{3F772545-6898-422B-801C-DE603306219B}"/>
    <cellStyle name="Comma 2 2 2 3 3 7 2 5" xfId="6748" xr:uid="{4F690941-24FB-4F60-BC0E-3529C7392C79}"/>
    <cellStyle name="Comma 2 2 2 3 3 7 2 5 2" xfId="43256" xr:uid="{385469A3-E61D-409A-A98B-8D4ED580692A}"/>
    <cellStyle name="Comma 2 2 2 3 3 7 2 5 3" xfId="25002" xr:uid="{72EAC38E-79E9-4460-8D76-83A942878267}"/>
    <cellStyle name="Comma 2 2 2 3 3 7 2 6" xfId="39606" xr:uid="{33769876-FAF2-4712-AC94-C5B9DE2E8D15}"/>
    <cellStyle name="Comma 2 2 2 3 3 7 2 7" xfId="21352" xr:uid="{5CF408E6-1A4E-42C1-B70C-0E2F21C702D9}"/>
    <cellStyle name="Comma 2 2 2 3 3 7 3" xfId="2368" xr:uid="{47CD0EBF-D61C-4B9D-9654-A8CFC9AFBDBD}"/>
    <cellStyle name="Comma 2 2 2 3 3 7 3 2" xfId="16968" xr:uid="{5BA29B8D-AAC9-4FA6-AAE4-144A9CE4753D}"/>
    <cellStyle name="Comma 2 2 2 3 3 7 3 2 2" xfId="53476" xr:uid="{F80245AE-8458-4D5C-B38D-9CDC443BE776}"/>
    <cellStyle name="Comma 2 2 2 3 3 7 3 2 3" xfId="35222" xr:uid="{D199BDE2-A3E8-4182-9C9A-0DA6FE8C15A9}"/>
    <cellStyle name="Comma 2 2 2 3 3 7 3 3" xfId="13318" xr:uid="{73F723E1-F973-445D-8654-4B2D1EA0638C}"/>
    <cellStyle name="Comma 2 2 2 3 3 7 3 3 2" xfId="49826" xr:uid="{989E0C56-FB94-4765-A6C5-E61FB3A05225}"/>
    <cellStyle name="Comma 2 2 2 3 3 7 3 3 3" xfId="31572" xr:uid="{C135993E-80E5-4045-BA43-841633525979}"/>
    <cellStyle name="Comma 2 2 2 3 3 7 3 4" xfId="9668" xr:uid="{2B071F92-5E29-4E3F-937E-8EEC8533076B}"/>
    <cellStyle name="Comma 2 2 2 3 3 7 3 4 2" xfId="46176" xr:uid="{DFC58C8E-9A5D-40BE-AD65-54A5428B1E89}"/>
    <cellStyle name="Comma 2 2 2 3 3 7 3 4 3" xfId="27922" xr:uid="{157314FF-B362-48F2-A037-D849F1D56E18}"/>
    <cellStyle name="Comma 2 2 2 3 3 7 3 5" xfId="6018" xr:uid="{873DF131-ED6D-4518-AAE6-52577B203CA7}"/>
    <cellStyle name="Comma 2 2 2 3 3 7 3 5 2" xfId="42526" xr:uid="{9CA48129-BE23-40F9-8EF1-602B9164E3D2}"/>
    <cellStyle name="Comma 2 2 2 3 3 7 3 5 3" xfId="24272" xr:uid="{A53E638C-5D8D-494A-B94A-9D0D4FF66416}"/>
    <cellStyle name="Comma 2 2 2 3 3 7 3 6" xfId="38876" xr:uid="{AD2FAD4D-7D40-464A-8247-ED094325DF37}"/>
    <cellStyle name="Comma 2 2 2 3 3 7 3 7" xfId="20622" xr:uid="{7DF6D254-25D9-446F-B0A4-CA11C3D13105}"/>
    <cellStyle name="Comma 2 2 2 3 3 7 4" xfId="1638" xr:uid="{24AE47D8-D03F-4B00-B53B-8765B529BE68}"/>
    <cellStyle name="Comma 2 2 2 3 3 7 4 2" xfId="16238" xr:uid="{F1464011-3A59-4C22-8719-A2CE095E2A21}"/>
    <cellStyle name="Comma 2 2 2 3 3 7 4 2 2" xfId="52746" xr:uid="{8ADF3C57-3A2A-4546-B49F-632C6C979490}"/>
    <cellStyle name="Comma 2 2 2 3 3 7 4 2 3" xfId="34492" xr:uid="{C472C556-865A-4370-9971-BFCDCBEC7843}"/>
    <cellStyle name="Comma 2 2 2 3 3 7 4 3" xfId="12588" xr:uid="{9CB2CBCB-9B78-47A9-9DC7-DBC0B56650E8}"/>
    <cellStyle name="Comma 2 2 2 3 3 7 4 3 2" xfId="49096" xr:uid="{9E2F9173-5BE4-4A04-A698-1CC8FEDDF062}"/>
    <cellStyle name="Comma 2 2 2 3 3 7 4 3 3" xfId="30842" xr:uid="{F53AAD04-0E26-4CF2-8F0D-2D277A5BFB63}"/>
    <cellStyle name="Comma 2 2 2 3 3 7 4 4" xfId="8938" xr:uid="{7C0F43AA-8A7F-46A4-818A-8A73A77C0D43}"/>
    <cellStyle name="Comma 2 2 2 3 3 7 4 4 2" xfId="45446" xr:uid="{1DFCB6EB-70DA-48C6-9F87-44D9978152C8}"/>
    <cellStyle name="Comma 2 2 2 3 3 7 4 4 3" xfId="27192" xr:uid="{2CEAC22A-FF73-4397-BFCA-7D0F15542EB6}"/>
    <cellStyle name="Comma 2 2 2 3 3 7 4 5" xfId="5288" xr:uid="{1623B7BD-8662-4D09-BD65-96C928A7A712}"/>
    <cellStyle name="Comma 2 2 2 3 3 7 4 5 2" xfId="41796" xr:uid="{ECB36F25-1BE4-4884-9C3D-ECBF3A5F65CF}"/>
    <cellStyle name="Comma 2 2 2 3 3 7 4 5 3" xfId="23542" xr:uid="{92E40B6A-B475-48C7-A4BC-157B955E4781}"/>
    <cellStyle name="Comma 2 2 2 3 3 7 4 6" xfId="38146" xr:uid="{BC6092B1-3FBE-41E1-8464-76EAD67AB235}"/>
    <cellStyle name="Comma 2 2 2 3 3 7 4 7" xfId="19892" xr:uid="{28AB7D45-DE74-4FF3-B083-2BC248A82946}"/>
    <cellStyle name="Comma 2 2 2 3 3 7 5" xfId="908" xr:uid="{1DFF3626-5137-43A7-92A4-426F7C4C632C}"/>
    <cellStyle name="Comma 2 2 2 3 3 7 5 2" xfId="15508" xr:uid="{04A07A96-DE58-4B0A-86F4-1440F1D05EB9}"/>
    <cellStyle name="Comma 2 2 2 3 3 7 5 2 2" xfId="52016" xr:uid="{2392DE23-68F0-4C8F-8120-849131E00443}"/>
    <cellStyle name="Comma 2 2 2 3 3 7 5 2 3" xfId="33762" xr:uid="{913A47E5-6FE5-4296-8392-7C333EBDDB2C}"/>
    <cellStyle name="Comma 2 2 2 3 3 7 5 3" xfId="11858" xr:uid="{37FB3C57-D815-418E-B79C-83C23099A3A3}"/>
    <cellStyle name="Comma 2 2 2 3 3 7 5 3 2" xfId="48366" xr:uid="{BD050AA6-D1E2-4994-A498-D854D0256BC1}"/>
    <cellStyle name="Comma 2 2 2 3 3 7 5 3 3" xfId="30112" xr:uid="{A42FA221-BD00-45DB-AE30-AF6A98FA2D0C}"/>
    <cellStyle name="Comma 2 2 2 3 3 7 5 4" xfId="8208" xr:uid="{BBA16670-B893-495C-8AFC-A6007E94F4E3}"/>
    <cellStyle name="Comma 2 2 2 3 3 7 5 4 2" xfId="44716" xr:uid="{2C078946-F8CD-49C9-82BE-ACF90038DBBB}"/>
    <cellStyle name="Comma 2 2 2 3 3 7 5 4 3" xfId="26462" xr:uid="{4C562576-59D5-4577-A73B-405275A410E7}"/>
    <cellStyle name="Comma 2 2 2 3 3 7 5 5" xfId="4558" xr:uid="{F5199EE6-B92F-4815-92CA-BE1005EC1374}"/>
    <cellStyle name="Comma 2 2 2 3 3 7 5 5 2" xfId="41066" xr:uid="{B4F8A0E3-634D-4C29-BAE1-B89CEDBFD252}"/>
    <cellStyle name="Comma 2 2 2 3 3 7 5 5 3" xfId="22812" xr:uid="{82ACF3E3-BE78-4588-A707-13EFD4F979CA}"/>
    <cellStyle name="Comma 2 2 2 3 3 7 5 6" xfId="37416" xr:uid="{61B4622C-E11F-44C7-92BB-7A5AE9391225}"/>
    <cellStyle name="Comma 2 2 2 3 3 7 5 7" xfId="19162" xr:uid="{07DE22D6-1173-4EFB-A2FC-BF5A5875B0C8}"/>
    <cellStyle name="Comma 2 2 2 3 3 7 6" xfId="14778" xr:uid="{E6EC81D8-C1CB-4168-BE42-DF5162A7541B}"/>
    <cellStyle name="Comma 2 2 2 3 3 7 6 2" xfId="51286" xr:uid="{D885EB8A-6D8F-43BC-A775-4FE4C89DC175}"/>
    <cellStyle name="Comma 2 2 2 3 3 7 6 3" xfId="33032" xr:uid="{A5A54CBF-A376-4A9E-908B-4B73E7819C7D}"/>
    <cellStyle name="Comma 2 2 2 3 3 7 7" xfId="11128" xr:uid="{AC4F1077-9350-4F70-B73A-3648FAF861B1}"/>
    <cellStyle name="Comma 2 2 2 3 3 7 7 2" xfId="47636" xr:uid="{17C6895F-2607-4030-BBE0-515146DC5C48}"/>
    <cellStyle name="Comma 2 2 2 3 3 7 7 3" xfId="29382" xr:uid="{F4DA5981-5787-4CCF-B4EB-5B1A32028A4F}"/>
    <cellStyle name="Comma 2 2 2 3 3 7 8" xfId="7478" xr:uid="{8373C065-3DA5-409C-A13C-50AA7969A469}"/>
    <cellStyle name="Comma 2 2 2 3 3 7 8 2" xfId="43986" xr:uid="{457488CB-66B5-40E2-9489-6D9A79E4093A}"/>
    <cellStyle name="Comma 2 2 2 3 3 7 8 3" xfId="25732" xr:uid="{ADFFC02C-791E-498D-9569-3F45B2225224}"/>
    <cellStyle name="Comma 2 2 2 3 3 7 9" xfId="3828" xr:uid="{9CA72EFF-AFAB-4ECE-8DD3-9B82FC983209}"/>
    <cellStyle name="Comma 2 2 2 3 3 7 9 2" xfId="40336" xr:uid="{97F3776F-839B-4B41-B8F6-CD277FDD896B}"/>
    <cellStyle name="Comma 2 2 2 3 3 7 9 3" xfId="22082" xr:uid="{52FCFA49-DA7F-49AE-97A9-9C2CCAA30D3A}"/>
    <cellStyle name="Comma 2 2 2 3 3 8" xfId="2994" xr:uid="{246D6650-A017-47BB-91D6-B0711FF7759F}"/>
    <cellStyle name="Comma 2 2 2 3 3 8 2" xfId="17594" xr:uid="{E27A797F-47B8-45D5-B70E-44EF5727A3BF}"/>
    <cellStyle name="Comma 2 2 2 3 3 8 2 2" xfId="54102" xr:uid="{C055CA35-9BDE-46F6-8ED1-3986E56AE80E}"/>
    <cellStyle name="Comma 2 2 2 3 3 8 2 3" xfId="35848" xr:uid="{F02ACA49-288F-4D2E-BEA2-B1A65D528651}"/>
    <cellStyle name="Comma 2 2 2 3 3 8 3" xfId="13944" xr:uid="{BF969EB1-466F-4204-9A37-B37715C8913B}"/>
    <cellStyle name="Comma 2 2 2 3 3 8 3 2" xfId="50452" xr:uid="{B56D1EA6-646F-4DF7-88D3-96B4ACF20292}"/>
    <cellStyle name="Comma 2 2 2 3 3 8 3 3" xfId="32198" xr:uid="{B5323A30-A251-4B1D-8D89-27C2DA0DBC5A}"/>
    <cellStyle name="Comma 2 2 2 3 3 8 4" xfId="10294" xr:uid="{CCE44E0F-E923-4530-84F4-F80624799D9D}"/>
    <cellStyle name="Comma 2 2 2 3 3 8 4 2" xfId="46802" xr:uid="{874BC6D7-6F5B-4949-8E72-365EF8806342}"/>
    <cellStyle name="Comma 2 2 2 3 3 8 4 3" xfId="28548" xr:uid="{615A2C37-899A-4FC5-9558-1286AEEB2041}"/>
    <cellStyle name="Comma 2 2 2 3 3 8 5" xfId="6644" xr:uid="{1C8DA1CF-C947-4AAB-91D0-5876BD1240DC}"/>
    <cellStyle name="Comma 2 2 2 3 3 8 5 2" xfId="43152" xr:uid="{888EBC3F-59F7-42CB-9EFF-C4B7F8567979}"/>
    <cellStyle name="Comma 2 2 2 3 3 8 5 3" xfId="24898" xr:uid="{E25903E3-5D79-4601-93D6-5498E9D953DA}"/>
    <cellStyle name="Comma 2 2 2 3 3 8 6" xfId="39502" xr:uid="{06A1D5F3-0A84-46E9-83EA-767002A9BD1D}"/>
    <cellStyle name="Comma 2 2 2 3 3 8 7" xfId="21248" xr:uid="{4FDE7EAF-C238-4520-9026-E7E36E68A6DA}"/>
    <cellStyle name="Comma 2 2 2 3 3 9" xfId="2264" xr:uid="{62B04D1A-884B-4ED2-AF11-84D412B24509}"/>
    <cellStyle name="Comma 2 2 2 3 3 9 2" xfId="16864" xr:uid="{164F390F-2818-4721-BBE2-F2D3D7FEC767}"/>
    <cellStyle name="Comma 2 2 2 3 3 9 2 2" xfId="53372" xr:uid="{ECE5DD61-42CC-445F-A602-8CC8B1589F34}"/>
    <cellStyle name="Comma 2 2 2 3 3 9 2 3" xfId="35118" xr:uid="{5886CC22-EBD8-4651-BF4F-40750A28F45F}"/>
    <cellStyle name="Comma 2 2 2 3 3 9 3" xfId="13214" xr:uid="{52FF401D-E5D3-435B-9840-08916B435786}"/>
    <cellStyle name="Comma 2 2 2 3 3 9 3 2" xfId="49722" xr:uid="{56E5D54E-8959-4C39-99AA-F4C174FD05F4}"/>
    <cellStyle name="Comma 2 2 2 3 3 9 3 3" xfId="31468" xr:uid="{7356D4AC-0469-4641-B33E-142E7635150F}"/>
    <cellStyle name="Comma 2 2 2 3 3 9 4" xfId="9564" xr:uid="{F0D459D7-9220-4ACD-86E5-2B2D8F764597}"/>
    <cellStyle name="Comma 2 2 2 3 3 9 4 2" xfId="46072" xr:uid="{9A864244-7FFA-4A39-8AF6-C64467708241}"/>
    <cellStyle name="Comma 2 2 2 3 3 9 4 3" xfId="27818" xr:uid="{5B2A4E87-4E94-4D77-88D8-C7DFC6851D6E}"/>
    <cellStyle name="Comma 2 2 2 3 3 9 5" xfId="5914" xr:uid="{8690F02F-44DF-4365-B9B8-60F5C3CB2794}"/>
    <cellStyle name="Comma 2 2 2 3 3 9 5 2" xfId="42422" xr:uid="{FF080604-49FA-43E6-A9E4-A0F1FA336D8E}"/>
    <cellStyle name="Comma 2 2 2 3 3 9 5 3" xfId="24168" xr:uid="{DCB94DC5-AD11-4782-AF3F-41029A38FAE6}"/>
    <cellStyle name="Comma 2 2 2 3 3 9 6" xfId="38772" xr:uid="{4269F943-2B83-4CE7-A83B-04B89595A0D4}"/>
    <cellStyle name="Comma 2 2 2 3 3 9 7" xfId="20518" xr:uid="{7D915E41-AAB4-40D2-85AA-369DF64C799D}"/>
    <cellStyle name="Comma 2 2 2 3 4" xfId="666" xr:uid="{6E4DAA8C-4E26-4125-9FC5-7058D189125D}"/>
    <cellStyle name="Comma 2 2 2 3 4 10" xfId="37174" xr:uid="{435CFA4A-F965-4A98-B219-8AF35B56DD68}"/>
    <cellStyle name="Comma 2 2 2 3 4 11" xfId="18920" xr:uid="{7E839C27-1E31-45B5-B8B9-E7D646B4CAA8}"/>
    <cellStyle name="Comma 2 2 2 3 4 2" xfId="3586" xr:uid="{32F1C606-2C64-4F44-93DB-916267798725}"/>
    <cellStyle name="Comma 2 2 2 3 4 2 2" xfId="18186" xr:uid="{B46F6A63-6FF0-4578-A219-FC6F0666B994}"/>
    <cellStyle name="Comma 2 2 2 3 4 2 2 2" xfId="54694" xr:uid="{5AA69461-8252-4A6B-8735-F007446FE976}"/>
    <cellStyle name="Comma 2 2 2 3 4 2 2 3" xfId="36440" xr:uid="{5C15B99E-8015-46D1-8740-6F1DE7B845D8}"/>
    <cellStyle name="Comma 2 2 2 3 4 2 3" xfId="14536" xr:uid="{1F888A29-7D88-4804-B7E8-21F861D12740}"/>
    <cellStyle name="Comma 2 2 2 3 4 2 3 2" xfId="51044" xr:uid="{F895EA78-9358-4562-ABD9-6449401DDA29}"/>
    <cellStyle name="Comma 2 2 2 3 4 2 3 3" xfId="32790" xr:uid="{6EED6053-F89C-44C8-870E-E586D20692E2}"/>
    <cellStyle name="Comma 2 2 2 3 4 2 4" xfId="10886" xr:uid="{7FAB2727-A74D-49FA-B72B-CCEC689BDBB4}"/>
    <cellStyle name="Comma 2 2 2 3 4 2 4 2" xfId="47394" xr:uid="{4BCFE105-7820-4FFD-8709-16949049B0A4}"/>
    <cellStyle name="Comma 2 2 2 3 4 2 4 3" xfId="29140" xr:uid="{6FBF3D22-8D91-42AF-B28F-E3458D03AF9A}"/>
    <cellStyle name="Comma 2 2 2 3 4 2 5" xfId="7236" xr:uid="{B6D95587-F9D6-49BF-895F-E8307F7AFA74}"/>
    <cellStyle name="Comma 2 2 2 3 4 2 5 2" xfId="43744" xr:uid="{A2F14666-23EA-4C30-95D4-2A13F753BEC9}"/>
    <cellStyle name="Comma 2 2 2 3 4 2 5 3" xfId="25490" xr:uid="{E12FB990-33D9-499E-ADD6-7B523DD53E54}"/>
    <cellStyle name="Comma 2 2 2 3 4 2 6" xfId="40094" xr:uid="{EF0109D9-8A22-44F2-BD48-0BA641B1E862}"/>
    <cellStyle name="Comma 2 2 2 3 4 2 7" xfId="21840" xr:uid="{CA202AF7-A04F-41CB-BE11-E8BDA7C07885}"/>
    <cellStyle name="Comma 2 2 2 3 4 3" xfId="2856" xr:uid="{4BFDF5AA-1045-48A0-8797-E8FE0FC8970D}"/>
    <cellStyle name="Comma 2 2 2 3 4 3 2" xfId="17456" xr:uid="{5162B128-6F5B-4C0D-890F-070E7C65C229}"/>
    <cellStyle name="Comma 2 2 2 3 4 3 2 2" xfId="53964" xr:uid="{D5D74D13-04C4-48A0-8FD1-4B75FD128CC3}"/>
    <cellStyle name="Comma 2 2 2 3 4 3 2 3" xfId="35710" xr:uid="{C5718B93-F5C7-457F-B628-17D4F54BFF43}"/>
    <cellStyle name="Comma 2 2 2 3 4 3 3" xfId="13806" xr:uid="{70F33174-72E8-46B5-A87A-66024B574374}"/>
    <cellStyle name="Comma 2 2 2 3 4 3 3 2" xfId="50314" xr:uid="{C31C02B2-4016-4EB4-AFF6-05B5EB6E4990}"/>
    <cellStyle name="Comma 2 2 2 3 4 3 3 3" xfId="32060" xr:uid="{3AD4B6CA-43F1-4C2B-835D-296805D438EF}"/>
    <cellStyle name="Comma 2 2 2 3 4 3 4" xfId="10156" xr:uid="{132A9BBD-96FD-4B8A-BCFB-B5ED63346B71}"/>
    <cellStyle name="Comma 2 2 2 3 4 3 4 2" xfId="46664" xr:uid="{34C59C4F-52A9-46B3-9561-07D929124316}"/>
    <cellStyle name="Comma 2 2 2 3 4 3 4 3" xfId="28410" xr:uid="{296B255B-4FC6-4A89-A47E-9ACA19067BD2}"/>
    <cellStyle name="Comma 2 2 2 3 4 3 5" xfId="6506" xr:uid="{A6AA8F99-9AF5-4456-A032-7C4D74511FC2}"/>
    <cellStyle name="Comma 2 2 2 3 4 3 5 2" xfId="43014" xr:uid="{04617DF8-E52E-4AEA-A518-4841BEB8770B}"/>
    <cellStyle name="Comma 2 2 2 3 4 3 5 3" xfId="24760" xr:uid="{10A62EAC-BC09-4477-B325-118177779DE1}"/>
    <cellStyle name="Comma 2 2 2 3 4 3 6" xfId="39364" xr:uid="{26BFC71E-1C65-47AD-9192-3E4AA1A66ED4}"/>
    <cellStyle name="Comma 2 2 2 3 4 3 7" xfId="21110" xr:uid="{6CB3C3A2-F153-4D83-BE13-2D3D0E9E2793}"/>
    <cellStyle name="Comma 2 2 2 3 4 4" xfId="2126" xr:uid="{F5F7333D-5ED2-482A-9081-C71E31328E76}"/>
    <cellStyle name="Comma 2 2 2 3 4 4 2" xfId="16726" xr:uid="{A551ED8C-9CD8-4EC3-87DB-342D2BC4C075}"/>
    <cellStyle name="Comma 2 2 2 3 4 4 2 2" xfId="53234" xr:uid="{A8D10CE0-B790-4AFB-BC85-2085B7B2428F}"/>
    <cellStyle name="Comma 2 2 2 3 4 4 2 3" xfId="34980" xr:uid="{05DE2CE9-4DD3-4BB3-8EAA-F6393709FD37}"/>
    <cellStyle name="Comma 2 2 2 3 4 4 3" xfId="13076" xr:uid="{A772FD84-272B-4143-8B81-68F097BA5B56}"/>
    <cellStyle name="Comma 2 2 2 3 4 4 3 2" xfId="49584" xr:uid="{B9F8AF83-0766-4116-8168-809AAE44DAD5}"/>
    <cellStyle name="Comma 2 2 2 3 4 4 3 3" xfId="31330" xr:uid="{CD57B6AD-234F-4F4B-81E6-091E918C7119}"/>
    <cellStyle name="Comma 2 2 2 3 4 4 4" xfId="9426" xr:uid="{664F3847-0B32-4E19-8B46-18159007403E}"/>
    <cellStyle name="Comma 2 2 2 3 4 4 4 2" xfId="45934" xr:uid="{AED81A7F-88D7-4E08-A85F-4C5370CDF3EF}"/>
    <cellStyle name="Comma 2 2 2 3 4 4 4 3" xfId="27680" xr:uid="{AA396681-9882-4F55-B996-A1DE39417905}"/>
    <cellStyle name="Comma 2 2 2 3 4 4 5" xfId="5776" xr:uid="{602AAFDB-9502-4228-BF44-158A91E7CA4C}"/>
    <cellStyle name="Comma 2 2 2 3 4 4 5 2" xfId="42284" xr:uid="{FFE181F0-D81F-4E07-AF57-50356B85E57A}"/>
    <cellStyle name="Comma 2 2 2 3 4 4 5 3" xfId="24030" xr:uid="{D20661E2-636A-4787-BBC9-2BD1D2FDD9F8}"/>
    <cellStyle name="Comma 2 2 2 3 4 4 6" xfId="38634" xr:uid="{0F8EDE6F-9B51-4069-B918-0B6403E2CB3D}"/>
    <cellStyle name="Comma 2 2 2 3 4 4 7" xfId="20380" xr:uid="{33F8FFAB-884B-4620-8F34-629803B3D5D4}"/>
    <cellStyle name="Comma 2 2 2 3 4 5" xfId="1396" xr:uid="{7882A08F-CF47-4C07-850E-22339BF8AC15}"/>
    <cellStyle name="Comma 2 2 2 3 4 5 2" xfId="15996" xr:uid="{1DF2B47B-D74F-4AE3-8233-8C249689EA85}"/>
    <cellStyle name="Comma 2 2 2 3 4 5 2 2" xfId="52504" xr:uid="{2E2B3F7B-3328-4B26-961E-D920BA1AED3C}"/>
    <cellStyle name="Comma 2 2 2 3 4 5 2 3" xfId="34250" xr:uid="{D6D0CF9F-DB58-4C0F-9BA2-5119283651C4}"/>
    <cellStyle name="Comma 2 2 2 3 4 5 3" xfId="12346" xr:uid="{9D612C10-82B4-49CE-A62B-DEF046869C9E}"/>
    <cellStyle name="Comma 2 2 2 3 4 5 3 2" xfId="48854" xr:uid="{60BAF9EB-E924-49D9-949B-4E9136D6F8CC}"/>
    <cellStyle name="Comma 2 2 2 3 4 5 3 3" xfId="30600" xr:uid="{F25FEAC6-6E8D-4B14-B4CD-90B47AFD62E0}"/>
    <cellStyle name="Comma 2 2 2 3 4 5 4" xfId="8696" xr:uid="{DE7B5449-48E8-4930-9ACF-25958D173C5C}"/>
    <cellStyle name="Comma 2 2 2 3 4 5 4 2" xfId="45204" xr:uid="{6AD4DF1C-E1B4-4EF0-870E-86FDBD8CA73A}"/>
    <cellStyle name="Comma 2 2 2 3 4 5 4 3" xfId="26950" xr:uid="{8FFB8963-BE50-41AB-BBC9-A872E921201E}"/>
    <cellStyle name="Comma 2 2 2 3 4 5 5" xfId="5046" xr:uid="{E078EEEB-24F5-400F-9142-DCF2E11767A2}"/>
    <cellStyle name="Comma 2 2 2 3 4 5 5 2" xfId="41554" xr:uid="{AEB676D3-5989-415A-876C-0B2AFDCEABFA}"/>
    <cellStyle name="Comma 2 2 2 3 4 5 5 3" xfId="23300" xr:uid="{1423952B-4C5D-4D26-8C06-B0A6770AEA1D}"/>
    <cellStyle name="Comma 2 2 2 3 4 5 6" xfId="37904" xr:uid="{57CD22A2-5356-43BF-95DA-7A0702903B67}"/>
    <cellStyle name="Comma 2 2 2 3 4 5 7" xfId="19650" xr:uid="{30A9EB7F-CF2C-4B3D-8AA2-BA847F36E743}"/>
    <cellStyle name="Comma 2 2 2 3 4 6" xfId="15266" xr:uid="{E77FE5F2-23E9-4FF1-9480-37C32B55392B}"/>
    <cellStyle name="Comma 2 2 2 3 4 6 2" xfId="51774" xr:uid="{F7561C35-E4BD-4525-A73A-CD206043FA5F}"/>
    <cellStyle name="Comma 2 2 2 3 4 6 3" xfId="33520" xr:uid="{40D4C80D-DB09-4D66-AE0F-24ADFC01F0E5}"/>
    <cellStyle name="Comma 2 2 2 3 4 7" xfId="11616" xr:uid="{748ECF55-8458-4434-B58C-00F9DA35BCD2}"/>
    <cellStyle name="Comma 2 2 2 3 4 7 2" xfId="48124" xr:uid="{DE6AAFBA-D725-492E-AB09-59CDCC2321E9}"/>
    <cellStyle name="Comma 2 2 2 3 4 7 3" xfId="29870" xr:uid="{03796EAD-5FFD-4D25-9D07-3BACF39434CB}"/>
    <cellStyle name="Comma 2 2 2 3 4 8" xfId="7966" xr:uid="{04A1D940-F25A-475E-B100-DA3EF6027312}"/>
    <cellStyle name="Comma 2 2 2 3 4 8 2" xfId="44474" xr:uid="{243005F7-B975-49AA-A9DB-44E6ABF123FB}"/>
    <cellStyle name="Comma 2 2 2 3 4 8 3" xfId="26220" xr:uid="{098029E9-885A-4670-A606-0E2BFAB8D1A8}"/>
    <cellStyle name="Comma 2 2 2 3 4 9" xfId="4316" xr:uid="{31A8F208-0B0B-4346-B18F-36EA91EEA08F}"/>
    <cellStyle name="Comma 2 2 2 3 4 9 2" xfId="40824" xr:uid="{5C9A381F-2919-4333-A912-7807E8A29D56}"/>
    <cellStyle name="Comma 2 2 2 3 4 9 3" xfId="22570" xr:uid="{BC63EDFF-4A09-41C7-9DE9-A032FBBFDF39}"/>
    <cellStyle name="Comma 2 2 2 3 5" xfId="562" xr:uid="{1EF509E1-6B97-4CE2-B26A-EAB9C83103DE}"/>
    <cellStyle name="Comma 2 2 2 3 5 10" xfId="37070" xr:uid="{039A631E-432A-473B-962F-600E900303C8}"/>
    <cellStyle name="Comma 2 2 2 3 5 11" xfId="18816" xr:uid="{A01F5408-264D-446A-B2BF-CD5D51DB15CF}"/>
    <cellStyle name="Comma 2 2 2 3 5 2" xfId="3482" xr:uid="{6E8F4F5D-2AD9-41E8-9425-374F755B751D}"/>
    <cellStyle name="Comma 2 2 2 3 5 2 2" xfId="18082" xr:uid="{8FC64F1B-082D-412E-BF40-A09264056772}"/>
    <cellStyle name="Comma 2 2 2 3 5 2 2 2" xfId="54590" xr:uid="{4932E5A4-4381-4864-A739-CDE15FDA446A}"/>
    <cellStyle name="Comma 2 2 2 3 5 2 2 3" xfId="36336" xr:uid="{2D8A4D9F-68B3-4F56-9DDF-BC546B535EEC}"/>
    <cellStyle name="Comma 2 2 2 3 5 2 3" xfId="14432" xr:uid="{BA986C97-5F93-45BC-8731-F549181C86BF}"/>
    <cellStyle name="Comma 2 2 2 3 5 2 3 2" xfId="50940" xr:uid="{87627E34-ED5B-44FC-80B4-99A4E98A7109}"/>
    <cellStyle name="Comma 2 2 2 3 5 2 3 3" xfId="32686" xr:uid="{B4213680-EF5F-482C-A9FD-850FFA159436}"/>
    <cellStyle name="Comma 2 2 2 3 5 2 4" xfId="10782" xr:uid="{36CABAF7-CD26-4E39-BABB-F5C4D175EEA5}"/>
    <cellStyle name="Comma 2 2 2 3 5 2 4 2" xfId="47290" xr:uid="{E0BB599E-5DCA-4E45-9DC2-3F1ABC3698E4}"/>
    <cellStyle name="Comma 2 2 2 3 5 2 4 3" xfId="29036" xr:uid="{8416A5C3-7F03-4683-AA35-7D0FAEE4A86B}"/>
    <cellStyle name="Comma 2 2 2 3 5 2 5" xfId="7132" xr:uid="{0DC869F7-5507-41C9-BF9C-15B3E4975542}"/>
    <cellStyle name="Comma 2 2 2 3 5 2 5 2" xfId="43640" xr:uid="{4BB2A684-F2D6-40A9-BDD8-51FFC42CDFA5}"/>
    <cellStyle name="Comma 2 2 2 3 5 2 5 3" xfId="25386" xr:uid="{876FF033-DA60-411E-8894-5A7E43B2D927}"/>
    <cellStyle name="Comma 2 2 2 3 5 2 6" xfId="39990" xr:uid="{5C8DAA9F-C2B4-4FC0-AD25-754C47E345F5}"/>
    <cellStyle name="Comma 2 2 2 3 5 2 7" xfId="21736" xr:uid="{900B5A67-1B7E-4D35-8E0A-7ECC4B420DBB}"/>
    <cellStyle name="Comma 2 2 2 3 5 3" xfId="2752" xr:uid="{0C351FB7-50C3-49FA-BEF3-76197ED764B6}"/>
    <cellStyle name="Comma 2 2 2 3 5 3 2" xfId="17352" xr:uid="{C09B345B-2B38-4853-B74A-33381FDB4D0B}"/>
    <cellStyle name="Comma 2 2 2 3 5 3 2 2" xfId="53860" xr:uid="{71FFC4D9-673E-46C9-9755-490324F1B874}"/>
    <cellStyle name="Comma 2 2 2 3 5 3 2 3" xfId="35606" xr:uid="{0215D16E-0E45-4748-8605-70BCD108F3D9}"/>
    <cellStyle name="Comma 2 2 2 3 5 3 3" xfId="13702" xr:uid="{23F82E2E-725D-43CF-99B0-8B6FB2A680A8}"/>
    <cellStyle name="Comma 2 2 2 3 5 3 3 2" xfId="50210" xr:uid="{CE14AE13-B7A6-457E-89D0-F9D33B595E3C}"/>
    <cellStyle name="Comma 2 2 2 3 5 3 3 3" xfId="31956" xr:uid="{4F40DF26-6E3D-47AE-A934-AF5A65B97A8B}"/>
    <cellStyle name="Comma 2 2 2 3 5 3 4" xfId="10052" xr:uid="{F0E155B9-9146-440C-BF9E-E648A5E995C0}"/>
    <cellStyle name="Comma 2 2 2 3 5 3 4 2" xfId="46560" xr:uid="{06B624DB-179A-41DA-8CE2-02B8C3D2084B}"/>
    <cellStyle name="Comma 2 2 2 3 5 3 4 3" xfId="28306" xr:uid="{88CF464F-2EDD-40CA-BD9A-8F1C3364BC1B}"/>
    <cellStyle name="Comma 2 2 2 3 5 3 5" xfId="6402" xr:uid="{6A33135F-285E-4245-BE42-CCD650EEA696}"/>
    <cellStyle name="Comma 2 2 2 3 5 3 5 2" xfId="42910" xr:uid="{F52AB74D-E17E-423C-ABB5-9102E78DCAEB}"/>
    <cellStyle name="Comma 2 2 2 3 5 3 5 3" xfId="24656" xr:uid="{9E0104C1-A415-43EE-B247-8CE604328E43}"/>
    <cellStyle name="Comma 2 2 2 3 5 3 6" xfId="39260" xr:uid="{6BBABAF9-58A9-48AA-BCBA-906246CDA433}"/>
    <cellStyle name="Comma 2 2 2 3 5 3 7" xfId="21006" xr:uid="{91960FA3-766F-4EF3-84EB-B0E8927DD81E}"/>
    <cellStyle name="Comma 2 2 2 3 5 4" xfId="2022" xr:uid="{C2BD761B-DF89-4586-A9B4-5A48CD80DF22}"/>
    <cellStyle name="Comma 2 2 2 3 5 4 2" xfId="16622" xr:uid="{ABDADB3E-A47B-4A6A-A480-A3320CDC05E8}"/>
    <cellStyle name="Comma 2 2 2 3 5 4 2 2" xfId="53130" xr:uid="{7C4A6482-AE1A-40AA-9B8B-746243266ED4}"/>
    <cellStyle name="Comma 2 2 2 3 5 4 2 3" xfId="34876" xr:uid="{88A82A2A-F538-4AF4-BE75-FB12EDA4FC0A}"/>
    <cellStyle name="Comma 2 2 2 3 5 4 3" xfId="12972" xr:uid="{9BD28708-A49F-4916-8EC3-2E7264C3944E}"/>
    <cellStyle name="Comma 2 2 2 3 5 4 3 2" xfId="49480" xr:uid="{58F45B27-E7F4-4C9B-AF47-2B186E61D2FC}"/>
    <cellStyle name="Comma 2 2 2 3 5 4 3 3" xfId="31226" xr:uid="{875DB2FE-9492-4A04-B780-7D5F1EECC6A6}"/>
    <cellStyle name="Comma 2 2 2 3 5 4 4" xfId="9322" xr:uid="{C50273AC-4F7A-4764-90AC-DE1F6A709D10}"/>
    <cellStyle name="Comma 2 2 2 3 5 4 4 2" xfId="45830" xr:uid="{C31D1682-4CBA-4DE1-A7ED-9377E3FF30E3}"/>
    <cellStyle name="Comma 2 2 2 3 5 4 4 3" xfId="27576" xr:uid="{ABAA4A2B-7205-412B-B734-AF0032BD8494}"/>
    <cellStyle name="Comma 2 2 2 3 5 4 5" xfId="5672" xr:uid="{90D9EDD5-5AA0-4F77-9F2D-24C7D7B75E1F}"/>
    <cellStyle name="Comma 2 2 2 3 5 4 5 2" xfId="42180" xr:uid="{33CB1493-23D7-4893-96F2-A1C39A1C408D}"/>
    <cellStyle name="Comma 2 2 2 3 5 4 5 3" xfId="23926" xr:uid="{025FE99F-FA60-405F-BD27-F117BBFDF71A}"/>
    <cellStyle name="Comma 2 2 2 3 5 4 6" xfId="38530" xr:uid="{3BFC9BEC-FDAB-4F9C-90DE-9462D3ABB1AD}"/>
    <cellStyle name="Comma 2 2 2 3 5 4 7" xfId="20276" xr:uid="{4EBD354F-E226-49C2-8B5F-1426571770B6}"/>
    <cellStyle name="Comma 2 2 2 3 5 5" xfId="1292" xr:uid="{64236B8D-1929-4DA4-93F4-9F4E19906F45}"/>
    <cellStyle name="Comma 2 2 2 3 5 5 2" xfId="15892" xr:uid="{67153A10-7077-4751-B334-ED9C8EBF9FB8}"/>
    <cellStyle name="Comma 2 2 2 3 5 5 2 2" xfId="52400" xr:uid="{7CED4E2F-0D8B-4ECD-9B5E-D12869982C56}"/>
    <cellStyle name="Comma 2 2 2 3 5 5 2 3" xfId="34146" xr:uid="{FB759AE2-3F63-4574-9852-DAEB9E9D34A4}"/>
    <cellStyle name="Comma 2 2 2 3 5 5 3" xfId="12242" xr:uid="{258F48E8-03F9-44DC-9F09-C5AC81F81EA7}"/>
    <cellStyle name="Comma 2 2 2 3 5 5 3 2" xfId="48750" xr:uid="{F2976D7D-718C-4E61-8964-92CB40A42FE6}"/>
    <cellStyle name="Comma 2 2 2 3 5 5 3 3" xfId="30496" xr:uid="{C063D613-0155-437C-8514-23B1737EC646}"/>
    <cellStyle name="Comma 2 2 2 3 5 5 4" xfId="8592" xr:uid="{4FA0CBD1-BCD1-495D-A525-DDD1FACD4473}"/>
    <cellStyle name="Comma 2 2 2 3 5 5 4 2" xfId="45100" xr:uid="{34F2DCE5-1CF0-43C5-B548-7F38E369EC63}"/>
    <cellStyle name="Comma 2 2 2 3 5 5 4 3" xfId="26846" xr:uid="{FF1C7EE4-CF37-4FE1-A50F-10C1A93D7CCA}"/>
    <cellStyle name="Comma 2 2 2 3 5 5 5" xfId="4942" xr:uid="{5114E26E-F1CB-4F10-9B16-D20A81E8EEA1}"/>
    <cellStyle name="Comma 2 2 2 3 5 5 5 2" xfId="41450" xr:uid="{B79BFF80-98FB-450B-ADE6-6100701EFB75}"/>
    <cellStyle name="Comma 2 2 2 3 5 5 5 3" xfId="23196" xr:uid="{AC4B841C-EDB7-4713-AE64-52D1F6AF0834}"/>
    <cellStyle name="Comma 2 2 2 3 5 5 6" xfId="37800" xr:uid="{B3F9E3A1-28D7-47AF-BF10-1B342A7EBBAC}"/>
    <cellStyle name="Comma 2 2 2 3 5 5 7" xfId="19546" xr:uid="{47E1950D-59D5-4443-9560-836DC13BAAA4}"/>
    <cellStyle name="Comma 2 2 2 3 5 6" xfId="15162" xr:uid="{D6AC8669-73FF-4EF9-9A05-00EB16FC6308}"/>
    <cellStyle name="Comma 2 2 2 3 5 6 2" xfId="51670" xr:uid="{F7923239-2E4C-4B8A-82A3-0B55A5966791}"/>
    <cellStyle name="Comma 2 2 2 3 5 6 3" xfId="33416" xr:uid="{A113E36C-D274-4CD5-8949-7A4D2CB57C7E}"/>
    <cellStyle name="Comma 2 2 2 3 5 7" xfId="11512" xr:uid="{31DC03B7-A2C4-44CC-A99A-C588894DB0A3}"/>
    <cellStyle name="Comma 2 2 2 3 5 7 2" xfId="48020" xr:uid="{0E584D60-5745-4D96-B4BD-066AFFF16BB6}"/>
    <cellStyle name="Comma 2 2 2 3 5 7 3" xfId="29766" xr:uid="{33B6DE6B-F09D-4C08-BAC3-883ADBF13569}"/>
    <cellStyle name="Comma 2 2 2 3 5 8" xfId="7862" xr:uid="{A34E1005-EE28-4DA3-A8D1-EA4FB2017488}"/>
    <cellStyle name="Comma 2 2 2 3 5 8 2" xfId="44370" xr:uid="{AC79C3A7-267E-4ADC-888C-7F88FF59CE39}"/>
    <cellStyle name="Comma 2 2 2 3 5 8 3" xfId="26116" xr:uid="{4F826D10-A0E9-4F1F-8718-4493578EA572}"/>
    <cellStyle name="Comma 2 2 2 3 5 9" xfId="4212" xr:uid="{8D1A729C-7764-4C2A-9C8E-488B906DDD83}"/>
    <cellStyle name="Comma 2 2 2 3 5 9 2" xfId="40720" xr:uid="{C709E87D-6E30-450A-AC5B-44A3A252D87C}"/>
    <cellStyle name="Comma 2 2 2 3 5 9 3" xfId="22466" xr:uid="{72D23FBD-0966-4A01-91BE-8380EAECC6F6}"/>
    <cellStyle name="Comma 2 2 2 3 6" xfId="458" xr:uid="{47A6693C-F92F-4F25-8549-758504324CE4}"/>
    <cellStyle name="Comma 2 2 2 3 6 10" xfId="36966" xr:uid="{B50D8829-CBD5-4E7B-A05F-284A1A3AD534}"/>
    <cellStyle name="Comma 2 2 2 3 6 11" xfId="18712" xr:uid="{8218C6BE-2BA4-4753-9FAB-270427B0EDF3}"/>
    <cellStyle name="Comma 2 2 2 3 6 2" xfId="3378" xr:uid="{2E983B70-4FF9-4BBE-8AAF-48B988DACEDD}"/>
    <cellStyle name="Comma 2 2 2 3 6 2 2" xfId="17978" xr:uid="{68DCBCDC-3644-490D-AB72-8F3BDCC48632}"/>
    <cellStyle name="Comma 2 2 2 3 6 2 2 2" xfId="54486" xr:uid="{00CF2A70-2AB0-4FE8-B46A-67976EE0D756}"/>
    <cellStyle name="Comma 2 2 2 3 6 2 2 3" xfId="36232" xr:uid="{1BD75DDA-7F9E-4340-B320-083430B6982B}"/>
    <cellStyle name="Comma 2 2 2 3 6 2 3" xfId="14328" xr:uid="{F68BA0DD-BBBC-4620-8433-F475845B3CBE}"/>
    <cellStyle name="Comma 2 2 2 3 6 2 3 2" xfId="50836" xr:uid="{46D2951A-D95E-4D6D-8EC3-5069275E72C4}"/>
    <cellStyle name="Comma 2 2 2 3 6 2 3 3" xfId="32582" xr:uid="{8F43456D-B968-44D4-8B12-4416BED72AD3}"/>
    <cellStyle name="Comma 2 2 2 3 6 2 4" xfId="10678" xr:uid="{86399EED-5F28-49E5-8640-31700AD4B5A6}"/>
    <cellStyle name="Comma 2 2 2 3 6 2 4 2" xfId="47186" xr:uid="{8F2E3A1C-369B-4529-9263-0D395D2077CA}"/>
    <cellStyle name="Comma 2 2 2 3 6 2 4 3" xfId="28932" xr:uid="{7330A95E-78AF-4E62-AA83-27A1795BDE92}"/>
    <cellStyle name="Comma 2 2 2 3 6 2 5" xfId="7028" xr:uid="{1FAFBF70-98DA-43F9-B807-9C44A0DDBB73}"/>
    <cellStyle name="Comma 2 2 2 3 6 2 5 2" xfId="43536" xr:uid="{CEC6CC29-34F1-4DBF-9F4C-8A6F37FD5FEB}"/>
    <cellStyle name="Comma 2 2 2 3 6 2 5 3" xfId="25282" xr:uid="{758840D3-7FDF-41DD-874E-8008FE235730}"/>
    <cellStyle name="Comma 2 2 2 3 6 2 6" xfId="39886" xr:uid="{A1CBF5C0-17E8-4802-9FB9-1D442F36CA7F}"/>
    <cellStyle name="Comma 2 2 2 3 6 2 7" xfId="21632" xr:uid="{FE0E7FC6-27AB-454F-A6B4-3CE5FCCFA3DB}"/>
    <cellStyle name="Comma 2 2 2 3 6 3" xfId="2648" xr:uid="{56F6E576-9933-44CD-BEF6-80F8FFA419D7}"/>
    <cellStyle name="Comma 2 2 2 3 6 3 2" xfId="17248" xr:uid="{8B3089E4-BF9C-41E2-AB59-1636367DA4DB}"/>
    <cellStyle name="Comma 2 2 2 3 6 3 2 2" xfId="53756" xr:uid="{881A92C3-49BB-46F3-BC3E-8A1D7C772BA6}"/>
    <cellStyle name="Comma 2 2 2 3 6 3 2 3" xfId="35502" xr:uid="{2635AFE1-6C1A-43F1-A921-47283F1E18C3}"/>
    <cellStyle name="Comma 2 2 2 3 6 3 3" xfId="13598" xr:uid="{BDDDA12B-9558-4BDC-BF52-5E5A4D7EA2C7}"/>
    <cellStyle name="Comma 2 2 2 3 6 3 3 2" xfId="50106" xr:uid="{79BB6495-45BE-4A8C-935C-4A73376F769A}"/>
    <cellStyle name="Comma 2 2 2 3 6 3 3 3" xfId="31852" xr:uid="{2921BE48-35C7-4314-9B2D-FAEEC383FAB9}"/>
    <cellStyle name="Comma 2 2 2 3 6 3 4" xfId="9948" xr:uid="{A6A95552-D8F1-4F3D-B879-A1523A41B901}"/>
    <cellStyle name="Comma 2 2 2 3 6 3 4 2" xfId="46456" xr:uid="{24EF8525-FC1B-46CD-9CED-729AD81C6EAF}"/>
    <cellStyle name="Comma 2 2 2 3 6 3 4 3" xfId="28202" xr:uid="{F685DB4B-07C8-4F34-BED2-C4431DAF959F}"/>
    <cellStyle name="Comma 2 2 2 3 6 3 5" xfId="6298" xr:uid="{ED089490-134B-46F9-8446-92CD1BF234FB}"/>
    <cellStyle name="Comma 2 2 2 3 6 3 5 2" xfId="42806" xr:uid="{22888AE5-91CB-467C-B31B-ADECAC80CD8C}"/>
    <cellStyle name="Comma 2 2 2 3 6 3 5 3" xfId="24552" xr:uid="{426A4902-B288-4F4E-8545-D2FD98357B04}"/>
    <cellStyle name="Comma 2 2 2 3 6 3 6" xfId="39156" xr:uid="{1A9C131D-9313-4CBE-B6CA-6B5D1ADE5F1B}"/>
    <cellStyle name="Comma 2 2 2 3 6 3 7" xfId="20902" xr:uid="{63FAA481-D647-4B7A-8D19-617C254A96B9}"/>
    <cellStyle name="Comma 2 2 2 3 6 4" xfId="1918" xr:uid="{21E98178-7053-4FE3-930B-706A5A86DFB4}"/>
    <cellStyle name="Comma 2 2 2 3 6 4 2" xfId="16518" xr:uid="{E85257CF-23B6-4906-84A2-064EB0D29F32}"/>
    <cellStyle name="Comma 2 2 2 3 6 4 2 2" xfId="53026" xr:uid="{3BA6019F-0B31-4F06-A8CB-1DC8E3C6BECC}"/>
    <cellStyle name="Comma 2 2 2 3 6 4 2 3" xfId="34772" xr:uid="{8F73C9BD-9A3E-41E9-BAEA-C98F8AE6FA9A}"/>
    <cellStyle name="Comma 2 2 2 3 6 4 3" xfId="12868" xr:uid="{1FEA380B-B7C8-44FB-862C-DFE70DD93919}"/>
    <cellStyle name="Comma 2 2 2 3 6 4 3 2" xfId="49376" xr:uid="{16CBB9A0-0C65-444B-9192-6A930B58493C}"/>
    <cellStyle name="Comma 2 2 2 3 6 4 3 3" xfId="31122" xr:uid="{19837922-1510-404F-ABB4-B06D3D8C3314}"/>
    <cellStyle name="Comma 2 2 2 3 6 4 4" xfId="9218" xr:uid="{E7125689-165D-4EEA-BD32-3EB0F969D2F0}"/>
    <cellStyle name="Comma 2 2 2 3 6 4 4 2" xfId="45726" xr:uid="{2C96C330-1FD0-4504-8187-512FC14BF094}"/>
    <cellStyle name="Comma 2 2 2 3 6 4 4 3" xfId="27472" xr:uid="{52D3B329-F74E-475B-98AE-1C76F312A5F5}"/>
    <cellStyle name="Comma 2 2 2 3 6 4 5" xfId="5568" xr:uid="{982EDC02-C30F-47E3-91AC-7A04D33C439E}"/>
    <cellStyle name="Comma 2 2 2 3 6 4 5 2" xfId="42076" xr:uid="{5CB7047A-4555-490E-8856-9FAFFAD7FA39}"/>
    <cellStyle name="Comma 2 2 2 3 6 4 5 3" xfId="23822" xr:uid="{D353E2EC-A300-4FC3-86C4-68C08F9AD83E}"/>
    <cellStyle name="Comma 2 2 2 3 6 4 6" xfId="38426" xr:uid="{C74C943F-0639-4B38-8221-B9C8D214DEF6}"/>
    <cellStyle name="Comma 2 2 2 3 6 4 7" xfId="20172" xr:uid="{23B1BFF0-BD51-4125-B98A-C45217C83705}"/>
    <cellStyle name="Comma 2 2 2 3 6 5" xfId="1188" xr:uid="{8769B570-1627-42BB-85F3-39D31CCB32C4}"/>
    <cellStyle name="Comma 2 2 2 3 6 5 2" xfId="15788" xr:uid="{9E43A0B6-5521-4757-B334-9FAE2A6691F9}"/>
    <cellStyle name="Comma 2 2 2 3 6 5 2 2" xfId="52296" xr:uid="{2B063405-210B-464E-BA6E-064882B823A0}"/>
    <cellStyle name="Comma 2 2 2 3 6 5 2 3" xfId="34042" xr:uid="{25516831-F04D-4490-B812-359D903C79C3}"/>
    <cellStyle name="Comma 2 2 2 3 6 5 3" xfId="12138" xr:uid="{701EA047-8164-4C61-AE48-BDB30E3BD76C}"/>
    <cellStyle name="Comma 2 2 2 3 6 5 3 2" xfId="48646" xr:uid="{DC3CCD2D-D57E-44BA-8746-37CDBB83B589}"/>
    <cellStyle name="Comma 2 2 2 3 6 5 3 3" xfId="30392" xr:uid="{F1F94DBB-2E30-48DC-B1A5-07765439447B}"/>
    <cellStyle name="Comma 2 2 2 3 6 5 4" xfId="8488" xr:uid="{9D721F8C-11C4-4ADF-829A-0C02403AD9DA}"/>
    <cellStyle name="Comma 2 2 2 3 6 5 4 2" xfId="44996" xr:uid="{CA99CFAA-BC01-4B72-939B-DFA36CA0D7D8}"/>
    <cellStyle name="Comma 2 2 2 3 6 5 4 3" xfId="26742" xr:uid="{1A13C2AB-43C6-4EE9-B43E-9351001D3989}"/>
    <cellStyle name="Comma 2 2 2 3 6 5 5" xfId="4838" xr:uid="{7C6486C3-C45E-45C9-8BE9-0703BAAA4716}"/>
    <cellStyle name="Comma 2 2 2 3 6 5 5 2" xfId="41346" xr:uid="{53DBFDB2-19E0-42DE-8D30-D40EB9688022}"/>
    <cellStyle name="Comma 2 2 2 3 6 5 5 3" xfId="23092" xr:uid="{BA4A40DA-A175-4715-A9A5-32EF02AAD50B}"/>
    <cellStyle name="Comma 2 2 2 3 6 5 6" xfId="37696" xr:uid="{6A8B4AD8-6B4C-401A-9926-3FCDBA9193C1}"/>
    <cellStyle name="Comma 2 2 2 3 6 5 7" xfId="19442" xr:uid="{AAE1249D-2ECA-4E92-9B23-AF996B79FB4F}"/>
    <cellStyle name="Comma 2 2 2 3 6 6" xfId="15058" xr:uid="{4EDF6389-1E52-472B-AF27-38DF4326A02C}"/>
    <cellStyle name="Comma 2 2 2 3 6 6 2" xfId="51566" xr:uid="{11F6F485-D5D2-407E-A736-08952F65A1FC}"/>
    <cellStyle name="Comma 2 2 2 3 6 6 3" xfId="33312" xr:uid="{C6F0AF97-AA81-45D7-A206-23CCA130DD84}"/>
    <cellStyle name="Comma 2 2 2 3 6 7" xfId="11408" xr:uid="{C3ED68CE-15F3-4CC7-823E-B2B00D112252}"/>
    <cellStyle name="Comma 2 2 2 3 6 7 2" xfId="47916" xr:uid="{1B5AFCC9-0DD4-427E-B7C9-27823F22F1F9}"/>
    <cellStyle name="Comma 2 2 2 3 6 7 3" xfId="29662" xr:uid="{C76BFE4C-6F74-44CC-AAC8-AAD380CE48CC}"/>
    <cellStyle name="Comma 2 2 2 3 6 8" xfId="7758" xr:uid="{A3E055CF-7245-470B-AF4D-4DE4FFF98FDC}"/>
    <cellStyle name="Comma 2 2 2 3 6 8 2" xfId="44266" xr:uid="{00874CAE-869D-4221-A85A-0F5862526423}"/>
    <cellStyle name="Comma 2 2 2 3 6 8 3" xfId="26012" xr:uid="{3DC9F154-6AE7-420A-B556-41C73C2F0C12}"/>
    <cellStyle name="Comma 2 2 2 3 6 9" xfId="4108" xr:uid="{50209F3D-3C57-4D2A-8F51-C614D3D9CA64}"/>
    <cellStyle name="Comma 2 2 2 3 6 9 2" xfId="40616" xr:uid="{3F6F67EB-56D0-49FE-8D97-72D45DE775E3}"/>
    <cellStyle name="Comma 2 2 2 3 6 9 3" xfId="22362" xr:uid="{92341335-A6D0-4E41-BAAD-860B034B449C}"/>
    <cellStyle name="Comma 2 2 2 3 7" xfId="354" xr:uid="{0224B9D0-8421-4765-B9BD-C0AAB3D8C1D7}"/>
    <cellStyle name="Comma 2 2 2 3 7 10" xfId="36862" xr:uid="{16392906-36DD-477C-B101-4B0AB047A2CD}"/>
    <cellStyle name="Comma 2 2 2 3 7 11" xfId="18608" xr:uid="{F34561FC-CD96-4528-9C8C-A1757743C204}"/>
    <cellStyle name="Comma 2 2 2 3 7 2" xfId="3274" xr:uid="{DA7BFA0C-41D6-4888-A5DC-ABFF869B37FD}"/>
    <cellStyle name="Comma 2 2 2 3 7 2 2" xfId="17874" xr:uid="{1879047A-8E65-404A-9732-460790BBDFA2}"/>
    <cellStyle name="Comma 2 2 2 3 7 2 2 2" xfId="54382" xr:uid="{0995B2BC-8F6C-43C7-948E-52F177AD8228}"/>
    <cellStyle name="Comma 2 2 2 3 7 2 2 3" xfId="36128" xr:uid="{89BBA47F-C62E-4E91-A227-ED8DB7821649}"/>
    <cellStyle name="Comma 2 2 2 3 7 2 3" xfId="14224" xr:uid="{D61EB518-28C2-4926-9238-B6D264E30109}"/>
    <cellStyle name="Comma 2 2 2 3 7 2 3 2" xfId="50732" xr:uid="{3918748F-1FB1-47AF-90FF-7721F93FBDC3}"/>
    <cellStyle name="Comma 2 2 2 3 7 2 3 3" xfId="32478" xr:uid="{1DCA7403-0E77-4A44-8920-8CBC87B4A627}"/>
    <cellStyle name="Comma 2 2 2 3 7 2 4" xfId="10574" xr:uid="{2F1F3B38-2C99-448B-98A8-6107114F494C}"/>
    <cellStyle name="Comma 2 2 2 3 7 2 4 2" xfId="47082" xr:uid="{70848210-7DD0-4722-A2A3-5C9958223FA8}"/>
    <cellStyle name="Comma 2 2 2 3 7 2 4 3" xfId="28828" xr:uid="{D7B9D849-003B-413C-9E87-2A92CAB7FE5D}"/>
    <cellStyle name="Comma 2 2 2 3 7 2 5" xfId="6924" xr:uid="{D6D42B51-D042-41E9-AC4B-B4285B2C068E}"/>
    <cellStyle name="Comma 2 2 2 3 7 2 5 2" xfId="43432" xr:uid="{B2079049-FB26-49D8-8F85-A98169DF6155}"/>
    <cellStyle name="Comma 2 2 2 3 7 2 5 3" xfId="25178" xr:uid="{FB964F9A-D79D-43B4-AE4E-2256EF53E1F8}"/>
    <cellStyle name="Comma 2 2 2 3 7 2 6" xfId="39782" xr:uid="{CF786E36-6B36-43A1-B818-D0DB069BD1BC}"/>
    <cellStyle name="Comma 2 2 2 3 7 2 7" xfId="21528" xr:uid="{3DC4B7BE-7776-480E-8F06-5F8BC20E6E14}"/>
    <cellStyle name="Comma 2 2 2 3 7 3" xfId="2544" xr:uid="{349868AE-19B8-42C0-82C2-B2F50C7A61E1}"/>
    <cellStyle name="Comma 2 2 2 3 7 3 2" xfId="17144" xr:uid="{CB8B2D5F-65A3-42BA-81FB-3B665B0B2203}"/>
    <cellStyle name="Comma 2 2 2 3 7 3 2 2" xfId="53652" xr:uid="{BA9623BB-3F0E-4501-BEA8-5B4C80808954}"/>
    <cellStyle name="Comma 2 2 2 3 7 3 2 3" xfId="35398" xr:uid="{F6879055-E5A5-4D19-9BF7-73E74223ECFA}"/>
    <cellStyle name="Comma 2 2 2 3 7 3 3" xfId="13494" xr:uid="{70B2057D-062D-4E0E-87B7-C0C225F4CAAE}"/>
    <cellStyle name="Comma 2 2 2 3 7 3 3 2" xfId="50002" xr:uid="{C3A4657F-5037-487D-A293-EF2294F4A147}"/>
    <cellStyle name="Comma 2 2 2 3 7 3 3 3" xfId="31748" xr:uid="{D81F8E8C-110E-4B32-B7AA-0EAB4CBEBF6A}"/>
    <cellStyle name="Comma 2 2 2 3 7 3 4" xfId="9844" xr:uid="{C63CA63F-D824-4197-ACF9-9FD86E214B33}"/>
    <cellStyle name="Comma 2 2 2 3 7 3 4 2" xfId="46352" xr:uid="{6062A36D-6E8F-406E-8446-447A442D0FF9}"/>
    <cellStyle name="Comma 2 2 2 3 7 3 4 3" xfId="28098" xr:uid="{0CB11FF2-7E8E-43B3-BE86-404C5EC2EEB9}"/>
    <cellStyle name="Comma 2 2 2 3 7 3 5" xfId="6194" xr:uid="{3DC00249-B032-45E8-8F12-281C34230BEE}"/>
    <cellStyle name="Comma 2 2 2 3 7 3 5 2" xfId="42702" xr:uid="{58737B70-C96B-48B9-B1E3-0E588EC72582}"/>
    <cellStyle name="Comma 2 2 2 3 7 3 5 3" xfId="24448" xr:uid="{86EC919F-0CE4-4172-A6F1-1D68FC953365}"/>
    <cellStyle name="Comma 2 2 2 3 7 3 6" xfId="39052" xr:uid="{A575CE52-13E7-46D2-B432-42CEC8DDEA39}"/>
    <cellStyle name="Comma 2 2 2 3 7 3 7" xfId="20798" xr:uid="{E1A675F1-B236-408A-A32F-FEAA28FE04BD}"/>
    <cellStyle name="Comma 2 2 2 3 7 4" xfId="1814" xr:uid="{2CBAA57B-02F7-4C40-81DA-B07DA2470AB2}"/>
    <cellStyle name="Comma 2 2 2 3 7 4 2" xfId="16414" xr:uid="{F67A4A8A-21A4-43D6-8442-857B052CF6E7}"/>
    <cellStyle name="Comma 2 2 2 3 7 4 2 2" xfId="52922" xr:uid="{60D6B480-0A69-4FFF-9795-FBB3F11480DE}"/>
    <cellStyle name="Comma 2 2 2 3 7 4 2 3" xfId="34668" xr:uid="{576DE252-0208-434D-904B-4294082756C8}"/>
    <cellStyle name="Comma 2 2 2 3 7 4 3" xfId="12764" xr:uid="{0B149F73-9C4C-4E05-B54A-ECEC20B761AB}"/>
    <cellStyle name="Comma 2 2 2 3 7 4 3 2" xfId="49272" xr:uid="{CC6894E8-D48A-4812-8159-1E77EA38D4AD}"/>
    <cellStyle name="Comma 2 2 2 3 7 4 3 3" xfId="31018" xr:uid="{8FA56D24-F795-4AF5-B504-A720731491ED}"/>
    <cellStyle name="Comma 2 2 2 3 7 4 4" xfId="9114" xr:uid="{66666EBC-00A5-439B-B107-BB7EE42CFE56}"/>
    <cellStyle name="Comma 2 2 2 3 7 4 4 2" xfId="45622" xr:uid="{0A0B9380-8AC2-4942-A701-D38931C60F84}"/>
    <cellStyle name="Comma 2 2 2 3 7 4 4 3" xfId="27368" xr:uid="{1747FF1A-C5FF-4A80-9EDF-F69076A84F25}"/>
    <cellStyle name="Comma 2 2 2 3 7 4 5" xfId="5464" xr:uid="{B48DDA2E-1052-4300-8D6A-DE7BEFC4EEBD}"/>
    <cellStyle name="Comma 2 2 2 3 7 4 5 2" xfId="41972" xr:uid="{571280A0-8886-4533-9C6B-F00D99B64258}"/>
    <cellStyle name="Comma 2 2 2 3 7 4 5 3" xfId="23718" xr:uid="{BC6A4209-8988-4332-806E-90F0AD0BC1CB}"/>
    <cellStyle name="Comma 2 2 2 3 7 4 6" xfId="38322" xr:uid="{05766845-BA1F-498B-B598-6C838C1AAF75}"/>
    <cellStyle name="Comma 2 2 2 3 7 4 7" xfId="20068" xr:uid="{42CCDFC3-A6B9-4EE4-A105-5C7987613E59}"/>
    <cellStyle name="Comma 2 2 2 3 7 5" xfId="1084" xr:uid="{36AEFCB7-2C79-42EF-ACDD-747F4C961FBA}"/>
    <cellStyle name="Comma 2 2 2 3 7 5 2" xfId="15684" xr:uid="{DA251547-9B42-4629-A6D0-11CB9B99C697}"/>
    <cellStyle name="Comma 2 2 2 3 7 5 2 2" xfId="52192" xr:uid="{C755C17B-EE15-4A44-AA20-71D5B4A7C249}"/>
    <cellStyle name="Comma 2 2 2 3 7 5 2 3" xfId="33938" xr:uid="{DE1AFD1C-0279-48C1-87AA-431D6C8DE33E}"/>
    <cellStyle name="Comma 2 2 2 3 7 5 3" xfId="12034" xr:uid="{37ABB071-A02F-4ED4-AAFE-A116DDD52414}"/>
    <cellStyle name="Comma 2 2 2 3 7 5 3 2" xfId="48542" xr:uid="{F6E86B52-BA7B-4F29-B998-405AED1C73AC}"/>
    <cellStyle name="Comma 2 2 2 3 7 5 3 3" xfId="30288" xr:uid="{A9718FC2-DB01-49F3-9474-E95347BC2C36}"/>
    <cellStyle name="Comma 2 2 2 3 7 5 4" xfId="8384" xr:uid="{48535C30-2034-4BCD-8895-4B68A308D2B0}"/>
    <cellStyle name="Comma 2 2 2 3 7 5 4 2" xfId="44892" xr:uid="{B8C93417-393B-4230-866F-3748699D9169}"/>
    <cellStyle name="Comma 2 2 2 3 7 5 4 3" xfId="26638" xr:uid="{99BCF550-62F5-4E25-AE8E-7D9A0803DE71}"/>
    <cellStyle name="Comma 2 2 2 3 7 5 5" xfId="4734" xr:uid="{BA0373FA-779E-4F54-90D7-8BB6F2360520}"/>
    <cellStyle name="Comma 2 2 2 3 7 5 5 2" xfId="41242" xr:uid="{27726927-0495-4BB5-9C55-861FA1C9EF2A}"/>
    <cellStyle name="Comma 2 2 2 3 7 5 5 3" xfId="22988" xr:uid="{C0E57302-9E3F-429B-9ECD-C70380D677D8}"/>
    <cellStyle name="Comma 2 2 2 3 7 5 6" xfId="37592" xr:uid="{A4B5BA22-0EAC-49F9-9802-13777ED8500C}"/>
    <cellStyle name="Comma 2 2 2 3 7 5 7" xfId="19338" xr:uid="{752C8E4C-C0F0-4F41-A8F4-F45EE43DFC8A}"/>
    <cellStyle name="Comma 2 2 2 3 7 6" xfId="14954" xr:uid="{97234873-8206-4C8C-AA34-ED6124916327}"/>
    <cellStyle name="Comma 2 2 2 3 7 6 2" xfId="51462" xr:uid="{81F087D7-2767-4B1C-8C65-F142512B05B6}"/>
    <cellStyle name="Comma 2 2 2 3 7 6 3" xfId="33208" xr:uid="{EB4D49AD-891C-4AF9-B874-1B2B56948EA5}"/>
    <cellStyle name="Comma 2 2 2 3 7 7" xfId="11304" xr:uid="{8E35810D-F7C0-4B25-A20A-C83DC647F899}"/>
    <cellStyle name="Comma 2 2 2 3 7 7 2" xfId="47812" xr:uid="{519B1401-EFF2-4E00-A83F-0B7B3105897C}"/>
    <cellStyle name="Comma 2 2 2 3 7 7 3" xfId="29558" xr:uid="{38144631-8D50-4232-AD56-B2DCABC95BCC}"/>
    <cellStyle name="Comma 2 2 2 3 7 8" xfId="7654" xr:uid="{1BF01CE1-9764-43AA-8A23-BC9EE2650FFD}"/>
    <cellStyle name="Comma 2 2 2 3 7 8 2" xfId="44162" xr:uid="{CB3F2B0B-8D53-46A1-B095-3BA52769D0DE}"/>
    <cellStyle name="Comma 2 2 2 3 7 8 3" xfId="25908" xr:uid="{FAEBD576-B680-4EBC-A221-57AEA4DC6ECF}"/>
    <cellStyle name="Comma 2 2 2 3 7 9" xfId="4004" xr:uid="{4CB5CBE9-1E4E-40BB-9BBA-3BAC13648F38}"/>
    <cellStyle name="Comma 2 2 2 3 7 9 2" xfId="40512" xr:uid="{9F4A9C6F-72BA-47A7-93C5-63A54578278F}"/>
    <cellStyle name="Comma 2 2 2 3 7 9 3" xfId="22258" xr:uid="{9D808BD5-620B-451E-BFAA-824D2FAA79F6}"/>
    <cellStyle name="Comma 2 2 2 3 8" xfId="250" xr:uid="{7E781739-A06F-47B2-B925-700012D071DE}"/>
    <cellStyle name="Comma 2 2 2 3 8 10" xfId="36758" xr:uid="{81CE0E16-7D22-4711-9782-17F4F90F7D86}"/>
    <cellStyle name="Comma 2 2 2 3 8 11" xfId="18504" xr:uid="{C907BCD4-6F47-4B70-9E95-BE20256FE121}"/>
    <cellStyle name="Comma 2 2 2 3 8 2" xfId="3170" xr:uid="{D947834C-604B-4057-9938-9D7D7D2AB0AF}"/>
    <cellStyle name="Comma 2 2 2 3 8 2 2" xfId="17770" xr:uid="{54577E00-F45C-4662-B970-FA07C10A5076}"/>
    <cellStyle name="Comma 2 2 2 3 8 2 2 2" xfId="54278" xr:uid="{E2987261-1811-4D3F-890F-40FF6FCE5C12}"/>
    <cellStyle name="Comma 2 2 2 3 8 2 2 3" xfId="36024" xr:uid="{7C811598-29C1-4B83-A5A5-ACBFF660B4F2}"/>
    <cellStyle name="Comma 2 2 2 3 8 2 3" xfId="14120" xr:uid="{E19B1DCE-1E1B-4817-A3ED-7AC3CC415142}"/>
    <cellStyle name="Comma 2 2 2 3 8 2 3 2" xfId="50628" xr:uid="{7F9F2222-7895-4E92-A8DC-A6365C7895DB}"/>
    <cellStyle name="Comma 2 2 2 3 8 2 3 3" xfId="32374" xr:uid="{FD52D7C4-BD97-4047-9C87-924CEFAFF763}"/>
    <cellStyle name="Comma 2 2 2 3 8 2 4" xfId="10470" xr:uid="{596E89E6-35A0-4E39-9154-4D4D8817D4A0}"/>
    <cellStyle name="Comma 2 2 2 3 8 2 4 2" xfId="46978" xr:uid="{65CC76D3-2C86-4188-9F05-1B5AB6C3B2C9}"/>
    <cellStyle name="Comma 2 2 2 3 8 2 4 3" xfId="28724" xr:uid="{66FDD329-A3A2-48F4-A623-C1B628B292BE}"/>
    <cellStyle name="Comma 2 2 2 3 8 2 5" xfId="6820" xr:uid="{E6FA34FF-B0D5-4307-8E4E-34E8FC8F553F}"/>
    <cellStyle name="Comma 2 2 2 3 8 2 5 2" xfId="43328" xr:uid="{DB749C9A-748A-4496-B978-F57A4B6AE2E4}"/>
    <cellStyle name="Comma 2 2 2 3 8 2 5 3" xfId="25074" xr:uid="{A757E75B-F5D4-40F6-BF27-DED55FDA2BF1}"/>
    <cellStyle name="Comma 2 2 2 3 8 2 6" xfId="39678" xr:uid="{3345EF8B-41F9-4A7E-B20B-E10036F1B6F4}"/>
    <cellStyle name="Comma 2 2 2 3 8 2 7" xfId="21424" xr:uid="{761EDE1C-E497-4299-9EAA-BB2BE75C7688}"/>
    <cellStyle name="Comma 2 2 2 3 8 3" xfId="2440" xr:uid="{E9265C52-2720-498C-8FEE-74A13D400B5E}"/>
    <cellStyle name="Comma 2 2 2 3 8 3 2" xfId="17040" xr:uid="{2257E753-E643-4DEB-AB81-4F010D80865A}"/>
    <cellStyle name="Comma 2 2 2 3 8 3 2 2" xfId="53548" xr:uid="{468E2072-32B1-417F-8FFA-8DBF669DFB48}"/>
    <cellStyle name="Comma 2 2 2 3 8 3 2 3" xfId="35294" xr:uid="{9FFDD120-2E1F-41A1-AED5-C45995068374}"/>
    <cellStyle name="Comma 2 2 2 3 8 3 3" xfId="13390" xr:uid="{3F2B39B2-16A1-4C88-A139-DBA469D1AE30}"/>
    <cellStyle name="Comma 2 2 2 3 8 3 3 2" xfId="49898" xr:uid="{84FC9BDD-5F96-406A-98F3-61F52EFF7B65}"/>
    <cellStyle name="Comma 2 2 2 3 8 3 3 3" xfId="31644" xr:uid="{98467E82-CF3F-4FA1-9B32-5F1CB4A50154}"/>
    <cellStyle name="Comma 2 2 2 3 8 3 4" xfId="9740" xr:uid="{FD322238-CEE1-44A3-A397-B41D4D92D1E0}"/>
    <cellStyle name="Comma 2 2 2 3 8 3 4 2" xfId="46248" xr:uid="{ED609CCC-5E2F-4609-A1E4-FFABE0EAAB8F}"/>
    <cellStyle name="Comma 2 2 2 3 8 3 4 3" xfId="27994" xr:uid="{40B62CFD-C1AD-46CD-9EC0-E46C491ED07D}"/>
    <cellStyle name="Comma 2 2 2 3 8 3 5" xfId="6090" xr:uid="{3F7338B1-0960-4254-A60E-FD1CAE40D431}"/>
    <cellStyle name="Comma 2 2 2 3 8 3 5 2" xfId="42598" xr:uid="{64F9A4FB-AB3D-4B93-B8BC-9507308E3BA3}"/>
    <cellStyle name="Comma 2 2 2 3 8 3 5 3" xfId="24344" xr:uid="{32D2FFB0-659F-4671-A5B8-385EC012B3AD}"/>
    <cellStyle name="Comma 2 2 2 3 8 3 6" xfId="38948" xr:uid="{25DC944A-F923-4A87-ACC8-6EA6B0A6DA8B}"/>
    <cellStyle name="Comma 2 2 2 3 8 3 7" xfId="20694" xr:uid="{2DCCF15D-DEFD-4C1C-9840-69335C3274BB}"/>
    <cellStyle name="Comma 2 2 2 3 8 4" xfId="1710" xr:uid="{F15DE62E-338A-4294-A169-6DED569C788D}"/>
    <cellStyle name="Comma 2 2 2 3 8 4 2" xfId="16310" xr:uid="{FD2D8CC9-09F3-45ED-8D2B-A3C8D922A0E8}"/>
    <cellStyle name="Comma 2 2 2 3 8 4 2 2" xfId="52818" xr:uid="{EE1ACDB4-1385-4711-8EBA-D5E7ACC66AB0}"/>
    <cellStyle name="Comma 2 2 2 3 8 4 2 3" xfId="34564" xr:uid="{7D2EAE40-13A6-42AB-93C3-A107FE8008E3}"/>
    <cellStyle name="Comma 2 2 2 3 8 4 3" xfId="12660" xr:uid="{6E8AC9F7-4C35-43AF-9D76-ACC60F4E528D}"/>
    <cellStyle name="Comma 2 2 2 3 8 4 3 2" xfId="49168" xr:uid="{FEA00D66-F13B-495B-80E0-74BF9E00778D}"/>
    <cellStyle name="Comma 2 2 2 3 8 4 3 3" xfId="30914" xr:uid="{84BE2550-1DF3-4CD1-ACEE-B9EEE7E8FEEA}"/>
    <cellStyle name="Comma 2 2 2 3 8 4 4" xfId="9010" xr:uid="{77DAE025-918D-455E-B934-145315DADCD4}"/>
    <cellStyle name="Comma 2 2 2 3 8 4 4 2" xfId="45518" xr:uid="{AFC9BD68-5456-4C5F-94C9-2B612A391B8B}"/>
    <cellStyle name="Comma 2 2 2 3 8 4 4 3" xfId="27264" xr:uid="{A830399F-717A-4840-B7C7-92E210B1DE4E}"/>
    <cellStyle name="Comma 2 2 2 3 8 4 5" xfId="5360" xr:uid="{4F27BAE2-636E-495D-800C-496B69B93081}"/>
    <cellStyle name="Comma 2 2 2 3 8 4 5 2" xfId="41868" xr:uid="{ED4F89EB-45FD-4559-9226-FFEA6329E2C9}"/>
    <cellStyle name="Comma 2 2 2 3 8 4 5 3" xfId="23614" xr:uid="{FEAE6265-F531-42C4-8AE5-033FC7D1A5C8}"/>
    <cellStyle name="Comma 2 2 2 3 8 4 6" xfId="38218" xr:uid="{9FB74FEA-8A13-4052-85FB-407FD2F26377}"/>
    <cellStyle name="Comma 2 2 2 3 8 4 7" xfId="19964" xr:uid="{458D1312-8C32-43ED-8531-1051EBE46882}"/>
    <cellStyle name="Comma 2 2 2 3 8 5" xfId="980" xr:uid="{F4A1DF3B-A8CE-4C05-A7D5-B9A50B40F4FF}"/>
    <cellStyle name="Comma 2 2 2 3 8 5 2" xfId="15580" xr:uid="{4A5CDB87-6B19-483D-B918-8F033E7CA767}"/>
    <cellStyle name="Comma 2 2 2 3 8 5 2 2" xfId="52088" xr:uid="{A78B0E84-8086-46A7-9259-780A8B54395B}"/>
    <cellStyle name="Comma 2 2 2 3 8 5 2 3" xfId="33834" xr:uid="{A7FF526C-0087-43F5-A456-A9E9E2B9243D}"/>
    <cellStyle name="Comma 2 2 2 3 8 5 3" xfId="11930" xr:uid="{2962E621-87AA-4566-AD60-6BCD1DAC7CDF}"/>
    <cellStyle name="Comma 2 2 2 3 8 5 3 2" xfId="48438" xr:uid="{1F3B48C3-A64E-4256-B4E6-0AC3D8D49843}"/>
    <cellStyle name="Comma 2 2 2 3 8 5 3 3" xfId="30184" xr:uid="{9F31FA41-0017-44AC-B464-42EC90C2A500}"/>
    <cellStyle name="Comma 2 2 2 3 8 5 4" xfId="8280" xr:uid="{1A24210D-C88E-4E5D-BCD1-14D658E8C175}"/>
    <cellStyle name="Comma 2 2 2 3 8 5 4 2" xfId="44788" xr:uid="{A60C863A-FDDF-4DA2-9BB6-9890DA43EF9A}"/>
    <cellStyle name="Comma 2 2 2 3 8 5 4 3" xfId="26534" xr:uid="{407D4FD8-DF80-4AC6-9159-86190462023F}"/>
    <cellStyle name="Comma 2 2 2 3 8 5 5" xfId="4630" xr:uid="{8B567F8F-CA32-4E62-A3A1-0B01FB32EFB9}"/>
    <cellStyle name="Comma 2 2 2 3 8 5 5 2" xfId="41138" xr:uid="{B6C0C284-DF55-489B-9EFD-44DFEEDA0464}"/>
    <cellStyle name="Comma 2 2 2 3 8 5 5 3" xfId="22884" xr:uid="{7E44DCA2-30DA-40C2-8346-7B088ED26EC9}"/>
    <cellStyle name="Comma 2 2 2 3 8 5 6" xfId="37488" xr:uid="{5657B968-E9D3-4B5E-BFA0-2B1126F0113D}"/>
    <cellStyle name="Comma 2 2 2 3 8 5 7" xfId="19234" xr:uid="{683BA002-4B00-46D0-A637-DE3BA8272678}"/>
    <cellStyle name="Comma 2 2 2 3 8 6" xfId="14850" xr:uid="{33BA4CBF-AEFE-4111-A3F3-6987636401FC}"/>
    <cellStyle name="Comma 2 2 2 3 8 6 2" xfId="51358" xr:uid="{65E2C024-5B9A-4907-A210-3F1C653FA0AE}"/>
    <cellStyle name="Comma 2 2 2 3 8 6 3" xfId="33104" xr:uid="{78F809B8-702B-4C02-8C3E-101712E827C5}"/>
    <cellStyle name="Comma 2 2 2 3 8 7" xfId="11200" xr:uid="{365D2920-F824-45A8-88AD-E718572892C8}"/>
    <cellStyle name="Comma 2 2 2 3 8 7 2" xfId="47708" xr:uid="{F9B1FBE0-6F62-4C0D-89A0-AAFAA98E6D19}"/>
    <cellStyle name="Comma 2 2 2 3 8 7 3" xfId="29454" xr:uid="{F3AA3097-DCBA-4EF8-82EF-F3F8CF166D86}"/>
    <cellStyle name="Comma 2 2 2 3 8 8" xfId="7550" xr:uid="{F30512DB-416F-4470-865B-7BAAB1E56A75}"/>
    <cellStyle name="Comma 2 2 2 3 8 8 2" xfId="44058" xr:uid="{CD69EAA8-B0FC-40B3-8E6A-8B60926D0679}"/>
    <cellStyle name="Comma 2 2 2 3 8 8 3" xfId="25804" xr:uid="{94403B42-7122-41EF-85AE-2ADC75126703}"/>
    <cellStyle name="Comma 2 2 2 3 8 9" xfId="3900" xr:uid="{C9EEE9C6-B6D7-4CA9-8553-61C0443F7E5A}"/>
    <cellStyle name="Comma 2 2 2 3 8 9 2" xfId="40408" xr:uid="{166BEF0E-605B-451E-AF7B-BB53AA994C9F}"/>
    <cellStyle name="Comma 2 2 2 3 8 9 3" xfId="22154" xr:uid="{FE9DAAB6-9774-46CE-B4EC-622A0B3940B6}"/>
    <cellStyle name="Comma 2 2 2 3 9" xfId="146" xr:uid="{39B541FD-D1A2-4FB6-98FC-37CF5208A2CB}"/>
    <cellStyle name="Comma 2 2 2 3 9 10" xfId="36654" xr:uid="{13ADC9E3-8E7D-4C19-970B-58B303CEE9F6}"/>
    <cellStyle name="Comma 2 2 2 3 9 11" xfId="18400" xr:uid="{764F95F8-0BFA-4C2E-81EF-B7932A93492F}"/>
    <cellStyle name="Comma 2 2 2 3 9 2" xfId="3066" xr:uid="{370C23F4-60AF-4B60-BE22-1627D6679354}"/>
    <cellStyle name="Comma 2 2 2 3 9 2 2" xfId="17666" xr:uid="{580E737F-28F2-47F7-A9F4-7EBD32F3C50D}"/>
    <cellStyle name="Comma 2 2 2 3 9 2 2 2" xfId="54174" xr:uid="{BAC7D8B3-5F52-4F15-A108-2CB3277E9D23}"/>
    <cellStyle name="Comma 2 2 2 3 9 2 2 3" xfId="35920" xr:uid="{4BCE8A3F-2F59-40EF-999F-25C491985C90}"/>
    <cellStyle name="Comma 2 2 2 3 9 2 3" xfId="14016" xr:uid="{14A988D3-0B44-44E9-B50B-C7F6012A9F71}"/>
    <cellStyle name="Comma 2 2 2 3 9 2 3 2" xfId="50524" xr:uid="{A3C79C14-85AC-4472-B193-AC5AD9BBEE3F}"/>
    <cellStyle name="Comma 2 2 2 3 9 2 3 3" xfId="32270" xr:uid="{CB05F481-4B94-4911-927F-1211C8728DC6}"/>
    <cellStyle name="Comma 2 2 2 3 9 2 4" xfId="10366" xr:uid="{B2451340-CF2A-44C1-AD4F-0AC9ACF4CEDA}"/>
    <cellStyle name="Comma 2 2 2 3 9 2 4 2" xfId="46874" xr:uid="{A9D42F15-1D66-445C-907C-25D6F054BA0E}"/>
    <cellStyle name="Comma 2 2 2 3 9 2 4 3" xfId="28620" xr:uid="{0E15B690-1DDF-458D-8703-A9C58E56E7C9}"/>
    <cellStyle name="Comma 2 2 2 3 9 2 5" xfId="6716" xr:uid="{B9002E9D-ECDE-46D5-8628-B6134FBF47D9}"/>
    <cellStyle name="Comma 2 2 2 3 9 2 5 2" xfId="43224" xr:uid="{51E625A0-C884-41C1-B5E6-44B7C1075F97}"/>
    <cellStyle name="Comma 2 2 2 3 9 2 5 3" xfId="24970" xr:uid="{6095E003-7066-4DA1-A5CA-E83B957E7509}"/>
    <cellStyle name="Comma 2 2 2 3 9 2 6" xfId="39574" xr:uid="{79EABA00-9709-43A6-8ABA-18A814B1333B}"/>
    <cellStyle name="Comma 2 2 2 3 9 2 7" xfId="21320" xr:uid="{6498B675-5BCE-4CD3-BC69-B09E9D023ACB}"/>
    <cellStyle name="Comma 2 2 2 3 9 3" xfId="2336" xr:uid="{A09EC982-CABB-41A8-A4DC-994B9C3A650A}"/>
    <cellStyle name="Comma 2 2 2 3 9 3 2" xfId="16936" xr:uid="{2C1CDBBB-7C35-4C50-A4C2-936DA9BC57FB}"/>
    <cellStyle name="Comma 2 2 2 3 9 3 2 2" xfId="53444" xr:uid="{D6B0727A-897F-4800-9F9C-352DE0B2785C}"/>
    <cellStyle name="Comma 2 2 2 3 9 3 2 3" xfId="35190" xr:uid="{3327D187-CC7C-4B86-8148-C12F8C7C1339}"/>
    <cellStyle name="Comma 2 2 2 3 9 3 3" xfId="13286" xr:uid="{01D13060-CA15-408E-A60B-E04AA37BAA4D}"/>
    <cellStyle name="Comma 2 2 2 3 9 3 3 2" xfId="49794" xr:uid="{AE104A16-7D70-4B34-B87D-F1CD4FFBF56F}"/>
    <cellStyle name="Comma 2 2 2 3 9 3 3 3" xfId="31540" xr:uid="{05017CF1-2343-4B41-BC2A-C3910B94EA35}"/>
    <cellStyle name="Comma 2 2 2 3 9 3 4" xfId="9636" xr:uid="{E0835E2B-0B74-4022-A8AF-F727F35004E6}"/>
    <cellStyle name="Comma 2 2 2 3 9 3 4 2" xfId="46144" xr:uid="{D9F6B429-D04C-4CDA-A429-9204016057F9}"/>
    <cellStyle name="Comma 2 2 2 3 9 3 4 3" xfId="27890" xr:uid="{720A664E-FD98-40B3-9686-A995FB6CC650}"/>
    <cellStyle name="Comma 2 2 2 3 9 3 5" xfId="5986" xr:uid="{456C1DB9-BE84-40AD-AFCE-F9EDBB33E912}"/>
    <cellStyle name="Comma 2 2 2 3 9 3 5 2" xfId="42494" xr:uid="{45B8FBB0-C343-42E0-AB23-8DF13A5FF9FA}"/>
    <cellStyle name="Comma 2 2 2 3 9 3 5 3" xfId="24240" xr:uid="{3A279DEC-C604-4260-8733-D72518A8A3CC}"/>
    <cellStyle name="Comma 2 2 2 3 9 3 6" xfId="38844" xr:uid="{9C293A07-72CD-449E-999E-4157DAD22A23}"/>
    <cellStyle name="Comma 2 2 2 3 9 3 7" xfId="20590" xr:uid="{55E7B1BC-B4B3-45B6-BC85-D509F2000BC5}"/>
    <cellStyle name="Comma 2 2 2 3 9 4" xfId="1606" xr:uid="{EF8528AE-B1AD-457D-8D1C-0B27D982D9F6}"/>
    <cellStyle name="Comma 2 2 2 3 9 4 2" xfId="16206" xr:uid="{8674D9B7-84D8-4139-A93B-F7CDE378C992}"/>
    <cellStyle name="Comma 2 2 2 3 9 4 2 2" xfId="52714" xr:uid="{76B376D4-9AA2-4EBE-A190-96048B285D63}"/>
    <cellStyle name="Comma 2 2 2 3 9 4 2 3" xfId="34460" xr:uid="{91FF01A9-5025-4820-8C15-3BC0441A7AC6}"/>
    <cellStyle name="Comma 2 2 2 3 9 4 3" xfId="12556" xr:uid="{7AC8704A-1621-403B-AD3B-9766BBF6B6F1}"/>
    <cellStyle name="Comma 2 2 2 3 9 4 3 2" xfId="49064" xr:uid="{164B8941-F718-45EF-A910-B25E9C9999A4}"/>
    <cellStyle name="Comma 2 2 2 3 9 4 3 3" xfId="30810" xr:uid="{5906129B-307E-4367-B819-AA59252AAD0B}"/>
    <cellStyle name="Comma 2 2 2 3 9 4 4" xfId="8906" xr:uid="{52BF21EB-210C-4F47-9C83-1B3E07A311E1}"/>
    <cellStyle name="Comma 2 2 2 3 9 4 4 2" xfId="45414" xr:uid="{782EBA31-B3D0-4428-BCF5-DEC4AC68123B}"/>
    <cellStyle name="Comma 2 2 2 3 9 4 4 3" xfId="27160" xr:uid="{A63C6A45-DE1D-4135-A131-3F4A66670D1B}"/>
    <cellStyle name="Comma 2 2 2 3 9 4 5" xfId="5256" xr:uid="{46714C90-7371-49E3-9433-45B3B5A6540F}"/>
    <cellStyle name="Comma 2 2 2 3 9 4 5 2" xfId="41764" xr:uid="{DA8C41A3-D799-41A3-8509-655A7C119487}"/>
    <cellStyle name="Comma 2 2 2 3 9 4 5 3" xfId="23510" xr:uid="{D14B9815-8BA4-46DF-9CBF-36B44A791356}"/>
    <cellStyle name="Comma 2 2 2 3 9 4 6" xfId="38114" xr:uid="{487575AC-1F72-47D5-8969-126CED0F1287}"/>
    <cellStyle name="Comma 2 2 2 3 9 4 7" xfId="19860" xr:uid="{BBDADDC7-8E04-4AD7-B11A-E2E6A7FE8228}"/>
    <cellStyle name="Comma 2 2 2 3 9 5" xfId="876" xr:uid="{A454D712-7CA1-4541-A176-854B89D99D2E}"/>
    <cellStyle name="Comma 2 2 2 3 9 5 2" xfId="15476" xr:uid="{C6F470E8-A5FF-456D-9FD1-BF76636C7F96}"/>
    <cellStyle name="Comma 2 2 2 3 9 5 2 2" xfId="51984" xr:uid="{C7C75DDB-8A87-4C64-A485-2C1F4348AEB5}"/>
    <cellStyle name="Comma 2 2 2 3 9 5 2 3" xfId="33730" xr:uid="{5AE30898-19E4-4440-8AC4-7C324219E8EA}"/>
    <cellStyle name="Comma 2 2 2 3 9 5 3" xfId="11826" xr:uid="{9AAE02C5-2828-4C8B-AA52-F2608CADAF0F}"/>
    <cellStyle name="Comma 2 2 2 3 9 5 3 2" xfId="48334" xr:uid="{742136DF-9498-4651-AC2D-281717E1CE38}"/>
    <cellStyle name="Comma 2 2 2 3 9 5 3 3" xfId="30080" xr:uid="{3A4670B4-6B8D-4175-A6C1-B5A479E85F08}"/>
    <cellStyle name="Comma 2 2 2 3 9 5 4" xfId="8176" xr:uid="{601B1D6B-6219-4469-9C84-46021A7829E6}"/>
    <cellStyle name="Comma 2 2 2 3 9 5 4 2" xfId="44684" xr:uid="{E1437D76-F6E4-4F4F-A3A5-0F17F1CA3A8A}"/>
    <cellStyle name="Comma 2 2 2 3 9 5 4 3" xfId="26430" xr:uid="{7E21696F-25E4-4CC1-8BCD-463312D5466F}"/>
    <cellStyle name="Comma 2 2 2 3 9 5 5" xfId="4526" xr:uid="{097395AB-E651-4CEB-BC33-EB02C1BDD54A}"/>
    <cellStyle name="Comma 2 2 2 3 9 5 5 2" xfId="41034" xr:uid="{830610F8-5411-43D8-A76C-A8056690ACC9}"/>
    <cellStyle name="Comma 2 2 2 3 9 5 5 3" xfId="22780" xr:uid="{8BFC3304-5E7E-4657-B12B-0B414BE55BA0}"/>
    <cellStyle name="Comma 2 2 2 3 9 5 6" xfId="37384" xr:uid="{5470299D-5A4D-4742-879F-EACC3241DF29}"/>
    <cellStyle name="Comma 2 2 2 3 9 5 7" xfId="19130" xr:uid="{C351E341-FA5E-49B4-934A-C14425354B99}"/>
    <cellStyle name="Comma 2 2 2 3 9 6" xfId="14746" xr:uid="{C75CD8C3-53A0-4047-8EB6-4099B8252AC6}"/>
    <cellStyle name="Comma 2 2 2 3 9 6 2" xfId="51254" xr:uid="{B145FE52-DD9D-4854-9122-931E28061FD4}"/>
    <cellStyle name="Comma 2 2 2 3 9 6 3" xfId="33000" xr:uid="{2485714B-FCA3-4EEB-8C4A-81BE5DDBC353}"/>
    <cellStyle name="Comma 2 2 2 3 9 7" xfId="11096" xr:uid="{F79AD4BA-540B-4398-9B8A-D9B1DE8F3A66}"/>
    <cellStyle name="Comma 2 2 2 3 9 7 2" xfId="47604" xr:uid="{C6BC7109-3A28-47E1-9911-B1F554BCAF9B}"/>
    <cellStyle name="Comma 2 2 2 3 9 7 3" xfId="29350" xr:uid="{16189247-5171-44CB-B133-D5190ACB774A}"/>
    <cellStyle name="Comma 2 2 2 3 9 8" xfId="7446" xr:uid="{8EBCC7E8-9BC7-4811-8A84-2A3A2B800F80}"/>
    <cellStyle name="Comma 2 2 2 3 9 8 2" xfId="43954" xr:uid="{CF293FA8-D184-4E9F-9978-787F41EEA0B0}"/>
    <cellStyle name="Comma 2 2 2 3 9 8 3" xfId="25700" xr:uid="{B0F13797-12BC-463A-BFA7-2A6BC573EFAF}"/>
    <cellStyle name="Comma 2 2 2 3 9 9" xfId="3796" xr:uid="{E5C3AE7A-08A5-4BF2-95F7-4DCA6963CBE9}"/>
    <cellStyle name="Comma 2 2 2 3 9 9 2" xfId="40304" xr:uid="{31711A52-B19E-4341-B6A0-9076D82E52B1}"/>
    <cellStyle name="Comma 2 2 2 3 9 9 3" xfId="22050" xr:uid="{0198106B-7097-4452-89AB-653B77316C7B}"/>
    <cellStyle name="Comma 2 2 2 4" xfId="90" xr:uid="{C0C1F9EB-FDEA-4D45-BAC4-E373A28EF60F}"/>
    <cellStyle name="Comma 2 2 2 4 10" xfId="1550" xr:uid="{85F49D7B-2C9C-4A08-AFEC-BEBB31467B28}"/>
    <cellStyle name="Comma 2 2 2 4 10 2" xfId="16150" xr:uid="{B8A85A02-213C-4AE9-98AB-3CDB73E2D4DD}"/>
    <cellStyle name="Comma 2 2 2 4 10 2 2" xfId="52658" xr:uid="{AD2E0F18-C843-47D2-9B0C-92C8A5C9A33C}"/>
    <cellStyle name="Comma 2 2 2 4 10 2 3" xfId="34404" xr:uid="{49B86EC9-9F2D-46DE-BBE5-BDB513F754B5}"/>
    <cellStyle name="Comma 2 2 2 4 10 3" xfId="12500" xr:uid="{243A4C6A-89A5-4F43-B556-9D5805B3D081}"/>
    <cellStyle name="Comma 2 2 2 4 10 3 2" xfId="49008" xr:uid="{96EEFA79-04A1-46BD-9540-33634995E91E}"/>
    <cellStyle name="Comma 2 2 2 4 10 3 3" xfId="30754" xr:uid="{6022676A-4ACE-4BFD-B220-D5BEDCD76087}"/>
    <cellStyle name="Comma 2 2 2 4 10 4" xfId="8850" xr:uid="{6DF1E68F-8E9C-44C1-9055-E252AF271B3C}"/>
    <cellStyle name="Comma 2 2 2 4 10 4 2" xfId="45358" xr:uid="{3255FCE5-73EC-4C38-9871-BE06A963D73A}"/>
    <cellStyle name="Comma 2 2 2 4 10 4 3" xfId="27104" xr:uid="{5FCC57E0-627E-4F52-B8EB-3B9D70FAACDB}"/>
    <cellStyle name="Comma 2 2 2 4 10 5" xfId="5200" xr:uid="{E605BCA2-2449-4095-BAA0-C978FF89668B}"/>
    <cellStyle name="Comma 2 2 2 4 10 5 2" xfId="41708" xr:uid="{2FAEB021-8C6A-4B5A-ACE1-7420BF126417}"/>
    <cellStyle name="Comma 2 2 2 4 10 5 3" xfId="23454" xr:uid="{92F39AFF-36FE-49A3-89E9-5A5AF30C97D1}"/>
    <cellStyle name="Comma 2 2 2 4 10 6" xfId="38058" xr:uid="{F161A6E4-57C4-424D-92C6-99BA9850E029}"/>
    <cellStyle name="Comma 2 2 2 4 10 7" xfId="19804" xr:uid="{CD4ED18E-7241-40AF-81C9-5E18EAC230BC}"/>
    <cellStyle name="Comma 2 2 2 4 11" xfId="820" xr:uid="{5759FF17-5CF0-432B-8DF6-764AA5B71A84}"/>
    <cellStyle name="Comma 2 2 2 4 11 2" xfId="15420" xr:uid="{7F3495D7-7844-4FB6-A374-52469CEAEF87}"/>
    <cellStyle name="Comma 2 2 2 4 11 2 2" xfId="51928" xr:uid="{10E5FEBC-7D5F-46A9-BD6F-FE92AD14FAE1}"/>
    <cellStyle name="Comma 2 2 2 4 11 2 3" xfId="33674" xr:uid="{91B6CA51-BEFD-421B-BE91-6F76546A0A2F}"/>
    <cellStyle name="Comma 2 2 2 4 11 3" xfId="11770" xr:uid="{9D1DB3BD-CEC8-4D12-9D3A-BB80F7DB7150}"/>
    <cellStyle name="Comma 2 2 2 4 11 3 2" xfId="48278" xr:uid="{6FAF9C25-DE81-46B0-860A-E88C11739001}"/>
    <cellStyle name="Comma 2 2 2 4 11 3 3" xfId="30024" xr:uid="{AB57ECDF-28D8-45AC-8EA7-B6C16E52C0B4}"/>
    <cellStyle name="Comma 2 2 2 4 11 4" xfId="8120" xr:uid="{27A49E4D-B8BD-4DED-98E6-C75DADAC6830}"/>
    <cellStyle name="Comma 2 2 2 4 11 4 2" xfId="44628" xr:uid="{68DD09D4-05FB-47F1-BA34-D9D891E2B051}"/>
    <cellStyle name="Comma 2 2 2 4 11 4 3" xfId="26374" xr:uid="{28FC037F-BCBF-4703-A2EA-B946E7C02451}"/>
    <cellStyle name="Comma 2 2 2 4 11 5" xfId="4470" xr:uid="{E3DD8CBD-E67F-4160-BAE1-9CC0970B8B4A}"/>
    <cellStyle name="Comma 2 2 2 4 11 5 2" xfId="40978" xr:uid="{3F29D70A-9CAF-4C4D-AC9A-9EDFC3407C09}"/>
    <cellStyle name="Comma 2 2 2 4 11 5 3" xfId="22724" xr:uid="{9EF47A10-2DF6-4519-843B-7478D016AA1D}"/>
    <cellStyle name="Comma 2 2 2 4 11 6" xfId="37328" xr:uid="{03B25913-D464-4D99-8822-848E65999C35}"/>
    <cellStyle name="Comma 2 2 2 4 11 7" xfId="19074" xr:uid="{05B1B2BA-8C63-4B48-B642-A76DF504FCCC}"/>
    <cellStyle name="Comma 2 2 2 4 12" xfId="14690" xr:uid="{C4176A69-4230-4BE4-827D-B7074CE0C4BD}"/>
    <cellStyle name="Comma 2 2 2 4 12 2" xfId="51198" xr:uid="{B2D08437-1740-4424-8704-548284162DF3}"/>
    <cellStyle name="Comma 2 2 2 4 12 3" xfId="32944" xr:uid="{267F052C-6027-4D83-A78C-047EDB520058}"/>
    <cellStyle name="Comma 2 2 2 4 13" xfId="11040" xr:uid="{E63B2CEB-CBE7-4DD9-BC21-932334D8F4D6}"/>
    <cellStyle name="Comma 2 2 2 4 13 2" xfId="47548" xr:uid="{B889C6CE-5EB4-47C8-BC4D-3E4B8CA8AB85}"/>
    <cellStyle name="Comma 2 2 2 4 13 3" xfId="29294" xr:uid="{51E349D9-85E9-4B59-95E8-586CD7EDFCB5}"/>
    <cellStyle name="Comma 2 2 2 4 14" xfId="7390" xr:uid="{AC2DB9F5-F9AD-44E6-A9FB-24F59A4A1A0A}"/>
    <cellStyle name="Comma 2 2 2 4 14 2" xfId="43898" xr:uid="{F458A56E-11EA-4928-A4C3-3BDC7C0659B4}"/>
    <cellStyle name="Comma 2 2 2 4 14 3" xfId="25644" xr:uid="{83E3390D-9192-47BB-81C7-D5D5A5911F60}"/>
    <cellStyle name="Comma 2 2 2 4 15" xfId="3740" xr:uid="{73A10D24-DEFE-4C66-A8D0-043DBC480FF5}"/>
    <cellStyle name="Comma 2 2 2 4 15 2" xfId="40248" xr:uid="{CE61264A-31D5-4D52-9C94-FFAA93B32312}"/>
    <cellStyle name="Comma 2 2 2 4 15 3" xfId="21994" xr:uid="{F741225B-E413-404D-8392-E228B2B998DE}"/>
    <cellStyle name="Comma 2 2 2 4 16" xfId="36598" xr:uid="{7F1C96E9-909A-462C-B586-3A59A8F8B489}"/>
    <cellStyle name="Comma 2 2 2 4 17" xfId="18344" xr:uid="{060D92A6-0A4E-4E82-B821-3410BD258780}"/>
    <cellStyle name="Comma 2 2 2 4 2" xfId="714" xr:uid="{A49786C6-51CE-4C54-8943-EB8849C0C854}"/>
    <cellStyle name="Comma 2 2 2 4 2 10" xfId="37222" xr:uid="{ADC246BA-E355-4C8B-9293-0E40A705BD6F}"/>
    <cellStyle name="Comma 2 2 2 4 2 11" xfId="18968" xr:uid="{252DE472-3652-4BDB-96F8-87C00BBF5139}"/>
    <cellStyle name="Comma 2 2 2 4 2 2" xfId="3634" xr:uid="{56A7E031-3E72-4BDB-B9F0-AC6FA421CD14}"/>
    <cellStyle name="Comma 2 2 2 4 2 2 2" xfId="18234" xr:uid="{992DC665-935E-43FE-850B-C05682DB680E}"/>
    <cellStyle name="Comma 2 2 2 4 2 2 2 2" xfId="54742" xr:uid="{FB89353F-2268-411C-AA49-14356D44BD08}"/>
    <cellStyle name="Comma 2 2 2 4 2 2 2 3" xfId="36488" xr:uid="{5798A344-13BC-4B5A-9A34-833E5538B93B}"/>
    <cellStyle name="Comma 2 2 2 4 2 2 3" xfId="14584" xr:uid="{D0B95B26-CCC0-44B9-A2F7-1F6BB4870F55}"/>
    <cellStyle name="Comma 2 2 2 4 2 2 3 2" xfId="51092" xr:uid="{E22F6FCB-EDB7-4D9F-AE71-89DB434F9CAD}"/>
    <cellStyle name="Comma 2 2 2 4 2 2 3 3" xfId="32838" xr:uid="{6546ECA5-63BC-4ABC-AAD5-8F1961488397}"/>
    <cellStyle name="Comma 2 2 2 4 2 2 4" xfId="10934" xr:uid="{39D7221F-3653-4C4B-A638-8AA7EB5638B6}"/>
    <cellStyle name="Comma 2 2 2 4 2 2 4 2" xfId="47442" xr:uid="{472BB64E-3416-457E-B213-8657049F2C59}"/>
    <cellStyle name="Comma 2 2 2 4 2 2 4 3" xfId="29188" xr:uid="{64ADE840-EECB-4EDA-BFB9-22F7FF84FF58}"/>
    <cellStyle name="Comma 2 2 2 4 2 2 5" xfId="7284" xr:uid="{5F9AB4C3-C046-4FFD-80B4-BB637F26672F}"/>
    <cellStyle name="Comma 2 2 2 4 2 2 5 2" xfId="43792" xr:uid="{69277695-1E6C-4FB7-8998-C4A6BBBD7370}"/>
    <cellStyle name="Comma 2 2 2 4 2 2 5 3" xfId="25538" xr:uid="{F835B7BB-2CEA-4E0C-9D7A-161D61B60FF5}"/>
    <cellStyle name="Comma 2 2 2 4 2 2 6" xfId="40142" xr:uid="{ACC13643-5118-40D7-95B9-80EFCA3EE87C}"/>
    <cellStyle name="Comma 2 2 2 4 2 2 7" xfId="21888" xr:uid="{2CF7754C-F1B2-4B97-B427-9E00C7BDEE1D}"/>
    <cellStyle name="Comma 2 2 2 4 2 3" xfId="2904" xr:uid="{DE1289EF-30C4-4323-9745-2726A2565362}"/>
    <cellStyle name="Comma 2 2 2 4 2 3 2" xfId="17504" xr:uid="{6626182D-8678-4C19-B200-D3E28DFA68C6}"/>
    <cellStyle name="Comma 2 2 2 4 2 3 2 2" xfId="54012" xr:uid="{DF315930-7809-42AD-AF9C-A0E0CC7CA13E}"/>
    <cellStyle name="Comma 2 2 2 4 2 3 2 3" xfId="35758" xr:uid="{828C7541-D6B4-42A8-AC74-574C13A4784A}"/>
    <cellStyle name="Comma 2 2 2 4 2 3 3" xfId="13854" xr:uid="{CBD0A753-F774-484E-A8BB-0960DFC20C1B}"/>
    <cellStyle name="Comma 2 2 2 4 2 3 3 2" xfId="50362" xr:uid="{02348FB9-F1FD-46D3-9FB7-EAE4B9979B4F}"/>
    <cellStyle name="Comma 2 2 2 4 2 3 3 3" xfId="32108" xr:uid="{A769C631-2F88-4658-B414-F0C763863B5A}"/>
    <cellStyle name="Comma 2 2 2 4 2 3 4" xfId="10204" xr:uid="{30F2D761-29BE-4C0C-9D5D-1DE2DE9D792A}"/>
    <cellStyle name="Comma 2 2 2 4 2 3 4 2" xfId="46712" xr:uid="{C342F2B7-703B-4177-AE46-E2170F259E83}"/>
    <cellStyle name="Comma 2 2 2 4 2 3 4 3" xfId="28458" xr:uid="{926C5652-7214-4184-80C2-E71428AFF785}"/>
    <cellStyle name="Comma 2 2 2 4 2 3 5" xfId="6554" xr:uid="{731945EA-4ED6-48DF-82BA-BAE03D8C5E34}"/>
    <cellStyle name="Comma 2 2 2 4 2 3 5 2" xfId="43062" xr:uid="{520E4064-BA8F-4BB3-BD5E-9CD1330E073F}"/>
    <cellStyle name="Comma 2 2 2 4 2 3 5 3" xfId="24808" xr:uid="{E2519723-1A8A-4AEB-A62B-5C1DAC5E45F5}"/>
    <cellStyle name="Comma 2 2 2 4 2 3 6" xfId="39412" xr:uid="{8B8D1B19-7FC6-4ECA-8182-87FD2598477B}"/>
    <cellStyle name="Comma 2 2 2 4 2 3 7" xfId="21158" xr:uid="{B9AF7B08-86B2-451C-A962-B8AF66B092C1}"/>
    <cellStyle name="Comma 2 2 2 4 2 4" xfId="2174" xr:uid="{BA436DE9-99D8-48AF-A98B-4DE248699AA0}"/>
    <cellStyle name="Comma 2 2 2 4 2 4 2" xfId="16774" xr:uid="{1B13BA4A-CFC7-43F8-9C10-BDD554D8E9D4}"/>
    <cellStyle name="Comma 2 2 2 4 2 4 2 2" xfId="53282" xr:uid="{3F15B859-FFBA-4EA2-A4B9-9C44DD37EA70}"/>
    <cellStyle name="Comma 2 2 2 4 2 4 2 3" xfId="35028" xr:uid="{EDC1A386-AEA5-4B90-9D30-7B0FB263CFF4}"/>
    <cellStyle name="Comma 2 2 2 4 2 4 3" xfId="13124" xr:uid="{BE1E2151-A1C6-4F2D-9562-FC873E7BE5CF}"/>
    <cellStyle name="Comma 2 2 2 4 2 4 3 2" xfId="49632" xr:uid="{542C58AF-5D30-476C-88F1-377104D09459}"/>
    <cellStyle name="Comma 2 2 2 4 2 4 3 3" xfId="31378" xr:uid="{90055575-56FB-48CD-AC76-E629F7DD351A}"/>
    <cellStyle name="Comma 2 2 2 4 2 4 4" xfId="9474" xr:uid="{417B9C30-EA17-419B-A00F-52A5311EDE9E}"/>
    <cellStyle name="Comma 2 2 2 4 2 4 4 2" xfId="45982" xr:uid="{EE616F61-1757-4DD7-8621-672D2CF72E35}"/>
    <cellStyle name="Comma 2 2 2 4 2 4 4 3" xfId="27728" xr:uid="{B13027B5-9A3B-4299-8916-6F3B4463276D}"/>
    <cellStyle name="Comma 2 2 2 4 2 4 5" xfId="5824" xr:uid="{3B8828C2-4B56-4826-A97D-4C86D1CBA4F3}"/>
    <cellStyle name="Comma 2 2 2 4 2 4 5 2" xfId="42332" xr:uid="{87DE0950-6ED5-4BC4-9837-A6302782F1F2}"/>
    <cellStyle name="Comma 2 2 2 4 2 4 5 3" xfId="24078" xr:uid="{3276D0D1-527A-4F95-8266-EE753E0EAD93}"/>
    <cellStyle name="Comma 2 2 2 4 2 4 6" xfId="38682" xr:uid="{62B6B4BB-50AA-44CE-940C-71EF11A375AC}"/>
    <cellStyle name="Comma 2 2 2 4 2 4 7" xfId="20428" xr:uid="{B884A0C7-2B8E-4811-82C4-9D92E760422F}"/>
    <cellStyle name="Comma 2 2 2 4 2 5" xfId="1444" xr:uid="{462DDAE6-C349-45AB-BC16-3D63016C989B}"/>
    <cellStyle name="Comma 2 2 2 4 2 5 2" xfId="16044" xr:uid="{27C9A621-B11F-4115-8F21-EE014529B29C}"/>
    <cellStyle name="Comma 2 2 2 4 2 5 2 2" xfId="52552" xr:uid="{0DAD4CBC-C553-48E3-9EFA-063D0BCFE358}"/>
    <cellStyle name="Comma 2 2 2 4 2 5 2 3" xfId="34298" xr:uid="{E0FF0711-2D4E-44AF-A030-593698CC22EF}"/>
    <cellStyle name="Comma 2 2 2 4 2 5 3" xfId="12394" xr:uid="{F25500EE-D2BA-414E-82B2-53EF201F4CA7}"/>
    <cellStyle name="Comma 2 2 2 4 2 5 3 2" xfId="48902" xr:uid="{D36A251F-B530-4443-828D-1B8BBF089EE0}"/>
    <cellStyle name="Comma 2 2 2 4 2 5 3 3" xfId="30648" xr:uid="{BF43DAC0-CFB2-4D25-AFA7-BC9E9DC71DDF}"/>
    <cellStyle name="Comma 2 2 2 4 2 5 4" xfId="8744" xr:uid="{2931EA04-E12C-440C-8BB0-0200941B2B8E}"/>
    <cellStyle name="Comma 2 2 2 4 2 5 4 2" xfId="45252" xr:uid="{5354BF3F-7877-4A84-AA6C-DA7DF77FAE1E}"/>
    <cellStyle name="Comma 2 2 2 4 2 5 4 3" xfId="26998" xr:uid="{80ECACB0-B9F2-4964-AC9C-874A00743DD5}"/>
    <cellStyle name="Comma 2 2 2 4 2 5 5" xfId="5094" xr:uid="{C6983F34-C851-47C1-A83D-9B6BB8D26A44}"/>
    <cellStyle name="Comma 2 2 2 4 2 5 5 2" xfId="41602" xr:uid="{9FB767AF-F7CA-404E-9547-7449F105603A}"/>
    <cellStyle name="Comma 2 2 2 4 2 5 5 3" xfId="23348" xr:uid="{5F346383-E7F7-4102-AFC6-28C4AA177CFC}"/>
    <cellStyle name="Comma 2 2 2 4 2 5 6" xfId="37952" xr:uid="{0061755F-63C4-460F-9321-901C5798D00D}"/>
    <cellStyle name="Comma 2 2 2 4 2 5 7" xfId="19698" xr:uid="{FEBBFD57-2DD3-42C4-A941-A1354FD91505}"/>
    <cellStyle name="Comma 2 2 2 4 2 6" xfId="15314" xr:uid="{C720949C-CA55-452B-9018-31AEB1ED7D37}"/>
    <cellStyle name="Comma 2 2 2 4 2 6 2" xfId="51822" xr:uid="{FCC2CB44-F4F9-4318-A8AC-E025481B3938}"/>
    <cellStyle name="Comma 2 2 2 4 2 6 3" xfId="33568" xr:uid="{7EDDB598-72AC-4DEB-A6D0-192CF101827D}"/>
    <cellStyle name="Comma 2 2 2 4 2 7" xfId="11664" xr:uid="{7999341A-195D-490D-B6EE-1112592D96F8}"/>
    <cellStyle name="Comma 2 2 2 4 2 7 2" xfId="48172" xr:uid="{F24229DB-2089-4D52-A407-8EFA67D44921}"/>
    <cellStyle name="Comma 2 2 2 4 2 7 3" xfId="29918" xr:uid="{9710B29A-DBA5-4F65-A55C-F897575D3B04}"/>
    <cellStyle name="Comma 2 2 2 4 2 8" xfId="8014" xr:uid="{9629E791-AE8A-4F72-B806-E6A3D5E0E43A}"/>
    <cellStyle name="Comma 2 2 2 4 2 8 2" xfId="44522" xr:uid="{B8F9BB0B-575A-4AA8-AD32-FC08AFF7676A}"/>
    <cellStyle name="Comma 2 2 2 4 2 8 3" xfId="26268" xr:uid="{A0E1AA40-A98D-4724-BE0E-41D9CCC469C7}"/>
    <cellStyle name="Comma 2 2 2 4 2 9" xfId="4364" xr:uid="{395F9193-F480-46AD-B655-C584B9A65736}"/>
    <cellStyle name="Comma 2 2 2 4 2 9 2" xfId="40872" xr:uid="{F719BA54-81B9-4DF2-B4A4-65BDC59BF278}"/>
    <cellStyle name="Comma 2 2 2 4 2 9 3" xfId="22618" xr:uid="{ED5A37C2-1091-4DC4-9E04-F1C871B32047}"/>
    <cellStyle name="Comma 2 2 2 4 3" xfId="610" xr:uid="{F3B93AC7-5CEA-4D3F-A2DC-74A152BB8513}"/>
    <cellStyle name="Comma 2 2 2 4 3 10" xfId="37118" xr:uid="{C7718AF6-C169-487A-8A5C-9677AAF378FD}"/>
    <cellStyle name="Comma 2 2 2 4 3 11" xfId="18864" xr:uid="{41380578-59D5-41E9-BEE0-E27055DC29AD}"/>
    <cellStyle name="Comma 2 2 2 4 3 2" xfId="3530" xr:uid="{33FD9E5A-41B4-45E0-BF0D-6983BC930BBE}"/>
    <cellStyle name="Comma 2 2 2 4 3 2 2" xfId="18130" xr:uid="{D05F6B44-09A9-4238-BD53-EE16BB2EC4B6}"/>
    <cellStyle name="Comma 2 2 2 4 3 2 2 2" xfId="54638" xr:uid="{309E7E02-8C32-4FBC-B336-4F2B35221C8B}"/>
    <cellStyle name="Comma 2 2 2 4 3 2 2 3" xfId="36384" xr:uid="{69E58B55-278A-4E16-AAE6-44E11C8D2B2F}"/>
    <cellStyle name="Comma 2 2 2 4 3 2 3" xfId="14480" xr:uid="{AB165E32-437F-40C9-A089-1B87EEAF1DF9}"/>
    <cellStyle name="Comma 2 2 2 4 3 2 3 2" xfId="50988" xr:uid="{44D74C33-75AA-4D4F-9FAE-8C2F51773845}"/>
    <cellStyle name="Comma 2 2 2 4 3 2 3 3" xfId="32734" xr:uid="{342A1E25-65E8-46D6-A24A-BDE928A30596}"/>
    <cellStyle name="Comma 2 2 2 4 3 2 4" xfId="10830" xr:uid="{6C1B6CCC-5026-470A-ABF5-4671B721C6F4}"/>
    <cellStyle name="Comma 2 2 2 4 3 2 4 2" xfId="47338" xr:uid="{0C70EFA3-5E5C-4FC9-9D1C-AF7258848D71}"/>
    <cellStyle name="Comma 2 2 2 4 3 2 4 3" xfId="29084" xr:uid="{3B7FA5D7-A0AE-4AC7-AA5E-BCA7088850D9}"/>
    <cellStyle name="Comma 2 2 2 4 3 2 5" xfId="7180" xr:uid="{81CE32FF-C9C4-4E00-8448-C09DAF8A1342}"/>
    <cellStyle name="Comma 2 2 2 4 3 2 5 2" xfId="43688" xr:uid="{61DF7D37-9848-4BF1-8DDB-D5FFD5F1D757}"/>
    <cellStyle name="Comma 2 2 2 4 3 2 5 3" xfId="25434" xr:uid="{40E092A2-9FC5-4FD6-95BA-398534DB7293}"/>
    <cellStyle name="Comma 2 2 2 4 3 2 6" xfId="40038" xr:uid="{B6C36BAB-FDB9-4FF5-B478-1FB07DB1D1C7}"/>
    <cellStyle name="Comma 2 2 2 4 3 2 7" xfId="21784" xr:uid="{4C841680-1C54-4146-8E67-6889451ACA30}"/>
    <cellStyle name="Comma 2 2 2 4 3 3" xfId="2800" xr:uid="{B196E5C8-E8C8-42D7-87A5-86059FEE099D}"/>
    <cellStyle name="Comma 2 2 2 4 3 3 2" xfId="17400" xr:uid="{18B71EFE-A61E-4DD5-BCA1-CCE06AEFEB59}"/>
    <cellStyle name="Comma 2 2 2 4 3 3 2 2" xfId="53908" xr:uid="{455B5C0F-7F14-4516-9FC3-B6916AD21B05}"/>
    <cellStyle name="Comma 2 2 2 4 3 3 2 3" xfId="35654" xr:uid="{12DAD864-8FB6-4EBB-BD95-1E36EAF29901}"/>
    <cellStyle name="Comma 2 2 2 4 3 3 3" xfId="13750" xr:uid="{36F433BA-EE05-4281-B0AA-5634CDD3671E}"/>
    <cellStyle name="Comma 2 2 2 4 3 3 3 2" xfId="50258" xr:uid="{EF8677BA-84D0-4439-80C0-293AA9C1AF77}"/>
    <cellStyle name="Comma 2 2 2 4 3 3 3 3" xfId="32004" xr:uid="{E1EF337D-DA6B-4B49-9CB7-F9BBAB4ACFDB}"/>
    <cellStyle name="Comma 2 2 2 4 3 3 4" xfId="10100" xr:uid="{03A37027-9C0F-4BA6-98A2-F2D1C8E963AB}"/>
    <cellStyle name="Comma 2 2 2 4 3 3 4 2" xfId="46608" xr:uid="{D54D6BAE-E599-4264-B36A-13A28D2D8316}"/>
    <cellStyle name="Comma 2 2 2 4 3 3 4 3" xfId="28354" xr:uid="{ABD18096-283E-47D9-BB27-9E53D07A2C07}"/>
    <cellStyle name="Comma 2 2 2 4 3 3 5" xfId="6450" xr:uid="{74792E4D-7BBC-46D4-92C4-524CFCC77D0E}"/>
    <cellStyle name="Comma 2 2 2 4 3 3 5 2" xfId="42958" xr:uid="{45C75BC7-6895-46AC-A920-06E0C29BCB7D}"/>
    <cellStyle name="Comma 2 2 2 4 3 3 5 3" xfId="24704" xr:uid="{8237BD30-51C9-45A5-8799-4DAE55A8D1A6}"/>
    <cellStyle name="Comma 2 2 2 4 3 3 6" xfId="39308" xr:uid="{E75A5C0C-2FA7-4416-ADF7-0816EC9B6B46}"/>
    <cellStyle name="Comma 2 2 2 4 3 3 7" xfId="21054" xr:uid="{A9145E61-6508-4E9F-B4D6-8A336E2D0838}"/>
    <cellStyle name="Comma 2 2 2 4 3 4" xfId="2070" xr:uid="{54A95120-99AF-4DA4-86CE-E7EB6284C157}"/>
    <cellStyle name="Comma 2 2 2 4 3 4 2" xfId="16670" xr:uid="{D2954907-8210-413D-846D-B47224826C19}"/>
    <cellStyle name="Comma 2 2 2 4 3 4 2 2" xfId="53178" xr:uid="{5FC8C276-037D-44F3-95C4-423560B247B3}"/>
    <cellStyle name="Comma 2 2 2 4 3 4 2 3" xfId="34924" xr:uid="{C91A114D-74FF-45C4-9264-1A26D5F2291A}"/>
    <cellStyle name="Comma 2 2 2 4 3 4 3" xfId="13020" xr:uid="{83953BC8-4009-4C61-9E95-63097A86F74C}"/>
    <cellStyle name="Comma 2 2 2 4 3 4 3 2" xfId="49528" xr:uid="{3F57DEEB-2BDB-4A17-A639-F09B1DE6F328}"/>
    <cellStyle name="Comma 2 2 2 4 3 4 3 3" xfId="31274" xr:uid="{A20BB8F0-B654-4531-A004-1CACB07AD187}"/>
    <cellStyle name="Comma 2 2 2 4 3 4 4" xfId="9370" xr:uid="{932E7C66-4203-4D75-B2BE-3CEE4264569B}"/>
    <cellStyle name="Comma 2 2 2 4 3 4 4 2" xfId="45878" xr:uid="{C32B5E1E-DB00-4CCA-8319-EB6E417696DD}"/>
    <cellStyle name="Comma 2 2 2 4 3 4 4 3" xfId="27624" xr:uid="{56CE7D99-0269-40ED-95F5-01D0C9356DDE}"/>
    <cellStyle name="Comma 2 2 2 4 3 4 5" xfId="5720" xr:uid="{D43818CE-FBD0-48A4-AF33-DC2A5D0887AE}"/>
    <cellStyle name="Comma 2 2 2 4 3 4 5 2" xfId="42228" xr:uid="{621D6509-7F1D-4B19-B199-6CD3CC61DB43}"/>
    <cellStyle name="Comma 2 2 2 4 3 4 5 3" xfId="23974" xr:uid="{53BEDAD8-AE03-4156-82A7-456462B9D47C}"/>
    <cellStyle name="Comma 2 2 2 4 3 4 6" xfId="38578" xr:uid="{334A355A-C473-4421-98E7-E6A9EDFFA121}"/>
    <cellStyle name="Comma 2 2 2 4 3 4 7" xfId="20324" xr:uid="{1A24C74E-0FEF-4AD2-8868-6F3C04F5B541}"/>
    <cellStyle name="Comma 2 2 2 4 3 5" xfId="1340" xr:uid="{7BC24D24-8927-403F-8918-D842553DAD8C}"/>
    <cellStyle name="Comma 2 2 2 4 3 5 2" xfId="15940" xr:uid="{AE5C2222-8837-4387-B7D9-D41B9B92BA45}"/>
    <cellStyle name="Comma 2 2 2 4 3 5 2 2" xfId="52448" xr:uid="{A56B5C22-20A4-4A53-8739-1866C3F9B163}"/>
    <cellStyle name="Comma 2 2 2 4 3 5 2 3" xfId="34194" xr:uid="{C9120754-B9E7-4FD0-BDF8-7992ED3415E9}"/>
    <cellStyle name="Comma 2 2 2 4 3 5 3" xfId="12290" xr:uid="{CBB60B59-568F-4FCF-B29F-CC6DC98970F3}"/>
    <cellStyle name="Comma 2 2 2 4 3 5 3 2" xfId="48798" xr:uid="{FB4A0E61-079B-4C6B-B129-4CC170650E76}"/>
    <cellStyle name="Comma 2 2 2 4 3 5 3 3" xfId="30544" xr:uid="{8196144A-BD76-4F6D-95D6-ADA78472069F}"/>
    <cellStyle name="Comma 2 2 2 4 3 5 4" xfId="8640" xr:uid="{33EBF167-8BBA-4A08-A97E-4B7A2107DC61}"/>
    <cellStyle name="Comma 2 2 2 4 3 5 4 2" xfId="45148" xr:uid="{7FEEB2BB-F176-4488-8E11-81B49764FFC0}"/>
    <cellStyle name="Comma 2 2 2 4 3 5 4 3" xfId="26894" xr:uid="{B07336DF-FB00-42E6-B94F-2A9A20AB8CC6}"/>
    <cellStyle name="Comma 2 2 2 4 3 5 5" xfId="4990" xr:uid="{5C064C14-C302-478D-A93B-F766F825C953}"/>
    <cellStyle name="Comma 2 2 2 4 3 5 5 2" xfId="41498" xr:uid="{8EA7D478-F155-48C2-83B3-D04DF9388134}"/>
    <cellStyle name="Comma 2 2 2 4 3 5 5 3" xfId="23244" xr:uid="{E8704880-B1E9-4958-868C-7A737EB95E1E}"/>
    <cellStyle name="Comma 2 2 2 4 3 5 6" xfId="37848" xr:uid="{6404712F-25BC-48B6-9E7C-D46A5E644726}"/>
    <cellStyle name="Comma 2 2 2 4 3 5 7" xfId="19594" xr:uid="{9F26B597-88FD-4F84-A53A-6F490AF7D2B1}"/>
    <cellStyle name="Comma 2 2 2 4 3 6" xfId="15210" xr:uid="{C9B59E18-8541-4278-9C38-B17DD3B901A5}"/>
    <cellStyle name="Comma 2 2 2 4 3 6 2" xfId="51718" xr:uid="{E348AC34-FB2F-4EE3-8F1E-325882C13059}"/>
    <cellStyle name="Comma 2 2 2 4 3 6 3" xfId="33464" xr:uid="{2A8A08B9-F8E0-4F6B-890F-73B68EA82026}"/>
    <cellStyle name="Comma 2 2 2 4 3 7" xfId="11560" xr:uid="{8354E8BA-FCC7-4C8D-A406-B6C0BBFA7653}"/>
    <cellStyle name="Comma 2 2 2 4 3 7 2" xfId="48068" xr:uid="{AEC2FB8D-28FA-445E-AB84-224166377EAA}"/>
    <cellStyle name="Comma 2 2 2 4 3 7 3" xfId="29814" xr:uid="{27713B80-50DB-4D67-82A6-62845067E905}"/>
    <cellStyle name="Comma 2 2 2 4 3 8" xfId="7910" xr:uid="{D4C5E488-AD80-44B1-A4DE-497B4CC9103E}"/>
    <cellStyle name="Comma 2 2 2 4 3 8 2" xfId="44418" xr:uid="{7D0F8B21-C883-482C-9CDB-99833DE58883}"/>
    <cellStyle name="Comma 2 2 2 4 3 8 3" xfId="26164" xr:uid="{F23FFA46-2754-4E60-84C8-4D99EE9D0567}"/>
    <cellStyle name="Comma 2 2 2 4 3 9" xfId="4260" xr:uid="{7B4BE8BC-0738-4617-9385-54D16384C90C}"/>
    <cellStyle name="Comma 2 2 2 4 3 9 2" xfId="40768" xr:uid="{F5B9E267-E9C4-4531-BDA0-AAC806040036}"/>
    <cellStyle name="Comma 2 2 2 4 3 9 3" xfId="22514" xr:uid="{588CE3FD-6A05-426C-8586-DFC1F00B4EB0}"/>
    <cellStyle name="Comma 2 2 2 4 4" xfId="506" xr:uid="{6598FD3C-F017-4991-A5E1-604D9E43D13D}"/>
    <cellStyle name="Comma 2 2 2 4 4 10" xfId="37014" xr:uid="{AC6D5D23-41B3-4981-A282-810CDF693E2E}"/>
    <cellStyle name="Comma 2 2 2 4 4 11" xfId="18760" xr:uid="{E37B8449-030A-4A77-A1A4-3C54FD799A00}"/>
    <cellStyle name="Comma 2 2 2 4 4 2" xfId="3426" xr:uid="{0D10BD94-6BF3-421E-BD72-1921AA67E59B}"/>
    <cellStyle name="Comma 2 2 2 4 4 2 2" xfId="18026" xr:uid="{B32B1E90-EAF2-45CF-9FE1-14B4AE6B8387}"/>
    <cellStyle name="Comma 2 2 2 4 4 2 2 2" xfId="54534" xr:uid="{529E741E-3FA1-49B4-B1EC-1A65CE9C5FB1}"/>
    <cellStyle name="Comma 2 2 2 4 4 2 2 3" xfId="36280" xr:uid="{CF2F6634-0406-4E1E-8907-066A80919189}"/>
    <cellStyle name="Comma 2 2 2 4 4 2 3" xfId="14376" xr:uid="{8FDE169A-7AEB-4639-ABE7-E4975BA6AD6D}"/>
    <cellStyle name="Comma 2 2 2 4 4 2 3 2" xfId="50884" xr:uid="{DB8252A8-F3CB-4F98-AECE-2E06DD131D3E}"/>
    <cellStyle name="Comma 2 2 2 4 4 2 3 3" xfId="32630" xr:uid="{ED5A0F87-B6F1-4193-B414-5AC23021F2F1}"/>
    <cellStyle name="Comma 2 2 2 4 4 2 4" xfId="10726" xr:uid="{5D9EE3FD-518E-40E4-B2D6-25A3CF62A3D0}"/>
    <cellStyle name="Comma 2 2 2 4 4 2 4 2" xfId="47234" xr:uid="{2C5879BD-87EB-44C8-9233-A682490206BD}"/>
    <cellStyle name="Comma 2 2 2 4 4 2 4 3" xfId="28980" xr:uid="{C28317C3-E96C-474F-818F-54536C595D66}"/>
    <cellStyle name="Comma 2 2 2 4 4 2 5" xfId="7076" xr:uid="{1A1B912C-9363-4C23-902D-33F22C71C521}"/>
    <cellStyle name="Comma 2 2 2 4 4 2 5 2" xfId="43584" xr:uid="{698105F2-3B18-4462-8998-EE8671CDC3D0}"/>
    <cellStyle name="Comma 2 2 2 4 4 2 5 3" xfId="25330" xr:uid="{79EB2EEB-1D61-48B4-8082-2639D8C974EB}"/>
    <cellStyle name="Comma 2 2 2 4 4 2 6" xfId="39934" xr:uid="{D9E6B2F1-F516-49A3-9F78-8ED568B93B8B}"/>
    <cellStyle name="Comma 2 2 2 4 4 2 7" xfId="21680" xr:uid="{2F7F86A1-120B-4058-AC83-CA0BAA8393A1}"/>
    <cellStyle name="Comma 2 2 2 4 4 3" xfId="2696" xr:uid="{33795B2D-0BEF-4371-BBB9-74A60D67AECB}"/>
    <cellStyle name="Comma 2 2 2 4 4 3 2" xfId="17296" xr:uid="{D24F397E-36EC-48EE-8EAA-B2D41CFCF95E}"/>
    <cellStyle name="Comma 2 2 2 4 4 3 2 2" xfId="53804" xr:uid="{0775E171-7814-4A6D-827B-3E9E6FCDCB57}"/>
    <cellStyle name="Comma 2 2 2 4 4 3 2 3" xfId="35550" xr:uid="{12C38CAB-7A98-4B4F-9C17-226AD64A7DAA}"/>
    <cellStyle name="Comma 2 2 2 4 4 3 3" xfId="13646" xr:uid="{32C59409-A34E-46F2-83A3-B5B75983DDB6}"/>
    <cellStyle name="Comma 2 2 2 4 4 3 3 2" xfId="50154" xr:uid="{65EEA609-1F5B-403B-A4A9-FDA4F760DBCE}"/>
    <cellStyle name="Comma 2 2 2 4 4 3 3 3" xfId="31900" xr:uid="{E06ABFEE-16C8-4046-A4CD-AEA984C666DB}"/>
    <cellStyle name="Comma 2 2 2 4 4 3 4" xfId="9996" xr:uid="{1EB88C23-3FCA-4DCA-AF06-5211FFE7B0FC}"/>
    <cellStyle name="Comma 2 2 2 4 4 3 4 2" xfId="46504" xr:uid="{EC719BCF-8C4B-4929-8FBB-91A5F815546A}"/>
    <cellStyle name="Comma 2 2 2 4 4 3 4 3" xfId="28250" xr:uid="{C4DC36C4-B256-4500-A38E-9C0B83136411}"/>
    <cellStyle name="Comma 2 2 2 4 4 3 5" xfId="6346" xr:uid="{3098D024-4BF3-4742-825D-57CDDDEE0C12}"/>
    <cellStyle name="Comma 2 2 2 4 4 3 5 2" xfId="42854" xr:uid="{371A05C2-0014-4FB7-B4E6-C2F908DC847D}"/>
    <cellStyle name="Comma 2 2 2 4 4 3 5 3" xfId="24600" xr:uid="{86734537-4723-4992-966E-CD5E754F7992}"/>
    <cellStyle name="Comma 2 2 2 4 4 3 6" xfId="39204" xr:uid="{A2238A6A-FAF0-4812-B1A0-04FFF0F63B41}"/>
    <cellStyle name="Comma 2 2 2 4 4 3 7" xfId="20950" xr:uid="{97D00386-0FDD-46E0-BD29-F5044B81CE60}"/>
    <cellStyle name="Comma 2 2 2 4 4 4" xfId="1966" xr:uid="{66519616-31DF-49D0-8A70-BE38ED3AA2B9}"/>
    <cellStyle name="Comma 2 2 2 4 4 4 2" xfId="16566" xr:uid="{D750A8FF-C093-4BA5-B73A-1821A64F1970}"/>
    <cellStyle name="Comma 2 2 2 4 4 4 2 2" xfId="53074" xr:uid="{F60E77A0-EE10-4716-A02C-47CDF7802233}"/>
    <cellStyle name="Comma 2 2 2 4 4 4 2 3" xfId="34820" xr:uid="{8E4ED4E3-E375-428A-8807-1FD36D034CD8}"/>
    <cellStyle name="Comma 2 2 2 4 4 4 3" xfId="12916" xr:uid="{FED48E7C-0E4D-4261-B006-CF09E630C9E1}"/>
    <cellStyle name="Comma 2 2 2 4 4 4 3 2" xfId="49424" xr:uid="{89C1F7F9-3BE5-4E13-8529-B468E7DCC2B5}"/>
    <cellStyle name="Comma 2 2 2 4 4 4 3 3" xfId="31170" xr:uid="{6249F8F9-38F7-433F-8688-1D17F7CA9C2C}"/>
    <cellStyle name="Comma 2 2 2 4 4 4 4" xfId="9266" xr:uid="{B37ABEDB-C607-44A8-BF86-C0D24D955A2F}"/>
    <cellStyle name="Comma 2 2 2 4 4 4 4 2" xfId="45774" xr:uid="{E76F8F07-73BD-4067-8838-3ED7A1F77E07}"/>
    <cellStyle name="Comma 2 2 2 4 4 4 4 3" xfId="27520" xr:uid="{5A484C7D-3ABD-4517-B276-2162FD1BB7C4}"/>
    <cellStyle name="Comma 2 2 2 4 4 4 5" xfId="5616" xr:uid="{4DD8C534-0935-4AF3-A574-F4DE718059C6}"/>
    <cellStyle name="Comma 2 2 2 4 4 4 5 2" xfId="42124" xr:uid="{970AF060-F600-4C01-A1E8-ED4BD3ECD7A8}"/>
    <cellStyle name="Comma 2 2 2 4 4 4 5 3" xfId="23870" xr:uid="{5D67D7C4-AD2D-46C7-B55C-CDC90DB81DD1}"/>
    <cellStyle name="Comma 2 2 2 4 4 4 6" xfId="38474" xr:uid="{CDF5A1C4-9C98-41A0-837A-0D4C8B5F693E}"/>
    <cellStyle name="Comma 2 2 2 4 4 4 7" xfId="20220" xr:uid="{459F4C5C-6533-4B22-8FAF-39891FDCF47F}"/>
    <cellStyle name="Comma 2 2 2 4 4 5" xfId="1236" xr:uid="{44881BC8-EF1C-470B-90D0-3F9CEE57B359}"/>
    <cellStyle name="Comma 2 2 2 4 4 5 2" xfId="15836" xr:uid="{ADB64E72-9245-46AC-8DC5-B691408E627A}"/>
    <cellStyle name="Comma 2 2 2 4 4 5 2 2" xfId="52344" xr:uid="{F1C492F9-66D9-47BB-A7B1-0C8B96A11CCB}"/>
    <cellStyle name="Comma 2 2 2 4 4 5 2 3" xfId="34090" xr:uid="{9A726EB1-EA39-4065-9103-62432BB4FC89}"/>
    <cellStyle name="Comma 2 2 2 4 4 5 3" xfId="12186" xr:uid="{7D691DB9-E1F4-41E1-A158-9051EA877871}"/>
    <cellStyle name="Comma 2 2 2 4 4 5 3 2" xfId="48694" xr:uid="{93DC0743-97BB-4340-AE47-01B59C3073F7}"/>
    <cellStyle name="Comma 2 2 2 4 4 5 3 3" xfId="30440" xr:uid="{6EBB3C38-FA4B-4243-9586-164915DFEDDB}"/>
    <cellStyle name="Comma 2 2 2 4 4 5 4" xfId="8536" xr:uid="{FBEEDCB1-4DFD-4084-B2AC-C6031213988B}"/>
    <cellStyle name="Comma 2 2 2 4 4 5 4 2" xfId="45044" xr:uid="{6E282271-11E7-404B-81EE-8E318DC9FEC0}"/>
    <cellStyle name="Comma 2 2 2 4 4 5 4 3" xfId="26790" xr:uid="{C4B0E577-4881-4CF1-B8D4-A224E85B7791}"/>
    <cellStyle name="Comma 2 2 2 4 4 5 5" xfId="4886" xr:uid="{3AEF8F75-9606-4693-B2D7-68650C73889D}"/>
    <cellStyle name="Comma 2 2 2 4 4 5 5 2" xfId="41394" xr:uid="{A012ED8A-3202-4C7C-A69E-D2D9910C8E8D}"/>
    <cellStyle name="Comma 2 2 2 4 4 5 5 3" xfId="23140" xr:uid="{25A66373-C510-4A48-9526-BBE012CC2575}"/>
    <cellStyle name="Comma 2 2 2 4 4 5 6" xfId="37744" xr:uid="{398CE3C4-722E-4FDD-9582-806A16991892}"/>
    <cellStyle name="Comma 2 2 2 4 4 5 7" xfId="19490" xr:uid="{CA126AD6-C1D0-4D3C-9170-B0D865C8C3AD}"/>
    <cellStyle name="Comma 2 2 2 4 4 6" xfId="15106" xr:uid="{AE92C592-3DA4-4BCB-B03C-0D84AE91B4ED}"/>
    <cellStyle name="Comma 2 2 2 4 4 6 2" xfId="51614" xr:uid="{C150331D-EA51-4B4F-9542-665AC699385D}"/>
    <cellStyle name="Comma 2 2 2 4 4 6 3" xfId="33360" xr:uid="{8F9DBFF0-7D61-4AB4-9C6E-E3CC96FF78A5}"/>
    <cellStyle name="Comma 2 2 2 4 4 7" xfId="11456" xr:uid="{C802C1E5-B381-4050-9F71-00EA23075190}"/>
    <cellStyle name="Comma 2 2 2 4 4 7 2" xfId="47964" xr:uid="{6DC240C8-D8AD-4856-B7D3-7FF6499B278F}"/>
    <cellStyle name="Comma 2 2 2 4 4 7 3" xfId="29710" xr:uid="{DBFF9669-293E-402B-9AB4-B2958FA11078}"/>
    <cellStyle name="Comma 2 2 2 4 4 8" xfId="7806" xr:uid="{FC11C50C-A4F7-4E8C-B50E-16EA0095CF98}"/>
    <cellStyle name="Comma 2 2 2 4 4 8 2" xfId="44314" xr:uid="{696A4502-9B9E-4092-B28F-3F01F2EC346F}"/>
    <cellStyle name="Comma 2 2 2 4 4 8 3" xfId="26060" xr:uid="{7ECBFC1A-0138-40CE-ADCD-500C093CBC2C}"/>
    <cellStyle name="Comma 2 2 2 4 4 9" xfId="4156" xr:uid="{A42D598F-33DA-472C-9A98-67C9D6F06920}"/>
    <cellStyle name="Comma 2 2 2 4 4 9 2" xfId="40664" xr:uid="{CFF3B40B-BB65-44C3-90AA-85FE943606D3}"/>
    <cellStyle name="Comma 2 2 2 4 4 9 3" xfId="22410" xr:uid="{238FDBA3-F966-4B4A-91EA-BC0978102DAD}"/>
    <cellStyle name="Comma 2 2 2 4 5" xfId="402" xr:uid="{2029EA95-9AB8-4E79-9D0E-07B7EB54B164}"/>
    <cellStyle name="Comma 2 2 2 4 5 10" xfId="36910" xr:uid="{9EFB047A-879D-4CBE-ADAE-FDD8CCC3B5FD}"/>
    <cellStyle name="Comma 2 2 2 4 5 11" xfId="18656" xr:uid="{3DBE3F61-FD43-4B2D-8A1B-90B5115F56E0}"/>
    <cellStyle name="Comma 2 2 2 4 5 2" xfId="3322" xr:uid="{8D2A7B75-5D41-417E-8B85-448C9014900E}"/>
    <cellStyle name="Comma 2 2 2 4 5 2 2" xfId="17922" xr:uid="{6964401D-121E-4BF1-B269-AD8AA2DEF924}"/>
    <cellStyle name="Comma 2 2 2 4 5 2 2 2" xfId="54430" xr:uid="{90BD1F2E-5E3E-4628-A0F9-F6BE19A98FC6}"/>
    <cellStyle name="Comma 2 2 2 4 5 2 2 3" xfId="36176" xr:uid="{E41C232E-1D45-44F2-9EC9-33CE99A6CE47}"/>
    <cellStyle name="Comma 2 2 2 4 5 2 3" xfId="14272" xr:uid="{B71C9706-673E-4DA3-81D9-32358DA9EBD6}"/>
    <cellStyle name="Comma 2 2 2 4 5 2 3 2" xfId="50780" xr:uid="{E3F2A7EC-0D96-4451-9801-9F2216CA8727}"/>
    <cellStyle name="Comma 2 2 2 4 5 2 3 3" xfId="32526" xr:uid="{2D90D26E-E248-4459-8C82-D2BDF64A0866}"/>
    <cellStyle name="Comma 2 2 2 4 5 2 4" xfId="10622" xr:uid="{E64DBEA6-7A50-4C4F-ADF1-4C16B257C053}"/>
    <cellStyle name="Comma 2 2 2 4 5 2 4 2" xfId="47130" xr:uid="{484D67D5-F064-4B9C-AF1D-8EA35D08B531}"/>
    <cellStyle name="Comma 2 2 2 4 5 2 4 3" xfId="28876" xr:uid="{19DB21A8-895E-414D-BA7D-5EE2722EA359}"/>
    <cellStyle name="Comma 2 2 2 4 5 2 5" xfId="6972" xr:uid="{F839F354-3523-4D4B-9876-D52AB4F49CF4}"/>
    <cellStyle name="Comma 2 2 2 4 5 2 5 2" xfId="43480" xr:uid="{F223C6D1-1E9D-403F-8AAF-75BDCB289547}"/>
    <cellStyle name="Comma 2 2 2 4 5 2 5 3" xfId="25226" xr:uid="{5A546F7C-878A-4E49-BDCB-8CCC1A577106}"/>
    <cellStyle name="Comma 2 2 2 4 5 2 6" xfId="39830" xr:uid="{DE0A6A3A-BA91-482A-85D9-89D68085BD9E}"/>
    <cellStyle name="Comma 2 2 2 4 5 2 7" xfId="21576" xr:uid="{1AA10AD6-7AE6-4CB4-95A3-D26B35460258}"/>
    <cellStyle name="Comma 2 2 2 4 5 3" xfId="2592" xr:uid="{7C3D2656-1799-42EF-B39D-96C1F4190EEF}"/>
    <cellStyle name="Comma 2 2 2 4 5 3 2" xfId="17192" xr:uid="{433F5CEB-C9E8-4B64-A174-6ADB7C79F100}"/>
    <cellStyle name="Comma 2 2 2 4 5 3 2 2" xfId="53700" xr:uid="{95005720-7BB6-4EB2-BC30-B558857B6E4C}"/>
    <cellStyle name="Comma 2 2 2 4 5 3 2 3" xfId="35446" xr:uid="{443A4EEC-D9BB-44C3-881E-39220830FF65}"/>
    <cellStyle name="Comma 2 2 2 4 5 3 3" xfId="13542" xr:uid="{ABB1C13A-2DC8-4171-893D-1CC7C7E7E3CF}"/>
    <cellStyle name="Comma 2 2 2 4 5 3 3 2" xfId="50050" xr:uid="{3CC5C883-2F87-4CD4-9213-9E69ECD295B7}"/>
    <cellStyle name="Comma 2 2 2 4 5 3 3 3" xfId="31796" xr:uid="{139BC563-0223-484A-B8BB-5FE6BCA7C631}"/>
    <cellStyle name="Comma 2 2 2 4 5 3 4" xfId="9892" xr:uid="{3BDAD3E2-36A6-4B21-A3E1-FEDA4CB4D7D8}"/>
    <cellStyle name="Comma 2 2 2 4 5 3 4 2" xfId="46400" xr:uid="{66B5179C-519F-42C3-8121-B0F6F6663C29}"/>
    <cellStyle name="Comma 2 2 2 4 5 3 4 3" xfId="28146" xr:uid="{40C165FE-EAE0-4AB7-9393-F9E9464E4789}"/>
    <cellStyle name="Comma 2 2 2 4 5 3 5" xfId="6242" xr:uid="{E33A0570-6345-4781-A4EE-821B00BD0FF0}"/>
    <cellStyle name="Comma 2 2 2 4 5 3 5 2" xfId="42750" xr:uid="{D43233EF-1040-4A0A-B9B4-83B49C9709B4}"/>
    <cellStyle name="Comma 2 2 2 4 5 3 5 3" xfId="24496" xr:uid="{30B5F6E9-C970-44BF-9332-B6F15F6983C7}"/>
    <cellStyle name="Comma 2 2 2 4 5 3 6" xfId="39100" xr:uid="{C6800DA6-0060-4D06-A9DB-020F1458C37C}"/>
    <cellStyle name="Comma 2 2 2 4 5 3 7" xfId="20846" xr:uid="{D9B8D7D0-4661-4CCF-A349-EF1C212A0AAA}"/>
    <cellStyle name="Comma 2 2 2 4 5 4" xfId="1862" xr:uid="{B7D3F679-8CCB-4CB4-BFD9-E58F8898129A}"/>
    <cellStyle name="Comma 2 2 2 4 5 4 2" xfId="16462" xr:uid="{726A4D48-9ACB-4EC7-A3DE-F6712E987161}"/>
    <cellStyle name="Comma 2 2 2 4 5 4 2 2" xfId="52970" xr:uid="{E00AA3C4-FF12-4DB1-902A-675DB9E6F396}"/>
    <cellStyle name="Comma 2 2 2 4 5 4 2 3" xfId="34716" xr:uid="{2408DB74-01DD-4CD7-B380-34E02D2D714F}"/>
    <cellStyle name="Comma 2 2 2 4 5 4 3" xfId="12812" xr:uid="{7F604DD4-BE20-4DF8-B276-14E8BC232E38}"/>
    <cellStyle name="Comma 2 2 2 4 5 4 3 2" xfId="49320" xr:uid="{24BA6C1B-938B-4E0E-B5CD-3CD374616E53}"/>
    <cellStyle name="Comma 2 2 2 4 5 4 3 3" xfId="31066" xr:uid="{5175DAFD-0BD0-497F-9BCD-A2ED313E8DF2}"/>
    <cellStyle name="Comma 2 2 2 4 5 4 4" xfId="9162" xr:uid="{00166F27-5621-4C66-9751-D7985EB6A90C}"/>
    <cellStyle name="Comma 2 2 2 4 5 4 4 2" xfId="45670" xr:uid="{21C46A1A-CF8B-49C1-9882-CD06FBBC5579}"/>
    <cellStyle name="Comma 2 2 2 4 5 4 4 3" xfId="27416" xr:uid="{E1800FB7-88F6-4638-925F-EA7B64BD7EED}"/>
    <cellStyle name="Comma 2 2 2 4 5 4 5" xfId="5512" xr:uid="{E606F751-A261-48E1-83A2-4275BEA42F24}"/>
    <cellStyle name="Comma 2 2 2 4 5 4 5 2" xfId="42020" xr:uid="{CB358284-315F-4C6D-8089-7E6685C690A6}"/>
    <cellStyle name="Comma 2 2 2 4 5 4 5 3" xfId="23766" xr:uid="{9C1289B4-B0FD-4425-B17C-6C501C7D735F}"/>
    <cellStyle name="Comma 2 2 2 4 5 4 6" xfId="38370" xr:uid="{1B7DB521-8583-4185-AB7F-CEED737B1AC5}"/>
    <cellStyle name="Comma 2 2 2 4 5 4 7" xfId="20116" xr:uid="{63126346-1D69-4885-897A-6D859F2047EB}"/>
    <cellStyle name="Comma 2 2 2 4 5 5" xfId="1132" xr:uid="{D24BB951-C4F2-4DC8-BDA8-1D76316DD33F}"/>
    <cellStyle name="Comma 2 2 2 4 5 5 2" xfId="15732" xr:uid="{AC7D516D-60AE-448C-B74B-DC1A1B5E5B92}"/>
    <cellStyle name="Comma 2 2 2 4 5 5 2 2" xfId="52240" xr:uid="{F6D7C211-AB34-40D6-AF7E-ABB664493A8E}"/>
    <cellStyle name="Comma 2 2 2 4 5 5 2 3" xfId="33986" xr:uid="{70C69080-3587-472E-9AC4-F8875662F939}"/>
    <cellStyle name="Comma 2 2 2 4 5 5 3" xfId="12082" xr:uid="{90D7211B-7810-491E-8098-A30E64350DBD}"/>
    <cellStyle name="Comma 2 2 2 4 5 5 3 2" xfId="48590" xr:uid="{D8398735-9CAB-4E82-9FB5-56F146F38EAB}"/>
    <cellStyle name="Comma 2 2 2 4 5 5 3 3" xfId="30336" xr:uid="{3CA3DF47-BB9B-4F09-996A-3A45218B2D8B}"/>
    <cellStyle name="Comma 2 2 2 4 5 5 4" xfId="8432" xr:uid="{3FD1D5CF-DC19-42DC-B8DF-54912E2203DF}"/>
    <cellStyle name="Comma 2 2 2 4 5 5 4 2" xfId="44940" xr:uid="{45AC9A1E-5410-41DE-A0C8-AA60D964F281}"/>
    <cellStyle name="Comma 2 2 2 4 5 5 4 3" xfId="26686" xr:uid="{0CCD8209-F4AD-4D72-B168-760D3EF595E4}"/>
    <cellStyle name="Comma 2 2 2 4 5 5 5" xfId="4782" xr:uid="{F1083483-154B-4755-BEDA-9A6524D844E6}"/>
    <cellStyle name="Comma 2 2 2 4 5 5 5 2" xfId="41290" xr:uid="{4BC2B4A1-5F70-4E76-BE10-D0B15C9E3F23}"/>
    <cellStyle name="Comma 2 2 2 4 5 5 5 3" xfId="23036" xr:uid="{82B67CF1-881E-49EA-8E53-CF59EE15B3E4}"/>
    <cellStyle name="Comma 2 2 2 4 5 5 6" xfId="37640" xr:uid="{182B5DED-8B0B-4FAC-86F3-27454B8691BB}"/>
    <cellStyle name="Comma 2 2 2 4 5 5 7" xfId="19386" xr:uid="{E69CD4E1-210C-4F84-8DD2-6D5BE9319E83}"/>
    <cellStyle name="Comma 2 2 2 4 5 6" xfId="15002" xr:uid="{BF242DDE-97C0-4BFA-B647-E924DDDC8085}"/>
    <cellStyle name="Comma 2 2 2 4 5 6 2" xfId="51510" xr:uid="{D04B4833-BACD-468C-994E-B9B756E89751}"/>
    <cellStyle name="Comma 2 2 2 4 5 6 3" xfId="33256" xr:uid="{2C253A9F-D8A7-4FBF-B2BB-1A64F2EE1C23}"/>
    <cellStyle name="Comma 2 2 2 4 5 7" xfId="11352" xr:uid="{4E88A15D-304B-45B1-B681-EFDBE5062F67}"/>
    <cellStyle name="Comma 2 2 2 4 5 7 2" xfId="47860" xr:uid="{2128637F-D777-431B-A24D-E89F78F1E9AE}"/>
    <cellStyle name="Comma 2 2 2 4 5 7 3" xfId="29606" xr:uid="{000EA16D-4D1C-47D2-9AA8-963ED77B4ED2}"/>
    <cellStyle name="Comma 2 2 2 4 5 8" xfId="7702" xr:uid="{EE750C29-73FA-4307-AEDF-275AC418A1B3}"/>
    <cellStyle name="Comma 2 2 2 4 5 8 2" xfId="44210" xr:uid="{044E2441-EBA4-4673-99E9-16D125D48EBF}"/>
    <cellStyle name="Comma 2 2 2 4 5 8 3" xfId="25956" xr:uid="{028754A4-44C0-479D-A048-3F834BE1EF60}"/>
    <cellStyle name="Comma 2 2 2 4 5 9" xfId="4052" xr:uid="{3246FBB1-DA12-43B3-B571-84D540118FC1}"/>
    <cellStyle name="Comma 2 2 2 4 5 9 2" xfId="40560" xr:uid="{E05543E1-CBE1-4A83-B1FC-BC545EB894F3}"/>
    <cellStyle name="Comma 2 2 2 4 5 9 3" xfId="22306" xr:uid="{4A8A1310-F900-40F3-B7B6-DAF588A3E709}"/>
    <cellStyle name="Comma 2 2 2 4 6" xfId="298" xr:uid="{43FD6C6D-4977-43DA-AFA4-D390A7378EE8}"/>
    <cellStyle name="Comma 2 2 2 4 6 10" xfId="36806" xr:uid="{A2739B2E-2676-45AC-8673-50931FB123C6}"/>
    <cellStyle name="Comma 2 2 2 4 6 11" xfId="18552" xr:uid="{F4458359-4444-4104-B9DB-E6642DF8AB3D}"/>
    <cellStyle name="Comma 2 2 2 4 6 2" xfId="3218" xr:uid="{73BB1279-7946-4004-B3AD-023C5CC5F65B}"/>
    <cellStyle name="Comma 2 2 2 4 6 2 2" xfId="17818" xr:uid="{0C49783B-877E-4E1E-A549-A56E8A9D7FB4}"/>
    <cellStyle name="Comma 2 2 2 4 6 2 2 2" xfId="54326" xr:uid="{4A0B12DE-C498-4BD8-B1DE-B9520B14B006}"/>
    <cellStyle name="Comma 2 2 2 4 6 2 2 3" xfId="36072" xr:uid="{32CD6E0A-000A-4B74-B000-DD80329C9C1A}"/>
    <cellStyle name="Comma 2 2 2 4 6 2 3" xfId="14168" xr:uid="{1C0B6F59-9F67-4B44-98F4-2D4AA8F84EED}"/>
    <cellStyle name="Comma 2 2 2 4 6 2 3 2" xfId="50676" xr:uid="{FBCD2980-EE9D-43C8-B6E1-45136AE894DA}"/>
    <cellStyle name="Comma 2 2 2 4 6 2 3 3" xfId="32422" xr:uid="{84379288-65FB-4775-A1BC-F0BDD38B716C}"/>
    <cellStyle name="Comma 2 2 2 4 6 2 4" xfId="10518" xr:uid="{7E6FDD74-B8EF-4317-9785-90D6B7E9BC61}"/>
    <cellStyle name="Comma 2 2 2 4 6 2 4 2" xfId="47026" xr:uid="{3B278B96-11E7-4777-8D56-75FE0E62F1CA}"/>
    <cellStyle name="Comma 2 2 2 4 6 2 4 3" xfId="28772" xr:uid="{11DDD390-5D3C-4E79-90FE-53B0C71E66B1}"/>
    <cellStyle name="Comma 2 2 2 4 6 2 5" xfId="6868" xr:uid="{813AE7A7-2238-4590-9411-F431960B1EF3}"/>
    <cellStyle name="Comma 2 2 2 4 6 2 5 2" xfId="43376" xr:uid="{705081A2-2524-468B-8587-F857CE1B2BDF}"/>
    <cellStyle name="Comma 2 2 2 4 6 2 5 3" xfId="25122" xr:uid="{FCB61873-D0D9-48CC-B604-F98B9D3663D6}"/>
    <cellStyle name="Comma 2 2 2 4 6 2 6" xfId="39726" xr:uid="{8BF8388C-9EC8-45F4-98CB-6A93A4C476C2}"/>
    <cellStyle name="Comma 2 2 2 4 6 2 7" xfId="21472" xr:uid="{933C66A9-3295-4DC7-A605-AD3C394E4A24}"/>
    <cellStyle name="Comma 2 2 2 4 6 3" xfId="2488" xr:uid="{2F1BDBBF-A8E8-4993-A7AF-DB69B710DB02}"/>
    <cellStyle name="Comma 2 2 2 4 6 3 2" xfId="17088" xr:uid="{5FF816ED-1DDF-4637-80C1-B9B47489C0AA}"/>
    <cellStyle name="Comma 2 2 2 4 6 3 2 2" xfId="53596" xr:uid="{E6F0DFEA-6EAD-4B81-B18B-07CB515D6C1A}"/>
    <cellStyle name="Comma 2 2 2 4 6 3 2 3" xfId="35342" xr:uid="{61D6E481-A69C-4019-AFB9-2818E468898E}"/>
    <cellStyle name="Comma 2 2 2 4 6 3 3" xfId="13438" xr:uid="{B70040DD-3ADB-4945-A1C7-2F3F6B0CF14A}"/>
    <cellStyle name="Comma 2 2 2 4 6 3 3 2" xfId="49946" xr:uid="{0E3FCB38-5B8C-4CE0-9CD6-6CD9952C665F}"/>
    <cellStyle name="Comma 2 2 2 4 6 3 3 3" xfId="31692" xr:uid="{424E450F-5482-4DE8-8EAC-E6640E504638}"/>
    <cellStyle name="Comma 2 2 2 4 6 3 4" xfId="9788" xr:uid="{E6FFE2D2-2040-4689-B2BC-871C56B7BE5B}"/>
    <cellStyle name="Comma 2 2 2 4 6 3 4 2" xfId="46296" xr:uid="{59D414B6-4662-4518-8903-BDB267B0AA45}"/>
    <cellStyle name="Comma 2 2 2 4 6 3 4 3" xfId="28042" xr:uid="{5120B672-5EEE-4135-9B83-F5554D698657}"/>
    <cellStyle name="Comma 2 2 2 4 6 3 5" xfId="6138" xr:uid="{4E07C9B8-ACD2-4295-AF33-61B10136399C}"/>
    <cellStyle name="Comma 2 2 2 4 6 3 5 2" xfId="42646" xr:uid="{16E9C2C6-EE1E-4810-AA67-61A5D823C765}"/>
    <cellStyle name="Comma 2 2 2 4 6 3 5 3" xfId="24392" xr:uid="{D2534CF7-7B93-46D1-9B14-AF2685AB3789}"/>
    <cellStyle name="Comma 2 2 2 4 6 3 6" xfId="38996" xr:uid="{5B144021-5126-4584-9297-EF9E475EF92B}"/>
    <cellStyle name="Comma 2 2 2 4 6 3 7" xfId="20742" xr:uid="{24DE1AD6-286F-4EC2-89F0-7FC057D143FF}"/>
    <cellStyle name="Comma 2 2 2 4 6 4" xfId="1758" xr:uid="{02267D3B-9E46-4B0C-9BE5-A09D05BD9D19}"/>
    <cellStyle name="Comma 2 2 2 4 6 4 2" xfId="16358" xr:uid="{F6B198F9-1F0E-4C54-8EEB-4BAF962D87F2}"/>
    <cellStyle name="Comma 2 2 2 4 6 4 2 2" xfId="52866" xr:uid="{41608F7C-16EC-4692-8C43-A68C67AE9489}"/>
    <cellStyle name="Comma 2 2 2 4 6 4 2 3" xfId="34612" xr:uid="{B58AFD1C-76B5-42F6-ABE8-8E32F4701C10}"/>
    <cellStyle name="Comma 2 2 2 4 6 4 3" xfId="12708" xr:uid="{CBF37852-C70C-41FE-9EBB-637D1F0D52AE}"/>
    <cellStyle name="Comma 2 2 2 4 6 4 3 2" xfId="49216" xr:uid="{214DB5A9-F85A-4E02-AEE8-43B927BD6210}"/>
    <cellStyle name="Comma 2 2 2 4 6 4 3 3" xfId="30962" xr:uid="{534C124F-56E5-44FF-AD06-AB95A08E1EAB}"/>
    <cellStyle name="Comma 2 2 2 4 6 4 4" xfId="9058" xr:uid="{520CFECB-89CB-4C34-8FC2-DD460804CF0A}"/>
    <cellStyle name="Comma 2 2 2 4 6 4 4 2" xfId="45566" xr:uid="{DA135BDC-0A42-41D0-8891-BFC0DA63DBBE}"/>
    <cellStyle name="Comma 2 2 2 4 6 4 4 3" xfId="27312" xr:uid="{D3922CF3-B13F-419E-9262-FC402A0C788E}"/>
    <cellStyle name="Comma 2 2 2 4 6 4 5" xfId="5408" xr:uid="{9C165D78-E19A-42BC-AFC1-9F29D4BD1A2D}"/>
    <cellStyle name="Comma 2 2 2 4 6 4 5 2" xfId="41916" xr:uid="{1AD33788-9B98-4B52-948B-9B6440B82980}"/>
    <cellStyle name="Comma 2 2 2 4 6 4 5 3" xfId="23662" xr:uid="{4DB32577-0455-4053-BDB3-EAB31AF8E7EA}"/>
    <cellStyle name="Comma 2 2 2 4 6 4 6" xfId="38266" xr:uid="{27708D22-9CA4-4358-A495-CAC451502EAA}"/>
    <cellStyle name="Comma 2 2 2 4 6 4 7" xfId="20012" xr:uid="{4EDBCDC7-D2BA-42F8-96FF-22777C8C3776}"/>
    <cellStyle name="Comma 2 2 2 4 6 5" xfId="1028" xr:uid="{2EE16562-9C77-4922-865C-679CCB3A74F1}"/>
    <cellStyle name="Comma 2 2 2 4 6 5 2" xfId="15628" xr:uid="{CCB37D88-5483-4B00-83D4-9C3E475FFD89}"/>
    <cellStyle name="Comma 2 2 2 4 6 5 2 2" xfId="52136" xr:uid="{21302967-A32C-4E86-975E-861112551FBD}"/>
    <cellStyle name="Comma 2 2 2 4 6 5 2 3" xfId="33882" xr:uid="{5073D676-2676-4871-99EA-29E8ECF0ACEF}"/>
    <cellStyle name="Comma 2 2 2 4 6 5 3" xfId="11978" xr:uid="{68B1C8ED-1FF9-4FDB-BD68-228EA6859E1A}"/>
    <cellStyle name="Comma 2 2 2 4 6 5 3 2" xfId="48486" xr:uid="{05F8B230-E90F-453E-8AC6-0AAB250834CA}"/>
    <cellStyle name="Comma 2 2 2 4 6 5 3 3" xfId="30232" xr:uid="{ACD54753-348F-44EE-A22B-EA6737A27593}"/>
    <cellStyle name="Comma 2 2 2 4 6 5 4" xfId="8328" xr:uid="{90B68F9A-103C-465C-A655-4720FCCA9BA4}"/>
    <cellStyle name="Comma 2 2 2 4 6 5 4 2" xfId="44836" xr:uid="{9E3929B9-D5E5-4466-A4F8-98AAB93913D7}"/>
    <cellStyle name="Comma 2 2 2 4 6 5 4 3" xfId="26582" xr:uid="{C2448E2B-A7CD-4F38-8253-32CAC41E839A}"/>
    <cellStyle name="Comma 2 2 2 4 6 5 5" xfId="4678" xr:uid="{51D144BD-CBC7-4683-98B8-0BA8310FE30B}"/>
    <cellStyle name="Comma 2 2 2 4 6 5 5 2" xfId="41186" xr:uid="{4A5BFC3E-3112-4BF0-8777-F51FCE334293}"/>
    <cellStyle name="Comma 2 2 2 4 6 5 5 3" xfId="22932" xr:uid="{E8D24CFC-7CDA-425A-BCF4-304356CC8B51}"/>
    <cellStyle name="Comma 2 2 2 4 6 5 6" xfId="37536" xr:uid="{7EA978A6-D85A-4ED6-B61D-27430A612660}"/>
    <cellStyle name="Comma 2 2 2 4 6 5 7" xfId="19282" xr:uid="{B69F15EC-B344-4494-8EFA-F74918BB98F3}"/>
    <cellStyle name="Comma 2 2 2 4 6 6" xfId="14898" xr:uid="{CDBEC45B-F8FE-4B23-9057-9D994DE783EA}"/>
    <cellStyle name="Comma 2 2 2 4 6 6 2" xfId="51406" xr:uid="{952C3754-9B05-4073-9E14-E650E1105FAD}"/>
    <cellStyle name="Comma 2 2 2 4 6 6 3" xfId="33152" xr:uid="{55908690-7C2C-4EB8-B036-2588AF75DF5D}"/>
    <cellStyle name="Comma 2 2 2 4 6 7" xfId="11248" xr:uid="{89961DF4-F592-4A6B-A1E0-720C14F816D0}"/>
    <cellStyle name="Comma 2 2 2 4 6 7 2" xfId="47756" xr:uid="{B9AD55A4-1EFA-4C1F-B6B8-0047E0346D31}"/>
    <cellStyle name="Comma 2 2 2 4 6 7 3" xfId="29502" xr:uid="{0AAA3B27-9BE7-4190-92ED-F33CF62FBF85}"/>
    <cellStyle name="Comma 2 2 2 4 6 8" xfId="7598" xr:uid="{1560F390-4FBD-4811-8E40-F5627C28DB45}"/>
    <cellStyle name="Comma 2 2 2 4 6 8 2" xfId="44106" xr:uid="{E0F2FAC8-C868-4C56-A5DB-06B49323366C}"/>
    <cellStyle name="Comma 2 2 2 4 6 8 3" xfId="25852" xr:uid="{CF8AC7A6-1C86-4E89-935B-921242D27B52}"/>
    <cellStyle name="Comma 2 2 2 4 6 9" xfId="3948" xr:uid="{F87F7106-167B-416F-84FC-F21B6D8ABEEE}"/>
    <cellStyle name="Comma 2 2 2 4 6 9 2" xfId="40456" xr:uid="{61BB7428-DB6F-47CD-BC64-67492349D454}"/>
    <cellStyle name="Comma 2 2 2 4 6 9 3" xfId="22202" xr:uid="{8629BFE2-C7BE-4017-B662-F9FF4EC4DAF5}"/>
    <cellStyle name="Comma 2 2 2 4 7" xfId="194" xr:uid="{39C287DD-5E5F-4755-B690-50DC29CED8BF}"/>
    <cellStyle name="Comma 2 2 2 4 7 10" xfId="36702" xr:uid="{7B0AFF9C-28E8-4BC9-A1A6-24C7ED76FBA6}"/>
    <cellStyle name="Comma 2 2 2 4 7 11" xfId="18448" xr:uid="{3A5C3630-4A29-4A32-9C00-9A50D2D6DE85}"/>
    <cellStyle name="Comma 2 2 2 4 7 2" xfId="3114" xr:uid="{68AC1B6B-71A2-4877-9602-B5BFA662046E}"/>
    <cellStyle name="Comma 2 2 2 4 7 2 2" xfId="17714" xr:uid="{1B34A3BC-C932-4BF5-BB43-B910AB4A4317}"/>
    <cellStyle name="Comma 2 2 2 4 7 2 2 2" xfId="54222" xr:uid="{32498432-3D6E-4C86-83D4-3EA036F05903}"/>
    <cellStyle name="Comma 2 2 2 4 7 2 2 3" xfId="35968" xr:uid="{98FDBB67-6409-46E7-B25B-02637670873F}"/>
    <cellStyle name="Comma 2 2 2 4 7 2 3" xfId="14064" xr:uid="{262E2E0B-07B7-4CB1-9961-51CEEB0038B0}"/>
    <cellStyle name="Comma 2 2 2 4 7 2 3 2" xfId="50572" xr:uid="{38456D2C-DAE6-4669-8DB9-CF3F0D173F9C}"/>
    <cellStyle name="Comma 2 2 2 4 7 2 3 3" xfId="32318" xr:uid="{CFDB6784-23A9-4614-8056-CA5222C48A68}"/>
    <cellStyle name="Comma 2 2 2 4 7 2 4" xfId="10414" xr:uid="{A4C29B89-8931-48F3-B029-8075A7CF4127}"/>
    <cellStyle name="Comma 2 2 2 4 7 2 4 2" xfId="46922" xr:uid="{0CC96266-8DF1-4EE9-9518-FEF21E7E916E}"/>
    <cellStyle name="Comma 2 2 2 4 7 2 4 3" xfId="28668" xr:uid="{457A6726-63DA-43E2-88A5-44B991BF8901}"/>
    <cellStyle name="Comma 2 2 2 4 7 2 5" xfId="6764" xr:uid="{E48F7E97-FE00-4609-9146-9077C0A87BFD}"/>
    <cellStyle name="Comma 2 2 2 4 7 2 5 2" xfId="43272" xr:uid="{CD6F2AA8-9ACE-434B-8F42-F5E4AE42717C}"/>
    <cellStyle name="Comma 2 2 2 4 7 2 5 3" xfId="25018" xr:uid="{C88D1010-7281-44D0-8088-940B075C4FFF}"/>
    <cellStyle name="Comma 2 2 2 4 7 2 6" xfId="39622" xr:uid="{8FA3685A-CF3A-48D1-AD89-1471470F219C}"/>
    <cellStyle name="Comma 2 2 2 4 7 2 7" xfId="21368" xr:uid="{FDE815DE-E118-4F9E-AB29-A81BDA03641E}"/>
    <cellStyle name="Comma 2 2 2 4 7 3" xfId="2384" xr:uid="{595783C9-6AC9-430F-8D15-D4CA44A9193A}"/>
    <cellStyle name="Comma 2 2 2 4 7 3 2" xfId="16984" xr:uid="{5C942003-C00F-41BF-8049-55A98D2EF2B0}"/>
    <cellStyle name="Comma 2 2 2 4 7 3 2 2" xfId="53492" xr:uid="{C96D9581-A2B8-483C-9390-91DC2FB70203}"/>
    <cellStyle name="Comma 2 2 2 4 7 3 2 3" xfId="35238" xr:uid="{381FE901-B93D-48C7-996E-4D2F63F7112F}"/>
    <cellStyle name="Comma 2 2 2 4 7 3 3" xfId="13334" xr:uid="{90354C44-D1E1-4814-A7C5-AC554522D0FE}"/>
    <cellStyle name="Comma 2 2 2 4 7 3 3 2" xfId="49842" xr:uid="{EDEC14BC-0F63-445C-8A20-F41B68597F8F}"/>
    <cellStyle name="Comma 2 2 2 4 7 3 3 3" xfId="31588" xr:uid="{4CF47073-6C1F-4269-B5D0-630411086E67}"/>
    <cellStyle name="Comma 2 2 2 4 7 3 4" xfId="9684" xr:uid="{C6E0CBBB-0A23-46BC-850A-360A74D85343}"/>
    <cellStyle name="Comma 2 2 2 4 7 3 4 2" xfId="46192" xr:uid="{1576809E-6FD5-4BC3-9820-F2F5EF2030A6}"/>
    <cellStyle name="Comma 2 2 2 4 7 3 4 3" xfId="27938" xr:uid="{EF54CC4E-6400-4C3A-8DB0-2959748CFF12}"/>
    <cellStyle name="Comma 2 2 2 4 7 3 5" xfId="6034" xr:uid="{1E151CC3-1851-4761-B6BD-C6CB5E35EDE8}"/>
    <cellStyle name="Comma 2 2 2 4 7 3 5 2" xfId="42542" xr:uid="{F2E76431-E03C-43FE-8046-DAFD208DBADB}"/>
    <cellStyle name="Comma 2 2 2 4 7 3 5 3" xfId="24288" xr:uid="{B1E96301-223E-4B22-B095-9FA706E53B2F}"/>
    <cellStyle name="Comma 2 2 2 4 7 3 6" xfId="38892" xr:uid="{D7714A9F-C032-4B22-9F1B-8BC485C1EF34}"/>
    <cellStyle name="Comma 2 2 2 4 7 3 7" xfId="20638" xr:uid="{3BE00B41-47DA-423B-8D97-E74E9A7995BA}"/>
    <cellStyle name="Comma 2 2 2 4 7 4" xfId="1654" xr:uid="{7AC6B857-FB47-469F-B923-6AC9501E8BBC}"/>
    <cellStyle name="Comma 2 2 2 4 7 4 2" xfId="16254" xr:uid="{F6503AC2-6CA4-4179-90A5-47A0AC46B9EF}"/>
    <cellStyle name="Comma 2 2 2 4 7 4 2 2" xfId="52762" xr:uid="{2F768BA3-C555-42B1-83EC-BF813C0D583E}"/>
    <cellStyle name="Comma 2 2 2 4 7 4 2 3" xfId="34508" xr:uid="{4C07A157-C3CA-4CC7-B549-EAFED348A890}"/>
    <cellStyle name="Comma 2 2 2 4 7 4 3" xfId="12604" xr:uid="{8CD23A08-B669-4738-84CE-B0975252D881}"/>
    <cellStyle name="Comma 2 2 2 4 7 4 3 2" xfId="49112" xr:uid="{DE592C5D-9D52-41D9-B357-0668170B22DF}"/>
    <cellStyle name="Comma 2 2 2 4 7 4 3 3" xfId="30858" xr:uid="{A532A356-F57E-4484-83CD-5EC6397D3B2E}"/>
    <cellStyle name="Comma 2 2 2 4 7 4 4" xfId="8954" xr:uid="{91708DAC-9B06-4DD9-8C78-4311F4914D1B}"/>
    <cellStyle name="Comma 2 2 2 4 7 4 4 2" xfId="45462" xr:uid="{50736252-FA9B-45D5-878C-E483D46B5E05}"/>
    <cellStyle name="Comma 2 2 2 4 7 4 4 3" xfId="27208" xr:uid="{F8F6DC86-2E1F-406A-BB73-C98CD4ED6FB5}"/>
    <cellStyle name="Comma 2 2 2 4 7 4 5" xfId="5304" xr:uid="{71440C7D-2938-418C-AFEB-1FBBE22CAB6F}"/>
    <cellStyle name="Comma 2 2 2 4 7 4 5 2" xfId="41812" xr:uid="{F5967585-728C-4FA7-B44B-D5227CE2534E}"/>
    <cellStyle name="Comma 2 2 2 4 7 4 5 3" xfId="23558" xr:uid="{82E49E91-8FDE-4D13-B66B-4558323A0B01}"/>
    <cellStyle name="Comma 2 2 2 4 7 4 6" xfId="38162" xr:uid="{B90DCC4C-867D-46B7-869E-568EEAB94F4C}"/>
    <cellStyle name="Comma 2 2 2 4 7 4 7" xfId="19908" xr:uid="{8804A415-E862-4587-8B1F-B8938C671E6B}"/>
    <cellStyle name="Comma 2 2 2 4 7 5" xfId="924" xr:uid="{58023E33-DED6-4B79-8DBD-720B5FC2549A}"/>
    <cellStyle name="Comma 2 2 2 4 7 5 2" xfId="15524" xr:uid="{6092C8F5-5C6E-44BF-BB73-CF06A22853D9}"/>
    <cellStyle name="Comma 2 2 2 4 7 5 2 2" xfId="52032" xr:uid="{D3953C7B-68C9-43DA-A848-9968189281F4}"/>
    <cellStyle name="Comma 2 2 2 4 7 5 2 3" xfId="33778" xr:uid="{33BBFF68-40E4-4774-AB7A-84E2659AADD3}"/>
    <cellStyle name="Comma 2 2 2 4 7 5 3" xfId="11874" xr:uid="{511049E1-6291-4612-89DE-7E478FE5CF17}"/>
    <cellStyle name="Comma 2 2 2 4 7 5 3 2" xfId="48382" xr:uid="{B6A285A7-353A-4117-8E62-AAF092641ED4}"/>
    <cellStyle name="Comma 2 2 2 4 7 5 3 3" xfId="30128" xr:uid="{E258D199-173B-48AB-8B7A-1129541947A4}"/>
    <cellStyle name="Comma 2 2 2 4 7 5 4" xfId="8224" xr:uid="{FC5AB270-D087-4077-B647-578A7B7582E6}"/>
    <cellStyle name="Comma 2 2 2 4 7 5 4 2" xfId="44732" xr:uid="{0923BCF1-9A93-4752-82BA-6B5AF130E3E5}"/>
    <cellStyle name="Comma 2 2 2 4 7 5 4 3" xfId="26478" xr:uid="{241EFEC1-B61D-4902-8A9B-A3AF96D43A93}"/>
    <cellStyle name="Comma 2 2 2 4 7 5 5" xfId="4574" xr:uid="{495B2770-C57E-4952-AF2C-2A794E9A379B}"/>
    <cellStyle name="Comma 2 2 2 4 7 5 5 2" xfId="41082" xr:uid="{6AF6AB24-E6A1-4943-883A-1D8EC16EB520}"/>
    <cellStyle name="Comma 2 2 2 4 7 5 5 3" xfId="22828" xr:uid="{B69B9A4E-BB4F-4452-92D4-3D5F98F126E8}"/>
    <cellStyle name="Comma 2 2 2 4 7 5 6" xfId="37432" xr:uid="{E9C6B607-EE5A-4434-8653-08DBAD23A0B2}"/>
    <cellStyle name="Comma 2 2 2 4 7 5 7" xfId="19178" xr:uid="{D84A7C6E-B5CE-4AB7-8C44-0C089374AEE9}"/>
    <cellStyle name="Comma 2 2 2 4 7 6" xfId="14794" xr:uid="{DC58F119-FB8F-4ABE-8564-CE387AC9C2EC}"/>
    <cellStyle name="Comma 2 2 2 4 7 6 2" xfId="51302" xr:uid="{59A0403E-6E17-4E90-B3F1-28AD17B8587D}"/>
    <cellStyle name="Comma 2 2 2 4 7 6 3" xfId="33048" xr:uid="{1F07FFC6-149E-4534-BF77-11D96C63B823}"/>
    <cellStyle name="Comma 2 2 2 4 7 7" xfId="11144" xr:uid="{67A736CA-C9F9-4E4D-9FF7-3031030E0BF3}"/>
    <cellStyle name="Comma 2 2 2 4 7 7 2" xfId="47652" xr:uid="{4398F528-391A-470A-90AE-5C8E786B4D22}"/>
    <cellStyle name="Comma 2 2 2 4 7 7 3" xfId="29398" xr:uid="{CDB0BC3A-38A7-44CD-BAA5-A7BD16A38FD9}"/>
    <cellStyle name="Comma 2 2 2 4 7 8" xfId="7494" xr:uid="{922D6AC7-555F-4A10-BD65-7C5ECA5EE6D0}"/>
    <cellStyle name="Comma 2 2 2 4 7 8 2" xfId="44002" xr:uid="{AB483012-52BE-4C1D-8657-56E08AA1FA07}"/>
    <cellStyle name="Comma 2 2 2 4 7 8 3" xfId="25748" xr:uid="{C8CC1D05-5F23-4899-BC68-077487CA60E0}"/>
    <cellStyle name="Comma 2 2 2 4 7 9" xfId="3844" xr:uid="{BC5F554E-1F12-4EBF-A347-E81D00107AA3}"/>
    <cellStyle name="Comma 2 2 2 4 7 9 2" xfId="40352" xr:uid="{68AC2850-B7B3-49CE-99AD-FFFAA9751408}"/>
    <cellStyle name="Comma 2 2 2 4 7 9 3" xfId="22098" xr:uid="{B88D0C3A-A9D0-4D2E-AFAE-E197EC9CEDEA}"/>
    <cellStyle name="Comma 2 2 2 4 8" xfId="3010" xr:uid="{8D64C2F5-B710-4D74-97F4-245ECB09D4DB}"/>
    <cellStyle name="Comma 2 2 2 4 8 2" xfId="17610" xr:uid="{71FC1445-1DA5-464C-8563-CBA72EAE83AD}"/>
    <cellStyle name="Comma 2 2 2 4 8 2 2" xfId="54118" xr:uid="{ADB9ED6F-9F50-45A0-B150-F66F6EACEADA}"/>
    <cellStyle name="Comma 2 2 2 4 8 2 3" xfId="35864" xr:uid="{17C6FA24-7112-4930-BE5F-71B0E5003C5E}"/>
    <cellStyle name="Comma 2 2 2 4 8 3" xfId="13960" xr:uid="{32C27CB2-F171-4151-B0BB-67CB7D5CF2CF}"/>
    <cellStyle name="Comma 2 2 2 4 8 3 2" xfId="50468" xr:uid="{F1AEFCB3-9C15-47D3-8CAE-6B0675DF41B0}"/>
    <cellStyle name="Comma 2 2 2 4 8 3 3" xfId="32214" xr:uid="{726CA7A2-EDA9-4991-A380-567FCDBD4FBA}"/>
    <cellStyle name="Comma 2 2 2 4 8 4" xfId="10310" xr:uid="{198541E8-F91C-4C9E-B9DC-1E98AF42CBC2}"/>
    <cellStyle name="Comma 2 2 2 4 8 4 2" xfId="46818" xr:uid="{72CE7A41-8C82-4999-AAD3-3338ED54F3C9}"/>
    <cellStyle name="Comma 2 2 2 4 8 4 3" xfId="28564" xr:uid="{56E009CE-D3FD-4837-9A70-D61F49B679FE}"/>
    <cellStyle name="Comma 2 2 2 4 8 5" xfId="6660" xr:uid="{41271F5D-ECA3-4019-A8BE-25F4927B353E}"/>
    <cellStyle name="Comma 2 2 2 4 8 5 2" xfId="43168" xr:uid="{F356CDB3-EDA4-4941-B69D-345850FE99A2}"/>
    <cellStyle name="Comma 2 2 2 4 8 5 3" xfId="24914" xr:uid="{E61B12D5-3C47-4AC7-A1DA-AE587BAD83A7}"/>
    <cellStyle name="Comma 2 2 2 4 8 6" xfId="39518" xr:uid="{C34CD0E4-1C19-45AB-8A6B-D173D10329BF}"/>
    <cellStyle name="Comma 2 2 2 4 8 7" xfId="21264" xr:uid="{4A72F9FD-94F6-466F-A78D-AE7D2451A00E}"/>
    <cellStyle name="Comma 2 2 2 4 9" xfId="2280" xr:uid="{B16B7415-C24E-4490-9BD9-CE4AD682B6B7}"/>
    <cellStyle name="Comma 2 2 2 4 9 2" xfId="16880" xr:uid="{E5425DA2-9921-48EC-BDC5-0E5B0CDF44DF}"/>
    <cellStyle name="Comma 2 2 2 4 9 2 2" xfId="53388" xr:uid="{8EC2DA3B-3F3F-4CF0-BA92-9B34CE27F858}"/>
    <cellStyle name="Comma 2 2 2 4 9 2 3" xfId="35134" xr:uid="{ED873590-2E75-4409-80F3-96B7AB10F3B6}"/>
    <cellStyle name="Comma 2 2 2 4 9 3" xfId="13230" xr:uid="{5E120A13-E235-4D98-93F3-E6C0AFC7592D}"/>
    <cellStyle name="Comma 2 2 2 4 9 3 2" xfId="49738" xr:uid="{6AB5DAE2-C43B-48CF-A28E-E22FC1871704}"/>
    <cellStyle name="Comma 2 2 2 4 9 3 3" xfId="31484" xr:uid="{F24697D8-D463-4AB1-9AB5-FECB23451A43}"/>
    <cellStyle name="Comma 2 2 2 4 9 4" xfId="9580" xr:uid="{39D1D184-CEC4-4CCF-A3AB-D696B8D07B16}"/>
    <cellStyle name="Comma 2 2 2 4 9 4 2" xfId="46088" xr:uid="{32F3B9D5-2B59-421F-8424-93F3CA288991}"/>
    <cellStyle name="Comma 2 2 2 4 9 4 3" xfId="27834" xr:uid="{9C7E612D-FAB8-46F5-A061-74062554CD79}"/>
    <cellStyle name="Comma 2 2 2 4 9 5" xfId="5930" xr:uid="{358933C8-B58F-4FB6-944E-ED37C676FBD8}"/>
    <cellStyle name="Comma 2 2 2 4 9 5 2" xfId="42438" xr:uid="{8EB13803-DF4F-4448-995F-B240BD2FE39B}"/>
    <cellStyle name="Comma 2 2 2 4 9 5 3" xfId="24184" xr:uid="{40C06A6C-3971-42E5-BCB0-4CFE55324CA4}"/>
    <cellStyle name="Comma 2 2 2 4 9 6" xfId="38788" xr:uid="{46E513FF-4FF7-4706-B81D-AC5C2A5DDAB8}"/>
    <cellStyle name="Comma 2 2 2 4 9 7" xfId="20534" xr:uid="{9A835422-CB64-43C3-964F-9E3CB7D4DA67}"/>
    <cellStyle name="Comma 2 2 2 5" xfId="52" xr:uid="{B16BB4C6-4563-4BD3-B89E-2C253C1B9384}"/>
    <cellStyle name="Comma 2 2 2 5 10" xfId="1518" xr:uid="{692137D5-73A1-4B7C-BA70-4B81E98F2FF4}"/>
    <cellStyle name="Comma 2 2 2 5 10 2" xfId="16118" xr:uid="{29B3ABE6-05D7-4523-8A0F-4FCB2853AC32}"/>
    <cellStyle name="Comma 2 2 2 5 10 2 2" xfId="52626" xr:uid="{6B9519F3-689B-43D9-B0EE-C4F1AFBDBA28}"/>
    <cellStyle name="Comma 2 2 2 5 10 2 3" xfId="34372" xr:uid="{588D3B91-8F68-4189-AAE7-04A1A7C6DEFF}"/>
    <cellStyle name="Comma 2 2 2 5 10 3" xfId="12468" xr:uid="{FAF0CACF-904F-463D-9C15-B3787A396184}"/>
    <cellStyle name="Comma 2 2 2 5 10 3 2" xfId="48976" xr:uid="{BCECFEFF-BC14-45EE-B84C-AE17E2764360}"/>
    <cellStyle name="Comma 2 2 2 5 10 3 3" xfId="30722" xr:uid="{9C73CB2F-A199-43D5-8DF0-249DC89AD815}"/>
    <cellStyle name="Comma 2 2 2 5 10 4" xfId="8818" xr:uid="{26D6402F-FDF5-4700-845A-7D4C7AACD75B}"/>
    <cellStyle name="Comma 2 2 2 5 10 4 2" xfId="45326" xr:uid="{99F818EF-1789-4CBD-AC17-B4AA8A0DB67F}"/>
    <cellStyle name="Comma 2 2 2 5 10 4 3" xfId="27072" xr:uid="{2776E38B-0597-44F4-AF19-7587F9C04577}"/>
    <cellStyle name="Comma 2 2 2 5 10 5" xfId="5168" xr:uid="{1D5F84FA-B4D0-4083-AF1C-963E722AE298}"/>
    <cellStyle name="Comma 2 2 2 5 10 5 2" xfId="41676" xr:uid="{E6FD19E7-6451-4EFC-876F-84DFF215137B}"/>
    <cellStyle name="Comma 2 2 2 5 10 5 3" xfId="23422" xr:uid="{D04D714F-27DD-4188-8A7F-18C2046E1280}"/>
    <cellStyle name="Comma 2 2 2 5 10 6" xfId="38026" xr:uid="{08D3F93C-5D8A-484A-928B-5E1AF4F2D49E}"/>
    <cellStyle name="Comma 2 2 2 5 10 7" xfId="19772" xr:uid="{5924FF06-2936-444A-909A-3ADE21616EB9}"/>
    <cellStyle name="Comma 2 2 2 5 11" xfId="788" xr:uid="{F74AF145-4133-4E06-A7E8-9F5035A7E867}"/>
    <cellStyle name="Comma 2 2 2 5 11 2" xfId="15388" xr:uid="{4331E5AE-F8C1-4268-A6D3-25EB41060C5D}"/>
    <cellStyle name="Comma 2 2 2 5 11 2 2" xfId="51896" xr:uid="{887D4157-DB2A-4E00-9C0C-4D71FB96076A}"/>
    <cellStyle name="Comma 2 2 2 5 11 2 3" xfId="33642" xr:uid="{61208E93-E9E2-4671-B45A-8BC620DBE057}"/>
    <cellStyle name="Comma 2 2 2 5 11 3" xfId="11738" xr:uid="{8E627396-413F-4A44-9F6E-28321545C979}"/>
    <cellStyle name="Comma 2 2 2 5 11 3 2" xfId="48246" xr:uid="{EAAAB5B2-D044-4BD4-99BE-63C7C88069C3}"/>
    <cellStyle name="Comma 2 2 2 5 11 3 3" xfId="29992" xr:uid="{2275943B-E006-4D43-B00E-1CF042C97272}"/>
    <cellStyle name="Comma 2 2 2 5 11 4" xfId="8088" xr:uid="{8E7A6EB6-1996-4DE1-BEBE-5D667F22CCF7}"/>
    <cellStyle name="Comma 2 2 2 5 11 4 2" xfId="44596" xr:uid="{BCB290E5-5BCC-496A-946B-98643EDEF767}"/>
    <cellStyle name="Comma 2 2 2 5 11 4 3" xfId="26342" xr:uid="{7B8AA898-2CAE-467E-89BB-465B98C84A6B}"/>
    <cellStyle name="Comma 2 2 2 5 11 5" xfId="4438" xr:uid="{A6F771EA-9300-4FC1-8960-873C4F478924}"/>
    <cellStyle name="Comma 2 2 2 5 11 5 2" xfId="40946" xr:uid="{90292CA4-1C03-4DF6-A8B3-4DBDB8F7D229}"/>
    <cellStyle name="Comma 2 2 2 5 11 5 3" xfId="22692" xr:uid="{D435E7DF-BAA4-40F7-8E55-77A585D04116}"/>
    <cellStyle name="Comma 2 2 2 5 11 6" xfId="37296" xr:uid="{46431A35-8D96-4EDF-B055-C849E71F3899}"/>
    <cellStyle name="Comma 2 2 2 5 11 7" xfId="19042" xr:uid="{566B7B1B-0FA0-464E-8325-72BBD39A5773}"/>
    <cellStyle name="Comma 2 2 2 5 12" xfId="14658" xr:uid="{0CB03826-9E78-4DAC-B6AE-64F773DF233A}"/>
    <cellStyle name="Comma 2 2 2 5 12 2" xfId="51166" xr:uid="{E07459E6-0B1E-411D-BCD9-73BE76B75F68}"/>
    <cellStyle name="Comma 2 2 2 5 12 3" xfId="32912" xr:uid="{F0F33476-134A-4635-9369-C3CD406F9F74}"/>
    <cellStyle name="Comma 2 2 2 5 13" xfId="11008" xr:uid="{85B5E142-E6DD-46B0-BCA7-32EBF398E295}"/>
    <cellStyle name="Comma 2 2 2 5 13 2" xfId="47516" xr:uid="{66408A87-0876-4E8D-BA0E-F2774D9BA476}"/>
    <cellStyle name="Comma 2 2 2 5 13 3" xfId="29262" xr:uid="{E18C890A-AFA1-498A-8425-4FEA1155A999}"/>
    <cellStyle name="Comma 2 2 2 5 14" xfId="7358" xr:uid="{0D1CFE05-5A1B-43CA-B710-9BD7A04A9C3D}"/>
    <cellStyle name="Comma 2 2 2 5 14 2" xfId="43866" xr:uid="{CA2C4B69-B71D-4C4F-857C-45223907A937}"/>
    <cellStyle name="Comma 2 2 2 5 14 3" xfId="25612" xr:uid="{89F2A514-ED3C-433A-958B-EE4552B992F0}"/>
    <cellStyle name="Comma 2 2 2 5 15" xfId="3708" xr:uid="{61143F57-9D2E-4CFB-AFC8-ACD570A69B96}"/>
    <cellStyle name="Comma 2 2 2 5 15 2" xfId="40216" xr:uid="{BF0E892B-DDDD-4F4C-9509-FB05D3111DE4}"/>
    <cellStyle name="Comma 2 2 2 5 15 3" xfId="21962" xr:uid="{31BB814D-3EAB-42C5-8BC4-C5315ADF6658}"/>
    <cellStyle name="Comma 2 2 2 5 16" xfId="36566" xr:uid="{63F0E886-4A34-43C4-867D-50910FF62251}"/>
    <cellStyle name="Comma 2 2 2 5 17" xfId="18312" xr:uid="{0BEAF0FE-B89B-40F5-80E4-403FB7BF441B}"/>
    <cellStyle name="Comma 2 2 2 5 2" xfId="682" xr:uid="{BE2C333E-80A0-476D-8A73-0C66D8D72997}"/>
    <cellStyle name="Comma 2 2 2 5 2 10" xfId="37190" xr:uid="{5A972991-8005-488C-93CE-B3E9C40BD28F}"/>
    <cellStyle name="Comma 2 2 2 5 2 11" xfId="18936" xr:uid="{56AD33A4-5E21-491D-AA6A-0214957EA8FB}"/>
    <cellStyle name="Comma 2 2 2 5 2 2" xfId="3602" xr:uid="{88A1BF04-B069-405E-B75E-AB5C5F2A32AD}"/>
    <cellStyle name="Comma 2 2 2 5 2 2 2" xfId="18202" xr:uid="{FF3FCEDB-99CA-423F-9187-6E3DDA6538FD}"/>
    <cellStyle name="Comma 2 2 2 5 2 2 2 2" xfId="54710" xr:uid="{83F301F2-F9E1-4688-BD00-85682ACD02EE}"/>
    <cellStyle name="Comma 2 2 2 5 2 2 2 3" xfId="36456" xr:uid="{F76B704F-A37C-42E8-AB7F-A7FB602D7936}"/>
    <cellStyle name="Comma 2 2 2 5 2 2 3" xfId="14552" xr:uid="{360A3458-06D2-41D4-885E-2ABDB232A885}"/>
    <cellStyle name="Comma 2 2 2 5 2 2 3 2" xfId="51060" xr:uid="{755AADE2-E845-4C07-819A-96E895DB4FC8}"/>
    <cellStyle name="Comma 2 2 2 5 2 2 3 3" xfId="32806" xr:uid="{A417CBF3-66FF-4078-AE50-44404723FC2E}"/>
    <cellStyle name="Comma 2 2 2 5 2 2 4" xfId="10902" xr:uid="{2269B5BA-A105-4D1A-9482-537DA3566F1F}"/>
    <cellStyle name="Comma 2 2 2 5 2 2 4 2" xfId="47410" xr:uid="{BC313D3F-EF86-47F2-9C65-40E6F2D2B2C9}"/>
    <cellStyle name="Comma 2 2 2 5 2 2 4 3" xfId="29156" xr:uid="{1E884E63-B2D2-4C5F-A843-78320202F550}"/>
    <cellStyle name="Comma 2 2 2 5 2 2 5" xfId="7252" xr:uid="{AA61DABF-9A8A-4647-9C87-F903E217E2C5}"/>
    <cellStyle name="Comma 2 2 2 5 2 2 5 2" xfId="43760" xr:uid="{0964A0DE-687A-402E-B766-9EB510AE59D6}"/>
    <cellStyle name="Comma 2 2 2 5 2 2 5 3" xfId="25506" xr:uid="{35EACC57-8CA8-4C32-94DB-E5808BCDFED4}"/>
    <cellStyle name="Comma 2 2 2 5 2 2 6" xfId="40110" xr:uid="{0BB09E61-F7F2-4845-ABCA-FCC6CF5C2C8F}"/>
    <cellStyle name="Comma 2 2 2 5 2 2 7" xfId="21856" xr:uid="{BDA54CD9-614A-4894-AB37-F31EDC918A6D}"/>
    <cellStyle name="Comma 2 2 2 5 2 3" xfId="2872" xr:uid="{F7CEBD26-360A-4B7B-8997-4EB73F1B5AF3}"/>
    <cellStyle name="Comma 2 2 2 5 2 3 2" xfId="17472" xr:uid="{3E117813-CE48-45C4-BDEA-1A6683EF837C}"/>
    <cellStyle name="Comma 2 2 2 5 2 3 2 2" xfId="53980" xr:uid="{F79AC14B-E74C-4228-B0C8-47BA954A5FBB}"/>
    <cellStyle name="Comma 2 2 2 5 2 3 2 3" xfId="35726" xr:uid="{EF2B1EC4-7C72-47FD-886C-78F965FCC3AE}"/>
    <cellStyle name="Comma 2 2 2 5 2 3 3" xfId="13822" xr:uid="{CFB4ACF4-AA42-435C-BF0F-D5951FA3FCC5}"/>
    <cellStyle name="Comma 2 2 2 5 2 3 3 2" xfId="50330" xr:uid="{1396620E-AC01-496D-9897-B08426EC3070}"/>
    <cellStyle name="Comma 2 2 2 5 2 3 3 3" xfId="32076" xr:uid="{E1EDF684-F76F-4FC7-BD16-7053DCA9E17C}"/>
    <cellStyle name="Comma 2 2 2 5 2 3 4" xfId="10172" xr:uid="{947DD291-762E-482E-9C5E-3E2A676A329B}"/>
    <cellStyle name="Comma 2 2 2 5 2 3 4 2" xfId="46680" xr:uid="{05D06391-F16F-4A07-80D4-1CE566063251}"/>
    <cellStyle name="Comma 2 2 2 5 2 3 4 3" xfId="28426" xr:uid="{EF5975C9-9A76-4CC1-B33A-6AE8AE57F168}"/>
    <cellStyle name="Comma 2 2 2 5 2 3 5" xfId="6522" xr:uid="{52DCBA47-92B1-4F32-A80A-30DA5B88BDEE}"/>
    <cellStyle name="Comma 2 2 2 5 2 3 5 2" xfId="43030" xr:uid="{00F42A3E-6C7D-475C-BA63-FE3115105051}"/>
    <cellStyle name="Comma 2 2 2 5 2 3 5 3" xfId="24776" xr:uid="{CA80ECF4-3DAB-45FC-8D73-382BBE79EBCE}"/>
    <cellStyle name="Comma 2 2 2 5 2 3 6" xfId="39380" xr:uid="{CE355722-7356-4870-8ADE-D1E1C9E7EAE7}"/>
    <cellStyle name="Comma 2 2 2 5 2 3 7" xfId="21126" xr:uid="{F28D83BD-EAA7-47EC-A7B8-9D005ABE5E56}"/>
    <cellStyle name="Comma 2 2 2 5 2 4" xfId="2142" xr:uid="{828B0830-E4D2-4DF0-8985-8D85C85EC2C6}"/>
    <cellStyle name="Comma 2 2 2 5 2 4 2" xfId="16742" xr:uid="{DF6467A1-FD43-47D1-9442-989113BD08BD}"/>
    <cellStyle name="Comma 2 2 2 5 2 4 2 2" xfId="53250" xr:uid="{780D8BBE-3288-4120-97D3-B2D50552D36D}"/>
    <cellStyle name="Comma 2 2 2 5 2 4 2 3" xfId="34996" xr:uid="{07D33225-9B05-43A3-93EA-5C4A4B5ABE86}"/>
    <cellStyle name="Comma 2 2 2 5 2 4 3" xfId="13092" xr:uid="{E406A874-19BA-459B-9612-8CB5213FCA55}"/>
    <cellStyle name="Comma 2 2 2 5 2 4 3 2" xfId="49600" xr:uid="{7BCB297E-F6E0-4DDA-8B33-6FE96F735388}"/>
    <cellStyle name="Comma 2 2 2 5 2 4 3 3" xfId="31346" xr:uid="{EE1F7E71-7B7C-40A1-B67D-5A384448DB01}"/>
    <cellStyle name="Comma 2 2 2 5 2 4 4" xfId="9442" xr:uid="{608EAE08-15BF-4508-AE47-8AF620737F85}"/>
    <cellStyle name="Comma 2 2 2 5 2 4 4 2" xfId="45950" xr:uid="{D2FF6881-640C-4203-880D-77DAFA587424}"/>
    <cellStyle name="Comma 2 2 2 5 2 4 4 3" xfId="27696" xr:uid="{AAD2D837-335E-4177-9601-EE3B3B365619}"/>
    <cellStyle name="Comma 2 2 2 5 2 4 5" xfId="5792" xr:uid="{1D4E1D34-98E9-496F-A241-A398699A709F}"/>
    <cellStyle name="Comma 2 2 2 5 2 4 5 2" xfId="42300" xr:uid="{25A0E68E-6C2F-422A-9932-06C876D6B6CD}"/>
    <cellStyle name="Comma 2 2 2 5 2 4 5 3" xfId="24046" xr:uid="{905DBA30-B90A-40B0-ACAA-476ED70EF8AA}"/>
    <cellStyle name="Comma 2 2 2 5 2 4 6" xfId="38650" xr:uid="{CE8537EE-FB31-49AD-84C4-BC79B4AE4071}"/>
    <cellStyle name="Comma 2 2 2 5 2 4 7" xfId="20396" xr:uid="{70535DE2-7F7D-4D21-BF24-86E387F5834F}"/>
    <cellStyle name="Comma 2 2 2 5 2 5" xfId="1412" xr:uid="{8B40BA1A-5124-49FC-8A89-CD863F7C6638}"/>
    <cellStyle name="Comma 2 2 2 5 2 5 2" xfId="16012" xr:uid="{9436EC87-2C5B-4EE1-86F5-528C778D6609}"/>
    <cellStyle name="Comma 2 2 2 5 2 5 2 2" xfId="52520" xr:uid="{BAC6A3D1-86F8-4358-950F-403D6508BC72}"/>
    <cellStyle name="Comma 2 2 2 5 2 5 2 3" xfId="34266" xr:uid="{C410CED0-4915-4142-8D98-81DBA99B692B}"/>
    <cellStyle name="Comma 2 2 2 5 2 5 3" xfId="12362" xr:uid="{E3A0A2A8-9542-4A3E-B28A-9B5675C0EF92}"/>
    <cellStyle name="Comma 2 2 2 5 2 5 3 2" xfId="48870" xr:uid="{413049F5-7453-454B-8D3F-01E3C46E6358}"/>
    <cellStyle name="Comma 2 2 2 5 2 5 3 3" xfId="30616" xr:uid="{B02230E2-0AA2-4A85-87D3-1B5F409FB891}"/>
    <cellStyle name="Comma 2 2 2 5 2 5 4" xfId="8712" xr:uid="{098D5517-E407-4312-AB8B-B43611A1486D}"/>
    <cellStyle name="Comma 2 2 2 5 2 5 4 2" xfId="45220" xr:uid="{810FE769-BB5F-4B3F-B1EE-9F7C82628596}"/>
    <cellStyle name="Comma 2 2 2 5 2 5 4 3" xfId="26966" xr:uid="{92446871-C9FD-4A4B-999B-EF5EEF6F80A1}"/>
    <cellStyle name="Comma 2 2 2 5 2 5 5" xfId="5062" xr:uid="{C476D47B-24D6-4396-B744-1E606D1861C2}"/>
    <cellStyle name="Comma 2 2 2 5 2 5 5 2" xfId="41570" xr:uid="{92CFEB95-128A-4CF1-960C-4A5072774960}"/>
    <cellStyle name="Comma 2 2 2 5 2 5 5 3" xfId="23316" xr:uid="{E175EC83-836F-4FB7-A07E-2B2014668823}"/>
    <cellStyle name="Comma 2 2 2 5 2 5 6" xfId="37920" xr:uid="{5E29C836-1D91-4626-8379-EDE6783042D2}"/>
    <cellStyle name="Comma 2 2 2 5 2 5 7" xfId="19666" xr:uid="{D6A43F8D-8A22-43FB-9B94-3BBC31034784}"/>
    <cellStyle name="Comma 2 2 2 5 2 6" xfId="15282" xr:uid="{D11AFDAA-558F-4C6C-B44C-8FEF203986D2}"/>
    <cellStyle name="Comma 2 2 2 5 2 6 2" xfId="51790" xr:uid="{97ECE4DF-1804-42A2-907C-3164E7B35A62}"/>
    <cellStyle name="Comma 2 2 2 5 2 6 3" xfId="33536" xr:uid="{817107F4-C339-4CE9-B7E9-DACBCF692821}"/>
    <cellStyle name="Comma 2 2 2 5 2 7" xfId="11632" xr:uid="{46FC09D5-3445-4572-B712-79FC661F88CF}"/>
    <cellStyle name="Comma 2 2 2 5 2 7 2" xfId="48140" xr:uid="{74D9B910-CE48-497F-B1D3-5AB4D878F7BC}"/>
    <cellStyle name="Comma 2 2 2 5 2 7 3" xfId="29886" xr:uid="{402700DC-EB10-418B-BE64-BDD3A5F69A7E}"/>
    <cellStyle name="Comma 2 2 2 5 2 8" xfId="7982" xr:uid="{8B542E33-138B-4649-AAC6-F155B0DEB984}"/>
    <cellStyle name="Comma 2 2 2 5 2 8 2" xfId="44490" xr:uid="{101ED2FA-C7E4-42C8-829E-7F0E7A5C017F}"/>
    <cellStyle name="Comma 2 2 2 5 2 8 3" xfId="26236" xr:uid="{EE3682BC-6B63-4332-B1EB-BD0DA00D0486}"/>
    <cellStyle name="Comma 2 2 2 5 2 9" xfId="4332" xr:uid="{F53E02F6-9CE6-4D0A-9D54-47B5146E732A}"/>
    <cellStyle name="Comma 2 2 2 5 2 9 2" xfId="40840" xr:uid="{E1CC72BB-012A-41AF-BBE4-42E57FA7427D}"/>
    <cellStyle name="Comma 2 2 2 5 2 9 3" xfId="22586" xr:uid="{56FE0F31-A3B1-4BE5-BBDC-899C7D3BA5F2}"/>
    <cellStyle name="Comma 2 2 2 5 3" xfId="578" xr:uid="{602F018A-D988-4EC6-81AA-EF068DF121BA}"/>
    <cellStyle name="Comma 2 2 2 5 3 10" xfId="37086" xr:uid="{3AF51846-0026-4ADA-878F-D26D6672A355}"/>
    <cellStyle name="Comma 2 2 2 5 3 11" xfId="18832" xr:uid="{9E6DE4BD-8976-4BFD-BB3C-C4100DC20F99}"/>
    <cellStyle name="Comma 2 2 2 5 3 2" xfId="3498" xr:uid="{FC2BA5B1-E2C0-429D-A992-5E7B0A7FA722}"/>
    <cellStyle name="Comma 2 2 2 5 3 2 2" xfId="18098" xr:uid="{303DFE97-5E3E-42C4-B098-82F31693DC52}"/>
    <cellStyle name="Comma 2 2 2 5 3 2 2 2" xfId="54606" xr:uid="{54A54920-73A5-44A7-A51D-DDC5212DF4EA}"/>
    <cellStyle name="Comma 2 2 2 5 3 2 2 3" xfId="36352" xr:uid="{8616FAD7-3E95-4C6C-ACF2-CF26BFA0A075}"/>
    <cellStyle name="Comma 2 2 2 5 3 2 3" xfId="14448" xr:uid="{CAB265E5-9151-4B1D-A6BF-B86AFC12ABBE}"/>
    <cellStyle name="Comma 2 2 2 5 3 2 3 2" xfId="50956" xr:uid="{690C5865-E603-4DEE-AB7D-AA1C2EE08431}"/>
    <cellStyle name="Comma 2 2 2 5 3 2 3 3" xfId="32702" xr:uid="{2F9E0AC8-48EE-4A05-8AFA-89AFBA46C4BC}"/>
    <cellStyle name="Comma 2 2 2 5 3 2 4" xfId="10798" xr:uid="{AEEA284E-B872-4DB3-B8E3-D038675EE8F5}"/>
    <cellStyle name="Comma 2 2 2 5 3 2 4 2" xfId="47306" xr:uid="{4802975F-EAE2-47E1-A094-6292644A7A40}"/>
    <cellStyle name="Comma 2 2 2 5 3 2 4 3" xfId="29052" xr:uid="{35483099-6940-46AD-8D12-0B120CB7C15E}"/>
    <cellStyle name="Comma 2 2 2 5 3 2 5" xfId="7148" xr:uid="{ACB2AB32-D04E-495F-8DE2-039E36289B6D}"/>
    <cellStyle name="Comma 2 2 2 5 3 2 5 2" xfId="43656" xr:uid="{75EE95CB-F916-4FB5-90E8-74FE67BC27EB}"/>
    <cellStyle name="Comma 2 2 2 5 3 2 5 3" xfId="25402" xr:uid="{14B36612-4730-4F01-A564-083FCE00ECA7}"/>
    <cellStyle name="Comma 2 2 2 5 3 2 6" xfId="40006" xr:uid="{8E43FF4F-D181-4339-8D75-03C16F398C48}"/>
    <cellStyle name="Comma 2 2 2 5 3 2 7" xfId="21752" xr:uid="{52428A18-4307-4B4D-BE59-FB318C4FA6BE}"/>
    <cellStyle name="Comma 2 2 2 5 3 3" xfId="2768" xr:uid="{AC6C0BFF-18C7-4D60-A955-4818E66FEBEC}"/>
    <cellStyle name="Comma 2 2 2 5 3 3 2" xfId="17368" xr:uid="{8A656058-7DCD-410E-892D-1275FA0573EA}"/>
    <cellStyle name="Comma 2 2 2 5 3 3 2 2" xfId="53876" xr:uid="{EFC2D9A5-836E-4A41-B69E-8BE55A3EB59D}"/>
    <cellStyle name="Comma 2 2 2 5 3 3 2 3" xfId="35622" xr:uid="{01D75975-DE72-469F-83AA-39249771A465}"/>
    <cellStyle name="Comma 2 2 2 5 3 3 3" xfId="13718" xr:uid="{3E26216E-E9BF-458D-A6D1-F100260CFF65}"/>
    <cellStyle name="Comma 2 2 2 5 3 3 3 2" xfId="50226" xr:uid="{20FC3A69-BCE2-49E5-A8A6-AC3F08507EFE}"/>
    <cellStyle name="Comma 2 2 2 5 3 3 3 3" xfId="31972" xr:uid="{17B8993C-3369-4907-9F72-6846D984761F}"/>
    <cellStyle name="Comma 2 2 2 5 3 3 4" xfId="10068" xr:uid="{488A9FF8-2E3E-4491-B355-CEE8F3D5E93D}"/>
    <cellStyle name="Comma 2 2 2 5 3 3 4 2" xfId="46576" xr:uid="{ABAE28EB-C4D1-48EF-A89A-1746C543860F}"/>
    <cellStyle name="Comma 2 2 2 5 3 3 4 3" xfId="28322" xr:uid="{BBF15BB3-CD1F-4FF4-BF85-552DA01BF417}"/>
    <cellStyle name="Comma 2 2 2 5 3 3 5" xfId="6418" xr:uid="{AD9A4BAB-B4E0-4498-924B-C4B9B20C43AE}"/>
    <cellStyle name="Comma 2 2 2 5 3 3 5 2" xfId="42926" xr:uid="{BE829C31-24B6-4B27-8B0C-D362EE1FBA4F}"/>
    <cellStyle name="Comma 2 2 2 5 3 3 5 3" xfId="24672" xr:uid="{9924CF4A-FE2F-4DA4-94F7-75FA3DFBFFC0}"/>
    <cellStyle name="Comma 2 2 2 5 3 3 6" xfId="39276" xr:uid="{AC4EE8D9-046E-495B-83B7-E63A0DEE7E78}"/>
    <cellStyle name="Comma 2 2 2 5 3 3 7" xfId="21022" xr:uid="{22026720-3B23-4768-93D1-B2B96C632F36}"/>
    <cellStyle name="Comma 2 2 2 5 3 4" xfId="2038" xr:uid="{4BE46276-0B24-410C-9EC6-F6903E4828DE}"/>
    <cellStyle name="Comma 2 2 2 5 3 4 2" xfId="16638" xr:uid="{6934DA54-0FC1-46ED-9FB4-005785326B7B}"/>
    <cellStyle name="Comma 2 2 2 5 3 4 2 2" xfId="53146" xr:uid="{9DF1275D-89DC-41C8-A7D9-1923EBC55472}"/>
    <cellStyle name="Comma 2 2 2 5 3 4 2 3" xfId="34892" xr:uid="{D0C60D84-6303-47F3-BF9C-C4A032C68EF1}"/>
    <cellStyle name="Comma 2 2 2 5 3 4 3" xfId="12988" xr:uid="{F0BEF346-89B0-4987-AF1B-138A2291CF77}"/>
    <cellStyle name="Comma 2 2 2 5 3 4 3 2" xfId="49496" xr:uid="{BB85AE86-2BFF-4988-BB6F-162CDD051607}"/>
    <cellStyle name="Comma 2 2 2 5 3 4 3 3" xfId="31242" xr:uid="{D454BBBF-B480-4B7A-B9E6-E209DC398BF2}"/>
    <cellStyle name="Comma 2 2 2 5 3 4 4" xfId="9338" xr:uid="{53126E4F-AEBE-4369-B712-0A91B68FFBFB}"/>
    <cellStyle name="Comma 2 2 2 5 3 4 4 2" xfId="45846" xr:uid="{46D4D9BD-D615-40C9-9C03-5EC4286936EF}"/>
    <cellStyle name="Comma 2 2 2 5 3 4 4 3" xfId="27592" xr:uid="{E874E415-C643-44FB-B37C-CF937F75459F}"/>
    <cellStyle name="Comma 2 2 2 5 3 4 5" xfId="5688" xr:uid="{208EA08B-7302-49B5-AC97-4E460D5E55BD}"/>
    <cellStyle name="Comma 2 2 2 5 3 4 5 2" xfId="42196" xr:uid="{4F4A3B8E-D574-4B42-A301-8B3E84438A5B}"/>
    <cellStyle name="Comma 2 2 2 5 3 4 5 3" xfId="23942" xr:uid="{09683B65-EFD5-47AF-B95D-F48621C3A776}"/>
    <cellStyle name="Comma 2 2 2 5 3 4 6" xfId="38546" xr:uid="{C9B5C220-CFD2-4B4B-8818-DBB0238CB57F}"/>
    <cellStyle name="Comma 2 2 2 5 3 4 7" xfId="20292" xr:uid="{0FF7C25F-9508-460A-A5E5-BA4DB69AC878}"/>
    <cellStyle name="Comma 2 2 2 5 3 5" xfId="1308" xr:uid="{F34615E6-A856-46E5-BECC-1CF3D908100C}"/>
    <cellStyle name="Comma 2 2 2 5 3 5 2" xfId="15908" xr:uid="{1DE15088-50B6-497D-866E-CEF2657E99FB}"/>
    <cellStyle name="Comma 2 2 2 5 3 5 2 2" xfId="52416" xr:uid="{A3B610F0-0185-4F49-BCF0-F1EDD28AB5E5}"/>
    <cellStyle name="Comma 2 2 2 5 3 5 2 3" xfId="34162" xr:uid="{1FC321E4-F91D-4AE4-A3EC-AE066DC054EE}"/>
    <cellStyle name="Comma 2 2 2 5 3 5 3" xfId="12258" xr:uid="{94A498AB-8EE7-4DDB-9D48-E3BD484DD214}"/>
    <cellStyle name="Comma 2 2 2 5 3 5 3 2" xfId="48766" xr:uid="{911978D8-E5C8-4651-B4CB-C981EEABD099}"/>
    <cellStyle name="Comma 2 2 2 5 3 5 3 3" xfId="30512" xr:uid="{0B94424B-A85A-47A0-A6FF-18B7944A6AD0}"/>
    <cellStyle name="Comma 2 2 2 5 3 5 4" xfId="8608" xr:uid="{1330D6A4-4AEA-4318-9072-5C0804C2DD54}"/>
    <cellStyle name="Comma 2 2 2 5 3 5 4 2" xfId="45116" xr:uid="{E9EA3CAB-187A-4C41-B9CD-27C63C75859E}"/>
    <cellStyle name="Comma 2 2 2 5 3 5 4 3" xfId="26862" xr:uid="{1B415C6B-4482-4E29-88BE-59B218B56D07}"/>
    <cellStyle name="Comma 2 2 2 5 3 5 5" xfId="4958" xr:uid="{5A8D5313-612F-45FD-BB1E-C7DF5ABA0D12}"/>
    <cellStyle name="Comma 2 2 2 5 3 5 5 2" xfId="41466" xr:uid="{1ED64BFA-3487-44A7-A872-55C296DBAF84}"/>
    <cellStyle name="Comma 2 2 2 5 3 5 5 3" xfId="23212" xr:uid="{3CFD2DD2-E160-419C-9E70-C7B0BD2DC8F8}"/>
    <cellStyle name="Comma 2 2 2 5 3 5 6" xfId="37816" xr:uid="{D875286D-FAB5-4933-B1FB-DE509C06C617}"/>
    <cellStyle name="Comma 2 2 2 5 3 5 7" xfId="19562" xr:uid="{7284BB7C-C62E-4F34-92BF-B177428ABF51}"/>
    <cellStyle name="Comma 2 2 2 5 3 6" xfId="15178" xr:uid="{2937054C-1FA3-4872-A1A2-E9D6F105001E}"/>
    <cellStyle name="Comma 2 2 2 5 3 6 2" xfId="51686" xr:uid="{BFD5E995-0742-40AE-AD76-9006D155C1E0}"/>
    <cellStyle name="Comma 2 2 2 5 3 6 3" xfId="33432" xr:uid="{D5C27B4B-0CBE-4FBA-80C4-0C9C8BCC9774}"/>
    <cellStyle name="Comma 2 2 2 5 3 7" xfId="11528" xr:uid="{2005653E-A48A-4421-8D28-FBC11F583BFA}"/>
    <cellStyle name="Comma 2 2 2 5 3 7 2" xfId="48036" xr:uid="{6E3EB5ED-8742-44FC-9BEA-EA574776DE94}"/>
    <cellStyle name="Comma 2 2 2 5 3 7 3" xfId="29782" xr:uid="{425B6CF0-8BA3-4085-A527-30888EAD14D5}"/>
    <cellStyle name="Comma 2 2 2 5 3 8" xfId="7878" xr:uid="{2C82F5E1-5A3F-44F2-9DB2-D6A2CC9EE4BF}"/>
    <cellStyle name="Comma 2 2 2 5 3 8 2" xfId="44386" xr:uid="{4D8DECC0-C6A3-478E-9376-EAFC1FD973B3}"/>
    <cellStyle name="Comma 2 2 2 5 3 8 3" xfId="26132" xr:uid="{5A20EFA8-4B6C-4912-8B5F-A27F9828BBE2}"/>
    <cellStyle name="Comma 2 2 2 5 3 9" xfId="4228" xr:uid="{ACDD232C-A502-42FA-AFE7-56D3CF82D57C}"/>
    <cellStyle name="Comma 2 2 2 5 3 9 2" xfId="40736" xr:uid="{72BE456F-D8A7-45C4-954C-77306AA8E975}"/>
    <cellStyle name="Comma 2 2 2 5 3 9 3" xfId="22482" xr:uid="{5255EE8D-7C2C-4A8F-BD08-4FF2EB0FDE9C}"/>
    <cellStyle name="Comma 2 2 2 5 4" xfId="474" xr:uid="{1A66FF19-71C2-4A88-BD8E-E038F2EF1F1D}"/>
    <cellStyle name="Comma 2 2 2 5 4 10" xfId="36982" xr:uid="{003E6B95-E8BF-4C45-8CF3-1972B5D3B5CD}"/>
    <cellStyle name="Comma 2 2 2 5 4 11" xfId="18728" xr:uid="{0BF725DF-3974-4C21-A67F-ABD090329357}"/>
    <cellStyle name="Comma 2 2 2 5 4 2" xfId="3394" xr:uid="{B730AE3B-3168-4F79-B3F7-CF920BF37557}"/>
    <cellStyle name="Comma 2 2 2 5 4 2 2" xfId="17994" xr:uid="{787AE63A-3274-464A-ACF6-9FFDC0A0D39A}"/>
    <cellStyle name="Comma 2 2 2 5 4 2 2 2" xfId="54502" xr:uid="{3A7F561E-1411-41F3-B82E-94A2F52BA0C2}"/>
    <cellStyle name="Comma 2 2 2 5 4 2 2 3" xfId="36248" xr:uid="{86C4DCD9-85F9-43C1-815A-855793FD06CF}"/>
    <cellStyle name="Comma 2 2 2 5 4 2 3" xfId="14344" xr:uid="{A94521E4-056E-4FD3-B6E1-3F7EF5379B62}"/>
    <cellStyle name="Comma 2 2 2 5 4 2 3 2" xfId="50852" xr:uid="{9A4F0F08-6C2F-4698-A039-E4F706DFF409}"/>
    <cellStyle name="Comma 2 2 2 5 4 2 3 3" xfId="32598" xr:uid="{7818323D-1544-4A91-84AA-02D35FABDDA0}"/>
    <cellStyle name="Comma 2 2 2 5 4 2 4" xfId="10694" xr:uid="{830D04A2-D1A6-417B-8CFA-BF90D5B90066}"/>
    <cellStyle name="Comma 2 2 2 5 4 2 4 2" xfId="47202" xr:uid="{AB718BB1-6A60-423F-AF1F-88835AC463E4}"/>
    <cellStyle name="Comma 2 2 2 5 4 2 4 3" xfId="28948" xr:uid="{0E0758A0-EBBB-4D2C-BBF4-E6B06C82C597}"/>
    <cellStyle name="Comma 2 2 2 5 4 2 5" xfId="7044" xr:uid="{E90F97AE-CBC6-4554-A504-4B46BFEFBA50}"/>
    <cellStyle name="Comma 2 2 2 5 4 2 5 2" xfId="43552" xr:uid="{29864C66-964B-452C-ACEC-746C053D8ECC}"/>
    <cellStyle name="Comma 2 2 2 5 4 2 5 3" xfId="25298" xr:uid="{8105209D-3B57-4B0A-ADCE-AB3D2C1154CD}"/>
    <cellStyle name="Comma 2 2 2 5 4 2 6" xfId="39902" xr:uid="{16B3A18D-CD39-48B2-ADB8-31A750A426E0}"/>
    <cellStyle name="Comma 2 2 2 5 4 2 7" xfId="21648" xr:uid="{6A30378F-5024-4119-B4EC-24F63318F1C2}"/>
    <cellStyle name="Comma 2 2 2 5 4 3" xfId="2664" xr:uid="{96F1E788-1083-4E2A-977B-9D25BEE5A323}"/>
    <cellStyle name="Comma 2 2 2 5 4 3 2" xfId="17264" xr:uid="{EA9B8353-471D-4C84-BABE-1ACD0DD4073C}"/>
    <cellStyle name="Comma 2 2 2 5 4 3 2 2" xfId="53772" xr:uid="{473A5267-89A6-484B-8044-5F19708889D2}"/>
    <cellStyle name="Comma 2 2 2 5 4 3 2 3" xfId="35518" xr:uid="{2AFAD879-9513-4525-A16C-7D55AB80AB92}"/>
    <cellStyle name="Comma 2 2 2 5 4 3 3" xfId="13614" xr:uid="{94B7D5DC-8BC3-4102-A070-3237AB7C2D38}"/>
    <cellStyle name="Comma 2 2 2 5 4 3 3 2" xfId="50122" xr:uid="{DC2770B1-B8EF-4BEC-91FF-5E7D60C58210}"/>
    <cellStyle name="Comma 2 2 2 5 4 3 3 3" xfId="31868" xr:uid="{60603F53-DD1D-4343-A5E7-71B22C38BC52}"/>
    <cellStyle name="Comma 2 2 2 5 4 3 4" xfId="9964" xr:uid="{3CE6C779-D6B5-4EA8-AA4A-8E361325A7CB}"/>
    <cellStyle name="Comma 2 2 2 5 4 3 4 2" xfId="46472" xr:uid="{661073EF-91ED-49F4-B0AB-19DB0FFBD365}"/>
    <cellStyle name="Comma 2 2 2 5 4 3 4 3" xfId="28218" xr:uid="{C77FA310-3596-48AC-87E0-CFB5C1745FEE}"/>
    <cellStyle name="Comma 2 2 2 5 4 3 5" xfId="6314" xr:uid="{14FBCA83-E5F6-4819-A4FA-64EB02E975C8}"/>
    <cellStyle name="Comma 2 2 2 5 4 3 5 2" xfId="42822" xr:uid="{628C333D-E9AA-40E1-9726-FF0FC3CDB7EE}"/>
    <cellStyle name="Comma 2 2 2 5 4 3 5 3" xfId="24568" xr:uid="{37DEB4E1-B1A3-4DDD-BD63-72529748AA36}"/>
    <cellStyle name="Comma 2 2 2 5 4 3 6" xfId="39172" xr:uid="{991D6B18-2AC2-4CD5-B5E3-D1569AF9B95E}"/>
    <cellStyle name="Comma 2 2 2 5 4 3 7" xfId="20918" xr:uid="{C9CEA9EC-16F2-4ACB-93A4-D33B530A48AA}"/>
    <cellStyle name="Comma 2 2 2 5 4 4" xfId="1934" xr:uid="{A5555DDE-B286-4718-805A-942C134714F1}"/>
    <cellStyle name="Comma 2 2 2 5 4 4 2" xfId="16534" xr:uid="{C6B5C47F-9B49-4835-9DB0-1338703AA567}"/>
    <cellStyle name="Comma 2 2 2 5 4 4 2 2" xfId="53042" xr:uid="{F12A2CC8-34F1-4FBF-B146-D536BB6A74B9}"/>
    <cellStyle name="Comma 2 2 2 5 4 4 2 3" xfId="34788" xr:uid="{257BA90F-B40A-4EC2-AC47-B2E5511306FE}"/>
    <cellStyle name="Comma 2 2 2 5 4 4 3" xfId="12884" xr:uid="{2C339287-0681-425D-8841-81C92BA5169D}"/>
    <cellStyle name="Comma 2 2 2 5 4 4 3 2" xfId="49392" xr:uid="{F9C9AEDA-D547-4EA5-9709-6493759516A4}"/>
    <cellStyle name="Comma 2 2 2 5 4 4 3 3" xfId="31138" xr:uid="{23711ABA-0C2F-451C-A77E-2483814A5AA9}"/>
    <cellStyle name="Comma 2 2 2 5 4 4 4" xfId="9234" xr:uid="{E3FC06FA-33ED-4502-BEE8-A009556EF21E}"/>
    <cellStyle name="Comma 2 2 2 5 4 4 4 2" xfId="45742" xr:uid="{C94C7995-AEE2-466E-860C-B7A5053E1903}"/>
    <cellStyle name="Comma 2 2 2 5 4 4 4 3" xfId="27488" xr:uid="{8EBE24B7-9EB5-44F6-BC44-2BBBF3AE088E}"/>
    <cellStyle name="Comma 2 2 2 5 4 4 5" xfId="5584" xr:uid="{360D70E7-6BFA-415A-BE84-2D1769F74F9F}"/>
    <cellStyle name="Comma 2 2 2 5 4 4 5 2" xfId="42092" xr:uid="{63E2E661-B143-4255-8F82-F982A1BDD640}"/>
    <cellStyle name="Comma 2 2 2 5 4 4 5 3" xfId="23838" xr:uid="{92B16863-54D3-48CB-A8D1-20A7746782F4}"/>
    <cellStyle name="Comma 2 2 2 5 4 4 6" xfId="38442" xr:uid="{A3D79204-667E-4111-BE95-DFD1BE93B72E}"/>
    <cellStyle name="Comma 2 2 2 5 4 4 7" xfId="20188" xr:uid="{E85DBE0A-0DF4-4716-A6AC-739B0AC26593}"/>
    <cellStyle name="Comma 2 2 2 5 4 5" xfId="1204" xr:uid="{417D8ACF-2B05-4358-BBE1-1646DC804D06}"/>
    <cellStyle name="Comma 2 2 2 5 4 5 2" xfId="15804" xr:uid="{BA7AD238-03A5-49AA-8E40-15C59FE543A8}"/>
    <cellStyle name="Comma 2 2 2 5 4 5 2 2" xfId="52312" xr:uid="{ABEBF562-D384-4203-959D-D6B7D8A48D37}"/>
    <cellStyle name="Comma 2 2 2 5 4 5 2 3" xfId="34058" xr:uid="{27CE9ED8-DCE7-48DF-88A7-6D46F3DC336E}"/>
    <cellStyle name="Comma 2 2 2 5 4 5 3" xfId="12154" xr:uid="{6D724C09-98DB-4F89-8FD0-65F99C5EB794}"/>
    <cellStyle name="Comma 2 2 2 5 4 5 3 2" xfId="48662" xr:uid="{CCB25D1B-05D8-49A8-9431-ECA34101F4E6}"/>
    <cellStyle name="Comma 2 2 2 5 4 5 3 3" xfId="30408" xr:uid="{97CCD266-DCC6-4948-9A1D-C20FBF9F4E3B}"/>
    <cellStyle name="Comma 2 2 2 5 4 5 4" xfId="8504" xr:uid="{E69FD656-AAC7-4DC6-8966-AB19C91E055F}"/>
    <cellStyle name="Comma 2 2 2 5 4 5 4 2" xfId="45012" xr:uid="{29D17E2D-9885-48EB-98CA-FB19DAB76F9F}"/>
    <cellStyle name="Comma 2 2 2 5 4 5 4 3" xfId="26758" xr:uid="{A5A9D549-0129-4DBB-912C-C3FCBFDD16DD}"/>
    <cellStyle name="Comma 2 2 2 5 4 5 5" xfId="4854" xr:uid="{828A351E-8849-4874-9148-7F33F136ABD6}"/>
    <cellStyle name="Comma 2 2 2 5 4 5 5 2" xfId="41362" xr:uid="{57D75A0E-07C1-4FFE-9708-A3418346B3B4}"/>
    <cellStyle name="Comma 2 2 2 5 4 5 5 3" xfId="23108" xr:uid="{19AD9BCC-B735-43AD-95F9-172EB8C2EE54}"/>
    <cellStyle name="Comma 2 2 2 5 4 5 6" xfId="37712" xr:uid="{CEB9AD7A-44F6-454B-BF3E-F784257AE691}"/>
    <cellStyle name="Comma 2 2 2 5 4 5 7" xfId="19458" xr:uid="{6A66C508-9DEF-40C2-97D6-D442FB1A8012}"/>
    <cellStyle name="Comma 2 2 2 5 4 6" xfId="15074" xr:uid="{8885359B-45A4-4527-A030-78375CA3E8DA}"/>
    <cellStyle name="Comma 2 2 2 5 4 6 2" xfId="51582" xr:uid="{28E90CF8-D9E9-4DF8-8610-FC008114F01E}"/>
    <cellStyle name="Comma 2 2 2 5 4 6 3" xfId="33328" xr:uid="{604F0150-AEAD-496D-AED6-3CDD4BE51560}"/>
    <cellStyle name="Comma 2 2 2 5 4 7" xfId="11424" xr:uid="{6B8F9C9A-4200-41E0-9EA6-C837E3E09A04}"/>
    <cellStyle name="Comma 2 2 2 5 4 7 2" xfId="47932" xr:uid="{39D3A5D6-916E-4277-B012-F43B2184404D}"/>
    <cellStyle name="Comma 2 2 2 5 4 7 3" xfId="29678" xr:uid="{87180292-8DE7-4871-BBE7-3997909DFFC5}"/>
    <cellStyle name="Comma 2 2 2 5 4 8" xfId="7774" xr:uid="{6668E736-1456-4004-BC40-B8B665875B55}"/>
    <cellStyle name="Comma 2 2 2 5 4 8 2" xfId="44282" xr:uid="{ACF3AC36-7C5A-4691-9AA5-F6DA95759A6F}"/>
    <cellStyle name="Comma 2 2 2 5 4 8 3" xfId="26028" xr:uid="{CE3BDAE6-D665-48F1-99D5-13A10967006C}"/>
    <cellStyle name="Comma 2 2 2 5 4 9" xfId="4124" xr:uid="{A2E1CBB3-01BD-4347-A5EB-E3415B5A3DEC}"/>
    <cellStyle name="Comma 2 2 2 5 4 9 2" xfId="40632" xr:uid="{CA2B7F85-ED7F-48D7-B78E-013A27F32E55}"/>
    <cellStyle name="Comma 2 2 2 5 4 9 3" xfId="22378" xr:uid="{0BD7446F-143A-4228-9870-DDBBFBEA89FF}"/>
    <cellStyle name="Comma 2 2 2 5 5" xfId="370" xr:uid="{C09C9B5D-84E2-41C8-9869-5CF11611E49D}"/>
    <cellStyle name="Comma 2 2 2 5 5 10" xfId="36878" xr:uid="{0FA57557-E4C6-435B-AC9E-2E20E24BB085}"/>
    <cellStyle name="Comma 2 2 2 5 5 11" xfId="18624" xr:uid="{AB4E2217-0657-46A9-A324-09E24FFA94FE}"/>
    <cellStyle name="Comma 2 2 2 5 5 2" xfId="3290" xr:uid="{11B2A01E-3F81-4516-96E7-E7F8A5C99EDA}"/>
    <cellStyle name="Comma 2 2 2 5 5 2 2" xfId="17890" xr:uid="{76CCD0D4-6A56-466E-9622-54E4B668EF9F}"/>
    <cellStyle name="Comma 2 2 2 5 5 2 2 2" xfId="54398" xr:uid="{36EB3073-9AA0-4A32-8D08-EFDC2AC0612A}"/>
    <cellStyle name="Comma 2 2 2 5 5 2 2 3" xfId="36144" xr:uid="{6D245D34-B7D0-42BE-8E0B-CF5134B24D14}"/>
    <cellStyle name="Comma 2 2 2 5 5 2 3" xfId="14240" xr:uid="{86C05289-E7C3-43FA-B550-5AAFB27706E0}"/>
    <cellStyle name="Comma 2 2 2 5 5 2 3 2" xfId="50748" xr:uid="{87291519-8ECD-4E71-8EB8-EE8C503DC594}"/>
    <cellStyle name="Comma 2 2 2 5 5 2 3 3" xfId="32494" xr:uid="{C8DD77BB-A943-4C6B-8FF0-209BB41DF625}"/>
    <cellStyle name="Comma 2 2 2 5 5 2 4" xfId="10590" xr:uid="{FCB06E75-8218-4D10-B918-A4C215240A77}"/>
    <cellStyle name="Comma 2 2 2 5 5 2 4 2" xfId="47098" xr:uid="{247FD47D-7361-4AA2-B443-B0D7497BE332}"/>
    <cellStyle name="Comma 2 2 2 5 5 2 4 3" xfId="28844" xr:uid="{C3ACE599-043A-4119-812A-B0AF1EF6AB9D}"/>
    <cellStyle name="Comma 2 2 2 5 5 2 5" xfId="6940" xr:uid="{014AAAD2-076F-4C41-828C-6F99854D0249}"/>
    <cellStyle name="Comma 2 2 2 5 5 2 5 2" xfId="43448" xr:uid="{70CD6C51-00CB-41C8-9786-9325AF19ABC7}"/>
    <cellStyle name="Comma 2 2 2 5 5 2 5 3" xfId="25194" xr:uid="{D762BEB8-DBC6-454C-AD8C-DDDC44979798}"/>
    <cellStyle name="Comma 2 2 2 5 5 2 6" xfId="39798" xr:uid="{3E63F46F-6FC7-44B5-8BF2-E8B6F72C482B}"/>
    <cellStyle name="Comma 2 2 2 5 5 2 7" xfId="21544" xr:uid="{55995B35-0507-41E8-96D3-26F6FB6C320C}"/>
    <cellStyle name="Comma 2 2 2 5 5 3" xfId="2560" xr:uid="{932252CA-C410-4100-B5A5-69241902A5D6}"/>
    <cellStyle name="Comma 2 2 2 5 5 3 2" xfId="17160" xr:uid="{12BC62AA-70DF-4BB1-909A-CD24F84EFBFC}"/>
    <cellStyle name="Comma 2 2 2 5 5 3 2 2" xfId="53668" xr:uid="{A7256247-4810-4CFD-BFE3-2F6ACD6EE7AB}"/>
    <cellStyle name="Comma 2 2 2 5 5 3 2 3" xfId="35414" xr:uid="{041FE76B-C0EE-44DC-8220-A516E6E72584}"/>
    <cellStyle name="Comma 2 2 2 5 5 3 3" xfId="13510" xr:uid="{5C073758-262E-483A-9E5F-CBFA99709839}"/>
    <cellStyle name="Comma 2 2 2 5 5 3 3 2" xfId="50018" xr:uid="{A51C2644-65BF-4EA1-8AC3-C47ED333FCA7}"/>
    <cellStyle name="Comma 2 2 2 5 5 3 3 3" xfId="31764" xr:uid="{AAFA38F3-3BCE-4F1F-8DB5-F36807A807FB}"/>
    <cellStyle name="Comma 2 2 2 5 5 3 4" xfId="9860" xr:uid="{5DF9A3B6-6A1B-4AB2-9A1D-0663E47AC845}"/>
    <cellStyle name="Comma 2 2 2 5 5 3 4 2" xfId="46368" xr:uid="{4B930EF2-D60E-4A80-8AED-138E9862BEF2}"/>
    <cellStyle name="Comma 2 2 2 5 5 3 4 3" xfId="28114" xr:uid="{41A68AD6-B3C9-4775-8FD3-71889243D847}"/>
    <cellStyle name="Comma 2 2 2 5 5 3 5" xfId="6210" xr:uid="{D3299B4A-72A9-4D09-8C6A-52889C9E42EB}"/>
    <cellStyle name="Comma 2 2 2 5 5 3 5 2" xfId="42718" xr:uid="{F46F1C49-C793-4EFE-920E-CF800E947275}"/>
    <cellStyle name="Comma 2 2 2 5 5 3 5 3" xfId="24464" xr:uid="{FD953FDF-2B03-4962-A6B0-62DF2067E8D0}"/>
    <cellStyle name="Comma 2 2 2 5 5 3 6" xfId="39068" xr:uid="{097E498C-AEA1-433A-A2AF-E57884DD953C}"/>
    <cellStyle name="Comma 2 2 2 5 5 3 7" xfId="20814" xr:uid="{26551358-53FC-4C4B-BB09-698BC01A5B54}"/>
    <cellStyle name="Comma 2 2 2 5 5 4" xfId="1830" xr:uid="{BD030A80-3352-4C68-AA11-AA056F79B1BC}"/>
    <cellStyle name="Comma 2 2 2 5 5 4 2" xfId="16430" xr:uid="{EF5779CF-9AC2-4100-BB5D-CBDF7C8B48C6}"/>
    <cellStyle name="Comma 2 2 2 5 5 4 2 2" xfId="52938" xr:uid="{13EF9831-0831-40AA-8805-504824874977}"/>
    <cellStyle name="Comma 2 2 2 5 5 4 2 3" xfId="34684" xr:uid="{DEB38EE6-DDCD-4DFD-AE01-8677FCC11C77}"/>
    <cellStyle name="Comma 2 2 2 5 5 4 3" xfId="12780" xr:uid="{FB2D8B7E-2D28-41F7-9036-3F4D439F5F97}"/>
    <cellStyle name="Comma 2 2 2 5 5 4 3 2" xfId="49288" xr:uid="{5DB3F681-C199-4A93-80C0-5983316799E6}"/>
    <cellStyle name="Comma 2 2 2 5 5 4 3 3" xfId="31034" xr:uid="{20B89A47-F821-4893-A2A2-C7CDE48B1B53}"/>
    <cellStyle name="Comma 2 2 2 5 5 4 4" xfId="9130" xr:uid="{42D9D02F-12E9-4D78-BE86-C5255075AE47}"/>
    <cellStyle name="Comma 2 2 2 5 5 4 4 2" xfId="45638" xr:uid="{25727D9C-DD89-4667-8935-C4E8155A5492}"/>
    <cellStyle name="Comma 2 2 2 5 5 4 4 3" xfId="27384" xr:uid="{2438B2E7-2152-41F5-9700-EACCAEB82EF2}"/>
    <cellStyle name="Comma 2 2 2 5 5 4 5" xfId="5480" xr:uid="{18C39496-011E-495B-9574-45CCB7F5759F}"/>
    <cellStyle name="Comma 2 2 2 5 5 4 5 2" xfId="41988" xr:uid="{B1480514-B402-457E-972D-976E11FDFF14}"/>
    <cellStyle name="Comma 2 2 2 5 5 4 5 3" xfId="23734" xr:uid="{0FE1CD03-9683-4240-A913-D71FC0D9A017}"/>
    <cellStyle name="Comma 2 2 2 5 5 4 6" xfId="38338" xr:uid="{AEF77461-788A-4902-AE2C-281245E88E61}"/>
    <cellStyle name="Comma 2 2 2 5 5 4 7" xfId="20084" xr:uid="{0F8AE689-D00F-4364-8DF5-79A97C814180}"/>
    <cellStyle name="Comma 2 2 2 5 5 5" xfId="1100" xr:uid="{A9F4A1ED-F078-4042-B6BA-4DB8B27DD9DD}"/>
    <cellStyle name="Comma 2 2 2 5 5 5 2" xfId="15700" xr:uid="{ABC49E6C-A855-4EED-94BE-021C1C0B8696}"/>
    <cellStyle name="Comma 2 2 2 5 5 5 2 2" xfId="52208" xr:uid="{1249FE78-DAFA-4D36-A2AE-EE36AAD3ADC6}"/>
    <cellStyle name="Comma 2 2 2 5 5 5 2 3" xfId="33954" xr:uid="{BDA76C6D-DF5E-4F5D-9DE2-7212798F979E}"/>
    <cellStyle name="Comma 2 2 2 5 5 5 3" xfId="12050" xr:uid="{C233E07E-AE1D-46FB-A7FF-E1795CB5C47D}"/>
    <cellStyle name="Comma 2 2 2 5 5 5 3 2" xfId="48558" xr:uid="{6C9475E5-AB37-40CE-83F0-7407FD12CEF0}"/>
    <cellStyle name="Comma 2 2 2 5 5 5 3 3" xfId="30304" xr:uid="{28C81A94-F60A-4D45-AFFB-A27214C0F3B5}"/>
    <cellStyle name="Comma 2 2 2 5 5 5 4" xfId="8400" xr:uid="{26029464-3CB5-4A56-80B9-2CA418E478B5}"/>
    <cellStyle name="Comma 2 2 2 5 5 5 4 2" xfId="44908" xr:uid="{E466F702-2FCE-4F84-9C74-F7AAACFF09E3}"/>
    <cellStyle name="Comma 2 2 2 5 5 5 4 3" xfId="26654" xr:uid="{C4711FD1-FF72-4ABF-A4F0-97CA4EA563AF}"/>
    <cellStyle name="Comma 2 2 2 5 5 5 5" xfId="4750" xr:uid="{096C7E46-068E-49A3-B69D-6AD2D103A99A}"/>
    <cellStyle name="Comma 2 2 2 5 5 5 5 2" xfId="41258" xr:uid="{A3317FFE-1D1B-40AD-BFE0-01D640A9F864}"/>
    <cellStyle name="Comma 2 2 2 5 5 5 5 3" xfId="23004" xr:uid="{D8371260-C229-4685-A068-D93C8F585A3B}"/>
    <cellStyle name="Comma 2 2 2 5 5 5 6" xfId="37608" xr:uid="{3A6311C4-0E2F-4CC2-835A-FE520699321C}"/>
    <cellStyle name="Comma 2 2 2 5 5 5 7" xfId="19354" xr:uid="{45D4F465-53BD-473B-94AE-BE55D72F7FE5}"/>
    <cellStyle name="Comma 2 2 2 5 5 6" xfId="14970" xr:uid="{2F04D52F-5372-4B90-BB3A-2F1B19059A49}"/>
    <cellStyle name="Comma 2 2 2 5 5 6 2" xfId="51478" xr:uid="{7C86E19D-250F-4388-BFF5-7430C0134B49}"/>
    <cellStyle name="Comma 2 2 2 5 5 6 3" xfId="33224" xr:uid="{143CA004-1C20-46B6-BE2E-FB32C2A33C9F}"/>
    <cellStyle name="Comma 2 2 2 5 5 7" xfId="11320" xr:uid="{6461C82B-DEF5-440B-865D-FA8568220E89}"/>
    <cellStyle name="Comma 2 2 2 5 5 7 2" xfId="47828" xr:uid="{884AC4E5-C0BF-4C3D-90C3-06AF1940F520}"/>
    <cellStyle name="Comma 2 2 2 5 5 7 3" xfId="29574" xr:uid="{DE19B03C-CA8A-406D-BB64-28E9CC8E05FB}"/>
    <cellStyle name="Comma 2 2 2 5 5 8" xfId="7670" xr:uid="{CAF0DC40-7771-49E9-A173-3984EDA28F11}"/>
    <cellStyle name="Comma 2 2 2 5 5 8 2" xfId="44178" xr:uid="{F91A2B8F-283A-4190-BFC4-E3167FAB9BBA}"/>
    <cellStyle name="Comma 2 2 2 5 5 8 3" xfId="25924" xr:uid="{63BE94AA-CED9-42A4-8067-5E2DD033EA3A}"/>
    <cellStyle name="Comma 2 2 2 5 5 9" xfId="4020" xr:uid="{A281D074-B65F-4578-A85F-494A337EBECD}"/>
    <cellStyle name="Comma 2 2 2 5 5 9 2" xfId="40528" xr:uid="{59B0931E-E02C-43CA-BC30-1FCE6DEC438E}"/>
    <cellStyle name="Comma 2 2 2 5 5 9 3" xfId="22274" xr:uid="{A1560B68-E4D4-4321-8969-CE3EEE9364B2}"/>
    <cellStyle name="Comma 2 2 2 5 6" xfId="266" xr:uid="{E1B225A4-90AB-44A8-920C-6767F56EE0EE}"/>
    <cellStyle name="Comma 2 2 2 5 6 10" xfId="36774" xr:uid="{375CB62C-3129-4219-BF95-22E925F9D619}"/>
    <cellStyle name="Comma 2 2 2 5 6 11" xfId="18520" xr:uid="{4934FD67-53AA-4400-A6DE-40CB8A684ADD}"/>
    <cellStyle name="Comma 2 2 2 5 6 2" xfId="3186" xr:uid="{33C1DE64-309D-435E-B3CE-74430E4D3B8F}"/>
    <cellStyle name="Comma 2 2 2 5 6 2 2" xfId="17786" xr:uid="{96585654-546C-4637-A185-17AD4BFCC1F8}"/>
    <cellStyle name="Comma 2 2 2 5 6 2 2 2" xfId="54294" xr:uid="{F0166DDB-EDBE-4456-8818-90A7A6630B0E}"/>
    <cellStyle name="Comma 2 2 2 5 6 2 2 3" xfId="36040" xr:uid="{481F2C6B-D712-4FF6-8B8E-931CF45908BC}"/>
    <cellStyle name="Comma 2 2 2 5 6 2 3" xfId="14136" xr:uid="{CE75A870-BBE1-482D-8C77-38C53F1F2FB6}"/>
    <cellStyle name="Comma 2 2 2 5 6 2 3 2" xfId="50644" xr:uid="{E584B3DB-20EA-4136-86BC-BC278A7B5B4B}"/>
    <cellStyle name="Comma 2 2 2 5 6 2 3 3" xfId="32390" xr:uid="{9FB6BD42-8292-4D83-9547-D4C3446349D6}"/>
    <cellStyle name="Comma 2 2 2 5 6 2 4" xfId="10486" xr:uid="{0DF49841-8833-4D7B-A469-E25BCF54ED72}"/>
    <cellStyle name="Comma 2 2 2 5 6 2 4 2" xfId="46994" xr:uid="{7629D5C3-B66C-4A03-8084-F0EFE8344BE9}"/>
    <cellStyle name="Comma 2 2 2 5 6 2 4 3" xfId="28740" xr:uid="{2A5DFCEB-38C0-48DA-9D82-17563579C283}"/>
    <cellStyle name="Comma 2 2 2 5 6 2 5" xfId="6836" xr:uid="{98C03C8C-9C94-4806-875E-52B09D43F2EA}"/>
    <cellStyle name="Comma 2 2 2 5 6 2 5 2" xfId="43344" xr:uid="{8D10D760-4942-4518-B229-9E4E2A7AED36}"/>
    <cellStyle name="Comma 2 2 2 5 6 2 5 3" xfId="25090" xr:uid="{A712B512-5974-4503-AD84-82A4AE5E6BAB}"/>
    <cellStyle name="Comma 2 2 2 5 6 2 6" xfId="39694" xr:uid="{08033688-B9AA-43FE-843E-BF8FB2D0F81C}"/>
    <cellStyle name="Comma 2 2 2 5 6 2 7" xfId="21440" xr:uid="{DACC8CB0-D5D1-4198-B79D-7EB7E00C393A}"/>
    <cellStyle name="Comma 2 2 2 5 6 3" xfId="2456" xr:uid="{2201D0BB-F2FF-48D9-AACD-027437249144}"/>
    <cellStyle name="Comma 2 2 2 5 6 3 2" xfId="17056" xr:uid="{21C9DDFA-AE2A-4CFE-961E-F1E04C55395E}"/>
    <cellStyle name="Comma 2 2 2 5 6 3 2 2" xfId="53564" xr:uid="{5C1E5F1B-98E5-4536-AE11-1FB853D7E091}"/>
    <cellStyle name="Comma 2 2 2 5 6 3 2 3" xfId="35310" xr:uid="{00195709-B294-4980-AE1B-8EACA3A0F9D9}"/>
    <cellStyle name="Comma 2 2 2 5 6 3 3" xfId="13406" xr:uid="{0EB4731F-32FA-4821-86C8-D278407A46EE}"/>
    <cellStyle name="Comma 2 2 2 5 6 3 3 2" xfId="49914" xr:uid="{750FE5CA-71FF-428D-AA6C-13299DDB08DD}"/>
    <cellStyle name="Comma 2 2 2 5 6 3 3 3" xfId="31660" xr:uid="{951607FB-E9F2-4DDB-A197-23403A3385F2}"/>
    <cellStyle name="Comma 2 2 2 5 6 3 4" xfId="9756" xr:uid="{6679887A-A9E7-43D1-BF13-453588EC5EA2}"/>
    <cellStyle name="Comma 2 2 2 5 6 3 4 2" xfId="46264" xr:uid="{BC3DB8E9-8698-4CF5-91CF-09FCBB1620C5}"/>
    <cellStyle name="Comma 2 2 2 5 6 3 4 3" xfId="28010" xr:uid="{66F4B6A3-04A5-4F35-AB4A-A60D2C79FA67}"/>
    <cellStyle name="Comma 2 2 2 5 6 3 5" xfId="6106" xr:uid="{6EE505B7-3F2F-4A17-A2DE-AFDAFD4441D0}"/>
    <cellStyle name="Comma 2 2 2 5 6 3 5 2" xfId="42614" xr:uid="{55B0A050-A172-4734-B673-E043C7A726E2}"/>
    <cellStyle name="Comma 2 2 2 5 6 3 5 3" xfId="24360" xr:uid="{F452C167-A251-4AB8-9E7A-B82EA3C8EF5C}"/>
    <cellStyle name="Comma 2 2 2 5 6 3 6" xfId="38964" xr:uid="{5AE0EEE9-631A-4047-BC5D-0044328FB045}"/>
    <cellStyle name="Comma 2 2 2 5 6 3 7" xfId="20710" xr:uid="{3C261609-E337-4D1B-949B-F00A14E1DEF2}"/>
    <cellStyle name="Comma 2 2 2 5 6 4" xfId="1726" xr:uid="{74CE1BB9-0546-49E6-A635-4AEDBD5157B1}"/>
    <cellStyle name="Comma 2 2 2 5 6 4 2" xfId="16326" xr:uid="{369AD8AD-D4E4-4A9D-AE41-36B4A41EF69A}"/>
    <cellStyle name="Comma 2 2 2 5 6 4 2 2" xfId="52834" xr:uid="{9DB78E64-71F1-4C5E-9FCE-25232CE1269E}"/>
    <cellStyle name="Comma 2 2 2 5 6 4 2 3" xfId="34580" xr:uid="{C85077D3-1299-45BD-8799-51C756AA03DC}"/>
    <cellStyle name="Comma 2 2 2 5 6 4 3" xfId="12676" xr:uid="{52DEF406-4CF0-49B5-840F-506B0261FA47}"/>
    <cellStyle name="Comma 2 2 2 5 6 4 3 2" xfId="49184" xr:uid="{44FB9FC4-BC95-490B-96F3-F4F118A6121B}"/>
    <cellStyle name="Comma 2 2 2 5 6 4 3 3" xfId="30930" xr:uid="{63131A21-6376-4D7C-AF91-986CA98CB8FE}"/>
    <cellStyle name="Comma 2 2 2 5 6 4 4" xfId="9026" xr:uid="{331857F6-A881-497B-A8DB-1A4B37F2B615}"/>
    <cellStyle name="Comma 2 2 2 5 6 4 4 2" xfId="45534" xr:uid="{ECE2D9EC-8E24-47AE-8A11-B921403CB583}"/>
    <cellStyle name="Comma 2 2 2 5 6 4 4 3" xfId="27280" xr:uid="{D86C2295-2BB4-41B6-A1C4-0FBBFB9B0A1C}"/>
    <cellStyle name="Comma 2 2 2 5 6 4 5" xfId="5376" xr:uid="{58A82879-B891-4DF7-9DA4-137BD63F64B4}"/>
    <cellStyle name="Comma 2 2 2 5 6 4 5 2" xfId="41884" xr:uid="{0AE87EE6-19F7-4499-B8F9-A5B57517830B}"/>
    <cellStyle name="Comma 2 2 2 5 6 4 5 3" xfId="23630" xr:uid="{BE2C40BC-EE86-4DC6-AADE-15DB6A878F7E}"/>
    <cellStyle name="Comma 2 2 2 5 6 4 6" xfId="38234" xr:uid="{92CBACBB-85CC-41AA-9C38-9914E84BCB31}"/>
    <cellStyle name="Comma 2 2 2 5 6 4 7" xfId="19980" xr:uid="{D2ABE504-5C5B-45E3-9E7C-D7EBEDB45E1C}"/>
    <cellStyle name="Comma 2 2 2 5 6 5" xfId="996" xr:uid="{9E1625A6-4CB7-4979-8B4C-AFEC091284A0}"/>
    <cellStyle name="Comma 2 2 2 5 6 5 2" xfId="15596" xr:uid="{D8C417DA-400D-470C-B4E9-4F2006F8AED8}"/>
    <cellStyle name="Comma 2 2 2 5 6 5 2 2" xfId="52104" xr:uid="{7012FBB0-52EB-4A09-A96E-4707B294C21C}"/>
    <cellStyle name="Comma 2 2 2 5 6 5 2 3" xfId="33850" xr:uid="{1C15FB36-2F0D-4E48-A6C3-EEC4EEF17453}"/>
    <cellStyle name="Comma 2 2 2 5 6 5 3" xfId="11946" xr:uid="{82C5C2D4-BA51-46D7-B91F-19A3D8FC3066}"/>
    <cellStyle name="Comma 2 2 2 5 6 5 3 2" xfId="48454" xr:uid="{42457A9B-EBA3-4922-9F23-AC3DDE860945}"/>
    <cellStyle name="Comma 2 2 2 5 6 5 3 3" xfId="30200" xr:uid="{A971221F-8E41-4A2F-9B43-215A5612FF24}"/>
    <cellStyle name="Comma 2 2 2 5 6 5 4" xfId="8296" xr:uid="{02C93FC7-40A3-436B-823A-6590968A2D46}"/>
    <cellStyle name="Comma 2 2 2 5 6 5 4 2" xfId="44804" xr:uid="{7D896A6C-344C-4B60-B33A-A687C9DEBE98}"/>
    <cellStyle name="Comma 2 2 2 5 6 5 4 3" xfId="26550" xr:uid="{AD33E5DD-0664-460F-9BC9-42956DDC170B}"/>
    <cellStyle name="Comma 2 2 2 5 6 5 5" xfId="4646" xr:uid="{63C08956-BCD1-4AC7-B4A1-CF0E7F373C6D}"/>
    <cellStyle name="Comma 2 2 2 5 6 5 5 2" xfId="41154" xr:uid="{A3381E2C-FC0C-40DE-A176-6F9AD903A936}"/>
    <cellStyle name="Comma 2 2 2 5 6 5 5 3" xfId="22900" xr:uid="{2C2B400A-21E7-4613-83C5-C2CDB25B636B}"/>
    <cellStyle name="Comma 2 2 2 5 6 5 6" xfId="37504" xr:uid="{39DDAB81-76EE-4BA0-B439-885E0F1207DD}"/>
    <cellStyle name="Comma 2 2 2 5 6 5 7" xfId="19250" xr:uid="{7A7058DC-DD0E-4229-9679-9148651E43A1}"/>
    <cellStyle name="Comma 2 2 2 5 6 6" xfId="14866" xr:uid="{538941BF-5325-4742-8D19-6FCD206B90C0}"/>
    <cellStyle name="Comma 2 2 2 5 6 6 2" xfId="51374" xr:uid="{8445F023-D31E-4F4A-9603-0C0C6EF58FFE}"/>
    <cellStyle name="Comma 2 2 2 5 6 6 3" xfId="33120" xr:uid="{2EE9E935-BEE2-4BD5-B0C0-96A9BCF6CFDC}"/>
    <cellStyle name="Comma 2 2 2 5 6 7" xfId="11216" xr:uid="{F130994C-5EB7-4D5E-B561-A545995626D9}"/>
    <cellStyle name="Comma 2 2 2 5 6 7 2" xfId="47724" xr:uid="{63360F9D-C697-4374-B4C0-C7A3DCA9F7AD}"/>
    <cellStyle name="Comma 2 2 2 5 6 7 3" xfId="29470" xr:uid="{DAB28AEB-2668-40CE-B7C2-7BEFB7428487}"/>
    <cellStyle name="Comma 2 2 2 5 6 8" xfId="7566" xr:uid="{435A27B2-954B-4AD8-8FA2-0EB804719C4A}"/>
    <cellStyle name="Comma 2 2 2 5 6 8 2" xfId="44074" xr:uid="{12C282EA-EDC8-44C9-9B1E-3A5C148AC765}"/>
    <cellStyle name="Comma 2 2 2 5 6 8 3" xfId="25820" xr:uid="{859D18AB-EB44-439B-B0B5-613476D67799}"/>
    <cellStyle name="Comma 2 2 2 5 6 9" xfId="3916" xr:uid="{064F997A-3615-443C-B0C6-5E7E1C9738C0}"/>
    <cellStyle name="Comma 2 2 2 5 6 9 2" xfId="40424" xr:uid="{DDE94F0E-F8BA-4E19-92DF-D4D54937FF03}"/>
    <cellStyle name="Comma 2 2 2 5 6 9 3" xfId="22170" xr:uid="{F14993DA-A125-450C-9029-7C15F1B09797}"/>
    <cellStyle name="Comma 2 2 2 5 7" xfId="162" xr:uid="{D3A4D974-82ED-4E5C-8F62-196968CA9A55}"/>
    <cellStyle name="Comma 2 2 2 5 7 10" xfId="36670" xr:uid="{F7B78C08-5827-43CD-B107-49A4A9DFFFDF}"/>
    <cellStyle name="Comma 2 2 2 5 7 11" xfId="18416" xr:uid="{C868E939-DF5D-460D-9D78-E1F8A41BD028}"/>
    <cellStyle name="Comma 2 2 2 5 7 2" xfId="3082" xr:uid="{0C3EA99B-FCF8-40D9-A157-8DFE7DC92169}"/>
    <cellStyle name="Comma 2 2 2 5 7 2 2" xfId="17682" xr:uid="{5FF47496-36FF-4841-8570-8FCE250E8173}"/>
    <cellStyle name="Comma 2 2 2 5 7 2 2 2" xfId="54190" xr:uid="{58E6C66E-CE63-4FEA-AB5E-8B0DA978D2F6}"/>
    <cellStyle name="Comma 2 2 2 5 7 2 2 3" xfId="35936" xr:uid="{F56E2BF0-0C17-4D96-8605-6E6130F78AFC}"/>
    <cellStyle name="Comma 2 2 2 5 7 2 3" xfId="14032" xr:uid="{052C8B4E-C5F9-4369-93A5-23200A888C81}"/>
    <cellStyle name="Comma 2 2 2 5 7 2 3 2" xfId="50540" xr:uid="{52B3CE40-F60A-4B9B-9389-B6428F5A68F7}"/>
    <cellStyle name="Comma 2 2 2 5 7 2 3 3" xfId="32286" xr:uid="{50DF92C1-5391-4481-8724-5D2EE1094883}"/>
    <cellStyle name="Comma 2 2 2 5 7 2 4" xfId="10382" xr:uid="{C2430EF0-0BB9-4D83-9DAD-D2F9729F0D2D}"/>
    <cellStyle name="Comma 2 2 2 5 7 2 4 2" xfId="46890" xr:uid="{EBFEBC08-B0EA-47CE-957F-6BDE751B65E0}"/>
    <cellStyle name="Comma 2 2 2 5 7 2 4 3" xfId="28636" xr:uid="{FBB47F28-33A1-4999-9426-ABEF778FCE31}"/>
    <cellStyle name="Comma 2 2 2 5 7 2 5" xfId="6732" xr:uid="{5856E58F-BFE9-4908-AD03-140106781DCB}"/>
    <cellStyle name="Comma 2 2 2 5 7 2 5 2" xfId="43240" xr:uid="{4C34EB25-4BEB-4E1B-9EF8-35961D6BF86B}"/>
    <cellStyle name="Comma 2 2 2 5 7 2 5 3" xfId="24986" xr:uid="{3B642C2F-89BA-4D82-8569-5C0E5A85B0A8}"/>
    <cellStyle name="Comma 2 2 2 5 7 2 6" xfId="39590" xr:uid="{9052E924-DC95-430C-B700-9E07B408302C}"/>
    <cellStyle name="Comma 2 2 2 5 7 2 7" xfId="21336" xr:uid="{89FB9F1C-DF53-491D-9436-C0733C841305}"/>
    <cellStyle name="Comma 2 2 2 5 7 3" xfId="2352" xr:uid="{A234F088-ED7F-48C5-A07A-005F5D259630}"/>
    <cellStyle name="Comma 2 2 2 5 7 3 2" xfId="16952" xr:uid="{73C2DC19-A305-4B02-A207-88495EF0AA19}"/>
    <cellStyle name="Comma 2 2 2 5 7 3 2 2" xfId="53460" xr:uid="{BB256797-2321-4D17-A36B-CB524DB22EE6}"/>
    <cellStyle name="Comma 2 2 2 5 7 3 2 3" xfId="35206" xr:uid="{BB07BDA8-0B99-494D-AE0E-D25734CD81EC}"/>
    <cellStyle name="Comma 2 2 2 5 7 3 3" xfId="13302" xr:uid="{BA20FEE9-C32B-426E-BB1B-9F28A228CF6A}"/>
    <cellStyle name="Comma 2 2 2 5 7 3 3 2" xfId="49810" xr:uid="{1D50D9E4-708B-4E8D-B495-7F25013C593D}"/>
    <cellStyle name="Comma 2 2 2 5 7 3 3 3" xfId="31556" xr:uid="{279D34CB-2380-4C5F-AE96-3919F3094B5A}"/>
    <cellStyle name="Comma 2 2 2 5 7 3 4" xfId="9652" xr:uid="{CDFC49C3-9D90-47E4-A87D-F805B32B8ED6}"/>
    <cellStyle name="Comma 2 2 2 5 7 3 4 2" xfId="46160" xr:uid="{ECAC44BB-5FA7-4DD4-BF28-532F59FFBD34}"/>
    <cellStyle name="Comma 2 2 2 5 7 3 4 3" xfId="27906" xr:uid="{7E548208-1BBF-4AFB-9A92-F840CECF34CC}"/>
    <cellStyle name="Comma 2 2 2 5 7 3 5" xfId="6002" xr:uid="{76F15A4A-1559-47DC-AD0B-CFED960A0A68}"/>
    <cellStyle name="Comma 2 2 2 5 7 3 5 2" xfId="42510" xr:uid="{2C0916A9-5F3A-4F97-B847-116D203D1A2B}"/>
    <cellStyle name="Comma 2 2 2 5 7 3 5 3" xfId="24256" xr:uid="{E9557646-1F49-46C2-8B4A-D7053CC805F5}"/>
    <cellStyle name="Comma 2 2 2 5 7 3 6" xfId="38860" xr:uid="{8CB56474-7521-4DF7-8C06-8371CFDDB899}"/>
    <cellStyle name="Comma 2 2 2 5 7 3 7" xfId="20606" xr:uid="{060DEC14-4871-4E0E-8B2A-C5BEB5998C25}"/>
    <cellStyle name="Comma 2 2 2 5 7 4" xfId="1622" xr:uid="{072F396A-D6AE-498B-99BA-58363B503742}"/>
    <cellStyle name="Comma 2 2 2 5 7 4 2" xfId="16222" xr:uid="{00A53204-D6F6-469A-B257-534527391D53}"/>
    <cellStyle name="Comma 2 2 2 5 7 4 2 2" xfId="52730" xr:uid="{2009087D-AF64-4476-BF20-ED77B44AE74A}"/>
    <cellStyle name="Comma 2 2 2 5 7 4 2 3" xfId="34476" xr:uid="{194272A7-6271-42AB-8BD4-FD3E6C25B10C}"/>
    <cellStyle name="Comma 2 2 2 5 7 4 3" xfId="12572" xr:uid="{F5BFE8C7-E310-4956-BAF0-41F550CE102B}"/>
    <cellStyle name="Comma 2 2 2 5 7 4 3 2" xfId="49080" xr:uid="{0E0A2D25-B7E5-4EF6-B7B6-5695E00B28C5}"/>
    <cellStyle name="Comma 2 2 2 5 7 4 3 3" xfId="30826" xr:uid="{1D40F35D-6846-43EA-9728-D1765272608A}"/>
    <cellStyle name="Comma 2 2 2 5 7 4 4" xfId="8922" xr:uid="{DE40516B-440F-41F0-BAB9-EC09DACB66AF}"/>
    <cellStyle name="Comma 2 2 2 5 7 4 4 2" xfId="45430" xr:uid="{C35ACF36-7483-47D5-9C43-962AD6C2ACB6}"/>
    <cellStyle name="Comma 2 2 2 5 7 4 4 3" xfId="27176" xr:uid="{EAB2ED38-B2E9-4F2C-AA4A-172DEA8D3A8A}"/>
    <cellStyle name="Comma 2 2 2 5 7 4 5" xfId="5272" xr:uid="{13E39BB5-334E-4360-9486-1E3728D6A493}"/>
    <cellStyle name="Comma 2 2 2 5 7 4 5 2" xfId="41780" xr:uid="{F8AEB24F-3F6F-4383-9B84-CD9259F355B3}"/>
    <cellStyle name="Comma 2 2 2 5 7 4 5 3" xfId="23526" xr:uid="{6ADF677D-B97D-4F6A-ABAC-F165331306A4}"/>
    <cellStyle name="Comma 2 2 2 5 7 4 6" xfId="38130" xr:uid="{2CA97B91-58B4-487B-986C-7843807B7832}"/>
    <cellStyle name="Comma 2 2 2 5 7 4 7" xfId="19876" xr:uid="{236404C9-52CD-4A98-9083-F1AB0D2D2CA2}"/>
    <cellStyle name="Comma 2 2 2 5 7 5" xfId="892" xr:uid="{A5EA5AEB-F0E4-4CF6-A418-AAA086011B9C}"/>
    <cellStyle name="Comma 2 2 2 5 7 5 2" xfId="15492" xr:uid="{79126072-7038-468D-ACF4-CB93DA765113}"/>
    <cellStyle name="Comma 2 2 2 5 7 5 2 2" xfId="52000" xr:uid="{3F35394B-3C56-4D42-9208-406BAED7F76B}"/>
    <cellStyle name="Comma 2 2 2 5 7 5 2 3" xfId="33746" xr:uid="{F1E5B2AC-A568-4CE7-8253-B9563448E6EF}"/>
    <cellStyle name="Comma 2 2 2 5 7 5 3" xfId="11842" xr:uid="{635F0F48-DDA0-4DDF-A5FC-8CF0D900D5B5}"/>
    <cellStyle name="Comma 2 2 2 5 7 5 3 2" xfId="48350" xr:uid="{0C2C81DE-AB5D-4495-BFF9-B7D1C0AECD26}"/>
    <cellStyle name="Comma 2 2 2 5 7 5 3 3" xfId="30096" xr:uid="{26FE4821-DAC6-4AAF-8540-A11D2F23217C}"/>
    <cellStyle name="Comma 2 2 2 5 7 5 4" xfId="8192" xr:uid="{EE22D60A-C94A-4045-A647-80A045BFC142}"/>
    <cellStyle name="Comma 2 2 2 5 7 5 4 2" xfId="44700" xr:uid="{15407A76-F394-453A-99E9-69DD78160D3C}"/>
    <cellStyle name="Comma 2 2 2 5 7 5 4 3" xfId="26446" xr:uid="{D7A77BBA-498F-4865-A161-65F7C62F11DD}"/>
    <cellStyle name="Comma 2 2 2 5 7 5 5" xfId="4542" xr:uid="{036A5BD0-3E10-47FA-A9FB-EB56304F1B6E}"/>
    <cellStyle name="Comma 2 2 2 5 7 5 5 2" xfId="41050" xr:uid="{147C96D9-0072-4FC2-8FCE-87814158B530}"/>
    <cellStyle name="Comma 2 2 2 5 7 5 5 3" xfId="22796" xr:uid="{28B7A64B-CFF7-4FEC-BBC4-53FEA236326A}"/>
    <cellStyle name="Comma 2 2 2 5 7 5 6" xfId="37400" xr:uid="{B78070F8-2F62-41AA-A05B-EC8D1338F0BB}"/>
    <cellStyle name="Comma 2 2 2 5 7 5 7" xfId="19146" xr:uid="{CCE5AA99-BBF0-47BF-9D91-C2444AE44B0D}"/>
    <cellStyle name="Comma 2 2 2 5 7 6" xfId="14762" xr:uid="{3DF34A1A-D622-46A8-884B-F1AC3F0C2C36}"/>
    <cellStyle name="Comma 2 2 2 5 7 6 2" xfId="51270" xr:uid="{6360D4BE-60CD-4370-8D5A-BC275504F344}"/>
    <cellStyle name="Comma 2 2 2 5 7 6 3" xfId="33016" xr:uid="{720A7E97-ED2A-4303-84DC-14C32C48A414}"/>
    <cellStyle name="Comma 2 2 2 5 7 7" xfId="11112" xr:uid="{30EBF37F-6248-4FC9-ADDB-49F6BBEF636F}"/>
    <cellStyle name="Comma 2 2 2 5 7 7 2" xfId="47620" xr:uid="{0468EA76-F7D4-4A93-8FBE-4279FC53D1C3}"/>
    <cellStyle name="Comma 2 2 2 5 7 7 3" xfId="29366" xr:uid="{4A1D82F1-041B-4230-9641-7660C3A5D862}"/>
    <cellStyle name="Comma 2 2 2 5 7 8" xfId="7462" xr:uid="{401B76A3-E43A-44AE-9103-8728C207469C}"/>
    <cellStyle name="Comma 2 2 2 5 7 8 2" xfId="43970" xr:uid="{17CD6DBC-0AC7-4CDB-A8E8-5311FB8AE6F8}"/>
    <cellStyle name="Comma 2 2 2 5 7 8 3" xfId="25716" xr:uid="{536EC19C-D241-4E70-A843-B9600A93C6C3}"/>
    <cellStyle name="Comma 2 2 2 5 7 9" xfId="3812" xr:uid="{BD470E6B-7C6A-4D9B-8D45-EABCE98754C1}"/>
    <cellStyle name="Comma 2 2 2 5 7 9 2" xfId="40320" xr:uid="{06FCCF30-69C2-4BCE-8D9C-EEC9DB2BABCB}"/>
    <cellStyle name="Comma 2 2 2 5 7 9 3" xfId="22066" xr:uid="{1D6D43EE-8A3F-4210-97BD-A59F0CDF3E4D}"/>
    <cellStyle name="Comma 2 2 2 5 8" xfId="2978" xr:uid="{CF088303-753B-4A28-8E6F-A60C5B791183}"/>
    <cellStyle name="Comma 2 2 2 5 8 2" xfId="17578" xr:uid="{61FF0424-823E-4FDC-BF33-670653CB89CF}"/>
    <cellStyle name="Comma 2 2 2 5 8 2 2" xfId="54086" xr:uid="{B676E1F9-34AF-4203-B5B1-AFB36AFBE6EC}"/>
    <cellStyle name="Comma 2 2 2 5 8 2 3" xfId="35832" xr:uid="{ABBA5E79-DDF7-457D-9BAD-DB2A4EFA3A13}"/>
    <cellStyle name="Comma 2 2 2 5 8 3" xfId="13928" xr:uid="{82B05563-68BD-43F8-8842-C9FBFF3AC131}"/>
    <cellStyle name="Comma 2 2 2 5 8 3 2" xfId="50436" xr:uid="{8EE09B6D-D874-4253-9C8A-90DBA49B7F34}"/>
    <cellStyle name="Comma 2 2 2 5 8 3 3" xfId="32182" xr:uid="{97F328F1-57BB-4064-8D02-8C4DD917A3D8}"/>
    <cellStyle name="Comma 2 2 2 5 8 4" xfId="10278" xr:uid="{F12F8736-30F6-4773-82F2-9D28384986A1}"/>
    <cellStyle name="Comma 2 2 2 5 8 4 2" xfId="46786" xr:uid="{C076CCDE-F14F-40CD-AE1E-ADFA237CE27B}"/>
    <cellStyle name="Comma 2 2 2 5 8 4 3" xfId="28532" xr:uid="{F5E7EEF0-B257-4554-BDE8-9CFB0F545D2B}"/>
    <cellStyle name="Comma 2 2 2 5 8 5" xfId="6628" xr:uid="{5FDD374A-BAF8-4F1C-9B41-E24158110DE9}"/>
    <cellStyle name="Comma 2 2 2 5 8 5 2" xfId="43136" xr:uid="{F7495490-0E97-4183-80D7-D8B2BD71905E}"/>
    <cellStyle name="Comma 2 2 2 5 8 5 3" xfId="24882" xr:uid="{94F5BBC1-1CF1-4340-87F7-509931B05925}"/>
    <cellStyle name="Comma 2 2 2 5 8 6" xfId="39486" xr:uid="{C3A3EF6E-6D73-4685-8E8D-2B4FF4B5BDE2}"/>
    <cellStyle name="Comma 2 2 2 5 8 7" xfId="21232" xr:uid="{228AB4D0-7B60-45FC-9E6B-36DF67101F47}"/>
    <cellStyle name="Comma 2 2 2 5 9" xfId="2248" xr:uid="{0383A8C1-3C75-4AA2-8A50-1E890D470455}"/>
    <cellStyle name="Comma 2 2 2 5 9 2" xfId="16848" xr:uid="{FFA18D26-7C2C-4C61-BEE6-9E22D21CEFC8}"/>
    <cellStyle name="Comma 2 2 2 5 9 2 2" xfId="53356" xr:uid="{D4B824CA-2474-4E28-9655-98F617CD5E22}"/>
    <cellStyle name="Comma 2 2 2 5 9 2 3" xfId="35102" xr:uid="{64E90D19-C683-4055-9FC4-E9A030138C8C}"/>
    <cellStyle name="Comma 2 2 2 5 9 3" xfId="13198" xr:uid="{7D8D0624-9A70-433E-A08A-F0B5F2D6D639}"/>
    <cellStyle name="Comma 2 2 2 5 9 3 2" xfId="49706" xr:uid="{5A2E6734-8405-4CA1-84AA-6B8901F398E3}"/>
    <cellStyle name="Comma 2 2 2 5 9 3 3" xfId="31452" xr:uid="{86512B1A-5AFE-4746-B24D-183A931D89FC}"/>
    <cellStyle name="Comma 2 2 2 5 9 4" xfId="9548" xr:uid="{073DF6BE-998C-4708-9E2F-A8044C35FAB6}"/>
    <cellStyle name="Comma 2 2 2 5 9 4 2" xfId="46056" xr:uid="{DD66F9B0-A1C5-4BD4-9128-3BBBF86CDEF2}"/>
    <cellStyle name="Comma 2 2 2 5 9 4 3" xfId="27802" xr:uid="{77556CF3-36B5-48C9-9E82-A3894959210B}"/>
    <cellStyle name="Comma 2 2 2 5 9 5" xfId="5898" xr:uid="{442DDBA3-7940-41B3-8E24-317909FC9855}"/>
    <cellStyle name="Comma 2 2 2 5 9 5 2" xfId="42406" xr:uid="{E3201C26-2121-459A-B970-36C60DC510C0}"/>
    <cellStyle name="Comma 2 2 2 5 9 5 3" xfId="24152" xr:uid="{8FB19169-0C52-415E-99A0-2CE38030C680}"/>
    <cellStyle name="Comma 2 2 2 5 9 6" xfId="38756" xr:uid="{F05841E0-62C3-49D4-A49D-F588F85C702A}"/>
    <cellStyle name="Comma 2 2 2 5 9 7" xfId="20502" xr:uid="{2C9CC7B1-2603-45D6-B87C-76D976631821}"/>
    <cellStyle name="Comma 2 2 2 6" xfId="650" xr:uid="{EEF21E03-C54D-40EB-8D09-CE514F5FE2B7}"/>
    <cellStyle name="Comma 2 2 2 6 10" xfId="37158" xr:uid="{05EB3FFA-8539-4056-8F24-4A830A7B0084}"/>
    <cellStyle name="Comma 2 2 2 6 11" xfId="18904" xr:uid="{A53E0597-9BC9-4CFC-A348-4898C508EE23}"/>
    <cellStyle name="Comma 2 2 2 6 2" xfId="3570" xr:uid="{A5DDA43A-E2B4-4BD6-AD87-AAF036209A46}"/>
    <cellStyle name="Comma 2 2 2 6 2 2" xfId="18170" xr:uid="{81E37E02-EDFC-4922-82C0-3FA631D9AE0F}"/>
    <cellStyle name="Comma 2 2 2 6 2 2 2" xfId="54678" xr:uid="{27E9FE58-F3BE-4FE9-84DD-FE5862A9114F}"/>
    <cellStyle name="Comma 2 2 2 6 2 2 3" xfId="36424" xr:uid="{F3F86B82-36F2-4B23-A2E8-51F861BCAD15}"/>
    <cellStyle name="Comma 2 2 2 6 2 3" xfId="14520" xr:uid="{44CACB5B-97E7-49AD-9878-0B185C3A3CD3}"/>
    <cellStyle name="Comma 2 2 2 6 2 3 2" xfId="51028" xr:uid="{98BF1572-F50E-46E5-ABF0-99F567828477}"/>
    <cellStyle name="Comma 2 2 2 6 2 3 3" xfId="32774" xr:uid="{67242949-609E-4692-A1A2-0A37C0CE1FF8}"/>
    <cellStyle name="Comma 2 2 2 6 2 4" xfId="10870" xr:uid="{0AC9AFE9-3BF3-4D15-B922-3AB69701C5F3}"/>
    <cellStyle name="Comma 2 2 2 6 2 4 2" xfId="47378" xr:uid="{0F63FAE9-CAAB-44D1-A7F0-80867BA82AB9}"/>
    <cellStyle name="Comma 2 2 2 6 2 4 3" xfId="29124" xr:uid="{A66E932A-DBC0-44EB-BB8D-63B66359DF59}"/>
    <cellStyle name="Comma 2 2 2 6 2 5" xfId="7220" xr:uid="{A48FC98E-C4FB-4EEC-8E16-94362CEE8A93}"/>
    <cellStyle name="Comma 2 2 2 6 2 5 2" xfId="43728" xr:uid="{69202FCA-A34D-429F-9D70-1C7BCFF709F7}"/>
    <cellStyle name="Comma 2 2 2 6 2 5 3" xfId="25474" xr:uid="{6918046D-8FBE-4866-9D81-C51B91A728DA}"/>
    <cellStyle name="Comma 2 2 2 6 2 6" xfId="40078" xr:uid="{0AB29884-3F17-420E-BB98-0761EA6DF49D}"/>
    <cellStyle name="Comma 2 2 2 6 2 7" xfId="21824" xr:uid="{11308464-978B-4E18-822E-A50DBE0526F9}"/>
    <cellStyle name="Comma 2 2 2 6 3" xfId="2840" xr:uid="{81E8C1E1-0B66-48FA-8B4C-2615A6E61FE0}"/>
    <cellStyle name="Comma 2 2 2 6 3 2" xfId="17440" xr:uid="{45478DBC-0F6A-4023-92B7-6F6E2ADD2F4E}"/>
    <cellStyle name="Comma 2 2 2 6 3 2 2" xfId="53948" xr:uid="{DE7BEC1F-BFE1-4CFC-9E44-808722D741CD}"/>
    <cellStyle name="Comma 2 2 2 6 3 2 3" xfId="35694" xr:uid="{1C9280A2-A262-4A04-BC96-E341309F1DB7}"/>
    <cellStyle name="Comma 2 2 2 6 3 3" xfId="13790" xr:uid="{7D6B4DE8-DBF3-4F5E-BA83-87036E147C1F}"/>
    <cellStyle name="Comma 2 2 2 6 3 3 2" xfId="50298" xr:uid="{637639F6-F397-4BC2-BA1C-84B00A61859D}"/>
    <cellStyle name="Comma 2 2 2 6 3 3 3" xfId="32044" xr:uid="{382CC3BF-AEF0-4E7B-B6E8-3021312C3A1D}"/>
    <cellStyle name="Comma 2 2 2 6 3 4" xfId="10140" xr:uid="{D0583ED7-D8BF-4F42-88EA-F0CAA79120CA}"/>
    <cellStyle name="Comma 2 2 2 6 3 4 2" xfId="46648" xr:uid="{E21BFA70-9DAC-46A3-84B8-C9507DD8C459}"/>
    <cellStyle name="Comma 2 2 2 6 3 4 3" xfId="28394" xr:uid="{D1D3C4AE-D45D-4403-A0B2-D5D985C6ACE1}"/>
    <cellStyle name="Comma 2 2 2 6 3 5" xfId="6490" xr:uid="{4CCE911A-0719-429D-A176-922598BA0FC3}"/>
    <cellStyle name="Comma 2 2 2 6 3 5 2" xfId="42998" xr:uid="{3888F77E-F6CD-4A71-9EA9-33E6895B351D}"/>
    <cellStyle name="Comma 2 2 2 6 3 5 3" xfId="24744" xr:uid="{4A2475BF-99E3-4AD4-931A-4FC12E65A92D}"/>
    <cellStyle name="Comma 2 2 2 6 3 6" xfId="39348" xr:uid="{D3706078-A53E-410E-9330-0A7694592D7F}"/>
    <cellStyle name="Comma 2 2 2 6 3 7" xfId="21094" xr:uid="{C350755E-E8FA-493F-A022-321670FA3FF2}"/>
    <cellStyle name="Comma 2 2 2 6 4" xfId="2110" xr:uid="{DFF134C4-23E8-4A56-B090-24184FD4F515}"/>
    <cellStyle name="Comma 2 2 2 6 4 2" xfId="16710" xr:uid="{2D49EE74-CF66-4D17-B636-E21864E567C5}"/>
    <cellStyle name="Comma 2 2 2 6 4 2 2" xfId="53218" xr:uid="{4A8357BF-FA80-4746-91F7-62B8898B1C0D}"/>
    <cellStyle name="Comma 2 2 2 6 4 2 3" xfId="34964" xr:uid="{F1922B79-E9F8-4E09-871E-AA2860FC8288}"/>
    <cellStyle name="Comma 2 2 2 6 4 3" xfId="13060" xr:uid="{314320A0-65CE-41BB-9156-6D7F1C9D3CFE}"/>
    <cellStyle name="Comma 2 2 2 6 4 3 2" xfId="49568" xr:uid="{4B27FEA1-6FC1-4E5F-A52A-56ABB06BC997}"/>
    <cellStyle name="Comma 2 2 2 6 4 3 3" xfId="31314" xr:uid="{09D43562-3A5D-496C-A692-464747678021}"/>
    <cellStyle name="Comma 2 2 2 6 4 4" xfId="9410" xr:uid="{2FCD2A09-C88A-48FC-83C8-01327E254EB9}"/>
    <cellStyle name="Comma 2 2 2 6 4 4 2" xfId="45918" xr:uid="{052530A6-346C-4F78-A321-196A5EF9857E}"/>
    <cellStyle name="Comma 2 2 2 6 4 4 3" xfId="27664" xr:uid="{50C9D3B4-745F-4BB8-8CDF-F14DC66B7481}"/>
    <cellStyle name="Comma 2 2 2 6 4 5" xfId="5760" xr:uid="{BBF8929C-2CE5-4CED-9E7E-CF3AB2133A6A}"/>
    <cellStyle name="Comma 2 2 2 6 4 5 2" xfId="42268" xr:uid="{77D55CD9-5568-47A0-B332-E97261463907}"/>
    <cellStyle name="Comma 2 2 2 6 4 5 3" xfId="24014" xr:uid="{C4342FF3-AA55-4B93-AC83-777DCA58689A}"/>
    <cellStyle name="Comma 2 2 2 6 4 6" xfId="38618" xr:uid="{27469D29-A04F-452B-A245-F9BF8D5F3AF6}"/>
    <cellStyle name="Comma 2 2 2 6 4 7" xfId="20364" xr:uid="{F51C011D-3C53-4770-91A1-304FC1FC9AD7}"/>
    <cellStyle name="Comma 2 2 2 6 5" xfId="1380" xr:uid="{3E81E94D-4D8E-4AB8-AA50-2BB8CB29ACE5}"/>
    <cellStyle name="Comma 2 2 2 6 5 2" xfId="15980" xr:uid="{87B9AB6C-B93F-45E9-BB99-AC3C45AFE052}"/>
    <cellStyle name="Comma 2 2 2 6 5 2 2" xfId="52488" xr:uid="{342B0177-F1B1-4465-A119-E250310553A8}"/>
    <cellStyle name="Comma 2 2 2 6 5 2 3" xfId="34234" xr:uid="{6BD3496A-5DCD-428E-BA86-B80517B15AB3}"/>
    <cellStyle name="Comma 2 2 2 6 5 3" xfId="12330" xr:uid="{03796BF7-2814-4D83-988C-1FA1904BDD22}"/>
    <cellStyle name="Comma 2 2 2 6 5 3 2" xfId="48838" xr:uid="{86B7F23D-EE70-40A1-B5A4-77795C66011E}"/>
    <cellStyle name="Comma 2 2 2 6 5 3 3" xfId="30584" xr:uid="{D89028ED-30FA-4ADA-97C9-B98C760EF40E}"/>
    <cellStyle name="Comma 2 2 2 6 5 4" xfId="8680" xr:uid="{DEDBEC47-8687-441E-88D0-544C84073D40}"/>
    <cellStyle name="Comma 2 2 2 6 5 4 2" xfId="45188" xr:uid="{DEC2624C-DE91-42A0-933D-85604597537A}"/>
    <cellStyle name="Comma 2 2 2 6 5 4 3" xfId="26934" xr:uid="{599578A7-832B-486B-A0DB-F1C8DED41129}"/>
    <cellStyle name="Comma 2 2 2 6 5 5" xfId="5030" xr:uid="{DB584E52-1992-4556-8CF6-C013176CD162}"/>
    <cellStyle name="Comma 2 2 2 6 5 5 2" xfId="41538" xr:uid="{A78DA35C-43EE-482A-974E-D9A4CDC9794E}"/>
    <cellStyle name="Comma 2 2 2 6 5 5 3" xfId="23284" xr:uid="{42246E99-208C-4EF7-BD04-FA5A01222677}"/>
    <cellStyle name="Comma 2 2 2 6 5 6" xfId="37888" xr:uid="{762FBBF9-D240-49CF-B671-3973ABF01905}"/>
    <cellStyle name="Comma 2 2 2 6 5 7" xfId="19634" xr:uid="{36570E2E-EEC8-4108-8B2C-092C3B9996E8}"/>
    <cellStyle name="Comma 2 2 2 6 6" xfId="15250" xr:uid="{56086F88-626F-4210-90BE-2D43F3039FEC}"/>
    <cellStyle name="Comma 2 2 2 6 6 2" xfId="51758" xr:uid="{9A6EE364-3017-4F4B-8904-53B85CE6625B}"/>
    <cellStyle name="Comma 2 2 2 6 6 3" xfId="33504" xr:uid="{92BD6B09-95E8-41E7-B2F6-660F5A9DF5D2}"/>
    <cellStyle name="Comma 2 2 2 6 7" xfId="11600" xr:uid="{86E9D0FE-FD48-423F-8292-2C35B55F65A5}"/>
    <cellStyle name="Comma 2 2 2 6 7 2" xfId="48108" xr:uid="{97E1BEFF-7161-484C-94F8-3D200D6DF303}"/>
    <cellStyle name="Comma 2 2 2 6 7 3" xfId="29854" xr:uid="{47677615-BCCD-4AB6-90A8-1CE42E3AE14F}"/>
    <cellStyle name="Comma 2 2 2 6 8" xfId="7950" xr:uid="{572AE8EE-551E-4777-8BD2-FF87AC7C2FB1}"/>
    <cellStyle name="Comma 2 2 2 6 8 2" xfId="44458" xr:uid="{7E84DE64-E7BD-430A-AB7C-8DDA9C615BE5}"/>
    <cellStyle name="Comma 2 2 2 6 8 3" xfId="26204" xr:uid="{AE73E7B4-1F47-49DB-905F-1D8967EFD44E}"/>
    <cellStyle name="Comma 2 2 2 6 9" xfId="4300" xr:uid="{469DFBB7-F130-4C03-9695-E4206219A609}"/>
    <cellStyle name="Comma 2 2 2 6 9 2" xfId="40808" xr:uid="{38978000-4B65-4544-964A-87DE943D9FC5}"/>
    <cellStyle name="Comma 2 2 2 6 9 3" xfId="22554" xr:uid="{14D6844F-EAE7-4A7D-AF82-1B63BA96B465}"/>
    <cellStyle name="Comma 2 2 2 7" xfId="546" xr:uid="{1381588D-DC62-4AD4-AF26-FFCBA296EEF3}"/>
    <cellStyle name="Comma 2 2 2 7 10" xfId="37054" xr:uid="{90E60CC9-508A-4051-9E7E-A59D640E652C}"/>
    <cellStyle name="Comma 2 2 2 7 11" xfId="18800" xr:uid="{5B262EE5-4A7C-4EF9-B98B-28D6F9913857}"/>
    <cellStyle name="Comma 2 2 2 7 2" xfId="3466" xr:uid="{C35A2727-8808-4F9B-8120-17E8A2891E13}"/>
    <cellStyle name="Comma 2 2 2 7 2 2" xfId="18066" xr:uid="{E3874B44-6B7D-431F-B14C-842F784CFABA}"/>
    <cellStyle name="Comma 2 2 2 7 2 2 2" xfId="54574" xr:uid="{F78156F1-274F-4079-91A4-6418BC240C59}"/>
    <cellStyle name="Comma 2 2 2 7 2 2 3" xfId="36320" xr:uid="{D800CAD1-FC8A-499B-81C3-49F1248B64D6}"/>
    <cellStyle name="Comma 2 2 2 7 2 3" xfId="14416" xr:uid="{2A20EA03-C3FA-4066-92CD-8ED38155BE53}"/>
    <cellStyle name="Comma 2 2 2 7 2 3 2" xfId="50924" xr:uid="{41E3C104-BE2B-4AE1-AA75-149A5E1BA929}"/>
    <cellStyle name="Comma 2 2 2 7 2 3 3" xfId="32670" xr:uid="{D78880F4-CFA2-43BD-B88D-AB8BF427C474}"/>
    <cellStyle name="Comma 2 2 2 7 2 4" xfId="10766" xr:uid="{BF6D6A87-BD48-4202-8074-B8ACA75A9312}"/>
    <cellStyle name="Comma 2 2 2 7 2 4 2" xfId="47274" xr:uid="{87E7DFAE-6BDD-4D82-A6ED-9515EB30DCE1}"/>
    <cellStyle name="Comma 2 2 2 7 2 4 3" xfId="29020" xr:uid="{85583572-C377-43A9-9312-CF617353B953}"/>
    <cellStyle name="Comma 2 2 2 7 2 5" xfId="7116" xr:uid="{9EF8F66F-D851-4F04-9755-4180FDF6665C}"/>
    <cellStyle name="Comma 2 2 2 7 2 5 2" xfId="43624" xr:uid="{2BDADE49-CBF1-4097-A747-26D683753D97}"/>
    <cellStyle name="Comma 2 2 2 7 2 5 3" xfId="25370" xr:uid="{5A8A841D-3C7C-40F2-92CC-AD7A94A42463}"/>
    <cellStyle name="Comma 2 2 2 7 2 6" xfId="39974" xr:uid="{B9BE98E7-0E37-44C7-A8B7-77300BCC1005}"/>
    <cellStyle name="Comma 2 2 2 7 2 7" xfId="21720" xr:uid="{D24A0438-C255-4E62-B78D-0126D2BD233C}"/>
    <cellStyle name="Comma 2 2 2 7 3" xfId="2736" xr:uid="{3302C0CB-D4B4-4A14-BBCE-8EE94712EFFE}"/>
    <cellStyle name="Comma 2 2 2 7 3 2" xfId="17336" xr:uid="{4D535CBC-3377-4CBA-BC1D-6A9F8305CA9C}"/>
    <cellStyle name="Comma 2 2 2 7 3 2 2" xfId="53844" xr:uid="{59990024-6188-45DC-9326-EC1DAC9000A7}"/>
    <cellStyle name="Comma 2 2 2 7 3 2 3" xfId="35590" xr:uid="{842E40F7-0291-4A96-8316-47701F2C91AB}"/>
    <cellStyle name="Comma 2 2 2 7 3 3" xfId="13686" xr:uid="{8D81BB53-CD5A-41D9-83E1-EC1334E35EC4}"/>
    <cellStyle name="Comma 2 2 2 7 3 3 2" xfId="50194" xr:uid="{7C248952-F6FA-4E13-87D7-91A8B83D0911}"/>
    <cellStyle name="Comma 2 2 2 7 3 3 3" xfId="31940" xr:uid="{7817E15B-269D-46E0-8CF2-CC004A6C87AF}"/>
    <cellStyle name="Comma 2 2 2 7 3 4" xfId="10036" xr:uid="{FD9269EC-4DC4-4B0F-9093-CE4CE5F87358}"/>
    <cellStyle name="Comma 2 2 2 7 3 4 2" xfId="46544" xr:uid="{0BC1C8CC-90C0-4EE4-AE48-5D0A14A9D38A}"/>
    <cellStyle name="Comma 2 2 2 7 3 4 3" xfId="28290" xr:uid="{F8DE134C-BABE-4916-8A62-97EF90B8EF15}"/>
    <cellStyle name="Comma 2 2 2 7 3 5" xfId="6386" xr:uid="{41ECBCB9-85A2-4FFC-A274-9BF748A3BDF1}"/>
    <cellStyle name="Comma 2 2 2 7 3 5 2" xfId="42894" xr:uid="{AA697330-9906-40E7-8133-0B0100287C15}"/>
    <cellStyle name="Comma 2 2 2 7 3 5 3" xfId="24640" xr:uid="{3BE3A79D-EEF9-467C-B831-F81D63470914}"/>
    <cellStyle name="Comma 2 2 2 7 3 6" xfId="39244" xr:uid="{7B9EB5C2-4F64-4B92-9119-76812A70A8A3}"/>
    <cellStyle name="Comma 2 2 2 7 3 7" xfId="20990" xr:uid="{321D3487-172E-4562-AFD0-30D9062D75CA}"/>
    <cellStyle name="Comma 2 2 2 7 4" xfId="2006" xr:uid="{2E05AEBF-9785-4DFC-B0E0-87093C52D810}"/>
    <cellStyle name="Comma 2 2 2 7 4 2" xfId="16606" xr:uid="{130AB55D-965B-44CF-A7DE-E990C0ABD301}"/>
    <cellStyle name="Comma 2 2 2 7 4 2 2" xfId="53114" xr:uid="{7BA1AD55-7825-4FA2-B44F-17A9401ABB99}"/>
    <cellStyle name="Comma 2 2 2 7 4 2 3" xfId="34860" xr:uid="{57402715-11B6-4C81-9FEB-4A86BF6C9E96}"/>
    <cellStyle name="Comma 2 2 2 7 4 3" xfId="12956" xr:uid="{7531329A-0050-4DED-8006-EC94FA2739F0}"/>
    <cellStyle name="Comma 2 2 2 7 4 3 2" xfId="49464" xr:uid="{9638DE78-41F1-4C99-8AB0-4304D31846DE}"/>
    <cellStyle name="Comma 2 2 2 7 4 3 3" xfId="31210" xr:uid="{679CB25E-9F28-49AF-9153-CE8CA49823F7}"/>
    <cellStyle name="Comma 2 2 2 7 4 4" xfId="9306" xr:uid="{CF59426F-ABBD-439F-A56F-CD13347DE99F}"/>
    <cellStyle name="Comma 2 2 2 7 4 4 2" xfId="45814" xr:uid="{4CD64BC9-C038-4079-A73E-4C9EC83EDCC8}"/>
    <cellStyle name="Comma 2 2 2 7 4 4 3" xfId="27560" xr:uid="{B36A15A5-4F69-4631-BF4C-CFA6DC27A052}"/>
    <cellStyle name="Comma 2 2 2 7 4 5" xfId="5656" xr:uid="{C277288A-E9E7-46BD-A4AA-04B9A2CC3A1E}"/>
    <cellStyle name="Comma 2 2 2 7 4 5 2" xfId="42164" xr:uid="{06B14A44-0837-469D-A426-A9C45E2FA3C3}"/>
    <cellStyle name="Comma 2 2 2 7 4 5 3" xfId="23910" xr:uid="{7061DA3D-D960-4A9F-99E9-14B7DE058F0F}"/>
    <cellStyle name="Comma 2 2 2 7 4 6" xfId="38514" xr:uid="{D8616971-ECF1-4027-8EDD-0FCE6A3E8997}"/>
    <cellStyle name="Comma 2 2 2 7 4 7" xfId="20260" xr:uid="{63032CFD-6718-4E93-98B4-797E2058EC74}"/>
    <cellStyle name="Comma 2 2 2 7 5" xfId="1276" xr:uid="{0D7C7249-CCF0-43D2-BA31-902299D5D701}"/>
    <cellStyle name="Comma 2 2 2 7 5 2" xfId="15876" xr:uid="{6533773D-FA5A-4687-93E2-84BC93472C2F}"/>
    <cellStyle name="Comma 2 2 2 7 5 2 2" xfId="52384" xr:uid="{36878E9C-038A-40B1-BA2B-8113758FB854}"/>
    <cellStyle name="Comma 2 2 2 7 5 2 3" xfId="34130" xr:uid="{7CE54561-1469-4843-A23F-A3B2D6E56BA1}"/>
    <cellStyle name="Comma 2 2 2 7 5 3" xfId="12226" xr:uid="{073953FC-8113-4CB8-A2CC-6DEF7457BC5F}"/>
    <cellStyle name="Comma 2 2 2 7 5 3 2" xfId="48734" xr:uid="{8796CACF-235C-48F0-9F8D-8584690E25E8}"/>
    <cellStyle name="Comma 2 2 2 7 5 3 3" xfId="30480" xr:uid="{ADDF124A-78BE-4C94-964E-3D4A8F10EF9F}"/>
    <cellStyle name="Comma 2 2 2 7 5 4" xfId="8576" xr:uid="{797BF26F-9461-4497-B950-2146E83510B7}"/>
    <cellStyle name="Comma 2 2 2 7 5 4 2" xfId="45084" xr:uid="{7DB09252-E1EC-4581-9277-8641FDB21AF0}"/>
    <cellStyle name="Comma 2 2 2 7 5 4 3" xfId="26830" xr:uid="{A2F3A6DC-93C0-4EAE-B0F8-8AE96B10AF4C}"/>
    <cellStyle name="Comma 2 2 2 7 5 5" xfId="4926" xr:uid="{AA60380E-0D4B-4F22-943D-2BABACD7CD44}"/>
    <cellStyle name="Comma 2 2 2 7 5 5 2" xfId="41434" xr:uid="{8F8BA464-6C8E-4765-812C-8DD10F9655A6}"/>
    <cellStyle name="Comma 2 2 2 7 5 5 3" xfId="23180" xr:uid="{7D220375-8602-4DF2-A56B-AFFC2E8447B4}"/>
    <cellStyle name="Comma 2 2 2 7 5 6" xfId="37784" xr:uid="{DB7114D6-6809-489C-A6FB-ECFD18DF5E97}"/>
    <cellStyle name="Comma 2 2 2 7 5 7" xfId="19530" xr:uid="{0E630444-A148-40B2-A44B-D81CF5D4A31C}"/>
    <cellStyle name="Comma 2 2 2 7 6" xfId="15146" xr:uid="{68C7CF47-1E3B-4099-8A34-AF586AF6E05F}"/>
    <cellStyle name="Comma 2 2 2 7 6 2" xfId="51654" xr:uid="{392C48EA-D79B-4186-9BDE-00ED9CF316FC}"/>
    <cellStyle name="Comma 2 2 2 7 6 3" xfId="33400" xr:uid="{B2C4F2D3-37AC-4B4C-8481-B03342741A6C}"/>
    <cellStyle name="Comma 2 2 2 7 7" xfId="11496" xr:uid="{598F1B6F-1FCA-41B8-B0B5-CFB68F17F360}"/>
    <cellStyle name="Comma 2 2 2 7 7 2" xfId="48004" xr:uid="{6B7754A0-1B39-4496-A3D2-0326B57C949F}"/>
    <cellStyle name="Comma 2 2 2 7 7 3" xfId="29750" xr:uid="{90362241-F1D0-47A2-AB9E-2A0EADDF5D88}"/>
    <cellStyle name="Comma 2 2 2 7 8" xfId="7846" xr:uid="{C1237196-D7C8-487E-9947-7FC09AE50CD2}"/>
    <cellStyle name="Comma 2 2 2 7 8 2" xfId="44354" xr:uid="{0DAEE2D6-B2BB-420C-8B48-35E8EC73C92A}"/>
    <cellStyle name="Comma 2 2 2 7 8 3" xfId="26100" xr:uid="{E2045EBA-5D3F-4A09-B8ED-0E0C229FFFED}"/>
    <cellStyle name="Comma 2 2 2 7 9" xfId="4196" xr:uid="{61F90A87-FB04-43CB-8C5F-9021DA30AEE2}"/>
    <cellStyle name="Comma 2 2 2 7 9 2" xfId="40704" xr:uid="{F6B90570-2FD5-440E-B97C-064CA045C533}"/>
    <cellStyle name="Comma 2 2 2 7 9 3" xfId="22450" xr:uid="{2E67DC97-2E48-44E9-80D1-F3E86E3B86FB}"/>
    <cellStyle name="Comma 2 2 2 8" xfId="442" xr:uid="{A7DE4913-57D2-4B7F-ACDE-4935D6513696}"/>
    <cellStyle name="Comma 2 2 2 8 10" xfId="36950" xr:uid="{CC3314DA-8308-401C-B6EE-492E15A75BD6}"/>
    <cellStyle name="Comma 2 2 2 8 11" xfId="18696" xr:uid="{1E8A231E-1745-478C-AF6F-2A12B155B346}"/>
    <cellStyle name="Comma 2 2 2 8 2" xfId="3362" xr:uid="{07DFA1A1-B07A-4562-A485-8A94237BFB98}"/>
    <cellStyle name="Comma 2 2 2 8 2 2" xfId="17962" xr:uid="{C2AF1732-B35D-4EAD-A762-EFFC623C90DC}"/>
    <cellStyle name="Comma 2 2 2 8 2 2 2" xfId="54470" xr:uid="{0C5CCEEA-0A74-42F4-9659-EE62A4D4ADC1}"/>
    <cellStyle name="Comma 2 2 2 8 2 2 3" xfId="36216" xr:uid="{B4E00251-C01A-4909-85D1-74506F1CD8B1}"/>
    <cellStyle name="Comma 2 2 2 8 2 3" xfId="14312" xr:uid="{6A4A4AA0-0252-4EBB-9E4E-011B5104B2CC}"/>
    <cellStyle name="Comma 2 2 2 8 2 3 2" xfId="50820" xr:uid="{3D24726A-69D6-4322-965F-8DDF7CFA65E5}"/>
    <cellStyle name="Comma 2 2 2 8 2 3 3" xfId="32566" xr:uid="{962602D0-AFF0-448E-8F6B-8443CB3ABF70}"/>
    <cellStyle name="Comma 2 2 2 8 2 4" xfId="10662" xr:uid="{B082C6C6-64C4-4744-9AC6-F17DBE49DB33}"/>
    <cellStyle name="Comma 2 2 2 8 2 4 2" xfId="47170" xr:uid="{E19B2E54-C088-42F9-A3E9-B3F11C768D95}"/>
    <cellStyle name="Comma 2 2 2 8 2 4 3" xfId="28916" xr:uid="{601A4A2A-9A0D-45DB-B42C-65A6C2708D70}"/>
    <cellStyle name="Comma 2 2 2 8 2 5" xfId="7012" xr:uid="{5AEE5D8A-635B-4A10-927A-0B0E7A967C63}"/>
    <cellStyle name="Comma 2 2 2 8 2 5 2" xfId="43520" xr:uid="{25576E5C-EB38-4BE2-B414-47728F0C2A98}"/>
    <cellStyle name="Comma 2 2 2 8 2 5 3" xfId="25266" xr:uid="{24477BDE-A14A-4681-9566-1A2F1AE3A2A1}"/>
    <cellStyle name="Comma 2 2 2 8 2 6" xfId="39870" xr:uid="{5495ADD1-F060-46FF-9166-A5C8D96E20ED}"/>
    <cellStyle name="Comma 2 2 2 8 2 7" xfId="21616" xr:uid="{E155077E-78D2-451D-8AF2-0CC63AA047DC}"/>
    <cellStyle name="Comma 2 2 2 8 3" xfId="2632" xr:uid="{3F3D5BFC-7A57-4E5F-A9AF-062B78B58C01}"/>
    <cellStyle name="Comma 2 2 2 8 3 2" xfId="17232" xr:uid="{18C2F5FC-5A49-4C15-957B-6E52F3ED654B}"/>
    <cellStyle name="Comma 2 2 2 8 3 2 2" xfId="53740" xr:uid="{22F297BA-A96F-480D-ACDE-D3F07DBD765A}"/>
    <cellStyle name="Comma 2 2 2 8 3 2 3" xfId="35486" xr:uid="{663BD508-3EF6-47FA-AC60-22A7E5055FBD}"/>
    <cellStyle name="Comma 2 2 2 8 3 3" xfId="13582" xr:uid="{311520F1-4A5D-4E9A-84EE-73A814B39FA9}"/>
    <cellStyle name="Comma 2 2 2 8 3 3 2" xfId="50090" xr:uid="{3D8D8E92-996B-400C-BBBD-08C1D3AA408B}"/>
    <cellStyle name="Comma 2 2 2 8 3 3 3" xfId="31836" xr:uid="{B3279842-3E69-489D-AB04-08C386F47343}"/>
    <cellStyle name="Comma 2 2 2 8 3 4" xfId="9932" xr:uid="{4CBD5FFC-356C-4E2B-8F1D-B018E5C04513}"/>
    <cellStyle name="Comma 2 2 2 8 3 4 2" xfId="46440" xr:uid="{D333E194-9CDD-4F54-A6C6-AC1472EE3DED}"/>
    <cellStyle name="Comma 2 2 2 8 3 4 3" xfId="28186" xr:uid="{8BDEF266-A0F1-4521-870E-479E57CB6AAE}"/>
    <cellStyle name="Comma 2 2 2 8 3 5" xfId="6282" xr:uid="{C8A2F6A9-671B-49E3-881C-C1806DEAF65E}"/>
    <cellStyle name="Comma 2 2 2 8 3 5 2" xfId="42790" xr:uid="{73CF4F00-F35D-4170-9470-52E44CCA3D06}"/>
    <cellStyle name="Comma 2 2 2 8 3 5 3" xfId="24536" xr:uid="{7BAE39C1-E9BC-41AA-A3B2-FB43413DF1A5}"/>
    <cellStyle name="Comma 2 2 2 8 3 6" xfId="39140" xr:uid="{C12693A2-922A-4CCF-BE08-937B195250E8}"/>
    <cellStyle name="Comma 2 2 2 8 3 7" xfId="20886" xr:uid="{62AE48B8-D059-4115-A9EC-A9397CA5DF96}"/>
    <cellStyle name="Comma 2 2 2 8 4" xfId="1902" xr:uid="{518DAB5E-7CA3-47B5-95FA-B581693E7B65}"/>
    <cellStyle name="Comma 2 2 2 8 4 2" xfId="16502" xr:uid="{C47A22B4-CC77-4694-807F-9B41FDF357D0}"/>
    <cellStyle name="Comma 2 2 2 8 4 2 2" xfId="53010" xr:uid="{EFDDA81D-235C-4603-8ED9-736047EAA9EB}"/>
    <cellStyle name="Comma 2 2 2 8 4 2 3" xfId="34756" xr:uid="{BC586BC0-8DDC-4957-881C-D52E7EA6537E}"/>
    <cellStyle name="Comma 2 2 2 8 4 3" xfId="12852" xr:uid="{A795DDF0-061B-4E43-BE07-2A4ED0246596}"/>
    <cellStyle name="Comma 2 2 2 8 4 3 2" xfId="49360" xr:uid="{2C8097CF-FBA7-43D1-9642-2BDF214628D1}"/>
    <cellStyle name="Comma 2 2 2 8 4 3 3" xfId="31106" xr:uid="{F48FA376-E79E-4053-9A75-07ED3D275449}"/>
    <cellStyle name="Comma 2 2 2 8 4 4" xfId="9202" xr:uid="{E61696A5-7290-42AA-8348-5F56FD8BC79C}"/>
    <cellStyle name="Comma 2 2 2 8 4 4 2" xfId="45710" xr:uid="{C3774741-E065-4058-A6D6-2A874517A586}"/>
    <cellStyle name="Comma 2 2 2 8 4 4 3" xfId="27456" xr:uid="{ABBDAFF5-D9C5-434C-AC3B-7B4F5DB113EE}"/>
    <cellStyle name="Comma 2 2 2 8 4 5" xfId="5552" xr:uid="{ECBFDDAA-70EA-4042-B4EF-7249327F89ED}"/>
    <cellStyle name="Comma 2 2 2 8 4 5 2" xfId="42060" xr:uid="{C7AEAA49-EFDC-4B79-80AA-7D8792B12D0C}"/>
    <cellStyle name="Comma 2 2 2 8 4 5 3" xfId="23806" xr:uid="{D8E7AE5A-E866-41DD-83B7-EED5A9A9255A}"/>
    <cellStyle name="Comma 2 2 2 8 4 6" xfId="38410" xr:uid="{15567CBA-B6CE-4695-8B7E-F8B060A2E2F2}"/>
    <cellStyle name="Comma 2 2 2 8 4 7" xfId="20156" xr:uid="{584A4BC6-2B45-4D58-846F-8B5A453BF373}"/>
    <cellStyle name="Comma 2 2 2 8 5" xfId="1172" xr:uid="{21EC869F-334A-4173-B30B-0B6ADC416884}"/>
    <cellStyle name="Comma 2 2 2 8 5 2" xfId="15772" xr:uid="{A26FF09B-8D35-4CC5-BCA2-3A46788D27B8}"/>
    <cellStyle name="Comma 2 2 2 8 5 2 2" xfId="52280" xr:uid="{5EE840EA-615C-490A-9EA0-A4D28665E718}"/>
    <cellStyle name="Comma 2 2 2 8 5 2 3" xfId="34026" xr:uid="{15C259AD-F5DD-431D-8A6D-0BA8B8C9FA0D}"/>
    <cellStyle name="Comma 2 2 2 8 5 3" xfId="12122" xr:uid="{E893DE57-07B6-4E46-9DDD-687D59BCEEFA}"/>
    <cellStyle name="Comma 2 2 2 8 5 3 2" xfId="48630" xr:uid="{F086E82D-EF71-4005-B60D-246388134036}"/>
    <cellStyle name="Comma 2 2 2 8 5 3 3" xfId="30376" xr:uid="{A25DE77D-EC71-45C1-A413-8895D16CD4A2}"/>
    <cellStyle name="Comma 2 2 2 8 5 4" xfId="8472" xr:uid="{AF3FA09F-8513-4CB0-9C09-F681CC3A0CA1}"/>
    <cellStyle name="Comma 2 2 2 8 5 4 2" xfId="44980" xr:uid="{4F4D9F5E-A74C-4EEB-A89E-5D74AB8CE659}"/>
    <cellStyle name="Comma 2 2 2 8 5 4 3" xfId="26726" xr:uid="{66D6D465-98C8-4F18-96AE-E383D395C868}"/>
    <cellStyle name="Comma 2 2 2 8 5 5" xfId="4822" xr:uid="{258019DC-2A5E-43A9-94C4-29B42AF6AB3C}"/>
    <cellStyle name="Comma 2 2 2 8 5 5 2" xfId="41330" xr:uid="{1863F464-6B62-4686-91A0-9911E0F8B805}"/>
    <cellStyle name="Comma 2 2 2 8 5 5 3" xfId="23076" xr:uid="{5B25FF84-7AF8-4DA7-8004-43A5B7258D52}"/>
    <cellStyle name="Comma 2 2 2 8 5 6" xfId="37680" xr:uid="{C34715D9-8E18-41AB-9B45-4FEBA6343F82}"/>
    <cellStyle name="Comma 2 2 2 8 5 7" xfId="19426" xr:uid="{CDD2CA5E-8F65-4EE5-9A16-B28EF33AAD49}"/>
    <cellStyle name="Comma 2 2 2 8 6" xfId="15042" xr:uid="{399FBBB5-DB59-4557-98CC-9453C6D55BE6}"/>
    <cellStyle name="Comma 2 2 2 8 6 2" xfId="51550" xr:uid="{4376BEEE-D213-4E6F-BDC1-596B7D645D33}"/>
    <cellStyle name="Comma 2 2 2 8 6 3" xfId="33296" xr:uid="{3FC06072-0F9E-4A56-8F2D-E26D8F48133C}"/>
    <cellStyle name="Comma 2 2 2 8 7" xfId="11392" xr:uid="{687E54CB-3A87-4B63-859E-62E3DC554790}"/>
    <cellStyle name="Comma 2 2 2 8 7 2" xfId="47900" xr:uid="{CE0A573B-0A7E-434B-A4F4-4A039A26F9B3}"/>
    <cellStyle name="Comma 2 2 2 8 7 3" xfId="29646" xr:uid="{06B4A957-19A1-4D70-9312-72DDE67B3AC3}"/>
    <cellStyle name="Comma 2 2 2 8 8" xfId="7742" xr:uid="{BB550927-FE10-4D75-B5E3-C6EEE47074E2}"/>
    <cellStyle name="Comma 2 2 2 8 8 2" xfId="44250" xr:uid="{417E4B8F-352D-47BE-B561-D1A4C9343BC7}"/>
    <cellStyle name="Comma 2 2 2 8 8 3" xfId="25996" xr:uid="{D85B37A1-0E0C-46B0-95C6-EB8042CD40C3}"/>
    <cellStyle name="Comma 2 2 2 8 9" xfId="4092" xr:uid="{8DE4143C-AA27-4DB9-82BA-8AFAE955EBA1}"/>
    <cellStyle name="Comma 2 2 2 8 9 2" xfId="40600" xr:uid="{A01A3487-BCF9-440B-BD3A-23BBA7147EC7}"/>
    <cellStyle name="Comma 2 2 2 8 9 3" xfId="22346" xr:uid="{028A31BD-5C35-49D6-B529-93E1EFFEF3BD}"/>
    <cellStyle name="Comma 2 2 2 9" xfId="338" xr:uid="{3DAF685D-F6A4-4306-B1A4-39A59FD3CF72}"/>
    <cellStyle name="Comma 2 2 2 9 10" xfId="36846" xr:uid="{FA87D2A1-78EA-4669-9DF1-40C1E43B41E5}"/>
    <cellStyle name="Comma 2 2 2 9 11" xfId="18592" xr:uid="{31E50AB2-649A-4C06-81A8-082ADEB45D95}"/>
    <cellStyle name="Comma 2 2 2 9 2" xfId="3258" xr:uid="{4A6F5BA2-403B-4794-BC77-0403F533D946}"/>
    <cellStyle name="Comma 2 2 2 9 2 2" xfId="17858" xr:uid="{2D064A47-6B96-4717-9C46-EC62927F8E2D}"/>
    <cellStyle name="Comma 2 2 2 9 2 2 2" xfId="54366" xr:uid="{A0C79E45-5705-4F87-A2DE-FB2989A1F133}"/>
    <cellStyle name="Comma 2 2 2 9 2 2 3" xfId="36112" xr:uid="{1E020EAC-A5A7-4CA3-A91A-380816FDF2A4}"/>
    <cellStyle name="Comma 2 2 2 9 2 3" xfId="14208" xr:uid="{729E0252-448C-4CFC-8942-3A3DB9650769}"/>
    <cellStyle name="Comma 2 2 2 9 2 3 2" xfId="50716" xr:uid="{3CD90B96-3B71-4848-A08E-FD59E86CFB83}"/>
    <cellStyle name="Comma 2 2 2 9 2 3 3" xfId="32462" xr:uid="{EC26ACCD-315A-4EBE-A1A4-95FDFA824603}"/>
    <cellStyle name="Comma 2 2 2 9 2 4" xfId="10558" xr:uid="{68674CFF-A00B-49CD-89FC-6EAD7D002886}"/>
    <cellStyle name="Comma 2 2 2 9 2 4 2" xfId="47066" xr:uid="{B7BA3FAF-6EE6-4B41-9F07-1E766E8C2211}"/>
    <cellStyle name="Comma 2 2 2 9 2 4 3" xfId="28812" xr:uid="{50A6DCF9-DFB1-4E07-917B-84470C12E214}"/>
    <cellStyle name="Comma 2 2 2 9 2 5" xfId="6908" xr:uid="{C7A5932A-D42F-4566-9D9D-233B68630313}"/>
    <cellStyle name="Comma 2 2 2 9 2 5 2" xfId="43416" xr:uid="{14F208C3-8785-46B2-B75F-CBA1F65DD444}"/>
    <cellStyle name="Comma 2 2 2 9 2 5 3" xfId="25162" xr:uid="{7D88562D-74A4-4346-B65E-18ADB78F012C}"/>
    <cellStyle name="Comma 2 2 2 9 2 6" xfId="39766" xr:uid="{D1ABC551-783B-48C5-8D12-82192D3F73FA}"/>
    <cellStyle name="Comma 2 2 2 9 2 7" xfId="21512" xr:uid="{1D649F99-63C7-4149-8B80-0738A0304A40}"/>
    <cellStyle name="Comma 2 2 2 9 3" xfId="2528" xr:uid="{8B01E502-1425-422A-9D7E-AE1138A76328}"/>
    <cellStyle name="Comma 2 2 2 9 3 2" xfId="17128" xr:uid="{D1C13352-7155-479D-BEE7-C475A9849D9D}"/>
    <cellStyle name="Comma 2 2 2 9 3 2 2" xfId="53636" xr:uid="{093F0D78-269E-4EA4-8EFA-F24C1BA91486}"/>
    <cellStyle name="Comma 2 2 2 9 3 2 3" xfId="35382" xr:uid="{0090B8F9-B41F-4230-92FB-ED989878F866}"/>
    <cellStyle name="Comma 2 2 2 9 3 3" xfId="13478" xr:uid="{6B4EA0C7-E3DB-46D2-B9E1-76B67D785AE5}"/>
    <cellStyle name="Comma 2 2 2 9 3 3 2" xfId="49986" xr:uid="{F01371B4-95C6-449A-BB4D-16C30637C989}"/>
    <cellStyle name="Comma 2 2 2 9 3 3 3" xfId="31732" xr:uid="{1F1899A8-68A7-4934-8B18-4FE7868C3F23}"/>
    <cellStyle name="Comma 2 2 2 9 3 4" xfId="9828" xr:uid="{5EB609DF-B5E9-4CFF-9404-5255E6815554}"/>
    <cellStyle name="Comma 2 2 2 9 3 4 2" xfId="46336" xr:uid="{09B7D3E3-F1DB-40E7-BC97-347BF0E3E158}"/>
    <cellStyle name="Comma 2 2 2 9 3 4 3" xfId="28082" xr:uid="{8AD3A5D3-960E-4769-88D6-16BA5B50B79E}"/>
    <cellStyle name="Comma 2 2 2 9 3 5" xfId="6178" xr:uid="{702DF4F8-8B2E-4778-80F5-E37F277FAD77}"/>
    <cellStyle name="Comma 2 2 2 9 3 5 2" xfId="42686" xr:uid="{0A7C0E20-F0F4-4997-9D67-0B11B3366848}"/>
    <cellStyle name="Comma 2 2 2 9 3 5 3" xfId="24432" xr:uid="{4FC04811-1AE0-4B12-8980-E09F146700E5}"/>
    <cellStyle name="Comma 2 2 2 9 3 6" xfId="39036" xr:uid="{9DA5B1E5-36D1-4473-AE7B-5BB105B94C85}"/>
    <cellStyle name="Comma 2 2 2 9 3 7" xfId="20782" xr:uid="{54972299-7239-4067-9219-AC5CA70ADA26}"/>
    <cellStyle name="Comma 2 2 2 9 4" xfId="1798" xr:uid="{6244EB08-00F9-4DAA-81FA-684CC1D13EDD}"/>
    <cellStyle name="Comma 2 2 2 9 4 2" xfId="16398" xr:uid="{F7205AC7-5BBC-4592-B0DB-4C9ECBBB6F30}"/>
    <cellStyle name="Comma 2 2 2 9 4 2 2" xfId="52906" xr:uid="{C0155B6F-DAD2-4890-A80F-2CADAFD1BBF0}"/>
    <cellStyle name="Comma 2 2 2 9 4 2 3" xfId="34652" xr:uid="{A56FDCFB-AE01-4F7E-B575-772837226C91}"/>
    <cellStyle name="Comma 2 2 2 9 4 3" xfId="12748" xr:uid="{6578E002-F861-4F63-ACA8-60E79047ABB2}"/>
    <cellStyle name="Comma 2 2 2 9 4 3 2" xfId="49256" xr:uid="{B9382FD0-1E73-4638-AF56-79C38B13E1C4}"/>
    <cellStyle name="Comma 2 2 2 9 4 3 3" xfId="31002" xr:uid="{EA568756-38E8-4C64-9A13-9C835DC0D407}"/>
    <cellStyle name="Comma 2 2 2 9 4 4" xfId="9098" xr:uid="{2C78FC91-A3FC-4172-A8FE-8935D96BA042}"/>
    <cellStyle name="Comma 2 2 2 9 4 4 2" xfId="45606" xr:uid="{ABD3E7D8-BAB2-44CF-9330-8843E26FE1ED}"/>
    <cellStyle name="Comma 2 2 2 9 4 4 3" xfId="27352" xr:uid="{BC81DD00-D78B-496A-A7E7-BE29CEE1E45D}"/>
    <cellStyle name="Comma 2 2 2 9 4 5" xfId="5448" xr:uid="{D89F825D-CDCC-4912-AE5F-F4B1500882C8}"/>
    <cellStyle name="Comma 2 2 2 9 4 5 2" xfId="41956" xr:uid="{42C3FC8B-0B9D-41A5-8103-1F3D1AFDE42D}"/>
    <cellStyle name="Comma 2 2 2 9 4 5 3" xfId="23702" xr:uid="{A0D5BC66-AF92-4003-A8B2-0377331FD78D}"/>
    <cellStyle name="Comma 2 2 2 9 4 6" xfId="38306" xr:uid="{E46DEE36-0D95-41EF-A05D-94D992E08DDA}"/>
    <cellStyle name="Comma 2 2 2 9 4 7" xfId="20052" xr:uid="{89B6D0B5-B4FF-4102-B83B-AD8E0AE7CB5D}"/>
    <cellStyle name="Comma 2 2 2 9 5" xfId="1068" xr:uid="{167D02DF-88DD-42A5-B267-4FE5666C1490}"/>
    <cellStyle name="Comma 2 2 2 9 5 2" xfId="15668" xr:uid="{5BF5E63B-1952-4842-8335-DF66310DD57B}"/>
    <cellStyle name="Comma 2 2 2 9 5 2 2" xfId="52176" xr:uid="{9EEA0B19-30CB-4CC5-A04A-45265F83339C}"/>
    <cellStyle name="Comma 2 2 2 9 5 2 3" xfId="33922" xr:uid="{4493BC8D-D4FF-4EE0-B608-4FD48C338077}"/>
    <cellStyle name="Comma 2 2 2 9 5 3" xfId="12018" xr:uid="{77D85BDC-7F34-4D66-8F3F-DC4C7460DFE0}"/>
    <cellStyle name="Comma 2 2 2 9 5 3 2" xfId="48526" xr:uid="{E939F64E-295B-44B3-9A89-B661118CBA1D}"/>
    <cellStyle name="Comma 2 2 2 9 5 3 3" xfId="30272" xr:uid="{C4DB265F-C8D3-4548-964E-E3E50C51CA1F}"/>
    <cellStyle name="Comma 2 2 2 9 5 4" xfId="8368" xr:uid="{60BC583F-A180-4B95-A66C-547CFED9968B}"/>
    <cellStyle name="Comma 2 2 2 9 5 4 2" xfId="44876" xr:uid="{2B02E274-B8C0-4AEA-BEE5-E78F7A4D3B51}"/>
    <cellStyle name="Comma 2 2 2 9 5 4 3" xfId="26622" xr:uid="{F90FC9FF-686F-4EC4-A032-F88778B74A53}"/>
    <cellStyle name="Comma 2 2 2 9 5 5" xfId="4718" xr:uid="{C8E08C62-E619-4CD0-83D8-6C90E56604D5}"/>
    <cellStyle name="Comma 2 2 2 9 5 5 2" xfId="41226" xr:uid="{160532F4-0F7D-4D8D-87EB-D8968FD3255E}"/>
    <cellStyle name="Comma 2 2 2 9 5 5 3" xfId="22972" xr:uid="{2957D21E-8CE3-4C43-8605-591D70284336}"/>
    <cellStyle name="Comma 2 2 2 9 5 6" xfId="37576" xr:uid="{EF9F4038-2057-409B-8C88-8042C964AC7F}"/>
    <cellStyle name="Comma 2 2 2 9 5 7" xfId="19322" xr:uid="{9C625D35-B2BA-4ABC-AA6E-140A84603D40}"/>
    <cellStyle name="Comma 2 2 2 9 6" xfId="14938" xr:uid="{CCFEFF59-23BC-4246-B449-9D9F0B10D486}"/>
    <cellStyle name="Comma 2 2 2 9 6 2" xfId="51446" xr:uid="{D6356AD3-3B0A-4A90-ADF9-A60833F58FD3}"/>
    <cellStyle name="Comma 2 2 2 9 6 3" xfId="33192" xr:uid="{D4374BEB-7D53-407F-B51D-FDD3C24219B8}"/>
    <cellStyle name="Comma 2 2 2 9 7" xfId="11288" xr:uid="{4E15B53F-5272-4288-8D4A-5D0EFDA1F89B}"/>
    <cellStyle name="Comma 2 2 2 9 7 2" xfId="47796" xr:uid="{F92EA2F2-9A9F-4628-8F8F-7BE167CD2E22}"/>
    <cellStyle name="Comma 2 2 2 9 7 3" xfId="29542" xr:uid="{DD4687FA-7F50-4F2E-AA23-2021CB5BDC04}"/>
    <cellStyle name="Comma 2 2 2 9 8" xfId="7638" xr:uid="{D4A3CC92-082D-4A09-BC4B-180A0D5108F3}"/>
    <cellStyle name="Comma 2 2 2 9 8 2" xfId="44146" xr:uid="{54CF2497-75BC-487C-AF49-43F5CC1CD4F0}"/>
    <cellStyle name="Comma 2 2 2 9 8 3" xfId="25892" xr:uid="{2DC54429-A5FE-4B9C-BD1E-C956760A03EF}"/>
    <cellStyle name="Comma 2 2 2 9 9" xfId="3988" xr:uid="{D374044E-1A43-4CEA-9AA6-E75B4BBD72A0}"/>
    <cellStyle name="Comma 2 2 2 9 9 2" xfId="40496" xr:uid="{FB7A360F-AF97-435E-9F84-C1C8F98B3345}"/>
    <cellStyle name="Comma 2 2 2 9 9 3" xfId="22242" xr:uid="{D57E5C6F-3009-4653-9F19-18C2DD054878}"/>
    <cellStyle name="Comma 2 2 20" xfId="3672" xr:uid="{096828AB-F9AC-4451-8F57-0138248C3024}"/>
    <cellStyle name="Comma 2 2 20 2" xfId="40180" xr:uid="{B05B7955-D03F-4EFC-AC1B-DDED04021588}"/>
    <cellStyle name="Comma 2 2 20 3" xfId="21926" xr:uid="{8761F793-644F-4627-ACCD-200CD256241A}"/>
    <cellStyle name="Comma 2 2 21" xfId="36530" xr:uid="{BC76D485-1B70-4EAC-AA6E-0C75E0F305AB}"/>
    <cellStyle name="Comma 2 2 22" xfId="18276" xr:uid="{589B2D12-2083-4568-B05D-924074C814B5}"/>
    <cellStyle name="Comma 2 2 3" xfId="18" xr:uid="{00000000-0005-0000-0000-000005000000}"/>
    <cellStyle name="Comma 2 2 3 10" xfId="134" xr:uid="{249AF408-89EE-45D2-8D6B-833FD1F64FDB}"/>
    <cellStyle name="Comma 2 2 3 10 10" xfId="36642" xr:uid="{6E23BDAE-F164-41AA-8094-5DF5A58E80FD}"/>
    <cellStyle name="Comma 2 2 3 10 11" xfId="18388" xr:uid="{E69BA249-CADA-495B-BE80-96A7461E3DEA}"/>
    <cellStyle name="Comma 2 2 3 10 2" xfId="3054" xr:uid="{BB6C38F3-70E7-4644-9F7A-CEA8406FB482}"/>
    <cellStyle name="Comma 2 2 3 10 2 2" xfId="17654" xr:uid="{B18B7319-67BE-40B1-9ADB-F94A8A15354A}"/>
    <cellStyle name="Comma 2 2 3 10 2 2 2" xfId="54162" xr:uid="{169FC3CF-9BB6-43AF-B0AF-2D0F29FDAB70}"/>
    <cellStyle name="Comma 2 2 3 10 2 2 3" xfId="35908" xr:uid="{50CC5F7E-956A-43B8-8BC1-9DCC10946D3F}"/>
    <cellStyle name="Comma 2 2 3 10 2 3" xfId="14004" xr:uid="{2F3224B1-68B8-45D7-A7F7-9395B59D2DD6}"/>
    <cellStyle name="Comma 2 2 3 10 2 3 2" xfId="50512" xr:uid="{2A52F147-1CF9-47A2-B9EB-8C960D4C18AB}"/>
    <cellStyle name="Comma 2 2 3 10 2 3 3" xfId="32258" xr:uid="{8F84AF3A-37CB-404D-998C-22BE374DCF19}"/>
    <cellStyle name="Comma 2 2 3 10 2 4" xfId="10354" xr:uid="{E0A67DB6-6B0A-43D8-BCF9-445529AF8BBF}"/>
    <cellStyle name="Comma 2 2 3 10 2 4 2" xfId="46862" xr:uid="{B31D0F35-AF7C-4411-AF61-B8CC9709D101}"/>
    <cellStyle name="Comma 2 2 3 10 2 4 3" xfId="28608" xr:uid="{4C5DC919-5C34-43F7-A81A-708EBE012AA3}"/>
    <cellStyle name="Comma 2 2 3 10 2 5" xfId="6704" xr:uid="{6C2756D8-24B3-4CD2-8E7C-8FCFF594C8D2}"/>
    <cellStyle name="Comma 2 2 3 10 2 5 2" xfId="43212" xr:uid="{10462435-0CE2-4985-8855-B753EA3A5255}"/>
    <cellStyle name="Comma 2 2 3 10 2 5 3" xfId="24958" xr:uid="{37F1C7BD-21C9-48BF-ADFB-F9CF2420E339}"/>
    <cellStyle name="Comma 2 2 3 10 2 6" xfId="39562" xr:uid="{8FBF84D2-256F-4E80-AE5A-584EFF3B3496}"/>
    <cellStyle name="Comma 2 2 3 10 2 7" xfId="21308" xr:uid="{0CBCD190-4E1D-4686-9574-DF194DBB15F9}"/>
    <cellStyle name="Comma 2 2 3 10 3" xfId="2324" xr:uid="{33A36378-D894-4338-A562-89D3AA2EC563}"/>
    <cellStyle name="Comma 2 2 3 10 3 2" xfId="16924" xr:uid="{92281122-8608-4AF1-9505-3C2C6C24DCA5}"/>
    <cellStyle name="Comma 2 2 3 10 3 2 2" xfId="53432" xr:uid="{03F520C1-D292-4C0A-9A64-5985004AA789}"/>
    <cellStyle name="Comma 2 2 3 10 3 2 3" xfId="35178" xr:uid="{732E104D-28FE-4CAA-9F49-F09F4C785BC1}"/>
    <cellStyle name="Comma 2 2 3 10 3 3" xfId="13274" xr:uid="{B1BBD011-7383-4222-B1AF-13285B202EAB}"/>
    <cellStyle name="Comma 2 2 3 10 3 3 2" xfId="49782" xr:uid="{8099F954-07AF-4D99-A5B5-8917E8956809}"/>
    <cellStyle name="Comma 2 2 3 10 3 3 3" xfId="31528" xr:uid="{B14B0485-343F-4A2F-8AD1-E2D9ECF21195}"/>
    <cellStyle name="Comma 2 2 3 10 3 4" xfId="9624" xr:uid="{2F91AE08-3D78-448E-A174-C6988DC3CF4E}"/>
    <cellStyle name="Comma 2 2 3 10 3 4 2" xfId="46132" xr:uid="{65C8DF54-BE91-4864-93B3-862FBB8D074D}"/>
    <cellStyle name="Comma 2 2 3 10 3 4 3" xfId="27878" xr:uid="{4D1418FB-3125-41D1-AFE1-5FB0FEF8EDD5}"/>
    <cellStyle name="Comma 2 2 3 10 3 5" xfId="5974" xr:uid="{0F5B2ED0-6650-4CD8-B7EB-2C5E13F3815C}"/>
    <cellStyle name="Comma 2 2 3 10 3 5 2" xfId="42482" xr:uid="{093C8588-CA99-4F23-8292-42C1B90BA824}"/>
    <cellStyle name="Comma 2 2 3 10 3 5 3" xfId="24228" xr:uid="{68F3DA79-CD3A-40E0-83B8-D4036412BA5B}"/>
    <cellStyle name="Comma 2 2 3 10 3 6" xfId="38832" xr:uid="{FDF700D9-324F-4357-881A-AEFF03BEB399}"/>
    <cellStyle name="Comma 2 2 3 10 3 7" xfId="20578" xr:uid="{F7151522-3597-4420-9FF5-4FC8A4E4641F}"/>
    <cellStyle name="Comma 2 2 3 10 4" xfId="1594" xr:uid="{18B6C3B1-D019-4706-A720-3C2D2BD6910D}"/>
    <cellStyle name="Comma 2 2 3 10 4 2" xfId="16194" xr:uid="{ABCD9300-1F40-46C9-A1C2-252D50334CB4}"/>
    <cellStyle name="Comma 2 2 3 10 4 2 2" xfId="52702" xr:uid="{A753B85C-D585-40EC-B242-C4EB3F6B5B39}"/>
    <cellStyle name="Comma 2 2 3 10 4 2 3" xfId="34448" xr:uid="{B1884070-FF84-4F91-ACFE-711669280556}"/>
    <cellStyle name="Comma 2 2 3 10 4 3" xfId="12544" xr:uid="{B1575E6C-F0D3-43C4-A198-689BBC9867D2}"/>
    <cellStyle name="Comma 2 2 3 10 4 3 2" xfId="49052" xr:uid="{969FE5D1-EAE3-4656-9C4D-AB3509993BE9}"/>
    <cellStyle name="Comma 2 2 3 10 4 3 3" xfId="30798" xr:uid="{659E9172-FC0D-4C02-9086-E16E7521FDAD}"/>
    <cellStyle name="Comma 2 2 3 10 4 4" xfId="8894" xr:uid="{5465E672-7CAA-4523-BE3C-7648632DFEF9}"/>
    <cellStyle name="Comma 2 2 3 10 4 4 2" xfId="45402" xr:uid="{2651C1D9-6A7F-4903-B959-0AD2F82D4EFD}"/>
    <cellStyle name="Comma 2 2 3 10 4 4 3" xfId="27148" xr:uid="{0971EFF9-7208-4702-9565-DADFB4F8FD8D}"/>
    <cellStyle name="Comma 2 2 3 10 4 5" xfId="5244" xr:uid="{942C6A65-4CC8-42A3-BCF1-5F1DD6326451}"/>
    <cellStyle name="Comma 2 2 3 10 4 5 2" xfId="41752" xr:uid="{3288E3C1-3054-4A31-88E2-BA4BF2849FB0}"/>
    <cellStyle name="Comma 2 2 3 10 4 5 3" xfId="23498" xr:uid="{7B1A6B81-0E25-4A56-A315-C038A6D87EA0}"/>
    <cellStyle name="Comma 2 2 3 10 4 6" xfId="38102" xr:uid="{51ABCA82-1B4D-4B6E-A28A-DBF4E6185992}"/>
    <cellStyle name="Comma 2 2 3 10 4 7" xfId="19848" xr:uid="{0F342B98-97CF-4180-8BA9-94ACF3ACC4E2}"/>
    <cellStyle name="Comma 2 2 3 10 5" xfId="864" xr:uid="{BF6128FC-9A14-4C40-9B8F-A2DB93FE1368}"/>
    <cellStyle name="Comma 2 2 3 10 5 2" xfId="15464" xr:uid="{19106CBD-84EE-46F6-899E-15E26CA12876}"/>
    <cellStyle name="Comma 2 2 3 10 5 2 2" xfId="51972" xr:uid="{80BC5D3E-BEDB-4B38-ABC4-90AD5637B9FC}"/>
    <cellStyle name="Comma 2 2 3 10 5 2 3" xfId="33718" xr:uid="{5701A193-0821-4BDD-B01F-FCCBC56F7FD1}"/>
    <cellStyle name="Comma 2 2 3 10 5 3" xfId="11814" xr:uid="{15B35BB1-5B9F-4A78-8527-C70065CA3466}"/>
    <cellStyle name="Comma 2 2 3 10 5 3 2" xfId="48322" xr:uid="{4751880F-91E2-4FB6-A368-6D1A9F495F1D}"/>
    <cellStyle name="Comma 2 2 3 10 5 3 3" xfId="30068" xr:uid="{906DECCC-0CC9-40CE-861F-383C5FAB2D82}"/>
    <cellStyle name="Comma 2 2 3 10 5 4" xfId="8164" xr:uid="{2EC740EF-1720-4763-9739-17D41BF70CBD}"/>
    <cellStyle name="Comma 2 2 3 10 5 4 2" xfId="44672" xr:uid="{BDFE4732-90A2-4CA0-B9A5-78C0C34C75F2}"/>
    <cellStyle name="Comma 2 2 3 10 5 4 3" xfId="26418" xr:uid="{F06BE5BD-17DA-41D5-BC11-782175C3CBB4}"/>
    <cellStyle name="Comma 2 2 3 10 5 5" xfId="4514" xr:uid="{F220755B-52AD-4034-81D0-1E8F81C96506}"/>
    <cellStyle name="Comma 2 2 3 10 5 5 2" xfId="41022" xr:uid="{C9CD3348-C9E7-43D3-88C5-0DE6C9147037}"/>
    <cellStyle name="Comma 2 2 3 10 5 5 3" xfId="22768" xr:uid="{7D5DCC11-9EC9-4A77-840D-09476D46EDB1}"/>
    <cellStyle name="Comma 2 2 3 10 5 6" xfId="37372" xr:uid="{10DB9FC0-FD05-4A6A-95D1-3A56EA85E77B}"/>
    <cellStyle name="Comma 2 2 3 10 5 7" xfId="19118" xr:uid="{BB89D1E6-DCE1-4335-9CCA-7F8419B5F946}"/>
    <cellStyle name="Comma 2 2 3 10 6" xfId="14734" xr:uid="{1AD77539-B0F2-498D-B694-CE28A69F0DBC}"/>
    <cellStyle name="Comma 2 2 3 10 6 2" xfId="51242" xr:uid="{2B9263FD-D800-45B2-AD44-0AAA16FED3F8}"/>
    <cellStyle name="Comma 2 2 3 10 6 3" xfId="32988" xr:uid="{16B2B989-BA9A-4D99-8000-BAF4555A9A6B}"/>
    <cellStyle name="Comma 2 2 3 10 7" xfId="11084" xr:uid="{735FD636-FCCB-4366-A1AF-431E07876D0A}"/>
    <cellStyle name="Comma 2 2 3 10 7 2" xfId="47592" xr:uid="{71476DC8-AFC4-45B2-885B-E4C59E67EF6E}"/>
    <cellStyle name="Comma 2 2 3 10 7 3" xfId="29338" xr:uid="{BCD96A63-B92D-48FF-B54B-CC2D933B8BAA}"/>
    <cellStyle name="Comma 2 2 3 10 8" xfId="7434" xr:uid="{79701567-157F-4C44-927B-88CDCF1C1CBF}"/>
    <cellStyle name="Comma 2 2 3 10 8 2" xfId="43942" xr:uid="{903DAB11-C650-441D-8046-2F19C43E400C}"/>
    <cellStyle name="Comma 2 2 3 10 8 3" xfId="25688" xr:uid="{52A7BF45-9D72-4EDD-A6BA-8C000A6525B5}"/>
    <cellStyle name="Comma 2 2 3 10 9" xfId="3784" xr:uid="{D8A68018-73FC-479D-B32C-7777DCA1B9AC}"/>
    <cellStyle name="Comma 2 2 3 10 9 2" xfId="40292" xr:uid="{FAFC56B3-7D33-4FC1-B2FE-692A93E33458}"/>
    <cellStyle name="Comma 2 2 3 10 9 3" xfId="22038" xr:uid="{92AF2287-4743-49F5-A6FD-3D9622127E80}"/>
    <cellStyle name="Comma 2 2 3 11" xfId="2950" xr:uid="{EAB24E89-48CE-40D9-B5E1-4F9E763D283A}"/>
    <cellStyle name="Comma 2 2 3 11 2" xfId="17550" xr:uid="{87715488-31DD-4BE4-AC49-C7A6AEE09921}"/>
    <cellStyle name="Comma 2 2 3 11 2 2" xfId="54058" xr:uid="{CF263E7A-DB80-4662-A3F1-F048BBFE41EE}"/>
    <cellStyle name="Comma 2 2 3 11 2 3" xfId="35804" xr:uid="{88903141-A006-47EA-9AF0-AD56D1965BE0}"/>
    <cellStyle name="Comma 2 2 3 11 3" xfId="13900" xr:uid="{3E37321C-6C12-4586-990B-9D18AA62A80F}"/>
    <cellStyle name="Comma 2 2 3 11 3 2" xfId="50408" xr:uid="{11F59FC8-61AF-4D5E-8AEA-831E7D553D43}"/>
    <cellStyle name="Comma 2 2 3 11 3 3" xfId="32154" xr:uid="{04CBEDDC-2256-4D1E-B62E-E9FBB5B9CA2B}"/>
    <cellStyle name="Comma 2 2 3 11 4" xfId="10250" xr:uid="{3614D849-FABE-4D2C-BC5E-C9D26B0CFDDD}"/>
    <cellStyle name="Comma 2 2 3 11 4 2" xfId="46758" xr:uid="{2F484BB1-9CAB-49F2-B4D0-005DE13EA544}"/>
    <cellStyle name="Comma 2 2 3 11 4 3" xfId="28504" xr:uid="{8DCB6C0A-F5B9-4DAB-BD26-D256FA3B8619}"/>
    <cellStyle name="Comma 2 2 3 11 5" xfId="6600" xr:uid="{B0DB2E22-232B-432C-BD79-6C329789AADA}"/>
    <cellStyle name="Comma 2 2 3 11 5 2" xfId="43108" xr:uid="{8ECB4B47-0C69-4A2A-9D4A-BDBB511A6175}"/>
    <cellStyle name="Comma 2 2 3 11 5 3" xfId="24854" xr:uid="{950A0596-5251-46B1-BB0C-DB39F9EE898C}"/>
    <cellStyle name="Comma 2 2 3 11 6" xfId="39458" xr:uid="{4E50656D-84AD-4364-97BA-5A6C686EB3C1}"/>
    <cellStyle name="Comma 2 2 3 11 7" xfId="21204" xr:uid="{7093C77A-2F52-42F9-A3B1-9F14CF7D1790}"/>
    <cellStyle name="Comma 2 2 3 12" xfId="2220" xr:uid="{307CB4D3-8C50-4664-8FEC-E3DF75CB9240}"/>
    <cellStyle name="Comma 2 2 3 12 2" xfId="16820" xr:uid="{187ADC30-94BA-4B8C-94DE-CC5A307E0464}"/>
    <cellStyle name="Comma 2 2 3 12 2 2" xfId="53328" xr:uid="{B8016326-049E-4D1E-AD73-289D3EE7AFD5}"/>
    <cellStyle name="Comma 2 2 3 12 2 3" xfId="35074" xr:uid="{5357E460-26CB-4A0B-860D-23F4E695433C}"/>
    <cellStyle name="Comma 2 2 3 12 3" xfId="13170" xr:uid="{50434853-C0FA-473E-80CD-DE816DE17489}"/>
    <cellStyle name="Comma 2 2 3 12 3 2" xfId="49678" xr:uid="{CCF5D55A-AAAB-4024-88EB-FA15C6EC234E}"/>
    <cellStyle name="Comma 2 2 3 12 3 3" xfId="31424" xr:uid="{90CD1480-8F91-4EBB-823A-3B69BF568945}"/>
    <cellStyle name="Comma 2 2 3 12 4" xfId="9520" xr:uid="{C58D2A5F-4751-4941-8A50-7BC2B545D647}"/>
    <cellStyle name="Comma 2 2 3 12 4 2" xfId="46028" xr:uid="{2FE5DE0A-6F89-4A83-9DF0-C375FE32A63A}"/>
    <cellStyle name="Comma 2 2 3 12 4 3" xfId="27774" xr:uid="{7567DCF1-A6F8-4FAB-B7B1-A2108E19F9A6}"/>
    <cellStyle name="Comma 2 2 3 12 5" xfId="5870" xr:uid="{98AFE33A-3C03-47EF-AF6E-EB5FE09C7A7F}"/>
    <cellStyle name="Comma 2 2 3 12 5 2" xfId="42378" xr:uid="{AAF909BC-C79C-44C7-921B-2757DB1D185D}"/>
    <cellStyle name="Comma 2 2 3 12 5 3" xfId="24124" xr:uid="{B51BDF9E-CBB1-4E90-B520-C32E5D1FD249}"/>
    <cellStyle name="Comma 2 2 3 12 6" xfId="38728" xr:uid="{4A9D6F47-E542-4963-A296-FB022918473E}"/>
    <cellStyle name="Comma 2 2 3 12 7" xfId="20474" xr:uid="{E205322A-8433-4A40-B7F1-203D0648545D}"/>
    <cellStyle name="Comma 2 2 3 13" xfId="1490" xr:uid="{A42965C1-F4F6-4D26-B31E-D3427D13814A}"/>
    <cellStyle name="Comma 2 2 3 13 2" xfId="16090" xr:uid="{C0237855-12CF-41BE-8164-B690B65A8EC0}"/>
    <cellStyle name="Comma 2 2 3 13 2 2" xfId="52598" xr:uid="{B1ED7D92-E490-4015-A805-1448A383D52A}"/>
    <cellStyle name="Comma 2 2 3 13 2 3" xfId="34344" xr:uid="{72B65AC7-5C23-4C5E-B0ED-6BCAB9AD958E}"/>
    <cellStyle name="Comma 2 2 3 13 3" xfId="12440" xr:uid="{E464DD44-9785-4853-874A-6AFD44028BB0}"/>
    <cellStyle name="Comma 2 2 3 13 3 2" xfId="48948" xr:uid="{4401A3D4-9734-4E89-8449-B21550A710B0}"/>
    <cellStyle name="Comma 2 2 3 13 3 3" xfId="30694" xr:uid="{70EA56E3-C030-41DE-91A9-C68C0D9030BD}"/>
    <cellStyle name="Comma 2 2 3 13 4" xfId="8790" xr:uid="{41786C2D-DF28-4485-8E56-9E3892707863}"/>
    <cellStyle name="Comma 2 2 3 13 4 2" xfId="45298" xr:uid="{14FF3440-032B-452C-94D9-6B9D7CF77FA4}"/>
    <cellStyle name="Comma 2 2 3 13 4 3" xfId="27044" xr:uid="{5B9E1666-B288-4616-A6B3-F10DB5D99909}"/>
    <cellStyle name="Comma 2 2 3 13 5" xfId="5140" xr:uid="{BDB76D2F-C6B1-42C7-97F9-C944E198A363}"/>
    <cellStyle name="Comma 2 2 3 13 5 2" xfId="41648" xr:uid="{B602CEF1-BCD6-4DF1-9769-357392D1FFD0}"/>
    <cellStyle name="Comma 2 2 3 13 5 3" xfId="23394" xr:uid="{3276B0CB-C0A4-46F5-974E-AC7611470CF4}"/>
    <cellStyle name="Comma 2 2 3 13 6" xfId="37998" xr:uid="{A7381795-27F6-45C8-B508-7FF8637483AD}"/>
    <cellStyle name="Comma 2 2 3 13 7" xfId="19744" xr:uid="{FE966AC3-D283-49A1-8680-09D1D59B83F5}"/>
    <cellStyle name="Comma 2 2 3 14" xfId="760" xr:uid="{1D4118D5-A986-4097-8892-5245F4E790CC}"/>
    <cellStyle name="Comma 2 2 3 14 2" xfId="15360" xr:uid="{8737A9A1-4D44-4FB8-9338-075E7E7CA6B2}"/>
    <cellStyle name="Comma 2 2 3 14 2 2" xfId="51868" xr:uid="{415814C7-66B6-4A1A-A4FE-8D3AE2A82E53}"/>
    <cellStyle name="Comma 2 2 3 14 2 3" xfId="33614" xr:uid="{A8E2B93D-EA12-4DAB-8C5C-5162E2A00428}"/>
    <cellStyle name="Comma 2 2 3 14 3" xfId="11710" xr:uid="{E9C17A77-A25C-42DB-96CD-76C9AF698896}"/>
    <cellStyle name="Comma 2 2 3 14 3 2" xfId="48218" xr:uid="{017740C8-A24E-415A-B2FE-C826A56F01A2}"/>
    <cellStyle name="Comma 2 2 3 14 3 3" xfId="29964" xr:uid="{72F9A8B4-EECE-43F5-9DAE-881F44CB2C29}"/>
    <cellStyle name="Comma 2 2 3 14 4" xfId="8060" xr:uid="{203A424A-484F-415B-A435-B7C8DA071787}"/>
    <cellStyle name="Comma 2 2 3 14 4 2" xfId="44568" xr:uid="{815FDC8A-9B0A-4197-87BF-6EE1366009E2}"/>
    <cellStyle name="Comma 2 2 3 14 4 3" xfId="26314" xr:uid="{0EBA1715-4ABC-4D3B-9D9E-0CAD3E19AD67}"/>
    <cellStyle name="Comma 2 2 3 14 5" xfId="4410" xr:uid="{8513B3D1-5EFB-453A-A745-28E341407241}"/>
    <cellStyle name="Comma 2 2 3 14 5 2" xfId="40918" xr:uid="{FFF8C34A-C0AF-459A-A374-811BE6795D3A}"/>
    <cellStyle name="Comma 2 2 3 14 5 3" xfId="22664" xr:uid="{E55EF734-003B-475B-90AF-B3DB5D18C593}"/>
    <cellStyle name="Comma 2 2 3 14 6" xfId="37268" xr:uid="{55FA3A88-E354-417F-8596-C1F38553CC85}"/>
    <cellStyle name="Comma 2 2 3 14 7" xfId="19014" xr:uid="{2A360419-8208-4134-BAF4-73F9235F215E}"/>
    <cellStyle name="Comma 2 2 3 15" xfId="14630" xr:uid="{99B35263-B5BE-43FA-911A-5218234142CF}"/>
    <cellStyle name="Comma 2 2 3 15 2" xfId="51138" xr:uid="{38815D97-A77E-41D8-B63C-370F81CBE8E5}"/>
    <cellStyle name="Comma 2 2 3 15 3" xfId="32884" xr:uid="{F65C66C6-47A4-4536-BED9-B01F59E910C5}"/>
    <cellStyle name="Comma 2 2 3 16" xfId="10980" xr:uid="{715DD01D-DB82-45FC-953B-6064915C4A5B}"/>
    <cellStyle name="Comma 2 2 3 16 2" xfId="47488" xr:uid="{1BBEB8BA-A3FA-4466-9CA3-35A7D8A5A15F}"/>
    <cellStyle name="Comma 2 2 3 16 3" xfId="29234" xr:uid="{7EEB279E-84F1-4C1C-8EA8-6E266B105867}"/>
    <cellStyle name="Comma 2 2 3 17" xfId="7330" xr:uid="{2FBB5469-E366-4798-8582-11E6B64D0FBB}"/>
    <cellStyle name="Comma 2 2 3 17 2" xfId="43838" xr:uid="{07C75377-3660-4989-9A5A-C8C433C52AB5}"/>
    <cellStyle name="Comma 2 2 3 17 3" xfId="25584" xr:uid="{BB768244-723A-480A-A063-BCB83C33D034}"/>
    <cellStyle name="Comma 2 2 3 18" xfId="3680" xr:uid="{C84F68D9-F6AA-4BE4-9D6A-E53D0EB00920}"/>
    <cellStyle name="Comma 2 2 3 18 2" xfId="40188" xr:uid="{727AB23D-D0A1-4479-AA0E-EEF69C1B1ECD}"/>
    <cellStyle name="Comma 2 2 3 18 3" xfId="21934" xr:uid="{4CA68CF2-6ABD-4A0B-86B1-19D64917793D}"/>
    <cellStyle name="Comma 2 2 3 19" xfId="36538" xr:uid="{035BE160-6976-4488-AEF6-73621B7237B7}"/>
    <cellStyle name="Comma 2 2 3 2" xfId="37" xr:uid="{C483D3B5-A8DE-4F44-8800-99566864E31B}"/>
    <cellStyle name="Comma 2 2 3 2 10" xfId="2966" xr:uid="{E5A8302C-25DA-4997-94A7-A17898B5AFFF}"/>
    <cellStyle name="Comma 2 2 3 2 10 2" xfId="17566" xr:uid="{4DF10A30-DE0F-4F43-AC53-B1CEE12AAE7A}"/>
    <cellStyle name="Comma 2 2 3 2 10 2 2" xfId="54074" xr:uid="{163BB1F3-4EA8-4ADE-870A-286D0FE9E6DC}"/>
    <cellStyle name="Comma 2 2 3 2 10 2 3" xfId="35820" xr:uid="{C5C83E83-8395-4406-AE7A-5BF8BE18E01D}"/>
    <cellStyle name="Comma 2 2 3 2 10 3" xfId="13916" xr:uid="{01F1761B-C724-400A-847E-097F5FA35726}"/>
    <cellStyle name="Comma 2 2 3 2 10 3 2" xfId="50424" xr:uid="{E7F10E0E-AEDB-4632-8924-65FA3D5EA7EB}"/>
    <cellStyle name="Comma 2 2 3 2 10 3 3" xfId="32170" xr:uid="{F1B0C900-6770-41F9-B9E7-ABD78321ADE7}"/>
    <cellStyle name="Comma 2 2 3 2 10 4" xfId="10266" xr:uid="{F10BBCAD-33F2-4097-A341-B040901719A0}"/>
    <cellStyle name="Comma 2 2 3 2 10 4 2" xfId="46774" xr:uid="{02A119DB-8532-4414-A730-C3AAB76681EC}"/>
    <cellStyle name="Comma 2 2 3 2 10 4 3" xfId="28520" xr:uid="{7DA979C1-D98C-4D16-A6F4-9213FF0B9B93}"/>
    <cellStyle name="Comma 2 2 3 2 10 5" xfId="6616" xr:uid="{F4FC2431-126F-4534-8EFB-ABD5BCA56952}"/>
    <cellStyle name="Comma 2 2 3 2 10 5 2" xfId="43124" xr:uid="{F9F79031-3715-4FAB-9C3C-B965C8D59666}"/>
    <cellStyle name="Comma 2 2 3 2 10 5 3" xfId="24870" xr:uid="{63CB0252-75CA-4E17-B5AF-C57F269293C8}"/>
    <cellStyle name="Comma 2 2 3 2 10 6" xfId="39474" xr:uid="{65482030-574D-4FF2-9C55-0AE39FEC4A2C}"/>
    <cellStyle name="Comma 2 2 3 2 10 7" xfId="21220" xr:uid="{D618FB32-0B56-484C-B5C5-E41CD55FFA16}"/>
    <cellStyle name="Comma 2 2 3 2 11" xfId="2236" xr:uid="{BBE96101-5DA9-41EA-83A1-C0C99477E1AD}"/>
    <cellStyle name="Comma 2 2 3 2 11 2" xfId="16836" xr:uid="{5EDF46D3-F08C-4199-9E3C-9B2BA46B1BCD}"/>
    <cellStyle name="Comma 2 2 3 2 11 2 2" xfId="53344" xr:uid="{A905D731-5392-4C03-AF21-FD94C89B4696}"/>
    <cellStyle name="Comma 2 2 3 2 11 2 3" xfId="35090" xr:uid="{A33244D9-12A2-488F-B4E3-4B005C3ABDDE}"/>
    <cellStyle name="Comma 2 2 3 2 11 3" xfId="13186" xr:uid="{6812BD2A-F2F5-4D2A-B547-A8EBE0C38CB6}"/>
    <cellStyle name="Comma 2 2 3 2 11 3 2" xfId="49694" xr:uid="{C67A92D2-033D-44C6-B301-508B0B3313E8}"/>
    <cellStyle name="Comma 2 2 3 2 11 3 3" xfId="31440" xr:uid="{426F63B5-5157-4C6A-86FC-3587678FFB9E}"/>
    <cellStyle name="Comma 2 2 3 2 11 4" xfId="9536" xr:uid="{F61F1496-BA93-4086-ADF0-E93E17651C2B}"/>
    <cellStyle name="Comma 2 2 3 2 11 4 2" xfId="46044" xr:uid="{CD6322AC-D07A-4185-8F0F-13B30688811C}"/>
    <cellStyle name="Comma 2 2 3 2 11 4 3" xfId="27790" xr:uid="{18699169-B36D-4FF1-94DA-89DA89FB6D19}"/>
    <cellStyle name="Comma 2 2 3 2 11 5" xfId="5886" xr:uid="{27C67C2A-B211-463E-B36F-7DB3613DBBFE}"/>
    <cellStyle name="Comma 2 2 3 2 11 5 2" xfId="42394" xr:uid="{42EEE8FC-7E83-424C-B82C-878A7A467175}"/>
    <cellStyle name="Comma 2 2 3 2 11 5 3" xfId="24140" xr:uid="{1008549E-B920-4F20-A0AD-FA7475A132AE}"/>
    <cellStyle name="Comma 2 2 3 2 11 6" xfId="38744" xr:uid="{2BE78D3C-49B3-41D3-9695-F1E3DB5D3D2D}"/>
    <cellStyle name="Comma 2 2 3 2 11 7" xfId="20490" xr:uid="{AC5836CA-4A2B-4B16-91CB-E2BB6DE4C0D3}"/>
    <cellStyle name="Comma 2 2 3 2 12" xfId="1506" xr:uid="{C46CBF59-7E43-42FA-8721-194ECFFDA49C}"/>
    <cellStyle name="Comma 2 2 3 2 12 2" xfId="16106" xr:uid="{8208AE7F-D768-440F-BFD9-5938CE337473}"/>
    <cellStyle name="Comma 2 2 3 2 12 2 2" xfId="52614" xr:uid="{C670B539-F1F8-472D-A4CD-C512FAB79901}"/>
    <cellStyle name="Comma 2 2 3 2 12 2 3" xfId="34360" xr:uid="{EDCC6C09-10C5-4AE2-8195-A6E9502546B2}"/>
    <cellStyle name="Comma 2 2 3 2 12 3" xfId="12456" xr:uid="{B29098F9-4595-4279-BA31-EEA89D31A5E8}"/>
    <cellStyle name="Comma 2 2 3 2 12 3 2" xfId="48964" xr:uid="{F0EAB809-0258-4652-B6B3-63FC224D7147}"/>
    <cellStyle name="Comma 2 2 3 2 12 3 3" xfId="30710" xr:uid="{4F662C72-3FE1-40CE-AE67-0717D53C6B4C}"/>
    <cellStyle name="Comma 2 2 3 2 12 4" xfId="8806" xr:uid="{92D28D83-00C9-4673-8950-4FE98CB18127}"/>
    <cellStyle name="Comma 2 2 3 2 12 4 2" xfId="45314" xr:uid="{9FD22CD9-8EEF-433D-A2DE-3B3C7480C560}"/>
    <cellStyle name="Comma 2 2 3 2 12 4 3" xfId="27060" xr:uid="{C3AB144D-738F-46E6-91AD-F901E21DE299}"/>
    <cellStyle name="Comma 2 2 3 2 12 5" xfId="5156" xr:uid="{05010A25-F778-459B-8F2C-BF130E7CB0F2}"/>
    <cellStyle name="Comma 2 2 3 2 12 5 2" xfId="41664" xr:uid="{B73D3151-6CD8-4787-87C3-D7D01D653558}"/>
    <cellStyle name="Comma 2 2 3 2 12 5 3" xfId="23410" xr:uid="{77C08A3B-F02D-47B2-B93B-7B01018BD274}"/>
    <cellStyle name="Comma 2 2 3 2 12 6" xfId="38014" xr:uid="{0C47CE3F-452A-425B-A898-AF0BE295694B}"/>
    <cellStyle name="Comma 2 2 3 2 12 7" xfId="19760" xr:uid="{93D50340-F3BB-4EE4-B4C9-65A1F5D4D3C5}"/>
    <cellStyle name="Comma 2 2 3 2 13" xfId="776" xr:uid="{96DA247E-084C-44DA-A33B-2C9F73B833C9}"/>
    <cellStyle name="Comma 2 2 3 2 13 2" xfId="15376" xr:uid="{66965070-9B8B-4D66-901C-B469E53C77C9}"/>
    <cellStyle name="Comma 2 2 3 2 13 2 2" xfId="51884" xr:uid="{6AA45CB8-5F3A-42CB-AD4D-34E297D36E46}"/>
    <cellStyle name="Comma 2 2 3 2 13 2 3" xfId="33630" xr:uid="{0A002B73-99A6-4B45-88F1-907BD84FBECD}"/>
    <cellStyle name="Comma 2 2 3 2 13 3" xfId="11726" xr:uid="{7E4C9A05-1C30-4435-891A-B3F147574537}"/>
    <cellStyle name="Comma 2 2 3 2 13 3 2" xfId="48234" xr:uid="{B7F01CA2-F99D-493C-828F-8404AC30A101}"/>
    <cellStyle name="Comma 2 2 3 2 13 3 3" xfId="29980" xr:uid="{07F015A9-915E-4398-955E-F7CEB249775A}"/>
    <cellStyle name="Comma 2 2 3 2 13 4" xfId="8076" xr:uid="{00900085-AB46-4F9F-A6F8-5F0CCF9A5595}"/>
    <cellStyle name="Comma 2 2 3 2 13 4 2" xfId="44584" xr:uid="{569FE686-3C02-40AD-8206-710D30306970}"/>
    <cellStyle name="Comma 2 2 3 2 13 4 3" xfId="26330" xr:uid="{E531A7D4-5F9E-435C-BDB3-E601968EB5CA}"/>
    <cellStyle name="Comma 2 2 3 2 13 5" xfId="4426" xr:uid="{B6E97612-6F7D-411B-9F77-57E977630887}"/>
    <cellStyle name="Comma 2 2 3 2 13 5 2" xfId="40934" xr:uid="{4F4115FA-A7C8-4728-AFC2-6ACB61737291}"/>
    <cellStyle name="Comma 2 2 3 2 13 5 3" xfId="22680" xr:uid="{058D8BA7-2001-4FCD-B4E7-0B73E2BDAB8D}"/>
    <cellStyle name="Comma 2 2 3 2 13 6" xfId="37284" xr:uid="{A41FA337-910E-433B-847C-783AE50EE931}"/>
    <cellStyle name="Comma 2 2 3 2 13 7" xfId="19030" xr:uid="{D911337E-2646-4A54-828A-BD7490548F58}"/>
    <cellStyle name="Comma 2 2 3 2 14" xfId="14646" xr:uid="{6FC63409-2D1E-4985-AF91-FCB8152CA393}"/>
    <cellStyle name="Comma 2 2 3 2 14 2" xfId="51154" xr:uid="{9DBDA3C2-EEFF-4F97-9B01-4AF2702233F2}"/>
    <cellStyle name="Comma 2 2 3 2 14 3" xfId="32900" xr:uid="{4996A615-9D21-4804-88E3-9F266AA0ED45}"/>
    <cellStyle name="Comma 2 2 3 2 15" xfId="10996" xr:uid="{FF7E9361-A689-41D7-B84C-CB201575D55D}"/>
    <cellStyle name="Comma 2 2 3 2 15 2" xfId="47504" xr:uid="{E0050C36-5F31-4B24-B773-A1BF23F754A2}"/>
    <cellStyle name="Comma 2 2 3 2 15 3" xfId="29250" xr:uid="{09DB0087-ECCD-4340-8987-0FAB27A80F35}"/>
    <cellStyle name="Comma 2 2 3 2 16" xfId="7346" xr:uid="{675EBCA7-AF13-4137-A22B-8DA55C810E15}"/>
    <cellStyle name="Comma 2 2 3 2 16 2" xfId="43854" xr:uid="{667FEB1C-6A38-420B-8790-4271EF387C64}"/>
    <cellStyle name="Comma 2 2 3 2 16 3" xfId="25600" xr:uid="{6BE9837A-44D0-4BBC-A37C-70DB83E8E1D0}"/>
    <cellStyle name="Comma 2 2 3 2 17" xfId="3696" xr:uid="{0963EAB6-8341-4728-B03E-BCDE7A3C75F8}"/>
    <cellStyle name="Comma 2 2 3 2 17 2" xfId="40204" xr:uid="{356077B4-9CD6-42FD-B17B-0B0932B67545}"/>
    <cellStyle name="Comma 2 2 3 2 17 3" xfId="21950" xr:uid="{95E3DFBF-9A22-4C66-B3E9-B29878AB5FD8}"/>
    <cellStyle name="Comma 2 2 3 2 18" xfId="36554" xr:uid="{8DB9EEC3-6848-4B74-8D3D-9AF84E1D1100}"/>
    <cellStyle name="Comma 2 2 3 2 19" xfId="18300" xr:uid="{B7F08A18-CDD5-4CD4-8EF3-964D6D16F0C6}"/>
    <cellStyle name="Comma 2 2 3 2 2" xfId="111" xr:uid="{6D1A7DB6-562C-4F67-933B-122F1F34C595}"/>
    <cellStyle name="Comma 2 2 3 2 2 10" xfId="1570" xr:uid="{C203CD46-8A77-4E95-BD2E-B5B6835D8934}"/>
    <cellStyle name="Comma 2 2 3 2 2 10 2" xfId="16170" xr:uid="{8FC25652-964B-4671-A85C-2A0F89503DFE}"/>
    <cellStyle name="Comma 2 2 3 2 2 10 2 2" xfId="52678" xr:uid="{5203E696-8A48-4DFF-80A1-B4DCDB10C3A6}"/>
    <cellStyle name="Comma 2 2 3 2 2 10 2 3" xfId="34424" xr:uid="{8BBC4643-9876-45B0-9B66-B03D0361D883}"/>
    <cellStyle name="Comma 2 2 3 2 2 10 3" xfId="12520" xr:uid="{A1E0AFE4-837D-4410-B936-952AAA30356B}"/>
    <cellStyle name="Comma 2 2 3 2 2 10 3 2" xfId="49028" xr:uid="{C7851AFF-E509-47EA-97AF-BFF5534071B2}"/>
    <cellStyle name="Comma 2 2 3 2 2 10 3 3" xfId="30774" xr:uid="{9E477C35-8935-4380-91C3-3F735EB12F81}"/>
    <cellStyle name="Comma 2 2 3 2 2 10 4" xfId="8870" xr:uid="{E16EBE2B-5040-4A28-ABAC-F5537F6A2C50}"/>
    <cellStyle name="Comma 2 2 3 2 2 10 4 2" xfId="45378" xr:uid="{63A99909-2356-4D17-B3FD-405A544BAD02}"/>
    <cellStyle name="Comma 2 2 3 2 2 10 4 3" xfId="27124" xr:uid="{AE3587A4-09A7-4FE4-98E4-DA7ADB3CC0D1}"/>
    <cellStyle name="Comma 2 2 3 2 2 10 5" xfId="5220" xr:uid="{9496A509-8040-4D79-9149-7099B5A9A2AD}"/>
    <cellStyle name="Comma 2 2 3 2 2 10 5 2" xfId="41728" xr:uid="{CF74A5CA-A41F-4E3C-915F-BAEC0BDFB94F}"/>
    <cellStyle name="Comma 2 2 3 2 2 10 5 3" xfId="23474" xr:uid="{BCC074D9-D184-4009-87F6-504A703A61C0}"/>
    <cellStyle name="Comma 2 2 3 2 2 10 6" xfId="38078" xr:uid="{D5E08100-5C81-4B30-8E22-594A355045DC}"/>
    <cellStyle name="Comma 2 2 3 2 2 10 7" xfId="19824" xr:uid="{3064B169-14DE-410D-AFBA-3A77F595DE44}"/>
    <cellStyle name="Comma 2 2 3 2 2 11" xfId="840" xr:uid="{50DFF92D-11E6-4202-9206-C4EC1390F810}"/>
    <cellStyle name="Comma 2 2 3 2 2 11 2" xfId="15440" xr:uid="{E0582BA7-C688-40AB-8E42-1E049BB37D27}"/>
    <cellStyle name="Comma 2 2 3 2 2 11 2 2" xfId="51948" xr:uid="{9ADB46E2-954A-4CF0-A3BF-62DA0C43CB37}"/>
    <cellStyle name="Comma 2 2 3 2 2 11 2 3" xfId="33694" xr:uid="{9BDCCC7C-3A22-4501-BCA1-17CC5B3988F1}"/>
    <cellStyle name="Comma 2 2 3 2 2 11 3" xfId="11790" xr:uid="{1BA405A4-E8AA-4741-A2D7-BE36334838CD}"/>
    <cellStyle name="Comma 2 2 3 2 2 11 3 2" xfId="48298" xr:uid="{27B2C260-B3BC-41FB-941E-55FB8F1C889E}"/>
    <cellStyle name="Comma 2 2 3 2 2 11 3 3" xfId="30044" xr:uid="{1C46FDB6-344B-48D0-B909-6CB54149BEF3}"/>
    <cellStyle name="Comma 2 2 3 2 2 11 4" xfId="8140" xr:uid="{4C5DBD7D-9F8E-4307-AB93-CDE915AB9823}"/>
    <cellStyle name="Comma 2 2 3 2 2 11 4 2" xfId="44648" xr:uid="{53710C83-F438-44A3-A666-F56740A5296B}"/>
    <cellStyle name="Comma 2 2 3 2 2 11 4 3" xfId="26394" xr:uid="{7112A325-8BFE-40D3-BCF4-EAF775A5436B}"/>
    <cellStyle name="Comma 2 2 3 2 2 11 5" xfId="4490" xr:uid="{57ABEA51-EA5D-45C6-AF2D-1566B82CB54E}"/>
    <cellStyle name="Comma 2 2 3 2 2 11 5 2" xfId="40998" xr:uid="{9B63E71B-2C2E-4EA0-A223-1280490A6A65}"/>
    <cellStyle name="Comma 2 2 3 2 2 11 5 3" xfId="22744" xr:uid="{BF68FDF5-3C24-44E1-B14B-C408284DBE29}"/>
    <cellStyle name="Comma 2 2 3 2 2 11 6" xfId="37348" xr:uid="{CA430EEE-4D9C-4205-8CE6-24FFB98EEDF5}"/>
    <cellStyle name="Comma 2 2 3 2 2 11 7" xfId="19094" xr:uid="{451730AC-B4EE-4878-B0E0-A9F04C3FEC5C}"/>
    <cellStyle name="Comma 2 2 3 2 2 12" xfId="14710" xr:uid="{0020821F-0700-4214-80A0-07811DCA9022}"/>
    <cellStyle name="Comma 2 2 3 2 2 12 2" xfId="51218" xr:uid="{2ADC9ECF-4B8E-4342-AA7D-F90588705668}"/>
    <cellStyle name="Comma 2 2 3 2 2 12 3" xfId="32964" xr:uid="{5E0D380D-D8CE-42BD-AB4D-4FBC0FD28E90}"/>
    <cellStyle name="Comma 2 2 3 2 2 13" xfId="11060" xr:uid="{85A7DC0B-EA45-4038-9E34-9630F2F06393}"/>
    <cellStyle name="Comma 2 2 3 2 2 13 2" xfId="47568" xr:uid="{69AD51AB-071F-465A-B9D3-659ACB7C39CF}"/>
    <cellStyle name="Comma 2 2 3 2 2 13 3" xfId="29314" xr:uid="{703D353D-9E87-4C53-9FD2-14336DEA0060}"/>
    <cellStyle name="Comma 2 2 3 2 2 14" xfId="7410" xr:uid="{ACC30BA9-4A07-4461-9240-1B54A785D72A}"/>
    <cellStyle name="Comma 2 2 3 2 2 14 2" xfId="43918" xr:uid="{6A44CB4D-ECD0-4D97-AE77-C27DDBFD3A32}"/>
    <cellStyle name="Comma 2 2 3 2 2 14 3" xfId="25664" xr:uid="{FA391143-36D6-4A13-B7C1-7E347AFB5557}"/>
    <cellStyle name="Comma 2 2 3 2 2 15" xfId="3760" xr:uid="{6897AA57-BEE3-48B3-8A55-E2A570AC12C1}"/>
    <cellStyle name="Comma 2 2 3 2 2 15 2" xfId="40268" xr:uid="{959168B9-2329-4937-9DA8-D230745573BC}"/>
    <cellStyle name="Comma 2 2 3 2 2 15 3" xfId="22014" xr:uid="{F25893E9-530A-4315-A0F9-F93974A31AA8}"/>
    <cellStyle name="Comma 2 2 3 2 2 16" xfId="36618" xr:uid="{FD493635-0674-44CF-BEFF-CEEC292D0BE7}"/>
    <cellStyle name="Comma 2 2 3 2 2 17" xfId="18364" xr:uid="{0B8989B7-63AE-446E-9773-DDCFF8DBD2D9}"/>
    <cellStyle name="Comma 2 2 3 2 2 2" xfId="734" xr:uid="{91D22391-A9EF-4DE3-8F0A-B1047AE27F42}"/>
    <cellStyle name="Comma 2 2 3 2 2 2 10" xfId="37242" xr:uid="{D265AC8A-35DF-4315-B348-519EF1B210D1}"/>
    <cellStyle name="Comma 2 2 3 2 2 2 11" xfId="18988" xr:uid="{E9B25070-0D1E-422A-A56A-E63D862E7A9C}"/>
    <cellStyle name="Comma 2 2 3 2 2 2 2" xfId="3654" xr:uid="{22C3A555-02B1-4618-A781-6EC648C8BE37}"/>
    <cellStyle name="Comma 2 2 3 2 2 2 2 2" xfId="18254" xr:uid="{F0B07B3C-E844-4315-AA79-3725ECE52A15}"/>
    <cellStyle name="Comma 2 2 3 2 2 2 2 2 2" xfId="54762" xr:uid="{84EB4E6D-B19B-483B-B262-87934BA1C82F}"/>
    <cellStyle name="Comma 2 2 3 2 2 2 2 2 3" xfId="36508" xr:uid="{B389087C-88BE-459B-91F5-202B055F7A84}"/>
    <cellStyle name="Comma 2 2 3 2 2 2 2 3" xfId="14604" xr:uid="{84CE2C68-7EDD-4AF2-9102-D5F4E76FD119}"/>
    <cellStyle name="Comma 2 2 3 2 2 2 2 3 2" xfId="51112" xr:uid="{D4B2F699-BE7A-4A07-90F0-AA7C886BC64F}"/>
    <cellStyle name="Comma 2 2 3 2 2 2 2 3 3" xfId="32858" xr:uid="{7E09DB16-FF05-4E1C-91A8-6F27CB05EE55}"/>
    <cellStyle name="Comma 2 2 3 2 2 2 2 4" xfId="10954" xr:uid="{34DBFF1E-ED88-44A5-AD07-5F5DEB3FDEF6}"/>
    <cellStyle name="Comma 2 2 3 2 2 2 2 4 2" xfId="47462" xr:uid="{D1E4E234-46DD-4579-A700-2F44F22378D1}"/>
    <cellStyle name="Comma 2 2 3 2 2 2 2 4 3" xfId="29208" xr:uid="{7A146FED-BF5C-4625-8A48-19FD87F99A8C}"/>
    <cellStyle name="Comma 2 2 3 2 2 2 2 5" xfId="7304" xr:uid="{66B997FA-DD97-45A4-A189-9241C1D93ABF}"/>
    <cellStyle name="Comma 2 2 3 2 2 2 2 5 2" xfId="43812" xr:uid="{5E612D76-D01D-424C-8463-8FB6CCE10D81}"/>
    <cellStyle name="Comma 2 2 3 2 2 2 2 5 3" xfId="25558" xr:uid="{E61EB5A5-126C-4A68-9C8E-C56EFC5EDD46}"/>
    <cellStyle name="Comma 2 2 3 2 2 2 2 6" xfId="40162" xr:uid="{D302276D-B970-4944-B409-18F9379CC2CF}"/>
    <cellStyle name="Comma 2 2 3 2 2 2 2 7" xfId="21908" xr:uid="{5035AC9F-72DD-4D1C-8666-582EE70E8A1C}"/>
    <cellStyle name="Comma 2 2 3 2 2 2 3" xfId="2924" xr:uid="{9A41736A-1E58-4C8D-9E85-9626202C014D}"/>
    <cellStyle name="Comma 2 2 3 2 2 2 3 2" xfId="17524" xr:uid="{5C40DDD4-EB82-4884-9173-E6B2BAEBD4C4}"/>
    <cellStyle name="Comma 2 2 3 2 2 2 3 2 2" xfId="54032" xr:uid="{18A5ED02-E2F6-4068-BA32-99BFD2293506}"/>
    <cellStyle name="Comma 2 2 3 2 2 2 3 2 3" xfId="35778" xr:uid="{38D7D2A6-45D0-42BB-9F40-D6C42DCE8987}"/>
    <cellStyle name="Comma 2 2 3 2 2 2 3 3" xfId="13874" xr:uid="{9EBABB23-7FC0-47FC-B4EE-2551D728DD2A}"/>
    <cellStyle name="Comma 2 2 3 2 2 2 3 3 2" xfId="50382" xr:uid="{39F31966-55EE-4D3A-A0EB-F96D5D4EB579}"/>
    <cellStyle name="Comma 2 2 3 2 2 2 3 3 3" xfId="32128" xr:uid="{E9CD4A24-B86B-4A2B-9AA7-93B03900078C}"/>
    <cellStyle name="Comma 2 2 3 2 2 2 3 4" xfId="10224" xr:uid="{E94995D1-6339-43B5-A76E-4B2556F0B8D0}"/>
    <cellStyle name="Comma 2 2 3 2 2 2 3 4 2" xfId="46732" xr:uid="{14F61A86-6D7E-48F5-8EB8-8975A2900232}"/>
    <cellStyle name="Comma 2 2 3 2 2 2 3 4 3" xfId="28478" xr:uid="{CF4F4FCE-CA8D-49A0-8BC3-80139727BC9B}"/>
    <cellStyle name="Comma 2 2 3 2 2 2 3 5" xfId="6574" xr:uid="{DCB013B9-38DF-4B88-8953-4B3DF3E81FC0}"/>
    <cellStyle name="Comma 2 2 3 2 2 2 3 5 2" xfId="43082" xr:uid="{3CBD1E5F-1BB3-43A4-9071-3E6CFA462FA3}"/>
    <cellStyle name="Comma 2 2 3 2 2 2 3 5 3" xfId="24828" xr:uid="{32A948D2-88D3-44B8-956B-53C18F8856AD}"/>
    <cellStyle name="Comma 2 2 3 2 2 2 3 6" xfId="39432" xr:uid="{36A2B5F5-99CA-4106-A58D-53CFE24E0E61}"/>
    <cellStyle name="Comma 2 2 3 2 2 2 3 7" xfId="21178" xr:uid="{970F0BD4-FB25-4B50-B14B-CD94F9E16601}"/>
    <cellStyle name="Comma 2 2 3 2 2 2 4" xfId="2194" xr:uid="{854B78AC-E471-4F6E-9BBE-5961D41F55B9}"/>
    <cellStyle name="Comma 2 2 3 2 2 2 4 2" xfId="16794" xr:uid="{372FC8A5-F8C2-4143-BE74-DC00FE7444C8}"/>
    <cellStyle name="Comma 2 2 3 2 2 2 4 2 2" xfId="53302" xr:uid="{6B9BAE88-C09F-4AAF-A5F9-48D95DD84E6D}"/>
    <cellStyle name="Comma 2 2 3 2 2 2 4 2 3" xfId="35048" xr:uid="{251DBBCF-97ED-43E2-A8E2-0F97A5AAD520}"/>
    <cellStyle name="Comma 2 2 3 2 2 2 4 3" xfId="13144" xr:uid="{1D951C9A-874B-4EE3-95D6-982169B65C12}"/>
    <cellStyle name="Comma 2 2 3 2 2 2 4 3 2" xfId="49652" xr:uid="{1CDD68F6-A669-4CB7-BF3B-8F1E9E2F62C2}"/>
    <cellStyle name="Comma 2 2 3 2 2 2 4 3 3" xfId="31398" xr:uid="{C85C5389-4F8E-4B73-B5FE-21FAFAE1CF12}"/>
    <cellStyle name="Comma 2 2 3 2 2 2 4 4" xfId="9494" xr:uid="{91716FE2-3CC6-45AF-A8B0-90C2E2887B6A}"/>
    <cellStyle name="Comma 2 2 3 2 2 2 4 4 2" xfId="46002" xr:uid="{25E73C43-5610-481F-96B9-920A807D369C}"/>
    <cellStyle name="Comma 2 2 3 2 2 2 4 4 3" xfId="27748" xr:uid="{C0D146FB-D63D-45A1-B398-D3A97544F48A}"/>
    <cellStyle name="Comma 2 2 3 2 2 2 4 5" xfId="5844" xr:uid="{C1911C5A-4B98-465B-9008-F223861FF708}"/>
    <cellStyle name="Comma 2 2 3 2 2 2 4 5 2" xfId="42352" xr:uid="{23799CC2-5185-45E4-AB8E-B193AA7BC19F}"/>
    <cellStyle name="Comma 2 2 3 2 2 2 4 5 3" xfId="24098" xr:uid="{FB71F710-A6EC-4F87-BF6D-E491CC124235}"/>
    <cellStyle name="Comma 2 2 3 2 2 2 4 6" xfId="38702" xr:uid="{102AC710-9D84-4443-B9CC-ACE1067F2BD1}"/>
    <cellStyle name="Comma 2 2 3 2 2 2 4 7" xfId="20448" xr:uid="{C6C88877-271A-43BF-8B69-7C53EFC51975}"/>
    <cellStyle name="Comma 2 2 3 2 2 2 5" xfId="1464" xr:uid="{61982DF3-8C57-40F4-AB48-3623B0662718}"/>
    <cellStyle name="Comma 2 2 3 2 2 2 5 2" xfId="16064" xr:uid="{73E15174-85AF-4D95-87CA-55641E25F67C}"/>
    <cellStyle name="Comma 2 2 3 2 2 2 5 2 2" xfId="52572" xr:uid="{EF43CC06-5B8C-4761-B97B-8B276B30ABA1}"/>
    <cellStyle name="Comma 2 2 3 2 2 2 5 2 3" xfId="34318" xr:uid="{17F177C3-37D2-40AB-822F-F7B36AEFE649}"/>
    <cellStyle name="Comma 2 2 3 2 2 2 5 3" xfId="12414" xr:uid="{7AF67DE0-4477-4C87-836B-5C6ED7FC99A1}"/>
    <cellStyle name="Comma 2 2 3 2 2 2 5 3 2" xfId="48922" xr:uid="{967C9176-1C75-4F01-9831-DFB4976BAB48}"/>
    <cellStyle name="Comma 2 2 3 2 2 2 5 3 3" xfId="30668" xr:uid="{66ABDF16-3500-4864-A545-ECC6212FB7C4}"/>
    <cellStyle name="Comma 2 2 3 2 2 2 5 4" xfId="8764" xr:uid="{39F9A303-1DAB-4726-B555-AA5B45E0F1A5}"/>
    <cellStyle name="Comma 2 2 3 2 2 2 5 4 2" xfId="45272" xr:uid="{E21C127C-5725-460C-B2B4-2BBB836A7F15}"/>
    <cellStyle name="Comma 2 2 3 2 2 2 5 4 3" xfId="27018" xr:uid="{8DDCDEC8-249D-47ED-987A-7A506D298A2E}"/>
    <cellStyle name="Comma 2 2 3 2 2 2 5 5" xfId="5114" xr:uid="{2AD4DA75-0D2D-4360-9203-0D3E788A4190}"/>
    <cellStyle name="Comma 2 2 3 2 2 2 5 5 2" xfId="41622" xr:uid="{20487D30-1CEF-4A1E-92C9-48E0F87A0745}"/>
    <cellStyle name="Comma 2 2 3 2 2 2 5 5 3" xfId="23368" xr:uid="{06643D92-6D49-4D65-93DE-E0CFE174CA1A}"/>
    <cellStyle name="Comma 2 2 3 2 2 2 5 6" xfId="37972" xr:uid="{6BD961BB-E7B2-43B1-8DE6-08CF251CF4A7}"/>
    <cellStyle name="Comma 2 2 3 2 2 2 5 7" xfId="19718" xr:uid="{BA78629D-C553-4418-9B18-1F79BA2F5E30}"/>
    <cellStyle name="Comma 2 2 3 2 2 2 6" xfId="15334" xr:uid="{11525BB8-31FA-4104-B53A-821434F45FB0}"/>
    <cellStyle name="Comma 2 2 3 2 2 2 6 2" xfId="51842" xr:uid="{F739CA81-11D6-4441-8274-E6154DDDE450}"/>
    <cellStyle name="Comma 2 2 3 2 2 2 6 3" xfId="33588" xr:uid="{7E156193-8435-4583-BDFE-233B76FA8A3C}"/>
    <cellStyle name="Comma 2 2 3 2 2 2 7" xfId="11684" xr:uid="{89E20B1B-5F8D-40E6-BC68-53532F7BDC75}"/>
    <cellStyle name="Comma 2 2 3 2 2 2 7 2" xfId="48192" xr:uid="{10F75997-8940-4B33-8343-0784277BF3C3}"/>
    <cellStyle name="Comma 2 2 3 2 2 2 7 3" xfId="29938" xr:uid="{D2735961-A1DF-46E7-B6F3-E3F7A8157BDC}"/>
    <cellStyle name="Comma 2 2 3 2 2 2 8" xfId="8034" xr:uid="{6593FBA9-3141-447E-85DC-983779A61D27}"/>
    <cellStyle name="Comma 2 2 3 2 2 2 8 2" xfId="44542" xr:uid="{C240E374-B3E2-4C63-A1E3-CB99E09B3536}"/>
    <cellStyle name="Comma 2 2 3 2 2 2 8 3" xfId="26288" xr:uid="{EE1AC207-533B-41A9-97B5-E1C58EE84872}"/>
    <cellStyle name="Comma 2 2 3 2 2 2 9" xfId="4384" xr:uid="{2EA6B3FD-F1A3-4C6C-9926-FF6391B7D553}"/>
    <cellStyle name="Comma 2 2 3 2 2 2 9 2" xfId="40892" xr:uid="{1C6D9B37-9D9A-483A-8C14-70258B9DACD7}"/>
    <cellStyle name="Comma 2 2 3 2 2 2 9 3" xfId="22638" xr:uid="{5BA6D637-E397-4619-AB99-0854AB6F13FA}"/>
    <cellStyle name="Comma 2 2 3 2 2 3" xfId="630" xr:uid="{2CE7AC66-3728-479B-85A9-5A83A66E79ED}"/>
    <cellStyle name="Comma 2 2 3 2 2 3 10" xfId="37138" xr:uid="{A463239A-4C26-47B1-A959-9E36B91D0301}"/>
    <cellStyle name="Comma 2 2 3 2 2 3 11" xfId="18884" xr:uid="{041BDB4E-91EF-4D40-9ECD-B99F34030168}"/>
    <cellStyle name="Comma 2 2 3 2 2 3 2" xfId="3550" xr:uid="{09DA980E-F72E-473F-B242-D33BE3405500}"/>
    <cellStyle name="Comma 2 2 3 2 2 3 2 2" xfId="18150" xr:uid="{724F4DE2-B15D-46E4-88C5-ECE9994FFA20}"/>
    <cellStyle name="Comma 2 2 3 2 2 3 2 2 2" xfId="54658" xr:uid="{94A63BE3-9010-4963-AC57-29EFB3062574}"/>
    <cellStyle name="Comma 2 2 3 2 2 3 2 2 3" xfId="36404" xr:uid="{27C1D549-32A5-4A2E-AA07-E18569E455FE}"/>
    <cellStyle name="Comma 2 2 3 2 2 3 2 3" xfId="14500" xr:uid="{F3A15A72-8EC4-4467-9BCB-E278D0A47D3C}"/>
    <cellStyle name="Comma 2 2 3 2 2 3 2 3 2" xfId="51008" xr:uid="{200C3880-8762-4D71-9296-F28DF4030B63}"/>
    <cellStyle name="Comma 2 2 3 2 2 3 2 3 3" xfId="32754" xr:uid="{465C8FF1-634C-4FC4-87E5-76B64527D259}"/>
    <cellStyle name="Comma 2 2 3 2 2 3 2 4" xfId="10850" xr:uid="{9800D992-81F3-4402-B972-E91EC3D1E8ED}"/>
    <cellStyle name="Comma 2 2 3 2 2 3 2 4 2" xfId="47358" xr:uid="{B656BC4F-0058-4B2D-88CE-9B815243932C}"/>
    <cellStyle name="Comma 2 2 3 2 2 3 2 4 3" xfId="29104" xr:uid="{7C8F16DD-3CA3-4C6A-8481-BF584C54A4F1}"/>
    <cellStyle name="Comma 2 2 3 2 2 3 2 5" xfId="7200" xr:uid="{BC331E4E-59BB-4D2F-A13E-D7A245FD545D}"/>
    <cellStyle name="Comma 2 2 3 2 2 3 2 5 2" xfId="43708" xr:uid="{5BAB6F49-D436-42D9-9E66-5CE4E8229314}"/>
    <cellStyle name="Comma 2 2 3 2 2 3 2 5 3" xfId="25454" xr:uid="{5ADC9C88-3852-4A02-B59E-7A0F49291303}"/>
    <cellStyle name="Comma 2 2 3 2 2 3 2 6" xfId="40058" xr:uid="{02B526E9-0E62-4EF8-ABD5-70DB24D19FE3}"/>
    <cellStyle name="Comma 2 2 3 2 2 3 2 7" xfId="21804" xr:uid="{97FD90D6-3417-47BE-A203-09BBF1758F14}"/>
    <cellStyle name="Comma 2 2 3 2 2 3 3" xfId="2820" xr:uid="{E9772E63-DBE7-4BB3-AFE1-CC2620F2B056}"/>
    <cellStyle name="Comma 2 2 3 2 2 3 3 2" xfId="17420" xr:uid="{78F4CF57-BDE4-459A-B1F1-B475EE3C95AF}"/>
    <cellStyle name="Comma 2 2 3 2 2 3 3 2 2" xfId="53928" xr:uid="{75DED56F-E550-4F83-87AB-8232B60B1EF8}"/>
    <cellStyle name="Comma 2 2 3 2 2 3 3 2 3" xfId="35674" xr:uid="{099E02B6-F4FB-4483-8823-5A8BF249C47D}"/>
    <cellStyle name="Comma 2 2 3 2 2 3 3 3" xfId="13770" xr:uid="{6DF012CD-3862-48C4-B807-30C0838A5C5C}"/>
    <cellStyle name="Comma 2 2 3 2 2 3 3 3 2" xfId="50278" xr:uid="{A99669AB-6ABD-4405-ADEC-B8F2D266B0A3}"/>
    <cellStyle name="Comma 2 2 3 2 2 3 3 3 3" xfId="32024" xr:uid="{62047C7B-9428-492F-91F8-95602917BD7B}"/>
    <cellStyle name="Comma 2 2 3 2 2 3 3 4" xfId="10120" xr:uid="{28452BA1-EC04-45F0-B233-E9A6AEBD776E}"/>
    <cellStyle name="Comma 2 2 3 2 2 3 3 4 2" xfId="46628" xr:uid="{F02E893F-BB49-41B1-9593-A509A65591F1}"/>
    <cellStyle name="Comma 2 2 3 2 2 3 3 4 3" xfId="28374" xr:uid="{D7FFDF52-5FD6-40B8-9B73-055CB2179784}"/>
    <cellStyle name="Comma 2 2 3 2 2 3 3 5" xfId="6470" xr:uid="{B01D7526-3EA7-4EC9-BA4D-0EE666AB9AA3}"/>
    <cellStyle name="Comma 2 2 3 2 2 3 3 5 2" xfId="42978" xr:uid="{962DEFC2-FA07-4CAC-B288-DB974D31A196}"/>
    <cellStyle name="Comma 2 2 3 2 2 3 3 5 3" xfId="24724" xr:uid="{28397AA7-E68C-4625-8B27-0E42EE194E5C}"/>
    <cellStyle name="Comma 2 2 3 2 2 3 3 6" xfId="39328" xr:uid="{4E9A0CAB-BA65-4B7D-B1E9-E97788D208F2}"/>
    <cellStyle name="Comma 2 2 3 2 2 3 3 7" xfId="21074" xr:uid="{B83726C9-A5DD-4839-8B72-B9D22D60FD93}"/>
    <cellStyle name="Comma 2 2 3 2 2 3 4" xfId="2090" xr:uid="{0A833B61-7317-48D9-9A2B-FC012F608B19}"/>
    <cellStyle name="Comma 2 2 3 2 2 3 4 2" xfId="16690" xr:uid="{5FF23F87-06C8-4E81-9622-F5E16C7040FD}"/>
    <cellStyle name="Comma 2 2 3 2 2 3 4 2 2" xfId="53198" xr:uid="{E2DA51A6-0AE7-4039-A102-782643A40AF0}"/>
    <cellStyle name="Comma 2 2 3 2 2 3 4 2 3" xfId="34944" xr:uid="{09725DF8-1EF1-40D3-85A3-CBD6DD504F0B}"/>
    <cellStyle name="Comma 2 2 3 2 2 3 4 3" xfId="13040" xr:uid="{D1644B12-277A-4809-8CCE-4117F7051058}"/>
    <cellStyle name="Comma 2 2 3 2 2 3 4 3 2" xfId="49548" xr:uid="{0D36E256-7E13-4EF7-A208-34EABC3F8D4C}"/>
    <cellStyle name="Comma 2 2 3 2 2 3 4 3 3" xfId="31294" xr:uid="{23A07699-2392-470B-84E6-AF6FB73092BA}"/>
    <cellStyle name="Comma 2 2 3 2 2 3 4 4" xfId="9390" xr:uid="{06B5986D-AE5E-47E7-833B-1AB69E4DD7A2}"/>
    <cellStyle name="Comma 2 2 3 2 2 3 4 4 2" xfId="45898" xr:uid="{974C7099-981E-4BCC-BD9C-E50F00DB5976}"/>
    <cellStyle name="Comma 2 2 3 2 2 3 4 4 3" xfId="27644" xr:uid="{2612BFCE-8FE6-40DF-9AEF-8A1A8ADD11A7}"/>
    <cellStyle name="Comma 2 2 3 2 2 3 4 5" xfId="5740" xr:uid="{7DFB119E-CA91-4735-8C4B-110E8BF75633}"/>
    <cellStyle name="Comma 2 2 3 2 2 3 4 5 2" xfId="42248" xr:uid="{8CF41AFC-5009-41F0-A663-6B7CAFD21883}"/>
    <cellStyle name="Comma 2 2 3 2 2 3 4 5 3" xfId="23994" xr:uid="{7264472A-94CD-4C55-8DD9-67AC285E0CC8}"/>
    <cellStyle name="Comma 2 2 3 2 2 3 4 6" xfId="38598" xr:uid="{8F87F6AE-793E-4BEC-B082-570E06FE83C5}"/>
    <cellStyle name="Comma 2 2 3 2 2 3 4 7" xfId="20344" xr:uid="{9B99F12F-C117-4C95-A0A7-67F5932CEDDD}"/>
    <cellStyle name="Comma 2 2 3 2 2 3 5" xfId="1360" xr:uid="{6296ACAF-9903-461D-A4F9-CF3239A0367F}"/>
    <cellStyle name="Comma 2 2 3 2 2 3 5 2" xfId="15960" xr:uid="{90235935-0704-4AC4-89ED-67A01249A437}"/>
    <cellStyle name="Comma 2 2 3 2 2 3 5 2 2" xfId="52468" xr:uid="{D447EA93-D4B9-4C43-9BAA-3E699E57BBDA}"/>
    <cellStyle name="Comma 2 2 3 2 2 3 5 2 3" xfId="34214" xr:uid="{3C35D8DD-3E69-472C-8BDB-A0CF84F8CA4F}"/>
    <cellStyle name="Comma 2 2 3 2 2 3 5 3" xfId="12310" xr:uid="{02DCFFCF-6C36-4AD9-9845-3FB566FB9A5E}"/>
    <cellStyle name="Comma 2 2 3 2 2 3 5 3 2" xfId="48818" xr:uid="{E3597246-FFA6-41F3-807A-77347BBCB796}"/>
    <cellStyle name="Comma 2 2 3 2 2 3 5 3 3" xfId="30564" xr:uid="{FE65C1C4-99B3-48C5-9FCD-82BA55880EFB}"/>
    <cellStyle name="Comma 2 2 3 2 2 3 5 4" xfId="8660" xr:uid="{151C956B-FF2F-45BE-8F32-D66D8300DE47}"/>
    <cellStyle name="Comma 2 2 3 2 2 3 5 4 2" xfId="45168" xr:uid="{C0E2FF71-3AC6-46AF-AF76-C76260881D7F}"/>
    <cellStyle name="Comma 2 2 3 2 2 3 5 4 3" xfId="26914" xr:uid="{7F929B1B-69D5-47C9-8521-C257C9EF1161}"/>
    <cellStyle name="Comma 2 2 3 2 2 3 5 5" xfId="5010" xr:uid="{7A2B77FF-4194-40FB-8C27-4045B7E941BA}"/>
    <cellStyle name="Comma 2 2 3 2 2 3 5 5 2" xfId="41518" xr:uid="{D49B9911-8F3D-4287-8283-F7232EB8CB09}"/>
    <cellStyle name="Comma 2 2 3 2 2 3 5 5 3" xfId="23264" xr:uid="{8FDDD181-F6CA-4C15-875A-C968D38B40C3}"/>
    <cellStyle name="Comma 2 2 3 2 2 3 5 6" xfId="37868" xr:uid="{CA74DECC-8A62-4513-93A5-E1EBBD7266CE}"/>
    <cellStyle name="Comma 2 2 3 2 2 3 5 7" xfId="19614" xr:uid="{E9B6D8EF-79E0-47B0-9CC2-FC3D8461B0A5}"/>
    <cellStyle name="Comma 2 2 3 2 2 3 6" xfId="15230" xr:uid="{BF7834B0-C76F-4197-82C6-40D1CB592FBA}"/>
    <cellStyle name="Comma 2 2 3 2 2 3 6 2" xfId="51738" xr:uid="{15110E20-983A-48CE-81BB-731FC64B70B3}"/>
    <cellStyle name="Comma 2 2 3 2 2 3 6 3" xfId="33484" xr:uid="{4064CB7C-B2E2-4343-AC5B-8211CB179CCE}"/>
    <cellStyle name="Comma 2 2 3 2 2 3 7" xfId="11580" xr:uid="{0D62C550-ABC1-4E53-960B-7264DA2B3F3A}"/>
    <cellStyle name="Comma 2 2 3 2 2 3 7 2" xfId="48088" xr:uid="{922CE61F-29A1-4EEE-B8F9-5C7C5A16EBEF}"/>
    <cellStyle name="Comma 2 2 3 2 2 3 7 3" xfId="29834" xr:uid="{62DDCDB5-8CF4-4E0D-AD86-F2298E6D710C}"/>
    <cellStyle name="Comma 2 2 3 2 2 3 8" xfId="7930" xr:uid="{1DE49987-363A-43E1-94C4-F29C26347A57}"/>
    <cellStyle name="Comma 2 2 3 2 2 3 8 2" xfId="44438" xr:uid="{5D7A9C1B-5F97-4718-8EBD-06C8E647C102}"/>
    <cellStyle name="Comma 2 2 3 2 2 3 8 3" xfId="26184" xr:uid="{E0FE1FDC-0F4C-4804-B6CA-1A34395C92F2}"/>
    <cellStyle name="Comma 2 2 3 2 2 3 9" xfId="4280" xr:uid="{B5D32619-E216-4A97-A087-A6FB57A04630}"/>
    <cellStyle name="Comma 2 2 3 2 2 3 9 2" xfId="40788" xr:uid="{6CBED740-7354-4E89-B28E-BC361D4352D7}"/>
    <cellStyle name="Comma 2 2 3 2 2 3 9 3" xfId="22534" xr:uid="{D62FC274-DD3C-40B3-9BB7-22091E412303}"/>
    <cellStyle name="Comma 2 2 3 2 2 4" xfId="526" xr:uid="{98D234E5-9BCB-4875-9B55-7B7A136DCD29}"/>
    <cellStyle name="Comma 2 2 3 2 2 4 10" xfId="37034" xr:uid="{27051649-EB15-41D5-93C4-0C47657CF21A}"/>
    <cellStyle name="Comma 2 2 3 2 2 4 11" xfId="18780" xr:uid="{4297EC19-03A2-484D-A4EB-A7A82D89F2E8}"/>
    <cellStyle name="Comma 2 2 3 2 2 4 2" xfId="3446" xr:uid="{4F5D4FF1-C35E-4A34-806C-D720EBDEDFC9}"/>
    <cellStyle name="Comma 2 2 3 2 2 4 2 2" xfId="18046" xr:uid="{6E1DADF3-2C47-4A5A-995A-93E5F6F3F995}"/>
    <cellStyle name="Comma 2 2 3 2 2 4 2 2 2" xfId="54554" xr:uid="{15C2386B-CA12-42FD-A77E-7F278477B8AD}"/>
    <cellStyle name="Comma 2 2 3 2 2 4 2 2 3" xfId="36300" xr:uid="{FEC00CC3-CACC-4681-9363-EEFD9AEBC033}"/>
    <cellStyle name="Comma 2 2 3 2 2 4 2 3" xfId="14396" xr:uid="{F084B845-26BB-4D8D-9138-0370F209670A}"/>
    <cellStyle name="Comma 2 2 3 2 2 4 2 3 2" xfId="50904" xr:uid="{414BDDF4-A16D-4063-BB12-E51DCC321EE7}"/>
    <cellStyle name="Comma 2 2 3 2 2 4 2 3 3" xfId="32650" xr:uid="{99293B93-1BB7-40CE-90CB-098857919000}"/>
    <cellStyle name="Comma 2 2 3 2 2 4 2 4" xfId="10746" xr:uid="{D6FB28C2-9A5A-4B42-9523-C797443C6AF8}"/>
    <cellStyle name="Comma 2 2 3 2 2 4 2 4 2" xfId="47254" xr:uid="{4A9A152B-B375-4C01-8DAB-2474D88F17D9}"/>
    <cellStyle name="Comma 2 2 3 2 2 4 2 4 3" xfId="29000" xr:uid="{F1280DC2-DF3C-41C0-86B7-816D75AB901B}"/>
    <cellStyle name="Comma 2 2 3 2 2 4 2 5" xfId="7096" xr:uid="{1B918D6D-3C77-4B61-A38B-87BD8D23B446}"/>
    <cellStyle name="Comma 2 2 3 2 2 4 2 5 2" xfId="43604" xr:uid="{C8008F81-95A3-41E4-B10B-24C769DD7553}"/>
    <cellStyle name="Comma 2 2 3 2 2 4 2 5 3" xfId="25350" xr:uid="{A559E919-6689-47A5-8EAF-ACB4E4703BBE}"/>
    <cellStyle name="Comma 2 2 3 2 2 4 2 6" xfId="39954" xr:uid="{CD8E0DC7-12F3-48CD-9A2E-1BFF1FC80502}"/>
    <cellStyle name="Comma 2 2 3 2 2 4 2 7" xfId="21700" xr:uid="{35E4F4BF-0044-4BEB-8EBA-C8D261C72B9E}"/>
    <cellStyle name="Comma 2 2 3 2 2 4 3" xfId="2716" xr:uid="{3FF13C45-A56E-4DFA-AFD1-035D8780B3BB}"/>
    <cellStyle name="Comma 2 2 3 2 2 4 3 2" xfId="17316" xr:uid="{E039694B-F863-43A5-82D6-C138474A8B8D}"/>
    <cellStyle name="Comma 2 2 3 2 2 4 3 2 2" xfId="53824" xr:uid="{9EDE2588-E43C-4D6F-83D0-E18B0A92ED0B}"/>
    <cellStyle name="Comma 2 2 3 2 2 4 3 2 3" xfId="35570" xr:uid="{7803913F-671D-476E-93E0-2E88FF6886B3}"/>
    <cellStyle name="Comma 2 2 3 2 2 4 3 3" xfId="13666" xr:uid="{AE877D56-2C9F-4556-8468-4791D880D432}"/>
    <cellStyle name="Comma 2 2 3 2 2 4 3 3 2" xfId="50174" xr:uid="{D546FE3D-85D7-4478-AB85-9A83FC3CCEBD}"/>
    <cellStyle name="Comma 2 2 3 2 2 4 3 3 3" xfId="31920" xr:uid="{F17A7022-2266-4168-BF9D-B80DF53901DC}"/>
    <cellStyle name="Comma 2 2 3 2 2 4 3 4" xfId="10016" xr:uid="{56D46EEE-78A6-4A90-8404-8A0AEDE5B104}"/>
    <cellStyle name="Comma 2 2 3 2 2 4 3 4 2" xfId="46524" xr:uid="{9EA50694-8E55-40AB-96A0-ED9B3E8874E3}"/>
    <cellStyle name="Comma 2 2 3 2 2 4 3 4 3" xfId="28270" xr:uid="{33E8FAE2-035B-4C40-851E-61E85931223A}"/>
    <cellStyle name="Comma 2 2 3 2 2 4 3 5" xfId="6366" xr:uid="{0ABF5E7E-E4F0-4A2C-9095-826C50AD7378}"/>
    <cellStyle name="Comma 2 2 3 2 2 4 3 5 2" xfId="42874" xr:uid="{D4A356CA-7CD3-4CB3-BBBB-AA5D533950A5}"/>
    <cellStyle name="Comma 2 2 3 2 2 4 3 5 3" xfId="24620" xr:uid="{88E74D6F-01E3-47C9-9271-C0E839F654C8}"/>
    <cellStyle name="Comma 2 2 3 2 2 4 3 6" xfId="39224" xr:uid="{C2EBC40C-C254-486E-BE27-7C28A9EC04FC}"/>
    <cellStyle name="Comma 2 2 3 2 2 4 3 7" xfId="20970" xr:uid="{2A1A8091-2093-45E7-8CFF-ED15A9161A23}"/>
    <cellStyle name="Comma 2 2 3 2 2 4 4" xfId="1986" xr:uid="{E525014E-5209-48BC-B3DA-37448A739295}"/>
    <cellStyle name="Comma 2 2 3 2 2 4 4 2" xfId="16586" xr:uid="{5D6C0CD9-70BF-425E-A2A4-2EDC380B29E3}"/>
    <cellStyle name="Comma 2 2 3 2 2 4 4 2 2" xfId="53094" xr:uid="{70D5E043-EA67-48C8-9789-70D54FB0AF0E}"/>
    <cellStyle name="Comma 2 2 3 2 2 4 4 2 3" xfId="34840" xr:uid="{16C2941E-7129-445B-9B39-86BA9EBFE786}"/>
    <cellStyle name="Comma 2 2 3 2 2 4 4 3" xfId="12936" xr:uid="{EEC500E4-F275-4512-B598-E7CEF96C2B0B}"/>
    <cellStyle name="Comma 2 2 3 2 2 4 4 3 2" xfId="49444" xr:uid="{97D1E51E-AE48-44EC-BA28-95C01D54F3BB}"/>
    <cellStyle name="Comma 2 2 3 2 2 4 4 3 3" xfId="31190" xr:uid="{A88C0163-676F-4F5E-B333-27274B9042AC}"/>
    <cellStyle name="Comma 2 2 3 2 2 4 4 4" xfId="9286" xr:uid="{7D7EF965-D170-40C6-A32F-E15755991C16}"/>
    <cellStyle name="Comma 2 2 3 2 2 4 4 4 2" xfId="45794" xr:uid="{C4764423-11FC-4E55-939B-43073D5B38E9}"/>
    <cellStyle name="Comma 2 2 3 2 2 4 4 4 3" xfId="27540" xr:uid="{ADB6B283-64F4-4486-A12E-5077CE7AA14D}"/>
    <cellStyle name="Comma 2 2 3 2 2 4 4 5" xfId="5636" xr:uid="{FDC896BC-558A-4948-9E97-99DDBA187721}"/>
    <cellStyle name="Comma 2 2 3 2 2 4 4 5 2" xfId="42144" xr:uid="{2F86CA13-40EB-475C-8301-079C44A12FDF}"/>
    <cellStyle name="Comma 2 2 3 2 2 4 4 5 3" xfId="23890" xr:uid="{F4B3D6FC-B8C3-479A-828F-B5B1F55EBD28}"/>
    <cellStyle name="Comma 2 2 3 2 2 4 4 6" xfId="38494" xr:uid="{9548FA82-0F88-44A0-BC1A-CE7C99B0DB14}"/>
    <cellStyle name="Comma 2 2 3 2 2 4 4 7" xfId="20240" xr:uid="{0C45BD9B-3C29-4034-85FB-21CABBC8490C}"/>
    <cellStyle name="Comma 2 2 3 2 2 4 5" xfId="1256" xr:uid="{349621EA-61C6-46E3-AD10-5DEF82777836}"/>
    <cellStyle name="Comma 2 2 3 2 2 4 5 2" xfId="15856" xr:uid="{F12D722B-D8FD-4098-B8CA-DD779577710E}"/>
    <cellStyle name="Comma 2 2 3 2 2 4 5 2 2" xfId="52364" xr:uid="{831F51E0-E676-4D7D-96BC-2CCF9CFBC5C7}"/>
    <cellStyle name="Comma 2 2 3 2 2 4 5 2 3" xfId="34110" xr:uid="{4424D81E-A31D-4A0C-9B7A-F3A070718C28}"/>
    <cellStyle name="Comma 2 2 3 2 2 4 5 3" xfId="12206" xr:uid="{2DD94EF5-A769-4F5E-93D8-E824E48F72C7}"/>
    <cellStyle name="Comma 2 2 3 2 2 4 5 3 2" xfId="48714" xr:uid="{A11C66E6-6BE1-4077-B22A-CA2B0D4182EF}"/>
    <cellStyle name="Comma 2 2 3 2 2 4 5 3 3" xfId="30460" xr:uid="{BF753DAE-6B4C-4125-B45F-7543CBD80B5F}"/>
    <cellStyle name="Comma 2 2 3 2 2 4 5 4" xfId="8556" xr:uid="{FCA333C5-6808-4ED7-9F61-076845DB0302}"/>
    <cellStyle name="Comma 2 2 3 2 2 4 5 4 2" xfId="45064" xr:uid="{690519C0-2EED-4449-B759-F17DCD9A5B34}"/>
    <cellStyle name="Comma 2 2 3 2 2 4 5 4 3" xfId="26810" xr:uid="{DD3B36E0-578A-4D45-AC69-8E26F78C93FF}"/>
    <cellStyle name="Comma 2 2 3 2 2 4 5 5" xfId="4906" xr:uid="{2956B3FA-0B27-4674-8E55-15D2F490A4C5}"/>
    <cellStyle name="Comma 2 2 3 2 2 4 5 5 2" xfId="41414" xr:uid="{D5B837E3-1693-4CDD-A2F4-C47C8F479CB8}"/>
    <cellStyle name="Comma 2 2 3 2 2 4 5 5 3" xfId="23160" xr:uid="{8E70EEEF-C203-40F3-8E33-035B0A363D60}"/>
    <cellStyle name="Comma 2 2 3 2 2 4 5 6" xfId="37764" xr:uid="{D7F0C068-C251-480C-A988-F61FFDB02F2E}"/>
    <cellStyle name="Comma 2 2 3 2 2 4 5 7" xfId="19510" xr:uid="{2431D434-20B2-47EA-B7DE-9C0912CE6783}"/>
    <cellStyle name="Comma 2 2 3 2 2 4 6" xfId="15126" xr:uid="{D735A2FD-DD18-484A-9467-2C8C002B2CE0}"/>
    <cellStyle name="Comma 2 2 3 2 2 4 6 2" xfId="51634" xr:uid="{EEB4C9F0-C90F-4090-B475-7DF200FD920F}"/>
    <cellStyle name="Comma 2 2 3 2 2 4 6 3" xfId="33380" xr:uid="{3846B28B-DC7F-4BF3-8091-7BDAFB936D02}"/>
    <cellStyle name="Comma 2 2 3 2 2 4 7" xfId="11476" xr:uid="{D1045513-AE8A-4A8B-A95E-CDACCFD10396}"/>
    <cellStyle name="Comma 2 2 3 2 2 4 7 2" xfId="47984" xr:uid="{70F78F81-BC08-4C9D-A34B-3AE085193F3B}"/>
    <cellStyle name="Comma 2 2 3 2 2 4 7 3" xfId="29730" xr:uid="{6C05566C-50EB-42A9-B74D-E22FEA971438}"/>
    <cellStyle name="Comma 2 2 3 2 2 4 8" xfId="7826" xr:uid="{CE1DB9C5-D18C-4417-BF44-530B348C15A2}"/>
    <cellStyle name="Comma 2 2 3 2 2 4 8 2" xfId="44334" xr:uid="{73BA26DC-FCA0-495F-87F2-9BD058F90C48}"/>
    <cellStyle name="Comma 2 2 3 2 2 4 8 3" xfId="26080" xr:uid="{0DE6C8C8-919B-45E3-9761-B5378958315F}"/>
    <cellStyle name="Comma 2 2 3 2 2 4 9" xfId="4176" xr:uid="{DD635F6B-DA5C-4E72-9765-493037D61F4D}"/>
    <cellStyle name="Comma 2 2 3 2 2 4 9 2" xfId="40684" xr:uid="{6C99FEF1-B793-410A-97AB-B8D6E28B128E}"/>
    <cellStyle name="Comma 2 2 3 2 2 4 9 3" xfId="22430" xr:uid="{09962A18-29BE-4C76-9DA0-D4774A4257E5}"/>
    <cellStyle name="Comma 2 2 3 2 2 5" xfId="422" xr:uid="{814F93DE-3D41-4713-97D2-0DB09E3C6B5E}"/>
    <cellStyle name="Comma 2 2 3 2 2 5 10" xfId="36930" xr:uid="{659AA81F-47BF-44E4-87EF-FF397E7D0414}"/>
    <cellStyle name="Comma 2 2 3 2 2 5 11" xfId="18676" xr:uid="{45A32B08-69D8-4FC9-879A-8E3B65037171}"/>
    <cellStyle name="Comma 2 2 3 2 2 5 2" xfId="3342" xr:uid="{D219766F-AD29-4A4A-BDB3-1B841A8B2039}"/>
    <cellStyle name="Comma 2 2 3 2 2 5 2 2" xfId="17942" xr:uid="{97A0222A-EAE8-4849-9C3B-B031D21E9829}"/>
    <cellStyle name="Comma 2 2 3 2 2 5 2 2 2" xfId="54450" xr:uid="{B1E7862B-6172-4B76-815F-832C25CBE4D0}"/>
    <cellStyle name="Comma 2 2 3 2 2 5 2 2 3" xfId="36196" xr:uid="{258A5BF0-D686-4726-9C75-1839C4361632}"/>
    <cellStyle name="Comma 2 2 3 2 2 5 2 3" xfId="14292" xr:uid="{7E237DF5-18F4-40C5-9B97-77812B38A6D7}"/>
    <cellStyle name="Comma 2 2 3 2 2 5 2 3 2" xfId="50800" xr:uid="{921818D4-8BA3-4162-9657-D79B71621248}"/>
    <cellStyle name="Comma 2 2 3 2 2 5 2 3 3" xfId="32546" xr:uid="{F360E557-2D32-4B4C-B306-282710EE39D4}"/>
    <cellStyle name="Comma 2 2 3 2 2 5 2 4" xfId="10642" xr:uid="{43D519A8-6CFD-4387-B150-0911C9570F6C}"/>
    <cellStyle name="Comma 2 2 3 2 2 5 2 4 2" xfId="47150" xr:uid="{7864D91E-D15B-4274-A9AD-B77BC12D1F24}"/>
    <cellStyle name="Comma 2 2 3 2 2 5 2 4 3" xfId="28896" xr:uid="{8A694CDD-C090-4509-AAFD-4246778D5850}"/>
    <cellStyle name="Comma 2 2 3 2 2 5 2 5" xfId="6992" xr:uid="{95279588-C649-41C0-92AA-FDAB6B95C800}"/>
    <cellStyle name="Comma 2 2 3 2 2 5 2 5 2" xfId="43500" xr:uid="{A091EA70-06B1-4EB0-B394-F37BC3910E22}"/>
    <cellStyle name="Comma 2 2 3 2 2 5 2 5 3" xfId="25246" xr:uid="{6248EF29-CF43-44E0-A412-0158D972F527}"/>
    <cellStyle name="Comma 2 2 3 2 2 5 2 6" xfId="39850" xr:uid="{366C629D-4D2A-4692-8359-BFCAD892EA45}"/>
    <cellStyle name="Comma 2 2 3 2 2 5 2 7" xfId="21596" xr:uid="{9C141582-1E87-4584-8F97-C517FCAB7FF2}"/>
    <cellStyle name="Comma 2 2 3 2 2 5 3" xfId="2612" xr:uid="{85118A12-9A5E-4075-87A4-64BCA1B481C7}"/>
    <cellStyle name="Comma 2 2 3 2 2 5 3 2" xfId="17212" xr:uid="{A1251523-76B8-4115-B8F7-4CF43764FF2E}"/>
    <cellStyle name="Comma 2 2 3 2 2 5 3 2 2" xfId="53720" xr:uid="{247EE9AE-82D7-4936-81D5-491B0F6468B2}"/>
    <cellStyle name="Comma 2 2 3 2 2 5 3 2 3" xfId="35466" xr:uid="{A99E78DF-C4B7-4BD3-B95B-AE9BED539CC7}"/>
    <cellStyle name="Comma 2 2 3 2 2 5 3 3" xfId="13562" xr:uid="{5E6E552E-AEB3-4A77-83B9-41F67E72861F}"/>
    <cellStyle name="Comma 2 2 3 2 2 5 3 3 2" xfId="50070" xr:uid="{827BB68B-3E76-457A-B961-49D8001DB99E}"/>
    <cellStyle name="Comma 2 2 3 2 2 5 3 3 3" xfId="31816" xr:uid="{95C9BFD3-D194-4131-B805-1574872039C4}"/>
    <cellStyle name="Comma 2 2 3 2 2 5 3 4" xfId="9912" xr:uid="{E09C0492-FCF2-4544-93AB-68CB751F8D7B}"/>
    <cellStyle name="Comma 2 2 3 2 2 5 3 4 2" xfId="46420" xr:uid="{9A9E3B88-913E-470E-A379-3B3EC2C3AE57}"/>
    <cellStyle name="Comma 2 2 3 2 2 5 3 4 3" xfId="28166" xr:uid="{7B21AA6B-325C-4F44-A4F0-86D746315721}"/>
    <cellStyle name="Comma 2 2 3 2 2 5 3 5" xfId="6262" xr:uid="{6D09E37E-E96E-41EA-86BC-95F3B59054F2}"/>
    <cellStyle name="Comma 2 2 3 2 2 5 3 5 2" xfId="42770" xr:uid="{25B81E61-FB4A-4053-A7DA-6A26BD34DD02}"/>
    <cellStyle name="Comma 2 2 3 2 2 5 3 5 3" xfId="24516" xr:uid="{B7D7C7C3-FFBD-479B-AAEE-E6C548F6BFAC}"/>
    <cellStyle name="Comma 2 2 3 2 2 5 3 6" xfId="39120" xr:uid="{785FBE02-D62E-4CAE-B1DF-202ECE8BD31B}"/>
    <cellStyle name="Comma 2 2 3 2 2 5 3 7" xfId="20866" xr:uid="{885D8B4C-4EDF-41CF-9D08-F51CC52A8C26}"/>
    <cellStyle name="Comma 2 2 3 2 2 5 4" xfId="1882" xr:uid="{6A6DB3D8-26A7-4BE0-BD76-93E4818BB697}"/>
    <cellStyle name="Comma 2 2 3 2 2 5 4 2" xfId="16482" xr:uid="{25BAC8AB-BA60-48D9-A7DD-CD71F5B35694}"/>
    <cellStyle name="Comma 2 2 3 2 2 5 4 2 2" xfId="52990" xr:uid="{D5B6D2F9-C50E-4AB9-A645-B6A7F2AFE8D6}"/>
    <cellStyle name="Comma 2 2 3 2 2 5 4 2 3" xfId="34736" xr:uid="{88308495-7B09-496B-96BE-D6CD3FCAD877}"/>
    <cellStyle name="Comma 2 2 3 2 2 5 4 3" xfId="12832" xr:uid="{51783031-8A48-4081-BA3A-80FF48EE666C}"/>
    <cellStyle name="Comma 2 2 3 2 2 5 4 3 2" xfId="49340" xr:uid="{B83542A3-8188-47F6-86CA-3890AEE7ED19}"/>
    <cellStyle name="Comma 2 2 3 2 2 5 4 3 3" xfId="31086" xr:uid="{1CE568B2-D831-45EB-9596-2777BD4BC152}"/>
    <cellStyle name="Comma 2 2 3 2 2 5 4 4" xfId="9182" xr:uid="{5BF223E5-7449-4D5F-992F-F3CFFD62FFE0}"/>
    <cellStyle name="Comma 2 2 3 2 2 5 4 4 2" xfId="45690" xr:uid="{3592171F-16E9-4DB6-A583-95D5C471F859}"/>
    <cellStyle name="Comma 2 2 3 2 2 5 4 4 3" xfId="27436" xr:uid="{6C843344-66F2-41C5-BFFD-F63CB4DEF7AB}"/>
    <cellStyle name="Comma 2 2 3 2 2 5 4 5" xfId="5532" xr:uid="{4D08763E-F9C6-496D-9855-66DDA2C95457}"/>
    <cellStyle name="Comma 2 2 3 2 2 5 4 5 2" xfId="42040" xr:uid="{A40325B6-29E1-40F8-96D9-02E0582872F1}"/>
    <cellStyle name="Comma 2 2 3 2 2 5 4 5 3" xfId="23786" xr:uid="{6D25FE6B-BB25-4E46-872D-3AB6F63BDE51}"/>
    <cellStyle name="Comma 2 2 3 2 2 5 4 6" xfId="38390" xr:uid="{4E2EEC6C-26CD-40C4-9421-C82E4243C23B}"/>
    <cellStyle name="Comma 2 2 3 2 2 5 4 7" xfId="20136" xr:uid="{AF0B8908-FA9B-4AAA-8273-3683E92A85D6}"/>
    <cellStyle name="Comma 2 2 3 2 2 5 5" xfId="1152" xr:uid="{8041959F-C04E-4333-9C2E-5B8E9836A2EE}"/>
    <cellStyle name="Comma 2 2 3 2 2 5 5 2" xfId="15752" xr:uid="{F477F1E0-AFAD-4B36-A317-7777732066DB}"/>
    <cellStyle name="Comma 2 2 3 2 2 5 5 2 2" xfId="52260" xr:uid="{B5731CD0-A60A-456E-9C35-B242064E2A38}"/>
    <cellStyle name="Comma 2 2 3 2 2 5 5 2 3" xfId="34006" xr:uid="{D6E97F82-D99E-4BC7-B857-906F5253A3EB}"/>
    <cellStyle name="Comma 2 2 3 2 2 5 5 3" xfId="12102" xr:uid="{EBE6F42D-70C9-4AD6-BC5D-D7E96722DE1B}"/>
    <cellStyle name="Comma 2 2 3 2 2 5 5 3 2" xfId="48610" xr:uid="{AA3222E7-440C-4808-96E6-D9AE5445B966}"/>
    <cellStyle name="Comma 2 2 3 2 2 5 5 3 3" xfId="30356" xr:uid="{19318029-EC95-4D48-8321-761E918BDC18}"/>
    <cellStyle name="Comma 2 2 3 2 2 5 5 4" xfId="8452" xr:uid="{F5286CE9-B7D0-4E30-A6EB-839B1FBB5858}"/>
    <cellStyle name="Comma 2 2 3 2 2 5 5 4 2" xfId="44960" xr:uid="{16B6EF7B-D49E-4FCF-8117-61A1B78F9A92}"/>
    <cellStyle name="Comma 2 2 3 2 2 5 5 4 3" xfId="26706" xr:uid="{0FE6EA70-9385-4073-B7DD-BF84CDE1BC23}"/>
    <cellStyle name="Comma 2 2 3 2 2 5 5 5" xfId="4802" xr:uid="{903B708E-6E77-40EA-BA11-BD82DA2E1FED}"/>
    <cellStyle name="Comma 2 2 3 2 2 5 5 5 2" xfId="41310" xr:uid="{62FDB723-3640-4811-8AAD-9E3986BF7902}"/>
    <cellStyle name="Comma 2 2 3 2 2 5 5 5 3" xfId="23056" xr:uid="{394CDE7D-F6BE-4A04-95B4-2EBBA5FE9EE0}"/>
    <cellStyle name="Comma 2 2 3 2 2 5 5 6" xfId="37660" xr:uid="{BE21FB3D-5849-4DFE-A1AF-BD0040399298}"/>
    <cellStyle name="Comma 2 2 3 2 2 5 5 7" xfId="19406" xr:uid="{0CE47F0D-CF89-480C-A381-C709C863406B}"/>
    <cellStyle name="Comma 2 2 3 2 2 5 6" xfId="15022" xr:uid="{396A1BEC-A810-4A60-8C50-BDC1D1D9EEF7}"/>
    <cellStyle name="Comma 2 2 3 2 2 5 6 2" xfId="51530" xr:uid="{98E9259C-402F-4CAD-96F1-127AB14B847A}"/>
    <cellStyle name="Comma 2 2 3 2 2 5 6 3" xfId="33276" xr:uid="{ADD58D3C-028B-44F1-B7EE-9E7496661A93}"/>
    <cellStyle name="Comma 2 2 3 2 2 5 7" xfId="11372" xr:uid="{0C88AF58-DEB5-4355-B049-1DFEA1A731A9}"/>
    <cellStyle name="Comma 2 2 3 2 2 5 7 2" xfId="47880" xr:uid="{346A5B8F-4F71-4A1A-8B37-9262CBC7D51C}"/>
    <cellStyle name="Comma 2 2 3 2 2 5 7 3" xfId="29626" xr:uid="{88BA93BE-4949-4FCC-9B4F-301077140879}"/>
    <cellStyle name="Comma 2 2 3 2 2 5 8" xfId="7722" xr:uid="{9ACF67B8-86CC-45DA-B0A5-59A241DDB31F}"/>
    <cellStyle name="Comma 2 2 3 2 2 5 8 2" xfId="44230" xr:uid="{3263E318-0A23-4DCF-BAC1-0059F4469608}"/>
    <cellStyle name="Comma 2 2 3 2 2 5 8 3" xfId="25976" xr:uid="{D5D13C37-3144-4037-8E55-07C118F48BBC}"/>
    <cellStyle name="Comma 2 2 3 2 2 5 9" xfId="4072" xr:uid="{5B31A3E2-3553-4C7B-9302-409350E6933D}"/>
    <cellStyle name="Comma 2 2 3 2 2 5 9 2" xfId="40580" xr:uid="{923A7C37-C7C7-4C78-B7F0-638D6FFFA4C7}"/>
    <cellStyle name="Comma 2 2 3 2 2 5 9 3" xfId="22326" xr:uid="{97ED1396-E9E0-40A3-952C-B051D313B5B3}"/>
    <cellStyle name="Comma 2 2 3 2 2 6" xfId="318" xr:uid="{B337F290-EEC5-4D99-8487-2352BA0F3AA5}"/>
    <cellStyle name="Comma 2 2 3 2 2 6 10" xfId="36826" xr:uid="{48B1D33F-F573-495F-A293-8C716E3C7378}"/>
    <cellStyle name="Comma 2 2 3 2 2 6 11" xfId="18572" xr:uid="{D29D2002-86C3-4723-A53E-897AE1577C90}"/>
    <cellStyle name="Comma 2 2 3 2 2 6 2" xfId="3238" xr:uid="{13AB0478-153A-45A3-8EFD-B7C1E35BF6DB}"/>
    <cellStyle name="Comma 2 2 3 2 2 6 2 2" xfId="17838" xr:uid="{AF8717C9-56DB-4EF4-A2D2-E0EB78B5816B}"/>
    <cellStyle name="Comma 2 2 3 2 2 6 2 2 2" xfId="54346" xr:uid="{381F65DF-F1A5-4BFB-8681-CD0015FF8017}"/>
    <cellStyle name="Comma 2 2 3 2 2 6 2 2 3" xfId="36092" xr:uid="{2AABC8F2-83DD-4131-AB5F-27FD2314436D}"/>
    <cellStyle name="Comma 2 2 3 2 2 6 2 3" xfId="14188" xr:uid="{6561694C-87F2-410A-A38F-A04E3DA258FC}"/>
    <cellStyle name="Comma 2 2 3 2 2 6 2 3 2" xfId="50696" xr:uid="{51993FA0-329E-456D-8FC2-10213CBC85C9}"/>
    <cellStyle name="Comma 2 2 3 2 2 6 2 3 3" xfId="32442" xr:uid="{5FDEDF32-0887-4532-8E63-B6F02A83B0C3}"/>
    <cellStyle name="Comma 2 2 3 2 2 6 2 4" xfId="10538" xr:uid="{DBC5E7B7-7311-464D-B435-A069501AAB00}"/>
    <cellStyle name="Comma 2 2 3 2 2 6 2 4 2" xfId="47046" xr:uid="{547783CA-F34C-4C27-8025-2217F548DF1A}"/>
    <cellStyle name="Comma 2 2 3 2 2 6 2 4 3" xfId="28792" xr:uid="{0A681855-B6CD-4D8F-8D2B-E14168C17DA8}"/>
    <cellStyle name="Comma 2 2 3 2 2 6 2 5" xfId="6888" xr:uid="{08871188-1334-4227-80BD-418ADCF6EC1E}"/>
    <cellStyle name="Comma 2 2 3 2 2 6 2 5 2" xfId="43396" xr:uid="{8F7BC4F4-53CC-4836-9419-922DF3F20502}"/>
    <cellStyle name="Comma 2 2 3 2 2 6 2 5 3" xfId="25142" xr:uid="{7F6B147D-AB69-479B-A883-53BBFF1B1CDB}"/>
    <cellStyle name="Comma 2 2 3 2 2 6 2 6" xfId="39746" xr:uid="{8F9F72EA-3EB5-4C57-A120-56F2A60250BE}"/>
    <cellStyle name="Comma 2 2 3 2 2 6 2 7" xfId="21492" xr:uid="{ECF18A35-3B10-4980-B84B-1683F0DE5112}"/>
    <cellStyle name="Comma 2 2 3 2 2 6 3" xfId="2508" xr:uid="{4F03AA35-5487-42B3-ADB0-E05B59BB9FF7}"/>
    <cellStyle name="Comma 2 2 3 2 2 6 3 2" xfId="17108" xr:uid="{85A0150C-3DB0-4D84-8C32-478C9671D2F6}"/>
    <cellStyle name="Comma 2 2 3 2 2 6 3 2 2" xfId="53616" xr:uid="{03D0F897-A576-4348-A455-302BE7A0735B}"/>
    <cellStyle name="Comma 2 2 3 2 2 6 3 2 3" xfId="35362" xr:uid="{D38A002B-C6C4-45C9-9723-6652C48E7324}"/>
    <cellStyle name="Comma 2 2 3 2 2 6 3 3" xfId="13458" xr:uid="{B08B322E-5BAE-4BB0-8873-E2DA13554A27}"/>
    <cellStyle name="Comma 2 2 3 2 2 6 3 3 2" xfId="49966" xr:uid="{28CCA980-05EB-4365-A0F4-03B6A16A164D}"/>
    <cellStyle name="Comma 2 2 3 2 2 6 3 3 3" xfId="31712" xr:uid="{FDB7BA7A-0534-4378-9119-7D565326A910}"/>
    <cellStyle name="Comma 2 2 3 2 2 6 3 4" xfId="9808" xr:uid="{39B03B1A-F03B-4ADF-8C53-20C49DED6977}"/>
    <cellStyle name="Comma 2 2 3 2 2 6 3 4 2" xfId="46316" xr:uid="{9A815A20-FA29-4E45-A521-7B087D58D86B}"/>
    <cellStyle name="Comma 2 2 3 2 2 6 3 4 3" xfId="28062" xr:uid="{DD6C6DD4-AEBE-427B-B80B-579C5EFD7694}"/>
    <cellStyle name="Comma 2 2 3 2 2 6 3 5" xfId="6158" xr:uid="{17B00365-69B0-4B50-B121-D0B1B97EEAC7}"/>
    <cellStyle name="Comma 2 2 3 2 2 6 3 5 2" xfId="42666" xr:uid="{5E7DC34D-89A0-4E14-91AF-A313E37583E5}"/>
    <cellStyle name="Comma 2 2 3 2 2 6 3 5 3" xfId="24412" xr:uid="{81B8AAE5-DC94-4E3A-8A84-9382D617A32C}"/>
    <cellStyle name="Comma 2 2 3 2 2 6 3 6" xfId="39016" xr:uid="{31E1E831-3084-45B0-B57F-FA945EF45124}"/>
    <cellStyle name="Comma 2 2 3 2 2 6 3 7" xfId="20762" xr:uid="{0CD4EF49-D05A-4B96-8938-ADD644A4AF21}"/>
    <cellStyle name="Comma 2 2 3 2 2 6 4" xfId="1778" xr:uid="{ACF59FF1-3F38-48CB-BCC3-0AAA7E71583E}"/>
    <cellStyle name="Comma 2 2 3 2 2 6 4 2" xfId="16378" xr:uid="{E7571377-664D-46CF-9505-072670DED967}"/>
    <cellStyle name="Comma 2 2 3 2 2 6 4 2 2" xfId="52886" xr:uid="{83D47486-DDCF-45F4-8487-88B4D74A4F0E}"/>
    <cellStyle name="Comma 2 2 3 2 2 6 4 2 3" xfId="34632" xr:uid="{1C5439E5-FA05-4407-A6A8-D2B9703DF28C}"/>
    <cellStyle name="Comma 2 2 3 2 2 6 4 3" xfId="12728" xr:uid="{BFD8C110-3708-4217-95B5-26A249490592}"/>
    <cellStyle name="Comma 2 2 3 2 2 6 4 3 2" xfId="49236" xr:uid="{419905CE-142D-4DE9-AC2F-B8EF7FC60DC4}"/>
    <cellStyle name="Comma 2 2 3 2 2 6 4 3 3" xfId="30982" xr:uid="{B23D6905-3BF6-415A-9308-15834486CE62}"/>
    <cellStyle name="Comma 2 2 3 2 2 6 4 4" xfId="9078" xr:uid="{626ABB66-715F-445A-9062-8FA31ADF1697}"/>
    <cellStyle name="Comma 2 2 3 2 2 6 4 4 2" xfId="45586" xr:uid="{7B9765D6-5D7A-49CC-9EFA-E840EA536522}"/>
    <cellStyle name="Comma 2 2 3 2 2 6 4 4 3" xfId="27332" xr:uid="{025ED6E7-6B15-4B27-9F2C-74DFFC0DA508}"/>
    <cellStyle name="Comma 2 2 3 2 2 6 4 5" xfId="5428" xr:uid="{FCFAF25E-B4A8-4C03-A10D-29DAB0DC178F}"/>
    <cellStyle name="Comma 2 2 3 2 2 6 4 5 2" xfId="41936" xr:uid="{97A08281-4798-4770-A411-DA70B7D4600B}"/>
    <cellStyle name="Comma 2 2 3 2 2 6 4 5 3" xfId="23682" xr:uid="{A21C923F-CD96-47AB-BE0D-1355E389CD11}"/>
    <cellStyle name="Comma 2 2 3 2 2 6 4 6" xfId="38286" xr:uid="{25D08CCD-F7F0-4343-9297-0CC25DB94238}"/>
    <cellStyle name="Comma 2 2 3 2 2 6 4 7" xfId="20032" xr:uid="{65E192D6-CEE9-4FD8-90E4-87E8D05C7900}"/>
    <cellStyle name="Comma 2 2 3 2 2 6 5" xfId="1048" xr:uid="{10CB0FDC-1292-4F27-B519-FF520B2C4B50}"/>
    <cellStyle name="Comma 2 2 3 2 2 6 5 2" xfId="15648" xr:uid="{83E67FD4-D238-4B1A-A3E7-732742C2A00E}"/>
    <cellStyle name="Comma 2 2 3 2 2 6 5 2 2" xfId="52156" xr:uid="{8E8FA466-2ED1-428B-9F93-7AD878C0E032}"/>
    <cellStyle name="Comma 2 2 3 2 2 6 5 2 3" xfId="33902" xr:uid="{C4DC714D-F092-4495-AB9C-5A5F4BE47F87}"/>
    <cellStyle name="Comma 2 2 3 2 2 6 5 3" xfId="11998" xr:uid="{4F24A3AE-917F-4A96-9265-9034D38F18B1}"/>
    <cellStyle name="Comma 2 2 3 2 2 6 5 3 2" xfId="48506" xr:uid="{B96AC492-258C-49EA-B3DA-FAD89AC00CCD}"/>
    <cellStyle name="Comma 2 2 3 2 2 6 5 3 3" xfId="30252" xr:uid="{CB6D64BF-1188-4E64-B67A-96DD0AA78255}"/>
    <cellStyle name="Comma 2 2 3 2 2 6 5 4" xfId="8348" xr:uid="{6C07A3D9-82E5-438F-8126-820E70CFD617}"/>
    <cellStyle name="Comma 2 2 3 2 2 6 5 4 2" xfId="44856" xr:uid="{10615861-A63F-4BF4-8EA8-8B315C101EC4}"/>
    <cellStyle name="Comma 2 2 3 2 2 6 5 4 3" xfId="26602" xr:uid="{17F0C481-0461-4B5F-AB04-9C9BCB20421D}"/>
    <cellStyle name="Comma 2 2 3 2 2 6 5 5" xfId="4698" xr:uid="{8CCCD384-67CE-43E5-A0AD-BACF433050CE}"/>
    <cellStyle name="Comma 2 2 3 2 2 6 5 5 2" xfId="41206" xr:uid="{4F54EC14-BCBE-4A73-9D41-FC009205886D}"/>
    <cellStyle name="Comma 2 2 3 2 2 6 5 5 3" xfId="22952" xr:uid="{15C75620-BB03-4BAB-BC1E-B65A673B0C0D}"/>
    <cellStyle name="Comma 2 2 3 2 2 6 5 6" xfId="37556" xr:uid="{B0C74F0C-DB48-442D-B784-41E12836D93F}"/>
    <cellStyle name="Comma 2 2 3 2 2 6 5 7" xfId="19302" xr:uid="{28A77785-E641-41FC-9FE1-C043A0F69A25}"/>
    <cellStyle name="Comma 2 2 3 2 2 6 6" xfId="14918" xr:uid="{424AA8A1-B523-438D-A416-FCAA0751B368}"/>
    <cellStyle name="Comma 2 2 3 2 2 6 6 2" xfId="51426" xr:uid="{462689D6-559F-4F7F-8837-C1343CC0CF9B}"/>
    <cellStyle name="Comma 2 2 3 2 2 6 6 3" xfId="33172" xr:uid="{C3F282DE-6449-4718-ADAA-E48FC75FD3EF}"/>
    <cellStyle name="Comma 2 2 3 2 2 6 7" xfId="11268" xr:uid="{258F0227-641C-4474-B6BB-5C3F62478714}"/>
    <cellStyle name="Comma 2 2 3 2 2 6 7 2" xfId="47776" xr:uid="{CF26DCFC-6F78-49AB-869F-9CEADE562353}"/>
    <cellStyle name="Comma 2 2 3 2 2 6 7 3" xfId="29522" xr:uid="{F9EEDB2E-6978-4D95-92C6-23BE0342CCA2}"/>
    <cellStyle name="Comma 2 2 3 2 2 6 8" xfId="7618" xr:uid="{457B9A43-3539-40D4-81B5-3D2B11C50744}"/>
    <cellStyle name="Comma 2 2 3 2 2 6 8 2" xfId="44126" xr:uid="{B103E817-1EF3-4D0C-A727-0265577F7153}"/>
    <cellStyle name="Comma 2 2 3 2 2 6 8 3" xfId="25872" xr:uid="{CE648134-E6FD-48D3-8F01-B85756F47E42}"/>
    <cellStyle name="Comma 2 2 3 2 2 6 9" xfId="3968" xr:uid="{D3D9DFFD-DB59-4703-8C36-601AC4660170}"/>
    <cellStyle name="Comma 2 2 3 2 2 6 9 2" xfId="40476" xr:uid="{F8CE873B-6226-4CF1-8BE6-B76983C9C0C9}"/>
    <cellStyle name="Comma 2 2 3 2 2 6 9 3" xfId="22222" xr:uid="{A16EB10B-C70A-4FB8-B0ED-A149CF088088}"/>
    <cellStyle name="Comma 2 2 3 2 2 7" xfId="214" xr:uid="{3DF2190F-823F-4638-820E-2CB9B01E4A86}"/>
    <cellStyle name="Comma 2 2 3 2 2 7 10" xfId="36722" xr:uid="{CC7DDC5C-12DE-494C-896C-D219BC98022C}"/>
    <cellStyle name="Comma 2 2 3 2 2 7 11" xfId="18468" xr:uid="{C64714DB-17CC-458E-8DDF-5353CA33CE70}"/>
    <cellStyle name="Comma 2 2 3 2 2 7 2" xfId="3134" xr:uid="{5104CD74-CB0A-4081-8A3F-89AE5EBF1926}"/>
    <cellStyle name="Comma 2 2 3 2 2 7 2 2" xfId="17734" xr:uid="{3006C04D-E703-467F-98F5-08DBDB0FED34}"/>
    <cellStyle name="Comma 2 2 3 2 2 7 2 2 2" xfId="54242" xr:uid="{4C02DD7C-0D76-46E6-AFE3-EAF4090F93AD}"/>
    <cellStyle name="Comma 2 2 3 2 2 7 2 2 3" xfId="35988" xr:uid="{3DB64CEB-5EDD-4850-9908-1BFA5094E489}"/>
    <cellStyle name="Comma 2 2 3 2 2 7 2 3" xfId="14084" xr:uid="{DE946470-F04A-4D2C-A78E-7278B9F7EA8C}"/>
    <cellStyle name="Comma 2 2 3 2 2 7 2 3 2" xfId="50592" xr:uid="{1FFC8871-A6BC-4A12-A6A9-4ABBACC7CA7C}"/>
    <cellStyle name="Comma 2 2 3 2 2 7 2 3 3" xfId="32338" xr:uid="{64B2254B-1407-4B05-9558-EDEADDFAC8E0}"/>
    <cellStyle name="Comma 2 2 3 2 2 7 2 4" xfId="10434" xr:uid="{E5EA2CA1-ED22-4C0D-A945-E031A05D25DB}"/>
    <cellStyle name="Comma 2 2 3 2 2 7 2 4 2" xfId="46942" xr:uid="{8BDFA984-9AA5-4052-B4E5-58CCC14837DB}"/>
    <cellStyle name="Comma 2 2 3 2 2 7 2 4 3" xfId="28688" xr:uid="{CAB1BAB7-2EDE-491D-8771-23091324F69E}"/>
    <cellStyle name="Comma 2 2 3 2 2 7 2 5" xfId="6784" xr:uid="{F616763A-F781-4351-BF70-BFFF342A8D0C}"/>
    <cellStyle name="Comma 2 2 3 2 2 7 2 5 2" xfId="43292" xr:uid="{7F652BAE-4014-434B-B073-22BA970592DB}"/>
    <cellStyle name="Comma 2 2 3 2 2 7 2 5 3" xfId="25038" xr:uid="{964C3054-34C6-4A9E-861A-E26B92393882}"/>
    <cellStyle name="Comma 2 2 3 2 2 7 2 6" xfId="39642" xr:uid="{F8C5D517-1186-4B6A-AA83-28667BF2DE59}"/>
    <cellStyle name="Comma 2 2 3 2 2 7 2 7" xfId="21388" xr:uid="{0977BE94-DDAE-4A14-9A25-F9B13806D483}"/>
    <cellStyle name="Comma 2 2 3 2 2 7 3" xfId="2404" xr:uid="{888EA2A2-E5AA-481F-9EDC-83923FFE4B3A}"/>
    <cellStyle name="Comma 2 2 3 2 2 7 3 2" xfId="17004" xr:uid="{CB5CE3CC-4D16-4084-8169-5BF46ABB7AE2}"/>
    <cellStyle name="Comma 2 2 3 2 2 7 3 2 2" xfId="53512" xr:uid="{1DA9D9DF-3DA0-42DE-9B36-4D7E94EF4187}"/>
    <cellStyle name="Comma 2 2 3 2 2 7 3 2 3" xfId="35258" xr:uid="{23B2FA8A-569D-4447-8F86-889D72C30A68}"/>
    <cellStyle name="Comma 2 2 3 2 2 7 3 3" xfId="13354" xr:uid="{6B57CEEF-3035-41C5-BB98-9CE3AD5531C2}"/>
    <cellStyle name="Comma 2 2 3 2 2 7 3 3 2" xfId="49862" xr:uid="{E952458E-633C-4F55-84D7-03B6FEA5B83E}"/>
    <cellStyle name="Comma 2 2 3 2 2 7 3 3 3" xfId="31608" xr:uid="{9A88DD19-3EA9-4C90-BA75-4A15DF8A1A55}"/>
    <cellStyle name="Comma 2 2 3 2 2 7 3 4" xfId="9704" xr:uid="{D5FE0662-92C0-4B99-873F-790E24775151}"/>
    <cellStyle name="Comma 2 2 3 2 2 7 3 4 2" xfId="46212" xr:uid="{30677976-D957-45CA-931B-9BAA1327149C}"/>
    <cellStyle name="Comma 2 2 3 2 2 7 3 4 3" xfId="27958" xr:uid="{29145984-6EA6-4CF6-A717-461B4A1E2079}"/>
    <cellStyle name="Comma 2 2 3 2 2 7 3 5" xfId="6054" xr:uid="{308A1854-9875-42A4-B118-2B0EA8C006BB}"/>
    <cellStyle name="Comma 2 2 3 2 2 7 3 5 2" xfId="42562" xr:uid="{CEAC9251-1856-4AE5-939C-344FC0028C96}"/>
    <cellStyle name="Comma 2 2 3 2 2 7 3 5 3" xfId="24308" xr:uid="{2A74A4D0-D312-4635-BD42-294520EC6690}"/>
    <cellStyle name="Comma 2 2 3 2 2 7 3 6" xfId="38912" xr:uid="{63F3BA81-AB20-4F50-A73F-CC7CE3B26C4C}"/>
    <cellStyle name="Comma 2 2 3 2 2 7 3 7" xfId="20658" xr:uid="{F694BA6B-E7E2-4AEE-8284-2DE3FD27878F}"/>
    <cellStyle name="Comma 2 2 3 2 2 7 4" xfId="1674" xr:uid="{907DC9E7-AA1B-4170-AD2F-C223E37F7BB5}"/>
    <cellStyle name="Comma 2 2 3 2 2 7 4 2" xfId="16274" xr:uid="{3909C751-0936-43D2-B5A1-6C5C5EE250CA}"/>
    <cellStyle name="Comma 2 2 3 2 2 7 4 2 2" xfId="52782" xr:uid="{38D552E7-7D1F-4F52-AF5C-A51FEE92E666}"/>
    <cellStyle name="Comma 2 2 3 2 2 7 4 2 3" xfId="34528" xr:uid="{FEA0F8D7-40CE-4227-AC34-ECD3E73089E3}"/>
    <cellStyle name="Comma 2 2 3 2 2 7 4 3" xfId="12624" xr:uid="{8B99D15C-25E4-4602-8FF5-E5824D12DE12}"/>
    <cellStyle name="Comma 2 2 3 2 2 7 4 3 2" xfId="49132" xr:uid="{1530D9AD-C37F-408F-B78B-368B779DD5BA}"/>
    <cellStyle name="Comma 2 2 3 2 2 7 4 3 3" xfId="30878" xr:uid="{4C9A00C7-DADF-4BAD-9B97-A3C2617660FF}"/>
    <cellStyle name="Comma 2 2 3 2 2 7 4 4" xfId="8974" xr:uid="{C3506B17-32A7-4182-AD90-3C0F3B7D59D5}"/>
    <cellStyle name="Comma 2 2 3 2 2 7 4 4 2" xfId="45482" xr:uid="{DCBC5F4C-F1EA-42CF-98DE-1D3F6FFAFEB4}"/>
    <cellStyle name="Comma 2 2 3 2 2 7 4 4 3" xfId="27228" xr:uid="{0F6947A8-B7BF-4D1E-A672-81A55072C984}"/>
    <cellStyle name="Comma 2 2 3 2 2 7 4 5" xfId="5324" xr:uid="{7F2AAFD7-A63C-4993-8C63-1F1FF3A6D2C6}"/>
    <cellStyle name="Comma 2 2 3 2 2 7 4 5 2" xfId="41832" xr:uid="{A349AABE-5010-40FE-A3F0-ED2C6D3D280A}"/>
    <cellStyle name="Comma 2 2 3 2 2 7 4 5 3" xfId="23578" xr:uid="{59DD64A7-9772-42B7-851D-F0D62EA142E6}"/>
    <cellStyle name="Comma 2 2 3 2 2 7 4 6" xfId="38182" xr:uid="{E1130312-5594-47BB-A256-3B456BD5A965}"/>
    <cellStyle name="Comma 2 2 3 2 2 7 4 7" xfId="19928" xr:uid="{D1D5A96E-BD75-4286-A865-137EAC45D8F0}"/>
    <cellStyle name="Comma 2 2 3 2 2 7 5" xfId="944" xr:uid="{D6F35A25-8E0F-44F0-9534-4986C5463F7A}"/>
    <cellStyle name="Comma 2 2 3 2 2 7 5 2" xfId="15544" xr:uid="{3116F024-93B4-4C79-8287-C9D640DAAD9B}"/>
    <cellStyle name="Comma 2 2 3 2 2 7 5 2 2" xfId="52052" xr:uid="{9AD70E2D-1B1B-43E1-921D-9F1023AD26B7}"/>
    <cellStyle name="Comma 2 2 3 2 2 7 5 2 3" xfId="33798" xr:uid="{86622508-F70F-4DCF-9259-EAAD70BF6007}"/>
    <cellStyle name="Comma 2 2 3 2 2 7 5 3" xfId="11894" xr:uid="{3C44E7E2-7D63-43F5-85D7-3198E5751586}"/>
    <cellStyle name="Comma 2 2 3 2 2 7 5 3 2" xfId="48402" xr:uid="{AC7E0A4D-4C31-41A7-9262-CCFA62C52ECD}"/>
    <cellStyle name="Comma 2 2 3 2 2 7 5 3 3" xfId="30148" xr:uid="{94B94E5B-2F1B-426F-B265-AC12054D5099}"/>
    <cellStyle name="Comma 2 2 3 2 2 7 5 4" xfId="8244" xr:uid="{7B9A0999-5EA6-4D24-B08D-00ACC8754990}"/>
    <cellStyle name="Comma 2 2 3 2 2 7 5 4 2" xfId="44752" xr:uid="{D5D64BD8-A372-4946-9E82-3EDAE9CD781E}"/>
    <cellStyle name="Comma 2 2 3 2 2 7 5 4 3" xfId="26498" xr:uid="{F9805AF2-B29C-49ED-9B3B-C39ECBE0F81A}"/>
    <cellStyle name="Comma 2 2 3 2 2 7 5 5" xfId="4594" xr:uid="{16C2E8BE-85CC-4A8E-BF75-0640045FA335}"/>
    <cellStyle name="Comma 2 2 3 2 2 7 5 5 2" xfId="41102" xr:uid="{5A1DC11F-8E8D-489D-B26A-EEFE5C59AD0F}"/>
    <cellStyle name="Comma 2 2 3 2 2 7 5 5 3" xfId="22848" xr:uid="{F9F7EBF2-41CB-43D2-9795-EACD9205A3CB}"/>
    <cellStyle name="Comma 2 2 3 2 2 7 5 6" xfId="37452" xr:uid="{E129A9EC-EF0B-4A29-B734-7B4DFCB6FBA2}"/>
    <cellStyle name="Comma 2 2 3 2 2 7 5 7" xfId="19198" xr:uid="{91DD3160-6803-4E5A-B8F2-B4DDC60EBBFC}"/>
    <cellStyle name="Comma 2 2 3 2 2 7 6" xfId="14814" xr:uid="{71E555EC-AE1D-438F-B427-69B93944F87A}"/>
    <cellStyle name="Comma 2 2 3 2 2 7 6 2" xfId="51322" xr:uid="{E6F7DB5B-24E0-43CB-97C3-81CC8DF5EB84}"/>
    <cellStyle name="Comma 2 2 3 2 2 7 6 3" xfId="33068" xr:uid="{25453A98-E163-48B9-8359-F5FD68A9F917}"/>
    <cellStyle name="Comma 2 2 3 2 2 7 7" xfId="11164" xr:uid="{897F9F42-268B-4B5E-919F-9A65FD9046DA}"/>
    <cellStyle name="Comma 2 2 3 2 2 7 7 2" xfId="47672" xr:uid="{C7946EDC-665B-496C-AE8D-EE0CF24B3D95}"/>
    <cellStyle name="Comma 2 2 3 2 2 7 7 3" xfId="29418" xr:uid="{5ADC9458-3CE5-4298-8E70-21C3BE4FAE13}"/>
    <cellStyle name="Comma 2 2 3 2 2 7 8" xfId="7514" xr:uid="{12B97C71-1F13-49A9-A4ED-3F96BE597EE3}"/>
    <cellStyle name="Comma 2 2 3 2 2 7 8 2" xfId="44022" xr:uid="{CACD0984-CF35-4D26-83AE-BD06283B6EB7}"/>
    <cellStyle name="Comma 2 2 3 2 2 7 8 3" xfId="25768" xr:uid="{3FA13D7F-E44D-411C-B1BE-B182FD912449}"/>
    <cellStyle name="Comma 2 2 3 2 2 7 9" xfId="3864" xr:uid="{2101AE45-FF0F-4AED-B710-C6BC2B8C52AF}"/>
    <cellStyle name="Comma 2 2 3 2 2 7 9 2" xfId="40372" xr:uid="{786BC634-9FFC-4DCD-AEE5-5B943CEDB0CB}"/>
    <cellStyle name="Comma 2 2 3 2 2 7 9 3" xfId="22118" xr:uid="{E34DD381-AEE5-4BA4-B37E-6BE117D22F2E}"/>
    <cellStyle name="Comma 2 2 3 2 2 8" xfId="3030" xr:uid="{B423E256-C240-489D-B5B4-55DEA89D73EE}"/>
    <cellStyle name="Comma 2 2 3 2 2 8 2" xfId="17630" xr:uid="{9DCB1603-74C6-437C-9E7C-76ACEAC5140F}"/>
    <cellStyle name="Comma 2 2 3 2 2 8 2 2" xfId="54138" xr:uid="{494000FD-3C21-47A0-BD4A-FFBA190F7C41}"/>
    <cellStyle name="Comma 2 2 3 2 2 8 2 3" xfId="35884" xr:uid="{0B736C48-4DEA-463B-9339-4D4A91C12477}"/>
    <cellStyle name="Comma 2 2 3 2 2 8 3" xfId="13980" xr:uid="{A073449E-CD6E-4F63-A7A3-FAE0D4DC0956}"/>
    <cellStyle name="Comma 2 2 3 2 2 8 3 2" xfId="50488" xr:uid="{86127969-C24A-4A2D-8CCA-F7C7B57475CB}"/>
    <cellStyle name="Comma 2 2 3 2 2 8 3 3" xfId="32234" xr:uid="{22BB9562-5469-4E0E-8E10-894C9229020B}"/>
    <cellStyle name="Comma 2 2 3 2 2 8 4" xfId="10330" xr:uid="{E4FFBC49-3B98-481A-A401-E6D6B1FF7863}"/>
    <cellStyle name="Comma 2 2 3 2 2 8 4 2" xfId="46838" xr:uid="{6F027CB4-00D5-4D72-9E28-FA3C1D5F955D}"/>
    <cellStyle name="Comma 2 2 3 2 2 8 4 3" xfId="28584" xr:uid="{BE578F9E-250A-43F0-8905-5907CEFF0B4F}"/>
    <cellStyle name="Comma 2 2 3 2 2 8 5" xfId="6680" xr:uid="{1679E7F9-5833-4DA4-98E4-5D1355E1ACF4}"/>
    <cellStyle name="Comma 2 2 3 2 2 8 5 2" xfId="43188" xr:uid="{06FB79E6-9692-443A-931D-3B02F7FD31A6}"/>
    <cellStyle name="Comma 2 2 3 2 2 8 5 3" xfId="24934" xr:uid="{4A342ADA-DD4D-4E80-A0C9-42919E7DC639}"/>
    <cellStyle name="Comma 2 2 3 2 2 8 6" xfId="39538" xr:uid="{F5AF3064-40C8-4380-8C8E-4BFC82232CA4}"/>
    <cellStyle name="Comma 2 2 3 2 2 8 7" xfId="21284" xr:uid="{5DE371FF-9289-4C88-A8C0-D193727BBD31}"/>
    <cellStyle name="Comma 2 2 3 2 2 9" xfId="2300" xr:uid="{023D903D-1A0D-49A4-B37E-93419D0A6D82}"/>
    <cellStyle name="Comma 2 2 3 2 2 9 2" xfId="16900" xr:uid="{044AF605-DC0D-4C49-9344-68832EC28F68}"/>
    <cellStyle name="Comma 2 2 3 2 2 9 2 2" xfId="53408" xr:uid="{B0C9690A-C39A-4F05-8FDC-157339A96519}"/>
    <cellStyle name="Comma 2 2 3 2 2 9 2 3" xfId="35154" xr:uid="{177CC51D-3721-4968-87B1-C66DF1263296}"/>
    <cellStyle name="Comma 2 2 3 2 2 9 3" xfId="13250" xr:uid="{696AF2A1-1D82-4070-9269-27828DB01A86}"/>
    <cellStyle name="Comma 2 2 3 2 2 9 3 2" xfId="49758" xr:uid="{0B353622-08AF-4A4F-9611-9252A10310EE}"/>
    <cellStyle name="Comma 2 2 3 2 2 9 3 3" xfId="31504" xr:uid="{2F601B16-48D5-43DE-93D0-63497D1EE0A4}"/>
    <cellStyle name="Comma 2 2 3 2 2 9 4" xfId="9600" xr:uid="{EA06F42B-05F0-4A91-B27B-E0C1496823CC}"/>
    <cellStyle name="Comma 2 2 3 2 2 9 4 2" xfId="46108" xr:uid="{783C7229-C659-4196-97BB-82B17AE672C8}"/>
    <cellStyle name="Comma 2 2 3 2 2 9 4 3" xfId="27854" xr:uid="{7C4D7CBA-AD8C-462E-A290-2AA3FBF57678}"/>
    <cellStyle name="Comma 2 2 3 2 2 9 5" xfId="5950" xr:uid="{7EA6288E-7BC9-48F8-8D1D-7579DBBC4CB7}"/>
    <cellStyle name="Comma 2 2 3 2 2 9 5 2" xfId="42458" xr:uid="{4D88977C-742F-447C-A8BE-99A5CE1134FF}"/>
    <cellStyle name="Comma 2 2 3 2 2 9 5 3" xfId="24204" xr:uid="{2DB69F9C-3163-413A-B55E-B7FEE883AF14}"/>
    <cellStyle name="Comma 2 2 3 2 2 9 6" xfId="38808" xr:uid="{0A403734-1B4D-4C14-ACAD-13D051DD4BC3}"/>
    <cellStyle name="Comma 2 2 3 2 2 9 7" xfId="20554" xr:uid="{45355628-EBE3-4D30-ACEB-D454D74FF0D3}"/>
    <cellStyle name="Comma 2 2 3 2 3" xfId="75" xr:uid="{62F80B0D-A751-4A61-BC7E-911D51E4E3B6}"/>
    <cellStyle name="Comma 2 2 3 2 3 10" xfId="1538" xr:uid="{FD762368-B199-4A4E-B02A-A85E0D5BB54B}"/>
    <cellStyle name="Comma 2 2 3 2 3 10 2" xfId="16138" xr:uid="{960A59B9-191C-416A-9993-18DF3626FB40}"/>
    <cellStyle name="Comma 2 2 3 2 3 10 2 2" xfId="52646" xr:uid="{22B33083-293C-4939-B089-F9B24F7B3DDD}"/>
    <cellStyle name="Comma 2 2 3 2 3 10 2 3" xfId="34392" xr:uid="{B313D418-140C-41D0-9C1B-4E70FA325A5B}"/>
    <cellStyle name="Comma 2 2 3 2 3 10 3" xfId="12488" xr:uid="{3675FA76-9428-4F61-9968-077770D09A39}"/>
    <cellStyle name="Comma 2 2 3 2 3 10 3 2" xfId="48996" xr:uid="{D4B73894-B19D-4AD4-9378-8646B6E96BC8}"/>
    <cellStyle name="Comma 2 2 3 2 3 10 3 3" xfId="30742" xr:uid="{DAD9C113-447A-432C-8C7C-C4563CB6C4DA}"/>
    <cellStyle name="Comma 2 2 3 2 3 10 4" xfId="8838" xr:uid="{62DBFE5D-9DCC-4E0B-BC08-D0774EB17CC7}"/>
    <cellStyle name="Comma 2 2 3 2 3 10 4 2" xfId="45346" xr:uid="{247D2B0B-EB1C-4D38-8C89-AA1FD7F5E7AE}"/>
    <cellStyle name="Comma 2 2 3 2 3 10 4 3" xfId="27092" xr:uid="{C2BEDC65-9443-44F0-9BFB-03680C6382A5}"/>
    <cellStyle name="Comma 2 2 3 2 3 10 5" xfId="5188" xr:uid="{F77FD0B5-9082-4BAA-9541-45F5033AC31F}"/>
    <cellStyle name="Comma 2 2 3 2 3 10 5 2" xfId="41696" xr:uid="{F3BFF06F-4D9F-4D9A-A6F8-65C024B3C520}"/>
    <cellStyle name="Comma 2 2 3 2 3 10 5 3" xfId="23442" xr:uid="{85EBF1D1-1110-49E0-B490-BD522E168565}"/>
    <cellStyle name="Comma 2 2 3 2 3 10 6" xfId="38046" xr:uid="{77B0D34A-8CBB-4B25-B6AC-4C45B462530E}"/>
    <cellStyle name="Comma 2 2 3 2 3 10 7" xfId="19792" xr:uid="{7322FA74-BA89-41A7-9AE9-9C79AAE99008}"/>
    <cellStyle name="Comma 2 2 3 2 3 11" xfId="808" xr:uid="{9AFE7712-ED19-43B1-9E53-8ABB85DC3933}"/>
    <cellStyle name="Comma 2 2 3 2 3 11 2" xfId="15408" xr:uid="{5668E36C-B186-4E17-B067-D60320BF297A}"/>
    <cellStyle name="Comma 2 2 3 2 3 11 2 2" xfId="51916" xr:uid="{598091A2-23E9-4E9C-B056-0A1B6D456D0F}"/>
    <cellStyle name="Comma 2 2 3 2 3 11 2 3" xfId="33662" xr:uid="{F38A9EED-A1A8-4534-B5B7-6EB9983062D7}"/>
    <cellStyle name="Comma 2 2 3 2 3 11 3" xfId="11758" xr:uid="{0952EC08-FD7F-43D0-A43D-3609AB85B507}"/>
    <cellStyle name="Comma 2 2 3 2 3 11 3 2" xfId="48266" xr:uid="{35FA079F-C7B8-4B01-9667-B23E57D6272D}"/>
    <cellStyle name="Comma 2 2 3 2 3 11 3 3" xfId="30012" xr:uid="{062F3188-30F9-4E28-82C0-588DBFCC8B69}"/>
    <cellStyle name="Comma 2 2 3 2 3 11 4" xfId="8108" xr:uid="{43342B7E-45BB-4B10-A33A-AF5B2C505BA3}"/>
    <cellStyle name="Comma 2 2 3 2 3 11 4 2" xfId="44616" xr:uid="{5F45204C-4397-47C5-B3B7-B2187B2ABA3E}"/>
    <cellStyle name="Comma 2 2 3 2 3 11 4 3" xfId="26362" xr:uid="{E49D5356-D0D9-4214-AA6D-2F97EDC3314D}"/>
    <cellStyle name="Comma 2 2 3 2 3 11 5" xfId="4458" xr:uid="{152D386F-FC2F-4268-B07F-4C91715B1B97}"/>
    <cellStyle name="Comma 2 2 3 2 3 11 5 2" xfId="40966" xr:uid="{B7772E80-96D4-4DC5-B584-18AD8285B7F0}"/>
    <cellStyle name="Comma 2 2 3 2 3 11 5 3" xfId="22712" xr:uid="{63382868-C499-4333-811F-08D884185C7E}"/>
    <cellStyle name="Comma 2 2 3 2 3 11 6" xfId="37316" xr:uid="{C5BCFE9C-1558-4966-A7FC-7B6BF9BBF906}"/>
    <cellStyle name="Comma 2 2 3 2 3 11 7" xfId="19062" xr:uid="{0EA008DE-01EE-4BF3-99C0-02E0CF9A0EAE}"/>
    <cellStyle name="Comma 2 2 3 2 3 12" xfId="14678" xr:uid="{E7545794-19F3-4F4B-9846-C365A3F07BE7}"/>
    <cellStyle name="Comma 2 2 3 2 3 12 2" xfId="51186" xr:uid="{FE8552B6-1B5E-4DE8-A3A7-324B99B21FD9}"/>
    <cellStyle name="Comma 2 2 3 2 3 12 3" xfId="32932" xr:uid="{265C0933-764E-4A07-AEE2-73B1083A9A5D}"/>
    <cellStyle name="Comma 2 2 3 2 3 13" xfId="11028" xr:uid="{6B3C5084-2041-437D-BCAA-F3C2B049216A}"/>
    <cellStyle name="Comma 2 2 3 2 3 13 2" xfId="47536" xr:uid="{8C0F5368-2359-433F-84F4-9282AF50115D}"/>
    <cellStyle name="Comma 2 2 3 2 3 13 3" xfId="29282" xr:uid="{5F680366-6226-4285-A085-C72F3B12472B}"/>
    <cellStyle name="Comma 2 2 3 2 3 14" xfId="7378" xr:uid="{AC85BD8C-9092-4803-85EE-78F1156230CF}"/>
    <cellStyle name="Comma 2 2 3 2 3 14 2" xfId="43886" xr:uid="{988504E9-E6C0-4DF2-9B94-65F96015E2DC}"/>
    <cellStyle name="Comma 2 2 3 2 3 14 3" xfId="25632" xr:uid="{E37AA80C-05E0-4CDC-AF82-376E7F7D936F}"/>
    <cellStyle name="Comma 2 2 3 2 3 15" xfId="3728" xr:uid="{40414940-A61D-429B-B77F-5F81D4F8B5D6}"/>
    <cellStyle name="Comma 2 2 3 2 3 15 2" xfId="40236" xr:uid="{64162713-0B80-41ED-AC08-C9444F1FF089}"/>
    <cellStyle name="Comma 2 2 3 2 3 15 3" xfId="21982" xr:uid="{784AD9BF-E732-46FC-86C9-EABF8F16B8E8}"/>
    <cellStyle name="Comma 2 2 3 2 3 16" xfId="36586" xr:uid="{3C4F768C-E202-45F5-9301-D6887C9D7CA1}"/>
    <cellStyle name="Comma 2 2 3 2 3 17" xfId="18332" xr:uid="{CF035CAF-1E13-4B9F-A523-DF14B8201156}"/>
    <cellStyle name="Comma 2 2 3 2 3 2" xfId="702" xr:uid="{2384234D-0A1C-4DD8-A642-B6A95E0364C6}"/>
    <cellStyle name="Comma 2 2 3 2 3 2 10" xfId="37210" xr:uid="{A53EFF21-8372-4E9D-8925-31FFF2DB0D75}"/>
    <cellStyle name="Comma 2 2 3 2 3 2 11" xfId="18956" xr:uid="{256991A0-85E5-4D37-8C4B-DF17D7693999}"/>
    <cellStyle name="Comma 2 2 3 2 3 2 2" xfId="3622" xr:uid="{B8C9603E-AFE9-495C-B9B8-7B24A7901B6C}"/>
    <cellStyle name="Comma 2 2 3 2 3 2 2 2" xfId="18222" xr:uid="{32AFE511-9CC2-4653-870E-25EA8E91B09F}"/>
    <cellStyle name="Comma 2 2 3 2 3 2 2 2 2" xfId="54730" xr:uid="{E1DAF57C-6421-48EA-8DE7-8C8C05B9758E}"/>
    <cellStyle name="Comma 2 2 3 2 3 2 2 2 3" xfId="36476" xr:uid="{772302C0-CC7C-4CB9-93D9-E7C66C9601F5}"/>
    <cellStyle name="Comma 2 2 3 2 3 2 2 3" xfId="14572" xr:uid="{9C61414F-EC11-46B5-8B4C-C19818F6B1AD}"/>
    <cellStyle name="Comma 2 2 3 2 3 2 2 3 2" xfId="51080" xr:uid="{270709A9-0689-4922-9513-EFBA3C7F261C}"/>
    <cellStyle name="Comma 2 2 3 2 3 2 2 3 3" xfId="32826" xr:uid="{0F7FD6D5-3862-4348-9678-70019FF7F7EA}"/>
    <cellStyle name="Comma 2 2 3 2 3 2 2 4" xfId="10922" xr:uid="{4FF0E3A1-AE2D-4E20-A58B-DE3AA089844E}"/>
    <cellStyle name="Comma 2 2 3 2 3 2 2 4 2" xfId="47430" xr:uid="{4228DBDF-CA11-4F14-9E05-7FD518897E5E}"/>
    <cellStyle name="Comma 2 2 3 2 3 2 2 4 3" xfId="29176" xr:uid="{3F264155-A865-40F6-8391-3EF81C2040AF}"/>
    <cellStyle name="Comma 2 2 3 2 3 2 2 5" xfId="7272" xr:uid="{58C228C3-1F79-4854-9D5D-7B9142616E21}"/>
    <cellStyle name="Comma 2 2 3 2 3 2 2 5 2" xfId="43780" xr:uid="{0979F058-9D2B-4BF8-AA88-F13F79F860F2}"/>
    <cellStyle name="Comma 2 2 3 2 3 2 2 5 3" xfId="25526" xr:uid="{B2D5FC55-230A-4056-86A7-BC50F5574C34}"/>
    <cellStyle name="Comma 2 2 3 2 3 2 2 6" xfId="40130" xr:uid="{3743C61E-90D0-44D1-9429-113C02ED2E96}"/>
    <cellStyle name="Comma 2 2 3 2 3 2 2 7" xfId="21876" xr:uid="{C09BEAB4-BBAA-40BB-86BB-4497673841EE}"/>
    <cellStyle name="Comma 2 2 3 2 3 2 3" xfId="2892" xr:uid="{B98E0CF3-316B-4EED-9755-5DD515A39431}"/>
    <cellStyle name="Comma 2 2 3 2 3 2 3 2" xfId="17492" xr:uid="{0865C279-D103-433C-AFBB-1635BD57292B}"/>
    <cellStyle name="Comma 2 2 3 2 3 2 3 2 2" xfId="54000" xr:uid="{C915B144-4255-423B-8713-84100B7250C3}"/>
    <cellStyle name="Comma 2 2 3 2 3 2 3 2 3" xfId="35746" xr:uid="{71E9ABB7-FAAF-41E5-B51D-B6B6C8FCF02A}"/>
    <cellStyle name="Comma 2 2 3 2 3 2 3 3" xfId="13842" xr:uid="{23189B50-AF3F-45A8-8D09-8E15244CF507}"/>
    <cellStyle name="Comma 2 2 3 2 3 2 3 3 2" xfId="50350" xr:uid="{13783BAC-F950-4748-8949-60465A84EC28}"/>
    <cellStyle name="Comma 2 2 3 2 3 2 3 3 3" xfId="32096" xr:uid="{F8CC0646-B622-4823-AF9E-F6136BDBC3E2}"/>
    <cellStyle name="Comma 2 2 3 2 3 2 3 4" xfId="10192" xr:uid="{CF536785-EF94-4220-9B52-830F443B1266}"/>
    <cellStyle name="Comma 2 2 3 2 3 2 3 4 2" xfId="46700" xr:uid="{4B0FEC16-DAEA-4A53-8C6F-1539A2825B7F}"/>
    <cellStyle name="Comma 2 2 3 2 3 2 3 4 3" xfId="28446" xr:uid="{92584750-732A-4EA8-86D9-E25C2855FB84}"/>
    <cellStyle name="Comma 2 2 3 2 3 2 3 5" xfId="6542" xr:uid="{B54B0838-056B-4679-986E-F113C26306D2}"/>
    <cellStyle name="Comma 2 2 3 2 3 2 3 5 2" xfId="43050" xr:uid="{1B7DD01F-0F03-49BE-99EF-6F72349537AD}"/>
    <cellStyle name="Comma 2 2 3 2 3 2 3 5 3" xfId="24796" xr:uid="{590F86BD-1BDF-4CC1-893E-917C216CC26A}"/>
    <cellStyle name="Comma 2 2 3 2 3 2 3 6" xfId="39400" xr:uid="{C41014A4-1F70-4CE1-86A4-1D665928245B}"/>
    <cellStyle name="Comma 2 2 3 2 3 2 3 7" xfId="21146" xr:uid="{91818E9F-268F-49B0-B78A-1816206FA74D}"/>
    <cellStyle name="Comma 2 2 3 2 3 2 4" xfId="2162" xr:uid="{262ECB8C-4B51-4B31-99F5-40B1E562E7EA}"/>
    <cellStyle name="Comma 2 2 3 2 3 2 4 2" xfId="16762" xr:uid="{D03590E8-A26B-4420-9E6A-8601396D8882}"/>
    <cellStyle name="Comma 2 2 3 2 3 2 4 2 2" xfId="53270" xr:uid="{B9A57C6C-05D6-49ED-8419-1C49C922F15F}"/>
    <cellStyle name="Comma 2 2 3 2 3 2 4 2 3" xfId="35016" xr:uid="{CD0159C7-891E-41F9-A83B-2CB2D9FFAB60}"/>
    <cellStyle name="Comma 2 2 3 2 3 2 4 3" xfId="13112" xr:uid="{ABEE73D9-C3E4-4427-A4F7-B472434915FA}"/>
    <cellStyle name="Comma 2 2 3 2 3 2 4 3 2" xfId="49620" xr:uid="{746AFDD4-9A80-4294-BEB5-3CE01B2B58BB}"/>
    <cellStyle name="Comma 2 2 3 2 3 2 4 3 3" xfId="31366" xr:uid="{F5574F37-6745-496F-A325-9A9F856F65AF}"/>
    <cellStyle name="Comma 2 2 3 2 3 2 4 4" xfId="9462" xr:uid="{4D8FE3FF-1C84-4ED7-B2EC-5D527897C768}"/>
    <cellStyle name="Comma 2 2 3 2 3 2 4 4 2" xfId="45970" xr:uid="{EAA595C3-18C5-43F5-B4F1-71B0DF4E3BF6}"/>
    <cellStyle name="Comma 2 2 3 2 3 2 4 4 3" xfId="27716" xr:uid="{90BD6FC5-5D2E-4B45-BC99-6F9081CBE6BE}"/>
    <cellStyle name="Comma 2 2 3 2 3 2 4 5" xfId="5812" xr:uid="{EE101ED8-68E3-4B32-B5D7-81E04FC7C92D}"/>
    <cellStyle name="Comma 2 2 3 2 3 2 4 5 2" xfId="42320" xr:uid="{9D57732A-257A-4EC6-B261-DA35EBC583BD}"/>
    <cellStyle name="Comma 2 2 3 2 3 2 4 5 3" xfId="24066" xr:uid="{C808662F-12FA-43FD-9A43-26668DAAAB35}"/>
    <cellStyle name="Comma 2 2 3 2 3 2 4 6" xfId="38670" xr:uid="{6359E7E4-5121-40D6-B187-5C4D54053BCE}"/>
    <cellStyle name="Comma 2 2 3 2 3 2 4 7" xfId="20416" xr:uid="{9C82F405-11FB-4B4F-A37B-EB23D5932C04}"/>
    <cellStyle name="Comma 2 2 3 2 3 2 5" xfId="1432" xr:uid="{4B164BC6-A85E-46A2-8CEE-E1130293B6BA}"/>
    <cellStyle name="Comma 2 2 3 2 3 2 5 2" xfId="16032" xr:uid="{3A777E77-EE23-4799-89D8-85611A6FA344}"/>
    <cellStyle name="Comma 2 2 3 2 3 2 5 2 2" xfId="52540" xr:uid="{8F47EA98-BCCD-4596-9452-31C3746E0541}"/>
    <cellStyle name="Comma 2 2 3 2 3 2 5 2 3" xfId="34286" xr:uid="{FA8035D3-1E0E-4EE5-888F-41A5BCF584B7}"/>
    <cellStyle name="Comma 2 2 3 2 3 2 5 3" xfId="12382" xr:uid="{C0ED6AE4-19E0-4238-A81C-6C60F432BE9E}"/>
    <cellStyle name="Comma 2 2 3 2 3 2 5 3 2" xfId="48890" xr:uid="{D07EDF52-A289-451A-A002-801B572EBAE1}"/>
    <cellStyle name="Comma 2 2 3 2 3 2 5 3 3" xfId="30636" xr:uid="{A9B34AFD-63B1-47D3-97BC-CA6D6AC4585C}"/>
    <cellStyle name="Comma 2 2 3 2 3 2 5 4" xfId="8732" xr:uid="{58E2600C-2F4D-4ECE-9507-25894EC7610A}"/>
    <cellStyle name="Comma 2 2 3 2 3 2 5 4 2" xfId="45240" xr:uid="{9691C9E8-05C1-45DA-B2A4-12E35C617759}"/>
    <cellStyle name="Comma 2 2 3 2 3 2 5 4 3" xfId="26986" xr:uid="{7476CD04-A828-4594-BB85-4A6FB535EFBA}"/>
    <cellStyle name="Comma 2 2 3 2 3 2 5 5" xfId="5082" xr:uid="{63E1B86F-6C58-4622-B0E0-54687DA71FB1}"/>
    <cellStyle name="Comma 2 2 3 2 3 2 5 5 2" xfId="41590" xr:uid="{D5D3541A-10D2-4E71-AA57-E41D753AA46E}"/>
    <cellStyle name="Comma 2 2 3 2 3 2 5 5 3" xfId="23336" xr:uid="{BD2707D1-00C9-4FFF-B8BB-44A215238C81}"/>
    <cellStyle name="Comma 2 2 3 2 3 2 5 6" xfId="37940" xr:uid="{5448394F-8B62-41F4-B8EB-EAE9D746314A}"/>
    <cellStyle name="Comma 2 2 3 2 3 2 5 7" xfId="19686" xr:uid="{60273193-9615-43DC-85B6-53159B6D1D54}"/>
    <cellStyle name="Comma 2 2 3 2 3 2 6" xfId="15302" xr:uid="{F883233D-DC9A-4A6F-888A-1ACC3A6D9F1E}"/>
    <cellStyle name="Comma 2 2 3 2 3 2 6 2" xfId="51810" xr:uid="{5C5A1576-E294-4D9E-AD5F-996C3A044C5D}"/>
    <cellStyle name="Comma 2 2 3 2 3 2 6 3" xfId="33556" xr:uid="{64D56B35-B573-48DB-98C7-0E84263DD0E5}"/>
    <cellStyle name="Comma 2 2 3 2 3 2 7" xfId="11652" xr:uid="{9260A6B3-D21C-4FBB-911C-C58E4360C383}"/>
    <cellStyle name="Comma 2 2 3 2 3 2 7 2" xfId="48160" xr:uid="{F024229B-4DA2-4E19-A1CD-9DFC6061EDCB}"/>
    <cellStyle name="Comma 2 2 3 2 3 2 7 3" xfId="29906" xr:uid="{FAB7D7FC-495D-48FF-AA10-1BBCEF70414D}"/>
    <cellStyle name="Comma 2 2 3 2 3 2 8" xfId="8002" xr:uid="{43124134-9F89-4D41-8601-513A5A5C09F6}"/>
    <cellStyle name="Comma 2 2 3 2 3 2 8 2" xfId="44510" xr:uid="{C1D37E0B-559D-44B0-9A39-5E8E8480BFD2}"/>
    <cellStyle name="Comma 2 2 3 2 3 2 8 3" xfId="26256" xr:uid="{495A7DA4-B5EC-409C-AF8F-7C71AECF6724}"/>
    <cellStyle name="Comma 2 2 3 2 3 2 9" xfId="4352" xr:uid="{36FCC877-5493-4D9F-9167-6A9F432F535E}"/>
    <cellStyle name="Comma 2 2 3 2 3 2 9 2" xfId="40860" xr:uid="{4B1A4DB1-AB9D-46DB-992C-51B92FA99F42}"/>
    <cellStyle name="Comma 2 2 3 2 3 2 9 3" xfId="22606" xr:uid="{E414A883-10EB-497E-BEA1-4FCC46F6049C}"/>
    <cellStyle name="Comma 2 2 3 2 3 3" xfId="598" xr:uid="{102C21E7-8576-452A-8F8D-9C628B9B8E64}"/>
    <cellStyle name="Comma 2 2 3 2 3 3 10" xfId="37106" xr:uid="{58033ADF-6715-403D-8205-9064B07FB253}"/>
    <cellStyle name="Comma 2 2 3 2 3 3 11" xfId="18852" xr:uid="{1FD23F71-3749-463F-BC49-7CFA7ED63507}"/>
    <cellStyle name="Comma 2 2 3 2 3 3 2" xfId="3518" xr:uid="{DD769860-56F4-4385-969F-8B90F6423A8E}"/>
    <cellStyle name="Comma 2 2 3 2 3 3 2 2" xfId="18118" xr:uid="{DCA8727D-1ADC-42B2-AB25-229AE9438978}"/>
    <cellStyle name="Comma 2 2 3 2 3 3 2 2 2" xfId="54626" xr:uid="{5E8DB5FA-BEEC-46F0-98FC-C703EECF0518}"/>
    <cellStyle name="Comma 2 2 3 2 3 3 2 2 3" xfId="36372" xr:uid="{3A1484F5-1756-4509-9EE3-B0238A250567}"/>
    <cellStyle name="Comma 2 2 3 2 3 3 2 3" xfId="14468" xr:uid="{1E901D17-4A6B-4698-B6CC-93F7BC89D30E}"/>
    <cellStyle name="Comma 2 2 3 2 3 3 2 3 2" xfId="50976" xr:uid="{D967912F-988A-44D7-BBE1-D561C8C9EB7E}"/>
    <cellStyle name="Comma 2 2 3 2 3 3 2 3 3" xfId="32722" xr:uid="{E1F58D5F-509A-4BC8-967B-E3AB3E6ABE4C}"/>
    <cellStyle name="Comma 2 2 3 2 3 3 2 4" xfId="10818" xr:uid="{5833C6D5-0CCF-4391-BB96-92FF544F4346}"/>
    <cellStyle name="Comma 2 2 3 2 3 3 2 4 2" xfId="47326" xr:uid="{433D00B9-FC75-4DFB-85FA-9FD6A249BB16}"/>
    <cellStyle name="Comma 2 2 3 2 3 3 2 4 3" xfId="29072" xr:uid="{54EA0D9D-99D2-43FE-9CB3-DAA59A884240}"/>
    <cellStyle name="Comma 2 2 3 2 3 3 2 5" xfId="7168" xr:uid="{E69592DF-6569-47B8-9CE1-A49BB5D986E3}"/>
    <cellStyle name="Comma 2 2 3 2 3 3 2 5 2" xfId="43676" xr:uid="{40FA6B28-8E91-4CCC-85F3-2552AB0E6C75}"/>
    <cellStyle name="Comma 2 2 3 2 3 3 2 5 3" xfId="25422" xr:uid="{D56ACA49-0066-4F66-A3B8-B84EF0A425A2}"/>
    <cellStyle name="Comma 2 2 3 2 3 3 2 6" xfId="40026" xr:uid="{5AB8C0BF-D962-4AD1-BACA-7A8FB238E0A1}"/>
    <cellStyle name="Comma 2 2 3 2 3 3 2 7" xfId="21772" xr:uid="{BE47222E-6C30-46C5-8257-B8E3322D4F16}"/>
    <cellStyle name="Comma 2 2 3 2 3 3 3" xfId="2788" xr:uid="{C785938B-92F0-47B6-ACB0-F6BF9069BAA3}"/>
    <cellStyle name="Comma 2 2 3 2 3 3 3 2" xfId="17388" xr:uid="{37E76B06-AEEB-4821-96A4-1DF119AACE6C}"/>
    <cellStyle name="Comma 2 2 3 2 3 3 3 2 2" xfId="53896" xr:uid="{B837987C-D165-4201-B100-83C3F5E4DE1D}"/>
    <cellStyle name="Comma 2 2 3 2 3 3 3 2 3" xfId="35642" xr:uid="{710373D1-79FE-44DF-94F7-B741B9754517}"/>
    <cellStyle name="Comma 2 2 3 2 3 3 3 3" xfId="13738" xr:uid="{CC29FE00-DD10-4E42-AB74-4BF46B19FEFC}"/>
    <cellStyle name="Comma 2 2 3 2 3 3 3 3 2" xfId="50246" xr:uid="{92B3AA6E-FC74-481F-92EB-E68E8587DBB6}"/>
    <cellStyle name="Comma 2 2 3 2 3 3 3 3 3" xfId="31992" xr:uid="{280EC287-98CE-4CFF-9294-7EA904039B62}"/>
    <cellStyle name="Comma 2 2 3 2 3 3 3 4" xfId="10088" xr:uid="{D29050BC-94B6-42B8-9625-5B9109457850}"/>
    <cellStyle name="Comma 2 2 3 2 3 3 3 4 2" xfId="46596" xr:uid="{D6BD409F-2628-435C-B077-1CBA08A6419D}"/>
    <cellStyle name="Comma 2 2 3 2 3 3 3 4 3" xfId="28342" xr:uid="{B6722A0F-D564-49E5-87B3-15346FB6B3B4}"/>
    <cellStyle name="Comma 2 2 3 2 3 3 3 5" xfId="6438" xr:uid="{170905C8-DC4A-4E78-BED9-5F6971DBC67C}"/>
    <cellStyle name="Comma 2 2 3 2 3 3 3 5 2" xfId="42946" xr:uid="{7C5C4A49-4E5D-43CE-8023-45499EBD8FE9}"/>
    <cellStyle name="Comma 2 2 3 2 3 3 3 5 3" xfId="24692" xr:uid="{0D693062-74A2-4036-B154-A5DA39C76B23}"/>
    <cellStyle name="Comma 2 2 3 2 3 3 3 6" xfId="39296" xr:uid="{276C6B45-FD73-4DDF-9A57-A8D88AD58F92}"/>
    <cellStyle name="Comma 2 2 3 2 3 3 3 7" xfId="21042" xr:uid="{6C76E185-6539-4FBF-9370-782E22436D1D}"/>
    <cellStyle name="Comma 2 2 3 2 3 3 4" xfId="2058" xr:uid="{3C53DB13-9793-4C83-93EA-0805B1F0F509}"/>
    <cellStyle name="Comma 2 2 3 2 3 3 4 2" xfId="16658" xr:uid="{185BACFC-97DC-4857-8930-D6AB55282884}"/>
    <cellStyle name="Comma 2 2 3 2 3 3 4 2 2" xfId="53166" xr:uid="{A992FE9B-8E7A-480B-AFC2-70A3A7AC5F7B}"/>
    <cellStyle name="Comma 2 2 3 2 3 3 4 2 3" xfId="34912" xr:uid="{2EFDCFDD-99F7-45CE-ACD5-A659033389B5}"/>
    <cellStyle name="Comma 2 2 3 2 3 3 4 3" xfId="13008" xr:uid="{9E0ACB71-EF71-4042-9A73-FB40DC6AE8E7}"/>
    <cellStyle name="Comma 2 2 3 2 3 3 4 3 2" xfId="49516" xr:uid="{F2AD68CB-B636-48ED-8AB3-DACBDB5DA5EC}"/>
    <cellStyle name="Comma 2 2 3 2 3 3 4 3 3" xfId="31262" xr:uid="{81A597EC-D26D-465B-9960-8BEA1EE39A7B}"/>
    <cellStyle name="Comma 2 2 3 2 3 3 4 4" xfId="9358" xr:uid="{A3EBA3C2-DCDC-4896-B7EB-C8D5983B5080}"/>
    <cellStyle name="Comma 2 2 3 2 3 3 4 4 2" xfId="45866" xr:uid="{29051EC6-98A9-4263-9000-500E5B9BF661}"/>
    <cellStyle name="Comma 2 2 3 2 3 3 4 4 3" xfId="27612" xr:uid="{72BA8C38-2797-44E2-9C47-CB084BCA39DE}"/>
    <cellStyle name="Comma 2 2 3 2 3 3 4 5" xfId="5708" xr:uid="{B6985D28-925F-4BF2-8B47-7195A0D63713}"/>
    <cellStyle name="Comma 2 2 3 2 3 3 4 5 2" xfId="42216" xr:uid="{03C2B651-74C5-4049-B28A-E2847070EFD9}"/>
    <cellStyle name="Comma 2 2 3 2 3 3 4 5 3" xfId="23962" xr:uid="{7170221D-4C4F-4AC9-B325-CAE0BB10158B}"/>
    <cellStyle name="Comma 2 2 3 2 3 3 4 6" xfId="38566" xr:uid="{120F3B22-804E-4B4D-BC4D-D2ED1A79191B}"/>
    <cellStyle name="Comma 2 2 3 2 3 3 4 7" xfId="20312" xr:uid="{518E365F-ECEF-4943-98AA-A01C9FC93DF6}"/>
    <cellStyle name="Comma 2 2 3 2 3 3 5" xfId="1328" xr:uid="{D6954AEE-0F5C-430B-A3B5-45A65BE7854A}"/>
    <cellStyle name="Comma 2 2 3 2 3 3 5 2" xfId="15928" xr:uid="{2253927E-1591-453A-8544-5D9142CE94B9}"/>
    <cellStyle name="Comma 2 2 3 2 3 3 5 2 2" xfId="52436" xr:uid="{E6F903C6-2442-4418-ABC1-EF53FD45ADD8}"/>
    <cellStyle name="Comma 2 2 3 2 3 3 5 2 3" xfId="34182" xr:uid="{DD276199-CCBA-4CB6-B20D-30BD444F778D}"/>
    <cellStyle name="Comma 2 2 3 2 3 3 5 3" xfId="12278" xr:uid="{634CC51C-F0E1-4BFE-B283-B905207F5B0B}"/>
    <cellStyle name="Comma 2 2 3 2 3 3 5 3 2" xfId="48786" xr:uid="{55572484-6F2C-410E-B376-CF1E1CC31517}"/>
    <cellStyle name="Comma 2 2 3 2 3 3 5 3 3" xfId="30532" xr:uid="{25A0A4D6-3025-456D-950E-DCB9D04EFCC1}"/>
    <cellStyle name="Comma 2 2 3 2 3 3 5 4" xfId="8628" xr:uid="{10C32F25-A70D-4035-B05B-0FD892CBE350}"/>
    <cellStyle name="Comma 2 2 3 2 3 3 5 4 2" xfId="45136" xr:uid="{AE88CFDD-6A43-4E74-9AA8-E1AA9AF19DDA}"/>
    <cellStyle name="Comma 2 2 3 2 3 3 5 4 3" xfId="26882" xr:uid="{59B986CE-EEE6-449B-9F54-29B659C2A8BD}"/>
    <cellStyle name="Comma 2 2 3 2 3 3 5 5" xfId="4978" xr:uid="{AEFEB6BB-3200-4700-A1CA-B083DC08BF44}"/>
    <cellStyle name="Comma 2 2 3 2 3 3 5 5 2" xfId="41486" xr:uid="{5F3C26BE-335B-4D79-B674-2047F0307FAC}"/>
    <cellStyle name="Comma 2 2 3 2 3 3 5 5 3" xfId="23232" xr:uid="{01D1BF8C-EA24-47BC-85B4-0875F1558696}"/>
    <cellStyle name="Comma 2 2 3 2 3 3 5 6" xfId="37836" xr:uid="{E57DAB44-7927-43C8-9962-CA6AF8F6F07F}"/>
    <cellStyle name="Comma 2 2 3 2 3 3 5 7" xfId="19582" xr:uid="{60BEE026-981B-49AF-AF79-3993F812C51E}"/>
    <cellStyle name="Comma 2 2 3 2 3 3 6" xfId="15198" xr:uid="{CF1C89F2-B00F-4ACD-9EA6-9C2BBEDAC0C9}"/>
    <cellStyle name="Comma 2 2 3 2 3 3 6 2" xfId="51706" xr:uid="{043546C3-A594-4960-87C1-B527CF0832F9}"/>
    <cellStyle name="Comma 2 2 3 2 3 3 6 3" xfId="33452" xr:uid="{D0B42DB7-8653-4436-A89D-9EED61FDE3CF}"/>
    <cellStyle name="Comma 2 2 3 2 3 3 7" xfId="11548" xr:uid="{BFABAA6F-0733-4633-945B-2A65AD77A6A4}"/>
    <cellStyle name="Comma 2 2 3 2 3 3 7 2" xfId="48056" xr:uid="{B4D3E838-B866-4113-9B36-A0C546129B65}"/>
    <cellStyle name="Comma 2 2 3 2 3 3 7 3" xfId="29802" xr:uid="{1031C563-DE6C-4B37-87C2-0411A266355B}"/>
    <cellStyle name="Comma 2 2 3 2 3 3 8" xfId="7898" xr:uid="{CAB66AF6-4C6B-4D2F-90FF-40E20A38D911}"/>
    <cellStyle name="Comma 2 2 3 2 3 3 8 2" xfId="44406" xr:uid="{9930DB71-B0F1-4DF8-AB1D-127C04A72FDB}"/>
    <cellStyle name="Comma 2 2 3 2 3 3 8 3" xfId="26152" xr:uid="{0E0093AD-11A5-4183-9E6F-C6EE80D7A609}"/>
    <cellStyle name="Comma 2 2 3 2 3 3 9" xfId="4248" xr:uid="{E59BAEC5-F732-4C9E-AA7A-F0EC5B04889D}"/>
    <cellStyle name="Comma 2 2 3 2 3 3 9 2" xfId="40756" xr:uid="{300A2CDF-1FD7-45A4-BFEC-241EAF6C155C}"/>
    <cellStyle name="Comma 2 2 3 2 3 3 9 3" xfId="22502" xr:uid="{A9493513-A5AF-4C35-AC39-495C8C83148E}"/>
    <cellStyle name="Comma 2 2 3 2 3 4" xfId="494" xr:uid="{C75DEBD7-2258-4DC7-9EE9-1F6A567DBAE8}"/>
    <cellStyle name="Comma 2 2 3 2 3 4 10" xfId="37002" xr:uid="{A0A553AB-3FC7-4BF6-AF50-E0831A3DD243}"/>
    <cellStyle name="Comma 2 2 3 2 3 4 11" xfId="18748" xr:uid="{EFC3C577-E0B8-488B-BA1A-7F43097F2905}"/>
    <cellStyle name="Comma 2 2 3 2 3 4 2" xfId="3414" xr:uid="{D4E8FDAA-2865-46E1-A770-BCE415F67A02}"/>
    <cellStyle name="Comma 2 2 3 2 3 4 2 2" xfId="18014" xr:uid="{91EA7B3D-EB9E-4640-81E9-99BE8C14103D}"/>
    <cellStyle name="Comma 2 2 3 2 3 4 2 2 2" xfId="54522" xr:uid="{7705AA1E-3EC9-46B3-BA88-D2276F3929D9}"/>
    <cellStyle name="Comma 2 2 3 2 3 4 2 2 3" xfId="36268" xr:uid="{677D69D7-0916-4327-A798-B58BA874DD1F}"/>
    <cellStyle name="Comma 2 2 3 2 3 4 2 3" xfId="14364" xr:uid="{E8E4780A-E04A-48D8-B097-E7F3675CEAC9}"/>
    <cellStyle name="Comma 2 2 3 2 3 4 2 3 2" xfId="50872" xr:uid="{A1C1F6F0-1E07-4327-88D3-2AA242A8AB8D}"/>
    <cellStyle name="Comma 2 2 3 2 3 4 2 3 3" xfId="32618" xr:uid="{232FCF46-1E43-49D9-9E28-521240DE2D3D}"/>
    <cellStyle name="Comma 2 2 3 2 3 4 2 4" xfId="10714" xr:uid="{64E191BF-A702-45D2-8259-340911A8AEB7}"/>
    <cellStyle name="Comma 2 2 3 2 3 4 2 4 2" xfId="47222" xr:uid="{2496B1F8-EA4D-41BB-A5A9-7951C7CB8E64}"/>
    <cellStyle name="Comma 2 2 3 2 3 4 2 4 3" xfId="28968" xr:uid="{596786EA-C414-48D3-8D19-EC309AEF085A}"/>
    <cellStyle name="Comma 2 2 3 2 3 4 2 5" xfId="7064" xr:uid="{4C59A2ED-0FBF-4F0B-A38E-7424283F843F}"/>
    <cellStyle name="Comma 2 2 3 2 3 4 2 5 2" xfId="43572" xr:uid="{CE7710DC-E0F7-483F-B4D7-84B8A317CFFE}"/>
    <cellStyle name="Comma 2 2 3 2 3 4 2 5 3" xfId="25318" xr:uid="{F6754B5F-C425-40B9-9EC9-A69168734F0B}"/>
    <cellStyle name="Comma 2 2 3 2 3 4 2 6" xfId="39922" xr:uid="{543AE8C1-3C74-4AE7-9A4A-CA2694E6E7CF}"/>
    <cellStyle name="Comma 2 2 3 2 3 4 2 7" xfId="21668" xr:uid="{8AFDA3DE-30C1-411B-83C4-09CBB035E09B}"/>
    <cellStyle name="Comma 2 2 3 2 3 4 3" xfId="2684" xr:uid="{8A5343FF-8B88-4AEA-8D69-E33ABA34AB47}"/>
    <cellStyle name="Comma 2 2 3 2 3 4 3 2" xfId="17284" xr:uid="{1DC7AD42-E294-4DCC-8706-100758C5070C}"/>
    <cellStyle name="Comma 2 2 3 2 3 4 3 2 2" xfId="53792" xr:uid="{BDF5228B-A2D6-4A51-B560-9960CA570CF2}"/>
    <cellStyle name="Comma 2 2 3 2 3 4 3 2 3" xfId="35538" xr:uid="{02C8D9E9-C5E1-4767-833A-1BC68EEAF513}"/>
    <cellStyle name="Comma 2 2 3 2 3 4 3 3" xfId="13634" xr:uid="{3D694B49-56E9-4F21-AD43-563399E07030}"/>
    <cellStyle name="Comma 2 2 3 2 3 4 3 3 2" xfId="50142" xr:uid="{5DE1FABF-A919-4757-A7B9-FFB89DA5BEEB}"/>
    <cellStyle name="Comma 2 2 3 2 3 4 3 3 3" xfId="31888" xr:uid="{A7CC5D88-3E8B-4F67-A2C8-7FE987E12E0D}"/>
    <cellStyle name="Comma 2 2 3 2 3 4 3 4" xfId="9984" xr:uid="{9D792564-CCB8-4C64-B91C-8C476AD69EF5}"/>
    <cellStyle name="Comma 2 2 3 2 3 4 3 4 2" xfId="46492" xr:uid="{21852B44-A543-436B-B40E-1F5786DE198E}"/>
    <cellStyle name="Comma 2 2 3 2 3 4 3 4 3" xfId="28238" xr:uid="{6B65F598-57D4-4A15-8273-1647BE117593}"/>
    <cellStyle name="Comma 2 2 3 2 3 4 3 5" xfId="6334" xr:uid="{E2CEC242-18C4-4313-A197-2E62130B7C92}"/>
    <cellStyle name="Comma 2 2 3 2 3 4 3 5 2" xfId="42842" xr:uid="{4C865625-57E3-4C38-8FA7-B10F05429DF1}"/>
    <cellStyle name="Comma 2 2 3 2 3 4 3 5 3" xfId="24588" xr:uid="{4FA12550-0218-4C79-B557-363EC40B387B}"/>
    <cellStyle name="Comma 2 2 3 2 3 4 3 6" xfId="39192" xr:uid="{78BB69A1-DAD9-460D-B7EA-42B798CBD5CC}"/>
    <cellStyle name="Comma 2 2 3 2 3 4 3 7" xfId="20938" xr:uid="{81D59F76-28F5-4B81-8118-B13F96E11ACB}"/>
    <cellStyle name="Comma 2 2 3 2 3 4 4" xfId="1954" xr:uid="{56BBBC52-F051-48CC-BD8D-462D2CB3A4DD}"/>
    <cellStyle name="Comma 2 2 3 2 3 4 4 2" xfId="16554" xr:uid="{8C705CE5-E87A-4BCE-BCCF-A7ED3534EB67}"/>
    <cellStyle name="Comma 2 2 3 2 3 4 4 2 2" xfId="53062" xr:uid="{B31B6518-5525-43CC-9309-A844720C83FE}"/>
    <cellStyle name="Comma 2 2 3 2 3 4 4 2 3" xfId="34808" xr:uid="{27B819B2-38C6-4F88-9F1F-0577FDFC0099}"/>
    <cellStyle name="Comma 2 2 3 2 3 4 4 3" xfId="12904" xr:uid="{73ADC886-D318-4F2C-83DB-44E2D5E7B286}"/>
    <cellStyle name="Comma 2 2 3 2 3 4 4 3 2" xfId="49412" xr:uid="{0B5B6F3A-A9E2-486E-9802-7A925AEE4ED8}"/>
    <cellStyle name="Comma 2 2 3 2 3 4 4 3 3" xfId="31158" xr:uid="{BC1965B4-AA95-49BE-B770-E0E3820144AC}"/>
    <cellStyle name="Comma 2 2 3 2 3 4 4 4" xfId="9254" xr:uid="{32BE4E37-F661-4075-834F-62BF53AE77A1}"/>
    <cellStyle name="Comma 2 2 3 2 3 4 4 4 2" xfId="45762" xr:uid="{8FED68FF-561F-4F81-BB63-90A9AEAA0B89}"/>
    <cellStyle name="Comma 2 2 3 2 3 4 4 4 3" xfId="27508" xr:uid="{FE6B26F8-558B-40AC-8A25-292019AB7659}"/>
    <cellStyle name="Comma 2 2 3 2 3 4 4 5" xfId="5604" xr:uid="{004775E0-2C34-4D79-82E6-9D4DDFD88EB3}"/>
    <cellStyle name="Comma 2 2 3 2 3 4 4 5 2" xfId="42112" xr:uid="{140A5661-54D5-48DE-80C7-76F98EA06C1E}"/>
    <cellStyle name="Comma 2 2 3 2 3 4 4 5 3" xfId="23858" xr:uid="{F5914594-F97F-44E0-90C0-18D587F7B901}"/>
    <cellStyle name="Comma 2 2 3 2 3 4 4 6" xfId="38462" xr:uid="{1221DA45-1F5E-4CAF-90F1-17A3E8C40C0C}"/>
    <cellStyle name="Comma 2 2 3 2 3 4 4 7" xfId="20208" xr:uid="{71663CA3-5EDF-4C28-8EEF-4B08529A32E1}"/>
    <cellStyle name="Comma 2 2 3 2 3 4 5" xfId="1224" xr:uid="{16ED30EA-7E13-4D33-978C-69FF243A9EC1}"/>
    <cellStyle name="Comma 2 2 3 2 3 4 5 2" xfId="15824" xr:uid="{CA4B04E6-9F6E-4D04-92EC-C395FAD5269B}"/>
    <cellStyle name="Comma 2 2 3 2 3 4 5 2 2" xfId="52332" xr:uid="{C186C8FC-5CF4-448E-808D-284F0B26C814}"/>
    <cellStyle name="Comma 2 2 3 2 3 4 5 2 3" xfId="34078" xr:uid="{A08A49D6-86EB-47BC-B061-6D03CD9C8F76}"/>
    <cellStyle name="Comma 2 2 3 2 3 4 5 3" xfId="12174" xr:uid="{9A2E4D74-FBC2-44F0-8B78-9457EB337E31}"/>
    <cellStyle name="Comma 2 2 3 2 3 4 5 3 2" xfId="48682" xr:uid="{F63C6E56-FDDC-48BA-9352-E2600FC85064}"/>
    <cellStyle name="Comma 2 2 3 2 3 4 5 3 3" xfId="30428" xr:uid="{7F73A2AC-5F07-48B5-824E-2C1D33BB62E7}"/>
    <cellStyle name="Comma 2 2 3 2 3 4 5 4" xfId="8524" xr:uid="{B1825790-F058-4A32-B752-302DBF30A12F}"/>
    <cellStyle name="Comma 2 2 3 2 3 4 5 4 2" xfId="45032" xr:uid="{E966C7D3-91A9-4469-9338-D35C69FF696E}"/>
    <cellStyle name="Comma 2 2 3 2 3 4 5 4 3" xfId="26778" xr:uid="{68508BC7-51A5-4270-9A8F-C84B164D7726}"/>
    <cellStyle name="Comma 2 2 3 2 3 4 5 5" xfId="4874" xr:uid="{9F79DA49-4C7C-4BB6-A93E-5D2BCC9D8F77}"/>
    <cellStyle name="Comma 2 2 3 2 3 4 5 5 2" xfId="41382" xr:uid="{B5CDB8BF-BA14-47FB-80C1-3B3D092306C1}"/>
    <cellStyle name="Comma 2 2 3 2 3 4 5 5 3" xfId="23128" xr:uid="{18306B8F-D94F-4172-92DC-205D77C38E25}"/>
    <cellStyle name="Comma 2 2 3 2 3 4 5 6" xfId="37732" xr:uid="{7E6FDAA7-C6EE-43FF-A49E-650AA4813D84}"/>
    <cellStyle name="Comma 2 2 3 2 3 4 5 7" xfId="19478" xr:uid="{4DA7801A-9177-43F9-BEA3-318AF40300DE}"/>
    <cellStyle name="Comma 2 2 3 2 3 4 6" xfId="15094" xr:uid="{3BE92A6C-A33C-487D-AEF0-FE92B80E15B4}"/>
    <cellStyle name="Comma 2 2 3 2 3 4 6 2" xfId="51602" xr:uid="{6B32AA3B-A7A8-4412-92C7-A0BAC8509349}"/>
    <cellStyle name="Comma 2 2 3 2 3 4 6 3" xfId="33348" xr:uid="{E9D3D95E-0784-4173-9391-D44915378CC1}"/>
    <cellStyle name="Comma 2 2 3 2 3 4 7" xfId="11444" xr:uid="{B59A2CAA-AA7A-4490-8810-877A837D3E21}"/>
    <cellStyle name="Comma 2 2 3 2 3 4 7 2" xfId="47952" xr:uid="{427E57B0-CC1E-4959-BE68-B222E27EE96D}"/>
    <cellStyle name="Comma 2 2 3 2 3 4 7 3" xfId="29698" xr:uid="{DF35698E-C908-4919-A2DD-B774EE57BDA6}"/>
    <cellStyle name="Comma 2 2 3 2 3 4 8" xfId="7794" xr:uid="{BA40110D-D497-4052-88EE-C64B62C7934E}"/>
    <cellStyle name="Comma 2 2 3 2 3 4 8 2" xfId="44302" xr:uid="{6C2CC061-449A-4DA8-A8B0-B532C26176C7}"/>
    <cellStyle name="Comma 2 2 3 2 3 4 8 3" xfId="26048" xr:uid="{EAEBC0B3-993D-4234-9107-C868CE6478D3}"/>
    <cellStyle name="Comma 2 2 3 2 3 4 9" xfId="4144" xr:uid="{B5DAB0F6-4ECF-4D0F-98AF-B1449C5D3FC4}"/>
    <cellStyle name="Comma 2 2 3 2 3 4 9 2" xfId="40652" xr:uid="{60ADCEA5-9AEA-49CB-A6AE-1219F90DD66F}"/>
    <cellStyle name="Comma 2 2 3 2 3 4 9 3" xfId="22398" xr:uid="{0C98DF8D-021D-4AEF-BFB2-2D863FAAFD47}"/>
    <cellStyle name="Comma 2 2 3 2 3 5" xfId="390" xr:uid="{826958B1-097C-42CB-B58E-25FA5A5ECCDB}"/>
    <cellStyle name="Comma 2 2 3 2 3 5 10" xfId="36898" xr:uid="{ADF67557-6FA5-4E35-AA63-64B9B9982D31}"/>
    <cellStyle name="Comma 2 2 3 2 3 5 11" xfId="18644" xr:uid="{618A3927-962E-46A8-846B-0BFD846F4011}"/>
    <cellStyle name="Comma 2 2 3 2 3 5 2" xfId="3310" xr:uid="{E220F785-4DCC-4430-827F-240D968A1267}"/>
    <cellStyle name="Comma 2 2 3 2 3 5 2 2" xfId="17910" xr:uid="{F9404305-D6B9-48A9-9BE7-5C612ABDAE83}"/>
    <cellStyle name="Comma 2 2 3 2 3 5 2 2 2" xfId="54418" xr:uid="{E769DE42-8738-4F57-BAEF-23B15CF8F034}"/>
    <cellStyle name="Comma 2 2 3 2 3 5 2 2 3" xfId="36164" xr:uid="{7968402A-BFAA-4DC2-9F73-6AF359F04922}"/>
    <cellStyle name="Comma 2 2 3 2 3 5 2 3" xfId="14260" xr:uid="{94E6D55E-65A3-463C-B0DF-6C6A2E157D71}"/>
    <cellStyle name="Comma 2 2 3 2 3 5 2 3 2" xfId="50768" xr:uid="{4A15C0F4-2B87-4640-B8BE-637DB64B446F}"/>
    <cellStyle name="Comma 2 2 3 2 3 5 2 3 3" xfId="32514" xr:uid="{7D34E5A1-2912-4B4B-A1E8-DC5836A4FCB8}"/>
    <cellStyle name="Comma 2 2 3 2 3 5 2 4" xfId="10610" xr:uid="{FFE3DBF7-30B5-4E39-9D24-C3BD8BAC6A20}"/>
    <cellStyle name="Comma 2 2 3 2 3 5 2 4 2" xfId="47118" xr:uid="{BE6E4FE5-0229-4770-9B99-3FE6346A49DE}"/>
    <cellStyle name="Comma 2 2 3 2 3 5 2 4 3" xfId="28864" xr:uid="{8B3E7C20-BCF2-4451-BA8A-4C63A5A23D1D}"/>
    <cellStyle name="Comma 2 2 3 2 3 5 2 5" xfId="6960" xr:uid="{74B1F856-B9BC-4384-9A09-CCC31CFCB400}"/>
    <cellStyle name="Comma 2 2 3 2 3 5 2 5 2" xfId="43468" xr:uid="{1C127CE7-ED77-4CDB-B5D7-9961427940FC}"/>
    <cellStyle name="Comma 2 2 3 2 3 5 2 5 3" xfId="25214" xr:uid="{27EA0776-C2C1-48EB-BA7B-A8951B33A676}"/>
    <cellStyle name="Comma 2 2 3 2 3 5 2 6" xfId="39818" xr:uid="{2B6133EF-D547-4926-B962-0BF7BF631FB2}"/>
    <cellStyle name="Comma 2 2 3 2 3 5 2 7" xfId="21564" xr:uid="{A2BB2E0B-DF1D-4B3E-A111-E2161D4626DB}"/>
    <cellStyle name="Comma 2 2 3 2 3 5 3" xfId="2580" xr:uid="{9355FC16-B496-45A1-8199-7B1BF556F7CB}"/>
    <cellStyle name="Comma 2 2 3 2 3 5 3 2" xfId="17180" xr:uid="{5C5D9173-92C4-49F4-B358-38A499893AA5}"/>
    <cellStyle name="Comma 2 2 3 2 3 5 3 2 2" xfId="53688" xr:uid="{97B85D81-AAE4-4250-9BDF-5399EF167C6D}"/>
    <cellStyle name="Comma 2 2 3 2 3 5 3 2 3" xfId="35434" xr:uid="{19933202-766B-44BE-9255-77BA89E4DC98}"/>
    <cellStyle name="Comma 2 2 3 2 3 5 3 3" xfId="13530" xr:uid="{982B33CA-43E9-4006-9551-85B90F95FAFD}"/>
    <cellStyle name="Comma 2 2 3 2 3 5 3 3 2" xfId="50038" xr:uid="{709FC2F3-AA95-4CE7-BEC0-CC13A4253920}"/>
    <cellStyle name="Comma 2 2 3 2 3 5 3 3 3" xfId="31784" xr:uid="{94EBCD0E-172E-4040-8603-4B5D14D27B01}"/>
    <cellStyle name="Comma 2 2 3 2 3 5 3 4" xfId="9880" xr:uid="{D878186B-81BF-431E-B742-A6D101F8CDD7}"/>
    <cellStyle name="Comma 2 2 3 2 3 5 3 4 2" xfId="46388" xr:uid="{433D8635-0B3D-43DD-BAF8-AB566CAF336C}"/>
    <cellStyle name="Comma 2 2 3 2 3 5 3 4 3" xfId="28134" xr:uid="{3FDABCBD-4E2C-4EF4-B3F0-C53705EC2B94}"/>
    <cellStyle name="Comma 2 2 3 2 3 5 3 5" xfId="6230" xr:uid="{14E0C37D-22E9-43FD-8D07-69D5490F17BF}"/>
    <cellStyle name="Comma 2 2 3 2 3 5 3 5 2" xfId="42738" xr:uid="{1E51CA25-5418-482A-88F8-AC3622E554E9}"/>
    <cellStyle name="Comma 2 2 3 2 3 5 3 5 3" xfId="24484" xr:uid="{B43624B3-D702-404F-942A-06BC1A087525}"/>
    <cellStyle name="Comma 2 2 3 2 3 5 3 6" xfId="39088" xr:uid="{4B48D598-BA42-4BB0-816B-C5A7E55DCDF2}"/>
    <cellStyle name="Comma 2 2 3 2 3 5 3 7" xfId="20834" xr:uid="{76307952-3FA1-4124-83C7-82EB927C9E62}"/>
    <cellStyle name="Comma 2 2 3 2 3 5 4" xfId="1850" xr:uid="{5A3DB5E3-D5C3-4E0D-A543-6E7208CA233D}"/>
    <cellStyle name="Comma 2 2 3 2 3 5 4 2" xfId="16450" xr:uid="{E597DEE6-FF47-4AF8-9E57-3C07FFF087B1}"/>
    <cellStyle name="Comma 2 2 3 2 3 5 4 2 2" xfId="52958" xr:uid="{3F99EDE3-1A2B-4EB6-A65F-147A572D477F}"/>
    <cellStyle name="Comma 2 2 3 2 3 5 4 2 3" xfId="34704" xr:uid="{A71F18A3-31C1-4477-BC25-3711A979EB12}"/>
    <cellStyle name="Comma 2 2 3 2 3 5 4 3" xfId="12800" xr:uid="{09569927-8C2D-4FC7-97E1-CEBB3047EAB4}"/>
    <cellStyle name="Comma 2 2 3 2 3 5 4 3 2" xfId="49308" xr:uid="{0505D9B2-36A9-4B7B-BF0E-4A0EC19E86EF}"/>
    <cellStyle name="Comma 2 2 3 2 3 5 4 3 3" xfId="31054" xr:uid="{22A3C75F-BA11-4050-A47D-1C4DC2E80345}"/>
    <cellStyle name="Comma 2 2 3 2 3 5 4 4" xfId="9150" xr:uid="{6778F8EB-6C5D-4594-B71E-D8E4CEAC6A2C}"/>
    <cellStyle name="Comma 2 2 3 2 3 5 4 4 2" xfId="45658" xr:uid="{24DE129F-0278-4DA7-9DDF-394FDBCABE2B}"/>
    <cellStyle name="Comma 2 2 3 2 3 5 4 4 3" xfId="27404" xr:uid="{22965FD8-7A2E-4E81-8580-37EFFFFE99B5}"/>
    <cellStyle name="Comma 2 2 3 2 3 5 4 5" xfId="5500" xr:uid="{51109E6E-3F4A-455A-81F4-FF89A06C91CA}"/>
    <cellStyle name="Comma 2 2 3 2 3 5 4 5 2" xfId="42008" xr:uid="{5C515B79-104F-40B7-AAE1-2D0AAE9A508C}"/>
    <cellStyle name="Comma 2 2 3 2 3 5 4 5 3" xfId="23754" xr:uid="{1439301C-ECFB-4A79-94D6-2677F46944EC}"/>
    <cellStyle name="Comma 2 2 3 2 3 5 4 6" xfId="38358" xr:uid="{C2E53C7A-810C-4B69-A62B-37A03A25FF88}"/>
    <cellStyle name="Comma 2 2 3 2 3 5 4 7" xfId="20104" xr:uid="{E149F03A-FA4C-4C0A-8F28-EDC1D912B36B}"/>
    <cellStyle name="Comma 2 2 3 2 3 5 5" xfId="1120" xr:uid="{EE99D49F-139C-42C6-A477-A5B0D5E05FFA}"/>
    <cellStyle name="Comma 2 2 3 2 3 5 5 2" xfId="15720" xr:uid="{26ECD323-F3A9-41B5-9FCD-DED093B86030}"/>
    <cellStyle name="Comma 2 2 3 2 3 5 5 2 2" xfId="52228" xr:uid="{D4BDAF5F-BBA0-400C-9954-318597F4932A}"/>
    <cellStyle name="Comma 2 2 3 2 3 5 5 2 3" xfId="33974" xr:uid="{518E86D8-A1C2-482B-A73A-4F5B2084459B}"/>
    <cellStyle name="Comma 2 2 3 2 3 5 5 3" xfId="12070" xr:uid="{1F02CBFF-C769-42BB-B5EA-6FF4BE3E6C2D}"/>
    <cellStyle name="Comma 2 2 3 2 3 5 5 3 2" xfId="48578" xr:uid="{D2076324-4653-4910-9B40-CA2B5E5A5F4C}"/>
    <cellStyle name="Comma 2 2 3 2 3 5 5 3 3" xfId="30324" xr:uid="{4659ABEA-880F-4901-AD4A-FB5F9DFE5225}"/>
    <cellStyle name="Comma 2 2 3 2 3 5 5 4" xfId="8420" xr:uid="{8FD5BA0F-1ECA-47D1-B5AC-6FD9F0764120}"/>
    <cellStyle name="Comma 2 2 3 2 3 5 5 4 2" xfId="44928" xr:uid="{9E22472B-2BB6-4F56-8786-55E8E76369F6}"/>
    <cellStyle name="Comma 2 2 3 2 3 5 5 4 3" xfId="26674" xr:uid="{E7CF4BD2-D6E6-4552-9119-4048C31D9421}"/>
    <cellStyle name="Comma 2 2 3 2 3 5 5 5" xfId="4770" xr:uid="{B72CD5F0-C146-43F4-95C8-65A7A0ABA5A8}"/>
    <cellStyle name="Comma 2 2 3 2 3 5 5 5 2" xfId="41278" xr:uid="{65867883-B4B6-4894-B58F-E07C9BFE2F1D}"/>
    <cellStyle name="Comma 2 2 3 2 3 5 5 5 3" xfId="23024" xr:uid="{3AF0D757-1701-4172-9878-43D7638F1B5B}"/>
    <cellStyle name="Comma 2 2 3 2 3 5 5 6" xfId="37628" xr:uid="{AD16F784-866E-49B6-8AB3-F88BDD1F0F1C}"/>
    <cellStyle name="Comma 2 2 3 2 3 5 5 7" xfId="19374" xr:uid="{40CB7D33-D5CA-4915-8C2D-359AF7B915AE}"/>
    <cellStyle name="Comma 2 2 3 2 3 5 6" xfId="14990" xr:uid="{606B2D13-4590-472F-A3AC-D389DA53B6F4}"/>
    <cellStyle name="Comma 2 2 3 2 3 5 6 2" xfId="51498" xr:uid="{98409858-B259-4318-956C-639242B0ECD0}"/>
    <cellStyle name="Comma 2 2 3 2 3 5 6 3" xfId="33244" xr:uid="{5FEE5806-B695-4B01-9447-CDD2D38D050E}"/>
    <cellStyle name="Comma 2 2 3 2 3 5 7" xfId="11340" xr:uid="{2B636B66-379D-47DF-9121-74F22093BEE0}"/>
    <cellStyle name="Comma 2 2 3 2 3 5 7 2" xfId="47848" xr:uid="{FA0D1391-3207-42DD-AF8C-4F4779FB5243}"/>
    <cellStyle name="Comma 2 2 3 2 3 5 7 3" xfId="29594" xr:uid="{68CF5266-802B-4922-B9F7-3F2E1B8B8273}"/>
    <cellStyle name="Comma 2 2 3 2 3 5 8" xfId="7690" xr:uid="{C124E5D8-F2DC-411A-8384-4F076F1E375F}"/>
    <cellStyle name="Comma 2 2 3 2 3 5 8 2" xfId="44198" xr:uid="{0948BB09-8A92-49E7-8A0B-ACD1BE6E52DC}"/>
    <cellStyle name="Comma 2 2 3 2 3 5 8 3" xfId="25944" xr:uid="{932D114B-584B-4C73-A25F-CB3E38D4F099}"/>
    <cellStyle name="Comma 2 2 3 2 3 5 9" xfId="4040" xr:uid="{C27EE75A-A378-48B8-88C0-AC4979943D45}"/>
    <cellStyle name="Comma 2 2 3 2 3 5 9 2" xfId="40548" xr:uid="{9DEAD08C-CA40-489E-BFDB-D212772D0993}"/>
    <cellStyle name="Comma 2 2 3 2 3 5 9 3" xfId="22294" xr:uid="{0366301F-E2D8-4205-9010-04D3A57210BB}"/>
    <cellStyle name="Comma 2 2 3 2 3 6" xfId="286" xr:uid="{EB7FC9F0-0C22-4715-AAF5-F857AB527935}"/>
    <cellStyle name="Comma 2 2 3 2 3 6 10" xfId="36794" xr:uid="{8FFDC9F8-83BD-4923-8104-62153CF9A7A8}"/>
    <cellStyle name="Comma 2 2 3 2 3 6 11" xfId="18540" xr:uid="{13CFBC03-7702-45A4-871E-3923C36B6A36}"/>
    <cellStyle name="Comma 2 2 3 2 3 6 2" xfId="3206" xr:uid="{683B81BE-FC22-4172-A22B-9DFED2806D2A}"/>
    <cellStyle name="Comma 2 2 3 2 3 6 2 2" xfId="17806" xr:uid="{C8F2ACC9-F531-48FD-967F-C92493A4AD86}"/>
    <cellStyle name="Comma 2 2 3 2 3 6 2 2 2" xfId="54314" xr:uid="{5D678EC9-3CEF-4A08-AAB6-AF4121024CE0}"/>
    <cellStyle name="Comma 2 2 3 2 3 6 2 2 3" xfId="36060" xr:uid="{BF10EF59-CCDB-44AC-94B4-71334B84AE79}"/>
    <cellStyle name="Comma 2 2 3 2 3 6 2 3" xfId="14156" xr:uid="{9D54E598-2C93-4A93-BADF-E416B0666675}"/>
    <cellStyle name="Comma 2 2 3 2 3 6 2 3 2" xfId="50664" xr:uid="{4614323B-6230-4970-B082-C91FA3656492}"/>
    <cellStyle name="Comma 2 2 3 2 3 6 2 3 3" xfId="32410" xr:uid="{869ABBF2-3DBD-44A7-8C5D-8F37748CCAEB}"/>
    <cellStyle name="Comma 2 2 3 2 3 6 2 4" xfId="10506" xr:uid="{CA3EB586-6B1D-4987-B1DE-3F578AE3257C}"/>
    <cellStyle name="Comma 2 2 3 2 3 6 2 4 2" xfId="47014" xr:uid="{F927BA31-5F44-4D38-804A-1B1CD7C071AF}"/>
    <cellStyle name="Comma 2 2 3 2 3 6 2 4 3" xfId="28760" xr:uid="{2786B11F-60C1-40AB-A3BF-110DC9F2C45C}"/>
    <cellStyle name="Comma 2 2 3 2 3 6 2 5" xfId="6856" xr:uid="{FD3266C0-8420-41F2-8641-13104AA537FF}"/>
    <cellStyle name="Comma 2 2 3 2 3 6 2 5 2" xfId="43364" xr:uid="{E3031AEE-B654-42E5-898B-9EC71440113C}"/>
    <cellStyle name="Comma 2 2 3 2 3 6 2 5 3" xfId="25110" xr:uid="{9B36879A-889A-4B0E-8A54-9510F5DD8F8B}"/>
    <cellStyle name="Comma 2 2 3 2 3 6 2 6" xfId="39714" xr:uid="{305EE078-DD2F-4C8D-A0A4-B710F6C9CBE3}"/>
    <cellStyle name="Comma 2 2 3 2 3 6 2 7" xfId="21460" xr:uid="{E6625C0B-344B-466D-B1B3-2F6F85FE0C2B}"/>
    <cellStyle name="Comma 2 2 3 2 3 6 3" xfId="2476" xr:uid="{86D50A70-19C0-40E4-A8FD-CBD538B2155E}"/>
    <cellStyle name="Comma 2 2 3 2 3 6 3 2" xfId="17076" xr:uid="{A826F70C-B2F5-440F-AE2D-3608D613A105}"/>
    <cellStyle name="Comma 2 2 3 2 3 6 3 2 2" xfId="53584" xr:uid="{7C1EAE02-AFEC-48C3-8748-FA9FAE4922D4}"/>
    <cellStyle name="Comma 2 2 3 2 3 6 3 2 3" xfId="35330" xr:uid="{D3B66ED7-CA1E-4573-9495-8B8EF3C9362A}"/>
    <cellStyle name="Comma 2 2 3 2 3 6 3 3" xfId="13426" xr:uid="{D6ABBCB9-7D02-442B-AEBA-DDCADC84C9C7}"/>
    <cellStyle name="Comma 2 2 3 2 3 6 3 3 2" xfId="49934" xr:uid="{5E5D6AD8-F084-41E6-A7EC-14F33D89AD20}"/>
    <cellStyle name="Comma 2 2 3 2 3 6 3 3 3" xfId="31680" xr:uid="{38FDBE44-8E3E-4D08-97EE-B60BC6883EE6}"/>
    <cellStyle name="Comma 2 2 3 2 3 6 3 4" xfId="9776" xr:uid="{3D647E4F-1932-48B4-8152-145F2607A8A1}"/>
    <cellStyle name="Comma 2 2 3 2 3 6 3 4 2" xfId="46284" xr:uid="{8CD735EF-AA3B-4B21-929C-5373CCED86DD}"/>
    <cellStyle name="Comma 2 2 3 2 3 6 3 4 3" xfId="28030" xr:uid="{8D9F5E08-ABDA-4110-A81A-632E08A29060}"/>
    <cellStyle name="Comma 2 2 3 2 3 6 3 5" xfId="6126" xr:uid="{720598B3-CB6F-4B66-A15D-62D84AC06514}"/>
    <cellStyle name="Comma 2 2 3 2 3 6 3 5 2" xfId="42634" xr:uid="{081BA223-B206-4D97-A30A-D91E4ABC2CD0}"/>
    <cellStyle name="Comma 2 2 3 2 3 6 3 5 3" xfId="24380" xr:uid="{30E17C96-E8A3-4C99-99B7-6F07605C28FE}"/>
    <cellStyle name="Comma 2 2 3 2 3 6 3 6" xfId="38984" xr:uid="{06395BCF-E2D8-4A1F-B18C-CEE32B0365BB}"/>
    <cellStyle name="Comma 2 2 3 2 3 6 3 7" xfId="20730" xr:uid="{DC545CA7-AE03-43D7-89EA-26635EA44377}"/>
    <cellStyle name="Comma 2 2 3 2 3 6 4" xfId="1746" xr:uid="{55DA2A37-CA44-4DA3-AA1E-8C2B8FC0D524}"/>
    <cellStyle name="Comma 2 2 3 2 3 6 4 2" xfId="16346" xr:uid="{225989DD-B1D6-4C61-9A69-06F77447F030}"/>
    <cellStyle name="Comma 2 2 3 2 3 6 4 2 2" xfId="52854" xr:uid="{D103D673-7A92-45EF-B1A6-38AD1374CCBC}"/>
    <cellStyle name="Comma 2 2 3 2 3 6 4 2 3" xfId="34600" xr:uid="{2210BEA0-9D69-4A75-9046-15B76538F332}"/>
    <cellStyle name="Comma 2 2 3 2 3 6 4 3" xfId="12696" xr:uid="{973C555C-3DD1-48B4-8E4D-38B49CAB5ACB}"/>
    <cellStyle name="Comma 2 2 3 2 3 6 4 3 2" xfId="49204" xr:uid="{42FD361A-2766-4BE2-AA61-66599A658A8D}"/>
    <cellStyle name="Comma 2 2 3 2 3 6 4 3 3" xfId="30950" xr:uid="{A8D67042-5ECB-46C2-AF7A-4C0D85006278}"/>
    <cellStyle name="Comma 2 2 3 2 3 6 4 4" xfId="9046" xr:uid="{FBE246CE-4AC3-44E3-AA8C-BA9E1B46EF74}"/>
    <cellStyle name="Comma 2 2 3 2 3 6 4 4 2" xfId="45554" xr:uid="{91E4C5AC-C149-4F95-BA6A-0D57B49F1099}"/>
    <cellStyle name="Comma 2 2 3 2 3 6 4 4 3" xfId="27300" xr:uid="{DC939890-2D38-4173-B7A1-37E65C2D6C80}"/>
    <cellStyle name="Comma 2 2 3 2 3 6 4 5" xfId="5396" xr:uid="{F7EC8507-E18A-434A-8D52-33C1CE4F8BF2}"/>
    <cellStyle name="Comma 2 2 3 2 3 6 4 5 2" xfId="41904" xr:uid="{CA12D6B3-11B1-4411-BA45-CDAD748E6E98}"/>
    <cellStyle name="Comma 2 2 3 2 3 6 4 5 3" xfId="23650" xr:uid="{41E228BB-9DFB-455F-8C0A-00C10F9643E0}"/>
    <cellStyle name="Comma 2 2 3 2 3 6 4 6" xfId="38254" xr:uid="{4B9C4CF1-887A-478F-B607-B7957F9F4E54}"/>
    <cellStyle name="Comma 2 2 3 2 3 6 4 7" xfId="20000" xr:uid="{9EF6A878-03DA-4CE5-8F8F-038DF5028831}"/>
    <cellStyle name="Comma 2 2 3 2 3 6 5" xfId="1016" xr:uid="{47F36111-83AE-4100-BDCE-5A808D52560C}"/>
    <cellStyle name="Comma 2 2 3 2 3 6 5 2" xfId="15616" xr:uid="{8DFBB21F-CA46-4877-8503-2CB20BD9761B}"/>
    <cellStyle name="Comma 2 2 3 2 3 6 5 2 2" xfId="52124" xr:uid="{57E5F934-782E-4E90-BDFD-5ADBD69C3596}"/>
    <cellStyle name="Comma 2 2 3 2 3 6 5 2 3" xfId="33870" xr:uid="{5F88D513-78C7-4E79-81C6-CE6143DF6E0C}"/>
    <cellStyle name="Comma 2 2 3 2 3 6 5 3" xfId="11966" xr:uid="{D030A9AD-65BE-4EEF-B288-7D27DCFA51E4}"/>
    <cellStyle name="Comma 2 2 3 2 3 6 5 3 2" xfId="48474" xr:uid="{B5F7D541-408C-456D-AF42-6220696E4D6F}"/>
    <cellStyle name="Comma 2 2 3 2 3 6 5 3 3" xfId="30220" xr:uid="{0A31B2CD-B787-48E3-A17C-06400D4A4B58}"/>
    <cellStyle name="Comma 2 2 3 2 3 6 5 4" xfId="8316" xr:uid="{D6131E6C-FF02-4447-B292-778ABBEB3B6A}"/>
    <cellStyle name="Comma 2 2 3 2 3 6 5 4 2" xfId="44824" xr:uid="{271D952F-0946-44B5-9DB9-493C41FEEB8F}"/>
    <cellStyle name="Comma 2 2 3 2 3 6 5 4 3" xfId="26570" xr:uid="{A1B7D14A-55DA-468D-8871-BC88BADA5782}"/>
    <cellStyle name="Comma 2 2 3 2 3 6 5 5" xfId="4666" xr:uid="{2CA6F10B-8125-4FD6-9A0C-31F57BBFA5E2}"/>
    <cellStyle name="Comma 2 2 3 2 3 6 5 5 2" xfId="41174" xr:uid="{AA6ECE71-2684-4B77-87A1-249FF62ABBF0}"/>
    <cellStyle name="Comma 2 2 3 2 3 6 5 5 3" xfId="22920" xr:uid="{BCF3BF71-50FA-4611-AFB1-65B6556A68B6}"/>
    <cellStyle name="Comma 2 2 3 2 3 6 5 6" xfId="37524" xr:uid="{6CF080D2-0E67-4002-A018-F36B7D534CDF}"/>
    <cellStyle name="Comma 2 2 3 2 3 6 5 7" xfId="19270" xr:uid="{F20B8B23-E12E-4398-AD10-A1F93612DE78}"/>
    <cellStyle name="Comma 2 2 3 2 3 6 6" xfId="14886" xr:uid="{CE880223-08A0-475A-B0A0-3774A56E6514}"/>
    <cellStyle name="Comma 2 2 3 2 3 6 6 2" xfId="51394" xr:uid="{1B64263A-CE6B-4F9B-B1E7-14C8AD3311BA}"/>
    <cellStyle name="Comma 2 2 3 2 3 6 6 3" xfId="33140" xr:uid="{F4766289-E523-4B17-BD48-7A57EBD51D88}"/>
    <cellStyle name="Comma 2 2 3 2 3 6 7" xfId="11236" xr:uid="{0C536860-F1D0-4D2F-BE00-124D7B1D0EF1}"/>
    <cellStyle name="Comma 2 2 3 2 3 6 7 2" xfId="47744" xr:uid="{46EBBEBA-E250-4553-9F34-A714323A6DCC}"/>
    <cellStyle name="Comma 2 2 3 2 3 6 7 3" xfId="29490" xr:uid="{C93D8CBB-6812-4CC6-8B41-C9F75C3606DF}"/>
    <cellStyle name="Comma 2 2 3 2 3 6 8" xfId="7586" xr:uid="{1332D9CD-DD2A-4D10-B3A0-764F353AAB80}"/>
    <cellStyle name="Comma 2 2 3 2 3 6 8 2" xfId="44094" xr:uid="{85248D88-5CA0-45D7-8F90-B6F184F1F8C5}"/>
    <cellStyle name="Comma 2 2 3 2 3 6 8 3" xfId="25840" xr:uid="{421E9E90-EDB2-4CC8-8ED9-F274ABD15243}"/>
    <cellStyle name="Comma 2 2 3 2 3 6 9" xfId="3936" xr:uid="{1FBB8BE7-396A-4C15-AFF4-BB3EC37A09F3}"/>
    <cellStyle name="Comma 2 2 3 2 3 6 9 2" xfId="40444" xr:uid="{EB0015D8-9152-4E15-A75F-C70EBA234C24}"/>
    <cellStyle name="Comma 2 2 3 2 3 6 9 3" xfId="22190" xr:uid="{FEE9BDDA-1A7C-4101-8255-7EE3B5AFC6F0}"/>
    <cellStyle name="Comma 2 2 3 2 3 7" xfId="182" xr:uid="{93CAD9EC-D96A-438F-8C1B-60B7FD2853E0}"/>
    <cellStyle name="Comma 2 2 3 2 3 7 10" xfId="36690" xr:uid="{58519436-53EA-49C2-BB07-33AFCA779A2C}"/>
    <cellStyle name="Comma 2 2 3 2 3 7 11" xfId="18436" xr:uid="{E286DDC4-4BAE-43B4-8D4E-6088BEC30735}"/>
    <cellStyle name="Comma 2 2 3 2 3 7 2" xfId="3102" xr:uid="{C1F6A6C7-46C5-4ACD-B61E-4A39943D9E51}"/>
    <cellStyle name="Comma 2 2 3 2 3 7 2 2" xfId="17702" xr:uid="{57EB1800-9A7B-436D-A7DD-0AE4D7312F19}"/>
    <cellStyle name="Comma 2 2 3 2 3 7 2 2 2" xfId="54210" xr:uid="{88B501A8-5546-46B0-802E-2AD140FE7DB9}"/>
    <cellStyle name="Comma 2 2 3 2 3 7 2 2 3" xfId="35956" xr:uid="{E83FA914-95F8-44AC-9368-3DE9AA72C0B4}"/>
    <cellStyle name="Comma 2 2 3 2 3 7 2 3" xfId="14052" xr:uid="{7A70F383-4B02-4B66-8F48-D3AD455090D9}"/>
    <cellStyle name="Comma 2 2 3 2 3 7 2 3 2" xfId="50560" xr:uid="{ECD2D178-B7FD-49C3-AA63-8080769D8447}"/>
    <cellStyle name="Comma 2 2 3 2 3 7 2 3 3" xfId="32306" xr:uid="{76A0F6EF-22A1-4965-BC5B-C313A2013928}"/>
    <cellStyle name="Comma 2 2 3 2 3 7 2 4" xfId="10402" xr:uid="{22187BBB-0DFC-470E-BEA9-3952A11C622B}"/>
    <cellStyle name="Comma 2 2 3 2 3 7 2 4 2" xfId="46910" xr:uid="{1494DDAF-FB59-4F16-8E5D-62200A4FAFB0}"/>
    <cellStyle name="Comma 2 2 3 2 3 7 2 4 3" xfId="28656" xr:uid="{CFEE505F-971B-4DA5-A495-3869E2CA1353}"/>
    <cellStyle name="Comma 2 2 3 2 3 7 2 5" xfId="6752" xr:uid="{E59CEE90-450C-4D5C-B7EB-0997A5C0FBA9}"/>
    <cellStyle name="Comma 2 2 3 2 3 7 2 5 2" xfId="43260" xr:uid="{DE2398D1-0373-4344-89AA-3100359871A2}"/>
    <cellStyle name="Comma 2 2 3 2 3 7 2 5 3" xfId="25006" xr:uid="{A7EA4288-264E-4420-B891-5D026990E5D6}"/>
    <cellStyle name="Comma 2 2 3 2 3 7 2 6" xfId="39610" xr:uid="{63CD8F72-C5D0-46FC-AB07-AB8221E3BEB7}"/>
    <cellStyle name="Comma 2 2 3 2 3 7 2 7" xfId="21356" xr:uid="{E920345F-00F7-422D-8D67-F218D2071CCA}"/>
    <cellStyle name="Comma 2 2 3 2 3 7 3" xfId="2372" xr:uid="{BA8ECE0B-7A62-4A88-990A-AE0A0A97BFDA}"/>
    <cellStyle name="Comma 2 2 3 2 3 7 3 2" xfId="16972" xr:uid="{30A21F88-E9C0-4E25-81A1-E5490DC1AB2C}"/>
    <cellStyle name="Comma 2 2 3 2 3 7 3 2 2" xfId="53480" xr:uid="{44A1B9ED-9DAF-4B66-9F32-86DA3E5C63DC}"/>
    <cellStyle name="Comma 2 2 3 2 3 7 3 2 3" xfId="35226" xr:uid="{E504B1A8-51C8-4497-98F9-A1ED3BBE6321}"/>
    <cellStyle name="Comma 2 2 3 2 3 7 3 3" xfId="13322" xr:uid="{E72BED37-7DC0-4DD6-81E3-C044FCB8CCF1}"/>
    <cellStyle name="Comma 2 2 3 2 3 7 3 3 2" xfId="49830" xr:uid="{50E86CC3-FD63-4B70-AE57-E87ABC18F1A1}"/>
    <cellStyle name="Comma 2 2 3 2 3 7 3 3 3" xfId="31576" xr:uid="{90F41473-9D23-4069-876D-161BE69C17DC}"/>
    <cellStyle name="Comma 2 2 3 2 3 7 3 4" xfId="9672" xr:uid="{777D607F-5C67-4101-91F6-B9F629BAB84F}"/>
    <cellStyle name="Comma 2 2 3 2 3 7 3 4 2" xfId="46180" xr:uid="{B7D8136E-AA06-44E0-802B-3C6B054DE558}"/>
    <cellStyle name="Comma 2 2 3 2 3 7 3 4 3" xfId="27926" xr:uid="{8BC9A267-D03C-4013-A94D-9EE1A2A10768}"/>
    <cellStyle name="Comma 2 2 3 2 3 7 3 5" xfId="6022" xr:uid="{DE97A706-4B58-4B1C-988D-990F6284510E}"/>
    <cellStyle name="Comma 2 2 3 2 3 7 3 5 2" xfId="42530" xr:uid="{6853B1D7-8DC0-4FFB-B341-D4D08592004C}"/>
    <cellStyle name="Comma 2 2 3 2 3 7 3 5 3" xfId="24276" xr:uid="{39FF3ED3-284F-4551-A3AA-AF8CFD60DCA6}"/>
    <cellStyle name="Comma 2 2 3 2 3 7 3 6" xfId="38880" xr:uid="{D97A3554-3E08-42BC-B064-8DB85E7A12FC}"/>
    <cellStyle name="Comma 2 2 3 2 3 7 3 7" xfId="20626" xr:uid="{D17B7558-6235-494A-B78A-68C1A3BD7C31}"/>
    <cellStyle name="Comma 2 2 3 2 3 7 4" xfId="1642" xr:uid="{CAB09567-D252-49B5-9790-FBE27583CBB7}"/>
    <cellStyle name="Comma 2 2 3 2 3 7 4 2" xfId="16242" xr:uid="{8824D118-7B00-48AA-8449-A510A22F7BFF}"/>
    <cellStyle name="Comma 2 2 3 2 3 7 4 2 2" xfId="52750" xr:uid="{789B7FDF-C6F6-497D-AADA-B24509D3DDC6}"/>
    <cellStyle name="Comma 2 2 3 2 3 7 4 2 3" xfId="34496" xr:uid="{01EFA53C-CCCB-4845-8672-47C5711D7FBB}"/>
    <cellStyle name="Comma 2 2 3 2 3 7 4 3" xfId="12592" xr:uid="{DA2713B6-F392-4AA1-906B-B3AD8503ADB1}"/>
    <cellStyle name="Comma 2 2 3 2 3 7 4 3 2" xfId="49100" xr:uid="{0DC5BF1E-476C-4153-9F29-FA8F90330B56}"/>
    <cellStyle name="Comma 2 2 3 2 3 7 4 3 3" xfId="30846" xr:uid="{6FD5C391-B434-4879-87C7-0F3411CE8BA0}"/>
    <cellStyle name="Comma 2 2 3 2 3 7 4 4" xfId="8942" xr:uid="{D1EF9282-AF8E-4573-88FA-A5D0696D566A}"/>
    <cellStyle name="Comma 2 2 3 2 3 7 4 4 2" xfId="45450" xr:uid="{9AE30044-CEBB-406B-B166-C1A3D9A1D13B}"/>
    <cellStyle name="Comma 2 2 3 2 3 7 4 4 3" xfId="27196" xr:uid="{BAFF2E24-2918-4CDF-A817-220901495E2F}"/>
    <cellStyle name="Comma 2 2 3 2 3 7 4 5" xfId="5292" xr:uid="{38921E44-559A-47CD-8BBE-5EF33EA60CDF}"/>
    <cellStyle name="Comma 2 2 3 2 3 7 4 5 2" xfId="41800" xr:uid="{E51722CF-296D-4A71-80C3-F98D39F30E93}"/>
    <cellStyle name="Comma 2 2 3 2 3 7 4 5 3" xfId="23546" xr:uid="{2DF3745D-AAE1-49D6-8176-D9727F021549}"/>
    <cellStyle name="Comma 2 2 3 2 3 7 4 6" xfId="38150" xr:uid="{393709EA-9015-4EC0-AD78-1DA0F98200F7}"/>
    <cellStyle name="Comma 2 2 3 2 3 7 4 7" xfId="19896" xr:uid="{D5746980-1A6C-4DE0-A1F4-D4B92317DCAF}"/>
    <cellStyle name="Comma 2 2 3 2 3 7 5" xfId="912" xr:uid="{9EEA2759-558F-4230-8B07-D18286DC1FCF}"/>
    <cellStyle name="Comma 2 2 3 2 3 7 5 2" xfId="15512" xr:uid="{771E7AED-5869-454A-8C7D-EA30FD469A7B}"/>
    <cellStyle name="Comma 2 2 3 2 3 7 5 2 2" xfId="52020" xr:uid="{E1AEBD7D-AB9F-4103-BC66-038C582F8635}"/>
    <cellStyle name="Comma 2 2 3 2 3 7 5 2 3" xfId="33766" xr:uid="{F2464C5F-1BE6-4E3C-B260-832C1742A397}"/>
    <cellStyle name="Comma 2 2 3 2 3 7 5 3" xfId="11862" xr:uid="{A9766FFC-0F29-4948-A6AF-E539EBE4B613}"/>
    <cellStyle name="Comma 2 2 3 2 3 7 5 3 2" xfId="48370" xr:uid="{091549D8-51C8-4E2C-A93B-14478E2E4094}"/>
    <cellStyle name="Comma 2 2 3 2 3 7 5 3 3" xfId="30116" xr:uid="{B37F03DB-27F3-4A03-BA45-9D0087FEE342}"/>
    <cellStyle name="Comma 2 2 3 2 3 7 5 4" xfId="8212" xr:uid="{122EACA1-011A-4BCB-A018-460143831470}"/>
    <cellStyle name="Comma 2 2 3 2 3 7 5 4 2" xfId="44720" xr:uid="{54E8A0E6-41A5-4E95-963A-9F616B91572D}"/>
    <cellStyle name="Comma 2 2 3 2 3 7 5 4 3" xfId="26466" xr:uid="{785B393A-166C-449F-BA02-0ADE51DE369A}"/>
    <cellStyle name="Comma 2 2 3 2 3 7 5 5" xfId="4562" xr:uid="{C3E7B602-FAF5-4530-A3B8-0C1CD96D1921}"/>
    <cellStyle name="Comma 2 2 3 2 3 7 5 5 2" xfId="41070" xr:uid="{29AC6B12-9130-46F2-8B20-EAF4AA445B3F}"/>
    <cellStyle name="Comma 2 2 3 2 3 7 5 5 3" xfId="22816" xr:uid="{A24F0500-3EC7-4265-9682-0E755255F692}"/>
    <cellStyle name="Comma 2 2 3 2 3 7 5 6" xfId="37420" xr:uid="{FB59F6DB-5D67-469E-9CC1-B22BE8C3CCC5}"/>
    <cellStyle name="Comma 2 2 3 2 3 7 5 7" xfId="19166" xr:uid="{DFC2E225-58B6-460E-9AF3-18F5BC417505}"/>
    <cellStyle name="Comma 2 2 3 2 3 7 6" xfId="14782" xr:uid="{4F2E4510-ABE4-4955-A6B9-A240CC7F346B}"/>
    <cellStyle name="Comma 2 2 3 2 3 7 6 2" xfId="51290" xr:uid="{505199E3-0527-4802-B7E0-1B7F38CDEBB4}"/>
    <cellStyle name="Comma 2 2 3 2 3 7 6 3" xfId="33036" xr:uid="{AA6A6B94-9E54-4277-B2BC-2AB38664A8B0}"/>
    <cellStyle name="Comma 2 2 3 2 3 7 7" xfId="11132" xr:uid="{30730519-E9FE-4B7B-BB6F-94686E7C2C8B}"/>
    <cellStyle name="Comma 2 2 3 2 3 7 7 2" xfId="47640" xr:uid="{81D086DE-1A1D-40C5-8E90-DA3C7F41648B}"/>
    <cellStyle name="Comma 2 2 3 2 3 7 7 3" xfId="29386" xr:uid="{27E255A7-1A0F-4A34-B83E-F0C730E6F2BF}"/>
    <cellStyle name="Comma 2 2 3 2 3 7 8" xfId="7482" xr:uid="{CD6F826D-C28F-404D-ACBE-A09098D7D150}"/>
    <cellStyle name="Comma 2 2 3 2 3 7 8 2" xfId="43990" xr:uid="{BC33C194-0DF1-4AEF-B6C6-2A006977CFE3}"/>
    <cellStyle name="Comma 2 2 3 2 3 7 8 3" xfId="25736" xr:uid="{B3694046-7353-4461-8A3E-1957E2FD620E}"/>
    <cellStyle name="Comma 2 2 3 2 3 7 9" xfId="3832" xr:uid="{DEE8444F-359B-468F-844A-CAB37B46DE37}"/>
    <cellStyle name="Comma 2 2 3 2 3 7 9 2" xfId="40340" xr:uid="{7808507D-EEB6-4902-B1F8-BBBAF5224190}"/>
    <cellStyle name="Comma 2 2 3 2 3 7 9 3" xfId="22086" xr:uid="{1A9EB467-78B8-4367-A55F-29B47AE12419}"/>
    <cellStyle name="Comma 2 2 3 2 3 8" xfId="2998" xr:uid="{BEC0AB45-7F84-4E9E-960A-1771F09D2EC2}"/>
    <cellStyle name="Comma 2 2 3 2 3 8 2" xfId="17598" xr:uid="{DE3BFDFD-1075-43DB-894B-04D9F6B080B3}"/>
    <cellStyle name="Comma 2 2 3 2 3 8 2 2" xfId="54106" xr:uid="{3E3D0D9E-F803-44D7-A82C-86FCCB584E4F}"/>
    <cellStyle name="Comma 2 2 3 2 3 8 2 3" xfId="35852" xr:uid="{6B7C7CEE-853C-430E-B551-8B1297C162AE}"/>
    <cellStyle name="Comma 2 2 3 2 3 8 3" xfId="13948" xr:uid="{F934EDF3-3C85-4BC3-ADF8-486BCBF393B6}"/>
    <cellStyle name="Comma 2 2 3 2 3 8 3 2" xfId="50456" xr:uid="{A079606F-7180-47EA-9C95-3157D742D421}"/>
    <cellStyle name="Comma 2 2 3 2 3 8 3 3" xfId="32202" xr:uid="{AD958786-D0B0-4367-A703-F325AFE8148F}"/>
    <cellStyle name="Comma 2 2 3 2 3 8 4" xfId="10298" xr:uid="{2F09ABFD-87D3-4A8E-BBD3-328DFD878585}"/>
    <cellStyle name="Comma 2 2 3 2 3 8 4 2" xfId="46806" xr:uid="{988F089E-62A2-422E-BEE3-66CD9031D43E}"/>
    <cellStyle name="Comma 2 2 3 2 3 8 4 3" xfId="28552" xr:uid="{3E344C56-AA29-469A-BF40-D71E6404429A}"/>
    <cellStyle name="Comma 2 2 3 2 3 8 5" xfId="6648" xr:uid="{C865D123-7FB7-4E67-82D8-C2512F568CDE}"/>
    <cellStyle name="Comma 2 2 3 2 3 8 5 2" xfId="43156" xr:uid="{4E898BE1-E3DE-4EB4-A94B-EE50A8B83B46}"/>
    <cellStyle name="Comma 2 2 3 2 3 8 5 3" xfId="24902" xr:uid="{5A86AA29-6798-4667-B5F7-C6018C38D326}"/>
    <cellStyle name="Comma 2 2 3 2 3 8 6" xfId="39506" xr:uid="{B6F9C2A5-7695-4568-B861-448717FEF76C}"/>
    <cellStyle name="Comma 2 2 3 2 3 8 7" xfId="21252" xr:uid="{AB699ED9-11F0-4668-80C3-4886FB3F91DA}"/>
    <cellStyle name="Comma 2 2 3 2 3 9" xfId="2268" xr:uid="{8EC87471-5952-4F52-8AA4-3EF0D6AD2EA6}"/>
    <cellStyle name="Comma 2 2 3 2 3 9 2" xfId="16868" xr:uid="{45FECE20-3288-44A4-8F60-6C4C5C20ED59}"/>
    <cellStyle name="Comma 2 2 3 2 3 9 2 2" xfId="53376" xr:uid="{0C3BDD66-1563-4D74-B7BB-DAA43339C0D5}"/>
    <cellStyle name="Comma 2 2 3 2 3 9 2 3" xfId="35122" xr:uid="{CB781CFD-47AB-4777-B955-7ED352A4CBD4}"/>
    <cellStyle name="Comma 2 2 3 2 3 9 3" xfId="13218" xr:uid="{BBE5FC25-7824-4EA3-94F1-1723410DA869}"/>
    <cellStyle name="Comma 2 2 3 2 3 9 3 2" xfId="49726" xr:uid="{7030F385-8882-4694-89A6-1F2444FAC5DA}"/>
    <cellStyle name="Comma 2 2 3 2 3 9 3 3" xfId="31472" xr:uid="{DBFA036E-AE22-4953-A3E9-77081B3A43D7}"/>
    <cellStyle name="Comma 2 2 3 2 3 9 4" xfId="9568" xr:uid="{B433F9BD-61E0-4D1E-9421-7D2346D06857}"/>
    <cellStyle name="Comma 2 2 3 2 3 9 4 2" xfId="46076" xr:uid="{5635C4F4-B93A-4455-9693-D9BFEA44B908}"/>
    <cellStyle name="Comma 2 2 3 2 3 9 4 3" xfId="27822" xr:uid="{2A994605-6F8A-48E8-8F69-B619D222B4A5}"/>
    <cellStyle name="Comma 2 2 3 2 3 9 5" xfId="5918" xr:uid="{834B04D3-6626-442D-B9FD-4ACACF471815}"/>
    <cellStyle name="Comma 2 2 3 2 3 9 5 2" xfId="42426" xr:uid="{88830E08-2A49-48A9-B0EB-47D8C0452144}"/>
    <cellStyle name="Comma 2 2 3 2 3 9 5 3" xfId="24172" xr:uid="{5151104B-B19E-4ED5-83E9-826E2B39C44E}"/>
    <cellStyle name="Comma 2 2 3 2 3 9 6" xfId="38776" xr:uid="{06B84020-4C74-40DB-9F7F-C009F136043E}"/>
    <cellStyle name="Comma 2 2 3 2 3 9 7" xfId="20522" xr:uid="{328C71B2-8AD0-4662-A3D6-CA6834111FC6}"/>
    <cellStyle name="Comma 2 2 3 2 4" xfId="670" xr:uid="{B30C60CD-615A-494E-9A43-CFA670FF8BD6}"/>
    <cellStyle name="Comma 2 2 3 2 4 10" xfId="37178" xr:uid="{C8F0A3C3-9BBE-4BEF-87E3-E52330A7452D}"/>
    <cellStyle name="Comma 2 2 3 2 4 11" xfId="18924" xr:uid="{C251C6D7-9141-447D-97A2-4B5ECF3C336D}"/>
    <cellStyle name="Comma 2 2 3 2 4 2" xfId="3590" xr:uid="{2187E487-9729-4D48-BF13-F758B2AB38A9}"/>
    <cellStyle name="Comma 2 2 3 2 4 2 2" xfId="18190" xr:uid="{CFAC3A34-086B-4540-B3F3-BF17639D5834}"/>
    <cellStyle name="Comma 2 2 3 2 4 2 2 2" xfId="54698" xr:uid="{0206CC53-A880-4AE2-BC4E-54CCC76DDD6F}"/>
    <cellStyle name="Comma 2 2 3 2 4 2 2 3" xfId="36444" xr:uid="{E4DC2B1B-AEF2-4217-B194-982952DFE450}"/>
    <cellStyle name="Comma 2 2 3 2 4 2 3" xfId="14540" xr:uid="{FDA4B7AA-494F-4C89-8B20-A50A48163091}"/>
    <cellStyle name="Comma 2 2 3 2 4 2 3 2" xfId="51048" xr:uid="{99DBD4A3-5987-425A-A3E0-9F98262112CE}"/>
    <cellStyle name="Comma 2 2 3 2 4 2 3 3" xfId="32794" xr:uid="{A9F223F2-E30C-4594-80BC-75D6DAEDC697}"/>
    <cellStyle name="Comma 2 2 3 2 4 2 4" xfId="10890" xr:uid="{6431877B-6781-46B9-A66D-CA730F968A95}"/>
    <cellStyle name="Comma 2 2 3 2 4 2 4 2" xfId="47398" xr:uid="{C2425712-586F-4539-A21D-912D64A7F9BC}"/>
    <cellStyle name="Comma 2 2 3 2 4 2 4 3" xfId="29144" xr:uid="{0241850A-1B3F-4354-99BE-CBD2B93DF340}"/>
    <cellStyle name="Comma 2 2 3 2 4 2 5" xfId="7240" xr:uid="{BA9A3EAF-2366-410A-9ADB-B55AF797B07C}"/>
    <cellStyle name="Comma 2 2 3 2 4 2 5 2" xfId="43748" xr:uid="{14FBECFD-378F-408C-AE38-71CAABA2A8D6}"/>
    <cellStyle name="Comma 2 2 3 2 4 2 5 3" xfId="25494" xr:uid="{BF45A211-2B63-4E6F-A47D-9A855DDCB1AC}"/>
    <cellStyle name="Comma 2 2 3 2 4 2 6" xfId="40098" xr:uid="{21DA458E-A487-4765-B8CD-3CE31CECEBBC}"/>
    <cellStyle name="Comma 2 2 3 2 4 2 7" xfId="21844" xr:uid="{ED66E166-6734-48B5-B81E-574E77B41B28}"/>
    <cellStyle name="Comma 2 2 3 2 4 3" xfId="2860" xr:uid="{2AC107DC-8324-4041-980C-FE6D362509FD}"/>
    <cellStyle name="Comma 2 2 3 2 4 3 2" xfId="17460" xr:uid="{1234360A-97A4-483B-8661-426C46AABD6E}"/>
    <cellStyle name="Comma 2 2 3 2 4 3 2 2" xfId="53968" xr:uid="{312EE0BA-AB73-46B1-B343-0584A96E22D5}"/>
    <cellStyle name="Comma 2 2 3 2 4 3 2 3" xfId="35714" xr:uid="{0861AA63-7FFA-4462-B5F6-CD5FD3ADED49}"/>
    <cellStyle name="Comma 2 2 3 2 4 3 3" xfId="13810" xr:uid="{65BC7512-73D1-45CB-9118-C8DA75D49105}"/>
    <cellStyle name="Comma 2 2 3 2 4 3 3 2" xfId="50318" xr:uid="{F115A2DF-4029-4549-AF17-A5231919C644}"/>
    <cellStyle name="Comma 2 2 3 2 4 3 3 3" xfId="32064" xr:uid="{23A78837-DF36-4115-9694-3B88AFA89C2B}"/>
    <cellStyle name="Comma 2 2 3 2 4 3 4" xfId="10160" xr:uid="{842B90F1-AC3C-4373-9FDE-7F4CAA26BDAA}"/>
    <cellStyle name="Comma 2 2 3 2 4 3 4 2" xfId="46668" xr:uid="{C5A83241-FE40-47C0-8103-B25EA6710053}"/>
    <cellStyle name="Comma 2 2 3 2 4 3 4 3" xfId="28414" xr:uid="{13619E8F-BA12-4D4A-916C-252CB8E65A98}"/>
    <cellStyle name="Comma 2 2 3 2 4 3 5" xfId="6510" xr:uid="{4D376B2F-FB63-47AA-8879-62385006FC5A}"/>
    <cellStyle name="Comma 2 2 3 2 4 3 5 2" xfId="43018" xr:uid="{6243B512-FE17-4762-A58B-C5B701C3365F}"/>
    <cellStyle name="Comma 2 2 3 2 4 3 5 3" xfId="24764" xr:uid="{30D4DD14-F106-48B9-94E2-8F52943438AA}"/>
    <cellStyle name="Comma 2 2 3 2 4 3 6" xfId="39368" xr:uid="{30629B6B-A281-4438-B55A-177DE2876796}"/>
    <cellStyle name="Comma 2 2 3 2 4 3 7" xfId="21114" xr:uid="{595234CF-D083-4590-8B32-048B1BCC229B}"/>
    <cellStyle name="Comma 2 2 3 2 4 4" xfId="2130" xr:uid="{71F32D1F-FC97-4102-B10A-92A24EB3C7E7}"/>
    <cellStyle name="Comma 2 2 3 2 4 4 2" xfId="16730" xr:uid="{103C2103-0B58-4596-A00F-CB2F7756F170}"/>
    <cellStyle name="Comma 2 2 3 2 4 4 2 2" xfId="53238" xr:uid="{EEE567D4-7060-4EC7-A1E0-A26A7B37CE20}"/>
    <cellStyle name="Comma 2 2 3 2 4 4 2 3" xfId="34984" xr:uid="{4FD12D76-9291-4127-8DF8-675FF22ED3DF}"/>
    <cellStyle name="Comma 2 2 3 2 4 4 3" xfId="13080" xr:uid="{C7F7F73A-5865-481B-82C6-785ACBDAFD5D}"/>
    <cellStyle name="Comma 2 2 3 2 4 4 3 2" xfId="49588" xr:uid="{D0DAB21C-543B-48E6-982A-A9D02275DB18}"/>
    <cellStyle name="Comma 2 2 3 2 4 4 3 3" xfId="31334" xr:uid="{5E54A635-A9B7-4D0B-818E-FFC74FC8AC82}"/>
    <cellStyle name="Comma 2 2 3 2 4 4 4" xfId="9430" xr:uid="{23981A8C-2DE2-4260-AB45-28265E8675EC}"/>
    <cellStyle name="Comma 2 2 3 2 4 4 4 2" xfId="45938" xr:uid="{F1B3DAA2-5CEC-40D5-A865-593A610ADD6B}"/>
    <cellStyle name="Comma 2 2 3 2 4 4 4 3" xfId="27684" xr:uid="{0D4EA16D-186A-418E-8649-CEC3663EEA9D}"/>
    <cellStyle name="Comma 2 2 3 2 4 4 5" xfId="5780" xr:uid="{059258E3-0F1A-4DE7-A3B2-7F017F96A4BC}"/>
    <cellStyle name="Comma 2 2 3 2 4 4 5 2" xfId="42288" xr:uid="{DEED1186-192C-481D-A00E-DB27215BF999}"/>
    <cellStyle name="Comma 2 2 3 2 4 4 5 3" xfId="24034" xr:uid="{684DE5EA-F8E8-4711-BF67-1F79A9385131}"/>
    <cellStyle name="Comma 2 2 3 2 4 4 6" xfId="38638" xr:uid="{9E9554FC-D878-4B5C-80AA-2D74A41E99CE}"/>
    <cellStyle name="Comma 2 2 3 2 4 4 7" xfId="20384" xr:uid="{E62016FB-371E-4784-9D55-D9AFDB91377C}"/>
    <cellStyle name="Comma 2 2 3 2 4 5" xfId="1400" xr:uid="{86CAC4D1-A514-4ABF-B21F-8AF344F80F08}"/>
    <cellStyle name="Comma 2 2 3 2 4 5 2" xfId="16000" xr:uid="{FCF17B4F-39A4-4791-B3AD-8BD2DB9AD993}"/>
    <cellStyle name="Comma 2 2 3 2 4 5 2 2" xfId="52508" xr:uid="{3D70CB5A-4E08-4F00-9818-CE275A58C18B}"/>
    <cellStyle name="Comma 2 2 3 2 4 5 2 3" xfId="34254" xr:uid="{51DBDC55-60F2-44CD-B062-61F47FF7E1D6}"/>
    <cellStyle name="Comma 2 2 3 2 4 5 3" xfId="12350" xr:uid="{15B052AD-6FA0-405E-BFB3-E8C9BC72C334}"/>
    <cellStyle name="Comma 2 2 3 2 4 5 3 2" xfId="48858" xr:uid="{34F5B7A4-279C-49B8-84A1-E6CFDF72BCF4}"/>
    <cellStyle name="Comma 2 2 3 2 4 5 3 3" xfId="30604" xr:uid="{EA95BA69-6B75-471F-BECA-4BAD8EA47AA7}"/>
    <cellStyle name="Comma 2 2 3 2 4 5 4" xfId="8700" xr:uid="{9AF09DB0-4059-4BB7-B635-B0E7D0B25C42}"/>
    <cellStyle name="Comma 2 2 3 2 4 5 4 2" xfId="45208" xr:uid="{B99F45EA-5F66-4245-A469-251CD0E0E347}"/>
    <cellStyle name="Comma 2 2 3 2 4 5 4 3" xfId="26954" xr:uid="{75E003BB-FC01-485A-B5F4-CD4E1575852C}"/>
    <cellStyle name="Comma 2 2 3 2 4 5 5" xfId="5050" xr:uid="{4E478E57-2FD3-422F-BF3A-C779C8850470}"/>
    <cellStyle name="Comma 2 2 3 2 4 5 5 2" xfId="41558" xr:uid="{8D6ABCB5-9EBF-4FB0-9887-4936AC210FEB}"/>
    <cellStyle name="Comma 2 2 3 2 4 5 5 3" xfId="23304" xr:uid="{2231539B-F074-42B4-A1FA-72F2F92BBFC9}"/>
    <cellStyle name="Comma 2 2 3 2 4 5 6" xfId="37908" xr:uid="{C86389B9-F804-4694-B769-7E4FDC226438}"/>
    <cellStyle name="Comma 2 2 3 2 4 5 7" xfId="19654" xr:uid="{4B4327FB-8ACF-4FAD-95BF-AC661823C16D}"/>
    <cellStyle name="Comma 2 2 3 2 4 6" xfId="15270" xr:uid="{B448CBEB-975F-4F90-87A8-9BEE3BA1ABD0}"/>
    <cellStyle name="Comma 2 2 3 2 4 6 2" xfId="51778" xr:uid="{472C4B83-16CD-4512-AABD-21E0BBC7AD5B}"/>
    <cellStyle name="Comma 2 2 3 2 4 6 3" xfId="33524" xr:uid="{F2F83B07-DB12-47F5-87D0-ED51AA3A7D26}"/>
    <cellStyle name="Comma 2 2 3 2 4 7" xfId="11620" xr:uid="{E187BD22-F9E3-4750-AC07-1F67AE3E27F8}"/>
    <cellStyle name="Comma 2 2 3 2 4 7 2" xfId="48128" xr:uid="{D91B75F7-C122-41BA-90B0-E3A8A433DC45}"/>
    <cellStyle name="Comma 2 2 3 2 4 7 3" xfId="29874" xr:uid="{7C1814B6-E864-4679-986E-F6B8ACFAF51C}"/>
    <cellStyle name="Comma 2 2 3 2 4 8" xfId="7970" xr:uid="{15AFBFDA-194F-466B-82FA-E0CB75ED5354}"/>
    <cellStyle name="Comma 2 2 3 2 4 8 2" xfId="44478" xr:uid="{D4A76830-4168-452A-AA40-89DE52E79EA9}"/>
    <cellStyle name="Comma 2 2 3 2 4 8 3" xfId="26224" xr:uid="{CAB51D42-AB34-4646-8D0F-FB9046332527}"/>
    <cellStyle name="Comma 2 2 3 2 4 9" xfId="4320" xr:uid="{BC92B0E1-A86C-4052-90C3-8DDB7BE47808}"/>
    <cellStyle name="Comma 2 2 3 2 4 9 2" xfId="40828" xr:uid="{01DA0E93-BEAC-417A-B015-5EC436203DED}"/>
    <cellStyle name="Comma 2 2 3 2 4 9 3" xfId="22574" xr:uid="{8919106D-25A1-413C-B78A-C1822F791FA2}"/>
    <cellStyle name="Comma 2 2 3 2 5" xfId="566" xr:uid="{66FDF960-D86E-4FE9-BC9B-D3C9DB4F5532}"/>
    <cellStyle name="Comma 2 2 3 2 5 10" xfId="37074" xr:uid="{1271F8A0-2DE7-410C-AA27-D185CEA8915D}"/>
    <cellStyle name="Comma 2 2 3 2 5 11" xfId="18820" xr:uid="{39B39A3C-81F9-499D-8F18-C93BF1EBAF69}"/>
    <cellStyle name="Comma 2 2 3 2 5 2" xfId="3486" xr:uid="{16772AE6-8644-4377-94E8-87B5221888CA}"/>
    <cellStyle name="Comma 2 2 3 2 5 2 2" xfId="18086" xr:uid="{069FC692-650C-458D-BDAD-D285D19F85EF}"/>
    <cellStyle name="Comma 2 2 3 2 5 2 2 2" xfId="54594" xr:uid="{0EC4B11E-3B79-495A-B821-DDA6F259D0F0}"/>
    <cellStyle name="Comma 2 2 3 2 5 2 2 3" xfId="36340" xr:uid="{78BDB85E-E5F9-46BF-BDAE-257A25A5367A}"/>
    <cellStyle name="Comma 2 2 3 2 5 2 3" xfId="14436" xr:uid="{162BDE69-93DA-4F56-B8B8-A252B368E6C7}"/>
    <cellStyle name="Comma 2 2 3 2 5 2 3 2" xfId="50944" xr:uid="{3ADFE19B-3FCE-45A9-BA03-06F672DA6D14}"/>
    <cellStyle name="Comma 2 2 3 2 5 2 3 3" xfId="32690" xr:uid="{C4807852-8622-445B-AABE-19A1461E8004}"/>
    <cellStyle name="Comma 2 2 3 2 5 2 4" xfId="10786" xr:uid="{74B06049-6347-42C6-A6A0-8E24B240165A}"/>
    <cellStyle name="Comma 2 2 3 2 5 2 4 2" xfId="47294" xr:uid="{4D7AF032-FA6D-4554-AC4D-79BF0878F305}"/>
    <cellStyle name="Comma 2 2 3 2 5 2 4 3" xfId="29040" xr:uid="{DDD454A5-C15F-40CD-9569-D5B7C71B3FC0}"/>
    <cellStyle name="Comma 2 2 3 2 5 2 5" xfId="7136" xr:uid="{5C83B81E-EF75-4143-85E9-60EC473E0753}"/>
    <cellStyle name="Comma 2 2 3 2 5 2 5 2" xfId="43644" xr:uid="{44E6E40A-005A-4AD8-8177-09392F3C28D4}"/>
    <cellStyle name="Comma 2 2 3 2 5 2 5 3" xfId="25390" xr:uid="{80BB4FB1-AC01-445D-A4C6-16CABB0A4A06}"/>
    <cellStyle name="Comma 2 2 3 2 5 2 6" xfId="39994" xr:uid="{42CB3234-2373-4A55-AC19-D4C241A77FBF}"/>
    <cellStyle name="Comma 2 2 3 2 5 2 7" xfId="21740" xr:uid="{7EF35CAE-C451-43CB-B353-C070741FFC7E}"/>
    <cellStyle name="Comma 2 2 3 2 5 3" xfId="2756" xr:uid="{47B13685-E899-4852-8906-FFCEA49860A3}"/>
    <cellStyle name="Comma 2 2 3 2 5 3 2" xfId="17356" xr:uid="{D09DB4CC-1A95-461C-8D57-C2AF2FF38F36}"/>
    <cellStyle name="Comma 2 2 3 2 5 3 2 2" xfId="53864" xr:uid="{1E4D1C22-0A06-4CF3-B4B0-50A56912467B}"/>
    <cellStyle name="Comma 2 2 3 2 5 3 2 3" xfId="35610" xr:uid="{3BD74D8E-3298-44C3-A032-E139E8178429}"/>
    <cellStyle name="Comma 2 2 3 2 5 3 3" xfId="13706" xr:uid="{636FD1D7-B623-475B-A5F7-04FFA8A31B20}"/>
    <cellStyle name="Comma 2 2 3 2 5 3 3 2" xfId="50214" xr:uid="{517CB2D1-2696-4AE3-AC88-CDC468C7EB83}"/>
    <cellStyle name="Comma 2 2 3 2 5 3 3 3" xfId="31960" xr:uid="{FB1C8687-FBF1-4B7D-983F-62204C6A73CB}"/>
    <cellStyle name="Comma 2 2 3 2 5 3 4" xfId="10056" xr:uid="{F1249510-1E87-4B57-9565-CE852EC0BF17}"/>
    <cellStyle name="Comma 2 2 3 2 5 3 4 2" xfId="46564" xr:uid="{44D83A6A-DD0C-461C-9624-26F906D971B1}"/>
    <cellStyle name="Comma 2 2 3 2 5 3 4 3" xfId="28310" xr:uid="{87C2C892-9EF4-48E2-A78D-DA96F5D82876}"/>
    <cellStyle name="Comma 2 2 3 2 5 3 5" xfId="6406" xr:uid="{FCE703CD-1E1D-43C9-B1A4-781D6308AE8E}"/>
    <cellStyle name="Comma 2 2 3 2 5 3 5 2" xfId="42914" xr:uid="{A76B173B-D27D-4090-B91A-4D2B8F654BDA}"/>
    <cellStyle name="Comma 2 2 3 2 5 3 5 3" xfId="24660" xr:uid="{E4F606D0-7D77-40A4-9744-920067879D54}"/>
    <cellStyle name="Comma 2 2 3 2 5 3 6" xfId="39264" xr:uid="{505D9017-A14C-4AA5-854A-FEAF160B428E}"/>
    <cellStyle name="Comma 2 2 3 2 5 3 7" xfId="21010" xr:uid="{C93EF39F-4971-4B6A-9372-B7C4230F35C0}"/>
    <cellStyle name="Comma 2 2 3 2 5 4" xfId="2026" xr:uid="{730030FD-C196-4620-99B6-60305E28B409}"/>
    <cellStyle name="Comma 2 2 3 2 5 4 2" xfId="16626" xr:uid="{C4B3346D-E598-4BFF-8F11-6A58C7A57AE9}"/>
    <cellStyle name="Comma 2 2 3 2 5 4 2 2" xfId="53134" xr:uid="{A91AAC17-84F4-429B-B7AC-25AE804E823F}"/>
    <cellStyle name="Comma 2 2 3 2 5 4 2 3" xfId="34880" xr:uid="{F6D72FB2-696D-4C86-905B-1B6E4CA7252E}"/>
    <cellStyle name="Comma 2 2 3 2 5 4 3" xfId="12976" xr:uid="{D02BAD98-181A-46E6-BBDD-08A1AB0E7B76}"/>
    <cellStyle name="Comma 2 2 3 2 5 4 3 2" xfId="49484" xr:uid="{5AC2D98F-492B-4B33-BBFE-D60A99D583E6}"/>
    <cellStyle name="Comma 2 2 3 2 5 4 3 3" xfId="31230" xr:uid="{02A73D1C-A3D5-49B3-80B9-AE47E02375CF}"/>
    <cellStyle name="Comma 2 2 3 2 5 4 4" xfId="9326" xr:uid="{248D2CC2-2AB2-4314-871B-B35C2F60BA84}"/>
    <cellStyle name="Comma 2 2 3 2 5 4 4 2" xfId="45834" xr:uid="{0929C728-3210-430F-BD40-CDB38B2FA6D5}"/>
    <cellStyle name="Comma 2 2 3 2 5 4 4 3" xfId="27580" xr:uid="{73930D59-53CE-4855-9D60-D6ACEACE3C97}"/>
    <cellStyle name="Comma 2 2 3 2 5 4 5" xfId="5676" xr:uid="{C4ED82FC-B118-4DDF-9383-55D4FE290F4D}"/>
    <cellStyle name="Comma 2 2 3 2 5 4 5 2" xfId="42184" xr:uid="{8C0F0B16-D4F0-4C64-B0B4-523366FDC838}"/>
    <cellStyle name="Comma 2 2 3 2 5 4 5 3" xfId="23930" xr:uid="{5A9FFA8A-91F3-4EAE-B61D-85EA28D1435E}"/>
    <cellStyle name="Comma 2 2 3 2 5 4 6" xfId="38534" xr:uid="{78DCD600-38B9-4E8D-90BE-B79AD7A14611}"/>
    <cellStyle name="Comma 2 2 3 2 5 4 7" xfId="20280" xr:uid="{CD584149-B3A8-4843-8FF1-764EAC970BE2}"/>
    <cellStyle name="Comma 2 2 3 2 5 5" xfId="1296" xr:uid="{457AF1E4-D4B0-41E4-9F47-9791722746BA}"/>
    <cellStyle name="Comma 2 2 3 2 5 5 2" xfId="15896" xr:uid="{57DF1530-9E79-4FF3-8844-93619522D1FF}"/>
    <cellStyle name="Comma 2 2 3 2 5 5 2 2" xfId="52404" xr:uid="{426DC047-4EC5-4A71-94A3-585C65149271}"/>
    <cellStyle name="Comma 2 2 3 2 5 5 2 3" xfId="34150" xr:uid="{FF4BA6F4-25F2-4214-A52F-DA0741C14AAE}"/>
    <cellStyle name="Comma 2 2 3 2 5 5 3" xfId="12246" xr:uid="{BBF86B83-1584-4DFB-876A-1E3A1A02B3C7}"/>
    <cellStyle name="Comma 2 2 3 2 5 5 3 2" xfId="48754" xr:uid="{F17940AC-F900-46AB-AF47-07225EC791F4}"/>
    <cellStyle name="Comma 2 2 3 2 5 5 3 3" xfId="30500" xr:uid="{8D11F41A-A196-4E7D-A5B9-F06F66E75A3D}"/>
    <cellStyle name="Comma 2 2 3 2 5 5 4" xfId="8596" xr:uid="{22BECDFB-5EF4-4B92-AFEE-0956921234A4}"/>
    <cellStyle name="Comma 2 2 3 2 5 5 4 2" xfId="45104" xr:uid="{F271788E-23E7-4538-811F-117C6C1F6CF1}"/>
    <cellStyle name="Comma 2 2 3 2 5 5 4 3" xfId="26850" xr:uid="{0F0D6B59-47AE-4B48-8D5B-CA30A9EB6475}"/>
    <cellStyle name="Comma 2 2 3 2 5 5 5" xfId="4946" xr:uid="{CB080524-9409-4EF9-A4A7-BDA3005E046A}"/>
    <cellStyle name="Comma 2 2 3 2 5 5 5 2" xfId="41454" xr:uid="{F066AF04-1E82-4F81-9352-D4696B34DC9C}"/>
    <cellStyle name="Comma 2 2 3 2 5 5 5 3" xfId="23200" xr:uid="{24AAC087-6F20-48C9-8F2F-1152E38A8072}"/>
    <cellStyle name="Comma 2 2 3 2 5 5 6" xfId="37804" xr:uid="{09BEF621-D685-4BAE-940B-C7CD09B55DB9}"/>
    <cellStyle name="Comma 2 2 3 2 5 5 7" xfId="19550" xr:uid="{ACBB88F0-0F38-4BB6-AF6F-F8E950292311}"/>
    <cellStyle name="Comma 2 2 3 2 5 6" xfId="15166" xr:uid="{422C4F55-3E67-45AC-A1E7-1759798C5579}"/>
    <cellStyle name="Comma 2 2 3 2 5 6 2" xfId="51674" xr:uid="{CC08DC3D-CA15-4F8A-97E1-B6187A63CEC6}"/>
    <cellStyle name="Comma 2 2 3 2 5 6 3" xfId="33420" xr:uid="{0FF30BEF-0F6F-46AA-8BBE-4CC6BE174046}"/>
    <cellStyle name="Comma 2 2 3 2 5 7" xfId="11516" xr:uid="{162D7C65-1AD4-4CDB-8CF7-B21E2EDB1A9F}"/>
    <cellStyle name="Comma 2 2 3 2 5 7 2" xfId="48024" xr:uid="{8C1DC1F9-0239-4EE0-AA6D-9C2EF30E38A4}"/>
    <cellStyle name="Comma 2 2 3 2 5 7 3" xfId="29770" xr:uid="{99E12812-BB2C-408B-A71C-D9FA50E85FD9}"/>
    <cellStyle name="Comma 2 2 3 2 5 8" xfId="7866" xr:uid="{60397343-E483-47A1-B867-91F82D83A15E}"/>
    <cellStyle name="Comma 2 2 3 2 5 8 2" xfId="44374" xr:uid="{DE644CC8-92FE-4E3C-B0C8-A707099129E9}"/>
    <cellStyle name="Comma 2 2 3 2 5 8 3" xfId="26120" xr:uid="{43733016-F31F-49EE-830C-539EC05F8BF5}"/>
    <cellStyle name="Comma 2 2 3 2 5 9" xfId="4216" xr:uid="{218D8497-4213-4A5E-A20B-19B880DF64C8}"/>
    <cellStyle name="Comma 2 2 3 2 5 9 2" xfId="40724" xr:uid="{D4CC6E18-AF22-40D9-8A2C-A15C53F5D875}"/>
    <cellStyle name="Comma 2 2 3 2 5 9 3" xfId="22470" xr:uid="{7D3E61EF-7168-47CB-861A-B24B16EE03DF}"/>
    <cellStyle name="Comma 2 2 3 2 6" xfId="462" xr:uid="{C3827E0C-6E7E-4B47-868F-6AE9BD999E0E}"/>
    <cellStyle name="Comma 2 2 3 2 6 10" xfId="36970" xr:uid="{F3396DBE-0A36-4D65-BED5-5B4A8CD96C70}"/>
    <cellStyle name="Comma 2 2 3 2 6 11" xfId="18716" xr:uid="{9404C839-9E05-43BA-A861-B4D91A041945}"/>
    <cellStyle name="Comma 2 2 3 2 6 2" xfId="3382" xr:uid="{01CF9F19-802B-44C8-9AB5-8AE4CF7F0D07}"/>
    <cellStyle name="Comma 2 2 3 2 6 2 2" xfId="17982" xr:uid="{A3E205EE-3CE2-4945-983C-B983862F6128}"/>
    <cellStyle name="Comma 2 2 3 2 6 2 2 2" xfId="54490" xr:uid="{75AB119F-CAA5-44D4-A3EC-E8E30A3F3742}"/>
    <cellStyle name="Comma 2 2 3 2 6 2 2 3" xfId="36236" xr:uid="{FA22947E-2E93-4870-99B8-AE31172674AD}"/>
    <cellStyle name="Comma 2 2 3 2 6 2 3" xfId="14332" xr:uid="{C9BBBB09-07E3-49A6-ADCC-255EC882B0E2}"/>
    <cellStyle name="Comma 2 2 3 2 6 2 3 2" xfId="50840" xr:uid="{F60C6A98-EFA6-40D6-BFF3-3202DD8717FB}"/>
    <cellStyle name="Comma 2 2 3 2 6 2 3 3" xfId="32586" xr:uid="{7F0D3113-8F12-46D3-A5A3-EEFEA5CE7590}"/>
    <cellStyle name="Comma 2 2 3 2 6 2 4" xfId="10682" xr:uid="{896F48DB-0D94-4779-9C30-6A0BF2747108}"/>
    <cellStyle name="Comma 2 2 3 2 6 2 4 2" xfId="47190" xr:uid="{C56A9F4F-98C1-4B6B-86BF-9ED90166AD0C}"/>
    <cellStyle name="Comma 2 2 3 2 6 2 4 3" xfId="28936" xr:uid="{83C90613-30FE-4831-B707-45371C6CCD11}"/>
    <cellStyle name="Comma 2 2 3 2 6 2 5" xfId="7032" xr:uid="{0C76811E-4611-4CCF-9DC4-DB4F5FFE621F}"/>
    <cellStyle name="Comma 2 2 3 2 6 2 5 2" xfId="43540" xr:uid="{214EA7D9-2C8E-4A1B-8A4F-BF2E34F73755}"/>
    <cellStyle name="Comma 2 2 3 2 6 2 5 3" xfId="25286" xr:uid="{C3DC59DB-4D4E-4095-82A3-99C57BAC72F0}"/>
    <cellStyle name="Comma 2 2 3 2 6 2 6" xfId="39890" xr:uid="{CE098452-30C7-4B06-A493-F9AF60188319}"/>
    <cellStyle name="Comma 2 2 3 2 6 2 7" xfId="21636" xr:uid="{71D4966A-6284-4394-9EB4-B2D2812074A1}"/>
    <cellStyle name="Comma 2 2 3 2 6 3" xfId="2652" xr:uid="{063C5244-F6F3-4EB5-93A2-3B53F8A1EAEA}"/>
    <cellStyle name="Comma 2 2 3 2 6 3 2" xfId="17252" xr:uid="{3C0999DA-D06B-4313-B5A2-1531FFF832A4}"/>
    <cellStyle name="Comma 2 2 3 2 6 3 2 2" xfId="53760" xr:uid="{5AB0A5D4-F0AF-4F08-B81C-AF0A750316BE}"/>
    <cellStyle name="Comma 2 2 3 2 6 3 2 3" xfId="35506" xr:uid="{57C34460-07CB-4E5D-9975-7F734D4F3B0C}"/>
    <cellStyle name="Comma 2 2 3 2 6 3 3" xfId="13602" xr:uid="{5F5C6D3A-4A05-4F78-BE17-350EDC920131}"/>
    <cellStyle name="Comma 2 2 3 2 6 3 3 2" xfId="50110" xr:uid="{739EFD73-19EF-4C73-AE0E-149B2A9D6899}"/>
    <cellStyle name="Comma 2 2 3 2 6 3 3 3" xfId="31856" xr:uid="{6864CCB2-2B97-47AA-962E-B4486D00647E}"/>
    <cellStyle name="Comma 2 2 3 2 6 3 4" xfId="9952" xr:uid="{AD7DB6CE-E909-43F5-9741-E5EB68FD4AE0}"/>
    <cellStyle name="Comma 2 2 3 2 6 3 4 2" xfId="46460" xr:uid="{0F88311A-9E7E-4376-B405-912A75F0D12E}"/>
    <cellStyle name="Comma 2 2 3 2 6 3 4 3" xfId="28206" xr:uid="{7144346E-93D2-4365-BA02-0D019E25039E}"/>
    <cellStyle name="Comma 2 2 3 2 6 3 5" xfId="6302" xr:uid="{CFDB7571-C296-4731-9847-D0A0FEDF6DFD}"/>
    <cellStyle name="Comma 2 2 3 2 6 3 5 2" xfId="42810" xr:uid="{FC0AB003-8A98-4FA5-8FE0-7F9705A9FE43}"/>
    <cellStyle name="Comma 2 2 3 2 6 3 5 3" xfId="24556" xr:uid="{37D12B37-A509-4312-BAD3-5CE1C30B17A3}"/>
    <cellStyle name="Comma 2 2 3 2 6 3 6" xfId="39160" xr:uid="{45AFAC73-CDBC-4A4E-BFD7-B1C7F8043456}"/>
    <cellStyle name="Comma 2 2 3 2 6 3 7" xfId="20906" xr:uid="{1ED37FB7-5ABE-48AF-9781-35DD22E75933}"/>
    <cellStyle name="Comma 2 2 3 2 6 4" xfId="1922" xr:uid="{DA6F9FD3-4485-49E6-9843-1D2A6963CF8B}"/>
    <cellStyle name="Comma 2 2 3 2 6 4 2" xfId="16522" xr:uid="{D4100CA4-23B1-4A4E-A01C-A41CD0B9610D}"/>
    <cellStyle name="Comma 2 2 3 2 6 4 2 2" xfId="53030" xr:uid="{D04C7286-BC04-434A-834F-8B845E5ECB5D}"/>
    <cellStyle name="Comma 2 2 3 2 6 4 2 3" xfId="34776" xr:uid="{3E8497DC-FF74-4883-A535-90B2DBBB4BC0}"/>
    <cellStyle name="Comma 2 2 3 2 6 4 3" xfId="12872" xr:uid="{0DF50861-0C11-48DE-A01E-62FE9E72C1FF}"/>
    <cellStyle name="Comma 2 2 3 2 6 4 3 2" xfId="49380" xr:uid="{28A62E63-284E-4B0D-8530-5568B15D0B33}"/>
    <cellStyle name="Comma 2 2 3 2 6 4 3 3" xfId="31126" xr:uid="{65AB8E30-C2CF-4A32-9B78-CE2E81B3144A}"/>
    <cellStyle name="Comma 2 2 3 2 6 4 4" xfId="9222" xr:uid="{20767DB1-92AC-44FF-BD3B-E8EBDB78D736}"/>
    <cellStyle name="Comma 2 2 3 2 6 4 4 2" xfId="45730" xr:uid="{C941F1EC-7922-4819-A33F-EB8C1DFEF5F9}"/>
    <cellStyle name="Comma 2 2 3 2 6 4 4 3" xfId="27476" xr:uid="{5A9EBC1D-CC72-4E7E-BEF7-FE42D213256E}"/>
    <cellStyle name="Comma 2 2 3 2 6 4 5" xfId="5572" xr:uid="{F8624EFB-34D6-4033-8272-DC7DD8BC97A5}"/>
    <cellStyle name="Comma 2 2 3 2 6 4 5 2" xfId="42080" xr:uid="{9DB0FC2C-4E55-42A6-BCDB-2A2CA396C841}"/>
    <cellStyle name="Comma 2 2 3 2 6 4 5 3" xfId="23826" xr:uid="{5450F146-E15D-48D0-9474-FC6044DA2745}"/>
    <cellStyle name="Comma 2 2 3 2 6 4 6" xfId="38430" xr:uid="{2EDF8854-36FD-4178-B860-15C3343A4EF3}"/>
    <cellStyle name="Comma 2 2 3 2 6 4 7" xfId="20176" xr:uid="{0CF2ABA7-D669-47AE-8A82-38D6DC619100}"/>
    <cellStyle name="Comma 2 2 3 2 6 5" xfId="1192" xr:uid="{A02CAA43-D8BD-4FDA-860C-49E9B0319072}"/>
    <cellStyle name="Comma 2 2 3 2 6 5 2" xfId="15792" xr:uid="{AB9B7B1A-0AA6-41ED-BE8B-BDFBE2F8FE17}"/>
    <cellStyle name="Comma 2 2 3 2 6 5 2 2" xfId="52300" xr:uid="{7D7A04A1-EB4C-46BA-8C2E-0016CCC0D98D}"/>
    <cellStyle name="Comma 2 2 3 2 6 5 2 3" xfId="34046" xr:uid="{E3E4025B-D463-4C7E-8BAA-27C940EA0569}"/>
    <cellStyle name="Comma 2 2 3 2 6 5 3" xfId="12142" xr:uid="{587316BD-9992-48F5-8197-B1307B62F2E7}"/>
    <cellStyle name="Comma 2 2 3 2 6 5 3 2" xfId="48650" xr:uid="{2767617F-4D47-4AD8-9745-CDEAA86F8F3D}"/>
    <cellStyle name="Comma 2 2 3 2 6 5 3 3" xfId="30396" xr:uid="{8CC2D3CA-F7A5-402F-9D12-FF7A883CFE75}"/>
    <cellStyle name="Comma 2 2 3 2 6 5 4" xfId="8492" xr:uid="{9E2E34EF-2058-457A-8CFC-9B1075DA1441}"/>
    <cellStyle name="Comma 2 2 3 2 6 5 4 2" xfId="45000" xr:uid="{5EB40DE3-705F-4014-931D-95C4F80F1C1F}"/>
    <cellStyle name="Comma 2 2 3 2 6 5 4 3" xfId="26746" xr:uid="{E59F94C3-8C2A-43A8-B0A1-386C16A27E38}"/>
    <cellStyle name="Comma 2 2 3 2 6 5 5" xfId="4842" xr:uid="{26DACEBD-750F-413A-A051-B77141948C4F}"/>
    <cellStyle name="Comma 2 2 3 2 6 5 5 2" xfId="41350" xr:uid="{380D1173-CEAD-454D-AA68-724D74AC6301}"/>
    <cellStyle name="Comma 2 2 3 2 6 5 5 3" xfId="23096" xr:uid="{91C07FA0-C2AC-411D-A9B7-7874192D12CA}"/>
    <cellStyle name="Comma 2 2 3 2 6 5 6" xfId="37700" xr:uid="{B0BD29E1-EDAC-44E8-9548-22FEC8BE4FFF}"/>
    <cellStyle name="Comma 2 2 3 2 6 5 7" xfId="19446" xr:uid="{B995C89B-1370-4550-B677-D1E748641133}"/>
    <cellStyle name="Comma 2 2 3 2 6 6" xfId="15062" xr:uid="{E9F518C5-2D28-4EF9-AB24-70964CA4B5E3}"/>
    <cellStyle name="Comma 2 2 3 2 6 6 2" xfId="51570" xr:uid="{8ED57B49-0840-4FBF-B374-BF6724E5E4F7}"/>
    <cellStyle name="Comma 2 2 3 2 6 6 3" xfId="33316" xr:uid="{1DEBC5BA-054F-438A-92A9-9846A4DB0963}"/>
    <cellStyle name="Comma 2 2 3 2 6 7" xfId="11412" xr:uid="{B2854608-35A6-4854-826B-46B02961CBBD}"/>
    <cellStyle name="Comma 2 2 3 2 6 7 2" xfId="47920" xr:uid="{79EA4373-24BB-4FA1-A1A9-DB13ADBDDCEB}"/>
    <cellStyle name="Comma 2 2 3 2 6 7 3" xfId="29666" xr:uid="{4C51FE23-DD6E-4D00-B5A6-C11E70D36D05}"/>
    <cellStyle name="Comma 2 2 3 2 6 8" xfId="7762" xr:uid="{ADA4C6F1-1BC1-4680-B806-94BBF24E19AB}"/>
    <cellStyle name="Comma 2 2 3 2 6 8 2" xfId="44270" xr:uid="{E993801A-F98D-4638-95D4-8225A687FCFD}"/>
    <cellStyle name="Comma 2 2 3 2 6 8 3" xfId="26016" xr:uid="{6C22C918-DD5F-4784-B28C-D3E5EA964CF5}"/>
    <cellStyle name="Comma 2 2 3 2 6 9" xfId="4112" xr:uid="{ED910DF5-2499-4162-BA24-93C747FA3BE0}"/>
    <cellStyle name="Comma 2 2 3 2 6 9 2" xfId="40620" xr:uid="{5EF7EC01-436E-4153-9E32-CD8EA93B339C}"/>
    <cellStyle name="Comma 2 2 3 2 6 9 3" xfId="22366" xr:uid="{C388375F-2392-4228-AECD-75DE3E0F7E48}"/>
    <cellStyle name="Comma 2 2 3 2 7" xfId="358" xr:uid="{AB5B32C9-CFBE-48E0-8ED8-8652486E5131}"/>
    <cellStyle name="Comma 2 2 3 2 7 10" xfId="36866" xr:uid="{AE7C31D8-B22F-4F1B-9CEA-4F8BDE1F4F36}"/>
    <cellStyle name="Comma 2 2 3 2 7 11" xfId="18612" xr:uid="{67656ADB-6BCB-4886-9C08-189EF9060DCC}"/>
    <cellStyle name="Comma 2 2 3 2 7 2" xfId="3278" xr:uid="{35A57B0C-C2E6-411D-B6D4-1AC1A23F17C2}"/>
    <cellStyle name="Comma 2 2 3 2 7 2 2" xfId="17878" xr:uid="{EB063385-50A2-40BF-8F70-5DB0DF18777F}"/>
    <cellStyle name="Comma 2 2 3 2 7 2 2 2" xfId="54386" xr:uid="{200A9FA5-CDB9-478B-A14E-D0B67F327673}"/>
    <cellStyle name="Comma 2 2 3 2 7 2 2 3" xfId="36132" xr:uid="{00C26A81-4D33-421D-BB41-2CC40A0803A4}"/>
    <cellStyle name="Comma 2 2 3 2 7 2 3" xfId="14228" xr:uid="{D7362771-D9B0-4620-8816-1C2D9013E94D}"/>
    <cellStyle name="Comma 2 2 3 2 7 2 3 2" xfId="50736" xr:uid="{8BAC2286-26ED-457A-91FB-196E206DE744}"/>
    <cellStyle name="Comma 2 2 3 2 7 2 3 3" xfId="32482" xr:uid="{8A3CA8F8-017C-4FA5-B2AC-067370394EF0}"/>
    <cellStyle name="Comma 2 2 3 2 7 2 4" xfId="10578" xr:uid="{FB6D7135-3709-431B-A649-52E9C4BA21E1}"/>
    <cellStyle name="Comma 2 2 3 2 7 2 4 2" xfId="47086" xr:uid="{EE3F69E4-B808-4F8B-A539-F25E9B14642C}"/>
    <cellStyle name="Comma 2 2 3 2 7 2 4 3" xfId="28832" xr:uid="{22382B6F-47C7-4B8D-AF83-4716C1EF18B4}"/>
    <cellStyle name="Comma 2 2 3 2 7 2 5" xfId="6928" xr:uid="{3BEAC8F9-7339-490F-A724-95B7FBDEA11C}"/>
    <cellStyle name="Comma 2 2 3 2 7 2 5 2" xfId="43436" xr:uid="{7281FB83-9AAD-46F3-9674-68DA715EA922}"/>
    <cellStyle name="Comma 2 2 3 2 7 2 5 3" xfId="25182" xr:uid="{CD6FE14D-F39A-4676-A99D-4801C5BEFD37}"/>
    <cellStyle name="Comma 2 2 3 2 7 2 6" xfId="39786" xr:uid="{87554F56-B80F-4BD0-BF0C-70AF9F84A701}"/>
    <cellStyle name="Comma 2 2 3 2 7 2 7" xfId="21532" xr:uid="{24F3D498-6AA1-4095-907B-509F1E80FB3D}"/>
    <cellStyle name="Comma 2 2 3 2 7 3" xfId="2548" xr:uid="{79267C3C-C10C-455D-995B-CED92613920D}"/>
    <cellStyle name="Comma 2 2 3 2 7 3 2" xfId="17148" xr:uid="{072A1B4A-C071-431F-8118-BBBEE0C37339}"/>
    <cellStyle name="Comma 2 2 3 2 7 3 2 2" xfId="53656" xr:uid="{00055049-BA04-48FA-9938-8ED3457928D9}"/>
    <cellStyle name="Comma 2 2 3 2 7 3 2 3" xfId="35402" xr:uid="{E5076456-AE40-48EB-95C6-6F999C35EE84}"/>
    <cellStyle name="Comma 2 2 3 2 7 3 3" xfId="13498" xr:uid="{8EFE9DC4-99A2-47BE-B4E5-7F8E6817089D}"/>
    <cellStyle name="Comma 2 2 3 2 7 3 3 2" xfId="50006" xr:uid="{14514003-BD6D-41F4-8847-E51010952F1B}"/>
    <cellStyle name="Comma 2 2 3 2 7 3 3 3" xfId="31752" xr:uid="{4AAF0C9C-B783-4DDA-B559-37D4430CD02C}"/>
    <cellStyle name="Comma 2 2 3 2 7 3 4" xfId="9848" xr:uid="{F7BD6730-597A-481D-99FC-FD50916CA206}"/>
    <cellStyle name="Comma 2 2 3 2 7 3 4 2" xfId="46356" xr:uid="{9138EFD6-242A-4602-881A-A5741460A9EE}"/>
    <cellStyle name="Comma 2 2 3 2 7 3 4 3" xfId="28102" xr:uid="{C90562F9-DB98-49E4-9E17-05EB6C39A0BE}"/>
    <cellStyle name="Comma 2 2 3 2 7 3 5" xfId="6198" xr:uid="{C029F394-DAA4-4B0F-81A5-F1293F909181}"/>
    <cellStyle name="Comma 2 2 3 2 7 3 5 2" xfId="42706" xr:uid="{5964B2BA-F3E9-4FED-8C69-F1AFE4148D5D}"/>
    <cellStyle name="Comma 2 2 3 2 7 3 5 3" xfId="24452" xr:uid="{79C8502E-7D0B-4AE2-A95B-83285943CA1D}"/>
    <cellStyle name="Comma 2 2 3 2 7 3 6" xfId="39056" xr:uid="{1B8F1A64-C1F8-4D9E-B65C-2891A5ECEB2E}"/>
    <cellStyle name="Comma 2 2 3 2 7 3 7" xfId="20802" xr:uid="{A3AC88EA-B5D2-44F4-BC33-CDABFD891255}"/>
    <cellStyle name="Comma 2 2 3 2 7 4" xfId="1818" xr:uid="{2E68372A-8D62-4E9F-9077-FDBC687140DC}"/>
    <cellStyle name="Comma 2 2 3 2 7 4 2" xfId="16418" xr:uid="{0E67C34F-0278-4CBA-8BDE-540AB786187A}"/>
    <cellStyle name="Comma 2 2 3 2 7 4 2 2" xfId="52926" xr:uid="{311A875A-EEF4-449B-824E-862207F77FD9}"/>
    <cellStyle name="Comma 2 2 3 2 7 4 2 3" xfId="34672" xr:uid="{96674047-6F49-47AE-B413-5F2683D60D33}"/>
    <cellStyle name="Comma 2 2 3 2 7 4 3" xfId="12768" xr:uid="{FAD803C4-86AD-40A4-887E-D329A2FDADB0}"/>
    <cellStyle name="Comma 2 2 3 2 7 4 3 2" xfId="49276" xr:uid="{78D30507-9EE7-4783-A562-325001A0A603}"/>
    <cellStyle name="Comma 2 2 3 2 7 4 3 3" xfId="31022" xr:uid="{64DB0492-1736-42ED-BDB4-7F9F2AA47AC9}"/>
    <cellStyle name="Comma 2 2 3 2 7 4 4" xfId="9118" xr:uid="{D5CACDBE-3A6C-42BA-BC3C-9222361744B9}"/>
    <cellStyle name="Comma 2 2 3 2 7 4 4 2" xfId="45626" xr:uid="{9E8C3320-A497-4E9B-9DA0-8B058E9DB0C9}"/>
    <cellStyle name="Comma 2 2 3 2 7 4 4 3" xfId="27372" xr:uid="{E5BCC9B0-EAD7-4164-A270-D2A365E3E80E}"/>
    <cellStyle name="Comma 2 2 3 2 7 4 5" xfId="5468" xr:uid="{8F282126-CD4F-4632-9097-3E5B17620DD2}"/>
    <cellStyle name="Comma 2 2 3 2 7 4 5 2" xfId="41976" xr:uid="{D1C58FF9-5F52-4970-9806-316AE5B0043B}"/>
    <cellStyle name="Comma 2 2 3 2 7 4 5 3" xfId="23722" xr:uid="{29BDDC53-AE7E-4819-ABD7-3E56552564C7}"/>
    <cellStyle name="Comma 2 2 3 2 7 4 6" xfId="38326" xr:uid="{7E6A3911-82C8-4C37-9838-09BBA43ED67F}"/>
    <cellStyle name="Comma 2 2 3 2 7 4 7" xfId="20072" xr:uid="{400F09BE-8775-4EE4-AF82-269CBE7933B4}"/>
    <cellStyle name="Comma 2 2 3 2 7 5" xfId="1088" xr:uid="{50614F6C-A315-418A-AD2B-F3A47CEC0945}"/>
    <cellStyle name="Comma 2 2 3 2 7 5 2" xfId="15688" xr:uid="{F7E384D0-C727-4695-BBD3-F63C561D1259}"/>
    <cellStyle name="Comma 2 2 3 2 7 5 2 2" xfId="52196" xr:uid="{7107A347-E719-4FC4-92A2-C82160DB630E}"/>
    <cellStyle name="Comma 2 2 3 2 7 5 2 3" xfId="33942" xr:uid="{7AC7A788-40C8-4CC1-A369-1C6AFBC483D9}"/>
    <cellStyle name="Comma 2 2 3 2 7 5 3" xfId="12038" xr:uid="{63244FBA-3D12-4D72-A3FB-CA0C0657BEA4}"/>
    <cellStyle name="Comma 2 2 3 2 7 5 3 2" xfId="48546" xr:uid="{8EC3BEFB-7A75-46B6-AE49-53B0C123EEAC}"/>
    <cellStyle name="Comma 2 2 3 2 7 5 3 3" xfId="30292" xr:uid="{B48C647D-F414-4A6C-81F6-CD23E50B9576}"/>
    <cellStyle name="Comma 2 2 3 2 7 5 4" xfId="8388" xr:uid="{8DC1E040-F33B-4773-B727-E844BD8FDD1D}"/>
    <cellStyle name="Comma 2 2 3 2 7 5 4 2" xfId="44896" xr:uid="{AD412455-CFE5-4347-AF33-D85081329082}"/>
    <cellStyle name="Comma 2 2 3 2 7 5 4 3" xfId="26642" xr:uid="{E4575E40-6C52-4853-A14E-15020EC9DE97}"/>
    <cellStyle name="Comma 2 2 3 2 7 5 5" xfId="4738" xr:uid="{4595D2D1-FEC0-4F0D-96AB-6CB8D886A852}"/>
    <cellStyle name="Comma 2 2 3 2 7 5 5 2" xfId="41246" xr:uid="{EB841681-932A-4201-8212-C9292AB3CA12}"/>
    <cellStyle name="Comma 2 2 3 2 7 5 5 3" xfId="22992" xr:uid="{1977CB6A-35C2-4436-9E71-349105D22570}"/>
    <cellStyle name="Comma 2 2 3 2 7 5 6" xfId="37596" xr:uid="{F1AA62D6-D766-4F1C-8BA6-E2B4D051E99D}"/>
    <cellStyle name="Comma 2 2 3 2 7 5 7" xfId="19342" xr:uid="{D2106961-B23F-42DB-843E-F1F18EC19915}"/>
    <cellStyle name="Comma 2 2 3 2 7 6" xfId="14958" xr:uid="{116A5041-E38A-4F51-92BC-7C2B34C36EF7}"/>
    <cellStyle name="Comma 2 2 3 2 7 6 2" xfId="51466" xr:uid="{96A2BDCF-7E81-483A-B288-A1E7BB9E8F50}"/>
    <cellStyle name="Comma 2 2 3 2 7 6 3" xfId="33212" xr:uid="{5C37973B-6925-4769-8FC4-9A50C1E368E5}"/>
    <cellStyle name="Comma 2 2 3 2 7 7" xfId="11308" xr:uid="{FF4A7E9B-4E4F-439C-8E40-AA7939153950}"/>
    <cellStyle name="Comma 2 2 3 2 7 7 2" xfId="47816" xr:uid="{76E75E0A-96EB-487A-952F-3CC2353FB111}"/>
    <cellStyle name="Comma 2 2 3 2 7 7 3" xfId="29562" xr:uid="{0928E392-A9BF-4A3D-8290-3A0E1503B97B}"/>
    <cellStyle name="Comma 2 2 3 2 7 8" xfId="7658" xr:uid="{CCAB74D6-489F-4051-8D12-7114EF170442}"/>
    <cellStyle name="Comma 2 2 3 2 7 8 2" xfId="44166" xr:uid="{91993D45-7188-416E-BF1E-13AEFB4337EC}"/>
    <cellStyle name="Comma 2 2 3 2 7 8 3" xfId="25912" xr:uid="{640853E6-8474-4BBA-A674-9796EB3BEA0A}"/>
    <cellStyle name="Comma 2 2 3 2 7 9" xfId="4008" xr:uid="{965A0D7D-34FC-4869-8D7E-EFA105C6433D}"/>
    <cellStyle name="Comma 2 2 3 2 7 9 2" xfId="40516" xr:uid="{C849721B-4303-4F3A-9426-456E00B3140B}"/>
    <cellStyle name="Comma 2 2 3 2 7 9 3" xfId="22262" xr:uid="{8BCFC61A-0C22-4E65-AE62-BB293E5AAFF9}"/>
    <cellStyle name="Comma 2 2 3 2 8" xfId="254" xr:uid="{57DD3E67-7258-4C09-88F5-D428482C5EA9}"/>
    <cellStyle name="Comma 2 2 3 2 8 10" xfId="36762" xr:uid="{F92C0535-803E-4E29-87E2-69A5CEE81290}"/>
    <cellStyle name="Comma 2 2 3 2 8 11" xfId="18508" xr:uid="{7FBA7C23-EA1D-4839-813B-9A0A7BB0195C}"/>
    <cellStyle name="Comma 2 2 3 2 8 2" xfId="3174" xr:uid="{1A1EC24A-63FC-42D8-AD68-76191DFB8BBB}"/>
    <cellStyle name="Comma 2 2 3 2 8 2 2" xfId="17774" xr:uid="{D7CE2B38-272E-4BEA-8EBC-FCCA75CFFD8F}"/>
    <cellStyle name="Comma 2 2 3 2 8 2 2 2" xfId="54282" xr:uid="{86CAB37A-A12D-4236-AC70-2BFCD9FA4404}"/>
    <cellStyle name="Comma 2 2 3 2 8 2 2 3" xfId="36028" xr:uid="{A9E9F274-EDB8-4A04-AEBC-97C1F99A0665}"/>
    <cellStyle name="Comma 2 2 3 2 8 2 3" xfId="14124" xr:uid="{3598989C-1C55-4AD9-8A79-38116EA9245E}"/>
    <cellStyle name="Comma 2 2 3 2 8 2 3 2" xfId="50632" xr:uid="{C14B8A88-C5B4-4A1A-BB3E-5CE6E2E2F189}"/>
    <cellStyle name="Comma 2 2 3 2 8 2 3 3" xfId="32378" xr:uid="{FE5DE16C-1970-40CF-AE3E-1AAC7D558EB9}"/>
    <cellStyle name="Comma 2 2 3 2 8 2 4" xfId="10474" xr:uid="{5603BA07-F8C8-4EFA-B10A-9197298E6EE9}"/>
    <cellStyle name="Comma 2 2 3 2 8 2 4 2" xfId="46982" xr:uid="{C4511C12-18A7-4F0B-A037-F3C3726A6BCF}"/>
    <cellStyle name="Comma 2 2 3 2 8 2 4 3" xfId="28728" xr:uid="{65BFE589-8493-4E0B-B70D-13E6F35DD5B9}"/>
    <cellStyle name="Comma 2 2 3 2 8 2 5" xfId="6824" xr:uid="{663FC473-41A8-4758-BE6C-DA93A28CCC32}"/>
    <cellStyle name="Comma 2 2 3 2 8 2 5 2" xfId="43332" xr:uid="{0ED23ECA-64F6-4A38-BA84-7DEDAFD9E30F}"/>
    <cellStyle name="Comma 2 2 3 2 8 2 5 3" xfId="25078" xr:uid="{4F0C2D1D-C1E8-4597-AF74-36D79F26EC92}"/>
    <cellStyle name="Comma 2 2 3 2 8 2 6" xfId="39682" xr:uid="{CC0CA0B0-DBE1-4A56-A1F0-5B1C37B03B57}"/>
    <cellStyle name="Comma 2 2 3 2 8 2 7" xfId="21428" xr:uid="{D910180A-020A-4706-B7A6-DAA850597318}"/>
    <cellStyle name="Comma 2 2 3 2 8 3" xfId="2444" xr:uid="{7235E39B-B3A7-494F-A036-89D9E85BF962}"/>
    <cellStyle name="Comma 2 2 3 2 8 3 2" xfId="17044" xr:uid="{A16C8F82-1A8E-4BDA-8C8C-E542465CB125}"/>
    <cellStyle name="Comma 2 2 3 2 8 3 2 2" xfId="53552" xr:uid="{0628414D-080D-419F-984C-2FAF2E4DEF15}"/>
    <cellStyle name="Comma 2 2 3 2 8 3 2 3" xfId="35298" xr:uid="{1D95F44A-E782-4ECA-9ADF-4CB89FB72307}"/>
    <cellStyle name="Comma 2 2 3 2 8 3 3" xfId="13394" xr:uid="{03198D7E-C4E1-47A4-B149-68BA5F9AB1A3}"/>
    <cellStyle name="Comma 2 2 3 2 8 3 3 2" xfId="49902" xr:uid="{7B827255-B413-41A3-BE93-3A08BBEA9591}"/>
    <cellStyle name="Comma 2 2 3 2 8 3 3 3" xfId="31648" xr:uid="{D7388AAA-A85E-4984-9B72-94BCFCCD3C11}"/>
    <cellStyle name="Comma 2 2 3 2 8 3 4" xfId="9744" xr:uid="{0A8B267F-1176-401E-A16E-6E0A46907690}"/>
    <cellStyle name="Comma 2 2 3 2 8 3 4 2" xfId="46252" xr:uid="{DFE342DC-6DC0-4FFB-90D3-F862B293BDEF}"/>
    <cellStyle name="Comma 2 2 3 2 8 3 4 3" xfId="27998" xr:uid="{DF68C158-E332-45F3-9DF5-278D6AEBA289}"/>
    <cellStyle name="Comma 2 2 3 2 8 3 5" xfId="6094" xr:uid="{ACF21BB6-78CB-4083-BB20-ADFF6296EA52}"/>
    <cellStyle name="Comma 2 2 3 2 8 3 5 2" xfId="42602" xr:uid="{7D5967F6-5298-4EA0-8DCE-D252E6F5DE40}"/>
    <cellStyle name="Comma 2 2 3 2 8 3 5 3" xfId="24348" xr:uid="{DF8100A7-5E11-4E5A-83BC-AE64040D80F2}"/>
    <cellStyle name="Comma 2 2 3 2 8 3 6" xfId="38952" xr:uid="{6CBBE10A-B8FE-4FBA-8CBF-7629897DB8F0}"/>
    <cellStyle name="Comma 2 2 3 2 8 3 7" xfId="20698" xr:uid="{47DD4E1B-33AF-43B3-A18D-24D49E108494}"/>
    <cellStyle name="Comma 2 2 3 2 8 4" xfId="1714" xr:uid="{C144B55B-2BFF-42A5-810D-981640838F19}"/>
    <cellStyle name="Comma 2 2 3 2 8 4 2" xfId="16314" xr:uid="{9C91A35B-9892-45B2-BC5B-7F277AB7804F}"/>
    <cellStyle name="Comma 2 2 3 2 8 4 2 2" xfId="52822" xr:uid="{0E48AF5C-741B-49C4-A461-9C2D8B1AAAFD}"/>
    <cellStyle name="Comma 2 2 3 2 8 4 2 3" xfId="34568" xr:uid="{6E49CAE0-15FD-4474-A5DF-329991BBA582}"/>
    <cellStyle name="Comma 2 2 3 2 8 4 3" xfId="12664" xr:uid="{9FE9D4B3-BDE9-46A7-A37A-D20736240A15}"/>
    <cellStyle name="Comma 2 2 3 2 8 4 3 2" xfId="49172" xr:uid="{806AD7AB-0BE7-4E98-9F19-F0860F9F25C5}"/>
    <cellStyle name="Comma 2 2 3 2 8 4 3 3" xfId="30918" xr:uid="{EEE5445B-1C06-47E0-81DA-BAAC7E181FFF}"/>
    <cellStyle name="Comma 2 2 3 2 8 4 4" xfId="9014" xr:uid="{1FAD5284-C0EC-4A2A-898D-06FA57B1F845}"/>
    <cellStyle name="Comma 2 2 3 2 8 4 4 2" xfId="45522" xr:uid="{624712A5-30C9-4C33-B122-242C1E802599}"/>
    <cellStyle name="Comma 2 2 3 2 8 4 4 3" xfId="27268" xr:uid="{D49AAABB-C9EE-4D77-BA98-0A6AEAF6BF96}"/>
    <cellStyle name="Comma 2 2 3 2 8 4 5" xfId="5364" xr:uid="{195FD14A-9582-4296-B08A-8304A6E03D4D}"/>
    <cellStyle name="Comma 2 2 3 2 8 4 5 2" xfId="41872" xr:uid="{12A72DBB-57FF-4846-B019-A501BA73F10A}"/>
    <cellStyle name="Comma 2 2 3 2 8 4 5 3" xfId="23618" xr:uid="{3C1F2865-B685-4877-B07C-EB9F2CAE3287}"/>
    <cellStyle name="Comma 2 2 3 2 8 4 6" xfId="38222" xr:uid="{29688045-3015-4731-851B-5255487D4274}"/>
    <cellStyle name="Comma 2 2 3 2 8 4 7" xfId="19968" xr:uid="{91C78A9F-F364-4204-9C87-AD5D2B5FF05F}"/>
    <cellStyle name="Comma 2 2 3 2 8 5" xfId="984" xr:uid="{600F3D3B-3607-46B1-A295-2477959DDC44}"/>
    <cellStyle name="Comma 2 2 3 2 8 5 2" xfId="15584" xr:uid="{AF17A81C-E62F-4A7E-8DEB-CBF1E24CFC10}"/>
    <cellStyle name="Comma 2 2 3 2 8 5 2 2" xfId="52092" xr:uid="{6452476C-89B4-4369-A6D6-F9C230A5498D}"/>
    <cellStyle name="Comma 2 2 3 2 8 5 2 3" xfId="33838" xr:uid="{255DE5B6-7C9F-49D0-817D-450A9A5054B7}"/>
    <cellStyle name="Comma 2 2 3 2 8 5 3" xfId="11934" xr:uid="{C075FE60-F8BB-488A-BAAE-04E886FFEEB2}"/>
    <cellStyle name="Comma 2 2 3 2 8 5 3 2" xfId="48442" xr:uid="{F1BF34B3-2333-4121-896E-C08054C7727D}"/>
    <cellStyle name="Comma 2 2 3 2 8 5 3 3" xfId="30188" xr:uid="{CA8D2B53-A491-464C-AE71-0D105EE4F5C5}"/>
    <cellStyle name="Comma 2 2 3 2 8 5 4" xfId="8284" xr:uid="{50B8E4E2-680D-4145-9FFF-898DA7DAE416}"/>
    <cellStyle name="Comma 2 2 3 2 8 5 4 2" xfId="44792" xr:uid="{5474468C-CD6D-4907-A040-8B3F4D5F94D3}"/>
    <cellStyle name="Comma 2 2 3 2 8 5 4 3" xfId="26538" xr:uid="{6858EA05-3863-4F15-9DF9-7E3B65D94558}"/>
    <cellStyle name="Comma 2 2 3 2 8 5 5" xfId="4634" xr:uid="{E6EB1E78-B121-44BD-86A1-98C670E8DCDE}"/>
    <cellStyle name="Comma 2 2 3 2 8 5 5 2" xfId="41142" xr:uid="{8EFB3D6E-6323-4B3D-820F-50A051FF5C69}"/>
    <cellStyle name="Comma 2 2 3 2 8 5 5 3" xfId="22888" xr:uid="{84697691-1E67-49DA-B490-E8C917C90B6C}"/>
    <cellStyle name="Comma 2 2 3 2 8 5 6" xfId="37492" xr:uid="{21BC43CA-F365-4DDE-AA7C-9B30E0DD3E0E}"/>
    <cellStyle name="Comma 2 2 3 2 8 5 7" xfId="19238" xr:uid="{25D2DC27-2393-403A-9377-77ED6117A525}"/>
    <cellStyle name="Comma 2 2 3 2 8 6" xfId="14854" xr:uid="{43E34CB5-FD89-466E-A860-D07AF6A455A0}"/>
    <cellStyle name="Comma 2 2 3 2 8 6 2" xfId="51362" xr:uid="{884D58B5-9462-4F69-8A4D-33090FB7C181}"/>
    <cellStyle name="Comma 2 2 3 2 8 6 3" xfId="33108" xr:uid="{A849D9E3-92F4-4C43-B506-F9980789F53C}"/>
    <cellStyle name="Comma 2 2 3 2 8 7" xfId="11204" xr:uid="{59C791F6-2DC3-42E3-81BA-7A795177714C}"/>
    <cellStyle name="Comma 2 2 3 2 8 7 2" xfId="47712" xr:uid="{F1B7A2E2-3F1F-49F6-8192-8D5CEA3C886B}"/>
    <cellStyle name="Comma 2 2 3 2 8 7 3" xfId="29458" xr:uid="{3EAAF962-D2C8-4FB0-8268-EB7AF96E5321}"/>
    <cellStyle name="Comma 2 2 3 2 8 8" xfId="7554" xr:uid="{019EB85C-B053-40BE-8A77-2FF8D38519DE}"/>
    <cellStyle name="Comma 2 2 3 2 8 8 2" xfId="44062" xr:uid="{DCAAB73F-E8B1-4B6A-87B0-DD65FAE00672}"/>
    <cellStyle name="Comma 2 2 3 2 8 8 3" xfId="25808" xr:uid="{06D69C94-A165-494A-BA5B-7A3B97B02613}"/>
    <cellStyle name="Comma 2 2 3 2 8 9" xfId="3904" xr:uid="{0E67AC1E-227F-43CF-B3AC-10E54C8F8D40}"/>
    <cellStyle name="Comma 2 2 3 2 8 9 2" xfId="40412" xr:uid="{AC1AEFFC-12D2-46B5-B5CB-A4130EED7060}"/>
    <cellStyle name="Comma 2 2 3 2 8 9 3" xfId="22158" xr:uid="{A696DF17-D463-494E-9CCF-6F5593D00BBE}"/>
    <cellStyle name="Comma 2 2 3 2 9" xfId="150" xr:uid="{E2FE9E24-ADF3-4E46-9261-D2C0BCA13905}"/>
    <cellStyle name="Comma 2 2 3 2 9 10" xfId="36658" xr:uid="{CC8082A9-BF49-4C0A-AE9F-7F32DC6E3BEB}"/>
    <cellStyle name="Comma 2 2 3 2 9 11" xfId="18404" xr:uid="{B979DDF6-9AA7-45AF-AC14-55D7B1BADD0D}"/>
    <cellStyle name="Comma 2 2 3 2 9 2" xfId="3070" xr:uid="{68717180-8EE4-4681-9A5E-83ADC9A6916B}"/>
    <cellStyle name="Comma 2 2 3 2 9 2 2" xfId="17670" xr:uid="{4F42B500-B5F2-416D-A89F-35949DF19B55}"/>
    <cellStyle name="Comma 2 2 3 2 9 2 2 2" xfId="54178" xr:uid="{6386E811-FDEB-472A-B097-27458A53AD9A}"/>
    <cellStyle name="Comma 2 2 3 2 9 2 2 3" xfId="35924" xr:uid="{595D1B7B-2774-4655-A0D6-37A73D289255}"/>
    <cellStyle name="Comma 2 2 3 2 9 2 3" xfId="14020" xr:uid="{12DC9EB6-498A-4534-A31F-41061DA09167}"/>
    <cellStyle name="Comma 2 2 3 2 9 2 3 2" xfId="50528" xr:uid="{7AF46157-5875-49D2-9EC0-4BA960500822}"/>
    <cellStyle name="Comma 2 2 3 2 9 2 3 3" xfId="32274" xr:uid="{84D1CEBB-A4E4-43B9-872F-412C42030A6C}"/>
    <cellStyle name="Comma 2 2 3 2 9 2 4" xfId="10370" xr:uid="{A7A4060B-6B1D-4927-AB03-9F412010D338}"/>
    <cellStyle name="Comma 2 2 3 2 9 2 4 2" xfId="46878" xr:uid="{F74140FE-7972-4767-AE54-7403E81F2D73}"/>
    <cellStyle name="Comma 2 2 3 2 9 2 4 3" xfId="28624" xr:uid="{18689751-C41D-4EC4-AB2A-6087297384BE}"/>
    <cellStyle name="Comma 2 2 3 2 9 2 5" xfId="6720" xr:uid="{BED10718-87F2-43F9-A62F-E1FAC26DE766}"/>
    <cellStyle name="Comma 2 2 3 2 9 2 5 2" xfId="43228" xr:uid="{A5BFF7C4-BE10-48DF-8F11-6C37345ECDDB}"/>
    <cellStyle name="Comma 2 2 3 2 9 2 5 3" xfId="24974" xr:uid="{28F86FBE-021C-4637-8DAF-384A7D3CFBA3}"/>
    <cellStyle name="Comma 2 2 3 2 9 2 6" xfId="39578" xr:uid="{9A8B4C8E-A607-4485-8892-F367E43AF2F3}"/>
    <cellStyle name="Comma 2 2 3 2 9 2 7" xfId="21324" xr:uid="{3249B8B0-CEE1-4FE4-B179-9B4DF22B5E56}"/>
    <cellStyle name="Comma 2 2 3 2 9 3" xfId="2340" xr:uid="{D81ABFD0-E37E-4E28-A213-2E2DEA8FA34D}"/>
    <cellStyle name="Comma 2 2 3 2 9 3 2" xfId="16940" xr:uid="{E57B2175-648C-43C4-8462-8F1A83D532D5}"/>
    <cellStyle name="Comma 2 2 3 2 9 3 2 2" xfId="53448" xr:uid="{54D01A16-2622-4C39-AE52-EF2ACDD16EF6}"/>
    <cellStyle name="Comma 2 2 3 2 9 3 2 3" xfId="35194" xr:uid="{63D0426C-393A-4448-9030-403D5628796D}"/>
    <cellStyle name="Comma 2 2 3 2 9 3 3" xfId="13290" xr:uid="{C6CAEC30-2111-44D6-B4C8-8DAA47D8D3CE}"/>
    <cellStyle name="Comma 2 2 3 2 9 3 3 2" xfId="49798" xr:uid="{6AB24B71-DCC2-4C8E-B137-E9ECC70008A3}"/>
    <cellStyle name="Comma 2 2 3 2 9 3 3 3" xfId="31544" xr:uid="{13313BA8-408F-4B10-8FB3-FC4E61808091}"/>
    <cellStyle name="Comma 2 2 3 2 9 3 4" xfId="9640" xr:uid="{252BE94C-D545-4795-91AE-2505A258842C}"/>
    <cellStyle name="Comma 2 2 3 2 9 3 4 2" xfId="46148" xr:uid="{67ABCCE0-602A-4963-A5A2-EEF8A0B2C375}"/>
    <cellStyle name="Comma 2 2 3 2 9 3 4 3" xfId="27894" xr:uid="{E4B0AFC0-FA0D-480F-B9AA-DEA3961CB1AD}"/>
    <cellStyle name="Comma 2 2 3 2 9 3 5" xfId="5990" xr:uid="{A89CA19E-04D9-4A3F-9FA0-AF7CF4205339}"/>
    <cellStyle name="Comma 2 2 3 2 9 3 5 2" xfId="42498" xr:uid="{9009BE45-2666-4868-926E-DF39D24443AF}"/>
    <cellStyle name="Comma 2 2 3 2 9 3 5 3" xfId="24244" xr:uid="{10ACA3CC-1789-4875-984B-E78E923D7985}"/>
    <cellStyle name="Comma 2 2 3 2 9 3 6" xfId="38848" xr:uid="{968F93BD-7B52-4E0E-9B26-15F3CA923A1C}"/>
    <cellStyle name="Comma 2 2 3 2 9 3 7" xfId="20594" xr:uid="{13CD9841-AC7A-4003-BD1F-2C1CEC1F64FF}"/>
    <cellStyle name="Comma 2 2 3 2 9 4" xfId="1610" xr:uid="{083EA4A1-34AB-4CD5-B567-A800266319A5}"/>
    <cellStyle name="Comma 2 2 3 2 9 4 2" xfId="16210" xr:uid="{2E8ECD98-E484-4B4D-9073-3160652FF939}"/>
    <cellStyle name="Comma 2 2 3 2 9 4 2 2" xfId="52718" xr:uid="{B15D65BE-33A2-41A3-B20A-C7000DFC0212}"/>
    <cellStyle name="Comma 2 2 3 2 9 4 2 3" xfId="34464" xr:uid="{CEBF7360-ACEE-41EF-BBC0-4F6667123F6F}"/>
    <cellStyle name="Comma 2 2 3 2 9 4 3" xfId="12560" xr:uid="{B410035B-D6E0-48A2-A9ED-ACD1EACD0DA9}"/>
    <cellStyle name="Comma 2 2 3 2 9 4 3 2" xfId="49068" xr:uid="{E73A176B-7AEE-4310-9490-FC118B70BF6A}"/>
    <cellStyle name="Comma 2 2 3 2 9 4 3 3" xfId="30814" xr:uid="{3954D653-95E1-4C05-A692-B34B2DB930A1}"/>
    <cellStyle name="Comma 2 2 3 2 9 4 4" xfId="8910" xr:uid="{32585947-3069-45F5-856D-EAF0515A7FE3}"/>
    <cellStyle name="Comma 2 2 3 2 9 4 4 2" xfId="45418" xr:uid="{BEACB552-A72E-4637-86A9-DDD58B67CCA0}"/>
    <cellStyle name="Comma 2 2 3 2 9 4 4 3" xfId="27164" xr:uid="{CAA2CF0E-5F10-48D9-9569-64DC6CCE2C44}"/>
    <cellStyle name="Comma 2 2 3 2 9 4 5" xfId="5260" xr:uid="{6D9C5412-B8FB-4A2C-A4DB-66C1D1A1B32C}"/>
    <cellStyle name="Comma 2 2 3 2 9 4 5 2" xfId="41768" xr:uid="{D15B38A0-1C45-4FD7-8EBC-E832EFB262AC}"/>
    <cellStyle name="Comma 2 2 3 2 9 4 5 3" xfId="23514" xr:uid="{7D4442F4-3C32-4115-9100-DD099C55D491}"/>
    <cellStyle name="Comma 2 2 3 2 9 4 6" xfId="38118" xr:uid="{2A0EFF03-E20B-4C9E-B91B-01362A1C5AD8}"/>
    <cellStyle name="Comma 2 2 3 2 9 4 7" xfId="19864" xr:uid="{665CC176-ED06-49A7-A660-C8F8278115C2}"/>
    <cellStyle name="Comma 2 2 3 2 9 5" xfId="880" xr:uid="{2A699309-6DD9-4463-A700-1340AD23CDD4}"/>
    <cellStyle name="Comma 2 2 3 2 9 5 2" xfId="15480" xr:uid="{BFAB0F05-E245-4D0D-8A45-EEF48E87657B}"/>
    <cellStyle name="Comma 2 2 3 2 9 5 2 2" xfId="51988" xr:uid="{2EE11F40-BC93-4477-9AB6-AC2AF4B02F5D}"/>
    <cellStyle name="Comma 2 2 3 2 9 5 2 3" xfId="33734" xr:uid="{33A4739C-C55D-41F4-84B1-748AF8F1E647}"/>
    <cellStyle name="Comma 2 2 3 2 9 5 3" xfId="11830" xr:uid="{377629B9-8AF6-4AF5-8F95-F33E63F23F80}"/>
    <cellStyle name="Comma 2 2 3 2 9 5 3 2" xfId="48338" xr:uid="{BEC0BF64-B226-4BD0-AC96-B2B362785AA9}"/>
    <cellStyle name="Comma 2 2 3 2 9 5 3 3" xfId="30084" xr:uid="{56D3FAF1-D9CA-449C-928E-0E25D883B868}"/>
    <cellStyle name="Comma 2 2 3 2 9 5 4" xfId="8180" xr:uid="{D65C3DA7-C52E-4A06-998C-DB0058348760}"/>
    <cellStyle name="Comma 2 2 3 2 9 5 4 2" xfId="44688" xr:uid="{1406A607-3F13-43A7-AD30-3ACF4BBB1EE0}"/>
    <cellStyle name="Comma 2 2 3 2 9 5 4 3" xfId="26434" xr:uid="{1D3A9BFE-884E-4C7F-A0F8-EB2C4E35A777}"/>
    <cellStyle name="Comma 2 2 3 2 9 5 5" xfId="4530" xr:uid="{7115427F-6D40-41C3-BF26-E00908A85615}"/>
    <cellStyle name="Comma 2 2 3 2 9 5 5 2" xfId="41038" xr:uid="{49AF3B3E-0EF2-4EF2-A045-156F0612241B}"/>
    <cellStyle name="Comma 2 2 3 2 9 5 5 3" xfId="22784" xr:uid="{5F5BDE4D-135D-4967-A50A-8A0110D9455B}"/>
    <cellStyle name="Comma 2 2 3 2 9 5 6" xfId="37388" xr:uid="{925929D5-EAD5-452E-948C-585158223BD3}"/>
    <cellStyle name="Comma 2 2 3 2 9 5 7" xfId="19134" xr:uid="{FC13D1A8-8918-453A-8606-08556E3E2479}"/>
    <cellStyle name="Comma 2 2 3 2 9 6" xfId="14750" xr:uid="{3F9A79A4-2367-4C07-A82B-11C8EEE70E9B}"/>
    <cellStyle name="Comma 2 2 3 2 9 6 2" xfId="51258" xr:uid="{224CF129-0FEE-48D3-A853-42F3D2A12296}"/>
    <cellStyle name="Comma 2 2 3 2 9 6 3" xfId="33004" xr:uid="{5DA4A46D-0954-49E4-87BD-C984F1370414}"/>
    <cellStyle name="Comma 2 2 3 2 9 7" xfId="11100" xr:uid="{7A9DAB63-413C-453D-9AC4-509735118094}"/>
    <cellStyle name="Comma 2 2 3 2 9 7 2" xfId="47608" xr:uid="{C8EA6FE3-CA54-4612-BDCE-B29EFB3E8BEA}"/>
    <cellStyle name="Comma 2 2 3 2 9 7 3" xfId="29354" xr:uid="{8135943F-0F22-4CB9-B30D-2D4E584B7533}"/>
    <cellStyle name="Comma 2 2 3 2 9 8" xfId="7450" xr:uid="{9C954D30-EC43-41B8-882B-C68C909681B9}"/>
    <cellStyle name="Comma 2 2 3 2 9 8 2" xfId="43958" xr:uid="{12C0BD93-6BF4-49BF-80E1-55FCD66EDCD8}"/>
    <cellStyle name="Comma 2 2 3 2 9 8 3" xfId="25704" xr:uid="{04F97EF4-1019-4EA0-B839-9E7E9C0F4C04}"/>
    <cellStyle name="Comma 2 2 3 2 9 9" xfId="3800" xr:uid="{268D0355-07A4-479E-8A03-ADD3194CFE46}"/>
    <cellStyle name="Comma 2 2 3 2 9 9 2" xfId="40308" xr:uid="{10ACD650-2C43-4672-8653-3A60C78EC6A2}"/>
    <cellStyle name="Comma 2 2 3 2 9 9 3" xfId="22054" xr:uid="{93AA9F51-A4D1-4D60-A0D8-BE97B70EEFC0}"/>
    <cellStyle name="Comma 2 2 3 20" xfId="18284" xr:uid="{46098863-222A-456D-8FE4-6994CE809057}"/>
    <cellStyle name="Comma 2 2 3 3" xfId="94" xr:uid="{B60534E0-A77D-44F1-8161-08B8C9882983}"/>
    <cellStyle name="Comma 2 2 3 3 10" xfId="1554" xr:uid="{51652173-EBB3-43EC-8218-F814A985F46B}"/>
    <cellStyle name="Comma 2 2 3 3 10 2" xfId="16154" xr:uid="{BEF572FE-E36E-4160-8A85-A971B1FA027D}"/>
    <cellStyle name="Comma 2 2 3 3 10 2 2" xfId="52662" xr:uid="{C4DF1575-30AD-412A-98D6-8A487D5468E9}"/>
    <cellStyle name="Comma 2 2 3 3 10 2 3" xfId="34408" xr:uid="{B4AEBD64-EB1A-45D2-B946-89D5F5F56988}"/>
    <cellStyle name="Comma 2 2 3 3 10 3" xfId="12504" xr:uid="{BB8514CF-D836-45B5-9E57-8E08416D4EE8}"/>
    <cellStyle name="Comma 2 2 3 3 10 3 2" xfId="49012" xr:uid="{E605D606-2066-419A-A60C-0E2778E7B0A3}"/>
    <cellStyle name="Comma 2 2 3 3 10 3 3" xfId="30758" xr:uid="{01731BC8-F430-4242-A692-53E9241C222F}"/>
    <cellStyle name="Comma 2 2 3 3 10 4" xfId="8854" xr:uid="{AC2B6DF5-DDAE-4678-87D5-DB294CD4F76B}"/>
    <cellStyle name="Comma 2 2 3 3 10 4 2" xfId="45362" xr:uid="{F74D7D51-AFEE-48CD-8B60-22B8EDFF8CFC}"/>
    <cellStyle name="Comma 2 2 3 3 10 4 3" xfId="27108" xr:uid="{A5D1608F-8DA1-443B-9146-FAFB2E3AF46C}"/>
    <cellStyle name="Comma 2 2 3 3 10 5" xfId="5204" xr:uid="{E7BBFC81-06BD-494B-96F8-BF3F5D167E44}"/>
    <cellStyle name="Comma 2 2 3 3 10 5 2" xfId="41712" xr:uid="{29F89E7E-71ED-4F3A-B884-FABECD6983B2}"/>
    <cellStyle name="Comma 2 2 3 3 10 5 3" xfId="23458" xr:uid="{4BAAD2D5-FE79-47F1-AEBA-18E15998637A}"/>
    <cellStyle name="Comma 2 2 3 3 10 6" xfId="38062" xr:uid="{1FFABF23-9728-49F5-B110-44876D8F6284}"/>
    <cellStyle name="Comma 2 2 3 3 10 7" xfId="19808" xr:uid="{07D3F928-D3D7-4A23-A487-27B0DFEA14F1}"/>
    <cellStyle name="Comma 2 2 3 3 11" xfId="824" xr:uid="{B431EDA6-24CD-4DC3-AAC4-DBCF813C86E5}"/>
    <cellStyle name="Comma 2 2 3 3 11 2" xfId="15424" xr:uid="{6191DB23-1CBF-4990-B1E9-5FC3417FDC9E}"/>
    <cellStyle name="Comma 2 2 3 3 11 2 2" xfId="51932" xr:uid="{80B819A2-C09F-4426-B96C-722B773C1604}"/>
    <cellStyle name="Comma 2 2 3 3 11 2 3" xfId="33678" xr:uid="{A5DB3750-2247-4F45-ABA1-268288793B8A}"/>
    <cellStyle name="Comma 2 2 3 3 11 3" xfId="11774" xr:uid="{A6FC9CE9-9CD4-4E6F-A9E7-4E43187E1481}"/>
    <cellStyle name="Comma 2 2 3 3 11 3 2" xfId="48282" xr:uid="{6C3D8A97-D347-4DA8-82A0-C6446A5C384A}"/>
    <cellStyle name="Comma 2 2 3 3 11 3 3" xfId="30028" xr:uid="{07CF40BE-F9FD-43F4-9DC1-89EFBB1804CA}"/>
    <cellStyle name="Comma 2 2 3 3 11 4" xfId="8124" xr:uid="{1D252224-CEC9-4FED-A0FE-4CE664FFBFFD}"/>
    <cellStyle name="Comma 2 2 3 3 11 4 2" xfId="44632" xr:uid="{F436F291-5529-4F72-9E2E-2F8C36DD791B}"/>
    <cellStyle name="Comma 2 2 3 3 11 4 3" xfId="26378" xr:uid="{94A9C250-2477-4183-834A-FF5103C9D45F}"/>
    <cellStyle name="Comma 2 2 3 3 11 5" xfId="4474" xr:uid="{5F6C648F-F6D1-4AEB-9B27-725E5BCBA4C0}"/>
    <cellStyle name="Comma 2 2 3 3 11 5 2" xfId="40982" xr:uid="{136FD9FB-49B4-41D3-AF9F-9521A989C79C}"/>
    <cellStyle name="Comma 2 2 3 3 11 5 3" xfId="22728" xr:uid="{434D4E60-EE7E-4535-850D-77D2B70F7D76}"/>
    <cellStyle name="Comma 2 2 3 3 11 6" xfId="37332" xr:uid="{0AF7F08F-5528-4BFD-A8B4-BD61BF7E7B6F}"/>
    <cellStyle name="Comma 2 2 3 3 11 7" xfId="19078" xr:uid="{B10CD5EA-52DB-4C2D-AEFE-D29BF2ED387A}"/>
    <cellStyle name="Comma 2 2 3 3 12" xfId="14694" xr:uid="{E7488C60-41C4-4573-9A6A-8A67BCF82B20}"/>
    <cellStyle name="Comma 2 2 3 3 12 2" xfId="51202" xr:uid="{9A0BAF8B-9DE3-4970-9D1C-EF1996D6A79E}"/>
    <cellStyle name="Comma 2 2 3 3 12 3" xfId="32948" xr:uid="{B3CCCDF9-9C6B-4716-8D2B-5701BF57FF6D}"/>
    <cellStyle name="Comma 2 2 3 3 13" xfId="11044" xr:uid="{0D94E520-B9EA-41B6-9B57-2CF6099C3017}"/>
    <cellStyle name="Comma 2 2 3 3 13 2" xfId="47552" xr:uid="{7B08BAC8-20E6-4017-8CC4-B91EF8725945}"/>
    <cellStyle name="Comma 2 2 3 3 13 3" xfId="29298" xr:uid="{5AA82D3A-6D3E-4CFE-88EB-BACA3B4390CF}"/>
    <cellStyle name="Comma 2 2 3 3 14" xfId="7394" xr:uid="{4494FD59-79DE-41EC-9805-B2CF124DC832}"/>
    <cellStyle name="Comma 2 2 3 3 14 2" xfId="43902" xr:uid="{7B023DCF-9468-4783-B3BD-F6C96C7D8DDB}"/>
    <cellStyle name="Comma 2 2 3 3 14 3" xfId="25648" xr:uid="{A758A187-C7DC-4AFF-9535-C92AF05F737D}"/>
    <cellStyle name="Comma 2 2 3 3 15" xfId="3744" xr:uid="{9FC21548-6460-41A3-BACF-D9BE6706942D}"/>
    <cellStyle name="Comma 2 2 3 3 15 2" xfId="40252" xr:uid="{59E1896D-93B0-427B-87C3-91FD8C08BF57}"/>
    <cellStyle name="Comma 2 2 3 3 15 3" xfId="21998" xr:uid="{50B5D3C7-4721-4968-A7B5-BD4C9CB199F4}"/>
    <cellStyle name="Comma 2 2 3 3 16" xfId="36602" xr:uid="{5B65187D-B896-4270-A34D-2A1AB8FE9D99}"/>
    <cellStyle name="Comma 2 2 3 3 17" xfId="18348" xr:uid="{61630B5D-A002-42A3-B025-7147093350F1}"/>
    <cellStyle name="Comma 2 2 3 3 2" xfId="718" xr:uid="{28E29370-B1EC-44B7-89BC-7B8068F9FA4D}"/>
    <cellStyle name="Comma 2 2 3 3 2 10" xfId="37226" xr:uid="{43491795-31AE-455C-9A1F-F07349BB1F3B}"/>
    <cellStyle name="Comma 2 2 3 3 2 11" xfId="18972" xr:uid="{9A5A6FCA-DC0B-4E7E-822D-FE607706B888}"/>
    <cellStyle name="Comma 2 2 3 3 2 2" xfId="3638" xr:uid="{25341F43-3C1E-485B-B47F-E2EEE8EA81FF}"/>
    <cellStyle name="Comma 2 2 3 3 2 2 2" xfId="18238" xr:uid="{04A99FCF-A3E8-4D00-BC8D-DA09F758AB55}"/>
    <cellStyle name="Comma 2 2 3 3 2 2 2 2" xfId="54746" xr:uid="{DECC8FB1-2870-423A-806A-C698F79873C8}"/>
    <cellStyle name="Comma 2 2 3 3 2 2 2 3" xfId="36492" xr:uid="{DCFA0F80-A6E7-46DF-A318-0C6AD4D12787}"/>
    <cellStyle name="Comma 2 2 3 3 2 2 3" xfId="14588" xr:uid="{63CBD0E2-CBC7-498A-9215-2C3D1A7C93A8}"/>
    <cellStyle name="Comma 2 2 3 3 2 2 3 2" xfId="51096" xr:uid="{5E47DF1F-E312-4151-8267-C903F89A26C9}"/>
    <cellStyle name="Comma 2 2 3 3 2 2 3 3" xfId="32842" xr:uid="{CC74EC31-7AAA-4957-9797-5055F3353D9D}"/>
    <cellStyle name="Comma 2 2 3 3 2 2 4" xfId="10938" xr:uid="{61D39346-9DA9-47D7-8302-A7220D01105E}"/>
    <cellStyle name="Comma 2 2 3 3 2 2 4 2" xfId="47446" xr:uid="{AB94E991-0A15-47BD-9822-385C8DCEEEF5}"/>
    <cellStyle name="Comma 2 2 3 3 2 2 4 3" xfId="29192" xr:uid="{5460AE76-A0A3-4976-AC45-59323456D3A8}"/>
    <cellStyle name="Comma 2 2 3 3 2 2 5" xfId="7288" xr:uid="{F24F8073-56A4-4BD1-9FBF-7156E1316628}"/>
    <cellStyle name="Comma 2 2 3 3 2 2 5 2" xfId="43796" xr:uid="{B98886F9-DF34-441F-A1DB-3D3FC95AD547}"/>
    <cellStyle name="Comma 2 2 3 3 2 2 5 3" xfId="25542" xr:uid="{59E07B5C-88DF-469E-8999-FB6E6D3327A6}"/>
    <cellStyle name="Comma 2 2 3 3 2 2 6" xfId="40146" xr:uid="{96715A0B-3E6B-4284-B1E9-21870425A885}"/>
    <cellStyle name="Comma 2 2 3 3 2 2 7" xfId="21892" xr:uid="{0F0CA9F1-A357-4035-AC1A-BDBA961286F9}"/>
    <cellStyle name="Comma 2 2 3 3 2 3" xfId="2908" xr:uid="{9C9A7CE7-89FD-4870-B2A7-9B3560CA9506}"/>
    <cellStyle name="Comma 2 2 3 3 2 3 2" xfId="17508" xr:uid="{698822B2-598E-4807-BB96-013729D74C8B}"/>
    <cellStyle name="Comma 2 2 3 3 2 3 2 2" xfId="54016" xr:uid="{80FE2DD9-81B0-4F32-8916-B0D8EB49795B}"/>
    <cellStyle name="Comma 2 2 3 3 2 3 2 3" xfId="35762" xr:uid="{6E6B75CB-DDEA-47A5-AD19-11364F9F1BDD}"/>
    <cellStyle name="Comma 2 2 3 3 2 3 3" xfId="13858" xr:uid="{26C09D1F-8F61-4720-8F1F-2E602F43333E}"/>
    <cellStyle name="Comma 2 2 3 3 2 3 3 2" xfId="50366" xr:uid="{10671C96-932C-4D98-BB4E-0FF7AF8D5062}"/>
    <cellStyle name="Comma 2 2 3 3 2 3 3 3" xfId="32112" xr:uid="{38290021-2A91-4731-8FD7-0E77C1276340}"/>
    <cellStyle name="Comma 2 2 3 3 2 3 4" xfId="10208" xr:uid="{5A614B72-1A97-4DBD-8CA7-F2F4A70E7BB1}"/>
    <cellStyle name="Comma 2 2 3 3 2 3 4 2" xfId="46716" xr:uid="{C6156F07-AC19-4B7B-919E-37D5321DBCFB}"/>
    <cellStyle name="Comma 2 2 3 3 2 3 4 3" xfId="28462" xr:uid="{2A794A04-F817-4906-B313-EBE84298DF57}"/>
    <cellStyle name="Comma 2 2 3 3 2 3 5" xfId="6558" xr:uid="{41615405-E677-475B-A104-C99EFF185088}"/>
    <cellStyle name="Comma 2 2 3 3 2 3 5 2" xfId="43066" xr:uid="{F88BD952-9576-4732-AD4E-728624620A3A}"/>
    <cellStyle name="Comma 2 2 3 3 2 3 5 3" xfId="24812" xr:uid="{BE57A4FA-FC70-41E2-9031-3093D93DE555}"/>
    <cellStyle name="Comma 2 2 3 3 2 3 6" xfId="39416" xr:uid="{2C5F4EFB-CA63-4548-8FC8-B4A53032A8B0}"/>
    <cellStyle name="Comma 2 2 3 3 2 3 7" xfId="21162" xr:uid="{BD1B2633-FE1A-4E14-A56A-3D1B86CAB786}"/>
    <cellStyle name="Comma 2 2 3 3 2 4" xfId="2178" xr:uid="{F7D347AD-EF0E-4E2E-A9AF-8BA60E816091}"/>
    <cellStyle name="Comma 2 2 3 3 2 4 2" xfId="16778" xr:uid="{19353B4F-DACB-45A8-AAFD-607D6D48C974}"/>
    <cellStyle name="Comma 2 2 3 3 2 4 2 2" xfId="53286" xr:uid="{356B6DDA-BC9C-46B8-BF6C-11478A14A3E1}"/>
    <cellStyle name="Comma 2 2 3 3 2 4 2 3" xfId="35032" xr:uid="{DE18B34B-994B-4B23-B25A-291449A5310F}"/>
    <cellStyle name="Comma 2 2 3 3 2 4 3" xfId="13128" xr:uid="{457AEE0C-BA74-44B6-AE56-23AC2A478690}"/>
    <cellStyle name="Comma 2 2 3 3 2 4 3 2" xfId="49636" xr:uid="{4F7C1252-1E55-4D8A-936B-355330B5700C}"/>
    <cellStyle name="Comma 2 2 3 3 2 4 3 3" xfId="31382" xr:uid="{1BE2381F-312B-4BD6-86D7-E38A7FFF1CC7}"/>
    <cellStyle name="Comma 2 2 3 3 2 4 4" xfId="9478" xr:uid="{6572BE7F-C885-4736-89ED-3819FD74B2DC}"/>
    <cellStyle name="Comma 2 2 3 3 2 4 4 2" xfId="45986" xr:uid="{518D6E5E-6973-464F-9334-DD4668789178}"/>
    <cellStyle name="Comma 2 2 3 3 2 4 4 3" xfId="27732" xr:uid="{47302921-3D8F-4046-81C1-CD1E65C80CA9}"/>
    <cellStyle name="Comma 2 2 3 3 2 4 5" xfId="5828" xr:uid="{53F1BB7E-9EF2-4D39-9BA7-00991E753FFC}"/>
    <cellStyle name="Comma 2 2 3 3 2 4 5 2" xfId="42336" xr:uid="{7F6AD260-4CEF-462F-9795-253D9ECA2CFD}"/>
    <cellStyle name="Comma 2 2 3 3 2 4 5 3" xfId="24082" xr:uid="{048407D6-FAA9-4258-862C-8F37FD14EE7E}"/>
    <cellStyle name="Comma 2 2 3 3 2 4 6" xfId="38686" xr:uid="{15E88936-90EE-43DA-840F-AA7EDFFEE17C}"/>
    <cellStyle name="Comma 2 2 3 3 2 4 7" xfId="20432" xr:uid="{1B481909-D201-4834-BB01-246EC63ADCC5}"/>
    <cellStyle name="Comma 2 2 3 3 2 5" xfId="1448" xr:uid="{B656829F-36D0-4080-AB30-5540951B8839}"/>
    <cellStyle name="Comma 2 2 3 3 2 5 2" xfId="16048" xr:uid="{FA8F809A-57CB-4E26-AFA7-F46C3739A2C8}"/>
    <cellStyle name="Comma 2 2 3 3 2 5 2 2" xfId="52556" xr:uid="{AEBF2220-5DA1-4B81-AC42-23722D671A78}"/>
    <cellStyle name="Comma 2 2 3 3 2 5 2 3" xfId="34302" xr:uid="{90C2D65B-465B-41FF-8638-1723EDB9F82E}"/>
    <cellStyle name="Comma 2 2 3 3 2 5 3" xfId="12398" xr:uid="{B98C6B2A-A9E1-4C7F-8C42-483276CD5C77}"/>
    <cellStyle name="Comma 2 2 3 3 2 5 3 2" xfId="48906" xr:uid="{8BAB9C49-AF2E-4EFB-9C56-07E49DD55B38}"/>
    <cellStyle name="Comma 2 2 3 3 2 5 3 3" xfId="30652" xr:uid="{99C582F7-8ECD-49FD-9054-582BA5EB405A}"/>
    <cellStyle name="Comma 2 2 3 3 2 5 4" xfId="8748" xr:uid="{27DFC3E6-D072-4DC3-8F3A-2B107F76BA2F}"/>
    <cellStyle name="Comma 2 2 3 3 2 5 4 2" xfId="45256" xr:uid="{B5B72B7A-31CA-4169-A250-4741AB5CB843}"/>
    <cellStyle name="Comma 2 2 3 3 2 5 4 3" xfId="27002" xr:uid="{22472D5C-418D-423B-AB9B-F679FC387DA8}"/>
    <cellStyle name="Comma 2 2 3 3 2 5 5" xfId="5098" xr:uid="{003BAF8E-2081-4CAE-A796-0D19ECE92F9D}"/>
    <cellStyle name="Comma 2 2 3 3 2 5 5 2" xfId="41606" xr:uid="{F8A8D100-9706-492F-B268-F502D294F62B}"/>
    <cellStyle name="Comma 2 2 3 3 2 5 5 3" xfId="23352" xr:uid="{E23E90DA-1B0A-4A2F-82B1-3A5105FF4FB0}"/>
    <cellStyle name="Comma 2 2 3 3 2 5 6" xfId="37956" xr:uid="{C1EEED7E-7C42-4A54-BC5B-DB23C9886CED}"/>
    <cellStyle name="Comma 2 2 3 3 2 5 7" xfId="19702" xr:uid="{29BAF4E9-A978-4E0F-A341-1A1BD363B7A2}"/>
    <cellStyle name="Comma 2 2 3 3 2 6" xfId="15318" xr:uid="{8616DAE1-914A-499C-8016-88AC40FED43C}"/>
    <cellStyle name="Comma 2 2 3 3 2 6 2" xfId="51826" xr:uid="{A5E97DC9-9BF2-44F3-8C0E-3C59E6003228}"/>
    <cellStyle name="Comma 2 2 3 3 2 6 3" xfId="33572" xr:uid="{995AD415-FC47-4A8F-ACB3-DAAA8D6AD10E}"/>
    <cellStyle name="Comma 2 2 3 3 2 7" xfId="11668" xr:uid="{C97CFA7E-0AC3-44E5-AC56-FC94803A70CE}"/>
    <cellStyle name="Comma 2 2 3 3 2 7 2" xfId="48176" xr:uid="{C7B7AE1E-B485-4CC3-B09D-E42A54227AE5}"/>
    <cellStyle name="Comma 2 2 3 3 2 7 3" xfId="29922" xr:uid="{49BC823B-5EA0-4CD2-8ADF-1FF186501C9C}"/>
    <cellStyle name="Comma 2 2 3 3 2 8" xfId="8018" xr:uid="{10ABD40C-DACA-4560-8975-AAEFA51EF113}"/>
    <cellStyle name="Comma 2 2 3 3 2 8 2" xfId="44526" xr:uid="{1E1CF268-ADDE-430B-B5DB-1DD196750D79}"/>
    <cellStyle name="Comma 2 2 3 3 2 8 3" xfId="26272" xr:uid="{5E02BBE4-C20F-48EA-9B36-61FAFDEBF040}"/>
    <cellStyle name="Comma 2 2 3 3 2 9" xfId="4368" xr:uid="{9A27C6A9-0452-497E-920A-DCDE9A2D3326}"/>
    <cellStyle name="Comma 2 2 3 3 2 9 2" xfId="40876" xr:uid="{7132C5B9-9166-48B9-AEE5-CFF941B99F96}"/>
    <cellStyle name="Comma 2 2 3 3 2 9 3" xfId="22622" xr:uid="{D96AD902-9C9D-4EC7-970E-E1B5660DAF2C}"/>
    <cellStyle name="Comma 2 2 3 3 3" xfId="614" xr:uid="{360BAC19-6D4D-4ADB-A3A8-FF77382B0DBD}"/>
    <cellStyle name="Comma 2 2 3 3 3 10" xfId="37122" xr:uid="{75357955-3B07-4CDA-A0E2-F8984FD0F8E7}"/>
    <cellStyle name="Comma 2 2 3 3 3 11" xfId="18868" xr:uid="{798F9F0E-FE25-4018-A506-AD8D5F124E6B}"/>
    <cellStyle name="Comma 2 2 3 3 3 2" xfId="3534" xr:uid="{11E76414-324C-4772-A1A2-9432158ED96B}"/>
    <cellStyle name="Comma 2 2 3 3 3 2 2" xfId="18134" xr:uid="{63521F4E-B902-4A57-A120-E60CA7DD5D55}"/>
    <cellStyle name="Comma 2 2 3 3 3 2 2 2" xfId="54642" xr:uid="{428F7560-D030-4B9F-B59F-7F6393782CD7}"/>
    <cellStyle name="Comma 2 2 3 3 3 2 2 3" xfId="36388" xr:uid="{A70520D9-0E64-4CF3-AB14-C60F68C63891}"/>
    <cellStyle name="Comma 2 2 3 3 3 2 3" xfId="14484" xr:uid="{E840BCF1-5488-4175-A62E-A27E11B15169}"/>
    <cellStyle name="Comma 2 2 3 3 3 2 3 2" xfId="50992" xr:uid="{D777F9AD-9718-456B-9F84-05BEDD488842}"/>
    <cellStyle name="Comma 2 2 3 3 3 2 3 3" xfId="32738" xr:uid="{B089D072-C51A-45DE-BC4C-D4F7B46C73BC}"/>
    <cellStyle name="Comma 2 2 3 3 3 2 4" xfId="10834" xr:uid="{49682756-5255-4DB8-8DEC-11B83EC8DE8B}"/>
    <cellStyle name="Comma 2 2 3 3 3 2 4 2" xfId="47342" xr:uid="{91975AAC-419F-4C5D-9064-2694CF121E06}"/>
    <cellStyle name="Comma 2 2 3 3 3 2 4 3" xfId="29088" xr:uid="{FCB4D892-F134-4513-91CD-6208BBD45F30}"/>
    <cellStyle name="Comma 2 2 3 3 3 2 5" xfId="7184" xr:uid="{03CC82EA-2DF6-443F-B017-C8B4FC02227A}"/>
    <cellStyle name="Comma 2 2 3 3 3 2 5 2" xfId="43692" xr:uid="{9A78AE26-9FC0-4CA7-BE2A-4CEB13760590}"/>
    <cellStyle name="Comma 2 2 3 3 3 2 5 3" xfId="25438" xr:uid="{06F9E4C8-CA4D-4927-AB34-970EA7300A2B}"/>
    <cellStyle name="Comma 2 2 3 3 3 2 6" xfId="40042" xr:uid="{45361C66-BFE7-4B44-92AF-8AE09BEE434E}"/>
    <cellStyle name="Comma 2 2 3 3 3 2 7" xfId="21788" xr:uid="{5F1F6A5C-A184-40A3-8EE3-44309CF29C83}"/>
    <cellStyle name="Comma 2 2 3 3 3 3" xfId="2804" xr:uid="{3E0DFE0A-BCDF-4E27-AC03-2211D8FA6F8F}"/>
    <cellStyle name="Comma 2 2 3 3 3 3 2" xfId="17404" xr:uid="{778596A1-C324-462B-BEBE-42D3B274DA81}"/>
    <cellStyle name="Comma 2 2 3 3 3 3 2 2" xfId="53912" xr:uid="{7EE4AB37-2CD4-447D-8926-3B59CA4B9117}"/>
    <cellStyle name="Comma 2 2 3 3 3 3 2 3" xfId="35658" xr:uid="{7D66B82B-8BAF-4A54-B5F3-9621891C7BB2}"/>
    <cellStyle name="Comma 2 2 3 3 3 3 3" xfId="13754" xr:uid="{F1A6561C-AD3F-4E23-A3D8-7A8C96254010}"/>
    <cellStyle name="Comma 2 2 3 3 3 3 3 2" xfId="50262" xr:uid="{6760FB3B-5287-49FB-B65E-3EAB62447A76}"/>
    <cellStyle name="Comma 2 2 3 3 3 3 3 3" xfId="32008" xr:uid="{392ACCE6-EF6E-4584-BCAE-9E949D9F8D8B}"/>
    <cellStyle name="Comma 2 2 3 3 3 3 4" xfId="10104" xr:uid="{9319AFA8-C3F9-4230-88E4-0CA39E2AF6B6}"/>
    <cellStyle name="Comma 2 2 3 3 3 3 4 2" xfId="46612" xr:uid="{FBCABE29-D321-4B68-B85B-175C615650F5}"/>
    <cellStyle name="Comma 2 2 3 3 3 3 4 3" xfId="28358" xr:uid="{123A6955-11B2-4883-8238-B96C78C5D043}"/>
    <cellStyle name="Comma 2 2 3 3 3 3 5" xfId="6454" xr:uid="{D1CDD6D7-2B24-4224-80DB-30FF05A0150A}"/>
    <cellStyle name="Comma 2 2 3 3 3 3 5 2" xfId="42962" xr:uid="{8A667F65-B798-45AE-81F3-2C4DA6FE7BEE}"/>
    <cellStyle name="Comma 2 2 3 3 3 3 5 3" xfId="24708" xr:uid="{D919BF9E-B141-4657-8D1C-544DBD7CA330}"/>
    <cellStyle name="Comma 2 2 3 3 3 3 6" xfId="39312" xr:uid="{CF135964-AAB3-4D3A-BC66-A5383F67D88D}"/>
    <cellStyle name="Comma 2 2 3 3 3 3 7" xfId="21058" xr:uid="{1A277CA0-1CC6-41C1-842D-95E3256B70BD}"/>
    <cellStyle name="Comma 2 2 3 3 3 4" xfId="2074" xr:uid="{9EAC280C-24D7-4C3A-AADE-9D5AA4765A65}"/>
    <cellStyle name="Comma 2 2 3 3 3 4 2" xfId="16674" xr:uid="{C11BCC19-E4B2-4089-966E-F55CD2B1564B}"/>
    <cellStyle name="Comma 2 2 3 3 3 4 2 2" xfId="53182" xr:uid="{1DF3FC13-C302-4DF8-AAD0-B490D13AB9A1}"/>
    <cellStyle name="Comma 2 2 3 3 3 4 2 3" xfId="34928" xr:uid="{F67DF051-AA25-498D-8F5A-A8966D5AD812}"/>
    <cellStyle name="Comma 2 2 3 3 3 4 3" xfId="13024" xr:uid="{17F97FD2-93A8-47BA-A858-2C9E5BDEA01F}"/>
    <cellStyle name="Comma 2 2 3 3 3 4 3 2" xfId="49532" xr:uid="{8EB30A69-9E62-4649-9B81-D6594DE0C4C1}"/>
    <cellStyle name="Comma 2 2 3 3 3 4 3 3" xfId="31278" xr:uid="{CA101B98-23AD-42BD-9FD6-D8E4ECF3FB39}"/>
    <cellStyle name="Comma 2 2 3 3 3 4 4" xfId="9374" xr:uid="{61443A97-F88D-45E0-A9D7-1716D67EB33A}"/>
    <cellStyle name="Comma 2 2 3 3 3 4 4 2" xfId="45882" xr:uid="{0FEAB59D-D3CD-41A9-BBE1-7E76F7A7DC37}"/>
    <cellStyle name="Comma 2 2 3 3 3 4 4 3" xfId="27628" xr:uid="{B0E5A84C-7A91-4360-8EF5-E196F8C476C0}"/>
    <cellStyle name="Comma 2 2 3 3 3 4 5" xfId="5724" xr:uid="{0C53A797-21D9-46BC-B8AB-0CF6F1E04C43}"/>
    <cellStyle name="Comma 2 2 3 3 3 4 5 2" xfId="42232" xr:uid="{55C85603-1D20-4A0F-B689-B17C6E39364B}"/>
    <cellStyle name="Comma 2 2 3 3 3 4 5 3" xfId="23978" xr:uid="{3FC2EC33-9C0E-4A47-8370-B54AF150A2CC}"/>
    <cellStyle name="Comma 2 2 3 3 3 4 6" xfId="38582" xr:uid="{627F8033-3A8B-4F2F-9153-AA59FC43D7BE}"/>
    <cellStyle name="Comma 2 2 3 3 3 4 7" xfId="20328" xr:uid="{F65024CB-0058-44E9-A7B1-0DD21D196D9E}"/>
    <cellStyle name="Comma 2 2 3 3 3 5" xfId="1344" xr:uid="{5E02DF4C-E740-43B0-9698-F9B226B9BBED}"/>
    <cellStyle name="Comma 2 2 3 3 3 5 2" xfId="15944" xr:uid="{910F15B2-72FE-40E6-8754-7A1FF7A18D82}"/>
    <cellStyle name="Comma 2 2 3 3 3 5 2 2" xfId="52452" xr:uid="{80BA37D0-E86A-4D5E-A120-3201A06E9409}"/>
    <cellStyle name="Comma 2 2 3 3 3 5 2 3" xfId="34198" xr:uid="{C6346DEB-6098-4D6D-A2E7-B6E2746E240C}"/>
    <cellStyle name="Comma 2 2 3 3 3 5 3" xfId="12294" xr:uid="{D9A5ECC3-514A-4ACE-B360-4428F5B8B42C}"/>
    <cellStyle name="Comma 2 2 3 3 3 5 3 2" xfId="48802" xr:uid="{F29A8348-F2CC-426A-8955-35F612978C9F}"/>
    <cellStyle name="Comma 2 2 3 3 3 5 3 3" xfId="30548" xr:uid="{9EFF0F32-0B2F-48BE-9CD4-1470466F4C3F}"/>
    <cellStyle name="Comma 2 2 3 3 3 5 4" xfId="8644" xr:uid="{4F02E126-E504-4620-9444-F1B087B03B1A}"/>
    <cellStyle name="Comma 2 2 3 3 3 5 4 2" xfId="45152" xr:uid="{387EA2DD-ADC0-4E2F-B152-FCA36EBE0608}"/>
    <cellStyle name="Comma 2 2 3 3 3 5 4 3" xfId="26898" xr:uid="{967CEDDA-743E-4EF2-806D-02A939FFF9C6}"/>
    <cellStyle name="Comma 2 2 3 3 3 5 5" xfId="4994" xr:uid="{3340767A-8FE4-4B99-8865-9A9F76F2F115}"/>
    <cellStyle name="Comma 2 2 3 3 3 5 5 2" xfId="41502" xr:uid="{48975B78-0E11-4A35-86BC-28BD60D38098}"/>
    <cellStyle name="Comma 2 2 3 3 3 5 5 3" xfId="23248" xr:uid="{E5EB6435-FFE4-4110-8929-50D71DFF101F}"/>
    <cellStyle name="Comma 2 2 3 3 3 5 6" xfId="37852" xr:uid="{E0E9A955-E68A-4974-A640-6B2161CEFBE8}"/>
    <cellStyle name="Comma 2 2 3 3 3 5 7" xfId="19598" xr:uid="{771BB836-999A-4257-A367-56C8FD1735B9}"/>
    <cellStyle name="Comma 2 2 3 3 3 6" xfId="15214" xr:uid="{3B2A25DA-F53D-44DA-98B5-B3FE5E8F6C18}"/>
    <cellStyle name="Comma 2 2 3 3 3 6 2" xfId="51722" xr:uid="{581AE0CE-C0F1-4880-84E3-389E51804496}"/>
    <cellStyle name="Comma 2 2 3 3 3 6 3" xfId="33468" xr:uid="{7338098C-D4A6-4B1D-8759-F2CCF92C88B9}"/>
    <cellStyle name="Comma 2 2 3 3 3 7" xfId="11564" xr:uid="{41F161B9-58A0-49D5-9EF8-AA0798B28311}"/>
    <cellStyle name="Comma 2 2 3 3 3 7 2" xfId="48072" xr:uid="{9FCBDC29-A1DC-478E-893C-983A6585D1E0}"/>
    <cellStyle name="Comma 2 2 3 3 3 7 3" xfId="29818" xr:uid="{7AE54E4E-699C-4177-906E-7DF368A9FC40}"/>
    <cellStyle name="Comma 2 2 3 3 3 8" xfId="7914" xr:uid="{6E8BBB16-ABB9-4621-9514-77364B1CE5B2}"/>
    <cellStyle name="Comma 2 2 3 3 3 8 2" xfId="44422" xr:uid="{19D98AD5-B69F-41A6-89CC-69776265C7F4}"/>
    <cellStyle name="Comma 2 2 3 3 3 8 3" xfId="26168" xr:uid="{6AFF8F47-2176-4CD4-9A40-15003A7F11AB}"/>
    <cellStyle name="Comma 2 2 3 3 3 9" xfId="4264" xr:uid="{DD34B79E-0FB8-4A45-8F95-D4301BB6C6E3}"/>
    <cellStyle name="Comma 2 2 3 3 3 9 2" xfId="40772" xr:uid="{62AD18D6-1E86-42B5-ABB3-9041F518CBBA}"/>
    <cellStyle name="Comma 2 2 3 3 3 9 3" xfId="22518" xr:uid="{AF70928C-B8A2-4010-9216-933F033F61CE}"/>
    <cellStyle name="Comma 2 2 3 3 4" xfId="510" xr:uid="{71B0DA0F-B94B-40F9-9B95-73BB4FAF079C}"/>
    <cellStyle name="Comma 2 2 3 3 4 10" xfId="37018" xr:uid="{D2501FB6-27AB-4EB7-BD4B-53A8156B777D}"/>
    <cellStyle name="Comma 2 2 3 3 4 11" xfId="18764" xr:uid="{9DF87383-E7E2-4F9C-973F-E448F71C4C4D}"/>
    <cellStyle name="Comma 2 2 3 3 4 2" xfId="3430" xr:uid="{7D3FB7DD-8760-4169-A295-591B69B42C9C}"/>
    <cellStyle name="Comma 2 2 3 3 4 2 2" xfId="18030" xr:uid="{7C7B5FC3-CEB2-4580-A9BE-965621791298}"/>
    <cellStyle name="Comma 2 2 3 3 4 2 2 2" xfId="54538" xr:uid="{115982A0-64AC-4DFD-9FA6-8F57B859F0F8}"/>
    <cellStyle name="Comma 2 2 3 3 4 2 2 3" xfId="36284" xr:uid="{1E5F9050-C9E4-42B1-BDFA-5EA4C8638921}"/>
    <cellStyle name="Comma 2 2 3 3 4 2 3" xfId="14380" xr:uid="{DF0541F2-2DBC-492D-8F46-F680389F72E9}"/>
    <cellStyle name="Comma 2 2 3 3 4 2 3 2" xfId="50888" xr:uid="{B2B05CCB-8333-4A4F-80F2-57CB38BACAE6}"/>
    <cellStyle name="Comma 2 2 3 3 4 2 3 3" xfId="32634" xr:uid="{D8BFABCA-8CFF-4795-8F42-7F649AF7675E}"/>
    <cellStyle name="Comma 2 2 3 3 4 2 4" xfId="10730" xr:uid="{D70298FE-D7A6-4B24-A0F5-010E34AB703D}"/>
    <cellStyle name="Comma 2 2 3 3 4 2 4 2" xfId="47238" xr:uid="{E860C78D-FA69-4815-A29D-AA6F96CE7C35}"/>
    <cellStyle name="Comma 2 2 3 3 4 2 4 3" xfId="28984" xr:uid="{5F9B06AC-689A-4262-8A2C-7E61A5499B97}"/>
    <cellStyle name="Comma 2 2 3 3 4 2 5" xfId="7080" xr:uid="{5F468021-D904-4866-B9B5-65468CBF701D}"/>
    <cellStyle name="Comma 2 2 3 3 4 2 5 2" xfId="43588" xr:uid="{4A022168-262C-4549-8656-6D41E85BF1E4}"/>
    <cellStyle name="Comma 2 2 3 3 4 2 5 3" xfId="25334" xr:uid="{ACAD9613-5361-4A8B-A424-50F287A7AF77}"/>
    <cellStyle name="Comma 2 2 3 3 4 2 6" xfId="39938" xr:uid="{70BDEAA9-ACF9-4D02-AE04-3CD163278AAF}"/>
    <cellStyle name="Comma 2 2 3 3 4 2 7" xfId="21684" xr:uid="{6FE8B7D5-62F6-4233-BE6D-660D898CA291}"/>
    <cellStyle name="Comma 2 2 3 3 4 3" xfId="2700" xr:uid="{9EE31701-03BD-493F-88BA-EA5089A1B3A8}"/>
    <cellStyle name="Comma 2 2 3 3 4 3 2" xfId="17300" xr:uid="{7AFE43DF-C0E1-4946-91C5-222E95DE6F09}"/>
    <cellStyle name="Comma 2 2 3 3 4 3 2 2" xfId="53808" xr:uid="{F19202E0-BAAF-4B3C-A8E4-6E27369B9244}"/>
    <cellStyle name="Comma 2 2 3 3 4 3 2 3" xfId="35554" xr:uid="{17022E9D-B4B8-47D3-8646-E5658A046427}"/>
    <cellStyle name="Comma 2 2 3 3 4 3 3" xfId="13650" xr:uid="{09C7B1BA-FF24-477B-A971-C32BA13A8374}"/>
    <cellStyle name="Comma 2 2 3 3 4 3 3 2" xfId="50158" xr:uid="{6A726A68-2126-4401-9752-257D09482EB5}"/>
    <cellStyle name="Comma 2 2 3 3 4 3 3 3" xfId="31904" xr:uid="{36F50748-5C92-4483-9093-7914D9B78E12}"/>
    <cellStyle name="Comma 2 2 3 3 4 3 4" xfId="10000" xr:uid="{DBC807B1-5555-4552-8F66-EDDBD15C0581}"/>
    <cellStyle name="Comma 2 2 3 3 4 3 4 2" xfId="46508" xr:uid="{257D57D8-9021-4B0A-BCC4-C4DE019E14E1}"/>
    <cellStyle name="Comma 2 2 3 3 4 3 4 3" xfId="28254" xr:uid="{8D14C8CC-B585-45BA-8F97-05D22D209B91}"/>
    <cellStyle name="Comma 2 2 3 3 4 3 5" xfId="6350" xr:uid="{D1CAE8F9-447E-48D8-B55F-8155FB371D9A}"/>
    <cellStyle name="Comma 2 2 3 3 4 3 5 2" xfId="42858" xr:uid="{14D1E694-047F-49E1-8018-0DDF6E3B5EBB}"/>
    <cellStyle name="Comma 2 2 3 3 4 3 5 3" xfId="24604" xr:uid="{D806B348-B0F0-404A-B460-8A65A3900631}"/>
    <cellStyle name="Comma 2 2 3 3 4 3 6" xfId="39208" xr:uid="{7F710215-99C2-48A1-9974-19E608C1EDA2}"/>
    <cellStyle name="Comma 2 2 3 3 4 3 7" xfId="20954" xr:uid="{BFF3352D-0B52-4DB9-BB99-BF62F04A4BFB}"/>
    <cellStyle name="Comma 2 2 3 3 4 4" xfId="1970" xr:uid="{59FFEF27-B1B5-4FAD-ADF5-42FA7F209675}"/>
    <cellStyle name="Comma 2 2 3 3 4 4 2" xfId="16570" xr:uid="{C4946CD4-9753-4DB6-BB91-8B71932EC9D8}"/>
    <cellStyle name="Comma 2 2 3 3 4 4 2 2" xfId="53078" xr:uid="{65C520C2-5714-4CF6-A102-E0A4A82D03E1}"/>
    <cellStyle name="Comma 2 2 3 3 4 4 2 3" xfId="34824" xr:uid="{56E66D84-348A-4DC9-A8DB-90E76C6DDA2A}"/>
    <cellStyle name="Comma 2 2 3 3 4 4 3" xfId="12920" xr:uid="{310BD110-E8C9-4547-B13C-9A0A660DD947}"/>
    <cellStyle name="Comma 2 2 3 3 4 4 3 2" xfId="49428" xr:uid="{549B0086-AF06-4D92-B9D2-50ED3C563CC6}"/>
    <cellStyle name="Comma 2 2 3 3 4 4 3 3" xfId="31174" xr:uid="{881B3936-38CE-49D9-8F8E-68B083AA9B74}"/>
    <cellStyle name="Comma 2 2 3 3 4 4 4" xfId="9270" xr:uid="{411F0016-18BC-4189-9FC5-E6718624DA1D}"/>
    <cellStyle name="Comma 2 2 3 3 4 4 4 2" xfId="45778" xr:uid="{118175AC-7C5F-4631-AE26-64F22B7C9B55}"/>
    <cellStyle name="Comma 2 2 3 3 4 4 4 3" xfId="27524" xr:uid="{52FEB838-7578-4EB7-BC0F-E4735B2F1678}"/>
    <cellStyle name="Comma 2 2 3 3 4 4 5" xfId="5620" xr:uid="{2A22E2B1-0079-4976-8D22-5E34DC30F301}"/>
    <cellStyle name="Comma 2 2 3 3 4 4 5 2" xfId="42128" xr:uid="{6BA77548-F384-4E9C-917D-E83F55953719}"/>
    <cellStyle name="Comma 2 2 3 3 4 4 5 3" xfId="23874" xr:uid="{1EBD17CF-3361-46F6-9990-43E59E8C7336}"/>
    <cellStyle name="Comma 2 2 3 3 4 4 6" xfId="38478" xr:uid="{A877E29B-BF07-4859-976C-8D2718BC8107}"/>
    <cellStyle name="Comma 2 2 3 3 4 4 7" xfId="20224" xr:uid="{A9BAF5ED-387C-4B88-A2D3-EBC0C206EB9C}"/>
    <cellStyle name="Comma 2 2 3 3 4 5" xfId="1240" xr:uid="{5DF99571-E0E8-4FC3-86B9-666B41ED4146}"/>
    <cellStyle name="Comma 2 2 3 3 4 5 2" xfId="15840" xr:uid="{2B861F4C-25E2-41DF-A525-439D237AE0D9}"/>
    <cellStyle name="Comma 2 2 3 3 4 5 2 2" xfId="52348" xr:uid="{94345F43-09DB-4925-AC3A-012E1FB2B167}"/>
    <cellStyle name="Comma 2 2 3 3 4 5 2 3" xfId="34094" xr:uid="{C4387E02-73E4-401A-BB28-5A07C34B221D}"/>
    <cellStyle name="Comma 2 2 3 3 4 5 3" xfId="12190" xr:uid="{9CB7B951-FEA7-4B6D-8462-6D34C2AC2CDB}"/>
    <cellStyle name="Comma 2 2 3 3 4 5 3 2" xfId="48698" xr:uid="{0863BFBC-9EC3-4015-957E-D382894ABA47}"/>
    <cellStyle name="Comma 2 2 3 3 4 5 3 3" xfId="30444" xr:uid="{23CA2B1B-D1EE-4C93-A57E-0FA2AD2B02A7}"/>
    <cellStyle name="Comma 2 2 3 3 4 5 4" xfId="8540" xr:uid="{E24E8EAC-561D-402B-9D08-481F92E57587}"/>
    <cellStyle name="Comma 2 2 3 3 4 5 4 2" xfId="45048" xr:uid="{1EEF84D2-498B-4EC4-9C45-41EFD2044D1E}"/>
    <cellStyle name="Comma 2 2 3 3 4 5 4 3" xfId="26794" xr:uid="{3CB53671-D2A9-4DF7-8B33-4802CDB478D9}"/>
    <cellStyle name="Comma 2 2 3 3 4 5 5" xfId="4890" xr:uid="{1D43453B-3184-4C2F-A1CA-14FBFEA10C10}"/>
    <cellStyle name="Comma 2 2 3 3 4 5 5 2" xfId="41398" xr:uid="{CA2FD013-CE51-425B-99BA-2AD91846E2DF}"/>
    <cellStyle name="Comma 2 2 3 3 4 5 5 3" xfId="23144" xr:uid="{3D3FD4AB-003D-4CF7-9808-1FDA5FC9A936}"/>
    <cellStyle name="Comma 2 2 3 3 4 5 6" xfId="37748" xr:uid="{1CDEB343-C600-4458-976F-E1F1513A2A7E}"/>
    <cellStyle name="Comma 2 2 3 3 4 5 7" xfId="19494" xr:uid="{F5409EE6-1F4E-451E-B05C-10BA1E237317}"/>
    <cellStyle name="Comma 2 2 3 3 4 6" xfId="15110" xr:uid="{F2A22B6A-6052-4F2C-B204-111C67B5EFC1}"/>
    <cellStyle name="Comma 2 2 3 3 4 6 2" xfId="51618" xr:uid="{77539E0F-D8EC-459F-B597-E1598505B2F2}"/>
    <cellStyle name="Comma 2 2 3 3 4 6 3" xfId="33364" xr:uid="{B1F727C3-A09B-4C58-8F3D-A7D433CDF59D}"/>
    <cellStyle name="Comma 2 2 3 3 4 7" xfId="11460" xr:uid="{C5ACD3E3-6E93-4C83-A0C3-65F3CB998F62}"/>
    <cellStyle name="Comma 2 2 3 3 4 7 2" xfId="47968" xr:uid="{DF6C162A-0483-4E37-AF74-F67CF5210D81}"/>
    <cellStyle name="Comma 2 2 3 3 4 7 3" xfId="29714" xr:uid="{D50A3F06-93F6-40BD-9388-79B6E6B53FC7}"/>
    <cellStyle name="Comma 2 2 3 3 4 8" xfId="7810" xr:uid="{E18A6A62-CB4B-4A07-9576-9F614F8CEF81}"/>
    <cellStyle name="Comma 2 2 3 3 4 8 2" xfId="44318" xr:uid="{C6ADDECE-0E00-44A8-AEE3-5D540E0FC103}"/>
    <cellStyle name="Comma 2 2 3 3 4 8 3" xfId="26064" xr:uid="{81144ED6-5294-43FB-B539-0BBA12D422A4}"/>
    <cellStyle name="Comma 2 2 3 3 4 9" xfId="4160" xr:uid="{022ABDE4-F225-4486-9012-8601488E87F5}"/>
    <cellStyle name="Comma 2 2 3 3 4 9 2" xfId="40668" xr:uid="{7EB44F76-A2B3-41DD-A8A8-B2922CE036F5}"/>
    <cellStyle name="Comma 2 2 3 3 4 9 3" xfId="22414" xr:uid="{34896147-8C56-4FC3-990F-33F1C44B3844}"/>
    <cellStyle name="Comma 2 2 3 3 5" xfId="406" xr:uid="{191A0F62-9CEA-4A35-957B-095143229ED5}"/>
    <cellStyle name="Comma 2 2 3 3 5 10" xfId="36914" xr:uid="{65B85E3E-A8B7-4354-ADAB-97913C04C005}"/>
    <cellStyle name="Comma 2 2 3 3 5 11" xfId="18660" xr:uid="{C66893DD-8C13-4E6B-BDEF-2516AF035404}"/>
    <cellStyle name="Comma 2 2 3 3 5 2" xfId="3326" xr:uid="{4020CAFC-7157-4D93-8B54-18164DC8E4AA}"/>
    <cellStyle name="Comma 2 2 3 3 5 2 2" xfId="17926" xr:uid="{EF88099B-4C4A-4E9E-9B1C-81245AFB7C34}"/>
    <cellStyle name="Comma 2 2 3 3 5 2 2 2" xfId="54434" xr:uid="{6066924E-A5D7-4479-96D6-AC9D872FD2AF}"/>
    <cellStyle name="Comma 2 2 3 3 5 2 2 3" xfId="36180" xr:uid="{DBE4B263-ED45-45A3-835A-2BB4F093D9B7}"/>
    <cellStyle name="Comma 2 2 3 3 5 2 3" xfId="14276" xr:uid="{893DC69A-2193-47B3-A987-DB1F82C0BF41}"/>
    <cellStyle name="Comma 2 2 3 3 5 2 3 2" xfId="50784" xr:uid="{DAF90EFA-F363-492F-9CD3-74220E883A09}"/>
    <cellStyle name="Comma 2 2 3 3 5 2 3 3" xfId="32530" xr:uid="{ADBD4AEF-BAF9-4502-A534-D70852560151}"/>
    <cellStyle name="Comma 2 2 3 3 5 2 4" xfId="10626" xr:uid="{CD5649A3-514D-4A53-B815-4F7E346739D6}"/>
    <cellStyle name="Comma 2 2 3 3 5 2 4 2" xfId="47134" xr:uid="{033D75B8-21A2-4CE1-824E-7F8E6F568860}"/>
    <cellStyle name="Comma 2 2 3 3 5 2 4 3" xfId="28880" xr:uid="{8C34C36C-FF6D-48D5-B624-FC09F23837B7}"/>
    <cellStyle name="Comma 2 2 3 3 5 2 5" xfId="6976" xr:uid="{65286094-313A-4415-AE3E-016041FDEE3E}"/>
    <cellStyle name="Comma 2 2 3 3 5 2 5 2" xfId="43484" xr:uid="{6FE27002-30C7-49B3-B318-8C16F8D574C8}"/>
    <cellStyle name="Comma 2 2 3 3 5 2 5 3" xfId="25230" xr:uid="{1368ADC6-60F2-4B54-ACFF-632403FA2461}"/>
    <cellStyle name="Comma 2 2 3 3 5 2 6" xfId="39834" xr:uid="{3DB033A2-1C75-46EE-B5A1-7CDA5BF12911}"/>
    <cellStyle name="Comma 2 2 3 3 5 2 7" xfId="21580" xr:uid="{01D70405-80A4-46BE-82CA-927EFA886CBA}"/>
    <cellStyle name="Comma 2 2 3 3 5 3" xfId="2596" xr:uid="{6AC18878-FFCD-4FD3-9E9A-47A1725797FD}"/>
    <cellStyle name="Comma 2 2 3 3 5 3 2" xfId="17196" xr:uid="{1C92D3FE-9A9B-424B-8F51-10F61001B08A}"/>
    <cellStyle name="Comma 2 2 3 3 5 3 2 2" xfId="53704" xr:uid="{7D7A14B8-0691-45FD-A5E6-5DEE143CF68E}"/>
    <cellStyle name="Comma 2 2 3 3 5 3 2 3" xfId="35450" xr:uid="{9F189590-1C6C-4DF1-BC67-4C157A6BE50C}"/>
    <cellStyle name="Comma 2 2 3 3 5 3 3" xfId="13546" xr:uid="{DEEB6AAC-A027-4730-B074-2546E6AFF70B}"/>
    <cellStyle name="Comma 2 2 3 3 5 3 3 2" xfId="50054" xr:uid="{A4358175-2DC5-4374-8633-40EBD076BBD3}"/>
    <cellStyle name="Comma 2 2 3 3 5 3 3 3" xfId="31800" xr:uid="{057BC312-4430-4733-BB2C-36F58571A23A}"/>
    <cellStyle name="Comma 2 2 3 3 5 3 4" xfId="9896" xr:uid="{0CAF781B-FDF9-4C14-B4AE-FE2374FA70A6}"/>
    <cellStyle name="Comma 2 2 3 3 5 3 4 2" xfId="46404" xr:uid="{238385AD-D43F-43C4-9868-51B231473570}"/>
    <cellStyle name="Comma 2 2 3 3 5 3 4 3" xfId="28150" xr:uid="{66AC7D4C-8426-4979-96B4-829FD875206A}"/>
    <cellStyle name="Comma 2 2 3 3 5 3 5" xfId="6246" xr:uid="{B492B489-F88F-43ED-895A-F01B24420BA5}"/>
    <cellStyle name="Comma 2 2 3 3 5 3 5 2" xfId="42754" xr:uid="{C326BC1A-0765-46F8-801A-639F82AC81E0}"/>
    <cellStyle name="Comma 2 2 3 3 5 3 5 3" xfId="24500" xr:uid="{E7E8ADD6-5764-4465-8055-D8A63A09F802}"/>
    <cellStyle name="Comma 2 2 3 3 5 3 6" xfId="39104" xr:uid="{C466F2BE-02C3-4A38-B38B-F3DA72AE38E8}"/>
    <cellStyle name="Comma 2 2 3 3 5 3 7" xfId="20850" xr:uid="{35E6AF8B-E440-4E30-A5E9-D57AF7DDAA0F}"/>
    <cellStyle name="Comma 2 2 3 3 5 4" xfId="1866" xr:uid="{570AD1D8-AD25-4E37-A1BF-6E67BC49C6E3}"/>
    <cellStyle name="Comma 2 2 3 3 5 4 2" xfId="16466" xr:uid="{D17B616B-8A89-4981-8666-D1C6A09C5B97}"/>
    <cellStyle name="Comma 2 2 3 3 5 4 2 2" xfId="52974" xr:uid="{83AC5EE0-4E56-4E0B-9D00-65392E91C418}"/>
    <cellStyle name="Comma 2 2 3 3 5 4 2 3" xfId="34720" xr:uid="{DE5CF243-A76D-4379-883A-D7E24A7B3841}"/>
    <cellStyle name="Comma 2 2 3 3 5 4 3" xfId="12816" xr:uid="{2F48EA93-040E-4D38-BB44-F54B20EAB885}"/>
    <cellStyle name="Comma 2 2 3 3 5 4 3 2" xfId="49324" xr:uid="{578BEA29-11AE-4502-85BE-597A375CAB15}"/>
    <cellStyle name="Comma 2 2 3 3 5 4 3 3" xfId="31070" xr:uid="{50ECBF7C-A0AB-46DF-9B73-4FBB46982596}"/>
    <cellStyle name="Comma 2 2 3 3 5 4 4" xfId="9166" xr:uid="{9487F47C-206B-4F0D-A5B9-45ECDFA15ADC}"/>
    <cellStyle name="Comma 2 2 3 3 5 4 4 2" xfId="45674" xr:uid="{DD5BBF4C-06E1-4B46-AF0D-CB12C97C8A08}"/>
    <cellStyle name="Comma 2 2 3 3 5 4 4 3" xfId="27420" xr:uid="{5F5EA694-E018-4235-A4FF-87F4617210A4}"/>
    <cellStyle name="Comma 2 2 3 3 5 4 5" xfId="5516" xr:uid="{F5718C63-2E10-4D78-9027-1CFCCD37C282}"/>
    <cellStyle name="Comma 2 2 3 3 5 4 5 2" xfId="42024" xr:uid="{44A47C85-C937-461D-9EB2-8CD05C280DF7}"/>
    <cellStyle name="Comma 2 2 3 3 5 4 5 3" xfId="23770" xr:uid="{B8249793-8B28-45F3-A2B3-5065EDC7FCB4}"/>
    <cellStyle name="Comma 2 2 3 3 5 4 6" xfId="38374" xr:uid="{29E699B0-F7C8-4808-AEF2-3CA7F7B8FF3D}"/>
    <cellStyle name="Comma 2 2 3 3 5 4 7" xfId="20120" xr:uid="{93842E03-A744-4750-9C1D-90683DE2EC81}"/>
    <cellStyle name="Comma 2 2 3 3 5 5" xfId="1136" xr:uid="{78A8449C-6F5A-4FF2-9A53-C3B689ACACD1}"/>
    <cellStyle name="Comma 2 2 3 3 5 5 2" xfId="15736" xr:uid="{7345A063-C373-45C5-962D-BD56408A6F7B}"/>
    <cellStyle name="Comma 2 2 3 3 5 5 2 2" xfId="52244" xr:uid="{1D86A406-D220-4A8A-B907-930E83834ADF}"/>
    <cellStyle name="Comma 2 2 3 3 5 5 2 3" xfId="33990" xr:uid="{D3709C7F-C080-4DB8-A52E-362F0A18CF98}"/>
    <cellStyle name="Comma 2 2 3 3 5 5 3" xfId="12086" xr:uid="{62779279-13C3-4471-A47C-31E6E16D8418}"/>
    <cellStyle name="Comma 2 2 3 3 5 5 3 2" xfId="48594" xr:uid="{81A6F360-CFA4-45EA-92D1-C3798DD0131D}"/>
    <cellStyle name="Comma 2 2 3 3 5 5 3 3" xfId="30340" xr:uid="{52A66F50-D492-4225-80F0-E5A98EDD7B38}"/>
    <cellStyle name="Comma 2 2 3 3 5 5 4" xfId="8436" xr:uid="{E6B6E1F4-0F68-4DFD-80AB-DF710E4DAE7C}"/>
    <cellStyle name="Comma 2 2 3 3 5 5 4 2" xfId="44944" xr:uid="{0A97A540-D3C3-40C2-923C-753AED04E6AB}"/>
    <cellStyle name="Comma 2 2 3 3 5 5 4 3" xfId="26690" xr:uid="{E83E6706-2B4C-4A20-8696-D522455A9B27}"/>
    <cellStyle name="Comma 2 2 3 3 5 5 5" xfId="4786" xr:uid="{BFCAC47E-0FBC-4C61-AD86-B954B9304568}"/>
    <cellStyle name="Comma 2 2 3 3 5 5 5 2" xfId="41294" xr:uid="{02ACE6B9-7D9C-45CD-ABDF-CC264D4EF198}"/>
    <cellStyle name="Comma 2 2 3 3 5 5 5 3" xfId="23040" xr:uid="{10AAA3E2-929B-4D64-8EF7-9E78F86EC85C}"/>
    <cellStyle name="Comma 2 2 3 3 5 5 6" xfId="37644" xr:uid="{CEFB19B0-7E5E-4EF5-A385-6723320105BB}"/>
    <cellStyle name="Comma 2 2 3 3 5 5 7" xfId="19390" xr:uid="{C679BDA3-D290-4987-860C-F16224E1FF6A}"/>
    <cellStyle name="Comma 2 2 3 3 5 6" xfId="15006" xr:uid="{940AAB7C-C551-4FB1-9528-67718C4E861B}"/>
    <cellStyle name="Comma 2 2 3 3 5 6 2" xfId="51514" xr:uid="{0747EA64-E34B-409B-ABCC-39120397CFFD}"/>
    <cellStyle name="Comma 2 2 3 3 5 6 3" xfId="33260" xr:uid="{7904A790-82DA-41D3-83E5-B479DEA1153E}"/>
    <cellStyle name="Comma 2 2 3 3 5 7" xfId="11356" xr:uid="{AC5D77E6-39A9-4AA0-97E1-562BBF57FC54}"/>
    <cellStyle name="Comma 2 2 3 3 5 7 2" xfId="47864" xr:uid="{D94D75F9-4892-4C98-8416-03401203C6F7}"/>
    <cellStyle name="Comma 2 2 3 3 5 7 3" xfId="29610" xr:uid="{860B228A-AFC2-4588-B22C-60500C662D92}"/>
    <cellStyle name="Comma 2 2 3 3 5 8" xfId="7706" xr:uid="{8460C2A3-E6F0-4F56-823F-5C6F79FF10F9}"/>
    <cellStyle name="Comma 2 2 3 3 5 8 2" xfId="44214" xr:uid="{049158CB-91AC-4D65-A75E-5800049637E4}"/>
    <cellStyle name="Comma 2 2 3 3 5 8 3" xfId="25960" xr:uid="{1C0B96AA-1AD0-43ED-93E7-040ACA1EEA00}"/>
    <cellStyle name="Comma 2 2 3 3 5 9" xfId="4056" xr:uid="{015A1CA2-A264-4889-AA6F-218882C35C5D}"/>
    <cellStyle name="Comma 2 2 3 3 5 9 2" xfId="40564" xr:uid="{EE6C58B5-F631-408D-B1A7-694AD4C34595}"/>
    <cellStyle name="Comma 2 2 3 3 5 9 3" xfId="22310" xr:uid="{81A66D78-7240-4E6C-9FA9-4FBE561BA74E}"/>
    <cellStyle name="Comma 2 2 3 3 6" xfId="302" xr:uid="{82673783-A89C-4A46-AFD3-F44CCFE37D35}"/>
    <cellStyle name="Comma 2 2 3 3 6 10" xfId="36810" xr:uid="{37FE887B-9564-49C7-BAC9-FF9415A85208}"/>
    <cellStyle name="Comma 2 2 3 3 6 11" xfId="18556" xr:uid="{564967EF-7140-4EA9-A9B0-B8C9DFDE3F00}"/>
    <cellStyle name="Comma 2 2 3 3 6 2" xfId="3222" xr:uid="{FCAF55F7-BA98-4FDD-9DE4-208EF455E01D}"/>
    <cellStyle name="Comma 2 2 3 3 6 2 2" xfId="17822" xr:uid="{BA8B9577-1E9E-4AAA-AEB9-879EF8E3C4A2}"/>
    <cellStyle name="Comma 2 2 3 3 6 2 2 2" xfId="54330" xr:uid="{0496FB26-3CE4-4629-AEC5-4E202F4ED020}"/>
    <cellStyle name="Comma 2 2 3 3 6 2 2 3" xfId="36076" xr:uid="{AFE8EEFA-D52A-434B-AD8C-F00A52A08220}"/>
    <cellStyle name="Comma 2 2 3 3 6 2 3" xfId="14172" xr:uid="{466A3125-AA3B-4BD1-8F17-F7000750F2FD}"/>
    <cellStyle name="Comma 2 2 3 3 6 2 3 2" xfId="50680" xr:uid="{04865CC0-1C1A-4C27-A201-00635F4EE609}"/>
    <cellStyle name="Comma 2 2 3 3 6 2 3 3" xfId="32426" xr:uid="{89784EA2-D6B6-4BFA-A046-907B3F29F85C}"/>
    <cellStyle name="Comma 2 2 3 3 6 2 4" xfId="10522" xr:uid="{5478EC7A-513C-423C-BC9F-77B2D8B924B5}"/>
    <cellStyle name="Comma 2 2 3 3 6 2 4 2" xfId="47030" xr:uid="{2B983353-4ECD-4FCE-B57D-F1325090A7D3}"/>
    <cellStyle name="Comma 2 2 3 3 6 2 4 3" xfId="28776" xr:uid="{CAAF20CB-C998-457E-B1CA-E02CE9D04550}"/>
    <cellStyle name="Comma 2 2 3 3 6 2 5" xfId="6872" xr:uid="{04D59247-535C-463F-8A09-DD254651B9BA}"/>
    <cellStyle name="Comma 2 2 3 3 6 2 5 2" xfId="43380" xr:uid="{4C5D1426-008A-4080-AB9B-7C873AFBCD3C}"/>
    <cellStyle name="Comma 2 2 3 3 6 2 5 3" xfId="25126" xr:uid="{67EEC5C4-27FF-4B7C-A939-8042C7A08F98}"/>
    <cellStyle name="Comma 2 2 3 3 6 2 6" xfId="39730" xr:uid="{A867FA96-E461-43CE-B632-2591762BC0E6}"/>
    <cellStyle name="Comma 2 2 3 3 6 2 7" xfId="21476" xr:uid="{8361114E-55E2-485B-AD7A-FC4D9FBD9DC3}"/>
    <cellStyle name="Comma 2 2 3 3 6 3" xfId="2492" xr:uid="{FC0A05B8-3DE4-4C03-9D1B-839C5A2E0443}"/>
    <cellStyle name="Comma 2 2 3 3 6 3 2" xfId="17092" xr:uid="{0CE2B8D2-3DD8-4A86-86D3-11174535FCE7}"/>
    <cellStyle name="Comma 2 2 3 3 6 3 2 2" xfId="53600" xr:uid="{7703DCA2-6011-4FD3-A62A-127187215F66}"/>
    <cellStyle name="Comma 2 2 3 3 6 3 2 3" xfId="35346" xr:uid="{7F419786-8AE9-404B-B87D-01348E850356}"/>
    <cellStyle name="Comma 2 2 3 3 6 3 3" xfId="13442" xr:uid="{22B1F85A-A9B7-403C-A133-4558B1E893E0}"/>
    <cellStyle name="Comma 2 2 3 3 6 3 3 2" xfId="49950" xr:uid="{4C925A1D-A65E-4F04-B02C-442F2020BF44}"/>
    <cellStyle name="Comma 2 2 3 3 6 3 3 3" xfId="31696" xr:uid="{79AF4102-6EAC-46E9-A60A-778A04BD0F6C}"/>
    <cellStyle name="Comma 2 2 3 3 6 3 4" xfId="9792" xr:uid="{6F2260E0-A61E-4AFF-98A4-B679AC6DE4F4}"/>
    <cellStyle name="Comma 2 2 3 3 6 3 4 2" xfId="46300" xr:uid="{5EA998B2-9112-448D-B6FE-33A808B14104}"/>
    <cellStyle name="Comma 2 2 3 3 6 3 4 3" xfId="28046" xr:uid="{1A44332B-FC31-4AD7-BEDA-5B279C6C1291}"/>
    <cellStyle name="Comma 2 2 3 3 6 3 5" xfId="6142" xr:uid="{1A516E03-5AC2-40C9-98F8-F0D9C996D794}"/>
    <cellStyle name="Comma 2 2 3 3 6 3 5 2" xfId="42650" xr:uid="{BB754652-F44F-4D7C-91BF-3965D6976308}"/>
    <cellStyle name="Comma 2 2 3 3 6 3 5 3" xfId="24396" xr:uid="{83661CB8-998C-4E96-8619-A3E4A34FBFE6}"/>
    <cellStyle name="Comma 2 2 3 3 6 3 6" xfId="39000" xr:uid="{4223AC6E-7FEA-4BC5-AD02-552E58005D74}"/>
    <cellStyle name="Comma 2 2 3 3 6 3 7" xfId="20746" xr:uid="{FCED2BCF-7EFF-4A05-AB77-5B1802DBAEC2}"/>
    <cellStyle name="Comma 2 2 3 3 6 4" xfId="1762" xr:uid="{08C08E6D-FF87-43BF-8F44-E8263445C975}"/>
    <cellStyle name="Comma 2 2 3 3 6 4 2" xfId="16362" xr:uid="{4758FB28-2CD2-4369-87CE-BB3315DFD634}"/>
    <cellStyle name="Comma 2 2 3 3 6 4 2 2" xfId="52870" xr:uid="{85AB3E58-0A3A-4954-BE20-FEADF42B2F72}"/>
    <cellStyle name="Comma 2 2 3 3 6 4 2 3" xfId="34616" xr:uid="{411F81AD-0158-44F7-91C6-C819FF597443}"/>
    <cellStyle name="Comma 2 2 3 3 6 4 3" xfId="12712" xr:uid="{4C766B99-F7BB-478D-B267-34BD6F4C4CD5}"/>
    <cellStyle name="Comma 2 2 3 3 6 4 3 2" xfId="49220" xr:uid="{D2CFB73F-287B-44F0-873F-CEC4E3C709A3}"/>
    <cellStyle name="Comma 2 2 3 3 6 4 3 3" xfId="30966" xr:uid="{14B03BFA-7F5C-4393-BEF7-5A5E0DFC7646}"/>
    <cellStyle name="Comma 2 2 3 3 6 4 4" xfId="9062" xr:uid="{511315F4-F15C-44C1-B0E8-C88BE3D2400B}"/>
    <cellStyle name="Comma 2 2 3 3 6 4 4 2" xfId="45570" xr:uid="{42693EF3-D4CF-4D84-8DE5-30E72BC92B17}"/>
    <cellStyle name="Comma 2 2 3 3 6 4 4 3" xfId="27316" xr:uid="{D2C7BE06-5466-406A-B9C9-A739549C0D29}"/>
    <cellStyle name="Comma 2 2 3 3 6 4 5" xfId="5412" xr:uid="{241D0A98-90A2-4E11-978E-8F15494C60C9}"/>
    <cellStyle name="Comma 2 2 3 3 6 4 5 2" xfId="41920" xr:uid="{C8C304BB-336F-4195-BF33-4CF7FBCDE2E3}"/>
    <cellStyle name="Comma 2 2 3 3 6 4 5 3" xfId="23666" xr:uid="{3F64CA5D-5F1E-4FD2-8DC6-A1224096ACBB}"/>
    <cellStyle name="Comma 2 2 3 3 6 4 6" xfId="38270" xr:uid="{E40D7403-1AC4-418B-878F-EF95C7AC7F43}"/>
    <cellStyle name="Comma 2 2 3 3 6 4 7" xfId="20016" xr:uid="{7F6F2B8F-DA4E-4A57-B102-8CFC0AB6C7EB}"/>
    <cellStyle name="Comma 2 2 3 3 6 5" xfId="1032" xr:uid="{ECE4C105-3C61-4745-B865-DD76095F37D5}"/>
    <cellStyle name="Comma 2 2 3 3 6 5 2" xfId="15632" xr:uid="{751D82B5-C776-4E30-8522-1B51327F4E3B}"/>
    <cellStyle name="Comma 2 2 3 3 6 5 2 2" xfId="52140" xr:uid="{0B44ECEB-536B-4446-9E19-D32E969CB2FF}"/>
    <cellStyle name="Comma 2 2 3 3 6 5 2 3" xfId="33886" xr:uid="{75E36F39-52AF-4BF5-BC58-05905F005DA8}"/>
    <cellStyle name="Comma 2 2 3 3 6 5 3" xfId="11982" xr:uid="{9A5E0F45-9555-4F88-9D09-8956C0518970}"/>
    <cellStyle name="Comma 2 2 3 3 6 5 3 2" xfId="48490" xr:uid="{0D944C39-2F49-4C7C-A9FA-25E0B9C0D71C}"/>
    <cellStyle name="Comma 2 2 3 3 6 5 3 3" xfId="30236" xr:uid="{94730E42-AFBE-4E4A-A2E3-E415ED355D0B}"/>
    <cellStyle name="Comma 2 2 3 3 6 5 4" xfId="8332" xr:uid="{0E9A5E15-6D4D-4313-B1F5-7F198F51904F}"/>
    <cellStyle name="Comma 2 2 3 3 6 5 4 2" xfId="44840" xr:uid="{C454DA4B-0527-4302-AA15-919103CF5788}"/>
    <cellStyle name="Comma 2 2 3 3 6 5 4 3" xfId="26586" xr:uid="{AC5106B9-C757-4EF1-BBD3-A2764D0B38CF}"/>
    <cellStyle name="Comma 2 2 3 3 6 5 5" xfId="4682" xr:uid="{63ACC3FE-57C9-434F-B9FB-EF21370F917C}"/>
    <cellStyle name="Comma 2 2 3 3 6 5 5 2" xfId="41190" xr:uid="{38903772-3E95-4267-A6D8-473CF5F75735}"/>
    <cellStyle name="Comma 2 2 3 3 6 5 5 3" xfId="22936" xr:uid="{27B34E0F-A27E-4DF5-A4AF-2EC0D32E9472}"/>
    <cellStyle name="Comma 2 2 3 3 6 5 6" xfId="37540" xr:uid="{359DE459-665D-4ADB-BF33-A13B6E9DE3C9}"/>
    <cellStyle name="Comma 2 2 3 3 6 5 7" xfId="19286" xr:uid="{78619DB9-2CE7-48E1-A064-95BE36C4480A}"/>
    <cellStyle name="Comma 2 2 3 3 6 6" xfId="14902" xr:uid="{3173238C-09FC-4918-8E50-F8DEF94DF94E}"/>
    <cellStyle name="Comma 2 2 3 3 6 6 2" xfId="51410" xr:uid="{34137B49-6C96-4D40-9CCE-12229F2C37E3}"/>
    <cellStyle name="Comma 2 2 3 3 6 6 3" xfId="33156" xr:uid="{AF7F9C8A-63F0-4D9D-88B1-11B6A18DAF88}"/>
    <cellStyle name="Comma 2 2 3 3 6 7" xfId="11252" xr:uid="{A5C6A451-24A2-4B35-B3AD-4A0624BCCF4C}"/>
    <cellStyle name="Comma 2 2 3 3 6 7 2" xfId="47760" xr:uid="{14799AD1-721D-4A0C-8F93-D4049A1F40E6}"/>
    <cellStyle name="Comma 2 2 3 3 6 7 3" xfId="29506" xr:uid="{626230C2-5C0F-4915-BDBE-552D3A68A23F}"/>
    <cellStyle name="Comma 2 2 3 3 6 8" xfId="7602" xr:uid="{CCF30056-B642-409F-8DDF-17E1C0419BBC}"/>
    <cellStyle name="Comma 2 2 3 3 6 8 2" xfId="44110" xr:uid="{748E0063-A216-4C92-A443-EDD549C912A5}"/>
    <cellStyle name="Comma 2 2 3 3 6 8 3" xfId="25856" xr:uid="{4EE8F4ED-6C40-46B1-AA89-6FB6BF3BFF40}"/>
    <cellStyle name="Comma 2 2 3 3 6 9" xfId="3952" xr:uid="{5C581EC6-3649-4403-B871-5158A624AF2B}"/>
    <cellStyle name="Comma 2 2 3 3 6 9 2" xfId="40460" xr:uid="{C5020051-0455-42FA-86A2-82D7F10EE674}"/>
    <cellStyle name="Comma 2 2 3 3 6 9 3" xfId="22206" xr:uid="{B40CF60E-DC9C-4CB6-82FD-9347266547A0}"/>
    <cellStyle name="Comma 2 2 3 3 7" xfId="198" xr:uid="{F9EF6F8A-12D6-4455-97F8-FDAB5902F43D}"/>
    <cellStyle name="Comma 2 2 3 3 7 10" xfId="36706" xr:uid="{0C300BA5-29AD-42C7-89F0-F2DC712BBD90}"/>
    <cellStyle name="Comma 2 2 3 3 7 11" xfId="18452" xr:uid="{17776CB9-3FA8-4064-B99D-BE30CD70A62E}"/>
    <cellStyle name="Comma 2 2 3 3 7 2" xfId="3118" xr:uid="{49C67D7E-9E45-47F8-BD0C-7D15BDB2EAB5}"/>
    <cellStyle name="Comma 2 2 3 3 7 2 2" xfId="17718" xr:uid="{AB207334-497C-42D1-A55A-B422FB8FCB1C}"/>
    <cellStyle name="Comma 2 2 3 3 7 2 2 2" xfId="54226" xr:uid="{4C90BBC7-1B3A-4607-BF3A-2CC60574D7FB}"/>
    <cellStyle name="Comma 2 2 3 3 7 2 2 3" xfId="35972" xr:uid="{8845A91D-873C-4FCB-9DBA-C0978C42157F}"/>
    <cellStyle name="Comma 2 2 3 3 7 2 3" xfId="14068" xr:uid="{9087D5A8-88FB-45C5-86E5-791DC0EDB015}"/>
    <cellStyle name="Comma 2 2 3 3 7 2 3 2" xfId="50576" xr:uid="{6E365F79-7115-45D1-98E7-66162DB38B9A}"/>
    <cellStyle name="Comma 2 2 3 3 7 2 3 3" xfId="32322" xr:uid="{DCE1EAC5-699F-4F48-90B9-3326AEB73608}"/>
    <cellStyle name="Comma 2 2 3 3 7 2 4" xfId="10418" xr:uid="{3D43ABA8-1012-4566-B44F-FD76B3EA9711}"/>
    <cellStyle name="Comma 2 2 3 3 7 2 4 2" xfId="46926" xr:uid="{9AA992E4-448F-4B84-8DC5-6DDA1D45B00D}"/>
    <cellStyle name="Comma 2 2 3 3 7 2 4 3" xfId="28672" xr:uid="{1543248F-948D-40DB-9C0C-5842CC555182}"/>
    <cellStyle name="Comma 2 2 3 3 7 2 5" xfId="6768" xr:uid="{02A234BC-1A24-40B1-B05D-1706BB4FE010}"/>
    <cellStyle name="Comma 2 2 3 3 7 2 5 2" xfId="43276" xr:uid="{225647A3-2BF5-4180-B6D5-ECAF782C7611}"/>
    <cellStyle name="Comma 2 2 3 3 7 2 5 3" xfId="25022" xr:uid="{5D00FC6F-0C0F-4814-89E4-02989C17E7C7}"/>
    <cellStyle name="Comma 2 2 3 3 7 2 6" xfId="39626" xr:uid="{54C23FB6-BCDD-4A10-9D1C-CAC0D5E771F7}"/>
    <cellStyle name="Comma 2 2 3 3 7 2 7" xfId="21372" xr:uid="{3D5C1ABC-CA4C-4F7E-B9D6-8D694FD1304F}"/>
    <cellStyle name="Comma 2 2 3 3 7 3" xfId="2388" xr:uid="{F1860884-DE2A-42F2-A721-8F745FAFBD2F}"/>
    <cellStyle name="Comma 2 2 3 3 7 3 2" xfId="16988" xr:uid="{860ECBAE-7A97-485A-A2A1-5BC3B067CECA}"/>
    <cellStyle name="Comma 2 2 3 3 7 3 2 2" xfId="53496" xr:uid="{3D552995-08A4-4172-AB94-AE12249ED18F}"/>
    <cellStyle name="Comma 2 2 3 3 7 3 2 3" xfId="35242" xr:uid="{82CDF3C8-50E1-4ACA-97A2-1E6B31353A31}"/>
    <cellStyle name="Comma 2 2 3 3 7 3 3" xfId="13338" xr:uid="{DA0F9ECC-B936-4D33-90EE-639BBA42BDC6}"/>
    <cellStyle name="Comma 2 2 3 3 7 3 3 2" xfId="49846" xr:uid="{CDEA985F-1F21-462E-A480-2998CE8D4AC5}"/>
    <cellStyle name="Comma 2 2 3 3 7 3 3 3" xfId="31592" xr:uid="{5AB62A69-705D-4015-8A16-2690EE8DA7EA}"/>
    <cellStyle name="Comma 2 2 3 3 7 3 4" xfId="9688" xr:uid="{B265093D-7460-4EBE-8256-B115F51EB289}"/>
    <cellStyle name="Comma 2 2 3 3 7 3 4 2" xfId="46196" xr:uid="{E039CBEC-DE3B-4494-87CE-097C0DE11443}"/>
    <cellStyle name="Comma 2 2 3 3 7 3 4 3" xfId="27942" xr:uid="{517B33C1-6F0F-41D6-AB12-A34612F533B9}"/>
    <cellStyle name="Comma 2 2 3 3 7 3 5" xfId="6038" xr:uid="{B85F45BD-4409-4F4D-819C-388D2392B9A5}"/>
    <cellStyle name="Comma 2 2 3 3 7 3 5 2" xfId="42546" xr:uid="{5E6BED99-249B-4A63-AC14-6155BAC8E9B5}"/>
    <cellStyle name="Comma 2 2 3 3 7 3 5 3" xfId="24292" xr:uid="{5C2FB595-490D-415B-9485-4A5A47A6598C}"/>
    <cellStyle name="Comma 2 2 3 3 7 3 6" xfId="38896" xr:uid="{B4048B32-4A95-4A6F-8422-0713F475E5AB}"/>
    <cellStyle name="Comma 2 2 3 3 7 3 7" xfId="20642" xr:uid="{AA1AD144-4013-42A6-A1B3-7F2CC2CE773E}"/>
    <cellStyle name="Comma 2 2 3 3 7 4" xfId="1658" xr:uid="{C9298854-59C5-4EF2-92A6-BAD8A3FCEF49}"/>
    <cellStyle name="Comma 2 2 3 3 7 4 2" xfId="16258" xr:uid="{0D905D71-0EF7-4768-B608-65C928AA4810}"/>
    <cellStyle name="Comma 2 2 3 3 7 4 2 2" xfId="52766" xr:uid="{4AAC7639-6EA3-46FC-866C-857D6409C6A5}"/>
    <cellStyle name="Comma 2 2 3 3 7 4 2 3" xfId="34512" xr:uid="{DA748C5B-D4D3-4F4E-AE83-58517C250E89}"/>
    <cellStyle name="Comma 2 2 3 3 7 4 3" xfId="12608" xr:uid="{C5E34252-1F1A-4545-8C08-A6622D5B63A9}"/>
    <cellStyle name="Comma 2 2 3 3 7 4 3 2" xfId="49116" xr:uid="{B70BDB86-30B1-4F69-83A8-783D675B0A5C}"/>
    <cellStyle name="Comma 2 2 3 3 7 4 3 3" xfId="30862" xr:uid="{3D1920CE-AB8B-4280-8381-D84151CF34C3}"/>
    <cellStyle name="Comma 2 2 3 3 7 4 4" xfId="8958" xr:uid="{B89D8CEA-FE81-47B3-B761-1F98DBC0659D}"/>
    <cellStyle name="Comma 2 2 3 3 7 4 4 2" xfId="45466" xr:uid="{3005664E-A72D-4E20-A0CC-3B9EF455BD34}"/>
    <cellStyle name="Comma 2 2 3 3 7 4 4 3" xfId="27212" xr:uid="{5C42E82A-DB97-49AD-8838-DCE7D1B062CD}"/>
    <cellStyle name="Comma 2 2 3 3 7 4 5" xfId="5308" xr:uid="{61AC2CFC-881B-467E-A0C1-4538F2B20505}"/>
    <cellStyle name="Comma 2 2 3 3 7 4 5 2" xfId="41816" xr:uid="{39487F7C-7B67-4EF4-A3C1-A0CA25AA9F78}"/>
    <cellStyle name="Comma 2 2 3 3 7 4 5 3" xfId="23562" xr:uid="{A8288470-E0A0-4B12-B1D7-AFD8C6194E08}"/>
    <cellStyle name="Comma 2 2 3 3 7 4 6" xfId="38166" xr:uid="{F07D8337-4DF2-4003-AE9C-D7AAD14C4470}"/>
    <cellStyle name="Comma 2 2 3 3 7 4 7" xfId="19912" xr:uid="{0CBCB86F-AFA5-463F-85C5-784B42CF4FA6}"/>
    <cellStyle name="Comma 2 2 3 3 7 5" xfId="928" xr:uid="{4346E06E-CAC8-4C80-A297-7053BD72C3EF}"/>
    <cellStyle name="Comma 2 2 3 3 7 5 2" xfId="15528" xr:uid="{E9B1ADD3-9583-47B7-B480-182E69534D8A}"/>
    <cellStyle name="Comma 2 2 3 3 7 5 2 2" xfId="52036" xr:uid="{DD41067F-E95B-4A65-B336-0E3EDCB7B894}"/>
    <cellStyle name="Comma 2 2 3 3 7 5 2 3" xfId="33782" xr:uid="{2879B94B-A24D-4D4C-A955-11218BE5D2A7}"/>
    <cellStyle name="Comma 2 2 3 3 7 5 3" xfId="11878" xr:uid="{E6B51890-9F03-49A9-9395-A738D9BE8860}"/>
    <cellStyle name="Comma 2 2 3 3 7 5 3 2" xfId="48386" xr:uid="{B5C037E3-96F0-4311-B8DE-FADA24299980}"/>
    <cellStyle name="Comma 2 2 3 3 7 5 3 3" xfId="30132" xr:uid="{C60E879B-3530-44C0-8C13-C1B80155F5E4}"/>
    <cellStyle name="Comma 2 2 3 3 7 5 4" xfId="8228" xr:uid="{70DA35A8-409E-442B-81E7-C444554D61AC}"/>
    <cellStyle name="Comma 2 2 3 3 7 5 4 2" xfId="44736" xr:uid="{17092C90-B60C-4AD0-832E-9C8A445BE663}"/>
    <cellStyle name="Comma 2 2 3 3 7 5 4 3" xfId="26482" xr:uid="{6BB9DB34-37E8-4295-B358-4C1F666D5C49}"/>
    <cellStyle name="Comma 2 2 3 3 7 5 5" xfId="4578" xr:uid="{05988A74-A022-45D4-AB2A-DB3658E0FFCD}"/>
    <cellStyle name="Comma 2 2 3 3 7 5 5 2" xfId="41086" xr:uid="{5BAFCBA5-4714-4E0C-B086-88967FDBC6F0}"/>
    <cellStyle name="Comma 2 2 3 3 7 5 5 3" xfId="22832" xr:uid="{6D96582D-889D-4494-BF0C-F460A42AD88B}"/>
    <cellStyle name="Comma 2 2 3 3 7 5 6" xfId="37436" xr:uid="{D8E170B3-EE6D-4299-9A48-EAE12AB1C4F3}"/>
    <cellStyle name="Comma 2 2 3 3 7 5 7" xfId="19182" xr:uid="{682CCD12-8E82-4073-BB0E-06C95221D4B3}"/>
    <cellStyle name="Comma 2 2 3 3 7 6" xfId="14798" xr:uid="{A4C2B807-12E5-4EC9-B8DA-5B041FA8ACD4}"/>
    <cellStyle name="Comma 2 2 3 3 7 6 2" xfId="51306" xr:uid="{FB2DCAA7-AEC2-4836-B988-CDDC06986FE9}"/>
    <cellStyle name="Comma 2 2 3 3 7 6 3" xfId="33052" xr:uid="{FC7363D5-CE2B-41DB-BAC0-47272607DD2A}"/>
    <cellStyle name="Comma 2 2 3 3 7 7" xfId="11148" xr:uid="{92AB28EB-1F2B-499E-A62E-F835F4F6081B}"/>
    <cellStyle name="Comma 2 2 3 3 7 7 2" xfId="47656" xr:uid="{90182636-437B-493A-BCA1-549DB9FC9683}"/>
    <cellStyle name="Comma 2 2 3 3 7 7 3" xfId="29402" xr:uid="{A0E89518-6BAA-46AD-8C31-BC4E1EC3D81C}"/>
    <cellStyle name="Comma 2 2 3 3 7 8" xfId="7498" xr:uid="{72A09BB6-B3C4-4191-8C2B-277F4ED88BFE}"/>
    <cellStyle name="Comma 2 2 3 3 7 8 2" xfId="44006" xr:uid="{F0EB79BF-2082-466F-BBE5-649431D15969}"/>
    <cellStyle name="Comma 2 2 3 3 7 8 3" xfId="25752" xr:uid="{D966A1D1-0394-438C-A9CA-4A365A02DDEB}"/>
    <cellStyle name="Comma 2 2 3 3 7 9" xfId="3848" xr:uid="{DE1A85BF-6D60-4D57-A124-D935C113C910}"/>
    <cellStyle name="Comma 2 2 3 3 7 9 2" xfId="40356" xr:uid="{C2B5277A-311F-4FCA-A7A5-38279B9E823C}"/>
    <cellStyle name="Comma 2 2 3 3 7 9 3" xfId="22102" xr:uid="{19B98837-8BF5-45B5-B371-A6BF826C2625}"/>
    <cellStyle name="Comma 2 2 3 3 8" xfId="3014" xr:uid="{FE0855CD-C745-42A4-B0AD-56725A22132D}"/>
    <cellStyle name="Comma 2 2 3 3 8 2" xfId="17614" xr:uid="{C3A46B41-AAFB-44D3-B845-5E7808251796}"/>
    <cellStyle name="Comma 2 2 3 3 8 2 2" xfId="54122" xr:uid="{2A112272-9CB6-45D4-8F64-0939E3D5C195}"/>
    <cellStyle name="Comma 2 2 3 3 8 2 3" xfId="35868" xr:uid="{3898DE02-17F7-4F17-8CF5-E07395CED7F2}"/>
    <cellStyle name="Comma 2 2 3 3 8 3" xfId="13964" xr:uid="{D570C9E6-53DA-46F6-A6F4-0EC47AB52775}"/>
    <cellStyle name="Comma 2 2 3 3 8 3 2" xfId="50472" xr:uid="{01B8B30E-9805-4E30-9F8B-F26E8A718C93}"/>
    <cellStyle name="Comma 2 2 3 3 8 3 3" xfId="32218" xr:uid="{672D6624-D55C-444C-A72C-130C108F5F28}"/>
    <cellStyle name="Comma 2 2 3 3 8 4" xfId="10314" xr:uid="{3427509E-060C-492E-9448-E60D772E3940}"/>
    <cellStyle name="Comma 2 2 3 3 8 4 2" xfId="46822" xr:uid="{FBEBD942-0FB5-4283-85CA-9D43118DC6EF}"/>
    <cellStyle name="Comma 2 2 3 3 8 4 3" xfId="28568" xr:uid="{A54362E0-AF30-4D7A-8B5B-A6AC21FF4FDE}"/>
    <cellStyle name="Comma 2 2 3 3 8 5" xfId="6664" xr:uid="{22EBDA6A-5DFB-4BEC-A7CB-33A82B6A55CE}"/>
    <cellStyle name="Comma 2 2 3 3 8 5 2" xfId="43172" xr:uid="{5F906EF9-2517-403F-B127-12833D9AC949}"/>
    <cellStyle name="Comma 2 2 3 3 8 5 3" xfId="24918" xr:uid="{892E34B5-3BEB-44D7-84BD-89884FADDF22}"/>
    <cellStyle name="Comma 2 2 3 3 8 6" xfId="39522" xr:uid="{734DB119-B197-4943-95C2-8BD7D3F45A58}"/>
    <cellStyle name="Comma 2 2 3 3 8 7" xfId="21268" xr:uid="{8073DD3A-E0A1-4246-8ED7-5B3D3F73366B}"/>
    <cellStyle name="Comma 2 2 3 3 9" xfId="2284" xr:uid="{BF722BD9-82FE-4D1E-945F-B85478401A3C}"/>
    <cellStyle name="Comma 2 2 3 3 9 2" xfId="16884" xr:uid="{9FD8CE42-97AB-4953-89E5-077CCE66F618}"/>
    <cellStyle name="Comma 2 2 3 3 9 2 2" xfId="53392" xr:uid="{E081F914-A94F-4E65-8B47-291D6D062C8D}"/>
    <cellStyle name="Comma 2 2 3 3 9 2 3" xfId="35138" xr:uid="{86C87859-8E49-45FF-B538-FC391DED4DFE}"/>
    <cellStyle name="Comma 2 2 3 3 9 3" xfId="13234" xr:uid="{6A79FDB5-29C6-47D8-86AD-A344D9BFF30B}"/>
    <cellStyle name="Comma 2 2 3 3 9 3 2" xfId="49742" xr:uid="{DFC5559F-D16D-4A0D-9F75-6C18D3243BE9}"/>
    <cellStyle name="Comma 2 2 3 3 9 3 3" xfId="31488" xr:uid="{CB8DA399-08F3-49F4-BF5D-4D03955D5124}"/>
    <cellStyle name="Comma 2 2 3 3 9 4" xfId="9584" xr:uid="{9703C3C6-067C-4025-845B-CCCB2F313FDD}"/>
    <cellStyle name="Comma 2 2 3 3 9 4 2" xfId="46092" xr:uid="{22FDCDBC-478F-4F12-97CC-A2DBC97C0E73}"/>
    <cellStyle name="Comma 2 2 3 3 9 4 3" xfId="27838" xr:uid="{E9E65EFA-75E6-43DC-9498-A2C7AD9A7C5D}"/>
    <cellStyle name="Comma 2 2 3 3 9 5" xfId="5934" xr:uid="{5AE7E688-700A-4E27-9810-4887B3B1B663}"/>
    <cellStyle name="Comma 2 2 3 3 9 5 2" xfId="42442" xr:uid="{20662866-AC27-4E96-A86F-FC813BDFBF29}"/>
    <cellStyle name="Comma 2 2 3 3 9 5 3" xfId="24188" xr:uid="{6F3726CE-0E53-4CFE-AB69-71178AA12CC2}"/>
    <cellStyle name="Comma 2 2 3 3 9 6" xfId="38792" xr:uid="{998B37E6-450F-47E3-BACF-CCBA16DE8EC0}"/>
    <cellStyle name="Comma 2 2 3 3 9 7" xfId="20538" xr:uid="{2F7132A5-71D7-4B53-8BC8-41622DD4A19E}"/>
    <cellStyle name="Comma 2 2 3 4" xfId="56" xr:uid="{B2845564-8893-4E3A-BBFF-93BF496F74E4}"/>
    <cellStyle name="Comma 2 2 3 4 10" xfId="1522" xr:uid="{EB4400F9-47CD-48C5-8FB7-FD1123EE8570}"/>
    <cellStyle name="Comma 2 2 3 4 10 2" xfId="16122" xr:uid="{B63DA623-711F-407D-AA76-FB09D9D4F888}"/>
    <cellStyle name="Comma 2 2 3 4 10 2 2" xfId="52630" xr:uid="{0226E7E9-C1B0-47C2-9B88-1CED2EFC7EEA}"/>
    <cellStyle name="Comma 2 2 3 4 10 2 3" xfId="34376" xr:uid="{1B767722-FC42-41CD-B916-1BE462577DBA}"/>
    <cellStyle name="Comma 2 2 3 4 10 3" xfId="12472" xr:uid="{BDC69DEA-7F2A-4E9B-9981-C67147427B3B}"/>
    <cellStyle name="Comma 2 2 3 4 10 3 2" xfId="48980" xr:uid="{1D22EAED-4651-4D3E-97A2-74319DF88F7E}"/>
    <cellStyle name="Comma 2 2 3 4 10 3 3" xfId="30726" xr:uid="{6DC2DDC5-275D-443F-901F-5AFFF48221C5}"/>
    <cellStyle name="Comma 2 2 3 4 10 4" xfId="8822" xr:uid="{7A3162D3-64DB-4273-9905-2D5131363661}"/>
    <cellStyle name="Comma 2 2 3 4 10 4 2" xfId="45330" xr:uid="{0D965E30-354E-4A22-BDE5-4BFC3488F661}"/>
    <cellStyle name="Comma 2 2 3 4 10 4 3" xfId="27076" xr:uid="{35E04092-EC22-415F-AF92-9B16180DC90C}"/>
    <cellStyle name="Comma 2 2 3 4 10 5" xfId="5172" xr:uid="{2C257413-274B-4B85-9BB1-4CE07DA83E07}"/>
    <cellStyle name="Comma 2 2 3 4 10 5 2" xfId="41680" xr:uid="{3A30FFDF-B271-4EF7-9656-2E2229036DF3}"/>
    <cellStyle name="Comma 2 2 3 4 10 5 3" xfId="23426" xr:uid="{D77C9B44-1131-47A8-A492-DB756F1D7C4C}"/>
    <cellStyle name="Comma 2 2 3 4 10 6" xfId="38030" xr:uid="{ADA0809D-E91C-4428-BB11-4343DAA10C5F}"/>
    <cellStyle name="Comma 2 2 3 4 10 7" xfId="19776" xr:uid="{FB48CBB3-4B08-48C4-BB5E-6BAFD6F9298E}"/>
    <cellStyle name="Comma 2 2 3 4 11" xfId="792" xr:uid="{3D5FDD25-CFA1-4855-9082-670071EACBC5}"/>
    <cellStyle name="Comma 2 2 3 4 11 2" xfId="15392" xr:uid="{39C9B440-7AE8-462E-B7C4-68F08DA8A572}"/>
    <cellStyle name="Comma 2 2 3 4 11 2 2" xfId="51900" xr:uid="{34ED49EE-523B-4957-B8BF-1FE7305060CE}"/>
    <cellStyle name="Comma 2 2 3 4 11 2 3" xfId="33646" xr:uid="{3B99AA54-7396-4647-9764-CF43D75CEF3C}"/>
    <cellStyle name="Comma 2 2 3 4 11 3" xfId="11742" xr:uid="{111E2CAA-4A11-451D-93BC-A06AD94C38FD}"/>
    <cellStyle name="Comma 2 2 3 4 11 3 2" xfId="48250" xr:uid="{58623B3A-D36A-477A-AD07-BCE9B004B9D1}"/>
    <cellStyle name="Comma 2 2 3 4 11 3 3" xfId="29996" xr:uid="{663BBC0C-542B-4AFC-98D3-1A5926D77661}"/>
    <cellStyle name="Comma 2 2 3 4 11 4" xfId="8092" xr:uid="{3FB7CEA7-312A-4F3F-B240-D3F84CCE4D01}"/>
    <cellStyle name="Comma 2 2 3 4 11 4 2" xfId="44600" xr:uid="{70105720-95FB-4830-A0BD-5D7A882BBBCD}"/>
    <cellStyle name="Comma 2 2 3 4 11 4 3" xfId="26346" xr:uid="{BFF9A5C0-B78B-4F4D-8167-A9EA76C365F3}"/>
    <cellStyle name="Comma 2 2 3 4 11 5" xfId="4442" xr:uid="{02AC4A2D-FF6E-4D62-B053-CD7A58A39754}"/>
    <cellStyle name="Comma 2 2 3 4 11 5 2" xfId="40950" xr:uid="{1DAEFBA8-6256-4C10-A175-B96563808F83}"/>
    <cellStyle name="Comma 2 2 3 4 11 5 3" xfId="22696" xr:uid="{E7AA5E8E-A0B7-425F-9824-38F94D4B6F81}"/>
    <cellStyle name="Comma 2 2 3 4 11 6" xfId="37300" xr:uid="{614A8BFA-2EF6-4A85-A8BA-F655F48B23F6}"/>
    <cellStyle name="Comma 2 2 3 4 11 7" xfId="19046" xr:uid="{AB978CD6-73CA-48EA-8050-061CB0D7809F}"/>
    <cellStyle name="Comma 2 2 3 4 12" xfId="14662" xr:uid="{5DC2EC8E-CFB6-456E-BD51-3E36B5057B5F}"/>
    <cellStyle name="Comma 2 2 3 4 12 2" xfId="51170" xr:uid="{EE8051A8-0878-464B-B20D-0BBE1B1496A0}"/>
    <cellStyle name="Comma 2 2 3 4 12 3" xfId="32916" xr:uid="{3A8AB4DA-6672-4A37-84DB-AD510F0D2C83}"/>
    <cellStyle name="Comma 2 2 3 4 13" xfId="11012" xr:uid="{728FA113-ACA1-45FA-80AF-F8DBAA120823}"/>
    <cellStyle name="Comma 2 2 3 4 13 2" xfId="47520" xr:uid="{ED8199CE-2B33-4206-9282-49CFC06C12CC}"/>
    <cellStyle name="Comma 2 2 3 4 13 3" xfId="29266" xr:uid="{684D6669-B270-4DCB-A3BC-B60C94694751}"/>
    <cellStyle name="Comma 2 2 3 4 14" xfId="7362" xr:uid="{663DC3BF-3F13-4AC2-A2D2-11F3506CCBF9}"/>
    <cellStyle name="Comma 2 2 3 4 14 2" xfId="43870" xr:uid="{C18348C8-A7C9-4DDC-B270-7D98144DBD14}"/>
    <cellStyle name="Comma 2 2 3 4 14 3" xfId="25616" xr:uid="{38B2591A-1F7A-4F09-8ADC-3B0B75A85DBE}"/>
    <cellStyle name="Comma 2 2 3 4 15" xfId="3712" xr:uid="{A8784AB2-FF73-40C1-8255-AD6386451ADE}"/>
    <cellStyle name="Comma 2 2 3 4 15 2" xfId="40220" xr:uid="{24D5DAAF-DBD2-4AD9-9672-4B0BAE1A77C3}"/>
    <cellStyle name="Comma 2 2 3 4 15 3" xfId="21966" xr:uid="{5B23BFD7-140B-4EAC-BDB7-D7B265D6DAB5}"/>
    <cellStyle name="Comma 2 2 3 4 16" xfId="36570" xr:uid="{25B71869-A1C8-4105-8B64-EB7444932DE9}"/>
    <cellStyle name="Comma 2 2 3 4 17" xfId="18316" xr:uid="{C2FEE755-89FD-4295-81F8-A04EC3703154}"/>
    <cellStyle name="Comma 2 2 3 4 2" xfId="686" xr:uid="{82F169C5-54E5-4CCF-99E0-A9BB96DDAD3C}"/>
    <cellStyle name="Comma 2 2 3 4 2 10" xfId="37194" xr:uid="{187C4FEB-72BE-400C-A6D2-5FDF7D662C9D}"/>
    <cellStyle name="Comma 2 2 3 4 2 11" xfId="18940" xr:uid="{362ADAD2-9626-4A26-80BC-F0E8608812C4}"/>
    <cellStyle name="Comma 2 2 3 4 2 2" xfId="3606" xr:uid="{0DBC5DFA-71B8-4C22-B429-95629E5AA3D3}"/>
    <cellStyle name="Comma 2 2 3 4 2 2 2" xfId="18206" xr:uid="{239C9A65-9127-4273-BC93-463262E51C36}"/>
    <cellStyle name="Comma 2 2 3 4 2 2 2 2" xfId="54714" xr:uid="{E6D983A4-BD6E-42EC-B998-1C61FAE5B853}"/>
    <cellStyle name="Comma 2 2 3 4 2 2 2 3" xfId="36460" xr:uid="{78A907E4-DB8C-4555-AD71-561422AFCFBC}"/>
    <cellStyle name="Comma 2 2 3 4 2 2 3" xfId="14556" xr:uid="{97BA7004-90EC-435B-BBA0-A9AF3B2C9BCF}"/>
    <cellStyle name="Comma 2 2 3 4 2 2 3 2" xfId="51064" xr:uid="{F2A8E6C3-6D25-4A25-B536-03E1271FACF6}"/>
    <cellStyle name="Comma 2 2 3 4 2 2 3 3" xfId="32810" xr:uid="{4126C78E-55A7-4F4A-B57F-6276753D3842}"/>
    <cellStyle name="Comma 2 2 3 4 2 2 4" xfId="10906" xr:uid="{E41BCF26-8F98-48B9-BACB-659AC84F0E4D}"/>
    <cellStyle name="Comma 2 2 3 4 2 2 4 2" xfId="47414" xr:uid="{01CB91F6-D628-4503-BF6F-48BE42322976}"/>
    <cellStyle name="Comma 2 2 3 4 2 2 4 3" xfId="29160" xr:uid="{9004C5A9-847E-4724-BA0A-F4B27A528557}"/>
    <cellStyle name="Comma 2 2 3 4 2 2 5" xfId="7256" xr:uid="{7913EE1D-6D3B-4649-9F61-71EFB7A3AFD9}"/>
    <cellStyle name="Comma 2 2 3 4 2 2 5 2" xfId="43764" xr:uid="{53860C0C-BA70-42B8-98CD-4729477BA1BA}"/>
    <cellStyle name="Comma 2 2 3 4 2 2 5 3" xfId="25510" xr:uid="{51ED6D5A-ABFE-4C96-A9FA-3E7CA128B9BB}"/>
    <cellStyle name="Comma 2 2 3 4 2 2 6" xfId="40114" xr:uid="{A9E0EB78-2B30-451B-BF13-0019F963E18F}"/>
    <cellStyle name="Comma 2 2 3 4 2 2 7" xfId="21860" xr:uid="{D1150CBF-84FD-45A1-9D8A-0547606FD46F}"/>
    <cellStyle name="Comma 2 2 3 4 2 3" xfId="2876" xr:uid="{C654EF1A-2610-4E22-80DB-18C74E77F281}"/>
    <cellStyle name="Comma 2 2 3 4 2 3 2" xfId="17476" xr:uid="{02A5C356-0B7B-4AF9-98B3-6CDE6DAAD55C}"/>
    <cellStyle name="Comma 2 2 3 4 2 3 2 2" xfId="53984" xr:uid="{95DD2F96-7F34-4EB0-9E9E-A1A46B529E7C}"/>
    <cellStyle name="Comma 2 2 3 4 2 3 2 3" xfId="35730" xr:uid="{21137B0F-6B2E-4BB3-987C-6108970BE620}"/>
    <cellStyle name="Comma 2 2 3 4 2 3 3" xfId="13826" xr:uid="{125A1A44-E777-4D08-AD42-597E9571A203}"/>
    <cellStyle name="Comma 2 2 3 4 2 3 3 2" xfId="50334" xr:uid="{5FF9BABA-F2A5-4A50-9AEB-271B984FEC3E}"/>
    <cellStyle name="Comma 2 2 3 4 2 3 3 3" xfId="32080" xr:uid="{2D8E8542-6E7D-483F-B0C0-048BD8C396A2}"/>
    <cellStyle name="Comma 2 2 3 4 2 3 4" xfId="10176" xr:uid="{55A59835-D838-4B35-810F-786583DE3537}"/>
    <cellStyle name="Comma 2 2 3 4 2 3 4 2" xfId="46684" xr:uid="{1F208E53-ECF7-46EC-B0CD-BE809A449E8C}"/>
    <cellStyle name="Comma 2 2 3 4 2 3 4 3" xfId="28430" xr:uid="{12E51568-4A37-4742-9749-F3B962B917C7}"/>
    <cellStyle name="Comma 2 2 3 4 2 3 5" xfId="6526" xr:uid="{F99D4BCA-6A68-41E8-9A0E-D925F6850BA9}"/>
    <cellStyle name="Comma 2 2 3 4 2 3 5 2" xfId="43034" xr:uid="{DD62F45F-3257-4C85-89E6-B745F476792D}"/>
    <cellStyle name="Comma 2 2 3 4 2 3 5 3" xfId="24780" xr:uid="{9778D95F-255A-4E89-A5D7-1340961314AD}"/>
    <cellStyle name="Comma 2 2 3 4 2 3 6" xfId="39384" xr:uid="{834F19EB-56C3-42D7-BB47-EC7AF760C1CC}"/>
    <cellStyle name="Comma 2 2 3 4 2 3 7" xfId="21130" xr:uid="{2B77C249-7914-44E3-A63E-8AEA0D74EAEF}"/>
    <cellStyle name="Comma 2 2 3 4 2 4" xfId="2146" xr:uid="{E7C61341-D590-48AE-9961-B94C532B5775}"/>
    <cellStyle name="Comma 2 2 3 4 2 4 2" xfId="16746" xr:uid="{C0B8AF9C-C65F-4A6F-86B9-511D81FAB2EE}"/>
    <cellStyle name="Comma 2 2 3 4 2 4 2 2" xfId="53254" xr:uid="{32CFE529-D11F-4996-A27A-4393923C330B}"/>
    <cellStyle name="Comma 2 2 3 4 2 4 2 3" xfId="35000" xr:uid="{1BE97884-50EE-4A01-B525-408062EE3903}"/>
    <cellStyle name="Comma 2 2 3 4 2 4 3" xfId="13096" xr:uid="{177333DF-6935-40CC-81F7-58C0CB2608CE}"/>
    <cellStyle name="Comma 2 2 3 4 2 4 3 2" xfId="49604" xr:uid="{6051C4C9-8724-4EE9-9FC4-D2F6647155DD}"/>
    <cellStyle name="Comma 2 2 3 4 2 4 3 3" xfId="31350" xr:uid="{222CBDBD-ED01-4E13-B850-C9F7778C84BA}"/>
    <cellStyle name="Comma 2 2 3 4 2 4 4" xfId="9446" xr:uid="{237FB0A4-143A-4A3C-B447-46CDFA553715}"/>
    <cellStyle name="Comma 2 2 3 4 2 4 4 2" xfId="45954" xr:uid="{1B0D8E14-6F17-4867-BFB2-947703813BCE}"/>
    <cellStyle name="Comma 2 2 3 4 2 4 4 3" xfId="27700" xr:uid="{828B5993-1F19-4AA9-8815-AD169CCAE39B}"/>
    <cellStyle name="Comma 2 2 3 4 2 4 5" xfId="5796" xr:uid="{1D7CE962-46A7-4076-8B1B-2F265B1F12B7}"/>
    <cellStyle name="Comma 2 2 3 4 2 4 5 2" xfId="42304" xr:uid="{931CA430-92CF-404A-8EA4-6F64C9283E6B}"/>
    <cellStyle name="Comma 2 2 3 4 2 4 5 3" xfId="24050" xr:uid="{86DC5535-7BAB-4782-80B4-5969AE7D2DAC}"/>
    <cellStyle name="Comma 2 2 3 4 2 4 6" xfId="38654" xr:uid="{828E7658-AB4D-43BA-B4CA-902F9FF2AA26}"/>
    <cellStyle name="Comma 2 2 3 4 2 4 7" xfId="20400" xr:uid="{B1093E42-48C2-4FCB-8B2D-6CF29729E853}"/>
    <cellStyle name="Comma 2 2 3 4 2 5" xfId="1416" xr:uid="{6934E110-D8E0-4551-B31B-5DF1196152F9}"/>
    <cellStyle name="Comma 2 2 3 4 2 5 2" xfId="16016" xr:uid="{1C24AC8D-3822-44AE-B142-A1E311FC0068}"/>
    <cellStyle name="Comma 2 2 3 4 2 5 2 2" xfId="52524" xr:uid="{776AC963-786E-413C-A974-889572EE1332}"/>
    <cellStyle name="Comma 2 2 3 4 2 5 2 3" xfId="34270" xr:uid="{D0E20265-3A73-4F6A-9AC4-ECC312BC1F90}"/>
    <cellStyle name="Comma 2 2 3 4 2 5 3" xfId="12366" xr:uid="{D13568C2-43C8-4284-B3BB-EFDBBC4C6224}"/>
    <cellStyle name="Comma 2 2 3 4 2 5 3 2" xfId="48874" xr:uid="{D07106EC-20BA-4268-A151-D5102604E06B}"/>
    <cellStyle name="Comma 2 2 3 4 2 5 3 3" xfId="30620" xr:uid="{8D3F9269-1F2E-49A8-B9EB-78F63A58713B}"/>
    <cellStyle name="Comma 2 2 3 4 2 5 4" xfId="8716" xr:uid="{91C3DE7E-F208-4893-9249-8FC2FA73B593}"/>
    <cellStyle name="Comma 2 2 3 4 2 5 4 2" xfId="45224" xr:uid="{BE1D5070-FD36-48CC-A403-D44EB8966E4D}"/>
    <cellStyle name="Comma 2 2 3 4 2 5 4 3" xfId="26970" xr:uid="{960646E9-58E7-483F-9119-7EC797B3CC2C}"/>
    <cellStyle name="Comma 2 2 3 4 2 5 5" xfId="5066" xr:uid="{820B9E4A-E866-4755-8788-15F0C40E3FA1}"/>
    <cellStyle name="Comma 2 2 3 4 2 5 5 2" xfId="41574" xr:uid="{C1F2BBA6-595A-45E2-8DFE-0EAC8C7DC509}"/>
    <cellStyle name="Comma 2 2 3 4 2 5 5 3" xfId="23320" xr:uid="{60FFD58B-7175-46A1-9910-5E899633A711}"/>
    <cellStyle name="Comma 2 2 3 4 2 5 6" xfId="37924" xr:uid="{437F87C3-76ED-4469-9429-5F8AA690A138}"/>
    <cellStyle name="Comma 2 2 3 4 2 5 7" xfId="19670" xr:uid="{BCC91EAC-5101-49CA-BB06-A6CAC29BF0EC}"/>
    <cellStyle name="Comma 2 2 3 4 2 6" xfId="15286" xr:uid="{804FA33C-6869-4507-8632-8ECFB86A7DA7}"/>
    <cellStyle name="Comma 2 2 3 4 2 6 2" xfId="51794" xr:uid="{2D6E01CA-9494-41D5-BC64-D418090AFD5D}"/>
    <cellStyle name="Comma 2 2 3 4 2 6 3" xfId="33540" xr:uid="{80C1028B-C5FE-49F7-BB26-C9F86192C6F1}"/>
    <cellStyle name="Comma 2 2 3 4 2 7" xfId="11636" xr:uid="{FB6AC00D-CDE7-45EE-91A9-90CE4C03838B}"/>
    <cellStyle name="Comma 2 2 3 4 2 7 2" xfId="48144" xr:uid="{E1C3DE70-1F58-4AA2-8CAA-DD0D991B33D4}"/>
    <cellStyle name="Comma 2 2 3 4 2 7 3" xfId="29890" xr:uid="{4ABDC06C-3906-4BB8-817D-29D025BAD769}"/>
    <cellStyle name="Comma 2 2 3 4 2 8" xfId="7986" xr:uid="{A9109DAF-BB3F-4368-BFF8-C5306F440413}"/>
    <cellStyle name="Comma 2 2 3 4 2 8 2" xfId="44494" xr:uid="{76A5162F-5AC6-4B4F-892C-53D112BD4D05}"/>
    <cellStyle name="Comma 2 2 3 4 2 8 3" xfId="26240" xr:uid="{4AE98885-45BB-4178-B0A1-367A72A53D1A}"/>
    <cellStyle name="Comma 2 2 3 4 2 9" xfId="4336" xr:uid="{799DF2C9-036B-4772-88D9-050CBA8D6885}"/>
    <cellStyle name="Comma 2 2 3 4 2 9 2" xfId="40844" xr:uid="{E068DFCC-387F-4441-88E8-4584A7608FA9}"/>
    <cellStyle name="Comma 2 2 3 4 2 9 3" xfId="22590" xr:uid="{0452980A-1124-44E0-9383-50A84E2CB8D6}"/>
    <cellStyle name="Comma 2 2 3 4 3" xfId="582" xr:uid="{5F959FFE-9DB6-4597-B3F6-11458C8ABBE3}"/>
    <cellStyle name="Comma 2 2 3 4 3 10" xfId="37090" xr:uid="{D81D221A-2100-40AB-8D4A-1908459ACF46}"/>
    <cellStyle name="Comma 2 2 3 4 3 11" xfId="18836" xr:uid="{7B23F0AC-E3AA-4933-A2D6-DCFAB008ED3A}"/>
    <cellStyle name="Comma 2 2 3 4 3 2" xfId="3502" xr:uid="{BDFE8382-6443-4B3A-BE3F-8695FB6D5F9A}"/>
    <cellStyle name="Comma 2 2 3 4 3 2 2" xfId="18102" xr:uid="{D7DF2A3B-447A-4C91-A949-99A0DC3532F0}"/>
    <cellStyle name="Comma 2 2 3 4 3 2 2 2" xfId="54610" xr:uid="{5F7EFF49-4663-4675-9A21-B62119ACD7DB}"/>
    <cellStyle name="Comma 2 2 3 4 3 2 2 3" xfId="36356" xr:uid="{946CCF79-6FF1-407C-9908-D9DF80130860}"/>
    <cellStyle name="Comma 2 2 3 4 3 2 3" xfId="14452" xr:uid="{CDBD2712-224B-4B42-924B-451517FD6F0A}"/>
    <cellStyle name="Comma 2 2 3 4 3 2 3 2" xfId="50960" xr:uid="{03F74E02-31C9-4626-9121-C45DDC400F63}"/>
    <cellStyle name="Comma 2 2 3 4 3 2 3 3" xfId="32706" xr:uid="{D88C4F52-507D-446F-B4DD-4648E5440961}"/>
    <cellStyle name="Comma 2 2 3 4 3 2 4" xfId="10802" xr:uid="{3C9795A0-3ADF-4611-BF86-7AA9E24829AC}"/>
    <cellStyle name="Comma 2 2 3 4 3 2 4 2" xfId="47310" xr:uid="{FFFCE88F-04CB-4557-9A36-A2AE9E64A391}"/>
    <cellStyle name="Comma 2 2 3 4 3 2 4 3" xfId="29056" xr:uid="{9EB644C9-0A30-4C7C-B9FB-A771F5037E85}"/>
    <cellStyle name="Comma 2 2 3 4 3 2 5" xfId="7152" xr:uid="{4CD21E44-05D9-4040-BF88-206011C09FBC}"/>
    <cellStyle name="Comma 2 2 3 4 3 2 5 2" xfId="43660" xr:uid="{47A8E232-A066-41CB-81B9-AF15FBDA76B6}"/>
    <cellStyle name="Comma 2 2 3 4 3 2 5 3" xfId="25406" xr:uid="{65DA9D07-FEA1-4BF8-BF02-C769DAF1FDE6}"/>
    <cellStyle name="Comma 2 2 3 4 3 2 6" xfId="40010" xr:uid="{01116197-99CB-47F3-B3D8-7CF8D90F14DD}"/>
    <cellStyle name="Comma 2 2 3 4 3 2 7" xfId="21756" xr:uid="{ECD84023-C46A-44B0-A5AF-A3C6674B9CBE}"/>
    <cellStyle name="Comma 2 2 3 4 3 3" xfId="2772" xr:uid="{05E177C8-1551-452E-9070-D97E040F5245}"/>
    <cellStyle name="Comma 2 2 3 4 3 3 2" xfId="17372" xr:uid="{3FCC5685-4AF8-45A5-993A-1042B95D9E8D}"/>
    <cellStyle name="Comma 2 2 3 4 3 3 2 2" xfId="53880" xr:uid="{695DB3C5-A7BE-4CAA-B636-458EA20F2279}"/>
    <cellStyle name="Comma 2 2 3 4 3 3 2 3" xfId="35626" xr:uid="{A1576991-F353-46D0-AE57-078DB3A97EE2}"/>
    <cellStyle name="Comma 2 2 3 4 3 3 3" xfId="13722" xr:uid="{A1E9B4CC-8CAC-450C-AEEE-A42E9C0EFD19}"/>
    <cellStyle name="Comma 2 2 3 4 3 3 3 2" xfId="50230" xr:uid="{870E07E1-2FA1-4E7D-B406-4735A1ABEF93}"/>
    <cellStyle name="Comma 2 2 3 4 3 3 3 3" xfId="31976" xr:uid="{CDA705D3-E4E2-4313-A0CE-1DC325ED0088}"/>
    <cellStyle name="Comma 2 2 3 4 3 3 4" xfId="10072" xr:uid="{FD8C5CD7-F907-4722-A93F-32C34883C902}"/>
    <cellStyle name="Comma 2 2 3 4 3 3 4 2" xfId="46580" xr:uid="{28780073-C575-472D-B57C-9DF2275B26A7}"/>
    <cellStyle name="Comma 2 2 3 4 3 3 4 3" xfId="28326" xr:uid="{2F488027-F365-4573-BBD2-66220A581904}"/>
    <cellStyle name="Comma 2 2 3 4 3 3 5" xfId="6422" xr:uid="{494CE214-C200-4869-AD22-2D25969876EF}"/>
    <cellStyle name="Comma 2 2 3 4 3 3 5 2" xfId="42930" xr:uid="{E376FF45-DD91-4F13-885E-81A4D9CDEFD6}"/>
    <cellStyle name="Comma 2 2 3 4 3 3 5 3" xfId="24676" xr:uid="{23622D13-5E6E-41AC-AB3B-418AB671DACB}"/>
    <cellStyle name="Comma 2 2 3 4 3 3 6" xfId="39280" xr:uid="{34924505-7768-4CCF-9359-7248D1C1E7A1}"/>
    <cellStyle name="Comma 2 2 3 4 3 3 7" xfId="21026" xr:uid="{786CBD4E-0D4B-401A-AC05-67DFF9A66DCF}"/>
    <cellStyle name="Comma 2 2 3 4 3 4" xfId="2042" xr:uid="{7A343B5C-BC9F-494B-9DFA-A74350ED06E1}"/>
    <cellStyle name="Comma 2 2 3 4 3 4 2" xfId="16642" xr:uid="{F25AC25F-C780-48DE-954C-40FA4A3379EB}"/>
    <cellStyle name="Comma 2 2 3 4 3 4 2 2" xfId="53150" xr:uid="{53D18F53-15CE-4C00-BC71-F260F1C860BD}"/>
    <cellStyle name="Comma 2 2 3 4 3 4 2 3" xfId="34896" xr:uid="{68091845-91ED-483B-A21D-08AB5597C015}"/>
    <cellStyle name="Comma 2 2 3 4 3 4 3" xfId="12992" xr:uid="{221D4AEC-201F-42D6-8402-77EABFE9741A}"/>
    <cellStyle name="Comma 2 2 3 4 3 4 3 2" xfId="49500" xr:uid="{8A075E27-694E-455E-8E96-786FF048361D}"/>
    <cellStyle name="Comma 2 2 3 4 3 4 3 3" xfId="31246" xr:uid="{CB20E4D4-0DBF-428B-9EA1-DACCEC9F9E2E}"/>
    <cellStyle name="Comma 2 2 3 4 3 4 4" xfId="9342" xr:uid="{BEBD10F1-A2D0-457C-8458-6681171373A0}"/>
    <cellStyle name="Comma 2 2 3 4 3 4 4 2" xfId="45850" xr:uid="{33522EAB-3E88-4100-8A5B-9741510A4B5E}"/>
    <cellStyle name="Comma 2 2 3 4 3 4 4 3" xfId="27596" xr:uid="{46227AB0-4A88-4F35-9921-2A0E459A9BCC}"/>
    <cellStyle name="Comma 2 2 3 4 3 4 5" xfId="5692" xr:uid="{BB6F5A59-999F-415A-880B-36F08DCB2CFA}"/>
    <cellStyle name="Comma 2 2 3 4 3 4 5 2" xfId="42200" xr:uid="{65369CCF-7479-409F-A48D-C4C5E755ED91}"/>
    <cellStyle name="Comma 2 2 3 4 3 4 5 3" xfId="23946" xr:uid="{4652016C-1976-479A-AD59-DE70800B79AD}"/>
    <cellStyle name="Comma 2 2 3 4 3 4 6" xfId="38550" xr:uid="{750CC8D5-FD56-465C-86F2-E2FB21296180}"/>
    <cellStyle name="Comma 2 2 3 4 3 4 7" xfId="20296" xr:uid="{873E6855-2033-4405-8D86-D8577BEF8EA2}"/>
    <cellStyle name="Comma 2 2 3 4 3 5" xfId="1312" xr:uid="{3F7BC468-23C0-47F1-842B-4CC426FAC8CA}"/>
    <cellStyle name="Comma 2 2 3 4 3 5 2" xfId="15912" xr:uid="{4F323004-8BE8-48B9-84CF-BE430FA6DA11}"/>
    <cellStyle name="Comma 2 2 3 4 3 5 2 2" xfId="52420" xr:uid="{565D5EA8-E3A1-4C32-9FD8-F3601800A000}"/>
    <cellStyle name="Comma 2 2 3 4 3 5 2 3" xfId="34166" xr:uid="{0EF09A78-D214-4459-A4D4-7A300E3D329C}"/>
    <cellStyle name="Comma 2 2 3 4 3 5 3" xfId="12262" xr:uid="{3C2033D6-3CB1-45B3-9871-9C5565583231}"/>
    <cellStyle name="Comma 2 2 3 4 3 5 3 2" xfId="48770" xr:uid="{016E01B8-1F36-4B4A-B2C9-98F4B7CE1B81}"/>
    <cellStyle name="Comma 2 2 3 4 3 5 3 3" xfId="30516" xr:uid="{81299F30-0435-4409-B6DC-A97F23C5CB0E}"/>
    <cellStyle name="Comma 2 2 3 4 3 5 4" xfId="8612" xr:uid="{24E84E20-0867-4E1F-9973-EE546CB98BC7}"/>
    <cellStyle name="Comma 2 2 3 4 3 5 4 2" xfId="45120" xr:uid="{0A4E9CF3-1687-49A9-B8A2-8F382D393CCA}"/>
    <cellStyle name="Comma 2 2 3 4 3 5 4 3" xfId="26866" xr:uid="{1A360253-71FB-4BF0-9010-0F621968A2CC}"/>
    <cellStyle name="Comma 2 2 3 4 3 5 5" xfId="4962" xr:uid="{E29B5678-789D-49E3-B4BC-0E224BA6311C}"/>
    <cellStyle name="Comma 2 2 3 4 3 5 5 2" xfId="41470" xr:uid="{2D005445-722F-4735-BB1E-E2C82D5198C2}"/>
    <cellStyle name="Comma 2 2 3 4 3 5 5 3" xfId="23216" xr:uid="{4748809D-D1F2-474A-8134-1ED4A4BF8B51}"/>
    <cellStyle name="Comma 2 2 3 4 3 5 6" xfId="37820" xr:uid="{2F4B26F6-6E12-4AB9-B152-E381DD733A0F}"/>
    <cellStyle name="Comma 2 2 3 4 3 5 7" xfId="19566" xr:uid="{20A5D0DC-1C3C-4FDC-AE0B-03B72157AC62}"/>
    <cellStyle name="Comma 2 2 3 4 3 6" xfId="15182" xr:uid="{D38ACB32-686D-4DC1-BBCD-024EB572161B}"/>
    <cellStyle name="Comma 2 2 3 4 3 6 2" xfId="51690" xr:uid="{D6590310-48FB-4F2C-BF84-DE2EA01E6010}"/>
    <cellStyle name="Comma 2 2 3 4 3 6 3" xfId="33436" xr:uid="{046DC8C8-46EE-443C-B32C-E81230833C61}"/>
    <cellStyle name="Comma 2 2 3 4 3 7" xfId="11532" xr:uid="{313FFD80-349C-4CDC-9D59-2E14B0251EB8}"/>
    <cellStyle name="Comma 2 2 3 4 3 7 2" xfId="48040" xr:uid="{D054A8BF-4A90-4C0F-AF79-BD686399C432}"/>
    <cellStyle name="Comma 2 2 3 4 3 7 3" xfId="29786" xr:uid="{B870638A-4E4C-4039-9399-ADC9A29554FB}"/>
    <cellStyle name="Comma 2 2 3 4 3 8" xfId="7882" xr:uid="{37C3A987-F230-4C7C-BFA5-02CDDA759EA0}"/>
    <cellStyle name="Comma 2 2 3 4 3 8 2" xfId="44390" xr:uid="{B38A9BEA-E42A-4ECB-8645-CC8A7EAEE6EC}"/>
    <cellStyle name="Comma 2 2 3 4 3 8 3" xfId="26136" xr:uid="{C93A4EEC-7FB6-41F5-AB72-5B8E70EE422D}"/>
    <cellStyle name="Comma 2 2 3 4 3 9" xfId="4232" xr:uid="{A18CE82F-E390-405C-AF92-F532BBA68CFD}"/>
    <cellStyle name="Comma 2 2 3 4 3 9 2" xfId="40740" xr:uid="{BA807CFE-CCDF-41EA-A3A2-06C26C66DE3E}"/>
    <cellStyle name="Comma 2 2 3 4 3 9 3" xfId="22486" xr:uid="{501D9B38-5233-4798-92D1-65FD85AC90C2}"/>
    <cellStyle name="Comma 2 2 3 4 4" xfId="478" xr:uid="{E5A47018-19EC-41CF-9989-42A427E94936}"/>
    <cellStyle name="Comma 2 2 3 4 4 10" xfId="36986" xr:uid="{E33AB886-BA79-4167-83EB-ECBAEA2B5B2E}"/>
    <cellStyle name="Comma 2 2 3 4 4 11" xfId="18732" xr:uid="{9FF2F302-B3C0-4264-A574-D23FA6913F01}"/>
    <cellStyle name="Comma 2 2 3 4 4 2" xfId="3398" xr:uid="{AED1B088-4181-445D-90D7-3724E6978BB5}"/>
    <cellStyle name="Comma 2 2 3 4 4 2 2" xfId="17998" xr:uid="{D12207CE-F255-4188-B1F0-B89F4E30E33D}"/>
    <cellStyle name="Comma 2 2 3 4 4 2 2 2" xfId="54506" xr:uid="{FECA91C5-A5C0-48D2-8885-ECA2C05B8575}"/>
    <cellStyle name="Comma 2 2 3 4 4 2 2 3" xfId="36252" xr:uid="{F3E19A12-C656-49B6-8445-669D4449B55E}"/>
    <cellStyle name="Comma 2 2 3 4 4 2 3" xfId="14348" xr:uid="{039A8FF0-8891-45AF-B00C-5E6B61F4D8CC}"/>
    <cellStyle name="Comma 2 2 3 4 4 2 3 2" xfId="50856" xr:uid="{AFE4347C-EE67-463E-830F-2329CA40FCB3}"/>
    <cellStyle name="Comma 2 2 3 4 4 2 3 3" xfId="32602" xr:uid="{CB5CFF36-92CD-4141-9ACF-3FA6FE8C3C04}"/>
    <cellStyle name="Comma 2 2 3 4 4 2 4" xfId="10698" xr:uid="{6AF0F01F-5DB0-4EF1-B7A4-1463FA2FA435}"/>
    <cellStyle name="Comma 2 2 3 4 4 2 4 2" xfId="47206" xr:uid="{D7D4D822-3219-48BF-B4ED-CD87D931011B}"/>
    <cellStyle name="Comma 2 2 3 4 4 2 4 3" xfId="28952" xr:uid="{FF544ADD-50F5-4581-AEF9-EED686860660}"/>
    <cellStyle name="Comma 2 2 3 4 4 2 5" xfId="7048" xr:uid="{F203E8DA-8913-4017-8D43-FB91BC89689D}"/>
    <cellStyle name="Comma 2 2 3 4 4 2 5 2" xfId="43556" xr:uid="{601A6B4B-175D-449C-AD57-601895A25166}"/>
    <cellStyle name="Comma 2 2 3 4 4 2 5 3" xfId="25302" xr:uid="{E6756BE2-5074-40D6-BA51-1DA80F35B07C}"/>
    <cellStyle name="Comma 2 2 3 4 4 2 6" xfId="39906" xr:uid="{AAA05C06-46A4-408C-9948-176C402E996A}"/>
    <cellStyle name="Comma 2 2 3 4 4 2 7" xfId="21652" xr:uid="{F7646669-D181-47E5-B636-1EA3123E2630}"/>
    <cellStyle name="Comma 2 2 3 4 4 3" xfId="2668" xr:uid="{8C87E2AC-239B-4B05-BFA5-B96E2E9F7840}"/>
    <cellStyle name="Comma 2 2 3 4 4 3 2" xfId="17268" xr:uid="{4C578B4E-07B7-461A-B2DF-30DA128E9016}"/>
    <cellStyle name="Comma 2 2 3 4 4 3 2 2" xfId="53776" xr:uid="{230FB033-BB78-4B36-B9ED-FECB23EFD3A1}"/>
    <cellStyle name="Comma 2 2 3 4 4 3 2 3" xfId="35522" xr:uid="{C8EE2257-23E9-429A-86CF-4922E60D6B24}"/>
    <cellStyle name="Comma 2 2 3 4 4 3 3" xfId="13618" xr:uid="{DA41880F-9983-4CEE-8E1A-472E3A23E259}"/>
    <cellStyle name="Comma 2 2 3 4 4 3 3 2" xfId="50126" xr:uid="{E16BB616-EFC9-4C1E-BB6F-C340644C9ABE}"/>
    <cellStyle name="Comma 2 2 3 4 4 3 3 3" xfId="31872" xr:uid="{F0084FF9-CFEF-442A-86FD-F335ABB93CFA}"/>
    <cellStyle name="Comma 2 2 3 4 4 3 4" xfId="9968" xr:uid="{317CC888-1CAC-4B50-8BAF-495BBDD380D3}"/>
    <cellStyle name="Comma 2 2 3 4 4 3 4 2" xfId="46476" xr:uid="{BFB17DB8-0AAA-41A8-8796-E579DE0B2EE5}"/>
    <cellStyle name="Comma 2 2 3 4 4 3 4 3" xfId="28222" xr:uid="{CE57D954-4D69-4CEC-8592-537564E8E944}"/>
    <cellStyle name="Comma 2 2 3 4 4 3 5" xfId="6318" xr:uid="{A591BBB0-2BCD-4418-B393-B047C5FF0518}"/>
    <cellStyle name="Comma 2 2 3 4 4 3 5 2" xfId="42826" xr:uid="{CEB39C16-8CE8-4908-B3C5-4D5237A2760D}"/>
    <cellStyle name="Comma 2 2 3 4 4 3 5 3" xfId="24572" xr:uid="{78F36F96-368D-4DEB-8A8E-119F91F9FE85}"/>
    <cellStyle name="Comma 2 2 3 4 4 3 6" xfId="39176" xr:uid="{0FAB42F3-42B3-40B1-BFEB-1F454D4D4BEE}"/>
    <cellStyle name="Comma 2 2 3 4 4 3 7" xfId="20922" xr:uid="{8D9CBE26-D622-41C0-A7A6-F4DFE7CDFB3F}"/>
    <cellStyle name="Comma 2 2 3 4 4 4" xfId="1938" xr:uid="{2C3033B7-46E4-423F-B170-F6A65E0D6210}"/>
    <cellStyle name="Comma 2 2 3 4 4 4 2" xfId="16538" xr:uid="{3A8A49BE-968B-48A2-AB9F-4CCA33196B5A}"/>
    <cellStyle name="Comma 2 2 3 4 4 4 2 2" xfId="53046" xr:uid="{3C3781CE-A38A-460E-AAB2-E8E95C447E54}"/>
    <cellStyle name="Comma 2 2 3 4 4 4 2 3" xfId="34792" xr:uid="{BD8C0B9F-89C9-4884-881E-7DCF6E06A80A}"/>
    <cellStyle name="Comma 2 2 3 4 4 4 3" xfId="12888" xr:uid="{29EF440B-E8F5-4EDC-86A3-F255C2CB217B}"/>
    <cellStyle name="Comma 2 2 3 4 4 4 3 2" xfId="49396" xr:uid="{A91586CC-8030-4C18-85FE-912800AD9167}"/>
    <cellStyle name="Comma 2 2 3 4 4 4 3 3" xfId="31142" xr:uid="{B494B321-6792-4732-83BD-05EF9D32CB01}"/>
    <cellStyle name="Comma 2 2 3 4 4 4 4" xfId="9238" xr:uid="{7A546E05-0EFA-44A3-8BEF-7ED40BB1E31E}"/>
    <cellStyle name="Comma 2 2 3 4 4 4 4 2" xfId="45746" xr:uid="{E1D074CE-4CE1-4DDE-B67C-C5C755601839}"/>
    <cellStyle name="Comma 2 2 3 4 4 4 4 3" xfId="27492" xr:uid="{3B6C0442-EE94-4CCF-9A27-1CCBA3AB884F}"/>
    <cellStyle name="Comma 2 2 3 4 4 4 5" xfId="5588" xr:uid="{9E7ED26D-CC78-45F4-B461-9A024D2E7487}"/>
    <cellStyle name="Comma 2 2 3 4 4 4 5 2" xfId="42096" xr:uid="{52FF788A-C7ED-4092-9AB4-7F469D04C8E4}"/>
    <cellStyle name="Comma 2 2 3 4 4 4 5 3" xfId="23842" xr:uid="{32D97BF1-B249-46F2-AC69-FD38890B18D2}"/>
    <cellStyle name="Comma 2 2 3 4 4 4 6" xfId="38446" xr:uid="{8C677055-6D75-45CB-9194-CB4AA0ADACFB}"/>
    <cellStyle name="Comma 2 2 3 4 4 4 7" xfId="20192" xr:uid="{7819532B-2EE8-4C1B-8C5D-5E3EF88D5A80}"/>
    <cellStyle name="Comma 2 2 3 4 4 5" xfId="1208" xr:uid="{F4BA6DB4-887B-48CE-9984-AF891F8E7823}"/>
    <cellStyle name="Comma 2 2 3 4 4 5 2" xfId="15808" xr:uid="{D3900A47-807A-4543-86AF-E2CC09D33ACD}"/>
    <cellStyle name="Comma 2 2 3 4 4 5 2 2" xfId="52316" xr:uid="{24A51DCA-88DB-47B7-A8C4-527B8AFBA6C9}"/>
    <cellStyle name="Comma 2 2 3 4 4 5 2 3" xfId="34062" xr:uid="{57E0AB50-3428-4307-945F-052BA4C8B7D4}"/>
    <cellStyle name="Comma 2 2 3 4 4 5 3" xfId="12158" xr:uid="{894DD11F-AF07-4BC8-A66E-2AFD2281E858}"/>
    <cellStyle name="Comma 2 2 3 4 4 5 3 2" xfId="48666" xr:uid="{16FDB5F7-136B-4EBF-A499-2F46A4A1484F}"/>
    <cellStyle name="Comma 2 2 3 4 4 5 3 3" xfId="30412" xr:uid="{5D14BB1D-E8B7-464B-B863-BEF936747ACF}"/>
    <cellStyle name="Comma 2 2 3 4 4 5 4" xfId="8508" xr:uid="{DAA92D90-43D4-426A-903C-2101B6CF9900}"/>
    <cellStyle name="Comma 2 2 3 4 4 5 4 2" xfId="45016" xr:uid="{3B241FD5-FEEB-4528-B89A-C2EE0E47C3E2}"/>
    <cellStyle name="Comma 2 2 3 4 4 5 4 3" xfId="26762" xr:uid="{5700BFCB-98F0-4E76-8296-84CCB1F961C1}"/>
    <cellStyle name="Comma 2 2 3 4 4 5 5" xfId="4858" xr:uid="{C2531A20-5E14-471E-BDC0-0247ADF8F6A5}"/>
    <cellStyle name="Comma 2 2 3 4 4 5 5 2" xfId="41366" xr:uid="{17DF691B-FE0F-4957-9779-29AF6EC6CAC8}"/>
    <cellStyle name="Comma 2 2 3 4 4 5 5 3" xfId="23112" xr:uid="{2925ECC4-4D61-427A-859B-296D81091E56}"/>
    <cellStyle name="Comma 2 2 3 4 4 5 6" xfId="37716" xr:uid="{F47E94C7-9B79-4939-878C-A53B23EA2FD5}"/>
    <cellStyle name="Comma 2 2 3 4 4 5 7" xfId="19462" xr:uid="{1A9E6F1E-995F-4AAB-8AD6-DB5DF24F4DF5}"/>
    <cellStyle name="Comma 2 2 3 4 4 6" xfId="15078" xr:uid="{9511BEDB-54B1-4C2C-8B1B-450E393D069B}"/>
    <cellStyle name="Comma 2 2 3 4 4 6 2" xfId="51586" xr:uid="{1AB2575B-8379-4CD4-BB75-A54161532AF0}"/>
    <cellStyle name="Comma 2 2 3 4 4 6 3" xfId="33332" xr:uid="{CAE1DEC4-9F97-40EA-B403-26DB1517ADEA}"/>
    <cellStyle name="Comma 2 2 3 4 4 7" xfId="11428" xr:uid="{3A41BB73-3B04-4DB1-BB40-1ADAB82BA281}"/>
    <cellStyle name="Comma 2 2 3 4 4 7 2" xfId="47936" xr:uid="{B1322CF9-E51F-49E8-83B1-79EAAC60D75F}"/>
    <cellStyle name="Comma 2 2 3 4 4 7 3" xfId="29682" xr:uid="{957462DE-273A-4C93-9DB4-140E35B5DCB9}"/>
    <cellStyle name="Comma 2 2 3 4 4 8" xfId="7778" xr:uid="{B745EF68-02C0-4C36-A18C-A225EA01C638}"/>
    <cellStyle name="Comma 2 2 3 4 4 8 2" xfId="44286" xr:uid="{6EDB0D2E-780A-46C2-9434-4793B21649C8}"/>
    <cellStyle name="Comma 2 2 3 4 4 8 3" xfId="26032" xr:uid="{F867A444-A5CA-46EA-8D50-AEA11B326E50}"/>
    <cellStyle name="Comma 2 2 3 4 4 9" xfId="4128" xr:uid="{59A05F88-D21D-4653-B1CA-F2408402AEC0}"/>
    <cellStyle name="Comma 2 2 3 4 4 9 2" xfId="40636" xr:uid="{0F92BD24-AF17-473F-816C-8E387F56391F}"/>
    <cellStyle name="Comma 2 2 3 4 4 9 3" xfId="22382" xr:uid="{015B0E9A-C2F7-4035-A281-A50B2B800036}"/>
    <cellStyle name="Comma 2 2 3 4 5" xfId="374" xr:uid="{B34353A1-D56D-4C0E-9595-6A1B1970F238}"/>
    <cellStyle name="Comma 2 2 3 4 5 10" xfId="36882" xr:uid="{3A0DAB09-F69D-451F-83A3-1EF8658FDB0D}"/>
    <cellStyle name="Comma 2 2 3 4 5 11" xfId="18628" xr:uid="{78801557-5AC2-49F9-A0D1-2755D8B93784}"/>
    <cellStyle name="Comma 2 2 3 4 5 2" xfId="3294" xr:uid="{14EC2E26-38EB-40FE-B779-426ED8B781D0}"/>
    <cellStyle name="Comma 2 2 3 4 5 2 2" xfId="17894" xr:uid="{3940968E-3E34-4CA0-A8E1-C3BA60E5732F}"/>
    <cellStyle name="Comma 2 2 3 4 5 2 2 2" xfId="54402" xr:uid="{3B164933-7200-472B-A5A8-985B516DC171}"/>
    <cellStyle name="Comma 2 2 3 4 5 2 2 3" xfId="36148" xr:uid="{76B4A775-08DC-43FE-9FC7-36641E1C0891}"/>
    <cellStyle name="Comma 2 2 3 4 5 2 3" xfId="14244" xr:uid="{98BE51E5-7E5F-4BC5-877C-F050D72D474A}"/>
    <cellStyle name="Comma 2 2 3 4 5 2 3 2" xfId="50752" xr:uid="{9C2B9A1C-7F51-475F-B796-AC8B2C408831}"/>
    <cellStyle name="Comma 2 2 3 4 5 2 3 3" xfId="32498" xr:uid="{6A8BC1F4-2D0B-4726-A623-F6E4316CDE9D}"/>
    <cellStyle name="Comma 2 2 3 4 5 2 4" xfId="10594" xr:uid="{15F78637-8A40-435C-A5ED-0DCE960F173F}"/>
    <cellStyle name="Comma 2 2 3 4 5 2 4 2" xfId="47102" xr:uid="{5F83BC04-D4AA-455A-A3E7-19B5958A09DB}"/>
    <cellStyle name="Comma 2 2 3 4 5 2 4 3" xfId="28848" xr:uid="{0E607F31-2255-4B92-9FC7-B0F78A56F425}"/>
    <cellStyle name="Comma 2 2 3 4 5 2 5" xfId="6944" xr:uid="{AB01C097-B8F8-4F83-8EDE-29891257ED3C}"/>
    <cellStyle name="Comma 2 2 3 4 5 2 5 2" xfId="43452" xr:uid="{7B3881DB-E843-4F61-A6EB-A0E3CF6073E3}"/>
    <cellStyle name="Comma 2 2 3 4 5 2 5 3" xfId="25198" xr:uid="{EF9C0C0D-9B85-4836-904F-F6B09C898DD0}"/>
    <cellStyle name="Comma 2 2 3 4 5 2 6" xfId="39802" xr:uid="{BCB5CFFB-8990-470B-9EE1-03F3F0B7D505}"/>
    <cellStyle name="Comma 2 2 3 4 5 2 7" xfId="21548" xr:uid="{1EA66568-9761-43B9-80A4-576C52B3568C}"/>
    <cellStyle name="Comma 2 2 3 4 5 3" xfId="2564" xr:uid="{C3042496-399F-4C05-A4C1-FDCE71A152C8}"/>
    <cellStyle name="Comma 2 2 3 4 5 3 2" xfId="17164" xr:uid="{DD77DFFB-B6B1-4C09-ACAC-8BC2FF1023CC}"/>
    <cellStyle name="Comma 2 2 3 4 5 3 2 2" xfId="53672" xr:uid="{C8A193D7-E9B7-43ED-8F38-4936F22443A5}"/>
    <cellStyle name="Comma 2 2 3 4 5 3 2 3" xfId="35418" xr:uid="{5380C0A6-D3B6-4229-8B83-B7530393581C}"/>
    <cellStyle name="Comma 2 2 3 4 5 3 3" xfId="13514" xr:uid="{FEA31E00-DB43-4160-812F-BCA5A832708E}"/>
    <cellStyle name="Comma 2 2 3 4 5 3 3 2" xfId="50022" xr:uid="{359DE60D-8AEA-421C-9606-1DF8EEAD11E1}"/>
    <cellStyle name="Comma 2 2 3 4 5 3 3 3" xfId="31768" xr:uid="{CA9BF399-0421-4901-80CA-A37F412A5D33}"/>
    <cellStyle name="Comma 2 2 3 4 5 3 4" xfId="9864" xr:uid="{42F275A7-B24B-4B10-87C1-C8D4247B0E77}"/>
    <cellStyle name="Comma 2 2 3 4 5 3 4 2" xfId="46372" xr:uid="{A2FDE1D6-A2CE-4CAE-9701-26A425DA98C2}"/>
    <cellStyle name="Comma 2 2 3 4 5 3 4 3" xfId="28118" xr:uid="{D8A778C2-4009-4857-B32E-4ED7052425A4}"/>
    <cellStyle name="Comma 2 2 3 4 5 3 5" xfId="6214" xr:uid="{93765052-C2C7-4176-B11E-8B633D572806}"/>
    <cellStyle name="Comma 2 2 3 4 5 3 5 2" xfId="42722" xr:uid="{6539B46C-32AA-4721-82B0-C1EDB702A1E8}"/>
    <cellStyle name="Comma 2 2 3 4 5 3 5 3" xfId="24468" xr:uid="{56E8FFA5-23BD-4BBE-A401-000F67DB8917}"/>
    <cellStyle name="Comma 2 2 3 4 5 3 6" xfId="39072" xr:uid="{38197D8A-4332-481C-ABBF-993B21B01633}"/>
    <cellStyle name="Comma 2 2 3 4 5 3 7" xfId="20818" xr:uid="{ECBF22E8-45F5-4154-B752-6B60A79F969D}"/>
    <cellStyle name="Comma 2 2 3 4 5 4" xfId="1834" xr:uid="{B31892B3-63DF-4133-849B-4A7FD53D07DB}"/>
    <cellStyle name="Comma 2 2 3 4 5 4 2" xfId="16434" xr:uid="{7EDC65B2-5813-4ECD-AD19-C1D0D2D73545}"/>
    <cellStyle name="Comma 2 2 3 4 5 4 2 2" xfId="52942" xr:uid="{61B59C33-C914-4B48-A092-33D56C7967F9}"/>
    <cellStyle name="Comma 2 2 3 4 5 4 2 3" xfId="34688" xr:uid="{B45D6B9A-A2B4-423B-ACC5-24CF97F3D5F8}"/>
    <cellStyle name="Comma 2 2 3 4 5 4 3" xfId="12784" xr:uid="{218C5AB5-189F-41B3-B944-C1D389C3357C}"/>
    <cellStyle name="Comma 2 2 3 4 5 4 3 2" xfId="49292" xr:uid="{520C430E-60BC-41D8-A6EA-EE6DA643ED7E}"/>
    <cellStyle name="Comma 2 2 3 4 5 4 3 3" xfId="31038" xr:uid="{3820E4C6-CF12-4BEB-93B5-68CE6743AA0B}"/>
    <cellStyle name="Comma 2 2 3 4 5 4 4" xfId="9134" xr:uid="{4686BC0E-F9C4-4F88-B142-29907E46680E}"/>
    <cellStyle name="Comma 2 2 3 4 5 4 4 2" xfId="45642" xr:uid="{2AD9A742-A508-4CC1-AEC9-DF59373D767B}"/>
    <cellStyle name="Comma 2 2 3 4 5 4 4 3" xfId="27388" xr:uid="{6FA2EFEF-5778-4F90-A880-05E2C7C39E5C}"/>
    <cellStyle name="Comma 2 2 3 4 5 4 5" xfId="5484" xr:uid="{DB90D6D3-A5BB-4074-8DD9-EBB0CE9D4B94}"/>
    <cellStyle name="Comma 2 2 3 4 5 4 5 2" xfId="41992" xr:uid="{F6E6E3AB-6BBD-4BE6-BB30-F24B96B260B5}"/>
    <cellStyle name="Comma 2 2 3 4 5 4 5 3" xfId="23738" xr:uid="{BF8419D0-4701-4411-82AF-0824F1BC2AA4}"/>
    <cellStyle name="Comma 2 2 3 4 5 4 6" xfId="38342" xr:uid="{2E84EFE5-7E35-48CA-A007-8D940CB511F7}"/>
    <cellStyle name="Comma 2 2 3 4 5 4 7" xfId="20088" xr:uid="{B88AA82D-2089-49EB-98BC-AAF1988FEBCE}"/>
    <cellStyle name="Comma 2 2 3 4 5 5" xfId="1104" xr:uid="{3A39735A-6536-41A6-8B0A-08C879CD1F4B}"/>
    <cellStyle name="Comma 2 2 3 4 5 5 2" xfId="15704" xr:uid="{62FDDA45-6933-4DE9-88AC-E4D075C81A1E}"/>
    <cellStyle name="Comma 2 2 3 4 5 5 2 2" xfId="52212" xr:uid="{ED4717FD-44B8-4408-AE2B-CBD64DCFF644}"/>
    <cellStyle name="Comma 2 2 3 4 5 5 2 3" xfId="33958" xr:uid="{F26C58FB-3879-45D7-955D-2B75B484071E}"/>
    <cellStyle name="Comma 2 2 3 4 5 5 3" xfId="12054" xr:uid="{8E6B095B-BFC5-4DB8-A584-8C793B9864D8}"/>
    <cellStyle name="Comma 2 2 3 4 5 5 3 2" xfId="48562" xr:uid="{9207D149-3CBB-43E1-987F-59EE6DCD7BE9}"/>
    <cellStyle name="Comma 2 2 3 4 5 5 3 3" xfId="30308" xr:uid="{63537C57-4391-452A-AEFD-87A30222CF0A}"/>
    <cellStyle name="Comma 2 2 3 4 5 5 4" xfId="8404" xr:uid="{8A5708AB-10F5-445E-8D86-9B87FF0A1B78}"/>
    <cellStyle name="Comma 2 2 3 4 5 5 4 2" xfId="44912" xr:uid="{21290346-54BB-4325-9CCC-0CE5FE59759C}"/>
    <cellStyle name="Comma 2 2 3 4 5 5 4 3" xfId="26658" xr:uid="{B8575148-9E85-400E-9316-ED2F98BAE1A9}"/>
    <cellStyle name="Comma 2 2 3 4 5 5 5" xfId="4754" xr:uid="{B80A0187-9574-4E73-A49D-D2EF369D05B4}"/>
    <cellStyle name="Comma 2 2 3 4 5 5 5 2" xfId="41262" xr:uid="{3C0C08B8-CCE8-4F1D-A668-DC5DCFB26188}"/>
    <cellStyle name="Comma 2 2 3 4 5 5 5 3" xfId="23008" xr:uid="{3084F000-0D4B-41D0-ABDB-2981589C0D2E}"/>
    <cellStyle name="Comma 2 2 3 4 5 5 6" xfId="37612" xr:uid="{EF5D4012-8924-44AB-AFD2-051328488D10}"/>
    <cellStyle name="Comma 2 2 3 4 5 5 7" xfId="19358" xr:uid="{67D8C7E1-16D2-4361-AE8D-23C6260350B7}"/>
    <cellStyle name="Comma 2 2 3 4 5 6" xfId="14974" xr:uid="{6718B59E-FFF3-4139-A88A-161769C77B04}"/>
    <cellStyle name="Comma 2 2 3 4 5 6 2" xfId="51482" xr:uid="{3DD40721-C7F4-4FE2-8072-F08800A0A003}"/>
    <cellStyle name="Comma 2 2 3 4 5 6 3" xfId="33228" xr:uid="{3E979AC6-4B83-465D-B2FE-9F01781FD8B3}"/>
    <cellStyle name="Comma 2 2 3 4 5 7" xfId="11324" xr:uid="{7B2799AB-F668-4C3F-9C2C-DA27EAD9CD22}"/>
    <cellStyle name="Comma 2 2 3 4 5 7 2" xfId="47832" xr:uid="{C5C54AA4-362F-45B6-BDD3-B76BF1C2C9E1}"/>
    <cellStyle name="Comma 2 2 3 4 5 7 3" xfId="29578" xr:uid="{6991ED84-7702-4929-96EC-E09DA50BA4D2}"/>
    <cellStyle name="Comma 2 2 3 4 5 8" xfId="7674" xr:uid="{15E53709-A466-4DD9-9265-772BAA9C4AEC}"/>
    <cellStyle name="Comma 2 2 3 4 5 8 2" xfId="44182" xr:uid="{8DC1D866-61B0-477D-B4C5-327248EB3F9B}"/>
    <cellStyle name="Comma 2 2 3 4 5 8 3" xfId="25928" xr:uid="{46870ECA-ADBD-4679-BDC7-A324F10EA415}"/>
    <cellStyle name="Comma 2 2 3 4 5 9" xfId="4024" xr:uid="{0304194E-5747-4D4A-ABAD-A97900886A7B}"/>
    <cellStyle name="Comma 2 2 3 4 5 9 2" xfId="40532" xr:uid="{149BE2EF-79E2-46FA-AB48-B49ABBF49489}"/>
    <cellStyle name="Comma 2 2 3 4 5 9 3" xfId="22278" xr:uid="{9B2F2EDE-47F5-41E5-BFA5-74EC1611A873}"/>
    <cellStyle name="Comma 2 2 3 4 6" xfId="270" xr:uid="{DF5FFA2C-DB3E-47EA-951B-C64EE444C119}"/>
    <cellStyle name="Comma 2 2 3 4 6 10" xfId="36778" xr:uid="{2C8FBBB6-6FF8-40D4-B670-794D01BC92C1}"/>
    <cellStyle name="Comma 2 2 3 4 6 11" xfId="18524" xr:uid="{3D5C3BCE-1A82-44A9-86FC-1FE4960D6CB7}"/>
    <cellStyle name="Comma 2 2 3 4 6 2" xfId="3190" xr:uid="{9692365D-6DAE-4CDE-A6B3-49CDC1663657}"/>
    <cellStyle name="Comma 2 2 3 4 6 2 2" xfId="17790" xr:uid="{EFE419BC-0850-4849-B37C-69A274C5EB1A}"/>
    <cellStyle name="Comma 2 2 3 4 6 2 2 2" xfId="54298" xr:uid="{28A1A02C-9D3B-4068-8C5B-676B32D9D345}"/>
    <cellStyle name="Comma 2 2 3 4 6 2 2 3" xfId="36044" xr:uid="{80903079-FEAA-4813-A759-94E21430CE66}"/>
    <cellStyle name="Comma 2 2 3 4 6 2 3" xfId="14140" xr:uid="{5B76C954-1A4A-44BD-B9D0-763E0550BAA4}"/>
    <cellStyle name="Comma 2 2 3 4 6 2 3 2" xfId="50648" xr:uid="{7F8A3DD6-413B-433B-8428-C0DF64E49690}"/>
    <cellStyle name="Comma 2 2 3 4 6 2 3 3" xfId="32394" xr:uid="{F6ED2D8B-0F97-43F2-B78F-E69F808FBADD}"/>
    <cellStyle name="Comma 2 2 3 4 6 2 4" xfId="10490" xr:uid="{9985C890-6959-4528-B9C2-25B0A9D6245E}"/>
    <cellStyle name="Comma 2 2 3 4 6 2 4 2" xfId="46998" xr:uid="{1D8E7852-5931-49B8-89F8-3D21EBEE570B}"/>
    <cellStyle name="Comma 2 2 3 4 6 2 4 3" xfId="28744" xr:uid="{0C5449E0-1217-4BA5-9E42-74DE299B8956}"/>
    <cellStyle name="Comma 2 2 3 4 6 2 5" xfId="6840" xr:uid="{50459A29-C081-44DE-BD27-D4D8C7D1BC28}"/>
    <cellStyle name="Comma 2 2 3 4 6 2 5 2" xfId="43348" xr:uid="{75C6A600-BBEB-4C16-8908-646F46D785C0}"/>
    <cellStyle name="Comma 2 2 3 4 6 2 5 3" xfId="25094" xr:uid="{B37A904D-34F1-4899-AE77-91FC89651ED9}"/>
    <cellStyle name="Comma 2 2 3 4 6 2 6" xfId="39698" xr:uid="{956789CF-8AB2-4EC6-8D29-B7BA38F51228}"/>
    <cellStyle name="Comma 2 2 3 4 6 2 7" xfId="21444" xr:uid="{60B4A369-0E6C-44B6-819D-4A9184AA7641}"/>
    <cellStyle name="Comma 2 2 3 4 6 3" xfId="2460" xr:uid="{F5DC47C7-A613-414F-A851-ACD16A2FDFC7}"/>
    <cellStyle name="Comma 2 2 3 4 6 3 2" xfId="17060" xr:uid="{2893D09F-F255-4C73-9188-61F260288634}"/>
    <cellStyle name="Comma 2 2 3 4 6 3 2 2" xfId="53568" xr:uid="{8E578C07-B804-49EF-A8D9-8B59B4058042}"/>
    <cellStyle name="Comma 2 2 3 4 6 3 2 3" xfId="35314" xr:uid="{7C81C95E-B629-417B-B944-21C50EA7BF8F}"/>
    <cellStyle name="Comma 2 2 3 4 6 3 3" xfId="13410" xr:uid="{3BD710DF-5A38-4E2A-BD07-CA23707F6726}"/>
    <cellStyle name="Comma 2 2 3 4 6 3 3 2" xfId="49918" xr:uid="{D999A2B6-F842-4AB5-97B5-3906BD1092F2}"/>
    <cellStyle name="Comma 2 2 3 4 6 3 3 3" xfId="31664" xr:uid="{B33A05C9-7198-41E0-B92A-BB3003191E52}"/>
    <cellStyle name="Comma 2 2 3 4 6 3 4" xfId="9760" xr:uid="{5438741A-70F0-4092-AE51-A1A6F0F96500}"/>
    <cellStyle name="Comma 2 2 3 4 6 3 4 2" xfId="46268" xr:uid="{ACB18F01-FA3B-4259-BE85-FD80B1B2D778}"/>
    <cellStyle name="Comma 2 2 3 4 6 3 4 3" xfId="28014" xr:uid="{9121C6D9-2C3F-4C2A-B58E-35DEFA2973D5}"/>
    <cellStyle name="Comma 2 2 3 4 6 3 5" xfId="6110" xr:uid="{72922B0C-433B-44B7-9733-55254358EF7B}"/>
    <cellStyle name="Comma 2 2 3 4 6 3 5 2" xfId="42618" xr:uid="{35B71F60-EA33-4B8F-9460-09A2EF797271}"/>
    <cellStyle name="Comma 2 2 3 4 6 3 5 3" xfId="24364" xr:uid="{8808D7C2-8B5B-43F2-A01A-A247D01753F4}"/>
    <cellStyle name="Comma 2 2 3 4 6 3 6" xfId="38968" xr:uid="{5ECBA381-7F93-444C-ACEF-3FFD70AC8AB7}"/>
    <cellStyle name="Comma 2 2 3 4 6 3 7" xfId="20714" xr:uid="{40770030-7050-4871-A8C9-9E5E035BC21E}"/>
    <cellStyle name="Comma 2 2 3 4 6 4" xfId="1730" xr:uid="{D2E04B64-77BE-47EB-9F1C-B1A9C4D56DC9}"/>
    <cellStyle name="Comma 2 2 3 4 6 4 2" xfId="16330" xr:uid="{4F9EF570-7B91-4431-BC6F-B92B0FB410A3}"/>
    <cellStyle name="Comma 2 2 3 4 6 4 2 2" xfId="52838" xr:uid="{EB121899-C4DF-4BD2-8975-9AC4C5E56561}"/>
    <cellStyle name="Comma 2 2 3 4 6 4 2 3" xfId="34584" xr:uid="{93BEEE88-97FD-4866-98E9-F2331B7F59C5}"/>
    <cellStyle name="Comma 2 2 3 4 6 4 3" xfId="12680" xr:uid="{EA36358B-3B1E-483F-A804-56C39239211A}"/>
    <cellStyle name="Comma 2 2 3 4 6 4 3 2" xfId="49188" xr:uid="{2D06188F-026D-439F-A978-3205B3DA24D5}"/>
    <cellStyle name="Comma 2 2 3 4 6 4 3 3" xfId="30934" xr:uid="{6750FDF9-F215-4A23-84D6-63B7BE31FE8E}"/>
    <cellStyle name="Comma 2 2 3 4 6 4 4" xfId="9030" xr:uid="{244C36F7-081E-456B-8409-D1A724456E3E}"/>
    <cellStyle name="Comma 2 2 3 4 6 4 4 2" xfId="45538" xr:uid="{0902E32A-C3D2-4C86-8B62-7AC252194D42}"/>
    <cellStyle name="Comma 2 2 3 4 6 4 4 3" xfId="27284" xr:uid="{D5D1D8F5-4910-41CE-B4BB-869A54180B2A}"/>
    <cellStyle name="Comma 2 2 3 4 6 4 5" xfId="5380" xr:uid="{14B95E8A-44FC-420B-986D-480F8361996C}"/>
    <cellStyle name="Comma 2 2 3 4 6 4 5 2" xfId="41888" xr:uid="{2C7E0AAA-2335-4A62-81A9-E238103CB609}"/>
    <cellStyle name="Comma 2 2 3 4 6 4 5 3" xfId="23634" xr:uid="{3CD585CC-176E-47B5-9CBE-91CF5B3BF3CF}"/>
    <cellStyle name="Comma 2 2 3 4 6 4 6" xfId="38238" xr:uid="{A1686F1F-43C9-46E9-9F95-DBD0EDD06C52}"/>
    <cellStyle name="Comma 2 2 3 4 6 4 7" xfId="19984" xr:uid="{ECA8F956-C579-4951-9B5B-65CFA1D3CB9E}"/>
    <cellStyle name="Comma 2 2 3 4 6 5" xfId="1000" xr:uid="{8B0748C6-6845-457D-B5EC-5545B9CAFED2}"/>
    <cellStyle name="Comma 2 2 3 4 6 5 2" xfId="15600" xr:uid="{FECE3063-F7FC-4D4E-B5BA-A16064FAC56C}"/>
    <cellStyle name="Comma 2 2 3 4 6 5 2 2" xfId="52108" xr:uid="{18F398B6-6975-4FF5-A02E-41F9785C16D7}"/>
    <cellStyle name="Comma 2 2 3 4 6 5 2 3" xfId="33854" xr:uid="{F6363763-936B-4122-9FDA-F23A5070BFBB}"/>
    <cellStyle name="Comma 2 2 3 4 6 5 3" xfId="11950" xr:uid="{A268C519-B859-4EE8-B800-55AD31122986}"/>
    <cellStyle name="Comma 2 2 3 4 6 5 3 2" xfId="48458" xr:uid="{1E50E1A2-D8BD-4E41-B00B-F4D1D80A15CC}"/>
    <cellStyle name="Comma 2 2 3 4 6 5 3 3" xfId="30204" xr:uid="{08B612F8-9A27-4B5E-BE52-0A38F3822AB9}"/>
    <cellStyle name="Comma 2 2 3 4 6 5 4" xfId="8300" xr:uid="{C474A2A0-B481-42D9-B1B8-A68AD96403F2}"/>
    <cellStyle name="Comma 2 2 3 4 6 5 4 2" xfId="44808" xr:uid="{6212C466-7107-4260-87D3-C39C35BC61F4}"/>
    <cellStyle name="Comma 2 2 3 4 6 5 4 3" xfId="26554" xr:uid="{4204A2A6-7FA7-4432-8748-7ED3F1694374}"/>
    <cellStyle name="Comma 2 2 3 4 6 5 5" xfId="4650" xr:uid="{3F24F823-A138-45D4-ABB7-CE66C21DFEBC}"/>
    <cellStyle name="Comma 2 2 3 4 6 5 5 2" xfId="41158" xr:uid="{63DDB0D4-288D-493D-A74A-E8CAB3BD6CB6}"/>
    <cellStyle name="Comma 2 2 3 4 6 5 5 3" xfId="22904" xr:uid="{FD11C1C9-B52F-4D23-A0AD-FD739703C3DC}"/>
    <cellStyle name="Comma 2 2 3 4 6 5 6" xfId="37508" xr:uid="{21586FCF-D578-4844-8F5A-D41F4E08A745}"/>
    <cellStyle name="Comma 2 2 3 4 6 5 7" xfId="19254" xr:uid="{53FFB440-3CD4-4B4A-9BBC-FD232FD0773B}"/>
    <cellStyle name="Comma 2 2 3 4 6 6" xfId="14870" xr:uid="{670F03C7-9B86-4604-8068-58C0A4C47318}"/>
    <cellStyle name="Comma 2 2 3 4 6 6 2" xfId="51378" xr:uid="{F7FD7FE7-52B9-4545-BACE-2FA0DF2C2BFE}"/>
    <cellStyle name="Comma 2 2 3 4 6 6 3" xfId="33124" xr:uid="{9871FB20-442F-4F2B-A05A-6D90230B1446}"/>
    <cellStyle name="Comma 2 2 3 4 6 7" xfId="11220" xr:uid="{692A607C-8800-4965-AD40-954BD5BF76F2}"/>
    <cellStyle name="Comma 2 2 3 4 6 7 2" xfId="47728" xr:uid="{DC4432EC-79F2-4D4B-B9AC-760BA5985F95}"/>
    <cellStyle name="Comma 2 2 3 4 6 7 3" xfId="29474" xr:uid="{95FF22F8-2497-42B6-82FA-4A8BDBB377C1}"/>
    <cellStyle name="Comma 2 2 3 4 6 8" xfId="7570" xr:uid="{0238EBE6-B46C-462B-8023-62FBF8BBCB82}"/>
    <cellStyle name="Comma 2 2 3 4 6 8 2" xfId="44078" xr:uid="{44F9610B-D123-4E39-8352-2BD0E7468306}"/>
    <cellStyle name="Comma 2 2 3 4 6 8 3" xfId="25824" xr:uid="{854672CF-0DC9-49DC-A176-92566DEDD472}"/>
    <cellStyle name="Comma 2 2 3 4 6 9" xfId="3920" xr:uid="{592D4D32-0DDE-4E60-A52D-FCFA5F87DA75}"/>
    <cellStyle name="Comma 2 2 3 4 6 9 2" xfId="40428" xr:uid="{5A129A5A-41C1-4A9D-B29B-4EED017C1731}"/>
    <cellStyle name="Comma 2 2 3 4 6 9 3" xfId="22174" xr:uid="{2952001E-F107-4CFF-AA95-F847317F6D94}"/>
    <cellStyle name="Comma 2 2 3 4 7" xfId="166" xr:uid="{E74C4E41-B98F-4DEA-B925-34E9A8645369}"/>
    <cellStyle name="Comma 2 2 3 4 7 10" xfId="36674" xr:uid="{F7AEEF73-78F9-45FA-9E37-EF4A573148EF}"/>
    <cellStyle name="Comma 2 2 3 4 7 11" xfId="18420" xr:uid="{DF98042F-F1CF-45A0-BB19-CCD359400B08}"/>
    <cellStyle name="Comma 2 2 3 4 7 2" xfId="3086" xr:uid="{6084BF86-3FFF-4AD5-96BA-00777042D2E3}"/>
    <cellStyle name="Comma 2 2 3 4 7 2 2" xfId="17686" xr:uid="{9248F660-3392-45AF-91DB-DEE94A743320}"/>
    <cellStyle name="Comma 2 2 3 4 7 2 2 2" xfId="54194" xr:uid="{76B21C2A-5B8D-422D-822F-6084CBB1EE28}"/>
    <cellStyle name="Comma 2 2 3 4 7 2 2 3" xfId="35940" xr:uid="{E195A8E6-E0BA-4AC1-9406-AF8890042E81}"/>
    <cellStyle name="Comma 2 2 3 4 7 2 3" xfId="14036" xr:uid="{13FC4074-99BA-4415-B909-856349951AC0}"/>
    <cellStyle name="Comma 2 2 3 4 7 2 3 2" xfId="50544" xr:uid="{02443029-E93D-4FA0-9D66-F00AB7D730E3}"/>
    <cellStyle name="Comma 2 2 3 4 7 2 3 3" xfId="32290" xr:uid="{331B73C4-D04D-403A-B189-C29F2DE37A74}"/>
    <cellStyle name="Comma 2 2 3 4 7 2 4" xfId="10386" xr:uid="{B89D8A4A-678C-430A-AF14-95343F4EE07F}"/>
    <cellStyle name="Comma 2 2 3 4 7 2 4 2" xfId="46894" xr:uid="{E44C8109-75AC-4C9E-B0E2-13FB2F72A528}"/>
    <cellStyle name="Comma 2 2 3 4 7 2 4 3" xfId="28640" xr:uid="{8943D53C-3C91-4837-AE32-A029F3EE0812}"/>
    <cellStyle name="Comma 2 2 3 4 7 2 5" xfId="6736" xr:uid="{22A481A6-6DD3-40B0-AEFF-678F2134A0D6}"/>
    <cellStyle name="Comma 2 2 3 4 7 2 5 2" xfId="43244" xr:uid="{ED01F0C5-2818-4DDC-A695-11E52367D0CE}"/>
    <cellStyle name="Comma 2 2 3 4 7 2 5 3" xfId="24990" xr:uid="{E9A695D3-2259-4A13-A8CA-56941501E067}"/>
    <cellStyle name="Comma 2 2 3 4 7 2 6" xfId="39594" xr:uid="{8AAC75C2-526A-4650-94CE-F5932D1DB4DC}"/>
    <cellStyle name="Comma 2 2 3 4 7 2 7" xfId="21340" xr:uid="{706866CF-9EE7-458A-A6E0-F358E1B3A8A6}"/>
    <cellStyle name="Comma 2 2 3 4 7 3" xfId="2356" xr:uid="{1A5D123B-0D37-4BBE-967F-8A779DC31FEB}"/>
    <cellStyle name="Comma 2 2 3 4 7 3 2" xfId="16956" xr:uid="{9E717F68-1960-4782-B787-3B37DB61E13E}"/>
    <cellStyle name="Comma 2 2 3 4 7 3 2 2" xfId="53464" xr:uid="{B3BAEB9F-CFC1-4ADB-894E-AC3F0EE75638}"/>
    <cellStyle name="Comma 2 2 3 4 7 3 2 3" xfId="35210" xr:uid="{E7B59918-2739-4E83-A8F3-F2EC9F20E28C}"/>
    <cellStyle name="Comma 2 2 3 4 7 3 3" xfId="13306" xr:uid="{8B351A47-B2C8-46BA-B396-5BFA1026D730}"/>
    <cellStyle name="Comma 2 2 3 4 7 3 3 2" xfId="49814" xr:uid="{F003E99F-8E7A-4F8F-9E23-0DC92312D153}"/>
    <cellStyle name="Comma 2 2 3 4 7 3 3 3" xfId="31560" xr:uid="{F425F9CC-7D5E-48CF-91A5-B15494400BE6}"/>
    <cellStyle name="Comma 2 2 3 4 7 3 4" xfId="9656" xr:uid="{950319EF-1AC4-4FB3-BC4C-0CAA2BCC8097}"/>
    <cellStyle name="Comma 2 2 3 4 7 3 4 2" xfId="46164" xr:uid="{07BC5C6B-8BDB-4494-9F15-DCE7D2B5CBC7}"/>
    <cellStyle name="Comma 2 2 3 4 7 3 4 3" xfId="27910" xr:uid="{B276F4D6-BDCA-497D-8207-652AC1D718A5}"/>
    <cellStyle name="Comma 2 2 3 4 7 3 5" xfId="6006" xr:uid="{4148A56B-5167-455B-B0A9-0CE589404249}"/>
    <cellStyle name="Comma 2 2 3 4 7 3 5 2" xfId="42514" xr:uid="{B4B20753-28DB-4138-9694-18AAECD00F1E}"/>
    <cellStyle name="Comma 2 2 3 4 7 3 5 3" xfId="24260" xr:uid="{1835FDE3-51CE-40DF-BF8C-EB0F3D9F8CB4}"/>
    <cellStyle name="Comma 2 2 3 4 7 3 6" xfId="38864" xr:uid="{5AB53143-A177-4DE2-98A0-8F561F9E27CA}"/>
    <cellStyle name="Comma 2 2 3 4 7 3 7" xfId="20610" xr:uid="{AAB81195-714A-4842-A624-908B5DF0C65D}"/>
    <cellStyle name="Comma 2 2 3 4 7 4" xfId="1626" xr:uid="{9943D160-11FD-41CD-AE21-E513789FBD9C}"/>
    <cellStyle name="Comma 2 2 3 4 7 4 2" xfId="16226" xr:uid="{FCBB2861-8E12-47E8-B0D9-2DDFA4ABDFBE}"/>
    <cellStyle name="Comma 2 2 3 4 7 4 2 2" xfId="52734" xr:uid="{E6E13C88-A4F9-419B-88C6-91D17C346B4C}"/>
    <cellStyle name="Comma 2 2 3 4 7 4 2 3" xfId="34480" xr:uid="{1765054A-1D3B-4A7A-9461-885CDF14C73E}"/>
    <cellStyle name="Comma 2 2 3 4 7 4 3" xfId="12576" xr:uid="{01573020-9E7E-4C0C-914E-24D6ADFF1EAF}"/>
    <cellStyle name="Comma 2 2 3 4 7 4 3 2" xfId="49084" xr:uid="{2E164E3B-4504-4875-9AAD-164E45254BBE}"/>
    <cellStyle name="Comma 2 2 3 4 7 4 3 3" xfId="30830" xr:uid="{850524AF-D98B-423E-B3EE-0623B4612AE5}"/>
    <cellStyle name="Comma 2 2 3 4 7 4 4" xfId="8926" xr:uid="{CD9083C2-CA6C-4CCC-B2AC-D6B6F2E8A064}"/>
    <cellStyle name="Comma 2 2 3 4 7 4 4 2" xfId="45434" xr:uid="{FA150461-C514-412F-A1F4-04D3D160211B}"/>
    <cellStyle name="Comma 2 2 3 4 7 4 4 3" xfId="27180" xr:uid="{1046359C-A94B-4FB9-B9D6-9C567386B0D1}"/>
    <cellStyle name="Comma 2 2 3 4 7 4 5" xfId="5276" xr:uid="{89AF49FB-7AF2-43C5-9353-573EA4789559}"/>
    <cellStyle name="Comma 2 2 3 4 7 4 5 2" xfId="41784" xr:uid="{85A100CF-DB9B-4530-9FF2-4486483B6C8D}"/>
    <cellStyle name="Comma 2 2 3 4 7 4 5 3" xfId="23530" xr:uid="{DAFC956B-6A06-4E41-B757-0DD251520C94}"/>
    <cellStyle name="Comma 2 2 3 4 7 4 6" xfId="38134" xr:uid="{0E3CDDC6-9BF1-44F9-9CD0-E0BFFD91DE0C}"/>
    <cellStyle name="Comma 2 2 3 4 7 4 7" xfId="19880" xr:uid="{25DD5C91-CE1A-46F6-B3C9-243D4912CB1A}"/>
    <cellStyle name="Comma 2 2 3 4 7 5" xfId="896" xr:uid="{AFA217A6-2DDD-4FBB-99EE-E72625F24CF6}"/>
    <cellStyle name="Comma 2 2 3 4 7 5 2" xfId="15496" xr:uid="{5214A36F-0D25-4B22-934E-299C81A71429}"/>
    <cellStyle name="Comma 2 2 3 4 7 5 2 2" xfId="52004" xr:uid="{6D18554D-97A1-4C47-ADBB-37FB98F41B21}"/>
    <cellStyle name="Comma 2 2 3 4 7 5 2 3" xfId="33750" xr:uid="{3173E899-F5C3-4E9E-B7AD-A62717DEC2F6}"/>
    <cellStyle name="Comma 2 2 3 4 7 5 3" xfId="11846" xr:uid="{7361DF1C-7B19-43B1-91F0-C54A42A8AD08}"/>
    <cellStyle name="Comma 2 2 3 4 7 5 3 2" xfId="48354" xr:uid="{806F01C3-2670-4B09-BFA4-F31C4E13F8FD}"/>
    <cellStyle name="Comma 2 2 3 4 7 5 3 3" xfId="30100" xr:uid="{962957A8-E8BF-4B97-AAA0-B4B6CAF6546A}"/>
    <cellStyle name="Comma 2 2 3 4 7 5 4" xfId="8196" xr:uid="{AEC4B460-D7CC-4A2D-9E8F-C5FA0D4CCAC3}"/>
    <cellStyle name="Comma 2 2 3 4 7 5 4 2" xfId="44704" xr:uid="{EFF06390-486C-4C32-9962-96B23ECBC8FA}"/>
    <cellStyle name="Comma 2 2 3 4 7 5 4 3" xfId="26450" xr:uid="{9998118C-66CD-4EED-B8B8-29C7E0472ECE}"/>
    <cellStyle name="Comma 2 2 3 4 7 5 5" xfId="4546" xr:uid="{8E611321-4832-44AE-9059-5920CA0C3A70}"/>
    <cellStyle name="Comma 2 2 3 4 7 5 5 2" xfId="41054" xr:uid="{886F13B8-73CD-4843-93C2-D57F60184D2E}"/>
    <cellStyle name="Comma 2 2 3 4 7 5 5 3" xfId="22800" xr:uid="{87F2A48D-2595-499C-B440-D57215CD5AF7}"/>
    <cellStyle name="Comma 2 2 3 4 7 5 6" xfId="37404" xr:uid="{94C82D9F-5777-4A2C-8837-8E8933F17D95}"/>
    <cellStyle name="Comma 2 2 3 4 7 5 7" xfId="19150" xr:uid="{2E715204-4171-4A75-8F06-E3F63903FE13}"/>
    <cellStyle name="Comma 2 2 3 4 7 6" xfId="14766" xr:uid="{0D7351EE-1491-4A47-A60D-14AE95FB9294}"/>
    <cellStyle name="Comma 2 2 3 4 7 6 2" xfId="51274" xr:uid="{42F98406-A678-493B-998B-608D35B25C13}"/>
    <cellStyle name="Comma 2 2 3 4 7 6 3" xfId="33020" xr:uid="{1A8BF622-DB3C-4AFF-AA6E-F7BC1B31FF6C}"/>
    <cellStyle name="Comma 2 2 3 4 7 7" xfId="11116" xr:uid="{D24AC54F-274A-4C66-A44C-266CE18D2A43}"/>
    <cellStyle name="Comma 2 2 3 4 7 7 2" xfId="47624" xr:uid="{D4EBCDB6-D66E-414B-996F-6AC55E781FEF}"/>
    <cellStyle name="Comma 2 2 3 4 7 7 3" xfId="29370" xr:uid="{14A7F93A-1C6A-4E34-97D6-5F3025219995}"/>
    <cellStyle name="Comma 2 2 3 4 7 8" xfId="7466" xr:uid="{33BB12CF-77C5-4FAD-8A92-7E2A0E6A889A}"/>
    <cellStyle name="Comma 2 2 3 4 7 8 2" xfId="43974" xr:uid="{7655AC64-D11B-4F76-A0F1-1146D3CA912D}"/>
    <cellStyle name="Comma 2 2 3 4 7 8 3" xfId="25720" xr:uid="{F0F9DF8E-DBC0-4395-A0F1-61FD79E3A6EF}"/>
    <cellStyle name="Comma 2 2 3 4 7 9" xfId="3816" xr:uid="{BF5E90A8-31CF-4D36-A488-F787C2B902E9}"/>
    <cellStyle name="Comma 2 2 3 4 7 9 2" xfId="40324" xr:uid="{1F4F5D46-41FE-4757-AA59-1794D87A0246}"/>
    <cellStyle name="Comma 2 2 3 4 7 9 3" xfId="22070" xr:uid="{626EE800-13AB-4CE6-9582-5A4831FE28E7}"/>
    <cellStyle name="Comma 2 2 3 4 8" xfId="2982" xr:uid="{0D65276A-7470-4BE8-8882-47E1F97E304E}"/>
    <cellStyle name="Comma 2 2 3 4 8 2" xfId="17582" xr:uid="{D9E0E715-5C68-4C4C-853A-8900DEAC8049}"/>
    <cellStyle name="Comma 2 2 3 4 8 2 2" xfId="54090" xr:uid="{6056C50E-D327-4650-BB7C-9B1A1BCD25AC}"/>
    <cellStyle name="Comma 2 2 3 4 8 2 3" xfId="35836" xr:uid="{9B3D9274-AB25-4505-B33B-5913F38A14EF}"/>
    <cellStyle name="Comma 2 2 3 4 8 3" xfId="13932" xr:uid="{683CC15E-2CC2-41CE-858A-51B650CEB833}"/>
    <cellStyle name="Comma 2 2 3 4 8 3 2" xfId="50440" xr:uid="{A785B986-B428-4CB0-9770-434287222389}"/>
    <cellStyle name="Comma 2 2 3 4 8 3 3" xfId="32186" xr:uid="{C9F0881B-52DE-496A-B601-1CA2903B24E8}"/>
    <cellStyle name="Comma 2 2 3 4 8 4" xfId="10282" xr:uid="{986CC060-67D7-4E7D-818C-640EF308A6C8}"/>
    <cellStyle name="Comma 2 2 3 4 8 4 2" xfId="46790" xr:uid="{AB3EED78-4D36-497A-AC48-3A6FB36B9678}"/>
    <cellStyle name="Comma 2 2 3 4 8 4 3" xfId="28536" xr:uid="{313491CB-EF84-4284-88B4-0CC2E71AE59A}"/>
    <cellStyle name="Comma 2 2 3 4 8 5" xfId="6632" xr:uid="{3528200C-AF45-49AC-B5F9-74C4CBE2BA4C}"/>
    <cellStyle name="Comma 2 2 3 4 8 5 2" xfId="43140" xr:uid="{C4A97F77-7504-4897-894D-131A2F2421CB}"/>
    <cellStyle name="Comma 2 2 3 4 8 5 3" xfId="24886" xr:uid="{B7F574B7-CEA7-44D2-8FB9-FF9EAA6C7FB3}"/>
    <cellStyle name="Comma 2 2 3 4 8 6" xfId="39490" xr:uid="{811667E4-44C0-4498-A8C3-3B4286D4546B}"/>
    <cellStyle name="Comma 2 2 3 4 8 7" xfId="21236" xr:uid="{23D548B0-959A-4908-8394-4E02ED13E4C2}"/>
    <cellStyle name="Comma 2 2 3 4 9" xfId="2252" xr:uid="{CA5B7924-48B6-4B8E-8093-3059B0B4E4DD}"/>
    <cellStyle name="Comma 2 2 3 4 9 2" xfId="16852" xr:uid="{2FBFBCF0-F8E5-44BA-BFDE-7752495CA71F}"/>
    <cellStyle name="Comma 2 2 3 4 9 2 2" xfId="53360" xr:uid="{4043C773-4D26-4F45-8856-2B63A6F5ECB4}"/>
    <cellStyle name="Comma 2 2 3 4 9 2 3" xfId="35106" xr:uid="{BB6FEEEA-3E32-4F47-81C4-DD3986E44DD5}"/>
    <cellStyle name="Comma 2 2 3 4 9 3" xfId="13202" xr:uid="{C2590DF9-6AAE-4E40-A453-3CAE2F9B17DD}"/>
    <cellStyle name="Comma 2 2 3 4 9 3 2" xfId="49710" xr:uid="{FAC2FEFD-A4D0-4BCF-90CC-9E581192F1FC}"/>
    <cellStyle name="Comma 2 2 3 4 9 3 3" xfId="31456" xr:uid="{7250C1AF-82A6-4374-A634-19290D948A39}"/>
    <cellStyle name="Comma 2 2 3 4 9 4" xfId="9552" xr:uid="{944AA323-D01E-40D0-B1A0-FC30391287F5}"/>
    <cellStyle name="Comma 2 2 3 4 9 4 2" xfId="46060" xr:uid="{84F49AFE-0FAE-46CC-9EAE-96EF6991B22E}"/>
    <cellStyle name="Comma 2 2 3 4 9 4 3" xfId="27806" xr:uid="{A2F6383A-D414-4A8A-A97A-CE5E509168F5}"/>
    <cellStyle name="Comma 2 2 3 4 9 5" xfId="5902" xr:uid="{E576BED8-0EF6-4642-9C9B-798713326427}"/>
    <cellStyle name="Comma 2 2 3 4 9 5 2" xfId="42410" xr:uid="{131C7D9C-DCC6-4E93-88BB-8D02FC839353}"/>
    <cellStyle name="Comma 2 2 3 4 9 5 3" xfId="24156" xr:uid="{DB942BC5-6504-42CC-814B-7BAF9469DD61}"/>
    <cellStyle name="Comma 2 2 3 4 9 6" xfId="38760" xr:uid="{B982C344-33CB-49E3-A176-AD64ADAF30ED}"/>
    <cellStyle name="Comma 2 2 3 4 9 7" xfId="20506" xr:uid="{70B19B5E-87B5-4340-9724-B1E3FDC343B5}"/>
    <cellStyle name="Comma 2 2 3 5" xfId="654" xr:uid="{0EFD02F3-6AD8-4C74-AC57-4FE956727428}"/>
    <cellStyle name="Comma 2 2 3 5 10" xfId="37162" xr:uid="{81D0C367-51E2-4B80-B99D-EE9F9B181E82}"/>
    <cellStyle name="Comma 2 2 3 5 11" xfId="18908" xr:uid="{C3956E8B-6621-46A0-83F4-BBB19C86D9B6}"/>
    <cellStyle name="Comma 2 2 3 5 2" xfId="3574" xr:uid="{07704BFA-A491-4486-83CE-6921681965BB}"/>
    <cellStyle name="Comma 2 2 3 5 2 2" xfId="18174" xr:uid="{D18143D2-9895-4712-83E2-021160A2A2DE}"/>
    <cellStyle name="Comma 2 2 3 5 2 2 2" xfId="54682" xr:uid="{B053713A-1437-4374-A860-210B5E9F9E66}"/>
    <cellStyle name="Comma 2 2 3 5 2 2 3" xfId="36428" xr:uid="{77F52681-1183-4745-9DBB-430E8E035A31}"/>
    <cellStyle name="Comma 2 2 3 5 2 3" xfId="14524" xr:uid="{D149B0CA-FCA9-4F44-991E-84145DA280A6}"/>
    <cellStyle name="Comma 2 2 3 5 2 3 2" xfId="51032" xr:uid="{E595038F-0881-45E7-9C49-219E464F4FEA}"/>
    <cellStyle name="Comma 2 2 3 5 2 3 3" xfId="32778" xr:uid="{E3280D3A-5380-4794-9FE3-67AA8364C80F}"/>
    <cellStyle name="Comma 2 2 3 5 2 4" xfId="10874" xr:uid="{F0EBB7F4-F584-45DC-AF9B-F343CEBD62BB}"/>
    <cellStyle name="Comma 2 2 3 5 2 4 2" xfId="47382" xr:uid="{BBD53037-10F9-4859-A796-80E965C8C069}"/>
    <cellStyle name="Comma 2 2 3 5 2 4 3" xfId="29128" xr:uid="{474B2FA2-375A-4109-97C4-244DC30F229F}"/>
    <cellStyle name="Comma 2 2 3 5 2 5" xfId="7224" xr:uid="{E7CCB0D0-8477-4E9A-BEA3-77C419ACD244}"/>
    <cellStyle name="Comma 2 2 3 5 2 5 2" xfId="43732" xr:uid="{9BAECEA4-2052-47EC-BD8F-0A9CC709E9A2}"/>
    <cellStyle name="Comma 2 2 3 5 2 5 3" xfId="25478" xr:uid="{9B041517-4AFC-46D7-A6B5-99929E432893}"/>
    <cellStyle name="Comma 2 2 3 5 2 6" xfId="40082" xr:uid="{20438681-5E60-4B82-8A35-4D70E4B43AD1}"/>
    <cellStyle name="Comma 2 2 3 5 2 7" xfId="21828" xr:uid="{067AD660-06F8-4443-91AB-B62ABFAE8968}"/>
    <cellStyle name="Comma 2 2 3 5 3" xfId="2844" xr:uid="{0F09F803-1C88-4DB0-B5BC-D9AFC1A3337F}"/>
    <cellStyle name="Comma 2 2 3 5 3 2" xfId="17444" xr:uid="{0CCBD772-322F-443D-8D09-BFCC1B02113E}"/>
    <cellStyle name="Comma 2 2 3 5 3 2 2" xfId="53952" xr:uid="{F37583AF-9D8D-4A39-B9B6-61A9BEA28E4F}"/>
    <cellStyle name="Comma 2 2 3 5 3 2 3" xfId="35698" xr:uid="{CFF88E6F-B67D-4161-AD63-A1E3517155F4}"/>
    <cellStyle name="Comma 2 2 3 5 3 3" xfId="13794" xr:uid="{E3A0E778-F0BA-428C-B96F-F1E3733C6EAC}"/>
    <cellStyle name="Comma 2 2 3 5 3 3 2" xfId="50302" xr:uid="{BFFA0CF8-DE8E-4EA6-84FF-97B06EB4ACE4}"/>
    <cellStyle name="Comma 2 2 3 5 3 3 3" xfId="32048" xr:uid="{ECE2C41C-FDFC-4A28-9FDE-E0A9D1D47E14}"/>
    <cellStyle name="Comma 2 2 3 5 3 4" xfId="10144" xr:uid="{764DC7A0-2D68-4F13-A959-822916C37B46}"/>
    <cellStyle name="Comma 2 2 3 5 3 4 2" xfId="46652" xr:uid="{EBF0C329-7F5B-40D9-B304-CD6DEEB1BBAA}"/>
    <cellStyle name="Comma 2 2 3 5 3 4 3" xfId="28398" xr:uid="{EB0546AF-A6D9-47DE-A0BB-F734EDF787EC}"/>
    <cellStyle name="Comma 2 2 3 5 3 5" xfId="6494" xr:uid="{F38D6369-2B8B-476B-8ACB-07AC0EA4C4B4}"/>
    <cellStyle name="Comma 2 2 3 5 3 5 2" xfId="43002" xr:uid="{79D270F6-9C34-4E60-8074-5C672B06CA6A}"/>
    <cellStyle name="Comma 2 2 3 5 3 5 3" xfId="24748" xr:uid="{57CABA10-80D0-4474-B887-5B88B1589D7F}"/>
    <cellStyle name="Comma 2 2 3 5 3 6" xfId="39352" xr:uid="{2D5749D7-6E95-4872-A068-EFACB0A10141}"/>
    <cellStyle name="Comma 2 2 3 5 3 7" xfId="21098" xr:uid="{71C5828A-C259-4B7B-8AE9-189AB1A61E50}"/>
    <cellStyle name="Comma 2 2 3 5 4" xfId="2114" xr:uid="{D152B362-3D60-4B3B-B239-CE839AEE7DEC}"/>
    <cellStyle name="Comma 2 2 3 5 4 2" xfId="16714" xr:uid="{71D6D7FB-BA32-4313-A964-96E88614BD33}"/>
    <cellStyle name="Comma 2 2 3 5 4 2 2" xfId="53222" xr:uid="{329DB2AC-50EA-4449-AD36-53230C8050F6}"/>
    <cellStyle name="Comma 2 2 3 5 4 2 3" xfId="34968" xr:uid="{EA341C8F-7F8C-46ED-934C-03B2EB62B3D3}"/>
    <cellStyle name="Comma 2 2 3 5 4 3" xfId="13064" xr:uid="{BB372D27-CB13-4686-8E7C-8DE3BB5514B6}"/>
    <cellStyle name="Comma 2 2 3 5 4 3 2" xfId="49572" xr:uid="{39F97B76-EAAF-4926-975B-D842172F0A44}"/>
    <cellStyle name="Comma 2 2 3 5 4 3 3" xfId="31318" xr:uid="{19654A76-94EB-4A17-B830-A417196EB0CA}"/>
    <cellStyle name="Comma 2 2 3 5 4 4" xfId="9414" xr:uid="{69DE1994-DE20-4996-A8A0-49D97BDFC649}"/>
    <cellStyle name="Comma 2 2 3 5 4 4 2" xfId="45922" xr:uid="{69D5AC2C-DD99-4090-AC6D-47CFF0D02522}"/>
    <cellStyle name="Comma 2 2 3 5 4 4 3" xfId="27668" xr:uid="{54ABC8A3-3F94-45CA-828B-93DCAB444573}"/>
    <cellStyle name="Comma 2 2 3 5 4 5" xfId="5764" xr:uid="{B78B4C32-C8FF-4F82-B682-504E20F7C698}"/>
    <cellStyle name="Comma 2 2 3 5 4 5 2" xfId="42272" xr:uid="{FC8EE584-27C5-41D9-9E01-A66F549EBF74}"/>
    <cellStyle name="Comma 2 2 3 5 4 5 3" xfId="24018" xr:uid="{4C08E307-A368-4D7C-8564-16098103BB7C}"/>
    <cellStyle name="Comma 2 2 3 5 4 6" xfId="38622" xr:uid="{754ADC3B-150C-4E41-ADD6-CF77E2AA8E08}"/>
    <cellStyle name="Comma 2 2 3 5 4 7" xfId="20368" xr:uid="{BAB3B6EF-48BA-4A79-A33B-6FD78A756FF2}"/>
    <cellStyle name="Comma 2 2 3 5 5" xfId="1384" xr:uid="{D140C3C9-A155-4D79-A5D5-9D7729B6E0B0}"/>
    <cellStyle name="Comma 2 2 3 5 5 2" xfId="15984" xr:uid="{0A56EEB8-8248-497D-8F3C-D32221ED7D63}"/>
    <cellStyle name="Comma 2 2 3 5 5 2 2" xfId="52492" xr:uid="{84DA0E1A-17A1-41CF-861D-46DC40181612}"/>
    <cellStyle name="Comma 2 2 3 5 5 2 3" xfId="34238" xr:uid="{450C9DB2-8BB8-4696-A7E0-0CAF9A3201F8}"/>
    <cellStyle name="Comma 2 2 3 5 5 3" xfId="12334" xr:uid="{EA206BA4-7580-4711-A2D3-EF6E95BF3B7E}"/>
    <cellStyle name="Comma 2 2 3 5 5 3 2" xfId="48842" xr:uid="{75CA2CD5-9EAC-442B-B525-4DD2942AF6C5}"/>
    <cellStyle name="Comma 2 2 3 5 5 3 3" xfId="30588" xr:uid="{68CCAA81-A13D-4431-9E98-42F19FB5E0FA}"/>
    <cellStyle name="Comma 2 2 3 5 5 4" xfId="8684" xr:uid="{3D124C74-3FE6-4969-ACEE-7733C2F793DA}"/>
    <cellStyle name="Comma 2 2 3 5 5 4 2" xfId="45192" xr:uid="{77E3F87C-18D3-42AE-B94B-3E165E0B2701}"/>
    <cellStyle name="Comma 2 2 3 5 5 4 3" xfId="26938" xr:uid="{AD54CEBB-75BA-4D53-8927-1006BC0E8367}"/>
    <cellStyle name="Comma 2 2 3 5 5 5" xfId="5034" xr:uid="{AD64CBD2-183B-42A7-AC0C-84ACC1997C55}"/>
    <cellStyle name="Comma 2 2 3 5 5 5 2" xfId="41542" xr:uid="{88563EF6-116F-4A28-9843-E509BD943FFA}"/>
    <cellStyle name="Comma 2 2 3 5 5 5 3" xfId="23288" xr:uid="{A7B28E48-35D0-4C61-B4BA-6A7F800333BA}"/>
    <cellStyle name="Comma 2 2 3 5 5 6" xfId="37892" xr:uid="{74D2944C-90DD-4509-911E-A1AEA1581A20}"/>
    <cellStyle name="Comma 2 2 3 5 5 7" xfId="19638" xr:uid="{971B5F30-1026-4EAF-BBE7-11434A158B31}"/>
    <cellStyle name="Comma 2 2 3 5 6" xfId="15254" xr:uid="{3F0341F0-D8E5-43F5-AF9B-CFD52B9B25D9}"/>
    <cellStyle name="Comma 2 2 3 5 6 2" xfId="51762" xr:uid="{91FB838D-172C-4DD9-8CF7-2045021C2DC4}"/>
    <cellStyle name="Comma 2 2 3 5 6 3" xfId="33508" xr:uid="{D5E42620-9D37-4DC7-8B72-8D0BD03F5689}"/>
    <cellStyle name="Comma 2 2 3 5 7" xfId="11604" xr:uid="{F7D26E15-2249-41A0-99CE-F8209EAC2AEB}"/>
    <cellStyle name="Comma 2 2 3 5 7 2" xfId="48112" xr:uid="{1B0F833F-C1F7-4D99-82D8-09A7A9EA04D3}"/>
    <cellStyle name="Comma 2 2 3 5 7 3" xfId="29858" xr:uid="{7660C93E-690F-4494-A5AD-C6A01965442F}"/>
    <cellStyle name="Comma 2 2 3 5 8" xfId="7954" xr:uid="{864B3C22-8388-440E-BCF0-EDB09D517534}"/>
    <cellStyle name="Comma 2 2 3 5 8 2" xfId="44462" xr:uid="{16455789-185D-4DEB-8BD8-DBD9B73CA832}"/>
    <cellStyle name="Comma 2 2 3 5 8 3" xfId="26208" xr:uid="{A5545FCE-6676-4EDE-9D58-9574F53DB62D}"/>
    <cellStyle name="Comma 2 2 3 5 9" xfId="4304" xr:uid="{DEA3508D-EF80-4C06-BA90-3C6391323190}"/>
    <cellStyle name="Comma 2 2 3 5 9 2" xfId="40812" xr:uid="{1272F451-48BC-4DD6-9441-F1F7D2F91DC8}"/>
    <cellStyle name="Comma 2 2 3 5 9 3" xfId="22558" xr:uid="{F521A947-175B-4C73-B849-B066AF72017E}"/>
    <cellStyle name="Comma 2 2 3 6" xfId="550" xr:uid="{61FB04F2-9471-4D22-BC1C-7999EF16F39B}"/>
    <cellStyle name="Comma 2 2 3 6 10" xfId="37058" xr:uid="{13B1D804-A797-4845-B1BA-0BED02BA85BC}"/>
    <cellStyle name="Comma 2 2 3 6 11" xfId="18804" xr:uid="{D92C68B6-751F-48CC-871A-002A108BC864}"/>
    <cellStyle name="Comma 2 2 3 6 2" xfId="3470" xr:uid="{D14C4392-CDC0-4631-9409-A1580E52BBF4}"/>
    <cellStyle name="Comma 2 2 3 6 2 2" xfId="18070" xr:uid="{B4782FDF-3B63-4C06-BD3C-A22597660C44}"/>
    <cellStyle name="Comma 2 2 3 6 2 2 2" xfId="54578" xr:uid="{C75555DB-F1BC-4385-AC06-5C22274FA097}"/>
    <cellStyle name="Comma 2 2 3 6 2 2 3" xfId="36324" xr:uid="{5B77025B-0E05-48B4-A3CB-101F2BAC0D4D}"/>
    <cellStyle name="Comma 2 2 3 6 2 3" xfId="14420" xr:uid="{1ABB5C5A-2314-459D-8ECF-E17BD2BE8620}"/>
    <cellStyle name="Comma 2 2 3 6 2 3 2" xfId="50928" xr:uid="{EA34DD3E-7959-4B8E-947D-5115D5EDEF30}"/>
    <cellStyle name="Comma 2 2 3 6 2 3 3" xfId="32674" xr:uid="{0D060347-B915-45A0-82EA-82F15977E8EE}"/>
    <cellStyle name="Comma 2 2 3 6 2 4" xfId="10770" xr:uid="{7E6AD6EF-2EDB-4E19-9FDC-0F7B4AC66287}"/>
    <cellStyle name="Comma 2 2 3 6 2 4 2" xfId="47278" xr:uid="{585C39B1-191B-420A-B5A1-C405250465A2}"/>
    <cellStyle name="Comma 2 2 3 6 2 4 3" xfId="29024" xr:uid="{89E1723E-23F8-4218-9546-55185EE4AD74}"/>
    <cellStyle name="Comma 2 2 3 6 2 5" xfId="7120" xr:uid="{CC2022E1-2291-4001-9B73-A65AA979E069}"/>
    <cellStyle name="Comma 2 2 3 6 2 5 2" xfId="43628" xr:uid="{ED3B5697-FBBD-4D70-9E42-BFBD3A0255FE}"/>
    <cellStyle name="Comma 2 2 3 6 2 5 3" xfId="25374" xr:uid="{7A7093FE-09E3-4FEC-8BA8-AF509C303B07}"/>
    <cellStyle name="Comma 2 2 3 6 2 6" xfId="39978" xr:uid="{3EB6031D-49F8-4E6B-B6F3-0E5D2DC25AAD}"/>
    <cellStyle name="Comma 2 2 3 6 2 7" xfId="21724" xr:uid="{D524E9C2-258D-4F20-B115-9D16F508F7B1}"/>
    <cellStyle name="Comma 2 2 3 6 3" xfId="2740" xr:uid="{7C2F547C-E884-4448-BED7-0649A7D287B2}"/>
    <cellStyle name="Comma 2 2 3 6 3 2" xfId="17340" xr:uid="{28863C97-6472-440D-8F2C-788929341F61}"/>
    <cellStyle name="Comma 2 2 3 6 3 2 2" xfId="53848" xr:uid="{7C71525B-9CE3-4D3D-BA5E-65059208E26B}"/>
    <cellStyle name="Comma 2 2 3 6 3 2 3" xfId="35594" xr:uid="{2196C21D-FA64-4F7C-B1C8-9BB711B8102D}"/>
    <cellStyle name="Comma 2 2 3 6 3 3" xfId="13690" xr:uid="{F423262A-EF2E-49A5-932C-A3B16F5D77BD}"/>
    <cellStyle name="Comma 2 2 3 6 3 3 2" xfId="50198" xr:uid="{EC2C5568-EA8E-4669-A170-89E4F89F8BE1}"/>
    <cellStyle name="Comma 2 2 3 6 3 3 3" xfId="31944" xr:uid="{E2EB9C80-295A-4F74-B385-1722598D3536}"/>
    <cellStyle name="Comma 2 2 3 6 3 4" xfId="10040" xr:uid="{E8D10934-A6EE-443F-8EAB-DAF7E0EFABBE}"/>
    <cellStyle name="Comma 2 2 3 6 3 4 2" xfId="46548" xr:uid="{51788084-9505-4B85-A24A-BAAAEC3B3DDE}"/>
    <cellStyle name="Comma 2 2 3 6 3 4 3" xfId="28294" xr:uid="{0924DE73-83DE-4DE0-B81C-0FA0A3616F3B}"/>
    <cellStyle name="Comma 2 2 3 6 3 5" xfId="6390" xr:uid="{47E5B9D2-0814-4D94-ADAF-8616C2F098EA}"/>
    <cellStyle name="Comma 2 2 3 6 3 5 2" xfId="42898" xr:uid="{F9BFB4CE-71D7-41CC-A8D7-3A40C8DEEB81}"/>
    <cellStyle name="Comma 2 2 3 6 3 5 3" xfId="24644" xr:uid="{198548C1-D690-44B0-A9F2-9F9BBC3A9F19}"/>
    <cellStyle name="Comma 2 2 3 6 3 6" xfId="39248" xr:uid="{091D9CAA-DD4A-49F1-A460-0CD837DC7D85}"/>
    <cellStyle name="Comma 2 2 3 6 3 7" xfId="20994" xr:uid="{A40CDF4A-69AC-4A42-8201-DFCC4E6DCD77}"/>
    <cellStyle name="Comma 2 2 3 6 4" xfId="2010" xr:uid="{626DEBB5-A2DD-4E9E-A9A2-1D4D4E661379}"/>
    <cellStyle name="Comma 2 2 3 6 4 2" xfId="16610" xr:uid="{95197F0C-BD06-40E9-9314-5839276442E9}"/>
    <cellStyle name="Comma 2 2 3 6 4 2 2" xfId="53118" xr:uid="{057A83DD-DBCA-4052-B197-B33B70CAB137}"/>
    <cellStyle name="Comma 2 2 3 6 4 2 3" xfId="34864" xr:uid="{80F65269-F8FE-4D83-A361-EC86E186D5F1}"/>
    <cellStyle name="Comma 2 2 3 6 4 3" xfId="12960" xr:uid="{88C148AA-E74E-43CE-9EB7-5E949E52F337}"/>
    <cellStyle name="Comma 2 2 3 6 4 3 2" xfId="49468" xr:uid="{54DB9AE3-0785-41F8-9982-D8E1F76E1D9C}"/>
    <cellStyle name="Comma 2 2 3 6 4 3 3" xfId="31214" xr:uid="{4A48A09B-099E-480C-A0E7-6B58FB6415BF}"/>
    <cellStyle name="Comma 2 2 3 6 4 4" xfId="9310" xr:uid="{C01663F7-E9C3-4E44-BEED-96C8250983F6}"/>
    <cellStyle name="Comma 2 2 3 6 4 4 2" xfId="45818" xr:uid="{B56ECACF-C45A-406D-852C-4DFEE6C9E411}"/>
    <cellStyle name="Comma 2 2 3 6 4 4 3" xfId="27564" xr:uid="{8F05B19C-C16B-4D4A-B838-7C5C18CA6273}"/>
    <cellStyle name="Comma 2 2 3 6 4 5" xfId="5660" xr:uid="{68B24B29-0802-42B7-99CF-BDAFB117BD8F}"/>
    <cellStyle name="Comma 2 2 3 6 4 5 2" xfId="42168" xr:uid="{16DDC181-84C1-4D78-BDAE-10A095D97ADD}"/>
    <cellStyle name="Comma 2 2 3 6 4 5 3" xfId="23914" xr:uid="{65A51709-89CD-44FA-9387-9C579911273B}"/>
    <cellStyle name="Comma 2 2 3 6 4 6" xfId="38518" xr:uid="{33AD9B2A-32EC-4640-A9A0-9BC251B9D835}"/>
    <cellStyle name="Comma 2 2 3 6 4 7" xfId="20264" xr:uid="{D8AE0218-0492-4BD4-8AF9-02F194B83E78}"/>
    <cellStyle name="Comma 2 2 3 6 5" xfId="1280" xr:uid="{BF5A20D9-3A42-4461-ABF3-0AF840447745}"/>
    <cellStyle name="Comma 2 2 3 6 5 2" xfId="15880" xr:uid="{6F42A45B-0700-4EBD-8CAF-121EC634C58D}"/>
    <cellStyle name="Comma 2 2 3 6 5 2 2" xfId="52388" xr:uid="{AFEA7CC3-BED1-41C2-8841-8438560D7D22}"/>
    <cellStyle name="Comma 2 2 3 6 5 2 3" xfId="34134" xr:uid="{BCB2447D-CB98-4BB0-BD88-DDAC00E1B0FD}"/>
    <cellStyle name="Comma 2 2 3 6 5 3" xfId="12230" xr:uid="{0DADE185-AB17-4DE2-A13D-DD3A1DD81B91}"/>
    <cellStyle name="Comma 2 2 3 6 5 3 2" xfId="48738" xr:uid="{03D5F392-8FDF-42EE-AD39-3D5FE0FE3135}"/>
    <cellStyle name="Comma 2 2 3 6 5 3 3" xfId="30484" xr:uid="{5C7124EE-DA20-49AC-B1F0-5919DE7911E9}"/>
    <cellStyle name="Comma 2 2 3 6 5 4" xfId="8580" xr:uid="{D804065D-675F-44AC-A425-46F44A6DEF8C}"/>
    <cellStyle name="Comma 2 2 3 6 5 4 2" xfId="45088" xr:uid="{FF34D29F-FF13-47A3-B22E-7F589EFC2467}"/>
    <cellStyle name="Comma 2 2 3 6 5 4 3" xfId="26834" xr:uid="{F87628F9-1FF5-4BA2-A847-11399A49BDDC}"/>
    <cellStyle name="Comma 2 2 3 6 5 5" xfId="4930" xr:uid="{EA4DBF67-CB68-474F-B71C-B836733B0BEC}"/>
    <cellStyle name="Comma 2 2 3 6 5 5 2" xfId="41438" xr:uid="{FBA58034-3FA4-49BA-95D5-704849201ED1}"/>
    <cellStyle name="Comma 2 2 3 6 5 5 3" xfId="23184" xr:uid="{39DF7060-11B8-409F-856A-C0BFD5361F56}"/>
    <cellStyle name="Comma 2 2 3 6 5 6" xfId="37788" xr:uid="{55A37EA9-DA90-4C89-B855-E30F3D864C14}"/>
    <cellStyle name="Comma 2 2 3 6 5 7" xfId="19534" xr:uid="{76EF33FE-6BD5-46DC-A513-C2BFACBC257C}"/>
    <cellStyle name="Comma 2 2 3 6 6" xfId="15150" xr:uid="{F8745D6B-DAEF-448D-BC84-2563AA83F455}"/>
    <cellStyle name="Comma 2 2 3 6 6 2" xfId="51658" xr:uid="{C70422AE-EDC1-4D06-9C22-9E0AA4550DF1}"/>
    <cellStyle name="Comma 2 2 3 6 6 3" xfId="33404" xr:uid="{BE024164-4525-46E8-95F5-2E8CE1A0DC27}"/>
    <cellStyle name="Comma 2 2 3 6 7" xfId="11500" xr:uid="{E21AAE9B-EBC9-4103-81F5-BEAE64ABC386}"/>
    <cellStyle name="Comma 2 2 3 6 7 2" xfId="48008" xr:uid="{76295B7B-832F-4DF9-B86F-037B1696EDF0}"/>
    <cellStyle name="Comma 2 2 3 6 7 3" xfId="29754" xr:uid="{49B08671-C5DD-4950-A260-C1490240D6B3}"/>
    <cellStyle name="Comma 2 2 3 6 8" xfId="7850" xr:uid="{189C5B8A-7DDD-4EC8-8102-34AECF80B632}"/>
    <cellStyle name="Comma 2 2 3 6 8 2" xfId="44358" xr:uid="{092A4175-EB64-48BB-B88A-6BF2401327C5}"/>
    <cellStyle name="Comma 2 2 3 6 8 3" xfId="26104" xr:uid="{CEEE17F9-CBA8-496D-AA40-FFDC108FA8E6}"/>
    <cellStyle name="Comma 2 2 3 6 9" xfId="4200" xr:uid="{6D0743B2-5525-472B-AEF1-A1FAA13B401B}"/>
    <cellStyle name="Comma 2 2 3 6 9 2" xfId="40708" xr:uid="{F349085C-688E-4544-98BB-23CA2EE5ADAF}"/>
    <cellStyle name="Comma 2 2 3 6 9 3" xfId="22454" xr:uid="{6C8E4F91-2581-4AA1-8FBB-2C72C1BB2143}"/>
    <cellStyle name="Comma 2 2 3 7" xfId="446" xr:uid="{0A01A027-F603-43EE-A5C4-25F94CA865CE}"/>
    <cellStyle name="Comma 2 2 3 7 10" xfId="36954" xr:uid="{F07E6FE5-6065-4D05-AE24-FFA9BF833D7D}"/>
    <cellStyle name="Comma 2 2 3 7 11" xfId="18700" xr:uid="{DE489B3C-5B24-4129-92D3-C8D9C054319F}"/>
    <cellStyle name="Comma 2 2 3 7 2" xfId="3366" xr:uid="{A886787A-6420-4826-A69C-F9E99D263FB5}"/>
    <cellStyle name="Comma 2 2 3 7 2 2" xfId="17966" xr:uid="{D3F4C11C-B7BB-42B3-9D1D-245300AC099B}"/>
    <cellStyle name="Comma 2 2 3 7 2 2 2" xfId="54474" xr:uid="{654139F3-6D9E-44E1-83E5-832CED261880}"/>
    <cellStyle name="Comma 2 2 3 7 2 2 3" xfId="36220" xr:uid="{B6E8597E-BA7A-41F5-9688-D0BB88EF0EF4}"/>
    <cellStyle name="Comma 2 2 3 7 2 3" xfId="14316" xr:uid="{28434A5A-ED9F-45E6-81D5-0A80F543E9E3}"/>
    <cellStyle name="Comma 2 2 3 7 2 3 2" xfId="50824" xr:uid="{F7BCCC29-4EF4-4931-BBE2-1721C65BBC33}"/>
    <cellStyle name="Comma 2 2 3 7 2 3 3" xfId="32570" xr:uid="{6231FFA9-0980-46DB-80D1-A4C73E044634}"/>
    <cellStyle name="Comma 2 2 3 7 2 4" xfId="10666" xr:uid="{B389DD33-B374-48A7-BFE4-BC46925FE6A9}"/>
    <cellStyle name="Comma 2 2 3 7 2 4 2" xfId="47174" xr:uid="{7DF72726-9109-436D-9501-A93D64D56C26}"/>
    <cellStyle name="Comma 2 2 3 7 2 4 3" xfId="28920" xr:uid="{9E191F30-2FBD-497C-8440-7825E26AAB3D}"/>
    <cellStyle name="Comma 2 2 3 7 2 5" xfId="7016" xr:uid="{8943EF3A-9F1E-4F19-AE11-9796B2BC95AA}"/>
    <cellStyle name="Comma 2 2 3 7 2 5 2" xfId="43524" xr:uid="{5A6CA992-A5D4-4D34-8C52-FE64904902FC}"/>
    <cellStyle name="Comma 2 2 3 7 2 5 3" xfId="25270" xr:uid="{7D86F8F7-12F9-47BF-BBA8-C41D2521368C}"/>
    <cellStyle name="Comma 2 2 3 7 2 6" xfId="39874" xr:uid="{5BE588BD-A560-4C6F-BB5A-AEB1C162CB4F}"/>
    <cellStyle name="Comma 2 2 3 7 2 7" xfId="21620" xr:uid="{44AEDC85-1CD2-427C-8068-30DB4AE45526}"/>
    <cellStyle name="Comma 2 2 3 7 3" xfId="2636" xr:uid="{E1EF5CF4-CD6C-4CF5-8C24-B59075D9E03D}"/>
    <cellStyle name="Comma 2 2 3 7 3 2" xfId="17236" xr:uid="{18D987AB-7BA5-4F69-80B9-6663C934DC2C}"/>
    <cellStyle name="Comma 2 2 3 7 3 2 2" xfId="53744" xr:uid="{CD6B7722-F5DE-4C4A-8B29-5EEB0D438054}"/>
    <cellStyle name="Comma 2 2 3 7 3 2 3" xfId="35490" xr:uid="{FEC7638E-FA0A-48F3-8BA4-20F053869C74}"/>
    <cellStyle name="Comma 2 2 3 7 3 3" xfId="13586" xr:uid="{0C696125-9104-4904-A059-7F848C0D8437}"/>
    <cellStyle name="Comma 2 2 3 7 3 3 2" xfId="50094" xr:uid="{A3C5162F-8C3C-4FEF-B6E9-92C3DBCAB1EF}"/>
    <cellStyle name="Comma 2 2 3 7 3 3 3" xfId="31840" xr:uid="{6037C902-B16A-442D-88BF-E3DB6A1CCFFA}"/>
    <cellStyle name="Comma 2 2 3 7 3 4" xfId="9936" xr:uid="{5EE6F5ED-1956-4444-A06F-074B4EA8E412}"/>
    <cellStyle name="Comma 2 2 3 7 3 4 2" xfId="46444" xr:uid="{49F442C0-32FB-4508-A3EA-F1A4FAA36753}"/>
    <cellStyle name="Comma 2 2 3 7 3 4 3" xfId="28190" xr:uid="{C8F26830-B0BE-47FC-9EBF-F9B1601182DD}"/>
    <cellStyle name="Comma 2 2 3 7 3 5" xfId="6286" xr:uid="{117FEE49-7703-4221-A332-845563AD2753}"/>
    <cellStyle name="Comma 2 2 3 7 3 5 2" xfId="42794" xr:uid="{4FD1C65D-474A-4A23-BB11-8F91CAFABE6B}"/>
    <cellStyle name="Comma 2 2 3 7 3 5 3" xfId="24540" xr:uid="{0534C44D-E447-499F-A610-17398F681F18}"/>
    <cellStyle name="Comma 2 2 3 7 3 6" xfId="39144" xr:uid="{4A6FE60A-A37E-47BF-B2D9-4C77EB3717BF}"/>
    <cellStyle name="Comma 2 2 3 7 3 7" xfId="20890" xr:uid="{AD4BD48B-15D9-4F0A-ADCA-339F15D4690D}"/>
    <cellStyle name="Comma 2 2 3 7 4" xfId="1906" xr:uid="{41B1A7DD-0EA1-4C5D-9FFD-62B9079A1FAA}"/>
    <cellStyle name="Comma 2 2 3 7 4 2" xfId="16506" xr:uid="{642837AE-66AA-4717-AAFD-D7C505785B83}"/>
    <cellStyle name="Comma 2 2 3 7 4 2 2" xfId="53014" xr:uid="{F096F8F3-9980-46ED-B68C-309E57BDB65E}"/>
    <cellStyle name="Comma 2 2 3 7 4 2 3" xfId="34760" xr:uid="{AA68C6A0-3730-4F15-B81F-BFDB8786F3F0}"/>
    <cellStyle name="Comma 2 2 3 7 4 3" xfId="12856" xr:uid="{5C2810B4-FC37-436D-9BF4-8C025E2AFD49}"/>
    <cellStyle name="Comma 2 2 3 7 4 3 2" xfId="49364" xr:uid="{82DDFE30-D597-4CC1-A8FE-DF4931E7F934}"/>
    <cellStyle name="Comma 2 2 3 7 4 3 3" xfId="31110" xr:uid="{2CCB184B-6109-4D91-9B90-7C0510D49A58}"/>
    <cellStyle name="Comma 2 2 3 7 4 4" xfId="9206" xr:uid="{D57B5D82-BC1E-4939-9F7E-F43D90555667}"/>
    <cellStyle name="Comma 2 2 3 7 4 4 2" xfId="45714" xr:uid="{B46606C3-B314-4E5F-BA9A-2DC0BBB60A77}"/>
    <cellStyle name="Comma 2 2 3 7 4 4 3" xfId="27460" xr:uid="{FBDA61BE-EA62-4F8B-B45F-A818A0E55499}"/>
    <cellStyle name="Comma 2 2 3 7 4 5" xfId="5556" xr:uid="{AFCF572B-4191-4EC4-9CB0-3E0DFC606897}"/>
    <cellStyle name="Comma 2 2 3 7 4 5 2" xfId="42064" xr:uid="{B8264D74-C780-46EC-83F3-9528CC8097C2}"/>
    <cellStyle name="Comma 2 2 3 7 4 5 3" xfId="23810" xr:uid="{FE2F9E34-ECD5-43CE-A6A1-A24BD2E78949}"/>
    <cellStyle name="Comma 2 2 3 7 4 6" xfId="38414" xr:uid="{F38B4D34-70C7-46EE-983B-2798CA861ABB}"/>
    <cellStyle name="Comma 2 2 3 7 4 7" xfId="20160" xr:uid="{55B02098-FDF2-4C36-AF91-85739F359A8A}"/>
    <cellStyle name="Comma 2 2 3 7 5" xfId="1176" xr:uid="{27A46EDB-7AF9-432C-A855-E53B4627000C}"/>
    <cellStyle name="Comma 2 2 3 7 5 2" xfId="15776" xr:uid="{0D1E9B76-DC7D-4E5A-BE42-AFEAA4F07BFB}"/>
    <cellStyle name="Comma 2 2 3 7 5 2 2" xfId="52284" xr:uid="{4A737A88-E05C-4097-8351-E38A0D53DC18}"/>
    <cellStyle name="Comma 2 2 3 7 5 2 3" xfId="34030" xr:uid="{BA668C12-D599-4F19-A2A6-B0714786801A}"/>
    <cellStyle name="Comma 2 2 3 7 5 3" xfId="12126" xr:uid="{54B9CD7B-8CD6-4F21-9851-8B01BF6D5F04}"/>
    <cellStyle name="Comma 2 2 3 7 5 3 2" xfId="48634" xr:uid="{F90B43EE-22B0-4B42-8AB1-F9BB0CB51B68}"/>
    <cellStyle name="Comma 2 2 3 7 5 3 3" xfId="30380" xr:uid="{701A80DC-BEDB-4677-A47C-FCD9EAD4717D}"/>
    <cellStyle name="Comma 2 2 3 7 5 4" xfId="8476" xr:uid="{1738CB0E-938B-4D79-8F16-0E2EB96A3569}"/>
    <cellStyle name="Comma 2 2 3 7 5 4 2" xfId="44984" xr:uid="{2D2DE173-BA61-4597-81F3-0B520F62EBAD}"/>
    <cellStyle name="Comma 2 2 3 7 5 4 3" xfId="26730" xr:uid="{41E98827-FDCC-442D-97BF-B8A0A6FD7F46}"/>
    <cellStyle name="Comma 2 2 3 7 5 5" xfId="4826" xr:uid="{339D5ADD-DA45-4213-9A43-39CCB2E89FBD}"/>
    <cellStyle name="Comma 2 2 3 7 5 5 2" xfId="41334" xr:uid="{741E33ED-A0A9-4F92-A390-3AC03FED41B8}"/>
    <cellStyle name="Comma 2 2 3 7 5 5 3" xfId="23080" xr:uid="{F1ABB221-7025-4A2E-B71A-7B8D1F6A94EB}"/>
    <cellStyle name="Comma 2 2 3 7 5 6" xfId="37684" xr:uid="{001D4D00-0F9C-4286-AA4B-59AA82B5CA4C}"/>
    <cellStyle name="Comma 2 2 3 7 5 7" xfId="19430" xr:uid="{0D281856-CE83-4DE7-98F8-BFD3C1FB5224}"/>
    <cellStyle name="Comma 2 2 3 7 6" xfId="15046" xr:uid="{79A4F4BB-4698-4747-B117-D0F3FABCD9DF}"/>
    <cellStyle name="Comma 2 2 3 7 6 2" xfId="51554" xr:uid="{000FA0D1-359F-4CF0-998C-28FA83EE318C}"/>
    <cellStyle name="Comma 2 2 3 7 6 3" xfId="33300" xr:uid="{75219EE7-D90E-42DC-BEC5-F452C2093632}"/>
    <cellStyle name="Comma 2 2 3 7 7" xfId="11396" xr:uid="{E99C60D3-0028-4AD4-B8CB-D6C51A52919E}"/>
    <cellStyle name="Comma 2 2 3 7 7 2" xfId="47904" xr:uid="{27AD9545-9CAB-4ED8-A1C6-0A1E9E7C9905}"/>
    <cellStyle name="Comma 2 2 3 7 7 3" xfId="29650" xr:uid="{EC47A3BE-FD9E-4AD2-9E56-A5CBC587AB65}"/>
    <cellStyle name="Comma 2 2 3 7 8" xfId="7746" xr:uid="{B4686C43-55C1-4AC7-9E0D-17BA0112624E}"/>
    <cellStyle name="Comma 2 2 3 7 8 2" xfId="44254" xr:uid="{A10BA3D4-35E2-4AEA-8216-7DD562ED0248}"/>
    <cellStyle name="Comma 2 2 3 7 8 3" xfId="26000" xr:uid="{96D4F61B-0E70-4FF9-B81D-98111059BB24}"/>
    <cellStyle name="Comma 2 2 3 7 9" xfId="4096" xr:uid="{584B8655-A0CC-41D5-A1CC-83A280B1DFF6}"/>
    <cellStyle name="Comma 2 2 3 7 9 2" xfId="40604" xr:uid="{4D9FCBDA-04EA-4DFF-B2AB-A29DD26B3267}"/>
    <cellStyle name="Comma 2 2 3 7 9 3" xfId="22350" xr:uid="{6931C0B3-AC72-4697-831B-52062439F06A}"/>
    <cellStyle name="Comma 2 2 3 8" xfId="342" xr:uid="{8A33CFB5-1D60-4D00-8260-C2DF4C024954}"/>
    <cellStyle name="Comma 2 2 3 8 10" xfId="36850" xr:uid="{7355C496-C253-4014-90BB-CFA298818393}"/>
    <cellStyle name="Comma 2 2 3 8 11" xfId="18596" xr:uid="{7F472BA5-9877-498E-8AAA-613F90AD928E}"/>
    <cellStyle name="Comma 2 2 3 8 2" xfId="3262" xr:uid="{0028A905-45C0-4FA5-9A07-C88B0B488ED0}"/>
    <cellStyle name="Comma 2 2 3 8 2 2" xfId="17862" xr:uid="{6FCA0E30-362B-4FD2-8663-EB35C8B1F338}"/>
    <cellStyle name="Comma 2 2 3 8 2 2 2" xfId="54370" xr:uid="{54B394AD-A9F4-46E0-98F9-1821328F3C0A}"/>
    <cellStyle name="Comma 2 2 3 8 2 2 3" xfId="36116" xr:uid="{3C60DE90-713C-4159-A0FF-9DF815494851}"/>
    <cellStyle name="Comma 2 2 3 8 2 3" xfId="14212" xr:uid="{727C3F02-EC25-424A-BD7F-0D88C9807353}"/>
    <cellStyle name="Comma 2 2 3 8 2 3 2" xfId="50720" xr:uid="{34380D3A-1D7F-4616-88F1-C3BBC90DCDE3}"/>
    <cellStyle name="Comma 2 2 3 8 2 3 3" xfId="32466" xr:uid="{6551C06D-8561-44AB-BEEC-A929F061CA98}"/>
    <cellStyle name="Comma 2 2 3 8 2 4" xfId="10562" xr:uid="{27AB5211-BF63-47AB-B294-63B2EF824641}"/>
    <cellStyle name="Comma 2 2 3 8 2 4 2" xfId="47070" xr:uid="{D9BAE8D1-5DCE-41E8-99E6-46D2C67CC719}"/>
    <cellStyle name="Comma 2 2 3 8 2 4 3" xfId="28816" xr:uid="{8329F520-3D40-4994-BFCB-E2FB1D6D948E}"/>
    <cellStyle name="Comma 2 2 3 8 2 5" xfId="6912" xr:uid="{642672D5-F1FB-468F-91D5-2AB19E8703BA}"/>
    <cellStyle name="Comma 2 2 3 8 2 5 2" xfId="43420" xr:uid="{C5B6DFD9-3840-40CE-ADDC-A73A22A1C657}"/>
    <cellStyle name="Comma 2 2 3 8 2 5 3" xfId="25166" xr:uid="{91E2C10B-9520-40E4-A5C6-A3CFDC3DA8AE}"/>
    <cellStyle name="Comma 2 2 3 8 2 6" xfId="39770" xr:uid="{DFFD257F-5F33-496A-98EC-313E62D09AA5}"/>
    <cellStyle name="Comma 2 2 3 8 2 7" xfId="21516" xr:uid="{1C9C121B-35A5-481C-8861-AC5C67E60522}"/>
    <cellStyle name="Comma 2 2 3 8 3" xfId="2532" xr:uid="{2E79099B-CF10-4B87-AA29-AE579DB1F4C0}"/>
    <cellStyle name="Comma 2 2 3 8 3 2" xfId="17132" xr:uid="{8D29B8C3-7C48-4D7C-828B-4C1FC1636BF0}"/>
    <cellStyle name="Comma 2 2 3 8 3 2 2" xfId="53640" xr:uid="{4DEE5CE2-0F8E-40AE-984B-EBF4EECFCF89}"/>
    <cellStyle name="Comma 2 2 3 8 3 2 3" xfId="35386" xr:uid="{56EC15AA-1541-4675-8F62-BCA47B670456}"/>
    <cellStyle name="Comma 2 2 3 8 3 3" xfId="13482" xr:uid="{9DF7592D-406D-441F-80DF-B95B180460E5}"/>
    <cellStyle name="Comma 2 2 3 8 3 3 2" xfId="49990" xr:uid="{A3963EBF-EC86-4B3A-8CCD-C25B852254C4}"/>
    <cellStyle name="Comma 2 2 3 8 3 3 3" xfId="31736" xr:uid="{E57AFD13-EE13-46B2-B731-CE9133F88818}"/>
    <cellStyle name="Comma 2 2 3 8 3 4" xfId="9832" xr:uid="{63332931-CF59-4C4D-A3AC-C64D07466069}"/>
    <cellStyle name="Comma 2 2 3 8 3 4 2" xfId="46340" xr:uid="{A545ACF0-D9A5-4B45-820C-2CEF038664ED}"/>
    <cellStyle name="Comma 2 2 3 8 3 4 3" xfId="28086" xr:uid="{A2BA2CA9-5D5C-4F6E-9F0A-8E117BBC06BF}"/>
    <cellStyle name="Comma 2 2 3 8 3 5" xfId="6182" xr:uid="{48C5CD06-3ABB-4536-B0BF-9D4CBCFA1CCC}"/>
    <cellStyle name="Comma 2 2 3 8 3 5 2" xfId="42690" xr:uid="{909356E6-0322-4B33-B92A-4E7C4B3597FE}"/>
    <cellStyle name="Comma 2 2 3 8 3 5 3" xfId="24436" xr:uid="{1AE2B6D4-B234-4580-B2EE-6DBF7FC22B16}"/>
    <cellStyle name="Comma 2 2 3 8 3 6" xfId="39040" xr:uid="{C8C2C995-DA61-4687-B782-D57D0844C634}"/>
    <cellStyle name="Comma 2 2 3 8 3 7" xfId="20786" xr:uid="{1275CADB-3A29-4A04-971C-5F3BF94B9B41}"/>
    <cellStyle name="Comma 2 2 3 8 4" xfId="1802" xr:uid="{28EA64A4-294E-4102-856B-F78683A64407}"/>
    <cellStyle name="Comma 2 2 3 8 4 2" xfId="16402" xr:uid="{15948766-79B6-48D3-B2F6-E950E9F3BF98}"/>
    <cellStyle name="Comma 2 2 3 8 4 2 2" xfId="52910" xr:uid="{BD8AA43A-F58F-4FA8-8D34-E78C04A239E0}"/>
    <cellStyle name="Comma 2 2 3 8 4 2 3" xfId="34656" xr:uid="{305620E3-1127-4CEA-B4B3-8C656B942CFF}"/>
    <cellStyle name="Comma 2 2 3 8 4 3" xfId="12752" xr:uid="{4B73662C-53F4-4D43-896E-BE465E745CFA}"/>
    <cellStyle name="Comma 2 2 3 8 4 3 2" xfId="49260" xr:uid="{CFEC0205-2F48-4E47-BC13-19EA15CB6376}"/>
    <cellStyle name="Comma 2 2 3 8 4 3 3" xfId="31006" xr:uid="{CA2C763F-A1AF-43CA-8069-08D1F7CF1E82}"/>
    <cellStyle name="Comma 2 2 3 8 4 4" xfId="9102" xr:uid="{2F33CAF6-8EC3-4E29-A544-39DA64715768}"/>
    <cellStyle name="Comma 2 2 3 8 4 4 2" xfId="45610" xr:uid="{93A213DD-175D-4FED-BCD6-A148CD506A71}"/>
    <cellStyle name="Comma 2 2 3 8 4 4 3" xfId="27356" xr:uid="{014ABBD2-139B-4EA2-8985-68957BF16EBD}"/>
    <cellStyle name="Comma 2 2 3 8 4 5" xfId="5452" xr:uid="{0E78BED5-E8D9-46EA-8913-14BE22FC5C94}"/>
    <cellStyle name="Comma 2 2 3 8 4 5 2" xfId="41960" xr:uid="{B927309F-79BC-44B4-8088-954C7026368C}"/>
    <cellStyle name="Comma 2 2 3 8 4 5 3" xfId="23706" xr:uid="{E1785CED-7573-4187-9600-1ADB0D370B4F}"/>
    <cellStyle name="Comma 2 2 3 8 4 6" xfId="38310" xr:uid="{0AEE9427-F95A-49A1-B7C4-B4A17C969F54}"/>
    <cellStyle name="Comma 2 2 3 8 4 7" xfId="20056" xr:uid="{F6000BC0-B1B3-4284-B80B-B6411BFDEFA4}"/>
    <cellStyle name="Comma 2 2 3 8 5" xfId="1072" xr:uid="{BFA220C2-C749-4E9E-87BB-188ABA7D4E9E}"/>
    <cellStyle name="Comma 2 2 3 8 5 2" xfId="15672" xr:uid="{E20A1667-0393-4A08-8C60-5DDF4F0469B1}"/>
    <cellStyle name="Comma 2 2 3 8 5 2 2" xfId="52180" xr:uid="{F6D1D49A-2EE8-4C92-A6BE-58B2D62F03F1}"/>
    <cellStyle name="Comma 2 2 3 8 5 2 3" xfId="33926" xr:uid="{E19121D1-7382-4933-89BD-67DFAF16A8E8}"/>
    <cellStyle name="Comma 2 2 3 8 5 3" xfId="12022" xr:uid="{707999B4-88E5-470D-A6F4-2CA05D169718}"/>
    <cellStyle name="Comma 2 2 3 8 5 3 2" xfId="48530" xr:uid="{7544CBB3-FB44-46B6-942E-CB2B001C5A46}"/>
    <cellStyle name="Comma 2 2 3 8 5 3 3" xfId="30276" xr:uid="{8DD6244E-8DE0-425A-B07E-0F394377FE80}"/>
    <cellStyle name="Comma 2 2 3 8 5 4" xfId="8372" xr:uid="{9B1337EB-9EC1-41DE-BE55-BA37D3F4162A}"/>
    <cellStyle name="Comma 2 2 3 8 5 4 2" xfId="44880" xr:uid="{07FC4659-007E-49A6-9AE6-66CA4CC14EB3}"/>
    <cellStyle name="Comma 2 2 3 8 5 4 3" xfId="26626" xr:uid="{DE72AD05-300E-4DC8-BC1B-4A56EA28F7D7}"/>
    <cellStyle name="Comma 2 2 3 8 5 5" xfId="4722" xr:uid="{E8C2F1CC-E580-4006-82D1-9D05E4515561}"/>
    <cellStyle name="Comma 2 2 3 8 5 5 2" xfId="41230" xr:uid="{9880C86A-A3F6-4DB2-B862-C82BCC0D5480}"/>
    <cellStyle name="Comma 2 2 3 8 5 5 3" xfId="22976" xr:uid="{477E42C5-3C8E-4172-959B-331B4A5E9875}"/>
    <cellStyle name="Comma 2 2 3 8 5 6" xfId="37580" xr:uid="{B53239AB-E27E-451B-8C3A-9A2F9AF9A3E7}"/>
    <cellStyle name="Comma 2 2 3 8 5 7" xfId="19326" xr:uid="{C1DA2366-12DD-4B94-9AB7-0402337E1075}"/>
    <cellStyle name="Comma 2 2 3 8 6" xfId="14942" xr:uid="{4B6F5A22-768D-4190-9F50-061470B95783}"/>
    <cellStyle name="Comma 2 2 3 8 6 2" xfId="51450" xr:uid="{049F0DD9-9FA5-4BD7-A5D5-830BE43F14D0}"/>
    <cellStyle name="Comma 2 2 3 8 6 3" xfId="33196" xr:uid="{255AE799-DDBA-48E3-9F88-BE6273248D8C}"/>
    <cellStyle name="Comma 2 2 3 8 7" xfId="11292" xr:uid="{70C2D120-1C19-4370-A713-96592C578F2F}"/>
    <cellStyle name="Comma 2 2 3 8 7 2" xfId="47800" xr:uid="{E081B3E2-C93D-40CB-8219-96A78DC98116}"/>
    <cellStyle name="Comma 2 2 3 8 7 3" xfId="29546" xr:uid="{B5F0F239-E30F-4D57-A107-5B99E3621D30}"/>
    <cellStyle name="Comma 2 2 3 8 8" xfId="7642" xr:uid="{2B330BA1-A9FB-4A91-A0B5-461E61ED3194}"/>
    <cellStyle name="Comma 2 2 3 8 8 2" xfId="44150" xr:uid="{0429780E-E8AF-447B-A6C4-998D32E056FE}"/>
    <cellStyle name="Comma 2 2 3 8 8 3" xfId="25896" xr:uid="{0B0F3DEC-78FF-40E1-B31C-BEBD34098320}"/>
    <cellStyle name="Comma 2 2 3 8 9" xfId="3992" xr:uid="{D91471C2-B368-450B-B147-B6B113A0394D}"/>
    <cellStyle name="Comma 2 2 3 8 9 2" xfId="40500" xr:uid="{CF18C61B-DB28-4734-92C7-A1CD1247B759}"/>
    <cellStyle name="Comma 2 2 3 8 9 3" xfId="22246" xr:uid="{E4A89A9C-E00F-4BA0-B88A-34B6542056AA}"/>
    <cellStyle name="Comma 2 2 3 9" xfId="238" xr:uid="{D8F09BDE-428F-4FED-8F4C-3953D265717D}"/>
    <cellStyle name="Comma 2 2 3 9 10" xfId="36746" xr:uid="{4BFA158A-495D-4F10-950F-D40676BDF244}"/>
    <cellStyle name="Comma 2 2 3 9 11" xfId="18492" xr:uid="{AF33D072-3103-4676-A206-4A4C90150D92}"/>
    <cellStyle name="Comma 2 2 3 9 2" xfId="3158" xr:uid="{95A29A45-492F-4342-B05E-16DB1C091C6D}"/>
    <cellStyle name="Comma 2 2 3 9 2 2" xfId="17758" xr:uid="{A146F1EF-0167-4374-A2F9-3A4BF868A09D}"/>
    <cellStyle name="Comma 2 2 3 9 2 2 2" xfId="54266" xr:uid="{2E6C214F-0226-4A8E-9CCA-F2975CDA223E}"/>
    <cellStyle name="Comma 2 2 3 9 2 2 3" xfId="36012" xr:uid="{8FA76EC8-B3A4-4BC0-AE1E-B947B6CB9010}"/>
    <cellStyle name="Comma 2 2 3 9 2 3" xfId="14108" xr:uid="{7F30F49D-A7FD-47B9-9D38-23659B513FFA}"/>
    <cellStyle name="Comma 2 2 3 9 2 3 2" xfId="50616" xr:uid="{EFDAEDAA-A1E7-48FA-9F69-18D0AC61FB1D}"/>
    <cellStyle name="Comma 2 2 3 9 2 3 3" xfId="32362" xr:uid="{05A0D784-5475-4281-8D56-E2835A341AEA}"/>
    <cellStyle name="Comma 2 2 3 9 2 4" xfId="10458" xr:uid="{3AADAE3E-60D0-41D5-8396-2AC8968ECC61}"/>
    <cellStyle name="Comma 2 2 3 9 2 4 2" xfId="46966" xr:uid="{3311E97F-23A6-46C7-898C-79BA152DEAE5}"/>
    <cellStyle name="Comma 2 2 3 9 2 4 3" xfId="28712" xr:uid="{96272929-CED3-4641-BA22-80DDF162AA47}"/>
    <cellStyle name="Comma 2 2 3 9 2 5" xfId="6808" xr:uid="{094756EE-424E-4BAC-AF40-03665D1A1D89}"/>
    <cellStyle name="Comma 2 2 3 9 2 5 2" xfId="43316" xr:uid="{A2BFB494-E927-4815-B2E1-6BB99E14E89B}"/>
    <cellStyle name="Comma 2 2 3 9 2 5 3" xfId="25062" xr:uid="{11A64148-B6A4-4C40-8622-F442212A3C53}"/>
    <cellStyle name="Comma 2 2 3 9 2 6" xfId="39666" xr:uid="{B55E4794-13E9-4C68-A343-04CF1709674D}"/>
    <cellStyle name="Comma 2 2 3 9 2 7" xfId="21412" xr:uid="{26CBA4D8-04EE-402E-AC98-8DC2BDAFA588}"/>
    <cellStyle name="Comma 2 2 3 9 3" xfId="2428" xr:uid="{DEAA9EDA-2989-4F2E-87A3-A9957329D4A1}"/>
    <cellStyle name="Comma 2 2 3 9 3 2" xfId="17028" xr:uid="{176FB87C-CD0B-4DC2-BBDA-325AA237D863}"/>
    <cellStyle name="Comma 2 2 3 9 3 2 2" xfId="53536" xr:uid="{67EB7772-0B42-4476-A90A-0715BDE4CEBE}"/>
    <cellStyle name="Comma 2 2 3 9 3 2 3" xfId="35282" xr:uid="{A05E077C-90F2-4D05-9BCB-39102026B21B}"/>
    <cellStyle name="Comma 2 2 3 9 3 3" xfId="13378" xr:uid="{9C4929D6-F463-4635-9E72-C42DF32ED5A1}"/>
    <cellStyle name="Comma 2 2 3 9 3 3 2" xfId="49886" xr:uid="{20E210F4-C95B-40F4-BB3F-9DE8CD3D78BB}"/>
    <cellStyle name="Comma 2 2 3 9 3 3 3" xfId="31632" xr:uid="{16F2C453-6FD1-4521-8584-9FE5DBD3CD2A}"/>
    <cellStyle name="Comma 2 2 3 9 3 4" xfId="9728" xr:uid="{D656A72A-178C-4AF6-AF95-E8943DC868BD}"/>
    <cellStyle name="Comma 2 2 3 9 3 4 2" xfId="46236" xr:uid="{699669D7-588E-4027-B0C2-9391FC00BAC4}"/>
    <cellStyle name="Comma 2 2 3 9 3 4 3" xfId="27982" xr:uid="{8BC6CECA-1930-4418-9D36-B21A9171D097}"/>
    <cellStyle name="Comma 2 2 3 9 3 5" xfId="6078" xr:uid="{1B004B30-DC62-4D07-96A6-A2C021FE4ADE}"/>
    <cellStyle name="Comma 2 2 3 9 3 5 2" xfId="42586" xr:uid="{D1C41981-2778-45F9-A46F-E6353E7FE81F}"/>
    <cellStyle name="Comma 2 2 3 9 3 5 3" xfId="24332" xr:uid="{74550188-271A-439E-903D-967E37FD7273}"/>
    <cellStyle name="Comma 2 2 3 9 3 6" xfId="38936" xr:uid="{69E4C849-D749-4C74-BDDB-0A7BB8EC0677}"/>
    <cellStyle name="Comma 2 2 3 9 3 7" xfId="20682" xr:uid="{79F333FE-5145-4F66-9AD1-E9EBE4F131C7}"/>
    <cellStyle name="Comma 2 2 3 9 4" xfId="1698" xr:uid="{6110BFB4-9177-437C-A390-920DE7BF2475}"/>
    <cellStyle name="Comma 2 2 3 9 4 2" xfId="16298" xr:uid="{233A4FFE-727E-4FD5-ABCE-36A9E552208F}"/>
    <cellStyle name="Comma 2 2 3 9 4 2 2" xfId="52806" xr:uid="{167D0D90-0F19-464F-B319-5AD51ED34E6A}"/>
    <cellStyle name="Comma 2 2 3 9 4 2 3" xfId="34552" xr:uid="{9A823CD4-8D2E-46B7-B1CE-222CD6452003}"/>
    <cellStyle name="Comma 2 2 3 9 4 3" xfId="12648" xr:uid="{627A4775-3080-4AA4-A79A-448449A0F2DE}"/>
    <cellStyle name="Comma 2 2 3 9 4 3 2" xfId="49156" xr:uid="{98C1E047-CC08-40B1-A38D-03DF0C44A915}"/>
    <cellStyle name="Comma 2 2 3 9 4 3 3" xfId="30902" xr:uid="{6BE84476-4B69-4F92-86F2-90DAB68F9128}"/>
    <cellStyle name="Comma 2 2 3 9 4 4" xfId="8998" xr:uid="{8C98B597-8990-4FDE-8959-73AC58336C98}"/>
    <cellStyle name="Comma 2 2 3 9 4 4 2" xfId="45506" xr:uid="{7CAA9229-37AC-42BC-A670-2D136BC29A09}"/>
    <cellStyle name="Comma 2 2 3 9 4 4 3" xfId="27252" xr:uid="{BA5279EA-1929-4951-BF1B-5F9EFAE3B896}"/>
    <cellStyle name="Comma 2 2 3 9 4 5" xfId="5348" xr:uid="{1336EB14-3F19-448A-83C7-24F0522D13A8}"/>
    <cellStyle name="Comma 2 2 3 9 4 5 2" xfId="41856" xr:uid="{167E6318-DC94-4549-A6FC-E554AE21C9C8}"/>
    <cellStyle name="Comma 2 2 3 9 4 5 3" xfId="23602" xr:uid="{09CCE688-F590-4EB0-BFA0-57BC12C73280}"/>
    <cellStyle name="Comma 2 2 3 9 4 6" xfId="38206" xr:uid="{1FF9538A-82DF-4196-91C2-234C9A8A8933}"/>
    <cellStyle name="Comma 2 2 3 9 4 7" xfId="19952" xr:uid="{27AE56DE-78EF-4CD2-872B-C0ECD22A8A05}"/>
    <cellStyle name="Comma 2 2 3 9 5" xfId="968" xr:uid="{CEE188DE-59FB-456B-985B-09C0925253D6}"/>
    <cellStyle name="Comma 2 2 3 9 5 2" xfId="15568" xr:uid="{F79D0572-A3F4-4D06-9ECD-0144368608C3}"/>
    <cellStyle name="Comma 2 2 3 9 5 2 2" xfId="52076" xr:uid="{CB30AE48-3E8D-4BC7-8F7F-E74A41172AE9}"/>
    <cellStyle name="Comma 2 2 3 9 5 2 3" xfId="33822" xr:uid="{C181B702-D232-4742-AAEA-9FD47865EBE2}"/>
    <cellStyle name="Comma 2 2 3 9 5 3" xfId="11918" xr:uid="{4161B2CC-6A54-4B2E-8BE4-ECAC5EB320D0}"/>
    <cellStyle name="Comma 2 2 3 9 5 3 2" xfId="48426" xr:uid="{6B5D20EB-E9D2-49FD-AD25-A16D3284E0F6}"/>
    <cellStyle name="Comma 2 2 3 9 5 3 3" xfId="30172" xr:uid="{DA7FDB3D-5651-463B-83DF-BAD5FE4EA036}"/>
    <cellStyle name="Comma 2 2 3 9 5 4" xfId="8268" xr:uid="{BF61723E-A898-423D-A418-D20D972E2943}"/>
    <cellStyle name="Comma 2 2 3 9 5 4 2" xfId="44776" xr:uid="{0D51B991-8D36-40D2-A71C-9584CB87B953}"/>
    <cellStyle name="Comma 2 2 3 9 5 4 3" xfId="26522" xr:uid="{941537D4-897E-4818-BE67-8E2A0D61520C}"/>
    <cellStyle name="Comma 2 2 3 9 5 5" xfId="4618" xr:uid="{8B4CA6E5-7A93-43D7-887D-EA882DE19929}"/>
    <cellStyle name="Comma 2 2 3 9 5 5 2" xfId="41126" xr:uid="{B5FC03B8-8B06-4B3B-8D97-67ED796FD149}"/>
    <cellStyle name="Comma 2 2 3 9 5 5 3" xfId="22872" xr:uid="{536D2F35-BD7B-4BC0-9C8B-0C59F9017D0E}"/>
    <cellStyle name="Comma 2 2 3 9 5 6" xfId="37476" xr:uid="{9649C2AA-740E-4EC1-A80C-33CBA6238F97}"/>
    <cellStyle name="Comma 2 2 3 9 5 7" xfId="19222" xr:uid="{0AE8D5F3-0E10-43C7-B605-6B3A58F3B522}"/>
    <cellStyle name="Comma 2 2 3 9 6" xfId="14838" xr:uid="{A6C27F1D-304F-4B67-AA6B-971D2BCFE85D}"/>
    <cellStyle name="Comma 2 2 3 9 6 2" xfId="51346" xr:uid="{BACB83E6-B71A-4565-89F7-E28FDE9DB503}"/>
    <cellStyle name="Comma 2 2 3 9 6 3" xfId="33092" xr:uid="{A0EE1D0B-D09B-49F3-97C1-D139902BE945}"/>
    <cellStyle name="Comma 2 2 3 9 7" xfId="11188" xr:uid="{8F13E773-047B-418E-9437-EB5B8CF7B2CE}"/>
    <cellStyle name="Comma 2 2 3 9 7 2" xfId="47696" xr:uid="{5B182490-10D0-4867-B0E8-E1883E727538}"/>
    <cellStyle name="Comma 2 2 3 9 7 3" xfId="29442" xr:uid="{8972E2CD-1E8D-40A3-930E-0AB3F99A1296}"/>
    <cellStyle name="Comma 2 2 3 9 8" xfId="7538" xr:uid="{0F272E59-A6D4-46C8-827E-560BD8168E2E}"/>
    <cellStyle name="Comma 2 2 3 9 8 2" xfId="44046" xr:uid="{E7DE0E74-6743-4775-9F35-B8E0CAA0732F}"/>
    <cellStyle name="Comma 2 2 3 9 8 3" xfId="25792" xr:uid="{7B94911B-D0AD-443B-AB42-21878F27532F}"/>
    <cellStyle name="Comma 2 2 3 9 9" xfId="3888" xr:uid="{30F6311F-C6B6-4AB2-BEB1-8F9123A1DDCD}"/>
    <cellStyle name="Comma 2 2 3 9 9 2" xfId="40396" xr:uid="{AE500BB7-0E42-41EF-BD66-530200B58610}"/>
    <cellStyle name="Comma 2 2 3 9 9 3" xfId="22142" xr:uid="{A352EA02-51B1-4388-AAF3-914A33A1A9B2}"/>
    <cellStyle name="Comma 2 2 4" xfId="29" xr:uid="{CAB1B1D9-13DE-4CA6-BDB6-A182E875D0FF}"/>
    <cellStyle name="Comma 2 2 4 10" xfId="2958" xr:uid="{CBEC9D98-5986-4982-8A3E-7F25116E2507}"/>
    <cellStyle name="Comma 2 2 4 10 2" xfId="17558" xr:uid="{75484149-BA5D-4799-80C3-D64FE3ACC660}"/>
    <cellStyle name="Comma 2 2 4 10 2 2" xfId="54066" xr:uid="{ABF113D2-3057-4F12-A915-44EEAE9E012C}"/>
    <cellStyle name="Comma 2 2 4 10 2 3" xfId="35812" xr:uid="{9B47A6EB-B7EA-4824-8A65-C0EE5EB4400A}"/>
    <cellStyle name="Comma 2 2 4 10 3" xfId="13908" xr:uid="{A5046488-78E7-4B7E-BFC1-D5487C0993D7}"/>
    <cellStyle name="Comma 2 2 4 10 3 2" xfId="50416" xr:uid="{C74D40AE-2EE8-4C17-AED7-270BCC403CDF}"/>
    <cellStyle name="Comma 2 2 4 10 3 3" xfId="32162" xr:uid="{510A63B3-1834-4BBE-8A4D-2794F6E2CD2C}"/>
    <cellStyle name="Comma 2 2 4 10 4" xfId="10258" xr:uid="{073A4897-7C63-43C6-897E-9713290FB48F}"/>
    <cellStyle name="Comma 2 2 4 10 4 2" xfId="46766" xr:uid="{D5E38C78-7BDD-439B-A03A-28AC28A67D16}"/>
    <cellStyle name="Comma 2 2 4 10 4 3" xfId="28512" xr:uid="{97DDE5AC-4BC9-480D-ABC6-18EB570C7221}"/>
    <cellStyle name="Comma 2 2 4 10 5" xfId="6608" xr:uid="{6ECCA844-9F36-47C0-B353-C946C2041AD3}"/>
    <cellStyle name="Comma 2 2 4 10 5 2" xfId="43116" xr:uid="{48EEBB98-ACEB-4364-94B4-783B2B5CD83A}"/>
    <cellStyle name="Comma 2 2 4 10 5 3" xfId="24862" xr:uid="{8B077E41-A948-45DF-AC9B-68F6BFCD2914}"/>
    <cellStyle name="Comma 2 2 4 10 6" xfId="39466" xr:uid="{273661A5-CC6C-4367-B3C4-594EA3F08953}"/>
    <cellStyle name="Comma 2 2 4 10 7" xfId="21212" xr:uid="{79A7CC30-6729-4E2A-BF2A-EBA9549B9D82}"/>
    <cellStyle name="Comma 2 2 4 11" xfId="2228" xr:uid="{5FD6C4C4-0E01-4506-8359-A6E8AEDFF754}"/>
    <cellStyle name="Comma 2 2 4 11 2" xfId="16828" xr:uid="{1577A977-9538-45F8-8D70-87F3AAF26D9C}"/>
    <cellStyle name="Comma 2 2 4 11 2 2" xfId="53336" xr:uid="{B3B2DA0E-C362-49C0-84F1-5B581B4A1FD4}"/>
    <cellStyle name="Comma 2 2 4 11 2 3" xfId="35082" xr:uid="{E6FA9B50-A04B-4FC9-ADD2-B8D7951508A4}"/>
    <cellStyle name="Comma 2 2 4 11 3" xfId="13178" xr:uid="{243F0E6C-DDCF-4E0F-94AD-646B0DC938FD}"/>
    <cellStyle name="Comma 2 2 4 11 3 2" xfId="49686" xr:uid="{2A0375A2-6821-4C50-BF0A-D64F8717A0B8}"/>
    <cellStyle name="Comma 2 2 4 11 3 3" xfId="31432" xr:uid="{350B29F5-A000-4FD1-AF83-227E6F0F99EA}"/>
    <cellStyle name="Comma 2 2 4 11 4" xfId="9528" xr:uid="{9624F066-DA60-43FD-8685-CB429A9F5D8A}"/>
    <cellStyle name="Comma 2 2 4 11 4 2" xfId="46036" xr:uid="{6FE96047-A8D6-4850-BA6B-5893C5A60324}"/>
    <cellStyle name="Comma 2 2 4 11 4 3" xfId="27782" xr:uid="{B3B37D21-C758-4D63-910A-E02E74A2AEB8}"/>
    <cellStyle name="Comma 2 2 4 11 5" xfId="5878" xr:uid="{81017AA1-4E8C-4556-A918-8A203F8304D3}"/>
    <cellStyle name="Comma 2 2 4 11 5 2" xfId="42386" xr:uid="{5D374435-7921-46ED-B660-556D9F56350B}"/>
    <cellStyle name="Comma 2 2 4 11 5 3" xfId="24132" xr:uid="{45952834-28A3-4BB7-85DB-8F296DC84E09}"/>
    <cellStyle name="Comma 2 2 4 11 6" xfId="38736" xr:uid="{A386089E-943A-47EB-8A52-70203495CF43}"/>
    <cellStyle name="Comma 2 2 4 11 7" xfId="20482" xr:uid="{512E301B-968E-47FE-9A5B-7FC4C5CF1CF2}"/>
    <cellStyle name="Comma 2 2 4 12" xfId="1498" xr:uid="{3EEA1F28-A0DA-4741-9DF7-26AE4C403CBC}"/>
    <cellStyle name="Comma 2 2 4 12 2" xfId="16098" xr:uid="{75B71586-EE93-4C9E-AE33-19334F4F606E}"/>
    <cellStyle name="Comma 2 2 4 12 2 2" xfId="52606" xr:uid="{A41AD112-3918-447E-99E9-728C4DAB75A5}"/>
    <cellStyle name="Comma 2 2 4 12 2 3" xfId="34352" xr:uid="{B7F5897E-98A5-4358-A1E1-1C9FD7C64C2D}"/>
    <cellStyle name="Comma 2 2 4 12 3" xfId="12448" xr:uid="{1E48EEE9-3DA4-4A2E-9A5C-5E03C4FB1B2E}"/>
    <cellStyle name="Comma 2 2 4 12 3 2" xfId="48956" xr:uid="{6EE0B09D-49B7-4FDC-B668-B549616E1BD5}"/>
    <cellStyle name="Comma 2 2 4 12 3 3" xfId="30702" xr:uid="{B5C04F36-DF1C-4170-9167-EBFB1F4F3F5B}"/>
    <cellStyle name="Comma 2 2 4 12 4" xfId="8798" xr:uid="{CA9D452D-62DC-48D2-8612-47C2BE6661AF}"/>
    <cellStyle name="Comma 2 2 4 12 4 2" xfId="45306" xr:uid="{3316052E-BCAB-4AF2-851C-E45AA346DE34}"/>
    <cellStyle name="Comma 2 2 4 12 4 3" xfId="27052" xr:uid="{12389736-F762-4FAD-BAE8-E600B085A8C7}"/>
    <cellStyle name="Comma 2 2 4 12 5" xfId="5148" xr:uid="{3ECE1672-010E-44E3-9006-8657240A8BC7}"/>
    <cellStyle name="Comma 2 2 4 12 5 2" xfId="41656" xr:uid="{F77422FA-B39A-4E02-BF02-CD37CAF1F672}"/>
    <cellStyle name="Comma 2 2 4 12 5 3" xfId="23402" xr:uid="{5A2FC0A3-3C1D-444B-BDC6-E18434F750D9}"/>
    <cellStyle name="Comma 2 2 4 12 6" xfId="38006" xr:uid="{55CD4B2E-43D4-43D8-A8B2-B8F82D78874F}"/>
    <cellStyle name="Comma 2 2 4 12 7" xfId="19752" xr:uid="{E46F468B-19B2-4010-816E-2DD473E33998}"/>
    <cellStyle name="Comma 2 2 4 13" xfId="768" xr:uid="{C1A4AE3B-90B0-41E1-9996-6B78C8F500FE}"/>
    <cellStyle name="Comma 2 2 4 13 2" xfId="15368" xr:uid="{87797077-C53B-41B7-AF5B-3C8E66B25E76}"/>
    <cellStyle name="Comma 2 2 4 13 2 2" xfId="51876" xr:uid="{EF483046-B105-49E0-B3B3-700C0627F312}"/>
    <cellStyle name="Comma 2 2 4 13 2 3" xfId="33622" xr:uid="{C9D3A708-D384-4D6B-8055-AC07DEF61F96}"/>
    <cellStyle name="Comma 2 2 4 13 3" xfId="11718" xr:uid="{64B2FD1A-F57A-420E-B1EE-8206986CD25C}"/>
    <cellStyle name="Comma 2 2 4 13 3 2" xfId="48226" xr:uid="{87A3CCD1-81AB-4044-A445-F0C2FB0F73E9}"/>
    <cellStyle name="Comma 2 2 4 13 3 3" xfId="29972" xr:uid="{D5556F2D-8516-4FD4-ABA4-5CC02AFFAE64}"/>
    <cellStyle name="Comma 2 2 4 13 4" xfId="8068" xr:uid="{0A5B69EA-2E58-4A64-9D4F-3382DA12CE42}"/>
    <cellStyle name="Comma 2 2 4 13 4 2" xfId="44576" xr:uid="{3DC83AFC-5B15-4B20-929A-2831ABC5672B}"/>
    <cellStyle name="Comma 2 2 4 13 4 3" xfId="26322" xr:uid="{09589620-85C4-4EB4-BC5C-BF63985C7AD4}"/>
    <cellStyle name="Comma 2 2 4 13 5" xfId="4418" xr:uid="{EAA64CBD-AAA3-4E54-9ECD-3AB9B9E148F8}"/>
    <cellStyle name="Comma 2 2 4 13 5 2" xfId="40926" xr:uid="{5EC1F7E9-6020-4A97-B1D9-85BF64AE0450}"/>
    <cellStyle name="Comma 2 2 4 13 5 3" xfId="22672" xr:uid="{58B753A7-1A04-4D9D-90A3-17C8F40376BE}"/>
    <cellStyle name="Comma 2 2 4 13 6" xfId="37276" xr:uid="{BA343C39-49CC-4270-B7BD-31E46D852394}"/>
    <cellStyle name="Comma 2 2 4 13 7" xfId="19022" xr:uid="{B070EB58-A377-439A-B469-DD1A24AE5AB6}"/>
    <cellStyle name="Comma 2 2 4 14" xfId="14638" xr:uid="{6BC0C324-CF8F-41AA-A2F5-6CD5A81A3C19}"/>
    <cellStyle name="Comma 2 2 4 14 2" xfId="51146" xr:uid="{078F1E52-0335-4551-A9D6-AFAC5DD604F2}"/>
    <cellStyle name="Comma 2 2 4 14 3" xfId="32892" xr:uid="{89D57AAD-E6FD-4A88-88AE-0692E21BB70F}"/>
    <cellStyle name="Comma 2 2 4 15" xfId="10988" xr:uid="{D6F7F476-86BE-4983-BCC0-6E76576E01BF}"/>
    <cellStyle name="Comma 2 2 4 15 2" xfId="47496" xr:uid="{8003FBDB-F5C9-4680-ABC0-7FCACEAE7ACA}"/>
    <cellStyle name="Comma 2 2 4 15 3" xfId="29242" xr:uid="{FD761B6E-0A1E-44CB-9C4F-68BD4F785507}"/>
    <cellStyle name="Comma 2 2 4 16" xfId="7338" xr:uid="{058ABED0-BFB1-4812-9410-1887AA81B161}"/>
    <cellStyle name="Comma 2 2 4 16 2" xfId="43846" xr:uid="{A72EDC96-E54F-475B-BA9C-57D498468DB6}"/>
    <cellStyle name="Comma 2 2 4 16 3" xfId="25592" xr:uid="{255F1E2B-33EA-4A58-838D-287D7B776782}"/>
    <cellStyle name="Comma 2 2 4 17" xfId="3688" xr:uid="{38C88BC0-EF60-4138-83C4-D06A4225FA9A}"/>
    <cellStyle name="Comma 2 2 4 17 2" xfId="40196" xr:uid="{540BFE79-F99E-4327-A591-4537A930006A}"/>
    <cellStyle name="Comma 2 2 4 17 3" xfId="21942" xr:uid="{AB636211-7CA1-4194-A077-5728B61AAF67}"/>
    <cellStyle name="Comma 2 2 4 18" xfId="36546" xr:uid="{6C4E5CB7-CFBB-4CD2-85A1-DB169778624F}"/>
    <cellStyle name="Comma 2 2 4 19" xfId="18292" xr:uid="{7981C4AD-4F7C-4FE2-A3D7-1B4114E9ACD4}"/>
    <cellStyle name="Comma 2 2 4 2" xfId="103" xr:uid="{95475C15-BC84-4A20-8784-A51A807F2101}"/>
    <cellStyle name="Comma 2 2 4 2 10" xfId="1562" xr:uid="{A6286C62-AD8A-4BB2-B13B-3FB66B0B1AAF}"/>
    <cellStyle name="Comma 2 2 4 2 10 2" xfId="16162" xr:uid="{FD33BC22-1C64-40AA-BB24-78AC8A36E15B}"/>
    <cellStyle name="Comma 2 2 4 2 10 2 2" xfId="52670" xr:uid="{741AF0EF-998C-4F52-B363-8B238F39DE55}"/>
    <cellStyle name="Comma 2 2 4 2 10 2 3" xfId="34416" xr:uid="{94EC3866-CC6C-4C3B-8694-D1C28E69683F}"/>
    <cellStyle name="Comma 2 2 4 2 10 3" xfId="12512" xr:uid="{AF51460A-79D2-49F1-940F-0285584CE208}"/>
    <cellStyle name="Comma 2 2 4 2 10 3 2" xfId="49020" xr:uid="{07D16C64-7E59-4CFD-91C1-824EA3909F94}"/>
    <cellStyle name="Comma 2 2 4 2 10 3 3" xfId="30766" xr:uid="{170F706D-9606-47F3-80FB-8E01DEE6003F}"/>
    <cellStyle name="Comma 2 2 4 2 10 4" xfId="8862" xr:uid="{63A487AB-CA85-4779-8444-76A47B1969FD}"/>
    <cellStyle name="Comma 2 2 4 2 10 4 2" xfId="45370" xr:uid="{57F6A0EA-7430-4A5F-A616-DA9CEFE4986F}"/>
    <cellStyle name="Comma 2 2 4 2 10 4 3" xfId="27116" xr:uid="{7C22D245-F824-42DA-99A4-AC8BE32BF38C}"/>
    <cellStyle name="Comma 2 2 4 2 10 5" xfId="5212" xr:uid="{E5C6FF5D-FA16-4BD9-9671-C609C7B797DA}"/>
    <cellStyle name="Comma 2 2 4 2 10 5 2" xfId="41720" xr:uid="{404DE978-0422-49E5-B071-A8A8187F9BC7}"/>
    <cellStyle name="Comma 2 2 4 2 10 5 3" xfId="23466" xr:uid="{C25C6399-2664-4B39-8143-00B50126A3E8}"/>
    <cellStyle name="Comma 2 2 4 2 10 6" xfId="38070" xr:uid="{C6C147F9-CE4E-4818-B8FB-EA7041EA3166}"/>
    <cellStyle name="Comma 2 2 4 2 10 7" xfId="19816" xr:uid="{E6CE39B9-B9F2-445C-B6C4-AD491FFFB59C}"/>
    <cellStyle name="Comma 2 2 4 2 11" xfId="832" xr:uid="{7774A9C8-217B-4F07-B49C-C73E01608306}"/>
    <cellStyle name="Comma 2 2 4 2 11 2" xfId="15432" xr:uid="{86F6D95F-9E11-40B5-B13C-9F463A45A87D}"/>
    <cellStyle name="Comma 2 2 4 2 11 2 2" xfId="51940" xr:uid="{55C2FD74-C6E6-4C63-B38A-BCAE9C0814C4}"/>
    <cellStyle name="Comma 2 2 4 2 11 2 3" xfId="33686" xr:uid="{41D6F8A2-4B04-484F-AE60-CE1D5DFF93C8}"/>
    <cellStyle name="Comma 2 2 4 2 11 3" xfId="11782" xr:uid="{487B2FF7-B24D-4653-A419-211B4435B189}"/>
    <cellStyle name="Comma 2 2 4 2 11 3 2" xfId="48290" xr:uid="{762BCB2C-BF94-4D3C-94F4-29FE74C2A338}"/>
    <cellStyle name="Comma 2 2 4 2 11 3 3" xfId="30036" xr:uid="{C2C2B1B4-6C59-40B9-A603-809EB36EC183}"/>
    <cellStyle name="Comma 2 2 4 2 11 4" xfId="8132" xr:uid="{68548CCE-D24B-451F-9E91-1053753D0C8A}"/>
    <cellStyle name="Comma 2 2 4 2 11 4 2" xfId="44640" xr:uid="{873FECE9-9972-4FC8-8266-FDCF4146C733}"/>
    <cellStyle name="Comma 2 2 4 2 11 4 3" xfId="26386" xr:uid="{81F94D82-58F8-4B8B-A243-1EF6333FF7D5}"/>
    <cellStyle name="Comma 2 2 4 2 11 5" xfId="4482" xr:uid="{6312D691-6BF2-4FF0-A24D-193B24DA50EA}"/>
    <cellStyle name="Comma 2 2 4 2 11 5 2" xfId="40990" xr:uid="{1CCD70B1-8126-476B-BF59-77384747B01D}"/>
    <cellStyle name="Comma 2 2 4 2 11 5 3" xfId="22736" xr:uid="{2B980A05-E6AE-4E79-B835-615FB22E883C}"/>
    <cellStyle name="Comma 2 2 4 2 11 6" xfId="37340" xr:uid="{ADC177EB-4739-456C-9C3F-AFD144EECAA6}"/>
    <cellStyle name="Comma 2 2 4 2 11 7" xfId="19086" xr:uid="{CA8584C5-2BC2-4E78-85F2-81DF64DF1FA9}"/>
    <cellStyle name="Comma 2 2 4 2 12" xfId="14702" xr:uid="{FE7B55AD-9CA3-48AA-96CE-6A147C3B12AA}"/>
    <cellStyle name="Comma 2 2 4 2 12 2" xfId="51210" xr:uid="{73A2D269-27B1-42CB-AE2F-66D4CB2DDB16}"/>
    <cellStyle name="Comma 2 2 4 2 12 3" xfId="32956" xr:uid="{A83D3DD3-5E23-49CD-A4A4-E26E0DEF632E}"/>
    <cellStyle name="Comma 2 2 4 2 13" xfId="11052" xr:uid="{C64AC10A-CA69-4893-8E33-EC119C823A0B}"/>
    <cellStyle name="Comma 2 2 4 2 13 2" xfId="47560" xr:uid="{B9625F03-3425-4637-A655-812D8DE24DC5}"/>
    <cellStyle name="Comma 2 2 4 2 13 3" xfId="29306" xr:uid="{DEA07E54-211E-42F9-A3E7-FABD90B0C352}"/>
    <cellStyle name="Comma 2 2 4 2 14" xfId="7402" xr:uid="{21B46939-3264-42E8-9FE0-0CDC04611429}"/>
    <cellStyle name="Comma 2 2 4 2 14 2" xfId="43910" xr:uid="{9CCB076E-6D7F-4850-AFEF-24048E0D265A}"/>
    <cellStyle name="Comma 2 2 4 2 14 3" xfId="25656" xr:uid="{5EAF58E9-6ACB-4CDA-BE86-276EF3CB7239}"/>
    <cellStyle name="Comma 2 2 4 2 15" xfId="3752" xr:uid="{2A67D268-E90B-4ACA-B11F-6E2E24E0B564}"/>
    <cellStyle name="Comma 2 2 4 2 15 2" xfId="40260" xr:uid="{6083A77A-7CE9-49A8-835F-1AA9AF9A779C}"/>
    <cellStyle name="Comma 2 2 4 2 15 3" xfId="22006" xr:uid="{FEE33704-2A4C-43C0-AB68-48C71779CD83}"/>
    <cellStyle name="Comma 2 2 4 2 16" xfId="36610" xr:uid="{AB72BAFF-AD05-439F-A946-720F158EC5F6}"/>
    <cellStyle name="Comma 2 2 4 2 17" xfId="18356" xr:uid="{29D49D41-7EAD-423C-8733-2A25B645C0AF}"/>
    <cellStyle name="Comma 2 2 4 2 2" xfId="726" xr:uid="{777746BD-D283-45F7-90D5-7022EC6E7BE2}"/>
    <cellStyle name="Comma 2 2 4 2 2 10" xfId="37234" xr:uid="{951BC56A-43CB-4392-84BF-D661C4C02F6A}"/>
    <cellStyle name="Comma 2 2 4 2 2 11" xfId="18980" xr:uid="{985613F1-DD7A-476B-9E9A-F28B1AD5F7D4}"/>
    <cellStyle name="Comma 2 2 4 2 2 2" xfId="3646" xr:uid="{5F8F33ED-78F4-4D2A-A71D-1349A76AAA77}"/>
    <cellStyle name="Comma 2 2 4 2 2 2 2" xfId="18246" xr:uid="{6C154C56-2960-4B25-9DB0-EDBE3025E033}"/>
    <cellStyle name="Comma 2 2 4 2 2 2 2 2" xfId="54754" xr:uid="{431A5F6B-7985-447B-A4FF-0BB1BB82AAA0}"/>
    <cellStyle name="Comma 2 2 4 2 2 2 2 3" xfId="36500" xr:uid="{40D26656-5FC0-476B-AED2-EE1119DFDBC9}"/>
    <cellStyle name="Comma 2 2 4 2 2 2 3" xfId="14596" xr:uid="{5E442989-84D0-4C4A-AAEC-1DF3EFACE017}"/>
    <cellStyle name="Comma 2 2 4 2 2 2 3 2" xfId="51104" xr:uid="{AB67896A-1BA1-47AF-9C7D-71B2FA28B44F}"/>
    <cellStyle name="Comma 2 2 4 2 2 2 3 3" xfId="32850" xr:uid="{98F22D2A-132C-4E62-BCB0-EE7025AA9D89}"/>
    <cellStyle name="Comma 2 2 4 2 2 2 4" xfId="10946" xr:uid="{CDDC2F71-09D2-4765-A7CA-4DBE0ED810F9}"/>
    <cellStyle name="Comma 2 2 4 2 2 2 4 2" xfId="47454" xr:uid="{E30BFD01-AB3C-4252-BA3E-2D658AC00766}"/>
    <cellStyle name="Comma 2 2 4 2 2 2 4 3" xfId="29200" xr:uid="{9CFC8BE5-CE88-4602-A3A4-D9E8E3409AFB}"/>
    <cellStyle name="Comma 2 2 4 2 2 2 5" xfId="7296" xr:uid="{AFF6FF10-0ABA-4F71-BC9F-D270C243BCBD}"/>
    <cellStyle name="Comma 2 2 4 2 2 2 5 2" xfId="43804" xr:uid="{9803AD19-242E-425A-89B1-6B8A5B2EF6DB}"/>
    <cellStyle name="Comma 2 2 4 2 2 2 5 3" xfId="25550" xr:uid="{7C473DF2-1D8A-418A-B7D5-9220117C496B}"/>
    <cellStyle name="Comma 2 2 4 2 2 2 6" xfId="40154" xr:uid="{A3D47F2A-44F7-410E-85C7-B515A0B41C65}"/>
    <cellStyle name="Comma 2 2 4 2 2 2 7" xfId="21900" xr:uid="{5EC5084A-9AE4-4639-B91D-582EDABD2ADC}"/>
    <cellStyle name="Comma 2 2 4 2 2 3" xfId="2916" xr:uid="{407C086A-61B4-43A2-8A01-99C1973AEC56}"/>
    <cellStyle name="Comma 2 2 4 2 2 3 2" xfId="17516" xr:uid="{61F7A452-D620-4642-8DF9-6BEEAC9BB05D}"/>
    <cellStyle name="Comma 2 2 4 2 2 3 2 2" xfId="54024" xr:uid="{FE034666-5E12-49D0-BE66-BC18C35292D1}"/>
    <cellStyle name="Comma 2 2 4 2 2 3 2 3" xfId="35770" xr:uid="{D815305E-87FF-4D59-A551-B19AEB6778BC}"/>
    <cellStyle name="Comma 2 2 4 2 2 3 3" xfId="13866" xr:uid="{6773AD38-FD22-4132-8A4E-1302ACF85318}"/>
    <cellStyle name="Comma 2 2 4 2 2 3 3 2" xfId="50374" xr:uid="{5F52C398-837C-4918-AAC3-607AD03B684E}"/>
    <cellStyle name="Comma 2 2 4 2 2 3 3 3" xfId="32120" xr:uid="{C4481075-7985-4BFE-8164-E85E81596FCC}"/>
    <cellStyle name="Comma 2 2 4 2 2 3 4" xfId="10216" xr:uid="{DA009276-5FBB-4F34-9D29-ADF4DBF2BF76}"/>
    <cellStyle name="Comma 2 2 4 2 2 3 4 2" xfId="46724" xr:uid="{BDEFD779-0331-4CE6-BBEF-29ECF3F6CE3C}"/>
    <cellStyle name="Comma 2 2 4 2 2 3 4 3" xfId="28470" xr:uid="{A6140AE6-CA8A-4EA4-B834-A310B4209220}"/>
    <cellStyle name="Comma 2 2 4 2 2 3 5" xfId="6566" xr:uid="{56556D75-5304-4C67-B1AF-E327F9815540}"/>
    <cellStyle name="Comma 2 2 4 2 2 3 5 2" xfId="43074" xr:uid="{C32ED704-FF2B-4D38-9776-1331073CB9EC}"/>
    <cellStyle name="Comma 2 2 4 2 2 3 5 3" xfId="24820" xr:uid="{0C7DAC82-B3FA-42B0-B297-F08F209DB0C2}"/>
    <cellStyle name="Comma 2 2 4 2 2 3 6" xfId="39424" xr:uid="{619FCE54-BF8F-4796-B73E-5A7E8F92916E}"/>
    <cellStyle name="Comma 2 2 4 2 2 3 7" xfId="21170" xr:uid="{B53EE2E5-324B-4A11-AB94-D1E9A887656A}"/>
    <cellStyle name="Comma 2 2 4 2 2 4" xfId="2186" xr:uid="{8379F463-95FA-4F9A-946D-01D9AFD462A7}"/>
    <cellStyle name="Comma 2 2 4 2 2 4 2" xfId="16786" xr:uid="{0EBD3A87-33F3-42D0-8899-94D169D89D2F}"/>
    <cellStyle name="Comma 2 2 4 2 2 4 2 2" xfId="53294" xr:uid="{A93AD635-2F17-4B59-AA68-D5DC6E1FFE8B}"/>
    <cellStyle name="Comma 2 2 4 2 2 4 2 3" xfId="35040" xr:uid="{7B93C9BA-EB88-4125-A4C1-E81062CD4031}"/>
    <cellStyle name="Comma 2 2 4 2 2 4 3" xfId="13136" xr:uid="{97976C1F-7E30-43BC-8BD7-A5B47E7F6843}"/>
    <cellStyle name="Comma 2 2 4 2 2 4 3 2" xfId="49644" xr:uid="{2C4219D8-2630-4BF9-B39B-3F65370BB948}"/>
    <cellStyle name="Comma 2 2 4 2 2 4 3 3" xfId="31390" xr:uid="{92D3C632-2130-4DD7-93DB-74A9B55466F5}"/>
    <cellStyle name="Comma 2 2 4 2 2 4 4" xfId="9486" xr:uid="{84EAA342-EADA-4D9D-BF0A-2F5ECE0EEDF5}"/>
    <cellStyle name="Comma 2 2 4 2 2 4 4 2" xfId="45994" xr:uid="{7ED61A44-B0AE-4AC8-8A92-8BD92AAFAC4E}"/>
    <cellStyle name="Comma 2 2 4 2 2 4 4 3" xfId="27740" xr:uid="{296A4880-3F0D-458F-9B3B-AB708F00549A}"/>
    <cellStyle name="Comma 2 2 4 2 2 4 5" xfId="5836" xr:uid="{4A8E9A6A-5CF2-491C-9852-CA1DAEA5D447}"/>
    <cellStyle name="Comma 2 2 4 2 2 4 5 2" xfId="42344" xr:uid="{1E0FE24D-B4E6-4952-91DA-FE21FE815BA2}"/>
    <cellStyle name="Comma 2 2 4 2 2 4 5 3" xfId="24090" xr:uid="{29607F34-8BFC-4E8E-9C0B-AD8A52976D46}"/>
    <cellStyle name="Comma 2 2 4 2 2 4 6" xfId="38694" xr:uid="{4FBDC732-1D7D-45DD-BE10-5256476FCF9B}"/>
    <cellStyle name="Comma 2 2 4 2 2 4 7" xfId="20440" xr:uid="{1D4585D9-5A99-404F-8086-AC350DB6F4F9}"/>
    <cellStyle name="Comma 2 2 4 2 2 5" xfId="1456" xr:uid="{7DE237F8-12F0-4704-AB8E-D837B9D5A29C}"/>
    <cellStyle name="Comma 2 2 4 2 2 5 2" xfId="16056" xr:uid="{B62FE3C5-A2C0-4C5E-947B-33950E0B6F4E}"/>
    <cellStyle name="Comma 2 2 4 2 2 5 2 2" xfId="52564" xr:uid="{A8F3510D-9D4F-4477-BD9A-A13E1C5C2873}"/>
    <cellStyle name="Comma 2 2 4 2 2 5 2 3" xfId="34310" xr:uid="{60AF3BE4-9202-42A3-A96B-5C0AFB18FF61}"/>
    <cellStyle name="Comma 2 2 4 2 2 5 3" xfId="12406" xr:uid="{C8DF2BDB-7622-449D-83F8-935C5174E97D}"/>
    <cellStyle name="Comma 2 2 4 2 2 5 3 2" xfId="48914" xr:uid="{C260C0CA-369B-4CA2-AD10-931D2D5791C9}"/>
    <cellStyle name="Comma 2 2 4 2 2 5 3 3" xfId="30660" xr:uid="{44F92083-EAFD-4522-8C1C-BC433096A111}"/>
    <cellStyle name="Comma 2 2 4 2 2 5 4" xfId="8756" xr:uid="{F4610A05-8D04-4743-9558-2E0412C4626F}"/>
    <cellStyle name="Comma 2 2 4 2 2 5 4 2" xfId="45264" xr:uid="{54A4C0CF-B9CE-4596-A5AD-55A369ADD914}"/>
    <cellStyle name="Comma 2 2 4 2 2 5 4 3" xfId="27010" xr:uid="{65AD6AE5-D018-4A41-B274-D5EEB0D34D78}"/>
    <cellStyle name="Comma 2 2 4 2 2 5 5" xfId="5106" xr:uid="{F055B877-C3DD-488A-851D-236931EC8EE7}"/>
    <cellStyle name="Comma 2 2 4 2 2 5 5 2" xfId="41614" xr:uid="{11D3AAE4-5D9C-43CF-91CC-6AAEDFBDE6CF}"/>
    <cellStyle name="Comma 2 2 4 2 2 5 5 3" xfId="23360" xr:uid="{45A6E99F-E896-4BB3-BD5D-38684FD0AAE2}"/>
    <cellStyle name="Comma 2 2 4 2 2 5 6" xfId="37964" xr:uid="{B92E10EB-9551-49FE-9F3A-D9269703E966}"/>
    <cellStyle name="Comma 2 2 4 2 2 5 7" xfId="19710" xr:uid="{9C3CDCEF-B86A-4006-BFE9-B870C3B1A785}"/>
    <cellStyle name="Comma 2 2 4 2 2 6" xfId="15326" xr:uid="{9F9DFED2-E7F1-4CA2-B201-FAF227000E7B}"/>
    <cellStyle name="Comma 2 2 4 2 2 6 2" xfId="51834" xr:uid="{2379C513-86C9-48BE-883A-A47FABF82ED2}"/>
    <cellStyle name="Comma 2 2 4 2 2 6 3" xfId="33580" xr:uid="{BE100A97-A37C-4C8C-AA74-73C283C1FFF5}"/>
    <cellStyle name="Comma 2 2 4 2 2 7" xfId="11676" xr:uid="{85A4D747-597B-48F9-A3EF-182B8082189B}"/>
    <cellStyle name="Comma 2 2 4 2 2 7 2" xfId="48184" xr:uid="{48535AC4-DCBA-42B2-9467-74A3A4EF3C31}"/>
    <cellStyle name="Comma 2 2 4 2 2 7 3" xfId="29930" xr:uid="{0CEB7C5E-8A22-4228-81B2-B14BB8F49C9C}"/>
    <cellStyle name="Comma 2 2 4 2 2 8" xfId="8026" xr:uid="{4605D939-E860-43E2-826B-E6D2F2894745}"/>
    <cellStyle name="Comma 2 2 4 2 2 8 2" xfId="44534" xr:uid="{2FEA3939-DC1D-4554-BE5B-0FA8F025C6A3}"/>
    <cellStyle name="Comma 2 2 4 2 2 8 3" xfId="26280" xr:uid="{857412E0-FC80-4BB1-A9FD-3FAAB1FF5B6E}"/>
    <cellStyle name="Comma 2 2 4 2 2 9" xfId="4376" xr:uid="{2ED37E8E-3170-477C-A4B8-C229FFF9D8CC}"/>
    <cellStyle name="Comma 2 2 4 2 2 9 2" xfId="40884" xr:uid="{1C4E0A12-2970-43ED-B1D5-CB0EACF07D29}"/>
    <cellStyle name="Comma 2 2 4 2 2 9 3" xfId="22630" xr:uid="{B3F9BBF7-60E4-422B-ACF5-D71DF69E2A7D}"/>
    <cellStyle name="Comma 2 2 4 2 3" xfId="622" xr:uid="{95324576-B90D-43E5-B38D-420E4CC9EA85}"/>
    <cellStyle name="Comma 2 2 4 2 3 10" xfId="37130" xr:uid="{617C6306-E83A-4F8D-939C-2C96537C1A30}"/>
    <cellStyle name="Comma 2 2 4 2 3 11" xfId="18876" xr:uid="{2961D360-9DAC-4FA8-9D59-92FF9669DA64}"/>
    <cellStyle name="Comma 2 2 4 2 3 2" xfId="3542" xr:uid="{5CC8ABC1-0B18-4B3E-A493-CB24B603167E}"/>
    <cellStyle name="Comma 2 2 4 2 3 2 2" xfId="18142" xr:uid="{1035E2B8-BB78-4BC0-AD6A-9913D3246B7E}"/>
    <cellStyle name="Comma 2 2 4 2 3 2 2 2" xfId="54650" xr:uid="{7B158923-2BFB-4E01-8D9C-12C1ECB94A58}"/>
    <cellStyle name="Comma 2 2 4 2 3 2 2 3" xfId="36396" xr:uid="{223351A8-C209-44C0-9A22-300D09AD2F36}"/>
    <cellStyle name="Comma 2 2 4 2 3 2 3" xfId="14492" xr:uid="{DF1AC54F-58CE-4901-84D4-6CA33D3D1CD6}"/>
    <cellStyle name="Comma 2 2 4 2 3 2 3 2" xfId="51000" xr:uid="{757D3F84-B250-417A-B1EC-28E8F205FDB1}"/>
    <cellStyle name="Comma 2 2 4 2 3 2 3 3" xfId="32746" xr:uid="{41B90BCE-D5D8-4B91-B7FF-2B1364EC432D}"/>
    <cellStyle name="Comma 2 2 4 2 3 2 4" xfId="10842" xr:uid="{6463E9D6-9771-415C-A3D0-7B002A7F6F2C}"/>
    <cellStyle name="Comma 2 2 4 2 3 2 4 2" xfId="47350" xr:uid="{9B3B42B8-469D-42F3-B575-97CDE266DE62}"/>
    <cellStyle name="Comma 2 2 4 2 3 2 4 3" xfId="29096" xr:uid="{0D5345AD-DB8E-4CB0-BC97-6CC26C4575E2}"/>
    <cellStyle name="Comma 2 2 4 2 3 2 5" xfId="7192" xr:uid="{05569ADC-A6F5-4889-9E18-7A8B368E847B}"/>
    <cellStyle name="Comma 2 2 4 2 3 2 5 2" xfId="43700" xr:uid="{4E5B86D6-A278-4B40-9023-A7C0BE30C797}"/>
    <cellStyle name="Comma 2 2 4 2 3 2 5 3" xfId="25446" xr:uid="{3C7D7013-2A77-4030-A689-B01390D16764}"/>
    <cellStyle name="Comma 2 2 4 2 3 2 6" xfId="40050" xr:uid="{C0AEAE53-DF9F-4283-BC96-098A78CB88FC}"/>
    <cellStyle name="Comma 2 2 4 2 3 2 7" xfId="21796" xr:uid="{6099534F-8AF6-4CBC-B30B-FC36674F2B5D}"/>
    <cellStyle name="Comma 2 2 4 2 3 3" xfId="2812" xr:uid="{44FE379A-EF3F-443E-A331-C24818078CC8}"/>
    <cellStyle name="Comma 2 2 4 2 3 3 2" xfId="17412" xr:uid="{14E6FB1B-8293-4D31-9806-C93A446F5FB0}"/>
    <cellStyle name="Comma 2 2 4 2 3 3 2 2" xfId="53920" xr:uid="{8E15F62D-64C0-4E1D-9C89-3D8C63F76CFB}"/>
    <cellStyle name="Comma 2 2 4 2 3 3 2 3" xfId="35666" xr:uid="{746EE15C-0FD8-43E3-9F87-212B0DCAB768}"/>
    <cellStyle name="Comma 2 2 4 2 3 3 3" xfId="13762" xr:uid="{AE4A8C15-55AC-4C02-A81E-73AA32805419}"/>
    <cellStyle name="Comma 2 2 4 2 3 3 3 2" xfId="50270" xr:uid="{962E8B03-8CCA-4F6D-87D9-15C20C3BAA51}"/>
    <cellStyle name="Comma 2 2 4 2 3 3 3 3" xfId="32016" xr:uid="{62132A70-3488-4403-BAFE-32D496A22A0F}"/>
    <cellStyle name="Comma 2 2 4 2 3 3 4" xfId="10112" xr:uid="{B4DC635C-C610-4764-9072-50665EB7FB63}"/>
    <cellStyle name="Comma 2 2 4 2 3 3 4 2" xfId="46620" xr:uid="{A806C956-DC70-4877-BDC8-9DEADACD68A2}"/>
    <cellStyle name="Comma 2 2 4 2 3 3 4 3" xfId="28366" xr:uid="{BEF392A5-807E-47FA-BC79-D97E7A8B7A28}"/>
    <cellStyle name="Comma 2 2 4 2 3 3 5" xfId="6462" xr:uid="{AF0E5896-2953-4B43-A432-851D932B95A4}"/>
    <cellStyle name="Comma 2 2 4 2 3 3 5 2" xfId="42970" xr:uid="{2E30EBC2-BC85-4F4D-A01F-96BBC9E92521}"/>
    <cellStyle name="Comma 2 2 4 2 3 3 5 3" xfId="24716" xr:uid="{99421264-D16F-4B66-A844-61F6BD42CEB2}"/>
    <cellStyle name="Comma 2 2 4 2 3 3 6" xfId="39320" xr:uid="{66BEA745-9C51-445B-AA4C-320320848516}"/>
    <cellStyle name="Comma 2 2 4 2 3 3 7" xfId="21066" xr:uid="{E3675988-F886-4E85-9E57-87ECF9BFD680}"/>
    <cellStyle name="Comma 2 2 4 2 3 4" xfId="2082" xr:uid="{9DD66E23-B58A-414B-AE83-EDE810292FD6}"/>
    <cellStyle name="Comma 2 2 4 2 3 4 2" xfId="16682" xr:uid="{409911F4-F22C-48F1-8884-51DC0FAC12AC}"/>
    <cellStyle name="Comma 2 2 4 2 3 4 2 2" xfId="53190" xr:uid="{3E12220F-CA80-4A0A-AD0D-0D07B7534318}"/>
    <cellStyle name="Comma 2 2 4 2 3 4 2 3" xfId="34936" xr:uid="{143669BF-2A12-47AE-BC23-C602133F8CD6}"/>
    <cellStyle name="Comma 2 2 4 2 3 4 3" xfId="13032" xr:uid="{9ED212B2-6BEF-47E4-B2BE-D44DB1F465E7}"/>
    <cellStyle name="Comma 2 2 4 2 3 4 3 2" xfId="49540" xr:uid="{2673AC5F-0F8E-48B3-8FA7-3919B2EA0434}"/>
    <cellStyle name="Comma 2 2 4 2 3 4 3 3" xfId="31286" xr:uid="{E19DE3EF-9016-409C-9D92-DA27527A244E}"/>
    <cellStyle name="Comma 2 2 4 2 3 4 4" xfId="9382" xr:uid="{5A912488-F618-44FE-916A-7C7B0367D932}"/>
    <cellStyle name="Comma 2 2 4 2 3 4 4 2" xfId="45890" xr:uid="{DD3A4516-8D87-4451-93EE-1ECC34C4B191}"/>
    <cellStyle name="Comma 2 2 4 2 3 4 4 3" xfId="27636" xr:uid="{79428C5B-1AE6-4C7E-A876-C97D2D013E2E}"/>
    <cellStyle name="Comma 2 2 4 2 3 4 5" xfId="5732" xr:uid="{7EB0D078-6772-4DD9-BFB9-05F7A8CB4838}"/>
    <cellStyle name="Comma 2 2 4 2 3 4 5 2" xfId="42240" xr:uid="{0E0F7041-8242-4C0B-858F-A626D4967516}"/>
    <cellStyle name="Comma 2 2 4 2 3 4 5 3" xfId="23986" xr:uid="{97D203BE-B802-4C94-9745-0E88D2EC9FBF}"/>
    <cellStyle name="Comma 2 2 4 2 3 4 6" xfId="38590" xr:uid="{A8D87101-8C75-4905-93AF-AA6E9657F869}"/>
    <cellStyle name="Comma 2 2 4 2 3 4 7" xfId="20336" xr:uid="{F4B05FA7-22B5-41AA-8D01-BB71ABA3D0DE}"/>
    <cellStyle name="Comma 2 2 4 2 3 5" xfId="1352" xr:uid="{A4471523-0FCC-4037-905B-127447CC66F2}"/>
    <cellStyle name="Comma 2 2 4 2 3 5 2" xfId="15952" xr:uid="{31BBE177-A34D-441D-B007-CEC80D61DAE5}"/>
    <cellStyle name="Comma 2 2 4 2 3 5 2 2" xfId="52460" xr:uid="{9A495E57-4775-407C-924F-558982FF91A5}"/>
    <cellStyle name="Comma 2 2 4 2 3 5 2 3" xfId="34206" xr:uid="{4EADEC32-2128-4EC8-BC3A-1DC8D7CBDC75}"/>
    <cellStyle name="Comma 2 2 4 2 3 5 3" xfId="12302" xr:uid="{7D3196A5-3654-4B20-9FBA-9161BD647577}"/>
    <cellStyle name="Comma 2 2 4 2 3 5 3 2" xfId="48810" xr:uid="{C31EDDF2-4EAC-4035-9F06-977A6EDBF744}"/>
    <cellStyle name="Comma 2 2 4 2 3 5 3 3" xfId="30556" xr:uid="{63091231-DF49-4A1D-B5EF-7B12FAC815C4}"/>
    <cellStyle name="Comma 2 2 4 2 3 5 4" xfId="8652" xr:uid="{42A9E44D-E4AA-4F6D-B6DF-35F65B1511C1}"/>
    <cellStyle name="Comma 2 2 4 2 3 5 4 2" xfId="45160" xr:uid="{0EC24AAE-6AA7-48B0-AA70-A836AF30D161}"/>
    <cellStyle name="Comma 2 2 4 2 3 5 4 3" xfId="26906" xr:uid="{BE0B2CE9-F488-489A-84D2-D7EE52C2964F}"/>
    <cellStyle name="Comma 2 2 4 2 3 5 5" xfId="5002" xr:uid="{ABDB9570-48BC-41AE-BDE4-B14C2DC4D6FD}"/>
    <cellStyle name="Comma 2 2 4 2 3 5 5 2" xfId="41510" xr:uid="{A5E3494B-F58D-4382-8CBB-30DD3488718F}"/>
    <cellStyle name="Comma 2 2 4 2 3 5 5 3" xfId="23256" xr:uid="{2A4E478C-1BA2-4655-9CE1-6A835EE067C9}"/>
    <cellStyle name="Comma 2 2 4 2 3 5 6" xfId="37860" xr:uid="{11ECE149-D5F3-45F8-9B11-5A44CE83096F}"/>
    <cellStyle name="Comma 2 2 4 2 3 5 7" xfId="19606" xr:uid="{51A2548F-28CF-4613-A77A-310A653898CD}"/>
    <cellStyle name="Comma 2 2 4 2 3 6" xfId="15222" xr:uid="{EFAD04D1-DD7A-4793-B4AC-EA4F77575835}"/>
    <cellStyle name="Comma 2 2 4 2 3 6 2" xfId="51730" xr:uid="{56A4A924-9F34-46CB-B006-A8B794667F8D}"/>
    <cellStyle name="Comma 2 2 4 2 3 6 3" xfId="33476" xr:uid="{712B5264-78F6-426F-BC68-28587F3D1B88}"/>
    <cellStyle name="Comma 2 2 4 2 3 7" xfId="11572" xr:uid="{3DE245C1-AADD-4A58-8CED-FEB0BD7FCF58}"/>
    <cellStyle name="Comma 2 2 4 2 3 7 2" xfId="48080" xr:uid="{A7BC3699-CF22-46D6-B261-897119BA7F54}"/>
    <cellStyle name="Comma 2 2 4 2 3 7 3" xfId="29826" xr:uid="{C1773DFE-2FDA-436E-8287-2C4B12BDCE6B}"/>
    <cellStyle name="Comma 2 2 4 2 3 8" xfId="7922" xr:uid="{4BE6E1A8-AAA5-42C1-85B0-A4DD331F741A}"/>
    <cellStyle name="Comma 2 2 4 2 3 8 2" xfId="44430" xr:uid="{EAA13FE0-D712-42A0-8B64-11778086FCBF}"/>
    <cellStyle name="Comma 2 2 4 2 3 8 3" xfId="26176" xr:uid="{E7986CD5-065E-4A83-9809-4488C2763C49}"/>
    <cellStyle name="Comma 2 2 4 2 3 9" xfId="4272" xr:uid="{08DD5F2D-27EA-440D-A4EB-B550A6DE1CDF}"/>
    <cellStyle name="Comma 2 2 4 2 3 9 2" xfId="40780" xr:uid="{B093D9F8-46BB-463F-A309-949A1E6EC806}"/>
    <cellStyle name="Comma 2 2 4 2 3 9 3" xfId="22526" xr:uid="{9901C2F8-BA87-41BD-AE11-6AF270A63B71}"/>
    <cellStyle name="Comma 2 2 4 2 4" xfId="518" xr:uid="{82BC1BBD-F2A2-466B-A5C8-94C63231F681}"/>
    <cellStyle name="Comma 2 2 4 2 4 10" xfId="37026" xr:uid="{F74176A1-7303-481F-85E9-2F4C229C18FD}"/>
    <cellStyle name="Comma 2 2 4 2 4 11" xfId="18772" xr:uid="{16DF828E-87BA-4955-B3D7-CED07FC14D6B}"/>
    <cellStyle name="Comma 2 2 4 2 4 2" xfId="3438" xr:uid="{1D7AF766-269B-45FD-B8B6-94DED0AA5C28}"/>
    <cellStyle name="Comma 2 2 4 2 4 2 2" xfId="18038" xr:uid="{0AA479B9-25A3-4CF5-AF67-17276EDA5A01}"/>
    <cellStyle name="Comma 2 2 4 2 4 2 2 2" xfId="54546" xr:uid="{133B7EFD-9653-4B4B-9708-8B28B1E9B6FE}"/>
    <cellStyle name="Comma 2 2 4 2 4 2 2 3" xfId="36292" xr:uid="{608F0AD6-2B10-4F4B-93E9-768109E846E6}"/>
    <cellStyle name="Comma 2 2 4 2 4 2 3" xfId="14388" xr:uid="{8A93C17A-E2E1-45E6-9341-C94B86D4BC53}"/>
    <cellStyle name="Comma 2 2 4 2 4 2 3 2" xfId="50896" xr:uid="{19EF4679-D7D3-4C4C-9725-A8ACC8E93EA2}"/>
    <cellStyle name="Comma 2 2 4 2 4 2 3 3" xfId="32642" xr:uid="{B3379BA0-09CF-4B34-9B2A-DA73050DE869}"/>
    <cellStyle name="Comma 2 2 4 2 4 2 4" xfId="10738" xr:uid="{2905E521-C617-48E4-8667-14D5A7437F2D}"/>
    <cellStyle name="Comma 2 2 4 2 4 2 4 2" xfId="47246" xr:uid="{9B452229-B4B4-4D6E-A5F5-8FEF9D9C409A}"/>
    <cellStyle name="Comma 2 2 4 2 4 2 4 3" xfId="28992" xr:uid="{42D4A3E1-FC2E-4993-B8D4-0E8957EA8E43}"/>
    <cellStyle name="Comma 2 2 4 2 4 2 5" xfId="7088" xr:uid="{ED3A9015-3C0D-475B-A005-C6F8B0EBBAB4}"/>
    <cellStyle name="Comma 2 2 4 2 4 2 5 2" xfId="43596" xr:uid="{ACD7552A-906F-42C4-9B3A-4B0343E2248E}"/>
    <cellStyle name="Comma 2 2 4 2 4 2 5 3" xfId="25342" xr:uid="{56C481EF-8FDE-484B-AFBC-BAC5246198A3}"/>
    <cellStyle name="Comma 2 2 4 2 4 2 6" xfId="39946" xr:uid="{6DD62992-980A-42A4-B0A4-4C3D20C4BC22}"/>
    <cellStyle name="Comma 2 2 4 2 4 2 7" xfId="21692" xr:uid="{7CF5B138-4C0B-4632-9B76-0CA2BB678C42}"/>
    <cellStyle name="Comma 2 2 4 2 4 3" xfId="2708" xr:uid="{FF59C676-AAED-43F5-B3D3-CCFFAFDF80B8}"/>
    <cellStyle name="Comma 2 2 4 2 4 3 2" xfId="17308" xr:uid="{4B5C81BE-C6E3-42C2-82C1-E17FE7F73AB5}"/>
    <cellStyle name="Comma 2 2 4 2 4 3 2 2" xfId="53816" xr:uid="{EB9E9145-5CAE-4C3B-9C51-9290D7978416}"/>
    <cellStyle name="Comma 2 2 4 2 4 3 2 3" xfId="35562" xr:uid="{6FBEDF17-23B9-493A-A0D1-5C91EEA443C9}"/>
    <cellStyle name="Comma 2 2 4 2 4 3 3" xfId="13658" xr:uid="{53BEBB8D-2EA8-4749-8CBD-6A0E0E61435E}"/>
    <cellStyle name="Comma 2 2 4 2 4 3 3 2" xfId="50166" xr:uid="{3ADB44CF-B17A-4A4F-865E-074DFCE6CE0E}"/>
    <cellStyle name="Comma 2 2 4 2 4 3 3 3" xfId="31912" xr:uid="{D6A82A7B-B675-4CA8-8622-784632146FA9}"/>
    <cellStyle name="Comma 2 2 4 2 4 3 4" xfId="10008" xr:uid="{433C1F1E-7BAC-4769-B756-DD2A226DC499}"/>
    <cellStyle name="Comma 2 2 4 2 4 3 4 2" xfId="46516" xr:uid="{536CF53F-1EB5-4484-A5D0-0679CD331784}"/>
    <cellStyle name="Comma 2 2 4 2 4 3 4 3" xfId="28262" xr:uid="{2C066662-21D4-4C2D-B998-E3F1EF43E9D4}"/>
    <cellStyle name="Comma 2 2 4 2 4 3 5" xfId="6358" xr:uid="{BC02C823-36BD-474F-99F2-037ADD978865}"/>
    <cellStyle name="Comma 2 2 4 2 4 3 5 2" xfId="42866" xr:uid="{9D7FB8D6-71B1-4FF4-90A0-224B07AD6F9F}"/>
    <cellStyle name="Comma 2 2 4 2 4 3 5 3" xfId="24612" xr:uid="{AE273725-F3D2-4A7F-B4B3-E08B1AF44640}"/>
    <cellStyle name="Comma 2 2 4 2 4 3 6" xfId="39216" xr:uid="{4CD29FF5-AC14-4A36-8FD2-410484B5A9C5}"/>
    <cellStyle name="Comma 2 2 4 2 4 3 7" xfId="20962" xr:uid="{EAE3523D-4289-4705-AFBF-860FF88BD886}"/>
    <cellStyle name="Comma 2 2 4 2 4 4" xfId="1978" xr:uid="{F53B3BA9-E0DB-4613-B690-B2D87F0ED8F9}"/>
    <cellStyle name="Comma 2 2 4 2 4 4 2" xfId="16578" xr:uid="{9D094FBA-910C-44D7-AE11-E07A13D6B596}"/>
    <cellStyle name="Comma 2 2 4 2 4 4 2 2" xfId="53086" xr:uid="{002B35B3-5CF5-4AA9-B34D-73AEA50F2256}"/>
    <cellStyle name="Comma 2 2 4 2 4 4 2 3" xfId="34832" xr:uid="{EAB01751-586C-4061-A160-639F8B8B0ED4}"/>
    <cellStyle name="Comma 2 2 4 2 4 4 3" xfId="12928" xr:uid="{A7C293A7-C771-47C5-9AC4-F616039D52F7}"/>
    <cellStyle name="Comma 2 2 4 2 4 4 3 2" xfId="49436" xr:uid="{038B9D9C-FDAB-47F0-A2B7-D929B1060F7D}"/>
    <cellStyle name="Comma 2 2 4 2 4 4 3 3" xfId="31182" xr:uid="{B766E005-69F5-42ED-BD2E-739CF7AD7330}"/>
    <cellStyle name="Comma 2 2 4 2 4 4 4" xfId="9278" xr:uid="{0724DEE0-F7FF-4467-9411-99245E09E8F3}"/>
    <cellStyle name="Comma 2 2 4 2 4 4 4 2" xfId="45786" xr:uid="{01B47933-7FDE-4429-9DBB-31858AE93420}"/>
    <cellStyle name="Comma 2 2 4 2 4 4 4 3" xfId="27532" xr:uid="{D5146DF2-9732-4C1A-92F9-A1CF94AEADB7}"/>
    <cellStyle name="Comma 2 2 4 2 4 4 5" xfId="5628" xr:uid="{15151396-D19F-44D1-A2F5-85B3A7E82FFC}"/>
    <cellStyle name="Comma 2 2 4 2 4 4 5 2" xfId="42136" xr:uid="{9E50DBCB-2AD1-4488-9149-ACA2E63548C9}"/>
    <cellStyle name="Comma 2 2 4 2 4 4 5 3" xfId="23882" xr:uid="{A31D7E8A-E9E3-42D8-B14A-E47EC9EBE69B}"/>
    <cellStyle name="Comma 2 2 4 2 4 4 6" xfId="38486" xr:uid="{110A0E0D-D4C9-4012-9983-2AA9C7BBBF0B}"/>
    <cellStyle name="Comma 2 2 4 2 4 4 7" xfId="20232" xr:uid="{CE5DD7CE-FAE7-473A-A2D1-CE1BC9F02EFB}"/>
    <cellStyle name="Comma 2 2 4 2 4 5" xfId="1248" xr:uid="{F071B409-F4F4-4E22-AD95-A4C9BB050D52}"/>
    <cellStyle name="Comma 2 2 4 2 4 5 2" xfId="15848" xr:uid="{BCA89822-F234-4482-A2EC-EA78A7FEAF3D}"/>
    <cellStyle name="Comma 2 2 4 2 4 5 2 2" xfId="52356" xr:uid="{ABE4013B-F9C1-430F-B6C4-44C105417980}"/>
    <cellStyle name="Comma 2 2 4 2 4 5 2 3" xfId="34102" xr:uid="{A8DB0773-28C9-4214-9EF0-ECE4E95C9787}"/>
    <cellStyle name="Comma 2 2 4 2 4 5 3" xfId="12198" xr:uid="{C14C42CA-63A0-4B26-A414-2EFCE81CC42E}"/>
    <cellStyle name="Comma 2 2 4 2 4 5 3 2" xfId="48706" xr:uid="{8029884D-EBE6-422E-8BEA-77486F4A1EF5}"/>
    <cellStyle name="Comma 2 2 4 2 4 5 3 3" xfId="30452" xr:uid="{386858C0-C148-42BA-961D-DE4F1FFAFD9C}"/>
    <cellStyle name="Comma 2 2 4 2 4 5 4" xfId="8548" xr:uid="{1CE6764E-DD4E-4434-9FC8-0D22CBA22924}"/>
    <cellStyle name="Comma 2 2 4 2 4 5 4 2" xfId="45056" xr:uid="{6FD65C1E-B17C-46AC-942F-79FD56526D12}"/>
    <cellStyle name="Comma 2 2 4 2 4 5 4 3" xfId="26802" xr:uid="{E27C2CF7-4A5B-47A2-AE37-8602EB0FD943}"/>
    <cellStyle name="Comma 2 2 4 2 4 5 5" xfId="4898" xr:uid="{95127761-5DAC-48A2-92A3-F34DE41D2564}"/>
    <cellStyle name="Comma 2 2 4 2 4 5 5 2" xfId="41406" xr:uid="{8B341499-8529-4904-8505-48C34C8C3D47}"/>
    <cellStyle name="Comma 2 2 4 2 4 5 5 3" xfId="23152" xr:uid="{3C295B96-3B4C-4AE3-B02A-E0CA7041A729}"/>
    <cellStyle name="Comma 2 2 4 2 4 5 6" xfId="37756" xr:uid="{5368EA7B-9F99-4D80-AD6F-8A47062F60B1}"/>
    <cellStyle name="Comma 2 2 4 2 4 5 7" xfId="19502" xr:uid="{5CF685B2-7DF3-4BD8-8E1F-4D807E1F7A9D}"/>
    <cellStyle name="Comma 2 2 4 2 4 6" xfId="15118" xr:uid="{73095A22-E185-42DE-BB96-5169D248C8B0}"/>
    <cellStyle name="Comma 2 2 4 2 4 6 2" xfId="51626" xr:uid="{78D172EE-7264-44C3-B9AD-47CF21FA0CDB}"/>
    <cellStyle name="Comma 2 2 4 2 4 6 3" xfId="33372" xr:uid="{DCACBA1A-BD50-4AEE-8C43-2FCEE8B813A3}"/>
    <cellStyle name="Comma 2 2 4 2 4 7" xfId="11468" xr:uid="{8631224D-B4F7-4FD7-A306-B5DBAB60E54B}"/>
    <cellStyle name="Comma 2 2 4 2 4 7 2" xfId="47976" xr:uid="{79344F57-8C75-4770-A1C1-4731CBCEB490}"/>
    <cellStyle name="Comma 2 2 4 2 4 7 3" xfId="29722" xr:uid="{75599509-9E0E-4DFD-AC3C-3E8E1B4C00CA}"/>
    <cellStyle name="Comma 2 2 4 2 4 8" xfId="7818" xr:uid="{1B03EC63-5246-4A38-8653-A6AC6FB21550}"/>
    <cellStyle name="Comma 2 2 4 2 4 8 2" xfId="44326" xr:uid="{4732D161-5E15-4201-8B3D-0A619847F19B}"/>
    <cellStyle name="Comma 2 2 4 2 4 8 3" xfId="26072" xr:uid="{F8DEAC4F-A036-4937-8DF5-F24DC3B47AF3}"/>
    <cellStyle name="Comma 2 2 4 2 4 9" xfId="4168" xr:uid="{4F1054EB-69B5-4A01-A938-157BD0B5AFED}"/>
    <cellStyle name="Comma 2 2 4 2 4 9 2" xfId="40676" xr:uid="{A2154A91-EE7B-4A8A-9095-531CD6D906E1}"/>
    <cellStyle name="Comma 2 2 4 2 4 9 3" xfId="22422" xr:uid="{8BD1D2E6-BC9E-4748-862C-89ADC27AB127}"/>
    <cellStyle name="Comma 2 2 4 2 5" xfId="414" xr:uid="{0802314E-9218-48F5-BAB7-8AD944C05B26}"/>
    <cellStyle name="Comma 2 2 4 2 5 10" xfId="36922" xr:uid="{B6B90D9E-41E4-4D9F-AE2B-472C571D807E}"/>
    <cellStyle name="Comma 2 2 4 2 5 11" xfId="18668" xr:uid="{34DFDB37-ABBE-4859-A971-3849385E9CE9}"/>
    <cellStyle name="Comma 2 2 4 2 5 2" xfId="3334" xr:uid="{9835E9AA-E137-4E0E-B379-8FFD86A2FED8}"/>
    <cellStyle name="Comma 2 2 4 2 5 2 2" xfId="17934" xr:uid="{9A0E63E9-4082-4DB1-9C28-2BBFE8E80A27}"/>
    <cellStyle name="Comma 2 2 4 2 5 2 2 2" xfId="54442" xr:uid="{9385937D-DCBF-4C18-ACA9-986860B6B9B2}"/>
    <cellStyle name="Comma 2 2 4 2 5 2 2 3" xfId="36188" xr:uid="{D194EAEB-ECB9-43ED-B5CE-DF6BC50B6CE9}"/>
    <cellStyle name="Comma 2 2 4 2 5 2 3" xfId="14284" xr:uid="{3A3DF8A9-65A5-43C5-922C-8E77062F61A8}"/>
    <cellStyle name="Comma 2 2 4 2 5 2 3 2" xfId="50792" xr:uid="{A16C7573-10FE-422F-9556-B5F102EB7323}"/>
    <cellStyle name="Comma 2 2 4 2 5 2 3 3" xfId="32538" xr:uid="{E959DCF0-0FBC-4E72-B8DE-ABD2F9FBE82D}"/>
    <cellStyle name="Comma 2 2 4 2 5 2 4" xfId="10634" xr:uid="{03AF5E25-2660-4C5E-87D4-940A1F043ED9}"/>
    <cellStyle name="Comma 2 2 4 2 5 2 4 2" xfId="47142" xr:uid="{E902349C-B577-424E-BA79-BAB6275C4BE0}"/>
    <cellStyle name="Comma 2 2 4 2 5 2 4 3" xfId="28888" xr:uid="{04C0BED2-AE99-4868-8F74-092E6CC4AB9D}"/>
    <cellStyle name="Comma 2 2 4 2 5 2 5" xfId="6984" xr:uid="{97E6ADED-D412-4877-8257-36A5521D5F4C}"/>
    <cellStyle name="Comma 2 2 4 2 5 2 5 2" xfId="43492" xr:uid="{E1A5E50F-BB1A-4832-ABEA-A78919AF5CA5}"/>
    <cellStyle name="Comma 2 2 4 2 5 2 5 3" xfId="25238" xr:uid="{99CF01EF-61FC-4756-958C-E8B737100147}"/>
    <cellStyle name="Comma 2 2 4 2 5 2 6" xfId="39842" xr:uid="{D25E9CA1-5130-4469-8280-1CE31A7124F0}"/>
    <cellStyle name="Comma 2 2 4 2 5 2 7" xfId="21588" xr:uid="{55AD5770-21CA-4635-B5ED-368317B7C535}"/>
    <cellStyle name="Comma 2 2 4 2 5 3" xfId="2604" xr:uid="{9EB43E74-1F25-4728-A745-40AC17AFEA95}"/>
    <cellStyle name="Comma 2 2 4 2 5 3 2" xfId="17204" xr:uid="{C4A6E7F7-8504-4F89-AEBC-0BA590667A36}"/>
    <cellStyle name="Comma 2 2 4 2 5 3 2 2" xfId="53712" xr:uid="{4C0D4DC1-A9C6-46A2-969A-92856ACCA3C1}"/>
    <cellStyle name="Comma 2 2 4 2 5 3 2 3" xfId="35458" xr:uid="{DD6C1ED6-D8B7-4633-844D-CB5A2A629AB9}"/>
    <cellStyle name="Comma 2 2 4 2 5 3 3" xfId="13554" xr:uid="{0A086CDE-2184-42AF-BC8B-EB04F51B3D22}"/>
    <cellStyle name="Comma 2 2 4 2 5 3 3 2" xfId="50062" xr:uid="{8C8A8390-10FD-4C3D-BC51-CFCB48414057}"/>
    <cellStyle name="Comma 2 2 4 2 5 3 3 3" xfId="31808" xr:uid="{290D83DD-1264-4C22-9A56-CEE0C70ABEE9}"/>
    <cellStyle name="Comma 2 2 4 2 5 3 4" xfId="9904" xr:uid="{222A4859-EFA1-43A2-A00E-8460D81C1A47}"/>
    <cellStyle name="Comma 2 2 4 2 5 3 4 2" xfId="46412" xr:uid="{C261651A-1F26-4624-BDD2-EB542B3D893F}"/>
    <cellStyle name="Comma 2 2 4 2 5 3 4 3" xfId="28158" xr:uid="{DEF49646-DA0F-4D7B-8D7C-6A920CA0ED33}"/>
    <cellStyle name="Comma 2 2 4 2 5 3 5" xfId="6254" xr:uid="{E6A13329-FF95-4E3F-8557-9FFF6734D1A8}"/>
    <cellStyle name="Comma 2 2 4 2 5 3 5 2" xfId="42762" xr:uid="{CA0F3812-7481-4C18-A9FF-7433DCFB65B0}"/>
    <cellStyle name="Comma 2 2 4 2 5 3 5 3" xfId="24508" xr:uid="{755585E2-BDC4-4DDD-AE5D-9F3BB5BD7E29}"/>
    <cellStyle name="Comma 2 2 4 2 5 3 6" xfId="39112" xr:uid="{6AB4D455-7426-446C-AC8C-67AC6058CBAA}"/>
    <cellStyle name="Comma 2 2 4 2 5 3 7" xfId="20858" xr:uid="{234F83DB-4A50-4E02-9371-97DFD6BE8A75}"/>
    <cellStyle name="Comma 2 2 4 2 5 4" xfId="1874" xr:uid="{9155B073-0F20-4D52-8337-FB318518DBDD}"/>
    <cellStyle name="Comma 2 2 4 2 5 4 2" xfId="16474" xr:uid="{279B568C-C78E-4A83-9002-1F650CEEA980}"/>
    <cellStyle name="Comma 2 2 4 2 5 4 2 2" xfId="52982" xr:uid="{F34463CA-B0E3-43B6-B00C-BD10ADEF0255}"/>
    <cellStyle name="Comma 2 2 4 2 5 4 2 3" xfId="34728" xr:uid="{842D1787-8BD4-4E40-8DAE-019E20493B81}"/>
    <cellStyle name="Comma 2 2 4 2 5 4 3" xfId="12824" xr:uid="{B3350E33-B889-48DC-A8EC-BC9BFED78DC8}"/>
    <cellStyle name="Comma 2 2 4 2 5 4 3 2" xfId="49332" xr:uid="{CD817F30-77EA-400C-9918-82EE2B6EAD3F}"/>
    <cellStyle name="Comma 2 2 4 2 5 4 3 3" xfId="31078" xr:uid="{8C14D104-10C6-4A5C-B1F2-76D339311935}"/>
    <cellStyle name="Comma 2 2 4 2 5 4 4" xfId="9174" xr:uid="{F0C23C02-DB4B-4228-9FE1-98F726E841DA}"/>
    <cellStyle name="Comma 2 2 4 2 5 4 4 2" xfId="45682" xr:uid="{8D127413-9FFD-4DE0-86FB-74C8CC418D25}"/>
    <cellStyle name="Comma 2 2 4 2 5 4 4 3" xfId="27428" xr:uid="{6B06F3E5-9F82-4C2A-B557-E20E57DA6933}"/>
    <cellStyle name="Comma 2 2 4 2 5 4 5" xfId="5524" xr:uid="{14266036-905F-4EEC-8F6A-B610E60415CC}"/>
    <cellStyle name="Comma 2 2 4 2 5 4 5 2" xfId="42032" xr:uid="{9ABA1BA3-155E-4A3A-B7C8-BD5A72F01271}"/>
    <cellStyle name="Comma 2 2 4 2 5 4 5 3" xfId="23778" xr:uid="{EF0F6921-D8F6-4851-9FC8-9CE562655909}"/>
    <cellStyle name="Comma 2 2 4 2 5 4 6" xfId="38382" xr:uid="{98CE645D-A0CD-4B08-9188-9DF360496FFB}"/>
    <cellStyle name="Comma 2 2 4 2 5 4 7" xfId="20128" xr:uid="{083075BA-605E-4ECD-A6AA-0F04AEE6B7EA}"/>
    <cellStyle name="Comma 2 2 4 2 5 5" xfId="1144" xr:uid="{B6C953F9-ED53-46EA-9B3E-6088BDEADA67}"/>
    <cellStyle name="Comma 2 2 4 2 5 5 2" xfId="15744" xr:uid="{2B552BA1-F9BD-4799-91B5-BC36DDD60315}"/>
    <cellStyle name="Comma 2 2 4 2 5 5 2 2" xfId="52252" xr:uid="{AC11C1BB-F657-409A-A1D5-91B302D6855F}"/>
    <cellStyle name="Comma 2 2 4 2 5 5 2 3" xfId="33998" xr:uid="{7F606861-EE7C-44C8-80CD-E97D50A3077E}"/>
    <cellStyle name="Comma 2 2 4 2 5 5 3" xfId="12094" xr:uid="{498B9B1F-60A7-4E07-8368-BFACB196B503}"/>
    <cellStyle name="Comma 2 2 4 2 5 5 3 2" xfId="48602" xr:uid="{2C60761C-A8F6-4A7C-B193-D7B2C8D77A42}"/>
    <cellStyle name="Comma 2 2 4 2 5 5 3 3" xfId="30348" xr:uid="{9A13C163-401E-4CD3-85CC-3510E14D9640}"/>
    <cellStyle name="Comma 2 2 4 2 5 5 4" xfId="8444" xr:uid="{A5D080EF-0150-4A0D-879D-5AE4EC6450C2}"/>
    <cellStyle name="Comma 2 2 4 2 5 5 4 2" xfId="44952" xr:uid="{045A5870-66C6-4AF2-8009-E0A729AE9AF8}"/>
    <cellStyle name="Comma 2 2 4 2 5 5 4 3" xfId="26698" xr:uid="{259A68C3-4C79-4733-8E47-240207F912DA}"/>
    <cellStyle name="Comma 2 2 4 2 5 5 5" xfId="4794" xr:uid="{5DFD3E39-9FD2-4436-899C-322DCEF0BB85}"/>
    <cellStyle name="Comma 2 2 4 2 5 5 5 2" xfId="41302" xr:uid="{7AA76CFC-0191-48E1-9B42-6F73E217553C}"/>
    <cellStyle name="Comma 2 2 4 2 5 5 5 3" xfId="23048" xr:uid="{27093435-E7D0-41C5-9D35-E5584CF80158}"/>
    <cellStyle name="Comma 2 2 4 2 5 5 6" xfId="37652" xr:uid="{4FCD5309-9244-4DA2-BC77-08C44C3DD902}"/>
    <cellStyle name="Comma 2 2 4 2 5 5 7" xfId="19398" xr:uid="{CA69F773-B58B-4420-8BEA-000112652F24}"/>
    <cellStyle name="Comma 2 2 4 2 5 6" xfId="15014" xr:uid="{F7D5CD4C-8B53-4BDD-A868-27B0E8954BB1}"/>
    <cellStyle name="Comma 2 2 4 2 5 6 2" xfId="51522" xr:uid="{FE97EC5B-7CF1-459D-A212-A56E64325F18}"/>
    <cellStyle name="Comma 2 2 4 2 5 6 3" xfId="33268" xr:uid="{EEA25103-9325-4159-AA7E-75B5EC8717CB}"/>
    <cellStyle name="Comma 2 2 4 2 5 7" xfId="11364" xr:uid="{E873CE2B-378B-441C-8AE6-14F310CA3E16}"/>
    <cellStyle name="Comma 2 2 4 2 5 7 2" xfId="47872" xr:uid="{F84C2DC0-2CDA-4A67-9877-E708D2E47A84}"/>
    <cellStyle name="Comma 2 2 4 2 5 7 3" xfId="29618" xr:uid="{5AC8A6B2-E07F-4DDA-8BDE-3344C4BCD3D6}"/>
    <cellStyle name="Comma 2 2 4 2 5 8" xfId="7714" xr:uid="{DD70C1C7-2929-4E1A-8854-C22AA8DDA162}"/>
    <cellStyle name="Comma 2 2 4 2 5 8 2" xfId="44222" xr:uid="{FC86FA60-C944-4930-BB7D-49AD5BACA33C}"/>
    <cellStyle name="Comma 2 2 4 2 5 8 3" xfId="25968" xr:uid="{D2D430EA-FA4D-4A95-9EB4-68A1041E1614}"/>
    <cellStyle name="Comma 2 2 4 2 5 9" xfId="4064" xr:uid="{B1625B4A-0D09-47F2-B101-A641A35E33C8}"/>
    <cellStyle name="Comma 2 2 4 2 5 9 2" xfId="40572" xr:uid="{68335C23-1129-425B-BCCA-CA02B415DB3D}"/>
    <cellStyle name="Comma 2 2 4 2 5 9 3" xfId="22318" xr:uid="{59A88711-EF32-4134-8739-ADE225999857}"/>
    <cellStyle name="Comma 2 2 4 2 6" xfId="310" xr:uid="{EC54242F-36BB-48D4-A143-75B095AB4311}"/>
    <cellStyle name="Comma 2 2 4 2 6 10" xfId="36818" xr:uid="{75A1593A-4008-4D5A-B234-2660B5D1CC80}"/>
    <cellStyle name="Comma 2 2 4 2 6 11" xfId="18564" xr:uid="{6F406048-4624-47AC-A6E4-80E9086A850E}"/>
    <cellStyle name="Comma 2 2 4 2 6 2" xfId="3230" xr:uid="{CDC2F5EF-EF8E-48AC-B3A6-C36159DC0811}"/>
    <cellStyle name="Comma 2 2 4 2 6 2 2" xfId="17830" xr:uid="{E5948D92-D3B7-4933-9928-609D907B4EEB}"/>
    <cellStyle name="Comma 2 2 4 2 6 2 2 2" xfId="54338" xr:uid="{A9EA65D2-C755-4117-BD7E-07820B0088F4}"/>
    <cellStyle name="Comma 2 2 4 2 6 2 2 3" xfId="36084" xr:uid="{B3E519C6-3B16-4DD1-80E9-4A83AD5125FE}"/>
    <cellStyle name="Comma 2 2 4 2 6 2 3" xfId="14180" xr:uid="{B42D59BA-B66D-4F2B-B4B2-3C9F62362C4A}"/>
    <cellStyle name="Comma 2 2 4 2 6 2 3 2" xfId="50688" xr:uid="{B88617F2-642C-499A-B576-E9EF32C7E201}"/>
    <cellStyle name="Comma 2 2 4 2 6 2 3 3" xfId="32434" xr:uid="{A8CBC7DB-8E1D-4CC3-9DEC-F7876123D746}"/>
    <cellStyle name="Comma 2 2 4 2 6 2 4" xfId="10530" xr:uid="{43F5C750-C486-4571-B135-4F29B54F25F8}"/>
    <cellStyle name="Comma 2 2 4 2 6 2 4 2" xfId="47038" xr:uid="{3AF9E4D7-CE18-4E6F-99E1-2A087DD1BE5F}"/>
    <cellStyle name="Comma 2 2 4 2 6 2 4 3" xfId="28784" xr:uid="{87B4CE08-F985-4D91-958F-7CDC3212A47B}"/>
    <cellStyle name="Comma 2 2 4 2 6 2 5" xfId="6880" xr:uid="{C7B3B886-B069-4085-96FA-7EFC0325AE64}"/>
    <cellStyle name="Comma 2 2 4 2 6 2 5 2" xfId="43388" xr:uid="{72C0F737-AD97-4D1A-9160-35E0D574C5A0}"/>
    <cellStyle name="Comma 2 2 4 2 6 2 5 3" xfId="25134" xr:uid="{5F0DCDC7-C81B-4485-B637-BA1BD1F7BF78}"/>
    <cellStyle name="Comma 2 2 4 2 6 2 6" xfId="39738" xr:uid="{1F515F80-02EC-4B1C-AB08-4B93AB061F8C}"/>
    <cellStyle name="Comma 2 2 4 2 6 2 7" xfId="21484" xr:uid="{C2D715E2-6092-4EE0-B96D-E81559D4324A}"/>
    <cellStyle name="Comma 2 2 4 2 6 3" xfId="2500" xr:uid="{46230228-F66B-495A-ADBE-86BB6C157EA5}"/>
    <cellStyle name="Comma 2 2 4 2 6 3 2" xfId="17100" xr:uid="{C4B39A6F-61E6-43EA-AE82-8429D88D17FC}"/>
    <cellStyle name="Comma 2 2 4 2 6 3 2 2" xfId="53608" xr:uid="{6ADDE7B6-A4F5-471A-93D6-B91441A6B94F}"/>
    <cellStyle name="Comma 2 2 4 2 6 3 2 3" xfId="35354" xr:uid="{6353B7A1-EEA0-4E6E-A683-E5DC2DF14202}"/>
    <cellStyle name="Comma 2 2 4 2 6 3 3" xfId="13450" xr:uid="{34012C02-2CE1-40A2-959C-7F2B82F6FEF8}"/>
    <cellStyle name="Comma 2 2 4 2 6 3 3 2" xfId="49958" xr:uid="{A8042C8F-5B17-44A5-B0D1-6F9E863AB736}"/>
    <cellStyle name="Comma 2 2 4 2 6 3 3 3" xfId="31704" xr:uid="{AA3082CD-7EA2-4D66-BBB6-76D0903CD807}"/>
    <cellStyle name="Comma 2 2 4 2 6 3 4" xfId="9800" xr:uid="{1EFFBA1B-E421-4992-9C29-74A462427577}"/>
    <cellStyle name="Comma 2 2 4 2 6 3 4 2" xfId="46308" xr:uid="{58D5607F-5458-4A0D-B7A9-1A937CACCAE2}"/>
    <cellStyle name="Comma 2 2 4 2 6 3 4 3" xfId="28054" xr:uid="{727D7BE8-5B41-4109-9078-B7B936C2AE5A}"/>
    <cellStyle name="Comma 2 2 4 2 6 3 5" xfId="6150" xr:uid="{71C5A43F-C75F-4107-A1DB-030CD502E955}"/>
    <cellStyle name="Comma 2 2 4 2 6 3 5 2" xfId="42658" xr:uid="{547A8D73-16B8-4FEB-BA61-874954D86271}"/>
    <cellStyle name="Comma 2 2 4 2 6 3 5 3" xfId="24404" xr:uid="{C1D59EC8-C710-4F2C-AC93-93B74CEF8DD1}"/>
    <cellStyle name="Comma 2 2 4 2 6 3 6" xfId="39008" xr:uid="{D96B8E2F-AD1C-4857-9EE0-27DE11F393D7}"/>
    <cellStyle name="Comma 2 2 4 2 6 3 7" xfId="20754" xr:uid="{60D2E042-18B8-4A2A-8940-3419318A041B}"/>
    <cellStyle name="Comma 2 2 4 2 6 4" xfId="1770" xr:uid="{382E0D81-9AF7-4B2B-B60D-C882B1FCD927}"/>
    <cellStyle name="Comma 2 2 4 2 6 4 2" xfId="16370" xr:uid="{C37071BD-B868-4B88-AC83-0BCA4B3ED2DD}"/>
    <cellStyle name="Comma 2 2 4 2 6 4 2 2" xfId="52878" xr:uid="{713C6581-96D2-4B53-914D-44D7420231F6}"/>
    <cellStyle name="Comma 2 2 4 2 6 4 2 3" xfId="34624" xr:uid="{918A5AF9-64AA-402E-B4FA-CB6928657F60}"/>
    <cellStyle name="Comma 2 2 4 2 6 4 3" xfId="12720" xr:uid="{FE4E3990-8462-41E3-BF13-DBA3522AA2AB}"/>
    <cellStyle name="Comma 2 2 4 2 6 4 3 2" xfId="49228" xr:uid="{FB0DD05B-16C9-44C3-9F40-D479E443CC46}"/>
    <cellStyle name="Comma 2 2 4 2 6 4 3 3" xfId="30974" xr:uid="{ADA5E5C4-A1B8-4883-96F5-78BC21FA2C34}"/>
    <cellStyle name="Comma 2 2 4 2 6 4 4" xfId="9070" xr:uid="{D6649FAA-266A-4006-A2AA-C151A26B32EB}"/>
    <cellStyle name="Comma 2 2 4 2 6 4 4 2" xfId="45578" xr:uid="{365D8465-E62C-4F8D-B5F0-E905FFC4613A}"/>
    <cellStyle name="Comma 2 2 4 2 6 4 4 3" xfId="27324" xr:uid="{171F2B59-D1FA-4181-A981-BA92F957687A}"/>
    <cellStyle name="Comma 2 2 4 2 6 4 5" xfId="5420" xr:uid="{2BCBA505-7784-42A3-AAB0-777EC60C43FE}"/>
    <cellStyle name="Comma 2 2 4 2 6 4 5 2" xfId="41928" xr:uid="{025FA3E6-AB25-4182-89DA-AB16CA13B164}"/>
    <cellStyle name="Comma 2 2 4 2 6 4 5 3" xfId="23674" xr:uid="{A04BA231-2F02-4612-BBCE-56F4483B930E}"/>
    <cellStyle name="Comma 2 2 4 2 6 4 6" xfId="38278" xr:uid="{B3CF6A09-FFAA-4DFE-AA02-BCE7154221ED}"/>
    <cellStyle name="Comma 2 2 4 2 6 4 7" xfId="20024" xr:uid="{F2509137-90A3-4A19-97DA-E652E41D4A65}"/>
    <cellStyle name="Comma 2 2 4 2 6 5" xfId="1040" xr:uid="{4DFD9F90-7E25-49F7-A2EE-4C54A12CB42A}"/>
    <cellStyle name="Comma 2 2 4 2 6 5 2" xfId="15640" xr:uid="{14F26A41-026C-49DD-9147-6EED28EBEB6C}"/>
    <cellStyle name="Comma 2 2 4 2 6 5 2 2" xfId="52148" xr:uid="{AF36D9BF-BCAD-43A0-8FC8-74844CD4D1FD}"/>
    <cellStyle name="Comma 2 2 4 2 6 5 2 3" xfId="33894" xr:uid="{531A0A47-DD31-4E4E-BEAB-6992B2AC6245}"/>
    <cellStyle name="Comma 2 2 4 2 6 5 3" xfId="11990" xr:uid="{749101A9-8E24-4B0A-8C45-D7585EEAF799}"/>
    <cellStyle name="Comma 2 2 4 2 6 5 3 2" xfId="48498" xr:uid="{73A96EEB-CCE0-4CDD-95FA-D31E0634483A}"/>
    <cellStyle name="Comma 2 2 4 2 6 5 3 3" xfId="30244" xr:uid="{8630183E-8125-4971-9A83-5BFC374299E0}"/>
    <cellStyle name="Comma 2 2 4 2 6 5 4" xfId="8340" xr:uid="{9218335D-F089-466B-8844-595332B05B79}"/>
    <cellStyle name="Comma 2 2 4 2 6 5 4 2" xfId="44848" xr:uid="{BA2388AF-307C-48BA-B180-4205FE4E7A2B}"/>
    <cellStyle name="Comma 2 2 4 2 6 5 4 3" xfId="26594" xr:uid="{AD664D8E-1992-4E09-87FE-63470A0AD293}"/>
    <cellStyle name="Comma 2 2 4 2 6 5 5" xfId="4690" xr:uid="{8B87E2D0-F1D7-4AE4-8CCC-E6BC5F8F5A25}"/>
    <cellStyle name="Comma 2 2 4 2 6 5 5 2" xfId="41198" xr:uid="{7C9188BB-39CD-4020-877E-DB937501188E}"/>
    <cellStyle name="Comma 2 2 4 2 6 5 5 3" xfId="22944" xr:uid="{08C79589-5336-443A-B7F4-DFB0A4115F92}"/>
    <cellStyle name="Comma 2 2 4 2 6 5 6" xfId="37548" xr:uid="{1019B24D-3F3A-40A6-AE68-8E91E6C77817}"/>
    <cellStyle name="Comma 2 2 4 2 6 5 7" xfId="19294" xr:uid="{28F6DDFD-E524-4263-93D3-FF297D744B54}"/>
    <cellStyle name="Comma 2 2 4 2 6 6" xfId="14910" xr:uid="{BBC4CB21-05E5-4561-8E87-29C541E25C9F}"/>
    <cellStyle name="Comma 2 2 4 2 6 6 2" xfId="51418" xr:uid="{98AAD468-BA17-47B1-B4AC-44F88CC3FB91}"/>
    <cellStyle name="Comma 2 2 4 2 6 6 3" xfId="33164" xr:uid="{27932D4D-4597-43DC-A2BF-837B95E111C6}"/>
    <cellStyle name="Comma 2 2 4 2 6 7" xfId="11260" xr:uid="{08BE8B23-55CB-4713-9A98-FBFA6BBA2A85}"/>
    <cellStyle name="Comma 2 2 4 2 6 7 2" xfId="47768" xr:uid="{2F61E014-CBEB-4BF1-A132-823F7B5F8E92}"/>
    <cellStyle name="Comma 2 2 4 2 6 7 3" xfId="29514" xr:uid="{88387D41-906B-4482-ACBE-8DAF1CA8A63B}"/>
    <cellStyle name="Comma 2 2 4 2 6 8" xfId="7610" xr:uid="{2A31804C-1385-42DF-8D57-BD6E59F6E26F}"/>
    <cellStyle name="Comma 2 2 4 2 6 8 2" xfId="44118" xr:uid="{76C46C7E-E072-48E7-B503-83B1608CD948}"/>
    <cellStyle name="Comma 2 2 4 2 6 8 3" xfId="25864" xr:uid="{3C889F0C-5E85-4CED-8634-DE7AF59B6A65}"/>
    <cellStyle name="Comma 2 2 4 2 6 9" xfId="3960" xr:uid="{9290049B-7C28-4ABD-937A-7AFFB61857E3}"/>
    <cellStyle name="Comma 2 2 4 2 6 9 2" xfId="40468" xr:uid="{069B59E5-F0AA-42AB-8896-40862BF041F1}"/>
    <cellStyle name="Comma 2 2 4 2 6 9 3" xfId="22214" xr:uid="{0960A87A-9C39-4A63-8E8F-52C33B8CCE0D}"/>
    <cellStyle name="Comma 2 2 4 2 7" xfId="206" xr:uid="{8646A79D-F8F3-4ADB-8E2D-E8C3134D606D}"/>
    <cellStyle name="Comma 2 2 4 2 7 10" xfId="36714" xr:uid="{AA761885-2045-4F21-9CF1-BDC46F24AA8C}"/>
    <cellStyle name="Comma 2 2 4 2 7 11" xfId="18460" xr:uid="{3074B2B0-D095-4521-A3FE-93E8BFA71157}"/>
    <cellStyle name="Comma 2 2 4 2 7 2" xfId="3126" xr:uid="{827CA34C-50EE-4504-9BB7-ADA7CFC066FB}"/>
    <cellStyle name="Comma 2 2 4 2 7 2 2" xfId="17726" xr:uid="{6FFE3B1D-FA0F-4E61-AD5C-9E01A2F83402}"/>
    <cellStyle name="Comma 2 2 4 2 7 2 2 2" xfId="54234" xr:uid="{DC37DE43-9401-49D2-BC46-F6BC61B8F358}"/>
    <cellStyle name="Comma 2 2 4 2 7 2 2 3" xfId="35980" xr:uid="{CDB222EF-96CE-4BAC-8337-9B6F14AAAD52}"/>
    <cellStyle name="Comma 2 2 4 2 7 2 3" xfId="14076" xr:uid="{FB05EE02-A1C7-4C94-BF90-951E3748EEFA}"/>
    <cellStyle name="Comma 2 2 4 2 7 2 3 2" xfId="50584" xr:uid="{E256AD9F-DDCF-48FF-B11C-2A6C2AE6F413}"/>
    <cellStyle name="Comma 2 2 4 2 7 2 3 3" xfId="32330" xr:uid="{86B9F627-0C3B-4A30-AA1D-B070125E3F7D}"/>
    <cellStyle name="Comma 2 2 4 2 7 2 4" xfId="10426" xr:uid="{3D7EA23E-9799-4940-A1AF-4CF8F6439866}"/>
    <cellStyle name="Comma 2 2 4 2 7 2 4 2" xfId="46934" xr:uid="{073CB9FE-1F49-46D1-9EEF-4659DD648310}"/>
    <cellStyle name="Comma 2 2 4 2 7 2 4 3" xfId="28680" xr:uid="{0381F83A-CA1A-43A8-9E2C-6FD487644BBB}"/>
    <cellStyle name="Comma 2 2 4 2 7 2 5" xfId="6776" xr:uid="{FF3B6E86-278D-42EE-BEA8-356A7510A5FA}"/>
    <cellStyle name="Comma 2 2 4 2 7 2 5 2" xfId="43284" xr:uid="{EAEC871B-1FE7-4803-876D-9A758DF21A0F}"/>
    <cellStyle name="Comma 2 2 4 2 7 2 5 3" xfId="25030" xr:uid="{7D4B0A0F-2A7C-4B2E-9226-2FC1F90721A2}"/>
    <cellStyle name="Comma 2 2 4 2 7 2 6" xfId="39634" xr:uid="{BD6DFADE-DA88-44BF-BBC6-22CE5B29D82B}"/>
    <cellStyle name="Comma 2 2 4 2 7 2 7" xfId="21380" xr:uid="{563B2DA4-E7AA-4872-AF02-DEDEB94FC893}"/>
    <cellStyle name="Comma 2 2 4 2 7 3" xfId="2396" xr:uid="{3F8013A3-E3C3-45EE-BF42-1A5984D05595}"/>
    <cellStyle name="Comma 2 2 4 2 7 3 2" xfId="16996" xr:uid="{7B47993C-DF47-4AC9-97A5-427E607B3F0C}"/>
    <cellStyle name="Comma 2 2 4 2 7 3 2 2" xfId="53504" xr:uid="{F22DD00A-40B8-4F01-BBA7-68521F6796E6}"/>
    <cellStyle name="Comma 2 2 4 2 7 3 2 3" xfId="35250" xr:uid="{792DB26E-B9B2-4E68-9244-5AE87CD7A750}"/>
    <cellStyle name="Comma 2 2 4 2 7 3 3" xfId="13346" xr:uid="{F5AD3047-2F00-47BB-A8AE-6E4A06033087}"/>
    <cellStyle name="Comma 2 2 4 2 7 3 3 2" xfId="49854" xr:uid="{AC60F924-1C04-40F9-8902-076CAB1B8BF1}"/>
    <cellStyle name="Comma 2 2 4 2 7 3 3 3" xfId="31600" xr:uid="{4A24517F-1361-4CB5-98C9-4D97862BD618}"/>
    <cellStyle name="Comma 2 2 4 2 7 3 4" xfId="9696" xr:uid="{D53E7029-A708-464D-BCD8-76EDB2017E10}"/>
    <cellStyle name="Comma 2 2 4 2 7 3 4 2" xfId="46204" xr:uid="{9559E054-3856-498C-982C-84BCEFD2C933}"/>
    <cellStyle name="Comma 2 2 4 2 7 3 4 3" xfId="27950" xr:uid="{6F27E550-43F0-43CA-B18D-CB052C5454E4}"/>
    <cellStyle name="Comma 2 2 4 2 7 3 5" xfId="6046" xr:uid="{38E80E9E-DACB-4B40-A197-DFA79A395B76}"/>
    <cellStyle name="Comma 2 2 4 2 7 3 5 2" xfId="42554" xr:uid="{5C370126-C6AF-49B9-8312-AB17716B5C6E}"/>
    <cellStyle name="Comma 2 2 4 2 7 3 5 3" xfId="24300" xr:uid="{005D13F2-C776-4674-9618-61EB7FD897AD}"/>
    <cellStyle name="Comma 2 2 4 2 7 3 6" xfId="38904" xr:uid="{EDADB90A-A45E-4937-B200-26C988009239}"/>
    <cellStyle name="Comma 2 2 4 2 7 3 7" xfId="20650" xr:uid="{4D8396E6-03BA-4DC4-8271-175303FAD2FA}"/>
    <cellStyle name="Comma 2 2 4 2 7 4" xfId="1666" xr:uid="{703373DF-C715-4E8E-B82E-A8F7CCE92071}"/>
    <cellStyle name="Comma 2 2 4 2 7 4 2" xfId="16266" xr:uid="{D3995F6D-72BC-4DB9-BA3D-6FAD014BBADC}"/>
    <cellStyle name="Comma 2 2 4 2 7 4 2 2" xfId="52774" xr:uid="{C27C298F-4B1B-411F-8FEB-E02047591C04}"/>
    <cellStyle name="Comma 2 2 4 2 7 4 2 3" xfId="34520" xr:uid="{A8376B7D-7FD9-4BD9-A05B-1971282594B9}"/>
    <cellStyle name="Comma 2 2 4 2 7 4 3" xfId="12616" xr:uid="{22D4BF21-6B69-4A08-AF14-95C8EE3FEBAD}"/>
    <cellStyle name="Comma 2 2 4 2 7 4 3 2" xfId="49124" xr:uid="{7A203120-FC44-48F4-AFF7-37A63BB27466}"/>
    <cellStyle name="Comma 2 2 4 2 7 4 3 3" xfId="30870" xr:uid="{C3D571B8-1132-44BB-AF48-E3CF9025BC25}"/>
    <cellStyle name="Comma 2 2 4 2 7 4 4" xfId="8966" xr:uid="{3F4C1A95-44D9-48C8-97C6-26C90344F061}"/>
    <cellStyle name="Comma 2 2 4 2 7 4 4 2" xfId="45474" xr:uid="{4B9E4D82-ADA6-4811-9D0E-A479EBF9EB47}"/>
    <cellStyle name="Comma 2 2 4 2 7 4 4 3" xfId="27220" xr:uid="{2C3F8BC3-5127-4040-98E9-9DF739DEB527}"/>
    <cellStyle name="Comma 2 2 4 2 7 4 5" xfId="5316" xr:uid="{45EE4E91-4629-479C-B1E0-D6507871DDF2}"/>
    <cellStyle name="Comma 2 2 4 2 7 4 5 2" xfId="41824" xr:uid="{0CC397ED-48F2-4023-943E-C01764145D8A}"/>
    <cellStyle name="Comma 2 2 4 2 7 4 5 3" xfId="23570" xr:uid="{31E3921B-CE8C-4B08-A4BD-A1EC67D4B3FE}"/>
    <cellStyle name="Comma 2 2 4 2 7 4 6" xfId="38174" xr:uid="{85032513-FAD6-43C7-911E-CF4B2BCC0BC9}"/>
    <cellStyle name="Comma 2 2 4 2 7 4 7" xfId="19920" xr:uid="{D5ADB7D1-9408-4BED-9ED0-56134407047D}"/>
    <cellStyle name="Comma 2 2 4 2 7 5" xfId="936" xr:uid="{0872F92D-3AD7-4E52-A12E-EF6BEE161ABD}"/>
    <cellStyle name="Comma 2 2 4 2 7 5 2" xfId="15536" xr:uid="{4FD6FF55-A015-462B-90AC-A0DA3CAF92D9}"/>
    <cellStyle name="Comma 2 2 4 2 7 5 2 2" xfId="52044" xr:uid="{9C6F5812-04A9-4EB6-9CA8-7D594B842165}"/>
    <cellStyle name="Comma 2 2 4 2 7 5 2 3" xfId="33790" xr:uid="{C009EFA3-C670-46AA-A992-E16B8B25F3C0}"/>
    <cellStyle name="Comma 2 2 4 2 7 5 3" xfId="11886" xr:uid="{9FD4759F-C189-4291-8D9A-8CE857E0408C}"/>
    <cellStyle name="Comma 2 2 4 2 7 5 3 2" xfId="48394" xr:uid="{D79CB691-0083-4E9A-8F02-3F0D87D6DBB9}"/>
    <cellStyle name="Comma 2 2 4 2 7 5 3 3" xfId="30140" xr:uid="{238F18B5-6160-4D8E-96E2-DB1C4A3C0075}"/>
    <cellStyle name="Comma 2 2 4 2 7 5 4" xfId="8236" xr:uid="{DD3534BF-9800-4E1C-821F-2E4630785112}"/>
    <cellStyle name="Comma 2 2 4 2 7 5 4 2" xfId="44744" xr:uid="{B71C0626-798B-4C45-A561-FAAB48154109}"/>
    <cellStyle name="Comma 2 2 4 2 7 5 4 3" xfId="26490" xr:uid="{2B6AEA79-E948-41E7-9488-8982BAA327BE}"/>
    <cellStyle name="Comma 2 2 4 2 7 5 5" xfId="4586" xr:uid="{EB53BAB5-72AA-453F-9DC5-828299EE937D}"/>
    <cellStyle name="Comma 2 2 4 2 7 5 5 2" xfId="41094" xr:uid="{F21C7A94-2E08-4857-9B66-A0255F8E95D4}"/>
    <cellStyle name="Comma 2 2 4 2 7 5 5 3" xfId="22840" xr:uid="{EDB59F36-7823-4B73-BB13-C8FD5B024993}"/>
    <cellStyle name="Comma 2 2 4 2 7 5 6" xfId="37444" xr:uid="{60DDBF95-E6F9-48A8-A4DB-5AEDF2067013}"/>
    <cellStyle name="Comma 2 2 4 2 7 5 7" xfId="19190" xr:uid="{207EDC61-9A68-49FA-BAC3-40E4DAA384F6}"/>
    <cellStyle name="Comma 2 2 4 2 7 6" xfId="14806" xr:uid="{8BE23D95-282E-4F77-8DD6-6238A6B8B3F1}"/>
    <cellStyle name="Comma 2 2 4 2 7 6 2" xfId="51314" xr:uid="{5CC43DA0-10F6-4C99-BDE2-21B97ACD50F5}"/>
    <cellStyle name="Comma 2 2 4 2 7 6 3" xfId="33060" xr:uid="{EEEF8BDD-EEEA-41F9-A0E3-DB087E714CF1}"/>
    <cellStyle name="Comma 2 2 4 2 7 7" xfId="11156" xr:uid="{1FBA520E-14B7-45FF-937E-9790DDE71B6E}"/>
    <cellStyle name="Comma 2 2 4 2 7 7 2" xfId="47664" xr:uid="{FE14332D-6529-455F-9E80-E2BF1D3300A0}"/>
    <cellStyle name="Comma 2 2 4 2 7 7 3" xfId="29410" xr:uid="{A379713A-FCFB-4ABD-BF26-1864B1195DAD}"/>
    <cellStyle name="Comma 2 2 4 2 7 8" xfId="7506" xr:uid="{C2AB851A-8CF8-4900-A591-E4FE8F9CC969}"/>
    <cellStyle name="Comma 2 2 4 2 7 8 2" xfId="44014" xr:uid="{D8057F8E-38E6-4836-B41E-654DDA6306E9}"/>
    <cellStyle name="Comma 2 2 4 2 7 8 3" xfId="25760" xr:uid="{DC713D0E-CB77-47EB-B49C-7DB2AED27555}"/>
    <cellStyle name="Comma 2 2 4 2 7 9" xfId="3856" xr:uid="{37E6DCF6-05C3-45C2-9157-B7930B8B6F91}"/>
    <cellStyle name="Comma 2 2 4 2 7 9 2" xfId="40364" xr:uid="{4A3373F3-9921-4E6F-AFEF-33D38561E80E}"/>
    <cellStyle name="Comma 2 2 4 2 7 9 3" xfId="22110" xr:uid="{F97B70BF-629D-41F4-9F31-86411EA5F97F}"/>
    <cellStyle name="Comma 2 2 4 2 8" xfId="3022" xr:uid="{0835861B-1039-40B3-884E-EC8A63B36B82}"/>
    <cellStyle name="Comma 2 2 4 2 8 2" xfId="17622" xr:uid="{96C4B995-3CC8-4B74-BF1C-2E69BC967BE3}"/>
    <cellStyle name="Comma 2 2 4 2 8 2 2" xfId="54130" xr:uid="{D041CAE3-D667-4599-B9C8-6F4FE6CA013F}"/>
    <cellStyle name="Comma 2 2 4 2 8 2 3" xfId="35876" xr:uid="{B79E0BD1-6F33-4136-9866-1644BAA355DD}"/>
    <cellStyle name="Comma 2 2 4 2 8 3" xfId="13972" xr:uid="{E69F7BF2-024B-401D-AFC4-F7FCA193AB6E}"/>
    <cellStyle name="Comma 2 2 4 2 8 3 2" xfId="50480" xr:uid="{FC1E1768-AB6F-4C4B-B33D-5E4E2AE1719B}"/>
    <cellStyle name="Comma 2 2 4 2 8 3 3" xfId="32226" xr:uid="{15A3520E-12CA-4B9C-BAED-66B0900EA4B7}"/>
    <cellStyle name="Comma 2 2 4 2 8 4" xfId="10322" xr:uid="{40311442-8680-4741-BA1A-C1FBB5507B2D}"/>
    <cellStyle name="Comma 2 2 4 2 8 4 2" xfId="46830" xr:uid="{D7FF4E7F-B4F4-43A4-9227-DABE864ABDD5}"/>
    <cellStyle name="Comma 2 2 4 2 8 4 3" xfId="28576" xr:uid="{6636B518-7874-4AAD-B956-A8577C1646BA}"/>
    <cellStyle name="Comma 2 2 4 2 8 5" xfId="6672" xr:uid="{B73A90B4-634C-4DA4-910C-A72C1393E6EB}"/>
    <cellStyle name="Comma 2 2 4 2 8 5 2" xfId="43180" xr:uid="{2AFCBB14-A612-498C-8A4C-3234BC4E6056}"/>
    <cellStyle name="Comma 2 2 4 2 8 5 3" xfId="24926" xr:uid="{3093D25F-EC24-4BA6-AC03-055B9E050527}"/>
    <cellStyle name="Comma 2 2 4 2 8 6" xfId="39530" xr:uid="{2DA474D0-CF08-4581-8640-0D6DEAD428C7}"/>
    <cellStyle name="Comma 2 2 4 2 8 7" xfId="21276" xr:uid="{149139A8-F129-4751-B717-54C77767BACE}"/>
    <cellStyle name="Comma 2 2 4 2 9" xfId="2292" xr:uid="{163744FD-CC7D-4D62-9C40-5D0898A8EDC9}"/>
    <cellStyle name="Comma 2 2 4 2 9 2" xfId="16892" xr:uid="{D15E5B04-7FFC-4940-8DB4-73E34E5C7522}"/>
    <cellStyle name="Comma 2 2 4 2 9 2 2" xfId="53400" xr:uid="{836CE35A-0E93-498B-99DD-6FAE8C0315BE}"/>
    <cellStyle name="Comma 2 2 4 2 9 2 3" xfId="35146" xr:uid="{9C5EDA71-93D1-4BDA-8959-34BAB0AB2BC4}"/>
    <cellStyle name="Comma 2 2 4 2 9 3" xfId="13242" xr:uid="{536328A1-34F6-45F7-8E23-887E7BF9344F}"/>
    <cellStyle name="Comma 2 2 4 2 9 3 2" xfId="49750" xr:uid="{28BAA857-B0A2-4B4B-ABB2-F483CA8D7E79}"/>
    <cellStyle name="Comma 2 2 4 2 9 3 3" xfId="31496" xr:uid="{D3BA991D-A8CB-4047-9D85-6FBC98C7E78B}"/>
    <cellStyle name="Comma 2 2 4 2 9 4" xfId="9592" xr:uid="{7F04DEC5-5FC6-4063-BB6F-7F6239C4F603}"/>
    <cellStyle name="Comma 2 2 4 2 9 4 2" xfId="46100" xr:uid="{4C46D0A2-7A3D-4A06-9BE6-090A8AE3909A}"/>
    <cellStyle name="Comma 2 2 4 2 9 4 3" xfId="27846" xr:uid="{C4DB76A5-F1CA-4C42-B3AA-BA14C816E6A2}"/>
    <cellStyle name="Comma 2 2 4 2 9 5" xfId="5942" xr:uid="{30DD4CF6-9EE6-44C7-90AC-BE59F2E0858F}"/>
    <cellStyle name="Comma 2 2 4 2 9 5 2" xfId="42450" xr:uid="{CF9A96CA-D91F-4D0C-B853-900A5884D25B}"/>
    <cellStyle name="Comma 2 2 4 2 9 5 3" xfId="24196" xr:uid="{7FA109E6-F9C5-473A-9A05-28182C6162FD}"/>
    <cellStyle name="Comma 2 2 4 2 9 6" xfId="38800" xr:uid="{388366EB-B21F-47A6-84A9-396B3936CC3F}"/>
    <cellStyle name="Comma 2 2 4 2 9 7" xfId="20546" xr:uid="{8F64355C-828B-43B0-B767-FADCAEB2A1B0}"/>
    <cellStyle name="Comma 2 2 4 3" xfId="67" xr:uid="{B3167082-2894-439E-875B-E2F03109DE0E}"/>
    <cellStyle name="Comma 2 2 4 3 10" xfId="1530" xr:uid="{91BD9167-495B-4264-9E0E-CB40A5FFFD92}"/>
    <cellStyle name="Comma 2 2 4 3 10 2" xfId="16130" xr:uid="{66070817-54C9-4B56-8205-79EFA160C0D9}"/>
    <cellStyle name="Comma 2 2 4 3 10 2 2" xfId="52638" xr:uid="{DAB6277B-FE9B-4A3C-8D07-3BC5D845250D}"/>
    <cellStyle name="Comma 2 2 4 3 10 2 3" xfId="34384" xr:uid="{A3ED4AC8-7374-4735-ABED-59204482C068}"/>
    <cellStyle name="Comma 2 2 4 3 10 3" xfId="12480" xr:uid="{56DDAE12-5F73-4D6B-982A-3BDF35F3375A}"/>
    <cellStyle name="Comma 2 2 4 3 10 3 2" xfId="48988" xr:uid="{A1864A55-BDF1-4472-99C3-4CE12412F033}"/>
    <cellStyle name="Comma 2 2 4 3 10 3 3" xfId="30734" xr:uid="{91B2E599-E82A-4178-A45D-6E2B977D71DA}"/>
    <cellStyle name="Comma 2 2 4 3 10 4" xfId="8830" xr:uid="{B8F02715-41A8-4892-BCE7-C0062296700E}"/>
    <cellStyle name="Comma 2 2 4 3 10 4 2" xfId="45338" xr:uid="{AAFCF7BF-CB2B-4BD5-A1D7-F8618794497B}"/>
    <cellStyle name="Comma 2 2 4 3 10 4 3" xfId="27084" xr:uid="{0C44347C-6236-4AD7-94D6-6175DF7AAB2B}"/>
    <cellStyle name="Comma 2 2 4 3 10 5" xfId="5180" xr:uid="{779C11F3-9D29-4248-9EBF-690BEF0E2850}"/>
    <cellStyle name="Comma 2 2 4 3 10 5 2" xfId="41688" xr:uid="{31EFD723-FE11-4895-BAE4-07CAC099E57D}"/>
    <cellStyle name="Comma 2 2 4 3 10 5 3" xfId="23434" xr:uid="{05D32E03-BD71-4C83-8FAF-7631AB83E9EA}"/>
    <cellStyle name="Comma 2 2 4 3 10 6" xfId="38038" xr:uid="{F71A0CAE-2853-4256-8E65-DE8FDF5930CE}"/>
    <cellStyle name="Comma 2 2 4 3 10 7" xfId="19784" xr:uid="{FF4A86CE-B3C1-4234-BC03-1276A635A91C}"/>
    <cellStyle name="Comma 2 2 4 3 11" xfId="800" xr:uid="{BF4C1971-C605-42D3-83B3-1A0A0773E6B0}"/>
    <cellStyle name="Comma 2 2 4 3 11 2" xfId="15400" xr:uid="{963D7CBD-8725-4286-A8DA-10BFAE49AD9F}"/>
    <cellStyle name="Comma 2 2 4 3 11 2 2" xfId="51908" xr:uid="{2EE1B3ED-4AEF-496D-94B9-CE6102ACEB38}"/>
    <cellStyle name="Comma 2 2 4 3 11 2 3" xfId="33654" xr:uid="{D138E7B1-F2BF-4D34-AFD3-AE578614E854}"/>
    <cellStyle name="Comma 2 2 4 3 11 3" xfId="11750" xr:uid="{D14EF4ED-C736-4E82-B040-6B6AF58DECB6}"/>
    <cellStyle name="Comma 2 2 4 3 11 3 2" xfId="48258" xr:uid="{96767052-4A1B-4F2E-A76C-54E1C9C1B97C}"/>
    <cellStyle name="Comma 2 2 4 3 11 3 3" xfId="30004" xr:uid="{9AF6D93E-8611-41E2-AABD-1FF093C7C1D4}"/>
    <cellStyle name="Comma 2 2 4 3 11 4" xfId="8100" xr:uid="{E2649AA2-2C7F-471F-8D32-2FBA8AB9FCEB}"/>
    <cellStyle name="Comma 2 2 4 3 11 4 2" xfId="44608" xr:uid="{42CEA7B4-5ED2-403E-B313-7B0C0BAD469D}"/>
    <cellStyle name="Comma 2 2 4 3 11 4 3" xfId="26354" xr:uid="{F7037869-A03B-4593-AD81-15FD69B9154E}"/>
    <cellStyle name="Comma 2 2 4 3 11 5" xfId="4450" xr:uid="{1D87BA5F-E184-4445-BBA3-987BFEBC7F4D}"/>
    <cellStyle name="Comma 2 2 4 3 11 5 2" xfId="40958" xr:uid="{61AFFDAF-0730-4F56-A436-0B32778E4C91}"/>
    <cellStyle name="Comma 2 2 4 3 11 5 3" xfId="22704" xr:uid="{8E1623DF-D48E-42F4-87E1-18152E0B71CD}"/>
    <cellStyle name="Comma 2 2 4 3 11 6" xfId="37308" xr:uid="{5385EDF5-154C-4BBD-A0D9-111A4973EB81}"/>
    <cellStyle name="Comma 2 2 4 3 11 7" xfId="19054" xr:uid="{3B720DBC-EFED-469E-87E6-B0AC60F80B77}"/>
    <cellStyle name="Comma 2 2 4 3 12" xfId="14670" xr:uid="{70CE4BA5-622A-41C2-B08B-E1EF9376DAD5}"/>
    <cellStyle name="Comma 2 2 4 3 12 2" xfId="51178" xr:uid="{4492EEDE-69AC-41A2-83DF-B268F51FB0E5}"/>
    <cellStyle name="Comma 2 2 4 3 12 3" xfId="32924" xr:uid="{C669EAF4-0B29-417A-AFA3-243B3E3A5B54}"/>
    <cellStyle name="Comma 2 2 4 3 13" xfId="11020" xr:uid="{E055982A-1B85-407A-A6EE-0727B1993CD9}"/>
    <cellStyle name="Comma 2 2 4 3 13 2" xfId="47528" xr:uid="{B2319418-2B51-4472-A76A-AACF48BBF9C1}"/>
    <cellStyle name="Comma 2 2 4 3 13 3" xfId="29274" xr:uid="{9D82FD14-2DFD-4A80-92E2-DE07FF3AEF86}"/>
    <cellStyle name="Comma 2 2 4 3 14" xfId="7370" xr:uid="{00BF533C-DCE3-4E71-8A49-C2F5D6F2B3DA}"/>
    <cellStyle name="Comma 2 2 4 3 14 2" xfId="43878" xr:uid="{8C4C391B-347E-48CE-8502-C02940D96295}"/>
    <cellStyle name="Comma 2 2 4 3 14 3" xfId="25624" xr:uid="{8F392315-4DFB-451F-BC71-09E84DBD1F37}"/>
    <cellStyle name="Comma 2 2 4 3 15" xfId="3720" xr:uid="{7616FA5F-89B5-40B2-9E8E-C3977968647E}"/>
    <cellStyle name="Comma 2 2 4 3 15 2" xfId="40228" xr:uid="{800464ED-AE96-4B72-9060-22626EBC9FB4}"/>
    <cellStyle name="Comma 2 2 4 3 15 3" xfId="21974" xr:uid="{E98FCC3B-481D-4B40-B598-0E6EADB46BE8}"/>
    <cellStyle name="Comma 2 2 4 3 16" xfId="36578" xr:uid="{C7785B3A-535A-4728-9A94-E70790D80594}"/>
    <cellStyle name="Comma 2 2 4 3 17" xfId="18324" xr:uid="{EAA15608-D354-4C2C-BFB6-BDA4CD07777C}"/>
    <cellStyle name="Comma 2 2 4 3 2" xfId="694" xr:uid="{978F0AC6-606C-4755-AAA1-2839A5145D68}"/>
    <cellStyle name="Comma 2 2 4 3 2 10" xfId="37202" xr:uid="{9E9447C5-7020-4A28-9182-36D720D9DE12}"/>
    <cellStyle name="Comma 2 2 4 3 2 11" xfId="18948" xr:uid="{F902988D-6160-4952-B0F3-6C57F9035180}"/>
    <cellStyle name="Comma 2 2 4 3 2 2" xfId="3614" xr:uid="{BBB62267-D6C9-4922-8B90-48909C3FE74D}"/>
    <cellStyle name="Comma 2 2 4 3 2 2 2" xfId="18214" xr:uid="{3C82A585-24A7-4FD7-A847-48D3BAC82C66}"/>
    <cellStyle name="Comma 2 2 4 3 2 2 2 2" xfId="54722" xr:uid="{E7E1C59A-32E2-405C-B2CD-6258018A94FD}"/>
    <cellStyle name="Comma 2 2 4 3 2 2 2 3" xfId="36468" xr:uid="{7D0004C6-62CB-46F7-8E95-0D4BA0CCB16B}"/>
    <cellStyle name="Comma 2 2 4 3 2 2 3" xfId="14564" xr:uid="{E01A422D-D5C0-4169-96BD-2E34FE32CA86}"/>
    <cellStyle name="Comma 2 2 4 3 2 2 3 2" xfId="51072" xr:uid="{50081CD8-AA72-4D2F-856A-8317FFD09074}"/>
    <cellStyle name="Comma 2 2 4 3 2 2 3 3" xfId="32818" xr:uid="{9CA1B311-9106-4E76-96DE-7E23BC0C0395}"/>
    <cellStyle name="Comma 2 2 4 3 2 2 4" xfId="10914" xr:uid="{18FAE627-F9EF-4B60-BE41-EA6A452AA26C}"/>
    <cellStyle name="Comma 2 2 4 3 2 2 4 2" xfId="47422" xr:uid="{F4E380C2-F8EF-426C-9217-47C89CCBD42B}"/>
    <cellStyle name="Comma 2 2 4 3 2 2 4 3" xfId="29168" xr:uid="{36EAA2C4-F796-4F8B-BA78-2C0D70AB5AEF}"/>
    <cellStyle name="Comma 2 2 4 3 2 2 5" xfId="7264" xr:uid="{A3DD8C90-02AC-45BE-969F-BC8A357B60BD}"/>
    <cellStyle name="Comma 2 2 4 3 2 2 5 2" xfId="43772" xr:uid="{608E7C12-534D-452C-8066-D21FCBE0F839}"/>
    <cellStyle name="Comma 2 2 4 3 2 2 5 3" xfId="25518" xr:uid="{6E779733-CF64-4DF7-987A-8E5AE4BD2CFA}"/>
    <cellStyle name="Comma 2 2 4 3 2 2 6" xfId="40122" xr:uid="{F066E021-B218-4763-822B-18A2A583AA35}"/>
    <cellStyle name="Comma 2 2 4 3 2 2 7" xfId="21868" xr:uid="{59BB5D7B-DE66-4C97-973B-FF2FB26E2804}"/>
    <cellStyle name="Comma 2 2 4 3 2 3" xfId="2884" xr:uid="{98074E6D-5180-4BF4-9B44-B42D8DB0B9A8}"/>
    <cellStyle name="Comma 2 2 4 3 2 3 2" xfId="17484" xr:uid="{0ADAD47C-DFDB-4F36-8D85-0D9AF2C49096}"/>
    <cellStyle name="Comma 2 2 4 3 2 3 2 2" xfId="53992" xr:uid="{AA4C6303-0627-40A4-8188-815F73E335BB}"/>
    <cellStyle name="Comma 2 2 4 3 2 3 2 3" xfId="35738" xr:uid="{BAD735FA-83F4-4A43-A254-BA5E3EDAC0A5}"/>
    <cellStyle name="Comma 2 2 4 3 2 3 3" xfId="13834" xr:uid="{30544DB0-EEC3-42E6-888F-4A6C6A6970BF}"/>
    <cellStyle name="Comma 2 2 4 3 2 3 3 2" xfId="50342" xr:uid="{D9A24712-56A3-4B55-B2E9-AF0507C0EED7}"/>
    <cellStyle name="Comma 2 2 4 3 2 3 3 3" xfId="32088" xr:uid="{15251ED2-50E1-4C2D-A8A3-FAB0585DEA40}"/>
    <cellStyle name="Comma 2 2 4 3 2 3 4" xfId="10184" xr:uid="{775BC2F7-C55A-4831-B14A-861BAB46FC41}"/>
    <cellStyle name="Comma 2 2 4 3 2 3 4 2" xfId="46692" xr:uid="{FABB0D5D-38F9-44FD-8966-1049E4EE53D6}"/>
    <cellStyle name="Comma 2 2 4 3 2 3 4 3" xfId="28438" xr:uid="{FED0400C-0C2C-4098-92EF-DBCD5ECBF3D9}"/>
    <cellStyle name="Comma 2 2 4 3 2 3 5" xfId="6534" xr:uid="{F47AE770-F0D4-4CB0-82BD-BCA916BE6ED9}"/>
    <cellStyle name="Comma 2 2 4 3 2 3 5 2" xfId="43042" xr:uid="{C2528F79-CA52-427F-A008-D87B48EFCE5A}"/>
    <cellStyle name="Comma 2 2 4 3 2 3 5 3" xfId="24788" xr:uid="{A4D7A397-532A-4DA7-84B1-E8785347F3AE}"/>
    <cellStyle name="Comma 2 2 4 3 2 3 6" xfId="39392" xr:uid="{8FB43F1C-3CEE-4F20-88D4-BE8E2040A6D6}"/>
    <cellStyle name="Comma 2 2 4 3 2 3 7" xfId="21138" xr:uid="{754AF065-DBD2-4FFB-970B-FFCD8DE0110A}"/>
    <cellStyle name="Comma 2 2 4 3 2 4" xfId="2154" xr:uid="{934D7D59-A6AA-459C-98AB-35568FAF6C9B}"/>
    <cellStyle name="Comma 2 2 4 3 2 4 2" xfId="16754" xr:uid="{3CDAF9E0-CC7D-4C49-B1E9-DD0C3BB0B74C}"/>
    <cellStyle name="Comma 2 2 4 3 2 4 2 2" xfId="53262" xr:uid="{09316602-D18C-49DB-BBE5-48A9515FF6B8}"/>
    <cellStyle name="Comma 2 2 4 3 2 4 2 3" xfId="35008" xr:uid="{C1175E1B-5767-4503-8038-A48E30E1F22E}"/>
    <cellStyle name="Comma 2 2 4 3 2 4 3" xfId="13104" xr:uid="{93CB216B-22F4-404F-B8FA-0896E53740BC}"/>
    <cellStyle name="Comma 2 2 4 3 2 4 3 2" xfId="49612" xr:uid="{0C31F403-EAC0-40CD-8E80-1E8CFAF3CB15}"/>
    <cellStyle name="Comma 2 2 4 3 2 4 3 3" xfId="31358" xr:uid="{7AECB784-4FCD-4CAB-ACAF-C4731FEA1F96}"/>
    <cellStyle name="Comma 2 2 4 3 2 4 4" xfId="9454" xr:uid="{C4B0F42C-4B95-4DED-A39F-8DE9BCFA3012}"/>
    <cellStyle name="Comma 2 2 4 3 2 4 4 2" xfId="45962" xr:uid="{AFF236BE-E7F5-44B6-968D-62ED037045B3}"/>
    <cellStyle name="Comma 2 2 4 3 2 4 4 3" xfId="27708" xr:uid="{C9E41AAC-88A5-4490-A9C9-6659ABFC36BD}"/>
    <cellStyle name="Comma 2 2 4 3 2 4 5" xfId="5804" xr:uid="{7BF8C528-7593-48A1-B327-83B225AEC022}"/>
    <cellStyle name="Comma 2 2 4 3 2 4 5 2" xfId="42312" xr:uid="{5F84D048-1E29-4287-BBD2-40E3AC514F94}"/>
    <cellStyle name="Comma 2 2 4 3 2 4 5 3" xfId="24058" xr:uid="{0D099600-7CB0-4225-AD45-1BDA73C1CF3A}"/>
    <cellStyle name="Comma 2 2 4 3 2 4 6" xfId="38662" xr:uid="{A9F233CE-B88E-4204-B595-9E0F400800B2}"/>
    <cellStyle name="Comma 2 2 4 3 2 4 7" xfId="20408" xr:uid="{C5F6F83C-22AF-4EBE-B1F2-DFA4ED8E91B1}"/>
    <cellStyle name="Comma 2 2 4 3 2 5" xfId="1424" xr:uid="{27998779-AAAF-454B-9A71-B103F2A80B33}"/>
    <cellStyle name="Comma 2 2 4 3 2 5 2" xfId="16024" xr:uid="{DA6787A8-F0A4-4009-940D-C00657C2663F}"/>
    <cellStyle name="Comma 2 2 4 3 2 5 2 2" xfId="52532" xr:uid="{B40FCED3-804D-4134-B7E6-EFE9315E7125}"/>
    <cellStyle name="Comma 2 2 4 3 2 5 2 3" xfId="34278" xr:uid="{D93D219B-26EF-4D34-B731-851EFA13A101}"/>
    <cellStyle name="Comma 2 2 4 3 2 5 3" xfId="12374" xr:uid="{48DCF8A6-9005-463E-B6C9-AA080C5E5166}"/>
    <cellStyle name="Comma 2 2 4 3 2 5 3 2" xfId="48882" xr:uid="{E2D72700-0376-4E15-A214-C5BC7A584A55}"/>
    <cellStyle name="Comma 2 2 4 3 2 5 3 3" xfId="30628" xr:uid="{40B177EC-0143-4B19-8270-EB512FB2C7B1}"/>
    <cellStyle name="Comma 2 2 4 3 2 5 4" xfId="8724" xr:uid="{2BCC8A85-4371-4E55-B049-4EBA719EBB49}"/>
    <cellStyle name="Comma 2 2 4 3 2 5 4 2" xfId="45232" xr:uid="{89864294-D5C6-4862-B0E6-EF9BAB90910E}"/>
    <cellStyle name="Comma 2 2 4 3 2 5 4 3" xfId="26978" xr:uid="{4E403F84-4D7D-4BB3-994D-D4F6EBFC8B7E}"/>
    <cellStyle name="Comma 2 2 4 3 2 5 5" xfId="5074" xr:uid="{8EA86B69-436C-4FF6-B505-0061C606255D}"/>
    <cellStyle name="Comma 2 2 4 3 2 5 5 2" xfId="41582" xr:uid="{6578197B-773C-4E62-991A-D53E60EA84DF}"/>
    <cellStyle name="Comma 2 2 4 3 2 5 5 3" xfId="23328" xr:uid="{A75A76E7-F566-402A-8B25-9F67A58CA4CB}"/>
    <cellStyle name="Comma 2 2 4 3 2 5 6" xfId="37932" xr:uid="{1416DA1E-7015-4472-B6C9-AD9F8BF1C8EC}"/>
    <cellStyle name="Comma 2 2 4 3 2 5 7" xfId="19678" xr:uid="{E8B0BE58-0CC6-4B34-832B-C96CC103B700}"/>
    <cellStyle name="Comma 2 2 4 3 2 6" xfId="15294" xr:uid="{A6623C6A-C070-4BD3-865E-7FAA1830DF39}"/>
    <cellStyle name="Comma 2 2 4 3 2 6 2" xfId="51802" xr:uid="{EC0CBFAE-3AAC-4CF0-86B3-455823FDCA4A}"/>
    <cellStyle name="Comma 2 2 4 3 2 6 3" xfId="33548" xr:uid="{ABEFE9C3-9074-436C-9BDC-81A96A728E8B}"/>
    <cellStyle name="Comma 2 2 4 3 2 7" xfId="11644" xr:uid="{17197205-D07A-4031-A2CA-E86CB7988499}"/>
    <cellStyle name="Comma 2 2 4 3 2 7 2" xfId="48152" xr:uid="{5A4E4AA3-0C7A-4F19-9F43-38573A642988}"/>
    <cellStyle name="Comma 2 2 4 3 2 7 3" xfId="29898" xr:uid="{0892CAE9-FB0D-47A4-B1A2-E4BE29FC8E17}"/>
    <cellStyle name="Comma 2 2 4 3 2 8" xfId="7994" xr:uid="{22924D45-8BDC-4064-A9E0-FB31662D02FA}"/>
    <cellStyle name="Comma 2 2 4 3 2 8 2" xfId="44502" xr:uid="{41E643EF-B7E8-426B-A97F-1AA8EBB9C7B2}"/>
    <cellStyle name="Comma 2 2 4 3 2 8 3" xfId="26248" xr:uid="{971F3508-ADA5-45E1-BE05-77E7424CE1A4}"/>
    <cellStyle name="Comma 2 2 4 3 2 9" xfId="4344" xr:uid="{73254BA2-74A1-4D79-917F-24C236763EC3}"/>
    <cellStyle name="Comma 2 2 4 3 2 9 2" xfId="40852" xr:uid="{D1F7A6EB-3462-41AD-9969-82C540EA9C79}"/>
    <cellStyle name="Comma 2 2 4 3 2 9 3" xfId="22598" xr:uid="{A1F6D919-CDA1-40E6-B4FB-1D8FA663192D}"/>
    <cellStyle name="Comma 2 2 4 3 3" xfId="590" xr:uid="{9432A741-BC25-47AD-A70D-43117AD786FE}"/>
    <cellStyle name="Comma 2 2 4 3 3 10" xfId="37098" xr:uid="{B90D1ECA-22C5-4305-934E-533EB79FA500}"/>
    <cellStyle name="Comma 2 2 4 3 3 11" xfId="18844" xr:uid="{98A7A74B-E132-4F1F-BD8A-0E9512C0CDD9}"/>
    <cellStyle name="Comma 2 2 4 3 3 2" xfId="3510" xr:uid="{D4DB389A-03FD-404D-B268-69EAA0304497}"/>
    <cellStyle name="Comma 2 2 4 3 3 2 2" xfId="18110" xr:uid="{1DA35FAA-BC82-4E6B-AB01-5DDFFA453770}"/>
    <cellStyle name="Comma 2 2 4 3 3 2 2 2" xfId="54618" xr:uid="{F32AC82C-C20F-45E1-9150-6CA30CF0C7F2}"/>
    <cellStyle name="Comma 2 2 4 3 3 2 2 3" xfId="36364" xr:uid="{21C2B1D5-923F-413E-8787-C64F477D8007}"/>
    <cellStyle name="Comma 2 2 4 3 3 2 3" xfId="14460" xr:uid="{84F70F9C-DE39-49F1-A928-B3007E09F399}"/>
    <cellStyle name="Comma 2 2 4 3 3 2 3 2" xfId="50968" xr:uid="{14F05B57-8314-4DD1-BA17-D6D7B49397A9}"/>
    <cellStyle name="Comma 2 2 4 3 3 2 3 3" xfId="32714" xr:uid="{B44A692B-C0C4-488B-9B3B-1E5171711A9F}"/>
    <cellStyle name="Comma 2 2 4 3 3 2 4" xfId="10810" xr:uid="{0C588EF2-386A-4329-B492-6E28F6A71CE9}"/>
    <cellStyle name="Comma 2 2 4 3 3 2 4 2" xfId="47318" xr:uid="{F610B4AE-6F8A-42C9-8BC6-4E9EE40DD2A5}"/>
    <cellStyle name="Comma 2 2 4 3 3 2 4 3" xfId="29064" xr:uid="{93255F2B-0276-4A5C-9D5E-78FAF392BCD5}"/>
    <cellStyle name="Comma 2 2 4 3 3 2 5" xfId="7160" xr:uid="{1EA13C0C-1717-4054-B9D4-D733DFA7F481}"/>
    <cellStyle name="Comma 2 2 4 3 3 2 5 2" xfId="43668" xr:uid="{D9645F6F-8282-4E9A-A191-2C1C887D8406}"/>
    <cellStyle name="Comma 2 2 4 3 3 2 5 3" xfId="25414" xr:uid="{BF116B49-6208-4619-8FC3-6D280EEC6CD9}"/>
    <cellStyle name="Comma 2 2 4 3 3 2 6" xfId="40018" xr:uid="{40169C36-B2C2-4C80-ABC2-9AF95EFC9203}"/>
    <cellStyle name="Comma 2 2 4 3 3 2 7" xfId="21764" xr:uid="{EF919316-41C8-4E09-ACE5-A601DB0AC6C2}"/>
    <cellStyle name="Comma 2 2 4 3 3 3" xfId="2780" xr:uid="{B1B3AD95-D022-41E0-86CB-2C5AB84D5F43}"/>
    <cellStyle name="Comma 2 2 4 3 3 3 2" xfId="17380" xr:uid="{B2492A22-4AA3-46A3-932E-A28EB07865FF}"/>
    <cellStyle name="Comma 2 2 4 3 3 3 2 2" xfId="53888" xr:uid="{917D715D-4CB6-4439-9C6F-2477B69C8644}"/>
    <cellStyle name="Comma 2 2 4 3 3 3 2 3" xfId="35634" xr:uid="{1008C6FB-DA19-4C8C-82DE-33A8E7307D41}"/>
    <cellStyle name="Comma 2 2 4 3 3 3 3" xfId="13730" xr:uid="{DB8332E3-B8F9-407F-9FA3-19EB0CD99F5B}"/>
    <cellStyle name="Comma 2 2 4 3 3 3 3 2" xfId="50238" xr:uid="{7D9CBDD3-E181-4F61-9281-7B3A10DCE060}"/>
    <cellStyle name="Comma 2 2 4 3 3 3 3 3" xfId="31984" xr:uid="{E7D6F6AD-61F0-4D48-800F-8747F6C78F43}"/>
    <cellStyle name="Comma 2 2 4 3 3 3 4" xfId="10080" xr:uid="{4EC76CF5-0236-41FB-A8A2-9F687E4583C0}"/>
    <cellStyle name="Comma 2 2 4 3 3 3 4 2" xfId="46588" xr:uid="{C0267529-B4AA-46F6-A944-F7F6912C4FA7}"/>
    <cellStyle name="Comma 2 2 4 3 3 3 4 3" xfId="28334" xr:uid="{D46FBB76-718E-4AF2-BD98-CF86B154FD6F}"/>
    <cellStyle name="Comma 2 2 4 3 3 3 5" xfId="6430" xr:uid="{B1F03AB0-F935-4098-9940-304D54D8715D}"/>
    <cellStyle name="Comma 2 2 4 3 3 3 5 2" xfId="42938" xr:uid="{321B8A61-6230-4DCF-B761-D67FEDCBF3ED}"/>
    <cellStyle name="Comma 2 2 4 3 3 3 5 3" xfId="24684" xr:uid="{40FA5D21-9D61-441F-A411-DA8C441EF76F}"/>
    <cellStyle name="Comma 2 2 4 3 3 3 6" xfId="39288" xr:uid="{9A4D651C-2771-4A4C-B119-B183417C8AA7}"/>
    <cellStyle name="Comma 2 2 4 3 3 3 7" xfId="21034" xr:uid="{FE69B573-0573-496C-86AE-197326266186}"/>
    <cellStyle name="Comma 2 2 4 3 3 4" xfId="2050" xr:uid="{598BB5EF-5DE5-4795-9468-1FE78FB84B74}"/>
    <cellStyle name="Comma 2 2 4 3 3 4 2" xfId="16650" xr:uid="{51A78117-B44D-4E65-8BFA-C26AACA090F7}"/>
    <cellStyle name="Comma 2 2 4 3 3 4 2 2" xfId="53158" xr:uid="{7BF8FAE9-75EC-4945-BF75-C9E65966BBDE}"/>
    <cellStyle name="Comma 2 2 4 3 3 4 2 3" xfId="34904" xr:uid="{792B1642-A966-40C3-AB0E-461159EA047E}"/>
    <cellStyle name="Comma 2 2 4 3 3 4 3" xfId="13000" xr:uid="{E76CDFC6-18C9-4243-B0B4-FCE0531820EE}"/>
    <cellStyle name="Comma 2 2 4 3 3 4 3 2" xfId="49508" xr:uid="{B3210D16-ADE6-4A8C-A3B8-F6AE65963363}"/>
    <cellStyle name="Comma 2 2 4 3 3 4 3 3" xfId="31254" xr:uid="{57E5381D-68A1-4833-854B-E86CE4DCACD8}"/>
    <cellStyle name="Comma 2 2 4 3 3 4 4" xfId="9350" xr:uid="{D3DB564D-D7FB-46BF-82D8-A3D5AE25CB47}"/>
    <cellStyle name="Comma 2 2 4 3 3 4 4 2" xfId="45858" xr:uid="{B894599B-2301-4026-9E44-4B88D07DDE2E}"/>
    <cellStyle name="Comma 2 2 4 3 3 4 4 3" xfId="27604" xr:uid="{350904B9-D827-43DD-B679-713FDD7B0C13}"/>
    <cellStyle name="Comma 2 2 4 3 3 4 5" xfId="5700" xr:uid="{71703A59-CF7A-4C8D-A075-1F60EA69C6E9}"/>
    <cellStyle name="Comma 2 2 4 3 3 4 5 2" xfId="42208" xr:uid="{78B9A43E-D95F-4E1E-AF17-11BC4621B69F}"/>
    <cellStyle name="Comma 2 2 4 3 3 4 5 3" xfId="23954" xr:uid="{5C6A7E1C-B456-4556-B5D9-474A2FFB2CA2}"/>
    <cellStyle name="Comma 2 2 4 3 3 4 6" xfId="38558" xr:uid="{F50C8344-1084-4003-B54C-D04090158056}"/>
    <cellStyle name="Comma 2 2 4 3 3 4 7" xfId="20304" xr:uid="{E7C2ED72-1C95-4DDC-8814-E64BB168DEBE}"/>
    <cellStyle name="Comma 2 2 4 3 3 5" xfId="1320" xr:uid="{A641DE97-38C3-4AB7-9683-2F162B7BA3AD}"/>
    <cellStyle name="Comma 2 2 4 3 3 5 2" xfId="15920" xr:uid="{321E800E-21D8-4771-B8DF-78C74EE0C6B8}"/>
    <cellStyle name="Comma 2 2 4 3 3 5 2 2" xfId="52428" xr:uid="{71476C45-E73A-468A-99B1-24B0827BCEF8}"/>
    <cellStyle name="Comma 2 2 4 3 3 5 2 3" xfId="34174" xr:uid="{E69CD91A-7765-497A-9D12-9B97D340219F}"/>
    <cellStyle name="Comma 2 2 4 3 3 5 3" xfId="12270" xr:uid="{2EF291CA-1B5A-4044-81E3-904B5CF7CA1E}"/>
    <cellStyle name="Comma 2 2 4 3 3 5 3 2" xfId="48778" xr:uid="{A6C49072-89A9-4F2E-895C-E0EBAA6E2E4A}"/>
    <cellStyle name="Comma 2 2 4 3 3 5 3 3" xfId="30524" xr:uid="{D5114D03-D918-458A-AC5D-04875F41E462}"/>
    <cellStyle name="Comma 2 2 4 3 3 5 4" xfId="8620" xr:uid="{26D829ED-A073-4B0A-A19B-BB5BED6ADE27}"/>
    <cellStyle name="Comma 2 2 4 3 3 5 4 2" xfId="45128" xr:uid="{DFFAFC63-71B9-4E06-BAFC-E8620A7994E8}"/>
    <cellStyle name="Comma 2 2 4 3 3 5 4 3" xfId="26874" xr:uid="{758DAC8F-DB58-4F16-AAC4-A3EC336FC7C2}"/>
    <cellStyle name="Comma 2 2 4 3 3 5 5" xfId="4970" xr:uid="{2B5C8630-207E-4DDF-89DC-365AD5A76091}"/>
    <cellStyle name="Comma 2 2 4 3 3 5 5 2" xfId="41478" xr:uid="{9267A2DE-715F-46A3-8009-40E87922A0D9}"/>
    <cellStyle name="Comma 2 2 4 3 3 5 5 3" xfId="23224" xr:uid="{6032175B-09E5-40EC-8544-462067A789B9}"/>
    <cellStyle name="Comma 2 2 4 3 3 5 6" xfId="37828" xr:uid="{D86342FD-2805-48B5-ACF0-5AB6AF0CF22C}"/>
    <cellStyle name="Comma 2 2 4 3 3 5 7" xfId="19574" xr:uid="{C706ACEF-DED6-414B-A11D-2A0D699BDCEB}"/>
    <cellStyle name="Comma 2 2 4 3 3 6" xfId="15190" xr:uid="{5C509B3F-9B84-4382-AF29-B7FD1D59C455}"/>
    <cellStyle name="Comma 2 2 4 3 3 6 2" xfId="51698" xr:uid="{90515011-2BA1-4ECB-B4A2-B41BCB491138}"/>
    <cellStyle name="Comma 2 2 4 3 3 6 3" xfId="33444" xr:uid="{DD283ED7-7A11-4E91-9AEB-2ECD94D74838}"/>
    <cellStyle name="Comma 2 2 4 3 3 7" xfId="11540" xr:uid="{FD3CB30E-D173-4CEB-ADD1-655FA96769EA}"/>
    <cellStyle name="Comma 2 2 4 3 3 7 2" xfId="48048" xr:uid="{E2261648-EC28-4FAF-BD34-567CF7C09436}"/>
    <cellStyle name="Comma 2 2 4 3 3 7 3" xfId="29794" xr:uid="{D9D2C8C7-0B43-46F6-A96E-67DA0B0B922A}"/>
    <cellStyle name="Comma 2 2 4 3 3 8" xfId="7890" xr:uid="{D5A54D07-AAE1-41F0-BF84-AFE8141DF2E7}"/>
    <cellStyle name="Comma 2 2 4 3 3 8 2" xfId="44398" xr:uid="{B157F437-28F5-410C-BA69-0AC177891987}"/>
    <cellStyle name="Comma 2 2 4 3 3 8 3" xfId="26144" xr:uid="{68E4D1C0-9647-4EDD-9DF1-B228CB084392}"/>
    <cellStyle name="Comma 2 2 4 3 3 9" xfId="4240" xr:uid="{4754EAED-407D-4565-A178-BB10E0C53577}"/>
    <cellStyle name="Comma 2 2 4 3 3 9 2" xfId="40748" xr:uid="{EEBEF457-E4D0-463D-8F24-370A8C8D5BA1}"/>
    <cellStyle name="Comma 2 2 4 3 3 9 3" xfId="22494" xr:uid="{6937377F-EDAF-4B0D-83BE-FB25EC3A9B82}"/>
    <cellStyle name="Comma 2 2 4 3 4" xfId="486" xr:uid="{077C71AF-080D-4F9C-B4AE-DD9F76527409}"/>
    <cellStyle name="Comma 2 2 4 3 4 10" xfId="36994" xr:uid="{BF98BCF9-2BD0-4E71-B88B-671629011A04}"/>
    <cellStyle name="Comma 2 2 4 3 4 11" xfId="18740" xr:uid="{625F7AEC-5E2D-4372-B333-6DFFFCA3A31A}"/>
    <cellStyle name="Comma 2 2 4 3 4 2" xfId="3406" xr:uid="{1D39B845-C477-4A81-81A4-E794FFBF775B}"/>
    <cellStyle name="Comma 2 2 4 3 4 2 2" xfId="18006" xr:uid="{24296274-3B15-49A4-888F-5FD3B4152E15}"/>
    <cellStyle name="Comma 2 2 4 3 4 2 2 2" xfId="54514" xr:uid="{65365BCB-22E9-495F-B280-C9C6510D663C}"/>
    <cellStyle name="Comma 2 2 4 3 4 2 2 3" xfId="36260" xr:uid="{CCC3FE60-2C79-4BBB-95D3-22C5711B9A3A}"/>
    <cellStyle name="Comma 2 2 4 3 4 2 3" xfId="14356" xr:uid="{63A3C227-DA05-4FA9-8070-631872682ECE}"/>
    <cellStyle name="Comma 2 2 4 3 4 2 3 2" xfId="50864" xr:uid="{97399F24-2E94-41EE-AAFD-E709C65F6091}"/>
    <cellStyle name="Comma 2 2 4 3 4 2 3 3" xfId="32610" xr:uid="{5592F178-1851-45E5-AF74-04E53BE67338}"/>
    <cellStyle name="Comma 2 2 4 3 4 2 4" xfId="10706" xr:uid="{810F966A-BAA5-43F3-A998-BC45E895C7B1}"/>
    <cellStyle name="Comma 2 2 4 3 4 2 4 2" xfId="47214" xr:uid="{88C693FE-9DF4-44CD-A4A4-074F3DED32F9}"/>
    <cellStyle name="Comma 2 2 4 3 4 2 4 3" xfId="28960" xr:uid="{C6D14194-01B2-4E2A-984F-924EA2E4BD2D}"/>
    <cellStyle name="Comma 2 2 4 3 4 2 5" xfId="7056" xr:uid="{D55CC4D5-F979-4561-921C-0E19F27B9E90}"/>
    <cellStyle name="Comma 2 2 4 3 4 2 5 2" xfId="43564" xr:uid="{7CAE1BE9-CE95-4EA5-83F2-FD6B5CF41026}"/>
    <cellStyle name="Comma 2 2 4 3 4 2 5 3" xfId="25310" xr:uid="{A621B255-E4FD-4824-9E7A-29D8A5E5FCA7}"/>
    <cellStyle name="Comma 2 2 4 3 4 2 6" xfId="39914" xr:uid="{9A1DDE2F-19D8-466F-BCDF-BC1DF4D7EFB4}"/>
    <cellStyle name="Comma 2 2 4 3 4 2 7" xfId="21660" xr:uid="{5C13DFE5-997C-433D-A054-D194FD034AFF}"/>
    <cellStyle name="Comma 2 2 4 3 4 3" xfId="2676" xr:uid="{50264488-8533-47C8-A6D1-C315CF9E51CC}"/>
    <cellStyle name="Comma 2 2 4 3 4 3 2" xfId="17276" xr:uid="{059B68FB-12BA-44D6-99F6-83846852F661}"/>
    <cellStyle name="Comma 2 2 4 3 4 3 2 2" xfId="53784" xr:uid="{13CBDEF8-E54A-442F-AA9B-FC2B4CFEBA30}"/>
    <cellStyle name="Comma 2 2 4 3 4 3 2 3" xfId="35530" xr:uid="{040B0C94-6462-4BE3-93B5-2B24E826A5B8}"/>
    <cellStyle name="Comma 2 2 4 3 4 3 3" xfId="13626" xr:uid="{92C20DCF-63F3-4019-B891-C08CFBF7090A}"/>
    <cellStyle name="Comma 2 2 4 3 4 3 3 2" xfId="50134" xr:uid="{5278B08C-882C-4C39-BEAB-E63023CEA571}"/>
    <cellStyle name="Comma 2 2 4 3 4 3 3 3" xfId="31880" xr:uid="{724AB9C5-61EE-4B05-BC49-2FE07F0F4A23}"/>
    <cellStyle name="Comma 2 2 4 3 4 3 4" xfId="9976" xr:uid="{124959A5-6521-4697-8BFA-204952F663DD}"/>
    <cellStyle name="Comma 2 2 4 3 4 3 4 2" xfId="46484" xr:uid="{AC9AB604-BDD8-421E-944E-946F8BC23B7E}"/>
    <cellStyle name="Comma 2 2 4 3 4 3 4 3" xfId="28230" xr:uid="{2DE327E3-1B52-41F8-9B4E-4CE93811DB38}"/>
    <cellStyle name="Comma 2 2 4 3 4 3 5" xfId="6326" xr:uid="{A96BF9DC-557A-47CD-9290-D91D554C0ED8}"/>
    <cellStyle name="Comma 2 2 4 3 4 3 5 2" xfId="42834" xr:uid="{B90C0A3E-15E5-4151-B584-B605CC19BB2D}"/>
    <cellStyle name="Comma 2 2 4 3 4 3 5 3" xfId="24580" xr:uid="{6831F4BF-33C2-4755-9B23-FEAA06C4EA16}"/>
    <cellStyle name="Comma 2 2 4 3 4 3 6" xfId="39184" xr:uid="{0D424186-3417-4A1C-AA08-C8B1630E63F5}"/>
    <cellStyle name="Comma 2 2 4 3 4 3 7" xfId="20930" xr:uid="{2114ED1D-2AE2-4259-98B5-A349E89DD398}"/>
    <cellStyle name="Comma 2 2 4 3 4 4" xfId="1946" xr:uid="{F14E7248-9659-4DB3-8E65-4E487B6F4898}"/>
    <cellStyle name="Comma 2 2 4 3 4 4 2" xfId="16546" xr:uid="{5156CF42-EBD3-4BA7-BFD9-382AB6D4AC24}"/>
    <cellStyle name="Comma 2 2 4 3 4 4 2 2" xfId="53054" xr:uid="{4CB0D7C2-5BBC-4204-B2EA-0426091E9454}"/>
    <cellStyle name="Comma 2 2 4 3 4 4 2 3" xfId="34800" xr:uid="{910A12AD-3C77-4805-9CC2-B10C34A35FDB}"/>
    <cellStyle name="Comma 2 2 4 3 4 4 3" xfId="12896" xr:uid="{7A40F8C6-DEDE-4281-A3A3-2740CC349B3F}"/>
    <cellStyle name="Comma 2 2 4 3 4 4 3 2" xfId="49404" xr:uid="{09C139C4-1A8C-4BE1-8569-4E4295510ED0}"/>
    <cellStyle name="Comma 2 2 4 3 4 4 3 3" xfId="31150" xr:uid="{E9D7C415-7E77-4C7D-B0CB-20BA5CE96B61}"/>
    <cellStyle name="Comma 2 2 4 3 4 4 4" xfId="9246" xr:uid="{4AD3A4DD-2BCC-4FC2-A04A-DA43AF1D94E5}"/>
    <cellStyle name="Comma 2 2 4 3 4 4 4 2" xfId="45754" xr:uid="{49D75B1C-8752-4956-9DA0-DA8268C3C519}"/>
    <cellStyle name="Comma 2 2 4 3 4 4 4 3" xfId="27500" xr:uid="{BC440CC3-74F9-46B8-85DD-DD3A221C5663}"/>
    <cellStyle name="Comma 2 2 4 3 4 4 5" xfId="5596" xr:uid="{64525E59-B27A-4B02-9E58-8CEF81F34347}"/>
    <cellStyle name="Comma 2 2 4 3 4 4 5 2" xfId="42104" xr:uid="{EE08A8BA-896C-4ACE-9C83-B18660C02FC7}"/>
    <cellStyle name="Comma 2 2 4 3 4 4 5 3" xfId="23850" xr:uid="{FC33DEC6-60BF-453C-9B43-9EC1F8CEE86C}"/>
    <cellStyle name="Comma 2 2 4 3 4 4 6" xfId="38454" xr:uid="{C046E754-E367-49C8-9A1C-4769DC4B998F}"/>
    <cellStyle name="Comma 2 2 4 3 4 4 7" xfId="20200" xr:uid="{08897C5E-B685-485D-A4AC-4726BB51B0C2}"/>
    <cellStyle name="Comma 2 2 4 3 4 5" xfId="1216" xr:uid="{631FF81F-AB20-422F-AF6F-A6BC29582910}"/>
    <cellStyle name="Comma 2 2 4 3 4 5 2" xfId="15816" xr:uid="{311B1646-13EB-4203-B461-974CB484143E}"/>
    <cellStyle name="Comma 2 2 4 3 4 5 2 2" xfId="52324" xr:uid="{DDDD8C6D-F1FC-4E1B-B4D5-B6433C0522F5}"/>
    <cellStyle name="Comma 2 2 4 3 4 5 2 3" xfId="34070" xr:uid="{C1CED29B-A4D5-4F24-A316-54310A8DBA02}"/>
    <cellStyle name="Comma 2 2 4 3 4 5 3" xfId="12166" xr:uid="{8A7C7572-43D9-4EAA-9B14-8ED9629B5FEB}"/>
    <cellStyle name="Comma 2 2 4 3 4 5 3 2" xfId="48674" xr:uid="{EF36B617-13AF-49D6-A51E-586F8F10AB4A}"/>
    <cellStyle name="Comma 2 2 4 3 4 5 3 3" xfId="30420" xr:uid="{20AC4B8F-4E84-423F-9AFB-AFA14C522567}"/>
    <cellStyle name="Comma 2 2 4 3 4 5 4" xfId="8516" xr:uid="{A746D94D-EEFE-4F5D-B4FE-389FDE7B8CDE}"/>
    <cellStyle name="Comma 2 2 4 3 4 5 4 2" xfId="45024" xr:uid="{9E7683F6-4ADF-4E06-8A0E-07DA0ED80C75}"/>
    <cellStyle name="Comma 2 2 4 3 4 5 4 3" xfId="26770" xr:uid="{DDAF7C74-9FAB-46A5-ACBA-7818F4C9DA5D}"/>
    <cellStyle name="Comma 2 2 4 3 4 5 5" xfId="4866" xr:uid="{7F1422A7-95A9-470E-AA03-E7DE39E42646}"/>
    <cellStyle name="Comma 2 2 4 3 4 5 5 2" xfId="41374" xr:uid="{45CA23E7-BB1C-4641-80F2-54F3FFEDABA6}"/>
    <cellStyle name="Comma 2 2 4 3 4 5 5 3" xfId="23120" xr:uid="{AECF8B8F-9E8B-4FDB-9190-E71283E63A87}"/>
    <cellStyle name="Comma 2 2 4 3 4 5 6" xfId="37724" xr:uid="{EC176729-2CA7-4772-A27B-D2830E41C413}"/>
    <cellStyle name="Comma 2 2 4 3 4 5 7" xfId="19470" xr:uid="{BAB4E02D-D3C5-4681-A29E-BDEFBBE56B97}"/>
    <cellStyle name="Comma 2 2 4 3 4 6" xfId="15086" xr:uid="{4159109D-E522-4217-A8DD-A12C688A39A6}"/>
    <cellStyle name="Comma 2 2 4 3 4 6 2" xfId="51594" xr:uid="{B158FEC2-2B8B-495A-AA26-8711A859073F}"/>
    <cellStyle name="Comma 2 2 4 3 4 6 3" xfId="33340" xr:uid="{FDE5B9D6-04FB-4EE4-B11B-8FDAEFAE12ED}"/>
    <cellStyle name="Comma 2 2 4 3 4 7" xfId="11436" xr:uid="{F1DEAF51-6E9F-4711-B28A-028C8C415196}"/>
    <cellStyle name="Comma 2 2 4 3 4 7 2" xfId="47944" xr:uid="{B5F09E29-5FC8-4CE8-9D6B-5D35ED408749}"/>
    <cellStyle name="Comma 2 2 4 3 4 7 3" xfId="29690" xr:uid="{3BD423C9-F7CF-44EF-B425-9FA0757F0CAB}"/>
    <cellStyle name="Comma 2 2 4 3 4 8" xfId="7786" xr:uid="{5EE668BC-757B-48E0-9767-E707BDF24567}"/>
    <cellStyle name="Comma 2 2 4 3 4 8 2" xfId="44294" xr:uid="{8D1C59EE-8857-4D01-88E4-F7239A974635}"/>
    <cellStyle name="Comma 2 2 4 3 4 8 3" xfId="26040" xr:uid="{3BDF9937-BB86-4B14-9E63-7FE7BDD57ADF}"/>
    <cellStyle name="Comma 2 2 4 3 4 9" xfId="4136" xr:uid="{24F68D5F-1B9F-4558-A85E-BB9C96410312}"/>
    <cellStyle name="Comma 2 2 4 3 4 9 2" xfId="40644" xr:uid="{026A349D-672F-44C0-9F3D-EE2B11E6D500}"/>
    <cellStyle name="Comma 2 2 4 3 4 9 3" xfId="22390" xr:uid="{2BDE40B8-DD0D-4348-B188-544AA224E12F}"/>
    <cellStyle name="Comma 2 2 4 3 5" xfId="382" xr:uid="{2B420ECC-EE64-408D-A92A-58A5EA7FCE9F}"/>
    <cellStyle name="Comma 2 2 4 3 5 10" xfId="36890" xr:uid="{307370D2-1D1F-4687-9C50-8A3A3354EE1F}"/>
    <cellStyle name="Comma 2 2 4 3 5 11" xfId="18636" xr:uid="{A1E18ACC-C3D4-44CD-AE30-075F1F27C020}"/>
    <cellStyle name="Comma 2 2 4 3 5 2" xfId="3302" xr:uid="{3E9F52FD-5B40-4866-B35A-12C2591B6059}"/>
    <cellStyle name="Comma 2 2 4 3 5 2 2" xfId="17902" xr:uid="{03F3E738-90DD-4206-925C-8DDC44E0783B}"/>
    <cellStyle name="Comma 2 2 4 3 5 2 2 2" xfId="54410" xr:uid="{0053814F-7476-4FA9-A759-207E76A0D2EE}"/>
    <cellStyle name="Comma 2 2 4 3 5 2 2 3" xfId="36156" xr:uid="{0A17C666-C91D-4557-AF53-D28B3F3CEE79}"/>
    <cellStyle name="Comma 2 2 4 3 5 2 3" xfId="14252" xr:uid="{743F2A41-565B-4515-828B-48C06B98F5DB}"/>
    <cellStyle name="Comma 2 2 4 3 5 2 3 2" xfId="50760" xr:uid="{6FAC745B-37F0-4B1C-9D1D-67AAB2194022}"/>
    <cellStyle name="Comma 2 2 4 3 5 2 3 3" xfId="32506" xr:uid="{F1485CE3-A0FD-49B0-9872-029AB10EF60E}"/>
    <cellStyle name="Comma 2 2 4 3 5 2 4" xfId="10602" xr:uid="{A16A7DB3-D638-4175-A1CB-29D5948FFA81}"/>
    <cellStyle name="Comma 2 2 4 3 5 2 4 2" xfId="47110" xr:uid="{E1BD863B-82A5-469B-A860-904D2009FA8F}"/>
    <cellStyle name="Comma 2 2 4 3 5 2 4 3" xfId="28856" xr:uid="{54C3E81A-741A-43B0-BC68-0BA191889132}"/>
    <cellStyle name="Comma 2 2 4 3 5 2 5" xfId="6952" xr:uid="{2F84E83D-CC59-4566-A5EC-1157380F4871}"/>
    <cellStyle name="Comma 2 2 4 3 5 2 5 2" xfId="43460" xr:uid="{95EE0D4E-4236-4EEA-AB57-C179FC3CF582}"/>
    <cellStyle name="Comma 2 2 4 3 5 2 5 3" xfId="25206" xr:uid="{E6BDC504-540C-4373-9E24-EB837CCBE952}"/>
    <cellStyle name="Comma 2 2 4 3 5 2 6" xfId="39810" xr:uid="{FED4C1EB-602A-4A25-B105-DB3BF4887652}"/>
    <cellStyle name="Comma 2 2 4 3 5 2 7" xfId="21556" xr:uid="{54DDBA00-D86A-4A2A-8E23-711C70924D79}"/>
    <cellStyle name="Comma 2 2 4 3 5 3" xfId="2572" xr:uid="{7D91FF76-F106-4CEA-8E47-BF49718A1DE0}"/>
    <cellStyle name="Comma 2 2 4 3 5 3 2" xfId="17172" xr:uid="{ABA10C07-FC56-49F6-8FA2-F5EC90009B0D}"/>
    <cellStyle name="Comma 2 2 4 3 5 3 2 2" xfId="53680" xr:uid="{ABCD8EBD-A337-41CF-BF62-86EE89BDF7E2}"/>
    <cellStyle name="Comma 2 2 4 3 5 3 2 3" xfId="35426" xr:uid="{7A6EF6BB-BC2F-458A-98AF-E0DDA214C220}"/>
    <cellStyle name="Comma 2 2 4 3 5 3 3" xfId="13522" xr:uid="{45ADC42C-4808-4FFF-99BB-22457B9BDDA8}"/>
    <cellStyle name="Comma 2 2 4 3 5 3 3 2" xfId="50030" xr:uid="{FB85A8F9-EF30-484F-B0D6-C45F573F59E2}"/>
    <cellStyle name="Comma 2 2 4 3 5 3 3 3" xfId="31776" xr:uid="{D17B9853-46D1-4C8B-9D0C-389CD7AAF0C4}"/>
    <cellStyle name="Comma 2 2 4 3 5 3 4" xfId="9872" xr:uid="{6C164C2A-91C1-4C62-996B-B4F4A5BD23D1}"/>
    <cellStyle name="Comma 2 2 4 3 5 3 4 2" xfId="46380" xr:uid="{2FE240BD-D860-454C-9DD4-94AFCD4BB32F}"/>
    <cellStyle name="Comma 2 2 4 3 5 3 4 3" xfId="28126" xr:uid="{F8020D68-F185-49C2-8FF7-150322106EDB}"/>
    <cellStyle name="Comma 2 2 4 3 5 3 5" xfId="6222" xr:uid="{591DDD9C-1DB6-476E-A897-61F67CF7E19D}"/>
    <cellStyle name="Comma 2 2 4 3 5 3 5 2" xfId="42730" xr:uid="{016FD9A2-29F7-42B7-886D-E3E37660B8B5}"/>
    <cellStyle name="Comma 2 2 4 3 5 3 5 3" xfId="24476" xr:uid="{6F93A454-B573-48B0-85DB-1713D6B3AE36}"/>
    <cellStyle name="Comma 2 2 4 3 5 3 6" xfId="39080" xr:uid="{2DA617D6-1EEB-4934-942C-FC2D4E42BB95}"/>
    <cellStyle name="Comma 2 2 4 3 5 3 7" xfId="20826" xr:uid="{1456BCB0-3DEE-4303-9C8E-CDABE7099AD9}"/>
    <cellStyle name="Comma 2 2 4 3 5 4" xfId="1842" xr:uid="{A1409824-DB08-4D48-9482-742CA2362194}"/>
    <cellStyle name="Comma 2 2 4 3 5 4 2" xfId="16442" xr:uid="{89BFE110-6F60-4A2E-A388-2783A1B5C2A0}"/>
    <cellStyle name="Comma 2 2 4 3 5 4 2 2" xfId="52950" xr:uid="{781BC780-372B-4D1C-ABD0-C36EA1C320EF}"/>
    <cellStyle name="Comma 2 2 4 3 5 4 2 3" xfId="34696" xr:uid="{B8A1F283-FE2B-4468-9150-4B5C8CF42A9B}"/>
    <cellStyle name="Comma 2 2 4 3 5 4 3" xfId="12792" xr:uid="{A54A93BD-ADB0-414B-B90C-F1BDFD2963E6}"/>
    <cellStyle name="Comma 2 2 4 3 5 4 3 2" xfId="49300" xr:uid="{07DA3D17-A39E-46D4-8C96-F209076F82E2}"/>
    <cellStyle name="Comma 2 2 4 3 5 4 3 3" xfId="31046" xr:uid="{D264AA1D-3937-47E4-8505-24EC9FACA970}"/>
    <cellStyle name="Comma 2 2 4 3 5 4 4" xfId="9142" xr:uid="{ED4F731B-E068-4A28-BB4B-61C931B20883}"/>
    <cellStyle name="Comma 2 2 4 3 5 4 4 2" xfId="45650" xr:uid="{E4C9304F-795E-4585-B3E9-FAA56DBA8F24}"/>
    <cellStyle name="Comma 2 2 4 3 5 4 4 3" xfId="27396" xr:uid="{B356ACFF-52CC-408A-A37B-613D8CAE7093}"/>
    <cellStyle name="Comma 2 2 4 3 5 4 5" xfId="5492" xr:uid="{1BC90CB9-0A76-4E29-9150-1EE13A9069CB}"/>
    <cellStyle name="Comma 2 2 4 3 5 4 5 2" xfId="42000" xr:uid="{52708A2C-884E-4E4A-847D-76569A6E1FE6}"/>
    <cellStyle name="Comma 2 2 4 3 5 4 5 3" xfId="23746" xr:uid="{26A07954-E3F7-411A-9C72-01F217AD48B6}"/>
    <cellStyle name="Comma 2 2 4 3 5 4 6" xfId="38350" xr:uid="{C475E9BC-1B6A-40D2-9BE0-B5428D028AE3}"/>
    <cellStyle name="Comma 2 2 4 3 5 4 7" xfId="20096" xr:uid="{08BF97B9-F879-43EF-A910-7FD4140970A2}"/>
    <cellStyle name="Comma 2 2 4 3 5 5" xfId="1112" xr:uid="{E3AE7EE2-29AD-4670-9E67-D23224069025}"/>
    <cellStyle name="Comma 2 2 4 3 5 5 2" xfId="15712" xr:uid="{340AB337-18F6-4861-B733-67E30FCFD7E0}"/>
    <cellStyle name="Comma 2 2 4 3 5 5 2 2" xfId="52220" xr:uid="{1797A5DB-FE60-4812-9A3C-AC5E2AC07E31}"/>
    <cellStyle name="Comma 2 2 4 3 5 5 2 3" xfId="33966" xr:uid="{8387CF51-FF11-489B-BD75-127FC4DCFD78}"/>
    <cellStyle name="Comma 2 2 4 3 5 5 3" xfId="12062" xr:uid="{A58D26A3-8786-4832-87F3-5FDF41AFCA88}"/>
    <cellStyle name="Comma 2 2 4 3 5 5 3 2" xfId="48570" xr:uid="{EB979804-4B7B-462D-87C1-92C146773FD5}"/>
    <cellStyle name="Comma 2 2 4 3 5 5 3 3" xfId="30316" xr:uid="{CE820B8E-5C41-4419-B2A0-AA4B634757BA}"/>
    <cellStyle name="Comma 2 2 4 3 5 5 4" xfId="8412" xr:uid="{1A14006E-D0E6-4312-8F21-1BBD40A616DA}"/>
    <cellStyle name="Comma 2 2 4 3 5 5 4 2" xfId="44920" xr:uid="{00D46CF1-EFB9-4557-BBC4-9E3EEBFC15D3}"/>
    <cellStyle name="Comma 2 2 4 3 5 5 4 3" xfId="26666" xr:uid="{3EC1EE22-B775-40F3-A3E3-C0156D181662}"/>
    <cellStyle name="Comma 2 2 4 3 5 5 5" xfId="4762" xr:uid="{EFA449D7-22EB-472A-862D-105F94AEEA03}"/>
    <cellStyle name="Comma 2 2 4 3 5 5 5 2" xfId="41270" xr:uid="{918C00B7-C62B-4125-863B-D7F0BE829C75}"/>
    <cellStyle name="Comma 2 2 4 3 5 5 5 3" xfId="23016" xr:uid="{BE4C0ACD-C8D5-45AC-90D1-C87D72E51DDF}"/>
    <cellStyle name="Comma 2 2 4 3 5 5 6" xfId="37620" xr:uid="{FAE19DD2-BEEB-4890-8532-320B872A1B42}"/>
    <cellStyle name="Comma 2 2 4 3 5 5 7" xfId="19366" xr:uid="{8603D787-5787-4F82-B053-ADBA80EBA1F6}"/>
    <cellStyle name="Comma 2 2 4 3 5 6" xfId="14982" xr:uid="{BCB8B3D5-54F9-492B-8F98-9DC3225FD770}"/>
    <cellStyle name="Comma 2 2 4 3 5 6 2" xfId="51490" xr:uid="{C78A56D3-5BD6-41E0-81CF-1380DF4094A4}"/>
    <cellStyle name="Comma 2 2 4 3 5 6 3" xfId="33236" xr:uid="{E932E0AD-8643-49D1-89BC-79007158DE14}"/>
    <cellStyle name="Comma 2 2 4 3 5 7" xfId="11332" xr:uid="{993EA12C-0EDE-4460-804E-439A5F7139D8}"/>
    <cellStyle name="Comma 2 2 4 3 5 7 2" xfId="47840" xr:uid="{9053055D-DF20-4350-80E4-ECAFE4E872EE}"/>
    <cellStyle name="Comma 2 2 4 3 5 7 3" xfId="29586" xr:uid="{39948E83-E2A3-41B3-9C8B-66290F9802C6}"/>
    <cellStyle name="Comma 2 2 4 3 5 8" xfId="7682" xr:uid="{59893257-0F87-4685-89AB-1244C854C364}"/>
    <cellStyle name="Comma 2 2 4 3 5 8 2" xfId="44190" xr:uid="{25A7962B-8306-40B6-9E42-6A95778053F1}"/>
    <cellStyle name="Comma 2 2 4 3 5 8 3" xfId="25936" xr:uid="{DED11F5B-87C5-485D-AB94-4C8C32C54602}"/>
    <cellStyle name="Comma 2 2 4 3 5 9" xfId="4032" xr:uid="{3F9EEDDE-3A2C-4641-8A9D-2A0920019DAB}"/>
    <cellStyle name="Comma 2 2 4 3 5 9 2" xfId="40540" xr:uid="{1529F555-1601-4A1D-9B5E-A324CB65E9E2}"/>
    <cellStyle name="Comma 2 2 4 3 5 9 3" xfId="22286" xr:uid="{D145E922-43FA-4360-BB32-E6B2320AC8EA}"/>
    <cellStyle name="Comma 2 2 4 3 6" xfId="278" xr:uid="{1A6C742F-6056-4515-8C8A-9BCD9985A2C7}"/>
    <cellStyle name="Comma 2 2 4 3 6 10" xfId="36786" xr:uid="{5B0B0422-E07A-4C10-9FFE-FF0857FDA827}"/>
    <cellStyle name="Comma 2 2 4 3 6 11" xfId="18532" xr:uid="{2DAE5625-C1F2-44FC-95CA-F0726665B52C}"/>
    <cellStyle name="Comma 2 2 4 3 6 2" xfId="3198" xr:uid="{77AEDDDF-0692-41F8-9BE3-AE0A034B3190}"/>
    <cellStyle name="Comma 2 2 4 3 6 2 2" xfId="17798" xr:uid="{63671418-CDBB-452E-9DE0-A32054F520C4}"/>
    <cellStyle name="Comma 2 2 4 3 6 2 2 2" xfId="54306" xr:uid="{B50578E4-0846-41EA-8E0A-43FC48865DBA}"/>
    <cellStyle name="Comma 2 2 4 3 6 2 2 3" xfId="36052" xr:uid="{C07FE79B-C21C-4AC5-8C3D-58CDB5391186}"/>
    <cellStyle name="Comma 2 2 4 3 6 2 3" xfId="14148" xr:uid="{8C349F56-FB25-4BF5-A695-3B0740ADFAD2}"/>
    <cellStyle name="Comma 2 2 4 3 6 2 3 2" xfId="50656" xr:uid="{FB5A3925-9E26-4627-831D-B29BFA14E965}"/>
    <cellStyle name="Comma 2 2 4 3 6 2 3 3" xfId="32402" xr:uid="{9B14A65A-E847-4672-B4BF-0B2228DB4A3C}"/>
    <cellStyle name="Comma 2 2 4 3 6 2 4" xfId="10498" xr:uid="{75EA827A-EE20-403B-93F6-1F563873C038}"/>
    <cellStyle name="Comma 2 2 4 3 6 2 4 2" xfId="47006" xr:uid="{7C0F98C7-F9A6-43F1-8023-72C33C30094C}"/>
    <cellStyle name="Comma 2 2 4 3 6 2 4 3" xfId="28752" xr:uid="{D3168EC6-6E2B-4970-85C7-05DDF9FEF65F}"/>
    <cellStyle name="Comma 2 2 4 3 6 2 5" xfId="6848" xr:uid="{D93FF2AE-944D-44DE-84FB-ACBEAC972AB7}"/>
    <cellStyle name="Comma 2 2 4 3 6 2 5 2" xfId="43356" xr:uid="{B0A6A3D6-209C-44D6-8CB4-6B1783350DCC}"/>
    <cellStyle name="Comma 2 2 4 3 6 2 5 3" xfId="25102" xr:uid="{58BA4D43-DC23-4DB7-9BED-4A77F841104A}"/>
    <cellStyle name="Comma 2 2 4 3 6 2 6" xfId="39706" xr:uid="{4E68A593-D30C-49C6-A3F6-9A20202A7DF1}"/>
    <cellStyle name="Comma 2 2 4 3 6 2 7" xfId="21452" xr:uid="{7002D3E2-6B5D-4C4F-9C84-662DF225F868}"/>
    <cellStyle name="Comma 2 2 4 3 6 3" xfId="2468" xr:uid="{7DE0D37D-673E-477E-AB23-B76B3CB29205}"/>
    <cellStyle name="Comma 2 2 4 3 6 3 2" xfId="17068" xr:uid="{DB8C5BE1-28D8-472B-B42E-5C2B216E9257}"/>
    <cellStyle name="Comma 2 2 4 3 6 3 2 2" xfId="53576" xr:uid="{EB32B4F7-97B6-4882-96B8-C486487B1314}"/>
    <cellStyle name="Comma 2 2 4 3 6 3 2 3" xfId="35322" xr:uid="{0B208EFE-52D8-482A-A2C9-321C9D8BB333}"/>
    <cellStyle name="Comma 2 2 4 3 6 3 3" xfId="13418" xr:uid="{23F1E73A-B47D-4D35-9683-33F7F223EFEB}"/>
    <cellStyle name="Comma 2 2 4 3 6 3 3 2" xfId="49926" xr:uid="{8E2FCBDD-64C9-4120-8D27-72ED1BF79DCD}"/>
    <cellStyle name="Comma 2 2 4 3 6 3 3 3" xfId="31672" xr:uid="{14324F67-E605-4401-A7E0-A81EC5430412}"/>
    <cellStyle name="Comma 2 2 4 3 6 3 4" xfId="9768" xr:uid="{D31FC05B-0613-4E60-AAD8-496B3E6394A7}"/>
    <cellStyle name="Comma 2 2 4 3 6 3 4 2" xfId="46276" xr:uid="{225CF88D-1552-43A4-AC14-472FACF982E1}"/>
    <cellStyle name="Comma 2 2 4 3 6 3 4 3" xfId="28022" xr:uid="{5201E059-1FD1-4F84-B4D2-8B606C229766}"/>
    <cellStyle name="Comma 2 2 4 3 6 3 5" xfId="6118" xr:uid="{CDD8EDFF-521C-4E8B-8D6B-6FBDE1CA3664}"/>
    <cellStyle name="Comma 2 2 4 3 6 3 5 2" xfId="42626" xr:uid="{A7C9619D-5B4B-4440-8280-AC9122D1B3D4}"/>
    <cellStyle name="Comma 2 2 4 3 6 3 5 3" xfId="24372" xr:uid="{A1DCD7C2-256B-4722-ACC6-8503F0507999}"/>
    <cellStyle name="Comma 2 2 4 3 6 3 6" xfId="38976" xr:uid="{72EFF67F-DA40-42C8-9E85-4B011FCF9907}"/>
    <cellStyle name="Comma 2 2 4 3 6 3 7" xfId="20722" xr:uid="{D0D98D8C-4CE1-40F8-A0BB-414846CA38B8}"/>
    <cellStyle name="Comma 2 2 4 3 6 4" xfId="1738" xr:uid="{64E8F19F-7E33-48ED-851E-FE6DEC4CE83F}"/>
    <cellStyle name="Comma 2 2 4 3 6 4 2" xfId="16338" xr:uid="{9B201A83-6DBA-41B1-A690-E3C70344F196}"/>
    <cellStyle name="Comma 2 2 4 3 6 4 2 2" xfId="52846" xr:uid="{5A600FD9-201C-41EF-B1B5-173E8CB58106}"/>
    <cellStyle name="Comma 2 2 4 3 6 4 2 3" xfId="34592" xr:uid="{F90D27B2-AEAF-4D55-9DD0-BC0A69B39638}"/>
    <cellStyle name="Comma 2 2 4 3 6 4 3" xfId="12688" xr:uid="{26479444-FE13-413A-8A35-F87339F17740}"/>
    <cellStyle name="Comma 2 2 4 3 6 4 3 2" xfId="49196" xr:uid="{F61C90B9-A072-42EC-8FBB-69BBD1A96C2D}"/>
    <cellStyle name="Comma 2 2 4 3 6 4 3 3" xfId="30942" xr:uid="{310E22B4-55BC-4303-ADDF-B7B701D75124}"/>
    <cellStyle name="Comma 2 2 4 3 6 4 4" xfId="9038" xr:uid="{4BCECD67-DB74-47C8-A346-1D3A658B5046}"/>
    <cellStyle name="Comma 2 2 4 3 6 4 4 2" xfId="45546" xr:uid="{4F46AAF5-30B4-4580-8E06-AECC4312C624}"/>
    <cellStyle name="Comma 2 2 4 3 6 4 4 3" xfId="27292" xr:uid="{BA4971BD-F498-4A34-80EE-13723FB3C6FB}"/>
    <cellStyle name="Comma 2 2 4 3 6 4 5" xfId="5388" xr:uid="{62398523-567D-4893-A9EE-FCA6303732ED}"/>
    <cellStyle name="Comma 2 2 4 3 6 4 5 2" xfId="41896" xr:uid="{612641CA-8745-4D34-B2AD-8C84DE926A13}"/>
    <cellStyle name="Comma 2 2 4 3 6 4 5 3" xfId="23642" xr:uid="{9F3A6A94-800E-4E0E-8B3D-6E424AF4DCC4}"/>
    <cellStyle name="Comma 2 2 4 3 6 4 6" xfId="38246" xr:uid="{636755E5-A061-4998-B76C-7CD82B847318}"/>
    <cellStyle name="Comma 2 2 4 3 6 4 7" xfId="19992" xr:uid="{ED5E02C9-0402-4191-B8E2-FCB99F5DC593}"/>
    <cellStyle name="Comma 2 2 4 3 6 5" xfId="1008" xr:uid="{F703E0D9-500A-45C8-B25E-07B39F257897}"/>
    <cellStyle name="Comma 2 2 4 3 6 5 2" xfId="15608" xr:uid="{E6C36AE2-E41B-4E0E-9117-372A2C27A652}"/>
    <cellStyle name="Comma 2 2 4 3 6 5 2 2" xfId="52116" xr:uid="{47041E51-1FF3-457B-9D42-B88644668854}"/>
    <cellStyle name="Comma 2 2 4 3 6 5 2 3" xfId="33862" xr:uid="{E5D0BE95-8FB8-4FDA-8175-15CF5056B5B5}"/>
    <cellStyle name="Comma 2 2 4 3 6 5 3" xfId="11958" xr:uid="{BAD0F60E-0435-4B6F-8569-E4BA1A7B68D2}"/>
    <cellStyle name="Comma 2 2 4 3 6 5 3 2" xfId="48466" xr:uid="{E715DF1E-FC6C-4F63-AA56-598A8A8EBF78}"/>
    <cellStyle name="Comma 2 2 4 3 6 5 3 3" xfId="30212" xr:uid="{2E4A7DAE-B15A-4314-951F-C0C81998A02B}"/>
    <cellStyle name="Comma 2 2 4 3 6 5 4" xfId="8308" xr:uid="{D42EED86-29C1-445D-8868-DBA865091B7E}"/>
    <cellStyle name="Comma 2 2 4 3 6 5 4 2" xfId="44816" xr:uid="{1FD87ED2-E872-4F7B-8F59-84466320FA30}"/>
    <cellStyle name="Comma 2 2 4 3 6 5 4 3" xfId="26562" xr:uid="{187D52EF-3690-428F-BAE5-3C69A55CA632}"/>
    <cellStyle name="Comma 2 2 4 3 6 5 5" xfId="4658" xr:uid="{02F21998-73C8-43FA-B2A4-45F11D101441}"/>
    <cellStyle name="Comma 2 2 4 3 6 5 5 2" xfId="41166" xr:uid="{4C2055CA-ED29-4065-A413-941BB5D8D287}"/>
    <cellStyle name="Comma 2 2 4 3 6 5 5 3" xfId="22912" xr:uid="{9633BB74-532F-48E4-A5B5-BADE30CF128C}"/>
    <cellStyle name="Comma 2 2 4 3 6 5 6" xfId="37516" xr:uid="{405791B8-5D11-469C-8FD5-0797D9877855}"/>
    <cellStyle name="Comma 2 2 4 3 6 5 7" xfId="19262" xr:uid="{FAC809FA-B51C-4129-83CB-1D7DC852EEC8}"/>
    <cellStyle name="Comma 2 2 4 3 6 6" xfId="14878" xr:uid="{2897CDBC-A34D-485D-B236-D8EB7DE76ADC}"/>
    <cellStyle name="Comma 2 2 4 3 6 6 2" xfId="51386" xr:uid="{5A037816-3018-4A34-A3B3-C08F5EF60017}"/>
    <cellStyle name="Comma 2 2 4 3 6 6 3" xfId="33132" xr:uid="{303E20D5-9E91-47E4-B790-41054444C829}"/>
    <cellStyle name="Comma 2 2 4 3 6 7" xfId="11228" xr:uid="{206BD445-6913-4103-BD74-96901F1CBDE0}"/>
    <cellStyle name="Comma 2 2 4 3 6 7 2" xfId="47736" xr:uid="{5BCFE9E7-872D-46EC-B670-4F8814ECB4CC}"/>
    <cellStyle name="Comma 2 2 4 3 6 7 3" xfId="29482" xr:uid="{79379015-CD05-4F4A-B05C-323C4DC76306}"/>
    <cellStyle name="Comma 2 2 4 3 6 8" xfId="7578" xr:uid="{A6B88404-DAF9-4930-AF9E-A8E02A9DA065}"/>
    <cellStyle name="Comma 2 2 4 3 6 8 2" xfId="44086" xr:uid="{91413715-5825-4015-AC75-341953E9435C}"/>
    <cellStyle name="Comma 2 2 4 3 6 8 3" xfId="25832" xr:uid="{D24EEF17-2A8F-40B0-BCF1-9CC78E8A8252}"/>
    <cellStyle name="Comma 2 2 4 3 6 9" xfId="3928" xr:uid="{3EB0C530-DFD0-4D59-9DFB-DBF3269D8E1A}"/>
    <cellStyle name="Comma 2 2 4 3 6 9 2" xfId="40436" xr:uid="{7398FFAD-4C2C-4C59-A8AD-FFA41D3BB1BD}"/>
    <cellStyle name="Comma 2 2 4 3 6 9 3" xfId="22182" xr:uid="{5EAF3348-BBB3-4D1B-AF97-37460ACD8689}"/>
    <cellStyle name="Comma 2 2 4 3 7" xfId="174" xr:uid="{FF8C9971-E0D2-44E0-8AD5-93CF1E36E2B8}"/>
    <cellStyle name="Comma 2 2 4 3 7 10" xfId="36682" xr:uid="{C2AF7F96-08E1-48D1-870B-9B9DB08E70A8}"/>
    <cellStyle name="Comma 2 2 4 3 7 11" xfId="18428" xr:uid="{115C01C6-5F8D-47AC-BE24-391BCDE35DB8}"/>
    <cellStyle name="Comma 2 2 4 3 7 2" xfId="3094" xr:uid="{05016C30-9503-419B-B5B5-4428797F497D}"/>
    <cellStyle name="Comma 2 2 4 3 7 2 2" xfId="17694" xr:uid="{2E09981D-47D2-4BC2-9B96-80418612405F}"/>
    <cellStyle name="Comma 2 2 4 3 7 2 2 2" xfId="54202" xr:uid="{7395560E-3EDF-42A1-BDE3-C7C388991C03}"/>
    <cellStyle name="Comma 2 2 4 3 7 2 2 3" xfId="35948" xr:uid="{A18286B5-21CD-494D-B75B-5B85273B52AF}"/>
    <cellStyle name="Comma 2 2 4 3 7 2 3" xfId="14044" xr:uid="{DDD1EC82-0222-42CC-90F8-B446DA5C12C7}"/>
    <cellStyle name="Comma 2 2 4 3 7 2 3 2" xfId="50552" xr:uid="{0F30B0C3-4456-4B8E-AE11-A9734F56C6D5}"/>
    <cellStyle name="Comma 2 2 4 3 7 2 3 3" xfId="32298" xr:uid="{AE4524B2-3A9D-4BA3-9CDC-6C17F72BE20B}"/>
    <cellStyle name="Comma 2 2 4 3 7 2 4" xfId="10394" xr:uid="{E416E868-E593-4177-BEE1-0FCD60562CA6}"/>
    <cellStyle name="Comma 2 2 4 3 7 2 4 2" xfId="46902" xr:uid="{588DFB28-17D2-40FB-9D4E-BDF5BD221AE9}"/>
    <cellStyle name="Comma 2 2 4 3 7 2 4 3" xfId="28648" xr:uid="{2815F515-85AD-468E-B5E5-4E94CA627B23}"/>
    <cellStyle name="Comma 2 2 4 3 7 2 5" xfId="6744" xr:uid="{ABD3C77F-CA3D-48ED-9DC1-AA6D0CA554C8}"/>
    <cellStyle name="Comma 2 2 4 3 7 2 5 2" xfId="43252" xr:uid="{EAF7B95B-15B1-41F5-B39F-BCCCF931D2BA}"/>
    <cellStyle name="Comma 2 2 4 3 7 2 5 3" xfId="24998" xr:uid="{A3D0B660-6257-487A-943D-BCF10870D8D1}"/>
    <cellStyle name="Comma 2 2 4 3 7 2 6" xfId="39602" xr:uid="{FFA99CBB-114D-46AA-935D-942C8D657CDD}"/>
    <cellStyle name="Comma 2 2 4 3 7 2 7" xfId="21348" xr:uid="{C6D567A3-69DA-48EC-85F3-4BA1845CA5DF}"/>
    <cellStyle name="Comma 2 2 4 3 7 3" xfId="2364" xr:uid="{B6B4CCC2-3636-4510-98D4-2A5F75E383EF}"/>
    <cellStyle name="Comma 2 2 4 3 7 3 2" xfId="16964" xr:uid="{A0B7E327-512D-4223-A840-7371DEE823D5}"/>
    <cellStyle name="Comma 2 2 4 3 7 3 2 2" xfId="53472" xr:uid="{A9748AFE-EAAF-491E-9017-AF92BC413479}"/>
    <cellStyle name="Comma 2 2 4 3 7 3 2 3" xfId="35218" xr:uid="{787F3C60-1E3A-45F6-9B8B-4911FFBF0198}"/>
    <cellStyle name="Comma 2 2 4 3 7 3 3" xfId="13314" xr:uid="{E465F607-12A3-4FF3-9DFB-CB87D5DFA949}"/>
    <cellStyle name="Comma 2 2 4 3 7 3 3 2" xfId="49822" xr:uid="{68EDAC8B-0878-487A-BD04-93D58CCEAABB}"/>
    <cellStyle name="Comma 2 2 4 3 7 3 3 3" xfId="31568" xr:uid="{A8CE87D4-3D25-4E51-AC05-6551E8A12F34}"/>
    <cellStyle name="Comma 2 2 4 3 7 3 4" xfId="9664" xr:uid="{0735A177-5618-480B-AA23-D52BBECBFD27}"/>
    <cellStyle name="Comma 2 2 4 3 7 3 4 2" xfId="46172" xr:uid="{3A9FFFF9-8F50-4C7E-AE3C-C1FC5216FC31}"/>
    <cellStyle name="Comma 2 2 4 3 7 3 4 3" xfId="27918" xr:uid="{8540EC9E-3D77-4A6E-987F-D09B70D1BD6A}"/>
    <cellStyle name="Comma 2 2 4 3 7 3 5" xfId="6014" xr:uid="{1E5B1854-33B2-42BC-8E30-5397DFB662B0}"/>
    <cellStyle name="Comma 2 2 4 3 7 3 5 2" xfId="42522" xr:uid="{09A531A5-CD8B-4E6B-9DF0-32CDF89D565F}"/>
    <cellStyle name="Comma 2 2 4 3 7 3 5 3" xfId="24268" xr:uid="{2388F8BB-E666-40C9-99CE-B046591DB131}"/>
    <cellStyle name="Comma 2 2 4 3 7 3 6" xfId="38872" xr:uid="{204642E6-4B38-4E23-AAB9-FCE0F2F9C879}"/>
    <cellStyle name="Comma 2 2 4 3 7 3 7" xfId="20618" xr:uid="{6814B28C-836A-4AA0-8878-E41E8FD0F23B}"/>
    <cellStyle name="Comma 2 2 4 3 7 4" xfId="1634" xr:uid="{72513945-1E37-42C3-88C2-CE4D4269C847}"/>
    <cellStyle name="Comma 2 2 4 3 7 4 2" xfId="16234" xr:uid="{849E0865-172E-4A5C-9898-4CAB838C5152}"/>
    <cellStyle name="Comma 2 2 4 3 7 4 2 2" xfId="52742" xr:uid="{9552F9CB-0BB5-4713-9D10-B354662C8A50}"/>
    <cellStyle name="Comma 2 2 4 3 7 4 2 3" xfId="34488" xr:uid="{6384311D-7384-4DAB-B26B-55D474C4994C}"/>
    <cellStyle name="Comma 2 2 4 3 7 4 3" xfId="12584" xr:uid="{B4421609-9EAF-41EE-8182-1F2527A670F4}"/>
    <cellStyle name="Comma 2 2 4 3 7 4 3 2" xfId="49092" xr:uid="{5D071855-9FC7-4B24-A140-D9037C0FD49F}"/>
    <cellStyle name="Comma 2 2 4 3 7 4 3 3" xfId="30838" xr:uid="{D5FEBE11-9AC9-4111-8305-0FF3B04E222F}"/>
    <cellStyle name="Comma 2 2 4 3 7 4 4" xfId="8934" xr:uid="{F619B5E4-399D-4F2A-BBF4-15A103BDD3AB}"/>
    <cellStyle name="Comma 2 2 4 3 7 4 4 2" xfId="45442" xr:uid="{3888B27E-DBD9-4E73-868C-CA22F43AD7ED}"/>
    <cellStyle name="Comma 2 2 4 3 7 4 4 3" xfId="27188" xr:uid="{B0728608-C926-40CF-8822-AB05AFCB60B3}"/>
    <cellStyle name="Comma 2 2 4 3 7 4 5" xfId="5284" xr:uid="{BC6A5D47-5E1A-40D6-8CFD-C994055AF3A3}"/>
    <cellStyle name="Comma 2 2 4 3 7 4 5 2" xfId="41792" xr:uid="{D59EBDBD-DFC5-4C75-8488-845B2F5698B3}"/>
    <cellStyle name="Comma 2 2 4 3 7 4 5 3" xfId="23538" xr:uid="{E0797C5B-FAC5-4077-8B03-6CD8E17C7BF2}"/>
    <cellStyle name="Comma 2 2 4 3 7 4 6" xfId="38142" xr:uid="{A853DCEC-0B9E-4976-8A1C-0D03A98F663D}"/>
    <cellStyle name="Comma 2 2 4 3 7 4 7" xfId="19888" xr:uid="{401D9085-EC32-4340-A27C-847C4C71F16A}"/>
    <cellStyle name="Comma 2 2 4 3 7 5" xfId="904" xr:uid="{71690733-B1CD-45CD-9B13-AAB9260D82FD}"/>
    <cellStyle name="Comma 2 2 4 3 7 5 2" xfId="15504" xr:uid="{B24E27F1-E920-4255-AAE2-F4C225513B08}"/>
    <cellStyle name="Comma 2 2 4 3 7 5 2 2" xfId="52012" xr:uid="{CD47484C-7A9B-400A-9602-A1D544D407F1}"/>
    <cellStyle name="Comma 2 2 4 3 7 5 2 3" xfId="33758" xr:uid="{F620F692-EBA1-4956-A108-555059C23F08}"/>
    <cellStyle name="Comma 2 2 4 3 7 5 3" xfId="11854" xr:uid="{E2D41961-7876-4DC6-9878-018D7BB7CF7C}"/>
    <cellStyle name="Comma 2 2 4 3 7 5 3 2" xfId="48362" xr:uid="{4BFC7843-5E30-4F54-A076-47EEF5E8CCC5}"/>
    <cellStyle name="Comma 2 2 4 3 7 5 3 3" xfId="30108" xr:uid="{CBB84E26-D1E9-4D0C-B3D9-027AC23080E4}"/>
    <cellStyle name="Comma 2 2 4 3 7 5 4" xfId="8204" xr:uid="{A021E6B6-57B8-472D-9F8B-310912662A3C}"/>
    <cellStyle name="Comma 2 2 4 3 7 5 4 2" xfId="44712" xr:uid="{EDC39F31-F3CA-4E56-8252-71BFA79DF6E0}"/>
    <cellStyle name="Comma 2 2 4 3 7 5 4 3" xfId="26458" xr:uid="{63707BBE-8B8B-4171-B4B6-FD32D293FDF8}"/>
    <cellStyle name="Comma 2 2 4 3 7 5 5" xfId="4554" xr:uid="{9D5DDE14-1442-4100-AC35-6AC841AED2E0}"/>
    <cellStyle name="Comma 2 2 4 3 7 5 5 2" xfId="41062" xr:uid="{C1231E0D-F6DB-4D9B-87A3-D954C4297EA4}"/>
    <cellStyle name="Comma 2 2 4 3 7 5 5 3" xfId="22808" xr:uid="{F9CA945C-0656-40CC-BAAD-2130D5BDC6E1}"/>
    <cellStyle name="Comma 2 2 4 3 7 5 6" xfId="37412" xr:uid="{5BB856C6-AB46-48C3-9C5C-D3B81775C335}"/>
    <cellStyle name="Comma 2 2 4 3 7 5 7" xfId="19158" xr:uid="{0CB462EC-FBE4-494E-AD46-BFAF63AAFBEE}"/>
    <cellStyle name="Comma 2 2 4 3 7 6" xfId="14774" xr:uid="{64EFE809-5001-4327-8459-72C63AA1029F}"/>
    <cellStyle name="Comma 2 2 4 3 7 6 2" xfId="51282" xr:uid="{9CDB0414-EA45-4AC9-AC8B-671AD52BC53B}"/>
    <cellStyle name="Comma 2 2 4 3 7 6 3" xfId="33028" xr:uid="{6E4B183D-C651-47E5-865A-3A71335C56E3}"/>
    <cellStyle name="Comma 2 2 4 3 7 7" xfId="11124" xr:uid="{31A06453-69D4-43E5-8FFE-03F7FC65F10B}"/>
    <cellStyle name="Comma 2 2 4 3 7 7 2" xfId="47632" xr:uid="{A573352D-9C5B-4F8D-8A0C-A786BC31077E}"/>
    <cellStyle name="Comma 2 2 4 3 7 7 3" xfId="29378" xr:uid="{9D9B7EAC-E34B-4790-8C0E-58E897F4781D}"/>
    <cellStyle name="Comma 2 2 4 3 7 8" xfId="7474" xr:uid="{5B2B1618-BB1C-4349-BC82-42CEE1FBA23A}"/>
    <cellStyle name="Comma 2 2 4 3 7 8 2" xfId="43982" xr:uid="{254F43F1-3E6E-4066-9727-D5F424895957}"/>
    <cellStyle name="Comma 2 2 4 3 7 8 3" xfId="25728" xr:uid="{09C2A326-7B2E-4CED-8D12-FCDA6CF1EFEE}"/>
    <cellStyle name="Comma 2 2 4 3 7 9" xfId="3824" xr:uid="{BF37B90E-4349-47E1-A2C3-E6CDC415AB60}"/>
    <cellStyle name="Comma 2 2 4 3 7 9 2" xfId="40332" xr:uid="{31F870A2-1C9D-4A71-B479-01327B53D132}"/>
    <cellStyle name="Comma 2 2 4 3 7 9 3" xfId="22078" xr:uid="{41688CBE-3FF0-4A25-9139-A7BCA27CD51A}"/>
    <cellStyle name="Comma 2 2 4 3 8" xfId="2990" xr:uid="{B9E5F256-98BB-4ADB-B785-E26DEAD5677B}"/>
    <cellStyle name="Comma 2 2 4 3 8 2" xfId="17590" xr:uid="{43992E7D-E98C-4DD8-B74B-D290B507259D}"/>
    <cellStyle name="Comma 2 2 4 3 8 2 2" xfId="54098" xr:uid="{E9D1BF43-50D8-44C3-98F3-D6C27AC05153}"/>
    <cellStyle name="Comma 2 2 4 3 8 2 3" xfId="35844" xr:uid="{6F2821E5-44BE-41D3-BFB8-CDB032CA76CA}"/>
    <cellStyle name="Comma 2 2 4 3 8 3" xfId="13940" xr:uid="{A3FFCE68-2CB7-416C-ACB5-FD7C1E832919}"/>
    <cellStyle name="Comma 2 2 4 3 8 3 2" xfId="50448" xr:uid="{A58CB1FC-FD99-4C27-AB64-4DD5AA89C148}"/>
    <cellStyle name="Comma 2 2 4 3 8 3 3" xfId="32194" xr:uid="{D1C7EB0C-DBCB-421E-AD8F-74D5C89F7EF7}"/>
    <cellStyle name="Comma 2 2 4 3 8 4" xfId="10290" xr:uid="{599B5919-7F43-40DC-96FD-490111E9AE99}"/>
    <cellStyle name="Comma 2 2 4 3 8 4 2" xfId="46798" xr:uid="{301CD7A2-38C2-4BA7-93E8-1E03221D1C69}"/>
    <cellStyle name="Comma 2 2 4 3 8 4 3" xfId="28544" xr:uid="{D766EE20-EC84-470A-BD0F-65026790B54E}"/>
    <cellStyle name="Comma 2 2 4 3 8 5" xfId="6640" xr:uid="{345070E2-8279-4065-BA4F-6AF2E8527500}"/>
    <cellStyle name="Comma 2 2 4 3 8 5 2" xfId="43148" xr:uid="{C288EA18-E9FB-464D-BDAB-234D69C3C3C9}"/>
    <cellStyle name="Comma 2 2 4 3 8 5 3" xfId="24894" xr:uid="{E05B3B5D-648B-458D-8B20-5DD7F143F1E1}"/>
    <cellStyle name="Comma 2 2 4 3 8 6" xfId="39498" xr:uid="{9C3ABCB0-5152-473E-A811-8A0B72015F9F}"/>
    <cellStyle name="Comma 2 2 4 3 8 7" xfId="21244" xr:uid="{B693F5F6-AC5D-4CA8-BF86-800E9CE64FEF}"/>
    <cellStyle name="Comma 2 2 4 3 9" xfId="2260" xr:uid="{37E0FD01-0D70-4F55-BB6B-3F171EFA44CB}"/>
    <cellStyle name="Comma 2 2 4 3 9 2" xfId="16860" xr:uid="{85767FB8-D194-4481-BA38-945A2E8485B2}"/>
    <cellStyle name="Comma 2 2 4 3 9 2 2" xfId="53368" xr:uid="{60DC787E-C50F-4B56-8705-B276F3C3FB05}"/>
    <cellStyle name="Comma 2 2 4 3 9 2 3" xfId="35114" xr:uid="{176EFE47-5E95-40EA-B40F-56973F3C15F9}"/>
    <cellStyle name="Comma 2 2 4 3 9 3" xfId="13210" xr:uid="{E20ECF76-0ADC-4275-9547-1C76146F3E2D}"/>
    <cellStyle name="Comma 2 2 4 3 9 3 2" xfId="49718" xr:uid="{E47449A8-D046-4F6B-AA77-3CA4F7C91629}"/>
    <cellStyle name="Comma 2 2 4 3 9 3 3" xfId="31464" xr:uid="{F639AEA4-A1B1-4636-8210-5AAEECB4214A}"/>
    <cellStyle name="Comma 2 2 4 3 9 4" xfId="9560" xr:uid="{B40F7FEA-DE6B-430F-B181-BA0545FB7DDE}"/>
    <cellStyle name="Comma 2 2 4 3 9 4 2" xfId="46068" xr:uid="{C65F2956-7076-4095-AECC-ECF69A226896}"/>
    <cellStyle name="Comma 2 2 4 3 9 4 3" xfId="27814" xr:uid="{541847F6-1177-45F3-BDF3-C1CEB9ECE73A}"/>
    <cellStyle name="Comma 2 2 4 3 9 5" xfId="5910" xr:uid="{11A8C9C1-3097-4469-AA9C-708DE578C6D7}"/>
    <cellStyle name="Comma 2 2 4 3 9 5 2" xfId="42418" xr:uid="{60DBC808-F68D-4D31-93D8-F7981CCE33D7}"/>
    <cellStyle name="Comma 2 2 4 3 9 5 3" xfId="24164" xr:uid="{3E9E6620-41EE-4D52-9ABD-D043D7152503}"/>
    <cellStyle name="Comma 2 2 4 3 9 6" xfId="38768" xr:uid="{717E4924-FE54-423F-86E4-9A440F9C50BB}"/>
    <cellStyle name="Comma 2 2 4 3 9 7" xfId="20514" xr:uid="{CA105491-DBB2-4DAF-A1A8-E4C459B24C6E}"/>
    <cellStyle name="Comma 2 2 4 4" xfId="662" xr:uid="{52A8C6F0-DBB4-470C-96A9-C3B5FE496075}"/>
    <cellStyle name="Comma 2 2 4 4 10" xfId="37170" xr:uid="{6C3657F5-F6E2-4CE9-8568-D803E002111E}"/>
    <cellStyle name="Comma 2 2 4 4 11" xfId="18916" xr:uid="{DA3E5D4F-8B4B-48FF-ACB7-2BA264CD6F08}"/>
    <cellStyle name="Comma 2 2 4 4 2" xfId="3582" xr:uid="{F1B465CA-FF09-4414-97BF-325B73946365}"/>
    <cellStyle name="Comma 2 2 4 4 2 2" xfId="18182" xr:uid="{23F3231D-D05F-432C-9DC2-9F219B6F8566}"/>
    <cellStyle name="Comma 2 2 4 4 2 2 2" xfId="54690" xr:uid="{AFE896D3-80FD-4023-91F2-E353814C4204}"/>
    <cellStyle name="Comma 2 2 4 4 2 2 3" xfId="36436" xr:uid="{0408ED8E-E55F-4CFB-9EF5-9F3A9CA85326}"/>
    <cellStyle name="Comma 2 2 4 4 2 3" xfId="14532" xr:uid="{BDEA122C-AFD7-4EA8-B4E1-26429F61EEAB}"/>
    <cellStyle name="Comma 2 2 4 4 2 3 2" xfId="51040" xr:uid="{B91F5CBD-3D09-4702-BC35-79DCC9D6CB3F}"/>
    <cellStyle name="Comma 2 2 4 4 2 3 3" xfId="32786" xr:uid="{57953E19-90B6-4E49-8E6E-60F64CECE291}"/>
    <cellStyle name="Comma 2 2 4 4 2 4" xfId="10882" xr:uid="{C679E632-6CEC-4676-9FEB-C0D824F7CBF1}"/>
    <cellStyle name="Comma 2 2 4 4 2 4 2" xfId="47390" xr:uid="{5C5F5A05-BA5C-4CF3-9908-5C850486378C}"/>
    <cellStyle name="Comma 2 2 4 4 2 4 3" xfId="29136" xr:uid="{4CA461F2-52AC-4684-A996-E033BD05405D}"/>
    <cellStyle name="Comma 2 2 4 4 2 5" xfId="7232" xr:uid="{2112DCC3-FD4D-4C45-B339-C5F74675F7E4}"/>
    <cellStyle name="Comma 2 2 4 4 2 5 2" xfId="43740" xr:uid="{0045BD78-63AE-4E0A-992A-BCBD4C1248A3}"/>
    <cellStyle name="Comma 2 2 4 4 2 5 3" xfId="25486" xr:uid="{42F8E664-80C6-4E53-93B8-3F407ECDE6BB}"/>
    <cellStyle name="Comma 2 2 4 4 2 6" xfId="40090" xr:uid="{7206062F-80B7-4A9B-8EA6-04B0C2DEA5C2}"/>
    <cellStyle name="Comma 2 2 4 4 2 7" xfId="21836" xr:uid="{D59BA0F9-6915-4915-904E-870BA069FD91}"/>
    <cellStyle name="Comma 2 2 4 4 3" xfId="2852" xr:uid="{A2076F07-8453-4EDD-B316-A9DD5E4586A7}"/>
    <cellStyle name="Comma 2 2 4 4 3 2" xfId="17452" xr:uid="{4B22D3FE-29CC-484E-B986-7310CA9008A4}"/>
    <cellStyle name="Comma 2 2 4 4 3 2 2" xfId="53960" xr:uid="{9358FFD2-6110-4F12-9719-5980876A2482}"/>
    <cellStyle name="Comma 2 2 4 4 3 2 3" xfId="35706" xr:uid="{1D9FA8B2-92C5-4B83-8033-E947B2062AE2}"/>
    <cellStyle name="Comma 2 2 4 4 3 3" xfId="13802" xr:uid="{FC8152D7-B777-4689-B093-CFE2FBCE6648}"/>
    <cellStyle name="Comma 2 2 4 4 3 3 2" xfId="50310" xr:uid="{260291D5-579E-43DF-86FF-8433DE57E521}"/>
    <cellStyle name="Comma 2 2 4 4 3 3 3" xfId="32056" xr:uid="{5F66BC71-34AB-4010-9989-66ADC116EA3E}"/>
    <cellStyle name="Comma 2 2 4 4 3 4" xfId="10152" xr:uid="{758E92A0-2392-4857-9949-37304DE1CAD8}"/>
    <cellStyle name="Comma 2 2 4 4 3 4 2" xfId="46660" xr:uid="{2904759A-7501-42D7-BDD4-915671554A8A}"/>
    <cellStyle name="Comma 2 2 4 4 3 4 3" xfId="28406" xr:uid="{ADE516D9-54D2-4BEF-908B-1D47B8296E8F}"/>
    <cellStyle name="Comma 2 2 4 4 3 5" xfId="6502" xr:uid="{ABCC1D85-7EC8-490E-A5CE-F1EA7BFB6A95}"/>
    <cellStyle name="Comma 2 2 4 4 3 5 2" xfId="43010" xr:uid="{51494EAC-72F2-43BD-8C95-B61F469A457A}"/>
    <cellStyle name="Comma 2 2 4 4 3 5 3" xfId="24756" xr:uid="{857881CD-2ADA-465E-8D8C-C4346B1DB83B}"/>
    <cellStyle name="Comma 2 2 4 4 3 6" xfId="39360" xr:uid="{43642412-81EB-43EB-96CD-976883278EC2}"/>
    <cellStyle name="Comma 2 2 4 4 3 7" xfId="21106" xr:uid="{54C9A174-0D54-4D8A-8836-013F66E29870}"/>
    <cellStyle name="Comma 2 2 4 4 4" xfId="2122" xr:uid="{376E74FD-C567-4024-8224-F669F800DC69}"/>
    <cellStyle name="Comma 2 2 4 4 4 2" xfId="16722" xr:uid="{8546D1EB-4FC7-4652-B204-2CF2B2B3DF46}"/>
    <cellStyle name="Comma 2 2 4 4 4 2 2" xfId="53230" xr:uid="{ED050CAC-7086-4263-9A47-B5667D80A805}"/>
    <cellStyle name="Comma 2 2 4 4 4 2 3" xfId="34976" xr:uid="{D375B7C2-160D-44E3-9A83-1271F95C0E62}"/>
    <cellStyle name="Comma 2 2 4 4 4 3" xfId="13072" xr:uid="{27499460-AFA5-41B8-83C1-895364CC5356}"/>
    <cellStyle name="Comma 2 2 4 4 4 3 2" xfId="49580" xr:uid="{8A98D83E-3A2B-4F23-8E4C-9B39E3F424F6}"/>
    <cellStyle name="Comma 2 2 4 4 4 3 3" xfId="31326" xr:uid="{E76117F7-4D8A-4F8C-B4F4-5372D3AE5AE3}"/>
    <cellStyle name="Comma 2 2 4 4 4 4" xfId="9422" xr:uid="{8E892384-7960-4978-9EBF-1AD27CE550B7}"/>
    <cellStyle name="Comma 2 2 4 4 4 4 2" xfId="45930" xr:uid="{5C4C2F3E-9579-4226-A4DA-F555C8404922}"/>
    <cellStyle name="Comma 2 2 4 4 4 4 3" xfId="27676" xr:uid="{352E47E2-4237-4C57-92AA-89EA07CEF696}"/>
    <cellStyle name="Comma 2 2 4 4 4 5" xfId="5772" xr:uid="{E1C3088F-2326-4458-9EC4-BFFAFCB1B6D9}"/>
    <cellStyle name="Comma 2 2 4 4 4 5 2" xfId="42280" xr:uid="{85E97BEE-792A-437A-B59A-315796D87A3B}"/>
    <cellStyle name="Comma 2 2 4 4 4 5 3" xfId="24026" xr:uid="{A143AF8C-8640-4E4F-A4A4-3DAF9E2C5EAD}"/>
    <cellStyle name="Comma 2 2 4 4 4 6" xfId="38630" xr:uid="{B155A6BA-0B1E-48E7-9C98-E0AFBA4C1E6A}"/>
    <cellStyle name="Comma 2 2 4 4 4 7" xfId="20376" xr:uid="{EA1BCFC9-04BA-4A54-BB31-171B9CED8127}"/>
    <cellStyle name="Comma 2 2 4 4 5" xfId="1392" xr:uid="{5509B401-B719-4359-9A00-7AF3E00F6E28}"/>
    <cellStyle name="Comma 2 2 4 4 5 2" xfId="15992" xr:uid="{F690F6C4-C776-405B-BA5E-8DFA41D3B134}"/>
    <cellStyle name="Comma 2 2 4 4 5 2 2" xfId="52500" xr:uid="{C2DB1188-24D2-498E-B820-0B5436655611}"/>
    <cellStyle name="Comma 2 2 4 4 5 2 3" xfId="34246" xr:uid="{7382EB2C-5557-4698-B65A-63B59BE92573}"/>
    <cellStyle name="Comma 2 2 4 4 5 3" xfId="12342" xr:uid="{461248CE-312E-4CDA-B5A4-05A11F39374D}"/>
    <cellStyle name="Comma 2 2 4 4 5 3 2" xfId="48850" xr:uid="{02646837-DA0F-4A55-8C1B-DC44DA99051D}"/>
    <cellStyle name="Comma 2 2 4 4 5 3 3" xfId="30596" xr:uid="{D8A07EC2-E7D3-4F5F-A79C-F9C3AFDDB34E}"/>
    <cellStyle name="Comma 2 2 4 4 5 4" xfId="8692" xr:uid="{CF922E1F-C9CB-410A-B224-FE82A6F3CE2D}"/>
    <cellStyle name="Comma 2 2 4 4 5 4 2" xfId="45200" xr:uid="{22C9873E-7CA6-404F-A714-1EA85CFC044D}"/>
    <cellStyle name="Comma 2 2 4 4 5 4 3" xfId="26946" xr:uid="{3D0D48FD-59C4-4789-B45F-0F283B5D21CF}"/>
    <cellStyle name="Comma 2 2 4 4 5 5" xfId="5042" xr:uid="{E677D025-78FD-4C66-963C-2FB314D29BC8}"/>
    <cellStyle name="Comma 2 2 4 4 5 5 2" xfId="41550" xr:uid="{609967B8-CCA6-4867-A885-1844A237AF87}"/>
    <cellStyle name="Comma 2 2 4 4 5 5 3" xfId="23296" xr:uid="{21F23D77-96C4-46A7-A0D6-897EAD8CB2B7}"/>
    <cellStyle name="Comma 2 2 4 4 5 6" xfId="37900" xr:uid="{087506A1-326A-477E-85BD-DF2CCD5E30EB}"/>
    <cellStyle name="Comma 2 2 4 4 5 7" xfId="19646" xr:uid="{0853A4F1-458F-4722-B151-EC1F9833B4ED}"/>
    <cellStyle name="Comma 2 2 4 4 6" xfId="15262" xr:uid="{EB62FABB-D8F2-4737-96A9-64539E8C461A}"/>
    <cellStyle name="Comma 2 2 4 4 6 2" xfId="51770" xr:uid="{1F205FAB-63A2-4091-9172-BEFDF7910F2D}"/>
    <cellStyle name="Comma 2 2 4 4 6 3" xfId="33516" xr:uid="{C5F3341D-8E19-4524-9DAA-1F5526F6D2CB}"/>
    <cellStyle name="Comma 2 2 4 4 7" xfId="11612" xr:uid="{D0DA413F-6C23-4E7F-B4D4-138A83251EC8}"/>
    <cellStyle name="Comma 2 2 4 4 7 2" xfId="48120" xr:uid="{5166E7FD-21F0-469B-992F-966E5F96F835}"/>
    <cellStyle name="Comma 2 2 4 4 7 3" xfId="29866" xr:uid="{F1A4B5F9-D0BF-4583-87F5-7CF1F60EF06C}"/>
    <cellStyle name="Comma 2 2 4 4 8" xfId="7962" xr:uid="{94AB5BF3-7276-4D02-9126-7A97DBE5CDE4}"/>
    <cellStyle name="Comma 2 2 4 4 8 2" xfId="44470" xr:uid="{DB90BBF7-BCE3-4A78-A784-5BA2DA5685A7}"/>
    <cellStyle name="Comma 2 2 4 4 8 3" xfId="26216" xr:uid="{BFEEA15F-B0ED-4825-8641-D748A523B684}"/>
    <cellStyle name="Comma 2 2 4 4 9" xfId="4312" xr:uid="{8A4541E3-AD86-4B81-BBD8-C21971910041}"/>
    <cellStyle name="Comma 2 2 4 4 9 2" xfId="40820" xr:uid="{0CF4D629-EFFB-4759-8B16-4BBAFCA6484C}"/>
    <cellStyle name="Comma 2 2 4 4 9 3" xfId="22566" xr:uid="{5C45C843-51A9-4CFF-8112-93B2A2798295}"/>
    <cellStyle name="Comma 2 2 4 5" xfId="558" xr:uid="{C9122044-B0C4-4B46-952C-4E54E8BCFB66}"/>
    <cellStyle name="Comma 2 2 4 5 10" xfId="37066" xr:uid="{C9B099B5-1341-43BB-88CD-1D9BFA4B7BD2}"/>
    <cellStyle name="Comma 2 2 4 5 11" xfId="18812" xr:uid="{8DCEF2F9-DA20-4068-BF76-8D9E6C86BC92}"/>
    <cellStyle name="Comma 2 2 4 5 2" xfId="3478" xr:uid="{B7825CC2-344F-4AC7-BCB9-8B4B59353C2F}"/>
    <cellStyle name="Comma 2 2 4 5 2 2" xfId="18078" xr:uid="{AA335135-96FE-4420-A598-E1327A005255}"/>
    <cellStyle name="Comma 2 2 4 5 2 2 2" xfId="54586" xr:uid="{6777DC27-D26F-4B54-AB3D-EA37E45742C1}"/>
    <cellStyle name="Comma 2 2 4 5 2 2 3" xfId="36332" xr:uid="{DB76AE8F-4B17-4AB4-B7D3-D297FB47987B}"/>
    <cellStyle name="Comma 2 2 4 5 2 3" xfId="14428" xr:uid="{D7BCE8F1-4079-46AF-8722-9B6CB157AC3D}"/>
    <cellStyle name="Comma 2 2 4 5 2 3 2" xfId="50936" xr:uid="{5393FDBB-008A-43B6-9737-B13F90DFAC57}"/>
    <cellStyle name="Comma 2 2 4 5 2 3 3" xfId="32682" xr:uid="{F217E8F6-9558-4779-BE60-EB8143DFDCF5}"/>
    <cellStyle name="Comma 2 2 4 5 2 4" xfId="10778" xr:uid="{37DA6868-045B-45F2-BC90-75CC4781D02C}"/>
    <cellStyle name="Comma 2 2 4 5 2 4 2" xfId="47286" xr:uid="{FED9582C-AE17-45A0-ABEF-BD45C64430D2}"/>
    <cellStyle name="Comma 2 2 4 5 2 4 3" xfId="29032" xr:uid="{D2C8C0D3-D45E-4C34-9BFD-F74B3FD9A6D3}"/>
    <cellStyle name="Comma 2 2 4 5 2 5" xfId="7128" xr:uid="{0A54CC27-026E-4167-B9F0-355AB89B85D5}"/>
    <cellStyle name="Comma 2 2 4 5 2 5 2" xfId="43636" xr:uid="{F0D62812-F11B-473C-B2C4-330CDBC6D65D}"/>
    <cellStyle name="Comma 2 2 4 5 2 5 3" xfId="25382" xr:uid="{51BD9B9B-4E85-4F42-9238-A787B854E62F}"/>
    <cellStyle name="Comma 2 2 4 5 2 6" xfId="39986" xr:uid="{FC669C5D-BE5B-4DC0-B6CA-AC3A74AA2D97}"/>
    <cellStyle name="Comma 2 2 4 5 2 7" xfId="21732" xr:uid="{C16FC1B3-D7A3-4167-B819-00B8F08DC6E3}"/>
    <cellStyle name="Comma 2 2 4 5 3" xfId="2748" xr:uid="{44AF5A1F-DF71-4147-A731-02C22261C128}"/>
    <cellStyle name="Comma 2 2 4 5 3 2" xfId="17348" xr:uid="{D397067B-8833-498E-B9EB-4CA57098E720}"/>
    <cellStyle name="Comma 2 2 4 5 3 2 2" xfId="53856" xr:uid="{A48C6355-67C7-4FFB-9FEB-37443F797BD2}"/>
    <cellStyle name="Comma 2 2 4 5 3 2 3" xfId="35602" xr:uid="{EC7E0205-5958-41D0-8848-8AC75B71F06F}"/>
    <cellStyle name="Comma 2 2 4 5 3 3" xfId="13698" xr:uid="{ED577CE8-4BFC-48FD-A4C6-703A0B1B0F36}"/>
    <cellStyle name="Comma 2 2 4 5 3 3 2" xfId="50206" xr:uid="{B63B706C-CDC5-4328-A1B4-7D880266C953}"/>
    <cellStyle name="Comma 2 2 4 5 3 3 3" xfId="31952" xr:uid="{A1657FD4-ED57-4CF1-BAC8-E5A84C6D95C4}"/>
    <cellStyle name="Comma 2 2 4 5 3 4" xfId="10048" xr:uid="{E8AFEB18-BA12-42A9-B7A1-8759624A892A}"/>
    <cellStyle name="Comma 2 2 4 5 3 4 2" xfId="46556" xr:uid="{EF695E3E-AE2B-4AE2-B810-B309006497D2}"/>
    <cellStyle name="Comma 2 2 4 5 3 4 3" xfId="28302" xr:uid="{47419911-BBA0-4EA7-B65B-58A840A6873D}"/>
    <cellStyle name="Comma 2 2 4 5 3 5" xfId="6398" xr:uid="{794545D9-6A23-4BC7-A7E9-292ECC4E1E30}"/>
    <cellStyle name="Comma 2 2 4 5 3 5 2" xfId="42906" xr:uid="{F7E123E7-0FBB-4FCA-AA9D-4AA0C450A7CA}"/>
    <cellStyle name="Comma 2 2 4 5 3 5 3" xfId="24652" xr:uid="{BB45CC5E-EFCC-449B-AD34-FAE05C384668}"/>
    <cellStyle name="Comma 2 2 4 5 3 6" xfId="39256" xr:uid="{33B5B666-DEE3-4DCA-BBEB-EFF04B2A9848}"/>
    <cellStyle name="Comma 2 2 4 5 3 7" xfId="21002" xr:uid="{DFCF42D7-8A72-4085-A5A5-291CF1058AF2}"/>
    <cellStyle name="Comma 2 2 4 5 4" xfId="2018" xr:uid="{312AA981-1610-4787-A448-E2A8C2A6EFF7}"/>
    <cellStyle name="Comma 2 2 4 5 4 2" xfId="16618" xr:uid="{06133A3B-7375-401E-81A1-B22DB296EF92}"/>
    <cellStyle name="Comma 2 2 4 5 4 2 2" xfId="53126" xr:uid="{09462178-62BE-433A-A23D-15CF1C5E32B0}"/>
    <cellStyle name="Comma 2 2 4 5 4 2 3" xfId="34872" xr:uid="{ACF52742-AFEA-4642-A681-B3A3FD4A7BD2}"/>
    <cellStyle name="Comma 2 2 4 5 4 3" xfId="12968" xr:uid="{2B64D996-5C09-4527-B99C-1F7589CC93EC}"/>
    <cellStyle name="Comma 2 2 4 5 4 3 2" xfId="49476" xr:uid="{E94E5AB0-7264-4FC1-BFA2-FD5EE8ECE6A6}"/>
    <cellStyle name="Comma 2 2 4 5 4 3 3" xfId="31222" xr:uid="{FD39F2E9-7639-4A0A-B560-D69BF366E0C7}"/>
    <cellStyle name="Comma 2 2 4 5 4 4" xfId="9318" xr:uid="{59D79D2D-5BCE-41A7-B819-4F47586ABE4C}"/>
    <cellStyle name="Comma 2 2 4 5 4 4 2" xfId="45826" xr:uid="{23F58336-7AF2-4292-8C42-E8DECDEE4F31}"/>
    <cellStyle name="Comma 2 2 4 5 4 4 3" xfId="27572" xr:uid="{22A11813-7438-4719-BD65-B1768E30612E}"/>
    <cellStyle name="Comma 2 2 4 5 4 5" xfId="5668" xr:uid="{DDC4AB0E-B525-424D-9E66-FADFCB381239}"/>
    <cellStyle name="Comma 2 2 4 5 4 5 2" xfId="42176" xr:uid="{236B2809-D9AD-4161-8B8D-8BB386C54A6B}"/>
    <cellStyle name="Comma 2 2 4 5 4 5 3" xfId="23922" xr:uid="{58751FCF-616C-40DC-87F8-8AC96C732253}"/>
    <cellStyle name="Comma 2 2 4 5 4 6" xfId="38526" xr:uid="{98B9834C-E011-438D-BE19-E2ECCA5E4A21}"/>
    <cellStyle name="Comma 2 2 4 5 4 7" xfId="20272" xr:uid="{722359A5-BDAF-4961-BF10-C384FAED32AC}"/>
    <cellStyle name="Comma 2 2 4 5 5" xfId="1288" xr:uid="{454BB645-E0CF-4DB0-ABBE-7E739867436F}"/>
    <cellStyle name="Comma 2 2 4 5 5 2" xfId="15888" xr:uid="{10475AC8-E195-4C22-9007-0AC46AED085C}"/>
    <cellStyle name="Comma 2 2 4 5 5 2 2" xfId="52396" xr:uid="{1B468011-8C0D-4005-ADF5-80F124E265A0}"/>
    <cellStyle name="Comma 2 2 4 5 5 2 3" xfId="34142" xr:uid="{9024C5B1-6B86-4D6C-96F5-AB10D7098918}"/>
    <cellStyle name="Comma 2 2 4 5 5 3" xfId="12238" xr:uid="{0A2275DE-0B46-4079-A818-F950169AABC9}"/>
    <cellStyle name="Comma 2 2 4 5 5 3 2" xfId="48746" xr:uid="{C092CC73-8926-429A-8F89-AD05C5758EE5}"/>
    <cellStyle name="Comma 2 2 4 5 5 3 3" xfId="30492" xr:uid="{2FBBCB9A-0D99-4A30-8595-5FD360424A19}"/>
    <cellStyle name="Comma 2 2 4 5 5 4" xfId="8588" xr:uid="{B718B091-843A-4C38-A2C8-BB8204370131}"/>
    <cellStyle name="Comma 2 2 4 5 5 4 2" xfId="45096" xr:uid="{A8C8A6B0-750A-48F5-BB4F-3AB70F392B2A}"/>
    <cellStyle name="Comma 2 2 4 5 5 4 3" xfId="26842" xr:uid="{44B6D732-2916-4B94-8109-B77E4C02301E}"/>
    <cellStyle name="Comma 2 2 4 5 5 5" xfId="4938" xr:uid="{DDD7CF68-0629-44CA-BF99-7A43633B63D8}"/>
    <cellStyle name="Comma 2 2 4 5 5 5 2" xfId="41446" xr:uid="{40687588-2B70-41DD-8115-F076675FB563}"/>
    <cellStyle name="Comma 2 2 4 5 5 5 3" xfId="23192" xr:uid="{0BACC3BD-C40B-45E7-84A2-F183894923D3}"/>
    <cellStyle name="Comma 2 2 4 5 5 6" xfId="37796" xr:uid="{6B9050B8-764B-4C35-AD20-AA395D41A329}"/>
    <cellStyle name="Comma 2 2 4 5 5 7" xfId="19542" xr:uid="{B7FE67D8-4185-4D6E-90DB-CB70A3044C91}"/>
    <cellStyle name="Comma 2 2 4 5 6" xfId="15158" xr:uid="{D6FA9BCA-A802-471E-BBF2-8552BEA3B1A3}"/>
    <cellStyle name="Comma 2 2 4 5 6 2" xfId="51666" xr:uid="{E265DCFB-8FF9-428D-91B1-B7DEF9E756C4}"/>
    <cellStyle name="Comma 2 2 4 5 6 3" xfId="33412" xr:uid="{B967DC43-25E5-497A-8F5D-5832C0CD58BE}"/>
    <cellStyle name="Comma 2 2 4 5 7" xfId="11508" xr:uid="{BC3410D4-C687-4A4D-96EA-CB0EF439B559}"/>
    <cellStyle name="Comma 2 2 4 5 7 2" xfId="48016" xr:uid="{F3188921-D855-43C8-BC7F-4D195118E74D}"/>
    <cellStyle name="Comma 2 2 4 5 7 3" xfId="29762" xr:uid="{89F82757-1C94-4696-9395-50CC5F5E3EF2}"/>
    <cellStyle name="Comma 2 2 4 5 8" xfId="7858" xr:uid="{5F1648D9-D1A0-48DD-A000-4ABC0BD57873}"/>
    <cellStyle name="Comma 2 2 4 5 8 2" xfId="44366" xr:uid="{00408A02-08ED-4324-BB06-092BE763C459}"/>
    <cellStyle name="Comma 2 2 4 5 8 3" xfId="26112" xr:uid="{A52D85AE-474C-4101-B1F2-6F6799C70384}"/>
    <cellStyle name="Comma 2 2 4 5 9" xfId="4208" xr:uid="{8320C696-EAB5-4C1D-87F7-AA21C75B8389}"/>
    <cellStyle name="Comma 2 2 4 5 9 2" xfId="40716" xr:uid="{25F3DD4E-17D1-481B-B617-DE453013DF71}"/>
    <cellStyle name="Comma 2 2 4 5 9 3" xfId="22462" xr:uid="{BCCADE92-F365-48AA-B4DF-38E32A02268E}"/>
    <cellStyle name="Comma 2 2 4 6" xfId="454" xr:uid="{F2615B22-56C8-4BB2-B21D-EABA060682B7}"/>
    <cellStyle name="Comma 2 2 4 6 10" xfId="36962" xr:uid="{325147D8-1E4B-43C7-8A5B-901CB4DB90D0}"/>
    <cellStyle name="Comma 2 2 4 6 11" xfId="18708" xr:uid="{2FE23FCC-B51C-4131-A530-AD7B8B7042AE}"/>
    <cellStyle name="Comma 2 2 4 6 2" xfId="3374" xr:uid="{D63C5D27-00EA-45BF-A014-CE7F97B45DCC}"/>
    <cellStyle name="Comma 2 2 4 6 2 2" xfId="17974" xr:uid="{BE2E0495-10D5-4869-A4D8-DAA93AE01A83}"/>
    <cellStyle name="Comma 2 2 4 6 2 2 2" xfId="54482" xr:uid="{184EA3C3-F6FF-4284-93AA-A285F596295A}"/>
    <cellStyle name="Comma 2 2 4 6 2 2 3" xfId="36228" xr:uid="{127CF9F3-8457-45E1-AD62-0B68089E7DAC}"/>
    <cellStyle name="Comma 2 2 4 6 2 3" xfId="14324" xr:uid="{156B1211-98A0-44C9-8F96-AD4049665A63}"/>
    <cellStyle name="Comma 2 2 4 6 2 3 2" xfId="50832" xr:uid="{6568F828-42F1-4AA2-90B3-B0DA75180268}"/>
    <cellStyle name="Comma 2 2 4 6 2 3 3" xfId="32578" xr:uid="{FEFD81E1-195F-4757-8856-E446E6A5212D}"/>
    <cellStyle name="Comma 2 2 4 6 2 4" xfId="10674" xr:uid="{960B9E99-749B-4A36-88E5-6FB89229DCEC}"/>
    <cellStyle name="Comma 2 2 4 6 2 4 2" xfId="47182" xr:uid="{566D5432-9C4E-44E2-84C2-5DEB302CC0C4}"/>
    <cellStyle name="Comma 2 2 4 6 2 4 3" xfId="28928" xr:uid="{82EDEBE7-E923-4B3C-906C-13D010497C19}"/>
    <cellStyle name="Comma 2 2 4 6 2 5" xfId="7024" xr:uid="{FE5C8391-EB41-4C39-9B20-7B04B05C449E}"/>
    <cellStyle name="Comma 2 2 4 6 2 5 2" xfId="43532" xr:uid="{A69568F6-0DB1-42D7-8020-199265076F1E}"/>
    <cellStyle name="Comma 2 2 4 6 2 5 3" xfId="25278" xr:uid="{9549D555-6270-4867-86E5-B1F1EE4740F1}"/>
    <cellStyle name="Comma 2 2 4 6 2 6" xfId="39882" xr:uid="{1123B103-1F27-4411-A9B2-01CB68C20EF2}"/>
    <cellStyle name="Comma 2 2 4 6 2 7" xfId="21628" xr:uid="{11F76972-720F-4531-BBF1-F0E8BC40C844}"/>
    <cellStyle name="Comma 2 2 4 6 3" xfId="2644" xr:uid="{96DBBF8E-62CD-4EE9-A306-2BD870FD8E76}"/>
    <cellStyle name="Comma 2 2 4 6 3 2" xfId="17244" xr:uid="{E2BF5462-F8DA-42E4-8306-A8B89614F7A1}"/>
    <cellStyle name="Comma 2 2 4 6 3 2 2" xfId="53752" xr:uid="{FA5C6DA4-1235-4C1E-8070-4D3BF244C5CF}"/>
    <cellStyle name="Comma 2 2 4 6 3 2 3" xfId="35498" xr:uid="{07F5F48D-E2F5-43F7-AB9B-5D475C52A2DE}"/>
    <cellStyle name="Comma 2 2 4 6 3 3" xfId="13594" xr:uid="{AA1E9ADC-0324-4DDB-84F5-15A03B0CB4A4}"/>
    <cellStyle name="Comma 2 2 4 6 3 3 2" xfId="50102" xr:uid="{B8CB9BA8-89C2-44ED-945E-A59FFD241533}"/>
    <cellStyle name="Comma 2 2 4 6 3 3 3" xfId="31848" xr:uid="{8E12D885-7B47-4EC7-8E7B-54477A17B6E6}"/>
    <cellStyle name="Comma 2 2 4 6 3 4" xfId="9944" xr:uid="{50CE6B18-A261-48C4-9BAE-DFDEDE3C5F07}"/>
    <cellStyle name="Comma 2 2 4 6 3 4 2" xfId="46452" xr:uid="{7C92A69B-C9CE-4EFE-858F-E5C2080835DC}"/>
    <cellStyle name="Comma 2 2 4 6 3 4 3" xfId="28198" xr:uid="{A46E89C6-8E3E-449E-92C1-11DC87CF5C91}"/>
    <cellStyle name="Comma 2 2 4 6 3 5" xfId="6294" xr:uid="{512D9451-0327-4DC2-92E7-5DC0A12C25FE}"/>
    <cellStyle name="Comma 2 2 4 6 3 5 2" xfId="42802" xr:uid="{0F38F312-1CF0-49D2-9C07-A5E8D430B04E}"/>
    <cellStyle name="Comma 2 2 4 6 3 5 3" xfId="24548" xr:uid="{16FF645B-908A-4E8B-A6FE-B830B5F7076E}"/>
    <cellStyle name="Comma 2 2 4 6 3 6" xfId="39152" xr:uid="{3280106E-F3C5-40A3-AF00-D003D9F4621B}"/>
    <cellStyle name="Comma 2 2 4 6 3 7" xfId="20898" xr:uid="{9EFC5CF5-DA09-4451-B288-663D30918BB7}"/>
    <cellStyle name="Comma 2 2 4 6 4" xfId="1914" xr:uid="{DB3B9984-9590-41D1-B274-029C5839B441}"/>
    <cellStyle name="Comma 2 2 4 6 4 2" xfId="16514" xr:uid="{2CDB7B42-77F6-4BDD-A5A8-37AF270BEC7F}"/>
    <cellStyle name="Comma 2 2 4 6 4 2 2" xfId="53022" xr:uid="{3AE22F0B-8013-4DDD-9FDF-BB6879B71318}"/>
    <cellStyle name="Comma 2 2 4 6 4 2 3" xfId="34768" xr:uid="{C25891FC-9954-4E60-AC58-A7E2D98FF265}"/>
    <cellStyle name="Comma 2 2 4 6 4 3" xfId="12864" xr:uid="{A5342E5F-3889-4DEE-AB5F-5E3EC620930A}"/>
    <cellStyle name="Comma 2 2 4 6 4 3 2" xfId="49372" xr:uid="{7211E35B-699F-4160-AA50-018ABD7CA376}"/>
    <cellStyle name="Comma 2 2 4 6 4 3 3" xfId="31118" xr:uid="{1A7A6763-8E00-4DD2-B923-102F4D9BF111}"/>
    <cellStyle name="Comma 2 2 4 6 4 4" xfId="9214" xr:uid="{169C96F5-29B2-4305-8CAB-56C794EA9FD2}"/>
    <cellStyle name="Comma 2 2 4 6 4 4 2" xfId="45722" xr:uid="{777BED0A-2B26-411E-A6D1-FAC586F5B81B}"/>
    <cellStyle name="Comma 2 2 4 6 4 4 3" xfId="27468" xr:uid="{3D8D98D5-68BC-4E1F-AB26-D4BB8EA1E4E4}"/>
    <cellStyle name="Comma 2 2 4 6 4 5" xfId="5564" xr:uid="{73E5D9C6-0249-4D44-8174-A396FAF8EE0E}"/>
    <cellStyle name="Comma 2 2 4 6 4 5 2" xfId="42072" xr:uid="{B7C04E94-773B-482B-907A-9A86D2DE23CF}"/>
    <cellStyle name="Comma 2 2 4 6 4 5 3" xfId="23818" xr:uid="{B100834B-B294-43E0-A6E9-50ADDB8C74C7}"/>
    <cellStyle name="Comma 2 2 4 6 4 6" xfId="38422" xr:uid="{8D73176B-87D5-404C-9E69-2769E2DA850B}"/>
    <cellStyle name="Comma 2 2 4 6 4 7" xfId="20168" xr:uid="{F46A86D7-D882-4AF6-BC7B-C85E8B57503A}"/>
    <cellStyle name="Comma 2 2 4 6 5" xfId="1184" xr:uid="{11427D9A-FE4E-4647-BBA9-20C53ED4B516}"/>
    <cellStyle name="Comma 2 2 4 6 5 2" xfId="15784" xr:uid="{39A3DC2D-1913-40E2-8B97-E4F1C8B5D867}"/>
    <cellStyle name="Comma 2 2 4 6 5 2 2" xfId="52292" xr:uid="{4426BDD6-A7E0-4CF8-BF57-B300485E4FD9}"/>
    <cellStyle name="Comma 2 2 4 6 5 2 3" xfId="34038" xr:uid="{337F8FE2-AE72-4DBD-9B8D-E6A043FBBCC1}"/>
    <cellStyle name="Comma 2 2 4 6 5 3" xfId="12134" xr:uid="{A20E3CC0-58B9-4176-A856-3594AA938060}"/>
    <cellStyle name="Comma 2 2 4 6 5 3 2" xfId="48642" xr:uid="{4CBBB879-CD94-4251-8E52-6D3F3C0F16D0}"/>
    <cellStyle name="Comma 2 2 4 6 5 3 3" xfId="30388" xr:uid="{962B9498-3BC6-46CE-81E5-885D63911513}"/>
    <cellStyle name="Comma 2 2 4 6 5 4" xfId="8484" xr:uid="{B5C61051-0E4A-43A8-A333-059B394E9230}"/>
    <cellStyle name="Comma 2 2 4 6 5 4 2" xfId="44992" xr:uid="{228B42DC-7A99-4C3B-AC66-82F3ED342A33}"/>
    <cellStyle name="Comma 2 2 4 6 5 4 3" xfId="26738" xr:uid="{03665978-0866-4A93-8E69-72E93066948B}"/>
    <cellStyle name="Comma 2 2 4 6 5 5" xfId="4834" xr:uid="{91857CF4-6C17-4873-AC5F-24F6D415A79E}"/>
    <cellStyle name="Comma 2 2 4 6 5 5 2" xfId="41342" xr:uid="{06BB2E44-7867-4BAB-BB12-D7260A880E4C}"/>
    <cellStyle name="Comma 2 2 4 6 5 5 3" xfId="23088" xr:uid="{5849A252-686A-4BF6-ADDF-AEA641E5C3F9}"/>
    <cellStyle name="Comma 2 2 4 6 5 6" xfId="37692" xr:uid="{FD5F1AD9-FF8C-419D-BEC9-D457D83BE700}"/>
    <cellStyle name="Comma 2 2 4 6 5 7" xfId="19438" xr:uid="{36CC7419-DB09-4CB9-B09E-19D626F82513}"/>
    <cellStyle name="Comma 2 2 4 6 6" xfId="15054" xr:uid="{372A3F5D-626D-4976-849A-777C6B462FF2}"/>
    <cellStyle name="Comma 2 2 4 6 6 2" xfId="51562" xr:uid="{CDAA36E2-D988-4D86-BDCF-34E6899AF3B2}"/>
    <cellStyle name="Comma 2 2 4 6 6 3" xfId="33308" xr:uid="{4E55E754-BDCC-4D39-9879-0E1CE740B580}"/>
    <cellStyle name="Comma 2 2 4 6 7" xfId="11404" xr:uid="{93C05965-92FA-4E84-97DA-E80FC504E3DA}"/>
    <cellStyle name="Comma 2 2 4 6 7 2" xfId="47912" xr:uid="{78C3BCBD-6866-4DC8-8C7E-A90D50C9170C}"/>
    <cellStyle name="Comma 2 2 4 6 7 3" xfId="29658" xr:uid="{E9F98A23-C606-4934-95C2-449B83307782}"/>
    <cellStyle name="Comma 2 2 4 6 8" xfId="7754" xr:uid="{72CDBAB6-538D-43D6-9C33-69F8B15AA259}"/>
    <cellStyle name="Comma 2 2 4 6 8 2" xfId="44262" xr:uid="{10C8B6D2-05BC-4313-8FE6-873AF37A2EAC}"/>
    <cellStyle name="Comma 2 2 4 6 8 3" xfId="26008" xr:uid="{34604D06-775B-48AF-87C2-C038E50CBC3D}"/>
    <cellStyle name="Comma 2 2 4 6 9" xfId="4104" xr:uid="{8FBB6AF2-D1C2-4A00-AD1E-02AA86EC864E}"/>
    <cellStyle name="Comma 2 2 4 6 9 2" xfId="40612" xr:uid="{3E850AF5-F6D1-4116-B685-74F91A39EC18}"/>
    <cellStyle name="Comma 2 2 4 6 9 3" xfId="22358" xr:uid="{FF682C36-2052-4033-A383-9BD3B78A113B}"/>
    <cellStyle name="Comma 2 2 4 7" xfId="350" xr:uid="{07EC247D-EF3F-4FDC-8ACF-95FC7776EA43}"/>
    <cellStyle name="Comma 2 2 4 7 10" xfId="36858" xr:uid="{E92A12D6-B043-400C-B1E9-3796F93495B0}"/>
    <cellStyle name="Comma 2 2 4 7 11" xfId="18604" xr:uid="{DC356AC4-0BA0-4548-8DB5-78CB9576EE1D}"/>
    <cellStyle name="Comma 2 2 4 7 2" xfId="3270" xr:uid="{B89063CF-B66D-4427-AC55-CCA81E7BC08F}"/>
    <cellStyle name="Comma 2 2 4 7 2 2" xfId="17870" xr:uid="{4B0FFE8D-BE18-4DF1-9FDD-AB79C7294360}"/>
    <cellStyle name="Comma 2 2 4 7 2 2 2" xfId="54378" xr:uid="{FFC5C4B8-E12F-4951-B3B4-0F956BF4FD16}"/>
    <cellStyle name="Comma 2 2 4 7 2 2 3" xfId="36124" xr:uid="{EE1FC8D5-2ACC-47DB-A3F8-FECECF232779}"/>
    <cellStyle name="Comma 2 2 4 7 2 3" xfId="14220" xr:uid="{823692F4-07FE-4429-9AC9-EEA40F51D01C}"/>
    <cellStyle name="Comma 2 2 4 7 2 3 2" xfId="50728" xr:uid="{92B8252B-385C-43A5-8E54-AC6DFE35820C}"/>
    <cellStyle name="Comma 2 2 4 7 2 3 3" xfId="32474" xr:uid="{71E501D4-430F-4759-9DB2-AFCC178C0EB1}"/>
    <cellStyle name="Comma 2 2 4 7 2 4" xfId="10570" xr:uid="{DEDB3A89-2ECB-4BE2-8B9C-E319C9DA14B5}"/>
    <cellStyle name="Comma 2 2 4 7 2 4 2" xfId="47078" xr:uid="{AB116517-5570-450B-B9A9-FA44CB6D860E}"/>
    <cellStyle name="Comma 2 2 4 7 2 4 3" xfId="28824" xr:uid="{6C5BA3A1-9A53-4FA4-8889-1B79671FCC11}"/>
    <cellStyle name="Comma 2 2 4 7 2 5" xfId="6920" xr:uid="{8DFBA8B1-081C-4C5F-86A0-DBC5D9063A3F}"/>
    <cellStyle name="Comma 2 2 4 7 2 5 2" xfId="43428" xr:uid="{3880DA3D-9D48-42A4-9B6E-CF178B5D040C}"/>
    <cellStyle name="Comma 2 2 4 7 2 5 3" xfId="25174" xr:uid="{6BE274C3-18AA-4209-B725-7D45BE8A0172}"/>
    <cellStyle name="Comma 2 2 4 7 2 6" xfId="39778" xr:uid="{384A7859-C947-4788-BA62-3E00439C105F}"/>
    <cellStyle name="Comma 2 2 4 7 2 7" xfId="21524" xr:uid="{4D754328-95EA-4651-A342-409491D51431}"/>
    <cellStyle name="Comma 2 2 4 7 3" xfId="2540" xr:uid="{19BB48D0-0109-43AA-AA68-E4CAFA7BDA02}"/>
    <cellStyle name="Comma 2 2 4 7 3 2" xfId="17140" xr:uid="{DFDA89F9-90B7-4744-B499-8D79C0D63231}"/>
    <cellStyle name="Comma 2 2 4 7 3 2 2" xfId="53648" xr:uid="{F76B93F1-EF80-49F4-B43A-14A47DD2AD4B}"/>
    <cellStyle name="Comma 2 2 4 7 3 2 3" xfId="35394" xr:uid="{CAEA6199-3DF2-41E8-8E28-B63F363AAD4E}"/>
    <cellStyle name="Comma 2 2 4 7 3 3" xfId="13490" xr:uid="{733D9855-6F7D-41A9-BCB5-97995132A4B4}"/>
    <cellStyle name="Comma 2 2 4 7 3 3 2" xfId="49998" xr:uid="{284605CC-2C18-4BB8-9C9B-339A623DE8E2}"/>
    <cellStyle name="Comma 2 2 4 7 3 3 3" xfId="31744" xr:uid="{333F6F35-B8ED-4E2C-8D95-1A470E6DF7EE}"/>
    <cellStyle name="Comma 2 2 4 7 3 4" xfId="9840" xr:uid="{B114F6C8-0829-4DC3-95D2-6F59E886F323}"/>
    <cellStyle name="Comma 2 2 4 7 3 4 2" xfId="46348" xr:uid="{51EBD095-B09B-4928-92A0-6B7F7B1A95D6}"/>
    <cellStyle name="Comma 2 2 4 7 3 4 3" xfId="28094" xr:uid="{D841D854-E184-468C-ADAB-4B70500C1965}"/>
    <cellStyle name="Comma 2 2 4 7 3 5" xfId="6190" xr:uid="{F4AEC93B-4FE5-41A3-B95B-B0C409B988B4}"/>
    <cellStyle name="Comma 2 2 4 7 3 5 2" xfId="42698" xr:uid="{7F0038FC-2B29-472E-849B-F805CB69BFB3}"/>
    <cellStyle name="Comma 2 2 4 7 3 5 3" xfId="24444" xr:uid="{503D5878-5B5C-461D-A0F7-716728F1C203}"/>
    <cellStyle name="Comma 2 2 4 7 3 6" xfId="39048" xr:uid="{B3D38E99-3BA0-40C6-A2CC-D9085095B508}"/>
    <cellStyle name="Comma 2 2 4 7 3 7" xfId="20794" xr:uid="{D5054B84-0431-4CB0-B8A8-951717FEB26F}"/>
    <cellStyle name="Comma 2 2 4 7 4" xfId="1810" xr:uid="{DFB97CB8-380F-4857-845F-E7683C0CCE4D}"/>
    <cellStyle name="Comma 2 2 4 7 4 2" xfId="16410" xr:uid="{6E5FCF24-FC1F-40F5-9D2A-D0B4356AF784}"/>
    <cellStyle name="Comma 2 2 4 7 4 2 2" xfId="52918" xr:uid="{06AD77FC-CBC1-489A-A611-2A8CCC00FF32}"/>
    <cellStyle name="Comma 2 2 4 7 4 2 3" xfId="34664" xr:uid="{500BF867-77DA-4859-8029-2F2F66AB7731}"/>
    <cellStyle name="Comma 2 2 4 7 4 3" xfId="12760" xr:uid="{8D746B94-6D6E-484D-A519-6B324260ECC6}"/>
    <cellStyle name="Comma 2 2 4 7 4 3 2" xfId="49268" xr:uid="{1E7C6701-1256-458F-9A27-D757BE48F472}"/>
    <cellStyle name="Comma 2 2 4 7 4 3 3" xfId="31014" xr:uid="{625E5A60-5294-4C56-8A8D-BD6B1B1BD06A}"/>
    <cellStyle name="Comma 2 2 4 7 4 4" xfId="9110" xr:uid="{285A9C7F-8B85-4146-A0BE-09514A241A4F}"/>
    <cellStyle name="Comma 2 2 4 7 4 4 2" xfId="45618" xr:uid="{21AE5FC1-A75C-4A4A-9E12-94E78B9EC54B}"/>
    <cellStyle name="Comma 2 2 4 7 4 4 3" xfId="27364" xr:uid="{C8C591C7-FFC2-47A1-BFF4-BE5660B6742A}"/>
    <cellStyle name="Comma 2 2 4 7 4 5" xfId="5460" xr:uid="{C4350EFC-BCF7-4F52-9E33-A32AC7BC6081}"/>
    <cellStyle name="Comma 2 2 4 7 4 5 2" xfId="41968" xr:uid="{9D7E0574-2FBA-424A-AEC2-A79E1B0E5EAF}"/>
    <cellStyle name="Comma 2 2 4 7 4 5 3" xfId="23714" xr:uid="{F528868F-171D-4A1C-B013-F1CF1F1045BA}"/>
    <cellStyle name="Comma 2 2 4 7 4 6" xfId="38318" xr:uid="{F290206B-2487-43C5-AA2E-08A83C7953AC}"/>
    <cellStyle name="Comma 2 2 4 7 4 7" xfId="20064" xr:uid="{DFD9CC01-F29B-45A4-A122-0581219AE0A2}"/>
    <cellStyle name="Comma 2 2 4 7 5" xfId="1080" xr:uid="{69C0D520-AF8C-4AB6-9510-A600E470E0DA}"/>
    <cellStyle name="Comma 2 2 4 7 5 2" xfId="15680" xr:uid="{930746A3-6DE8-4C75-B30F-3888DB4397A3}"/>
    <cellStyle name="Comma 2 2 4 7 5 2 2" xfId="52188" xr:uid="{DA2751A2-5462-43A4-9C81-5C85406C8B2A}"/>
    <cellStyle name="Comma 2 2 4 7 5 2 3" xfId="33934" xr:uid="{CB0EFF70-B7F3-4069-9153-58A3012B58C3}"/>
    <cellStyle name="Comma 2 2 4 7 5 3" xfId="12030" xr:uid="{234AB35E-785C-46B6-8B00-5556C11C9EB8}"/>
    <cellStyle name="Comma 2 2 4 7 5 3 2" xfId="48538" xr:uid="{989B321E-FFC5-4E76-AE05-F7D598E08B85}"/>
    <cellStyle name="Comma 2 2 4 7 5 3 3" xfId="30284" xr:uid="{081A18DC-AE73-4912-BF53-DA6678C34F94}"/>
    <cellStyle name="Comma 2 2 4 7 5 4" xfId="8380" xr:uid="{6EA37C04-92DA-40F0-9B92-6350CDD56EFA}"/>
    <cellStyle name="Comma 2 2 4 7 5 4 2" xfId="44888" xr:uid="{99588FD6-0D30-47A1-AA55-F8331072425D}"/>
    <cellStyle name="Comma 2 2 4 7 5 4 3" xfId="26634" xr:uid="{C376DBC8-21BC-4D65-BE15-4F0AA262AD1A}"/>
    <cellStyle name="Comma 2 2 4 7 5 5" xfId="4730" xr:uid="{D1893F09-F8E3-4B0C-A611-C2A21134A7EC}"/>
    <cellStyle name="Comma 2 2 4 7 5 5 2" xfId="41238" xr:uid="{DBF1B051-0522-4F77-A000-F9743335207D}"/>
    <cellStyle name="Comma 2 2 4 7 5 5 3" xfId="22984" xr:uid="{3E560BA4-1F83-41E9-B398-9221A6E6481A}"/>
    <cellStyle name="Comma 2 2 4 7 5 6" xfId="37588" xr:uid="{9AF0929D-0FBA-44C7-8520-328225C3F54A}"/>
    <cellStyle name="Comma 2 2 4 7 5 7" xfId="19334" xr:uid="{82524D56-A6A4-4E7A-91D7-43090EA928C1}"/>
    <cellStyle name="Comma 2 2 4 7 6" xfId="14950" xr:uid="{AA2171C0-57BA-4989-8BD1-60F5348B5E64}"/>
    <cellStyle name="Comma 2 2 4 7 6 2" xfId="51458" xr:uid="{55BC7873-6F43-453E-8C1E-64A9377AC11F}"/>
    <cellStyle name="Comma 2 2 4 7 6 3" xfId="33204" xr:uid="{73C71522-3F8D-4E44-8123-69E01608F577}"/>
    <cellStyle name="Comma 2 2 4 7 7" xfId="11300" xr:uid="{27FCC9B7-DA5E-47D8-8558-B82BA8FABFAA}"/>
    <cellStyle name="Comma 2 2 4 7 7 2" xfId="47808" xr:uid="{723117D8-A6D8-46E3-8123-24F2DB490DF4}"/>
    <cellStyle name="Comma 2 2 4 7 7 3" xfId="29554" xr:uid="{3D60A407-897B-4467-93BB-6376EDDEFAF5}"/>
    <cellStyle name="Comma 2 2 4 7 8" xfId="7650" xr:uid="{0157C1F8-854C-4516-A663-473A17E8734B}"/>
    <cellStyle name="Comma 2 2 4 7 8 2" xfId="44158" xr:uid="{05B3437B-1426-4F3A-9D39-ACF2A6186F79}"/>
    <cellStyle name="Comma 2 2 4 7 8 3" xfId="25904" xr:uid="{7BF6C3A8-F62B-4E0C-84FB-5AD842926D63}"/>
    <cellStyle name="Comma 2 2 4 7 9" xfId="4000" xr:uid="{39280C8A-1823-476E-9E7C-76001A1805E2}"/>
    <cellStyle name="Comma 2 2 4 7 9 2" xfId="40508" xr:uid="{7F233377-3175-4072-ADBD-2439F07DCA59}"/>
    <cellStyle name="Comma 2 2 4 7 9 3" xfId="22254" xr:uid="{7485E1CA-AF91-4124-937D-0F916E152672}"/>
    <cellStyle name="Comma 2 2 4 8" xfId="246" xr:uid="{C5A24D6D-8F0C-4395-B40A-87B31D68AECE}"/>
    <cellStyle name="Comma 2 2 4 8 10" xfId="36754" xr:uid="{63422DCB-23CF-42C2-9236-1A4003ACAB7E}"/>
    <cellStyle name="Comma 2 2 4 8 11" xfId="18500" xr:uid="{C21BC583-7889-4A96-8491-634590B14026}"/>
    <cellStyle name="Comma 2 2 4 8 2" xfId="3166" xr:uid="{6A54679F-9376-4AE1-9DD6-D4B5DEDFB064}"/>
    <cellStyle name="Comma 2 2 4 8 2 2" xfId="17766" xr:uid="{F5227ED9-1F24-4292-A436-90BF6E11CCFB}"/>
    <cellStyle name="Comma 2 2 4 8 2 2 2" xfId="54274" xr:uid="{B684C75A-A27F-4965-857B-010F68A189AC}"/>
    <cellStyle name="Comma 2 2 4 8 2 2 3" xfId="36020" xr:uid="{3A87ADB7-55B3-4C30-A1EE-68415E3E45FE}"/>
    <cellStyle name="Comma 2 2 4 8 2 3" xfId="14116" xr:uid="{DC802757-3564-4E94-AF37-A951861A19BE}"/>
    <cellStyle name="Comma 2 2 4 8 2 3 2" xfId="50624" xr:uid="{F51DC8EF-A5B9-40E7-B6ED-47BFAE3D92BE}"/>
    <cellStyle name="Comma 2 2 4 8 2 3 3" xfId="32370" xr:uid="{5FE18426-5E12-4AC8-927B-1D1ECBC42CB9}"/>
    <cellStyle name="Comma 2 2 4 8 2 4" xfId="10466" xr:uid="{05B3B5EF-3CFE-4CFE-92A3-3F1C3C78AEBB}"/>
    <cellStyle name="Comma 2 2 4 8 2 4 2" xfId="46974" xr:uid="{057AE619-B1A7-47FD-B339-1629E239AAB8}"/>
    <cellStyle name="Comma 2 2 4 8 2 4 3" xfId="28720" xr:uid="{C7FAE1B1-095D-4452-AE89-035A0701AD28}"/>
    <cellStyle name="Comma 2 2 4 8 2 5" xfId="6816" xr:uid="{95EE00D6-C973-4FE5-B7B4-60B66257AAEF}"/>
    <cellStyle name="Comma 2 2 4 8 2 5 2" xfId="43324" xr:uid="{A30F3B60-A98C-491C-8D37-945FA1B1B50C}"/>
    <cellStyle name="Comma 2 2 4 8 2 5 3" xfId="25070" xr:uid="{5C748D25-988A-46BB-8F69-EBD48220BE27}"/>
    <cellStyle name="Comma 2 2 4 8 2 6" xfId="39674" xr:uid="{4FAF02C2-EC1F-4C20-BA6D-53A5B18FC684}"/>
    <cellStyle name="Comma 2 2 4 8 2 7" xfId="21420" xr:uid="{95E9DB8A-4F5E-42E3-A1D9-C6DC25A752CB}"/>
    <cellStyle name="Comma 2 2 4 8 3" xfId="2436" xr:uid="{C7D14733-C5B2-4428-94F6-A318D707D2CA}"/>
    <cellStyle name="Comma 2 2 4 8 3 2" xfId="17036" xr:uid="{CFE7C51A-296B-4DCA-A714-E9C91E53FB3B}"/>
    <cellStyle name="Comma 2 2 4 8 3 2 2" xfId="53544" xr:uid="{A4CAA734-FE45-49F8-B20D-0B90B8052059}"/>
    <cellStyle name="Comma 2 2 4 8 3 2 3" xfId="35290" xr:uid="{A1618DB2-2994-4F4D-B5B7-6C3B8BCD7BBA}"/>
    <cellStyle name="Comma 2 2 4 8 3 3" xfId="13386" xr:uid="{69440454-30A1-4B16-9089-0DC4B43018EB}"/>
    <cellStyle name="Comma 2 2 4 8 3 3 2" xfId="49894" xr:uid="{B952F1C1-80F6-4EE3-ACE7-43CB95CB6BE0}"/>
    <cellStyle name="Comma 2 2 4 8 3 3 3" xfId="31640" xr:uid="{6D278E12-FDA6-4901-9CC8-4D080EFF6A0A}"/>
    <cellStyle name="Comma 2 2 4 8 3 4" xfId="9736" xr:uid="{120E252F-4D1A-4D84-890C-9EBB78C09255}"/>
    <cellStyle name="Comma 2 2 4 8 3 4 2" xfId="46244" xr:uid="{D06126EC-CBE0-4C9D-9096-12EDDBE8728F}"/>
    <cellStyle name="Comma 2 2 4 8 3 4 3" xfId="27990" xr:uid="{BCABBFB4-79AF-4235-8034-943C96EEE983}"/>
    <cellStyle name="Comma 2 2 4 8 3 5" xfId="6086" xr:uid="{028EB895-4625-4E89-922C-10F795038642}"/>
    <cellStyle name="Comma 2 2 4 8 3 5 2" xfId="42594" xr:uid="{F1B4B70C-BB80-4E13-B72A-2F34AB897880}"/>
    <cellStyle name="Comma 2 2 4 8 3 5 3" xfId="24340" xr:uid="{B65C191D-9921-4C6C-B280-FC94F9A42539}"/>
    <cellStyle name="Comma 2 2 4 8 3 6" xfId="38944" xr:uid="{7F1C9905-7136-4BDC-B155-41D0B4F4C869}"/>
    <cellStyle name="Comma 2 2 4 8 3 7" xfId="20690" xr:uid="{C04D79F1-10AC-4D01-A941-0046C7D621CA}"/>
    <cellStyle name="Comma 2 2 4 8 4" xfId="1706" xr:uid="{9AD37557-2A35-420C-9F8A-7A452E964F42}"/>
    <cellStyle name="Comma 2 2 4 8 4 2" xfId="16306" xr:uid="{BBBF4B13-1A33-439E-81CF-1C1E4C2F9272}"/>
    <cellStyle name="Comma 2 2 4 8 4 2 2" xfId="52814" xr:uid="{B9798C5E-C8D7-4DB3-BE00-795D8A41B74C}"/>
    <cellStyle name="Comma 2 2 4 8 4 2 3" xfId="34560" xr:uid="{B353D90F-3533-4B92-838F-20D447DAC64B}"/>
    <cellStyle name="Comma 2 2 4 8 4 3" xfId="12656" xr:uid="{06610777-0103-4348-8C98-6446F1E66D61}"/>
    <cellStyle name="Comma 2 2 4 8 4 3 2" xfId="49164" xr:uid="{A9D2D4BD-97E5-4004-B57C-9AD129D27148}"/>
    <cellStyle name="Comma 2 2 4 8 4 3 3" xfId="30910" xr:uid="{BAD7E130-5996-4F8C-94E4-9F4B6F6ECC2C}"/>
    <cellStyle name="Comma 2 2 4 8 4 4" xfId="9006" xr:uid="{BC343F4F-06C8-4861-96FF-7D62054325CD}"/>
    <cellStyle name="Comma 2 2 4 8 4 4 2" xfId="45514" xr:uid="{C8F6E55D-897D-409C-8325-F86063C44E9C}"/>
    <cellStyle name="Comma 2 2 4 8 4 4 3" xfId="27260" xr:uid="{DCAE8C8E-D7C0-455D-BDEF-BDAA3C274774}"/>
    <cellStyle name="Comma 2 2 4 8 4 5" xfId="5356" xr:uid="{79FF5ABF-CA57-4F96-8070-E5E2D8C33AC0}"/>
    <cellStyle name="Comma 2 2 4 8 4 5 2" xfId="41864" xr:uid="{79EC5899-162B-4CCD-90A8-255C1A67AE94}"/>
    <cellStyle name="Comma 2 2 4 8 4 5 3" xfId="23610" xr:uid="{6C42A062-D0BA-4533-9481-16D22B84C9A9}"/>
    <cellStyle name="Comma 2 2 4 8 4 6" xfId="38214" xr:uid="{BE66C900-00DE-48EF-82BA-663A99F05BEE}"/>
    <cellStyle name="Comma 2 2 4 8 4 7" xfId="19960" xr:uid="{BD15C364-549B-41BD-AAE3-1C73665EDF09}"/>
    <cellStyle name="Comma 2 2 4 8 5" xfId="976" xr:uid="{428F015F-022F-4DB8-8CA4-FF25DA3F8EC4}"/>
    <cellStyle name="Comma 2 2 4 8 5 2" xfId="15576" xr:uid="{45D04952-3A5A-43DC-93DD-7CD4EBDD5F1F}"/>
    <cellStyle name="Comma 2 2 4 8 5 2 2" xfId="52084" xr:uid="{78B83FB3-AA1D-4138-941F-DD9BCA4B5F20}"/>
    <cellStyle name="Comma 2 2 4 8 5 2 3" xfId="33830" xr:uid="{BBDAFADB-5951-4107-90A7-93C1645D9CDB}"/>
    <cellStyle name="Comma 2 2 4 8 5 3" xfId="11926" xr:uid="{8A4F2A65-7535-47ED-B5D6-DCB128227347}"/>
    <cellStyle name="Comma 2 2 4 8 5 3 2" xfId="48434" xr:uid="{8A786C84-DF09-4AD9-807D-3C6CAABC3973}"/>
    <cellStyle name="Comma 2 2 4 8 5 3 3" xfId="30180" xr:uid="{7EED0F5C-4365-4EBA-A3BF-4F0CE0DA1E20}"/>
    <cellStyle name="Comma 2 2 4 8 5 4" xfId="8276" xr:uid="{29A01693-7490-44E8-A988-4DDE9349F866}"/>
    <cellStyle name="Comma 2 2 4 8 5 4 2" xfId="44784" xr:uid="{366C78C6-1455-4C1E-8BCA-76E2D13E0E1D}"/>
    <cellStyle name="Comma 2 2 4 8 5 4 3" xfId="26530" xr:uid="{46466620-D2BD-4C37-ACD5-3D5A1DDFEB24}"/>
    <cellStyle name="Comma 2 2 4 8 5 5" xfId="4626" xr:uid="{637E8567-B95F-48D7-A7C7-F91A72657A5A}"/>
    <cellStyle name="Comma 2 2 4 8 5 5 2" xfId="41134" xr:uid="{3CBC7E0C-87F6-48AE-9DD1-6CB8FA3B2700}"/>
    <cellStyle name="Comma 2 2 4 8 5 5 3" xfId="22880" xr:uid="{95C87D29-D72F-43FF-A7FB-6253918DBBBF}"/>
    <cellStyle name="Comma 2 2 4 8 5 6" xfId="37484" xr:uid="{66EA4E44-C4EF-44B8-8660-C9F86BB07BC9}"/>
    <cellStyle name="Comma 2 2 4 8 5 7" xfId="19230" xr:uid="{2B082A89-BCD7-45AD-BC23-6936CBACEEB3}"/>
    <cellStyle name="Comma 2 2 4 8 6" xfId="14846" xr:uid="{421CA390-F4B6-4D36-81CA-4AA564F963CB}"/>
    <cellStyle name="Comma 2 2 4 8 6 2" xfId="51354" xr:uid="{46DCF9A9-542B-4E77-A902-EDB9B5824DFC}"/>
    <cellStyle name="Comma 2 2 4 8 6 3" xfId="33100" xr:uid="{D4B975B8-B544-439A-BEB2-D96A06BD2428}"/>
    <cellStyle name="Comma 2 2 4 8 7" xfId="11196" xr:uid="{CAC4F2FE-23A9-4931-8815-959AC053DB6C}"/>
    <cellStyle name="Comma 2 2 4 8 7 2" xfId="47704" xr:uid="{E0408404-1E9D-43EF-A130-00D202F611C7}"/>
    <cellStyle name="Comma 2 2 4 8 7 3" xfId="29450" xr:uid="{0E8D842D-6B27-46B1-B428-92B567E17A81}"/>
    <cellStyle name="Comma 2 2 4 8 8" xfId="7546" xr:uid="{F2652CEB-1E36-4B76-B082-D2CA54BAFC93}"/>
    <cellStyle name="Comma 2 2 4 8 8 2" xfId="44054" xr:uid="{6F6DFAE8-E05B-4C13-9462-B8183DC8C6EA}"/>
    <cellStyle name="Comma 2 2 4 8 8 3" xfId="25800" xr:uid="{682C7940-AB5B-4FCF-B676-6FCA426CCAD3}"/>
    <cellStyle name="Comma 2 2 4 8 9" xfId="3896" xr:uid="{E703018B-625E-4633-8A40-025CB64CF7F2}"/>
    <cellStyle name="Comma 2 2 4 8 9 2" xfId="40404" xr:uid="{0B1483B0-1BFA-4F91-99D9-6D16DFF4981A}"/>
    <cellStyle name="Comma 2 2 4 8 9 3" xfId="22150" xr:uid="{9687DB36-EE7B-4FF1-A0E1-62009FBB0861}"/>
    <cellStyle name="Comma 2 2 4 9" xfId="142" xr:uid="{64A69D9B-86BE-40AE-A2EB-C61E6F82C2F8}"/>
    <cellStyle name="Comma 2 2 4 9 10" xfId="36650" xr:uid="{EBD2A153-7AD7-4BA4-B46C-E6D6AE0D9AC1}"/>
    <cellStyle name="Comma 2 2 4 9 11" xfId="18396" xr:uid="{40B8F2E0-BA23-4538-981B-9CF0F9216B1A}"/>
    <cellStyle name="Comma 2 2 4 9 2" xfId="3062" xr:uid="{EA86E57A-2488-447B-BDA5-7196E98BAD54}"/>
    <cellStyle name="Comma 2 2 4 9 2 2" xfId="17662" xr:uid="{FFD8FBE0-3F04-442D-B53A-AEEA9EAA917B}"/>
    <cellStyle name="Comma 2 2 4 9 2 2 2" xfId="54170" xr:uid="{F92833D6-E0D2-46C5-B50A-DA5B4536B465}"/>
    <cellStyle name="Comma 2 2 4 9 2 2 3" xfId="35916" xr:uid="{2EEDD6F8-BC64-4D58-8B7D-78F7155A5F1E}"/>
    <cellStyle name="Comma 2 2 4 9 2 3" xfId="14012" xr:uid="{2A278D74-AE84-493A-B590-28FBB9312C16}"/>
    <cellStyle name="Comma 2 2 4 9 2 3 2" xfId="50520" xr:uid="{A1E078E9-E4DF-41D7-B632-0B8CC5E20739}"/>
    <cellStyle name="Comma 2 2 4 9 2 3 3" xfId="32266" xr:uid="{A76CA06C-D07D-4ACF-A992-974C665EC34D}"/>
    <cellStyle name="Comma 2 2 4 9 2 4" xfId="10362" xr:uid="{EB3DEC9D-62C4-41E2-B639-C9B66ED7D4F8}"/>
    <cellStyle name="Comma 2 2 4 9 2 4 2" xfId="46870" xr:uid="{440C0A6E-22B8-4A12-BF7B-4029D66BFAD4}"/>
    <cellStyle name="Comma 2 2 4 9 2 4 3" xfId="28616" xr:uid="{5C7C3591-8668-49FB-88B8-9DC63E5B9CE0}"/>
    <cellStyle name="Comma 2 2 4 9 2 5" xfId="6712" xr:uid="{D183A67A-E0E7-462B-A60D-33601EF76A66}"/>
    <cellStyle name="Comma 2 2 4 9 2 5 2" xfId="43220" xr:uid="{317671DE-C50B-4049-A520-7F68A36E28A8}"/>
    <cellStyle name="Comma 2 2 4 9 2 5 3" xfId="24966" xr:uid="{820B0460-C1BA-4297-BB1E-CB4CB4D82AA5}"/>
    <cellStyle name="Comma 2 2 4 9 2 6" xfId="39570" xr:uid="{524DC633-B700-4EC1-BEAF-B3288A4BBCCA}"/>
    <cellStyle name="Comma 2 2 4 9 2 7" xfId="21316" xr:uid="{1F4A52A9-B768-4405-AE87-2F2F9DA2A9EE}"/>
    <cellStyle name="Comma 2 2 4 9 3" xfId="2332" xr:uid="{B82A56AB-90BA-455B-BE0C-DB58781D9695}"/>
    <cellStyle name="Comma 2 2 4 9 3 2" xfId="16932" xr:uid="{86AD5B4A-A26E-4D39-A422-8EBDF016C477}"/>
    <cellStyle name="Comma 2 2 4 9 3 2 2" xfId="53440" xr:uid="{1A554DE5-DD4A-4FE8-A2E4-4FC6676617A3}"/>
    <cellStyle name="Comma 2 2 4 9 3 2 3" xfId="35186" xr:uid="{22F0A989-5292-4D02-BFD6-7B3E28C4E6CB}"/>
    <cellStyle name="Comma 2 2 4 9 3 3" xfId="13282" xr:uid="{BDDE0C43-8807-4246-86B1-4A7B77EDD693}"/>
    <cellStyle name="Comma 2 2 4 9 3 3 2" xfId="49790" xr:uid="{31B7978B-38C2-425A-ABAC-209E5A9E0856}"/>
    <cellStyle name="Comma 2 2 4 9 3 3 3" xfId="31536" xr:uid="{D035230D-5C26-4E79-9FBF-FA5983EA4C56}"/>
    <cellStyle name="Comma 2 2 4 9 3 4" xfId="9632" xr:uid="{8EA2EB1D-9142-4FFC-BB43-BD5BE4D58241}"/>
    <cellStyle name="Comma 2 2 4 9 3 4 2" xfId="46140" xr:uid="{0407A5BA-1D90-4C01-A7E1-6335935E4B3A}"/>
    <cellStyle name="Comma 2 2 4 9 3 4 3" xfId="27886" xr:uid="{5E6BFB06-F369-48AD-90D0-31A712E0E363}"/>
    <cellStyle name="Comma 2 2 4 9 3 5" xfId="5982" xr:uid="{C6C6ACD1-09A9-44F3-9689-3ED386A618DC}"/>
    <cellStyle name="Comma 2 2 4 9 3 5 2" xfId="42490" xr:uid="{CC4478F0-4382-4064-AE3D-EF539F2AFD56}"/>
    <cellStyle name="Comma 2 2 4 9 3 5 3" xfId="24236" xr:uid="{C73C2412-C3D6-40A1-9292-0E80656EE86D}"/>
    <cellStyle name="Comma 2 2 4 9 3 6" xfId="38840" xr:uid="{BABB5204-B6A8-4280-BC18-0AD5D637D658}"/>
    <cellStyle name="Comma 2 2 4 9 3 7" xfId="20586" xr:uid="{977D4508-CD28-47E6-AA29-6D38C70E6066}"/>
    <cellStyle name="Comma 2 2 4 9 4" xfId="1602" xr:uid="{29222A40-437B-4B99-9294-77C74088A35D}"/>
    <cellStyle name="Comma 2 2 4 9 4 2" xfId="16202" xr:uid="{7E021346-C0DD-4260-8F84-8E7431C9667B}"/>
    <cellStyle name="Comma 2 2 4 9 4 2 2" xfId="52710" xr:uid="{98D5A0DF-A4D5-40C5-B9D6-72F45274E5CB}"/>
    <cellStyle name="Comma 2 2 4 9 4 2 3" xfId="34456" xr:uid="{B9DE4FB7-45EE-4798-A26C-B55FA5EE0EAC}"/>
    <cellStyle name="Comma 2 2 4 9 4 3" xfId="12552" xr:uid="{92351AF2-8513-4B31-B0E8-3F3A95D3EFEF}"/>
    <cellStyle name="Comma 2 2 4 9 4 3 2" xfId="49060" xr:uid="{9AA0ED35-E636-4E59-8B26-7B1D1A59B515}"/>
    <cellStyle name="Comma 2 2 4 9 4 3 3" xfId="30806" xr:uid="{ECB618E8-92CE-4FE5-B0DF-5D97E0DE240C}"/>
    <cellStyle name="Comma 2 2 4 9 4 4" xfId="8902" xr:uid="{DDB0871F-CAFA-4BF8-8A83-FA1B1774A310}"/>
    <cellStyle name="Comma 2 2 4 9 4 4 2" xfId="45410" xr:uid="{9FF27FAE-1234-43C0-8984-97C30292D9C1}"/>
    <cellStyle name="Comma 2 2 4 9 4 4 3" xfId="27156" xr:uid="{65485285-0DAE-49D7-80AE-DBC7FD5E12B4}"/>
    <cellStyle name="Comma 2 2 4 9 4 5" xfId="5252" xr:uid="{EA175ADD-A0FF-4DBB-BCBC-4CBA9CB8F3E9}"/>
    <cellStyle name="Comma 2 2 4 9 4 5 2" xfId="41760" xr:uid="{D993FBD0-E367-458A-B5F4-6D32AE1B307C}"/>
    <cellStyle name="Comma 2 2 4 9 4 5 3" xfId="23506" xr:uid="{CD0A6681-4174-415A-A867-FC346D9A5F36}"/>
    <cellStyle name="Comma 2 2 4 9 4 6" xfId="38110" xr:uid="{9AFD2CED-5CB7-4EC2-BBB2-A8BCCE74A961}"/>
    <cellStyle name="Comma 2 2 4 9 4 7" xfId="19856" xr:uid="{618E08D5-45E5-4BB2-8AE5-07CAA292DB36}"/>
    <cellStyle name="Comma 2 2 4 9 5" xfId="872" xr:uid="{B9BA057A-21B9-4380-9C2E-CD49C9889B52}"/>
    <cellStyle name="Comma 2 2 4 9 5 2" xfId="15472" xr:uid="{B34CE348-EDDC-4FA0-8719-B3473C44318C}"/>
    <cellStyle name="Comma 2 2 4 9 5 2 2" xfId="51980" xr:uid="{0C8928D5-7B6A-490B-AA29-2CA84F7759A0}"/>
    <cellStyle name="Comma 2 2 4 9 5 2 3" xfId="33726" xr:uid="{080CEAFE-A2E3-4888-A240-B4D5963413DD}"/>
    <cellStyle name="Comma 2 2 4 9 5 3" xfId="11822" xr:uid="{DF122D70-FCC4-4FA6-9588-DCB66FEAFA60}"/>
    <cellStyle name="Comma 2 2 4 9 5 3 2" xfId="48330" xr:uid="{ED60965A-B5E3-4AAB-8078-9207AC1836A9}"/>
    <cellStyle name="Comma 2 2 4 9 5 3 3" xfId="30076" xr:uid="{7B4D54B9-7120-44FA-9B3A-A8F557363CD1}"/>
    <cellStyle name="Comma 2 2 4 9 5 4" xfId="8172" xr:uid="{F1679763-1138-480B-8F4C-15E1C5DC2D6C}"/>
    <cellStyle name="Comma 2 2 4 9 5 4 2" xfId="44680" xr:uid="{49A579D5-2EE1-41A8-9F90-754366D78013}"/>
    <cellStyle name="Comma 2 2 4 9 5 4 3" xfId="26426" xr:uid="{02A3FBC6-31D6-4378-82FF-ADE75DB8228F}"/>
    <cellStyle name="Comma 2 2 4 9 5 5" xfId="4522" xr:uid="{DDA0A317-406B-4A47-98BE-D3C3A9AFBA37}"/>
    <cellStyle name="Comma 2 2 4 9 5 5 2" xfId="41030" xr:uid="{B5A246E8-4690-4DEB-A17A-0F01E9362D5E}"/>
    <cellStyle name="Comma 2 2 4 9 5 5 3" xfId="22776" xr:uid="{571B58F6-59E2-476D-B673-06BB4978AEE4}"/>
    <cellStyle name="Comma 2 2 4 9 5 6" xfId="37380" xr:uid="{0C058FF4-EDFF-492E-862E-339156DA62BF}"/>
    <cellStyle name="Comma 2 2 4 9 5 7" xfId="19126" xr:uid="{0D897119-5F0F-497B-8F4A-5D7087776E7F}"/>
    <cellStyle name="Comma 2 2 4 9 6" xfId="14742" xr:uid="{4963DC79-C144-4EB7-A89B-55DF541A8EF1}"/>
    <cellStyle name="Comma 2 2 4 9 6 2" xfId="51250" xr:uid="{CEAEA5A8-9AA0-4045-B7CA-E09E97EF4ACF}"/>
    <cellStyle name="Comma 2 2 4 9 6 3" xfId="32996" xr:uid="{12629AAE-FC9B-4590-868F-7BA727FCB907}"/>
    <cellStyle name="Comma 2 2 4 9 7" xfId="11092" xr:uid="{9F9D7095-8B3E-42BF-82D3-C746D4E22D06}"/>
    <cellStyle name="Comma 2 2 4 9 7 2" xfId="47600" xr:uid="{D963A514-6F1A-4526-858A-486D7747D649}"/>
    <cellStyle name="Comma 2 2 4 9 7 3" xfId="29346" xr:uid="{C369A184-4414-4E6A-8B12-C8C65BB547EC}"/>
    <cellStyle name="Comma 2 2 4 9 8" xfId="7442" xr:uid="{FCB761B9-531B-42FB-9045-8E4A2827333A}"/>
    <cellStyle name="Comma 2 2 4 9 8 2" xfId="43950" xr:uid="{4303F659-FB24-4761-A317-EA4349A3EF8E}"/>
    <cellStyle name="Comma 2 2 4 9 8 3" xfId="25696" xr:uid="{FF675ED3-2DCD-4ED2-829C-AC4323A042BE}"/>
    <cellStyle name="Comma 2 2 4 9 9" xfId="3792" xr:uid="{854CCADE-7D39-4707-B9A2-DEE168829690}"/>
    <cellStyle name="Comma 2 2 4 9 9 2" xfId="40300" xr:uid="{A5D95CA7-49F9-4BF3-BE14-C2B2E69E6E59}"/>
    <cellStyle name="Comma 2 2 4 9 9 3" xfId="22046" xr:uid="{C0E6F02B-F622-48F8-A778-AAA0A8116D67}"/>
    <cellStyle name="Comma 2 2 5" xfId="86" xr:uid="{3E1A885F-BE7F-4D55-B896-0729CA69D799}"/>
    <cellStyle name="Comma 2 2 5 10" xfId="1546" xr:uid="{7E25000C-C8C0-4E66-A630-3C470D297EE9}"/>
    <cellStyle name="Comma 2 2 5 10 2" xfId="16146" xr:uid="{FD63A6C7-CC51-44AC-B52E-11A669643DDB}"/>
    <cellStyle name="Comma 2 2 5 10 2 2" xfId="52654" xr:uid="{1F5B9B57-8E66-42C1-A1B7-FA534F65CD6E}"/>
    <cellStyle name="Comma 2 2 5 10 2 3" xfId="34400" xr:uid="{9B2A9122-FAB0-4FA9-9955-5F40F8692F5C}"/>
    <cellStyle name="Comma 2 2 5 10 3" xfId="12496" xr:uid="{5D040FB2-05E1-4B24-B16E-D412F22C8601}"/>
    <cellStyle name="Comma 2 2 5 10 3 2" xfId="49004" xr:uid="{8801C174-87A9-431B-8AB2-A33A73D5B8A1}"/>
    <cellStyle name="Comma 2 2 5 10 3 3" xfId="30750" xr:uid="{90B2116B-55A9-42A7-9A24-DBDCFD42391F}"/>
    <cellStyle name="Comma 2 2 5 10 4" xfId="8846" xr:uid="{5B815F6A-B039-4CF3-9438-7ADC03D7F013}"/>
    <cellStyle name="Comma 2 2 5 10 4 2" xfId="45354" xr:uid="{8BA9D67F-0425-49EC-8812-1848E27A69D2}"/>
    <cellStyle name="Comma 2 2 5 10 4 3" xfId="27100" xr:uid="{DB219000-E72C-49CA-9E45-7C9CE69E7132}"/>
    <cellStyle name="Comma 2 2 5 10 5" xfId="5196" xr:uid="{754C6D43-B020-451F-9AEF-503B00C7BA8D}"/>
    <cellStyle name="Comma 2 2 5 10 5 2" xfId="41704" xr:uid="{E1A831F8-F619-441D-A88F-063BFAAFA33C}"/>
    <cellStyle name="Comma 2 2 5 10 5 3" xfId="23450" xr:uid="{8D95DFBC-21E6-4BFE-8475-10DC4007ACC0}"/>
    <cellStyle name="Comma 2 2 5 10 6" xfId="38054" xr:uid="{EF593E93-D45C-4141-BA32-B2CB0F3667C5}"/>
    <cellStyle name="Comma 2 2 5 10 7" xfId="19800" xr:uid="{F9EC6600-2419-47AE-A888-FF0698DAA950}"/>
    <cellStyle name="Comma 2 2 5 11" xfId="816" xr:uid="{60CF5EB3-31A0-4098-8839-CEDD718CE37C}"/>
    <cellStyle name="Comma 2 2 5 11 2" xfId="15416" xr:uid="{251ED284-7152-4628-978F-0B20CAE7D3AE}"/>
    <cellStyle name="Comma 2 2 5 11 2 2" xfId="51924" xr:uid="{54AF592E-4298-4E9B-8549-016A1E1A4992}"/>
    <cellStyle name="Comma 2 2 5 11 2 3" xfId="33670" xr:uid="{99B05673-FC40-4843-91CC-D5EEF5187093}"/>
    <cellStyle name="Comma 2 2 5 11 3" xfId="11766" xr:uid="{21709993-BB12-47F8-AAA3-B9D96C4D6E58}"/>
    <cellStyle name="Comma 2 2 5 11 3 2" xfId="48274" xr:uid="{E39A1327-D15B-4F4A-9AD4-15B73535B2B7}"/>
    <cellStyle name="Comma 2 2 5 11 3 3" xfId="30020" xr:uid="{62A3818B-ABAF-4385-B839-CD50E5F31C22}"/>
    <cellStyle name="Comma 2 2 5 11 4" xfId="8116" xr:uid="{061242CD-95BC-4739-8AA1-7D0929A1F7E9}"/>
    <cellStyle name="Comma 2 2 5 11 4 2" xfId="44624" xr:uid="{FD925E65-D47C-42ED-9FAE-F36FB3DE5B9A}"/>
    <cellStyle name="Comma 2 2 5 11 4 3" xfId="26370" xr:uid="{E5F2A532-95B8-4467-9C66-2D2B8CA99AC1}"/>
    <cellStyle name="Comma 2 2 5 11 5" xfId="4466" xr:uid="{4EBBE054-6295-42C5-ACB2-589AD989ECFF}"/>
    <cellStyle name="Comma 2 2 5 11 5 2" xfId="40974" xr:uid="{347415DD-CC93-4EAC-80E7-1960D0FAB277}"/>
    <cellStyle name="Comma 2 2 5 11 5 3" xfId="22720" xr:uid="{192D9A6C-D766-4032-90A1-30946D28BD05}"/>
    <cellStyle name="Comma 2 2 5 11 6" xfId="37324" xr:uid="{CA06D09A-9B60-4DDE-AFFD-A3F30A99E961}"/>
    <cellStyle name="Comma 2 2 5 11 7" xfId="19070" xr:uid="{987D8B84-10B6-4575-86BE-267E57B6BCD2}"/>
    <cellStyle name="Comma 2 2 5 12" xfId="14686" xr:uid="{8A5D0BA4-B1F5-4FC7-A4C7-D9A128B77889}"/>
    <cellStyle name="Comma 2 2 5 12 2" xfId="51194" xr:uid="{3D6B16B7-1B35-43D6-AC26-B5EF710DEB8C}"/>
    <cellStyle name="Comma 2 2 5 12 3" xfId="32940" xr:uid="{5F82F4F8-CD76-4B62-BE87-95E048F7A9BF}"/>
    <cellStyle name="Comma 2 2 5 13" xfId="11036" xr:uid="{708578BF-2288-4F7F-89B5-6313884EBCB3}"/>
    <cellStyle name="Comma 2 2 5 13 2" xfId="47544" xr:uid="{48A996E1-9ED9-4045-A4AA-7B0BDE0BF52D}"/>
    <cellStyle name="Comma 2 2 5 13 3" xfId="29290" xr:uid="{E0F020AD-A9C2-409E-B392-4199E32165CB}"/>
    <cellStyle name="Comma 2 2 5 14" xfId="7386" xr:uid="{0E2E84AC-0982-4BF8-A2D1-4589499D7BD1}"/>
    <cellStyle name="Comma 2 2 5 14 2" xfId="43894" xr:uid="{AC92306B-433F-4D1E-9D12-6E07ED838BFE}"/>
    <cellStyle name="Comma 2 2 5 14 3" xfId="25640" xr:uid="{BC371DA0-9D43-4286-B502-294DFAF78553}"/>
    <cellStyle name="Comma 2 2 5 15" xfId="3736" xr:uid="{25C3D235-8F4E-431B-ABE0-C733A7E083D7}"/>
    <cellStyle name="Comma 2 2 5 15 2" xfId="40244" xr:uid="{90410F05-CC4A-49C2-B9B7-1ED68A205E16}"/>
    <cellStyle name="Comma 2 2 5 15 3" xfId="21990" xr:uid="{46CEB241-500D-4528-AFA5-5CBE3D4086B3}"/>
    <cellStyle name="Comma 2 2 5 16" xfId="36594" xr:uid="{1AA880F5-313E-4455-881A-E685CE46D70B}"/>
    <cellStyle name="Comma 2 2 5 17" xfId="18340" xr:uid="{0C4B763E-9775-47B9-A007-6EACC0075E08}"/>
    <cellStyle name="Comma 2 2 5 2" xfId="710" xr:uid="{141FA007-89FA-46E3-819B-DA1875509F91}"/>
    <cellStyle name="Comma 2 2 5 2 10" xfId="37218" xr:uid="{73E2515A-4309-4FF2-80A3-4A72ABEEAE37}"/>
    <cellStyle name="Comma 2 2 5 2 11" xfId="18964" xr:uid="{B3D594A6-15FF-4F65-A367-FF2C03C8902E}"/>
    <cellStyle name="Comma 2 2 5 2 2" xfId="3630" xr:uid="{E7CD0FEA-B867-4666-B637-F26EFF663002}"/>
    <cellStyle name="Comma 2 2 5 2 2 2" xfId="18230" xr:uid="{60298941-7804-4C9C-A19A-1CBD82DEEC87}"/>
    <cellStyle name="Comma 2 2 5 2 2 2 2" xfId="54738" xr:uid="{45F6BC46-0FEA-4CDC-8DF1-6B0D933484E6}"/>
    <cellStyle name="Comma 2 2 5 2 2 2 3" xfId="36484" xr:uid="{60FE3EAA-597C-46F6-8597-D7C23343ECB0}"/>
    <cellStyle name="Comma 2 2 5 2 2 3" xfId="14580" xr:uid="{8BBA01AE-5C85-460C-814D-18B1B356DE3E}"/>
    <cellStyle name="Comma 2 2 5 2 2 3 2" xfId="51088" xr:uid="{957EDE09-AA75-40C5-9A05-AD2904C769E7}"/>
    <cellStyle name="Comma 2 2 5 2 2 3 3" xfId="32834" xr:uid="{1DC0137F-E17A-4CBC-9F8F-ED55AE5C1859}"/>
    <cellStyle name="Comma 2 2 5 2 2 4" xfId="10930" xr:uid="{255B0588-8C06-43D9-8B01-7BC89B777278}"/>
    <cellStyle name="Comma 2 2 5 2 2 4 2" xfId="47438" xr:uid="{C5CC1360-4981-4D4D-9CB7-1CCB9447272F}"/>
    <cellStyle name="Comma 2 2 5 2 2 4 3" xfId="29184" xr:uid="{73EB1AE6-B7A3-4D0E-919F-C7A19D88125C}"/>
    <cellStyle name="Comma 2 2 5 2 2 5" xfId="7280" xr:uid="{DAB1ACFA-5A91-4E56-B8D0-1E46B377D13E}"/>
    <cellStyle name="Comma 2 2 5 2 2 5 2" xfId="43788" xr:uid="{5FC203D9-FA67-41F5-B84C-605C0C43D489}"/>
    <cellStyle name="Comma 2 2 5 2 2 5 3" xfId="25534" xr:uid="{11C9E2C0-D3AF-42E5-8011-43A2E037E5BC}"/>
    <cellStyle name="Comma 2 2 5 2 2 6" xfId="40138" xr:uid="{6A6C1A1D-D6CA-4C77-8B4C-655A403C4FEC}"/>
    <cellStyle name="Comma 2 2 5 2 2 7" xfId="21884" xr:uid="{39C809EC-C953-4640-9660-A92BB28B8133}"/>
    <cellStyle name="Comma 2 2 5 2 3" xfId="2900" xr:uid="{980C2ADD-A229-42F7-8BC7-010F6B4AB371}"/>
    <cellStyle name="Comma 2 2 5 2 3 2" xfId="17500" xr:uid="{8129877C-EEC4-41FE-A2AD-5D5E625A8042}"/>
    <cellStyle name="Comma 2 2 5 2 3 2 2" xfId="54008" xr:uid="{2D6181D3-74CF-480D-BB07-B829A0C0D8FB}"/>
    <cellStyle name="Comma 2 2 5 2 3 2 3" xfId="35754" xr:uid="{48FBCA0C-7A55-404B-A9BA-1E461339EE57}"/>
    <cellStyle name="Comma 2 2 5 2 3 3" xfId="13850" xr:uid="{B0C4048C-C346-48EE-BBC2-FFD194736DDE}"/>
    <cellStyle name="Comma 2 2 5 2 3 3 2" xfId="50358" xr:uid="{EECC4877-FC9A-4B24-AE38-FC672D7CC5A9}"/>
    <cellStyle name="Comma 2 2 5 2 3 3 3" xfId="32104" xr:uid="{65E5A968-D8EA-4052-8BAD-6AE0A1E96C2C}"/>
    <cellStyle name="Comma 2 2 5 2 3 4" xfId="10200" xr:uid="{CEE8E7E0-CDEA-4776-95AE-135BF84FBE94}"/>
    <cellStyle name="Comma 2 2 5 2 3 4 2" xfId="46708" xr:uid="{C6118793-F64A-4CB5-91BA-EF007DF10EA1}"/>
    <cellStyle name="Comma 2 2 5 2 3 4 3" xfId="28454" xr:uid="{97C279A7-3DEE-4F4E-A7D6-1E99A6CF1A59}"/>
    <cellStyle name="Comma 2 2 5 2 3 5" xfId="6550" xr:uid="{B8AD0E35-BAAE-4E23-9FCA-DE0381978FF9}"/>
    <cellStyle name="Comma 2 2 5 2 3 5 2" xfId="43058" xr:uid="{6F0F466F-34EA-4A3F-ABD2-0B5ECF484C59}"/>
    <cellStyle name="Comma 2 2 5 2 3 5 3" xfId="24804" xr:uid="{1F9439C3-8854-4D92-B406-763CBCC2A81A}"/>
    <cellStyle name="Comma 2 2 5 2 3 6" xfId="39408" xr:uid="{3AE0B314-5F1A-49B1-B097-5400F34F6C8F}"/>
    <cellStyle name="Comma 2 2 5 2 3 7" xfId="21154" xr:uid="{84A455DB-8887-486D-ACFC-A38781FEA458}"/>
    <cellStyle name="Comma 2 2 5 2 4" xfId="2170" xr:uid="{307F3235-0ECB-4C53-9335-4C52C900341E}"/>
    <cellStyle name="Comma 2 2 5 2 4 2" xfId="16770" xr:uid="{D5E3A0C5-1320-44FD-AB9B-0BEEA48FBAB4}"/>
    <cellStyle name="Comma 2 2 5 2 4 2 2" xfId="53278" xr:uid="{892506CE-ADC1-4029-ABED-083123A78E6D}"/>
    <cellStyle name="Comma 2 2 5 2 4 2 3" xfId="35024" xr:uid="{CFB42DF7-C422-4179-81C1-DB4335A603E8}"/>
    <cellStyle name="Comma 2 2 5 2 4 3" xfId="13120" xr:uid="{7C0E6E0C-CA48-4A88-AF70-3D0F74E34C8D}"/>
    <cellStyle name="Comma 2 2 5 2 4 3 2" xfId="49628" xr:uid="{9AEC2A26-E115-4FED-A45C-F8C3769CAF84}"/>
    <cellStyle name="Comma 2 2 5 2 4 3 3" xfId="31374" xr:uid="{C4455832-A701-402C-8993-AC6B5801E82A}"/>
    <cellStyle name="Comma 2 2 5 2 4 4" xfId="9470" xr:uid="{867DEEBC-3227-4DC8-8B61-8C1478638E2F}"/>
    <cellStyle name="Comma 2 2 5 2 4 4 2" xfId="45978" xr:uid="{F9A19617-F3E6-400F-9E41-D8E192820427}"/>
    <cellStyle name="Comma 2 2 5 2 4 4 3" xfId="27724" xr:uid="{EC213CB8-6F0F-4C7F-B78B-D38CBB2F3A39}"/>
    <cellStyle name="Comma 2 2 5 2 4 5" xfId="5820" xr:uid="{05646E32-AF9C-4FE7-82D5-D8B339E61EEF}"/>
    <cellStyle name="Comma 2 2 5 2 4 5 2" xfId="42328" xr:uid="{AED1551D-F3AD-4AA3-9E9B-C89D3CC9A0DB}"/>
    <cellStyle name="Comma 2 2 5 2 4 5 3" xfId="24074" xr:uid="{6E78F91F-4A72-480A-8EEF-CD2A6CB3C6B1}"/>
    <cellStyle name="Comma 2 2 5 2 4 6" xfId="38678" xr:uid="{129A64E7-B59D-4324-AB88-A455F5DA28A3}"/>
    <cellStyle name="Comma 2 2 5 2 4 7" xfId="20424" xr:uid="{410D3DBA-C5C2-4A97-B2CF-8CFD25F7A148}"/>
    <cellStyle name="Comma 2 2 5 2 5" xfId="1440" xr:uid="{3C8994D6-0908-4A54-9CAE-D27F3D29CD91}"/>
    <cellStyle name="Comma 2 2 5 2 5 2" xfId="16040" xr:uid="{307FF21F-693E-4653-9E69-E225FC70C416}"/>
    <cellStyle name="Comma 2 2 5 2 5 2 2" xfId="52548" xr:uid="{3911D6B1-1AFD-4BE5-8EC2-4EBF73D0D1F2}"/>
    <cellStyle name="Comma 2 2 5 2 5 2 3" xfId="34294" xr:uid="{6E173F00-2626-4C71-974D-34C474991187}"/>
    <cellStyle name="Comma 2 2 5 2 5 3" xfId="12390" xr:uid="{EE20410A-EF6B-476D-BFAF-5BE40BA8FF22}"/>
    <cellStyle name="Comma 2 2 5 2 5 3 2" xfId="48898" xr:uid="{6FB067BC-BD22-42C2-8156-CD7E081BB100}"/>
    <cellStyle name="Comma 2 2 5 2 5 3 3" xfId="30644" xr:uid="{449FDEAE-42C4-4B07-B471-A84C8CBFB05C}"/>
    <cellStyle name="Comma 2 2 5 2 5 4" xfId="8740" xr:uid="{01156F7F-5856-4683-A08D-535DEDE390A3}"/>
    <cellStyle name="Comma 2 2 5 2 5 4 2" xfId="45248" xr:uid="{A16828BF-EC2C-4950-8019-D5AF61861DCB}"/>
    <cellStyle name="Comma 2 2 5 2 5 4 3" xfId="26994" xr:uid="{8BE4A597-F800-42DA-B6D9-7CC44BE56C24}"/>
    <cellStyle name="Comma 2 2 5 2 5 5" xfId="5090" xr:uid="{D3E4C72B-7C32-48E2-963A-FD73D8D179E2}"/>
    <cellStyle name="Comma 2 2 5 2 5 5 2" xfId="41598" xr:uid="{58D3D6F0-BDC6-46B6-9CE0-E374E5832E81}"/>
    <cellStyle name="Comma 2 2 5 2 5 5 3" xfId="23344" xr:uid="{F821035B-85C8-47F8-9F61-0747FD18032B}"/>
    <cellStyle name="Comma 2 2 5 2 5 6" xfId="37948" xr:uid="{915E9102-702B-4320-94F3-1AD728071393}"/>
    <cellStyle name="Comma 2 2 5 2 5 7" xfId="19694" xr:uid="{2D133FD8-5A14-430E-A2A9-D732524F5627}"/>
    <cellStyle name="Comma 2 2 5 2 6" xfId="15310" xr:uid="{4C85719A-DD82-4684-8D58-F0034C01B6D3}"/>
    <cellStyle name="Comma 2 2 5 2 6 2" xfId="51818" xr:uid="{B4623847-906C-4CF7-909E-2DEA4B88D465}"/>
    <cellStyle name="Comma 2 2 5 2 6 3" xfId="33564" xr:uid="{2505BDA9-7E8F-4D35-84C7-661E4F31E9C4}"/>
    <cellStyle name="Comma 2 2 5 2 7" xfId="11660" xr:uid="{DC473158-B204-4EFA-97E0-376A49405597}"/>
    <cellStyle name="Comma 2 2 5 2 7 2" xfId="48168" xr:uid="{C0F35DD3-1AAD-41B5-AE81-CDC2FBFAAFFF}"/>
    <cellStyle name="Comma 2 2 5 2 7 3" xfId="29914" xr:uid="{A53DC125-26C8-4FB6-9025-A5052AE009FE}"/>
    <cellStyle name="Comma 2 2 5 2 8" xfId="8010" xr:uid="{11A1E28C-5281-4A26-BE3E-53F8FE8CB28D}"/>
    <cellStyle name="Comma 2 2 5 2 8 2" xfId="44518" xr:uid="{27A6B41B-7AE3-42B8-A25D-C3FB494BACB6}"/>
    <cellStyle name="Comma 2 2 5 2 8 3" xfId="26264" xr:uid="{E2A5300C-6DA9-4FF2-83BE-E25E5D07EDA5}"/>
    <cellStyle name="Comma 2 2 5 2 9" xfId="4360" xr:uid="{5C1EC3B3-A6F6-4685-B04A-F688D95BF594}"/>
    <cellStyle name="Comma 2 2 5 2 9 2" xfId="40868" xr:uid="{45D94E8D-98A9-4142-A687-E5F2C8550EE2}"/>
    <cellStyle name="Comma 2 2 5 2 9 3" xfId="22614" xr:uid="{06F821E8-D4E3-4937-88F7-58FF2372709B}"/>
    <cellStyle name="Comma 2 2 5 3" xfId="606" xr:uid="{5A6E0E95-C4E1-4D50-85EE-D5DBAC97784D}"/>
    <cellStyle name="Comma 2 2 5 3 10" xfId="37114" xr:uid="{EB7BBA44-8629-4C20-A96B-EDBFAF3E1DEA}"/>
    <cellStyle name="Comma 2 2 5 3 11" xfId="18860" xr:uid="{2BE2899C-2C10-4FEE-8AD3-79ACC9330AC3}"/>
    <cellStyle name="Comma 2 2 5 3 2" xfId="3526" xr:uid="{29D9912D-728A-449B-A314-5F52D53FB2BF}"/>
    <cellStyle name="Comma 2 2 5 3 2 2" xfId="18126" xr:uid="{5799E845-2B22-4DB5-B14E-F3D84F492546}"/>
    <cellStyle name="Comma 2 2 5 3 2 2 2" xfId="54634" xr:uid="{CAE15289-8FF2-4CDA-80A8-048667139E52}"/>
    <cellStyle name="Comma 2 2 5 3 2 2 3" xfId="36380" xr:uid="{764ECFE9-1C0C-4512-938D-0C65121AD663}"/>
    <cellStyle name="Comma 2 2 5 3 2 3" xfId="14476" xr:uid="{30E84695-82D9-4F88-9796-D52329B6B236}"/>
    <cellStyle name="Comma 2 2 5 3 2 3 2" xfId="50984" xr:uid="{CA2EBC7D-D301-4AB0-A7C0-DFCF8BE98DFA}"/>
    <cellStyle name="Comma 2 2 5 3 2 3 3" xfId="32730" xr:uid="{2FC6F357-EC25-468D-BE53-8DAAD29D3085}"/>
    <cellStyle name="Comma 2 2 5 3 2 4" xfId="10826" xr:uid="{35901CDA-5B34-4A9D-9A09-A9E8E58FB22D}"/>
    <cellStyle name="Comma 2 2 5 3 2 4 2" xfId="47334" xr:uid="{A028968D-5431-468F-8F31-79A894CA7C76}"/>
    <cellStyle name="Comma 2 2 5 3 2 4 3" xfId="29080" xr:uid="{F7625AE2-88F3-4EA8-B623-3F4AB14CC414}"/>
    <cellStyle name="Comma 2 2 5 3 2 5" xfId="7176" xr:uid="{C7EDD176-B482-47CD-9DF5-87A3FDE07C76}"/>
    <cellStyle name="Comma 2 2 5 3 2 5 2" xfId="43684" xr:uid="{8D8A17B9-206A-41F4-9946-0F29FFCC9F2E}"/>
    <cellStyle name="Comma 2 2 5 3 2 5 3" xfId="25430" xr:uid="{89CEE792-E784-4A50-868C-C79A2908E83B}"/>
    <cellStyle name="Comma 2 2 5 3 2 6" xfId="40034" xr:uid="{8729EC76-DCBD-4DD0-8CC2-63076FFAC485}"/>
    <cellStyle name="Comma 2 2 5 3 2 7" xfId="21780" xr:uid="{9CB6BCB2-F960-45A0-9D1B-F91BE578312E}"/>
    <cellStyle name="Comma 2 2 5 3 3" xfId="2796" xr:uid="{848333E7-6008-4DE8-A830-103AF4AFB583}"/>
    <cellStyle name="Comma 2 2 5 3 3 2" xfId="17396" xr:uid="{D319546C-C491-43F4-86B3-2F59EBA2356E}"/>
    <cellStyle name="Comma 2 2 5 3 3 2 2" xfId="53904" xr:uid="{8078D54F-5DDA-4450-B84E-0A1F5B7279F3}"/>
    <cellStyle name="Comma 2 2 5 3 3 2 3" xfId="35650" xr:uid="{192F4FB6-A7DD-4757-A8BA-E7EC3194917A}"/>
    <cellStyle name="Comma 2 2 5 3 3 3" xfId="13746" xr:uid="{4F462B1B-6199-4D0B-A168-4437C963B097}"/>
    <cellStyle name="Comma 2 2 5 3 3 3 2" xfId="50254" xr:uid="{C76E519D-686D-4C06-87A1-89F92694DE89}"/>
    <cellStyle name="Comma 2 2 5 3 3 3 3" xfId="32000" xr:uid="{9A680247-0EEA-45EA-BA53-39D2196D8534}"/>
    <cellStyle name="Comma 2 2 5 3 3 4" xfId="10096" xr:uid="{11D858A2-B098-449D-AFBA-6014B2A58FA3}"/>
    <cellStyle name="Comma 2 2 5 3 3 4 2" xfId="46604" xr:uid="{FDDB02D1-8EE4-4CF9-9290-4AAE45BEB5D4}"/>
    <cellStyle name="Comma 2 2 5 3 3 4 3" xfId="28350" xr:uid="{29490BCD-326C-4534-A243-231755EFE4BB}"/>
    <cellStyle name="Comma 2 2 5 3 3 5" xfId="6446" xr:uid="{EC826444-4359-4C36-85DC-AEB658F07BBB}"/>
    <cellStyle name="Comma 2 2 5 3 3 5 2" xfId="42954" xr:uid="{B4824255-7D7D-4743-A658-A1181A3586CE}"/>
    <cellStyle name="Comma 2 2 5 3 3 5 3" xfId="24700" xr:uid="{E9A19294-EBD7-4DDF-924C-430A3515723E}"/>
    <cellStyle name="Comma 2 2 5 3 3 6" xfId="39304" xr:uid="{5D9DDEC7-3F5D-4BDF-930E-01F9584C2B08}"/>
    <cellStyle name="Comma 2 2 5 3 3 7" xfId="21050" xr:uid="{2CAD0DF1-C398-4CC7-866C-22827F1C91B0}"/>
    <cellStyle name="Comma 2 2 5 3 4" xfId="2066" xr:uid="{5AB15D1A-20BF-458D-B8C6-3763742A95D6}"/>
    <cellStyle name="Comma 2 2 5 3 4 2" xfId="16666" xr:uid="{91F9C546-DB63-4C03-9F7E-B42FC29D568D}"/>
    <cellStyle name="Comma 2 2 5 3 4 2 2" xfId="53174" xr:uid="{188FBA60-133D-47A6-A196-1830A58D8E92}"/>
    <cellStyle name="Comma 2 2 5 3 4 2 3" xfId="34920" xr:uid="{C476E424-336D-4176-972E-F9DDEC47AECD}"/>
    <cellStyle name="Comma 2 2 5 3 4 3" xfId="13016" xr:uid="{C98E5401-05D0-4146-9CAE-D0A14412D73E}"/>
    <cellStyle name="Comma 2 2 5 3 4 3 2" xfId="49524" xr:uid="{325F8693-FA39-488C-8434-88B69A15EBEB}"/>
    <cellStyle name="Comma 2 2 5 3 4 3 3" xfId="31270" xr:uid="{17200749-3F0D-4D4D-99DA-3659F2796A14}"/>
    <cellStyle name="Comma 2 2 5 3 4 4" xfId="9366" xr:uid="{4F69C4FB-0808-49CF-B2FD-E6233BED562C}"/>
    <cellStyle name="Comma 2 2 5 3 4 4 2" xfId="45874" xr:uid="{BBC3B6AD-08FE-4743-90D5-A5872DCBC135}"/>
    <cellStyle name="Comma 2 2 5 3 4 4 3" xfId="27620" xr:uid="{70E56B7E-770A-44DF-A622-3FA6E343E6C8}"/>
    <cellStyle name="Comma 2 2 5 3 4 5" xfId="5716" xr:uid="{64CE0FB0-A18E-47BF-AC61-CA62BA3EC5E6}"/>
    <cellStyle name="Comma 2 2 5 3 4 5 2" xfId="42224" xr:uid="{4F07507B-EA47-4BD6-AF6A-A5DF949517A5}"/>
    <cellStyle name="Comma 2 2 5 3 4 5 3" xfId="23970" xr:uid="{D42E864B-93F2-411F-96A3-AD43F0FAFD89}"/>
    <cellStyle name="Comma 2 2 5 3 4 6" xfId="38574" xr:uid="{9DCCF7E7-094C-4263-88B0-E9BBE4942868}"/>
    <cellStyle name="Comma 2 2 5 3 4 7" xfId="20320" xr:uid="{CFDC65BC-C8A1-4E0D-A163-A6244651451D}"/>
    <cellStyle name="Comma 2 2 5 3 5" xfId="1336" xr:uid="{2CFB23F6-3200-4F2B-AFD7-EFF79590D9BF}"/>
    <cellStyle name="Comma 2 2 5 3 5 2" xfId="15936" xr:uid="{90570E82-0542-4C3A-9109-03CD4A91B8A8}"/>
    <cellStyle name="Comma 2 2 5 3 5 2 2" xfId="52444" xr:uid="{6712CD6E-A8D5-4CE3-AD80-EBDDAE4B564A}"/>
    <cellStyle name="Comma 2 2 5 3 5 2 3" xfId="34190" xr:uid="{36D841D3-FD24-473D-ABAB-8F71A340227B}"/>
    <cellStyle name="Comma 2 2 5 3 5 3" xfId="12286" xr:uid="{A5F7F274-C91C-4566-9BC2-40290276C2F2}"/>
    <cellStyle name="Comma 2 2 5 3 5 3 2" xfId="48794" xr:uid="{0956F2F1-30E0-456B-AFB8-B4AF09902818}"/>
    <cellStyle name="Comma 2 2 5 3 5 3 3" xfId="30540" xr:uid="{0E73ED1C-BA2F-4EB4-943F-77E0DDC71622}"/>
    <cellStyle name="Comma 2 2 5 3 5 4" xfId="8636" xr:uid="{08F1D799-F348-4C88-A817-C1497EC16970}"/>
    <cellStyle name="Comma 2 2 5 3 5 4 2" xfId="45144" xr:uid="{0BBCC595-89A3-443C-8DF3-E5845AE672BA}"/>
    <cellStyle name="Comma 2 2 5 3 5 4 3" xfId="26890" xr:uid="{7C7E42F2-C12B-4A34-819D-44366B359602}"/>
    <cellStyle name="Comma 2 2 5 3 5 5" xfId="4986" xr:uid="{3A81EE97-0400-453D-B51E-D10036FC90E2}"/>
    <cellStyle name="Comma 2 2 5 3 5 5 2" xfId="41494" xr:uid="{B4595745-1BD5-434B-9587-969CA80DAAA9}"/>
    <cellStyle name="Comma 2 2 5 3 5 5 3" xfId="23240" xr:uid="{00003514-0FCD-436C-A7CD-1969B78369A1}"/>
    <cellStyle name="Comma 2 2 5 3 5 6" xfId="37844" xr:uid="{C83CB1C6-21B1-404E-9726-A9DC46A0A45A}"/>
    <cellStyle name="Comma 2 2 5 3 5 7" xfId="19590" xr:uid="{FA10F1C0-654C-4497-B4F5-65F80E49956A}"/>
    <cellStyle name="Comma 2 2 5 3 6" xfId="15206" xr:uid="{639432F9-2540-4341-9880-9AE769EFF09F}"/>
    <cellStyle name="Comma 2 2 5 3 6 2" xfId="51714" xr:uid="{54D28AA9-B834-4859-84C1-21E83F058426}"/>
    <cellStyle name="Comma 2 2 5 3 6 3" xfId="33460" xr:uid="{605E6556-41C6-4A71-A1A2-1162E2677905}"/>
    <cellStyle name="Comma 2 2 5 3 7" xfId="11556" xr:uid="{74BFD098-D616-4898-9583-A395D41E73BF}"/>
    <cellStyle name="Comma 2 2 5 3 7 2" xfId="48064" xr:uid="{6D0C53A9-AA73-46BE-A84C-4EDC538E32B1}"/>
    <cellStyle name="Comma 2 2 5 3 7 3" xfId="29810" xr:uid="{DD17063C-8673-42A8-A984-82E05A837314}"/>
    <cellStyle name="Comma 2 2 5 3 8" xfId="7906" xr:uid="{77667E70-5BDC-46EF-8515-02AE3FA37C5F}"/>
    <cellStyle name="Comma 2 2 5 3 8 2" xfId="44414" xr:uid="{71D730D8-19F3-44F3-870E-5DA59A07A1A3}"/>
    <cellStyle name="Comma 2 2 5 3 8 3" xfId="26160" xr:uid="{FD4903AC-CE50-460B-B6C3-8468BE44C69C}"/>
    <cellStyle name="Comma 2 2 5 3 9" xfId="4256" xr:uid="{A6844853-0894-4684-A606-EEEA525384CF}"/>
    <cellStyle name="Comma 2 2 5 3 9 2" xfId="40764" xr:uid="{E4C7D637-E473-448D-BF28-D39A13466362}"/>
    <cellStyle name="Comma 2 2 5 3 9 3" xfId="22510" xr:uid="{152A44BD-2297-43AF-927A-82A9559159B3}"/>
    <cellStyle name="Comma 2 2 5 4" xfId="502" xr:uid="{8952504E-1E5D-40C5-B793-7C7FA02972D0}"/>
    <cellStyle name="Comma 2 2 5 4 10" xfId="37010" xr:uid="{8F32E225-9A19-466B-8343-915A4F2EBDF3}"/>
    <cellStyle name="Comma 2 2 5 4 11" xfId="18756" xr:uid="{4C0CDC41-E16E-4213-9987-590AEE43E8EA}"/>
    <cellStyle name="Comma 2 2 5 4 2" xfId="3422" xr:uid="{8A3AD09C-4115-42E0-857F-F9F9822B2E9A}"/>
    <cellStyle name="Comma 2 2 5 4 2 2" xfId="18022" xr:uid="{4BADD9CF-A820-4E1D-AB2B-261539D97FE2}"/>
    <cellStyle name="Comma 2 2 5 4 2 2 2" xfId="54530" xr:uid="{8D2FAA94-901F-4A28-80A6-01863964042B}"/>
    <cellStyle name="Comma 2 2 5 4 2 2 3" xfId="36276" xr:uid="{95601ECD-5764-4076-9C09-8DE69DE97BB3}"/>
    <cellStyle name="Comma 2 2 5 4 2 3" xfId="14372" xr:uid="{8D1A0B0C-AF49-45D8-BA10-32BB6F611538}"/>
    <cellStyle name="Comma 2 2 5 4 2 3 2" xfId="50880" xr:uid="{DDE9522B-4613-4A70-BE35-FD36C58E3D7D}"/>
    <cellStyle name="Comma 2 2 5 4 2 3 3" xfId="32626" xr:uid="{82A063B4-935E-4AAF-B83F-729AD130ECE2}"/>
    <cellStyle name="Comma 2 2 5 4 2 4" xfId="10722" xr:uid="{DB5339C1-D27A-41CD-8815-4C0FBE8973BA}"/>
    <cellStyle name="Comma 2 2 5 4 2 4 2" xfId="47230" xr:uid="{5633D988-CE0B-4846-8EC5-99034E493F4A}"/>
    <cellStyle name="Comma 2 2 5 4 2 4 3" xfId="28976" xr:uid="{E22D8994-B74A-43C1-9DF8-7733B023E96E}"/>
    <cellStyle name="Comma 2 2 5 4 2 5" xfId="7072" xr:uid="{BC5CE46C-7039-4C14-981D-150428B421C8}"/>
    <cellStyle name="Comma 2 2 5 4 2 5 2" xfId="43580" xr:uid="{C2826515-7E88-4812-9C62-065CAD97F076}"/>
    <cellStyle name="Comma 2 2 5 4 2 5 3" xfId="25326" xr:uid="{407D5329-20AB-45D5-90F0-8C41F6B88CEC}"/>
    <cellStyle name="Comma 2 2 5 4 2 6" xfId="39930" xr:uid="{E256E46E-DD13-4B00-99F4-5C592E9BC1DE}"/>
    <cellStyle name="Comma 2 2 5 4 2 7" xfId="21676" xr:uid="{2A4553F8-EE37-4695-94A9-51D45D1BB40E}"/>
    <cellStyle name="Comma 2 2 5 4 3" xfId="2692" xr:uid="{E4541570-6AEA-4554-AF41-97C13E428F43}"/>
    <cellStyle name="Comma 2 2 5 4 3 2" xfId="17292" xr:uid="{C184DBB8-0159-42A9-9291-2497D103F0D5}"/>
    <cellStyle name="Comma 2 2 5 4 3 2 2" xfId="53800" xr:uid="{EC5DC131-C711-4498-918C-8C4D364A0B3D}"/>
    <cellStyle name="Comma 2 2 5 4 3 2 3" xfId="35546" xr:uid="{2E1CE336-9469-457A-9B06-D2B1BBA3CD61}"/>
    <cellStyle name="Comma 2 2 5 4 3 3" xfId="13642" xr:uid="{4C7D88FB-9CE3-4D8C-BF81-69CC86C7FBCC}"/>
    <cellStyle name="Comma 2 2 5 4 3 3 2" xfId="50150" xr:uid="{86003B77-A495-455B-8FF0-BFB5F034A973}"/>
    <cellStyle name="Comma 2 2 5 4 3 3 3" xfId="31896" xr:uid="{30A2F05B-4AA1-42C3-81A8-9000613C3327}"/>
    <cellStyle name="Comma 2 2 5 4 3 4" xfId="9992" xr:uid="{CB43AF4B-0617-4BCA-9788-CD12206802E7}"/>
    <cellStyle name="Comma 2 2 5 4 3 4 2" xfId="46500" xr:uid="{E770ED70-4F24-4DBE-A26F-B42701C9B732}"/>
    <cellStyle name="Comma 2 2 5 4 3 4 3" xfId="28246" xr:uid="{62080CE4-B192-447E-B9E7-9EE3F0671869}"/>
    <cellStyle name="Comma 2 2 5 4 3 5" xfId="6342" xr:uid="{CFB9BA39-37A1-43B7-B893-F48A59EFBE25}"/>
    <cellStyle name="Comma 2 2 5 4 3 5 2" xfId="42850" xr:uid="{AFFBCAF7-A818-4F16-BF20-8D3EDC931150}"/>
    <cellStyle name="Comma 2 2 5 4 3 5 3" xfId="24596" xr:uid="{B14B492D-BC4B-4AE5-93B6-2E68B0853760}"/>
    <cellStyle name="Comma 2 2 5 4 3 6" xfId="39200" xr:uid="{1D6E8E62-5003-4184-B22B-D323DE239796}"/>
    <cellStyle name="Comma 2 2 5 4 3 7" xfId="20946" xr:uid="{DBBCA684-E858-4E95-8F20-DD8501534C9D}"/>
    <cellStyle name="Comma 2 2 5 4 4" xfId="1962" xr:uid="{891587AF-716C-4322-8120-27C66A58DBAB}"/>
    <cellStyle name="Comma 2 2 5 4 4 2" xfId="16562" xr:uid="{AB32F8AF-301D-4982-BC6B-7B5F8B85EE0E}"/>
    <cellStyle name="Comma 2 2 5 4 4 2 2" xfId="53070" xr:uid="{7A9F5FDB-94F4-4717-A40D-58EA80CFF437}"/>
    <cellStyle name="Comma 2 2 5 4 4 2 3" xfId="34816" xr:uid="{770EC9EB-FFDC-403E-9AD1-9DCF201149BC}"/>
    <cellStyle name="Comma 2 2 5 4 4 3" xfId="12912" xr:uid="{9175F3E8-A791-429E-B58E-976ACAD4D7FF}"/>
    <cellStyle name="Comma 2 2 5 4 4 3 2" xfId="49420" xr:uid="{D376EDE0-2194-4061-B979-5A24D119E887}"/>
    <cellStyle name="Comma 2 2 5 4 4 3 3" xfId="31166" xr:uid="{658BA49A-54E3-42A4-9E1B-33B8E1ECF85E}"/>
    <cellStyle name="Comma 2 2 5 4 4 4" xfId="9262" xr:uid="{524C4DAA-1B1E-4FD6-962E-58DEC4DC56E3}"/>
    <cellStyle name="Comma 2 2 5 4 4 4 2" xfId="45770" xr:uid="{4C6808CB-8315-4392-8957-0EDC527ED144}"/>
    <cellStyle name="Comma 2 2 5 4 4 4 3" xfId="27516" xr:uid="{EFF4C0A6-E4D8-45EC-BA71-0AC4724A3680}"/>
    <cellStyle name="Comma 2 2 5 4 4 5" xfId="5612" xr:uid="{D9EE7AE8-311C-4FA9-9F2B-D9D52B752583}"/>
    <cellStyle name="Comma 2 2 5 4 4 5 2" xfId="42120" xr:uid="{4CB72985-179A-4211-A558-D742314AEBA8}"/>
    <cellStyle name="Comma 2 2 5 4 4 5 3" xfId="23866" xr:uid="{5E817982-C625-4E04-8439-65DDC4E4910E}"/>
    <cellStyle name="Comma 2 2 5 4 4 6" xfId="38470" xr:uid="{84BFED3F-9B1D-404E-AA93-B75EDD07916A}"/>
    <cellStyle name="Comma 2 2 5 4 4 7" xfId="20216" xr:uid="{EEEA2A84-CC96-4F3D-AF52-7EB5873D01C8}"/>
    <cellStyle name="Comma 2 2 5 4 5" xfId="1232" xr:uid="{49286B52-5075-4734-A858-E7D65DA6DA4F}"/>
    <cellStyle name="Comma 2 2 5 4 5 2" xfId="15832" xr:uid="{B1C8356F-4928-4923-821F-F0F7C17B3B89}"/>
    <cellStyle name="Comma 2 2 5 4 5 2 2" xfId="52340" xr:uid="{7374F816-8304-4C7D-AB30-E4F2604AE0D0}"/>
    <cellStyle name="Comma 2 2 5 4 5 2 3" xfId="34086" xr:uid="{6C655073-8070-4B73-AC6D-B92760CDD488}"/>
    <cellStyle name="Comma 2 2 5 4 5 3" xfId="12182" xr:uid="{FC708C9D-2204-470F-B39D-0ABB4814D324}"/>
    <cellStyle name="Comma 2 2 5 4 5 3 2" xfId="48690" xr:uid="{C3527FEC-176D-47EA-9EAC-952A94582737}"/>
    <cellStyle name="Comma 2 2 5 4 5 3 3" xfId="30436" xr:uid="{96900A2D-F3B4-4B01-AEF7-E3D460E31041}"/>
    <cellStyle name="Comma 2 2 5 4 5 4" xfId="8532" xr:uid="{8817477C-8E2A-4E4B-80F6-1364831E9C09}"/>
    <cellStyle name="Comma 2 2 5 4 5 4 2" xfId="45040" xr:uid="{BCCA4920-5E05-4506-A8E6-A64308F881B8}"/>
    <cellStyle name="Comma 2 2 5 4 5 4 3" xfId="26786" xr:uid="{BA881210-B649-4F60-9DCD-5F3203E44CD5}"/>
    <cellStyle name="Comma 2 2 5 4 5 5" xfId="4882" xr:uid="{DF128E28-6EA2-417B-AD9B-127031A29A34}"/>
    <cellStyle name="Comma 2 2 5 4 5 5 2" xfId="41390" xr:uid="{87FFCBE1-0D9D-455F-9786-9E7C9DEC757A}"/>
    <cellStyle name="Comma 2 2 5 4 5 5 3" xfId="23136" xr:uid="{56C00BBD-6B0F-4AEE-9BFC-16C221E9F242}"/>
    <cellStyle name="Comma 2 2 5 4 5 6" xfId="37740" xr:uid="{B51BBEFE-0358-48D7-97E3-C299A1F69E42}"/>
    <cellStyle name="Comma 2 2 5 4 5 7" xfId="19486" xr:uid="{9DAC08B5-5129-4C49-A535-5BD82EB77AC4}"/>
    <cellStyle name="Comma 2 2 5 4 6" xfId="15102" xr:uid="{99BA6AFC-E7BF-430B-8650-65B7BB2709F0}"/>
    <cellStyle name="Comma 2 2 5 4 6 2" xfId="51610" xr:uid="{0C0E24D7-7126-4806-948B-03F2C744AC06}"/>
    <cellStyle name="Comma 2 2 5 4 6 3" xfId="33356" xr:uid="{C88C7930-5A15-463A-8EB8-FFED6DD279A0}"/>
    <cellStyle name="Comma 2 2 5 4 7" xfId="11452" xr:uid="{963ADBE1-2FF2-4AC4-8E5C-EC508980766D}"/>
    <cellStyle name="Comma 2 2 5 4 7 2" xfId="47960" xr:uid="{1D6DC36B-6263-4F07-A4D6-860B267E47B6}"/>
    <cellStyle name="Comma 2 2 5 4 7 3" xfId="29706" xr:uid="{3ABB8A8F-5FA2-4DEF-8997-D18D510F9DC1}"/>
    <cellStyle name="Comma 2 2 5 4 8" xfId="7802" xr:uid="{4E9988E5-D9ED-4FE6-8FA0-8130ADAD664F}"/>
    <cellStyle name="Comma 2 2 5 4 8 2" xfId="44310" xr:uid="{DBD7126B-C053-4717-ABFA-84F6204D5692}"/>
    <cellStyle name="Comma 2 2 5 4 8 3" xfId="26056" xr:uid="{CC59E7DF-3A7E-455E-8C45-481348AC9CF0}"/>
    <cellStyle name="Comma 2 2 5 4 9" xfId="4152" xr:uid="{107E8659-8F49-48B4-B7F2-8398849885AE}"/>
    <cellStyle name="Comma 2 2 5 4 9 2" xfId="40660" xr:uid="{94AB86F1-0974-4667-953D-F80E346001F9}"/>
    <cellStyle name="Comma 2 2 5 4 9 3" xfId="22406" xr:uid="{1C4D53DB-643B-45AA-907E-D81DD657A2E7}"/>
    <cellStyle name="Comma 2 2 5 5" xfId="398" xr:uid="{C2D32930-0938-4162-8035-C16BDC4022B1}"/>
    <cellStyle name="Comma 2 2 5 5 10" xfId="36906" xr:uid="{8633A5D4-E066-4668-A326-FE8F1344C260}"/>
    <cellStyle name="Comma 2 2 5 5 11" xfId="18652" xr:uid="{1F775AA6-1EF1-4CFF-9597-649979B27219}"/>
    <cellStyle name="Comma 2 2 5 5 2" xfId="3318" xr:uid="{3A1E19AB-56AA-4690-A0B3-7C6C05967113}"/>
    <cellStyle name="Comma 2 2 5 5 2 2" xfId="17918" xr:uid="{3810AE1D-62D3-4F15-AF20-9400D5254D74}"/>
    <cellStyle name="Comma 2 2 5 5 2 2 2" xfId="54426" xr:uid="{A82E44F1-FCFD-446F-9487-B38D00179DBB}"/>
    <cellStyle name="Comma 2 2 5 5 2 2 3" xfId="36172" xr:uid="{02F2F28A-6726-4C7B-A16C-2AC634E40AFB}"/>
    <cellStyle name="Comma 2 2 5 5 2 3" xfId="14268" xr:uid="{8ECE523E-0C39-45ED-A667-B15D17C6D17F}"/>
    <cellStyle name="Comma 2 2 5 5 2 3 2" xfId="50776" xr:uid="{17A0C97D-CFC3-44E5-87B1-68E5273BF984}"/>
    <cellStyle name="Comma 2 2 5 5 2 3 3" xfId="32522" xr:uid="{90987CBD-946D-4361-91C2-E218A78CFB8F}"/>
    <cellStyle name="Comma 2 2 5 5 2 4" xfId="10618" xr:uid="{FBF11229-D377-4ECF-9699-2F2DD3671B70}"/>
    <cellStyle name="Comma 2 2 5 5 2 4 2" xfId="47126" xr:uid="{F5A6E551-5758-4DD3-AFD8-8FC041448CC9}"/>
    <cellStyle name="Comma 2 2 5 5 2 4 3" xfId="28872" xr:uid="{B4AD0A2C-DE2F-4EF2-B453-064E93988C52}"/>
    <cellStyle name="Comma 2 2 5 5 2 5" xfId="6968" xr:uid="{EF86AD14-E1E2-43B1-9819-88CB79BB97EF}"/>
    <cellStyle name="Comma 2 2 5 5 2 5 2" xfId="43476" xr:uid="{C4D9F526-9BD5-4B82-B54C-05F0666AA8B5}"/>
    <cellStyle name="Comma 2 2 5 5 2 5 3" xfId="25222" xr:uid="{58CF0DC4-D6BC-4EE8-8F8F-88B45BE8C5C7}"/>
    <cellStyle name="Comma 2 2 5 5 2 6" xfId="39826" xr:uid="{671AF1E9-0252-4DFF-A77A-543FCEFF1D6D}"/>
    <cellStyle name="Comma 2 2 5 5 2 7" xfId="21572" xr:uid="{8C33CAD5-20BA-4826-B9DB-132F41AEAC36}"/>
    <cellStyle name="Comma 2 2 5 5 3" xfId="2588" xr:uid="{5C0A499F-0F5D-4E2F-90D3-1C86690B0D6D}"/>
    <cellStyle name="Comma 2 2 5 5 3 2" xfId="17188" xr:uid="{2696FDCD-B93A-46FC-8CAF-1B748744C2AF}"/>
    <cellStyle name="Comma 2 2 5 5 3 2 2" xfId="53696" xr:uid="{43AAEBF8-FE4E-4ABB-8798-E950547C19CE}"/>
    <cellStyle name="Comma 2 2 5 5 3 2 3" xfId="35442" xr:uid="{9412620E-ADAF-405D-9799-A933CF6780DA}"/>
    <cellStyle name="Comma 2 2 5 5 3 3" xfId="13538" xr:uid="{B125A0E7-AD6D-446C-A96E-42D484D5727B}"/>
    <cellStyle name="Comma 2 2 5 5 3 3 2" xfId="50046" xr:uid="{EFE6E49A-E86A-4DEC-AABF-9FBBEAB1C4F1}"/>
    <cellStyle name="Comma 2 2 5 5 3 3 3" xfId="31792" xr:uid="{DDAA4A5A-8038-4218-82C8-C5A4A84DDCE3}"/>
    <cellStyle name="Comma 2 2 5 5 3 4" xfId="9888" xr:uid="{088B4A07-2673-410F-99EE-D4AD800F6387}"/>
    <cellStyle name="Comma 2 2 5 5 3 4 2" xfId="46396" xr:uid="{1A67D859-726C-4E4A-9C5C-F1BADF58C2CD}"/>
    <cellStyle name="Comma 2 2 5 5 3 4 3" xfId="28142" xr:uid="{356BB3EC-08F6-4DBB-AAB4-013A9925B8E7}"/>
    <cellStyle name="Comma 2 2 5 5 3 5" xfId="6238" xr:uid="{5FA85D6A-7CC5-461D-81CC-257122FA4A2A}"/>
    <cellStyle name="Comma 2 2 5 5 3 5 2" xfId="42746" xr:uid="{B02C58F2-4C05-48B2-8517-D272E0281A18}"/>
    <cellStyle name="Comma 2 2 5 5 3 5 3" xfId="24492" xr:uid="{30446220-B4FB-46A5-B3C1-AE01AF090320}"/>
    <cellStyle name="Comma 2 2 5 5 3 6" xfId="39096" xr:uid="{C374652E-97F3-42FF-9BCE-DF770026C611}"/>
    <cellStyle name="Comma 2 2 5 5 3 7" xfId="20842" xr:uid="{DE8FD5C5-8517-4526-B552-71EC394D4366}"/>
    <cellStyle name="Comma 2 2 5 5 4" xfId="1858" xr:uid="{ECD77995-05A8-4280-986A-AF1CBD6919A4}"/>
    <cellStyle name="Comma 2 2 5 5 4 2" xfId="16458" xr:uid="{66EA8247-48CD-4F67-B1AD-00B1B3D37AF7}"/>
    <cellStyle name="Comma 2 2 5 5 4 2 2" xfId="52966" xr:uid="{9A48932E-1760-4883-8227-5BD3B0012FAE}"/>
    <cellStyle name="Comma 2 2 5 5 4 2 3" xfId="34712" xr:uid="{C6413A04-2D2F-459E-B785-C08BDC2A3D98}"/>
    <cellStyle name="Comma 2 2 5 5 4 3" xfId="12808" xr:uid="{C3283E96-3684-4FDC-AD78-59060CCB0A2B}"/>
    <cellStyle name="Comma 2 2 5 5 4 3 2" xfId="49316" xr:uid="{8C2D2352-CA30-42C9-9CCD-C5113CF91B13}"/>
    <cellStyle name="Comma 2 2 5 5 4 3 3" xfId="31062" xr:uid="{AE42FF89-B998-497F-B6E0-B25052654F88}"/>
    <cellStyle name="Comma 2 2 5 5 4 4" xfId="9158" xr:uid="{BCA952C6-B26E-468E-88BA-0C780B55D281}"/>
    <cellStyle name="Comma 2 2 5 5 4 4 2" xfId="45666" xr:uid="{37AC6355-46A1-4A09-A991-F355D6074740}"/>
    <cellStyle name="Comma 2 2 5 5 4 4 3" xfId="27412" xr:uid="{B693F6C0-715D-4DEF-AA31-B3821AB7CB13}"/>
    <cellStyle name="Comma 2 2 5 5 4 5" xfId="5508" xr:uid="{86B900EA-147E-42D5-99E5-03A1681CA672}"/>
    <cellStyle name="Comma 2 2 5 5 4 5 2" xfId="42016" xr:uid="{4CC3765E-1C60-453D-93BF-BA295A6FA448}"/>
    <cellStyle name="Comma 2 2 5 5 4 5 3" xfId="23762" xr:uid="{5A82A940-10D3-47FE-B7BD-A41AEDF2AA79}"/>
    <cellStyle name="Comma 2 2 5 5 4 6" xfId="38366" xr:uid="{CC756FF4-BE54-4CA2-BCDB-3ED97B1025FF}"/>
    <cellStyle name="Comma 2 2 5 5 4 7" xfId="20112" xr:uid="{43BAB31D-7096-4915-9F8E-9D34528B0EA6}"/>
    <cellStyle name="Comma 2 2 5 5 5" xfId="1128" xr:uid="{F029170E-C600-4FB8-8A9D-F5E1666956BD}"/>
    <cellStyle name="Comma 2 2 5 5 5 2" xfId="15728" xr:uid="{078417C0-C58E-497D-8331-D0AA53605B84}"/>
    <cellStyle name="Comma 2 2 5 5 5 2 2" xfId="52236" xr:uid="{5CB469AD-872B-4179-83F8-CCD6A0B90282}"/>
    <cellStyle name="Comma 2 2 5 5 5 2 3" xfId="33982" xr:uid="{75F61960-1AAF-43E2-B9E3-EDB250C7D6A7}"/>
    <cellStyle name="Comma 2 2 5 5 5 3" xfId="12078" xr:uid="{67626080-F114-4244-BF24-3580EF66FFBD}"/>
    <cellStyle name="Comma 2 2 5 5 5 3 2" xfId="48586" xr:uid="{10C12800-19F3-4667-91E2-B826B963DFD9}"/>
    <cellStyle name="Comma 2 2 5 5 5 3 3" xfId="30332" xr:uid="{F9F59D87-D020-46E9-9CC6-C03430B983DA}"/>
    <cellStyle name="Comma 2 2 5 5 5 4" xfId="8428" xr:uid="{8FA5091B-226E-44BC-88F0-0689A2EC3D55}"/>
    <cellStyle name="Comma 2 2 5 5 5 4 2" xfId="44936" xr:uid="{649FEAD5-339C-4FF7-858A-81A017B700DF}"/>
    <cellStyle name="Comma 2 2 5 5 5 4 3" xfId="26682" xr:uid="{5AB119B0-E73F-4E83-B1FB-CD7D2B6209D5}"/>
    <cellStyle name="Comma 2 2 5 5 5 5" xfId="4778" xr:uid="{15755F64-735E-45B9-B0B9-CC38FDACFF31}"/>
    <cellStyle name="Comma 2 2 5 5 5 5 2" xfId="41286" xr:uid="{60475241-049B-4458-B86F-874465C8731B}"/>
    <cellStyle name="Comma 2 2 5 5 5 5 3" xfId="23032" xr:uid="{26CF13A4-D161-4743-BA3A-5CDC169037BF}"/>
    <cellStyle name="Comma 2 2 5 5 5 6" xfId="37636" xr:uid="{D892980A-C9F2-4498-8D2A-236D511B4446}"/>
    <cellStyle name="Comma 2 2 5 5 5 7" xfId="19382" xr:uid="{7483C1FA-1907-411A-920A-3737A5B6D514}"/>
    <cellStyle name="Comma 2 2 5 5 6" xfId="14998" xr:uid="{729DB5FD-2A75-4F89-939E-E2CB0A33DB0C}"/>
    <cellStyle name="Comma 2 2 5 5 6 2" xfId="51506" xr:uid="{FD825C34-610F-4103-A34A-8E830AB8B5F6}"/>
    <cellStyle name="Comma 2 2 5 5 6 3" xfId="33252" xr:uid="{25B6EE76-6DC8-4320-BA9A-BFB9A8B28E27}"/>
    <cellStyle name="Comma 2 2 5 5 7" xfId="11348" xr:uid="{09652945-3554-475E-8CA9-D55B3E53BA00}"/>
    <cellStyle name="Comma 2 2 5 5 7 2" xfId="47856" xr:uid="{BB34273E-5D4B-48D3-B4B6-5EA0FD096F9A}"/>
    <cellStyle name="Comma 2 2 5 5 7 3" xfId="29602" xr:uid="{C0F4778F-E89A-4964-ABFE-5F4E1F1E9DC6}"/>
    <cellStyle name="Comma 2 2 5 5 8" xfId="7698" xr:uid="{516023E5-9AA3-417E-B5E8-AAD5DA8A7A3B}"/>
    <cellStyle name="Comma 2 2 5 5 8 2" xfId="44206" xr:uid="{18F4FEE2-DB2B-4331-B1EA-B60BB1C970EB}"/>
    <cellStyle name="Comma 2 2 5 5 8 3" xfId="25952" xr:uid="{53D63C9A-6789-47F6-8BDA-1B412A2BC269}"/>
    <cellStyle name="Comma 2 2 5 5 9" xfId="4048" xr:uid="{65EFC651-CB07-44D9-B078-5A3141E62D2B}"/>
    <cellStyle name="Comma 2 2 5 5 9 2" xfId="40556" xr:uid="{881D7EFF-3654-44C1-8DA4-8BDC43368BD9}"/>
    <cellStyle name="Comma 2 2 5 5 9 3" xfId="22302" xr:uid="{6F045FAE-A9A5-4FDA-8406-C53246A70D63}"/>
    <cellStyle name="Comma 2 2 5 6" xfId="294" xr:uid="{667E2287-6BD6-4314-886D-E6480BD1ABC4}"/>
    <cellStyle name="Comma 2 2 5 6 10" xfId="36802" xr:uid="{178C641D-C9D2-47B9-8B45-35D8E48F9165}"/>
    <cellStyle name="Comma 2 2 5 6 11" xfId="18548" xr:uid="{691DAABB-8C0F-4185-AD50-5AB9CA0216FF}"/>
    <cellStyle name="Comma 2 2 5 6 2" xfId="3214" xr:uid="{C5B59F97-A152-4E41-AA18-943595A0A243}"/>
    <cellStyle name="Comma 2 2 5 6 2 2" xfId="17814" xr:uid="{C4AA34AD-4DFF-4B61-AEBA-4405970D426D}"/>
    <cellStyle name="Comma 2 2 5 6 2 2 2" xfId="54322" xr:uid="{BBCE7DD5-C92F-4F65-947B-3AD42641AC12}"/>
    <cellStyle name="Comma 2 2 5 6 2 2 3" xfId="36068" xr:uid="{AC065383-61D1-4ECF-A11D-C449AEAD7BDA}"/>
    <cellStyle name="Comma 2 2 5 6 2 3" xfId="14164" xr:uid="{21B57DE9-E577-4D78-9A5C-5B87D785C64B}"/>
    <cellStyle name="Comma 2 2 5 6 2 3 2" xfId="50672" xr:uid="{35CCE0A9-4C1E-4F0C-B4FC-D74FDFBF5DC2}"/>
    <cellStyle name="Comma 2 2 5 6 2 3 3" xfId="32418" xr:uid="{DCB68D20-4FA2-46F6-9C59-D34DD7496F38}"/>
    <cellStyle name="Comma 2 2 5 6 2 4" xfId="10514" xr:uid="{6D5003E1-69EA-4CE9-B3B1-AFA021625B5E}"/>
    <cellStyle name="Comma 2 2 5 6 2 4 2" xfId="47022" xr:uid="{98929AFB-FE93-4ED6-B743-96610A08E255}"/>
    <cellStyle name="Comma 2 2 5 6 2 4 3" xfId="28768" xr:uid="{761C06DE-FD2E-47AE-8FA5-0F3194C4C6EB}"/>
    <cellStyle name="Comma 2 2 5 6 2 5" xfId="6864" xr:uid="{32D25069-44E9-480F-A4F0-1075EFFBC264}"/>
    <cellStyle name="Comma 2 2 5 6 2 5 2" xfId="43372" xr:uid="{8A94B72A-FD7F-4252-B6EE-F2B02D1DE112}"/>
    <cellStyle name="Comma 2 2 5 6 2 5 3" xfId="25118" xr:uid="{4FA0E52B-AE8F-4D6B-8ACE-97DD985A5741}"/>
    <cellStyle name="Comma 2 2 5 6 2 6" xfId="39722" xr:uid="{AB1F8549-C735-47AA-AF18-0515305F2ED8}"/>
    <cellStyle name="Comma 2 2 5 6 2 7" xfId="21468" xr:uid="{1E953C20-D6F9-4427-8455-8B10B1CB1C35}"/>
    <cellStyle name="Comma 2 2 5 6 3" xfId="2484" xr:uid="{478C3131-AD99-4C05-96D4-2A7A3B0A7934}"/>
    <cellStyle name="Comma 2 2 5 6 3 2" xfId="17084" xr:uid="{0053E2CA-B90A-445F-ADDA-BD340CC835D2}"/>
    <cellStyle name="Comma 2 2 5 6 3 2 2" xfId="53592" xr:uid="{0ABB122F-6F9E-402D-88F9-4D417C1D2EA7}"/>
    <cellStyle name="Comma 2 2 5 6 3 2 3" xfId="35338" xr:uid="{F6DC6A2E-7895-4BEF-8948-4967BAC7F83C}"/>
    <cellStyle name="Comma 2 2 5 6 3 3" xfId="13434" xr:uid="{52266C64-C5A7-4D86-8031-184839C22453}"/>
    <cellStyle name="Comma 2 2 5 6 3 3 2" xfId="49942" xr:uid="{AE0DFB7C-A826-4F8F-B9C2-95FA9FE6A601}"/>
    <cellStyle name="Comma 2 2 5 6 3 3 3" xfId="31688" xr:uid="{3216AC11-C0A0-4266-989F-44A5772F841D}"/>
    <cellStyle name="Comma 2 2 5 6 3 4" xfId="9784" xr:uid="{96FC6747-169E-4176-AA79-9EB560647E56}"/>
    <cellStyle name="Comma 2 2 5 6 3 4 2" xfId="46292" xr:uid="{E58B8C68-F3E0-4E2F-BEE3-518FBB29A87C}"/>
    <cellStyle name="Comma 2 2 5 6 3 4 3" xfId="28038" xr:uid="{B6DDB0CE-2F69-46F0-87F8-269820CDE15F}"/>
    <cellStyle name="Comma 2 2 5 6 3 5" xfId="6134" xr:uid="{FC4A766E-A3AA-48DC-BE3B-669E11895CCF}"/>
    <cellStyle name="Comma 2 2 5 6 3 5 2" xfId="42642" xr:uid="{0B34DF7C-5509-468C-B73A-F392BEE7FA40}"/>
    <cellStyle name="Comma 2 2 5 6 3 5 3" xfId="24388" xr:uid="{A711D40C-621F-4183-AD87-3CCC62EC3BD5}"/>
    <cellStyle name="Comma 2 2 5 6 3 6" xfId="38992" xr:uid="{D9753849-361D-4F6C-822E-11165BD62886}"/>
    <cellStyle name="Comma 2 2 5 6 3 7" xfId="20738" xr:uid="{BB56F2C9-5222-4ED1-9975-672E54EF2FC8}"/>
    <cellStyle name="Comma 2 2 5 6 4" xfId="1754" xr:uid="{18CDB9CF-2F54-4D0D-80DB-9BC9B6FCAD5A}"/>
    <cellStyle name="Comma 2 2 5 6 4 2" xfId="16354" xr:uid="{D73C9C0C-6FDD-42BF-B69F-0544EF99F81C}"/>
    <cellStyle name="Comma 2 2 5 6 4 2 2" xfId="52862" xr:uid="{DFB388B9-3CBC-431E-8D4C-B93E5BD51C4F}"/>
    <cellStyle name="Comma 2 2 5 6 4 2 3" xfId="34608" xr:uid="{9BCD8ABE-33CD-40EE-9644-B8BF6A3E897B}"/>
    <cellStyle name="Comma 2 2 5 6 4 3" xfId="12704" xr:uid="{7D1FBB05-FE78-457F-AF2F-FE2A6FB3537F}"/>
    <cellStyle name="Comma 2 2 5 6 4 3 2" xfId="49212" xr:uid="{48A669E8-801F-4196-8091-96E09365A9B2}"/>
    <cellStyle name="Comma 2 2 5 6 4 3 3" xfId="30958" xr:uid="{62C6F55D-7494-4CA6-9385-EC94CB3DD4C2}"/>
    <cellStyle name="Comma 2 2 5 6 4 4" xfId="9054" xr:uid="{8F4C780C-6C3B-4516-B1CC-886842CD7DDE}"/>
    <cellStyle name="Comma 2 2 5 6 4 4 2" xfId="45562" xr:uid="{F1AF8BBF-07B2-425B-9B02-E41A73345DE1}"/>
    <cellStyle name="Comma 2 2 5 6 4 4 3" xfId="27308" xr:uid="{475A8560-E7AD-4850-9C96-3288811D1C01}"/>
    <cellStyle name="Comma 2 2 5 6 4 5" xfId="5404" xr:uid="{97DB4573-2CC5-4F2A-842D-31561C58E0B7}"/>
    <cellStyle name="Comma 2 2 5 6 4 5 2" xfId="41912" xr:uid="{6EB325C9-0601-4153-A417-828BF2C6E31E}"/>
    <cellStyle name="Comma 2 2 5 6 4 5 3" xfId="23658" xr:uid="{244376C7-6721-4FF8-B04F-C4A65C70B35A}"/>
    <cellStyle name="Comma 2 2 5 6 4 6" xfId="38262" xr:uid="{64F1B7F4-3F4B-43F3-96C7-4F5B5CEAFFE3}"/>
    <cellStyle name="Comma 2 2 5 6 4 7" xfId="20008" xr:uid="{0B606DE5-6727-4CF2-8C62-E4129B39D9BF}"/>
    <cellStyle name="Comma 2 2 5 6 5" xfId="1024" xr:uid="{AB2F6E52-5374-497D-88E1-AB07DFC31845}"/>
    <cellStyle name="Comma 2 2 5 6 5 2" xfId="15624" xr:uid="{C9E38F1F-AD11-4704-81A1-FC2E35136F71}"/>
    <cellStyle name="Comma 2 2 5 6 5 2 2" xfId="52132" xr:uid="{AB4B387D-CB73-4238-A9BA-3AAD34AB6EF0}"/>
    <cellStyle name="Comma 2 2 5 6 5 2 3" xfId="33878" xr:uid="{998A0D96-8937-4259-99D8-77FC2CCED1BA}"/>
    <cellStyle name="Comma 2 2 5 6 5 3" xfId="11974" xr:uid="{61A0EFAD-2045-4B7B-A8B1-34B03F1A2422}"/>
    <cellStyle name="Comma 2 2 5 6 5 3 2" xfId="48482" xr:uid="{48ED8064-CFFA-4E6A-8071-9C3259A70D79}"/>
    <cellStyle name="Comma 2 2 5 6 5 3 3" xfId="30228" xr:uid="{0F754679-E857-4916-9644-D90EB5D348C6}"/>
    <cellStyle name="Comma 2 2 5 6 5 4" xfId="8324" xr:uid="{E0AE6ECC-1233-4AE1-A347-C03CC4385BE8}"/>
    <cellStyle name="Comma 2 2 5 6 5 4 2" xfId="44832" xr:uid="{C6B750E0-0EA6-4AAF-9E9F-86C5991EEA39}"/>
    <cellStyle name="Comma 2 2 5 6 5 4 3" xfId="26578" xr:uid="{8CAD7F72-2782-438E-877C-AF6B15A9198E}"/>
    <cellStyle name="Comma 2 2 5 6 5 5" xfId="4674" xr:uid="{48A10DB4-15B8-4A14-B29C-F2E14532F69A}"/>
    <cellStyle name="Comma 2 2 5 6 5 5 2" xfId="41182" xr:uid="{FA4E47F5-0B65-4957-B142-799949AF1E40}"/>
    <cellStyle name="Comma 2 2 5 6 5 5 3" xfId="22928" xr:uid="{DC9668FE-630E-442A-B63A-8B759CD803C4}"/>
    <cellStyle name="Comma 2 2 5 6 5 6" xfId="37532" xr:uid="{7CA3DFD5-963B-4982-9BBF-D24AE3417273}"/>
    <cellStyle name="Comma 2 2 5 6 5 7" xfId="19278" xr:uid="{9A60FB32-13B9-4AA7-8466-EF5A0BE0EC19}"/>
    <cellStyle name="Comma 2 2 5 6 6" xfId="14894" xr:uid="{A3C61AF0-1CFB-4DD7-8C13-2EF9DA7EEBA1}"/>
    <cellStyle name="Comma 2 2 5 6 6 2" xfId="51402" xr:uid="{D3BCD054-1165-434A-933C-616F5367E597}"/>
    <cellStyle name="Comma 2 2 5 6 6 3" xfId="33148" xr:uid="{C8919DD5-FB15-4A02-8B19-AB478BD544A2}"/>
    <cellStyle name="Comma 2 2 5 6 7" xfId="11244" xr:uid="{21D63DA8-1AF1-4ECD-ABF9-0E7E08D73251}"/>
    <cellStyle name="Comma 2 2 5 6 7 2" xfId="47752" xr:uid="{5086B8F4-F2CB-48CD-9020-27C6D7EFEE5F}"/>
    <cellStyle name="Comma 2 2 5 6 7 3" xfId="29498" xr:uid="{EA69DC53-85F1-4EB0-9FC2-19FB71B281B5}"/>
    <cellStyle name="Comma 2 2 5 6 8" xfId="7594" xr:uid="{D8936BC6-5B90-4E2F-BF63-CCF6FB425146}"/>
    <cellStyle name="Comma 2 2 5 6 8 2" xfId="44102" xr:uid="{AE19B3C5-BFA5-4904-A43B-E295AF00E213}"/>
    <cellStyle name="Comma 2 2 5 6 8 3" xfId="25848" xr:uid="{46AE5667-3E44-4F05-962A-6E6AE6DC04D3}"/>
    <cellStyle name="Comma 2 2 5 6 9" xfId="3944" xr:uid="{3AE935CE-027D-4A97-8253-C42CA563C81C}"/>
    <cellStyle name="Comma 2 2 5 6 9 2" xfId="40452" xr:uid="{462FC66D-1EEB-4970-8D03-D01E88D6CCB1}"/>
    <cellStyle name="Comma 2 2 5 6 9 3" xfId="22198" xr:uid="{CD8377E3-46CB-4D58-920D-88E7FFD53B2F}"/>
    <cellStyle name="Comma 2 2 5 7" xfId="190" xr:uid="{BABFEBD8-5160-470C-8536-61A42E3BFDCD}"/>
    <cellStyle name="Comma 2 2 5 7 10" xfId="36698" xr:uid="{CEFFF424-9274-46E8-BFEF-051E6329DE2C}"/>
    <cellStyle name="Comma 2 2 5 7 11" xfId="18444" xr:uid="{48CD49E7-EEA6-46AE-AD7F-E9CBB8BA84D4}"/>
    <cellStyle name="Comma 2 2 5 7 2" xfId="3110" xr:uid="{135C8EAE-FEBF-4148-A3C0-681F9A10164A}"/>
    <cellStyle name="Comma 2 2 5 7 2 2" xfId="17710" xr:uid="{86106B7F-C215-4B89-8A0E-34400B82A6FE}"/>
    <cellStyle name="Comma 2 2 5 7 2 2 2" xfId="54218" xr:uid="{50858FCB-AB5B-4F91-B876-F19497969438}"/>
    <cellStyle name="Comma 2 2 5 7 2 2 3" xfId="35964" xr:uid="{BC210372-7305-4A68-AE5B-5ED94E4C407E}"/>
    <cellStyle name="Comma 2 2 5 7 2 3" xfId="14060" xr:uid="{F7B2F39D-7D09-43BA-90B1-F7C8899E33EB}"/>
    <cellStyle name="Comma 2 2 5 7 2 3 2" xfId="50568" xr:uid="{D16E9048-9FC1-4996-96D4-89B01C19DB38}"/>
    <cellStyle name="Comma 2 2 5 7 2 3 3" xfId="32314" xr:uid="{E78A9467-4B66-4843-8BD5-A50EE9269785}"/>
    <cellStyle name="Comma 2 2 5 7 2 4" xfId="10410" xr:uid="{63DFDD21-BB88-4B12-8FF1-08AA586B26CB}"/>
    <cellStyle name="Comma 2 2 5 7 2 4 2" xfId="46918" xr:uid="{9CD7FD6A-C92D-4B2E-8010-461765E6E2B3}"/>
    <cellStyle name="Comma 2 2 5 7 2 4 3" xfId="28664" xr:uid="{4DEF00B7-5646-4CC4-B596-F5B00C4455B9}"/>
    <cellStyle name="Comma 2 2 5 7 2 5" xfId="6760" xr:uid="{2D073E7F-884C-4E16-B05E-3E3C5573970F}"/>
    <cellStyle name="Comma 2 2 5 7 2 5 2" xfId="43268" xr:uid="{7A3660E0-146E-457A-8621-3282DCB599B8}"/>
    <cellStyle name="Comma 2 2 5 7 2 5 3" xfId="25014" xr:uid="{894196DD-E947-4E51-B193-FF3AF953A2F6}"/>
    <cellStyle name="Comma 2 2 5 7 2 6" xfId="39618" xr:uid="{13626B2A-6A98-44A0-BE45-218354B88773}"/>
    <cellStyle name="Comma 2 2 5 7 2 7" xfId="21364" xr:uid="{E9A7EDF8-866B-47F5-9B43-ABA6A20469A1}"/>
    <cellStyle name="Comma 2 2 5 7 3" xfId="2380" xr:uid="{DF0305DD-2734-46C5-BD1A-DCAAD43C53C8}"/>
    <cellStyle name="Comma 2 2 5 7 3 2" xfId="16980" xr:uid="{65176C96-4E50-40BA-8D85-D4374E093013}"/>
    <cellStyle name="Comma 2 2 5 7 3 2 2" xfId="53488" xr:uid="{14B3AFCF-9CC9-4D58-B510-3E012E422ABB}"/>
    <cellStyle name="Comma 2 2 5 7 3 2 3" xfId="35234" xr:uid="{B8658D02-F736-4ED5-9433-B34D7D5CAE1A}"/>
    <cellStyle name="Comma 2 2 5 7 3 3" xfId="13330" xr:uid="{09D314F1-0273-43DB-8AB7-C8B03A962BF2}"/>
    <cellStyle name="Comma 2 2 5 7 3 3 2" xfId="49838" xr:uid="{E81CDFA6-A3D7-4FF7-B3BC-20836955CA49}"/>
    <cellStyle name="Comma 2 2 5 7 3 3 3" xfId="31584" xr:uid="{72450F21-FBFF-4348-B778-19C3D890B46B}"/>
    <cellStyle name="Comma 2 2 5 7 3 4" xfId="9680" xr:uid="{E51B2037-6E96-4252-8B65-5236E37B998C}"/>
    <cellStyle name="Comma 2 2 5 7 3 4 2" xfId="46188" xr:uid="{55B0EB0B-C34C-46FC-93DF-E9126E4B1E00}"/>
    <cellStyle name="Comma 2 2 5 7 3 4 3" xfId="27934" xr:uid="{E4B0135E-D58C-4680-8BE7-02D86ACB5A84}"/>
    <cellStyle name="Comma 2 2 5 7 3 5" xfId="6030" xr:uid="{DA2B970E-416A-4830-8657-DB4C53B3ABBA}"/>
    <cellStyle name="Comma 2 2 5 7 3 5 2" xfId="42538" xr:uid="{93ABBB20-A35B-4A14-A95E-3F0557653340}"/>
    <cellStyle name="Comma 2 2 5 7 3 5 3" xfId="24284" xr:uid="{643D9A5A-4935-4B12-93FA-D7233D1221D1}"/>
    <cellStyle name="Comma 2 2 5 7 3 6" xfId="38888" xr:uid="{66711422-DF54-4971-83BC-06DB22EC1577}"/>
    <cellStyle name="Comma 2 2 5 7 3 7" xfId="20634" xr:uid="{4676FF37-3B82-4C32-90CE-BB6BC16D8026}"/>
    <cellStyle name="Comma 2 2 5 7 4" xfId="1650" xr:uid="{7B572E87-5D16-453B-993E-E2F278E311A3}"/>
    <cellStyle name="Comma 2 2 5 7 4 2" xfId="16250" xr:uid="{BBCA983E-6172-4ED8-8DF3-FA0C95A7A257}"/>
    <cellStyle name="Comma 2 2 5 7 4 2 2" xfId="52758" xr:uid="{D893A21A-EDBE-42E8-9D99-54BF853307FD}"/>
    <cellStyle name="Comma 2 2 5 7 4 2 3" xfId="34504" xr:uid="{B8BFA62D-C5F3-4A83-B67C-956560F5047F}"/>
    <cellStyle name="Comma 2 2 5 7 4 3" xfId="12600" xr:uid="{8E28C579-7462-4F75-BD16-B3890499067F}"/>
    <cellStyle name="Comma 2 2 5 7 4 3 2" xfId="49108" xr:uid="{F64A6967-F8A1-46D2-ACEA-FA64896E0CDC}"/>
    <cellStyle name="Comma 2 2 5 7 4 3 3" xfId="30854" xr:uid="{ED2060DD-35AB-4B7E-B3ED-6347B7A504F0}"/>
    <cellStyle name="Comma 2 2 5 7 4 4" xfId="8950" xr:uid="{5CA3E15E-19C7-4179-B6C7-8739AD1255A3}"/>
    <cellStyle name="Comma 2 2 5 7 4 4 2" xfId="45458" xr:uid="{7B22BB80-2F9D-45A7-BD86-322704F4F1BF}"/>
    <cellStyle name="Comma 2 2 5 7 4 4 3" xfId="27204" xr:uid="{EEFC1179-7A31-4F6D-BC32-A9FC57A74F5D}"/>
    <cellStyle name="Comma 2 2 5 7 4 5" xfId="5300" xr:uid="{BE128C90-2656-4ECF-AC8B-050B5F25920D}"/>
    <cellStyle name="Comma 2 2 5 7 4 5 2" xfId="41808" xr:uid="{D764BA8C-6B64-4E63-BD69-4BF3F846DF93}"/>
    <cellStyle name="Comma 2 2 5 7 4 5 3" xfId="23554" xr:uid="{83A4BA71-2228-4170-8639-F01B4AAC38BA}"/>
    <cellStyle name="Comma 2 2 5 7 4 6" xfId="38158" xr:uid="{6CF9AB2F-BE33-4BD6-9E41-3B31E0D8A0E5}"/>
    <cellStyle name="Comma 2 2 5 7 4 7" xfId="19904" xr:uid="{58C05FF4-A6B6-4C92-9E6B-54BBF6BB3DB1}"/>
    <cellStyle name="Comma 2 2 5 7 5" xfId="920" xr:uid="{81875DCF-21B3-4A62-90E7-491E055F4E7E}"/>
    <cellStyle name="Comma 2 2 5 7 5 2" xfId="15520" xr:uid="{DAA712B0-685A-4CEB-804E-3AEA70622CA5}"/>
    <cellStyle name="Comma 2 2 5 7 5 2 2" xfId="52028" xr:uid="{AE744A35-C17E-4FB2-B0A0-E5430F48D614}"/>
    <cellStyle name="Comma 2 2 5 7 5 2 3" xfId="33774" xr:uid="{783AF080-1DFE-4C81-BAAE-F60BCB8063FC}"/>
    <cellStyle name="Comma 2 2 5 7 5 3" xfId="11870" xr:uid="{726E58C9-B89E-4C6E-9F0A-9AA5980F10F5}"/>
    <cellStyle name="Comma 2 2 5 7 5 3 2" xfId="48378" xr:uid="{12D3CE87-3336-44DB-B927-F0EBE95D303D}"/>
    <cellStyle name="Comma 2 2 5 7 5 3 3" xfId="30124" xr:uid="{C97A1095-0AA4-43D5-B145-3BAC73B0505A}"/>
    <cellStyle name="Comma 2 2 5 7 5 4" xfId="8220" xr:uid="{20A6A2E8-7809-4966-935D-FE91B631205E}"/>
    <cellStyle name="Comma 2 2 5 7 5 4 2" xfId="44728" xr:uid="{D7DEF1D1-78A9-4FB2-822D-0FAA09FD730D}"/>
    <cellStyle name="Comma 2 2 5 7 5 4 3" xfId="26474" xr:uid="{449419BF-83BB-4010-98F5-9C4E397944BA}"/>
    <cellStyle name="Comma 2 2 5 7 5 5" xfId="4570" xr:uid="{739BD4CA-11C1-42CC-8F8E-C7144BE46116}"/>
    <cellStyle name="Comma 2 2 5 7 5 5 2" xfId="41078" xr:uid="{40DD2672-E51B-4843-BD52-EB41BE0FFD66}"/>
    <cellStyle name="Comma 2 2 5 7 5 5 3" xfId="22824" xr:uid="{F8204ADB-8A11-42C5-A140-C26B5C26A0AF}"/>
    <cellStyle name="Comma 2 2 5 7 5 6" xfId="37428" xr:uid="{CAB89CBD-14AA-413E-8B73-61274326059B}"/>
    <cellStyle name="Comma 2 2 5 7 5 7" xfId="19174" xr:uid="{018EECFF-5096-469D-981F-3360DB9E69FE}"/>
    <cellStyle name="Comma 2 2 5 7 6" xfId="14790" xr:uid="{EA5DCFD5-E4FC-47C0-9EEE-46CC63D493B1}"/>
    <cellStyle name="Comma 2 2 5 7 6 2" xfId="51298" xr:uid="{6AC19473-3796-4E9B-9909-5C82C60AD7B5}"/>
    <cellStyle name="Comma 2 2 5 7 6 3" xfId="33044" xr:uid="{F237D898-DDE2-4799-AC3F-F75FEC38105C}"/>
    <cellStyle name="Comma 2 2 5 7 7" xfId="11140" xr:uid="{DFE55C2A-612C-4025-BE25-8DE81391AC22}"/>
    <cellStyle name="Comma 2 2 5 7 7 2" xfId="47648" xr:uid="{D7672682-3E99-40F5-A48D-10807895ED4E}"/>
    <cellStyle name="Comma 2 2 5 7 7 3" xfId="29394" xr:uid="{AA2827EF-1062-4950-8D41-957DFB3A4F41}"/>
    <cellStyle name="Comma 2 2 5 7 8" xfId="7490" xr:uid="{466301AA-B016-42F5-B03A-5819570EC341}"/>
    <cellStyle name="Comma 2 2 5 7 8 2" xfId="43998" xr:uid="{66615D24-E8A4-4F72-9B23-D5ABC6DE2836}"/>
    <cellStyle name="Comma 2 2 5 7 8 3" xfId="25744" xr:uid="{D50AAE6A-4823-4C15-9879-8312075F55E6}"/>
    <cellStyle name="Comma 2 2 5 7 9" xfId="3840" xr:uid="{D9C22B70-157B-4A59-A225-1E0F0BAE7539}"/>
    <cellStyle name="Comma 2 2 5 7 9 2" xfId="40348" xr:uid="{684B184B-7BA8-410B-98B8-FA89F6262CB8}"/>
    <cellStyle name="Comma 2 2 5 7 9 3" xfId="22094" xr:uid="{287807D8-06A5-4491-8283-B268E5A23393}"/>
    <cellStyle name="Comma 2 2 5 8" xfId="3006" xr:uid="{958EB9DE-D56C-4CD8-86E3-C6F30E43C0D3}"/>
    <cellStyle name="Comma 2 2 5 8 2" xfId="17606" xr:uid="{B0BAC78D-2FB9-47AC-A052-E0810163A5FD}"/>
    <cellStyle name="Comma 2 2 5 8 2 2" xfId="54114" xr:uid="{BA029F35-DD3E-4294-A46F-E19329C8DCB3}"/>
    <cellStyle name="Comma 2 2 5 8 2 3" xfId="35860" xr:uid="{1852C09C-EE35-4871-B50F-86A93F11C435}"/>
    <cellStyle name="Comma 2 2 5 8 3" xfId="13956" xr:uid="{17351489-8C8F-446D-953D-0951D5012B2B}"/>
    <cellStyle name="Comma 2 2 5 8 3 2" xfId="50464" xr:uid="{3154B59F-D7A7-4CAD-B365-0E78736D9197}"/>
    <cellStyle name="Comma 2 2 5 8 3 3" xfId="32210" xr:uid="{5D8D998E-9BCC-49FB-995C-433590AA8F23}"/>
    <cellStyle name="Comma 2 2 5 8 4" xfId="10306" xr:uid="{E5172403-BE28-47B8-83B5-A560BDE0DAC4}"/>
    <cellStyle name="Comma 2 2 5 8 4 2" xfId="46814" xr:uid="{0BF4029D-8AF6-4EDB-8A54-CD773C700AD9}"/>
    <cellStyle name="Comma 2 2 5 8 4 3" xfId="28560" xr:uid="{A065C6AA-C176-4DCD-AC33-882CA090066B}"/>
    <cellStyle name="Comma 2 2 5 8 5" xfId="6656" xr:uid="{22DFDA84-051C-4364-99B6-0A720766D455}"/>
    <cellStyle name="Comma 2 2 5 8 5 2" xfId="43164" xr:uid="{36708D69-7203-45BF-BB95-8C469B888387}"/>
    <cellStyle name="Comma 2 2 5 8 5 3" xfId="24910" xr:uid="{877E8BB6-E7D6-4618-956D-0D97B19A6330}"/>
    <cellStyle name="Comma 2 2 5 8 6" xfId="39514" xr:uid="{B0B70707-6906-4312-9BD9-DF6FE416C832}"/>
    <cellStyle name="Comma 2 2 5 8 7" xfId="21260" xr:uid="{9B55C807-0B95-4950-83B8-DBC01617F3E1}"/>
    <cellStyle name="Comma 2 2 5 9" xfId="2276" xr:uid="{C1F0F2E6-3717-47E5-ABDE-8777520DAF29}"/>
    <cellStyle name="Comma 2 2 5 9 2" xfId="16876" xr:uid="{34EA2C13-D23D-40DD-9294-65EFDD3049C5}"/>
    <cellStyle name="Comma 2 2 5 9 2 2" xfId="53384" xr:uid="{E756242B-DAC6-43EB-B37B-0210890C7E75}"/>
    <cellStyle name="Comma 2 2 5 9 2 3" xfId="35130" xr:uid="{FBFC7CFC-DE39-4F22-96AB-BB37547D1743}"/>
    <cellStyle name="Comma 2 2 5 9 3" xfId="13226" xr:uid="{CA7A8640-DB51-43F7-B709-8D2D29E05B4F}"/>
    <cellStyle name="Comma 2 2 5 9 3 2" xfId="49734" xr:uid="{11F6CB2E-1DD6-485A-B434-C6DAC713F95F}"/>
    <cellStyle name="Comma 2 2 5 9 3 3" xfId="31480" xr:uid="{B2C6F304-4B4D-4FA3-B8FF-6CF2EE8A4AC3}"/>
    <cellStyle name="Comma 2 2 5 9 4" xfId="9576" xr:uid="{3D31EFED-868D-4F10-8599-CB13FCEF622D}"/>
    <cellStyle name="Comma 2 2 5 9 4 2" xfId="46084" xr:uid="{FEF1361A-A077-44B3-A96B-1C5AA8344517}"/>
    <cellStyle name="Comma 2 2 5 9 4 3" xfId="27830" xr:uid="{B9A37FBF-7726-4E26-8D6A-7D0BAB10386E}"/>
    <cellStyle name="Comma 2 2 5 9 5" xfId="5926" xr:uid="{AF29B425-48C1-45A1-B981-3E5212A5A43C}"/>
    <cellStyle name="Comma 2 2 5 9 5 2" xfId="42434" xr:uid="{5FE61499-8A94-468D-B379-7ABF10CDDA36}"/>
    <cellStyle name="Comma 2 2 5 9 5 3" xfId="24180" xr:uid="{6540128C-B8C4-4601-803B-C5AEF8A39EF4}"/>
    <cellStyle name="Comma 2 2 5 9 6" xfId="38784" xr:uid="{AD548834-3C8E-4365-AC57-7DE8314B97FE}"/>
    <cellStyle name="Comma 2 2 5 9 7" xfId="20530" xr:uid="{5BEAEC1A-A567-48CD-8FDC-12ADEB5A977C}"/>
    <cellStyle name="Comma 2 2 6" xfId="48" xr:uid="{00D69A3D-4CBE-45FA-80FC-3D6392BDEB7A}"/>
    <cellStyle name="Comma 2 2 6 10" xfId="1514" xr:uid="{90D70FEB-C5B5-4ABD-8C9A-A68372BAC847}"/>
    <cellStyle name="Comma 2 2 6 10 2" xfId="16114" xr:uid="{C59AC023-B997-41FC-B79D-A782A5D2476C}"/>
    <cellStyle name="Comma 2 2 6 10 2 2" xfId="52622" xr:uid="{77E271D7-F759-41B2-A252-4012461A7494}"/>
    <cellStyle name="Comma 2 2 6 10 2 3" xfId="34368" xr:uid="{9BB21EE4-8333-41F0-BB61-E5B15E0A655A}"/>
    <cellStyle name="Comma 2 2 6 10 3" xfId="12464" xr:uid="{1E3E0843-9D6A-4E50-B6CA-A9857B84806A}"/>
    <cellStyle name="Comma 2 2 6 10 3 2" xfId="48972" xr:uid="{93C76C10-870F-4A84-A6E8-227DF542C786}"/>
    <cellStyle name="Comma 2 2 6 10 3 3" xfId="30718" xr:uid="{70A7B6B5-EC57-480A-8AFF-76CCA7E96EAD}"/>
    <cellStyle name="Comma 2 2 6 10 4" xfId="8814" xr:uid="{568F28D4-2525-4349-8A16-83FF439A2AED}"/>
    <cellStyle name="Comma 2 2 6 10 4 2" xfId="45322" xr:uid="{1EC4EF21-1C23-4F4D-B94F-B79FBE825420}"/>
    <cellStyle name="Comma 2 2 6 10 4 3" xfId="27068" xr:uid="{63898D1B-C4D4-4955-A646-4125B0C5DCCA}"/>
    <cellStyle name="Comma 2 2 6 10 5" xfId="5164" xr:uid="{2C65EFF2-BC80-4C45-BBF7-EBE02887C666}"/>
    <cellStyle name="Comma 2 2 6 10 5 2" xfId="41672" xr:uid="{4F677042-4619-4E41-AA23-E42456AFCB85}"/>
    <cellStyle name="Comma 2 2 6 10 5 3" xfId="23418" xr:uid="{6A263E97-4C8B-4116-985D-F7E6414B167A}"/>
    <cellStyle name="Comma 2 2 6 10 6" xfId="38022" xr:uid="{61F044A7-A55B-407B-AF7A-871AC850B3BC}"/>
    <cellStyle name="Comma 2 2 6 10 7" xfId="19768" xr:uid="{511952B7-D7BA-4BB3-8F30-1AADB57A5C84}"/>
    <cellStyle name="Comma 2 2 6 11" xfId="784" xr:uid="{70FD7F65-85FE-4C13-AAEC-034EE433A1A4}"/>
    <cellStyle name="Comma 2 2 6 11 2" xfId="15384" xr:uid="{27E226BD-6785-477E-9F78-5842C78224EE}"/>
    <cellStyle name="Comma 2 2 6 11 2 2" xfId="51892" xr:uid="{462DA25A-49F9-4FA6-BB9A-43716160959E}"/>
    <cellStyle name="Comma 2 2 6 11 2 3" xfId="33638" xr:uid="{4E8A67CC-71D6-4D6A-ADB0-9CAF835ADF0C}"/>
    <cellStyle name="Comma 2 2 6 11 3" xfId="11734" xr:uid="{20489451-BD45-49AA-81A0-A0ECD1048848}"/>
    <cellStyle name="Comma 2 2 6 11 3 2" xfId="48242" xr:uid="{427BF15A-C92E-41D2-9ACC-4C10421C3329}"/>
    <cellStyle name="Comma 2 2 6 11 3 3" xfId="29988" xr:uid="{6618684D-FCB6-468A-91A8-979962397F15}"/>
    <cellStyle name="Comma 2 2 6 11 4" xfId="8084" xr:uid="{7F42AE03-0F83-45C1-8333-CB3BA7E42173}"/>
    <cellStyle name="Comma 2 2 6 11 4 2" xfId="44592" xr:uid="{5977F4FD-D0C7-42E4-A450-A6B676E2C8DD}"/>
    <cellStyle name="Comma 2 2 6 11 4 3" xfId="26338" xr:uid="{9A433EDE-EE4F-4C0C-A0E8-438B434ABDEC}"/>
    <cellStyle name="Comma 2 2 6 11 5" xfId="4434" xr:uid="{FAC95A9A-4576-44FB-A498-A991EEBA99EF}"/>
    <cellStyle name="Comma 2 2 6 11 5 2" xfId="40942" xr:uid="{437989A8-CC1D-4225-B600-C884E7347054}"/>
    <cellStyle name="Comma 2 2 6 11 5 3" xfId="22688" xr:uid="{CDA9E3F9-4C82-4540-9ADA-EAA092C4BA1E}"/>
    <cellStyle name="Comma 2 2 6 11 6" xfId="37292" xr:uid="{6BEE6EB6-DE9D-4E17-B2E9-3915C64A64A1}"/>
    <cellStyle name="Comma 2 2 6 11 7" xfId="19038" xr:uid="{6A5774F0-8D77-4A68-B1C0-33CB6409D31E}"/>
    <cellStyle name="Comma 2 2 6 12" xfId="14654" xr:uid="{4038E168-63C3-48B9-834D-F043911C6A04}"/>
    <cellStyle name="Comma 2 2 6 12 2" xfId="51162" xr:uid="{6586540C-497E-4341-927E-BCC248F475C0}"/>
    <cellStyle name="Comma 2 2 6 12 3" xfId="32908" xr:uid="{C90C74A9-679F-4D77-B1CC-388A58BDB715}"/>
    <cellStyle name="Comma 2 2 6 13" xfId="11004" xr:uid="{01F20BDE-AB68-47EB-8501-9853D0D12DC6}"/>
    <cellStyle name="Comma 2 2 6 13 2" xfId="47512" xr:uid="{85736CA4-176F-4E32-B4B2-0638A410EA4B}"/>
    <cellStyle name="Comma 2 2 6 13 3" xfId="29258" xr:uid="{8CAC4182-D676-4A9F-87EB-C775501C29B6}"/>
    <cellStyle name="Comma 2 2 6 14" xfId="7354" xr:uid="{3C9DDE36-F65C-4660-8F61-7A75E43488FF}"/>
    <cellStyle name="Comma 2 2 6 14 2" xfId="43862" xr:uid="{91BA62F5-57C5-4BFB-98F1-B24F131FD2FD}"/>
    <cellStyle name="Comma 2 2 6 14 3" xfId="25608" xr:uid="{A596868B-33D8-40F6-81CF-585473DD4A47}"/>
    <cellStyle name="Comma 2 2 6 15" xfId="3704" xr:uid="{AD9779A3-932A-4C38-8601-74FEC4120CA8}"/>
    <cellStyle name="Comma 2 2 6 15 2" xfId="40212" xr:uid="{6916FA81-F5DD-44D2-8345-58318735BB41}"/>
    <cellStyle name="Comma 2 2 6 15 3" xfId="21958" xr:uid="{788C9C57-6D56-476D-96FD-09A8631015C8}"/>
    <cellStyle name="Comma 2 2 6 16" xfId="36562" xr:uid="{94F1DD03-2536-4724-9127-91A6ACB447EB}"/>
    <cellStyle name="Comma 2 2 6 17" xfId="18308" xr:uid="{AB87BEBF-18C6-4C90-814D-00632A9EF685}"/>
    <cellStyle name="Comma 2 2 6 2" xfId="678" xr:uid="{447C1025-3792-4836-970A-0C6215B58BD1}"/>
    <cellStyle name="Comma 2 2 6 2 10" xfId="37186" xr:uid="{D5493E63-2259-498B-86F6-97D5530909AD}"/>
    <cellStyle name="Comma 2 2 6 2 11" xfId="18932" xr:uid="{27337F87-EFD6-4BD4-B2AC-B7E4122B757D}"/>
    <cellStyle name="Comma 2 2 6 2 2" xfId="3598" xr:uid="{AD2B8596-F661-4606-8D3E-9829D7F2E17E}"/>
    <cellStyle name="Comma 2 2 6 2 2 2" xfId="18198" xr:uid="{62DDB20C-8F79-4AC5-B660-E234B0837EDA}"/>
    <cellStyle name="Comma 2 2 6 2 2 2 2" xfId="54706" xr:uid="{DD9F47D8-4437-4BE0-8EAA-F7B3B49A3BB0}"/>
    <cellStyle name="Comma 2 2 6 2 2 2 3" xfId="36452" xr:uid="{0A059A0F-F37B-4235-B742-B82BA07BDD1C}"/>
    <cellStyle name="Comma 2 2 6 2 2 3" xfId="14548" xr:uid="{B62D4BF0-4313-47DC-BF98-014DE582CB38}"/>
    <cellStyle name="Comma 2 2 6 2 2 3 2" xfId="51056" xr:uid="{DB451482-9743-41C8-A06D-3B9D5A4A0425}"/>
    <cellStyle name="Comma 2 2 6 2 2 3 3" xfId="32802" xr:uid="{A4A5B159-D1F2-4E25-86A4-FA5AB970221E}"/>
    <cellStyle name="Comma 2 2 6 2 2 4" xfId="10898" xr:uid="{77A5DCA0-CD2C-4E7E-B42C-51E1989AFA7F}"/>
    <cellStyle name="Comma 2 2 6 2 2 4 2" xfId="47406" xr:uid="{127040D9-5CFD-4A96-8EA5-28CEE87B96DF}"/>
    <cellStyle name="Comma 2 2 6 2 2 4 3" xfId="29152" xr:uid="{BF458815-5848-41A8-BE60-55F2400CEAA2}"/>
    <cellStyle name="Comma 2 2 6 2 2 5" xfId="7248" xr:uid="{F95A5722-850A-4F77-9714-F21F5A03AD5D}"/>
    <cellStyle name="Comma 2 2 6 2 2 5 2" xfId="43756" xr:uid="{08D66363-079D-49AD-9B2E-6CA5D7B709DB}"/>
    <cellStyle name="Comma 2 2 6 2 2 5 3" xfId="25502" xr:uid="{213A248D-289B-40C0-8E25-104B10BC5772}"/>
    <cellStyle name="Comma 2 2 6 2 2 6" xfId="40106" xr:uid="{6AB11CE6-97EF-4615-B4C7-AEEED6DA7D61}"/>
    <cellStyle name="Comma 2 2 6 2 2 7" xfId="21852" xr:uid="{784ACF0C-B9D7-4EAF-814C-D497DC9C6064}"/>
    <cellStyle name="Comma 2 2 6 2 3" xfId="2868" xr:uid="{1F158DDC-547E-4BCF-A179-0C0184D79D35}"/>
    <cellStyle name="Comma 2 2 6 2 3 2" xfId="17468" xr:uid="{7E30DC13-31F4-4E5B-B3E6-7C07E34ACF36}"/>
    <cellStyle name="Comma 2 2 6 2 3 2 2" xfId="53976" xr:uid="{78CEDFE5-EE9C-49C5-B2A8-E38466127A67}"/>
    <cellStyle name="Comma 2 2 6 2 3 2 3" xfId="35722" xr:uid="{E311C2A1-F3D0-44FA-84A4-24409E772833}"/>
    <cellStyle name="Comma 2 2 6 2 3 3" xfId="13818" xr:uid="{AB37E1F5-1B6A-4219-9517-AF66E270F08B}"/>
    <cellStyle name="Comma 2 2 6 2 3 3 2" xfId="50326" xr:uid="{A72882FD-582C-4B6C-ABA6-2F42F35DECBC}"/>
    <cellStyle name="Comma 2 2 6 2 3 3 3" xfId="32072" xr:uid="{5A9D8B9F-EC2D-486F-9369-5423D0678212}"/>
    <cellStyle name="Comma 2 2 6 2 3 4" xfId="10168" xr:uid="{C80EB4EA-110D-407D-9BBC-AB0B9A74508E}"/>
    <cellStyle name="Comma 2 2 6 2 3 4 2" xfId="46676" xr:uid="{6FA495F3-8C94-4F9F-9B58-3745925453A6}"/>
    <cellStyle name="Comma 2 2 6 2 3 4 3" xfId="28422" xr:uid="{7DCE9E0A-44D0-4FF6-9079-749DE48791DA}"/>
    <cellStyle name="Comma 2 2 6 2 3 5" xfId="6518" xr:uid="{9F3AA47B-3C89-4B90-932A-49F819A4CBEA}"/>
    <cellStyle name="Comma 2 2 6 2 3 5 2" xfId="43026" xr:uid="{16E14678-383F-4403-A9C9-BDE122BBCAEF}"/>
    <cellStyle name="Comma 2 2 6 2 3 5 3" xfId="24772" xr:uid="{AFE28985-8E4C-4A94-A4CA-D54E69E1DBB9}"/>
    <cellStyle name="Comma 2 2 6 2 3 6" xfId="39376" xr:uid="{193CE72A-C70A-410F-8853-E33BFC888B8B}"/>
    <cellStyle name="Comma 2 2 6 2 3 7" xfId="21122" xr:uid="{3AE79F24-0FCA-4A83-AE71-173CAB8669E8}"/>
    <cellStyle name="Comma 2 2 6 2 4" xfId="2138" xr:uid="{55847AB0-7CB8-41CD-AE6B-72C980F6F912}"/>
    <cellStyle name="Comma 2 2 6 2 4 2" xfId="16738" xr:uid="{6BFA5325-B606-45D6-9AE0-88CAE71C5F90}"/>
    <cellStyle name="Comma 2 2 6 2 4 2 2" xfId="53246" xr:uid="{52CCC640-3ED5-400B-B596-70FF1DE5A6A9}"/>
    <cellStyle name="Comma 2 2 6 2 4 2 3" xfId="34992" xr:uid="{15D66B1C-0B46-4075-9D02-448A5862F64F}"/>
    <cellStyle name="Comma 2 2 6 2 4 3" xfId="13088" xr:uid="{79F2ACF7-95A4-4532-8D84-B0B7C12BFFF3}"/>
    <cellStyle name="Comma 2 2 6 2 4 3 2" xfId="49596" xr:uid="{1C5C2B59-5B5E-4C46-BA04-8BEAAD13B742}"/>
    <cellStyle name="Comma 2 2 6 2 4 3 3" xfId="31342" xr:uid="{26455D15-C308-4B34-B5B2-26BC166572B1}"/>
    <cellStyle name="Comma 2 2 6 2 4 4" xfId="9438" xr:uid="{C0F4F105-E3C1-44FD-AA1E-C28A3D3D2B45}"/>
    <cellStyle name="Comma 2 2 6 2 4 4 2" xfId="45946" xr:uid="{3B7070DA-EC15-49C0-955B-1C5B88B4E1DF}"/>
    <cellStyle name="Comma 2 2 6 2 4 4 3" xfId="27692" xr:uid="{CAD6A2D1-2ECC-4736-A73F-9BACD4936559}"/>
    <cellStyle name="Comma 2 2 6 2 4 5" xfId="5788" xr:uid="{78AEAFDD-1304-413B-A44B-17F66DB4AA37}"/>
    <cellStyle name="Comma 2 2 6 2 4 5 2" xfId="42296" xr:uid="{637086E6-F41A-4D10-B579-D6D2DD4B3582}"/>
    <cellStyle name="Comma 2 2 6 2 4 5 3" xfId="24042" xr:uid="{29ABEA7E-2BDD-4D3D-BD97-CCD28654CE3B}"/>
    <cellStyle name="Comma 2 2 6 2 4 6" xfId="38646" xr:uid="{EF78CAF9-0AA3-4DBC-83C2-C0A6BDC3D4B8}"/>
    <cellStyle name="Comma 2 2 6 2 4 7" xfId="20392" xr:uid="{AD161E06-E64E-435F-B8C2-7EAAE1F9F8EA}"/>
    <cellStyle name="Comma 2 2 6 2 5" xfId="1408" xr:uid="{2A65EF88-98B2-40F0-A1D2-2F74EBD5CC72}"/>
    <cellStyle name="Comma 2 2 6 2 5 2" xfId="16008" xr:uid="{C3C0BC43-93AB-4EB4-BFFA-1DA00B3B918B}"/>
    <cellStyle name="Comma 2 2 6 2 5 2 2" xfId="52516" xr:uid="{56AADE37-61FF-4955-BE9F-CE1F905942FE}"/>
    <cellStyle name="Comma 2 2 6 2 5 2 3" xfId="34262" xr:uid="{CF6FC098-D48A-4133-AFF8-48FB63CAA655}"/>
    <cellStyle name="Comma 2 2 6 2 5 3" xfId="12358" xr:uid="{C9823958-59A6-4188-B0CC-F7E758E30A39}"/>
    <cellStyle name="Comma 2 2 6 2 5 3 2" xfId="48866" xr:uid="{E405F4B3-D3FD-46A4-9CC0-F88EB6825BD6}"/>
    <cellStyle name="Comma 2 2 6 2 5 3 3" xfId="30612" xr:uid="{DB168804-D746-40CA-BD4A-3DDBAB712E9B}"/>
    <cellStyle name="Comma 2 2 6 2 5 4" xfId="8708" xr:uid="{16A524F3-0FE5-4A98-A1D9-13B4F21F024D}"/>
    <cellStyle name="Comma 2 2 6 2 5 4 2" xfId="45216" xr:uid="{45B65A0A-C015-45CA-86D3-E6809ACAD395}"/>
    <cellStyle name="Comma 2 2 6 2 5 4 3" xfId="26962" xr:uid="{8D7573C5-AB03-46A1-BF92-3A77E7563DBA}"/>
    <cellStyle name="Comma 2 2 6 2 5 5" xfId="5058" xr:uid="{EB9D56B7-26BE-438A-849C-1B22275094D3}"/>
    <cellStyle name="Comma 2 2 6 2 5 5 2" xfId="41566" xr:uid="{88E19555-69D9-4086-9B4F-3CB8852CC635}"/>
    <cellStyle name="Comma 2 2 6 2 5 5 3" xfId="23312" xr:uid="{ADA80F3E-7274-4333-B420-13B0A0C2BE9E}"/>
    <cellStyle name="Comma 2 2 6 2 5 6" xfId="37916" xr:uid="{C80BE4E8-9E38-4502-9A7E-F1E003FEABC5}"/>
    <cellStyle name="Comma 2 2 6 2 5 7" xfId="19662" xr:uid="{BC3F367E-D2DA-4A5C-AEE7-AA63D96C388F}"/>
    <cellStyle name="Comma 2 2 6 2 6" xfId="15278" xr:uid="{A3048F75-31D2-469E-B1C0-3AEEBE94F524}"/>
    <cellStyle name="Comma 2 2 6 2 6 2" xfId="51786" xr:uid="{F3A3E974-F1EC-416A-A1C5-A44DA450443B}"/>
    <cellStyle name="Comma 2 2 6 2 6 3" xfId="33532" xr:uid="{D6A2CF11-38AE-4463-A2F3-343A90EAFF13}"/>
    <cellStyle name="Comma 2 2 6 2 7" xfId="11628" xr:uid="{A325FF05-6703-4F2B-8190-FA9059434BBF}"/>
    <cellStyle name="Comma 2 2 6 2 7 2" xfId="48136" xr:uid="{9373115C-3F24-4225-906E-19517A07157E}"/>
    <cellStyle name="Comma 2 2 6 2 7 3" xfId="29882" xr:uid="{10327ABB-749D-417B-AAD5-FA0B81E24A53}"/>
    <cellStyle name="Comma 2 2 6 2 8" xfId="7978" xr:uid="{8E260A94-D742-482E-AB70-87207D9EF1DD}"/>
    <cellStyle name="Comma 2 2 6 2 8 2" xfId="44486" xr:uid="{6EA019F3-0F8A-482C-A549-D33312E2D42E}"/>
    <cellStyle name="Comma 2 2 6 2 8 3" xfId="26232" xr:uid="{10E7EADB-553C-451B-B5E3-98CDFCB594D7}"/>
    <cellStyle name="Comma 2 2 6 2 9" xfId="4328" xr:uid="{383487AF-7F0D-4C99-8B31-8940D0D7D9D6}"/>
    <cellStyle name="Comma 2 2 6 2 9 2" xfId="40836" xr:uid="{F60D512C-B013-401B-AA73-6B49F52D7CE8}"/>
    <cellStyle name="Comma 2 2 6 2 9 3" xfId="22582" xr:uid="{7A30CA39-4934-4032-92E3-94F59F8FEE8B}"/>
    <cellStyle name="Comma 2 2 6 3" xfId="574" xr:uid="{7DECB7C0-AE3B-448F-A6E6-81902AA83C18}"/>
    <cellStyle name="Comma 2 2 6 3 10" xfId="37082" xr:uid="{2C63D2CD-8D1F-45B5-A1DE-F75285B5F4BB}"/>
    <cellStyle name="Comma 2 2 6 3 11" xfId="18828" xr:uid="{6AA11F42-F0A4-48F4-8E3E-1ABA06859C60}"/>
    <cellStyle name="Comma 2 2 6 3 2" xfId="3494" xr:uid="{85EB7499-EEB8-4893-893E-9957FAE246AE}"/>
    <cellStyle name="Comma 2 2 6 3 2 2" xfId="18094" xr:uid="{85889D04-2C37-461F-BE56-78ABD7718175}"/>
    <cellStyle name="Comma 2 2 6 3 2 2 2" xfId="54602" xr:uid="{51EDE27C-9FFC-472C-8E4A-F9DF42EB9B4B}"/>
    <cellStyle name="Comma 2 2 6 3 2 2 3" xfId="36348" xr:uid="{18EE2279-B070-493A-8DCA-D86909CCE560}"/>
    <cellStyle name="Comma 2 2 6 3 2 3" xfId="14444" xr:uid="{FC64817E-5715-4A67-BA38-858ABE94085C}"/>
    <cellStyle name="Comma 2 2 6 3 2 3 2" xfId="50952" xr:uid="{AC4B20C0-9FBF-419B-B68C-1146BB143FD2}"/>
    <cellStyle name="Comma 2 2 6 3 2 3 3" xfId="32698" xr:uid="{4732CE7B-AFF1-4FA9-8391-55C5A4374FBB}"/>
    <cellStyle name="Comma 2 2 6 3 2 4" xfId="10794" xr:uid="{1E0828DE-A9D0-499A-9274-9C6EE93BDDA4}"/>
    <cellStyle name="Comma 2 2 6 3 2 4 2" xfId="47302" xr:uid="{248F5D14-30DF-455E-AF9D-8D6D3714E138}"/>
    <cellStyle name="Comma 2 2 6 3 2 4 3" xfId="29048" xr:uid="{F8133C8D-5A1E-437A-AB52-0F0F2E080F01}"/>
    <cellStyle name="Comma 2 2 6 3 2 5" xfId="7144" xr:uid="{A06028AA-0755-4BF1-8402-0B179BEBC5BA}"/>
    <cellStyle name="Comma 2 2 6 3 2 5 2" xfId="43652" xr:uid="{4E91A990-453B-401B-9AB6-035BCB6990D8}"/>
    <cellStyle name="Comma 2 2 6 3 2 5 3" xfId="25398" xr:uid="{92476082-2120-4BD4-8C12-D9D003060CCA}"/>
    <cellStyle name="Comma 2 2 6 3 2 6" xfId="40002" xr:uid="{F2742B8C-839E-4F5C-9359-76C20CFC6302}"/>
    <cellStyle name="Comma 2 2 6 3 2 7" xfId="21748" xr:uid="{389AA2C6-DAED-45DE-BFD4-6278B59C1656}"/>
    <cellStyle name="Comma 2 2 6 3 3" xfId="2764" xr:uid="{4E776CA3-6F21-47AB-810C-FC4FE5FBAA29}"/>
    <cellStyle name="Comma 2 2 6 3 3 2" xfId="17364" xr:uid="{FA36DCC2-4EED-4AB9-BA6F-5D7B16D10678}"/>
    <cellStyle name="Comma 2 2 6 3 3 2 2" xfId="53872" xr:uid="{E4978072-C0DB-4EC5-84B0-232C299DA1D0}"/>
    <cellStyle name="Comma 2 2 6 3 3 2 3" xfId="35618" xr:uid="{BC5DF6B8-EEF0-4679-86E3-9E92A7FCF66E}"/>
    <cellStyle name="Comma 2 2 6 3 3 3" xfId="13714" xr:uid="{D737BED4-05E2-49D5-BA28-9BDFB3FFB257}"/>
    <cellStyle name="Comma 2 2 6 3 3 3 2" xfId="50222" xr:uid="{2E949412-81A4-42B9-B7B8-7494F0C8CF7A}"/>
    <cellStyle name="Comma 2 2 6 3 3 3 3" xfId="31968" xr:uid="{622646B1-F1FF-4682-AF97-27E1F572F2BD}"/>
    <cellStyle name="Comma 2 2 6 3 3 4" xfId="10064" xr:uid="{1B993632-D6E8-4DFE-A785-E1D5B5862EC2}"/>
    <cellStyle name="Comma 2 2 6 3 3 4 2" xfId="46572" xr:uid="{6E1CCCF6-151A-4D1A-A8EE-C3E67E988C1F}"/>
    <cellStyle name="Comma 2 2 6 3 3 4 3" xfId="28318" xr:uid="{1F19B3DA-1FD6-461B-A09C-C3B3946BD313}"/>
    <cellStyle name="Comma 2 2 6 3 3 5" xfId="6414" xr:uid="{A1CA4EB1-7D56-4C49-920C-9CF9AD13F27E}"/>
    <cellStyle name="Comma 2 2 6 3 3 5 2" xfId="42922" xr:uid="{698C3885-1981-429C-9E22-1EB59A3ED30C}"/>
    <cellStyle name="Comma 2 2 6 3 3 5 3" xfId="24668" xr:uid="{F7E13B50-1EC7-49C1-9283-57CB55C183C7}"/>
    <cellStyle name="Comma 2 2 6 3 3 6" xfId="39272" xr:uid="{465CA785-083C-4C7B-95D2-1D4121989A2C}"/>
    <cellStyle name="Comma 2 2 6 3 3 7" xfId="21018" xr:uid="{38F5D382-E7F0-4E38-B04E-CDD46525CE83}"/>
    <cellStyle name="Comma 2 2 6 3 4" xfId="2034" xr:uid="{51D9FC94-5CB4-4F0C-8C7E-85B220E34C10}"/>
    <cellStyle name="Comma 2 2 6 3 4 2" xfId="16634" xr:uid="{EB539359-FFFC-4C9F-97C7-C11132E4D674}"/>
    <cellStyle name="Comma 2 2 6 3 4 2 2" xfId="53142" xr:uid="{A524A3F2-7CE0-4842-908C-8F11F9F99DE0}"/>
    <cellStyle name="Comma 2 2 6 3 4 2 3" xfId="34888" xr:uid="{E19B0549-DC75-4126-A9E8-A3ED87750C87}"/>
    <cellStyle name="Comma 2 2 6 3 4 3" xfId="12984" xr:uid="{7B64E9D7-9D36-41C3-9C97-42D181910343}"/>
    <cellStyle name="Comma 2 2 6 3 4 3 2" xfId="49492" xr:uid="{7337FEAD-A414-465B-8070-F5C169618DA9}"/>
    <cellStyle name="Comma 2 2 6 3 4 3 3" xfId="31238" xr:uid="{1F764ACB-030C-4824-B662-E7334824A63C}"/>
    <cellStyle name="Comma 2 2 6 3 4 4" xfId="9334" xr:uid="{8FC729F8-46BA-4C95-92C6-D87A5BE57DC2}"/>
    <cellStyle name="Comma 2 2 6 3 4 4 2" xfId="45842" xr:uid="{C03697D1-A621-428D-BAE2-01B8D4DD9FA6}"/>
    <cellStyle name="Comma 2 2 6 3 4 4 3" xfId="27588" xr:uid="{EBFA97CF-FE27-416F-8D34-73D1010D3BB6}"/>
    <cellStyle name="Comma 2 2 6 3 4 5" xfId="5684" xr:uid="{7DEBA2BC-3C1B-476E-B969-A5104D863B62}"/>
    <cellStyle name="Comma 2 2 6 3 4 5 2" xfId="42192" xr:uid="{8BC7330D-0C1D-4018-838D-1F23D58A64A0}"/>
    <cellStyle name="Comma 2 2 6 3 4 5 3" xfId="23938" xr:uid="{A1F65CA6-FB54-4FB6-8EA9-89D2C3FDF0C4}"/>
    <cellStyle name="Comma 2 2 6 3 4 6" xfId="38542" xr:uid="{F092823F-4F21-41AF-97CF-5E91D415B6F8}"/>
    <cellStyle name="Comma 2 2 6 3 4 7" xfId="20288" xr:uid="{6369E2C5-C290-4004-A1B4-8A3DA32DA657}"/>
    <cellStyle name="Comma 2 2 6 3 5" xfId="1304" xr:uid="{FE256A75-95FE-4353-B928-F52245637D2F}"/>
    <cellStyle name="Comma 2 2 6 3 5 2" xfId="15904" xr:uid="{0E9938B8-D052-4301-80E3-96F931B0D4E0}"/>
    <cellStyle name="Comma 2 2 6 3 5 2 2" xfId="52412" xr:uid="{893CFF2D-94AB-4E63-B95E-7DBB78DB8058}"/>
    <cellStyle name="Comma 2 2 6 3 5 2 3" xfId="34158" xr:uid="{4FF84D7D-E2DB-4DAE-8452-EBFA42E5086A}"/>
    <cellStyle name="Comma 2 2 6 3 5 3" xfId="12254" xr:uid="{444B4869-264E-4CE2-946D-1893978B660E}"/>
    <cellStyle name="Comma 2 2 6 3 5 3 2" xfId="48762" xr:uid="{48749D6E-2A0E-4F42-BC6B-92DA38BFB4F4}"/>
    <cellStyle name="Comma 2 2 6 3 5 3 3" xfId="30508" xr:uid="{2F72421C-D56A-474C-8E65-E0B09E6F812B}"/>
    <cellStyle name="Comma 2 2 6 3 5 4" xfId="8604" xr:uid="{CA2D960D-7FFD-4B7A-ACC1-D6467906AC85}"/>
    <cellStyle name="Comma 2 2 6 3 5 4 2" xfId="45112" xr:uid="{F2612D53-71D5-4A72-B088-4C70432A78D5}"/>
    <cellStyle name="Comma 2 2 6 3 5 4 3" xfId="26858" xr:uid="{F8F6BA35-352B-4E74-BBBA-668B79A6A5B3}"/>
    <cellStyle name="Comma 2 2 6 3 5 5" xfId="4954" xr:uid="{622B9497-4C1F-44D8-9F04-2CB996EA3A25}"/>
    <cellStyle name="Comma 2 2 6 3 5 5 2" xfId="41462" xr:uid="{564DDF98-1B7F-4B49-91F4-3AF8BF648EFA}"/>
    <cellStyle name="Comma 2 2 6 3 5 5 3" xfId="23208" xr:uid="{2F02F7F7-5EE1-4F75-BD4F-FE24B0EA000A}"/>
    <cellStyle name="Comma 2 2 6 3 5 6" xfId="37812" xr:uid="{B6922DF0-4E55-462D-B072-905375F30022}"/>
    <cellStyle name="Comma 2 2 6 3 5 7" xfId="19558" xr:uid="{7A271F10-0A7D-4B46-B7E8-A8CF062A3F44}"/>
    <cellStyle name="Comma 2 2 6 3 6" xfId="15174" xr:uid="{B260E67A-81E2-451F-999B-42547F3F8BE9}"/>
    <cellStyle name="Comma 2 2 6 3 6 2" xfId="51682" xr:uid="{637714C9-B478-4D0D-B4B9-A1C06B84B599}"/>
    <cellStyle name="Comma 2 2 6 3 6 3" xfId="33428" xr:uid="{D7E67D96-CC9D-425F-AD15-19F9B29302F6}"/>
    <cellStyle name="Comma 2 2 6 3 7" xfId="11524" xr:uid="{7D9A97E7-0C07-42B6-AA37-13D3F7B35A12}"/>
    <cellStyle name="Comma 2 2 6 3 7 2" xfId="48032" xr:uid="{0C16C727-99FF-4B49-B229-6FF567FA9E3A}"/>
    <cellStyle name="Comma 2 2 6 3 7 3" xfId="29778" xr:uid="{1963E53F-019B-4109-A13A-1CE72E1E7F66}"/>
    <cellStyle name="Comma 2 2 6 3 8" xfId="7874" xr:uid="{FEC4B81B-6ECB-41F0-8DC0-3E80A2D044EC}"/>
    <cellStyle name="Comma 2 2 6 3 8 2" xfId="44382" xr:uid="{EAC17A5D-272D-46B3-AEC4-7D35A0B6A8C6}"/>
    <cellStyle name="Comma 2 2 6 3 8 3" xfId="26128" xr:uid="{F01F0D6E-8887-41F7-A8E4-847D030BCD8F}"/>
    <cellStyle name="Comma 2 2 6 3 9" xfId="4224" xr:uid="{59DF0B3D-903B-448C-BFE4-98D694C3D9C5}"/>
    <cellStyle name="Comma 2 2 6 3 9 2" xfId="40732" xr:uid="{6BD38959-3BF5-4EFD-9262-93AE6B439D4F}"/>
    <cellStyle name="Comma 2 2 6 3 9 3" xfId="22478" xr:uid="{30B2DB3D-8627-4A51-BC06-5F8847BBB3AB}"/>
    <cellStyle name="Comma 2 2 6 4" xfId="470" xr:uid="{B1BEF4B4-9D07-4F08-BA99-AF1B65594C2A}"/>
    <cellStyle name="Comma 2 2 6 4 10" xfId="36978" xr:uid="{A07F81B7-1658-40BC-9E18-DCE7CC60FB7E}"/>
    <cellStyle name="Comma 2 2 6 4 11" xfId="18724" xr:uid="{46A00840-8755-4CA3-B6FC-B7DA1E8D55EA}"/>
    <cellStyle name="Comma 2 2 6 4 2" xfId="3390" xr:uid="{7E7E4CD0-F915-43B4-AA8B-5584C7AC3432}"/>
    <cellStyle name="Comma 2 2 6 4 2 2" xfId="17990" xr:uid="{05E4835B-E7EE-4C01-98CB-C6777DFDB5B8}"/>
    <cellStyle name="Comma 2 2 6 4 2 2 2" xfId="54498" xr:uid="{1909B244-64B0-4FC7-8DBF-4C815EAAC730}"/>
    <cellStyle name="Comma 2 2 6 4 2 2 3" xfId="36244" xr:uid="{9636B04A-8D8D-4FFB-959F-B5966D540C92}"/>
    <cellStyle name="Comma 2 2 6 4 2 3" xfId="14340" xr:uid="{6DD1B9EE-A14C-4263-9F07-AC8C04A15732}"/>
    <cellStyle name="Comma 2 2 6 4 2 3 2" xfId="50848" xr:uid="{5430329A-4AFD-4C9C-AF2D-06C2C4D7063C}"/>
    <cellStyle name="Comma 2 2 6 4 2 3 3" xfId="32594" xr:uid="{01445014-6E6F-48D4-9BF3-BF71725D96A8}"/>
    <cellStyle name="Comma 2 2 6 4 2 4" xfId="10690" xr:uid="{26547D0B-6C76-40BD-9F62-E3F9B1AC7D9E}"/>
    <cellStyle name="Comma 2 2 6 4 2 4 2" xfId="47198" xr:uid="{E1701096-1E03-4646-9196-91C27756A2DB}"/>
    <cellStyle name="Comma 2 2 6 4 2 4 3" xfId="28944" xr:uid="{EBE8CC15-C98A-457B-B8E6-6E4BCC36238B}"/>
    <cellStyle name="Comma 2 2 6 4 2 5" xfId="7040" xr:uid="{4E657E81-D7C6-4BE4-86BE-09E729E9E853}"/>
    <cellStyle name="Comma 2 2 6 4 2 5 2" xfId="43548" xr:uid="{FE4D96EF-193B-4290-9171-B46AA232BCF4}"/>
    <cellStyle name="Comma 2 2 6 4 2 5 3" xfId="25294" xr:uid="{03C7433C-B95D-4815-8CCE-8EE35C727052}"/>
    <cellStyle name="Comma 2 2 6 4 2 6" xfId="39898" xr:uid="{745CAEF3-8556-4E76-B04C-FC803A65D897}"/>
    <cellStyle name="Comma 2 2 6 4 2 7" xfId="21644" xr:uid="{F5283A67-037F-4F51-83F9-4F7D4977C362}"/>
    <cellStyle name="Comma 2 2 6 4 3" xfId="2660" xr:uid="{3D6E1AB9-6EB4-4BB3-B3A9-74220E0AA19A}"/>
    <cellStyle name="Comma 2 2 6 4 3 2" xfId="17260" xr:uid="{96763E71-17C3-4372-9C18-C354EF64135C}"/>
    <cellStyle name="Comma 2 2 6 4 3 2 2" xfId="53768" xr:uid="{6735577D-B0C2-45B4-B7C2-CB768FDC41D6}"/>
    <cellStyle name="Comma 2 2 6 4 3 2 3" xfId="35514" xr:uid="{FEF38852-5720-4D95-B825-1E194CF8EDDE}"/>
    <cellStyle name="Comma 2 2 6 4 3 3" xfId="13610" xr:uid="{CD3799F5-4216-4A1B-8B4A-C8806372E545}"/>
    <cellStyle name="Comma 2 2 6 4 3 3 2" xfId="50118" xr:uid="{680DD8A6-AFCF-47D4-A3DA-CF33FB317B72}"/>
    <cellStyle name="Comma 2 2 6 4 3 3 3" xfId="31864" xr:uid="{2769CB6C-7399-48C8-B8BB-A82BF8AC4404}"/>
    <cellStyle name="Comma 2 2 6 4 3 4" xfId="9960" xr:uid="{82F2C982-9870-42FF-9554-1F355DFB8615}"/>
    <cellStyle name="Comma 2 2 6 4 3 4 2" xfId="46468" xr:uid="{E11AF3E5-FB14-4E81-8147-51D1D6AF1072}"/>
    <cellStyle name="Comma 2 2 6 4 3 4 3" xfId="28214" xr:uid="{1CB5B790-FDC8-445C-8553-6919031969E3}"/>
    <cellStyle name="Comma 2 2 6 4 3 5" xfId="6310" xr:uid="{1A13E875-2F3B-4BA5-8A66-8FB428163D4E}"/>
    <cellStyle name="Comma 2 2 6 4 3 5 2" xfId="42818" xr:uid="{7F8AB6ED-5AF3-45E8-9C4B-B0EA0E063189}"/>
    <cellStyle name="Comma 2 2 6 4 3 5 3" xfId="24564" xr:uid="{6C59EB40-5397-4F8F-8D3A-484FD7B431DB}"/>
    <cellStyle name="Comma 2 2 6 4 3 6" xfId="39168" xr:uid="{6638DBE4-E42D-4C80-8D22-38231FC444B6}"/>
    <cellStyle name="Comma 2 2 6 4 3 7" xfId="20914" xr:uid="{C1CC1827-5281-4DD0-AA26-6B4DAFBB3A05}"/>
    <cellStyle name="Comma 2 2 6 4 4" xfId="1930" xr:uid="{019F6731-5863-4CCD-8B8F-F78DCD4284D1}"/>
    <cellStyle name="Comma 2 2 6 4 4 2" xfId="16530" xr:uid="{C359334D-8B38-458E-BFFB-3EA206E279A5}"/>
    <cellStyle name="Comma 2 2 6 4 4 2 2" xfId="53038" xr:uid="{C4F8A792-D7DE-4CBD-8484-F52DED66E2B1}"/>
    <cellStyle name="Comma 2 2 6 4 4 2 3" xfId="34784" xr:uid="{80881941-966B-4C03-8E43-9CF0637D7DA8}"/>
    <cellStyle name="Comma 2 2 6 4 4 3" xfId="12880" xr:uid="{CC0E6E06-B2C6-478B-B8DB-442085771709}"/>
    <cellStyle name="Comma 2 2 6 4 4 3 2" xfId="49388" xr:uid="{C192CB9F-0E7C-406F-B1D0-3BA2389C6071}"/>
    <cellStyle name="Comma 2 2 6 4 4 3 3" xfId="31134" xr:uid="{2174E9A3-05E5-4E1D-844B-5737332970E4}"/>
    <cellStyle name="Comma 2 2 6 4 4 4" xfId="9230" xr:uid="{A03AA25C-6C92-4F22-BDC1-1CB08D70E417}"/>
    <cellStyle name="Comma 2 2 6 4 4 4 2" xfId="45738" xr:uid="{0B0A73E4-4F81-447A-8FDC-9B28E32F6CCE}"/>
    <cellStyle name="Comma 2 2 6 4 4 4 3" xfId="27484" xr:uid="{2C00A0D3-53F8-4798-9B2C-211739E180D2}"/>
    <cellStyle name="Comma 2 2 6 4 4 5" xfId="5580" xr:uid="{AE7E746C-8882-4820-A941-1366583E9126}"/>
    <cellStyle name="Comma 2 2 6 4 4 5 2" xfId="42088" xr:uid="{062515E7-846B-454C-B6B4-4CA8F6A7E5D0}"/>
    <cellStyle name="Comma 2 2 6 4 4 5 3" xfId="23834" xr:uid="{EC285F66-CD9F-43B2-872D-CFE5CEC828CB}"/>
    <cellStyle name="Comma 2 2 6 4 4 6" xfId="38438" xr:uid="{550E5178-8B95-4EBA-A1F2-B228997CEE66}"/>
    <cellStyle name="Comma 2 2 6 4 4 7" xfId="20184" xr:uid="{6A69A62D-3E04-4BF8-A17A-0F9E4CBEA712}"/>
    <cellStyle name="Comma 2 2 6 4 5" xfId="1200" xr:uid="{F2CCB633-8F16-4903-A11D-E91BDE9D046E}"/>
    <cellStyle name="Comma 2 2 6 4 5 2" xfId="15800" xr:uid="{B9C5E59C-15EE-489F-BAE1-49C1DACF5B4A}"/>
    <cellStyle name="Comma 2 2 6 4 5 2 2" xfId="52308" xr:uid="{994E448D-FEBD-45B8-81D5-B39DF1B26E0C}"/>
    <cellStyle name="Comma 2 2 6 4 5 2 3" xfId="34054" xr:uid="{916E8F16-1F69-476F-A453-8AA897E9E5A6}"/>
    <cellStyle name="Comma 2 2 6 4 5 3" xfId="12150" xr:uid="{47FA5B22-D62F-4DB5-9368-35F746B482B7}"/>
    <cellStyle name="Comma 2 2 6 4 5 3 2" xfId="48658" xr:uid="{873E21B5-1498-49DC-8D46-190F9E903F95}"/>
    <cellStyle name="Comma 2 2 6 4 5 3 3" xfId="30404" xr:uid="{4952433A-BDC7-4505-995C-AE9C3C269747}"/>
    <cellStyle name="Comma 2 2 6 4 5 4" xfId="8500" xr:uid="{F0C46B55-9A3F-4720-9432-784D44BA931E}"/>
    <cellStyle name="Comma 2 2 6 4 5 4 2" xfId="45008" xr:uid="{A0B129A1-43ED-4447-8CD0-34AAD7EE3831}"/>
    <cellStyle name="Comma 2 2 6 4 5 4 3" xfId="26754" xr:uid="{599D5CCF-B779-4454-8FF7-981368704D7B}"/>
    <cellStyle name="Comma 2 2 6 4 5 5" xfId="4850" xr:uid="{14D9FD02-4425-4044-B6F7-92D43C27493A}"/>
    <cellStyle name="Comma 2 2 6 4 5 5 2" xfId="41358" xr:uid="{1A495179-F60F-433F-862B-D590CE19ED47}"/>
    <cellStyle name="Comma 2 2 6 4 5 5 3" xfId="23104" xr:uid="{548C7934-8831-4AD6-9C05-B579A25B5373}"/>
    <cellStyle name="Comma 2 2 6 4 5 6" xfId="37708" xr:uid="{7D655D4A-3081-43F8-AAA7-EAE7F3075549}"/>
    <cellStyle name="Comma 2 2 6 4 5 7" xfId="19454" xr:uid="{03950684-06E5-4A04-8DD1-2D3D28AD4593}"/>
    <cellStyle name="Comma 2 2 6 4 6" xfId="15070" xr:uid="{2298C6E8-CC8B-4C1B-916C-E0E518CD608D}"/>
    <cellStyle name="Comma 2 2 6 4 6 2" xfId="51578" xr:uid="{9250FEBD-43E1-4533-9A08-85E933336936}"/>
    <cellStyle name="Comma 2 2 6 4 6 3" xfId="33324" xr:uid="{A1987B29-F475-483E-95C8-9F631BC8833F}"/>
    <cellStyle name="Comma 2 2 6 4 7" xfId="11420" xr:uid="{0FE1B5B5-C203-432E-BD18-1ABDBE6741B8}"/>
    <cellStyle name="Comma 2 2 6 4 7 2" xfId="47928" xr:uid="{C17C3672-51DE-4699-994B-7BD92C338E7E}"/>
    <cellStyle name="Comma 2 2 6 4 7 3" xfId="29674" xr:uid="{23FE271C-D0F5-4EDD-B8CE-0AD7D858AE49}"/>
    <cellStyle name="Comma 2 2 6 4 8" xfId="7770" xr:uid="{4CDD32F3-9D6B-4E86-8D5F-0FC9E737CB6F}"/>
    <cellStyle name="Comma 2 2 6 4 8 2" xfId="44278" xr:uid="{0F8E3430-4DB7-4347-A78E-89B84512A3CC}"/>
    <cellStyle name="Comma 2 2 6 4 8 3" xfId="26024" xr:uid="{A117C574-7196-495F-8EF6-121FC5675FD6}"/>
    <cellStyle name="Comma 2 2 6 4 9" xfId="4120" xr:uid="{76D3B047-105E-4B48-841A-A0C48DB26657}"/>
    <cellStyle name="Comma 2 2 6 4 9 2" xfId="40628" xr:uid="{0E10390D-D599-44A1-AB24-5FCC912BE81E}"/>
    <cellStyle name="Comma 2 2 6 4 9 3" xfId="22374" xr:uid="{AC171176-9F25-4878-8722-248FB3F61C95}"/>
    <cellStyle name="Comma 2 2 6 5" xfId="366" xr:uid="{E6FF4E29-9328-4200-86D8-D3C897504DDA}"/>
    <cellStyle name="Comma 2 2 6 5 10" xfId="36874" xr:uid="{08811AEA-66E0-4AC9-9394-1DFA621C197D}"/>
    <cellStyle name="Comma 2 2 6 5 11" xfId="18620" xr:uid="{A0B728AB-A8E2-42B7-8AFF-50308C747F97}"/>
    <cellStyle name="Comma 2 2 6 5 2" xfId="3286" xr:uid="{31668CC3-849F-42DC-BD9C-AA0D7B758BA2}"/>
    <cellStyle name="Comma 2 2 6 5 2 2" xfId="17886" xr:uid="{5A0FF1E3-226E-4F0E-9A25-FFFDA40D1813}"/>
    <cellStyle name="Comma 2 2 6 5 2 2 2" xfId="54394" xr:uid="{DBE52A64-DA28-423A-852D-49F3902D1C0D}"/>
    <cellStyle name="Comma 2 2 6 5 2 2 3" xfId="36140" xr:uid="{ED64C0A1-F04E-42B7-9CEE-5406BDC50BEB}"/>
    <cellStyle name="Comma 2 2 6 5 2 3" xfId="14236" xr:uid="{7E2ADC48-CA44-4238-AA53-25B656D9B292}"/>
    <cellStyle name="Comma 2 2 6 5 2 3 2" xfId="50744" xr:uid="{F1056366-824B-413A-AF48-0EE4D954F4B5}"/>
    <cellStyle name="Comma 2 2 6 5 2 3 3" xfId="32490" xr:uid="{9177B269-4C2A-4299-9E16-22D2746402AF}"/>
    <cellStyle name="Comma 2 2 6 5 2 4" xfId="10586" xr:uid="{AEFB74D6-19F4-40AC-AACE-AF7E7C7F4FAE}"/>
    <cellStyle name="Comma 2 2 6 5 2 4 2" xfId="47094" xr:uid="{6E20ED1C-512C-449B-9B74-1FBE7DB5755F}"/>
    <cellStyle name="Comma 2 2 6 5 2 4 3" xfId="28840" xr:uid="{666B9B91-4B3E-4781-8A9E-81FF48B0CC4B}"/>
    <cellStyle name="Comma 2 2 6 5 2 5" xfId="6936" xr:uid="{5E574D0E-48A5-4632-B868-0108C2F7FEA8}"/>
    <cellStyle name="Comma 2 2 6 5 2 5 2" xfId="43444" xr:uid="{E2E334B8-86A5-482E-9C39-8E4993038F9B}"/>
    <cellStyle name="Comma 2 2 6 5 2 5 3" xfId="25190" xr:uid="{B923141E-CB0F-4F90-8C4E-29282DB5F2D4}"/>
    <cellStyle name="Comma 2 2 6 5 2 6" xfId="39794" xr:uid="{DCE876B2-2719-43D0-97AA-51A08713F165}"/>
    <cellStyle name="Comma 2 2 6 5 2 7" xfId="21540" xr:uid="{93BA9740-396E-443B-B65F-FA67BB154CD4}"/>
    <cellStyle name="Comma 2 2 6 5 3" xfId="2556" xr:uid="{010CD5E9-CD33-4B2C-8637-68980030B5C4}"/>
    <cellStyle name="Comma 2 2 6 5 3 2" xfId="17156" xr:uid="{2245CA1B-0391-4519-8056-DCE86A488CF2}"/>
    <cellStyle name="Comma 2 2 6 5 3 2 2" xfId="53664" xr:uid="{494DF38A-7E45-42E4-A90C-B1A15175152B}"/>
    <cellStyle name="Comma 2 2 6 5 3 2 3" xfId="35410" xr:uid="{1AD8FEF2-EED3-4BD1-B284-5CF11D833A51}"/>
    <cellStyle name="Comma 2 2 6 5 3 3" xfId="13506" xr:uid="{7404C194-365A-4747-868B-0E3857B7912A}"/>
    <cellStyle name="Comma 2 2 6 5 3 3 2" xfId="50014" xr:uid="{317EBD3B-85DE-42E4-A55A-4BCAB648DEC7}"/>
    <cellStyle name="Comma 2 2 6 5 3 3 3" xfId="31760" xr:uid="{77BDB3CD-35DD-4555-A4D1-150454D52BB0}"/>
    <cellStyle name="Comma 2 2 6 5 3 4" xfId="9856" xr:uid="{9141A00C-69D1-4A20-96EA-0C0C5B9E27AC}"/>
    <cellStyle name="Comma 2 2 6 5 3 4 2" xfId="46364" xr:uid="{0837F810-DECD-4D1B-A86F-6F1527830C10}"/>
    <cellStyle name="Comma 2 2 6 5 3 4 3" xfId="28110" xr:uid="{21B09534-532D-43C9-9BB9-A070DC7477B9}"/>
    <cellStyle name="Comma 2 2 6 5 3 5" xfId="6206" xr:uid="{9FCCD8D2-6725-4D40-9F0D-E75E1976B394}"/>
    <cellStyle name="Comma 2 2 6 5 3 5 2" xfId="42714" xr:uid="{77F819C5-4369-45D7-8835-77ADE4C34E2E}"/>
    <cellStyle name="Comma 2 2 6 5 3 5 3" xfId="24460" xr:uid="{2FE004F5-03A0-4DED-8E40-65C48C468C0F}"/>
    <cellStyle name="Comma 2 2 6 5 3 6" xfId="39064" xr:uid="{AD86810E-B036-4789-B82A-3F06243247C6}"/>
    <cellStyle name="Comma 2 2 6 5 3 7" xfId="20810" xr:uid="{D438FEE4-D1C5-42BE-ACBC-0CA0F86FA429}"/>
    <cellStyle name="Comma 2 2 6 5 4" xfId="1826" xr:uid="{681930F6-4909-4154-894B-6C2D1B717DE6}"/>
    <cellStyle name="Comma 2 2 6 5 4 2" xfId="16426" xr:uid="{ABE07B53-11B6-42D1-8DA4-A56DEBF9162E}"/>
    <cellStyle name="Comma 2 2 6 5 4 2 2" xfId="52934" xr:uid="{DECC147D-9F01-4BC1-8806-CBA1C1ABE15B}"/>
    <cellStyle name="Comma 2 2 6 5 4 2 3" xfId="34680" xr:uid="{969AFDFC-EDC0-423B-907F-B363F0CD0B75}"/>
    <cellStyle name="Comma 2 2 6 5 4 3" xfId="12776" xr:uid="{9B475BE6-8E71-48A9-83B4-D0587DD28D14}"/>
    <cellStyle name="Comma 2 2 6 5 4 3 2" xfId="49284" xr:uid="{D8D7E203-BA2C-4750-9757-23618F254655}"/>
    <cellStyle name="Comma 2 2 6 5 4 3 3" xfId="31030" xr:uid="{5E81BC19-4447-4980-BAE6-7590F14342C3}"/>
    <cellStyle name="Comma 2 2 6 5 4 4" xfId="9126" xr:uid="{E0CEAF3B-F09E-4516-84C1-1360B3F9DE0F}"/>
    <cellStyle name="Comma 2 2 6 5 4 4 2" xfId="45634" xr:uid="{8344B41B-88EC-49B1-AFB6-D63557A5E4B6}"/>
    <cellStyle name="Comma 2 2 6 5 4 4 3" xfId="27380" xr:uid="{F97E5E9A-FD06-4F5C-97D7-969A4BE74192}"/>
    <cellStyle name="Comma 2 2 6 5 4 5" xfId="5476" xr:uid="{5A28F40B-5C90-4D06-8EFF-43EFCE62725A}"/>
    <cellStyle name="Comma 2 2 6 5 4 5 2" xfId="41984" xr:uid="{D2C21282-3FDD-4FEF-9639-65B5D3AB0944}"/>
    <cellStyle name="Comma 2 2 6 5 4 5 3" xfId="23730" xr:uid="{9DA555AE-7B1B-456F-A866-97555B30D152}"/>
    <cellStyle name="Comma 2 2 6 5 4 6" xfId="38334" xr:uid="{1328D7B5-3BC2-4E1D-9866-53042208F6A1}"/>
    <cellStyle name="Comma 2 2 6 5 4 7" xfId="20080" xr:uid="{1F14B971-FB1F-4D79-A518-17D5E4CC0D8D}"/>
    <cellStyle name="Comma 2 2 6 5 5" xfId="1096" xr:uid="{BA07501E-04E1-4789-B063-0D7C3879DE6E}"/>
    <cellStyle name="Comma 2 2 6 5 5 2" xfId="15696" xr:uid="{2BC29638-68F0-484A-B723-B6327FDBFE71}"/>
    <cellStyle name="Comma 2 2 6 5 5 2 2" xfId="52204" xr:uid="{D30944C3-538E-48C2-AE85-DF4B0AEC1EFA}"/>
    <cellStyle name="Comma 2 2 6 5 5 2 3" xfId="33950" xr:uid="{09C9665D-A621-4A3D-B930-61784EAAB6CA}"/>
    <cellStyle name="Comma 2 2 6 5 5 3" xfId="12046" xr:uid="{A82DC2B7-7335-450D-AB70-2D575940F586}"/>
    <cellStyle name="Comma 2 2 6 5 5 3 2" xfId="48554" xr:uid="{77FF29A4-8C15-4636-871D-DBAE701414A3}"/>
    <cellStyle name="Comma 2 2 6 5 5 3 3" xfId="30300" xr:uid="{DFC7170A-1739-451C-ACFC-EE6F36F7CE43}"/>
    <cellStyle name="Comma 2 2 6 5 5 4" xfId="8396" xr:uid="{AB541E8D-2BAD-4795-9892-0E7E15A8AEC4}"/>
    <cellStyle name="Comma 2 2 6 5 5 4 2" xfId="44904" xr:uid="{82F415C9-DBB8-4D50-A937-D14C73F4AD8F}"/>
    <cellStyle name="Comma 2 2 6 5 5 4 3" xfId="26650" xr:uid="{17F07408-4ABD-4ED1-BA70-92EE75F8746D}"/>
    <cellStyle name="Comma 2 2 6 5 5 5" xfId="4746" xr:uid="{150AEE77-FD37-451D-B42B-5076AADBDDC7}"/>
    <cellStyle name="Comma 2 2 6 5 5 5 2" xfId="41254" xr:uid="{45B2DD95-42E8-4502-83C7-E14E4B719807}"/>
    <cellStyle name="Comma 2 2 6 5 5 5 3" xfId="23000" xr:uid="{6AA5586A-E29F-4EC5-A7F9-F69028C3DD32}"/>
    <cellStyle name="Comma 2 2 6 5 5 6" xfId="37604" xr:uid="{915B2A64-3AE6-464F-8CF3-AB4288EB7138}"/>
    <cellStyle name="Comma 2 2 6 5 5 7" xfId="19350" xr:uid="{4F7F556D-97BE-4121-A343-A6415C66FEF2}"/>
    <cellStyle name="Comma 2 2 6 5 6" xfId="14966" xr:uid="{04E9EFC4-600C-4EFE-9C23-C928C99B0E6B}"/>
    <cellStyle name="Comma 2 2 6 5 6 2" xfId="51474" xr:uid="{45F55FCE-44CC-4425-834D-D0B37F98A25D}"/>
    <cellStyle name="Comma 2 2 6 5 6 3" xfId="33220" xr:uid="{A157A1F3-0836-444F-8962-EFCFD98702C8}"/>
    <cellStyle name="Comma 2 2 6 5 7" xfId="11316" xr:uid="{42B5BF0C-A7B5-4804-9C9F-9A4B81CC66A4}"/>
    <cellStyle name="Comma 2 2 6 5 7 2" xfId="47824" xr:uid="{BBE8A7A2-BAA3-4BDF-8FB8-4DEA4F639ADF}"/>
    <cellStyle name="Comma 2 2 6 5 7 3" xfId="29570" xr:uid="{0BF0AA71-D1C7-44BF-8F1A-252380D8615B}"/>
    <cellStyle name="Comma 2 2 6 5 8" xfId="7666" xr:uid="{B51457EE-D7B6-4A99-8230-253DAE2ADE83}"/>
    <cellStyle name="Comma 2 2 6 5 8 2" xfId="44174" xr:uid="{7C28834F-E5F4-49D1-BCA4-29432179F700}"/>
    <cellStyle name="Comma 2 2 6 5 8 3" xfId="25920" xr:uid="{6502F7F3-47C2-4178-AED2-61FAAB0B6CCF}"/>
    <cellStyle name="Comma 2 2 6 5 9" xfId="4016" xr:uid="{52EE06EC-6BF0-47A7-8B8F-DCADAD8CC2A8}"/>
    <cellStyle name="Comma 2 2 6 5 9 2" xfId="40524" xr:uid="{C5ED9BDD-F4E9-469A-BC3A-00366573B18B}"/>
    <cellStyle name="Comma 2 2 6 5 9 3" xfId="22270" xr:uid="{61C937D3-D63A-48FE-A19A-8CF21EA015E1}"/>
    <cellStyle name="Comma 2 2 6 6" xfId="262" xr:uid="{ED378BD0-F602-4C2B-8243-E4E9FAC51F39}"/>
    <cellStyle name="Comma 2 2 6 6 10" xfId="36770" xr:uid="{CFD7DD9D-44C5-4997-A573-6DCE0FBC95CE}"/>
    <cellStyle name="Comma 2 2 6 6 11" xfId="18516" xr:uid="{AE2882DA-CA8E-42FB-9DE5-7B61CEEA9490}"/>
    <cellStyle name="Comma 2 2 6 6 2" xfId="3182" xr:uid="{2A38BFA4-DC7A-4E6A-9412-EB60FDD6EE12}"/>
    <cellStyle name="Comma 2 2 6 6 2 2" xfId="17782" xr:uid="{90814C03-F41A-46DF-B912-FF0313D006DB}"/>
    <cellStyle name="Comma 2 2 6 6 2 2 2" xfId="54290" xr:uid="{0FEB6C01-553C-4C91-A6A1-7FDA7713E67F}"/>
    <cellStyle name="Comma 2 2 6 6 2 2 3" xfId="36036" xr:uid="{7A7BFDDC-0D1C-4B83-8A95-0AFA4162B294}"/>
    <cellStyle name="Comma 2 2 6 6 2 3" xfId="14132" xr:uid="{85D62DC1-9842-45F8-A3D4-402C955C0AB2}"/>
    <cellStyle name="Comma 2 2 6 6 2 3 2" xfId="50640" xr:uid="{80024343-289E-4702-B561-16191E1A7811}"/>
    <cellStyle name="Comma 2 2 6 6 2 3 3" xfId="32386" xr:uid="{B4DDDEFB-3377-4994-9576-838B5DF64A84}"/>
    <cellStyle name="Comma 2 2 6 6 2 4" xfId="10482" xr:uid="{00719B98-6517-44D6-BB6A-755694315B0C}"/>
    <cellStyle name="Comma 2 2 6 6 2 4 2" xfId="46990" xr:uid="{526E3E64-5B48-4518-9EB2-46043C44CD2E}"/>
    <cellStyle name="Comma 2 2 6 6 2 4 3" xfId="28736" xr:uid="{F3ADFA05-5456-4FE9-A5CC-6DC4B949ECC3}"/>
    <cellStyle name="Comma 2 2 6 6 2 5" xfId="6832" xr:uid="{F1A3506C-59DC-43F7-8093-F91C7FF78DBA}"/>
    <cellStyle name="Comma 2 2 6 6 2 5 2" xfId="43340" xr:uid="{5D7379C4-9AB3-4A87-94FD-C3AC3C1891D2}"/>
    <cellStyle name="Comma 2 2 6 6 2 5 3" xfId="25086" xr:uid="{9BA15D0B-D290-49C2-81F9-271A8FD2121C}"/>
    <cellStyle name="Comma 2 2 6 6 2 6" xfId="39690" xr:uid="{1CFF0E7B-559B-43C5-808B-990DF98C8199}"/>
    <cellStyle name="Comma 2 2 6 6 2 7" xfId="21436" xr:uid="{4E4A9C74-4D78-41EA-8BCB-B569D282DA41}"/>
    <cellStyle name="Comma 2 2 6 6 3" xfId="2452" xr:uid="{BBDA3CCD-06F0-43D9-B774-5D4F10679E3E}"/>
    <cellStyle name="Comma 2 2 6 6 3 2" xfId="17052" xr:uid="{C3F9CF58-4300-475A-9EFD-6944B5F10509}"/>
    <cellStyle name="Comma 2 2 6 6 3 2 2" xfId="53560" xr:uid="{52FA64E1-89DE-4BB9-86D8-2FC2CB2DEC1E}"/>
    <cellStyle name="Comma 2 2 6 6 3 2 3" xfId="35306" xr:uid="{154AA844-5D56-4902-8F4B-354DFAC218DE}"/>
    <cellStyle name="Comma 2 2 6 6 3 3" xfId="13402" xr:uid="{3841F101-5A27-4F68-801C-E498EAD77E9E}"/>
    <cellStyle name="Comma 2 2 6 6 3 3 2" xfId="49910" xr:uid="{D25F7B73-1378-4E34-B043-5E427A53C09C}"/>
    <cellStyle name="Comma 2 2 6 6 3 3 3" xfId="31656" xr:uid="{1EABE1A6-437D-47C1-81ED-25364C631316}"/>
    <cellStyle name="Comma 2 2 6 6 3 4" xfId="9752" xr:uid="{06EB382A-C99B-44B7-AB3A-11142BD14766}"/>
    <cellStyle name="Comma 2 2 6 6 3 4 2" xfId="46260" xr:uid="{AB4F5555-E470-4F2F-AD20-9BE00ADEF3B9}"/>
    <cellStyle name="Comma 2 2 6 6 3 4 3" xfId="28006" xr:uid="{F8A362FC-EB66-4B5F-BDD7-6496B0C4F2BB}"/>
    <cellStyle name="Comma 2 2 6 6 3 5" xfId="6102" xr:uid="{5B06E0E2-FAC1-40CF-8A27-F0971E035046}"/>
    <cellStyle name="Comma 2 2 6 6 3 5 2" xfId="42610" xr:uid="{CF787DBF-4006-4A49-A334-E489D07DC8E6}"/>
    <cellStyle name="Comma 2 2 6 6 3 5 3" xfId="24356" xr:uid="{2A766C2F-C855-4614-8A6A-3FF2C8F7DB6F}"/>
    <cellStyle name="Comma 2 2 6 6 3 6" xfId="38960" xr:uid="{0206D08B-C586-468E-B7E1-05968F63AEBE}"/>
    <cellStyle name="Comma 2 2 6 6 3 7" xfId="20706" xr:uid="{3BB42C15-3AFA-43A4-9142-210689F2DD8A}"/>
    <cellStyle name="Comma 2 2 6 6 4" xfId="1722" xr:uid="{6D7E1729-9901-4050-B31D-207B6793D6D8}"/>
    <cellStyle name="Comma 2 2 6 6 4 2" xfId="16322" xr:uid="{7F7EFB9D-E836-4330-9295-0DEA48475817}"/>
    <cellStyle name="Comma 2 2 6 6 4 2 2" xfId="52830" xr:uid="{05494187-3615-4DF7-AD0C-39C887C30A40}"/>
    <cellStyle name="Comma 2 2 6 6 4 2 3" xfId="34576" xr:uid="{A37BF376-DB68-4580-9445-46AC9DD45808}"/>
    <cellStyle name="Comma 2 2 6 6 4 3" xfId="12672" xr:uid="{C6D3D6C6-42C3-4E6D-9587-2FCBE2205530}"/>
    <cellStyle name="Comma 2 2 6 6 4 3 2" xfId="49180" xr:uid="{0C03378E-E988-4E4A-B4A1-B38ECA7C7F11}"/>
    <cellStyle name="Comma 2 2 6 6 4 3 3" xfId="30926" xr:uid="{65B07681-BF9F-49E8-8877-F38679B28988}"/>
    <cellStyle name="Comma 2 2 6 6 4 4" xfId="9022" xr:uid="{0E4E7DFE-127B-4600-9466-F5FD3352E6FC}"/>
    <cellStyle name="Comma 2 2 6 6 4 4 2" xfId="45530" xr:uid="{6EF19CDB-AE5A-4173-A617-6E377A5657DC}"/>
    <cellStyle name="Comma 2 2 6 6 4 4 3" xfId="27276" xr:uid="{4BEEB94C-1626-404E-9A68-E60A867910E4}"/>
    <cellStyle name="Comma 2 2 6 6 4 5" xfId="5372" xr:uid="{3BB705F5-81BB-4915-810C-8E628051D422}"/>
    <cellStyle name="Comma 2 2 6 6 4 5 2" xfId="41880" xr:uid="{1B4A5730-27CE-451B-AB5E-D556DA51724E}"/>
    <cellStyle name="Comma 2 2 6 6 4 5 3" xfId="23626" xr:uid="{65CCABCF-FA57-4760-8D56-22BDB33C9522}"/>
    <cellStyle name="Comma 2 2 6 6 4 6" xfId="38230" xr:uid="{E39B8F80-D660-498E-9E4E-5EE3D9F15A4D}"/>
    <cellStyle name="Comma 2 2 6 6 4 7" xfId="19976" xr:uid="{FE453F69-BC5F-48BA-9F9D-68B076C9107E}"/>
    <cellStyle name="Comma 2 2 6 6 5" xfId="992" xr:uid="{CB9D23D6-459F-47E9-8264-9A957B4858A0}"/>
    <cellStyle name="Comma 2 2 6 6 5 2" xfId="15592" xr:uid="{D4B26325-0CF1-4EEB-940A-9EB60CB85EFF}"/>
    <cellStyle name="Comma 2 2 6 6 5 2 2" xfId="52100" xr:uid="{002EBC15-503F-49CA-9B5F-F0DDB42F361B}"/>
    <cellStyle name="Comma 2 2 6 6 5 2 3" xfId="33846" xr:uid="{64F5D373-1AF5-4373-BC8A-EA2A20643993}"/>
    <cellStyle name="Comma 2 2 6 6 5 3" xfId="11942" xr:uid="{0180162C-C364-4C66-9614-4476D935473B}"/>
    <cellStyle name="Comma 2 2 6 6 5 3 2" xfId="48450" xr:uid="{EB53520E-B61D-4EFF-97F9-444232533DAF}"/>
    <cellStyle name="Comma 2 2 6 6 5 3 3" xfId="30196" xr:uid="{D8CEE268-6EC0-4390-B056-1C60B76EE63E}"/>
    <cellStyle name="Comma 2 2 6 6 5 4" xfId="8292" xr:uid="{102FD952-314E-4F2E-BBBE-4C32DC11E1AC}"/>
    <cellStyle name="Comma 2 2 6 6 5 4 2" xfId="44800" xr:uid="{89D3F4EC-8443-40F1-9E96-4531EA7F7E23}"/>
    <cellStyle name="Comma 2 2 6 6 5 4 3" xfId="26546" xr:uid="{C59E5D24-4B85-4C22-ACCE-1B4383E357B0}"/>
    <cellStyle name="Comma 2 2 6 6 5 5" xfId="4642" xr:uid="{49D90B1A-AAC3-4F34-B819-BE1FEED32440}"/>
    <cellStyle name="Comma 2 2 6 6 5 5 2" xfId="41150" xr:uid="{A75114E0-08C8-47ED-9045-4C4A1B009F16}"/>
    <cellStyle name="Comma 2 2 6 6 5 5 3" xfId="22896" xr:uid="{DD93C9A2-AAEC-4055-9E8E-6611C5747362}"/>
    <cellStyle name="Comma 2 2 6 6 5 6" xfId="37500" xr:uid="{A5AB1C77-573D-47C9-805D-758DDEAD5E95}"/>
    <cellStyle name="Comma 2 2 6 6 5 7" xfId="19246" xr:uid="{3175972D-4D89-4DF1-9E93-DEE4FFED8887}"/>
    <cellStyle name="Comma 2 2 6 6 6" xfId="14862" xr:uid="{8AC275E7-5A19-4BE2-8DDD-DEB2F4C56C91}"/>
    <cellStyle name="Comma 2 2 6 6 6 2" xfId="51370" xr:uid="{7C7FABAE-007D-46E9-A378-14FA96EC3E9B}"/>
    <cellStyle name="Comma 2 2 6 6 6 3" xfId="33116" xr:uid="{52F3D039-4D63-4E2D-A058-01F8F625C7AE}"/>
    <cellStyle name="Comma 2 2 6 6 7" xfId="11212" xr:uid="{2DD416A7-9D76-45A9-BC13-FADA88B4EC87}"/>
    <cellStyle name="Comma 2 2 6 6 7 2" xfId="47720" xr:uid="{EF18E560-9235-4853-93BF-BE3F92E85CC5}"/>
    <cellStyle name="Comma 2 2 6 6 7 3" xfId="29466" xr:uid="{644F94CD-B6ED-4954-85CF-16710D8E967A}"/>
    <cellStyle name="Comma 2 2 6 6 8" xfId="7562" xr:uid="{26106278-60F0-4B52-BF11-7DC3AA4E1D93}"/>
    <cellStyle name="Comma 2 2 6 6 8 2" xfId="44070" xr:uid="{82AEBEA9-3388-4EAA-ACDE-10B8C881C751}"/>
    <cellStyle name="Comma 2 2 6 6 8 3" xfId="25816" xr:uid="{84B16F5E-D0AA-4033-942F-6355E9748CF8}"/>
    <cellStyle name="Comma 2 2 6 6 9" xfId="3912" xr:uid="{5E2D06BA-090B-4333-BCF3-03EB65D430F4}"/>
    <cellStyle name="Comma 2 2 6 6 9 2" xfId="40420" xr:uid="{0CB73D33-73A4-4BD2-BD48-1A4943D9E8DC}"/>
    <cellStyle name="Comma 2 2 6 6 9 3" xfId="22166" xr:uid="{8CDEC0F4-3F77-40BB-8CBC-E78749201113}"/>
    <cellStyle name="Comma 2 2 6 7" xfId="158" xr:uid="{72FD44B0-9A77-49D5-BE88-25AF497B4D93}"/>
    <cellStyle name="Comma 2 2 6 7 10" xfId="36666" xr:uid="{723C2AF2-3FF9-41B5-861E-4E4199E50042}"/>
    <cellStyle name="Comma 2 2 6 7 11" xfId="18412" xr:uid="{A327AD22-649C-4DFC-8382-FB66AD19F2D5}"/>
    <cellStyle name="Comma 2 2 6 7 2" xfId="3078" xr:uid="{9E99E2CA-8368-49A2-8C52-1EA08D7BCC3B}"/>
    <cellStyle name="Comma 2 2 6 7 2 2" xfId="17678" xr:uid="{2325D74E-321B-42B7-A698-76975813B01C}"/>
    <cellStyle name="Comma 2 2 6 7 2 2 2" xfId="54186" xr:uid="{DAB04FE2-863E-4246-B187-E06CAB172F0F}"/>
    <cellStyle name="Comma 2 2 6 7 2 2 3" xfId="35932" xr:uid="{24979663-DE6B-4E1A-98CD-7F9C6C7D3CB8}"/>
    <cellStyle name="Comma 2 2 6 7 2 3" xfId="14028" xr:uid="{C42D9CBE-0016-4DCE-A2A1-B8CA7354CDD8}"/>
    <cellStyle name="Comma 2 2 6 7 2 3 2" xfId="50536" xr:uid="{625B9B08-8F80-4576-A5C9-6A025A011A7D}"/>
    <cellStyle name="Comma 2 2 6 7 2 3 3" xfId="32282" xr:uid="{464711BF-2316-41A5-B60F-71EADE5AFA0F}"/>
    <cellStyle name="Comma 2 2 6 7 2 4" xfId="10378" xr:uid="{956A89ED-1472-4857-8EEC-F315140039AA}"/>
    <cellStyle name="Comma 2 2 6 7 2 4 2" xfId="46886" xr:uid="{1B93BC65-2A9C-49F0-BF2E-FB9984F39D56}"/>
    <cellStyle name="Comma 2 2 6 7 2 4 3" xfId="28632" xr:uid="{D067D99D-C0FA-4A5A-AE86-695E12CAA450}"/>
    <cellStyle name="Comma 2 2 6 7 2 5" xfId="6728" xr:uid="{029F9C40-19DD-48E9-8621-A007E7324B8F}"/>
    <cellStyle name="Comma 2 2 6 7 2 5 2" xfId="43236" xr:uid="{2A1E4AF3-BB74-4134-8EAC-D1E2607A3A5A}"/>
    <cellStyle name="Comma 2 2 6 7 2 5 3" xfId="24982" xr:uid="{31E44F9C-0CCD-4E21-9714-7F2D2F7F4DA0}"/>
    <cellStyle name="Comma 2 2 6 7 2 6" xfId="39586" xr:uid="{BDB1437E-E913-4857-90F2-ABF28BD3257C}"/>
    <cellStyle name="Comma 2 2 6 7 2 7" xfId="21332" xr:uid="{551FA0B8-D4DF-466F-94D9-36C62FB384E3}"/>
    <cellStyle name="Comma 2 2 6 7 3" xfId="2348" xr:uid="{DF58CF60-9942-4589-9BDD-F86D7F27055B}"/>
    <cellStyle name="Comma 2 2 6 7 3 2" xfId="16948" xr:uid="{9D45AF07-6084-4FC2-8D59-AEBBDFCF5E1F}"/>
    <cellStyle name="Comma 2 2 6 7 3 2 2" xfId="53456" xr:uid="{D2E4A9A4-B14A-4309-ABF0-118D3940D043}"/>
    <cellStyle name="Comma 2 2 6 7 3 2 3" xfId="35202" xr:uid="{BF0C3855-5857-4078-B4DD-67DE7DA256EC}"/>
    <cellStyle name="Comma 2 2 6 7 3 3" xfId="13298" xr:uid="{3B44FD08-AD63-4B1F-A063-41225CEADA91}"/>
    <cellStyle name="Comma 2 2 6 7 3 3 2" xfId="49806" xr:uid="{318BB939-0987-4CDD-9132-DD81C59943A0}"/>
    <cellStyle name="Comma 2 2 6 7 3 3 3" xfId="31552" xr:uid="{076982B9-DBCA-4149-AC41-E0279503BF47}"/>
    <cellStyle name="Comma 2 2 6 7 3 4" xfId="9648" xr:uid="{2D434132-FA29-4CA5-877A-5A4B5E712E6C}"/>
    <cellStyle name="Comma 2 2 6 7 3 4 2" xfId="46156" xr:uid="{15F081BA-A942-46E5-8F86-01A0DE837C98}"/>
    <cellStyle name="Comma 2 2 6 7 3 4 3" xfId="27902" xr:uid="{065D8466-8F20-4605-8431-4195890AFAF6}"/>
    <cellStyle name="Comma 2 2 6 7 3 5" xfId="5998" xr:uid="{B0F97AA1-53F5-4698-8E2D-E80A35C4D11C}"/>
    <cellStyle name="Comma 2 2 6 7 3 5 2" xfId="42506" xr:uid="{C3724E42-5D38-4E74-86F5-90B8A8925E2B}"/>
    <cellStyle name="Comma 2 2 6 7 3 5 3" xfId="24252" xr:uid="{E2AB8BE5-7BA1-4CE9-9044-B1B6AD8E80F9}"/>
    <cellStyle name="Comma 2 2 6 7 3 6" xfId="38856" xr:uid="{3B0C74B5-1651-41A9-BCD6-55C1275C33F9}"/>
    <cellStyle name="Comma 2 2 6 7 3 7" xfId="20602" xr:uid="{D3006EE1-CF15-404F-8C6B-CFD981A69534}"/>
    <cellStyle name="Comma 2 2 6 7 4" xfId="1618" xr:uid="{793F9646-F964-42C6-8B32-AB388FEF0C75}"/>
    <cellStyle name="Comma 2 2 6 7 4 2" xfId="16218" xr:uid="{2B7CA6F9-980D-45C1-B980-8E0FD10850DC}"/>
    <cellStyle name="Comma 2 2 6 7 4 2 2" xfId="52726" xr:uid="{10264337-AB07-40FC-BD52-01926F8C17B4}"/>
    <cellStyle name="Comma 2 2 6 7 4 2 3" xfId="34472" xr:uid="{BE42A3C1-D52C-4F89-8719-DB1FD57B4119}"/>
    <cellStyle name="Comma 2 2 6 7 4 3" xfId="12568" xr:uid="{A51FA72E-DDE9-4ADD-B732-70315514E9FF}"/>
    <cellStyle name="Comma 2 2 6 7 4 3 2" xfId="49076" xr:uid="{3E9A3A4B-033F-4AA6-B49E-F54A818F0253}"/>
    <cellStyle name="Comma 2 2 6 7 4 3 3" xfId="30822" xr:uid="{53822632-3F57-4B80-83DC-71499149399C}"/>
    <cellStyle name="Comma 2 2 6 7 4 4" xfId="8918" xr:uid="{AA82A2AB-9399-4B3E-B93A-CAF043490F20}"/>
    <cellStyle name="Comma 2 2 6 7 4 4 2" xfId="45426" xr:uid="{6DC77247-535B-4005-AE22-F49B8EF5B2BD}"/>
    <cellStyle name="Comma 2 2 6 7 4 4 3" xfId="27172" xr:uid="{99AF40D6-B1D6-4C94-9094-737ED781D217}"/>
    <cellStyle name="Comma 2 2 6 7 4 5" xfId="5268" xr:uid="{4D08B9CF-D028-4AE4-9900-C84990C25849}"/>
    <cellStyle name="Comma 2 2 6 7 4 5 2" xfId="41776" xr:uid="{88AEBFF1-C964-4496-9779-0E4A9B749593}"/>
    <cellStyle name="Comma 2 2 6 7 4 5 3" xfId="23522" xr:uid="{9A710876-BBCB-49F2-B35D-5F55E088BD8A}"/>
    <cellStyle name="Comma 2 2 6 7 4 6" xfId="38126" xr:uid="{C7B1902E-C3B7-47DF-A49A-1F7E07339428}"/>
    <cellStyle name="Comma 2 2 6 7 4 7" xfId="19872" xr:uid="{9CD4AB93-297D-4FF6-B189-5A59E0DE2570}"/>
    <cellStyle name="Comma 2 2 6 7 5" xfId="888" xr:uid="{AB2EFD77-E715-4A75-A02A-9866490F49C1}"/>
    <cellStyle name="Comma 2 2 6 7 5 2" xfId="15488" xr:uid="{06821DFC-C35A-46F4-B6FE-3EC05FB3E85D}"/>
    <cellStyle name="Comma 2 2 6 7 5 2 2" xfId="51996" xr:uid="{91D7C961-2B39-4748-9F6B-CA535FC363B9}"/>
    <cellStyle name="Comma 2 2 6 7 5 2 3" xfId="33742" xr:uid="{FC92187A-A007-460F-9AE5-96517B80183E}"/>
    <cellStyle name="Comma 2 2 6 7 5 3" xfId="11838" xr:uid="{2A0B0C72-44D1-4830-B7D1-1651E972084D}"/>
    <cellStyle name="Comma 2 2 6 7 5 3 2" xfId="48346" xr:uid="{B3A72F2E-995A-4E03-95BB-34F5630D6A37}"/>
    <cellStyle name="Comma 2 2 6 7 5 3 3" xfId="30092" xr:uid="{5789ADE8-C722-4ACC-AA3D-0D18C5073476}"/>
    <cellStyle name="Comma 2 2 6 7 5 4" xfId="8188" xr:uid="{6EBBA815-FA5C-4F7B-92CA-5D241E567CC6}"/>
    <cellStyle name="Comma 2 2 6 7 5 4 2" xfId="44696" xr:uid="{462A2761-6E16-4A60-8473-74129D869F3A}"/>
    <cellStyle name="Comma 2 2 6 7 5 4 3" xfId="26442" xr:uid="{180BA4E4-D088-4401-8580-61B6DF75A3E0}"/>
    <cellStyle name="Comma 2 2 6 7 5 5" xfId="4538" xr:uid="{093BA75B-26B7-4BDD-A376-258EDD19CC03}"/>
    <cellStyle name="Comma 2 2 6 7 5 5 2" xfId="41046" xr:uid="{DABF4D32-C516-40E8-A65C-985F994E1765}"/>
    <cellStyle name="Comma 2 2 6 7 5 5 3" xfId="22792" xr:uid="{4D577EFD-11F8-4CC1-B324-AD9DEFE39953}"/>
    <cellStyle name="Comma 2 2 6 7 5 6" xfId="37396" xr:uid="{15BE44BD-1D0B-4831-AE64-7108E6D6B98D}"/>
    <cellStyle name="Comma 2 2 6 7 5 7" xfId="19142" xr:uid="{EDA9C328-5B2F-4467-B51A-821E81C8DAB9}"/>
    <cellStyle name="Comma 2 2 6 7 6" xfId="14758" xr:uid="{7540A005-593B-4087-8124-925328B1843E}"/>
    <cellStyle name="Comma 2 2 6 7 6 2" xfId="51266" xr:uid="{53342EE8-62A5-45BD-87F8-31A68F299782}"/>
    <cellStyle name="Comma 2 2 6 7 6 3" xfId="33012" xr:uid="{42F291CE-0DD6-43E4-BF75-BF78332CC563}"/>
    <cellStyle name="Comma 2 2 6 7 7" xfId="11108" xr:uid="{24227E94-A89D-4DF8-83BB-34CF55B4B7F8}"/>
    <cellStyle name="Comma 2 2 6 7 7 2" xfId="47616" xr:uid="{32B9E9FA-2C4A-43C3-BEC8-CE56FF925424}"/>
    <cellStyle name="Comma 2 2 6 7 7 3" xfId="29362" xr:uid="{2DC89059-0200-403F-88F4-2A86BF66999E}"/>
    <cellStyle name="Comma 2 2 6 7 8" xfId="7458" xr:uid="{AAEC632B-91B6-472B-9FCE-C2B560179A4D}"/>
    <cellStyle name="Comma 2 2 6 7 8 2" xfId="43966" xr:uid="{3D2E60FE-5736-4A4E-8C41-3FBB14C31BEA}"/>
    <cellStyle name="Comma 2 2 6 7 8 3" xfId="25712" xr:uid="{B2D86312-04AD-4EA6-ACDA-FD10F7EA13FD}"/>
    <cellStyle name="Comma 2 2 6 7 9" xfId="3808" xr:uid="{DB530B02-8FF0-4EA3-9C95-77403FBBA18F}"/>
    <cellStyle name="Comma 2 2 6 7 9 2" xfId="40316" xr:uid="{44D82769-5C26-4091-BAB0-7DBC19F3ABB5}"/>
    <cellStyle name="Comma 2 2 6 7 9 3" xfId="22062" xr:uid="{E0C7EA90-7E05-4F4B-93DC-61BB08FD656C}"/>
    <cellStyle name="Comma 2 2 6 8" xfId="2974" xr:uid="{824E70C5-BA4F-4F20-968C-0589848382E6}"/>
    <cellStyle name="Comma 2 2 6 8 2" xfId="17574" xr:uid="{9F618D1E-5AB9-4F30-8D3D-D5EFA2AAC7CB}"/>
    <cellStyle name="Comma 2 2 6 8 2 2" xfId="54082" xr:uid="{35A27869-232F-43BB-A33F-7148CE4DF01B}"/>
    <cellStyle name="Comma 2 2 6 8 2 3" xfId="35828" xr:uid="{EECBF1BF-49A7-4A00-84F7-E100718F024C}"/>
    <cellStyle name="Comma 2 2 6 8 3" xfId="13924" xr:uid="{4416485A-79A5-4860-A51D-E0297D95F576}"/>
    <cellStyle name="Comma 2 2 6 8 3 2" xfId="50432" xr:uid="{C472DB5E-CF95-4CB0-8771-D3333DC9339A}"/>
    <cellStyle name="Comma 2 2 6 8 3 3" xfId="32178" xr:uid="{24008DDF-535D-4550-8748-F4BF5880D80E}"/>
    <cellStyle name="Comma 2 2 6 8 4" xfId="10274" xr:uid="{1FADFD01-23FE-4C94-9D39-7448B72700AD}"/>
    <cellStyle name="Comma 2 2 6 8 4 2" xfId="46782" xr:uid="{EB16DA11-AC3D-4DBB-B6AF-D5FEAC6C706A}"/>
    <cellStyle name="Comma 2 2 6 8 4 3" xfId="28528" xr:uid="{42DF3B99-F967-4563-B161-D2366FDE5508}"/>
    <cellStyle name="Comma 2 2 6 8 5" xfId="6624" xr:uid="{E0DE4F6B-05DF-4BBA-96A8-0B55669325D4}"/>
    <cellStyle name="Comma 2 2 6 8 5 2" xfId="43132" xr:uid="{E2EE1CB9-96DE-408D-8533-3E044542A151}"/>
    <cellStyle name="Comma 2 2 6 8 5 3" xfId="24878" xr:uid="{726429FC-4D61-4F19-9E61-8120A2BC1E79}"/>
    <cellStyle name="Comma 2 2 6 8 6" xfId="39482" xr:uid="{F9455AA9-D5DE-4AB3-8C6A-962BC5BCD369}"/>
    <cellStyle name="Comma 2 2 6 8 7" xfId="21228" xr:uid="{9F02E266-E80F-48DE-99D2-68CD466AF29A}"/>
    <cellStyle name="Comma 2 2 6 9" xfId="2244" xr:uid="{57B2F294-E50B-452F-96A7-D915E178127B}"/>
    <cellStyle name="Comma 2 2 6 9 2" xfId="16844" xr:uid="{7925108C-BADA-4793-A8AC-72DFF763EE4D}"/>
    <cellStyle name="Comma 2 2 6 9 2 2" xfId="53352" xr:uid="{E5C1BE72-4042-4F22-A6FA-6EB98F2D381E}"/>
    <cellStyle name="Comma 2 2 6 9 2 3" xfId="35098" xr:uid="{24D30B4B-F1F0-4E63-BA37-F370CF851CF2}"/>
    <cellStyle name="Comma 2 2 6 9 3" xfId="13194" xr:uid="{0C0FFB0F-E920-421C-A76A-B386D7073F12}"/>
    <cellStyle name="Comma 2 2 6 9 3 2" xfId="49702" xr:uid="{C413F3D3-9056-4518-8946-2B4EDD874DF2}"/>
    <cellStyle name="Comma 2 2 6 9 3 3" xfId="31448" xr:uid="{DD03F43C-9BA3-4CDF-9484-DC49EDAFEB87}"/>
    <cellStyle name="Comma 2 2 6 9 4" xfId="9544" xr:uid="{78C18E4B-4A47-4EA8-B125-5CB7380F5DB5}"/>
    <cellStyle name="Comma 2 2 6 9 4 2" xfId="46052" xr:uid="{8508909F-B554-4FDF-BFA0-F6DF36719F68}"/>
    <cellStyle name="Comma 2 2 6 9 4 3" xfId="27798" xr:uid="{86BD2C69-3F26-4758-979F-6258784DF82B}"/>
    <cellStyle name="Comma 2 2 6 9 5" xfId="5894" xr:uid="{2E8690BD-6DD8-4C6B-B484-1968FBA9A316}"/>
    <cellStyle name="Comma 2 2 6 9 5 2" xfId="42402" xr:uid="{83597B57-B43C-43A7-A6ED-3E1AD2744E69}"/>
    <cellStyle name="Comma 2 2 6 9 5 3" xfId="24148" xr:uid="{499F701A-1329-46F9-A1E2-2307578DD534}"/>
    <cellStyle name="Comma 2 2 6 9 6" xfId="38752" xr:uid="{65F67DBE-105D-46C2-91D8-9F05FA772C2E}"/>
    <cellStyle name="Comma 2 2 6 9 7" xfId="20498" xr:uid="{0130A0FC-7EC6-4437-BE07-AA0BAEE65434}"/>
    <cellStyle name="Comma 2 2 7" xfId="646" xr:uid="{2B415078-5DAA-46B3-AC32-0008ECE0A171}"/>
    <cellStyle name="Comma 2 2 7 10" xfId="37154" xr:uid="{525262AD-F55D-4233-82C6-850CD85846D9}"/>
    <cellStyle name="Comma 2 2 7 11" xfId="18900" xr:uid="{FD626FFE-C920-432F-9CCC-3332789ACB05}"/>
    <cellStyle name="Comma 2 2 7 2" xfId="3566" xr:uid="{A56BA639-2250-4EEC-B5DE-1E281CCE8BB2}"/>
    <cellStyle name="Comma 2 2 7 2 2" xfId="18166" xr:uid="{DDC2FB4C-0C88-4A00-B690-9024540E7FCA}"/>
    <cellStyle name="Comma 2 2 7 2 2 2" xfId="54674" xr:uid="{F43F16D4-08CF-449E-AC48-900541F71D5F}"/>
    <cellStyle name="Comma 2 2 7 2 2 3" xfId="36420" xr:uid="{E17E4D63-9B2F-41F3-89A5-CF9582824AE3}"/>
    <cellStyle name="Comma 2 2 7 2 3" xfId="14516" xr:uid="{C18F2AC8-5EF1-4616-9F3C-8F2ED807C8EA}"/>
    <cellStyle name="Comma 2 2 7 2 3 2" xfId="51024" xr:uid="{54C2C1FC-4E60-4C41-B63F-85D362B62082}"/>
    <cellStyle name="Comma 2 2 7 2 3 3" xfId="32770" xr:uid="{07041446-A24B-468D-B70C-BA6AAD287A50}"/>
    <cellStyle name="Comma 2 2 7 2 4" xfId="10866" xr:uid="{0C6DC0E6-0C21-4797-B4B2-37A614619D5B}"/>
    <cellStyle name="Comma 2 2 7 2 4 2" xfId="47374" xr:uid="{488E29B2-07C4-4490-BCC7-4380F7A6688D}"/>
    <cellStyle name="Comma 2 2 7 2 4 3" xfId="29120" xr:uid="{5F03D95D-D1B5-49EB-A724-3EF168550011}"/>
    <cellStyle name="Comma 2 2 7 2 5" xfId="7216" xr:uid="{3FB4F34B-39C8-413C-9414-4825E67B90F0}"/>
    <cellStyle name="Comma 2 2 7 2 5 2" xfId="43724" xr:uid="{F4C9554E-361B-4B46-A799-8BB7A0B49BE7}"/>
    <cellStyle name="Comma 2 2 7 2 5 3" xfId="25470" xr:uid="{997108CD-6042-42EE-801B-6EDEF5A23430}"/>
    <cellStyle name="Comma 2 2 7 2 6" xfId="40074" xr:uid="{3FF18465-7A20-4191-85A9-A95E19EC0C6D}"/>
    <cellStyle name="Comma 2 2 7 2 7" xfId="21820" xr:uid="{1E186DA9-2086-49E1-A0BD-64567A78E076}"/>
    <cellStyle name="Comma 2 2 7 3" xfId="2836" xr:uid="{CC3A6A3E-1DC4-4B5B-85C2-D0938A925949}"/>
    <cellStyle name="Comma 2 2 7 3 2" xfId="17436" xr:uid="{A87E005C-D064-48C0-99B2-F3D60FFC7F74}"/>
    <cellStyle name="Comma 2 2 7 3 2 2" xfId="53944" xr:uid="{0BD3F8A1-DA39-4776-BAF3-DD58C9120652}"/>
    <cellStyle name="Comma 2 2 7 3 2 3" xfId="35690" xr:uid="{4DFCB893-F084-4BBA-ACE0-AC737942AD76}"/>
    <cellStyle name="Comma 2 2 7 3 3" xfId="13786" xr:uid="{6B005166-72AF-4F6B-9DD5-3620DCFC0338}"/>
    <cellStyle name="Comma 2 2 7 3 3 2" xfId="50294" xr:uid="{3CB6B11C-A8E2-4113-92B5-B49454BD054F}"/>
    <cellStyle name="Comma 2 2 7 3 3 3" xfId="32040" xr:uid="{AA7C7108-BD0E-4543-947E-0ACBC6DBBC22}"/>
    <cellStyle name="Comma 2 2 7 3 4" xfId="10136" xr:uid="{2F77548A-6185-4FA0-8D80-F91D2DEA65F5}"/>
    <cellStyle name="Comma 2 2 7 3 4 2" xfId="46644" xr:uid="{C2E2C483-D446-426C-A6E0-60D33894536A}"/>
    <cellStyle name="Comma 2 2 7 3 4 3" xfId="28390" xr:uid="{1AB55BA7-3096-4D8A-9F48-D0FC4E99032E}"/>
    <cellStyle name="Comma 2 2 7 3 5" xfId="6486" xr:uid="{A9220E00-187E-4AA8-A2A2-FB437D40DB75}"/>
    <cellStyle name="Comma 2 2 7 3 5 2" xfId="42994" xr:uid="{862AA857-CD22-4E2D-88C5-A3926975512D}"/>
    <cellStyle name="Comma 2 2 7 3 5 3" xfId="24740" xr:uid="{30117E56-F784-465B-9FFB-79F80D26E667}"/>
    <cellStyle name="Comma 2 2 7 3 6" xfId="39344" xr:uid="{69CD3012-6A70-454E-915B-D2D7DF401DA0}"/>
    <cellStyle name="Comma 2 2 7 3 7" xfId="21090" xr:uid="{B38ADD91-63DB-473B-8A00-2A2975FF18E4}"/>
    <cellStyle name="Comma 2 2 7 4" xfId="2106" xr:uid="{22982ADE-3729-4436-9AC3-9CD97C6672EB}"/>
    <cellStyle name="Comma 2 2 7 4 2" xfId="16706" xr:uid="{3D7ECA28-C8F6-4B72-9CD9-B8D1884BC3B3}"/>
    <cellStyle name="Comma 2 2 7 4 2 2" xfId="53214" xr:uid="{C671462E-D8AE-4ED5-B1A3-1B7B58A9E57D}"/>
    <cellStyle name="Comma 2 2 7 4 2 3" xfId="34960" xr:uid="{68A3ED58-592C-4EC6-914E-9EFA5EAA517D}"/>
    <cellStyle name="Comma 2 2 7 4 3" xfId="13056" xr:uid="{AD35BF22-39C3-4033-96BA-8E67356F65F0}"/>
    <cellStyle name="Comma 2 2 7 4 3 2" xfId="49564" xr:uid="{CE033D0D-B213-4F1D-928A-11612B653102}"/>
    <cellStyle name="Comma 2 2 7 4 3 3" xfId="31310" xr:uid="{D5B4E700-00F0-49BC-9DB3-A2F2D2BE8299}"/>
    <cellStyle name="Comma 2 2 7 4 4" xfId="9406" xr:uid="{D73092F1-F2AE-4B60-947B-7A171B6021A5}"/>
    <cellStyle name="Comma 2 2 7 4 4 2" xfId="45914" xr:uid="{6A822D38-8679-4AD6-B0B8-E57668628E42}"/>
    <cellStyle name="Comma 2 2 7 4 4 3" xfId="27660" xr:uid="{1BFBC040-9EFB-45E9-92C2-D8761E0F76E7}"/>
    <cellStyle name="Comma 2 2 7 4 5" xfId="5756" xr:uid="{1B4E36BB-5463-4237-9FF8-0FBA4B015363}"/>
    <cellStyle name="Comma 2 2 7 4 5 2" xfId="42264" xr:uid="{366B9124-9263-48FD-82D5-7265F774A164}"/>
    <cellStyle name="Comma 2 2 7 4 5 3" xfId="24010" xr:uid="{6388F4F6-5458-4946-B0E3-CEF760565DB3}"/>
    <cellStyle name="Comma 2 2 7 4 6" xfId="38614" xr:uid="{B9027490-51FD-414C-A168-729D646A094A}"/>
    <cellStyle name="Comma 2 2 7 4 7" xfId="20360" xr:uid="{107106E9-7842-435C-BC56-9D23952D218C}"/>
    <cellStyle name="Comma 2 2 7 5" xfId="1376" xr:uid="{2A2B420E-B04B-45AE-8B67-E2CA384840B0}"/>
    <cellStyle name="Comma 2 2 7 5 2" xfId="15976" xr:uid="{19F7881D-85D2-409D-B51D-5125199499C0}"/>
    <cellStyle name="Comma 2 2 7 5 2 2" xfId="52484" xr:uid="{C7497CFB-9E01-4A98-8BDB-5DFB6467A488}"/>
    <cellStyle name="Comma 2 2 7 5 2 3" xfId="34230" xr:uid="{62105F97-17EC-4130-BDE6-71F30E533425}"/>
    <cellStyle name="Comma 2 2 7 5 3" xfId="12326" xr:uid="{F3939712-1032-4511-8D00-34F791B1B167}"/>
    <cellStyle name="Comma 2 2 7 5 3 2" xfId="48834" xr:uid="{BEBF8066-C013-4F43-B900-35C9C87E9579}"/>
    <cellStyle name="Comma 2 2 7 5 3 3" xfId="30580" xr:uid="{0E4806EE-A3A4-4AA0-B394-503C0DB8B908}"/>
    <cellStyle name="Comma 2 2 7 5 4" xfId="8676" xr:uid="{E52C346A-4E38-4021-9D87-2DE36F14859B}"/>
    <cellStyle name="Comma 2 2 7 5 4 2" xfId="45184" xr:uid="{858A83EA-679B-48B8-90B2-7A856DF6BFDD}"/>
    <cellStyle name="Comma 2 2 7 5 4 3" xfId="26930" xr:uid="{FEB6FA1D-BDA6-4711-8593-2CCFDE286F0D}"/>
    <cellStyle name="Comma 2 2 7 5 5" xfId="5026" xr:uid="{31677FA4-CB28-4287-8E30-73596B4ED318}"/>
    <cellStyle name="Comma 2 2 7 5 5 2" xfId="41534" xr:uid="{D23C97F1-FCF7-4B17-9E27-1E1B220E85EF}"/>
    <cellStyle name="Comma 2 2 7 5 5 3" xfId="23280" xr:uid="{C394A723-057B-43DC-91C1-B12C1CEDA7C5}"/>
    <cellStyle name="Comma 2 2 7 5 6" xfId="37884" xr:uid="{D4B33A4D-88D0-4C56-BFB2-72DBBC352A9B}"/>
    <cellStyle name="Comma 2 2 7 5 7" xfId="19630" xr:uid="{1C5C9691-4BE5-48A9-8CC6-2AC5D41C986A}"/>
    <cellStyle name="Comma 2 2 7 6" xfId="15246" xr:uid="{2A2858E1-A391-4048-8575-7D41686A1C16}"/>
    <cellStyle name="Comma 2 2 7 6 2" xfId="51754" xr:uid="{865563E1-B0F2-4A21-983F-F52D7003D2DD}"/>
    <cellStyle name="Comma 2 2 7 6 3" xfId="33500" xr:uid="{CF6E1C0D-1A09-4D04-BF87-5B07CF94C05F}"/>
    <cellStyle name="Comma 2 2 7 7" xfId="11596" xr:uid="{B52E831D-93BE-429C-A984-FBEED01C6D8A}"/>
    <cellStyle name="Comma 2 2 7 7 2" xfId="48104" xr:uid="{09A207F5-CC21-44CF-BC5A-FB56152D750A}"/>
    <cellStyle name="Comma 2 2 7 7 3" xfId="29850" xr:uid="{58E04175-494E-41BB-B977-E25EDCCD7054}"/>
    <cellStyle name="Comma 2 2 7 8" xfId="7946" xr:uid="{12313DF6-1ED0-4CA7-B333-D108C2ECDE34}"/>
    <cellStyle name="Comma 2 2 7 8 2" xfId="44454" xr:uid="{94B0B6BA-879F-4C8D-AD67-A86E143BC0C1}"/>
    <cellStyle name="Comma 2 2 7 8 3" xfId="26200" xr:uid="{927A649E-75F8-451F-A495-BD6BE8D36343}"/>
    <cellStyle name="Comma 2 2 7 9" xfId="4296" xr:uid="{EFB0ED8A-A90D-42AC-9245-0A71BC27430C}"/>
    <cellStyle name="Comma 2 2 7 9 2" xfId="40804" xr:uid="{1CFC7475-3FF9-40B1-9471-D15EA1FB46EA}"/>
    <cellStyle name="Comma 2 2 7 9 3" xfId="22550" xr:uid="{230CE6E5-6AD7-42E7-806B-2E6ECA8EABF4}"/>
    <cellStyle name="Comma 2 2 8" xfId="542" xr:uid="{1945EEA1-9945-4741-9CEA-228B43A0BEC7}"/>
    <cellStyle name="Comma 2 2 8 10" xfId="37050" xr:uid="{FDC73235-AABB-4848-AFD5-0D916F80E737}"/>
    <cellStyle name="Comma 2 2 8 11" xfId="18796" xr:uid="{FCA77BEB-BBB9-419A-A5A4-3C1D3D804ADA}"/>
    <cellStyle name="Comma 2 2 8 2" xfId="3462" xr:uid="{E5002157-0457-4096-8F51-DFDBB5CD1BBD}"/>
    <cellStyle name="Comma 2 2 8 2 2" xfId="18062" xr:uid="{BC328EA0-190F-425D-B4CA-9160A94F676E}"/>
    <cellStyle name="Comma 2 2 8 2 2 2" xfId="54570" xr:uid="{8229A0D5-11F5-4B05-B0EB-A5F04621808B}"/>
    <cellStyle name="Comma 2 2 8 2 2 3" xfId="36316" xr:uid="{974A60E7-853E-481F-99F5-8C74D5691C76}"/>
    <cellStyle name="Comma 2 2 8 2 3" xfId="14412" xr:uid="{51C30F80-AAC4-478E-9C93-52926FA99847}"/>
    <cellStyle name="Comma 2 2 8 2 3 2" xfId="50920" xr:uid="{08BE51C1-047C-41F1-B2EC-27483326F44F}"/>
    <cellStyle name="Comma 2 2 8 2 3 3" xfId="32666" xr:uid="{0454CCEB-024E-4D65-9292-BEDDAD19388D}"/>
    <cellStyle name="Comma 2 2 8 2 4" xfId="10762" xr:uid="{573A3B67-294C-458B-AAC4-3F954DF8C13F}"/>
    <cellStyle name="Comma 2 2 8 2 4 2" xfId="47270" xr:uid="{A8FED3B5-AFA4-4958-9809-981CCBB7C0E6}"/>
    <cellStyle name="Comma 2 2 8 2 4 3" xfId="29016" xr:uid="{48172051-AC92-4D16-95D9-31ADB4C013E4}"/>
    <cellStyle name="Comma 2 2 8 2 5" xfId="7112" xr:uid="{AAC56E7D-19D2-465D-90EB-D38B54F5C805}"/>
    <cellStyle name="Comma 2 2 8 2 5 2" xfId="43620" xr:uid="{0FF7BD48-F49F-4579-8245-47873CCCB31B}"/>
    <cellStyle name="Comma 2 2 8 2 5 3" xfId="25366" xr:uid="{C567B7B7-EDA6-4F99-8452-87016DBC40DF}"/>
    <cellStyle name="Comma 2 2 8 2 6" xfId="39970" xr:uid="{9A9CCC4E-BBA1-4B6D-9F31-9F36F9A8CE84}"/>
    <cellStyle name="Comma 2 2 8 2 7" xfId="21716" xr:uid="{31044F45-7733-424B-AE1C-C62BFBAE1C0E}"/>
    <cellStyle name="Comma 2 2 8 3" xfId="2732" xr:uid="{18948DB5-6D4A-4EC1-8065-F8BDF1F41A1A}"/>
    <cellStyle name="Comma 2 2 8 3 2" xfId="17332" xr:uid="{75066CE3-5D01-416D-9D2A-5E4F4FFC18DE}"/>
    <cellStyle name="Comma 2 2 8 3 2 2" xfId="53840" xr:uid="{A075C43C-64FD-423C-B34F-ACE131E3FBEC}"/>
    <cellStyle name="Comma 2 2 8 3 2 3" xfId="35586" xr:uid="{A175E2B5-1C7B-4E55-B563-459FFC853003}"/>
    <cellStyle name="Comma 2 2 8 3 3" xfId="13682" xr:uid="{BBD189F6-1665-43C4-A52F-9610DDD1A13C}"/>
    <cellStyle name="Comma 2 2 8 3 3 2" xfId="50190" xr:uid="{C186ACA5-3D75-4E8C-B06C-C85F75DE9532}"/>
    <cellStyle name="Comma 2 2 8 3 3 3" xfId="31936" xr:uid="{88D23874-6E75-4A55-84FE-3EC8639A8532}"/>
    <cellStyle name="Comma 2 2 8 3 4" xfId="10032" xr:uid="{4B548006-4FA3-42D9-A49C-4EA82D4F6242}"/>
    <cellStyle name="Comma 2 2 8 3 4 2" xfId="46540" xr:uid="{0C38B754-044D-427F-979D-8716220D5958}"/>
    <cellStyle name="Comma 2 2 8 3 4 3" xfId="28286" xr:uid="{818E19C3-FEE8-4055-A934-13A0448CA4C8}"/>
    <cellStyle name="Comma 2 2 8 3 5" xfId="6382" xr:uid="{C6E20CB5-954F-4A86-AFD2-73443FD2DD58}"/>
    <cellStyle name="Comma 2 2 8 3 5 2" xfId="42890" xr:uid="{85965182-199D-4C97-A254-784666796EF9}"/>
    <cellStyle name="Comma 2 2 8 3 5 3" xfId="24636" xr:uid="{A4F81046-E10E-4F80-839F-E9F528A4545A}"/>
    <cellStyle name="Comma 2 2 8 3 6" xfId="39240" xr:uid="{3257D288-7AC7-4808-9E51-0EEB33CF7983}"/>
    <cellStyle name="Comma 2 2 8 3 7" xfId="20986" xr:uid="{6B4806BF-6B7B-44BD-93E0-DA55B193FA82}"/>
    <cellStyle name="Comma 2 2 8 4" xfId="2002" xr:uid="{967A238D-E9D1-4865-8E79-723822CDA5DB}"/>
    <cellStyle name="Comma 2 2 8 4 2" xfId="16602" xr:uid="{220B0A76-ADC2-4EB3-96CF-AC6699D291BA}"/>
    <cellStyle name="Comma 2 2 8 4 2 2" xfId="53110" xr:uid="{F8776121-C82C-4582-878C-2035D9CC5DCE}"/>
    <cellStyle name="Comma 2 2 8 4 2 3" xfId="34856" xr:uid="{0CCA9ED1-3356-4020-AFE5-4063E501BCB7}"/>
    <cellStyle name="Comma 2 2 8 4 3" xfId="12952" xr:uid="{32F6992E-0C0E-468A-B48B-8ADAE76AB5FE}"/>
    <cellStyle name="Comma 2 2 8 4 3 2" xfId="49460" xr:uid="{FD04E843-F44B-4C67-89B7-FF9B6165231E}"/>
    <cellStyle name="Comma 2 2 8 4 3 3" xfId="31206" xr:uid="{9D77F458-32B2-4C8B-87B3-59BFB23CE1C6}"/>
    <cellStyle name="Comma 2 2 8 4 4" xfId="9302" xr:uid="{1BFDDA32-C0F5-4FF5-9F6E-79A33ADC046C}"/>
    <cellStyle name="Comma 2 2 8 4 4 2" xfId="45810" xr:uid="{D59DF9C5-7D8D-458F-977A-22F2350A4AB0}"/>
    <cellStyle name="Comma 2 2 8 4 4 3" xfId="27556" xr:uid="{AB760AB3-5BFD-422D-8551-3288ACE6D57E}"/>
    <cellStyle name="Comma 2 2 8 4 5" xfId="5652" xr:uid="{573DE3BD-011C-4F63-BD29-726CEDA04A1F}"/>
    <cellStyle name="Comma 2 2 8 4 5 2" xfId="42160" xr:uid="{F02F293E-0DCE-4CC2-B16D-C465D69EF133}"/>
    <cellStyle name="Comma 2 2 8 4 5 3" xfId="23906" xr:uid="{440DC5D3-73D4-44A4-A02E-C3DAE47A43E5}"/>
    <cellStyle name="Comma 2 2 8 4 6" xfId="38510" xr:uid="{BC9C6821-7A07-4941-B663-234487F5317D}"/>
    <cellStyle name="Comma 2 2 8 4 7" xfId="20256" xr:uid="{D833C123-4908-46AE-BBE5-34EB49328961}"/>
    <cellStyle name="Comma 2 2 8 5" xfId="1272" xr:uid="{4CBB963B-6B41-437C-8B4B-B11D4A73F7AF}"/>
    <cellStyle name="Comma 2 2 8 5 2" xfId="15872" xr:uid="{6672C444-D123-4060-9D3C-C6ABEE6AF709}"/>
    <cellStyle name="Comma 2 2 8 5 2 2" xfId="52380" xr:uid="{ABB77068-D709-4EFE-8625-D72A5AE1F5E2}"/>
    <cellStyle name="Comma 2 2 8 5 2 3" xfId="34126" xr:uid="{43E8F9BF-3ED8-4697-83B8-890816F828BB}"/>
    <cellStyle name="Comma 2 2 8 5 3" xfId="12222" xr:uid="{509ED472-4723-472A-AC0E-6ADA2A1078A2}"/>
    <cellStyle name="Comma 2 2 8 5 3 2" xfId="48730" xr:uid="{2E6588E8-91D9-4485-ADD7-498178005066}"/>
    <cellStyle name="Comma 2 2 8 5 3 3" xfId="30476" xr:uid="{89619648-80AB-4F95-AB23-35B7D26B1FA5}"/>
    <cellStyle name="Comma 2 2 8 5 4" xfId="8572" xr:uid="{5C650187-B1E9-4AEE-9A00-B41F6AB5F6EF}"/>
    <cellStyle name="Comma 2 2 8 5 4 2" xfId="45080" xr:uid="{8BF69880-9253-4DBF-B79D-559F286434F1}"/>
    <cellStyle name="Comma 2 2 8 5 4 3" xfId="26826" xr:uid="{22AC4761-55E1-47C0-8EC9-B7C354ADBAE1}"/>
    <cellStyle name="Comma 2 2 8 5 5" xfId="4922" xr:uid="{7C24AFE4-80C4-45F2-88A3-9922BA9DDFF9}"/>
    <cellStyle name="Comma 2 2 8 5 5 2" xfId="41430" xr:uid="{49977E36-4B8A-4402-8B0F-169A7D7E94D9}"/>
    <cellStyle name="Comma 2 2 8 5 5 3" xfId="23176" xr:uid="{CC4C2C52-4F67-413C-B19D-A15BE50FBEC2}"/>
    <cellStyle name="Comma 2 2 8 5 6" xfId="37780" xr:uid="{6D004326-B8FC-4D5B-B32A-7C22B544BA83}"/>
    <cellStyle name="Comma 2 2 8 5 7" xfId="19526" xr:uid="{1D06ACD7-C2DF-479D-9120-4C12A8AFCA82}"/>
    <cellStyle name="Comma 2 2 8 6" xfId="15142" xr:uid="{1F6FA125-6272-42AF-9AAA-B8785BC88BF4}"/>
    <cellStyle name="Comma 2 2 8 6 2" xfId="51650" xr:uid="{E424F659-6755-4345-ADC1-4B701CF3A594}"/>
    <cellStyle name="Comma 2 2 8 6 3" xfId="33396" xr:uid="{39383D3B-84A2-4C70-8A68-8841FFEBC487}"/>
    <cellStyle name="Comma 2 2 8 7" xfId="11492" xr:uid="{C01EB63A-9E19-4796-8242-A6EFDC7C2325}"/>
    <cellStyle name="Comma 2 2 8 7 2" xfId="48000" xr:uid="{0F45BDDE-06FE-403D-8BA6-2286B669A027}"/>
    <cellStyle name="Comma 2 2 8 7 3" xfId="29746" xr:uid="{401C60ED-DCB2-484F-AD3F-847B79F7B841}"/>
    <cellStyle name="Comma 2 2 8 8" xfId="7842" xr:uid="{6BF52ABD-A7F0-4C46-ACDD-02717F0EA2F9}"/>
    <cellStyle name="Comma 2 2 8 8 2" xfId="44350" xr:uid="{69E06E95-AAE3-443B-B5C7-230BB1C652D6}"/>
    <cellStyle name="Comma 2 2 8 8 3" xfId="26096" xr:uid="{F01D29E3-E79A-4108-9C30-9848036261BF}"/>
    <cellStyle name="Comma 2 2 8 9" xfId="4192" xr:uid="{D66F3394-C511-4350-BC26-2BA8437C1E61}"/>
    <cellStyle name="Comma 2 2 8 9 2" xfId="40700" xr:uid="{40674688-BF3B-40D0-B437-FD5F1347E4E3}"/>
    <cellStyle name="Comma 2 2 8 9 3" xfId="22446" xr:uid="{F5DA36C0-D221-4F8D-97AD-350DF8CC81BD}"/>
    <cellStyle name="Comma 2 2 9" xfId="438" xr:uid="{A15F7E7E-8F6D-4900-B2CB-E6CF876CEB76}"/>
    <cellStyle name="Comma 2 2 9 10" xfId="36946" xr:uid="{21F92622-1386-4EF1-8245-3B1B5DD12247}"/>
    <cellStyle name="Comma 2 2 9 11" xfId="18692" xr:uid="{75316DD8-A878-42B1-9ADA-CD7ECE7A8BB7}"/>
    <cellStyle name="Comma 2 2 9 2" xfId="3358" xr:uid="{51621361-03AB-4EAD-A43E-15388F212833}"/>
    <cellStyle name="Comma 2 2 9 2 2" xfId="17958" xr:uid="{7956004E-C893-4917-BEA0-620C1EEFA1E5}"/>
    <cellStyle name="Comma 2 2 9 2 2 2" xfId="54466" xr:uid="{20242161-6139-46D6-95B8-91E5FD8027ED}"/>
    <cellStyle name="Comma 2 2 9 2 2 3" xfId="36212" xr:uid="{A56CC575-9567-4FDF-A3CA-6424BE0B13DB}"/>
    <cellStyle name="Comma 2 2 9 2 3" xfId="14308" xr:uid="{CF011FE2-CDCE-46C5-A7E7-2595277AB1DD}"/>
    <cellStyle name="Comma 2 2 9 2 3 2" xfId="50816" xr:uid="{1DC6E379-AF65-434F-B971-0C8DB07A5F96}"/>
    <cellStyle name="Comma 2 2 9 2 3 3" xfId="32562" xr:uid="{6BC91FBF-8391-443B-BACD-C89A24D47D91}"/>
    <cellStyle name="Comma 2 2 9 2 4" xfId="10658" xr:uid="{6F8DAF54-AC45-4EF5-A156-2C14C6F25EBE}"/>
    <cellStyle name="Comma 2 2 9 2 4 2" xfId="47166" xr:uid="{03C2F145-8B99-4C1C-AAA0-65D4CD418C03}"/>
    <cellStyle name="Comma 2 2 9 2 4 3" xfId="28912" xr:uid="{C62DC117-AC48-402C-8B8F-588D467D46B4}"/>
    <cellStyle name="Comma 2 2 9 2 5" xfId="7008" xr:uid="{2F698823-A752-4D3C-A437-F725FEA8B3C0}"/>
    <cellStyle name="Comma 2 2 9 2 5 2" xfId="43516" xr:uid="{926D07DE-6F3F-4330-8D38-DE98F87BC717}"/>
    <cellStyle name="Comma 2 2 9 2 5 3" xfId="25262" xr:uid="{3EFEAB93-04EA-4B04-9860-D0C35CCB89B3}"/>
    <cellStyle name="Comma 2 2 9 2 6" xfId="39866" xr:uid="{482B48AF-2E3F-44E6-B5EB-AADD05CFCD27}"/>
    <cellStyle name="Comma 2 2 9 2 7" xfId="21612" xr:uid="{ABFDFB58-93A7-4D0F-AFB2-4C04C7F66422}"/>
    <cellStyle name="Comma 2 2 9 3" xfId="2628" xr:uid="{7ED35670-F90F-4400-B570-F070D3A93223}"/>
    <cellStyle name="Comma 2 2 9 3 2" xfId="17228" xr:uid="{7CF9CC91-E138-4437-9099-ED992253F4D6}"/>
    <cellStyle name="Comma 2 2 9 3 2 2" xfId="53736" xr:uid="{B0132596-A419-4004-96A0-C89614453B7D}"/>
    <cellStyle name="Comma 2 2 9 3 2 3" xfId="35482" xr:uid="{73270A54-12DE-475D-B5B5-5994B933F0BE}"/>
    <cellStyle name="Comma 2 2 9 3 3" xfId="13578" xr:uid="{712F5258-BE3D-4B45-AF5D-BD8709A094E4}"/>
    <cellStyle name="Comma 2 2 9 3 3 2" xfId="50086" xr:uid="{A2E6CE4F-861F-467E-9B4B-A6E10F7FF7FF}"/>
    <cellStyle name="Comma 2 2 9 3 3 3" xfId="31832" xr:uid="{CFA34AF3-1007-4A8D-8704-76C2FA5E5B3F}"/>
    <cellStyle name="Comma 2 2 9 3 4" xfId="9928" xr:uid="{3AB6E0CE-F350-43FE-B62F-3FC2BAC7422B}"/>
    <cellStyle name="Comma 2 2 9 3 4 2" xfId="46436" xr:uid="{EA8F14B8-D7E4-4ED4-B137-91A61001AF35}"/>
    <cellStyle name="Comma 2 2 9 3 4 3" xfId="28182" xr:uid="{9218BF3C-66E9-4770-BD7B-D99FD9FFCFD4}"/>
    <cellStyle name="Comma 2 2 9 3 5" xfId="6278" xr:uid="{E64A01F6-C095-4598-9E14-4CA51497D821}"/>
    <cellStyle name="Comma 2 2 9 3 5 2" xfId="42786" xr:uid="{843CCF83-4586-4AF0-A406-AF036B45358A}"/>
    <cellStyle name="Comma 2 2 9 3 5 3" xfId="24532" xr:uid="{C86F34CD-F087-49BD-AEE3-C3757A068358}"/>
    <cellStyle name="Comma 2 2 9 3 6" xfId="39136" xr:uid="{00DF8DFA-D079-493E-B0A6-D7928FEDE97C}"/>
    <cellStyle name="Comma 2 2 9 3 7" xfId="20882" xr:uid="{9B629F49-04B5-43C0-B27F-3C050E65950F}"/>
    <cellStyle name="Comma 2 2 9 4" xfId="1898" xr:uid="{5A79A6CF-09C0-42B3-8ED6-D140393EE560}"/>
    <cellStyle name="Comma 2 2 9 4 2" xfId="16498" xr:uid="{45D5D611-A162-4A93-AF1C-0584F42EE3E9}"/>
    <cellStyle name="Comma 2 2 9 4 2 2" xfId="53006" xr:uid="{8CF94D95-943F-4899-8D12-83850E982F52}"/>
    <cellStyle name="Comma 2 2 9 4 2 3" xfId="34752" xr:uid="{5DAD11D6-EA63-4C01-AB18-DD4613D256CE}"/>
    <cellStyle name="Comma 2 2 9 4 3" xfId="12848" xr:uid="{35924E4B-4605-407D-AFAA-E076B0C27F70}"/>
    <cellStyle name="Comma 2 2 9 4 3 2" xfId="49356" xr:uid="{A8670B6A-8E8D-4E18-BFB6-CD35C0481921}"/>
    <cellStyle name="Comma 2 2 9 4 3 3" xfId="31102" xr:uid="{2B40643F-A554-4B7B-A8C7-9EB5901F7B22}"/>
    <cellStyle name="Comma 2 2 9 4 4" xfId="9198" xr:uid="{A3179BD7-B2B4-4B4D-8CF3-CCE375AF7CCB}"/>
    <cellStyle name="Comma 2 2 9 4 4 2" xfId="45706" xr:uid="{02721142-9587-4B93-B932-74193C7A17CB}"/>
    <cellStyle name="Comma 2 2 9 4 4 3" xfId="27452" xr:uid="{F64BAB40-7E73-4741-A8C6-3F9BF1D7C20B}"/>
    <cellStyle name="Comma 2 2 9 4 5" xfId="5548" xr:uid="{FD16D5E4-818A-4BB5-B047-D672EE1BF1FE}"/>
    <cellStyle name="Comma 2 2 9 4 5 2" xfId="42056" xr:uid="{BEE21A16-9686-4890-8580-B3D59D03092C}"/>
    <cellStyle name="Comma 2 2 9 4 5 3" xfId="23802" xr:uid="{0D7DE15A-AF59-42BC-9721-EB7F340ED42C}"/>
    <cellStyle name="Comma 2 2 9 4 6" xfId="38406" xr:uid="{06596C9C-6C51-4C6D-ACEC-16BB0541A63F}"/>
    <cellStyle name="Comma 2 2 9 4 7" xfId="20152" xr:uid="{5C6C73D4-D477-4028-A5C0-079BE4FFC5CE}"/>
    <cellStyle name="Comma 2 2 9 5" xfId="1168" xr:uid="{F322F62B-3B3C-4CFB-98DF-65DF460FAF0F}"/>
    <cellStyle name="Comma 2 2 9 5 2" xfId="15768" xr:uid="{A16F16FF-CEBC-47CB-837C-F25A6C8F0061}"/>
    <cellStyle name="Comma 2 2 9 5 2 2" xfId="52276" xr:uid="{2F3143B2-25ED-4EA8-B73A-3ECD8EEA48F7}"/>
    <cellStyle name="Comma 2 2 9 5 2 3" xfId="34022" xr:uid="{9D7488C4-556F-4F14-B3F1-3F9BBBD3B943}"/>
    <cellStyle name="Comma 2 2 9 5 3" xfId="12118" xr:uid="{30C50816-42EB-41A4-9F3C-3BBF9406DD72}"/>
    <cellStyle name="Comma 2 2 9 5 3 2" xfId="48626" xr:uid="{1CDE914E-99EF-4E25-BA62-42BFA0D39F48}"/>
    <cellStyle name="Comma 2 2 9 5 3 3" xfId="30372" xr:uid="{D1A8D1D3-EFB2-48F8-BC79-6953866859C2}"/>
    <cellStyle name="Comma 2 2 9 5 4" xfId="8468" xr:uid="{6BA79E71-4F10-4324-BB65-548DD7B2A3EC}"/>
    <cellStyle name="Comma 2 2 9 5 4 2" xfId="44976" xr:uid="{E84472FA-8415-41AD-BD38-42109A21B61B}"/>
    <cellStyle name="Comma 2 2 9 5 4 3" xfId="26722" xr:uid="{CD045112-4A59-48F1-B80F-A77616262AD8}"/>
    <cellStyle name="Comma 2 2 9 5 5" xfId="4818" xr:uid="{51091B1C-9947-4A8E-8A7A-7F2CE5D7D25A}"/>
    <cellStyle name="Comma 2 2 9 5 5 2" xfId="41326" xr:uid="{608E0CA1-CA06-44E7-8EC4-39834FF0493C}"/>
    <cellStyle name="Comma 2 2 9 5 5 3" xfId="23072" xr:uid="{7F60332C-090A-4DF8-8BE8-EF6A94232E72}"/>
    <cellStyle name="Comma 2 2 9 5 6" xfId="37676" xr:uid="{778D84C7-1614-41C4-94AC-3F7EE1E43A10}"/>
    <cellStyle name="Comma 2 2 9 5 7" xfId="19422" xr:uid="{88DCDE9D-6650-4FFC-8D18-1860C2C2E444}"/>
    <cellStyle name="Comma 2 2 9 6" xfId="15038" xr:uid="{B3AA2EA3-E89D-449D-8C5B-3548A5A399FB}"/>
    <cellStyle name="Comma 2 2 9 6 2" xfId="51546" xr:uid="{430A0614-36B7-4670-99F3-F59CFC979548}"/>
    <cellStyle name="Comma 2 2 9 6 3" xfId="33292" xr:uid="{12E257B4-951D-4023-AA89-6B27D0BD0009}"/>
    <cellStyle name="Comma 2 2 9 7" xfId="11388" xr:uid="{3BB92FA5-C36C-4B30-83A7-2A117BAC319B}"/>
    <cellStyle name="Comma 2 2 9 7 2" xfId="47896" xr:uid="{8F669E9B-ED45-4730-A833-E9ED76A3B51B}"/>
    <cellStyle name="Comma 2 2 9 7 3" xfId="29642" xr:uid="{C14A412D-8C02-4CC2-96E4-ADB28B7F3D32}"/>
    <cellStyle name="Comma 2 2 9 8" xfId="7738" xr:uid="{AC9A8BCE-D319-498D-A066-8A3B1D954DF2}"/>
    <cellStyle name="Comma 2 2 9 8 2" xfId="44246" xr:uid="{D46439FC-DE4B-4479-BA28-858BE534A5C9}"/>
    <cellStyle name="Comma 2 2 9 8 3" xfId="25992" xr:uid="{596ED200-3EF6-450B-B1DD-153C0164860D}"/>
    <cellStyle name="Comma 2 2 9 9" xfId="4088" xr:uid="{BFAABC12-F501-43F2-A5F9-ABB9D38420A8}"/>
    <cellStyle name="Comma 2 2 9 9 2" xfId="40596" xr:uid="{3F61BCD8-B0D2-4D01-921D-48783A8FEBF4}"/>
    <cellStyle name="Comma 2 2 9 9 3" xfId="22342" xr:uid="{4969BDF7-C353-4F7E-85CA-1FA8685C2BCC}"/>
    <cellStyle name="Comma 2 20" xfId="7320" xr:uid="{42F64E01-A524-48D4-BB82-47B57C4EDBA4}"/>
    <cellStyle name="Comma 2 20 2" xfId="43828" xr:uid="{BF5C08EC-9141-46D6-8645-484034010974}"/>
    <cellStyle name="Comma 2 20 3" xfId="25574" xr:uid="{6F979316-42C7-40E8-8F6E-2B102FBBD16A}"/>
    <cellStyle name="Comma 2 21" xfId="3670" xr:uid="{49D5FC70-1BC4-4625-AFBB-238917BA88D5}"/>
    <cellStyle name="Comma 2 21 2" xfId="40178" xr:uid="{05BCB961-3A9A-4B50-8D16-2680FA37AF9F}"/>
    <cellStyle name="Comma 2 21 3" xfId="21924" xr:uid="{9DE48107-FEFA-43BF-89F2-DB1ACB38553C}"/>
    <cellStyle name="Comma 2 22" xfId="36528" xr:uid="{93813F34-7D02-4F42-B6A1-49F76362452A}"/>
    <cellStyle name="Comma 2 23" xfId="18274" xr:uid="{BA9529E0-BAC2-4F5C-BD07-AE5BEDC33F74}"/>
    <cellStyle name="Comma 2 3" xfId="12" xr:uid="{00000000-0005-0000-0000-000006000000}"/>
    <cellStyle name="Comma 2 3 10" xfId="232" xr:uid="{02E5B670-7064-495D-93DF-5982766ED7EB}"/>
    <cellStyle name="Comma 2 3 10 10" xfId="36740" xr:uid="{EF5E3CBC-4A19-4BB2-AE5B-00C555F85386}"/>
    <cellStyle name="Comma 2 3 10 11" xfId="18486" xr:uid="{4EC01494-EA4F-456E-9C34-789CEBF570B0}"/>
    <cellStyle name="Comma 2 3 10 2" xfId="3152" xr:uid="{C7447157-4D13-498F-A787-AAAD9932E6E8}"/>
    <cellStyle name="Comma 2 3 10 2 2" xfId="17752" xr:uid="{D0946293-4AAC-4DC7-9819-994926A40C79}"/>
    <cellStyle name="Comma 2 3 10 2 2 2" xfId="54260" xr:uid="{5912EBD2-100D-4AC1-9D91-83E38AC1E7F7}"/>
    <cellStyle name="Comma 2 3 10 2 2 3" xfId="36006" xr:uid="{2F1BB18E-4213-427F-92A9-6B5DE05FAC07}"/>
    <cellStyle name="Comma 2 3 10 2 3" xfId="14102" xr:uid="{64CD7848-815B-4B91-B0A8-91406FDBA021}"/>
    <cellStyle name="Comma 2 3 10 2 3 2" xfId="50610" xr:uid="{9C49AF13-6427-4FAA-BE04-8609B9C4B4C1}"/>
    <cellStyle name="Comma 2 3 10 2 3 3" xfId="32356" xr:uid="{559D01A5-49D5-4AF0-A19D-034107209BF5}"/>
    <cellStyle name="Comma 2 3 10 2 4" xfId="10452" xr:uid="{27F000E1-D70E-48BE-8642-43B0615F434D}"/>
    <cellStyle name="Comma 2 3 10 2 4 2" xfId="46960" xr:uid="{4559BD73-DF37-47C7-947D-08F4884E8711}"/>
    <cellStyle name="Comma 2 3 10 2 4 3" xfId="28706" xr:uid="{E9D3FE95-9885-4CB3-944A-5D3F39EE76EE}"/>
    <cellStyle name="Comma 2 3 10 2 5" xfId="6802" xr:uid="{DF303845-D31F-40B3-80E2-851033DF2A56}"/>
    <cellStyle name="Comma 2 3 10 2 5 2" xfId="43310" xr:uid="{E33BCADB-9D1B-4F70-8EF5-6F8C12B6BA27}"/>
    <cellStyle name="Comma 2 3 10 2 5 3" xfId="25056" xr:uid="{DBB329CB-D32B-4946-AB0A-78B3699C7FF0}"/>
    <cellStyle name="Comma 2 3 10 2 6" xfId="39660" xr:uid="{60B4FC26-4007-4660-8264-D1DDB9628297}"/>
    <cellStyle name="Comma 2 3 10 2 7" xfId="21406" xr:uid="{A54A3C16-ADF7-45B6-BC22-E5098136C33F}"/>
    <cellStyle name="Comma 2 3 10 3" xfId="2422" xr:uid="{40CA014D-9920-47AB-911E-090B4D10C9CC}"/>
    <cellStyle name="Comma 2 3 10 3 2" xfId="17022" xr:uid="{A859533F-D079-4335-8BE8-3B587B3515E6}"/>
    <cellStyle name="Comma 2 3 10 3 2 2" xfId="53530" xr:uid="{5003ED38-2FF5-4B1C-A43B-57B5AB5C7DB1}"/>
    <cellStyle name="Comma 2 3 10 3 2 3" xfId="35276" xr:uid="{2798B02A-CC31-424A-BA20-4E213FF03CEA}"/>
    <cellStyle name="Comma 2 3 10 3 3" xfId="13372" xr:uid="{B828CCD6-3A01-489B-9118-FE59B9BA322E}"/>
    <cellStyle name="Comma 2 3 10 3 3 2" xfId="49880" xr:uid="{9590FF90-E72E-4AAB-A869-B1D5C3C87B22}"/>
    <cellStyle name="Comma 2 3 10 3 3 3" xfId="31626" xr:uid="{F69F170B-E948-4B4B-911A-A31DE48848CC}"/>
    <cellStyle name="Comma 2 3 10 3 4" xfId="9722" xr:uid="{89166481-10EB-4F24-8962-1E41CEDAC18E}"/>
    <cellStyle name="Comma 2 3 10 3 4 2" xfId="46230" xr:uid="{15635ECE-6F49-49F0-B762-4BAD2FCDF6B0}"/>
    <cellStyle name="Comma 2 3 10 3 4 3" xfId="27976" xr:uid="{12F54A6C-4793-4494-848D-D1E7661EA90C}"/>
    <cellStyle name="Comma 2 3 10 3 5" xfId="6072" xr:uid="{EC0A939A-696C-465B-B563-B9AF1D7D80A5}"/>
    <cellStyle name="Comma 2 3 10 3 5 2" xfId="42580" xr:uid="{C3057CCB-F279-4CD6-A120-9B7BFE372A26}"/>
    <cellStyle name="Comma 2 3 10 3 5 3" xfId="24326" xr:uid="{34A36539-AC78-4BD8-9126-002AAA1D24F1}"/>
    <cellStyle name="Comma 2 3 10 3 6" xfId="38930" xr:uid="{D0A84423-2293-4979-B4DE-9E6A4A8A9EB0}"/>
    <cellStyle name="Comma 2 3 10 3 7" xfId="20676" xr:uid="{E7E40A19-1313-41A0-B4C7-CACC82F62A08}"/>
    <cellStyle name="Comma 2 3 10 4" xfId="1692" xr:uid="{080CF5E2-980D-4340-8BC3-063560AD81CE}"/>
    <cellStyle name="Comma 2 3 10 4 2" xfId="16292" xr:uid="{3177FFFA-1DC6-42E9-9028-B96BBAE0A90A}"/>
    <cellStyle name="Comma 2 3 10 4 2 2" xfId="52800" xr:uid="{570B8BBB-3752-47B1-96BE-A4F97F5F5EDB}"/>
    <cellStyle name="Comma 2 3 10 4 2 3" xfId="34546" xr:uid="{67DDC061-E5C3-4C58-ABB6-986FB22B1596}"/>
    <cellStyle name="Comma 2 3 10 4 3" xfId="12642" xr:uid="{292311E7-0F77-40A5-8068-F7A83C7A9B9E}"/>
    <cellStyle name="Comma 2 3 10 4 3 2" xfId="49150" xr:uid="{A2555835-F784-4A36-9A70-75CADD5E6BB2}"/>
    <cellStyle name="Comma 2 3 10 4 3 3" xfId="30896" xr:uid="{2E82870A-CC55-4D47-B8C8-2950803C42F9}"/>
    <cellStyle name="Comma 2 3 10 4 4" xfId="8992" xr:uid="{2471BF28-3178-478B-BE59-52519CFC2EEB}"/>
    <cellStyle name="Comma 2 3 10 4 4 2" xfId="45500" xr:uid="{9DC04454-6AD4-41B6-974F-001A643195FD}"/>
    <cellStyle name="Comma 2 3 10 4 4 3" xfId="27246" xr:uid="{55269C5D-1507-43D7-AB85-E9CBA3DE4A87}"/>
    <cellStyle name="Comma 2 3 10 4 5" xfId="5342" xr:uid="{1B5345E1-783B-4A6B-A901-7DD7025F7D91}"/>
    <cellStyle name="Comma 2 3 10 4 5 2" xfId="41850" xr:uid="{7E8D1A13-4EDD-4643-9AB8-B9E54F4A1B3A}"/>
    <cellStyle name="Comma 2 3 10 4 5 3" xfId="23596" xr:uid="{A8B9D580-6BA4-4586-A3D1-432F52404CA2}"/>
    <cellStyle name="Comma 2 3 10 4 6" xfId="38200" xr:uid="{C281BA8A-E776-42FC-8DA3-A891EE73A546}"/>
    <cellStyle name="Comma 2 3 10 4 7" xfId="19946" xr:uid="{78DA1636-0C73-4BBC-9A9E-F47CFD86DB5E}"/>
    <cellStyle name="Comma 2 3 10 5" xfId="962" xr:uid="{83F8DA44-4388-4226-820C-52F4791EA558}"/>
    <cellStyle name="Comma 2 3 10 5 2" xfId="15562" xr:uid="{4ABA04B9-3029-4E3B-82B5-81BDF6786D1D}"/>
    <cellStyle name="Comma 2 3 10 5 2 2" xfId="52070" xr:uid="{AA368B82-C5A7-4A20-B743-66AC0B9FB215}"/>
    <cellStyle name="Comma 2 3 10 5 2 3" xfId="33816" xr:uid="{4509A9EB-8CA1-47EF-9038-CAC7C7A04B0E}"/>
    <cellStyle name="Comma 2 3 10 5 3" xfId="11912" xr:uid="{97C8A405-C004-4036-BD4B-0373A74CAA9B}"/>
    <cellStyle name="Comma 2 3 10 5 3 2" xfId="48420" xr:uid="{C14F3780-D23E-44A0-AF54-D0A30768D055}"/>
    <cellStyle name="Comma 2 3 10 5 3 3" xfId="30166" xr:uid="{DE8B39A7-729F-40D6-AFE5-16B566175AAB}"/>
    <cellStyle name="Comma 2 3 10 5 4" xfId="8262" xr:uid="{23BBCD67-BD44-4631-A532-C48D3D75C12A}"/>
    <cellStyle name="Comma 2 3 10 5 4 2" xfId="44770" xr:uid="{8312B2DB-E934-4E74-973E-D51C56EC75BB}"/>
    <cellStyle name="Comma 2 3 10 5 4 3" xfId="26516" xr:uid="{3D67C547-5FAC-47A8-8127-2A92DA77B5F0}"/>
    <cellStyle name="Comma 2 3 10 5 5" xfId="4612" xr:uid="{651A5DBB-B2ED-4884-A38B-7644F7071202}"/>
    <cellStyle name="Comma 2 3 10 5 5 2" xfId="41120" xr:uid="{F75D032F-B732-4C33-B9D7-538B2BBAE469}"/>
    <cellStyle name="Comma 2 3 10 5 5 3" xfId="22866" xr:uid="{4E7BFF34-0497-4C21-A56D-CE711B124B80}"/>
    <cellStyle name="Comma 2 3 10 5 6" xfId="37470" xr:uid="{59CC2C6E-86AD-460B-AC9E-02BC5FBBA20F}"/>
    <cellStyle name="Comma 2 3 10 5 7" xfId="19216" xr:uid="{2C03CCC8-27ED-4CF1-BF5A-A8076D6F870A}"/>
    <cellStyle name="Comma 2 3 10 6" xfId="14832" xr:uid="{04DC8CE8-A7ED-4C22-AAA8-69715E5B612A}"/>
    <cellStyle name="Comma 2 3 10 6 2" xfId="51340" xr:uid="{981AD27F-DFD8-4948-AB3B-54B523F3535C}"/>
    <cellStyle name="Comma 2 3 10 6 3" xfId="33086" xr:uid="{A3BDAD05-D113-40B0-92B3-90250A2E5933}"/>
    <cellStyle name="Comma 2 3 10 7" xfId="11182" xr:uid="{9553EB6E-F8D3-4795-9819-2F836A5D7A4C}"/>
    <cellStyle name="Comma 2 3 10 7 2" xfId="47690" xr:uid="{CE637B64-9741-4BEA-9267-FEFCD9503E9F}"/>
    <cellStyle name="Comma 2 3 10 7 3" xfId="29436" xr:uid="{A715738C-54C4-46DF-9079-0707D6800220}"/>
    <cellStyle name="Comma 2 3 10 8" xfId="7532" xr:uid="{62BC8C38-2157-4E4D-8D12-A4C8C8C6E179}"/>
    <cellStyle name="Comma 2 3 10 8 2" xfId="44040" xr:uid="{D082D841-5C9E-491E-AE76-2FBD93A3259B}"/>
    <cellStyle name="Comma 2 3 10 8 3" xfId="25786" xr:uid="{205FEBE6-DAE3-4CA2-AD69-2C96C4AD67DE}"/>
    <cellStyle name="Comma 2 3 10 9" xfId="3882" xr:uid="{782AF7CF-B986-42E2-A912-7C0E8AF42858}"/>
    <cellStyle name="Comma 2 3 10 9 2" xfId="40390" xr:uid="{67A91C0B-E948-46E1-816A-900886404336}"/>
    <cellStyle name="Comma 2 3 10 9 3" xfId="22136" xr:uid="{4B72A10E-BABD-45A6-B989-2E6DE360A9FA}"/>
    <cellStyle name="Comma 2 3 11" xfId="128" xr:uid="{8FD21611-656D-4DF8-8FA9-7277B1E43730}"/>
    <cellStyle name="Comma 2 3 11 10" xfId="36636" xr:uid="{5D6960BB-DDC9-4CA4-8007-A30B3CEED56A}"/>
    <cellStyle name="Comma 2 3 11 11" xfId="18382" xr:uid="{C5A5B493-ADD0-414E-AAE9-4C5B617C788B}"/>
    <cellStyle name="Comma 2 3 11 2" xfId="3048" xr:uid="{3D65C86B-42F0-4496-848F-6DE4FC978F8E}"/>
    <cellStyle name="Comma 2 3 11 2 2" xfId="17648" xr:uid="{F5525A06-21A7-4F65-89DB-2E9651B1E0CC}"/>
    <cellStyle name="Comma 2 3 11 2 2 2" xfId="54156" xr:uid="{3B4B64E9-456A-4408-AF1E-F3BCADC13C61}"/>
    <cellStyle name="Comma 2 3 11 2 2 3" xfId="35902" xr:uid="{EB550078-EF4E-41DE-A699-63C4ABCEDBC9}"/>
    <cellStyle name="Comma 2 3 11 2 3" xfId="13998" xr:uid="{8A8D5DF9-0B9B-426F-A1E8-D48955733863}"/>
    <cellStyle name="Comma 2 3 11 2 3 2" xfId="50506" xr:uid="{4D0E2934-D465-4C88-8C48-1896E6072F9C}"/>
    <cellStyle name="Comma 2 3 11 2 3 3" xfId="32252" xr:uid="{4675D2B2-13DB-404C-9EDF-DA92637F4673}"/>
    <cellStyle name="Comma 2 3 11 2 4" xfId="10348" xr:uid="{60B6FE27-1637-4DC5-9E83-C5F6333F731A}"/>
    <cellStyle name="Comma 2 3 11 2 4 2" xfId="46856" xr:uid="{5CF45DCE-9D73-40DA-8861-DAC0A54663D7}"/>
    <cellStyle name="Comma 2 3 11 2 4 3" xfId="28602" xr:uid="{F7AF28A4-F22E-41ED-981D-5EAF29BC6800}"/>
    <cellStyle name="Comma 2 3 11 2 5" xfId="6698" xr:uid="{025CD4AF-204D-4089-8C72-F2335227552D}"/>
    <cellStyle name="Comma 2 3 11 2 5 2" xfId="43206" xr:uid="{38293E14-F670-4ED4-84AC-553E2C69F2E7}"/>
    <cellStyle name="Comma 2 3 11 2 5 3" xfId="24952" xr:uid="{D991F615-0858-409D-BBEB-73E653042390}"/>
    <cellStyle name="Comma 2 3 11 2 6" xfId="39556" xr:uid="{5A982D91-C260-49D6-97BC-27AF311D83AE}"/>
    <cellStyle name="Comma 2 3 11 2 7" xfId="21302" xr:uid="{6BA67422-0D05-4BCC-A73F-6574BE452595}"/>
    <cellStyle name="Comma 2 3 11 3" xfId="2318" xr:uid="{470C7C8C-DE59-4F7D-A0EA-B7B2E5765FE4}"/>
    <cellStyle name="Comma 2 3 11 3 2" xfId="16918" xr:uid="{AF950B2B-7F74-4971-89B3-586FE6FFC6CF}"/>
    <cellStyle name="Comma 2 3 11 3 2 2" xfId="53426" xr:uid="{255A00A3-D07F-472A-A5C7-71A887BC9454}"/>
    <cellStyle name="Comma 2 3 11 3 2 3" xfId="35172" xr:uid="{99E219CD-52AF-4E84-861C-6CD3A3FCBAFE}"/>
    <cellStyle name="Comma 2 3 11 3 3" xfId="13268" xr:uid="{42A4D939-A0AF-4B53-B545-8EABFD809499}"/>
    <cellStyle name="Comma 2 3 11 3 3 2" xfId="49776" xr:uid="{FDD6AC36-7F64-4773-8EBA-4AD73D0281DD}"/>
    <cellStyle name="Comma 2 3 11 3 3 3" xfId="31522" xr:uid="{EDFF42FE-6193-4917-961D-B94AE59DB481}"/>
    <cellStyle name="Comma 2 3 11 3 4" xfId="9618" xr:uid="{F56E8E10-BCDF-431D-AB9D-BDF92CB49B1B}"/>
    <cellStyle name="Comma 2 3 11 3 4 2" xfId="46126" xr:uid="{C8C33DB1-651D-43A9-90BA-2D221EC3D66F}"/>
    <cellStyle name="Comma 2 3 11 3 4 3" xfId="27872" xr:uid="{C1ADCD34-E325-4F8E-A996-F4741321DCF2}"/>
    <cellStyle name="Comma 2 3 11 3 5" xfId="5968" xr:uid="{4679A974-0742-4E5E-A17C-6DDD0312F48E}"/>
    <cellStyle name="Comma 2 3 11 3 5 2" xfId="42476" xr:uid="{F41B3A33-82AC-4DFC-9D21-34B0E193728F}"/>
    <cellStyle name="Comma 2 3 11 3 5 3" xfId="24222" xr:uid="{5AFB5AC6-8C4C-4409-9EBA-6B0532D3D0F8}"/>
    <cellStyle name="Comma 2 3 11 3 6" xfId="38826" xr:uid="{3993E052-9BFF-4AB6-B23F-F427C5CC0012}"/>
    <cellStyle name="Comma 2 3 11 3 7" xfId="20572" xr:uid="{2AC1F05A-4843-48E7-B736-9083FEAACBAB}"/>
    <cellStyle name="Comma 2 3 11 4" xfId="1588" xr:uid="{E4BB66DB-4CE1-4557-96B6-155032991EDA}"/>
    <cellStyle name="Comma 2 3 11 4 2" xfId="16188" xr:uid="{976CAD37-9F8E-41F8-BB1F-CCCE3C76785D}"/>
    <cellStyle name="Comma 2 3 11 4 2 2" xfId="52696" xr:uid="{D7A8B748-BC25-4062-B170-6163FA18DC2C}"/>
    <cellStyle name="Comma 2 3 11 4 2 3" xfId="34442" xr:uid="{4F1FBAEF-6E0D-4E3E-9189-124EE586B08C}"/>
    <cellStyle name="Comma 2 3 11 4 3" xfId="12538" xr:uid="{BA2B0907-6F1E-4A4A-920A-35E8BC040B7A}"/>
    <cellStyle name="Comma 2 3 11 4 3 2" xfId="49046" xr:uid="{7D30FFBA-E925-44F6-9CC2-9D7A91758471}"/>
    <cellStyle name="Comma 2 3 11 4 3 3" xfId="30792" xr:uid="{E63D24F9-45C6-4C4B-9A1E-BD569D793F3A}"/>
    <cellStyle name="Comma 2 3 11 4 4" xfId="8888" xr:uid="{57D59344-DD23-4671-8013-49FE4A045C82}"/>
    <cellStyle name="Comma 2 3 11 4 4 2" xfId="45396" xr:uid="{63DB5BC8-D4BC-4BBE-BC19-94845F1AE943}"/>
    <cellStyle name="Comma 2 3 11 4 4 3" xfId="27142" xr:uid="{C87718F6-BAC5-4C2D-8ADE-6C5717E3E16D}"/>
    <cellStyle name="Comma 2 3 11 4 5" xfId="5238" xr:uid="{BA930933-8A9E-4F09-888E-FD71629837E9}"/>
    <cellStyle name="Comma 2 3 11 4 5 2" xfId="41746" xr:uid="{F607F163-7FAA-4F44-B2C9-86D2B50005E4}"/>
    <cellStyle name="Comma 2 3 11 4 5 3" xfId="23492" xr:uid="{9AE5D8C4-3EC1-4777-B990-57D9F652A590}"/>
    <cellStyle name="Comma 2 3 11 4 6" xfId="38096" xr:uid="{FEA46CA9-14FB-4319-B434-B007CC6C148E}"/>
    <cellStyle name="Comma 2 3 11 4 7" xfId="19842" xr:uid="{89244347-1F26-407F-82FF-C92C1E15D26D}"/>
    <cellStyle name="Comma 2 3 11 5" xfId="858" xr:uid="{E9C76475-8DF8-4EFE-B28F-BAC661FABF00}"/>
    <cellStyle name="Comma 2 3 11 5 2" xfId="15458" xr:uid="{347D8708-CE54-4964-8986-58D64C952409}"/>
    <cellStyle name="Comma 2 3 11 5 2 2" xfId="51966" xr:uid="{BC52DE86-CB19-4361-AB57-0CC8CD3A2176}"/>
    <cellStyle name="Comma 2 3 11 5 2 3" xfId="33712" xr:uid="{597FFB19-6226-4766-8ABE-0EFE8C03C11F}"/>
    <cellStyle name="Comma 2 3 11 5 3" xfId="11808" xr:uid="{1D69EBDD-05AD-46DB-B599-72072370AA66}"/>
    <cellStyle name="Comma 2 3 11 5 3 2" xfId="48316" xr:uid="{BB589C50-5B60-447E-9EFC-533836EF2D00}"/>
    <cellStyle name="Comma 2 3 11 5 3 3" xfId="30062" xr:uid="{DFDA9DF1-ECD1-4187-9288-B581445F89AF}"/>
    <cellStyle name="Comma 2 3 11 5 4" xfId="8158" xr:uid="{A247B50C-B6F7-48A1-9672-BB6C635E9FF9}"/>
    <cellStyle name="Comma 2 3 11 5 4 2" xfId="44666" xr:uid="{162C2348-5126-479D-9B43-E41EBFD1E1D8}"/>
    <cellStyle name="Comma 2 3 11 5 4 3" xfId="26412" xr:uid="{E3D5AD1D-1BAB-4F66-8CAD-7A5AB8D531F3}"/>
    <cellStyle name="Comma 2 3 11 5 5" xfId="4508" xr:uid="{7E75992A-88EB-4446-8B56-A9C12D8679E6}"/>
    <cellStyle name="Comma 2 3 11 5 5 2" xfId="41016" xr:uid="{492ABBFA-8B62-4402-AFE6-7D4E6D4A5BBC}"/>
    <cellStyle name="Comma 2 3 11 5 5 3" xfId="22762" xr:uid="{DD001D01-4168-43A1-9822-11B929A77601}"/>
    <cellStyle name="Comma 2 3 11 5 6" xfId="37366" xr:uid="{8D12921B-5620-4FA7-B6CB-B94AF21920C1}"/>
    <cellStyle name="Comma 2 3 11 5 7" xfId="19112" xr:uid="{4C84E2CB-D34A-4036-BD1E-9F36F3466348}"/>
    <cellStyle name="Comma 2 3 11 6" xfId="14728" xr:uid="{391F1331-90AA-4A55-AC17-9A303F4CB80B}"/>
    <cellStyle name="Comma 2 3 11 6 2" xfId="51236" xr:uid="{5D6CA3CC-9EFC-4C72-A99A-2B7C55DEE140}"/>
    <cellStyle name="Comma 2 3 11 6 3" xfId="32982" xr:uid="{18FB8B89-145C-4A99-A55A-FECAF628AE7C}"/>
    <cellStyle name="Comma 2 3 11 7" xfId="11078" xr:uid="{CE9DF0E4-D490-41BC-BADE-7CE8F36115C9}"/>
    <cellStyle name="Comma 2 3 11 7 2" xfId="47586" xr:uid="{424F100B-47D0-46DE-BCA2-C328B219932C}"/>
    <cellStyle name="Comma 2 3 11 7 3" xfId="29332" xr:uid="{DAA1A93B-D8A9-4DDA-BC15-F7A3054C2D03}"/>
    <cellStyle name="Comma 2 3 11 8" xfId="7428" xr:uid="{5A13C12A-6C86-44B5-B7E7-913A71449BA1}"/>
    <cellStyle name="Comma 2 3 11 8 2" xfId="43936" xr:uid="{201F423B-4AAC-4D5F-8618-D98C6F97CDC4}"/>
    <cellStyle name="Comma 2 3 11 8 3" xfId="25682" xr:uid="{17BA2E3F-D948-4287-86E1-0FF9BD9897F2}"/>
    <cellStyle name="Comma 2 3 11 9" xfId="3778" xr:uid="{94450519-A005-4F57-9693-2F548A4E2282}"/>
    <cellStyle name="Comma 2 3 11 9 2" xfId="40286" xr:uid="{990F8FE5-4549-49D7-BD59-223870906D3B}"/>
    <cellStyle name="Comma 2 3 11 9 3" xfId="22032" xr:uid="{3434DC8E-2D74-4EFB-8184-2920AAAA9F3C}"/>
    <cellStyle name="Comma 2 3 12" xfId="2944" xr:uid="{C0765C0C-D0C2-41B1-BE2D-EF7D99050CCE}"/>
    <cellStyle name="Comma 2 3 12 2" xfId="17544" xr:uid="{84E247AD-989B-49A6-987F-4567EFB0AB05}"/>
    <cellStyle name="Comma 2 3 12 2 2" xfId="54052" xr:uid="{2662C25C-F818-4974-BEAB-0679980FC518}"/>
    <cellStyle name="Comma 2 3 12 2 3" xfId="35798" xr:uid="{8319C45D-E9E3-4F1D-B606-BA5D12003975}"/>
    <cellStyle name="Comma 2 3 12 3" xfId="13894" xr:uid="{5F83EED8-855C-4271-965E-200951139358}"/>
    <cellStyle name="Comma 2 3 12 3 2" xfId="50402" xr:uid="{F8D79C8D-87AE-41FD-B730-61EAE670B309}"/>
    <cellStyle name="Comma 2 3 12 3 3" xfId="32148" xr:uid="{ED56B5CA-B7A8-4B8D-A726-874C8090F0FA}"/>
    <cellStyle name="Comma 2 3 12 4" xfId="10244" xr:uid="{927FB2D1-1AD5-4E61-AE1B-9A4431AE89F9}"/>
    <cellStyle name="Comma 2 3 12 4 2" xfId="46752" xr:uid="{5CBB4C1E-A9BD-42A8-80E0-19222475E6F2}"/>
    <cellStyle name="Comma 2 3 12 4 3" xfId="28498" xr:uid="{1BFA6E6D-1E1F-42AF-8560-E8D982B26C8D}"/>
    <cellStyle name="Comma 2 3 12 5" xfId="6594" xr:uid="{04AFDE1B-81F9-4013-A11B-1517BFD84CAC}"/>
    <cellStyle name="Comma 2 3 12 5 2" xfId="43102" xr:uid="{2B43E9EC-3EF9-488D-975D-932254B68849}"/>
    <cellStyle name="Comma 2 3 12 5 3" xfId="24848" xr:uid="{FAA770B9-02FA-4D70-979D-5367D2574A28}"/>
    <cellStyle name="Comma 2 3 12 6" xfId="39452" xr:uid="{9279C620-45F1-460A-9562-FF1EFFB9DDC5}"/>
    <cellStyle name="Comma 2 3 12 7" xfId="21198" xr:uid="{A49A695B-7942-4000-8691-9BEC05500149}"/>
    <cellStyle name="Comma 2 3 13" xfId="2214" xr:uid="{7AEA1993-E5FD-490C-925E-82D88C3A3A8A}"/>
    <cellStyle name="Comma 2 3 13 2" xfId="16814" xr:uid="{B1B87151-61DB-4672-8876-400E381D08F5}"/>
    <cellStyle name="Comma 2 3 13 2 2" xfId="53322" xr:uid="{E70E949D-D7B7-410B-B432-1A7F10896768}"/>
    <cellStyle name="Comma 2 3 13 2 3" xfId="35068" xr:uid="{272F8D78-EC5E-4559-8527-4138F3295600}"/>
    <cellStyle name="Comma 2 3 13 3" xfId="13164" xr:uid="{DF852760-CBF3-4C71-8C6C-5A05DD1AEE6A}"/>
    <cellStyle name="Comma 2 3 13 3 2" xfId="49672" xr:uid="{EC2F332F-CDBC-4687-B812-F7A45AFF5ABC}"/>
    <cellStyle name="Comma 2 3 13 3 3" xfId="31418" xr:uid="{F4D3B19C-B55B-4C61-841D-6E4D8F094EAF}"/>
    <cellStyle name="Comma 2 3 13 4" xfId="9514" xr:uid="{B0633627-D1B7-4ABC-91B0-231FDC87DE2D}"/>
    <cellStyle name="Comma 2 3 13 4 2" xfId="46022" xr:uid="{0E21F006-F4A9-487A-B8DA-A21275FDFC13}"/>
    <cellStyle name="Comma 2 3 13 4 3" xfId="27768" xr:uid="{2C2210A1-008E-4484-8229-A8C898264B41}"/>
    <cellStyle name="Comma 2 3 13 5" xfId="5864" xr:uid="{951F019C-A102-4C3D-9CE3-140DEF82D6CD}"/>
    <cellStyle name="Comma 2 3 13 5 2" xfId="42372" xr:uid="{E53109C1-2120-4678-8A10-BBD8E94C81CE}"/>
    <cellStyle name="Comma 2 3 13 5 3" xfId="24118" xr:uid="{C8C65B24-F6A1-490F-891E-56908C652115}"/>
    <cellStyle name="Comma 2 3 13 6" xfId="38722" xr:uid="{4C8496BC-A323-401C-BC59-BD1F444244AB}"/>
    <cellStyle name="Comma 2 3 13 7" xfId="20468" xr:uid="{A14168D5-A266-46C3-A70E-C7371F6CE947}"/>
    <cellStyle name="Comma 2 3 14" xfId="1484" xr:uid="{92ED2DE3-BEEF-482E-BD5B-75C8AB418C02}"/>
    <cellStyle name="Comma 2 3 14 2" xfId="16084" xr:uid="{9AF76133-AA0A-4773-BF26-95392C8B3C5F}"/>
    <cellStyle name="Comma 2 3 14 2 2" xfId="52592" xr:uid="{95C8C2EF-24C4-4777-A5DA-ADAEF287FCAF}"/>
    <cellStyle name="Comma 2 3 14 2 3" xfId="34338" xr:uid="{4F2EF9E3-6004-4713-95F3-40F23D01AEC0}"/>
    <cellStyle name="Comma 2 3 14 3" xfId="12434" xr:uid="{CE4FB6C1-1703-43D8-902F-F889E8D1B7A8}"/>
    <cellStyle name="Comma 2 3 14 3 2" xfId="48942" xr:uid="{0CCE018F-09F4-4599-8D0F-B99FE1296C57}"/>
    <cellStyle name="Comma 2 3 14 3 3" xfId="30688" xr:uid="{8D1EEDBD-BEA1-4636-84F2-314E1877BEBD}"/>
    <cellStyle name="Comma 2 3 14 4" xfId="8784" xr:uid="{13CAF1EC-422D-4856-BB0D-4C41E47358C0}"/>
    <cellStyle name="Comma 2 3 14 4 2" xfId="45292" xr:uid="{ACA2EA1C-1B18-4F1B-AE67-D5C4E5CE6D4D}"/>
    <cellStyle name="Comma 2 3 14 4 3" xfId="27038" xr:uid="{76AC93CB-FD1E-4101-9655-4E6D4E614DF3}"/>
    <cellStyle name="Comma 2 3 14 5" xfId="5134" xr:uid="{6BFA8550-B4A4-47C9-AEFF-E895F02D12FB}"/>
    <cellStyle name="Comma 2 3 14 5 2" xfId="41642" xr:uid="{023C2FE4-5176-427D-BE29-EF36D6775FFA}"/>
    <cellStyle name="Comma 2 3 14 5 3" xfId="23388" xr:uid="{71CE8BEC-0E66-4CF4-8FC6-6FF3BFBBB266}"/>
    <cellStyle name="Comma 2 3 14 6" xfId="37992" xr:uid="{5C271612-863E-4DD3-9A83-C7D1F692C5F4}"/>
    <cellStyle name="Comma 2 3 14 7" xfId="19738" xr:uid="{7E65E412-6AB5-4866-897D-354577E89A37}"/>
    <cellStyle name="Comma 2 3 15" xfId="754" xr:uid="{013FC526-745D-41AF-BF97-3B74F126F701}"/>
    <cellStyle name="Comma 2 3 15 2" xfId="15354" xr:uid="{8883CC26-8800-4B04-862D-7BB7A85E8775}"/>
    <cellStyle name="Comma 2 3 15 2 2" xfId="51862" xr:uid="{65C67F9C-9011-49D9-9762-56E501EFFFB4}"/>
    <cellStyle name="Comma 2 3 15 2 3" xfId="33608" xr:uid="{ECDCC93E-4275-427D-A592-0212B0C93692}"/>
    <cellStyle name="Comma 2 3 15 3" xfId="11704" xr:uid="{727D5C18-B26B-4450-87F5-5757997FA02A}"/>
    <cellStyle name="Comma 2 3 15 3 2" xfId="48212" xr:uid="{D8612637-50C0-4E6C-8792-F3FB6D72E09D}"/>
    <cellStyle name="Comma 2 3 15 3 3" xfId="29958" xr:uid="{887215B5-225F-426B-8645-2D879872C516}"/>
    <cellStyle name="Comma 2 3 15 4" xfId="8054" xr:uid="{FCB245C7-29A8-483F-AC22-25D64361C559}"/>
    <cellStyle name="Comma 2 3 15 4 2" xfId="44562" xr:uid="{9CE4B430-6674-4E5A-83F4-4C1638A319FE}"/>
    <cellStyle name="Comma 2 3 15 4 3" xfId="26308" xr:uid="{67CF9EF4-A5FD-4C2F-9958-24F397CC08D8}"/>
    <cellStyle name="Comma 2 3 15 5" xfId="4404" xr:uid="{A56A7A39-D2D3-4791-AB1A-DA19B1DB2BA9}"/>
    <cellStyle name="Comma 2 3 15 5 2" xfId="40912" xr:uid="{1C08D63F-3A36-4533-B5BB-67077CBB81C7}"/>
    <cellStyle name="Comma 2 3 15 5 3" xfId="22658" xr:uid="{C1AC6AC4-CFFF-4CB8-8134-20EC7F283FB4}"/>
    <cellStyle name="Comma 2 3 15 6" xfId="37262" xr:uid="{27815CB7-4984-4AA3-9478-5BD978DD5C97}"/>
    <cellStyle name="Comma 2 3 15 7" xfId="19008" xr:uid="{0D694200-09F9-4BCD-8768-7EF46D7A83B4}"/>
    <cellStyle name="Comma 2 3 16" xfId="14624" xr:uid="{07B889E3-4344-476F-9404-F014E787D616}"/>
    <cellStyle name="Comma 2 3 16 2" xfId="51132" xr:uid="{577C0CA2-8605-4BE2-B659-E556E69C4593}"/>
    <cellStyle name="Comma 2 3 16 3" xfId="32878" xr:uid="{59EDD7F8-BF2D-4CF7-AFCD-D8CDB89AC82F}"/>
    <cellStyle name="Comma 2 3 17" xfId="10974" xr:uid="{CE98A181-D040-4241-BE94-7EB96A8DCCCF}"/>
    <cellStyle name="Comma 2 3 17 2" xfId="47482" xr:uid="{3DDEF4DB-9CA9-4782-96ED-A6C482A323BE}"/>
    <cellStyle name="Comma 2 3 17 3" xfId="29228" xr:uid="{27306FAD-2740-4054-BF16-F75569AC3174}"/>
    <cellStyle name="Comma 2 3 18" xfId="7324" xr:uid="{12AECE0B-361A-4878-930A-B4CBF1ABAA10}"/>
    <cellStyle name="Comma 2 3 18 2" xfId="43832" xr:uid="{44205133-7EB8-4911-8014-B78C455B1A35}"/>
    <cellStyle name="Comma 2 3 18 3" xfId="25578" xr:uid="{301C769B-6F89-4137-9B9B-41059D6D9068}"/>
    <cellStyle name="Comma 2 3 19" xfId="3674" xr:uid="{423E5329-62F7-4751-9E41-8D28944DEC7D}"/>
    <cellStyle name="Comma 2 3 19 2" xfId="40182" xr:uid="{560C34A1-177E-4EEC-944E-E67CEA67A33F}"/>
    <cellStyle name="Comma 2 3 19 3" xfId="21928" xr:uid="{8BF94679-57A4-495A-AE29-2AAAD847AA48}"/>
    <cellStyle name="Comma 2 3 2" xfId="20" xr:uid="{00000000-0005-0000-0000-000007000000}"/>
    <cellStyle name="Comma 2 3 2 10" xfId="136" xr:uid="{29D5320C-1352-4D8B-8F89-04399FD768C4}"/>
    <cellStyle name="Comma 2 3 2 10 10" xfId="36644" xr:uid="{BA649932-0C35-4E91-83ED-A00EC40A1EF2}"/>
    <cellStyle name="Comma 2 3 2 10 11" xfId="18390" xr:uid="{B2257694-9E09-4E29-943A-77B7AA512C66}"/>
    <cellStyle name="Comma 2 3 2 10 2" xfId="3056" xr:uid="{BB54A016-03A4-42E0-9262-46352B2E777B}"/>
    <cellStyle name="Comma 2 3 2 10 2 2" xfId="17656" xr:uid="{6F354B05-7540-4B6F-908A-FA90F2D651A1}"/>
    <cellStyle name="Comma 2 3 2 10 2 2 2" xfId="54164" xr:uid="{5107533F-BA6C-4959-B11F-CC3D10A91F69}"/>
    <cellStyle name="Comma 2 3 2 10 2 2 3" xfId="35910" xr:uid="{336AE7FC-F106-4257-9FC3-269FBAEB890C}"/>
    <cellStyle name="Comma 2 3 2 10 2 3" xfId="14006" xr:uid="{90739C7D-E970-4559-B5E2-421FF96D3A8F}"/>
    <cellStyle name="Comma 2 3 2 10 2 3 2" xfId="50514" xr:uid="{9A209D83-4A22-4423-A0FE-94DC3E147C95}"/>
    <cellStyle name="Comma 2 3 2 10 2 3 3" xfId="32260" xr:uid="{2675467A-D086-4470-9838-2E6FF8D3D7D3}"/>
    <cellStyle name="Comma 2 3 2 10 2 4" xfId="10356" xr:uid="{D5464043-DE94-4746-9308-372778E4FC9A}"/>
    <cellStyle name="Comma 2 3 2 10 2 4 2" xfId="46864" xr:uid="{C5611A71-D52C-427A-90C1-00F407556912}"/>
    <cellStyle name="Comma 2 3 2 10 2 4 3" xfId="28610" xr:uid="{47962F77-B464-44E1-B2BB-001751424ABE}"/>
    <cellStyle name="Comma 2 3 2 10 2 5" xfId="6706" xr:uid="{9AD7F344-6FEB-465B-A2B5-A00C3BF3E37A}"/>
    <cellStyle name="Comma 2 3 2 10 2 5 2" xfId="43214" xr:uid="{C4685E7C-1FCA-4609-A615-86FC698593F2}"/>
    <cellStyle name="Comma 2 3 2 10 2 5 3" xfId="24960" xr:uid="{A817B957-6F07-4084-8134-33AE83AEE08F}"/>
    <cellStyle name="Comma 2 3 2 10 2 6" xfId="39564" xr:uid="{C1CE28F6-7D08-46AF-8085-5C16E213000F}"/>
    <cellStyle name="Comma 2 3 2 10 2 7" xfId="21310" xr:uid="{636C66F6-3E4E-46C6-8D83-E11F07E2F04F}"/>
    <cellStyle name="Comma 2 3 2 10 3" xfId="2326" xr:uid="{24088492-5867-4152-88E9-226F820EA85A}"/>
    <cellStyle name="Comma 2 3 2 10 3 2" xfId="16926" xr:uid="{B5D950F0-2629-4DC7-930C-7A40146A54BE}"/>
    <cellStyle name="Comma 2 3 2 10 3 2 2" xfId="53434" xr:uid="{57DD5964-C3D4-4EC7-A796-AFEBB381387D}"/>
    <cellStyle name="Comma 2 3 2 10 3 2 3" xfId="35180" xr:uid="{9E8A039F-40B2-4864-A81B-344707269262}"/>
    <cellStyle name="Comma 2 3 2 10 3 3" xfId="13276" xr:uid="{11AFBD38-2776-45A9-965E-8B351CCFC5D0}"/>
    <cellStyle name="Comma 2 3 2 10 3 3 2" xfId="49784" xr:uid="{A05FE246-9FFC-440C-948A-E47B92F91837}"/>
    <cellStyle name="Comma 2 3 2 10 3 3 3" xfId="31530" xr:uid="{002CFE2A-C701-4DD0-B1EB-CCECAF54511A}"/>
    <cellStyle name="Comma 2 3 2 10 3 4" xfId="9626" xr:uid="{594FCAEB-65BB-4D8C-825E-66AAE69B5309}"/>
    <cellStyle name="Comma 2 3 2 10 3 4 2" xfId="46134" xr:uid="{4B2941AA-5433-4D6A-8BBD-F6336A50459B}"/>
    <cellStyle name="Comma 2 3 2 10 3 4 3" xfId="27880" xr:uid="{5E93B895-6C52-49ED-8958-9846181DFE7D}"/>
    <cellStyle name="Comma 2 3 2 10 3 5" xfId="5976" xr:uid="{96BB71D7-F2E9-4ACC-B03E-2B80A63C96E8}"/>
    <cellStyle name="Comma 2 3 2 10 3 5 2" xfId="42484" xr:uid="{92C1E2C9-976B-4DCB-BDCC-102AABC56156}"/>
    <cellStyle name="Comma 2 3 2 10 3 5 3" xfId="24230" xr:uid="{61161533-C76F-43DF-ADFA-7CEBD6C3C556}"/>
    <cellStyle name="Comma 2 3 2 10 3 6" xfId="38834" xr:uid="{DAF696B1-5A41-4ECB-8725-28DF6C896AC0}"/>
    <cellStyle name="Comma 2 3 2 10 3 7" xfId="20580" xr:uid="{F83B564D-E4A7-4710-BA2D-EDE666B12B27}"/>
    <cellStyle name="Comma 2 3 2 10 4" xfId="1596" xr:uid="{136A85FA-4C5C-4884-9A66-52B4730AAD2F}"/>
    <cellStyle name="Comma 2 3 2 10 4 2" xfId="16196" xr:uid="{DBCAB776-DD36-4444-AC38-A3D9D2593209}"/>
    <cellStyle name="Comma 2 3 2 10 4 2 2" xfId="52704" xr:uid="{9B596B72-7F35-4C9C-99FD-9F27C7687E30}"/>
    <cellStyle name="Comma 2 3 2 10 4 2 3" xfId="34450" xr:uid="{2F62E232-F62D-4A3A-9F1B-38DB1560A47B}"/>
    <cellStyle name="Comma 2 3 2 10 4 3" xfId="12546" xr:uid="{BB502662-2816-4B8C-AF83-ECF1554CB86C}"/>
    <cellStyle name="Comma 2 3 2 10 4 3 2" xfId="49054" xr:uid="{BA743960-4EA6-4A15-9E81-662506D6D211}"/>
    <cellStyle name="Comma 2 3 2 10 4 3 3" xfId="30800" xr:uid="{932989A4-99F7-426A-B2D6-C0FD4FF00629}"/>
    <cellStyle name="Comma 2 3 2 10 4 4" xfId="8896" xr:uid="{95792A19-9C89-4057-AFC4-73B5979CC325}"/>
    <cellStyle name="Comma 2 3 2 10 4 4 2" xfId="45404" xr:uid="{1947A70C-1D86-42BC-989B-EBAE6D489AC2}"/>
    <cellStyle name="Comma 2 3 2 10 4 4 3" xfId="27150" xr:uid="{A501EC69-479F-4D24-AE66-70A12BC42E66}"/>
    <cellStyle name="Comma 2 3 2 10 4 5" xfId="5246" xr:uid="{3094B304-FD10-4DC9-8138-8DE5EDCAFBCF}"/>
    <cellStyle name="Comma 2 3 2 10 4 5 2" xfId="41754" xr:uid="{6E8B4AD0-E312-4000-89E7-87DA465A1B6D}"/>
    <cellStyle name="Comma 2 3 2 10 4 5 3" xfId="23500" xr:uid="{FA83BE7C-EF36-450B-8D53-66941BF09FB5}"/>
    <cellStyle name="Comma 2 3 2 10 4 6" xfId="38104" xr:uid="{03E6B170-8702-4DBC-BAE7-4174CCBEEE06}"/>
    <cellStyle name="Comma 2 3 2 10 4 7" xfId="19850" xr:uid="{2BBD1482-D5E4-49D7-96D4-0690B44FC4D7}"/>
    <cellStyle name="Comma 2 3 2 10 5" xfId="866" xr:uid="{AE106148-F371-4C21-BCDF-F4902CB7E176}"/>
    <cellStyle name="Comma 2 3 2 10 5 2" xfId="15466" xr:uid="{438E0D63-25F3-4694-B549-EB3855431C71}"/>
    <cellStyle name="Comma 2 3 2 10 5 2 2" xfId="51974" xr:uid="{CFF41503-1A02-45F2-B43B-F07E2130E45F}"/>
    <cellStyle name="Comma 2 3 2 10 5 2 3" xfId="33720" xr:uid="{4E632F5F-E0FF-43CE-8624-F617108E8DAF}"/>
    <cellStyle name="Comma 2 3 2 10 5 3" xfId="11816" xr:uid="{D1773249-5D02-4C29-9589-EA9D25378C0F}"/>
    <cellStyle name="Comma 2 3 2 10 5 3 2" xfId="48324" xr:uid="{6C2547CF-C193-492B-8D96-1F8FF4D11858}"/>
    <cellStyle name="Comma 2 3 2 10 5 3 3" xfId="30070" xr:uid="{1166CD2F-3090-4AF6-BD7A-DC5254A97E5D}"/>
    <cellStyle name="Comma 2 3 2 10 5 4" xfId="8166" xr:uid="{BAFB2263-500F-4887-800E-26CC06ECC2C5}"/>
    <cellStyle name="Comma 2 3 2 10 5 4 2" xfId="44674" xr:uid="{BAC69738-B22D-4618-B1B4-C95198383E5E}"/>
    <cellStyle name="Comma 2 3 2 10 5 4 3" xfId="26420" xr:uid="{461C9936-BD3F-42D1-9F8F-2BFE43EBC7A7}"/>
    <cellStyle name="Comma 2 3 2 10 5 5" xfId="4516" xr:uid="{903A2E51-30F3-4C2A-8DDE-D46B21C89D90}"/>
    <cellStyle name="Comma 2 3 2 10 5 5 2" xfId="41024" xr:uid="{AC01D905-5C8A-4DF5-A5ED-ECF2C71A2EDA}"/>
    <cellStyle name="Comma 2 3 2 10 5 5 3" xfId="22770" xr:uid="{08F937EC-F507-497D-97FB-3BC712B53160}"/>
    <cellStyle name="Comma 2 3 2 10 5 6" xfId="37374" xr:uid="{B43933FE-FC15-418B-8166-8C8C60823473}"/>
    <cellStyle name="Comma 2 3 2 10 5 7" xfId="19120" xr:uid="{9C48FC90-6924-47DC-803B-8B4F58AD1ED0}"/>
    <cellStyle name="Comma 2 3 2 10 6" xfId="14736" xr:uid="{A89B65B7-13E5-47A4-8D9B-2188346D9B17}"/>
    <cellStyle name="Comma 2 3 2 10 6 2" xfId="51244" xr:uid="{9A686883-39B2-4C04-9F03-2EB474C0AF16}"/>
    <cellStyle name="Comma 2 3 2 10 6 3" xfId="32990" xr:uid="{C22B814B-D2B0-452D-BCBB-7BEC9F256CCB}"/>
    <cellStyle name="Comma 2 3 2 10 7" xfId="11086" xr:uid="{A067E046-C5A9-4F79-BAD4-4E7C1341FE29}"/>
    <cellStyle name="Comma 2 3 2 10 7 2" xfId="47594" xr:uid="{BD686580-7849-4F22-A36C-4EF512513703}"/>
    <cellStyle name="Comma 2 3 2 10 7 3" xfId="29340" xr:uid="{8C501DC3-C9BA-43FA-A82C-79B4316A35B1}"/>
    <cellStyle name="Comma 2 3 2 10 8" xfId="7436" xr:uid="{04747C0F-0EB8-49A1-A4AC-E88676D9A29D}"/>
    <cellStyle name="Comma 2 3 2 10 8 2" xfId="43944" xr:uid="{95E7A3B0-101C-4BC3-980A-50D30AE7F759}"/>
    <cellStyle name="Comma 2 3 2 10 8 3" xfId="25690" xr:uid="{BA10C88D-C111-463C-B5BC-90AFED711A28}"/>
    <cellStyle name="Comma 2 3 2 10 9" xfId="3786" xr:uid="{C814B715-8ED6-43ED-94D9-6FC4166092AA}"/>
    <cellStyle name="Comma 2 3 2 10 9 2" xfId="40294" xr:uid="{7DB7E8C2-0B68-4691-AE38-8175F87EB9F4}"/>
    <cellStyle name="Comma 2 3 2 10 9 3" xfId="22040" xr:uid="{53AA67F3-41CC-47AF-BA77-27D7D2621582}"/>
    <cellStyle name="Comma 2 3 2 11" xfId="2952" xr:uid="{9C4296A2-679A-4F4F-A53B-CED8AD085267}"/>
    <cellStyle name="Comma 2 3 2 11 2" xfId="17552" xr:uid="{EF98BDED-101B-4D85-A953-983C235ACFCC}"/>
    <cellStyle name="Comma 2 3 2 11 2 2" xfId="54060" xr:uid="{488FFE79-66BF-48B5-A9F3-4A770519EB81}"/>
    <cellStyle name="Comma 2 3 2 11 2 3" xfId="35806" xr:uid="{DA11E585-F510-4766-9DF6-EE6B0F69F1D0}"/>
    <cellStyle name="Comma 2 3 2 11 3" xfId="13902" xr:uid="{21A484CA-4381-4075-938B-A0EA3DE94A17}"/>
    <cellStyle name="Comma 2 3 2 11 3 2" xfId="50410" xr:uid="{C40BABC9-E1B2-4777-8A1F-CB8A2681A66E}"/>
    <cellStyle name="Comma 2 3 2 11 3 3" xfId="32156" xr:uid="{CB28D884-1C03-4FC8-AF4C-6E364B4E6AD4}"/>
    <cellStyle name="Comma 2 3 2 11 4" xfId="10252" xr:uid="{9755ED52-7479-4ECC-A275-BAB828912C2F}"/>
    <cellStyle name="Comma 2 3 2 11 4 2" xfId="46760" xr:uid="{6D206B64-7E11-46B4-8374-7612E9E140BD}"/>
    <cellStyle name="Comma 2 3 2 11 4 3" xfId="28506" xr:uid="{3DB27321-009F-4A90-A7B1-D7C1151AF35E}"/>
    <cellStyle name="Comma 2 3 2 11 5" xfId="6602" xr:uid="{B73BD436-7AF9-400F-BCC8-6D3C0D1B15E1}"/>
    <cellStyle name="Comma 2 3 2 11 5 2" xfId="43110" xr:uid="{5F3DCCD3-57DA-425E-80B9-7D5D59EA06E8}"/>
    <cellStyle name="Comma 2 3 2 11 5 3" xfId="24856" xr:uid="{DA609971-2518-4437-8342-8FC193EF621F}"/>
    <cellStyle name="Comma 2 3 2 11 6" xfId="39460" xr:uid="{FC5F6AD8-CA59-47EB-BB12-41A317B255F1}"/>
    <cellStyle name="Comma 2 3 2 11 7" xfId="21206" xr:uid="{7213084F-0367-457C-9FB1-80579D04715C}"/>
    <cellStyle name="Comma 2 3 2 12" xfId="2222" xr:uid="{118FBEF7-D628-4A3E-93D1-215FD8B76AC8}"/>
    <cellStyle name="Comma 2 3 2 12 2" xfId="16822" xr:uid="{59391F16-F54F-47CB-96BD-6FA8A66E5FC5}"/>
    <cellStyle name="Comma 2 3 2 12 2 2" xfId="53330" xr:uid="{D2CE12A3-9DA8-4FFB-BFDE-94A68B46AA92}"/>
    <cellStyle name="Comma 2 3 2 12 2 3" xfId="35076" xr:uid="{535D57D9-50CE-4F7B-8DE8-000C0B7A56F2}"/>
    <cellStyle name="Comma 2 3 2 12 3" xfId="13172" xr:uid="{5A3BF130-D967-45AB-A206-2EE73E14A9E9}"/>
    <cellStyle name="Comma 2 3 2 12 3 2" xfId="49680" xr:uid="{EB85E977-A101-438F-87A1-D67BB272B16E}"/>
    <cellStyle name="Comma 2 3 2 12 3 3" xfId="31426" xr:uid="{4A8C63ED-ADE0-4FDC-9DD8-C91CCF3FBBAE}"/>
    <cellStyle name="Comma 2 3 2 12 4" xfId="9522" xr:uid="{F3BC3201-FA1C-4DD0-A62E-FE5BAEDF7431}"/>
    <cellStyle name="Comma 2 3 2 12 4 2" xfId="46030" xr:uid="{27A84D42-62E4-4551-95A0-B91378F0118B}"/>
    <cellStyle name="Comma 2 3 2 12 4 3" xfId="27776" xr:uid="{149E53DE-9DC2-4F58-B886-DCE924DED74E}"/>
    <cellStyle name="Comma 2 3 2 12 5" xfId="5872" xr:uid="{5D422C6F-7639-4D72-A818-91C20A64945C}"/>
    <cellStyle name="Comma 2 3 2 12 5 2" xfId="42380" xr:uid="{06052F2B-558A-4C6C-A9C1-88466ACDA20A}"/>
    <cellStyle name="Comma 2 3 2 12 5 3" xfId="24126" xr:uid="{E8DA0916-8B2F-40AA-A80A-88965F110511}"/>
    <cellStyle name="Comma 2 3 2 12 6" xfId="38730" xr:uid="{4D4E42CC-F671-49CA-B65C-0774E4A61AA2}"/>
    <cellStyle name="Comma 2 3 2 12 7" xfId="20476" xr:uid="{C4F46452-FC3F-4726-AB17-F3149DCA7818}"/>
    <cellStyle name="Comma 2 3 2 13" xfId="1492" xr:uid="{B98230BC-B4A6-46F3-9274-3E5DE706DC9A}"/>
    <cellStyle name="Comma 2 3 2 13 2" xfId="16092" xr:uid="{0139EC14-3025-46F1-AA89-87F759E0C11C}"/>
    <cellStyle name="Comma 2 3 2 13 2 2" xfId="52600" xr:uid="{15835B81-71FE-44E0-9647-A5B9C2DB76B9}"/>
    <cellStyle name="Comma 2 3 2 13 2 3" xfId="34346" xr:uid="{8D5B2443-4B7B-4012-A35A-DC645E30E82B}"/>
    <cellStyle name="Comma 2 3 2 13 3" xfId="12442" xr:uid="{AA6B1181-B506-4673-AAFE-BDF6A9015560}"/>
    <cellStyle name="Comma 2 3 2 13 3 2" xfId="48950" xr:uid="{64E23A95-974E-4845-BEB7-8A11B5E1A04B}"/>
    <cellStyle name="Comma 2 3 2 13 3 3" xfId="30696" xr:uid="{92392A4C-333B-4921-8988-E46F5FBC9146}"/>
    <cellStyle name="Comma 2 3 2 13 4" xfId="8792" xr:uid="{1C234F83-D03C-4BFD-851D-7BC3BD51E475}"/>
    <cellStyle name="Comma 2 3 2 13 4 2" xfId="45300" xr:uid="{E7948CDB-4B0E-41BA-A8F3-2445DA26FDB6}"/>
    <cellStyle name="Comma 2 3 2 13 4 3" xfId="27046" xr:uid="{C357A451-5F38-43DF-A40D-16A9BD798224}"/>
    <cellStyle name="Comma 2 3 2 13 5" xfId="5142" xr:uid="{2374AAD3-019C-4A8A-9F28-350E290E9B41}"/>
    <cellStyle name="Comma 2 3 2 13 5 2" xfId="41650" xr:uid="{2EE52003-62F6-449A-828D-E9502C53A4A0}"/>
    <cellStyle name="Comma 2 3 2 13 5 3" xfId="23396" xr:uid="{6E89CEAA-4225-45E8-8F96-FAB3532F32ED}"/>
    <cellStyle name="Comma 2 3 2 13 6" xfId="38000" xr:uid="{AF790BE5-06C7-46CD-BE22-0DB76729B25F}"/>
    <cellStyle name="Comma 2 3 2 13 7" xfId="19746" xr:uid="{B8B8E354-9672-4D35-A40B-BC53E46E5F53}"/>
    <cellStyle name="Comma 2 3 2 14" xfId="762" xr:uid="{2E927D75-9687-44F5-BB56-868EBFB25864}"/>
    <cellStyle name="Comma 2 3 2 14 2" xfId="15362" xr:uid="{74050565-CD9F-42B7-87EA-DA0708138AD6}"/>
    <cellStyle name="Comma 2 3 2 14 2 2" xfId="51870" xr:uid="{F3AC6358-EB4E-4071-86BD-023BFDCE6B69}"/>
    <cellStyle name="Comma 2 3 2 14 2 3" xfId="33616" xr:uid="{93E9FDED-9E61-4DC2-9DDF-B161BCA090F0}"/>
    <cellStyle name="Comma 2 3 2 14 3" xfId="11712" xr:uid="{C2372E7B-675B-4706-8C15-FDD19E4967B8}"/>
    <cellStyle name="Comma 2 3 2 14 3 2" xfId="48220" xr:uid="{9B3AD81D-400F-4E7F-8411-3F82A7DCD296}"/>
    <cellStyle name="Comma 2 3 2 14 3 3" xfId="29966" xr:uid="{47310BBC-9E45-4393-99EC-16BE752524C5}"/>
    <cellStyle name="Comma 2 3 2 14 4" xfId="8062" xr:uid="{EA77ECCD-C0C2-4E6F-84F6-1762F324EC73}"/>
    <cellStyle name="Comma 2 3 2 14 4 2" xfId="44570" xr:uid="{FBFEFF47-3D64-4BF9-A72D-968B84CCE20B}"/>
    <cellStyle name="Comma 2 3 2 14 4 3" xfId="26316" xr:uid="{74580F07-EEEA-44CB-A818-7583FA8B28AF}"/>
    <cellStyle name="Comma 2 3 2 14 5" xfId="4412" xr:uid="{90CCFE9A-3555-44CA-B35B-E4861FC34DA4}"/>
    <cellStyle name="Comma 2 3 2 14 5 2" xfId="40920" xr:uid="{0D0046D0-C656-413C-9F33-A28D3396E90D}"/>
    <cellStyle name="Comma 2 3 2 14 5 3" xfId="22666" xr:uid="{FED53536-8103-43BE-B78F-74F6F94AFE80}"/>
    <cellStyle name="Comma 2 3 2 14 6" xfId="37270" xr:uid="{7854D4E6-0C2B-44F7-BE93-DE5139A123EE}"/>
    <cellStyle name="Comma 2 3 2 14 7" xfId="19016" xr:uid="{B1A3229C-A62E-45F3-A433-C8198221A306}"/>
    <cellStyle name="Comma 2 3 2 15" xfId="14632" xr:uid="{19079F91-A37C-4A4B-9EBC-6DE8D4D1BA0C}"/>
    <cellStyle name="Comma 2 3 2 15 2" xfId="51140" xr:uid="{484314CA-CF32-4A01-AC0D-E8162E38C524}"/>
    <cellStyle name="Comma 2 3 2 15 3" xfId="32886" xr:uid="{D77D521A-C1CF-4C32-BD93-8EB988761A59}"/>
    <cellStyle name="Comma 2 3 2 16" xfId="10982" xr:uid="{DB1A283D-D2ED-48E8-B453-E9398DB88B46}"/>
    <cellStyle name="Comma 2 3 2 16 2" xfId="47490" xr:uid="{A68005A5-F208-4A08-8ECB-FFBD2A3ECE9A}"/>
    <cellStyle name="Comma 2 3 2 16 3" xfId="29236" xr:uid="{67BC29F7-77AD-48CC-84A5-2C0FD6CD1033}"/>
    <cellStyle name="Comma 2 3 2 17" xfId="7332" xr:uid="{58521341-331C-4496-B746-DB94F2A240A0}"/>
    <cellStyle name="Comma 2 3 2 17 2" xfId="43840" xr:uid="{4B8A2CA3-BBC0-49BD-BC31-43480BA53048}"/>
    <cellStyle name="Comma 2 3 2 17 3" xfId="25586" xr:uid="{18B93A3B-26E4-462B-8A41-C8943A9F0459}"/>
    <cellStyle name="Comma 2 3 2 18" xfId="3682" xr:uid="{6D778612-9F85-4C66-BA0E-9D3723A45A80}"/>
    <cellStyle name="Comma 2 3 2 18 2" xfId="40190" xr:uid="{CB795C24-4EE6-4F2B-B871-093ABB804835}"/>
    <cellStyle name="Comma 2 3 2 18 3" xfId="21936" xr:uid="{EA75A603-8EE6-4DE2-B626-E7B20C30CAC5}"/>
    <cellStyle name="Comma 2 3 2 19" xfId="36540" xr:uid="{DA1CA9AF-56C8-4382-9876-6D21A8C54A57}"/>
    <cellStyle name="Comma 2 3 2 2" xfId="39" xr:uid="{CCE87867-700E-4805-8E70-631D751242FB}"/>
    <cellStyle name="Comma 2 3 2 2 10" xfId="2968" xr:uid="{808FC22D-E398-4D92-BE31-41A9A2E2EFA4}"/>
    <cellStyle name="Comma 2 3 2 2 10 2" xfId="17568" xr:uid="{26F37387-2939-471A-9CC3-618EE945DA31}"/>
    <cellStyle name="Comma 2 3 2 2 10 2 2" xfId="54076" xr:uid="{EE441A2E-0235-4D0A-83FD-2A697FE34157}"/>
    <cellStyle name="Comma 2 3 2 2 10 2 3" xfId="35822" xr:uid="{38126588-9393-44DD-8A4C-FBAF6B7EC5B7}"/>
    <cellStyle name="Comma 2 3 2 2 10 3" xfId="13918" xr:uid="{B80011E5-E3F0-488A-8D03-196AA963DC6F}"/>
    <cellStyle name="Comma 2 3 2 2 10 3 2" xfId="50426" xr:uid="{40C10F21-B9F7-4352-874E-0C2C574500E4}"/>
    <cellStyle name="Comma 2 3 2 2 10 3 3" xfId="32172" xr:uid="{B720DF3E-310E-462C-9B90-46CA18899752}"/>
    <cellStyle name="Comma 2 3 2 2 10 4" xfId="10268" xr:uid="{EA00B46F-5AA4-45EB-91BD-475D45B6B9E0}"/>
    <cellStyle name="Comma 2 3 2 2 10 4 2" xfId="46776" xr:uid="{6CE99B3C-634C-4942-8C60-1005C7E42552}"/>
    <cellStyle name="Comma 2 3 2 2 10 4 3" xfId="28522" xr:uid="{334351B7-3484-413F-90A5-CE828CA9E056}"/>
    <cellStyle name="Comma 2 3 2 2 10 5" xfId="6618" xr:uid="{85656ED6-DA64-4F4B-B6EE-DA505BE71176}"/>
    <cellStyle name="Comma 2 3 2 2 10 5 2" xfId="43126" xr:uid="{ECF4E225-814A-4908-BB3C-7DB57F38F595}"/>
    <cellStyle name="Comma 2 3 2 2 10 5 3" xfId="24872" xr:uid="{5F6E89A9-9048-442A-B76E-150DCAFF041B}"/>
    <cellStyle name="Comma 2 3 2 2 10 6" xfId="39476" xr:uid="{380D91F8-7AAA-44CB-9A36-833707314FB6}"/>
    <cellStyle name="Comma 2 3 2 2 10 7" xfId="21222" xr:uid="{E1EC218A-8471-49D5-9CED-1FE668AF8954}"/>
    <cellStyle name="Comma 2 3 2 2 11" xfId="2238" xr:uid="{920530DA-285D-41A5-A554-49A94E72EAE6}"/>
    <cellStyle name="Comma 2 3 2 2 11 2" xfId="16838" xr:uid="{2E5DD301-1F60-4A42-ABE7-C76C3F0244B8}"/>
    <cellStyle name="Comma 2 3 2 2 11 2 2" xfId="53346" xr:uid="{8BE07B07-EAE9-4790-8555-107F07B59797}"/>
    <cellStyle name="Comma 2 3 2 2 11 2 3" xfId="35092" xr:uid="{02FFD011-F7A7-4600-8CE3-13517BB01B3F}"/>
    <cellStyle name="Comma 2 3 2 2 11 3" xfId="13188" xr:uid="{214C05A6-1C0A-4114-BE54-F782F49C690A}"/>
    <cellStyle name="Comma 2 3 2 2 11 3 2" xfId="49696" xr:uid="{A6F2E9CE-B267-413C-B09B-8D55FA37153A}"/>
    <cellStyle name="Comma 2 3 2 2 11 3 3" xfId="31442" xr:uid="{BC0206A3-4134-427B-959F-A58694B068E9}"/>
    <cellStyle name="Comma 2 3 2 2 11 4" xfId="9538" xr:uid="{34D24865-E683-4AB9-A720-19BF718DAE13}"/>
    <cellStyle name="Comma 2 3 2 2 11 4 2" xfId="46046" xr:uid="{8E21B7C1-BD7C-4613-8B80-48E351A247A0}"/>
    <cellStyle name="Comma 2 3 2 2 11 4 3" xfId="27792" xr:uid="{DA4C5C46-5132-461C-AEBE-001D385E7066}"/>
    <cellStyle name="Comma 2 3 2 2 11 5" xfId="5888" xr:uid="{43BF8954-6394-48AB-8CBE-26841EF2F1C1}"/>
    <cellStyle name="Comma 2 3 2 2 11 5 2" xfId="42396" xr:uid="{F69C2433-F765-4D9F-9C27-4CF10CE4580C}"/>
    <cellStyle name="Comma 2 3 2 2 11 5 3" xfId="24142" xr:uid="{99E4940D-3808-4126-B1CB-214406BE6E29}"/>
    <cellStyle name="Comma 2 3 2 2 11 6" xfId="38746" xr:uid="{FF6498FF-4401-4679-A3E0-43EACEA207D2}"/>
    <cellStyle name="Comma 2 3 2 2 11 7" xfId="20492" xr:uid="{BF24F8E5-035E-4FAD-B177-9F9EE9C96A72}"/>
    <cellStyle name="Comma 2 3 2 2 12" xfId="1508" xr:uid="{DB72BA11-EA5A-4CE6-AE42-CB142A35AA8E}"/>
    <cellStyle name="Comma 2 3 2 2 12 2" xfId="16108" xr:uid="{F6906FB1-9832-4495-9FA4-57344D525C3C}"/>
    <cellStyle name="Comma 2 3 2 2 12 2 2" xfId="52616" xr:uid="{8F1826CB-1439-402D-A9FC-4266294DD43E}"/>
    <cellStyle name="Comma 2 3 2 2 12 2 3" xfId="34362" xr:uid="{549405E2-9FAB-4185-BF7C-43C8794D3A89}"/>
    <cellStyle name="Comma 2 3 2 2 12 3" xfId="12458" xr:uid="{24D5BE77-0C84-466F-A9B1-778ACA55F2D6}"/>
    <cellStyle name="Comma 2 3 2 2 12 3 2" xfId="48966" xr:uid="{A9C4AD45-DE2E-4E4A-AA8D-D7300AD65EF7}"/>
    <cellStyle name="Comma 2 3 2 2 12 3 3" xfId="30712" xr:uid="{43B2F6EB-ED20-439F-9829-915FFFE96D89}"/>
    <cellStyle name="Comma 2 3 2 2 12 4" xfId="8808" xr:uid="{68D0DB2E-0740-4542-BDEB-A81EEEA0458E}"/>
    <cellStyle name="Comma 2 3 2 2 12 4 2" xfId="45316" xr:uid="{ECD8E3F1-D37D-4F2F-82E5-2743DDBCDEA6}"/>
    <cellStyle name="Comma 2 3 2 2 12 4 3" xfId="27062" xr:uid="{C9324AA0-0FCA-4DA8-9B5C-7A34E6D23D42}"/>
    <cellStyle name="Comma 2 3 2 2 12 5" xfId="5158" xr:uid="{2B00B5D8-9DA9-44AC-819C-4EDD23D6B755}"/>
    <cellStyle name="Comma 2 3 2 2 12 5 2" xfId="41666" xr:uid="{064EB2AB-914A-4DE8-AC70-5C11C098FC93}"/>
    <cellStyle name="Comma 2 3 2 2 12 5 3" xfId="23412" xr:uid="{A1E55A1D-8606-44B4-9024-F6A62A0A120A}"/>
    <cellStyle name="Comma 2 3 2 2 12 6" xfId="38016" xr:uid="{C2B91C86-A75F-44F7-8506-195F87B59D1F}"/>
    <cellStyle name="Comma 2 3 2 2 12 7" xfId="19762" xr:uid="{8372DD46-A986-445C-80C8-926621314136}"/>
    <cellStyle name="Comma 2 3 2 2 13" xfId="778" xr:uid="{678C5C6B-5FEA-4CE7-9E56-94EB8088816F}"/>
    <cellStyle name="Comma 2 3 2 2 13 2" xfId="15378" xr:uid="{0684901F-8DB1-49EC-8039-397FE786D3C2}"/>
    <cellStyle name="Comma 2 3 2 2 13 2 2" xfId="51886" xr:uid="{906EA319-48D7-4ECC-A7BA-48B7C3D1A9B5}"/>
    <cellStyle name="Comma 2 3 2 2 13 2 3" xfId="33632" xr:uid="{B7D0F942-93CB-4678-A617-39A7C11B4112}"/>
    <cellStyle name="Comma 2 3 2 2 13 3" xfId="11728" xr:uid="{E7269562-FED5-49E0-B28B-14AF8A56BDE1}"/>
    <cellStyle name="Comma 2 3 2 2 13 3 2" xfId="48236" xr:uid="{10906E8A-B55B-4512-A373-2131878A45E8}"/>
    <cellStyle name="Comma 2 3 2 2 13 3 3" xfId="29982" xr:uid="{A40633C0-7CD5-4ADC-A4AD-79721ADD02CE}"/>
    <cellStyle name="Comma 2 3 2 2 13 4" xfId="8078" xr:uid="{549BCAD2-8793-4CD3-BA29-623E39F87A1D}"/>
    <cellStyle name="Comma 2 3 2 2 13 4 2" xfId="44586" xr:uid="{99CC51A0-565C-4457-B0BE-4333D7CA8D99}"/>
    <cellStyle name="Comma 2 3 2 2 13 4 3" xfId="26332" xr:uid="{07F866DF-38F1-4B47-A15A-2CC53492A65A}"/>
    <cellStyle name="Comma 2 3 2 2 13 5" xfId="4428" xr:uid="{99D12065-2CB1-4165-894A-D0F5D0C94DBF}"/>
    <cellStyle name="Comma 2 3 2 2 13 5 2" xfId="40936" xr:uid="{E2E3F0BD-4DBF-48E4-8187-54100D2D9C7C}"/>
    <cellStyle name="Comma 2 3 2 2 13 5 3" xfId="22682" xr:uid="{739A69A2-76A6-4EE8-A695-2C7556C33581}"/>
    <cellStyle name="Comma 2 3 2 2 13 6" xfId="37286" xr:uid="{9D1983B4-DF1B-434F-B903-C7325FB58212}"/>
    <cellStyle name="Comma 2 3 2 2 13 7" xfId="19032" xr:uid="{6B7789E1-F92F-4AD1-A42C-EE162EA2A5AC}"/>
    <cellStyle name="Comma 2 3 2 2 14" xfId="14648" xr:uid="{84C5894E-3825-4A65-A135-781CC06B1245}"/>
    <cellStyle name="Comma 2 3 2 2 14 2" xfId="51156" xr:uid="{7A3021CB-A808-40DB-BACB-03ED68517CC4}"/>
    <cellStyle name="Comma 2 3 2 2 14 3" xfId="32902" xr:uid="{547E0B38-C99D-4711-8D4F-F92065D4E04D}"/>
    <cellStyle name="Comma 2 3 2 2 15" xfId="10998" xr:uid="{DC5EB6F2-40BA-4D66-93AC-6AB9148112AD}"/>
    <cellStyle name="Comma 2 3 2 2 15 2" xfId="47506" xr:uid="{0E8459F7-53B2-4872-B741-03DFCA3D605A}"/>
    <cellStyle name="Comma 2 3 2 2 15 3" xfId="29252" xr:uid="{9610E7B3-8655-45BA-8C19-B439F9AC6D8F}"/>
    <cellStyle name="Comma 2 3 2 2 16" xfId="7348" xr:uid="{A1B940FD-E956-4E86-B841-4418439C0659}"/>
    <cellStyle name="Comma 2 3 2 2 16 2" xfId="43856" xr:uid="{4CCEF259-8106-4164-BC7A-6E19095A219A}"/>
    <cellStyle name="Comma 2 3 2 2 16 3" xfId="25602" xr:uid="{74BE0CC1-2927-457D-B04C-EB212B767743}"/>
    <cellStyle name="Comma 2 3 2 2 17" xfId="3698" xr:uid="{FE93FC23-6E39-4860-948D-C462EF2DE11D}"/>
    <cellStyle name="Comma 2 3 2 2 17 2" xfId="40206" xr:uid="{821323D6-6BED-456C-8A4C-89856EAD08C4}"/>
    <cellStyle name="Comma 2 3 2 2 17 3" xfId="21952" xr:uid="{384BD246-2056-4CBD-AE79-EC779BD44C66}"/>
    <cellStyle name="Comma 2 3 2 2 18" xfId="36556" xr:uid="{B665D041-4FE1-450F-881A-E72E1E7A56B3}"/>
    <cellStyle name="Comma 2 3 2 2 19" xfId="18302" xr:uid="{8EA0BC49-58ED-4A7A-BCEA-45C5EA9D5C6A}"/>
    <cellStyle name="Comma 2 3 2 2 2" xfId="113" xr:uid="{15017B5A-5038-40A0-A1B2-7FD4625A774E}"/>
    <cellStyle name="Comma 2 3 2 2 2 10" xfId="1572" xr:uid="{57A7E7DE-DB8F-4582-A694-F7550C9F4E52}"/>
    <cellStyle name="Comma 2 3 2 2 2 10 2" xfId="16172" xr:uid="{38F76F87-FC00-4F1F-B214-32E3EDE44CFD}"/>
    <cellStyle name="Comma 2 3 2 2 2 10 2 2" xfId="52680" xr:uid="{3C5A0304-E07F-4597-95A6-FACAAA0DD7FC}"/>
    <cellStyle name="Comma 2 3 2 2 2 10 2 3" xfId="34426" xr:uid="{E9F99381-88B2-436D-B03E-AEB1F8DDFE5E}"/>
    <cellStyle name="Comma 2 3 2 2 2 10 3" xfId="12522" xr:uid="{EA82B544-259D-423E-9B70-67BD0C7B5310}"/>
    <cellStyle name="Comma 2 3 2 2 2 10 3 2" xfId="49030" xr:uid="{07E9A246-B965-4014-9DE4-FA028D0A3F5E}"/>
    <cellStyle name="Comma 2 3 2 2 2 10 3 3" xfId="30776" xr:uid="{0646D541-8827-407C-A989-34F386CA53BB}"/>
    <cellStyle name="Comma 2 3 2 2 2 10 4" xfId="8872" xr:uid="{92B38CA8-66DA-40A7-AE85-5DD9B04AA3F5}"/>
    <cellStyle name="Comma 2 3 2 2 2 10 4 2" xfId="45380" xr:uid="{91D9FBD4-9E10-4BA9-882B-58AC7F1F93FC}"/>
    <cellStyle name="Comma 2 3 2 2 2 10 4 3" xfId="27126" xr:uid="{E3062AD0-5EC6-42FF-B344-8A1236E6CD30}"/>
    <cellStyle name="Comma 2 3 2 2 2 10 5" xfId="5222" xr:uid="{11EF6B43-9984-4A7B-A395-55B98F4E32F1}"/>
    <cellStyle name="Comma 2 3 2 2 2 10 5 2" xfId="41730" xr:uid="{0C191EA5-DDA2-42CC-82B1-F43596D2FFA0}"/>
    <cellStyle name="Comma 2 3 2 2 2 10 5 3" xfId="23476" xr:uid="{62B48C87-F361-46D5-9496-4427F1B5F544}"/>
    <cellStyle name="Comma 2 3 2 2 2 10 6" xfId="38080" xr:uid="{B4F142F3-DDF0-475C-980D-D51B3D15CF06}"/>
    <cellStyle name="Comma 2 3 2 2 2 10 7" xfId="19826" xr:uid="{01076436-766E-4BEF-8B13-FCDD8DBC1653}"/>
    <cellStyle name="Comma 2 3 2 2 2 11" xfId="842" xr:uid="{FBCA2054-AC90-4AF8-A88A-5E9572F0C2C7}"/>
    <cellStyle name="Comma 2 3 2 2 2 11 2" xfId="15442" xr:uid="{809FDB54-7227-424B-AAB5-AF49A215D7A4}"/>
    <cellStyle name="Comma 2 3 2 2 2 11 2 2" xfId="51950" xr:uid="{E4252621-ED6E-48D1-875E-8B981AFCFB3E}"/>
    <cellStyle name="Comma 2 3 2 2 2 11 2 3" xfId="33696" xr:uid="{B9852486-611A-422B-9C40-6FDA235F560D}"/>
    <cellStyle name="Comma 2 3 2 2 2 11 3" xfId="11792" xr:uid="{51BA8D07-F84C-4CA0-B95E-75949A61FD38}"/>
    <cellStyle name="Comma 2 3 2 2 2 11 3 2" xfId="48300" xr:uid="{459BEB8B-5AA6-48C9-BE2C-17D40EAC9BDE}"/>
    <cellStyle name="Comma 2 3 2 2 2 11 3 3" xfId="30046" xr:uid="{A3BAF93F-F6B0-4076-AA01-3F27AF752E62}"/>
    <cellStyle name="Comma 2 3 2 2 2 11 4" xfId="8142" xr:uid="{3D80A9F7-4C92-4978-AB4D-0FF40FBE5CDA}"/>
    <cellStyle name="Comma 2 3 2 2 2 11 4 2" xfId="44650" xr:uid="{2C2A0A01-E5CF-43AE-B814-91849D372A68}"/>
    <cellStyle name="Comma 2 3 2 2 2 11 4 3" xfId="26396" xr:uid="{1240177D-DB27-452C-B019-C2250E296938}"/>
    <cellStyle name="Comma 2 3 2 2 2 11 5" xfId="4492" xr:uid="{534AE426-4419-4D6F-AA9B-532E63ED543E}"/>
    <cellStyle name="Comma 2 3 2 2 2 11 5 2" xfId="41000" xr:uid="{ACCB6207-5F17-43EA-A96F-0B9F64B544B9}"/>
    <cellStyle name="Comma 2 3 2 2 2 11 5 3" xfId="22746" xr:uid="{A9D007A4-0388-498D-90DD-7DC28AC2A508}"/>
    <cellStyle name="Comma 2 3 2 2 2 11 6" xfId="37350" xr:uid="{D8289C7E-0EA7-4CAA-90D5-7884B80B0E72}"/>
    <cellStyle name="Comma 2 3 2 2 2 11 7" xfId="19096" xr:uid="{D3BD9C44-A053-4F92-8BE2-060B4BF98482}"/>
    <cellStyle name="Comma 2 3 2 2 2 12" xfId="14712" xr:uid="{19066DC9-CEBA-4032-A7E2-4E16E4AD9937}"/>
    <cellStyle name="Comma 2 3 2 2 2 12 2" xfId="51220" xr:uid="{D72C707A-0FD1-4AFE-860B-C3A20FEE4326}"/>
    <cellStyle name="Comma 2 3 2 2 2 12 3" xfId="32966" xr:uid="{5371E506-3C36-4E67-A3E9-ED7C6D8CF4E0}"/>
    <cellStyle name="Comma 2 3 2 2 2 13" xfId="11062" xr:uid="{6C2E77A8-A516-471A-A54B-4CD6BF19B867}"/>
    <cellStyle name="Comma 2 3 2 2 2 13 2" xfId="47570" xr:uid="{62B80E79-8A0E-4EDE-9E4D-2AFA50DC6A81}"/>
    <cellStyle name="Comma 2 3 2 2 2 13 3" xfId="29316" xr:uid="{F97BA8B8-DA59-4283-AB87-2503D69AF047}"/>
    <cellStyle name="Comma 2 3 2 2 2 14" xfId="7412" xr:uid="{CBF77253-4943-4F22-9035-6A20008E31D2}"/>
    <cellStyle name="Comma 2 3 2 2 2 14 2" xfId="43920" xr:uid="{87195D2A-5A9A-4EDC-B558-8D73CBDFE7AA}"/>
    <cellStyle name="Comma 2 3 2 2 2 14 3" xfId="25666" xr:uid="{5160A0A7-FAE7-4A7A-B1BB-AF9494970351}"/>
    <cellStyle name="Comma 2 3 2 2 2 15" xfId="3762" xr:uid="{A8A4D5AB-1A82-4A61-80A4-49AFE4487F52}"/>
    <cellStyle name="Comma 2 3 2 2 2 15 2" xfId="40270" xr:uid="{4FDCB3CB-CCCD-4367-B5A1-3C69CC4482A1}"/>
    <cellStyle name="Comma 2 3 2 2 2 15 3" xfId="22016" xr:uid="{1EAD631B-C882-4CA6-9DCD-EEFDC5C8FEDF}"/>
    <cellStyle name="Comma 2 3 2 2 2 16" xfId="36620" xr:uid="{D6D7BF09-A951-44AB-A722-CB32EAA2F583}"/>
    <cellStyle name="Comma 2 3 2 2 2 17" xfId="18366" xr:uid="{1870AC02-DFF2-4A47-9E21-CF05825893D3}"/>
    <cellStyle name="Comma 2 3 2 2 2 2" xfId="736" xr:uid="{C122D321-2915-4808-8DC3-A431B36F74EC}"/>
    <cellStyle name="Comma 2 3 2 2 2 2 10" xfId="37244" xr:uid="{5A9CA879-DF42-4377-9E24-F84B8A521253}"/>
    <cellStyle name="Comma 2 3 2 2 2 2 11" xfId="18990" xr:uid="{06B8BA8C-8961-46B1-9548-0094A25DE7D4}"/>
    <cellStyle name="Comma 2 3 2 2 2 2 2" xfId="3656" xr:uid="{DC69A779-B35E-4D41-B734-2E1DBCDF78FC}"/>
    <cellStyle name="Comma 2 3 2 2 2 2 2 2" xfId="18256" xr:uid="{B35B1103-09F3-4222-A4D4-A91505036907}"/>
    <cellStyle name="Comma 2 3 2 2 2 2 2 2 2" xfId="54764" xr:uid="{D03E2377-141E-4619-BEEE-0B34328CF52A}"/>
    <cellStyle name="Comma 2 3 2 2 2 2 2 2 3" xfId="36510" xr:uid="{9A2338E1-2EF0-4940-99BF-7AE085326634}"/>
    <cellStyle name="Comma 2 3 2 2 2 2 2 3" xfId="14606" xr:uid="{84E93E58-8F7A-4286-8290-BA86E7644D56}"/>
    <cellStyle name="Comma 2 3 2 2 2 2 2 3 2" xfId="51114" xr:uid="{DDA57A94-2F13-49DF-86E1-94CB6986B285}"/>
    <cellStyle name="Comma 2 3 2 2 2 2 2 3 3" xfId="32860" xr:uid="{EB56FAF0-3AB1-40C7-8EB8-99F7AB79A01F}"/>
    <cellStyle name="Comma 2 3 2 2 2 2 2 4" xfId="10956" xr:uid="{CB7955D2-51C2-4B29-8C7C-747F59C0198F}"/>
    <cellStyle name="Comma 2 3 2 2 2 2 2 4 2" xfId="47464" xr:uid="{11DADA97-95FC-4E89-9D4A-762B3AEA3BF9}"/>
    <cellStyle name="Comma 2 3 2 2 2 2 2 4 3" xfId="29210" xr:uid="{C38C1B79-7809-44FB-A1AF-9CB6842C8B2B}"/>
    <cellStyle name="Comma 2 3 2 2 2 2 2 5" xfId="7306" xr:uid="{5212B60C-5DFB-4D5D-9A9D-F03B1E4036F6}"/>
    <cellStyle name="Comma 2 3 2 2 2 2 2 5 2" xfId="43814" xr:uid="{7CD65117-AFFB-4A58-82A3-FF3839423F43}"/>
    <cellStyle name="Comma 2 3 2 2 2 2 2 5 3" xfId="25560" xr:uid="{1A52F1EF-8F2A-4BAF-8991-01177D4299FA}"/>
    <cellStyle name="Comma 2 3 2 2 2 2 2 6" xfId="40164" xr:uid="{1A8595C7-2FCE-4459-B907-F400CEDA588F}"/>
    <cellStyle name="Comma 2 3 2 2 2 2 2 7" xfId="21910" xr:uid="{1BF91085-C0D6-4E6D-AD7B-DE6F3C54C6BA}"/>
    <cellStyle name="Comma 2 3 2 2 2 2 3" xfId="2926" xr:uid="{85FB9CEC-20E6-4587-9BD5-0F28648EEDC4}"/>
    <cellStyle name="Comma 2 3 2 2 2 2 3 2" xfId="17526" xr:uid="{DA31A41E-3BEB-448E-949E-BEB17F2162AB}"/>
    <cellStyle name="Comma 2 3 2 2 2 2 3 2 2" xfId="54034" xr:uid="{4E4EC9E3-D2A9-4D7B-BD4A-013B2D6AA047}"/>
    <cellStyle name="Comma 2 3 2 2 2 2 3 2 3" xfId="35780" xr:uid="{B16A931B-6DE0-4C58-A420-4814C8BD25CA}"/>
    <cellStyle name="Comma 2 3 2 2 2 2 3 3" xfId="13876" xr:uid="{221AA217-57F4-439F-94E6-B64D29168276}"/>
    <cellStyle name="Comma 2 3 2 2 2 2 3 3 2" xfId="50384" xr:uid="{36B69FA7-2C10-451F-A9E6-787D4AA64F4B}"/>
    <cellStyle name="Comma 2 3 2 2 2 2 3 3 3" xfId="32130" xr:uid="{C6B6F099-13DD-4CDD-8871-EF0115070648}"/>
    <cellStyle name="Comma 2 3 2 2 2 2 3 4" xfId="10226" xr:uid="{B6F38154-6199-498C-A8EF-214B2701BA14}"/>
    <cellStyle name="Comma 2 3 2 2 2 2 3 4 2" xfId="46734" xr:uid="{33753A6D-2005-478C-8DEB-CF4367DE3E94}"/>
    <cellStyle name="Comma 2 3 2 2 2 2 3 4 3" xfId="28480" xr:uid="{6F87C29C-E02A-47C5-A09A-66C1DBCB359C}"/>
    <cellStyle name="Comma 2 3 2 2 2 2 3 5" xfId="6576" xr:uid="{731F7629-A1C8-43EB-B306-5AF2BCCA9824}"/>
    <cellStyle name="Comma 2 3 2 2 2 2 3 5 2" xfId="43084" xr:uid="{6FBA3956-7885-4FF6-B891-D97913E43C6B}"/>
    <cellStyle name="Comma 2 3 2 2 2 2 3 5 3" xfId="24830" xr:uid="{41E20A32-C580-4080-B224-43A4154CA627}"/>
    <cellStyle name="Comma 2 3 2 2 2 2 3 6" xfId="39434" xr:uid="{D1BFECAC-DAD9-4577-B4B8-4B6F276C949C}"/>
    <cellStyle name="Comma 2 3 2 2 2 2 3 7" xfId="21180" xr:uid="{238988D3-790B-464D-8CCE-C8ABAF232790}"/>
    <cellStyle name="Comma 2 3 2 2 2 2 4" xfId="2196" xr:uid="{7000D8E5-A236-485C-AAE6-5E0083101FD1}"/>
    <cellStyle name="Comma 2 3 2 2 2 2 4 2" xfId="16796" xr:uid="{EC6980CB-D3DE-4B3D-9328-848D22AFEF70}"/>
    <cellStyle name="Comma 2 3 2 2 2 2 4 2 2" xfId="53304" xr:uid="{362C5167-B1C1-4768-82A2-01811B432BAF}"/>
    <cellStyle name="Comma 2 3 2 2 2 2 4 2 3" xfId="35050" xr:uid="{7DB4CB31-C5EB-4F75-A4BF-1E9AD9933B3C}"/>
    <cellStyle name="Comma 2 3 2 2 2 2 4 3" xfId="13146" xr:uid="{726AAA91-4D4B-4072-A9FA-1C1AD6414C49}"/>
    <cellStyle name="Comma 2 3 2 2 2 2 4 3 2" xfId="49654" xr:uid="{B8885F5C-59A5-4396-8B72-5083AC470A38}"/>
    <cellStyle name="Comma 2 3 2 2 2 2 4 3 3" xfId="31400" xr:uid="{76564467-7758-4C45-BA68-D903FC6D2E5D}"/>
    <cellStyle name="Comma 2 3 2 2 2 2 4 4" xfId="9496" xr:uid="{5842AC10-23E1-493C-A58E-C05E09494DE7}"/>
    <cellStyle name="Comma 2 3 2 2 2 2 4 4 2" xfId="46004" xr:uid="{A0DD05DC-7D24-4C09-B0B2-F4D52075C110}"/>
    <cellStyle name="Comma 2 3 2 2 2 2 4 4 3" xfId="27750" xr:uid="{C33D3440-D25A-438A-A8BB-F1648662E994}"/>
    <cellStyle name="Comma 2 3 2 2 2 2 4 5" xfId="5846" xr:uid="{AA78B13F-ACC0-4607-8ADA-5A32248B6EB9}"/>
    <cellStyle name="Comma 2 3 2 2 2 2 4 5 2" xfId="42354" xr:uid="{3194C7EC-E9E1-4483-82D9-2CF995D87B9C}"/>
    <cellStyle name="Comma 2 3 2 2 2 2 4 5 3" xfId="24100" xr:uid="{39DDEAC8-2932-45A2-9092-2FFCEDCB9028}"/>
    <cellStyle name="Comma 2 3 2 2 2 2 4 6" xfId="38704" xr:uid="{AB893431-B2AC-4EC6-AEF2-C5689943911C}"/>
    <cellStyle name="Comma 2 3 2 2 2 2 4 7" xfId="20450" xr:uid="{3ADC6AAA-10BF-4F53-BC79-6EA61F08F5A6}"/>
    <cellStyle name="Comma 2 3 2 2 2 2 5" xfId="1466" xr:uid="{40520E7F-9730-4376-88C7-7709A7E8C564}"/>
    <cellStyle name="Comma 2 3 2 2 2 2 5 2" xfId="16066" xr:uid="{E6EECB47-33AD-4255-A34A-84402E68080A}"/>
    <cellStyle name="Comma 2 3 2 2 2 2 5 2 2" xfId="52574" xr:uid="{8570C9CA-972B-4531-AC99-E6ECBFF6E548}"/>
    <cellStyle name="Comma 2 3 2 2 2 2 5 2 3" xfId="34320" xr:uid="{00F66E3F-0917-4117-858F-5C71F6C3AAA2}"/>
    <cellStyle name="Comma 2 3 2 2 2 2 5 3" xfId="12416" xr:uid="{0D00D878-2C02-4487-BCF1-C371D245766F}"/>
    <cellStyle name="Comma 2 3 2 2 2 2 5 3 2" xfId="48924" xr:uid="{27A45097-1209-43C1-8AB9-785EA276059E}"/>
    <cellStyle name="Comma 2 3 2 2 2 2 5 3 3" xfId="30670" xr:uid="{8D10B450-C133-4A34-A75A-E369AB5E9C28}"/>
    <cellStyle name="Comma 2 3 2 2 2 2 5 4" xfId="8766" xr:uid="{2B854CB8-D0FF-4D99-BC0C-7754957DD2F4}"/>
    <cellStyle name="Comma 2 3 2 2 2 2 5 4 2" xfId="45274" xr:uid="{1649D9FC-3381-465E-AD68-6E0DE95C5588}"/>
    <cellStyle name="Comma 2 3 2 2 2 2 5 4 3" xfId="27020" xr:uid="{ABC9D6A8-9B68-4215-BFBE-E0228AF19A36}"/>
    <cellStyle name="Comma 2 3 2 2 2 2 5 5" xfId="5116" xr:uid="{1EC385C4-935B-452A-8248-7BA921065C8A}"/>
    <cellStyle name="Comma 2 3 2 2 2 2 5 5 2" xfId="41624" xr:uid="{7F736EE8-D6FC-4D9E-925D-278900CE893F}"/>
    <cellStyle name="Comma 2 3 2 2 2 2 5 5 3" xfId="23370" xr:uid="{26D3980C-2CA2-4265-B192-AFF717AD324F}"/>
    <cellStyle name="Comma 2 3 2 2 2 2 5 6" xfId="37974" xr:uid="{9E3385E2-C0F4-402A-B08B-EE0292C06CA0}"/>
    <cellStyle name="Comma 2 3 2 2 2 2 5 7" xfId="19720" xr:uid="{A52103BC-4762-49BF-8791-CB5FFA9B4330}"/>
    <cellStyle name="Comma 2 3 2 2 2 2 6" xfId="15336" xr:uid="{D139D8C5-12A1-4F00-924D-A66A6A3D1F72}"/>
    <cellStyle name="Comma 2 3 2 2 2 2 6 2" xfId="51844" xr:uid="{BFBD9780-67D0-4F40-8581-14082C7EBD0D}"/>
    <cellStyle name="Comma 2 3 2 2 2 2 6 3" xfId="33590" xr:uid="{80579256-C8F7-407A-A4EA-FD83D3B7D7B1}"/>
    <cellStyle name="Comma 2 3 2 2 2 2 7" xfId="11686" xr:uid="{2FF7765C-4041-4FB9-AFE7-33A6C6DEB3CF}"/>
    <cellStyle name="Comma 2 3 2 2 2 2 7 2" xfId="48194" xr:uid="{206E13DC-66C2-445C-A1EB-0AD03CC20455}"/>
    <cellStyle name="Comma 2 3 2 2 2 2 7 3" xfId="29940" xr:uid="{2C090312-0274-4BD7-859B-CD5283F90CF4}"/>
    <cellStyle name="Comma 2 3 2 2 2 2 8" xfId="8036" xr:uid="{6F593EF5-5A60-40D8-AE1F-F4F01E25398B}"/>
    <cellStyle name="Comma 2 3 2 2 2 2 8 2" xfId="44544" xr:uid="{1B5C4AD4-E87C-430B-87D4-26C3FAA547DA}"/>
    <cellStyle name="Comma 2 3 2 2 2 2 8 3" xfId="26290" xr:uid="{64625B8B-B47F-45C7-8E72-A2CF295A1370}"/>
    <cellStyle name="Comma 2 3 2 2 2 2 9" xfId="4386" xr:uid="{E40A8523-3628-4DC2-BF98-08282BAD768C}"/>
    <cellStyle name="Comma 2 3 2 2 2 2 9 2" xfId="40894" xr:uid="{57EE3AAF-579F-4C5C-966C-7B4C853CE3DD}"/>
    <cellStyle name="Comma 2 3 2 2 2 2 9 3" xfId="22640" xr:uid="{38905223-982F-4C45-A2E7-8C68105199B2}"/>
    <cellStyle name="Comma 2 3 2 2 2 3" xfId="632" xr:uid="{7A77E387-3395-4FF6-99C2-E3A7B84C933D}"/>
    <cellStyle name="Comma 2 3 2 2 2 3 10" xfId="37140" xr:uid="{E3AA25D3-EB73-4226-835A-3F3C11ADCEF6}"/>
    <cellStyle name="Comma 2 3 2 2 2 3 11" xfId="18886" xr:uid="{87703744-EDCC-486B-980E-45B066F0BECE}"/>
    <cellStyle name="Comma 2 3 2 2 2 3 2" xfId="3552" xr:uid="{755BE6DD-19C1-4CC9-8EDE-E5B4A8C74115}"/>
    <cellStyle name="Comma 2 3 2 2 2 3 2 2" xfId="18152" xr:uid="{97606291-313E-405D-942F-330C4BD82E1D}"/>
    <cellStyle name="Comma 2 3 2 2 2 3 2 2 2" xfId="54660" xr:uid="{8D8AC46D-1679-43BE-A192-9565B76E734F}"/>
    <cellStyle name="Comma 2 3 2 2 2 3 2 2 3" xfId="36406" xr:uid="{73AA3287-B390-469A-8C4D-3F158183AF47}"/>
    <cellStyle name="Comma 2 3 2 2 2 3 2 3" xfId="14502" xr:uid="{115092C1-DE1A-474A-9BA2-CEC5534CC6B1}"/>
    <cellStyle name="Comma 2 3 2 2 2 3 2 3 2" xfId="51010" xr:uid="{FA90D947-AFEE-4A74-B13B-D12A940DAC90}"/>
    <cellStyle name="Comma 2 3 2 2 2 3 2 3 3" xfId="32756" xr:uid="{C539129B-3DD9-4665-9FA5-8C38D519C8E0}"/>
    <cellStyle name="Comma 2 3 2 2 2 3 2 4" xfId="10852" xr:uid="{14B0FE04-2588-48C2-A518-0B0317C360F1}"/>
    <cellStyle name="Comma 2 3 2 2 2 3 2 4 2" xfId="47360" xr:uid="{6175B608-24E0-4500-9946-53D7B14119A1}"/>
    <cellStyle name="Comma 2 3 2 2 2 3 2 4 3" xfId="29106" xr:uid="{733A907D-44FE-439E-B4D6-34C056E7E461}"/>
    <cellStyle name="Comma 2 3 2 2 2 3 2 5" xfId="7202" xr:uid="{FCF646FB-553D-41DD-8358-1CC1FEF11CF5}"/>
    <cellStyle name="Comma 2 3 2 2 2 3 2 5 2" xfId="43710" xr:uid="{C60A4C2B-43ED-4DAB-AA74-6897FFFCED29}"/>
    <cellStyle name="Comma 2 3 2 2 2 3 2 5 3" xfId="25456" xr:uid="{8DAD7148-F04D-44B6-8558-1F46BA7357F2}"/>
    <cellStyle name="Comma 2 3 2 2 2 3 2 6" xfId="40060" xr:uid="{9E76BF07-0202-4777-8C6E-8A4C44C5C5C2}"/>
    <cellStyle name="Comma 2 3 2 2 2 3 2 7" xfId="21806" xr:uid="{99ECF732-792F-48DD-B4F6-EF8AA2DBCCEE}"/>
    <cellStyle name="Comma 2 3 2 2 2 3 3" xfId="2822" xr:uid="{16DFFBEF-B65B-4F74-AFEC-F21B139003D4}"/>
    <cellStyle name="Comma 2 3 2 2 2 3 3 2" xfId="17422" xr:uid="{166078B2-5F3A-4C0A-A622-C33F76482B18}"/>
    <cellStyle name="Comma 2 3 2 2 2 3 3 2 2" xfId="53930" xr:uid="{F3A2C2E3-C290-48DA-9CAA-5DF79A17B023}"/>
    <cellStyle name="Comma 2 3 2 2 2 3 3 2 3" xfId="35676" xr:uid="{0B8A5D45-5DCF-4780-A052-EDAB807FF60F}"/>
    <cellStyle name="Comma 2 3 2 2 2 3 3 3" xfId="13772" xr:uid="{A6D639A1-3885-48B1-95E9-7C261FB2F68F}"/>
    <cellStyle name="Comma 2 3 2 2 2 3 3 3 2" xfId="50280" xr:uid="{3E6C8F65-DC6A-41C2-9C24-61403075D41F}"/>
    <cellStyle name="Comma 2 3 2 2 2 3 3 3 3" xfId="32026" xr:uid="{91408AF1-3DDA-466C-B7EE-775F4CDC3D89}"/>
    <cellStyle name="Comma 2 3 2 2 2 3 3 4" xfId="10122" xr:uid="{61C8EB94-AF0B-4F7B-8E4C-A39F0C649AA7}"/>
    <cellStyle name="Comma 2 3 2 2 2 3 3 4 2" xfId="46630" xr:uid="{66F7B4AD-2B02-4E86-B1E2-346934C98D97}"/>
    <cellStyle name="Comma 2 3 2 2 2 3 3 4 3" xfId="28376" xr:uid="{8EB09576-E8E9-4F89-A822-A0E1C23BFDBC}"/>
    <cellStyle name="Comma 2 3 2 2 2 3 3 5" xfId="6472" xr:uid="{FAC35D75-40FD-45DB-ADA4-D1692C891DE8}"/>
    <cellStyle name="Comma 2 3 2 2 2 3 3 5 2" xfId="42980" xr:uid="{DBFF8DEE-DB59-43D2-B4D2-33D0259F3C14}"/>
    <cellStyle name="Comma 2 3 2 2 2 3 3 5 3" xfId="24726" xr:uid="{ECD6F2F6-F8D6-442F-810A-27C45646A022}"/>
    <cellStyle name="Comma 2 3 2 2 2 3 3 6" xfId="39330" xr:uid="{092C55DE-30AE-44DE-A7A7-0EBE6DB7CF5C}"/>
    <cellStyle name="Comma 2 3 2 2 2 3 3 7" xfId="21076" xr:uid="{B7F243AD-0766-4539-8148-BDAA75CD9F25}"/>
    <cellStyle name="Comma 2 3 2 2 2 3 4" xfId="2092" xr:uid="{2C684D0C-8371-436D-8974-042EF54B5BDB}"/>
    <cellStyle name="Comma 2 3 2 2 2 3 4 2" xfId="16692" xr:uid="{585B0E13-E92E-4A9C-AED0-7320D9B54B79}"/>
    <cellStyle name="Comma 2 3 2 2 2 3 4 2 2" xfId="53200" xr:uid="{9587EF87-ECA9-4556-87F1-2BDD221B29F4}"/>
    <cellStyle name="Comma 2 3 2 2 2 3 4 2 3" xfId="34946" xr:uid="{85D2F8E9-B115-4A65-82AF-545826489959}"/>
    <cellStyle name="Comma 2 3 2 2 2 3 4 3" xfId="13042" xr:uid="{0CD0F20D-3967-4992-986A-ACB831BB11DA}"/>
    <cellStyle name="Comma 2 3 2 2 2 3 4 3 2" xfId="49550" xr:uid="{F435A6F0-4189-463F-AF6F-7FBEC363B6EA}"/>
    <cellStyle name="Comma 2 3 2 2 2 3 4 3 3" xfId="31296" xr:uid="{57287C5C-8861-4B95-A81E-A688D293E863}"/>
    <cellStyle name="Comma 2 3 2 2 2 3 4 4" xfId="9392" xr:uid="{AE00A74C-961C-4845-A564-E7ECF64A6ED1}"/>
    <cellStyle name="Comma 2 3 2 2 2 3 4 4 2" xfId="45900" xr:uid="{EC7C25F3-5C73-4117-AD46-2A09F920318B}"/>
    <cellStyle name="Comma 2 3 2 2 2 3 4 4 3" xfId="27646" xr:uid="{CBAF1D37-726F-49D2-839A-4B1F5E7907CD}"/>
    <cellStyle name="Comma 2 3 2 2 2 3 4 5" xfId="5742" xr:uid="{42F6C535-73FD-4D56-912D-86331E5BEC50}"/>
    <cellStyle name="Comma 2 3 2 2 2 3 4 5 2" xfId="42250" xr:uid="{AEA847C5-1D15-4BCC-B505-F2B80098672E}"/>
    <cellStyle name="Comma 2 3 2 2 2 3 4 5 3" xfId="23996" xr:uid="{B5B36A2A-CDDE-4639-887F-29AA8BB23D82}"/>
    <cellStyle name="Comma 2 3 2 2 2 3 4 6" xfId="38600" xr:uid="{2EEE1DFF-4FDA-453B-8FD8-2DCE9287AE85}"/>
    <cellStyle name="Comma 2 3 2 2 2 3 4 7" xfId="20346" xr:uid="{B6FF07A2-5350-4B72-8969-5FF4959BBB99}"/>
    <cellStyle name="Comma 2 3 2 2 2 3 5" xfId="1362" xr:uid="{7F81977A-4C26-4904-B2BC-71AE42ED0506}"/>
    <cellStyle name="Comma 2 3 2 2 2 3 5 2" xfId="15962" xr:uid="{515D2DFB-0004-4CA5-A2DB-1B7DE72327AB}"/>
    <cellStyle name="Comma 2 3 2 2 2 3 5 2 2" xfId="52470" xr:uid="{5F252A8D-BBC4-4310-ACDB-16B1CF48B06F}"/>
    <cellStyle name="Comma 2 3 2 2 2 3 5 2 3" xfId="34216" xr:uid="{AC47186D-5A61-4CB7-95E7-65F134EE76DF}"/>
    <cellStyle name="Comma 2 3 2 2 2 3 5 3" xfId="12312" xr:uid="{21B96E2E-1777-4C65-84DF-548D85697535}"/>
    <cellStyle name="Comma 2 3 2 2 2 3 5 3 2" xfId="48820" xr:uid="{76E40B11-F6E7-4D13-9487-9984FBF09B83}"/>
    <cellStyle name="Comma 2 3 2 2 2 3 5 3 3" xfId="30566" xr:uid="{865E646E-16F1-4FB6-8BA7-C6CF668CDBE7}"/>
    <cellStyle name="Comma 2 3 2 2 2 3 5 4" xfId="8662" xr:uid="{D5020515-91CE-43FF-8C58-D7F07F72CD7B}"/>
    <cellStyle name="Comma 2 3 2 2 2 3 5 4 2" xfId="45170" xr:uid="{D45E4E7A-9D1C-410F-9F5F-4C7C6E7BED0C}"/>
    <cellStyle name="Comma 2 3 2 2 2 3 5 4 3" xfId="26916" xr:uid="{03CA5F68-6F1A-43EE-9DEE-BCE4B7BFADEC}"/>
    <cellStyle name="Comma 2 3 2 2 2 3 5 5" xfId="5012" xr:uid="{8BF8B995-1F79-49D6-AADE-8537729AF6AD}"/>
    <cellStyle name="Comma 2 3 2 2 2 3 5 5 2" xfId="41520" xr:uid="{1C80709E-25AA-4AFC-B306-5A052DC6AB0A}"/>
    <cellStyle name="Comma 2 3 2 2 2 3 5 5 3" xfId="23266" xr:uid="{ADA67922-4E2F-4AFF-B27B-968B9887BE54}"/>
    <cellStyle name="Comma 2 3 2 2 2 3 5 6" xfId="37870" xr:uid="{FEB70BEB-F755-452E-A7DC-B3C593E74CB6}"/>
    <cellStyle name="Comma 2 3 2 2 2 3 5 7" xfId="19616" xr:uid="{E39FCD3C-C0D0-4716-B910-2C055DE0F1CF}"/>
    <cellStyle name="Comma 2 3 2 2 2 3 6" xfId="15232" xr:uid="{76B7FB76-A152-4A44-8801-FA9A2F6FA920}"/>
    <cellStyle name="Comma 2 3 2 2 2 3 6 2" xfId="51740" xr:uid="{C0182205-D21B-4222-A90C-09939E53E199}"/>
    <cellStyle name="Comma 2 3 2 2 2 3 6 3" xfId="33486" xr:uid="{E6A34415-1FF1-42D1-9A46-9C1520C377EA}"/>
    <cellStyle name="Comma 2 3 2 2 2 3 7" xfId="11582" xr:uid="{CB9F54AC-AE54-45B3-AA94-0C76C48ADFAE}"/>
    <cellStyle name="Comma 2 3 2 2 2 3 7 2" xfId="48090" xr:uid="{F2B6383F-B0BA-44B0-8A28-E530F1F68290}"/>
    <cellStyle name="Comma 2 3 2 2 2 3 7 3" xfId="29836" xr:uid="{3441D67E-588C-4E00-9DE7-D7C5E3C64596}"/>
    <cellStyle name="Comma 2 3 2 2 2 3 8" xfId="7932" xr:uid="{1CDBDD9C-1E50-4418-8D47-25D193BF447A}"/>
    <cellStyle name="Comma 2 3 2 2 2 3 8 2" xfId="44440" xr:uid="{08C52E1A-D874-432B-B5BA-B19C61F82FA5}"/>
    <cellStyle name="Comma 2 3 2 2 2 3 8 3" xfId="26186" xr:uid="{87A76A73-CDC0-493F-AAA4-23C3609D6C2C}"/>
    <cellStyle name="Comma 2 3 2 2 2 3 9" xfId="4282" xr:uid="{45A38756-825E-4586-B9F5-819FC5A75532}"/>
    <cellStyle name="Comma 2 3 2 2 2 3 9 2" xfId="40790" xr:uid="{3D7AE4DB-879F-471F-813E-8F02D55CE37B}"/>
    <cellStyle name="Comma 2 3 2 2 2 3 9 3" xfId="22536" xr:uid="{8716D32B-B3DC-43F4-A258-5327AA3D3DB4}"/>
    <cellStyle name="Comma 2 3 2 2 2 4" xfId="528" xr:uid="{EF48A37E-2812-402B-B4B6-FE44BD0CF1B3}"/>
    <cellStyle name="Comma 2 3 2 2 2 4 10" xfId="37036" xr:uid="{0DDEDCB9-6486-4A84-8519-8A0F5B0021A8}"/>
    <cellStyle name="Comma 2 3 2 2 2 4 11" xfId="18782" xr:uid="{806206DA-BEB3-42CB-B7FE-58FCE2DA55F8}"/>
    <cellStyle name="Comma 2 3 2 2 2 4 2" xfId="3448" xr:uid="{BE537A54-FF7C-4AB9-A265-EBF159BBA94A}"/>
    <cellStyle name="Comma 2 3 2 2 2 4 2 2" xfId="18048" xr:uid="{955B0D9B-26CC-486B-BDA4-B1131C0C8D8E}"/>
    <cellStyle name="Comma 2 3 2 2 2 4 2 2 2" xfId="54556" xr:uid="{0410E181-19B1-4373-95F0-DF4469B52F51}"/>
    <cellStyle name="Comma 2 3 2 2 2 4 2 2 3" xfId="36302" xr:uid="{25721082-BC77-4004-BC05-3494EDAAD11D}"/>
    <cellStyle name="Comma 2 3 2 2 2 4 2 3" xfId="14398" xr:uid="{2BEF06C5-0814-42EF-AC85-2639C3D43C4D}"/>
    <cellStyle name="Comma 2 3 2 2 2 4 2 3 2" xfId="50906" xr:uid="{1083D779-EBCD-4510-B702-A2D7FAC8532B}"/>
    <cellStyle name="Comma 2 3 2 2 2 4 2 3 3" xfId="32652" xr:uid="{2FDDCDC7-0FB9-41FC-B250-B0E4438F7125}"/>
    <cellStyle name="Comma 2 3 2 2 2 4 2 4" xfId="10748" xr:uid="{4D5653C8-737B-4BF6-BA2A-197CC46986A2}"/>
    <cellStyle name="Comma 2 3 2 2 2 4 2 4 2" xfId="47256" xr:uid="{ECBDE36A-7AFC-4B93-A0A6-0D1AB0858247}"/>
    <cellStyle name="Comma 2 3 2 2 2 4 2 4 3" xfId="29002" xr:uid="{0FC58929-E90D-493B-8AF7-1D8B047466D9}"/>
    <cellStyle name="Comma 2 3 2 2 2 4 2 5" xfId="7098" xr:uid="{C198BEC7-2147-488B-BC96-802ADD3C4FF6}"/>
    <cellStyle name="Comma 2 3 2 2 2 4 2 5 2" xfId="43606" xr:uid="{09AC8D8E-ECB2-4C37-82A7-94544B2757D5}"/>
    <cellStyle name="Comma 2 3 2 2 2 4 2 5 3" xfId="25352" xr:uid="{D9A32E9C-FD2B-423F-86F9-369839ACCF52}"/>
    <cellStyle name="Comma 2 3 2 2 2 4 2 6" xfId="39956" xr:uid="{FDD609D1-B1B9-4045-B558-B05F53F27B97}"/>
    <cellStyle name="Comma 2 3 2 2 2 4 2 7" xfId="21702" xr:uid="{CABE7FC4-3A5F-4E8E-AB13-E45D2B3525AA}"/>
    <cellStyle name="Comma 2 3 2 2 2 4 3" xfId="2718" xr:uid="{3CCCBD85-C444-4F32-9D6C-74E3736E2743}"/>
    <cellStyle name="Comma 2 3 2 2 2 4 3 2" xfId="17318" xr:uid="{C58F0DCF-8D30-4D68-8F06-19AE2ACA2575}"/>
    <cellStyle name="Comma 2 3 2 2 2 4 3 2 2" xfId="53826" xr:uid="{0FA452AC-3793-4F54-9E49-20A92D941E3E}"/>
    <cellStyle name="Comma 2 3 2 2 2 4 3 2 3" xfId="35572" xr:uid="{C252F93B-E4B6-4E26-8301-92E6B6819076}"/>
    <cellStyle name="Comma 2 3 2 2 2 4 3 3" xfId="13668" xr:uid="{5E15E281-3BAB-4989-A029-18F6E435B647}"/>
    <cellStyle name="Comma 2 3 2 2 2 4 3 3 2" xfId="50176" xr:uid="{A027794B-6A17-4425-B1F1-6955200FB72C}"/>
    <cellStyle name="Comma 2 3 2 2 2 4 3 3 3" xfId="31922" xr:uid="{97519B49-E7DC-4179-BD80-382169E95CAB}"/>
    <cellStyle name="Comma 2 3 2 2 2 4 3 4" xfId="10018" xr:uid="{DF1AFAEB-4B72-4308-BADB-7AEA8F336200}"/>
    <cellStyle name="Comma 2 3 2 2 2 4 3 4 2" xfId="46526" xr:uid="{F52202E1-1C3A-4DD0-B951-A0A5860D902D}"/>
    <cellStyle name="Comma 2 3 2 2 2 4 3 4 3" xfId="28272" xr:uid="{51F69410-961B-4800-91BD-835377B70EF9}"/>
    <cellStyle name="Comma 2 3 2 2 2 4 3 5" xfId="6368" xr:uid="{753741C1-B6F8-4862-A1A5-9CB065A026BA}"/>
    <cellStyle name="Comma 2 3 2 2 2 4 3 5 2" xfId="42876" xr:uid="{C01DDD43-FCE1-49C8-8C75-8184596F44D5}"/>
    <cellStyle name="Comma 2 3 2 2 2 4 3 5 3" xfId="24622" xr:uid="{D6998B3D-450D-4DF8-A7EC-007D2034E9B4}"/>
    <cellStyle name="Comma 2 3 2 2 2 4 3 6" xfId="39226" xr:uid="{55B983B1-B966-46D0-8AD0-6D3029AC29D0}"/>
    <cellStyle name="Comma 2 3 2 2 2 4 3 7" xfId="20972" xr:uid="{4A382AA4-7BFC-4C4E-983D-FB92D2FF8A83}"/>
    <cellStyle name="Comma 2 3 2 2 2 4 4" xfId="1988" xr:uid="{785A124E-9B58-4D6E-9D90-75BE4A88F18D}"/>
    <cellStyle name="Comma 2 3 2 2 2 4 4 2" xfId="16588" xr:uid="{438B2D9F-4841-4CC2-8CB5-B7CA98D6784D}"/>
    <cellStyle name="Comma 2 3 2 2 2 4 4 2 2" xfId="53096" xr:uid="{3F3F59BC-41A6-49F7-A31C-E8DFAEFB26F8}"/>
    <cellStyle name="Comma 2 3 2 2 2 4 4 2 3" xfId="34842" xr:uid="{D659FE51-9097-4799-AD6D-768BE823C848}"/>
    <cellStyle name="Comma 2 3 2 2 2 4 4 3" xfId="12938" xr:uid="{51C2A2C2-DFBF-4FE0-A354-D34F65F8FC92}"/>
    <cellStyle name="Comma 2 3 2 2 2 4 4 3 2" xfId="49446" xr:uid="{25631D9C-6CC2-49F0-A2E5-4EB6F32A62F3}"/>
    <cellStyle name="Comma 2 3 2 2 2 4 4 3 3" xfId="31192" xr:uid="{A7FA136C-CCDB-49F9-9F23-748C00A6B319}"/>
    <cellStyle name="Comma 2 3 2 2 2 4 4 4" xfId="9288" xr:uid="{143AA1A0-8F05-418D-A0AE-70CA18B9D345}"/>
    <cellStyle name="Comma 2 3 2 2 2 4 4 4 2" xfId="45796" xr:uid="{4BCC6051-EFD4-4082-AFE0-CA882910E690}"/>
    <cellStyle name="Comma 2 3 2 2 2 4 4 4 3" xfId="27542" xr:uid="{AA11ACFC-282E-4C2B-AAB4-3266924D8646}"/>
    <cellStyle name="Comma 2 3 2 2 2 4 4 5" xfId="5638" xr:uid="{4090DFE7-74C1-4F97-B25D-5A5F92C10F2A}"/>
    <cellStyle name="Comma 2 3 2 2 2 4 4 5 2" xfId="42146" xr:uid="{12691000-6CAA-47E4-81B9-4648B316CCCB}"/>
    <cellStyle name="Comma 2 3 2 2 2 4 4 5 3" xfId="23892" xr:uid="{5ECD254C-9528-45BE-B5C0-83E207924B18}"/>
    <cellStyle name="Comma 2 3 2 2 2 4 4 6" xfId="38496" xr:uid="{771882FF-6872-4DBC-87F9-AA0DFE619B4F}"/>
    <cellStyle name="Comma 2 3 2 2 2 4 4 7" xfId="20242" xr:uid="{1660AF36-A14A-4B6E-B7CD-55439568577A}"/>
    <cellStyle name="Comma 2 3 2 2 2 4 5" xfId="1258" xr:uid="{F59E26A3-3E9C-4A18-901E-35F2A327D86E}"/>
    <cellStyle name="Comma 2 3 2 2 2 4 5 2" xfId="15858" xr:uid="{0C131198-F292-4116-BE3D-5DAB9BBE9D82}"/>
    <cellStyle name="Comma 2 3 2 2 2 4 5 2 2" xfId="52366" xr:uid="{166229E3-A861-4C09-BABE-10A854EF3C53}"/>
    <cellStyle name="Comma 2 3 2 2 2 4 5 2 3" xfId="34112" xr:uid="{A015F817-8415-44DB-8974-492B6D357FB4}"/>
    <cellStyle name="Comma 2 3 2 2 2 4 5 3" xfId="12208" xr:uid="{E27245A9-808A-438F-8D4A-F0B7341EC246}"/>
    <cellStyle name="Comma 2 3 2 2 2 4 5 3 2" xfId="48716" xr:uid="{5A66974C-3574-452E-9BF3-68FB3A9BE4AD}"/>
    <cellStyle name="Comma 2 3 2 2 2 4 5 3 3" xfId="30462" xr:uid="{B5C070A7-E120-4A69-A0AE-2F7EFC8B1782}"/>
    <cellStyle name="Comma 2 3 2 2 2 4 5 4" xfId="8558" xr:uid="{69439C68-75A9-429B-8CA8-8EEC2EEC03B7}"/>
    <cellStyle name="Comma 2 3 2 2 2 4 5 4 2" xfId="45066" xr:uid="{E1A2E7C4-15D3-439F-B1AB-C72C0F8D815F}"/>
    <cellStyle name="Comma 2 3 2 2 2 4 5 4 3" xfId="26812" xr:uid="{0FFCDD04-B1A2-4E91-BF2D-717987EC089D}"/>
    <cellStyle name="Comma 2 3 2 2 2 4 5 5" xfId="4908" xr:uid="{37C0A67D-CF73-4374-8818-1BA1A18FAD97}"/>
    <cellStyle name="Comma 2 3 2 2 2 4 5 5 2" xfId="41416" xr:uid="{53FA6672-F358-4D4C-95BC-6B78F9A888E1}"/>
    <cellStyle name="Comma 2 3 2 2 2 4 5 5 3" xfId="23162" xr:uid="{975C43A9-5C08-4AA6-8ED6-3EBB6907FF5F}"/>
    <cellStyle name="Comma 2 3 2 2 2 4 5 6" xfId="37766" xr:uid="{DA1F7C2A-118F-40DD-B94A-FF15BC3704B8}"/>
    <cellStyle name="Comma 2 3 2 2 2 4 5 7" xfId="19512" xr:uid="{B0C00AB8-16D1-4BDB-A183-9BD791D4A343}"/>
    <cellStyle name="Comma 2 3 2 2 2 4 6" xfId="15128" xr:uid="{991BEEDA-991C-4F2E-97BC-2CBEC20C711F}"/>
    <cellStyle name="Comma 2 3 2 2 2 4 6 2" xfId="51636" xr:uid="{D5BAD768-9DDB-4D06-9933-2544BC1DB9C9}"/>
    <cellStyle name="Comma 2 3 2 2 2 4 6 3" xfId="33382" xr:uid="{5CE05DD4-C9F5-4096-AC15-AED57B1370C0}"/>
    <cellStyle name="Comma 2 3 2 2 2 4 7" xfId="11478" xr:uid="{52A80B03-8517-4EF4-BE87-EB7B3F3E3498}"/>
    <cellStyle name="Comma 2 3 2 2 2 4 7 2" xfId="47986" xr:uid="{9089AB2A-2970-4A5D-ABC3-B147FC93AF5E}"/>
    <cellStyle name="Comma 2 3 2 2 2 4 7 3" xfId="29732" xr:uid="{67605D82-372A-4354-81BC-623EDB1452DD}"/>
    <cellStyle name="Comma 2 3 2 2 2 4 8" xfId="7828" xr:uid="{136B627E-D0BD-44BD-822A-9D0E15AD4960}"/>
    <cellStyle name="Comma 2 3 2 2 2 4 8 2" xfId="44336" xr:uid="{F4443829-6F2A-458B-9CCE-C56EA29AFD00}"/>
    <cellStyle name="Comma 2 3 2 2 2 4 8 3" xfId="26082" xr:uid="{4CD257E3-CB2C-46D0-AD4E-AAA86A23C40E}"/>
    <cellStyle name="Comma 2 3 2 2 2 4 9" xfId="4178" xr:uid="{4F3D84F3-72AE-4E8B-8DCE-4450B2265D14}"/>
    <cellStyle name="Comma 2 3 2 2 2 4 9 2" xfId="40686" xr:uid="{D4A7CF15-7231-4642-AA31-4DCBB4A17DD4}"/>
    <cellStyle name="Comma 2 3 2 2 2 4 9 3" xfId="22432" xr:uid="{59B40AF9-E172-4409-8207-D4E81DE8D048}"/>
    <cellStyle name="Comma 2 3 2 2 2 5" xfId="424" xr:uid="{702BEA94-CB00-4EA7-A119-99E0CAB3C9A3}"/>
    <cellStyle name="Comma 2 3 2 2 2 5 10" xfId="36932" xr:uid="{70B6533E-E87B-4335-B3A3-7E3B3E496BE2}"/>
    <cellStyle name="Comma 2 3 2 2 2 5 11" xfId="18678" xr:uid="{CCA79519-5569-47C1-BA85-3C9717542D14}"/>
    <cellStyle name="Comma 2 3 2 2 2 5 2" xfId="3344" xr:uid="{67A0FFAA-8673-435B-9DA8-E08F5D5C2342}"/>
    <cellStyle name="Comma 2 3 2 2 2 5 2 2" xfId="17944" xr:uid="{AD677057-8555-4D8F-B0AE-9408812ADF8F}"/>
    <cellStyle name="Comma 2 3 2 2 2 5 2 2 2" xfId="54452" xr:uid="{0DDE7E17-8098-4AA1-AB9A-C4C852FF9330}"/>
    <cellStyle name="Comma 2 3 2 2 2 5 2 2 3" xfId="36198" xr:uid="{8911DEB0-3F5A-434A-BD07-AD223A467FCE}"/>
    <cellStyle name="Comma 2 3 2 2 2 5 2 3" xfId="14294" xr:uid="{74FD2C89-47A3-46B1-9505-5FE4EFAD042F}"/>
    <cellStyle name="Comma 2 3 2 2 2 5 2 3 2" xfId="50802" xr:uid="{DCEF875A-0F96-42FE-8BBC-77CCA93CCF9F}"/>
    <cellStyle name="Comma 2 3 2 2 2 5 2 3 3" xfId="32548" xr:uid="{C6931CC2-A760-4417-B8E9-DE2DB308B993}"/>
    <cellStyle name="Comma 2 3 2 2 2 5 2 4" xfId="10644" xr:uid="{980DB54E-BF2E-4F03-9B76-62D7426987ED}"/>
    <cellStyle name="Comma 2 3 2 2 2 5 2 4 2" xfId="47152" xr:uid="{F24DE3E8-38F2-4E0C-B08A-7D9A2C8C4103}"/>
    <cellStyle name="Comma 2 3 2 2 2 5 2 4 3" xfId="28898" xr:uid="{83364A64-8504-46C9-80DC-96D4B4DBAF31}"/>
    <cellStyle name="Comma 2 3 2 2 2 5 2 5" xfId="6994" xr:uid="{7AE13139-CC5B-41AF-B467-849C97518EF5}"/>
    <cellStyle name="Comma 2 3 2 2 2 5 2 5 2" xfId="43502" xr:uid="{730AC593-C2F0-40E5-8617-AB768E255332}"/>
    <cellStyle name="Comma 2 3 2 2 2 5 2 5 3" xfId="25248" xr:uid="{FA24DFA4-1A4F-4D7F-A70A-CE567233F947}"/>
    <cellStyle name="Comma 2 3 2 2 2 5 2 6" xfId="39852" xr:uid="{008AAB88-40E0-49DF-9631-A3631EBEFAE2}"/>
    <cellStyle name="Comma 2 3 2 2 2 5 2 7" xfId="21598" xr:uid="{2586BDF3-8A6F-4E8A-9843-0024CFE7420B}"/>
    <cellStyle name="Comma 2 3 2 2 2 5 3" xfId="2614" xr:uid="{6248572C-2BAC-4FFE-83B8-4514A4813634}"/>
    <cellStyle name="Comma 2 3 2 2 2 5 3 2" xfId="17214" xr:uid="{046A52A9-D15C-4631-9D71-CD8B0259BB40}"/>
    <cellStyle name="Comma 2 3 2 2 2 5 3 2 2" xfId="53722" xr:uid="{5681E307-BF61-49F9-9BC7-8266E6F7F390}"/>
    <cellStyle name="Comma 2 3 2 2 2 5 3 2 3" xfId="35468" xr:uid="{18E8BE2D-31F2-4A39-B20F-4410C719ACA8}"/>
    <cellStyle name="Comma 2 3 2 2 2 5 3 3" xfId="13564" xr:uid="{C963492B-5D4A-4296-914F-9B40AAF068E9}"/>
    <cellStyle name="Comma 2 3 2 2 2 5 3 3 2" xfId="50072" xr:uid="{291558AC-4382-4DC6-984E-314D61F77A2D}"/>
    <cellStyle name="Comma 2 3 2 2 2 5 3 3 3" xfId="31818" xr:uid="{2C0DFAF9-C761-4067-A277-BCFA29DA935C}"/>
    <cellStyle name="Comma 2 3 2 2 2 5 3 4" xfId="9914" xr:uid="{F2304CBE-203B-4393-8072-FB2DA5A83366}"/>
    <cellStyle name="Comma 2 3 2 2 2 5 3 4 2" xfId="46422" xr:uid="{1AE4AB9B-27F8-4A13-B38A-E25A248E5D7F}"/>
    <cellStyle name="Comma 2 3 2 2 2 5 3 4 3" xfId="28168" xr:uid="{A5D424B9-E0CC-4464-AE41-1BACD7E886D7}"/>
    <cellStyle name="Comma 2 3 2 2 2 5 3 5" xfId="6264" xr:uid="{6FA33F2E-4A67-45B7-A941-85862E72AE10}"/>
    <cellStyle name="Comma 2 3 2 2 2 5 3 5 2" xfId="42772" xr:uid="{9843861F-A260-4F35-90D8-1C9B1D3AB698}"/>
    <cellStyle name="Comma 2 3 2 2 2 5 3 5 3" xfId="24518" xr:uid="{545ADDD0-5367-48B3-9707-A5CE795DCBCA}"/>
    <cellStyle name="Comma 2 3 2 2 2 5 3 6" xfId="39122" xr:uid="{F3125BD7-1781-42EA-ADEE-C63F40313024}"/>
    <cellStyle name="Comma 2 3 2 2 2 5 3 7" xfId="20868" xr:uid="{D70CCEC1-189B-460E-B15F-330BE3A3B51B}"/>
    <cellStyle name="Comma 2 3 2 2 2 5 4" xfId="1884" xr:uid="{9D1E1F53-94D4-44DF-A9D2-0158A4544A9E}"/>
    <cellStyle name="Comma 2 3 2 2 2 5 4 2" xfId="16484" xr:uid="{5F93D363-5D3C-44BA-8F70-E4007F3B3085}"/>
    <cellStyle name="Comma 2 3 2 2 2 5 4 2 2" xfId="52992" xr:uid="{39B73A7F-13FD-4B33-AD23-9B79D5908474}"/>
    <cellStyle name="Comma 2 3 2 2 2 5 4 2 3" xfId="34738" xr:uid="{F5619CA3-C461-46AA-84F7-DA808B5D101A}"/>
    <cellStyle name="Comma 2 3 2 2 2 5 4 3" xfId="12834" xr:uid="{897E9180-3177-48F9-A71D-2E91C31DB073}"/>
    <cellStyle name="Comma 2 3 2 2 2 5 4 3 2" xfId="49342" xr:uid="{71C9DFBF-4769-4489-BFFC-EC40B6FDE275}"/>
    <cellStyle name="Comma 2 3 2 2 2 5 4 3 3" xfId="31088" xr:uid="{9D549AF3-52A1-4F05-B84E-5B68306BB517}"/>
    <cellStyle name="Comma 2 3 2 2 2 5 4 4" xfId="9184" xr:uid="{972A6D30-1463-4F17-B7B1-A77C27103C0F}"/>
    <cellStyle name="Comma 2 3 2 2 2 5 4 4 2" xfId="45692" xr:uid="{148BD62F-B1F4-4594-9A6D-8FDAA2FBC90B}"/>
    <cellStyle name="Comma 2 3 2 2 2 5 4 4 3" xfId="27438" xr:uid="{94610844-0747-4D79-B161-B80DA0E8F5FA}"/>
    <cellStyle name="Comma 2 3 2 2 2 5 4 5" xfId="5534" xr:uid="{2EE93528-5E8C-41C2-BA61-979FFD12C111}"/>
    <cellStyle name="Comma 2 3 2 2 2 5 4 5 2" xfId="42042" xr:uid="{16394AC0-4D26-47B5-9892-879631D6E4AE}"/>
    <cellStyle name="Comma 2 3 2 2 2 5 4 5 3" xfId="23788" xr:uid="{3C73BC46-C1AB-4D55-A437-57DEDF8A97A1}"/>
    <cellStyle name="Comma 2 3 2 2 2 5 4 6" xfId="38392" xr:uid="{8EF727AC-715B-4101-AA74-E7087DB474BB}"/>
    <cellStyle name="Comma 2 3 2 2 2 5 4 7" xfId="20138" xr:uid="{675C1D50-6F44-4146-A35A-0DC40D384A48}"/>
    <cellStyle name="Comma 2 3 2 2 2 5 5" xfId="1154" xr:uid="{6ECFB3F0-55B8-43DE-BED2-001E623CC64D}"/>
    <cellStyle name="Comma 2 3 2 2 2 5 5 2" xfId="15754" xr:uid="{A0C609B8-26FC-42EA-9F86-FF5563B3130A}"/>
    <cellStyle name="Comma 2 3 2 2 2 5 5 2 2" xfId="52262" xr:uid="{D24F4BF3-6DFB-4B69-850F-642A9B82FC39}"/>
    <cellStyle name="Comma 2 3 2 2 2 5 5 2 3" xfId="34008" xr:uid="{7BE2E332-1292-4BF4-976A-7C305AED056D}"/>
    <cellStyle name="Comma 2 3 2 2 2 5 5 3" xfId="12104" xr:uid="{57D58B34-A377-4F0E-8469-7E545A185ACE}"/>
    <cellStyle name="Comma 2 3 2 2 2 5 5 3 2" xfId="48612" xr:uid="{B5E7EB55-232D-4E25-B0D1-2E9C88BB5AB0}"/>
    <cellStyle name="Comma 2 3 2 2 2 5 5 3 3" xfId="30358" xr:uid="{EE736754-4A0B-470C-BEAC-7EEB17BC4DED}"/>
    <cellStyle name="Comma 2 3 2 2 2 5 5 4" xfId="8454" xr:uid="{C307E15F-2304-4986-AF69-4D1A15BDD9FD}"/>
    <cellStyle name="Comma 2 3 2 2 2 5 5 4 2" xfId="44962" xr:uid="{3DD572DB-3929-40BC-9948-64E3B959D675}"/>
    <cellStyle name="Comma 2 3 2 2 2 5 5 4 3" xfId="26708" xr:uid="{8D94FC7D-49DF-461D-8538-C5DB434B4642}"/>
    <cellStyle name="Comma 2 3 2 2 2 5 5 5" xfId="4804" xr:uid="{4112EDDC-2B0E-459E-99FA-6CD08E485210}"/>
    <cellStyle name="Comma 2 3 2 2 2 5 5 5 2" xfId="41312" xr:uid="{8F4FEB75-5FC9-4488-A912-C034CF172613}"/>
    <cellStyle name="Comma 2 3 2 2 2 5 5 5 3" xfId="23058" xr:uid="{93B8CD0C-6F25-4072-A424-2297FA0B0F4F}"/>
    <cellStyle name="Comma 2 3 2 2 2 5 5 6" xfId="37662" xr:uid="{E9F33631-ED8A-4346-A0BE-83041BB7A3A6}"/>
    <cellStyle name="Comma 2 3 2 2 2 5 5 7" xfId="19408" xr:uid="{AB90ABD3-BEBE-4F2B-8CB2-98BA766633CA}"/>
    <cellStyle name="Comma 2 3 2 2 2 5 6" xfId="15024" xr:uid="{20FB7A34-E217-4105-A622-A8E06DC4B39A}"/>
    <cellStyle name="Comma 2 3 2 2 2 5 6 2" xfId="51532" xr:uid="{01C615DA-97CB-4615-9A4A-E9320E6644F2}"/>
    <cellStyle name="Comma 2 3 2 2 2 5 6 3" xfId="33278" xr:uid="{91ADF435-DB3B-490E-952D-F9C92232044E}"/>
    <cellStyle name="Comma 2 3 2 2 2 5 7" xfId="11374" xr:uid="{481C960F-456E-4D2E-8B1B-60D1CC6EE1F9}"/>
    <cellStyle name="Comma 2 3 2 2 2 5 7 2" xfId="47882" xr:uid="{EA1B32B3-0E30-4ABC-9A84-42965C47A328}"/>
    <cellStyle name="Comma 2 3 2 2 2 5 7 3" xfId="29628" xr:uid="{542788CA-7C6A-4714-8110-3A02FD73DCF8}"/>
    <cellStyle name="Comma 2 3 2 2 2 5 8" xfId="7724" xr:uid="{6B6599DC-0A0E-4D2E-94AE-C325959C8E3D}"/>
    <cellStyle name="Comma 2 3 2 2 2 5 8 2" xfId="44232" xr:uid="{A36ADBBD-8CCD-424C-ABD0-285E1F977964}"/>
    <cellStyle name="Comma 2 3 2 2 2 5 8 3" xfId="25978" xr:uid="{BEC336A0-45A1-41EE-BB71-7B6832EEDC6E}"/>
    <cellStyle name="Comma 2 3 2 2 2 5 9" xfId="4074" xr:uid="{2B0FB101-5B13-41F7-9F61-EBE0222EFC57}"/>
    <cellStyle name="Comma 2 3 2 2 2 5 9 2" xfId="40582" xr:uid="{07710252-4335-47D5-A581-1E4A94904A8B}"/>
    <cellStyle name="Comma 2 3 2 2 2 5 9 3" xfId="22328" xr:uid="{74343909-0AD5-419B-AAF4-C32285B2DD7D}"/>
    <cellStyle name="Comma 2 3 2 2 2 6" xfId="320" xr:uid="{BEBE0FCF-B700-49DE-B794-F4E8056582AE}"/>
    <cellStyle name="Comma 2 3 2 2 2 6 10" xfId="36828" xr:uid="{DDD7CFA9-66D4-4739-8AAE-C40583F16A6F}"/>
    <cellStyle name="Comma 2 3 2 2 2 6 11" xfId="18574" xr:uid="{1F5EC333-B00B-49B5-A3B6-1070473C2808}"/>
    <cellStyle name="Comma 2 3 2 2 2 6 2" xfId="3240" xr:uid="{F0D822BF-BEB0-48A3-9944-0085EC982C5E}"/>
    <cellStyle name="Comma 2 3 2 2 2 6 2 2" xfId="17840" xr:uid="{9AAA815C-FCE3-4B06-AFB9-775D665EC87A}"/>
    <cellStyle name="Comma 2 3 2 2 2 6 2 2 2" xfId="54348" xr:uid="{DF25E7A7-1882-4B33-B97F-4078B1C8D5CF}"/>
    <cellStyle name="Comma 2 3 2 2 2 6 2 2 3" xfId="36094" xr:uid="{D43B5004-2D96-4BB5-9F9F-5CE7A0CAD064}"/>
    <cellStyle name="Comma 2 3 2 2 2 6 2 3" xfId="14190" xr:uid="{6DE40293-4EE8-459F-9AB9-FD901A23DD03}"/>
    <cellStyle name="Comma 2 3 2 2 2 6 2 3 2" xfId="50698" xr:uid="{21AF6F39-A937-49A6-83C6-0823596EEE00}"/>
    <cellStyle name="Comma 2 3 2 2 2 6 2 3 3" xfId="32444" xr:uid="{111A2335-3F93-4390-B405-022CCC9EB318}"/>
    <cellStyle name="Comma 2 3 2 2 2 6 2 4" xfId="10540" xr:uid="{0F29D6B2-4949-4F9C-BB0E-FC0C294C116F}"/>
    <cellStyle name="Comma 2 3 2 2 2 6 2 4 2" xfId="47048" xr:uid="{B3B22A7F-A5BA-4C0F-B260-D3F0A39404C5}"/>
    <cellStyle name="Comma 2 3 2 2 2 6 2 4 3" xfId="28794" xr:uid="{F40D16BE-03FD-40B0-A368-0CF7611F01F5}"/>
    <cellStyle name="Comma 2 3 2 2 2 6 2 5" xfId="6890" xr:uid="{EDBA8BE8-6103-40CE-8B34-4C2065B81C1D}"/>
    <cellStyle name="Comma 2 3 2 2 2 6 2 5 2" xfId="43398" xr:uid="{8040D3B2-ABDE-44C7-BA27-FA7796C77C3B}"/>
    <cellStyle name="Comma 2 3 2 2 2 6 2 5 3" xfId="25144" xr:uid="{1DE7230C-79B9-4D08-A780-381E80573C9D}"/>
    <cellStyle name="Comma 2 3 2 2 2 6 2 6" xfId="39748" xr:uid="{1BED0BE5-4CBA-45E4-AF85-BD614BA9CB31}"/>
    <cellStyle name="Comma 2 3 2 2 2 6 2 7" xfId="21494" xr:uid="{BD97EABA-465D-44DA-B3B7-93185E843322}"/>
    <cellStyle name="Comma 2 3 2 2 2 6 3" xfId="2510" xr:uid="{AF66B213-F1CA-496D-B114-939147F43103}"/>
    <cellStyle name="Comma 2 3 2 2 2 6 3 2" xfId="17110" xr:uid="{DEC97FC2-8F82-4BDD-A2B3-36417B6E1157}"/>
    <cellStyle name="Comma 2 3 2 2 2 6 3 2 2" xfId="53618" xr:uid="{46652F1D-0E7F-4D3D-8A2A-518E03795CBB}"/>
    <cellStyle name="Comma 2 3 2 2 2 6 3 2 3" xfId="35364" xr:uid="{5E77904E-DA5B-429B-894C-7A471492D354}"/>
    <cellStyle name="Comma 2 3 2 2 2 6 3 3" xfId="13460" xr:uid="{95638311-2228-45B3-978E-17783F3A2D6B}"/>
    <cellStyle name="Comma 2 3 2 2 2 6 3 3 2" xfId="49968" xr:uid="{0303D4F3-E79C-4BA1-A69F-DD394FA667D8}"/>
    <cellStyle name="Comma 2 3 2 2 2 6 3 3 3" xfId="31714" xr:uid="{FB31A4E0-BB91-4618-9866-52840A4C585E}"/>
    <cellStyle name="Comma 2 3 2 2 2 6 3 4" xfId="9810" xr:uid="{0B82BCB5-6FCE-42E0-BF42-14AA0ACDD3C9}"/>
    <cellStyle name="Comma 2 3 2 2 2 6 3 4 2" xfId="46318" xr:uid="{6AC2C3C7-5939-466B-881E-1FD695F5D262}"/>
    <cellStyle name="Comma 2 3 2 2 2 6 3 4 3" xfId="28064" xr:uid="{3970BBDA-D96C-458A-B92A-540D45333996}"/>
    <cellStyle name="Comma 2 3 2 2 2 6 3 5" xfId="6160" xr:uid="{BEBFD6EF-C836-42E0-8AC7-1F320166238F}"/>
    <cellStyle name="Comma 2 3 2 2 2 6 3 5 2" xfId="42668" xr:uid="{A3524EA8-A77E-4FB8-B295-49F02C0E5EEA}"/>
    <cellStyle name="Comma 2 3 2 2 2 6 3 5 3" xfId="24414" xr:uid="{39352DFE-3E7E-480A-9142-AFD82A0225B3}"/>
    <cellStyle name="Comma 2 3 2 2 2 6 3 6" xfId="39018" xr:uid="{0136FDA7-D22C-4583-BF77-7060987A448C}"/>
    <cellStyle name="Comma 2 3 2 2 2 6 3 7" xfId="20764" xr:uid="{B0CDC923-93C5-484D-86F7-C4E874BBC8B0}"/>
    <cellStyle name="Comma 2 3 2 2 2 6 4" xfId="1780" xr:uid="{E7BCC9B2-4D52-477F-8B51-A384A0ED7A32}"/>
    <cellStyle name="Comma 2 3 2 2 2 6 4 2" xfId="16380" xr:uid="{6F48AF34-9ADA-4B84-9375-5971313BD819}"/>
    <cellStyle name="Comma 2 3 2 2 2 6 4 2 2" xfId="52888" xr:uid="{F5D3FBD2-29FA-4218-AD84-22872B36101B}"/>
    <cellStyle name="Comma 2 3 2 2 2 6 4 2 3" xfId="34634" xr:uid="{A87EA629-4111-48BE-8851-BD59DF746021}"/>
    <cellStyle name="Comma 2 3 2 2 2 6 4 3" xfId="12730" xr:uid="{6AE0A304-ACB0-49CD-AF4A-54F641E6305E}"/>
    <cellStyle name="Comma 2 3 2 2 2 6 4 3 2" xfId="49238" xr:uid="{50C9947B-AC25-4EC5-B116-A918B0DDEDB9}"/>
    <cellStyle name="Comma 2 3 2 2 2 6 4 3 3" xfId="30984" xr:uid="{2C1AD091-09D2-4758-A85F-5A6AD801B189}"/>
    <cellStyle name="Comma 2 3 2 2 2 6 4 4" xfId="9080" xr:uid="{EC083E32-E268-40C1-8997-5C414059ACCC}"/>
    <cellStyle name="Comma 2 3 2 2 2 6 4 4 2" xfId="45588" xr:uid="{C8F829A5-9B46-4474-AD2A-AECF47B96DF9}"/>
    <cellStyle name="Comma 2 3 2 2 2 6 4 4 3" xfId="27334" xr:uid="{58BE1E8E-2AFE-4F0C-A42D-04DB30E4BE42}"/>
    <cellStyle name="Comma 2 3 2 2 2 6 4 5" xfId="5430" xr:uid="{06E9D31C-40BD-44F8-ADA7-1D22863FF02F}"/>
    <cellStyle name="Comma 2 3 2 2 2 6 4 5 2" xfId="41938" xr:uid="{1971D351-108D-4629-8A9A-2BD525A53EA3}"/>
    <cellStyle name="Comma 2 3 2 2 2 6 4 5 3" xfId="23684" xr:uid="{026A539A-B19E-433E-9215-111769F33D7D}"/>
    <cellStyle name="Comma 2 3 2 2 2 6 4 6" xfId="38288" xr:uid="{5372411C-1045-43A4-A464-C72B7501BD8A}"/>
    <cellStyle name="Comma 2 3 2 2 2 6 4 7" xfId="20034" xr:uid="{2FBAE811-1367-4359-826C-92C8B6A3430C}"/>
    <cellStyle name="Comma 2 3 2 2 2 6 5" xfId="1050" xr:uid="{C4A0391E-8FE9-4853-9918-EE4D1D8D98E9}"/>
    <cellStyle name="Comma 2 3 2 2 2 6 5 2" xfId="15650" xr:uid="{B2C305EA-0999-4C2C-A5A9-9DAD275478A5}"/>
    <cellStyle name="Comma 2 3 2 2 2 6 5 2 2" xfId="52158" xr:uid="{4C835986-5382-42B4-9293-A8DDEE31B60E}"/>
    <cellStyle name="Comma 2 3 2 2 2 6 5 2 3" xfId="33904" xr:uid="{5EF94870-E4B8-40BD-9F2A-70220B5BEC39}"/>
    <cellStyle name="Comma 2 3 2 2 2 6 5 3" xfId="12000" xr:uid="{A5DAF007-9A4A-4C9A-8F88-54AF471EBCE7}"/>
    <cellStyle name="Comma 2 3 2 2 2 6 5 3 2" xfId="48508" xr:uid="{461DAA85-B33F-4372-99D7-96C461F2FD66}"/>
    <cellStyle name="Comma 2 3 2 2 2 6 5 3 3" xfId="30254" xr:uid="{357ADD53-9D00-4ECA-93CB-B6113BD66149}"/>
    <cellStyle name="Comma 2 3 2 2 2 6 5 4" xfId="8350" xr:uid="{6ED3851D-063D-4F19-B18B-5A94452BE6B2}"/>
    <cellStyle name="Comma 2 3 2 2 2 6 5 4 2" xfId="44858" xr:uid="{CEDF2C62-E3C0-48F0-8C71-0FE6FCDEC9C8}"/>
    <cellStyle name="Comma 2 3 2 2 2 6 5 4 3" xfId="26604" xr:uid="{1DCCFEF6-F46D-455E-A4CA-09E3A8BF677C}"/>
    <cellStyle name="Comma 2 3 2 2 2 6 5 5" xfId="4700" xr:uid="{D49FE2E9-1C49-49DF-85A1-64ED6879110D}"/>
    <cellStyle name="Comma 2 3 2 2 2 6 5 5 2" xfId="41208" xr:uid="{75568874-F3C7-4B37-8F2A-D19B7DAEB5C5}"/>
    <cellStyle name="Comma 2 3 2 2 2 6 5 5 3" xfId="22954" xr:uid="{1B530FD1-970B-4056-A453-C3FFF901CC31}"/>
    <cellStyle name="Comma 2 3 2 2 2 6 5 6" xfId="37558" xr:uid="{C3BFE506-D1B5-4F5C-BA45-600190A0A51E}"/>
    <cellStyle name="Comma 2 3 2 2 2 6 5 7" xfId="19304" xr:uid="{3CA3ADA4-CF0C-477B-8CBA-D344C11A5A65}"/>
    <cellStyle name="Comma 2 3 2 2 2 6 6" xfId="14920" xr:uid="{BE8C3537-7232-4A8E-8168-9E8946C2FCDD}"/>
    <cellStyle name="Comma 2 3 2 2 2 6 6 2" xfId="51428" xr:uid="{2DDA2428-4FBC-436D-8BBA-DC2B4B9FCF25}"/>
    <cellStyle name="Comma 2 3 2 2 2 6 6 3" xfId="33174" xr:uid="{749F19BE-2ED7-4E26-BCBF-664095EF1A8A}"/>
    <cellStyle name="Comma 2 3 2 2 2 6 7" xfId="11270" xr:uid="{9B940918-C4DE-455F-99B7-58CBBD4643CB}"/>
    <cellStyle name="Comma 2 3 2 2 2 6 7 2" xfId="47778" xr:uid="{6E8D7938-84AE-4C38-B922-F40994938035}"/>
    <cellStyle name="Comma 2 3 2 2 2 6 7 3" xfId="29524" xr:uid="{6FDFFF2F-2DD7-4AC7-84AF-934C74A4F508}"/>
    <cellStyle name="Comma 2 3 2 2 2 6 8" xfId="7620" xr:uid="{89697E9E-7862-4323-80D0-1D748F20EA8D}"/>
    <cellStyle name="Comma 2 3 2 2 2 6 8 2" xfId="44128" xr:uid="{504FED41-7FA9-4065-BBF8-DB2675A4D426}"/>
    <cellStyle name="Comma 2 3 2 2 2 6 8 3" xfId="25874" xr:uid="{CB427545-6E06-4506-B3A5-F29CAFDF1008}"/>
    <cellStyle name="Comma 2 3 2 2 2 6 9" xfId="3970" xr:uid="{049C4555-E538-48D7-B5B6-F19B8A76AB0E}"/>
    <cellStyle name="Comma 2 3 2 2 2 6 9 2" xfId="40478" xr:uid="{C00E2A50-E969-45D5-B910-7499C24B8D04}"/>
    <cellStyle name="Comma 2 3 2 2 2 6 9 3" xfId="22224" xr:uid="{7AC07364-012C-4F48-A0B5-6A517FE33742}"/>
    <cellStyle name="Comma 2 3 2 2 2 7" xfId="216" xr:uid="{FBAB2FD5-EB1B-4D86-B71D-9462C360797B}"/>
    <cellStyle name="Comma 2 3 2 2 2 7 10" xfId="36724" xr:uid="{274F5379-E0C0-4566-AE22-4126BDE14E55}"/>
    <cellStyle name="Comma 2 3 2 2 2 7 11" xfId="18470" xr:uid="{F4BC7221-B332-4EE3-81EA-8D434089AF21}"/>
    <cellStyle name="Comma 2 3 2 2 2 7 2" xfId="3136" xr:uid="{6F1795CE-BAB6-4657-A9EE-D56E32C34F10}"/>
    <cellStyle name="Comma 2 3 2 2 2 7 2 2" xfId="17736" xr:uid="{84A3B506-D1F0-4883-A2CE-C6689A9AB22B}"/>
    <cellStyle name="Comma 2 3 2 2 2 7 2 2 2" xfId="54244" xr:uid="{F6B73065-26BB-4E8E-AB08-7CABBD84D10E}"/>
    <cellStyle name="Comma 2 3 2 2 2 7 2 2 3" xfId="35990" xr:uid="{59A3F64A-EED2-45F0-9E13-E09D002E9FEF}"/>
    <cellStyle name="Comma 2 3 2 2 2 7 2 3" xfId="14086" xr:uid="{EED7DAA1-AA9A-4393-9776-29091016BD6B}"/>
    <cellStyle name="Comma 2 3 2 2 2 7 2 3 2" xfId="50594" xr:uid="{FA2D4926-D187-4BC4-8A37-2949868A67C6}"/>
    <cellStyle name="Comma 2 3 2 2 2 7 2 3 3" xfId="32340" xr:uid="{B6E90799-7869-4102-B0C7-4AA656F654E6}"/>
    <cellStyle name="Comma 2 3 2 2 2 7 2 4" xfId="10436" xr:uid="{D2716201-715A-4982-997B-908AD5CF427F}"/>
    <cellStyle name="Comma 2 3 2 2 2 7 2 4 2" xfId="46944" xr:uid="{E56CA93A-590A-4E90-92E6-0C664A3F3390}"/>
    <cellStyle name="Comma 2 3 2 2 2 7 2 4 3" xfId="28690" xr:uid="{E7043AA7-9108-44C2-A2BD-10349F23AA1A}"/>
    <cellStyle name="Comma 2 3 2 2 2 7 2 5" xfId="6786" xr:uid="{6AA25742-B317-4776-8C04-A6F187575E9E}"/>
    <cellStyle name="Comma 2 3 2 2 2 7 2 5 2" xfId="43294" xr:uid="{F27EAC88-5C64-490D-B8EE-DD342DB0A8C2}"/>
    <cellStyle name="Comma 2 3 2 2 2 7 2 5 3" xfId="25040" xr:uid="{A74758B5-170C-427D-B9C4-799A50A1156D}"/>
    <cellStyle name="Comma 2 3 2 2 2 7 2 6" xfId="39644" xr:uid="{6C5F383A-F5AE-4837-945A-163F5560E4CC}"/>
    <cellStyle name="Comma 2 3 2 2 2 7 2 7" xfId="21390" xr:uid="{896ECC14-D630-4BDF-B873-D97086665330}"/>
    <cellStyle name="Comma 2 3 2 2 2 7 3" xfId="2406" xr:uid="{570D1E16-80A3-4143-BAB8-5DD5212E3011}"/>
    <cellStyle name="Comma 2 3 2 2 2 7 3 2" xfId="17006" xr:uid="{A16DF723-7310-4227-9EC9-5E75093014A9}"/>
    <cellStyle name="Comma 2 3 2 2 2 7 3 2 2" xfId="53514" xr:uid="{CBF8F9F7-A780-40FC-98D4-158EC0A6DB1C}"/>
    <cellStyle name="Comma 2 3 2 2 2 7 3 2 3" xfId="35260" xr:uid="{442C97A1-85F9-4C75-A10D-DC671824F9BA}"/>
    <cellStyle name="Comma 2 3 2 2 2 7 3 3" xfId="13356" xr:uid="{5C257A00-4E12-4B82-A379-495B3D5396F0}"/>
    <cellStyle name="Comma 2 3 2 2 2 7 3 3 2" xfId="49864" xr:uid="{9ED7483B-4D8A-402E-A201-A92AA2ACFF6F}"/>
    <cellStyle name="Comma 2 3 2 2 2 7 3 3 3" xfId="31610" xr:uid="{F7B16B0A-963C-4EF6-8F4B-14CC28ED53C8}"/>
    <cellStyle name="Comma 2 3 2 2 2 7 3 4" xfId="9706" xr:uid="{5CA1EC6B-DF4A-4CFD-A90D-DB4A7BE04D7E}"/>
    <cellStyle name="Comma 2 3 2 2 2 7 3 4 2" xfId="46214" xr:uid="{03946F51-B112-4C4D-BCB0-3C5517F44A9C}"/>
    <cellStyle name="Comma 2 3 2 2 2 7 3 4 3" xfId="27960" xr:uid="{368B9D58-B9AF-4A44-B603-B6A8A61031CA}"/>
    <cellStyle name="Comma 2 3 2 2 2 7 3 5" xfId="6056" xr:uid="{5B00ADDB-8754-4873-A820-82E6991D115E}"/>
    <cellStyle name="Comma 2 3 2 2 2 7 3 5 2" xfId="42564" xr:uid="{8DA1CEFF-B8CA-4189-BDF0-4BC75E9D444A}"/>
    <cellStyle name="Comma 2 3 2 2 2 7 3 5 3" xfId="24310" xr:uid="{6B61F43E-ADD2-43C6-88C1-AF0B8A3C625E}"/>
    <cellStyle name="Comma 2 3 2 2 2 7 3 6" xfId="38914" xr:uid="{9A68C002-7742-428D-8080-FC895DFE3E39}"/>
    <cellStyle name="Comma 2 3 2 2 2 7 3 7" xfId="20660" xr:uid="{1CE688EC-BBC2-4CDF-8E8E-3CE1208E43D4}"/>
    <cellStyle name="Comma 2 3 2 2 2 7 4" xfId="1676" xr:uid="{B3083959-BFAE-44A2-8EA9-CCD6A1A0FBFF}"/>
    <cellStyle name="Comma 2 3 2 2 2 7 4 2" xfId="16276" xr:uid="{1F7D2015-E11D-4F6F-BE23-762338412C72}"/>
    <cellStyle name="Comma 2 3 2 2 2 7 4 2 2" xfId="52784" xr:uid="{8F177518-3EEA-4E31-B41B-4418283A7F13}"/>
    <cellStyle name="Comma 2 3 2 2 2 7 4 2 3" xfId="34530" xr:uid="{6980D63B-BA6B-4DD0-A64C-34F40243D6FB}"/>
    <cellStyle name="Comma 2 3 2 2 2 7 4 3" xfId="12626" xr:uid="{7C606C5F-86D9-4A49-81DC-54C4724669D2}"/>
    <cellStyle name="Comma 2 3 2 2 2 7 4 3 2" xfId="49134" xr:uid="{E5DC182A-593B-4BB8-B7B0-2CFB7925AA61}"/>
    <cellStyle name="Comma 2 3 2 2 2 7 4 3 3" xfId="30880" xr:uid="{1837CC6B-CB72-42AD-8BAE-411075943391}"/>
    <cellStyle name="Comma 2 3 2 2 2 7 4 4" xfId="8976" xr:uid="{3AE25DFE-2762-4A38-A216-1BF70A8DB07D}"/>
    <cellStyle name="Comma 2 3 2 2 2 7 4 4 2" xfId="45484" xr:uid="{321C5B96-DDF0-464B-A20D-5C8466AC9338}"/>
    <cellStyle name="Comma 2 3 2 2 2 7 4 4 3" xfId="27230" xr:uid="{80E41A54-AFFC-428E-B82A-09772E826429}"/>
    <cellStyle name="Comma 2 3 2 2 2 7 4 5" xfId="5326" xr:uid="{29237125-E4E4-4677-AC15-F3B0DF58313B}"/>
    <cellStyle name="Comma 2 3 2 2 2 7 4 5 2" xfId="41834" xr:uid="{E83136C6-1F3F-413C-B6D9-66C2278381AB}"/>
    <cellStyle name="Comma 2 3 2 2 2 7 4 5 3" xfId="23580" xr:uid="{607E1D0C-FCBE-4419-BD21-6E0F6B954AD1}"/>
    <cellStyle name="Comma 2 3 2 2 2 7 4 6" xfId="38184" xr:uid="{78554A26-F0C7-481B-8DED-C591C44BEFFE}"/>
    <cellStyle name="Comma 2 3 2 2 2 7 4 7" xfId="19930" xr:uid="{699AA15F-62FD-4D09-9FD4-B7513CF23083}"/>
    <cellStyle name="Comma 2 3 2 2 2 7 5" xfId="946" xr:uid="{33A14343-1814-48AA-B7FA-C9EE9DCB0CA4}"/>
    <cellStyle name="Comma 2 3 2 2 2 7 5 2" xfId="15546" xr:uid="{F68007E1-3DF4-42D7-9A6C-3C89DE22F5CE}"/>
    <cellStyle name="Comma 2 3 2 2 2 7 5 2 2" xfId="52054" xr:uid="{E17C9185-A2AD-486E-9336-298AACC2D59A}"/>
    <cellStyle name="Comma 2 3 2 2 2 7 5 2 3" xfId="33800" xr:uid="{8DD5C0C3-13FA-49AB-8D38-525B1F0D70BE}"/>
    <cellStyle name="Comma 2 3 2 2 2 7 5 3" xfId="11896" xr:uid="{742E4020-A41B-4B46-ABA4-E0AB40F305D9}"/>
    <cellStyle name="Comma 2 3 2 2 2 7 5 3 2" xfId="48404" xr:uid="{01AAD349-FD80-4E20-A9FD-CA7C54CF066B}"/>
    <cellStyle name="Comma 2 3 2 2 2 7 5 3 3" xfId="30150" xr:uid="{DC0B553E-5E05-47E0-AF5A-2748850F636D}"/>
    <cellStyle name="Comma 2 3 2 2 2 7 5 4" xfId="8246" xr:uid="{DC30881C-DD62-4081-8321-E1E19F6F0E5E}"/>
    <cellStyle name="Comma 2 3 2 2 2 7 5 4 2" xfId="44754" xr:uid="{956C4F9E-A13D-4DC9-8DC3-AA97FDD3E54F}"/>
    <cellStyle name="Comma 2 3 2 2 2 7 5 4 3" xfId="26500" xr:uid="{90247E9B-E810-4318-A296-658564E5BAAD}"/>
    <cellStyle name="Comma 2 3 2 2 2 7 5 5" xfId="4596" xr:uid="{8F5AA6C5-6BBB-4A1A-BE7D-0BA8B0D9517D}"/>
    <cellStyle name="Comma 2 3 2 2 2 7 5 5 2" xfId="41104" xr:uid="{C7CDBA8F-F04D-49C6-B001-246F4FBF1416}"/>
    <cellStyle name="Comma 2 3 2 2 2 7 5 5 3" xfId="22850" xr:uid="{BE8F3FC9-7134-46DE-9C07-2C682FA576C7}"/>
    <cellStyle name="Comma 2 3 2 2 2 7 5 6" xfId="37454" xr:uid="{92851064-B839-4E3C-A5F8-EDB05C363879}"/>
    <cellStyle name="Comma 2 3 2 2 2 7 5 7" xfId="19200" xr:uid="{26BF0B01-3F3C-40A4-9856-1D993DFC010B}"/>
    <cellStyle name="Comma 2 3 2 2 2 7 6" xfId="14816" xr:uid="{20D40406-00EB-4A57-ADA3-0205124047E6}"/>
    <cellStyle name="Comma 2 3 2 2 2 7 6 2" xfId="51324" xr:uid="{199F6154-A5F7-4782-AB1A-D2872E6155B4}"/>
    <cellStyle name="Comma 2 3 2 2 2 7 6 3" xfId="33070" xr:uid="{E93984E2-91C1-46B5-8FD7-6FCDFA05F096}"/>
    <cellStyle name="Comma 2 3 2 2 2 7 7" xfId="11166" xr:uid="{BCC5EB35-64ED-45DB-9AA5-D76A0B266480}"/>
    <cellStyle name="Comma 2 3 2 2 2 7 7 2" xfId="47674" xr:uid="{867D8E7F-9D87-44F1-96AA-E284D0C11E09}"/>
    <cellStyle name="Comma 2 3 2 2 2 7 7 3" xfId="29420" xr:uid="{30E672FB-05B8-4E51-B6CF-D1CE43D01F83}"/>
    <cellStyle name="Comma 2 3 2 2 2 7 8" xfId="7516" xr:uid="{5A26CD98-CBFE-42A3-ABD8-2E8454A829C1}"/>
    <cellStyle name="Comma 2 3 2 2 2 7 8 2" xfId="44024" xr:uid="{0E96C9E0-6174-499C-BE51-8C4745AE92A4}"/>
    <cellStyle name="Comma 2 3 2 2 2 7 8 3" xfId="25770" xr:uid="{8E788DC1-3AC4-412A-AD45-369504E0C449}"/>
    <cellStyle name="Comma 2 3 2 2 2 7 9" xfId="3866" xr:uid="{0AFBD93F-A219-4B0E-9EAB-DB11CDD8877F}"/>
    <cellStyle name="Comma 2 3 2 2 2 7 9 2" xfId="40374" xr:uid="{E8552078-ED0E-4F78-B705-1C1330CC63E2}"/>
    <cellStyle name="Comma 2 3 2 2 2 7 9 3" xfId="22120" xr:uid="{D19F4C14-0C4C-4F1F-B3B1-F5A8AA52DA9F}"/>
    <cellStyle name="Comma 2 3 2 2 2 8" xfId="3032" xr:uid="{4D78FF03-8F6F-407E-B971-6D46A42E2D07}"/>
    <cellStyle name="Comma 2 3 2 2 2 8 2" xfId="17632" xr:uid="{BAA45E55-6687-433F-8EEB-BFDE9EA14D1B}"/>
    <cellStyle name="Comma 2 3 2 2 2 8 2 2" xfId="54140" xr:uid="{25FB8395-3FE9-4740-B9DF-3B400FC5EDBE}"/>
    <cellStyle name="Comma 2 3 2 2 2 8 2 3" xfId="35886" xr:uid="{2B210A2D-7AA9-4337-916C-D7095FCEB888}"/>
    <cellStyle name="Comma 2 3 2 2 2 8 3" xfId="13982" xr:uid="{A58EF068-880E-43E5-9001-5988CDA41553}"/>
    <cellStyle name="Comma 2 3 2 2 2 8 3 2" xfId="50490" xr:uid="{3DFF899D-1870-4F94-9D91-8B49D346869E}"/>
    <cellStyle name="Comma 2 3 2 2 2 8 3 3" xfId="32236" xr:uid="{2A0F7257-4DCA-493F-8EB5-BB64B3DC5F1A}"/>
    <cellStyle name="Comma 2 3 2 2 2 8 4" xfId="10332" xr:uid="{317BB0D9-000B-45F2-8225-603801CE7775}"/>
    <cellStyle name="Comma 2 3 2 2 2 8 4 2" xfId="46840" xr:uid="{2363348B-76A5-4DD1-84E9-7FFC452EEAA8}"/>
    <cellStyle name="Comma 2 3 2 2 2 8 4 3" xfId="28586" xr:uid="{8216F3F9-B1B5-4B5E-B67E-85C1963F1E4C}"/>
    <cellStyle name="Comma 2 3 2 2 2 8 5" xfId="6682" xr:uid="{2B9959BD-26C1-4839-8791-30A0F3C264C3}"/>
    <cellStyle name="Comma 2 3 2 2 2 8 5 2" xfId="43190" xr:uid="{3A7BA23E-5419-4EE9-BE6E-0DECAFCACB39}"/>
    <cellStyle name="Comma 2 3 2 2 2 8 5 3" xfId="24936" xr:uid="{CE6CD8F9-C838-408C-89D9-0372439D5EBA}"/>
    <cellStyle name="Comma 2 3 2 2 2 8 6" xfId="39540" xr:uid="{FEAA7FD9-2139-491C-9851-2D2868292926}"/>
    <cellStyle name="Comma 2 3 2 2 2 8 7" xfId="21286" xr:uid="{B90801A6-F76C-4503-B66F-78D396ED8118}"/>
    <cellStyle name="Comma 2 3 2 2 2 9" xfId="2302" xr:uid="{82914F6E-D76D-487E-B497-FB9B2C530007}"/>
    <cellStyle name="Comma 2 3 2 2 2 9 2" xfId="16902" xr:uid="{86D8659A-67B0-4467-8FE0-779B6973AEDE}"/>
    <cellStyle name="Comma 2 3 2 2 2 9 2 2" xfId="53410" xr:uid="{8DF676A9-ED9D-4E78-9729-3A1EBCAEEE4E}"/>
    <cellStyle name="Comma 2 3 2 2 2 9 2 3" xfId="35156" xr:uid="{1E9FABFB-8F72-4836-9F90-C8648DD47D14}"/>
    <cellStyle name="Comma 2 3 2 2 2 9 3" xfId="13252" xr:uid="{BB48A034-B8AE-41CC-B556-48B9AB41F96A}"/>
    <cellStyle name="Comma 2 3 2 2 2 9 3 2" xfId="49760" xr:uid="{59563D79-9CDF-4289-B070-6031E775C78C}"/>
    <cellStyle name="Comma 2 3 2 2 2 9 3 3" xfId="31506" xr:uid="{F561E652-D66F-4D0A-9DDA-4864C1C59777}"/>
    <cellStyle name="Comma 2 3 2 2 2 9 4" xfId="9602" xr:uid="{794B2FE2-E6D5-407E-9CED-5B7A71E8AF04}"/>
    <cellStyle name="Comma 2 3 2 2 2 9 4 2" xfId="46110" xr:uid="{AC653085-1F91-4DD6-8B0F-0AD5D003E652}"/>
    <cellStyle name="Comma 2 3 2 2 2 9 4 3" xfId="27856" xr:uid="{E4C8F769-A4B9-47ED-9218-282C226DAFC4}"/>
    <cellStyle name="Comma 2 3 2 2 2 9 5" xfId="5952" xr:uid="{3260B6E6-6822-40D1-8A5B-40CD6F4E202F}"/>
    <cellStyle name="Comma 2 3 2 2 2 9 5 2" xfId="42460" xr:uid="{970D05AA-F924-49B3-A666-4E2DC47BE5EF}"/>
    <cellStyle name="Comma 2 3 2 2 2 9 5 3" xfId="24206" xr:uid="{872E19A4-B45A-4888-B56C-5CF1FD46E56A}"/>
    <cellStyle name="Comma 2 3 2 2 2 9 6" xfId="38810" xr:uid="{3CD1B600-EE1F-4802-8DF7-88F6A8967D81}"/>
    <cellStyle name="Comma 2 3 2 2 2 9 7" xfId="20556" xr:uid="{D01667D0-1856-4F0D-AE9C-F98581B443D4}"/>
    <cellStyle name="Comma 2 3 2 2 3" xfId="77" xr:uid="{C19D507B-BD59-450E-A4CC-9DF82ECB2C95}"/>
    <cellStyle name="Comma 2 3 2 2 3 10" xfId="1540" xr:uid="{FCE69BFD-BF82-48D6-B58A-DD3502901AC5}"/>
    <cellStyle name="Comma 2 3 2 2 3 10 2" xfId="16140" xr:uid="{E026C428-B75F-4A3B-91F0-C55C7A65DB8C}"/>
    <cellStyle name="Comma 2 3 2 2 3 10 2 2" xfId="52648" xr:uid="{D2614529-730F-4A2A-8F6D-20C4AFF31C02}"/>
    <cellStyle name="Comma 2 3 2 2 3 10 2 3" xfId="34394" xr:uid="{6A832157-5F47-40EE-B925-6DF1D64E3B1C}"/>
    <cellStyle name="Comma 2 3 2 2 3 10 3" xfId="12490" xr:uid="{25CC662D-830E-47FB-9C8C-B5C502F38F6E}"/>
    <cellStyle name="Comma 2 3 2 2 3 10 3 2" xfId="48998" xr:uid="{0F2A7029-A62A-449B-BD4D-380FE84D0C5A}"/>
    <cellStyle name="Comma 2 3 2 2 3 10 3 3" xfId="30744" xr:uid="{2DF74D21-1C93-4D63-9A84-1CAD02903CE6}"/>
    <cellStyle name="Comma 2 3 2 2 3 10 4" xfId="8840" xr:uid="{5B28B1D9-6586-4705-83E1-C1F282148764}"/>
    <cellStyle name="Comma 2 3 2 2 3 10 4 2" xfId="45348" xr:uid="{36D54618-AF31-46DC-B819-15DA9762853E}"/>
    <cellStyle name="Comma 2 3 2 2 3 10 4 3" xfId="27094" xr:uid="{BE9EABB2-467D-416E-841B-4C3E2DB7EA7D}"/>
    <cellStyle name="Comma 2 3 2 2 3 10 5" xfId="5190" xr:uid="{79F6904E-AC89-4FBB-A6A0-714E77092D59}"/>
    <cellStyle name="Comma 2 3 2 2 3 10 5 2" xfId="41698" xr:uid="{94350C2F-F824-46A9-ABB7-46FFCDA93652}"/>
    <cellStyle name="Comma 2 3 2 2 3 10 5 3" xfId="23444" xr:uid="{E127E8F4-632B-458A-9B9C-ED9C054CF011}"/>
    <cellStyle name="Comma 2 3 2 2 3 10 6" xfId="38048" xr:uid="{168E5AFB-AB46-43C0-8C1D-321A936ED968}"/>
    <cellStyle name="Comma 2 3 2 2 3 10 7" xfId="19794" xr:uid="{8DE68EBE-F7DD-430D-8D79-62E06161C61C}"/>
    <cellStyle name="Comma 2 3 2 2 3 11" xfId="810" xr:uid="{9AF0FDD5-D4A8-4B75-8FC9-55F7D5651603}"/>
    <cellStyle name="Comma 2 3 2 2 3 11 2" xfId="15410" xr:uid="{A024A6B7-2005-4453-9CE0-6BC91B9E4045}"/>
    <cellStyle name="Comma 2 3 2 2 3 11 2 2" xfId="51918" xr:uid="{583A5C60-4253-476A-9726-B1401ABA2063}"/>
    <cellStyle name="Comma 2 3 2 2 3 11 2 3" xfId="33664" xr:uid="{828E1803-99F3-4EFF-A4DE-F288EF521FDB}"/>
    <cellStyle name="Comma 2 3 2 2 3 11 3" xfId="11760" xr:uid="{9764F86E-8A9A-4336-9034-223503F3ECB7}"/>
    <cellStyle name="Comma 2 3 2 2 3 11 3 2" xfId="48268" xr:uid="{5E0C1D67-1662-4800-9655-F6377661D93F}"/>
    <cellStyle name="Comma 2 3 2 2 3 11 3 3" xfId="30014" xr:uid="{BE5AB426-B098-4119-933D-344CD41CC029}"/>
    <cellStyle name="Comma 2 3 2 2 3 11 4" xfId="8110" xr:uid="{8DC24896-38DA-4E1E-A84C-FE6F886C97E7}"/>
    <cellStyle name="Comma 2 3 2 2 3 11 4 2" xfId="44618" xr:uid="{118621F0-6238-4F98-9F62-F164DDE71B67}"/>
    <cellStyle name="Comma 2 3 2 2 3 11 4 3" xfId="26364" xr:uid="{E1A53FD4-6445-41A4-BCFE-8D673BCF580E}"/>
    <cellStyle name="Comma 2 3 2 2 3 11 5" xfId="4460" xr:uid="{56E8CF2E-E4A5-43FF-929F-3940F818A018}"/>
    <cellStyle name="Comma 2 3 2 2 3 11 5 2" xfId="40968" xr:uid="{4BBEAE41-B7A1-470E-9B94-F4FF785D654D}"/>
    <cellStyle name="Comma 2 3 2 2 3 11 5 3" xfId="22714" xr:uid="{B79319D2-1ED6-4C0F-B882-ABE588A3ABDD}"/>
    <cellStyle name="Comma 2 3 2 2 3 11 6" xfId="37318" xr:uid="{F4FF350E-29E2-458E-8D59-731F7B4C13F3}"/>
    <cellStyle name="Comma 2 3 2 2 3 11 7" xfId="19064" xr:uid="{29E4DB68-79FC-4156-8313-B9A92FEE6C63}"/>
    <cellStyle name="Comma 2 3 2 2 3 12" xfId="14680" xr:uid="{2E5C3121-8456-41CF-AEC4-DE98BE2A47C8}"/>
    <cellStyle name="Comma 2 3 2 2 3 12 2" xfId="51188" xr:uid="{B25C107F-F481-43A3-9514-570C327A768C}"/>
    <cellStyle name="Comma 2 3 2 2 3 12 3" xfId="32934" xr:uid="{CBBC7CF0-036A-4D76-A7F1-9ED6EB7AF7AA}"/>
    <cellStyle name="Comma 2 3 2 2 3 13" xfId="11030" xr:uid="{2C267D05-0790-4ECF-AA70-CFFFE7D77527}"/>
    <cellStyle name="Comma 2 3 2 2 3 13 2" xfId="47538" xr:uid="{1838D789-E37B-4123-90BC-4BC1BAC5BDC2}"/>
    <cellStyle name="Comma 2 3 2 2 3 13 3" xfId="29284" xr:uid="{DBA378CE-A948-4363-A81B-438035EDE7FF}"/>
    <cellStyle name="Comma 2 3 2 2 3 14" xfId="7380" xr:uid="{D07C147F-F4B4-49BE-8247-B298491AB68F}"/>
    <cellStyle name="Comma 2 3 2 2 3 14 2" xfId="43888" xr:uid="{8C2273B1-63A6-4D8C-90CB-F18765DB126D}"/>
    <cellStyle name="Comma 2 3 2 2 3 14 3" xfId="25634" xr:uid="{69F6303E-5246-4FC2-932E-9BFF198FB168}"/>
    <cellStyle name="Comma 2 3 2 2 3 15" xfId="3730" xr:uid="{96627F05-776D-4CA4-B8EF-9B535EF6AD5B}"/>
    <cellStyle name="Comma 2 3 2 2 3 15 2" xfId="40238" xr:uid="{BE75F093-BF8C-4A9C-8B76-95A56978032A}"/>
    <cellStyle name="Comma 2 3 2 2 3 15 3" xfId="21984" xr:uid="{467A482D-F8E9-4930-BFCD-E02971CB9F03}"/>
    <cellStyle name="Comma 2 3 2 2 3 16" xfId="36588" xr:uid="{E06D6B5F-D05B-4E5E-9170-F21070BCB285}"/>
    <cellStyle name="Comma 2 3 2 2 3 17" xfId="18334" xr:uid="{1C7D8C75-8C57-47D0-98E0-86DC57C99708}"/>
    <cellStyle name="Comma 2 3 2 2 3 2" xfId="704" xr:uid="{4437DB3E-E5EB-4D45-A5E4-D17DBDB7667F}"/>
    <cellStyle name="Comma 2 3 2 2 3 2 10" xfId="37212" xr:uid="{A346A321-3B0C-4F26-AF61-91A20E2B5947}"/>
    <cellStyle name="Comma 2 3 2 2 3 2 11" xfId="18958" xr:uid="{8408140B-FE6C-4518-8DCE-8F65AEF4DEF6}"/>
    <cellStyle name="Comma 2 3 2 2 3 2 2" xfId="3624" xr:uid="{BF07C136-29AC-48C6-BD2A-CE25A333C350}"/>
    <cellStyle name="Comma 2 3 2 2 3 2 2 2" xfId="18224" xr:uid="{6E5608D0-7CD7-4279-99EB-D627C6E9D1BA}"/>
    <cellStyle name="Comma 2 3 2 2 3 2 2 2 2" xfId="54732" xr:uid="{843D0DB6-3BBE-4E68-A735-9700F67E95CB}"/>
    <cellStyle name="Comma 2 3 2 2 3 2 2 2 3" xfId="36478" xr:uid="{F7B45A04-FBB6-4534-9AB2-404F857D0AD7}"/>
    <cellStyle name="Comma 2 3 2 2 3 2 2 3" xfId="14574" xr:uid="{9069D878-B211-4D37-9E07-2A286A765D2A}"/>
    <cellStyle name="Comma 2 3 2 2 3 2 2 3 2" xfId="51082" xr:uid="{4779C529-CD3F-4F71-9622-AA68D9205D04}"/>
    <cellStyle name="Comma 2 3 2 2 3 2 2 3 3" xfId="32828" xr:uid="{221BB2F8-04C4-4707-8CAD-CDF1BE6C66CB}"/>
    <cellStyle name="Comma 2 3 2 2 3 2 2 4" xfId="10924" xr:uid="{C8DED05A-3800-4D1F-8043-215A89A5812D}"/>
    <cellStyle name="Comma 2 3 2 2 3 2 2 4 2" xfId="47432" xr:uid="{F53CE157-97CF-4E6F-A847-F071039D52A7}"/>
    <cellStyle name="Comma 2 3 2 2 3 2 2 4 3" xfId="29178" xr:uid="{CBF350DF-7FD1-4045-A487-762CA79B97A8}"/>
    <cellStyle name="Comma 2 3 2 2 3 2 2 5" xfId="7274" xr:uid="{6876ABA6-DDAB-4FFD-AA52-33F56F296AD4}"/>
    <cellStyle name="Comma 2 3 2 2 3 2 2 5 2" xfId="43782" xr:uid="{2AF9FF47-5C33-4D84-9C60-389201BB9C17}"/>
    <cellStyle name="Comma 2 3 2 2 3 2 2 5 3" xfId="25528" xr:uid="{588F20C4-8D4A-4A7E-8CD0-61C2D6D8339A}"/>
    <cellStyle name="Comma 2 3 2 2 3 2 2 6" xfId="40132" xr:uid="{4C97298D-37A1-4C9D-B50E-9598427D150F}"/>
    <cellStyle name="Comma 2 3 2 2 3 2 2 7" xfId="21878" xr:uid="{2B3B85CB-10AA-4838-9344-E42452983854}"/>
    <cellStyle name="Comma 2 3 2 2 3 2 3" xfId="2894" xr:uid="{5DA5C9BD-D239-4960-8E36-27D10E433B34}"/>
    <cellStyle name="Comma 2 3 2 2 3 2 3 2" xfId="17494" xr:uid="{5D7DF16F-D266-4F00-863B-9D677F5409F4}"/>
    <cellStyle name="Comma 2 3 2 2 3 2 3 2 2" xfId="54002" xr:uid="{923460E5-1DE9-48CF-908D-ACC4C8DBC4CB}"/>
    <cellStyle name="Comma 2 3 2 2 3 2 3 2 3" xfId="35748" xr:uid="{34F54C33-C6C9-420E-85C8-11C567AB7D65}"/>
    <cellStyle name="Comma 2 3 2 2 3 2 3 3" xfId="13844" xr:uid="{97295139-6859-42F9-AFD9-FB0656A420E3}"/>
    <cellStyle name="Comma 2 3 2 2 3 2 3 3 2" xfId="50352" xr:uid="{92007001-AF2F-44D5-961B-8E710F15A636}"/>
    <cellStyle name="Comma 2 3 2 2 3 2 3 3 3" xfId="32098" xr:uid="{1615358C-C746-43C0-88E2-698D94078880}"/>
    <cellStyle name="Comma 2 3 2 2 3 2 3 4" xfId="10194" xr:uid="{D0338D45-2406-49C0-9245-64B9B959DAAF}"/>
    <cellStyle name="Comma 2 3 2 2 3 2 3 4 2" xfId="46702" xr:uid="{AAD41FE4-2577-42EF-80CD-DDC036CEE3EB}"/>
    <cellStyle name="Comma 2 3 2 2 3 2 3 4 3" xfId="28448" xr:uid="{26159AA4-0588-404E-BD6D-948702E8E472}"/>
    <cellStyle name="Comma 2 3 2 2 3 2 3 5" xfId="6544" xr:uid="{75D37761-660E-4E09-BE25-6E6101A04B21}"/>
    <cellStyle name="Comma 2 3 2 2 3 2 3 5 2" xfId="43052" xr:uid="{860D25BA-16AD-4610-B11D-9505B8225CC9}"/>
    <cellStyle name="Comma 2 3 2 2 3 2 3 5 3" xfId="24798" xr:uid="{AF4D20F1-B6C5-4F3D-B556-3790E3CF19F0}"/>
    <cellStyle name="Comma 2 3 2 2 3 2 3 6" xfId="39402" xr:uid="{45ECF027-C67B-4C31-BA3D-AC30C4144376}"/>
    <cellStyle name="Comma 2 3 2 2 3 2 3 7" xfId="21148" xr:uid="{B2DA4B8D-9CCB-40C6-BB57-9D23555403C2}"/>
    <cellStyle name="Comma 2 3 2 2 3 2 4" xfId="2164" xr:uid="{FCBC3E2B-A1F6-42DD-8366-FF1B2C89A830}"/>
    <cellStyle name="Comma 2 3 2 2 3 2 4 2" xfId="16764" xr:uid="{C913A1E9-371A-4059-83BB-CB99A0EB0613}"/>
    <cellStyle name="Comma 2 3 2 2 3 2 4 2 2" xfId="53272" xr:uid="{A4FACCE9-87B6-4E43-A79B-986D0BC48DAD}"/>
    <cellStyle name="Comma 2 3 2 2 3 2 4 2 3" xfId="35018" xr:uid="{EDAF65B4-C4AE-41BF-B01A-910C0A9A4947}"/>
    <cellStyle name="Comma 2 3 2 2 3 2 4 3" xfId="13114" xr:uid="{1DCC68BE-67D9-4D4D-90C4-18A36EA0D9F5}"/>
    <cellStyle name="Comma 2 3 2 2 3 2 4 3 2" xfId="49622" xr:uid="{B46EB459-2EA3-4533-8BC0-2BDEC565018D}"/>
    <cellStyle name="Comma 2 3 2 2 3 2 4 3 3" xfId="31368" xr:uid="{4FB08B9E-D614-4CD8-9C6C-30A8B48BA8E7}"/>
    <cellStyle name="Comma 2 3 2 2 3 2 4 4" xfId="9464" xr:uid="{92F34642-3D95-43E7-847D-F8FEC4962B47}"/>
    <cellStyle name="Comma 2 3 2 2 3 2 4 4 2" xfId="45972" xr:uid="{427851F4-D621-4F58-8837-EA511F464A9F}"/>
    <cellStyle name="Comma 2 3 2 2 3 2 4 4 3" xfId="27718" xr:uid="{37B33EEA-CB00-443D-8AF8-A164D4254A0F}"/>
    <cellStyle name="Comma 2 3 2 2 3 2 4 5" xfId="5814" xr:uid="{6352705E-D165-49E5-BCDE-31B6F335DDA7}"/>
    <cellStyle name="Comma 2 3 2 2 3 2 4 5 2" xfId="42322" xr:uid="{0CAAD8AB-71E3-48FE-8F1E-377BB8A3D098}"/>
    <cellStyle name="Comma 2 3 2 2 3 2 4 5 3" xfId="24068" xr:uid="{7A615C9B-981F-4067-8863-B41C5E72675A}"/>
    <cellStyle name="Comma 2 3 2 2 3 2 4 6" xfId="38672" xr:uid="{51BDA192-2987-4029-AC05-81F99FFA9A0A}"/>
    <cellStyle name="Comma 2 3 2 2 3 2 4 7" xfId="20418" xr:uid="{7D1514AA-82C5-430B-89D9-855B415E988E}"/>
    <cellStyle name="Comma 2 3 2 2 3 2 5" xfId="1434" xr:uid="{21DDEFBE-E9D2-42AE-8637-381FDB52A441}"/>
    <cellStyle name="Comma 2 3 2 2 3 2 5 2" xfId="16034" xr:uid="{6DA8CEF0-C161-478D-BBE5-76B2ADC56A4F}"/>
    <cellStyle name="Comma 2 3 2 2 3 2 5 2 2" xfId="52542" xr:uid="{27053D11-6E81-4905-B753-73B69DC1C7B3}"/>
    <cellStyle name="Comma 2 3 2 2 3 2 5 2 3" xfId="34288" xr:uid="{9B64E33D-39FE-41E6-AE08-3635507F4BAB}"/>
    <cellStyle name="Comma 2 3 2 2 3 2 5 3" xfId="12384" xr:uid="{2E9255AB-E82D-486C-8DB2-9F9CE1FF1F5A}"/>
    <cellStyle name="Comma 2 3 2 2 3 2 5 3 2" xfId="48892" xr:uid="{C04C7827-0F35-48F8-8ACF-B09687DA9B14}"/>
    <cellStyle name="Comma 2 3 2 2 3 2 5 3 3" xfId="30638" xr:uid="{37B98A52-71E4-43BC-A2E9-9ACD27F79B7B}"/>
    <cellStyle name="Comma 2 3 2 2 3 2 5 4" xfId="8734" xr:uid="{27DD5A18-A55E-49A0-8B31-4B3F973E3C57}"/>
    <cellStyle name="Comma 2 3 2 2 3 2 5 4 2" xfId="45242" xr:uid="{0854DC43-3C30-40BB-8046-60A8FAA74991}"/>
    <cellStyle name="Comma 2 3 2 2 3 2 5 4 3" xfId="26988" xr:uid="{D4C7A787-A0F7-499C-B6E7-794843FF6FC0}"/>
    <cellStyle name="Comma 2 3 2 2 3 2 5 5" xfId="5084" xr:uid="{85C1E0EA-49D2-45F6-B2A1-4895C02E45BE}"/>
    <cellStyle name="Comma 2 3 2 2 3 2 5 5 2" xfId="41592" xr:uid="{A66C1FD7-4883-4C3B-B33F-C3EFF3F892F6}"/>
    <cellStyle name="Comma 2 3 2 2 3 2 5 5 3" xfId="23338" xr:uid="{78AC1623-A2E4-4CF7-9527-E2D4C56B7EDD}"/>
    <cellStyle name="Comma 2 3 2 2 3 2 5 6" xfId="37942" xr:uid="{5E2EEEAF-0008-483B-98AD-DAE13A4F182C}"/>
    <cellStyle name="Comma 2 3 2 2 3 2 5 7" xfId="19688" xr:uid="{7FED4A28-EC2B-4992-BDB2-49AF6DB080E1}"/>
    <cellStyle name="Comma 2 3 2 2 3 2 6" xfId="15304" xr:uid="{68C27C6D-D0E8-4F78-990D-BCF47AC4AC60}"/>
    <cellStyle name="Comma 2 3 2 2 3 2 6 2" xfId="51812" xr:uid="{2D5822FA-4F11-4733-AEE6-C08AC30929B6}"/>
    <cellStyle name="Comma 2 3 2 2 3 2 6 3" xfId="33558" xr:uid="{7A9B462C-D7F1-471D-BC65-11432E2D6E9B}"/>
    <cellStyle name="Comma 2 3 2 2 3 2 7" xfId="11654" xr:uid="{B1AEB9DC-3334-40D8-A06C-6D30EFC447C1}"/>
    <cellStyle name="Comma 2 3 2 2 3 2 7 2" xfId="48162" xr:uid="{CB5478D0-6BB6-4DE3-ACCA-EAC74E4468BB}"/>
    <cellStyle name="Comma 2 3 2 2 3 2 7 3" xfId="29908" xr:uid="{D47F9940-7A4D-48E4-80C6-D5B50C0829B1}"/>
    <cellStyle name="Comma 2 3 2 2 3 2 8" xfId="8004" xr:uid="{1B82B008-5A29-4C9B-B3F9-E259B77E6DCF}"/>
    <cellStyle name="Comma 2 3 2 2 3 2 8 2" xfId="44512" xr:uid="{BBCF0930-3E4E-4AAB-AB03-47F1D380CE5D}"/>
    <cellStyle name="Comma 2 3 2 2 3 2 8 3" xfId="26258" xr:uid="{3F3EA2C8-9A49-422A-89B9-B2B9B056264F}"/>
    <cellStyle name="Comma 2 3 2 2 3 2 9" xfId="4354" xr:uid="{305DF230-EA17-494A-A5AF-5A9C7C7EEEAF}"/>
    <cellStyle name="Comma 2 3 2 2 3 2 9 2" xfId="40862" xr:uid="{44793C55-D163-4FD6-A669-45585EA2939C}"/>
    <cellStyle name="Comma 2 3 2 2 3 2 9 3" xfId="22608" xr:uid="{17ED95EA-E10B-4AF2-AB91-34565E265B28}"/>
    <cellStyle name="Comma 2 3 2 2 3 3" xfId="600" xr:uid="{2D83CEE5-CAEA-40D0-83FD-20811C859D8F}"/>
    <cellStyle name="Comma 2 3 2 2 3 3 10" xfId="37108" xr:uid="{4E4A1D5F-C1D1-4CFB-B18F-1FC58AE57789}"/>
    <cellStyle name="Comma 2 3 2 2 3 3 11" xfId="18854" xr:uid="{B8D96C48-6F0B-495F-8730-45760DF93B37}"/>
    <cellStyle name="Comma 2 3 2 2 3 3 2" xfId="3520" xr:uid="{7642A45F-8DAD-4663-BFAF-53400AC6A067}"/>
    <cellStyle name="Comma 2 3 2 2 3 3 2 2" xfId="18120" xr:uid="{9EE3F8BE-3873-4EDE-BFD3-61277C7FAFC4}"/>
    <cellStyle name="Comma 2 3 2 2 3 3 2 2 2" xfId="54628" xr:uid="{3A406BE0-83BE-412B-8A49-BA365AC2D309}"/>
    <cellStyle name="Comma 2 3 2 2 3 3 2 2 3" xfId="36374" xr:uid="{F60E5FD1-1EA6-4D7E-834B-9AD7EB90C9EC}"/>
    <cellStyle name="Comma 2 3 2 2 3 3 2 3" xfId="14470" xr:uid="{85F7F535-11FA-4AAF-A3A1-7FA1FE4900CD}"/>
    <cellStyle name="Comma 2 3 2 2 3 3 2 3 2" xfId="50978" xr:uid="{046391BA-06C1-4BC3-9453-003C76B1D057}"/>
    <cellStyle name="Comma 2 3 2 2 3 3 2 3 3" xfId="32724" xr:uid="{E5D6C296-1A2E-4E2D-A2A0-E8511CEC5363}"/>
    <cellStyle name="Comma 2 3 2 2 3 3 2 4" xfId="10820" xr:uid="{41842168-F372-4814-8AD0-8C9006EEBABB}"/>
    <cellStyle name="Comma 2 3 2 2 3 3 2 4 2" xfId="47328" xr:uid="{5A9676DB-DDA7-40B2-AC3B-9A68B5F59948}"/>
    <cellStyle name="Comma 2 3 2 2 3 3 2 4 3" xfId="29074" xr:uid="{A9CECF8C-772B-42D5-8911-02BA1F8EBBB2}"/>
    <cellStyle name="Comma 2 3 2 2 3 3 2 5" xfId="7170" xr:uid="{D78ABBE1-1233-432D-B38A-06260D8B0CAB}"/>
    <cellStyle name="Comma 2 3 2 2 3 3 2 5 2" xfId="43678" xr:uid="{64560800-A501-4C41-8E8A-CF86CB12443C}"/>
    <cellStyle name="Comma 2 3 2 2 3 3 2 5 3" xfId="25424" xr:uid="{87C44D55-483B-4A9C-B6CD-620B08F40E6D}"/>
    <cellStyle name="Comma 2 3 2 2 3 3 2 6" xfId="40028" xr:uid="{1009DEA1-8AAA-41F2-8A44-F630CE2D10D7}"/>
    <cellStyle name="Comma 2 3 2 2 3 3 2 7" xfId="21774" xr:uid="{D63E3B1D-A054-463C-A743-AFF92625B38C}"/>
    <cellStyle name="Comma 2 3 2 2 3 3 3" xfId="2790" xr:uid="{62A6A54B-7104-4004-9458-458DACE6DFE5}"/>
    <cellStyle name="Comma 2 3 2 2 3 3 3 2" xfId="17390" xr:uid="{37ABBC43-9E36-4098-B394-8FA27AAAABA2}"/>
    <cellStyle name="Comma 2 3 2 2 3 3 3 2 2" xfId="53898" xr:uid="{6994AA2D-83DE-4AF3-B442-057A4A8F9E6D}"/>
    <cellStyle name="Comma 2 3 2 2 3 3 3 2 3" xfId="35644" xr:uid="{E3303107-166F-4E2E-84C9-EA0C8129FA38}"/>
    <cellStyle name="Comma 2 3 2 2 3 3 3 3" xfId="13740" xr:uid="{808DA167-AB29-4206-9B4F-DC7FAD00C7D1}"/>
    <cellStyle name="Comma 2 3 2 2 3 3 3 3 2" xfId="50248" xr:uid="{77E21EFE-D66F-452F-8123-4B8B8B23AA75}"/>
    <cellStyle name="Comma 2 3 2 2 3 3 3 3 3" xfId="31994" xr:uid="{83E68526-CAAF-4A92-9FB6-1963E80F879D}"/>
    <cellStyle name="Comma 2 3 2 2 3 3 3 4" xfId="10090" xr:uid="{84EDFADF-393B-4DFE-8949-BFEF5E242B2C}"/>
    <cellStyle name="Comma 2 3 2 2 3 3 3 4 2" xfId="46598" xr:uid="{51ECD0ED-7237-48A1-9B83-2FB6AC009F6A}"/>
    <cellStyle name="Comma 2 3 2 2 3 3 3 4 3" xfId="28344" xr:uid="{928AC928-5D02-47BA-B8BB-4C80EB8AAA61}"/>
    <cellStyle name="Comma 2 3 2 2 3 3 3 5" xfId="6440" xr:uid="{6E378615-1A9E-4C40-8FE0-AFE8823FCA94}"/>
    <cellStyle name="Comma 2 3 2 2 3 3 3 5 2" xfId="42948" xr:uid="{28A4A04B-3385-4F70-9E58-02D20DFD7D68}"/>
    <cellStyle name="Comma 2 3 2 2 3 3 3 5 3" xfId="24694" xr:uid="{D1E72600-E60D-4A6E-BBEF-61A29917CE50}"/>
    <cellStyle name="Comma 2 3 2 2 3 3 3 6" xfId="39298" xr:uid="{547A94FB-A7E2-4EA3-85F9-0FAA2CC86D07}"/>
    <cellStyle name="Comma 2 3 2 2 3 3 3 7" xfId="21044" xr:uid="{0FBCCE0F-1840-48E8-B044-0A51C46040B6}"/>
    <cellStyle name="Comma 2 3 2 2 3 3 4" xfId="2060" xr:uid="{06887EC1-4AC9-4C17-BAE7-CEEAF77C6C18}"/>
    <cellStyle name="Comma 2 3 2 2 3 3 4 2" xfId="16660" xr:uid="{791D145C-9641-4266-B1E6-860209190A1B}"/>
    <cellStyle name="Comma 2 3 2 2 3 3 4 2 2" xfId="53168" xr:uid="{2569F954-01F5-4639-92A9-16B45D9A66AB}"/>
    <cellStyle name="Comma 2 3 2 2 3 3 4 2 3" xfId="34914" xr:uid="{6679C1F1-68FA-4B19-934B-1C22077DE1F7}"/>
    <cellStyle name="Comma 2 3 2 2 3 3 4 3" xfId="13010" xr:uid="{71019471-9119-4513-B5C3-EC4AB2AF92BA}"/>
    <cellStyle name="Comma 2 3 2 2 3 3 4 3 2" xfId="49518" xr:uid="{BC5231C2-3D61-43EE-92FE-2040ED8526A0}"/>
    <cellStyle name="Comma 2 3 2 2 3 3 4 3 3" xfId="31264" xr:uid="{F15A6B7B-AEF8-4EF3-820F-91D11EB20770}"/>
    <cellStyle name="Comma 2 3 2 2 3 3 4 4" xfId="9360" xr:uid="{43939763-1F4F-4EA5-98F6-151244677E83}"/>
    <cellStyle name="Comma 2 3 2 2 3 3 4 4 2" xfId="45868" xr:uid="{0DD5D4A3-0E35-4A94-A2FC-DAF12AC0E19C}"/>
    <cellStyle name="Comma 2 3 2 2 3 3 4 4 3" xfId="27614" xr:uid="{9F0C128E-CC6A-49F1-BE07-BAF93095519C}"/>
    <cellStyle name="Comma 2 3 2 2 3 3 4 5" xfId="5710" xr:uid="{092541B8-FA5E-424E-81AE-6432D14D4CF0}"/>
    <cellStyle name="Comma 2 3 2 2 3 3 4 5 2" xfId="42218" xr:uid="{DEC33C9B-DB58-47C4-BBD6-379E477C67FD}"/>
    <cellStyle name="Comma 2 3 2 2 3 3 4 5 3" xfId="23964" xr:uid="{83C22A7C-61F1-49CA-A98B-28BBA18C5052}"/>
    <cellStyle name="Comma 2 3 2 2 3 3 4 6" xfId="38568" xr:uid="{DF6EB5F7-133A-42B2-8126-E8FB78141246}"/>
    <cellStyle name="Comma 2 3 2 2 3 3 4 7" xfId="20314" xr:uid="{3457B4D8-A215-4A37-BC82-426689E39CEE}"/>
    <cellStyle name="Comma 2 3 2 2 3 3 5" xfId="1330" xr:uid="{7BE28A3F-8EEA-42A4-ABEE-7BDECD1F44EC}"/>
    <cellStyle name="Comma 2 3 2 2 3 3 5 2" xfId="15930" xr:uid="{5ABE2B41-4557-4F3A-9565-70025FA05964}"/>
    <cellStyle name="Comma 2 3 2 2 3 3 5 2 2" xfId="52438" xr:uid="{4381958F-BD3B-476D-97F9-DF06A09014A7}"/>
    <cellStyle name="Comma 2 3 2 2 3 3 5 2 3" xfId="34184" xr:uid="{B2AC6BED-C21F-4952-AF97-D894E3BE03A7}"/>
    <cellStyle name="Comma 2 3 2 2 3 3 5 3" xfId="12280" xr:uid="{561AF75C-67FD-4480-945F-EC9C71F096BF}"/>
    <cellStyle name="Comma 2 3 2 2 3 3 5 3 2" xfId="48788" xr:uid="{AEA33936-C33D-4414-AFA8-61E9EDCB10AA}"/>
    <cellStyle name="Comma 2 3 2 2 3 3 5 3 3" xfId="30534" xr:uid="{CE1214A1-FBCB-446A-9D5A-B39F881A9E22}"/>
    <cellStyle name="Comma 2 3 2 2 3 3 5 4" xfId="8630" xr:uid="{AA167A5B-471C-4FEE-BF2D-5866D46A1BC4}"/>
    <cellStyle name="Comma 2 3 2 2 3 3 5 4 2" xfId="45138" xr:uid="{B382B3E1-1A9F-4C24-B46A-B4E5956C4B9D}"/>
    <cellStyle name="Comma 2 3 2 2 3 3 5 4 3" xfId="26884" xr:uid="{A9EB02F8-9E12-496B-97BB-8B9797C54B8F}"/>
    <cellStyle name="Comma 2 3 2 2 3 3 5 5" xfId="4980" xr:uid="{3175E03E-F605-45B9-8FD7-70DB1E6EEA9D}"/>
    <cellStyle name="Comma 2 3 2 2 3 3 5 5 2" xfId="41488" xr:uid="{5AC9A4A3-1BF0-4D42-8C7D-4643207BFDAE}"/>
    <cellStyle name="Comma 2 3 2 2 3 3 5 5 3" xfId="23234" xr:uid="{33067D51-81C2-4603-BC97-3662BDF2ACB6}"/>
    <cellStyle name="Comma 2 3 2 2 3 3 5 6" xfId="37838" xr:uid="{E669A376-11D9-40F9-88CD-208905F5B692}"/>
    <cellStyle name="Comma 2 3 2 2 3 3 5 7" xfId="19584" xr:uid="{B1FE7D84-8E1D-45DD-82B2-91A4AFEE5A46}"/>
    <cellStyle name="Comma 2 3 2 2 3 3 6" xfId="15200" xr:uid="{3F8D9059-E149-4F9F-9804-385F14DC0752}"/>
    <cellStyle name="Comma 2 3 2 2 3 3 6 2" xfId="51708" xr:uid="{92A42721-36EF-4C4C-846A-AD4791833427}"/>
    <cellStyle name="Comma 2 3 2 2 3 3 6 3" xfId="33454" xr:uid="{69B30350-4513-46BE-960A-62E1BAFF5739}"/>
    <cellStyle name="Comma 2 3 2 2 3 3 7" xfId="11550" xr:uid="{2A814CEF-1E19-44D8-9DC3-6F10A0528785}"/>
    <cellStyle name="Comma 2 3 2 2 3 3 7 2" xfId="48058" xr:uid="{284DD156-75A5-4D84-80CD-A14E84B18379}"/>
    <cellStyle name="Comma 2 3 2 2 3 3 7 3" xfId="29804" xr:uid="{EE6A3B5F-0761-46CB-ACF4-9653559AA851}"/>
    <cellStyle name="Comma 2 3 2 2 3 3 8" xfId="7900" xr:uid="{2C932C80-F0FA-48F5-970E-4161A6286AE9}"/>
    <cellStyle name="Comma 2 3 2 2 3 3 8 2" xfId="44408" xr:uid="{ECFEA26A-747D-44EE-BBEA-F32F9144FD73}"/>
    <cellStyle name="Comma 2 3 2 2 3 3 8 3" xfId="26154" xr:uid="{7CE70784-03D7-4EE0-9397-23AC11FC777D}"/>
    <cellStyle name="Comma 2 3 2 2 3 3 9" xfId="4250" xr:uid="{86219C11-C37C-4327-AF46-B23B744E0937}"/>
    <cellStyle name="Comma 2 3 2 2 3 3 9 2" xfId="40758" xr:uid="{CC08F537-9DAF-4F35-A0A6-7FEE0DA3AE46}"/>
    <cellStyle name="Comma 2 3 2 2 3 3 9 3" xfId="22504" xr:uid="{A20F8D38-E205-4E8F-8535-7F6E7425D50C}"/>
    <cellStyle name="Comma 2 3 2 2 3 4" xfId="496" xr:uid="{0A3889F5-C11D-45F5-9BAE-02ECCD3BB914}"/>
    <cellStyle name="Comma 2 3 2 2 3 4 10" xfId="37004" xr:uid="{8F2A4938-8111-44E2-80A1-3206E5EC44C1}"/>
    <cellStyle name="Comma 2 3 2 2 3 4 11" xfId="18750" xr:uid="{40E53197-F33C-41CB-BB03-19BACD3633B2}"/>
    <cellStyle name="Comma 2 3 2 2 3 4 2" xfId="3416" xr:uid="{C1B046B3-D114-4191-A991-F16E519B83AA}"/>
    <cellStyle name="Comma 2 3 2 2 3 4 2 2" xfId="18016" xr:uid="{AA5D9094-B708-4478-AA8B-C29D3D4EA7FD}"/>
    <cellStyle name="Comma 2 3 2 2 3 4 2 2 2" xfId="54524" xr:uid="{58A28EB3-5E50-46DE-B8DA-6410C2830ECC}"/>
    <cellStyle name="Comma 2 3 2 2 3 4 2 2 3" xfId="36270" xr:uid="{5A5C6B0E-0FE9-4502-92FF-C3B3DF2538FC}"/>
    <cellStyle name="Comma 2 3 2 2 3 4 2 3" xfId="14366" xr:uid="{0D1C2F62-1369-4820-9932-1246B2775A70}"/>
    <cellStyle name="Comma 2 3 2 2 3 4 2 3 2" xfId="50874" xr:uid="{FAF1622D-BBFA-4A6E-8E9C-29832FE68738}"/>
    <cellStyle name="Comma 2 3 2 2 3 4 2 3 3" xfId="32620" xr:uid="{606B8785-9033-4F09-B8FC-61ACCE50FEA9}"/>
    <cellStyle name="Comma 2 3 2 2 3 4 2 4" xfId="10716" xr:uid="{8A1F3858-1F32-44D6-91D0-6CAD8CFC2E7C}"/>
    <cellStyle name="Comma 2 3 2 2 3 4 2 4 2" xfId="47224" xr:uid="{DC0CCD46-1E21-48DA-BAAB-E3FA94B57FC1}"/>
    <cellStyle name="Comma 2 3 2 2 3 4 2 4 3" xfId="28970" xr:uid="{06D9DA38-D497-419F-81E7-47531E1D47EC}"/>
    <cellStyle name="Comma 2 3 2 2 3 4 2 5" xfId="7066" xr:uid="{D1AE623D-002A-446D-8971-FAB589990D8A}"/>
    <cellStyle name="Comma 2 3 2 2 3 4 2 5 2" xfId="43574" xr:uid="{F94BA09B-C1D4-489E-A704-9E2F94DE00FE}"/>
    <cellStyle name="Comma 2 3 2 2 3 4 2 5 3" xfId="25320" xr:uid="{02FA9AC4-47C3-456A-ABF0-69C328C8FAF9}"/>
    <cellStyle name="Comma 2 3 2 2 3 4 2 6" xfId="39924" xr:uid="{D11468F0-B23F-441B-A675-D71141D6AA17}"/>
    <cellStyle name="Comma 2 3 2 2 3 4 2 7" xfId="21670" xr:uid="{AF333676-5F1B-4BE0-B0F0-8874FBA8C688}"/>
    <cellStyle name="Comma 2 3 2 2 3 4 3" xfId="2686" xr:uid="{D0CB1F72-D1B7-4DBA-AE1E-6E54DE7B79FF}"/>
    <cellStyle name="Comma 2 3 2 2 3 4 3 2" xfId="17286" xr:uid="{F45FA4DB-3F6B-4E87-901C-0F6DFB635EA5}"/>
    <cellStyle name="Comma 2 3 2 2 3 4 3 2 2" xfId="53794" xr:uid="{531926FB-934B-435C-B6C0-7E137068A7F4}"/>
    <cellStyle name="Comma 2 3 2 2 3 4 3 2 3" xfId="35540" xr:uid="{A39F7AEB-71DF-4186-823C-93C1EBEF83D5}"/>
    <cellStyle name="Comma 2 3 2 2 3 4 3 3" xfId="13636" xr:uid="{39020390-A0A6-4A44-9806-BFD6BB2D9880}"/>
    <cellStyle name="Comma 2 3 2 2 3 4 3 3 2" xfId="50144" xr:uid="{9A6D80B8-3763-4392-83E6-9307C0EC73A7}"/>
    <cellStyle name="Comma 2 3 2 2 3 4 3 3 3" xfId="31890" xr:uid="{DA73038B-8738-497E-AC55-F6E943823F18}"/>
    <cellStyle name="Comma 2 3 2 2 3 4 3 4" xfId="9986" xr:uid="{3BA5B719-8412-42D3-B360-D8580A65D181}"/>
    <cellStyle name="Comma 2 3 2 2 3 4 3 4 2" xfId="46494" xr:uid="{92151A71-EC3D-429E-BDAA-5B00F27371BF}"/>
    <cellStyle name="Comma 2 3 2 2 3 4 3 4 3" xfId="28240" xr:uid="{E801BE52-CE90-4B5E-8CE3-A3E1DBB84038}"/>
    <cellStyle name="Comma 2 3 2 2 3 4 3 5" xfId="6336" xr:uid="{D26AA518-9B46-47A2-8134-FDD16DD79BF1}"/>
    <cellStyle name="Comma 2 3 2 2 3 4 3 5 2" xfId="42844" xr:uid="{7A8B970F-E407-42A5-BF57-132BC4D1DA06}"/>
    <cellStyle name="Comma 2 3 2 2 3 4 3 5 3" xfId="24590" xr:uid="{0AD8FEFF-CD9A-4256-9102-EBFED669FF21}"/>
    <cellStyle name="Comma 2 3 2 2 3 4 3 6" xfId="39194" xr:uid="{BB314AE0-5A1B-453F-80D2-809F5ABC91A4}"/>
    <cellStyle name="Comma 2 3 2 2 3 4 3 7" xfId="20940" xr:uid="{0FF48E8F-43F6-4260-9A1C-DF0D7BC21686}"/>
    <cellStyle name="Comma 2 3 2 2 3 4 4" xfId="1956" xr:uid="{379BAC1C-AC33-440F-BC7B-F7C72191D81D}"/>
    <cellStyle name="Comma 2 3 2 2 3 4 4 2" xfId="16556" xr:uid="{3D7B10BB-43EF-4A84-9008-66EFE11FFE45}"/>
    <cellStyle name="Comma 2 3 2 2 3 4 4 2 2" xfId="53064" xr:uid="{6FFAAF26-3BD8-4782-9103-4B0B385D12D2}"/>
    <cellStyle name="Comma 2 3 2 2 3 4 4 2 3" xfId="34810" xr:uid="{C4C8B4D2-F9C6-47B8-93C5-82F94B6A2F57}"/>
    <cellStyle name="Comma 2 3 2 2 3 4 4 3" xfId="12906" xr:uid="{434F8F4F-7A13-4D1F-A865-29F959D72D24}"/>
    <cellStyle name="Comma 2 3 2 2 3 4 4 3 2" xfId="49414" xr:uid="{044BE809-2799-403A-8058-9FAB383E78E3}"/>
    <cellStyle name="Comma 2 3 2 2 3 4 4 3 3" xfId="31160" xr:uid="{85DB1B14-204B-4143-8E73-07DF26BDB08F}"/>
    <cellStyle name="Comma 2 3 2 2 3 4 4 4" xfId="9256" xr:uid="{BB860CDF-9506-4DAA-93FC-F34F97E625FC}"/>
    <cellStyle name="Comma 2 3 2 2 3 4 4 4 2" xfId="45764" xr:uid="{EB74AA39-EDA8-40C8-8D44-CAA035C00419}"/>
    <cellStyle name="Comma 2 3 2 2 3 4 4 4 3" xfId="27510" xr:uid="{011046FB-E7C7-4138-B6E9-6AA3C21D3270}"/>
    <cellStyle name="Comma 2 3 2 2 3 4 4 5" xfId="5606" xr:uid="{BD3138B7-EFC6-4E07-A28E-D6BFEB86B984}"/>
    <cellStyle name="Comma 2 3 2 2 3 4 4 5 2" xfId="42114" xr:uid="{EF31721F-3B04-47BF-B56C-9F61EA1E07C4}"/>
    <cellStyle name="Comma 2 3 2 2 3 4 4 5 3" xfId="23860" xr:uid="{1D108A5C-5D32-4E91-9A1C-EB3A471E1284}"/>
    <cellStyle name="Comma 2 3 2 2 3 4 4 6" xfId="38464" xr:uid="{77DA1DC8-BAA1-456C-9D54-CA7F81749567}"/>
    <cellStyle name="Comma 2 3 2 2 3 4 4 7" xfId="20210" xr:uid="{6AB38BB7-84EC-4F84-AF3F-4AF6972D7776}"/>
    <cellStyle name="Comma 2 3 2 2 3 4 5" xfId="1226" xr:uid="{627F5BD5-DA57-46A3-92B5-24AB2EF1FBDD}"/>
    <cellStyle name="Comma 2 3 2 2 3 4 5 2" xfId="15826" xr:uid="{19C60F36-A08A-48B9-912C-CED3B712C771}"/>
    <cellStyle name="Comma 2 3 2 2 3 4 5 2 2" xfId="52334" xr:uid="{38DA466F-3970-4A62-835E-E0BF28191BE1}"/>
    <cellStyle name="Comma 2 3 2 2 3 4 5 2 3" xfId="34080" xr:uid="{70195AC3-E660-4C27-BF27-CAF2C231DAC1}"/>
    <cellStyle name="Comma 2 3 2 2 3 4 5 3" xfId="12176" xr:uid="{C586F677-FE57-4C88-B7B7-F4093197B8C8}"/>
    <cellStyle name="Comma 2 3 2 2 3 4 5 3 2" xfId="48684" xr:uid="{A930AA9B-55D0-45D7-9E72-483BA456D0D8}"/>
    <cellStyle name="Comma 2 3 2 2 3 4 5 3 3" xfId="30430" xr:uid="{EE47FFCD-745B-44E1-92B2-E5881932289F}"/>
    <cellStyle name="Comma 2 3 2 2 3 4 5 4" xfId="8526" xr:uid="{6700ABB4-3BCD-4527-B413-95EF4A96EBC1}"/>
    <cellStyle name="Comma 2 3 2 2 3 4 5 4 2" xfId="45034" xr:uid="{E6CA95D9-8D59-4E5A-9D68-D78A487D06EF}"/>
    <cellStyle name="Comma 2 3 2 2 3 4 5 4 3" xfId="26780" xr:uid="{ABBBAD85-FA65-4CB7-8D5D-4469EB656D15}"/>
    <cellStyle name="Comma 2 3 2 2 3 4 5 5" xfId="4876" xr:uid="{BBA8A67A-C15A-49DF-AEB5-3AB42AF7B052}"/>
    <cellStyle name="Comma 2 3 2 2 3 4 5 5 2" xfId="41384" xr:uid="{0115F525-0C46-43F2-A2EB-712E1501F62C}"/>
    <cellStyle name="Comma 2 3 2 2 3 4 5 5 3" xfId="23130" xr:uid="{1DF8F656-167D-4A81-A85E-B75C75FDFE4B}"/>
    <cellStyle name="Comma 2 3 2 2 3 4 5 6" xfId="37734" xr:uid="{7B2FD411-BB0E-4F06-B54C-40990ACDE23B}"/>
    <cellStyle name="Comma 2 3 2 2 3 4 5 7" xfId="19480" xr:uid="{E0E30DDE-D41C-48A3-9782-DA3F7AD0719D}"/>
    <cellStyle name="Comma 2 3 2 2 3 4 6" xfId="15096" xr:uid="{FAFB7D4C-84FF-479B-9395-BBB4540AAEA2}"/>
    <cellStyle name="Comma 2 3 2 2 3 4 6 2" xfId="51604" xr:uid="{0887B658-D0B1-4BFD-B324-423A967D2688}"/>
    <cellStyle name="Comma 2 3 2 2 3 4 6 3" xfId="33350" xr:uid="{E9CEEF22-C02F-40E0-BD69-6290E249C847}"/>
    <cellStyle name="Comma 2 3 2 2 3 4 7" xfId="11446" xr:uid="{A874847E-6849-4676-B158-32D9C7533D9E}"/>
    <cellStyle name="Comma 2 3 2 2 3 4 7 2" xfId="47954" xr:uid="{81E17665-8B66-4F12-BD50-AE3550C27D7C}"/>
    <cellStyle name="Comma 2 3 2 2 3 4 7 3" xfId="29700" xr:uid="{E01D8F80-6DF9-42D1-9F2B-96B72089ADD0}"/>
    <cellStyle name="Comma 2 3 2 2 3 4 8" xfId="7796" xr:uid="{3AF24855-4B66-49B8-8227-2098DCD0B26F}"/>
    <cellStyle name="Comma 2 3 2 2 3 4 8 2" xfId="44304" xr:uid="{EA4BF8E0-F322-49F8-AB1B-186F00EB577D}"/>
    <cellStyle name="Comma 2 3 2 2 3 4 8 3" xfId="26050" xr:uid="{14A9AA97-912B-41C6-B522-EB52E05037CC}"/>
    <cellStyle name="Comma 2 3 2 2 3 4 9" xfId="4146" xr:uid="{8A1F7B78-979F-4A68-9105-633BA4284D3B}"/>
    <cellStyle name="Comma 2 3 2 2 3 4 9 2" xfId="40654" xr:uid="{3107D421-47A8-4193-92C9-D647671558AA}"/>
    <cellStyle name="Comma 2 3 2 2 3 4 9 3" xfId="22400" xr:uid="{6C57E6F2-C8F8-4FFB-B015-5DAEB4E688A9}"/>
    <cellStyle name="Comma 2 3 2 2 3 5" xfId="392" xr:uid="{6DD4D52E-6DFA-41A4-89AF-F3EB2DADA6F8}"/>
    <cellStyle name="Comma 2 3 2 2 3 5 10" xfId="36900" xr:uid="{1365547D-CCEB-49BD-A047-A10CE4CA0194}"/>
    <cellStyle name="Comma 2 3 2 2 3 5 11" xfId="18646" xr:uid="{528F0B10-444D-48DD-9588-3A19A0A9A342}"/>
    <cellStyle name="Comma 2 3 2 2 3 5 2" xfId="3312" xr:uid="{BD79B923-3A97-45D8-A78B-C63752175D92}"/>
    <cellStyle name="Comma 2 3 2 2 3 5 2 2" xfId="17912" xr:uid="{5D71A654-3A9E-4330-96E7-6A4696656E2C}"/>
    <cellStyle name="Comma 2 3 2 2 3 5 2 2 2" xfId="54420" xr:uid="{0F0CC1AD-36FC-472C-99F3-01E4C42EF514}"/>
    <cellStyle name="Comma 2 3 2 2 3 5 2 2 3" xfId="36166" xr:uid="{82B4E75A-EAB1-4015-9CB5-DC60B86E842D}"/>
    <cellStyle name="Comma 2 3 2 2 3 5 2 3" xfId="14262" xr:uid="{B1F3CB95-9BA0-45B1-9A6C-A680D7F06570}"/>
    <cellStyle name="Comma 2 3 2 2 3 5 2 3 2" xfId="50770" xr:uid="{90F9412F-22D7-4F1F-BF60-F13057ED0AB9}"/>
    <cellStyle name="Comma 2 3 2 2 3 5 2 3 3" xfId="32516" xr:uid="{B2D9C7C3-F05E-4719-8767-2B2E8551D8CC}"/>
    <cellStyle name="Comma 2 3 2 2 3 5 2 4" xfId="10612" xr:uid="{3D22B45E-8E67-437D-AD1C-CB3A0C1C9D1B}"/>
    <cellStyle name="Comma 2 3 2 2 3 5 2 4 2" xfId="47120" xr:uid="{37C5F348-3CDF-493F-B1A0-6D3DCD9336E2}"/>
    <cellStyle name="Comma 2 3 2 2 3 5 2 4 3" xfId="28866" xr:uid="{ED4CD8DC-540A-417F-A6B2-2537CF63FC72}"/>
    <cellStyle name="Comma 2 3 2 2 3 5 2 5" xfId="6962" xr:uid="{6DA15807-0F4A-4E1E-9444-DBDB4075CB93}"/>
    <cellStyle name="Comma 2 3 2 2 3 5 2 5 2" xfId="43470" xr:uid="{A6B52D02-BB0A-4CF9-AAB8-36CA89D9113C}"/>
    <cellStyle name="Comma 2 3 2 2 3 5 2 5 3" xfId="25216" xr:uid="{25D3911C-61D3-4ACF-9453-E6A0027223A8}"/>
    <cellStyle name="Comma 2 3 2 2 3 5 2 6" xfId="39820" xr:uid="{9266EECB-9323-4C0B-87A1-729BA79823C7}"/>
    <cellStyle name="Comma 2 3 2 2 3 5 2 7" xfId="21566" xr:uid="{9455034C-F583-42AF-99EE-527563C3148C}"/>
    <cellStyle name="Comma 2 3 2 2 3 5 3" xfId="2582" xr:uid="{64B7C45B-07C8-4BB9-8240-9B247A2A20A0}"/>
    <cellStyle name="Comma 2 3 2 2 3 5 3 2" xfId="17182" xr:uid="{4BC45585-1153-4EC5-BBD3-7AE4F519035D}"/>
    <cellStyle name="Comma 2 3 2 2 3 5 3 2 2" xfId="53690" xr:uid="{4D0A7F93-66B8-474F-8809-A477D4D17CFB}"/>
    <cellStyle name="Comma 2 3 2 2 3 5 3 2 3" xfId="35436" xr:uid="{DBD2F865-A298-4FFB-BFBB-459703850EE7}"/>
    <cellStyle name="Comma 2 3 2 2 3 5 3 3" xfId="13532" xr:uid="{C3C3BEFF-5584-42E9-BCA7-40D5283D08A1}"/>
    <cellStyle name="Comma 2 3 2 2 3 5 3 3 2" xfId="50040" xr:uid="{FD3B9BE3-E77A-4194-BEFF-2BF7B4C6B318}"/>
    <cellStyle name="Comma 2 3 2 2 3 5 3 3 3" xfId="31786" xr:uid="{9D3CCA9A-EF05-4A7E-847E-C91381D13982}"/>
    <cellStyle name="Comma 2 3 2 2 3 5 3 4" xfId="9882" xr:uid="{D65CF5EB-9A6E-4B06-B3F2-5205965AC915}"/>
    <cellStyle name="Comma 2 3 2 2 3 5 3 4 2" xfId="46390" xr:uid="{65E221D1-24A0-4C59-A677-8EF27B33CE35}"/>
    <cellStyle name="Comma 2 3 2 2 3 5 3 4 3" xfId="28136" xr:uid="{FD637FF6-ADF0-434C-83DC-DD60965DF239}"/>
    <cellStyle name="Comma 2 3 2 2 3 5 3 5" xfId="6232" xr:uid="{32B70F76-4F6F-4F14-A28A-712262C40157}"/>
    <cellStyle name="Comma 2 3 2 2 3 5 3 5 2" xfId="42740" xr:uid="{139EEB69-5103-4F5D-B4CA-E1231F82AFB3}"/>
    <cellStyle name="Comma 2 3 2 2 3 5 3 5 3" xfId="24486" xr:uid="{C71CCC31-2327-43AD-83EE-D401E4BBB6E8}"/>
    <cellStyle name="Comma 2 3 2 2 3 5 3 6" xfId="39090" xr:uid="{59C505D7-F818-4A33-94D2-C8BE2D8D8CC7}"/>
    <cellStyle name="Comma 2 3 2 2 3 5 3 7" xfId="20836" xr:uid="{AEDF57E7-B136-466A-827A-E432F2775806}"/>
    <cellStyle name="Comma 2 3 2 2 3 5 4" xfId="1852" xr:uid="{162163BD-872B-419F-9496-85B6EE4DBD1F}"/>
    <cellStyle name="Comma 2 3 2 2 3 5 4 2" xfId="16452" xr:uid="{354A105F-5D5D-4E08-8CA5-FDA99E9DDEC9}"/>
    <cellStyle name="Comma 2 3 2 2 3 5 4 2 2" xfId="52960" xr:uid="{D65AA153-008A-40DD-94BB-E5E9BF4B57A5}"/>
    <cellStyle name="Comma 2 3 2 2 3 5 4 2 3" xfId="34706" xr:uid="{8999DB4D-EBD1-4146-A83A-39E1C9D07620}"/>
    <cellStyle name="Comma 2 3 2 2 3 5 4 3" xfId="12802" xr:uid="{979238E2-E57C-49DB-8F23-6EF3556A95B0}"/>
    <cellStyle name="Comma 2 3 2 2 3 5 4 3 2" xfId="49310" xr:uid="{4B68233F-7995-435F-92A4-7DB303C01C95}"/>
    <cellStyle name="Comma 2 3 2 2 3 5 4 3 3" xfId="31056" xr:uid="{EF29BEBF-DD9E-4201-9251-637788D384B1}"/>
    <cellStyle name="Comma 2 3 2 2 3 5 4 4" xfId="9152" xr:uid="{A2985646-5FD5-43DF-931E-4F298378B748}"/>
    <cellStyle name="Comma 2 3 2 2 3 5 4 4 2" xfId="45660" xr:uid="{CAC77182-608F-4C37-8B0F-461336A3AC01}"/>
    <cellStyle name="Comma 2 3 2 2 3 5 4 4 3" xfId="27406" xr:uid="{2E563C7C-80A3-460A-8126-76D9A93BBFBE}"/>
    <cellStyle name="Comma 2 3 2 2 3 5 4 5" xfId="5502" xr:uid="{889835FA-5602-441D-ACDA-6FFA130CB4AF}"/>
    <cellStyle name="Comma 2 3 2 2 3 5 4 5 2" xfId="42010" xr:uid="{CA11D611-F810-4AE8-9A33-2C705FACE405}"/>
    <cellStyle name="Comma 2 3 2 2 3 5 4 5 3" xfId="23756" xr:uid="{7C25EEAB-75B2-4586-8826-744B73D721A2}"/>
    <cellStyle name="Comma 2 3 2 2 3 5 4 6" xfId="38360" xr:uid="{8B0D7C48-092B-49D1-8FB3-48656526849D}"/>
    <cellStyle name="Comma 2 3 2 2 3 5 4 7" xfId="20106" xr:uid="{646B4800-3EBF-4C14-8EF6-2EEE67B22B72}"/>
    <cellStyle name="Comma 2 3 2 2 3 5 5" xfId="1122" xr:uid="{0DF38070-54AC-478D-B435-8E2E394BB0AA}"/>
    <cellStyle name="Comma 2 3 2 2 3 5 5 2" xfId="15722" xr:uid="{F49E0242-A301-4C33-B9ED-F8259F8F8F01}"/>
    <cellStyle name="Comma 2 3 2 2 3 5 5 2 2" xfId="52230" xr:uid="{25CC8375-29D6-4E9E-8F99-CFC7DCC3F597}"/>
    <cellStyle name="Comma 2 3 2 2 3 5 5 2 3" xfId="33976" xr:uid="{3F587906-3298-444D-8F30-0A838D0D5185}"/>
    <cellStyle name="Comma 2 3 2 2 3 5 5 3" xfId="12072" xr:uid="{B685686A-D911-4DE3-BB76-4046F1E9CD7D}"/>
    <cellStyle name="Comma 2 3 2 2 3 5 5 3 2" xfId="48580" xr:uid="{F20E4028-7026-4D79-A453-DDD3A6AC6C4B}"/>
    <cellStyle name="Comma 2 3 2 2 3 5 5 3 3" xfId="30326" xr:uid="{4EAC9517-BEDD-45BF-A575-16FCA3704D23}"/>
    <cellStyle name="Comma 2 3 2 2 3 5 5 4" xfId="8422" xr:uid="{0FAF7DEC-6E6A-4E96-8801-783A426D94E8}"/>
    <cellStyle name="Comma 2 3 2 2 3 5 5 4 2" xfId="44930" xr:uid="{97777AA1-041C-40E6-8CCF-9A030C4A5439}"/>
    <cellStyle name="Comma 2 3 2 2 3 5 5 4 3" xfId="26676" xr:uid="{5C39A4BD-48D6-42C4-9313-7826B0FBC4AA}"/>
    <cellStyle name="Comma 2 3 2 2 3 5 5 5" xfId="4772" xr:uid="{0969B968-48FD-41FA-9692-D76D29735377}"/>
    <cellStyle name="Comma 2 3 2 2 3 5 5 5 2" xfId="41280" xr:uid="{B31D13E3-F640-4DD1-A80B-7150C19EDF83}"/>
    <cellStyle name="Comma 2 3 2 2 3 5 5 5 3" xfId="23026" xr:uid="{A2E23979-3436-4DBC-9D61-3471EFAA8BA1}"/>
    <cellStyle name="Comma 2 3 2 2 3 5 5 6" xfId="37630" xr:uid="{AE71CF68-7999-4C9F-A065-6E39CF35D54E}"/>
    <cellStyle name="Comma 2 3 2 2 3 5 5 7" xfId="19376" xr:uid="{8CE6FE73-A140-4BE6-A124-20EA5DC304A6}"/>
    <cellStyle name="Comma 2 3 2 2 3 5 6" xfId="14992" xr:uid="{03EEDD28-2117-401C-A671-039C442A0EAA}"/>
    <cellStyle name="Comma 2 3 2 2 3 5 6 2" xfId="51500" xr:uid="{C770B7E3-1581-467D-8817-06CDEFEBE41B}"/>
    <cellStyle name="Comma 2 3 2 2 3 5 6 3" xfId="33246" xr:uid="{CF165666-C2F4-4A84-B200-FA9166508BBE}"/>
    <cellStyle name="Comma 2 3 2 2 3 5 7" xfId="11342" xr:uid="{FF1D7056-DB7D-4450-A178-E8DD3EF57A57}"/>
    <cellStyle name="Comma 2 3 2 2 3 5 7 2" xfId="47850" xr:uid="{90C3F908-301E-4DBE-AF68-9268BE912351}"/>
    <cellStyle name="Comma 2 3 2 2 3 5 7 3" xfId="29596" xr:uid="{207D3FD6-6889-4DC4-BAE3-B08AF5CD4B37}"/>
    <cellStyle name="Comma 2 3 2 2 3 5 8" xfId="7692" xr:uid="{12A4BAC2-C57E-4A1B-8601-3DE1AEBB7D8C}"/>
    <cellStyle name="Comma 2 3 2 2 3 5 8 2" xfId="44200" xr:uid="{FEF2D7EF-6F4E-47A0-8CD7-CCA20DE8687D}"/>
    <cellStyle name="Comma 2 3 2 2 3 5 8 3" xfId="25946" xr:uid="{82648112-79F1-47EE-BC84-3BF3D308DD5F}"/>
    <cellStyle name="Comma 2 3 2 2 3 5 9" xfId="4042" xr:uid="{9F8578D2-7922-4056-8781-B73D79BCB874}"/>
    <cellStyle name="Comma 2 3 2 2 3 5 9 2" xfId="40550" xr:uid="{F0FCCB65-4412-4EA7-8C79-FAE4B69791C4}"/>
    <cellStyle name="Comma 2 3 2 2 3 5 9 3" xfId="22296" xr:uid="{B1FEA0D9-9A6D-4973-8C32-2F621FCEE23C}"/>
    <cellStyle name="Comma 2 3 2 2 3 6" xfId="288" xr:uid="{BE635A17-B231-4A31-A5D7-F490843CF23F}"/>
    <cellStyle name="Comma 2 3 2 2 3 6 10" xfId="36796" xr:uid="{13E2C96A-72E5-496C-8840-C9425EB0E1FE}"/>
    <cellStyle name="Comma 2 3 2 2 3 6 11" xfId="18542" xr:uid="{7BE01462-4E2E-46AD-AF9C-0479375180CF}"/>
    <cellStyle name="Comma 2 3 2 2 3 6 2" xfId="3208" xr:uid="{3BE30392-ED09-43C5-86F5-B1A88AF46CFB}"/>
    <cellStyle name="Comma 2 3 2 2 3 6 2 2" xfId="17808" xr:uid="{BA0530FC-B077-401E-9898-AA5AA2ECB634}"/>
    <cellStyle name="Comma 2 3 2 2 3 6 2 2 2" xfId="54316" xr:uid="{07F172C4-FD04-4148-86FF-1EBF14B6C7A6}"/>
    <cellStyle name="Comma 2 3 2 2 3 6 2 2 3" xfId="36062" xr:uid="{4AA5E99E-F5C0-4F1A-9C0C-D240A446BBBF}"/>
    <cellStyle name="Comma 2 3 2 2 3 6 2 3" xfId="14158" xr:uid="{19D94020-24B1-461F-B681-8667999FF651}"/>
    <cellStyle name="Comma 2 3 2 2 3 6 2 3 2" xfId="50666" xr:uid="{70EDAEAC-3BBE-43A5-8D55-C82E717EE47B}"/>
    <cellStyle name="Comma 2 3 2 2 3 6 2 3 3" xfId="32412" xr:uid="{38334285-2063-4C30-BB35-A7B45E976B22}"/>
    <cellStyle name="Comma 2 3 2 2 3 6 2 4" xfId="10508" xr:uid="{374BD4A7-2417-495E-8713-B081F0B64F3C}"/>
    <cellStyle name="Comma 2 3 2 2 3 6 2 4 2" xfId="47016" xr:uid="{0F4DAE3F-BBAD-4F80-8AEC-091B7E0628D5}"/>
    <cellStyle name="Comma 2 3 2 2 3 6 2 4 3" xfId="28762" xr:uid="{BBE584B0-72EF-4683-9A49-7823B77A66D3}"/>
    <cellStyle name="Comma 2 3 2 2 3 6 2 5" xfId="6858" xr:uid="{F1837EFF-1975-4F72-923B-7440205562DF}"/>
    <cellStyle name="Comma 2 3 2 2 3 6 2 5 2" xfId="43366" xr:uid="{D4723145-CFA9-408B-8B77-F9CB9AA60C02}"/>
    <cellStyle name="Comma 2 3 2 2 3 6 2 5 3" xfId="25112" xr:uid="{149EE1E4-CC64-4467-B0F6-55207E942D06}"/>
    <cellStyle name="Comma 2 3 2 2 3 6 2 6" xfId="39716" xr:uid="{9CA041AB-1E97-45EA-9E89-262D80B67092}"/>
    <cellStyle name="Comma 2 3 2 2 3 6 2 7" xfId="21462" xr:uid="{E5144295-01FD-4135-8C0A-FB92405A5F67}"/>
    <cellStyle name="Comma 2 3 2 2 3 6 3" xfId="2478" xr:uid="{C6843A3B-11AE-4CEA-8EBB-49ADFF5FAC78}"/>
    <cellStyle name="Comma 2 3 2 2 3 6 3 2" xfId="17078" xr:uid="{6299319B-D328-4655-8090-2D2C9A78F394}"/>
    <cellStyle name="Comma 2 3 2 2 3 6 3 2 2" xfId="53586" xr:uid="{7C624D1E-6989-42E8-8F65-68E31B31C333}"/>
    <cellStyle name="Comma 2 3 2 2 3 6 3 2 3" xfId="35332" xr:uid="{929774DB-3B92-4E51-ABC9-488BB7C9DF7E}"/>
    <cellStyle name="Comma 2 3 2 2 3 6 3 3" xfId="13428" xr:uid="{E04B753E-0269-4433-9DFE-AA44D96344C0}"/>
    <cellStyle name="Comma 2 3 2 2 3 6 3 3 2" xfId="49936" xr:uid="{D82771A1-BABD-4932-922E-4D7851DF9EAB}"/>
    <cellStyle name="Comma 2 3 2 2 3 6 3 3 3" xfId="31682" xr:uid="{322B0069-AF4D-4D76-8ABC-DCF81DB30E3B}"/>
    <cellStyle name="Comma 2 3 2 2 3 6 3 4" xfId="9778" xr:uid="{F9A69585-210A-4461-B607-288E9D6918CF}"/>
    <cellStyle name="Comma 2 3 2 2 3 6 3 4 2" xfId="46286" xr:uid="{975F03EB-D801-4C83-8480-025003B08DB7}"/>
    <cellStyle name="Comma 2 3 2 2 3 6 3 4 3" xfId="28032" xr:uid="{2DE99C18-513A-417A-A97E-C909374ED889}"/>
    <cellStyle name="Comma 2 3 2 2 3 6 3 5" xfId="6128" xr:uid="{F3E1BEA1-9391-49B1-852C-2FE769BAD6A7}"/>
    <cellStyle name="Comma 2 3 2 2 3 6 3 5 2" xfId="42636" xr:uid="{B98FC491-B824-416A-A4F1-2EFE8BFC7D83}"/>
    <cellStyle name="Comma 2 3 2 2 3 6 3 5 3" xfId="24382" xr:uid="{3818188A-6B78-4521-B6A7-58F0A598FDD6}"/>
    <cellStyle name="Comma 2 3 2 2 3 6 3 6" xfId="38986" xr:uid="{7A164349-F942-4A59-A181-756B82338E04}"/>
    <cellStyle name="Comma 2 3 2 2 3 6 3 7" xfId="20732" xr:uid="{88C83C5F-534C-4DA0-985C-83C97315F7B2}"/>
    <cellStyle name="Comma 2 3 2 2 3 6 4" xfId="1748" xr:uid="{DC60CE82-5787-41E8-9CF9-D66C6CB62D12}"/>
    <cellStyle name="Comma 2 3 2 2 3 6 4 2" xfId="16348" xr:uid="{92622BB5-5948-4897-9243-8ADAF3F4921F}"/>
    <cellStyle name="Comma 2 3 2 2 3 6 4 2 2" xfId="52856" xr:uid="{722BED80-B19F-4F8B-A15E-9D506D593E32}"/>
    <cellStyle name="Comma 2 3 2 2 3 6 4 2 3" xfId="34602" xr:uid="{81674BFA-51DF-4C5F-8C6D-A2B34080151F}"/>
    <cellStyle name="Comma 2 3 2 2 3 6 4 3" xfId="12698" xr:uid="{33E14481-02C4-4096-ACC9-27AE7139B8C8}"/>
    <cellStyle name="Comma 2 3 2 2 3 6 4 3 2" xfId="49206" xr:uid="{CDE7CDBE-24AB-40F0-B649-E07A85E9D1D6}"/>
    <cellStyle name="Comma 2 3 2 2 3 6 4 3 3" xfId="30952" xr:uid="{1D84C515-7473-4E9F-A680-D60E7B400D71}"/>
    <cellStyle name="Comma 2 3 2 2 3 6 4 4" xfId="9048" xr:uid="{EEE147CF-7729-4FFA-BCEA-AE22754D00BD}"/>
    <cellStyle name="Comma 2 3 2 2 3 6 4 4 2" xfId="45556" xr:uid="{16AB3FE9-72E3-41F0-9510-6B6C28A1FA8A}"/>
    <cellStyle name="Comma 2 3 2 2 3 6 4 4 3" xfId="27302" xr:uid="{AF1B36C7-20A4-448A-AF65-AE7908A69151}"/>
    <cellStyle name="Comma 2 3 2 2 3 6 4 5" xfId="5398" xr:uid="{239453A6-5456-42A0-86F2-FC1EDBCA4565}"/>
    <cellStyle name="Comma 2 3 2 2 3 6 4 5 2" xfId="41906" xr:uid="{09800CCE-BB72-4310-A4B4-7A2740C31066}"/>
    <cellStyle name="Comma 2 3 2 2 3 6 4 5 3" xfId="23652" xr:uid="{1BA5AE81-0810-41EF-953E-77C5DABAB9F4}"/>
    <cellStyle name="Comma 2 3 2 2 3 6 4 6" xfId="38256" xr:uid="{F7F012BA-2338-4849-9970-C1CAB2B05906}"/>
    <cellStyle name="Comma 2 3 2 2 3 6 4 7" xfId="20002" xr:uid="{79F03545-47A0-4656-A312-6697E45DD118}"/>
    <cellStyle name="Comma 2 3 2 2 3 6 5" xfId="1018" xr:uid="{7B0F116B-E0DC-475E-8E21-3882E6CB8B2C}"/>
    <cellStyle name="Comma 2 3 2 2 3 6 5 2" xfId="15618" xr:uid="{191A9D4A-B623-44B2-A5CA-BD158505B3CA}"/>
    <cellStyle name="Comma 2 3 2 2 3 6 5 2 2" xfId="52126" xr:uid="{F6D59455-A9FB-4726-8B15-53B521DC926A}"/>
    <cellStyle name="Comma 2 3 2 2 3 6 5 2 3" xfId="33872" xr:uid="{571A4541-314A-442A-BBD9-D97C8ECA39A8}"/>
    <cellStyle name="Comma 2 3 2 2 3 6 5 3" xfId="11968" xr:uid="{1551BB37-5F31-4FE1-AA6D-5306038D8392}"/>
    <cellStyle name="Comma 2 3 2 2 3 6 5 3 2" xfId="48476" xr:uid="{59ED92C3-7720-425D-BFA0-3FE23CD01782}"/>
    <cellStyle name="Comma 2 3 2 2 3 6 5 3 3" xfId="30222" xr:uid="{684119CC-0931-4FD8-B64A-8048D7D700CA}"/>
    <cellStyle name="Comma 2 3 2 2 3 6 5 4" xfId="8318" xr:uid="{8C8EF118-2B7B-46E8-8A3F-394094DB163F}"/>
    <cellStyle name="Comma 2 3 2 2 3 6 5 4 2" xfId="44826" xr:uid="{20F6748C-1AC4-4731-A801-C6C3B6BF400B}"/>
    <cellStyle name="Comma 2 3 2 2 3 6 5 4 3" xfId="26572" xr:uid="{A7853051-4637-4771-82C8-75BDA35FC307}"/>
    <cellStyle name="Comma 2 3 2 2 3 6 5 5" xfId="4668" xr:uid="{786D5258-3DE7-44E1-8BD0-794F574A645E}"/>
    <cellStyle name="Comma 2 3 2 2 3 6 5 5 2" xfId="41176" xr:uid="{69C8C1D4-194B-4DA3-A24F-BF511ECC7380}"/>
    <cellStyle name="Comma 2 3 2 2 3 6 5 5 3" xfId="22922" xr:uid="{BE58262B-76D6-40E7-BD8F-4EFFE02605DD}"/>
    <cellStyle name="Comma 2 3 2 2 3 6 5 6" xfId="37526" xr:uid="{4EB04632-9417-44EB-80D1-398F9C3C79E3}"/>
    <cellStyle name="Comma 2 3 2 2 3 6 5 7" xfId="19272" xr:uid="{9F3E4E70-6B71-499D-9354-5AFCADB7703E}"/>
    <cellStyle name="Comma 2 3 2 2 3 6 6" xfId="14888" xr:uid="{1DCE9101-CA92-46A6-8F0C-94FF92A44775}"/>
    <cellStyle name="Comma 2 3 2 2 3 6 6 2" xfId="51396" xr:uid="{57EEB1F2-5C01-460E-960E-D1473891B57B}"/>
    <cellStyle name="Comma 2 3 2 2 3 6 6 3" xfId="33142" xr:uid="{17568F21-6214-405B-AD6D-DB6F40D96F4D}"/>
    <cellStyle name="Comma 2 3 2 2 3 6 7" xfId="11238" xr:uid="{509A16CE-9865-4B9C-9BFC-BB1455F0A71C}"/>
    <cellStyle name="Comma 2 3 2 2 3 6 7 2" xfId="47746" xr:uid="{90C1BE6B-71C9-484A-8245-1A1CA301F074}"/>
    <cellStyle name="Comma 2 3 2 2 3 6 7 3" xfId="29492" xr:uid="{481EFF8D-92E6-42F4-8781-621501B0C4BB}"/>
    <cellStyle name="Comma 2 3 2 2 3 6 8" xfId="7588" xr:uid="{5324C86F-EBD5-42D6-8F70-547E7B2E2EE8}"/>
    <cellStyle name="Comma 2 3 2 2 3 6 8 2" xfId="44096" xr:uid="{AE01FA4B-8E44-4A72-8774-4EB9E020FBB3}"/>
    <cellStyle name="Comma 2 3 2 2 3 6 8 3" xfId="25842" xr:uid="{C78F8D91-D27C-475B-8942-5312E29F774D}"/>
    <cellStyle name="Comma 2 3 2 2 3 6 9" xfId="3938" xr:uid="{0A03C3E6-7BB2-45E2-9185-D7A5CF3C31A4}"/>
    <cellStyle name="Comma 2 3 2 2 3 6 9 2" xfId="40446" xr:uid="{6160204E-2533-4D38-8C3B-2FF18359CDAB}"/>
    <cellStyle name="Comma 2 3 2 2 3 6 9 3" xfId="22192" xr:uid="{6197CDB6-DDAC-4848-B178-632B472F9D00}"/>
    <cellStyle name="Comma 2 3 2 2 3 7" xfId="184" xr:uid="{70268F9D-6BBD-4024-A961-4AE02EECC826}"/>
    <cellStyle name="Comma 2 3 2 2 3 7 10" xfId="36692" xr:uid="{A515244A-0BF8-430F-AD4C-3887D0F058F7}"/>
    <cellStyle name="Comma 2 3 2 2 3 7 11" xfId="18438" xr:uid="{C4DE548A-E534-4029-8F95-18A4BA35CF31}"/>
    <cellStyle name="Comma 2 3 2 2 3 7 2" xfId="3104" xr:uid="{E7B8D00E-3CC8-4C1F-81F3-19C462DAFD7D}"/>
    <cellStyle name="Comma 2 3 2 2 3 7 2 2" xfId="17704" xr:uid="{BAF245ED-CB9D-41F4-8D7C-37D92972B816}"/>
    <cellStyle name="Comma 2 3 2 2 3 7 2 2 2" xfId="54212" xr:uid="{ADBBED9D-2609-4FA2-B720-C536A16F2F26}"/>
    <cellStyle name="Comma 2 3 2 2 3 7 2 2 3" xfId="35958" xr:uid="{F3AB34EC-89E0-448C-963E-A55B38BA8088}"/>
    <cellStyle name="Comma 2 3 2 2 3 7 2 3" xfId="14054" xr:uid="{3DB10895-9F46-4E25-8680-B5C1250AA93C}"/>
    <cellStyle name="Comma 2 3 2 2 3 7 2 3 2" xfId="50562" xr:uid="{3520D588-21BB-4548-A2E1-F184AF602FC9}"/>
    <cellStyle name="Comma 2 3 2 2 3 7 2 3 3" xfId="32308" xr:uid="{91AF5976-74A0-4FC4-A68B-2AF87CF072E0}"/>
    <cellStyle name="Comma 2 3 2 2 3 7 2 4" xfId="10404" xr:uid="{1A80A0E2-20DE-48B9-8727-8E89D8E25BBF}"/>
    <cellStyle name="Comma 2 3 2 2 3 7 2 4 2" xfId="46912" xr:uid="{5D4896FE-46FC-43B5-BC1B-DD2C696EA240}"/>
    <cellStyle name="Comma 2 3 2 2 3 7 2 4 3" xfId="28658" xr:uid="{9DEFEABD-0186-4F32-9C71-E275A558361F}"/>
    <cellStyle name="Comma 2 3 2 2 3 7 2 5" xfId="6754" xr:uid="{3082EA4E-477E-4C7B-8A15-C4D43BE9024D}"/>
    <cellStyle name="Comma 2 3 2 2 3 7 2 5 2" xfId="43262" xr:uid="{91FF6DC6-5BCE-4D07-AE33-B9CE23D4CC32}"/>
    <cellStyle name="Comma 2 3 2 2 3 7 2 5 3" xfId="25008" xr:uid="{C5C15372-AF92-4753-848F-09860BCB111A}"/>
    <cellStyle name="Comma 2 3 2 2 3 7 2 6" xfId="39612" xr:uid="{C22EEEEF-015B-4A65-9F48-9E08B8D71DC1}"/>
    <cellStyle name="Comma 2 3 2 2 3 7 2 7" xfId="21358" xr:uid="{4DC6BC56-46A5-43C3-9453-113A4E4AA77A}"/>
    <cellStyle name="Comma 2 3 2 2 3 7 3" xfId="2374" xr:uid="{8F1FFC05-A2E1-4540-9A27-D6EEA5E2184B}"/>
    <cellStyle name="Comma 2 3 2 2 3 7 3 2" xfId="16974" xr:uid="{DDB87352-37E7-4BC8-8095-59011ECBA939}"/>
    <cellStyle name="Comma 2 3 2 2 3 7 3 2 2" xfId="53482" xr:uid="{4FAD8E6F-BFE1-4873-8E18-FC80DDD24285}"/>
    <cellStyle name="Comma 2 3 2 2 3 7 3 2 3" xfId="35228" xr:uid="{1B86DB91-848F-47E4-B7A9-4B4196FDBA72}"/>
    <cellStyle name="Comma 2 3 2 2 3 7 3 3" xfId="13324" xr:uid="{C4022151-91B1-488A-9A21-9B25240E8EC5}"/>
    <cellStyle name="Comma 2 3 2 2 3 7 3 3 2" xfId="49832" xr:uid="{810ACACD-9C48-463C-994D-98375665CB63}"/>
    <cellStyle name="Comma 2 3 2 2 3 7 3 3 3" xfId="31578" xr:uid="{7C98AFDD-9AD0-4B23-AA41-B8150E0D4588}"/>
    <cellStyle name="Comma 2 3 2 2 3 7 3 4" xfId="9674" xr:uid="{47FDF204-DB17-47E4-8342-84C8A7D4FAF2}"/>
    <cellStyle name="Comma 2 3 2 2 3 7 3 4 2" xfId="46182" xr:uid="{4B8E10F2-91A9-486D-AA6B-159D792452AB}"/>
    <cellStyle name="Comma 2 3 2 2 3 7 3 4 3" xfId="27928" xr:uid="{34566246-370A-4963-BFF7-F10B334125D0}"/>
    <cellStyle name="Comma 2 3 2 2 3 7 3 5" xfId="6024" xr:uid="{6CA8C49E-934C-4495-8369-246CE05E5FD2}"/>
    <cellStyle name="Comma 2 3 2 2 3 7 3 5 2" xfId="42532" xr:uid="{9EFC3B7B-D743-47D2-88C1-12EA8FD5241B}"/>
    <cellStyle name="Comma 2 3 2 2 3 7 3 5 3" xfId="24278" xr:uid="{ECCD4EA2-0FDD-43B9-BECE-F857C442A1C1}"/>
    <cellStyle name="Comma 2 3 2 2 3 7 3 6" xfId="38882" xr:uid="{EA620FB7-6C2C-4150-A171-F8657A3B6268}"/>
    <cellStyle name="Comma 2 3 2 2 3 7 3 7" xfId="20628" xr:uid="{37FD2E90-4C07-4912-A69D-6A5B46E8BC91}"/>
    <cellStyle name="Comma 2 3 2 2 3 7 4" xfId="1644" xr:uid="{8E03F5B5-CA44-4140-8919-A2C06D9639D4}"/>
    <cellStyle name="Comma 2 3 2 2 3 7 4 2" xfId="16244" xr:uid="{75DDDA6B-E8AB-42A7-8616-23D407B2516C}"/>
    <cellStyle name="Comma 2 3 2 2 3 7 4 2 2" xfId="52752" xr:uid="{5F03D304-63CF-43D3-860E-597EAEB8A664}"/>
    <cellStyle name="Comma 2 3 2 2 3 7 4 2 3" xfId="34498" xr:uid="{0317F834-F314-4E24-B733-216F8230821F}"/>
    <cellStyle name="Comma 2 3 2 2 3 7 4 3" xfId="12594" xr:uid="{6D80DCFC-AD07-4DAD-9DA4-5F44FBD9EA27}"/>
    <cellStyle name="Comma 2 3 2 2 3 7 4 3 2" xfId="49102" xr:uid="{A1576AD7-AAC8-4AC9-B5DB-3C6073C32C9A}"/>
    <cellStyle name="Comma 2 3 2 2 3 7 4 3 3" xfId="30848" xr:uid="{F02F90E5-A074-4293-8EDA-B54074F86BE7}"/>
    <cellStyle name="Comma 2 3 2 2 3 7 4 4" xfId="8944" xr:uid="{0DC4C75E-3C3E-4405-960F-BA5C0AA41AF3}"/>
    <cellStyle name="Comma 2 3 2 2 3 7 4 4 2" xfId="45452" xr:uid="{FDA90BAC-8508-47E5-B34C-DDC52F8F918E}"/>
    <cellStyle name="Comma 2 3 2 2 3 7 4 4 3" xfId="27198" xr:uid="{E43B801E-564F-4601-8F46-7F73EB8821C9}"/>
    <cellStyle name="Comma 2 3 2 2 3 7 4 5" xfId="5294" xr:uid="{4E8A662E-CC91-4CD0-8430-68B1134DABFA}"/>
    <cellStyle name="Comma 2 3 2 2 3 7 4 5 2" xfId="41802" xr:uid="{A9B501AF-2E4E-41EF-AE5E-34249EB445FD}"/>
    <cellStyle name="Comma 2 3 2 2 3 7 4 5 3" xfId="23548" xr:uid="{62158955-C34E-41E1-91C3-40351F85C8D6}"/>
    <cellStyle name="Comma 2 3 2 2 3 7 4 6" xfId="38152" xr:uid="{CF49571D-2CE8-4421-AE6A-75246013D99F}"/>
    <cellStyle name="Comma 2 3 2 2 3 7 4 7" xfId="19898" xr:uid="{5E14F351-0C07-4892-BEAB-F2966BD25B6D}"/>
    <cellStyle name="Comma 2 3 2 2 3 7 5" xfId="914" xr:uid="{0DE35C24-258E-4894-B039-DBE636571718}"/>
    <cellStyle name="Comma 2 3 2 2 3 7 5 2" xfId="15514" xr:uid="{2DFADCBA-ABDB-4B85-83E1-A685A349366B}"/>
    <cellStyle name="Comma 2 3 2 2 3 7 5 2 2" xfId="52022" xr:uid="{CC59B1E0-DFD7-45DB-A708-AC8300CF1A2F}"/>
    <cellStyle name="Comma 2 3 2 2 3 7 5 2 3" xfId="33768" xr:uid="{C8222C11-FC09-40A7-BBBC-ADCFA46F822C}"/>
    <cellStyle name="Comma 2 3 2 2 3 7 5 3" xfId="11864" xr:uid="{C6DEB6F5-AEAA-423A-8361-48730E0DD015}"/>
    <cellStyle name="Comma 2 3 2 2 3 7 5 3 2" xfId="48372" xr:uid="{7B53ED30-676D-456B-91EB-0FA221B69353}"/>
    <cellStyle name="Comma 2 3 2 2 3 7 5 3 3" xfId="30118" xr:uid="{0C25966B-8E2F-43F2-AB30-FE4EC6834B7F}"/>
    <cellStyle name="Comma 2 3 2 2 3 7 5 4" xfId="8214" xr:uid="{F352EDD8-B4FD-4FC8-B998-2560B8CA9B3E}"/>
    <cellStyle name="Comma 2 3 2 2 3 7 5 4 2" xfId="44722" xr:uid="{4B38EDE0-CADF-4CB5-B7BE-A4BA5838391A}"/>
    <cellStyle name="Comma 2 3 2 2 3 7 5 4 3" xfId="26468" xr:uid="{576AD85B-2427-4567-AB87-5F0E9628FCC8}"/>
    <cellStyle name="Comma 2 3 2 2 3 7 5 5" xfId="4564" xr:uid="{8EACC82B-EB48-4CF4-9A44-9A58E9B90DEB}"/>
    <cellStyle name="Comma 2 3 2 2 3 7 5 5 2" xfId="41072" xr:uid="{1B4024E9-8FA1-4BA1-9D1E-AB7FD1D38614}"/>
    <cellStyle name="Comma 2 3 2 2 3 7 5 5 3" xfId="22818" xr:uid="{4A28DFDC-286E-4DCF-AB90-B202B9A7DCD6}"/>
    <cellStyle name="Comma 2 3 2 2 3 7 5 6" xfId="37422" xr:uid="{750B87EC-EADE-4362-B8C1-D639EF2C08E0}"/>
    <cellStyle name="Comma 2 3 2 2 3 7 5 7" xfId="19168" xr:uid="{2AC8FCCE-5C71-45D4-AC2F-168A7E5E1637}"/>
    <cellStyle name="Comma 2 3 2 2 3 7 6" xfId="14784" xr:uid="{33E52394-5B35-43CC-95F0-66EAD36C3947}"/>
    <cellStyle name="Comma 2 3 2 2 3 7 6 2" xfId="51292" xr:uid="{02F15A8A-EB10-4E99-98CC-E98484D88034}"/>
    <cellStyle name="Comma 2 3 2 2 3 7 6 3" xfId="33038" xr:uid="{0FE4C047-F90B-4A3F-8900-80566927784E}"/>
    <cellStyle name="Comma 2 3 2 2 3 7 7" xfId="11134" xr:uid="{B094F015-D5F9-4E2F-B463-20BB7750FB8A}"/>
    <cellStyle name="Comma 2 3 2 2 3 7 7 2" xfId="47642" xr:uid="{616F9FC5-E4EA-483F-822B-B56A103FB328}"/>
    <cellStyle name="Comma 2 3 2 2 3 7 7 3" xfId="29388" xr:uid="{EA0306BE-B742-4483-830E-1BD41A616748}"/>
    <cellStyle name="Comma 2 3 2 2 3 7 8" xfId="7484" xr:uid="{6F28BEF3-A5B8-448A-8A87-85A695E5B143}"/>
    <cellStyle name="Comma 2 3 2 2 3 7 8 2" xfId="43992" xr:uid="{2A671965-77E7-4DE1-8EB6-B25C4ABFD04B}"/>
    <cellStyle name="Comma 2 3 2 2 3 7 8 3" xfId="25738" xr:uid="{12DF89C0-5D24-4BE0-BE31-E337C90B92E4}"/>
    <cellStyle name="Comma 2 3 2 2 3 7 9" xfId="3834" xr:uid="{FB1956AE-7155-4802-B167-575F98CF06F6}"/>
    <cellStyle name="Comma 2 3 2 2 3 7 9 2" xfId="40342" xr:uid="{CB990CB4-ED26-4178-86D9-4282C6B6DCC8}"/>
    <cellStyle name="Comma 2 3 2 2 3 7 9 3" xfId="22088" xr:uid="{4F6127E6-21C3-44E1-84B5-37B028482F30}"/>
    <cellStyle name="Comma 2 3 2 2 3 8" xfId="3000" xr:uid="{449678E8-1874-4BDF-9B7A-BF2DB77BADC4}"/>
    <cellStyle name="Comma 2 3 2 2 3 8 2" xfId="17600" xr:uid="{4E288C38-08CC-4B08-AD5A-F63FA02A1549}"/>
    <cellStyle name="Comma 2 3 2 2 3 8 2 2" xfId="54108" xr:uid="{57E2979B-83DF-41B9-A4FC-5B5163FFFEA0}"/>
    <cellStyle name="Comma 2 3 2 2 3 8 2 3" xfId="35854" xr:uid="{6327027D-D43E-4CF9-879E-6D19C83C8168}"/>
    <cellStyle name="Comma 2 3 2 2 3 8 3" xfId="13950" xr:uid="{780C8855-F31D-4D8A-B617-DCAD280C1970}"/>
    <cellStyle name="Comma 2 3 2 2 3 8 3 2" xfId="50458" xr:uid="{14737D2E-8E9E-4D86-9D31-29FE23BC1515}"/>
    <cellStyle name="Comma 2 3 2 2 3 8 3 3" xfId="32204" xr:uid="{DCAE6C94-9D30-40A6-9C41-749DDFA37AC9}"/>
    <cellStyle name="Comma 2 3 2 2 3 8 4" xfId="10300" xr:uid="{8A3838C7-20D1-43B1-AD3B-67835E37C4F8}"/>
    <cellStyle name="Comma 2 3 2 2 3 8 4 2" xfId="46808" xr:uid="{5D9B203B-EBCD-4960-B497-35B006A660EB}"/>
    <cellStyle name="Comma 2 3 2 2 3 8 4 3" xfId="28554" xr:uid="{F9B9A9D8-02F8-438A-8F77-8ED634E26D7C}"/>
    <cellStyle name="Comma 2 3 2 2 3 8 5" xfId="6650" xr:uid="{D07109D0-2B94-4095-8F1F-E22ED2952DD1}"/>
    <cellStyle name="Comma 2 3 2 2 3 8 5 2" xfId="43158" xr:uid="{CC4B04CC-73B9-4632-9AB1-15312F7685F9}"/>
    <cellStyle name="Comma 2 3 2 2 3 8 5 3" xfId="24904" xr:uid="{D1094CD1-F8C2-40A9-853E-3D605CD2B8D5}"/>
    <cellStyle name="Comma 2 3 2 2 3 8 6" xfId="39508" xr:uid="{D212B36D-0303-4180-9F4A-170E8BA02AD2}"/>
    <cellStyle name="Comma 2 3 2 2 3 8 7" xfId="21254" xr:uid="{F2C69E6D-41B2-483F-B07B-66CD376ABB71}"/>
    <cellStyle name="Comma 2 3 2 2 3 9" xfId="2270" xr:uid="{F5B24659-B45F-4294-B15A-8DF76C9227F4}"/>
    <cellStyle name="Comma 2 3 2 2 3 9 2" xfId="16870" xr:uid="{FCCAB672-CDB3-40EE-A25C-03618AA99F43}"/>
    <cellStyle name="Comma 2 3 2 2 3 9 2 2" xfId="53378" xr:uid="{5A1B3039-7F05-4E84-9A22-5F726633E69F}"/>
    <cellStyle name="Comma 2 3 2 2 3 9 2 3" xfId="35124" xr:uid="{A9B2F36F-52EA-4065-996E-7F1A51A5A56C}"/>
    <cellStyle name="Comma 2 3 2 2 3 9 3" xfId="13220" xr:uid="{1843F99E-E69E-4A05-8499-A683CE5ADD05}"/>
    <cellStyle name="Comma 2 3 2 2 3 9 3 2" xfId="49728" xr:uid="{619BBFFC-B8DF-4491-BE54-E52B86D37D29}"/>
    <cellStyle name="Comma 2 3 2 2 3 9 3 3" xfId="31474" xr:uid="{52D98B43-C8CC-4C32-8DF9-AFD0F639475E}"/>
    <cellStyle name="Comma 2 3 2 2 3 9 4" xfId="9570" xr:uid="{ED0558E1-D761-4A95-92D2-FC4DFD7A7EB2}"/>
    <cellStyle name="Comma 2 3 2 2 3 9 4 2" xfId="46078" xr:uid="{ECDB4AFF-AF75-417E-9077-A5EFBB4F81F2}"/>
    <cellStyle name="Comma 2 3 2 2 3 9 4 3" xfId="27824" xr:uid="{28A353C2-754E-42D8-A976-2D957F0344D4}"/>
    <cellStyle name="Comma 2 3 2 2 3 9 5" xfId="5920" xr:uid="{591A0CFB-E931-4743-8B92-755D89411BB5}"/>
    <cellStyle name="Comma 2 3 2 2 3 9 5 2" xfId="42428" xr:uid="{DD381F2E-9C20-48C2-8D54-9525BA1C8655}"/>
    <cellStyle name="Comma 2 3 2 2 3 9 5 3" xfId="24174" xr:uid="{BA06B2BE-B02B-48E9-8EEE-3BBF141AEE3B}"/>
    <cellStyle name="Comma 2 3 2 2 3 9 6" xfId="38778" xr:uid="{374AE5A6-1EB6-4EFC-A898-D6E00480C6BA}"/>
    <cellStyle name="Comma 2 3 2 2 3 9 7" xfId="20524" xr:uid="{EBC14F86-0E37-4469-ACDF-310CAF3E6D7C}"/>
    <cellStyle name="Comma 2 3 2 2 4" xfId="672" xr:uid="{2A32B947-669E-44CA-A5A9-D6EE919765B9}"/>
    <cellStyle name="Comma 2 3 2 2 4 10" xfId="37180" xr:uid="{61543155-F55C-4192-BD90-6CE2063B02B7}"/>
    <cellStyle name="Comma 2 3 2 2 4 11" xfId="18926" xr:uid="{FF844A81-5AB1-41BB-9F9F-CF095D297B35}"/>
    <cellStyle name="Comma 2 3 2 2 4 2" xfId="3592" xr:uid="{6A668542-C4C5-43E1-9E68-A89362E01A10}"/>
    <cellStyle name="Comma 2 3 2 2 4 2 2" xfId="18192" xr:uid="{B1BC3770-5BB7-49A9-821F-CCE38BAF4877}"/>
    <cellStyle name="Comma 2 3 2 2 4 2 2 2" xfId="54700" xr:uid="{00449CA3-96FD-43B0-B516-40FFA6E5D86B}"/>
    <cellStyle name="Comma 2 3 2 2 4 2 2 3" xfId="36446" xr:uid="{76BF090F-C46B-4F33-82F2-FFAB7E40ABDF}"/>
    <cellStyle name="Comma 2 3 2 2 4 2 3" xfId="14542" xr:uid="{2B06D039-E60D-4836-9A72-D49C4D66D32B}"/>
    <cellStyle name="Comma 2 3 2 2 4 2 3 2" xfId="51050" xr:uid="{C2B3F20A-B5A3-4350-BC82-A8FF71F7FD68}"/>
    <cellStyle name="Comma 2 3 2 2 4 2 3 3" xfId="32796" xr:uid="{78F9EB64-8E50-45BC-A01A-89A9F5DACBD4}"/>
    <cellStyle name="Comma 2 3 2 2 4 2 4" xfId="10892" xr:uid="{05C2A8D6-143B-423B-9A04-EB7988BA5ECD}"/>
    <cellStyle name="Comma 2 3 2 2 4 2 4 2" xfId="47400" xr:uid="{FAD71BBF-0027-4D0F-A26F-53BA3C0ABEA1}"/>
    <cellStyle name="Comma 2 3 2 2 4 2 4 3" xfId="29146" xr:uid="{5F1DC28C-7C93-43BD-A276-ED663E68ABF8}"/>
    <cellStyle name="Comma 2 3 2 2 4 2 5" xfId="7242" xr:uid="{8EDCE2AD-6C90-453F-A39F-69980B6C0636}"/>
    <cellStyle name="Comma 2 3 2 2 4 2 5 2" xfId="43750" xr:uid="{6CCE6B2E-0C54-4198-860B-63325D8C37EB}"/>
    <cellStyle name="Comma 2 3 2 2 4 2 5 3" xfId="25496" xr:uid="{6B6F65E5-77E7-469F-92F8-5B773DA5DF61}"/>
    <cellStyle name="Comma 2 3 2 2 4 2 6" xfId="40100" xr:uid="{7AD59FC4-8177-4E4D-A7E8-924AEDFA8C87}"/>
    <cellStyle name="Comma 2 3 2 2 4 2 7" xfId="21846" xr:uid="{86D0CA47-6475-4397-A673-5D15519DAD08}"/>
    <cellStyle name="Comma 2 3 2 2 4 3" xfId="2862" xr:uid="{889A66C8-9CCA-4545-8B14-A203B44FD0C4}"/>
    <cellStyle name="Comma 2 3 2 2 4 3 2" xfId="17462" xr:uid="{E9681131-18EB-4FFE-9622-5B68A11FB5EF}"/>
    <cellStyle name="Comma 2 3 2 2 4 3 2 2" xfId="53970" xr:uid="{FDD31434-C982-495D-B31D-1EC1BBDB35A3}"/>
    <cellStyle name="Comma 2 3 2 2 4 3 2 3" xfId="35716" xr:uid="{A23AFA52-AD25-42E3-981A-E664D13F4B0D}"/>
    <cellStyle name="Comma 2 3 2 2 4 3 3" xfId="13812" xr:uid="{02CEE176-B2BD-4A2A-954D-D728032E4FDB}"/>
    <cellStyle name="Comma 2 3 2 2 4 3 3 2" xfId="50320" xr:uid="{82DEBF7E-13A5-4EB9-A405-763AA0EE606D}"/>
    <cellStyle name="Comma 2 3 2 2 4 3 3 3" xfId="32066" xr:uid="{AEFA8D9F-9F09-43C2-B5B0-6FC29C14DA8F}"/>
    <cellStyle name="Comma 2 3 2 2 4 3 4" xfId="10162" xr:uid="{C8E1D527-8A43-41AD-852E-866A5DBB4889}"/>
    <cellStyle name="Comma 2 3 2 2 4 3 4 2" xfId="46670" xr:uid="{F06B8BA2-3900-4916-B157-DB6602FD9369}"/>
    <cellStyle name="Comma 2 3 2 2 4 3 4 3" xfId="28416" xr:uid="{D67C38E7-2F29-475F-8703-FD6523C60418}"/>
    <cellStyle name="Comma 2 3 2 2 4 3 5" xfId="6512" xr:uid="{51AC8112-BE20-4714-8E43-193267BF04B6}"/>
    <cellStyle name="Comma 2 3 2 2 4 3 5 2" xfId="43020" xr:uid="{EFC9AA63-7E17-4AA9-BDBD-808BAAF7F076}"/>
    <cellStyle name="Comma 2 3 2 2 4 3 5 3" xfId="24766" xr:uid="{80A1FB92-5187-4967-8EFE-C5AE5322B8EC}"/>
    <cellStyle name="Comma 2 3 2 2 4 3 6" xfId="39370" xr:uid="{452825A6-EF7C-44E1-86AC-8A96A0546800}"/>
    <cellStyle name="Comma 2 3 2 2 4 3 7" xfId="21116" xr:uid="{0F05044E-ACA9-43AA-A61B-907B48972180}"/>
    <cellStyle name="Comma 2 3 2 2 4 4" xfId="2132" xr:uid="{EBEA0DC1-5826-4949-8BCE-1C421931A7C0}"/>
    <cellStyle name="Comma 2 3 2 2 4 4 2" xfId="16732" xr:uid="{BCA830B4-5D7E-4041-AD7C-81E0AFF61EE4}"/>
    <cellStyle name="Comma 2 3 2 2 4 4 2 2" xfId="53240" xr:uid="{7A0F9D43-F103-42C5-A538-72CC98F130FC}"/>
    <cellStyle name="Comma 2 3 2 2 4 4 2 3" xfId="34986" xr:uid="{B99D7C64-2BF0-4B88-93EC-8D915C0A95E5}"/>
    <cellStyle name="Comma 2 3 2 2 4 4 3" xfId="13082" xr:uid="{92C84587-D342-472B-9257-093C81B4CA9E}"/>
    <cellStyle name="Comma 2 3 2 2 4 4 3 2" xfId="49590" xr:uid="{D52F2F0C-97E5-4B93-8864-880941E1DE5A}"/>
    <cellStyle name="Comma 2 3 2 2 4 4 3 3" xfId="31336" xr:uid="{E8CF6637-D73E-4FB1-8DC2-C6AFD6D872B7}"/>
    <cellStyle name="Comma 2 3 2 2 4 4 4" xfId="9432" xr:uid="{D7D601F2-626C-405F-9F22-543BAEE1FC0A}"/>
    <cellStyle name="Comma 2 3 2 2 4 4 4 2" xfId="45940" xr:uid="{EB9FA6EB-E3F3-44FF-9BA0-F29F99FCDDF0}"/>
    <cellStyle name="Comma 2 3 2 2 4 4 4 3" xfId="27686" xr:uid="{93394670-5312-4ECD-84BA-450AC4A5D2B7}"/>
    <cellStyle name="Comma 2 3 2 2 4 4 5" xfId="5782" xr:uid="{1E633CE0-A511-4A55-BA92-8E754665F0DB}"/>
    <cellStyle name="Comma 2 3 2 2 4 4 5 2" xfId="42290" xr:uid="{CC37E3E3-2880-4696-BB65-0BE1F8D7E658}"/>
    <cellStyle name="Comma 2 3 2 2 4 4 5 3" xfId="24036" xr:uid="{2D4A9AD7-1CA4-473B-B4F3-D6CC088CBBA3}"/>
    <cellStyle name="Comma 2 3 2 2 4 4 6" xfId="38640" xr:uid="{F5FCE06C-CD1B-4B8D-8D73-9005767C4D5B}"/>
    <cellStyle name="Comma 2 3 2 2 4 4 7" xfId="20386" xr:uid="{8A5741A7-EDC6-49BF-AB17-0761A6B10211}"/>
    <cellStyle name="Comma 2 3 2 2 4 5" xfId="1402" xr:uid="{4E7F6F11-6B0F-4762-9C79-ECB143D14C8F}"/>
    <cellStyle name="Comma 2 3 2 2 4 5 2" xfId="16002" xr:uid="{8AB3515D-A7B4-4B17-B92C-9877699F0779}"/>
    <cellStyle name="Comma 2 3 2 2 4 5 2 2" xfId="52510" xr:uid="{D249C89C-C1C2-41BE-9B4A-50F8970068B4}"/>
    <cellStyle name="Comma 2 3 2 2 4 5 2 3" xfId="34256" xr:uid="{EF68A2F7-F3CD-4362-8817-72EBB0470E63}"/>
    <cellStyle name="Comma 2 3 2 2 4 5 3" xfId="12352" xr:uid="{AD86F7EE-D7A2-446B-9F84-7009DB1B0A2D}"/>
    <cellStyle name="Comma 2 3 2 2 4 5 3 2" xfId="48860" xr:uid="{D71750A2-2817-4C3F-8979-3C9C6D645328}"/>
    <cellStyle name="Comma 2 3 2 2 4 5 3 3" xfId="30606" xr:uid="{4DE2EA68-7BE7-4244-B8B0-E75A3606229D}"/>
    <cellStyle name="Comma 2 3 2 2 4 5 4" xfId="8702" xr:uid="{66D71BDC-6561-4784-A3BB-D969E3AA436E}"/>
    <cellStyle name="Comma 2 3 2 2 4 5 4 2" xfId="45210" xr:uid="{19327CAB-755A-4CB5-A1AA-76A614373B38}"/>
    <cellStyle name="Comma 2 3 2 2 4 5 4 3" xfId="26956" xr:uid="{20044751-F4FF-4329-BB77-CDC0090D1F4D}"/>
    <cellStyle name="Comma 2 3 2 2 4 5 5" xfId="5052" xr:uid="{AF8D65C4-7E24-4D83-BA16-F064F1EBABAF}"/>
    <cellStyle name="Comma 2 3 2 2 4 5 5 2" xfId="41560" xr:uid="{329ED87D-B235-46FB-9A96-2DB1A01F27BD}"/>
    <cellStyle name="Comma 2 3 2 2 4 5 5 3" xfId="23306" xr:uid="{5FF286E7-04CA-4FD9-9C8B-FD0AC4D8883D}"/>
    <cellStyle name="Comma 2 3 2 2 4 5 6" xfId="37910" xr:uid="{74EB6C55-E540-415E-A18F-DEBA96730757}"/>
    <cellStyle name="Comma 2 3 2 2 4 5 7" xfId="19656" xr:uid="{C9373A69-556D-4343-B385-A8350A50C9F8}"/>
    <cellStyle name="Comma 2 3 2 2 4 6" xfId="15272" xr:uid="{5E77B63A-9F71-4974-8562-867673981F59}"/>
    <cellStyle name="Comma 2 3 2 2 4 6 2" xfId="51780" xr:uid="{3443132B-F087-4099-87D2-D72CA38FDBFF}"/>
    <cellStyle name="Comma 2 3 2 2 4 6 3" xfId="33526" xr:uid="{2F3C4777-7B7A-46F7-A911-17E34FD227C8}"/>
    <cellStyle name="Comma 2 3 2 2 4 7" xfId="11622" xr:uid="{D5507D2F-0195-42E8-B89E-B527C2FF4F45}"/>
    <cellStyle name="Comma 2 3 2 2 4 7 2" xfId="48130" xr:uid="{56D58D68-6F2E-41D0-85D0-C9578C0C7831}"/>
    <cellStyle name="Comma 2 3 2 2 4 7 3" xfId="29876" xr:uid="{8D781D06-6AB9-45FE-B5D0-C5C1B9B17668}"/>
    <cellStyle name="Comma 2 3 2 2 4 8" xfId="7972" xr:uid="{878CF620-7CBC-460B-B715-FFDA16819549}"/>
    <cellStyle name="Comma 2 3 2 2 4 8 2" xfId="44480" xr:uid="{16DE4AD9-5C58-451A-B234-DCA030131067}"/>
    <cellStyle name="Comma 2 3 2 2 4 8 3" xfId="26226" xr:uid="{8C10ED1D-5249-4A35-B8AD-8966190FDB81}"/>
    <cellStyle name="Comma 2 3 2 2 4 9" xfId="4322" xr:uid="{47D1C9DB-3D0E-45D6-BAAF-BE03AB4076DE}"/>
    <cellStyle name="Comma 2 3 2 2 4 9 2" xfId="40830" xr:uid="{8BEDAF83-3C72-4409-BE63-3284CF2337D2}"/>
    <cellStyle name="Comma 2 3 2 2 4 9 3" xfId="22576" xr:uid="{E29C9DE4-86FA-4D07-BFFE-2902F42065CC}"/>
    <cellStyle name="Comma 2 3 2 2 5" xfId="568" xr:uid="{85E32488-2C62-479C-9045-E18EA7C6D9D2}"/>
    <cellStyle name="Comma 2 3 2 2 5 10" xfId="37076" xr:uid="{56FB8D79-7C97-454F-9CA5-A2EB414193EF}"/>
    <cellStyle name="Comma 2 3 2 2 5 11" xfId="18822" xr:uid="{AA5A4076-B4CD-45F4-9BBA-2500EB3F8226}"/>
    <cellStyle name="Comma 2 3 2 2 5 2" xfId="3488" xr:uid="{764EC4A1-5C34-4550-A561-00D91588D259}"/>
    <cellStyle name="Comma 2 3 2 2 5 2 2" xfId="18088" xr:uid="{42D6675A-9735-40CC-B93F-469D35591BFA}"/>
    <cellStyle name="Comma 2 3 2 2 5 2 2 2" xfId="54596" xr:uid="{06335A7D-167B-4CC8-B725-8595C8F869C6}"/>
    <cellStyle name="Comma 2 3 2 2 5 2 2 3" xfId="36342" xr:uid="{DD1354BC-296E-4F70-B5AF-CFF145D6C855}"/>
    <cellStyle name="Comma 2 3 2 2 5 2 3" xfId="14438" xr:uid="{F2065F08-3A9D-45D1-B557-4A741621152B}"/>
    <cellStyle name="Comma 2 3 2 2 5 2 3 2" xfId="50946" xr:uid="{41626CF8-976E-4F00-804E-B4A020AC9CC2}"/>
    <cellStyle name="Comma 2 3 2 2 5 2 3 3" xfId="32692" xr:uid="{732DC610-EDA0-455F-8223-0038402509E7}"/>
    <cellStyle name="Comma 2 3 2 2 5 2 4" xfId="10788" xr:uid="{07AD6FEA-E575-4BA1-A7E8-7BF379380D41}"/>
    <cellStyle name="Comma 2 3 2 2 5 2 4 2" xfId="47296" xr:uid="{4B4A1646-C5F4-4F60-8852-B09F91960FDF}"/>
    <cellStyle name="Comma 2 3 2 2 5 2 4 3" xfId="29042" xr:uid="{A30A5DD3-C99B-4554-A3D2-B937F2E90F0F}"/>
    <cellStyle name="Comma 2 3 2 2 5 2 5" xfId="7138" xr:uid="{60ED37B9-000F-4C60-A229-C87364FF542E}"/>
    <cellStyle name="Comma 2 3 2 2 5 2 5 2" xfId="43646" xr:uid="{7A97C64E-DE6C-49B5-A585-6440B6979DA6}"/>
    <cellStyle name="Comma 2 3 2 2 5 2 5 3" xfId="25392" xr:uid="{AE6C6D1E-70F5-4591-A689-7DF1F1FEA83B}"/>
    <cellStyle name="Comma 2 3 2 2 5 2 6" xfId="39996" xr:uid="{DA37246D-A3C6-497B-B9CF-0CC2D901D1D3}"/>
    <cellStyle name="Comma 2 3 2 2 5 2 7" xfId="21742" xr:uid="{7968F39F-AB5D-41C3-8E8E-0A9A4979A276}"/>
    <cellStyle name="Comma 2 3 2 2 5 3" xfId="2758" xr:uid="{A17CFA2B-20BC-4B2F-8FE4-561DE6B82512}"/>
    <cellStyle name="Comma 2 3 2 2 5 3 2" xfId="17358" xr:uid="{D7B0E94B-4FC0-4F5A-BF67-6283994B2329}"/>
    <cellStyle name="Comma 2 3 2 2 5 3 2 2" xfId="53866" xr:uid="{D08A0FB1-3C26-4E7E-9A8F-BD6DB3D6399A}"/>
    <cellStyle name="Comma 2 3 2 2 5 3 2 3" xfId="35612" xr:uid="{3E160361-6F55-46DF-B1C3-7A44DA605D3A}"/>
    <cellStyle name="Comma 2 3 2 2 5 3 3" xfId="13708" xr:uid="{CF0086C1-E1DF-4C77-ACE4-78B01E447FC7}"/>
    <cellStyle name="Comma 2 3 2 2 5 3 3 2" xfId="50216" xr:uid="{C6C27C4D-ABF7-49D9-BF0E-E7D83FA28C9C}"/>
    <cellStyle name="Comma 2 3 2 2 5 3 3 3" xfId="31962" xr:uid="{A184049E-B669-4632-B347-3B1253AF85F4}"/>
    <cellStyle name="Comma 2 3 2 2 5 3 4" xfId="10058" xr:uid="{258E87EC-A5DD-47BF-957A-8AEC034D9E15}"/>
    <cellStyle name="Comma 2 3 2 2 5 3 4 2" xfId="46566" xr:uid="{26928093-C702-4BF1-BFA1-CA8504FF2CFF}"/>
    <cellStyle name="Comma 2 3 2 2 5 3 4 3" xfId="28312" xr:uid="{6002AF2C-A0E7-4D9F-941D-41FF08461618}"/>
    <cellStyle name="Comma 2 3 2 2 5 3 5" xfId="6408" xr:uid="{5A2D4FF6-1EA1-4703-87AC-79D5300A57EC}"/>
    <cellStyle name="Comma 2 3 2 2 5 3 5 2" xfId="42916" xr:uid="{FF646F0F-F1F2-45E8-99C5-3A1B23769885}"/>
    <cellStyle name="Comma 2 3 2 2 5 3 5 3" xfId="24662" xr:uid="{0F3E3EBB-7B38-4742-8262-9E76C9B88769}"/>
    <cellStyle name="Comma 2 3 2 2 5 3 6" xfId="39266" xr:uid="{B9FFBEC3-0F0F-4A80-83D0-B5C38B0E6CEB}"/>
    <cellStyle name="Comma 2 3 2 2 5 3 7" xfId="21012" xr:uid="{2A875C80-C469-4149-ADFA-5884960F7E24}"/>
    <cellStyle name="Comma 2 3 2 2 5 4" xfId="2028" xr:uid="{9386A394-107A-4672-B098-F519DD6A9F94}"/>
    <cellStyle name="Comma 2 3 2 2 5 4 2" xfId="16628" xr:uid="{A3568F19-1E90-43D8-AD16-B13C478D93C3}"/>
    <cellStyle name="Comma 2 3 2 2 5 4 2 2" xfId="53136" xr:uid="{97436940-4343-4216-A7DD-A619E01C2E06}"/>
    <cellStyle name="Comma 2 3 2 2 5 4 2 3" xfId="34882" xr:uid="{90AC9A8D-046C-4E8C-82A2-F8BA5235901A}"/>
    <cellStyle name="Comma 2 3 2 2 5 4 3" xfId="12978" xr:uid="{566BE25F-691C-464A-8BE2-1500CA7780E9}"/>
    <cellStyle name="Comma 2 3 2 2 5 4 3 2" xfId="49486" xr:uid="{9F0219AF-E472-47AC-A6A6-8A0235637928}"/>
    <cellStyle name="Comma 2 3 2 2 5 4 3 3" xfId="31232" xr:uid="{F76190A7-C353-49E8-B157-0673E668C5CF}"/>
    <cellStyle name="Comma 2 3 2 2 5 4 4" xfId="9328" xr:uid="{FE1D9618-C4FF-49A9-8BD2-3623D52448B0}"/>
    <cellStyle name="Comma 2 3 2 2 5 4 4 2" xfId="45836" xr:uid="{B8219384-F0BB-4F1F-AABC-AF2FF849F030}"/>
    <cellStyle name="Comma 2 3 2 2 5 4 4 3" xfId="27582" xr:uid="{43541FC8-3AAC-4EC5-897A-9511BF6D3066}"/>
    <cellStyle name="Comma 2 3 2 2 5 4 5" xfId="5678" xr:uid="{A14C4299-A2A3-44F9-8E09-5E2B264BFE20}"/>
    <cellStyle name="Comma 2 3 2 2 5 4 5 2" xfId="42186" xr:uid="{C7003120-F682-4501-BBEB-90E21FFE76A7}"/>
    <cellStyle name="Comma 2 3 2 2 5 4 5 3" xfId="23932" xr:uid="{BB7138B6-7734-40EC-810A-16E304DF3120}"/>
    <cellStyle name="Comma 2 3 2 2 5 4 6" xfId="38536" xr:uid="{649BE7AA-2CD8-47BB-80A6-62B02B21A6D8}"/>
    <cellStyle name="Comma 2 3 2 2 5 4 7" xfId="20282" xr:uid="{9D74DBC1-D839-44B4-8FB2-ACAB80D1BDFE}"/>
    <cellStyle name="Comma 2 3 2 2 5 5" xfId="1298" xr:uid="{97BC8966-31C3-4522-9621-B7B349138375}"/>
    <cellStyle name="Comma 2 3 2 2 5 5 2" xfId="15898" xr:uid="{4D95CCBF-0930-4F9C-9293-A527BB94B38B}"/>
    <cellStyle name="Comma 2 3 2 2 5 5 2 2" xfId="52406" xr:uid="{8A101AE5-1BA2-49F7-B0C3-C632617590B0}"/>
    <cellStyle name="Comma 2 3 2 2 5 5 2 3" xfId="34152" xr:uid="{978F5B1B-DA02-4074-9891-F2DFC898AD8D}"/>
    <cellStyle name="Comma 2 3 2 2 5 5 3" xfId="12248" xr:uid="{F0CB5814-CD7F-43EF-967E-515590507C9E}"/>
    <cellStyle name="Comma 2 3 2 2 5 5 3 2" xfId="48756" xr:uid="{B0A09F95-529E-40EC-907F-C4C20F18D1EF}"/>
    <cellStyle name="Comma 2 3 2 2 5 5 3 3" xfId="30502" xr:uid="{E8A62519-44B2-4446-86FD-0F4918134FBC}"/>
    <cellStyle name="Comma 2 3 2 2 5 5 4" xfId="8598" xr:uid="{017A7BF6-45E3-4A45-B685-6018C496637C}"/>
    <cellStyle name="Comma 2 3 2 2 5 5 4 2" xfId="45106" xr:uid="{E77A5B23-416B-4EA0-A657-13499F0C8065}"/>
    <cellStyle name="Comma 2 3 2 2 5 5 4 3" xfId="26852" xr:uid="{014840E7-A6DB-46FA-A2EB-A1ADFD09BB55}"/>
    <cellStyle name="Comma 2 3 2 2 5 5 5" xfId="4948" xr:uid="{52828168-9A8D-4E5E-A6EE-EBD86EFB7246}"/>
    <cellStyle name="Comma 2 3 2 2 5 5 5 2" xfId="41456" xr:uid="{52EF4408-4890-4F2A-AD65-9172B17D81F9}"/>
    <cellStyle name="Comma 2 3 2 2 5 5 5 3" xfId="23202" xr:uid="{96E475DB-72D9-4137-9361-8C22D381843D}"/>
    <cellStyle name="Comma 2 3 2 2 5 5 6" xfId="37806" xr:uid="{6819E41D-A9B5-4F6A-8205-CEAC988DC521}"/>
    <cellStyle name="Comma 2 3 2 2 5 5 7" xfId="19552" xr:uid="{BEFCC8B9-84D7-4F7B-A730-686D886A7151}"/>
    <cellStyle name="Comma 2 3 2 2 5 6" xfId="15168" xr:uid="{1C30E524-64FF-4CC9-875B-B891B45E3A3D}"/>
    <cellStyle name="Comma 2 3 2 2 5 6 2" xfId="51676" xr:uid="{37E09F72-3496-4796-859D-A451067F21C9}"/>
    <cellStyle name="Comma 2 3 2 2 5 6 3" xfId="33422" xr:uid="{8D6E3701-E0C9-4AB0-A1CC-B1C66047E2A8}"/>
    <cellStyle name="Comma 2 3 2 2 5 7" xfId="11518" xr:uid="{1C5FB2D1-4616-4895-B8E7-C16734F6A281}"/>
    <cellStyle name="Comma 2 3 2 2 5 7 2" xfId="48026" xr:uid="{64EB6B01-9484-4F4E-A6C6-FAADEE8C1359}"/>
    <cellStyle name="Comma 2 3 2 2 5 7 3" xfId="29772" xr:uid="{43074F69-67BF-45BF-AA12-7A93329632AD}"/>
    <cellStyle name="Comma 2 3 2 2 5 8" xfId="7868" xr:uid="{AAA873E1-E237-46DD-AAA3-43D589AE3D41}"/>
    <cellStyle name="Comma 2 3 2 2 5 8 2" xfId="44376" xr:uid="{373E0FB1-74D0-486A-A857-519498835E2F}"/>
    <cellStyle name="Comma 2 3 2 2 5 8 3" xfId="26122" xr:uid="{E6E69C19-C983-4458-A51D-88800D7D01E9}"/>
    <cellStyle name="Comma 2 3 2 2 5 9" xfId="4218" xr:uid="{BFA4D3A2-7CD8-4D05-85C7-3D21DE93450C}"/>
    <cellStyle name="Comma 2 3 2 2 5 9 2" xfId="40726" xr:uid="{CEE12C57-ED00-49C5-BA41-14D3024046DE}"/>
    <cellStyle name="Comma 2 3 2 2 5 9 3" xfId="22472" xr:uid="{12C712EB-F4A2-404B-9D64-98B72228A7A7}"/>
    <cellStyle name="Comma 2 3 2 2 6" xfId="464" xr:uid="{9ACEDE60-DF15-496C-BC67-4D6A9E308F95}"/>
    <cellStyle name="Comma 2 3 2 2 6 10" xfId="36972" xr:uid="{ED193C8A-653E-4497-A2AD-EDD66D1F352D}"/>
    <cellStyle name="Comma 2 3 2 2 6 11" xfId="18718" xr:uid="{1E6F3496-6FDF-4FCB-91EA-6558C9D52434}"/>
    <cellStyle name="Comma 2 3 2 2 6 2" xfId="3384" xr:uid="{EC2478CC-2BAC-4F20-9543-C4D7B8CA3A92}"/>
    <cellStyle name="Comma 2 3 2 2 6 2 2" xfId="17984" xr:uid="{0AD51CE8-DF3B-4C3E-B335-45ED6DA17864}"/>
    <cellStyle name="Comma 2 3 2 2 6 2 2 2" xfId="54492" xr:uid="{3FAE4ED0-FAF8-4963-9992-033836168CAF}"/>
    <cellStyle name="Comma 2 3 2 2 6 2 2 3" xfId="36238" xr:uid="{FF29C363-C586-4001-B7C0-D62AB81EBD23}"/>
    <cellStyle name="Comma 2 3 2 2 6 2 3" xfId="14334" xr:uid="{339511D1-E28A-4A75-9E24-FBC1FF4DF7B9}"/>
    <cellStyle name="Comma 2 3 2 2 6 2 3 2" xfId="50842" xr:uid="{09BA2710-DFB1-4518-AB81-C35361CDA50B}"/>
    <cellStyle name="Comma 2 3 2 2 6 2 3 3" xfId="32588" xr:uid="{8D94407A-B353-4F4A-9082-812181B38AC1}"/>
    <cellStyle name="Comma 2 3 2 2 6 2 4" xfId="10684" xr:uid="{ECBABC6B-3FB2-4C3D-8A2A-AD4658DEEDC0}"/>
    <cellStyle name="Comma 2 3 2 2 6 2 4 2" xfId="47192" xr:uid="{299704FC-1B31-4BBF-9B39-EC1260A4A776}"/>
    <cellStyle name="Comma 2 3 2 2 6 2 4 3" xfId="28938" xr:uid="{6A45B421-CC95-4AF7-9CCF-ECC28A4230B5}"/>
    <cellStyle name="Comma 2 3 2 2 6 2 5" xfId="7034" xr:uid="{382CB004-9BC9-42E4-9C18-3A702D42D333}"/>
    <cellStyle name="Comma 2 3 2 2 6 2 5 2" xfId="43542" xr:uid="{41176E73-C882-4E75-8385-6ECD297BE1D1}"/>
    <cellStyle name="Comma 2 3 2 2 6 2 5 3" xfId="25288" xr:uid="{5B4FFFAD-BF0F-46ED-B4BC-6D84F1050BBD}"/>
    <cellStyle name="Comma 2 3 2 2 6 2 6" xfId="39892" xr:uid="{1B79C42A-3FAA-41CE-94ED-715CF8B5CE02}"/>
    <cellStyle name="Comma 2 3 2 2 6 2 7" xfId="21638" xr:uid="{4152FA2E-741D-4613-9561-D9FCD4836679}"/>
    <cellStyle name="Comma 2 3 2 2 6 3" xfId="2654" xr:uid="{8E61C369-A028-4BB8-9172-0C15F02C77AA}"/>
    <cellStyle name="Comma 2 3 2 2 6 3 2" xfId="17254" xr:uid="{9EECB378-F47D-47EE-839F-4A1DA6C24784}"/>
    <cellStyle name="Comma 2 3 2 2 6 3 2 2" xfId="53762" xr:uid="{473A48E3-7E91-40DF-90AE-0491E53F2AE6}"/>
    <cellStyle name="Comma 2 3 2 2 6 3 2 3" xfId="35508" xr:uid="{4407B7F2-E298-4A9C-97E4-984BA7FB002A}"/>
    <cellStyle name="Comma 2 3 2 2 6 3 3" xfId="13604" xr:uid="{757773C1-DD02-4CDE-8F33-2F7B569F69B9}"/>
    <cellStyle name="Comma 2 3 2 2 6 3 3 2" xfId="50112" xr:uid="{B24D4DDF-5E85-4055-819F-598E7A7DB5C0}"/>
    <cellStyle name="Comma 2 3 2 2 6 3 3 3" xfId="31858" xr:uid="{EAF83569-AF0A-46FB-B175-CC86D3F234EF}"/>
    <cellStyle name="Comma 2 3 2 2 6 3 4" xfId="9954" xr:uid="{16E682BA-1AB9-4DBA-A505-441BC99F3140}"/>
    <cellStyle name="Comma 2 3 2 2 6 3 4 2" xfId="46462" xr:uid="{548F809C-A4CB-4C19-90A5-64461B5BEF51}"/>
    <cellStyle name="Comma 2 3 2 2 6 3 4 3" xfId="28208" xr:uid="{3F0668B2-0364-4160-B93C-9FB62DA97881}"/>
    <cellStyle name="Comma 2 3 2 2 6 3 5" xfId="6304" xr:uid="{9430BCEF-CA96-4F7D-888B-E773B5FBDF6D}"/>
    <cellStyle name="Comma 2 3 2 2 6 3 5 2" xfId="42812" xr:uid="{6C0AE019-E37C-4573-8721-9302712A49CB}"/>
    <cellStyle name="Comma 2 3 2 2 6 3 5 3" xfId="24558" xr:uid="{1AFC2DD9-F1F1-47FC-B0C8-30A17C87F570}"/>
    <cellStyle name="Comma 2 3 2 2 6 3 6" xfId="39162" xr:uid="{0C7A5E94-C2DC-4927-8F0B-90CF16D6D281}"/>
    <cellStyle name="Comma 2 3 2 2 6 3 7" xfId="20908" xr:uid="{B4DA2728-0A70-4FB0-B27B-BEAC72F15D11}"/>
    <cellStyle name="Comma 2 3 2 2 6 4" xfId="1924" xr:uid="{B1048A16-75CF-4062-9D4C-FF2C643968E0}"/>
    <cellStyle name="Comma 2 3 2 2 6 4 2" xfId="16524" xr:uid="{E85FDEFB-DFEE-4AE7-B975-05FE1DCA83DF}"/>
    <cellStyle name="Comma 2 3 2 2 6 4 2 2" xfId="53032" xr:uid="{10862007-5CA4-4416-A0C3-F4C741011D47}"/>
    <cellStyle name="Comma 2 3 2 2 6 4 2 3" xfId="34778" xr:uid="{8282902C-2326-445E-8AB7-A4D425CD4BC5}"/>
    <cellStyle name="Comma 2 3 2 2 6 4 3" xfId="12874" xr:uid="{62EEB098-6A31-4367-A5C8-FA3D648C3D5C}"/>
    <cellStyle name="Comma 2 3 2 2 6 4 3 2" xfId="49382" xr:uid="{9AB393CF-F00B-4B89-BD93-35A84ED6DBD1}"/>
    <cellStyle name="Comma 2 3 2 2 6 4 3 3" xfId="31128" xr:uid="{E7F49066-E55A-4589-B930-6331CB81B07B}"/>
    <cellStyle name="Comma 2 3 2 2 6 4 4" xfId="9224" xr:uid="{ED834054-77F5-4EF8-B766-2B24FE94B37C}"/>
    <cellStyle name="Comma 2 3 2 2 6 4 4 2" xfId="45732" xr:uid="{A829DB13-631D-42A8-9EA9-AE6693CE4A5A}"/>
    <cellStyle name="Comma 2 3 2 2 6 4 4 3" xfId="27478" xr:uid="{B72A4638-5E4B-4C59-AF6B-1ACD1AEB748E}"/>
    <cellStyle name="Comma 2 3 2 2 6 4 5" xfId="5574" xr:uid="{A3E49145-A609-4047-A735-1A543D6DE098}"/>
    <cellStyle name="Comma 2 3 2 2 6 4 5 2" xfId="42082" xr:uid="{0511FD9D-424E-4371-AAE5-377A6D6E1AD4}"/>
    <cellStyle name="Comma 2 3 2 2 6 4 5 3" xfId="23828" xr:uid="{E32DDA23-23B9-44EE-9C7A-580B0A7896CE}"/>
    <cellStyle name="Comma 2 3 2 2 6 4 6" xfId="38432" xr:uid="{FF71B5D5-CFFC-4467-87BD-13960F2C860E}"/>
    <cellStyle name="Comma 2 3 2 2 6 4 7" xfId="20178" xr:uid="{5071F8A7-4332-420D-8347-8E248F7685FD}"/>
    <cellStyle name="Comma 2 3 2 2 6 5" xfId="1194" xr:uid="{0094C7A8-6478-4462-ABDB-E45FD49A822B}"/>
    <cellStyle name="Comma 2 3 2 2 6 5 2" xfId="15794" xr:uid="{82C4B786-6F6A-4D81-97BE-6F534AE4F2EE}"/>
    <cellStyle name="Comma 2 3 2 2 6 5 2 2" xfId="52302" xr:uid="{90B5CA00-66EE-40BE-BF98-6EA15FA469CB}"/>
    <cellStyle name="Comma 2 3 2 2 6 5 2 3" xfId="34048" xr:uid="{0C8ED738-33E2-4A75-A553-6BB915EE4F0B}"/>
    <cellStyle name="Comma 2 3 2 2 6 5 3" xfId="12144" xr:uid="{9BA6FD72-174A-40CC-80CB-16A3C60B90F6}"/>
    <cellStyle name="Comma 2 3 2 2 6 5 3 2" xfId="48652" xr:uid="{257E4A1F-BC51-4D84-9322-9972869D0901}"/>
    <cellStyle name="Comma 2 3 2 2 6 5 3 3" xfId="30398" xr:uid="{5A932EBE-1D1D-4CF6-A112-69F351055C1D}"/>
    <cellStyle name="Comma 2 3 2 2 6 5 4" xfId="8494" xr:uid="{80FF841C-BD2F-422B-A1A6-69FA276F164F}"/>
    <cellStyle name="Comma 2 3 2 2 6 5 4 2" xfId="45002" xr:uid="{CA3F8C6C-070F-4DD0-84F9-834DD958A8C7}"/>
    <cellStyle name="Comma 2 3 2 2 6 5 4 3" xfId="26748" xr:uid="{8D5359EC-FF50-4DBF-9B43-1973DA7FE792}"/>
    <cellStyle name="Comma 2 3 2 2 6 5 5" xfId="4844" xr:uid="{001CD3F2-CB3B-402A-8D27-7A69D3C6431B}"/>
    <cellStyle name="Comma 2 3 2 2 6 5 5 2" xfId="41352" xr:uid="{167DF408-A6EE-405E-A302-2A9F23F009C9}"/>
    <cellStyle name="Comma 2 3 2 2 6 5 5 3" xfId="23098" xr:uid="{2B561CBC-C6EF-442E-A68C-CEE820285576}"/>
    <cellStyle name="Comma 2 3 2 2 6 5 6" xfId="37702" xr:uid="{4CBD5DD1-DC1B-44C5-AA28-7DC31CCB3B5D}"/>
    <cellStyle name="Comma 2 3 2 2 6 5 7" xfId="19448" xr:uid="{15C5B768-82D5-4422-A355-535709F23332}"/>
    <cellStyle name="Comma 2 3 2 2 6 6" xfId="15064" xr:uid="{D602179F-3302-4B00-AD1D-7E6828131634}"/>
    <cellStyle name="Comma 2 3 2 2 6 6 2" xfId="51572" xr:uid="{1612C354-2B52-4F7F-AF5B-E33BE54E47EB}"/>
    <cellStyle name="Comma 2 3 2 2 6 6 3" xfId="33318" xr:uid="{473B0472-F9F0-4057-866A-790EB4D7BDB6}"/>
    <cellStyle name="Comma 2 3 2 2 6 7" xfId="11414" xr:uid="{0E94EE24-DB98-4374-B658-B27AA01D5B69}"/>
    <cellStyle name="Comma 2 3 2 2 6 7 2" xfId="47922" xr:uid="{AF71CB28-93B5-4197-BABC-91295C3C5BF8}"/>
    <cellStyle name="Comma 2 3 2 2 6 7 3" xfId="29668" xr:uid="{5D9896B2-4C61-49F5-BE3C-93C6FA86C5BE}"/>
    <cellStyle name="Comma 2 3 2 2 6 8" xfId="7764" xr:uid="{89C8D057-3D03-4E9C-95E2-E72F2B690A5E}"/>
    <cellStyle name="Comma 2 3 2 2 6 8 2" xfId="44272" xr:uid="{E93CE091-C6FA-4059-8621-285635614E6C}"/>
    <cellStyle name="Comma 2 3 2 2 6 8 3" xfId="26018" xr:uid="{732A76EB-1386-40A8-BDBF-F970B28DF59F}"/>
    <cellStyle name="Comma 2 3 2 2 6 9" xfId="4114" xr:uid="{0E53AEDF-DE99-46DF-99CD-99C6AE3937A8}"/>
    <cellStyle name="Comma 2 3 2 2 6 9 2" xfId="40622" xr:uid="{AE3E3D79-D023-402E-B19E-9998A28B2B04}"/>
    <cellStyle name="Comma 2 3 2 2 6 9 3" xfId="22368" xr:uid="{5B7780CC-8D47-4DE6-A0E1-9E49A2CDD49F}"/>
    <cellStyle name="Comma 2 3 2 2 7" xfId="360" xr:uid="{C40566F6-EBD4-4FF6-BFCC-18809ABB9E41}"/>
    <cellStyle name="Comma 2 3 2 2 7 10" xfId="36868" xr:uid="{27B13F24-8EB1-4D45-8B2D-4C036E141364}"/>
    <cellStyle name="Comma 2 3 2 2 7 11" xfId="18614" xr:uid="{7AF5D78F-3279-44A2-B7CA-6F7602A74741}"/>
    <cellStyle name="Comma 2 3 2 2 7 2" xfId="3280" xr:uid="{7ADA6CAE-DDD5-42B6-B6E8-93304A41F308}"/>
    <cellStyle name="Comma 2 3 2 2 7 2 2" xfId="17880" xr:uid="{3E432CBE-CDA0-446C-A495-54AB3B553BF4}"/>
    <cellStyle name="Comma 2 3 2 2 7 2 2 2" xfId="54388" xr:uid="{876D0E9D-5EC4-4733-AB3D-C94BEDF60FB3}"/>
    <cellStyle name="Comma 2 3 2 2 7 2 2 3" xfId="36134" xr:uid="{948F69DB-9DDD-4E12-87F2-04E2D1C4C565}"/>
    <cellStyle name="Comma 2 3 2 2 7 2 3" xfId="14230" xr:uid="{D505EFF5-A7BB-4D10-8268-3C1151B9E78F}"/>
    <cellStyle name="Comma 2 3 2 2 7 2 3 2" xfId="50738" xr:uid="{BC5A39AA-0099-4203-8E92-7AC27DEE13D7}"/>
    <cellStyle name="Comma 2 3 2 2 7 2 3 3" xfId="32484" xr:uid="{80B60CB7-903D-4FE3-B4F8-660D317FE121}"/>
    <cellStyle name="Comma 2 3 2 2 7 2 4" xfId="10580" xr:uid="{C539A4F4-A1B8-40FD-A444-7C09AC25D134}"/>
    <cellStyle name="Comma 2 3 2 2 7 2 4 2" xfId="47088" xr:uid="{98535690-C70B-4DF3-B3CA-E3B3DCE929C5}"/>
    <cellStyle name="Comma 2 3 2 2 7 2 4 3" xfId="28834" xr:uid="{92809185-BBDA-4F05-8288-311D072FBDFC}"/>
    <cellStyle name="Comma 2 3 2 2 7 2 5" xfId="6930" xr:uid="{7DBCC113-0A22-47B7-A45E-EE0545461F24}"/>
    <cellStyle name="Comma 2 3 2 2 7 2 5 2" xfId="43438" xr:uid="{722BA5AC-E383-4898-8FF5-CB6D29E52594}"/>
    <cellStyle name="Comma 2 3 2 2 7 2 5 3" xfId="25184" xr:uid="{9E20AA21-7BCC-4B26-A761-622449B314F0}"/>
    <cellStyle name="Comma 2 3 2 2 7 2 6" xfId="39788" xr:uid="{8D53AF97-3654-4959-AD98-6D6BE1222DE2}"/>
    <cellStyle name="Comma 2 3 2 2 7 2 7" xfId="21534" xr:uid="{0D8BF2CD-1D07-46E3-A712-7788F6D98D0B}"/>
    <cellStyle name="Comma 2 3 2 2 7 3" xfId="2550" xr:uid="{22D21175-EF36-4D40-A8E3-BF3683D2B682}"/>
    <cellStyle name="Comma 2 3 2 2 7 3 2" xfId="17150" xr:uid="{8D69AC79-E919-4506-AAEE-AB7484C6EA0C}"/>
    <cellStyle name="Comma 2 3 2 2 7 3 2 2" xfId="53658" xr:uid="{54C5917A-F2DA-4250-8306-F899B3DE7B7E}"/>
    <cellStyle name="Comma 2 3 2 2 7 3 2 3" xfId="35404" xr:uid="{3768EF3B-3605-4F63-8697-17EC9171C707}"/>
    <cellStyle name="Comma 2 3 2 2 7 3 3" xfId="13500" xr:uid="{3EE09CF4-1736-4628-AF43-D9273893E40D}"/>
    <cellStyle name="Comma 2 3 2 2 7 3 3 2" xfId="50008" xr:uid="{92F057E7-903F-41AB-92FF-22BE3F309CD5}"/>
    <cellStyle name="Comma 2 3 2 2 7 3 3 3" xfId="31754" xr:uid="{B614A9F9-91BF-4941-B66F-244956A57EAD}"/>
    <cellStyle name="Comma 2 3 2 2 7 3 4" xfId="9850" xr:uid="{F2A4DC1A-734B-4C7F-BED9-0378B1BEF625}"/>
    <cellStyle name="Comma 2 3 2 2 7 3 4 2" xfId="46358" xr:uid="{7D15C235-8F86-4A41-B495-0F8A94D69108}"/>
    <cellStyle name="Comma 2 3 2 2 7 3 4 3" xfId="28104" xr:uid="{71FB1594-4F45-4A81-BEAD-D7C7928B708E}"/>
    <cellStyle name="Comma 2 3 2 2 7 3 5" xfId="6200" xr:uid="{DA886A28-302B-41DD-984E-BA2A7462E009}"/>
    <cellStyle name="Comma 2 3 2 2 7 3 5 2" xfId="42708" xr:uid="{86CFC98D-4180-48DF-880A-9AF64242A22A}"/>
    <cellStyle name="Comma 2 3 2 2 7 3 5 3" xfId="24454" xr:uid="{CA967B9A-AC06-4C4D-9C54-FA42638DAAB4}"/>
    <cellStyle name="Comma 2 3 2 2 7 3 6" xfId="39058" xr:uid="{0837CCAA-A2C2-4E05-A22F-24308253CA51}"/>
    <cellStyle name="Comma 2 3 2 2 7 3 7" xfId="20804" xr:uid="{C40EA36C-91AD-4828-951B-788D3F17D640}"/>
    <cellStyle name="Comma 2 3 2 2 7 4" xfId="1820" xr:uid="{F347B8A0-66C4-4307-98E5-AA22DDE3C24E}"/>
    <cellStyle name="Comma 2 3 2 2 7 4 2" xfId="16420" xr:uid="{AFCA1D8B-D375-4D4B-8917-11CDBF874A2C}"/>
    <cellStyle name="Comma 2 3 2 2 7 4 2 2" xfId="52928" xr:uid="{EEA71A9F-EAD8-4D86-9DD6-8B1663548FEF}"/>
    <cellStyle name="Comma 2 3 2 2 7 4 2 3" xfId="34674" xr:uid="{42CE1268-B5E2-4101-A25E-F4576DC9C9A5}"/>
    <cellStyle name="Comma 2 3 2 2 7 4 3" xfId="12770" xr:uid="{C0DB11C7-2CA8-4F91-9CD3-0E3C87AB9BC8}"/>
    <cellStyle name="Comma 2 3 2 2 7 4 3 2" xfId="49278" xr:uid="{75F5BD0B-4BE7-4517-A40B-22C9B55E7679}"/>
    <cellStyle name="Comma 2 3 2 2 7 4 3 3" xfId="31024" xr:uid="{952D80CA-767A-4566-80A3-B58FDDABE649}"/>
    <cellStyle name="Comma 2 3 2 2 7 4 4" xfId="9120" xr:uid="{36B20245-D837-4BBF-A685-3523E50266AD}"/>
    <cellStyle name="Comma 2 3 2 2 7 4 4 2" xfId="45628" xr:uid="{3ADF5FBE-1B84-4DDC-8CA4-5C3E0A111612}"/>
    <cellStyle name="Comma 2 3 2 2 7 4 4 3" xfId="27374" xr:uid="{AA547852-F84F-4A8A-BB1E-1A5B64AD959A}"/>
    <cellStyle name="Comma 2 3 2 2 7 4 5" xfId="5470" xr:uid="{0D886A0D-63C8-451A-A03C-D8B098E32371}"/>
    <cellStyle name="Comma 2 3 2 2 7 4 5 2" xfId="41978" xr:uid="{5931DD03-763A-4C2E-A7EC-CC504637D3B9}"/>
    <cellStyle name="Comma 2 3 2 2 7 4 5 3" xfId="23724" xr:uid="{95C905DA-B86C-436E-83BC-08E8C8A77E8C}"/>
    <cellStyle name="Comma 2 3 2 2 7 4 6" xfId="38328" xr:uid="{9DAF5A92-6D33-4911-98F7-24ED90727830}"/>
    <cellStyle name="Comma 2 3 2 2 7 4 7" xfId="20074" xr:uid="{538F40EE-BB46-40CC-B0AB-B51175523B31}"/>
    <cellStyle name="Comma 2 3 2 2 7 5" xfId="1090" xr:uid="{E92A25C4-1797-4061-9D41-D71FE0A0982D}"/>
    <cellStyle name="Comma 2 3 2 2 7 5 2" xfId="15690" xr:uid="{7E98C9D8-DA73-442B-93A7-3D58BABF064B}"/>
    <cellStyle name="Comma 2 3 2 2 7 5 2 2" xfId="52198" xr:uid="{9BDCC00B-064C-4678-A1C6-DDE43E9B37A3}"/>
    <cellStyle name="Comma 2 3 2 2 7 5 2 3" xfId="33944" xr:uid="{A5D13160-C21F-43C1-B577-3D0FCFC2D7E9}"/>
    <cellStyle name="Comma 2 3 2 2 7 5 3" xfId="12040" xr:uid="{DB24BE1F-F6C3-4812-8686-E585C0E7AFE3}"/>
    <cellStyle name="Comma 2 3 2 2 7 5 3 2" xfId="48548" xr:uid="{E3D778CC-4220-4D94-B6FB-683BC5A84546}"/>
    <cellStyle name="Comma 2 3 2 2 7 5 3 3" xfId="30294" xr:uid="{0D52ECF0-97F5-4971-AB8D-2ECEFF37734F}"/>
    <cellStyle name="Comma 2 3 2 2 7 5 4" xfId="8390" xr:uid="{67260E04-4597-4803-A44F-4D3A130D195B}"/>
    <cellStyle name="Comma 2 3 2 2 7 5 4 2" xfId="44898" xr:uid="{BF55332A-6D5A-4765-90C8-F35FF02771C8}"/>
    <cellStyle name="Comma 2 3 2 2 7 5 4 3" xfId="26644" xr:uid="{04A7D271-F50B-4AFC-A6EB-BD72F0525E2B}"/>
    <cellStyle name="Comma 2 3 2 2 7 5 5" xfId="4740" xr:uid="{2F9322A1-F4F2-4706-9052-7B3C56470A3D}"/>
    <cellStyle name="Comma 2 3 2 2 7 5 5 2" xfId="41248" xr:uid="{AD7926B8-96DA-4DB4-A0F8-FBBE21E1526B}"/>
    <cellStyle name="Comma 2 3 2 2 7 5 5 3" xfId="22994" xr:uid="{F2AD9E05-FD8C-4A34-BEB4-6B98779E8B9A}"/>
    <cellStyle name="Comma 2 3 2 2 7 5 6" xfId="37598" xr:uid="{7781C002-18F9-464D-96D4-4FFE3B57FD95}"/>
    <cellStyle name="Comma 2 3 2 2 7 5 7" xfId="19344" xr:uid="{3A95BAFF-E07C-4E20-BA7F-9D4A168C64E4}"/>
    <cellStyle name="Comma 2 3 2 2 7 6" xfId="14960" xr:uid="{D7540D8C-2BBC-4F5C-B7DF-381D6486B536}"/>
    <cellStyle name="Comma 2 3 2 2 7 6 2" xfId="51468" xr:uid="{05E7B46C-923F-45ED-BB14-F92609C6E591}"/>
    <cellStyle name="Comma 2 3 2 2 7 6 3" xfId="33214" xr:uid="{86CE21B0-40B0-45DC-98E2-D69766D9D5B7}"/>
    <cellStyle name="Comma 2 3 2 2 7 7" xfId="11310" xr:uid="{0E33926E-BA1B-4E01-B0CA-71DDF81D58DD}"/>
    <cellStyle name="Comma 2 3 2 2 7 7 2" xfId="47818" xr:uid="{068C42DA-FD00-4C12-86D7-1E2A57B092A5}"/>
    <cellStyle name="Comma 2 3 2 2 7 7 3" xfId="29564" xr:uid="{9F3D154F-68F7-44B2-B3CC-DD0BC3A17567}"/>
    <cellStyle name="Comma 2 3 2 2 7 8" xfId="7660" xr:uid="{9CBFB8CB-4C1A-4F47-B3D9-43EF05A353AB}"/>
    <cellStyle name="Comma 2 3 2 2 7 8 2" xfId="44168" xr:uid="{BB5751A1-132D-40F0-A87F-D3BA345ED584}"/>
    <cellStyle name="Comma 2 3 2 2 7 8 3" xfId="25914" xr:uid="{6E1C0E6E-C076-4535-AEF0-EFACA274EADA}"/>
    <cellStyle name="Comma 2 3 2 2 7 9" xfId="4010" xr:uid="{764DE9BF-C165-4712-A771-F9B0D6A39558}"/>
    <cellStyle name="Comma 2 3 2 2 7 9 2" xfId="40518" xr:uid="{EB1E2B5A-663E-463D-95FA-2102AA4BB922}"/>
    <cellStyle name="Comma 2 3 2 2 7 9 3" xfId="22264" xr:uid="{EF75EF0F-8D6F-4B47-B5C5-7A95C089DDFD}"/>
    <cellStyle name="Comma 2 3 2 2 8" xfId="256" xr:uid="{E9FFBFC0-B00D-45CD-89C3-D62C5BA093E2}"/>
    <cellStyle name="Comma 2 3 2 2 8 10" xfId="36764" xr:uid="{4F25FB1A-CB7B-46CB-9E42-B79E5A332FE7}"/>
    <cellStyle name="Comma 2 3 2 2 8 11" xfId="18510" xr:uid="{C0DF879E-54DB-464C-AA4A-FD30996C0857}"/>
    <cellStyle name="Comma 2 3 2 2 8 2" xfId="3176" xr:uid="{351D1C51-9E20-404A-AAA6-457852115668}"/>
    <cellStyle name="Comma 2 3 2 2 8 2 2" xfId="17776" xr:uid="{9BD22E01-DC80-4111-8A0E-B2E8E4EEBB32}"/>
    <cellStyle name="Comma 2 3 2 2 8 2 2 2" xfId="54284" xr:uid="{41EA96FF-8B7D-4740-846B-A40728CBE990}"/>
    <cellStyle name="Comma 2 3 2 2 8 2 2 3" xfId="36030" xr:uid="{96107E65-3895-4CC4-858A-3A94CACB6987}"/>
    <cellStyle name="Comma 2 3 2 2 8 2 3" xfId="14126" xr:uid="{B24A0926-962A-452B-A573-249768CD609B}"/>
    <cellStyle name="Comma 2 3 2 2 8 2 3 2" xfId="50634" xr:uid="{63039A21-979F-4ABE-BC0A-0401A5826536}"/>
    <cellStyle name="Comma 2 3 2 2 8 2 3 3" xfId="32380" xr:uid="{4A2EC59B-5F7E-420E-B64F-55B55C08E2B2}"/>
    <cellStyle name="Comma 2 3 2 2 8 2 4" xfId="10476" xr:uid="{FE641DE1-4E95-4008-B713-3D474216F3A0}"/>
    <cellStyle name="Comma 2 3 2 2 8 2 4 2" xfId="46984" xr:uid="{94819E5A-4461-4042-857C-801B2776FAAD}"/>
    <cellStyle name="Comma 2 3 2 2 8 2 4 3" xfId="28730" xr:uid="{903909B9-448C-441C-9240-0DE0985E210B}"/>
    <cellStyle name="Comma 2 3 2 2 8 2 5" xfId="6826" xr:uid="{34352DE4-EE7F-48D0-BC8D-4EB0FFD08BF9}"/>
    <cellStyle name="Comma 2 3 2 2 8 2 5 2" xfId="43334" xr:uid="{EE8D9D12-23BE-45CD-8F10-0B1F4039D60C}"/>
    <cellStyle name="Comma 2 3 2 2 8 2 5 3" xfId="25080" xr:uid="{8FC31C85-94D9-452D-BD05-D49F14CD36ED}"/>
    <cellStyle name="Comma 2 3 2 2 8 2 6" xfId="39684" xr:uid="{83096CEF-9A02-47FA-8793-CFD90A027DCF}"/>
    <cellStyle name="Comma 2 3 2 2 8 2 7" xfId="21430" xr:uid="{64A9D259-36AC-48D6-83FE-C1FCF2DC26F6}"/>
    <cellStyle name="Comma 2 3 2 2 8 3" xfId="2446" xr:uid="{11D3FD5F-53CD-4372-8E1E-5E28DAA275ED}"/>
    <cellStyle name="Comma 2 3 2 2 8 3 2" xfId="17046" xr:uid="{A51AC06E-E294-4BAF-A895-FBA5C4A46B19}"/>
    <cellStyle name="Comma 2 3 2 2 8 3 2 2" xfId="53554" xr:uid="{6F3E24CE-1EE7-4540-B99B-D3A08E3D632B}"/>
    <cellStyle name="Comma 2 3 2 2 8 3 2 3" xfId="35300" xr:uid="{DA0EB1CE-9485-41D1-B517-0D864F3067EE}"/>
    <cellStyle name="Comma 2 3 2 2 8 3 3" xfId="13396" xr:uid="{64C7C88A-946D-4E6E-94EC-90D71C9FE9F5}"/>
    <cellStyle name="Comma 2 3 2 2 8 3 3 2" xfId="49904" xr:uid="{37227F64-5B6E-4D37-A6B3-C059AEF7A43E}"/>
    <cellStyle name="Comma 2 3 2 2 8 3 3 3" xfId="31650" xr:uid="{0A31FD68-13CA-46CE-823C-3BBE4C086C2C}"/>
    <cellStyle name="Comma 2 3 2 2 8 3 4" xfId="9746" xr:uid="{D01E507C-3C44-47F1-8EF7-F0C321DCCB74}"/>
    <cellStyle name="Comma 2 3 2 2 8 3 4 2" xfId="46254" xr:uid="{EF596D5D-EF31-41B3-BE93-D50D44362521}"/>
    <cellStyle name="Comma 2 3 2 2 8 3 4 3" xfId="28000" xr:uid="{5941083E-8DD3-40C9-AEAA-D4AF585EA47C}"/>
    <cellStyle name="Comma 2 3 2 2 8 3 5" xfId="6096" xr:uid="{270C8072-F6D4-4D70-8020-C6B7BCE28443}"/>
    <cellStyle name="Comma 2 3 2 2 8 3 5 2" xfId="42604" xr:uid="{CE8A20B1-FCCD-463E-B378-BC22F4D99D22}"/>
    <cellStyle name="Comma 2 3 2 2 8 3 5 3" xfId="24350" xr:uid="{E86E58C4-9B1E-4348-A85D-BC67C631AC53}"/>
    <cellStyle name="Comma 2 3 2 2 8 3 6" xfId="38954" xr:uid="{69CD8243-5BEA-4804-8FBB-88EB57C7A5A2}"/>
    <cellStyle name="Comma 2 3 2 2 8 3 7" xfId="20700" xr:uid="{F820BFC8-BAD8-46AD-8CCD-143AB1E51984}"/>
    <cellStyle name="Comma 2 3 2 2 8 4" xfId="1716" xr:uid="{7F4F3DA1-284B-4C97-AC98-34AA2ED82935}"/>
    <cellStyle name="Comma 2 3 2 2 8 4 2" xfId="16316" xr:uid="{265981F7-4F51-4AB8-B9C1-BAFBE037C7D6}"/>
    <cellStyle name="Comma 2 3 2 2 8 4 2 2" xfId="52824" xr:uid="{29A71888-F127-42AF-9953-8B5E7960CDAD}"/>
    <cellStyle name="Comma 2 3 2 2 8 4 2 3" xfId="34570" xr:uid="{AFFAD317-3ACB-41E5-9632-1A229242FFDB}"/>
    <cellStyle name="Comma 2 3 2 2 8 4 3" xfId="12666" xr:uid="{700106E9-F7CE-4896-B656-460B443DCB30}"/>
    <cellStyle name="Comma 2 3 2 2 8 4 3 2" xfId="49174" xr:uid="{D9D71FFA-E73C-471B-8BC7-F6F70550AA82}"/>
    <cellStyle name="Comma 2 3 2 2 8 4 3 3" xfId="30920" xr:uid="{B756507A-2FC6-48C0-A719-603D348ED39F}"/>
    <cellStyle name="Comma 2 3 2 2 8 4 4" xfId="9016" xr:uid="{0E42E22A-1F12-4ACF-8A3A-433859AAC216}"/>
    <cellStyle name="Comma 2 3 2 2 8 4 4 2" xfId="45524" xr:uid="{BD092A89-FB2A-4835-A378-5B4BE5D1C96F}"/>
    <cellStyle name="Comma 2 3 2 2 8 4 4 3" xfId="27270" xr:uid="{1A622416-5938-4C18-9725-E6907BAE1148}"/>
    <cellStyle name="Comma 2 3 2 2 8 4 5" xfId="5366" xr:uid="{D31D2A49-20EA-4CC4-B5DF-8A9CFFD58ACE}"/>
    <cellStyle name="Comma 2 3 2 2 8 4 5 2" xfId="41874" xr:uid="{579D1374-370A-4E92-BCE4-6F446387F86D}"/>
    <cellStyle name="Comma 2 3 2 2 8 4 5 3" xfId="23620" xr:uid="{F8D59DCF-DCA9-4715-B10F-59A8BDBF72B8}"/>
    <cellStyle name="Comma 2 3 2 2 8 4 6" xfId="38224" xr:uid="{9F792301-80A0-4061-92D7-1DC6BBDAD177}"/>
    <cellStyle name="Comma 2 3 2 2 8 4 7" xfId="19970" xr:uid="{CA400376-E2B4-4537-BB05-EEFFC91DBA20}"/>
    <cellStyle name="Comma 2 3 2 2 8 5" xfId="986" xr:uid="{92E7E86C-8776-42D8-B021-B3CF5D699E5C}"/>
    <cellStyle name="Comma 2 3 2 2 8 5 2" xfId="15586" xr:uid="{B74E4C97-2184-4B69-89C7-6D901FA22F08}"/>
    <cellStyle name="Comma 2 3 2 2 8 5 2 2" xfId="52094" xr:uid="{0EAEA87B-17FB-4894-BC5B-9FCC8965AA79}"/>
    <cellStyle name="Comma 2 3 2 2 8 5 2 3" xfId="33840" xr:uid="{1A093DC1-DEC4-4D66-A741-43BDAC4C29A8}"/>
    <cellStyle name="Comma 2 3 2 2 8 5 3" xfId="11936" xr:uid="{EFFAB00E-BA92-44D5-81EB-4C0417921B79}"/>
    <cellStyle name="Comma 2 3 2 2 8 5 3 2" xfId="48444" xr:uid="{EE70DA23-674E-4123-A84F-80DEB217230D}"/>
    <cellStyle name="Comma 2 3 2 2 8 5 3 3" xfId="30190" xr:uid="{1061CD74-CC6A-4B59-B03E-1E5C97B2F904}"/>
    <cellStyle name="Comma 2 3 2 2 8 5 4" xfId="8286" xr:uid="{D3DBA7F3-CF5E-4F61-8EB8-E235C73DA28A}"/>
    <cellStyle name="Comma 2 3 2 2 8 5 4 2" xfId="44794" xr:uid="{2C2ACB37-6D28-4BEA-BEF5-20E94041C253}"/>
    <cellStyle name="Comma 2 3 2 2 8 5 4 3" xfId="26540" xr:uid="{3212A1BA-2162-4643-BB05-BD11EACBB8CD}"/>
    <cellStyle name="Comma 2 3 2 2 8 5 5" xfId="4636" xr:uid="{582B5592-9121-4438-A027-58380432C3C4}"/>
    <cellStyle name="Comma 2 3 2 2 8 5 5 2" xfId="41144" xr:uid="{D8CA7ACD-EB4A-4216-9824-DC65E5057C59}"/>
    <cellStyle name="Comma 2 3 2 2 8 5 5 3" xfId="22890" xr:uid="{92FF3B3B-9C9B-41FD-91D9-35B931EE7B43}"/>
    <cellStyle name="Comma 2 3 2 2 8 5 6" xfId="37494" xr:uid="{24443399-7C50-457B-8F0B-1C3CD9B169DE}"/>
    <cellStyle name="Comma 2 3 2 2 8 5 7" xfId="19240" xr:uid="{5A737864-B762-4635-AB01-9F326CFD58C7}"/>
    <cellStyle name="Comma 2 3 2 2 8 6" xfId="14856" xr:uid="{AA72E9F0-C1B0-4C8D-9791-33BF61315214}"/>
    <cellStyle name="Comma 2 3 2 2 8 6 2" xfId="51364" xr:uid="{A17266C8-77B3-4E90-9F7E-45DED2D78D6D}"/>
    <cellStyle name="Comma 2 3 2 2 8 6 3" xfId="33110" xr:uid="{F4A99EC5-303D-4DBB-80B1-F4490E8B22B3}"/>
    <cellStyle name="Comma 2 3 2 2 8 7" xfId="11206" xr:uid="{365BA03C-DDFD-4A1D-A3FC-C6F257CF39A9}"/>
    <cellStyle name="Comma 2 3 2 2 8 7 2" xfId="47714" xr:uid="{EB29CBBA-2CF2-457E-B653-3BE8452318C9}"/>
    <cellStyle name="Comma 2 3 2 2 8 7 3" xfId="29460" xr:uid="{B0084DA0-356C-4A8B-8967-5D8A9B5916A0}"/>
    <cellStyle name="Comma 2 3 2 2 8 8" xfId="7556" xr:uid="{B2AAB3E8-98AC-4451-A970-017CA5FCD74A}"/>
    <cellStyle name="Comma 2 3 2 2 8 8 2" xfId="44064" xr:uid="{65A7B78D-623A-488C-8D68-D2625088D451}"/>
    <cellStyle name="Comma 2 3 2 2 8 8 3" xfId="25810" xr:uid="{75041EF0-BE45-4E1B-A33D-6D8F06B0930C}"/>
    <cellStyle name="Comma 2 3 2 2 8 9" xfId="3906" xr:uid="{C72C6E8A-05D4-480E-8080-2DC06952DD79}"/>
    <cellStyle name="Comma 2 3 2 2 8 9 2" xfId="40414" xr:uid="{40C9720B-75F4-4009-931A-53F6C2AD3DAB}"/>
    <cellStyle name="Comma 2 3 2 2 8 9 3" xfId="22160" xr:uid="{7C00A768-EBCA-4DC9-BAD3-195355003FF3}"/>
    <cellStyle name="Comma 2 3 2 2 9" xfId="152" xr:uid="{293186EF-1EBB-4A41-9E1B-0904C986E8AA}"/>
    <cellStyle name="Comma 2 3 2 2 9 10" xfId="36660" xr:uid="{5BFFCEFB-12CF-4253-BF07-A785632C942E}"/>
    <cellStyle name="Comma 2 3 2 2 9 11" xfId="18406" xr:uid="{BCFE3A35-7774-440F-A655-F3FF84148765}"/>
    <cellStyle name="Comma 2 3 2 2 9 2" xfId="3072" xr:uid="{D99577B3-6A0A-4DE7-BDE9-3C33AD66D27F}"/>
    <cellStyle name="Comma 2 3 2 2 9 2 2" xfId="17672" xr:uid="{1940B684-A2AD-48E9-8085-876DC2A48CE4}"/>
    <cellStyle name="Comma 2 3 2 2 9 2 2 2" xfId="54180" xr:uid="{0BF4E940-F8BC-454F-AA8B-DE600FA2BE0C}"/>
    <cellStyle name="Comma 2 3 2 2 9 2 2 3" xfId="35926" xr:uid="{CB495D24-564D-40E2-BE18-A5C830FF704C}"/>
    <cellStyle name="Comma 2 3 2 2 9 2 3" xfId="14022" xr:uid="{FE9EB3F9-DAE6-451C-9192-57BD650923C7}"/>
    <cellStyle name="Comma 2 3 2 2 9 2 3 2" xfId="50530" xr:uid="{A4B0BF10-0EDB-4A52-9B59-EAFE06259894}"/>
    <cellStyle name="Comma 2 3 2 2 9 2 3 3" xfId="32276" xr:uid="{D6D3B4DB-71E0-4A43-B0B6-C78287C876F1}"/>
    <cellStyle name="Comma 2 3 2 2 9 2 4" xfId="10372" xr:uid="{EED20503-0238-413E-8DC0-F33CB8096FFF}"/>
    <cellStyle name="Comma 2 3 2 2 9 2 4 2" xfId="46880" xr:uid="{6305CDC4-1F2E-43E2-B417-36B227F91F40}"/>
    <cellStyle name="Comma 2 3 2 2 9 2 4 3" xfId="28626" xr:uid="{02273D2A-78E3-416F-9DF0-05DF276071DB}"/>
    <cellStyle name="Comma 2 3 2 2 9 2 5" xfId="6722" xr:uid="{46A254BE-6D7B-4263-AB33-58FA0E905DAA}"/>
    <cellStyle name="Comma 2 3 2 2 9 2 5 2" xfId="43230" xr:uid="{F2C95EB6-5AC6-433A-A687-D5574C0408DC}"/>
    <cellStyle name="Comma 2 3 2 2 9 2 5 3" xfId="24976" xr:uid="{E9774372-418C-44AB-A738-6E05EF4DC12B}"/>
    <cellStyle name="Comma 2 3 2 2 9 2 6" xfId="39580" xr:uid="{ABD9D826-5173-43E2-854F-9FB4F4E9DBF5}"/>
    <cellStyle name="Comma 2 3 2 2 9 2 7" xfId="21326" xr:uid="{B8F81647-014D-45A8-B905-23465DD546C3}"/>
    <cellStyle name="Comma 2 3 2 2 9 3" xfId="2342" xr:uid="{078A6235-FB2A-4D18-B067-C8FEA2D5EB53}"/>
    <cellStyle name="Comma 2 3 2 2 9 3 2" xfId="16942" xr:uid="{611A850C-7485-4B9D-BA77-65C67B2DAF81}"/>
    <cellStyle name="Comma 2 3 2 2 9 3 2 2" xfId="53450" xr:uid="{6C6B23DD-80B1-4F60-8802-B4D6821FF7EE}"/>
    <cellStyle name="Comma 2 3 2 2 9 3 2 3" xfId="35196" xr:uid="{804328DA-6484-4D06-86D1-645BD31FF87A}"/>
    <cellStyle name="Comma 2 3 2 2 9 3 3" xfId="13292" xr:uid="{6FEB9E92-063F-4A6E-9B54-5481330F43A7}"/>
    <cellStyle name="Comma 2 3 2 2 9 3 3 2" xfId="49800" xr:uid="{783EF4F2-1990-434E-AD47-AB7ADD68D3C0}"/>
    <cellStyle name="Comma 2 3 2 2 9 3 3 3" xfId="31546" xr:uid="{AB25A9BB-A342-4A25-8AAD-99CEFDC759B8}"/>
    <cellStyle name="Comma 2 3 2 2 9 3 4" xfId="9642" xr:uid="{9E5AE65D-C898-4DF1-8359-88664B9409A2}"/>
    <cellStyle name="Comma 2 3 2 2 9 3 4 2" xfId="46150" xr:uid="{C04675F8-6079-41EE-8D2F-590CBBA39F68}"/>
    <cellStyle name="Comma 2 3 2 2 9 3 4 3" xfId="27896" xr:uid="{1518766E-6E24-402C-BBD0-B2D1556434D2}"/>
    <cellStyle name="Comma 2 3 2 2 9 3 5" xfId="5992" xr:uid="{A9F9AE05-1C9B-4ACC-93BC-4EAB1896DFAB}"/>
    <cellStyle name="Comma 2 3 2 2 9 3 5 2" xfId="42500" xr:uid="{56699521-8271-463C-8779-4EF4C9441D8E}"/>
    <cellStyle name="Comma 2 3 2 2 9 3 5 3" xfId="24246" xr:uid="{134336AA-C649-4821-89F6-CD7CCF6BE3D1}"/>
    <cellStyle name="Comma 2 3 2 2 9 3 6" xfId="38850" xr:uid="{447E70B6-0C7B-471F-8425-0FB87C9981DB}"/>
    <cellStyle name="Comma 2 3 2 2 9 3 7" xfId="20596" xr:uid="{CD28553B-3566-4418-B334-9C85BBD9A3DC}"/>
    <cellStyle name="Comma 2 3 2 2 9 4" xfId="1612" xr:uid="{9F0EEDB7-4F9E-4A84-A243-CE674A8D7083}"/>
    <cellStyle name="Comma 2 3 2 2 9 4 2" xfId="16212" xr:uid="{C8D53572-CD52-46BB-805E-CC77D416FADC}"/>
    <cellStyle name="Comma 2 3 2 2 9 4 2 2" xfId="52720" xr:uid="{21D8C4C7-FB15-4246-8C56-4295966BB752}"/>
    <cellStyle name="Comma 2 3 2 2 9 4 2 3" xfId="34466" xr:uid="{490ED449-31E7-455D-94F8-7231F6A296D6}"/>
    <cellStyle name="Comma 2 3 2 2 9 4 3" xfId="12562" xr:uid="{1A9CDB6D-25A4-438A-89AB-74B68D8BD75A}"/>
    <cellStyle name="Comma 2 3 2 2 9 4 3 2" xfId="49070" xr:uid="{CB66F521-B8C9-4289-95FB-436E5FDD3569}"/>
    <cellStyle name="Comma 2 3 2 2 9 4 3 3" xfId="30816" xr:uid="{B1F77D5C-A714-4140-8DDF-203C50D25F6C}"/>
    <cellStyle name="Comma 2 3 2 2 9 4 4" xfId="8912" xr:uid="{FD42446F-AA44-4491-B4A8-B4A4188B9E54}"/>
    <cellStyle name="Comma 2 3 2 2 9 4 4 2" xfId="45420" xr:uid="{B86A11FC-EB81-446B-A4E1-8D79AA9099CA}"/>
    <cellStyle name="Comma 2 3 2 2 9 4 4 3" xfId="27166" xr:uid="{F5CD6EB5-6F26-4D53-A389-5D638302F247}"/>
    <cellStyle name="Comma 2 3 2 2 9 4 5" xfId="5262" xr:uid="{8E0AACEB-2E6C-43D4-9319-22C07057FD9F}"/>
    <cellStyle name="Comma 2 3 2 2 9 4 5 2" xfId="41770" xr:uid="{8CE8CD7B-ABEA-42EE-B854-7111990C6325}"/>
    <cellStyle name="Comma 2 3 2 2 9 4 5 3" xfId="23516" xr:uid="{2E619AF9-F970-4697-999F-E7FC0E071D9C}"/>
    <cellStyle name="Comma 2 3 2 2 9 4 6" xfId="38120" xr:uid="{4BA7617B-A328-45FD-BA0D-6A3DC91224D8}"/>
    <cellStyle name="Comma 2 3 2 2 9 4 7" xfId="19866" xr:uid="{A0F64DAC-4756-439B-B4E3-3D993ABFCAA5}"/>
    <cellStyle name="Comma 2 3 2 2 9 5" xfId="882" xr:uid="{62BAF486-C5D8-4ACB-878E-1C8B2A971336}"/>
    <cellStyle name="Comma 2 3 2 2 9 5 2" xfId="15482" xr:uid="{2145E898-34F6-460A-9081-99D96EC8569F}"/>
    <cellStyle name="Comma 2 3 2 2 9 5 2 2" xfId="51990" xr:uid="{7CC4FF42-67E2-405A-9E41-D3C03AFC96F4}"/>
    <cellStyle name="Comma 2 3 2 2 9 5 2 3" xfId="33736" xr:uid="{667CF4B9-2262-4E4F-B696-770572C3199B}"/>
    <cellStyle name="Comma 2 3 2 2 9 5 3" xfId="11832" xr:uid="{E5D1BDE0-592E-4C8D-9BDB-CB128C3CA600}"/>
    <cellStyle name="Comma 2 3 2 2 9 5 3 2" xfId="48340" xr:uid="{7B2CAFD7-724C-4391-BB21-53F016E48E13}"/>
    <cellStyle name="Comma 2 3 2 2 9 5 3 3" xfId="30086" xr:uid="{4E955348-F882-4EA7-AE9B-158B8D741665}"/>
    <cellStyle name="Comma 2 3 2 2 9 5 4" xfId="8182" xr:uid="{23D2E54F-5B90-4F10-9263-EAFAFFC93733}"/>
    <cellStyle name="Comma 2 3 2 2 9 5 4 2" xfId="44690" xr:uid="{5CE38CA7-79A5-4F56-81CA-732C849B1807}"/>
    <cellStyle name="Comma 2 3 2 2 9 5 4 3" xfId="26436" xr:uid="{D242A48A-2A85-4EEB-9400-4EA4DB90D3A1}"/>
    <cellStyle name="Comma 2 3 2 2 9 5 5" xfId="4532" xr:uid="{7B5A8822-C4B9-424B-BE81-AE6831BD14AD}"/>
    <cellStyle name="Comma 2 3 2 2 9 5 5 2" xfId="41040" xr:uid="{FE0D5467-3127-4032-84BB-840D5F156DDF}"/>
    <cellStyle name="Comma 2 3 2 2 9 5 5 3" xfId="22786" xr:uid="{14C86EB7-04B6-4D1B-854A-7C507E653E97}"/>
    <cellStyle name="Comma 2 3 2 2 9 5 6" xfId="37390" xr:uid="{6B986B52-B992-4CB4-B568-9E26AC47E34D}"/>
    <cellStyle name="Comma 2 3 2 2 9 5 7" xfId="19136" xr:uid="{BE722849-FDCE-47C7-8323-11ECE52A75D0}"/>
    <cellStyle name="Comma 2 3 2 2 9 6" xfId="14752" xr:uid="{E059DD65-191B-4349-8E62-2A880571D8A5}"/>
    <cellStyle name="Comma 2 3 2 2 9 6 2" xfId="51260" xr:uid="{11BF9596-7883-4431-AB23-4BABCC59644B}"/>
    <cellStyle name="Comma 2 3 2 2 9 6 3" xfId="33006" xr:uid="{8D39DBC6-3CBE-4156-A14B-4972779BD27F}"/>
    <cellStyle name="Comma 2 3 2 2 9 7" xfId="11102" xr:uid="{3BE40365-1050-4988-9766-04F7E832F9BA}"/>
    <cellStyle name="Comma 2 3 2 2 9 7 2" xfId="47610" xr:uid="{53526021-1161-4516-8183-A5CE0E6F392F}"/>
    <cellStyle name="Comma 2 3 2 2 9 7 3" xfId="29356" xr:uid="{8CFD64C4-B69B-42C6-A91C-1B18E4F2192B}"/>
    <cellStyle name="Comma 2 3 2 2 9 8" xfId="7452" xr:uid="{FF187BB8-EE9D-4D4A-9126-3E7A722D8DD5}"/>
    <cellStyle name="Comma 2 3 2 2 9 8 2" xfId="43960" xr:uid="{D049E8C8-F25A-479E-9448-A065672C9265}"/>
    <cellStyle name="Comma 2 3 2 2 9 8 3" xfId="25706" xr:uid="{7638B250-6FB3-499D-8553-F49CFC652957}"/>
    <cellStyle name="Comma 2 3 2 2 9 9" xfId="3802" xr:uid="{C9C31348-8C82-4416-B803-574783481210}"/>
    <cellStyle name="Comma 2 3 2 2 9 9 2" xfId="40310" xr:uid="{324C5145-3AE9-4B42-B515-11709655F772}"/>
    <cellStyle name="Comma 2 3 2 2 9 9 3" xfId="22056" xr:uid="{E63F7866-F947-4E18-A175-C9D9FC0D78A6}"/>
    <cellStyle name="Comma 2 3 2 20" xfId="18286" xr:uid="{4D4A1254-C787-4FD3-9664-DE7B560FD7DA}"/>
    <cellStyle name="Comma 2 3 2 3" xfId="96" xr:uid="{9A292A57-EB49-4B0B-BF40-6E6FA9090613}"/>
    <cellStyle name="Comma 2 3 2 3 10" xfId="1556" xr:uid="{0899990C-0577-48EB-BFFD-B79F9BDD3D77}"/>
    <cellStyle name="Comma 2 3 2 3 10 2" xfId="16156" xr:uid="{169FA201-429D-4D5F-ADCC-02A81F076A87}"/>
    <cellStyle name="Comma 2 3 2 3 10 2 2" xfId="52664" xr:uid="{6B75089D-E6AA-4C20-BF31-C58A12969C59}"/>
    <cellStyle name="Comma 2 3 2 3 10 2 3" xfId="34410" xr:uid="{AD855362-47DB-464D-82B3-01EE062AA5BB}"/>
    <cellStyle name="Comma 2 3 2 3 10 3" xfId="12506" xr:uid="{7B3B650D-832F-4939-A09A-D44609F4B223}"/>
    <cellStyle name="Comma 2 3 2 3 10 3 2" xfId="49014" xr:uid="{F31EF69E-95A1-42CB-983B-8E77EB195103}"/>
    <cellStyle name="Comma 2 3 2 3 10 3 3" xfId="30760" xr:uid="{F44FE0A1-9D1A-43AB-8960-1F0C9F5C4DB2}"/>
    <cellStyle name="Comma 2 3 2 3 10 4" xfId="8856" xr:uid="{9C5172DA-864F-4ED6-A604-0C4BDB3017D9}"/>
    <cellStyle name="Comma 2 3 2 3 10 4 2" xfId="45364" xr:uid="{6C6F74B9-FB00-479F-B221-A905C80CEB58}"/>
    <cellStyle name="Comma 2 3 2 3 10 4 3" xfId="27110" xr:uid="{D9739BBA-8556-4757-B341-000F17AEB2DE}"/>
    <cellStyle name="Comma 2 3 2 3 10 5" xfId="5206" xr:uid="{A42922AC-9B2D-4D24-9396-EAB2429C7E90}"/>
    <cellStyle name="Comma 2 3 2 3 10 5 2" xfId="41714" xr:uid="{CA41F0B1-4C52-4169-887A-AF24DB58D152}"/>
    <cellStyle name="Comma 2 3 2 3 10 5 3" xfId="23460" xr:uid="{EC07ECC0-C47F-40D9-8458-26E594EB3124}"/>
    <cellStyle name="Comma 2 3 2 3 10 6" xfId="38064" xr:uid="{77227CBA-77B9-49D1-A9C5-90BA0CE96E2F}"/>
    <cellStyle name="Comma 2 3 2 3 10 7" xfId="19810" xr:uid="{3BD3B831-F34C-41B5-A704-E160B7E0D001}"/>
    <cellStyle name="Comma 2 3 2 3 11" xfId="826" xr:uid="{F260874A-87F6-41C7-BDF3-E6570C25416C}"/>
    <cellStyle name="Comma 2 3 2 3 11 2" xfId="15426" xr:uid="{9F4F5C28-A2B0-4BF0-B763-516CBAA6619A}"/>
    <cellStyle name="Comma 2 3 2 3 11 2 2" xfId="51934" xr:uid="{0BB68325-2DCD-4982-8F04-B47A80DEDB58}"/>
    <cellStyle name="Comma 2 3 2 3 11 2 3" xfId="33680" xr:uid="{A4D4F863-FB0C-4FBD-916D-3B4662FCAAB4}"/>
    <cellStyle name="Comma 2 3 2 3 11 3" xfId="11776" xr:uid="{443A29B2-CF10-4DE8-967C-CBA48BA85A7D}"/>
    <cellStyle name="Comma 2 3 2 3 11 3 2" xfId="48284" xr:uid="{75DFE011-DCD7-45A7-8BC4-6C9391424001}"/>
    <cellStyle name="Comma 2 3 2 3 11 3 3" xfId="30030" xr:uid="{363036B1-A076-4CE1-B473-51652C93B344}"/>
    <cellStyle name="Comma 2 3 2 3 11 4" xfId="8126" xr:uid="{046609D3-1757-42F3-B0BB-2384C78E5D0B}"/>
    <cellStyle name="Comma 2 3 2 3 11 4 2" xfId="44634" xr:uid="{AA126745-F8EF-446D-B592-4D697BE6C787}"/>
    <cellStyle name="Comma 2 3 2 3 11 4 3" xfId="26380" xr:uid="{6EAA0658-F736-4103-87D3-19127DC4C20A}"/>
    <cellStyle name="Comma 2 3 2 3 11 5" xfId="4476" xr:uid="{82BC6AB8-2403-4682-883C-B8E7C1C01F8B}"/>
    <cellStyle name="Comma 2 3 2 3 11 5 2" xfId="40984" xr:uid="{1D3FD035-343F-4AD6-9F5D-BE78F37ECA3B}"/>
    <cellStyle name="Comma 2 3 2 3 11 5 3" xfId="22730" xr:uid="{6B0EE985-B9F4-4070-8D39-6BAE05E857E2}"/>
    <cellStyle name="Comma 2 3 2 3 11 6" xfId="37334" xr:uid="{BD54A2EE-EBAA-4881-8976-86BCE35F9C48}"/>
    <cellStyle name="Comma 2 3 2 3 11 7" xfId="19080" xr:uid="{89C96805-47BF-420D-8AD3-B2519C21D11F}"/>
    <cellStyle name="Comma 2 3 2 3 12" xfId="14696" xr:uid="{582EED02-955C-418F-93BD-078748BDD1EB}"/>
    <cellStyle name="Comma 2 3 2 3 12 2" xfId="51204" xr:uid="{54EAE2F9-1182-4C81-9091-E62265AEC5CF}"/>
    <cellStyle name="Comma 2 3 2 3 12 3" xfId="32950" xr:uid="{4A24122A-7EB4-4C5F-A8DD-AEB0A8238D25}"/>
    <cellStyle name="Comma 2 3 2 3 13" xfId="11046" xr:uid="{116101C2-09CC-4987-B9EE-6FF34F5D64D9}"/>
    <cellStyle name="Comma 2 3 2 3 13 2" xfId="47554" xr:uid="{BF6517C3-95C6-4C9B-86FF-80D3E5446199}"/>
    <cellStyle name="Comma 2 3 2 3 13 3" xfId="29300" xr:uid="{5B1EF9AF-77E7-47BD-AEE2-94721234B7AA}"/>
    <cellStyle name="Comma 2 3 2 3 14" xfId="7396" xr:uid="{30F16FFE-20D4-4162-A2B7-A63F360B5DFA}"/>
    <cellStyle name="Comma 2 3 2 3 14 2" xfId="43904" xr:uid="{55596597-2B05-434D-ADA0-28B2D824E527}"/>
    <cellStyle name="Comma 2 3 2 3 14 3" xfId="25650" xr:uid="{489DF5E2-8FF5-4DCE-952B-E7C4A5D97D59}"/>
    <cellStyle name="Comma 2 3 2 3 15" xfId="3746" xr:uid="{21574273-0BC6-41A2-BE43-8A24C4B490D9}"/>
    <cellStyle name="Comma 2 3 2 3 15 2" xfId="40254" xr:uid="{77FA3D01-F0C6-4935-A899-F01B6C9CEECC}"/>
    <cellStyle name="Comma 2 3 2 3 15 3" xfId="22000" xr:uid="{19F20DD9-12B6-46C0-B9A1-0F171D3B5BDA}"/>
    <cellStyle name="Comma 2 3 2 3 16" xfId="36604" xr:uid="{564F2292-30AD-447C-B9BB-94ED49DE8B35}"/>
    <cellStyle name="Comma 2 3 2 3 17" xfId="18350" xr:uid="{F9DBF945-97C6-4ED1-927D-0826FD5B129B}"/>
    <cellStyle name="Comma 2 3 2 3 2" xfId="720" xr:uid="{A3AA6623-693F-4C85-AA45-4E87C405A963}"/>
    <cellStyle name="Comma 2 3 2 3 2 10" xfId="37228" xr:uid="{835E25D6-6529-462F-BD16-1AC51D099E7B}"/>
    <cellStyle name="Comma 2 3 2 3 2 11" xfId="18974" xr:uid="{1971AA58-DBD7-4A94-AAB9-D7BFB4D38FC2}"/>
    <cellStyle name="Comma 2 3 2 3 2 2" xfId="3640" xr:uid="{2A167049-EE3E-4AD2-B488-56BFBFD1C1AF}"/>
    <cellStyle name="Comma 2 3 2 3 2 2 2" xfId="18240" xr:uid="{E8D1B387-C359-4282-9F43-83683E660D3D}"/>
    <cellStyle name="Comma 2 3 2 3 2 2 2 2" xfId="54748" xr:uid="{B1F4FCEC-03F7-487A-A71D-F1BF4ADE0857}"/>
    <cellStyle name="Comma 2 3 2 3 2 2 2 3" xfId="36494" xr:uid="{0E45D448-D980-4A21-A4C1-6722ECBEF361}"/>
    <cellStyle name="Comma 2 3 2 3 2 2 3" xfId="14590" xr:uid="{020C2BDB-A8B6-493E-A608-B32B69820960}"/>
    <cellStyle name="Comma 2 3 2 3 2 2 3 2" xfId="51098" xr:uid="{4B2983D9-84FE-4212-8872-0EBD850A8A0C}"/>
    <cellStyle name="Comma 2 3 2 3 2 2 3 3" xfId="32844" xr:uid="{A51E7313-EEC4-40FF-A8B4-EE86CC54A4B3}"/>
    <cellStyle name="Comma 2 3 2 3 2 2 4" xfId="10940" xr:uid="{A8DDD210-BFA7-4E14-BC88-4E8F51EC2DD5}"/>
    <cellStyle name="Comma 2 3 2 3 2 2 4 2" xfId="47448" xr:uid="{A6AC1019-8CDB-422C-9914-C3710CBB0669}"/>
    <cellStyle name="Comma 2 3 2 3 2 2 4 3" xfId="29194" xr:uid="{2E5E0B85-A9BF-49FC-BBE4-9D17EC562CD5}"/>
    <cellStyle name="Comma 2 3 2 3 2 2 5" xfId="7290" xr:uid="{CD6141C5-9B4C-4327-81FA-78C974B6F792}"/>
    <cellStyle name="Comma 2 3 2 3 2 2 5 2" xfId="43798" xr:uid="{8C562A27-2870-400F-B225-2F8C6085B76F}"/>
    <cellStyle name="Comma 2 3 2 3 2 2 5 3" xfId="25544" xr:uid="{143EE0C6-67AD-4687-AF42-4C6F546C0EEF}"/>
    <cellStyle name="Comma 2 3 2 3 2 2 6" xfId="40148" xr:uid="{CAF36131-1DD2-4143-A4D3-96683D917027}"/>
    <cellStyle name="Comma 2 3 2 3 2 2 7" xfId="21894" xr:uid="{F725D759-61DD-4084-9B4E-78098ABADBBC}"/>
    <cellStyle name="Comma 2 3 2 3 2 3" xfId="2910" xr:uid="{9772DF7F-C011-4F78-934D-F9353CA8A7DC}"/>
    <cellStyle name="Comma 2 3 2 3 2 3 2" xfId="17510" xr:uid="{8853BDFE-D766-4E1D-954A-952292915F2B}"/>
    <cellStyle name="Comma 2 3 2 3 2 3 2 2" xfId="54018" xr:uid="{2D260174-363C-4D21-A1CB-7FED9CE97FD5}"/>
    <cellStyle name="Comma 2 3 2 3 2 3 2 3" xfId="35764" xr:uid="{37859288-70B2-462C-BC9B-D6152ACCDFB7}"/>
    <cellStyle name="Comma 2 3 2 3 2 3 3" xfId="13860" xr:uid="{859CD31C-0817-4EC7-A487-1B3272C66099}"/>
    <cellStyle name="Comma 2 3 2 3 2 3 3 2" xfId="50368" xr:uid="{C0CDAC52-0511-4BB0-9747-2766B0742E08}"/>
    <cellStyle name="Comma 2 3 2 3 2 3 3 3" xfId="32114" xr:uid="{0A4EF4B3-4140-4A75-9DBA-39DB4A98CB4E}"/>
    <cellStyle name="Comma 2 3 2 3 2 3 4" xfId="10210" xr:uid="{F65915DE-311F-425F-82B4-0849BFF6B8A0}"/>
    <cellStyle name="Comma 2 3 2 3 2 3 4 2" xfId="46718" xr:uid="{6714AECA-1C03-40C4-931C-1EF24F48701E}"/>
    <cellStyle name="Comma 2 3 2 3 2 3 4 3" xfId="28464" xr:uid="{BD71A68E-879F-4DA6-921C-C39AE018D705}"/>
    <cellStyle name="Comma 2 3 2 3 2 3 5" xfId="6560" xr:uid="{7B75E297-EE05-4FA3-8A7D-D3EB90D6F427}"/>
    <cellStyle name="Comma 2 3 2 3 2 3 5 2" xfId="43068" xr:uid="{C7352D2A-98D3-4D15-A6DC-9EF6DF497FFE}"/>
    <cellStyle name="Comma 2 3 2 3 2 3 5 3" xfId="24814" xr:uid="{342DB8B8-681B-4357-B459-392667CE5D3C}"/>
    <cellStyle name="Comma 2 3 2 3 2 3 6" xfId="39418" xr:uid="{8A013BDA-FE67-477B-A9A6-21F52FD91FE8}"/>
    <cellStyle name="Comma 2 3 2 3 2 3 7" xfId="21164" xr:uid="{6258D32B-5A0C-428C-8E19-0BC743326ED6}"/>
    <cellStyle name="Comma 2 3 2 3 2 4" xfId="2180" xr:uid="{87934F1C-F21F-4C58-9C43-030608A5F575}"/>
    <cellStyle name="Comma 2 3 2 3 2 4 2" xfId="16780" xr:uid="{D11D39D5-B7A1-481A-B4F6-F358BF81D807}"/>
    <cellStyle name="Comma 2 3 2 3 2 4 2 2" xfId="53288" xr:uid="{52DAAD56-A50A-40AB-9C8C-BF7F61C58EB8}"/>
    <cellStyle name="Comma 2 3 2 3 2 4 2 3" xfId="35034" xr:uid="{50CCFE1C-8FB1-4437-82F2-67A243E8766E}"/>
    <cellStyle name="Comma 2 3 2 3 2 4 3" xfId="13130" xr:uid="{A4D3541C-B284-43BD-9A9D-AE7AFF6B6A8D}"/>
    <cellStyle name="Comma 2 3 2 3 2 4 3 2" xfId="49638" xr:uid="{70A2822D-36E0-4492-B93E-680F1A76B302}"/>
    <cellStyle name="Comma 2 3 2 3 2 4 3 3" xfId="31384" xr:uid="{2CDD14A3-21B3-4933-B8B7-49600868B4C8}"/>
    <cellStyle name="Comma 2 3 2 3 2 4 4" xfId="9480" xr:uid="{DB073F1E-6F9A-492A-9E64-3F9B251FEF6C}"/>
    <cellStyle name="Comma 2 3 2 3 2 4 4 2" xfId="45988" xr:uid="{3A7FDA66-3682-42DB-90CA-31E41EEF167F}"/>
    <cellStyle name="Comma 2 3 2 3 2 4 4 3" xfId="27734" xr:uid="{59E95A81-A285-406C-9FD5-E308F4D71650}"/>
    <cellStyle name="Comma 2 3 2 3 2 4 5" xfId="5830" xr:uid="{36DE9245-19A2-444C-8868-A22F02DCDAB8}"/>
    <cellStyle name="Comma 2 3 2 3 2 4 5 2" xfId="42338" xr:uid="{B37136A2-33CF-4E92-A3A6-63DB047E8225}"/>
    <cellStyle name="Comma 2 3 2 3 2 4 5 3" xfId="24084" xr:uid="{705DDAE7-4751-4DE2-9693-6F41B9A45C2B}"/>
    <cellStyle name="Comma 2 3 2 3 2 4 6" xfId="38688" xr:uid="{7636F9C6-7F66-46D6-A667-7AC5A54BE55E}"/>
    <cellStyle name="Comma 2 3 2 3 2 4 7" xfId="20434" xr:uid="{F9B63E95-7339-4402-9222-2286A876E1D1}"/>
    <cellStyle name="Comma 2 3 2 3 2 5" xfId="1450" xr:uid="{B7DC326A-3FB5-4DD6-ADB7-2F8C46CB64A4}"/>
    <cellStyle name="Comma 2 3 2 3 2 5 2" xfId="16050" xr:uid="{D36E6764-BDF6-4097-ABAB-84E830990CD0}"/>
    <cellStyle name="Comma 2 3 2 3 2 5 2 2" xfId="52558" xr:uid="{7B5F1412-C624-4130-9FB0-26D4968E0E0D}"/>
    <cellStyle name="Comma 2 3 2 3 2 5 2 3" xfId="34304" xr:uid="{CCCA90E3-9710-439A-B0FB-753FE9DE2EF2}"/>
    <cellStyle name="Comma 2 3 2 3 2 5 3" xfId="12400" xr:uid="{9DE1C105-FA3A-4D30-9709-0D49A1E5F852}"/>
    <cellStyle name="Comma 2 3 2 3 2 5 3 2" xfId="48908" xr:uid="{A106870A-2A51-457A-8469-1B1F0822CB02}"/>
    <cellStyle name="Comma 2 3 2 3 2 5 3 3" xfId="30654" xr:uid="{848B8BB0-C510-4769-8307-16CA7AAA500F}"/>
    <cellStyle name="Comma 2 3 2 3 2 5 4" xfId="8750" xr:uid="{DE009A88-BA49-4900-A7EA-25B1F91D1F5F}"/>
    <cellStyle name="Comma 2 3 2 3 2 5 4 2" xfId="45258" xr:uid="{BFEE08F9-B9C8-437E-80C7-B669B2337A77}"/>
    <cellStyle name="Comma 2 3 2 3 2 5 4 3" xfId="27004" xr:uid="{640BA2FB-0E50-46C1-BA1A-9BFF8EFB9340}"/>
    <cellStyle name="Comma 2 3 2 3 2 5 5" xfId="5100" xr:uid="{ED7061E0-B9C0-4D14-995D-1E5ADC6EE4F2}"/>
    <cellStyle name="Comma 2 3 2 3 2 5 5 2" xfId="41608" xr:uid="{7BBE82B2-153E-4E17-98B5-25A4FDE9266D}"/>
    <cellStyle name="Comma 2 3 2 3 2 5 5 3" xfId="23354" xr:uid="{6BE88764-BCDD-4602-957D-68E17ACD02E2}"/>
    <cellStyle name="Comma 2 3 2 3 2 5 6" xfId="37958" xr:uid="{1F9378D2-1EDD-4E26-A06B-4C5B2B3C26A1}"/>
    <cellStyle name="Comma 2 3 2 3 2 5 7" xfId="19704" xr:uid="{A2DA5487-0B21-4B44-8E8C-DF4B2E922B26}"/>
    <cellStyle name="Comma 2 3 2 3 2 6" xfId="15320" xr:uid="{6BC64E75-9596-46D3-A93E-7F5B40E568F3}"/>
    <cellStyle name="Comma 2 3 2 3 2 6 2" xfId="51828" xr:uid="{7377BBBE-62D3-4BF4-9E68-03D2C9A2D01A}"/>
    <cellStyle name="Comma 2 3 2 3 2 6 3" xfId="33574" xr:uid="{7B0DB36D-D3A8-4AA0-9DAC-1F4DEDEC1DC0}"/>
    <cellStyle name="Comma 2 3 2 3 2 7" xfId="11670" xr:uid="{38E1F3D9-20BA-4E63-B8D5-CE5AEBDC8BF3}"/>
    <cellStyle name="Comma 2 3 2 3 2 7 2" xfId="48178" xr:uid="{B1D2C171-C0AE-4B65-8214-AC3DA844BA08}"/>
    <cellStyle name="Comma 2 3 2 3 2 7 3" xfId="29924" xr:uid="{100E1078-8F17-4445-A5C3-7BB72934AD28}"/>
    <cellStyle name="Comma 2 3 2 3 2 8" xfId="8020" xr:uid="{F15C2A79-091B-4F1E-9D0A-445BCE6B2D6B}"/>
    <cellStyle name="Comma 2 3 2 3 2 8 2" xfId="44528" xr:uid="{3053AA7F-4FE7-41DD-A747-022ED965ACD5}"/>
    <cellStyle name="Comma 2 3 2 3 2 8 3" xfId="26274" xr:uid="{3C75E739-05CE-4534-8214-F6EF42D96FF2}"/>
    <cellStyle name="Comma 2 3 2 3 2 9" xfId="4370" xr:uid="{C303277E-6FC0-460C-BD81-89C5E9207CBF}"/>
    <cellStyle name="Comma 2 3 2 3 2 9 2" xfId="40878" xr:uid="{3E34E981-F4AB-4171-8935-BC3FC95FFD19}"/>
    <cellStyle name="Comma 2 3 2 3 2 9 3" xfId="22624" xr:uid="{DBDFA027-E894-459F-A6AD-D34202412FDB}"/>
    <cellStyle name="Comma 2 3 2 3 3" xfId="616" xr:uid="{DE9E2D09-B4AE-4A88-B2B7-410102414145}"/>
    <cellStyle name="Comma 2 3 2 3 3 10" xfId="37124" xr:uid="{734D034A-206C-479A-A778-905532203576}"/>
    <cellStyle name="Comma 2 3 2 3 3 11" xfId="18870" xr:uid="{B1881284-06E8-4FCB-8C48-82CDFE5D5040}"/>
    <cellStyle name="Comma 2 3 2 3 3 2" xfId="3536" xr:uid="{23461F5A-60BC-4975-BFC5-266676297BDC}"/>
    <cellStyle name="Comma 2 3 2 3 3 2 2" xfId="18136" xr:uid="{5146C0BC-90B0-49BF-B4DF-D40841BA633B}"/>
    <cellStyle name="Comma 2 3 2 3 3 2 2 2" xfId="54644" xr:uid="{C5719095-7BF2-4EA8-8420-C00514EE06DB}"/>
    <cellStyle name="Comma 2 3 2 3 3 2 2 3" xfId="36390" xr:uid="{B4ACEE24-1573-4EDB-A87F-C333B2D5755E}"/>
    <cellStyle name="Comma 2 3 2 3 3 2 3" xfId="14486" xr:uid="{DF7E084B-9E90-4636-BA32-AF775E2F3BD2}"/>
    <cellStyle name="Comma 2 3 2 3 3 2 3 2" xfId="50994" xr:uid="{E059E0C8-661C-45E6-8767-D3F90761FC94}"/>
    <cellStyle name="Comma 2 3 2 3 3 2 3 3" xfId="32740" xr:uid="{5BBA3188-0247-48C2-9751-08E1B640158F}"/>
    <cellStyle name="Comma 2 3 2 3 3 2 4" xfId="10836" xr:uid="{D38F4BA1-9B5A-4548-9447-F98BC5026E09}"/>
    <cellStyle name="Comma 2 3 2 3 3 2 4 2" xfId="47344" xr:uid="{9148347F-D385-4396-A093-E4B0F6C96A5C}"/>
    <cellStyle name="Comma 2 3 2 3 3 2 4 3" xfId="29090" xr:uid="{3CC4FC9D-B681-4A07-BE55-6B926AE1B4E5}"/>
    <cellStyle name="Comma 2 3 2 3 3 2 5" xfId="7186" xr:uid="{82918F6E-F2AB-4D08-A6A7-B624ACD1E99E}"/>
    <cellStyle name="Comma 2 3 2 3 3 2 5 2" xfId="43694" xr:uid="{148F57A1-51DC-4122-ABA1-7E1FD33EF7E9}"/>
    <cellStyle name="Comma 2 3 2 3 3 2 5 3" xfId="25440" xr:uid="{C59A3AB2-175C-45B8-B971-0D38CD3480E7}"/>
    <cellStyle name="Comma 2 3 2 3 3 2 6" xfId="40044" xr:uid="{582C85AC-540F-412B-9AEE-3BE1F2CF00D2}"/>
    <cellStyle name="Comma 2 3 2 3 3 2 7" xfId="21790" xr:uid="{4D6A5D8B-2325-4A99-9D83-3170DE0F2EE8}"/>
    <cellStyle name="Comma 2 3 2 3 3 3" xfId="2806" xr:uid="{D1BD261A-D769-4F9A-A239-CCB4A741B53E}"/>
    <cellStyle name="Comma 2 3 2 3 3 3 2" xfId="17406" xr:uid="{FAD3819E-647F-4098-81A1-31F9E42E76F2}"/>
    <cellStyle name="Comma 2 3 2 3 3 3 2 2" xfId="53914" xr:uid="{330E91AB-A6C5-44DB-A6DC-61E2C5391F7E}"/>
    <cellStyle name="Comma 2 3 2 3 3 3 2 3" xfId="35660" xr:uid="{CA696C1A-B83F-4331-BF19-64DFAC5E4BDA}"/>
    <cellStyle name="Comma 2 3 2 3 3 3 3" xfId="13756" xr:uid="{241AD9F2-1F7D-41CF-A700-D5AF663FAAA1}"/>
    <cellStyle name="Comma 2 3 2 3 3 3 3 2" xfId="50264" xr:uid="{C0CF4A6F-2939-41A8-B802-0DD91455790B}"/>
    <cellStyle name="Comma 2 3 2 3 3 3 3 3" xfId="32010" xr:uid="{7DB6DF5E-E824-4301-9386-2F86B171FC9E}"/>
    <cellStyle name="Comma 2 3 2 3 3 3 4" xfId="10106" xr:uid="{66BADDAE-293E-47A3-95AF-186D442B5FE9}"/>
    <cellStyle name="Comma 2 3 2 3 3 3 4 2" xfId="46614" xr:uid="{79BFDF74-A980-49A5-AA33-B66E5D70DFF2}"/>
    <cellStyle name="Comma 2 3 2 3 3 3 4 3" xfId="28360" xr:uid="{BF16CFF8-694F-4216-8C8B-E900AF4D9A6D}"/>
    <cellStyle name="Comma 2 3 2 3 3 3 5" xfId="6456" xr:uid="{7C418F97-166F-46A9-B966-51F651284525}"/>
    <cellStyle name="Comma 2 3 2 3 3 3 5 2" xfId="42964" xr:uid="{B18350B0-F47D-4A03-8C87-1157D95AB3A9}"/>
    <cellStyle name="Comma 2 3 2 3 3 3 5 3" xfId="24710" xr:uid="{3ED1F738-7300-40E8-8645-BB8E9CECB62C}"/>
    <cellStyle name="Comma 2 3 2 3 3 3 6" xfId="39314" xr:uid="{E0830614-697F-4256-A44C-CBE3C0CF2BBB}"/>
    <cellStyle name="Comma 2 3 2 3 3 3 7" xfId="21060" xr:uid="{508AE9D9-EE10-4948-AE23-6CDA2B645FD1}"/>
    <cellStyle name="Comma 2 3 2 3 3 4" xfId="2076" xr:uid="{7E4A63F6-6B47-460E-B47F-796A04173528}"/>
    <cellStyle name="Comma 2 3 2 3 3 4 2" xfId="16676" xr:uid="{D7B29A66-4D32-4DA6-8D9E-034D10BFF051}"/>
    <cellStyle name="Comma 2 3 2 3 3 4 2 2" xfId="53184" xr:uid="{BDBC5ADA-1A10-4D60-BBFF-AAE3B24F500A}"/>
    <cellStyle name="Comma 2 3 2 3 3 4 2 3" xfId="34930" xr:uid="{6D307B29-6F27-4776-8CC2-ACB020961480}"/>
    <cellStyle name="Comma 2 3 2 3 3 4 3" xfId="13026" xr:uid="{470046B5-9D6B-4359-85C2-9F15B39BD6ED}"/>
    <cellStyle name="Comma 2 3 2 3 3 4 3 2" xfId="49534" xr:uid="{D4F32C18-C6BB-4E28-B7E0-B2D73E945DA4}"/>
    <cellStyle name="Comma 2 3 2 3 3 4 3 3" xfId="31280" xr:uid="{3E0117EE-7145-46D5-8278-7A9F9747462E}"/>
    <cellStyle name="Comma 2 3 2 3 3 4 4" xfId="9376" xr:uid="{56F24981-8F43-44CC-A7E3-4AD1FF70C644}"/>
    <cellStyle name="Comma 2 3 2 3 3 4 4 2" xfId="45884" xr:uid="{087C7E12-8C9D-43F6-BAC0-D5A86BB57503}"/>
    <cellStyle name="Comma 2 3 2 3 3 4 4 3" xfId="27630" xr:uid="{72FCF7FA-AD80-473A-9F51-AAB0DAE3C9D4}"/>
    <cellStyle name="Comma 2 3 2 3 3 4 5" xfId="5726" xr:uid="{7F3B74D7-0B95-455D-B376-215A515F68A4}"/>
    <cellStyle name="Comma 2 3 2 3 3 4 5 2" xfId="42234" xr:uid="{6F197F11-B138-4D82-8B97-5ED2E41C7F88}"/>
    <cellStyle name="Comma 2 3 2 3 3 4 5 3" xfId="23980" xr:uid="{11FA1041-AD0D-4AF3-AC0C-82CADE1E8E69}"/>
    <cellStyle name="Comma 2 3 2 3 3 4 6" xfId="38584" xr:uid="{585E80FC-73F9-44CD-A51A-407C311ACBDF}"/>
    <cellStyle name="Comma 2 3 2 3 3 4 7" xfId="20330" xr:uid="{5A29B7EC-CCB5-4A4B-9E1E-3CD6E36D48E9}"/>
    <cellStyle name="Comma 2 3 2 3 3 5" xfId="1346" xr:uid="{9B8CD4DA-1DAA-41E2-94A1-E305D4C2B927}"/>
    <cellStyle name="Comma 2 3 2 3 3 5 2" xfId="15946" xr:uid="{1293E336-A49A-4D75-8709-B5763488E154}"/>
    <cellStyle name="Comma 2 3 2 3 3 5 2 2" xfId="52454" xr:uid="{405B7A13-E617-41E3-8B5D-E616A13144D7}"/>
    <cellStyle name="Comma 2 3 2 3 3 5 2 3" xfId="34200" xr:uid="{F818E432-13B8-4E04-942A-565CC8D79F4E}"/>
    <cellStyle name="Comma 2 3 2 3 3 5 3" xfId="12296" xr:uid="{566F83C3-433B-4578-A5C2-F2CFE63E752C}"/>
    <cellStyle name="Comma 2 3 2 3 3 5 3 2" xfId="48804" xr:uid="{79AFC094-F7FC-4EA5-83F6-241F19248BA3}"/>
    <cellStyle name="Comma 2 3 2 3 3 5 3 3" xfId="30550" xr:uid="{117641FE-BFA0-499B-8C1A-48FE3C083A79}"/>
    <cellStyle name="Comma 2 3 2 3 3 5 4" xfId="8646" xr:uid="{A3A1FFE2-C746-41E8-87E6-4591B35F0E53}"/>
    <cellStyle name="Comma 2 3 2 3 3 5 4 2" xfId="45154" xr:uid="{5E9018F3-9D42-40C0-A1DF-383BCC01B041}"/>
    <cellStyle name="Comma 2 3 2 3 3 5 4 3" xfId="26900" xr:uid="{0BB2854B-15CB-46FC-9D1C-F4A48579F771}"/>
    <cellStyle name="Comma 2 3 2 3 3 5 5" xfId="4996" xr:uid="{2F3AD75C-A585-4041-9045-A8D03E74B392}"/>
    <cellStyle name="Comma 2 3 2 3 3 5 5 2" xfId="41504" xr:uid="{5D63F0E7-0F73-442B-B619-112D9859BE0D}"/>
    <cellStyle name="Comma 2 3 2 3 3 5 5 3" xfId="23250" xr:uid="{AA1035B9-DBC7-4558-84EB-18F53962E914}"/>
    <cellStyle name="Comma 2 3 2 3 3 5 6" xfId="37854" xr:uid="{2C0B6167-8354-4541-A683-BB15DB5F1C56}"/>
    <cellStyle name="Comma 2 3 2 3 3 5 7" xfId="19600" xr:uid="{CC901449-D224-43F3-89EA-7D9822BBF983}"/>
    <cellStyle name="Comma 2 3 2 3 3 6" xfId="15216" xr:uid="{D499DF79-7950-4560-9A5A-37882F96835C}"/>
    <cellStyle name="Comma 2 3 2 3 3 6 2" xfId="51724" xr:uid="{64A84DBD-B508-44F7-8114-1F56531257DC}"/>
    <cellStyle name="Comma 2 3 2 3 3 6 3" xfId="33470" xr:uid="{E0C4FFEB-9038-44B1-85B8-F669A4634EC0}"/>
    <cellStyle name="Comma 2 3 2 3 3 7" xfId="11566" xr:uid="{BB0F8890-1D1B-4F4B-A746-67E35CA3561B}"/>
    <cellStyle name="Comma 2 3 2 3 3 7 2" xfId="48074" xr:uid="{ABD3E811-3872-4898-BF10-79C326A23B3F}"/>
    <cellStyle name="Comma 2 3 2 3 3 7 3" xfId="29820" xr:uid="{7F176E0B-0D6A-4C90-9007-4040E978738B}"/>
    <cellStyle name="Comma 2 3 2 3 3 8" xfId="7916" xr:uid="{33488033-7ACB-404F-80C3-9539C2D7F456}"/>
    <cellStyle name="Comma 2 3 2 3 3 8 2" xfId="44424" xr:uid="{D32D38AF-E730-41BB-B57A-8688FE24A616}"/>
    <cellStyle name="Comma 2 3 2 3 3 8 3" xfId="26170" xr:uid="{624E1635-2BD5-40CA-A6F5-23A1B25A6F94}"/>
    <cellStyle name="Comma 2 3 2 3 3 9" xfId="4266" xr:uid="{C1EEF8A1-CB9F-495C-9E02-A8D0B5D51F04}"/>
    <cellStyle name="Comma 2 3 2 3 3 9 2" xfId="40774" xr:uid="{E900302E-DC68-4D25-B72D-1CD0181FCFF6}"/>
    <cellStyle name="Comma 2 3 2 3 3 9 3" xfId="22520" xr:uid="{E4C968FB-E560-4892-929E-C5B864A68A5C}"/>
    <cellStyle name="Comma 2 3 2 3 4" xfId="512" xr:uid="{BB881D89-0899-4EFF-9F33-5C97EC65F351}"/>
    <cellStyle name="Comma 2 3 2 3 4 10" xfId="37020" xr:uid="{1A544B52-8D67-4FA7-B620-C9564737C2D9}"/>
    <cellStyle name="Comma 2 3 2 3 4 11" xfId="18766" xr:uid="{CBD4B597-E803-4E55-BDB4-DAD68902AB77}"/>
    <cellStyle name="Comma 2 3 2 3 4 2" xfId="3432" xr:uid="{BFB7E4B0-8AEE-4CD4-B96C-B2DC7AB8E895}"/>
    <cellStyle name="Comma 2 3 2 3 4 2 2" xfId="18032" xr:uid="{8F61F89A-0FF1-4C4D-9FE0-D06E01BBC604}"/>
    <cellStyle name="Comma 2 3 2 3 4 2 2 2" xfId="54540" xr:uid="{62BE7680-2753-4986-B5F5-1CFE4B469386}"/>
    <cellStyle name="Comma 2 3 2 3 4 2 2 3" xfId="36286" xr:uid="{B46088CB-1FD8-4643-8F52-74D553AE4A5C}"/>
    <cellStyle name="Comma 2 3 2 3 4 2 3" xfId="14382" xr:uid="{D4E094F2-CD59-4AA9-91FC-08EA9562DEF9}"/>
    <cellStyle name="Comma 2 3 2 3 4 2 3 2" xfId="50890" xr:uid="{E4084A01-0538-4419-8339-1B750142E976}"/>
    <cellStyle name="Comma 2 3 2 3 4 2 3 3" xfId="32636" xr:uid="{B9734F35-A966-4A72-B60E-F55E23BF4034}"/>
    <cellStyle name="Comma 2 3 2 3 4 2 4" xfId="10732" xr:uid="{E4CB2FED-04F7-4B13-A8B1-947DAC542C07}"/>
    <cellStyle name="Comma 2 3 2 3 4 2 4 2" xfId="47240" xr:uid="{C6BA7E44-B37F-415B-BB2D-A9875550B7AB}"/>
    <cellStyle name="Comma 2 3 2 3 4 2 4 3" xfId="28986" xr:uid="{BEF211F1-7F69-4F3C-A9AA-CE8607F8CCE5}"/>
    <cellStyle name="Comma 2 3 2 3 4 2 5" xfId="7082" xr:uid="{366992C0-003A-4B6D-A8C5-A55D56719F70}"/>
    <cellStyle name="Comma 2 3 2 3 4 2 5 2" xfId="43590" xr:uid="{7BBD86A8-E111-4C0C-A93C-06D5038C4D66}"/>
    <cellStyle name="Comma 2 3 2 3 4 2 5 3" xfId="25336" xr:uid="{A8927D95-5F55-4606-BF62-BA35F6BC1B11}"/>
    <cellStyle name="Comma 2 3 2 3 4 2 6" xfId="39940" xr:uid="{D81F4D2F-B7DC-4699-BB65-E57078A3E1B5}"/>
    <cellStyle name="Comma 2 3 2 3 4 2 7" xfId="21686" xr:uid="{DD076B7B-BFDB-466A-A0B9-46AD59715303}"/>
    <cellStyle name="Comma 2 3 2 3 4 3" xfId="2702" xr:uid="{B4E1A8DF-DB07-4ADA-AFC5-FEE417E48ED3}"/>
    <cellStyle name="Comma 2 3 2 3 4 3 2" xfId="17302" xr:uid="{0789632B-C974-40FD-93EA-8C3EFF9EEAA9}"/>
    <cellStyle name="Comma 2 3 2 3 4 3 2 2" xfId="53810" xr:uid="{D58E8427-DC64-4AA3-87F3-058FEECB1FE1}"/>
    <cellStyle name="Comma 2 3 2 3 4 3 2 3" xfId="35556" xr:uid="{6CC809CC-0ADD-4AF0-A89A-8D7E5C12B03D}"/>
    <cellStyle name="Comma 2 3 2 3 4 3 3" xfId="13652" xr:uid="{F6C8B291-AE1A-4910-B7F1-B90C15CC4405}"/>
    <cellStyle name="Comma 2 3 2 3 4 3 3 2" xfId="50160" xr:uid="{D3344385-8989-405D-8A87-ABA98E866B24}"/>
    <cellStyle name="Comma 2 3 2 3 4 3 3 3" xfId="31906" xr:uid="{44576645-2AFA-4E43-9AA4-634BDABC5E9A}"/>
    <cellStyle name="Comma 2 3 2 3 4 3 4" xfId="10002" xr:uid="{6D69B3B2-D40F-4912-A27B-0EC28444FA14}"/>
    <cellStyle name="Comma 2 3 2 3 4 3 4 2" xfId="46510" xr:uid="{9831D073-0B54-43B3-B7E4-4879EFCABC46}"/>
    <cellStyle name="Comma 2 3 2 3 4 3 4 3" xfId="28256" xr:uid="{64600AB0-8FC2-445F-986B-9871388FE71C}"/>
    <cellStyle name="Comma 2 3 2 3 4 3 5" xfId="6352" xr:uid="{BFE6283E-646E-4502-818B-6CE63B1F224A}"/>
    <cellStyle name="Comma 2 3 2 3 4 3 5 2" xfId="42860" xr:uid="{2B1947AB-04B5-42B2-8782-9832C9070C01}"/>
    <cellStyle name="Comma 2 3 2 3 4 3 5 3" xfId="24606" xr:uid="{7CAD4C64-4418-4826-80B5-099B9E17756F}"/>
    <cellStyle name="Comma 2 3 2 3 4 3 6" xfId="39210" xr:uid="{0BF69B4E-B3AA-46A2-BF21-678CA6024821}"/>
    <cellStyle name="Comma 2 3 2 3 4 3 7" xfId="20956" xr:uid="{0510636A-087C-47A6-9802-6921C4863498}"/>
    <cellStyle name="Comma 2 3 2 3 4 4" xfId="1972" xr:uid="{E3FB3D12-5C10-480C-8800-EDE24BD97342}"/>
    <cellStyle name="Comma 2 3 2 3 4 4 2" xfId="16572" xr:uid="{C8CCC9FE-AB34-459E-8E3A-03E5EDAF96BE}"/>
    <cellStyle name="Comma 2 3 2 3 4 4 2 2" xfId="53080" xr:uid="{3F7C3C2D-2B5F-46F1-ABCF-345299940D2D}"/>
    <cellStyle name="Comma 2 3 2 3 4 4 2 3" xfId="34826" xr:uid="{47734DC0-5CD4-44DB-A111-1E27DF731A2F}"/>
    <cellStyle name="Comma 2 3 2 3 4 4 3" xfId="12922" xr:uid="{3148E726-DAA1-4FAD-A527-9D129F19D7F5}"/>
    <cellStyle name="Comma 2 3 2 3 4 4 3 2" xfId="49430" xr:uid="{7B85EE92-C0C0-41FD-B570-9CC9AE4883BD}"/>
    <cellStyle name="Comma 2 3 2 3 4 4 3 3" xfId="31176" xr:uid="{DBFE209C-4AA1-45F6-9047-65828241EAEA}"/>
    <cellStyle name="Comma 2 3 2 3 4 4 4" xfId="9272" xr:uid="{7CA6E0DB-D9D0-49B1-B3D6-EA6039EC66F5}"/>
    <cellStyle name="Comma 2 3 2 3 4 4 4 2" xfId="45780" xr:uid="{BC5F54E3-A45E-4945-9D3E-7686EC8C0A86}"/>
    <cellStyle name="Comma 2 3 2 3 4 4 4 3" xfId="27526" xr:uid="{44D8FB8E-940B-454B-9971-257FA628C472}"/>
    <cellStyle name="Comma 2 3 2 3 4 4 5" xfId="5622" xr:uid="{C970D85B-73A4-40FD-862C-DAEAAEC22330}"/>
    <cellStyle name="Comma 2 3 2 3 4 4 5 2" xfId="42130" xr:uid="{2D5974B8-D6DE-4FBC-9336-1514632B2DE1}"/>
    <cellStyle name="Comma 2 3 2 3 4 4 5 3" xfId="23876" xr:uid="{C78D3CCC-8BCD-46C3-8837-8055073019D2}"/>
    <cellStyle name="Comma 2 3 2 3 4 4 6" xfId="38480" xr:uid="{1D47A3FA-7621-47A6-875D-02746C68279A}"/>
    <cellStyle name="Comma 2 3 2 3 4 4 7" xfId="20226" xr:uid="{1BF2E518-28C5-4F3C-A99D-A52BCA12EB46}"/>
    <cellStyle name="Comma 2 3 2 3 4 5" xfId="1242" xr:uid="{B756FD07-96F7-4F09-929C-AFC1FA742CBD}"/>
    <cellStyle name="Comma 2 3 2 3 4 5 2" xfId="15842" xr:uid="{320170C9-2EB6-47F4-B0F1-0B385B2602E0}"/>
    <cellStyle name="Comma 2 3 2 3 4 5 2 2" xfId="52350" xr:uid="{3742D7CB-7BBD-4B5F-B02C-CDF2AB941C6E}"/>
    <cellStyle name="Comma 2 3 2 3 4 5 2 3" xfId="34096" xr:uid="{D9ABCF4A-EE1D-45EF-9B21-119B7372DEBF}"/>
    <cellStyle name="Comma 2 3 2 3 4 5 3" xfId="12192" xr:uid="{0911EA5A-EABD-4374-A639-1D6CE2B80B7A}"/>
    <cellStyle name="Comma 2 3 2 3 4 5 3 2" xfId="48700" xr:uid="{0E265B4F-087F-44FF-90E9-7A14B61AAD0D}"/>
    <cellStyle name="Comma 2 3 2 3 4 5 3 3" xfId="30446" xr:uid="{DA2886AD-28A2-469D-A457-B944D5CF7BEA}"/>
    <cellStyle name="Comma 2 3 2 3 4 5 4" xfId="8542" xr:uid="{9124C676-ABD3-4A79-81C7-C27E4BB81FC0}"/>
    <cellStyle name="Comma 2 3 2 3 4 5 4 2" xfId="45050" xr:uid="{821C52D3-F2BC-4F8E-BEA9-EDF3350C59CA}"/>
    <cellStyle name="Comma 2 3 2 3 4 5 4 3" xfId="26796" xr:uid="{204B9D7F-CEF9-4EE9-BB31-4C38ACCC7E53}"/>
    <cellStyle name="Comma 2 3 2 3 4 5 5" xfId="4892" xr:uid="{7F08B2E4-3EF6-4770-9EF9-EA4596033613}"/>
    <cellStyle name="Comma 2 3 2 3 4 5 5 2" xfId="41400" xr:uid="{6BC8C484-3F0D-4E09-8A80-B02C5DC9FD1A}"/>
    <cellStyle name="Comma 2 3 2 3 4 5 5 3" xfId="23146" xr:uid="{C6C9E2F0-4882-4989-AC0A-6EBDCDD6D4B1}"/>
    <cellStyle name="Comma 2 3 2 3 4 5 6" xfId="37750" xr:uid="{E5EA9699-7777-445A-8186-A90088C6A525}"/>
    <cellStyle name="Comma 2 3 2 3 4 5 7" xfId="19496" xr:uid="{795A902F-6525-477F-BDF3-EC82D9E00FD3}"/>
    <cellStyle name="Comma 2 3 2 3 4 6" xfId="15112" xr:uid="{42A61729-1471-4843-BB52-9076BF2BB812}"/>
    <cellStyle name="Comma 2 3 2 3 4 6 2" xfId="51620" xr:uid="{101D7F0C-F26A-43D7-9F45-5F32ACC81A0C}"/>
    <cellStyle name="Comma 2 3 2 3 4 6 3" xfId="33366" xr:uid="{ED38715D-E288-4AD9-AAB9-DBEC016EC4DC}"/>
    <cellStyle name="Comma 2 3 2 3 4 7" xfId="11462" xr:uid="{988B9EDA-FFB7-44BD-937C-A57160A0870D}"/>
    <cellStyle name="Comma 2 3 2 3 4 7 2" xfId="47970" xr:uid="{1C3D2CDF-5003-4D14-B83A-4F51B0776F9F}"/>
    <cellStyle name="Comma 2 3 2 3 4 7 3" xfId="29716" xr:uid="{C5B81B4E-BB63-4303-82D6-DE96D0738F0E}"/>
    <cellStyle name="Comma 2 3 2 3 4 8" xfId="7812" xr:uid="{D80541E9-DECF-4874-9017-DE01AB02BA8C}"/>
    <cellStyle name="Comma 2 3 2 3 4 8 2" xfId="44320" xr:uid="{BFD9691D-0620-440D-B852-A50F3A5E0911}"/>
    <cellStyle name="Comma 2 3 2 3 4 8 3" xfId="26066" xr:uid="{23C11CC0-2601-4C0C-9516-251C6A5CC420}"/>
    <cellStyle name="Comma 2 3 2 3 4 9" xfId="4162" xr:uid="{9157E003-E5F1-4BC8-9919-A2C8C98011DA}"/>
    <cellStyle name="Comma 2 3 2 3 4 9 2" xfId="40670" xr:uid="{BE65E2AC-566D-4214-9B0C-8F3B584674A1}"/>
    <cellStyle name="Comma 2 3 2 3 4 9 3" xfId="22416" xr:uid="{E7B25F89-E180-49C5-A67C-03D17C325326}"/>
    <cellStyle name="Comma 2 3 2 3 5" xfId="408" xr:uid="{827E5551-381D-471D-9792-E09625E6CDA6}"/>
    <cellStyle name="Comma 2 3 2 3 5 10" xfId="36916" xr:uid="{AC47870D-0147-4E38-91F7-6A9A69843096}"/>
    <cellStyle name="Comma 2 3 2 3 5 11" xfId="18662" xr:uid="{6F7F5F2E-008A-42FB-9781-82718493C635}"/>
    <cellStyle name="Comma 2 3 2 3 5 2" xfId="3328" xr:uid="{DA72E637-C256-42B6-B71D-E0DDA5265839}"/>
    <cellStyle name="Comma 2 3 2 3 5 2 2" xfId="17928" xr:uid="{DA1957EE-A535-4963-A6B9-BB22F27E01A6}"/>
    <cellStyle name="Comma 2 3 2 3 5 2 2 2" xfId="54436" xr:uid="{4D0D0CA5-CD53-4222-A4E7-CB98F214BD90}"/>
    <cellStyle name="Comma 2 3 2 3 5 2 2 3" xfId="36182" xr:uid="{EF323FC0-6849-4AA0-B8D7-95213BE4E29F}"/>
    <cellStyle name="Comma 2 3 2 3 5 2 3" xfId="14278" xr:uid="{D67A333B-9D59-4310-B362-A32D4605D95F}"/>
    <cellStyle name="Comma 2 3 2 3 5 2 3 2" xfId="50786" xr:uid="{33D87650-1CDB-4321-A526-F215DC68C3D0}"/>
    <cellStyle name="Comma 2 3 2 3 5 2 3 3" xfId="32532" xr:uid="{B37C72BD-9DDA-48FD-B5E8-85DFAE0F0D8D}"/>
    <cellStyle name="Comma 2 3 2 3 5 2 4" xfId="10628" xr:uid="{646807B7-E2F7-4EF8-A087-66C6BEDF0916}"/>
    <cellStyle name="Comma 2 3 2 3 5 2 4 2" xfId="47136" xr:uid="{4AB9CD01-4509-4A83-BE8F-12C15583ED38}"/>
    <cellStyle name="Comma 2 3 2 3 5 2 4 3" xfId="28882" xr:uid="{1D28705C-B516-4140-B05A-3FEFFD8B4118}"/>
    <cellStyle name="Comma 2 3 2 3 5 2 5" xfId="6978" xr:uid="{6F3927EC-1210-4FA3-95DB-949FD4C0B914}"/>
    <cellStyle name="Comma 2 3 2 3 5 2 5 2" xfId="43486" xr:uid="{D499FEF5-BE2B-4F0C-9603-4876893C8059}"/>
    <cellStyle name="Comma 2 3 2 3 5 2 5 3" xfId="25232" xr:uid="{0A73D967-CBF3-442F-8571-384A98527A58}"/>
    <cellStyle name="Comma 2 3 2 3 5 2 6" xfId="39836" xr:uid="{9C09344D-0161-449B-8165-C42B3CA1A90F}"/>
    <cellStyle name="Comma 2 3 2 3 5 2 7" xfId="21582" xr:uid="{131392BA-B98B-416C-A707-45F9963F0AB7}"/>
    <cellStyle name="Comma 2 3 2 3 5 3" xfId="2598" xr:uid="{C02A95C8-2306-45C9-9E99-21853A3B6C60}"/>
    <cellStyle name="Comma 2 3 2 3 5 3 2" xfId="17198" xr:uid="{2347A89F-67E9-4CBE-986B-1B0C15E52F57}"/>
    <cellStyle name="Comma 2 3 2 3 5 3 2 2" xfId="53706" xr:uid="{ED85D02A-84C7-4CB5-BA21-53F0106DC327}"/>
    <cellStyle name="Comma 2 3 2 3 5 3 2 3" xfId="35452" xr:uid="{E4ADB418-49CA-4A28-AF23-F661C34491DA}"/>
    <cellStyle name="Comma 2 3 2 3 5 3 3" xfId="13548" xr:uid="{729C016E-899A-4CC4-BE4C-64109C227ABC}"/>
    <cellStyle name="Comma 2 3 2 3 5 3 3 2" xfId="50056" xr:uid="{A39E4BDB-B1DD-46C6-8492-D87416BC7860}"/>
    <cellStyle name="Comma 2 3 2 3 5 3 3 3" xfId="31802" xr:uid="{8D69E5B9-E2C7-4B05-815C-6BD4D521550A}"/>
    <cellStyle name="Comma 2 3 2 3 5 3 4" xfId="9898" xr:uid="{97905023-9F39-4D8A-9D5D-A900AB236567}"/>
    <cellStyle name="Comma 2 3 2 3 5 3 4 2" xfId="46406" xr:uid="{136F1021-2F26-45B7-8ED3-C68F0876CD5E}"/>
    <cellStyle name="Comma 2 3 2 3 5 3 4 3" xfId="28152" xr:uid="{6B8EDF54-AA62-45BC-AD24-09355A74EADC}"/>
    <cellStyle name="Comma 2 3 2 3 5 3 5" xfId="6248" xr:uid="{E147B018-1175-497F-A4BD-479129395392}"/>
    <cellStyle name="Comma 2 3 2 3 5 3 5 2" xfId="42756" xr:uid="{1739AC85-39A0-4808-B797-3B4884647D7A}"/>
    <cellStyle name="Comma 2 3 2 3 5 3 5 3" xfId="24502" xr:uid="{830151AB-5AB9-4892-9FF8-9ECD5BA46041}"/>
    <cellStyle name="Comma 2 3 2 3 5 3 6" xfId="39106" xr:uid="{2003C4F8-A4DC-4C20-BED5-8B36A5F14026}"/>
    <cellStyle name="Comma 2 3 2 3 5 3 7" xfId="20852" xr:uid="{3C80B840-4E40-4D27-B2FD-D7D08930398E}"/>
    <cellStyle name="Comma 2 3 2 3 5 4" xfId="1868" xr:uid="{BE849B4B-172D-4F99-9CB4-08E3D5CFB459}"/>
    <cellStyle name="Comma 2 3 2 3 5 4 2" xfId="16468" xr:uid="{C851A0D0-CBBD-4F0C-8DC0-E5EFD18BADD7}"/>
    <cellStyle name="Comma 2 3 2 3 5 4 2 2" xfId="52976" xr:uid="{6FE0F25B-BB1F-418D-A9C2-4C1B96435640}"/>
    <cellStyle name="Comma 2 3 2 3 5 4 2 3" xfId="34722" xr:uid="{DD62DED1-F6ED-4E93-A6B7-F56972AC8645}"/>
    <cellStyle name="Comma 2 3 2 3 5 4 3" xfId="12818" xr:uid="{B7CD6C9D-6130-4EF8-A2FA-EEC34F2533E5}"/>
    <cellStyle name="Comma 2 3 2 3 5 4 3 2" xfId="49326" xr:uid="{FCBDBB11-A450-48EE-BD63-3FFEAAF4038B}"/>
    <cellStyle name="Comma 2 3 2 3 5 4 3 3" xfId="31072" xr:uid="{127CF1D1-82F6-40CE-BE6A-511DC2A57501}"/>
    <cellStyle name="Comma 2 3 2 3 5 4 4" xfId="9168" xr:uid="{E1DE448A-404A-4D76-99B5-AD6060362D35}"/>
    <cellStyle name="Comma 2 3 2 3 5 4 4 2" xfId="45676" xr:uid="{357CA501-9EE0-446C-8E9B-1A2460849D71}"/>
    <cellStyle name="Comma 2 3 2 3 5 4 4 3" xfId="27422" xr:uid="{0A99589F-DBF6-479E-9B10-899E7AB6580E}"/>
    <cellStyle name="Comma 2 3 2 3 5 4 5" xfId="5518" xr:uid="{5DFF5F9E-A943-4A19-B9BE-F4ECBD73642D}"/>
    <cellStyle name="Comma 2 3 2 3 5 4 5 2" xfId="42026" xr:uid="{A41E5517-4710-4157-AA89-F060E4FFF9D9}"/>
    <cellStyle name="Comma 2 3 2 3 5 4 5 3" xfId="23772" xr:uid="{3120DE56-14CA-464A-AB6A-53346882D3D3}"/>
    <cellStyle name="Comma 2 3 2 3 5 4 6" xfId="38376" xr:uid="{677CB50E-1E2E-470E-8B1C-189CF5F51888}"/>
    <cellStyle name="Comma 2 3 2 3 5 4 7" xfId="20122" xr:uid="{024C9DBC-9780-430A-A097-88D390747751}"/>
    <cellStyle name="Comma 2 3 2 3 5 5" xfId="1138" xr:uid="{673760A1-D760-42F6-965E-FC67085BC1EC}"/>
    <cellStyle name="Comma 2 3 2 3 5 5 2" xfId="15738" xr:uid="{5995D0F8-2805-45CB-9B20-7B9D1BF81D6D}"/>
    <cellStyle name="Comma 2 3 2 3 5 5 2 2" xfId="52246" xr:uid="{12B5C2C5-1EDB-43A2-89FE-13BEB4903675}"/>
    <cellStyle name="Comma 2 3 2 3 5 5 2 3" xfId="33992" xr:uid="{29DE67FC-DD2E-487C-85BE-8B0C39F3A2C9}"/>
    <cellStyle name="Comma 2 3 2 3 5 5 3" xfId="12088" xr:uid="{8B93A82D-7C3C-4F11-8247-C265D9C5CF9B}"/>
    <cellStyle name="Comma 2 3 2 3 5 5 3 2" xfId="48596" xr:uid="{293DD25F-9BB6-4441-9885-33E7A4A11390}"/>
    <cellStyle name="Comma 2 3 2 3 5 5 3 3" xfId="30342" xr:uid="{EA1D97AA-FA65-4300-8A7F-0CE0EE22CF7B}"/>
    <cellStyle name="Comma 2 3 2 3 5 5 4" xfId="8438" xr:uid="{21C9BC34-9FAB-48CB-8BBC-424B65B31739}"/>
    <cellStyle name="Comma 2 3 2 3 5 5 4 2" xfId="44946" xr:uid="{8DBE6AC1-3E98-4F2D-A7C3-8D79D4F54237}"/>
    <cellStyle name="Comma 2 3 2 3 5 5 4 3" xfId="26692" xr:uid="{181E4E3B-2503-4CDE-A3B2-FA5FBD64E247}"/>
    <cellStyle name="Comma 2 3 2 3 5 5 5" xfId="4788" xr:uid="{A4CC05E7-1D19-47B9-A209-E39C90018602}"/>
    <cellStyle name="Comma 2 3 2 3 5 5 5 2" xfId="41296" xr:uid="{7FEF8EAA-AFC3-43C9-8697-62B542F881CA}"/>
    <cellStyle name="Comma 2 3 2 3 5 5 5 3" xfId="23042" xr:uid="{67309F59-DBA2-4EE8-B65F-DD9F1A4AD484}"/>
    <cellStyle name="Comma 2 3 2 3 5 5 6" xfId="37646" xr:uid="{0BB467F4-337F-48F9-BE9C-0B95562C5A5D}"/>
    <cellStyle name="Comma 2 3 2 3 5 5 7" xfId="19392" xr:uid="{E6CAF111-F1BB-4B78-96B0-CE74E52AAB23}"/>
    <cellStyle name="Comma 2 3 2 3 5 6" xfId="15008" xr:uid="{17C966FB-F474-48C4-A7E1-D2C555096DB1}"/>
    <cellStyle name="Comma 2 3 2 3 5 6 2" xfId="51516" xr:uid="{2E9812E6-FC32-4915-A241-4FC3213943B4}"/>
    <cellStyle name="Comma 2 3 2 3 5 6 3" xfId="33262" xr:uid="{819F4E20-6CB6-435B-8C51-FBE0F493B491}"/>
    <cellStyle name="Comma 2 3 2 3 5 7" xfId="11358" xr:uid="{C849AC25-6DB2-486B-A0CD-9E093AFA8D80}"/>
    <cellStyle name="Comma 2 3 2 3 5 7 2" xfId="47866" xr:uid="{63383B90-92F6-477F-AECB-DB9E41983474}"/>
    <cellStyle name="Comma 2 3 2 3 5 7 3" xfId="29612" xr:uid="{E01E42F6-A340-45BB-A6D6-1E3BF5413AE7}"/>
    <cellStyle name="Comma 2 3 2 3 5 8" xfId="7708" xr:uid="{B1BDE237-63AB-401E-A5EA-A6F4ADF95D93}"/>
    <cellStyle name="Comma 2 3 2 3 5 8 2" xfId="44216" xr:uid="{8F3B23D5-A0D4-46A7-8C4F-CAEDB2A8DEDC}"/>
    <cellStyle name="Comma 2 3 2 3 5 8 3" xfId="25962" xr:uid="{C1DDEFA7-6144-4797-A56F-B8847306F50A}"/>
    <cellStyle name="Comma 2 3 2 3 5 9" xfId="4058" xr:uid="{A913AF00-E545-4E5A-A866-BA07D4E783CF}"/>
    <cellStyle name="Comma 2 3 2 3 5 9 2" xfId="40566" xr:uid="{54F2FDC6-5BB7-4D7D-B09B-499830BD8D81}"/>
    <cellStyle name="Comma 2 3 2 3 5 9 3" xfId="22312" xr:uid="{733850E5-9294-4D63-8BA4-A744CE8CA44A}"/>
    <cellStyle name="Comma 2 3 2 3 6" xfId="304" xr:uid="{1908783F-E8CC-487B-A437-B06BA1E13B9B}"/>
    <cellStyle name="Comma 2 3 2 3 6 10" xfId="36812" xr:uid="{9D48BEEE-7AED-4176-98F4-5607AEE9A7C8}"/>
    <cellStyle name="Comma 2 3 2 3 6 11" xfId="18558" xr:uid="{23661B8E-0565-4C52-941A-55A482940983}"/>
    <cellStyle name="Comma 2 3 2 3 6 2" xfId="3224" xr:uid="{2D8849C3-85AA-49CB-9B22-259DC835E249}"/>
    <cellStyle name="Comma 2 3 2 3 6 2 2" xfId="17824" xr:uid="{7FA8DC6F-60BE-41C3-ACF4-72EB18EEF2C9}"/>
    <cellStyle name="Comma 2 3 2 3 6 2 2 2" xfId="54332" xr:uid="{E25C0E9D-F806-46D1-8B4C-1D1A88BA0F8F}"/>
    <cellStyle name="Comma 2 3 2 3 6 2 2 3" xfId="36078" xr:uid="{79DBC396-E9F3-4DC4-BE31-6342EE6B3460}"/>
    <cellStyle name="Comma 2 3 2 3 6 2 3" xfId="14174" xr:uid="{C3E33005-B098-4FE1-8628-C40EC68D6C26}"/>
    <cellStyle name="Comma 2 3 2 3 6 2 3 2" xfId="50682" xr:uid="{807FFC52-A3C9-434B-AB5C-4ABF531100D6}"/>
    <cellStyle name="Comma 2 3 2 3 6 2 3 3" xfId="32428" xr:uid="{F9EEC29D-60A3-427A-AAA6-56ABB551E9B2}"/>
    <cellStyle name="Comma 2 3 2 3 6 2 4" xfId="10524" xr:uid="{6CBE0411-CF69-4C04-B18B-1C33A54F993A}"/>
    <cellStyle name="Comma 2 3 2 3 6 2 4 2" xfId="47032" xr:uid="{D84AFE4D-5518-4A13-8887-BE9AB782B7CC}"/>
    <cellStyle name="Comma 2 3 2 3 6 2 4 3" xfId="28778" xr:uid="{3030AAD3-0A05-4B82-9E22-4357E21A7B3C}"/>
    <cellStyle name="Comma 2 3 2 3 6 2 5" xfId="6874" xr:uid="{BFF802E0-159B-4D80-BBB4-10CDB209F158}"/>
    <cellStyle name="Comma 2 3 2 3 6 2 5 2" xfId="43382" xr:uid="{6BB9467C-02B8-4547-9C5F-3F6D9B0794B0}"/>
    <cellStyle name="Comma 2 3 2 3 6 2 5 3" xfId="25128" xr:uid="{667F27E5-09C4-4F33-ADA3-9C0FAA07D7D9}"/>
    <cellStyle name="Comma 2 3 2 3 6 2 6" xfId="39732" xr:uid="{C0FBF9D2-E9E2-4CC0-A50B-703E25978F00}"/>
    <cellStyle name="Comma 2 3 2 3 6 2 7" xfId="21478" xr:uid="{644EBC52-5086-4570-98D6-37EBB646DC62}"/>
    <cellStyle name="Comma 2 3 2 3 6 3" xfId="2494" xr:uid="{9C8CBDA1-173B-478E-99D5-26B909E664E3}"/>
    <cellStyle name="Comma 2 3 2 3 6 3 2" xfId="17094" xr:uid="{B89A0B9B-3AFA-4EC2-AE8F-5C6BC43112FE}"/>
    <cellStyle name="Comma 2 3 2 3 6 3 2 2" xfId="53602" xr:uid="{90F1B38C-F4E9-459C-8510-43C360D04E76}"/>
    <cellStyle name="Comma 2 3 2 3 6 3 2 3" xfId="35348" xr:uid="{E4655E78-1BA6-4F43-9A5E-4EF5C8D98335}"/>
    <cellStyle name="Comma 2 3 2 3 6 3 3" xfId="13444" xr:uid="{89BBC673-BCC3-4AA0-B96F-2F982F2D7CBE}"/>
    <cellStyle name="Comma 2 3 2 3 6 3 3 2" xfId="49952" xr:uid="{8764D48E-38A9-4243-A4CC-4772BE094051}"/>
    <cellStyle name="Comma 2 3 2 3 6 3 3 3" xfId="31698" xr:uid="{C4962531-BF77-4AF1-897F-189B50DF2B49}"/>
    <cellStyle name="Comma 2 3 2 3 6 3 4" xfId="9794" xr:uid="{67109D30-20CA-4EB4-A00D-C881E724C57D}"/>
    <cellStyle name="Comma 2 3 2 3 6 3 4 2" xfId="46302" xr:uid="{A125AB41-104D-48E4-AF8C-88456B5BBE06}"/>
    <cellStyle name="Comma 2 3 2 3 6 3 4 3" xfId="28048" xr:uid="{E6028578-F508-4340-9E77-D1566EFE163C}"/>
    <cellStyle name="Comma 2 3 2 3 6 3 5" xfId="6144" xr:uid="{393F31B6-58A8-43DD-9AB5-D2D7FEED7AA4}"/>
    <cellStyle name="Comma 2 3 2 3 6 3 5 2" xfId="42652" xr:uid="{51A7854F-C04C-457C-937D-3B297A10B1B2}"/>
    <cellStyle name="Comma 2 3 2 3 6 3 5 3" xfId="24398" xr:uid="{5A22A4FF-B745-4E5A-881C-06826802B37B}"/>
    <cellStyle name="Comma 2 3 2 3 6 3 6" xfId="39002" xr:uid="{50BE43C2-2E99-4372-825F-BC794E9FE185}"/>
    <cellStyle name="Comma 2 3 2 3 6 3 7" xfId="20748" xr:uid="{39C36B59-ED63-43D8-B511-4A5E83048B2B}"/>
    <cellStyle name="Comma 2 3 2 3 6 4" xfId="1764" xr:uid="{39658925-3B9A-40DC-847C-3699DEC15674}"/>
    <cellStyle name="Comma 2 3 2 3 6 4 2" xfId="16364" xr:uid="{04B1C7C7-7A2B-4951-9A4D-148516C0F7C1}"/>
    <cellStyle name="Comma 2 3 2 3 6 4 2 2" xfId="52872" xr:uid="{6B6B9A4B-067B-4B2A-96ED-0A2A30656544}"/>
    <cellStyle name="Comma 2 3 2 3 6 4 2 3" xfId="34618" xr:uid="{E6D82DA0-6252-4BAE-9539-E0EB365F0D86}"/>
    <cellStyle name="Comma 2 3 2 3 6 4 3" xfId="12714" xr:uid="{0983D54E-5052-46EB-AF0E-7136DF855ABE}"/>
    <cellStyle name="Comma 2 3 2 3 6 4 3 2" xfId="49222" xr:uid="{DDC52962-3ACC-43AF-840B-C09D50F32A63}"/>
    <cellStyle name="Comma 2 3 2 3 6 4 3 3" xfId="30968" xr:uid="{036E68E2-57AC-49F2-9B97-69A1BE55822F}"/>
    <cellStyle name="Comma 2 3 2 3 6 4 4" xfId="9064" xr:uid="{8F578247-BFBA-443C-95B2-C6C88F209E2D}"/>
    <cellStyle name="Comma 2 3 2 3 6 4 4 2" xfId="45572" xr:uid="{51958E6A-C852-4E08-AF7E-CE1E60C44D17}"/>
    <cellStyle name="Comma 2 3 2 3 6 4 4 3" xfId="27318" xr:uid="{473309A1-59CD-46A1-A652-922CAD60E934}"/>
    <cellStyle name="Comma 2 3 2 3 6 4 5" xfId="5414" xr:uid="{4185ED24-A599-410C-A9F6-845A581C55E6}"/>
    <cellStyle name="Comma 2 3 2 3 6 4 5 2" xfId="41922" xr:uid="{DD5852EF-4A07-43AD-BCFE-7F47F77563F0}"/>
    <cellStyle name="Comma 2 3 2 3 6 4 5 3" xfId="23668" xr:uid="{B92F5559-CF24-45BC-ABD2-E000D6C811FB}"/>
    <cellStyle name="Comma 2 3 2 3 6 4 6" xfId="38272" xr:uid="{023505B6-A058-4C6F-AF54-0C37FFE88313}"/>
    <cellStyle name="Comma 2 3 2 3 6 4 7" xfId="20018" xr:uid="{6C9EFCB7-47EB-4ECB-A33C-CBCFE3C56C64}"/>
    <cellStyle name="Comma 2 3 2 3 6 5" xfId="1034" xr:uid="{60454EE4-2FBF-4F85-8E46-AE0E333D12E2}"/>
    <cellStyle name="Comma 2 3 2 3 6 5 2" xfId="15634" xr:uid="{A91FB0E1-9C10-4AA6-9A1B-85D01740D1B4}"/>
    <cellStyle name="Comma 2 3 2 3 6 5 2 2" xfId="52142" xr:uid="{1C490A60-2AAC-4B32-8711-D88D93E6DF92}"/>
    <cellStyle name="Comma 2 3 2 3 6 5 2 3" xfId="33888" xr:uid="{96149548-5AC7-4CC5-91E9-BD3C42C69189}"/>
    <cellStyle name="Comma 2 3 2 3 6 5 3" xfId="11984" xr:uid="{3621C3D8-B5D0-4405-8CBB-CAD74DF48CC6}"/>
    <cellStyle name="Comma 2 3 2 3 6 5 3 2" xfId="48492" xr:uid="{C768D260-2DE4-44D8-B718-8B0E06E58AEE}"/>
    <cellStyle name="Comma 2 3 2 3 6 5 3 3" xfId="30238" xr:uid="{387A85B1-FAB6-423E-9602-D8CD748AC92F}"/>
    <cellStyle name="Comma 2 3 2 3 6 5 4" xfId="8334" xr:uid="{829036B7-6FE6-4D9D-8FD1-0778763D75B8}"/>
    <cellStyle name="Comma 2 3 2 3 6 5 4 2" xfId="44842" xr:uid="{8CFFB6D0-38BB-4394-AAFA-49A7B58B7A45}"/>
    <cellStyle name="Comma 2 3 2 3 6 5 4 3" xfId="26588" xr:uid="{5D66C644-3126-4BC4-9094-D52FD770AA8B}"/>
    <cellStyle name="Comma 2 3 2 3 6 5 5" xfId="4684" xr:uid="{B5D24FDA-31E8-4F36-908B-1F42CAC3C157}"/>
    <cellStyle name="Comma 2 3 2 3 6 5 5 2" xfId="41192" xr:uid="{D9769954-2EBE-4CCA-90AE-2583742D93E9}"/>
    <cellStyle name="Comma 2 3 2 3 6 5 5 3" xfId="22938" xr:uid="{92535B76-4D34-42A2-812E-09889BEF1FFB}"/>
    <cellStyle name="Comma 2 3 2 3 6 5 6" xfId="37542" xr:uid="{4493C76A-5F13-4C9F-BCB1-E3666DE3A5C1}"/>
    <cellStyle name="Comma 2 3 2 3 6 5 7" xfId="19288" xr:uid="{E5BD7875-C9E7-477B-A158-6CA3B998AA44}"/>
    <cellStyle name="Comma 2 3 2 3 6 6" xfId="14904" xr:uid="{3BDE08DF-6D30-4951-9DA5-6CB3E008B595}"/>
    <cellStyle name="Comma 2 3 2 3 6 6 2" xfId="51412" xr:uid="{B1DF0124-227D-436D-B7EF-29D9BABB3940}"/>
    <cellStyle name="Comma 2 3 2 3 6 6 3" xfId="33158" xr:uid="{6EB36AFA-487B-410A-8A14-4C9DBA82DBF4}"/>
    <cellStyle name="Comma 2 3 2 3 6 7" xfId="11254" xr:uid="{E15910E3-E324-4D0D-9084-912A23E22E77}"/>
    <cellStyle name="Comma 2 3 2 3 6 7 2" xfId="47762" xr:uid="{8D67B685-0C05-4A8B-A2EE-DDBA9A5610FD}"/>
    <cellStyle name="Comma 2 3 2 3 6 7 3" xfId="29508" xr:uid="{B99EBAC0-05B1-4559-B24D-7AE80093CF4D}"/>
    <cellStyle name="Comma 2 3 2 3 6 8" xfId="7604" xr:uid="{D4B01AFD-B97D-4251-AA86-32644702351C}"/>
    <cellStyle name="Comma 2 3 2 3 6 8 2" xfId="44112" xr:uid="{F226C640-378B-4000-A6D7-C674F360F16B}"/>
    <cellStyle name="Comma 2 3 2 3 6 8 3" xfId="25858" xr:uid="{3C305814-142A-4C4A-B287-FD47273AF14C}"/>
    <cellStyle name="Comma 2 3 2 3 6 9" xfId="3954" xr:uid="{38F65863-6B19-4507-80F9-3C10121E3A7B}"/>
    <cellStyle name="Comma 2 3 2 3 6 9 2" xfId="40462" xr:uid="{1B5BE266-011A-4EA3-97ED-06EA96E68552}"/>
    <cellStyle name="Comma 2 3 2 3 6 9 3" xfId="22208" xr:uid="{2770374C-4A92-49A2-BD8D-05F12F943BE3}"/>
    <cellStyle name="Comma 2 3 2 3 7" xfId="200" xr:uid="{64FAFACD-D795-4A0C-818C-0FB9D34492E0}"/>
    <cellStyle name="Comma 2 3 2 3 7 10" xfId="36708" xr:uid="{97E4058A-34F1-433E-A10C-0B63D80B89C0}"/>
    <cellStyle name="Comma 2 3 2 3 7 11" xfId="18454" xr:uid="{3B4F4888-C072-48BD-8F78-C52D970D5463}"/>
    <cellStyle name="Comma 2 3 2 3 7 2" xfId="3120" xr:uid="{B74C5383-CC08-420D-A58C-C9882D9F869F}"/>
    <cellStyle name="Comma 2 3 2 3 7 2 2" xfId="17720" xr:uid="{BAB3D7AE-E238-4EC1-9A2D-41839E3B3F0C}"/>
    <cellStyle name="Comma 2 3 2 3 7 2 2 2" xfId="54228" xr:uid="{0765EC39-C50C-409D-B32B-BD67C5DE251A}"/>
    <cellStyle name="Comma 2 3 2 3 7 2 2 3" xfId="35974" xr:uid="{4DC0477D-5CA7-4F79-9122-7071DBD57B9F}"/>
    <cellStyle name="Comma 2 3 2 3 7 2 3" xfId="14070" xr:uid="{7E7C3F2A-8172-437D-B340-C6A265C5E966}"/>
    <cellStyle name="Comma 2 3 2 3 7 2 3 2" xfId="50578" xr:uid="{7AAB91A2-8C18-496D-99F7-B43364C2B695}"/>
    <cellStyle name="Comma 2 3 2 3 7 2 3 3" xfId="32324" xr:uid="{8F5FF62E-0ED6-451F-9DFA-4A008CDCBA9E}"/>
    <cellStyle name="Comma 2 3 2 3 7 2 4" xfId="10420" xr:uid="{9F3673C7-8186-4FC4-A149-42C9BCB9EB6F}"/>
    <cellStyle name="Comma 2 3 2 3 7 2 4 2" xfId="46928" xr:uid="{A2B81F12-C7DB-439E-8BD9-AF24333C75C2}"/>
    <cellStyle name="Comma 2 3 2 3 7 2 4 3" xfId="28674" xr:uid="{862DBD86-6697-4C0F-A1DF-39FBFD210308}"/>
    <cellStyle name="Comma 2 3 2 3 7 2 5" xfId="6770" xr:uid="{C908FE11-3DB4-49FB-ADF1-9F0C7EB3C67E}"/>
    <cellStyle name="Comma 2 3 2 3 7 2 5 2" xfId="43278" xr:uid="{194CE311-DC04-41B0-98B2-A3210361AE99}"/>
    <cellStyle name="Comma 2 3 2 3 7 2 5 3" xfId="25024" xr:uid="{4B43B098-EDB7-44D5-89FB-6B6D3070D7E7}"/>
    <cellStyle name="Comma 2 3 2 3 7 2 6" xfId="39628" xr:uid="{BBD3441C-8D5D-4834-8F23-6652A443E2AD}"/>
    <cellStyle name="Comma 2 3 2 3 7 2 7" xfId="21374" xr:uid="{D19B610A-6469-4B72-B62E-8472C53B325C}"/>
    <cellStyle name="Comma 2 3 2 3 7 3" xfId="2390" xr:uid="{29D0C617-2196-44D2-8685-73F014A0DB30}"/>
    <cellStyle name="Comma 2 3 2 3 7 3 2" xfId="16990" xr:uid="{53E1E6BA-CA85-4EF9-A3CD-B2417AABFDE9}"/>
    <cellStyle name="Comma 2 3 2 3 7 3 2 2" xfId="53498" xr:uid="{4B9FAECD-5C50-499D-9221-3D12A66B96E8}"/>
    <cellStyle name="Comma 2 3 2 3 7 3 2 3" xfId="35244" xr:uid="{0484218C-571D-436A-B8F5-1EE9D61FB824}"/>
    <cellStyle name="Comma 2 3 2 3 7 3 3" xfId="13340" xr:uid="{C3841C01-C0A0-420F-AD91-B39FC06B9DE3}"/>
    <cellStyle name="Comma 2 3 2 3 7 3 3 2" xfId="49848" xr:uid="{F7EF36E6-43EE-4CFC-88D1-E8E657BCC1C6}"/>
    <cellStyle name="Comma 2 3 2 3 7 3 3 3" xfId="31594" xr:uid="{A46F032B-794B-4978-B0C2-830ADD6B1509}"/>
    <cellStyle name="Comma 2 3 2 3 7 3 4" xfId="9690" xr:uid="{C7516DD6-D445-439E-8038-6C7049917DF2}"/>
    <cellStyle name="Comma 2 3 2 3 7 3 4 2" xfId="46198" xr:uid="{063B50EB-2DDE-4D55-84F3-5F7AA5AC0AD7}"/>
    <cellStyle name="Comma 2 3 2 3 7 3 4 3" xfId="27944" xr:uid="{B6F51F7B-C237-472A-9B0B-81E7F273155F}"/>
    <cellStyle name="Comma 2 3 2 3 7 3 5" xfId="6040" xr:uid="{82AAB6D2-23E5-47E0-B1B2-2EB39463873F}"/>
    <cellStyle name="Comma 2 3 2 3 7 3 5 2" xfId="42548" xr:uid="{FF8716A6-CD23-4B13-BA0F-32C1C039D608}"/>
    <cellStyle name="Comma 2 3 2 3 7 3 5 3" xfId="24294" xr:uid="{F900E6EE-4C53-4F68-9EAB-C60EF3870713}"/>
    <cellStyle name="Comma 2 3 2 3 7 3 6" xfId="38898" xr:uid="{EC14B9FC-92BA-4F83-B839-294AFD06DE8F}"/>
    <cellStyle name="Comma 2 3 2 3 7 3 7" xfId="20644" xr:uid="{1072C277-B2CE-4EBA-A649-112DD0D2639F}"/>
    <cellStyle name="Comma 2 3 2 3 7 4" xfId="1660" xr:uid="{FF491B18-6748-438C-A985-243DFC8A692B}"/>
    <cellStyle name="Comma 2 3 2 3 7 4 2" xfId="16260" xr:uid="{7AAAD017-D401-406C-BDE1-6D70E1F35C66}"/>
    <cellStyle name="Comma 2 3 2 3 7 4 2 2" xfId="52768" xr:uid="{3FC4FD6E-1CF0-40C2-B13F-9A5EF03CF5B3}"/>
    <cellStyle name="Comma 2 3 2 3 7 4 2 3" xfId="34514" xr:uid="{CB7555E6-657A-438D-9AFD-1EAC2DC032E8}"/>
    <cellStyle name="Comma 2 3 2 3 7 4 3" xfId="12610" xr:uid="{E8D6A6E7-4821-4CB9-9467-647190B83182}"/>
    <cellStyle name="Comma 2 3 2 3 7 4 3 2" xfId="49118" xr:uid="{482A81D3-F1D2-4408-B77A-E180F4CB5E81}"/>
    <cellStyle name="Comma 2 3 2 3 7 4 3 3" xfId="30864" xr:uid="{9E66666B-B7FA-4CB1-A1F1-39B371870195}"/>
    <cellStyle name="Comma 2 3 2 3 7 4 4" xfId="8960" xr:uid="{8DDBB375-65A3-405A-B457-5A132F7D1346}"/>
    <cellStyle name="Comma 2 3 2 3 7 4 4 2" xfId="45468" xr:uid="{5B66209C-DEAA-47CB-B2C6-39CD4FCCE812}"/>
    <cellStyle name="Comma 2 3 2 3 7 4 4 3" xfId="27214" xr:uid="{63929436-42D5-4022-9F0F-63BA3081E3ED}"/>
    <cellStyle name="Comma 2 3 2 3 7 4 5" xfId="5310" xr:uid="{84E83E8D-397E-47EB-960D-5F935099523A}"/>
    <cellStyle name="Comma 2 3 2 3 7 4 5 2" xfId="41818" xr:uid="{7EF4F21D-47A5-4AC4-9F5C-3E078C33B168}"/>
    <cellStyle name="Comma 2 3 2 3 7 4 5 3" xfId="23564" xr:uid="{5929A95C-265A-4A80-81B2-DA58CD46D293}"/>
    <cellStyle name="Comma 2 3 2 3 7 4 6" xfId="38168" xr:uid="{321A1BD9-E1F2-4C62-950B-5980BCC98F8D}"/>
    <cellStyle name="Comma 2 3 2 3 7 4 7" xfId="19914" xr:uid="{A1A8A6D8-9DC5-4F64-8D6E-3F6790F6216B}"/>
    <cellStyle name="Comma 2 3 2 3 7 5" xfId="930" xr:uid="{C76736BD-09CB-4CA7-BDA1-9A5917DE8725}"/>
    <cellStyle name="Comma 2 3 2 3 7 5 2" xfId="15530" xr:uid="{1C1D47D7-E67C-409E-9915-35538CCCE796}"/>
    <cellStyle name="Comma 2 3 2 3 7 5 2 2" xfId="52038" xr:uid="{2E8051DE-567E-4502-8236-70A9AEAEE3CF}"/>
    <cellStyle name="Comma 2 3 2 3 7 5 2 3" xfId="33784" xr:uid="{1E339BD8-79AB-4855-A9B8-F83FE01A2390}"/>
    <cellStyle name="Comma 2 3 2 3 7 5 3" xfId="11880" xr:uid="{B377C9D0-8C07-49EB-83EF-8DCFEA25B234}"/>
    <cellStyle name="Comma 2 3 2 3 7 5 3 2" xfId="48388" xr:uid="{4CCD5588-96A0-4CD3-B769-3C316DE7F9EE}"/>
    <cellStyle name="Comma 2 3 2 3 7 5 3 3" xfId="30134" xr:uid="{2294810C-00E0-4ED0-8979-4304E9E1F514}"/>
    <cellStyle name="Comma 2 3 2 3 7 5 4" xfId="8230" xr:uid="{A5A1D2BB-C7E1-4B40-AA9F-8FF8FFDC3150}"/>
    <cellStyle name="Comma 2 3 2 3 7 5 4 2" xfId="44738" xr:uid="{96274448-0D0F-4988-AF85-B1F243CE2920}"/>
    <cellStyle name="Comma 2 3 2 3 7 5 4 3" xfId="26484" xr:uid="{59BB7A23-6519-46C7-A84B-9D74C1BBEAB0}"/>
    <cellStyle name="Comma 2 3 2 3 7 5 5" xfId="4580" xr:uid="{6729273C-487C-4FE8-8C38-3507FB6EA0F3}"/>
    <cellStyle name="Comma 2 3 2 3 7 5 5 2" xfId="41088" xr:uid="{94250BCE-9A31-4144-AC37-92DBDC91D096}"/>
    <cellStyle name="Comma 2 3 2 3 7 5 5 3" xfId="22834" xr:uid="{C43C25E1-D0E4-427B-A380-47164B7EE320}"/>
    <cellStyle name="Comma 2 3 2 3 7 5 6" xfId="37438" xr:uid="{677113D9-772B-43B3-A8CA-BB01C061DFDF}"/>
    <cellStyle name="Comma 2 3 2 3 7 5 7" xfId="19184" xr:uid="{99495CA8-F6FC-4C0F-B41A-962890B5F35C}"/>
    <cellStyle name="Comma 2 3 2 3 7 6" xfId="14800" xr:uid="{545C5565-6622-47DF-AAC5-38BCCA9C3F98}"/>
    <cellStyle name="Comma 2 3 2 3 7 6 2" xfId="51308" xr:uid="{38532A9B-5BF5-4D5F-8F5D-781BF811FA1E}"/>
    <cellStyle name="Comma 2 3 2 3 7 6 3" xfId="33054" xr:uid="{0FB981F0-8D9A-4F72-8651-1C18FE7E4EB6}"/>
    <cellStyle name="Comma 2 3 2 3 7 7" xfId="11150" xr:uid="{9A825CC4-721B-420F-8A74-610515FEB953}"/>
    <cellStyle name="Comma 2 3 2 3 7 7 2" xfId="47658" xr:uid="{4DBE46EB-1C03-41F4-BDA8-9642E9E82550}"/>
    <cellStyle name="Comma 2 3 2 3 7 7 3" xfId="29404" xr:uid="{D331FF02-100D-415E-9527-D3AA958451F7}"/>
    <cellStyle name="Comma 2 3 2 3 7 8" xfId="7500" xr:uid="{F6CAF972-F74D-4DC3-8F13-B1EE73903F32}"/>
    <cellStyle name="Comma 2 3 2 3 7 8 2" xfId="44008" xr:uid="{CE9AA664-AA98-4AC7-B27A-F69E2C53B06A}"/>
    <cellStyle name="Comma 2 3 2 3 7 8 3" xfId="25754" xr:uid="{866904B1-909B-479D-AB6C-F418691E88B7}"/>
    <cellStyle name="Comma 2 3 2 3 7 9" xfId="3850" xr:uid="{8406D18F-7A3F-4732-8EEC-676AE3E25C78}"/>
    <cellStyle name="Comma 2 3 2 3 7 9 2" xfId="40358" xr:uid="{6DF68A51-9696-47A6-AD34-73D3F4591678}"/>
    <cellStyle name="Comma 2 3 2 3 7 9 3" xfId="22104" xr:uid="{E96A7C96-AE00-49ED-AC26-1E79F8CF1FBA}"/>
    <cellStyle name="Comma 2 3 2 3 8" xfId="3016" xr:uid="{71F9BF37-35EC-4F47-BD5C-D43058CE017E}"/>
    <cellStyle name="Comma 2 3 2 3 8 2" xfId="17616" xr:uid="{AED0BB8E-E5E0-4BCE-A791-2A4989488A6C}"/>
    <cellStyle name="Comma 2 3 2 3 8 2 2" xfId="54124" xr:uid="{8B3801BE-A6ED-4144-B7DD-F988F12B94FE}"/>
    <cellStyle name="Comma 2 3 2 3 8 2 3" xfId="35870" xr:uid="{BD72750B-C047-4D97-AE1D-B5DF94DFB38C}"/>
    <cellStyle name="Comma 2 3 2 3 8 3" xfId="13966" xr:uid="{87834940-8B41-4EF7-A03D-BA2026B8059F}"/>
    <cellStyle name="Comma 2 3 2 3 8 3 2" xfId="50474" xr:uid="{15DCD53E-6325-48E3-8810-87664865C9E1}"/>
    <cellStyle name="Comma 2 3 2 3 8 3 3" xfId="32220" xr:uid="{425CC8F7-A2BE-4839-9D12-62CC041BD81D}"/>
    <cellStyle name="Comma 2 3 2 3 8 4" xfId="10316" xr:uid="{CB08E452-3768-427A-B72F-662651BAB459}"/>
    <cellStyle name="Comma 2 3 2 3 8 4 2" xfId="46824" xr:uid="{251EFF7A-BAD0-4202-A8D7-C3E53D60FEC2}"/>
    <cellStyle name="Comma 2 3 2 3 8 4 3" xfId="28570" xr:uid="{D702A15C-A2C0-4BB0-A507-43BA2599D91C}"/>
    <cellStyle name="Comma 2 3 2 3 8 5" xfId="6666" xr:uid="{71F565FF-F127-4601-9483-336C42297F22}"/>
    <cellStyle name="Comma 2 3 2 3 8 5 2" xfId="43174" xr:uid="{F6C2512B-927C-43C3-AA08-8326C56998E3}"/>
    <cellStyle name="Comma 2 3 2 3 8 5 3" xfId="24920" xr:uid="{AD045E74-00BF-44BD-B220-B00AFE98F723}"/>
    <cellStyle name="Comma 2 3 2 3 8 6" xfId="39524" xr:uid="{27108E66-B96E-48B3-9A7F-8AA38A596679}"/>
    <cellStyle name="Comma 2 3 2 3 8 7" xfId="21270" xr:uid="{2A7AACD5-18EC-40AE-BD6A-1B3A8DF9CF6F}"/>
    <cellStyle name="Comma 2 3 2 3 9" xfId="2286" xr:uid="{E284E376-B8E8-47D0-B94A-ED39A4C72C54}"/>
    <cellStyle name="Comma 2 3 2 3 9 2" xfId="16886" xr:uid="{C6921064-3379-4F6D-9177-C8E25ECE1F6C}"/>
    <cellStyle name="Comma 2 3 2 3 9 2 2" xfId="53394" xr:uid="{1F347915-36B5-4773-8279-2FA39C5F9515}"/>
    <cellStyle name="Comma 2 3 2 3 9 2 3" xfId="35140" xr:uid="{5AB766E5-B3A3-4868-A55F-5D3F127643D8}"/>
    <cellStyle name="Comma 2 3 2 3 9 3" xfId="13236" xr:uid="{9D6F893C-65B0-4C4B-B5AF-35487178E42D}"/>
    <cellStyle name="Comma 2 3 2 3 9 3 2" xfId="49744" xr:uid="{402B55AC-DB45-45E2-BFB3-22D65F52AB60}"/>
    <cellStyle name="Comma 2 3 2 3 9 3 3" xfId="31490" xr:uid="{69271070-0305-4572-894E-5291B317D2D9}"/>
    <cellStyle name="Comma 2 3 2 3 9 4" xfId="9586" xr:uid="{C8F7CEB8-2284-4BEC-A9A2-750E101D53A8}"/>
    <cellStyle name="Comma 2 3 2 3 9 4 2" xfId="46094" xr:uid="{3D9A1683-FFC4-42AB-8353-C9F3DF51097F}"/>
    <cellStyle name="Comma 2 3 2 3 9 4 3" xfId="27840" xr:uid="{30F226D3-67C2-4FCA-8B0E-0638CFF75170}"/>
    <cellStyle name="Comma 2 3 2 3 9 5" xfId="5936" xr:uid="{FFF937D4-03FB-4D2A-9641-A660EA7145A0}"/>
    <cellStyle name="Comma 2 3 2 3 9 5 2" xfId="42444" xr:uid="{85376B66-F78C-45F3-9D91-2E7D202121BF}"/>
    <cellStyle name="Comma 2 3 2 3 9 5 3" xfId="24190" xr:uid="{0ABF7D36-4AA9-418A-A4CE-E45AB097F0F1}"/>
    <cellStyle name="Comma 2 3 2 3 9 6" xfId="38794" xr:uid="{960C6AA0-DC09-4763-9932-D7B50217359D}"/>
    <cellStyle name="Comma 2 3 2 3 9 7" xfId="20540" xr:uid="{7DCEB0E7-14F3-47B4-855C-428668F3AB07}"/>
    <cellStyle name="Comma 2 3 2 4" xfId="58" xr:uid="{F8BB9966-755B-4AF3-BAF8-7A544E8AC1AB}"/>
    <cellStyle name="Comma 2 3 2 4 10" xfId="1524" xr:uid="{63115B0C-27D6-40F1-BA4B-229AABE3C909}"/>
    <cellStyle name="Comma 2 3 2 4 10 2" xfId="16124" xr:uid="{C6522955-6BF6-4DB7-B59B-26FD57D4E6A6}"/>
    <cellStyle name="Comma 2 3 2 4 10 2 2" xfId="52632" xr:uid="{B0E76A3D-7C99-4E90-AC7A-2DEC8A8F951E}"/>
    <cellStyle name="Comma 2 3 2 4 10 2 3" xfId="34378" xr:uid="{335FFED6-BA3F-4504-A238-7286428596EF}"/>
    <cellStyle name="Comma 2 3 2 4 10 3" xfId="12474" xr:uid="{8B4AC634-E233-457D-B56A-9840B171FC53}"/>
    <cellStyle name="Comma 2 3 2 4 10 3 2" xfId="48982" xr:uid="{DC6DB319-82DC-4C4E-863D-EAD2A9BCA761}"/>
    <cellStyle name="Comma 2 3 2 4 10 3 3" xfId="30728" xr:uid="{46FDA85C-B021-4C5D-BD40-3882078E76F9}"/>
    <cellStyle name="Comma 2 3 2 4 10 4" xfId="8824" xr:uid="{0CC2630B-A3FB-481E-AE5F-5C5EFCE78FA8}"/>
    <cellStyle name="Comma 2 3 2 4 10 4 2" xfId="45332" xr:uid="{55832BBB-9239-4244-9822-9B03226D1F8C}"/>
    <cellStyle name="Comma 2 3 2 4 10 4 3" xfId="27078" xr:uid="{7827947B-C334-49E7-BC4A-78AF2CACD943}"/>
    <cellStyle name="Comma 2 3 2 4 10 5" xfId="5174" xr:uid="{6BF1BF5D-8DCC-4FDC-9942-2D27D63371BD}"/>
    <cellStyle name="Comma 2 3 2 4 10 5 2" xfId="41682" xr:uid="{A78C9135-A6A9-4FC3-8E80-CF22FB368189}"/>
    <cellStyle name="Comma 2 3 2 4 10 5 3" xfId="23428" xr:uid="{1A5DE4D3-8D20-41BB-A210-28F84C37444D}"/>
    <cellStyle name="Comma 2 3 2 4 10 6" xfId="38032" xr:uid="{C8BEDE96-DEF9-40F3-AE55-00B2E272C437}"/>
    <cellStyle name="Comma 2 3 2 4 10 7" xfId="19778" xr:uid="{1F1F9A69-5368-4B73-866D-AD1B0E72BBE9}"/>
    <cellStyle name="Comma 2 3 2 4 11" xfId="794" xr:uid="{0BBF7131-3473-4E30-9655-6C85A98E3976}"/>
    <cellStyle name="Comma 2 3 2 4 11 2" xfId="15394" xr:uid="{71CA90CC-6D63-4004-8A6A-E81D36803EFA}"/>
    <cellStyle name="Comma 2 3 2 4 11 2 2" xfId="51902" xr:uid="{9DDA4DB8-8489-44A1-82BA-05C141B425A1}"/>
    <cellStyle name="Comma 2 3 2 4 11 2 3" xfId="33648" xr:uid="{5E62C683-197B-4B5B-BB28-305589C64851}"/>
    <cellStyle name="Comma 2 3 2 4 11 3" xfId="11744" xr:uid="{EFE2BB9D-3A6A-4505-8310-0EC0864B59A4}"/>
    <cellStyle name="Comma 2 3 2 4 11 3 2" xfId="48252" xr:uid="{A0C6FEB0-D0F8-49FB-ABB7-A2CDE4E65546}"/>
    <cellStyle name="Comma 2 3 2 4 11 3 3" xfId="29998" xr:uid="{47B19C88-A61B-4209-9CDA-E39124333F5F}"/>
    <cellStyle name="Comma 2 3 2 4 11 4" xfId="8094" xr:uid="{7E03DC2B-D2D9-44D9-BEBE-A618B481CF00}"/>
    <cellStyle name="Comma 2 3 2 4 11 4 2" xfId="44602" xr:uid="{CE0CA873-318B-4A51-A28A-D67E54A73AFC}"/>
    <cellStyle name="Comma 2 3 2 4 11 4 3" xfId="26348" xr:uid="{C2DCB219-599E-473B-A326-3763F8226E66}"/>
    <cellStyle name="Comma 2 3 2 4 11 5" xfId="4444" xr:uid="{E18F02A5-D414-457E-83C1-5732F96F43E0}"/>
    <cellStyle name="Comma 2 3 2 4 11 5 2" xfId="40952" xr:uid="{9864B20D-9F73-4809-BB15-B5D6449E9638}"/>
    <cellStyle name="Comma 2 3 2 4 11 5 3" xfId="22698" xr:uid="{E1469C61-4E28-4061-AB62-3516EB6B494B}"/>
    <cellStyle name="Comma 2 3 2 4 11 6" xfId="37302" xr:uid="{4B7980C1-FFFD-4032-B542-82B17DCA4F7C}"/>
    <cellStyle name="Comma 2 3 2 4 11 7" xfId="19048" xr:uid="{0F60509D-7764-466C-BD04-EC34D6B6927C}"/>
    <cellStyle name="Comma 2 3 2 4 12" xfId="14664" xr:uid="{D9EF0B1E-6FF2-46DD-A6FB-B13B396CBF55}"/>
    <cellStyle name="Comma 2 3 2 4 12 2" xfId="51172" xr:uid="{324D395D-AB88-4C2B-AC73-EAAB6BFA43D0}"/>
    <cellStyle name="Comma 2 3 2 4 12 3" xfId="32918" xr:uid="{A3A40AD4-678C-4016-B054-B048EC0B2B6D}"/>
    <cellStyle name="Comma 2 3 2 4 13" xfId="11014" xr:uid="{AB67ADC3-23C4-4D64-99F7-B659C098D152}"/>
    <cellStyle name="Comma 2 3 2 4 13 2" xfId="47522" xr:uid="{EE60DCB6-D346-4DEF-8974-3266B42F80DF}"/>
    <cellStyle name="Comma 2 3 2 4 13 3" xfId="29268" xr:uid="{F049759F-4EAD-43CC-A151-39FA23D50C9B}"/>
    <cellStyle name="Comma 2 3 2 4 14" xfId="7364" xr:uid="{21C91BEE-86D4-49B7-9F27-AA331A0AB2A8}"/>
    <cellStyle name="Comma 2 3 2 4 14 2" xfId="43872" xr:uid="{D64E1C02-0C94-41B7-A25B-83B42EED7184}"/>
    <cellStyle name="Comma 2 3 2 4 14 3" xfId="25618" xr:uid="{EDBE1E02-EB62-4A7D-A9C1-2989DC960A18}"/>
    <cellStyle name="Comma 2 3 2 4 15" xfId="3714" xr:uid="{67BAF390-0411-428D-A1C9-792ADC927813}"/>
    <cellStyle name="Comma 2 3 2 4 15 2" xfId="40222" xr:uid="{874BE490-B905-458F-80E1-5E4B7C7BA272}"/>
    <cellStyle name="Comma 2 3 2 4 15 3" xfId="21968" xr:uid="{F96042A6-ABA9-4CC0-8477-1BC49A4C1D9D}"/>
    <cellStyle name="Comma 2 3 2 4 16" xfId="36572" xr:uid="{BD717508-B586-4ADB-8BE0-8C0D5B0DDD0D}"/>
    <cellStyle name="Comma 2 3 2 4 17" xfId="18318" xr:uid="{A95C5146-BE8E-44FE-82CC-045487248C89}"/>
    <cellStyle name="Comma 2 3 2 4 2" xfId="688" xr:uid="{832FFFCF-E557-452D-B6E4-400C359DB800}"/>
    <cellStyle name="Comma 2 3 2 4 2 10" xfId="37196" xr:uid="{5ECD6391-C0B0-47CB-8DA8-FEC5B65BB7AD}"/>
    <cellStyle name="Comma 2 3 2 4 2 11" xfId="18942" xr:uid="{3DBD77F0-DF02-41ED-9368-C5E5523DA575}"/>
    <cellStyle name="Comma 2 3 2 4 2 2" xfId="3608" xr:uid="{B48B861B-9F58-41A4-8FD6-5EA1DDDADA54}"/>
    <cellStyle name="Comma 2 3 2 4 2 2 2" xfId="18208" xr:uid="{44CC5B17-93E6-4569-B7FF-7A12A2561C47}"/>
    <cellStyle name="Comma 2 3 2 4 2 2 2 2" xfId="54716" xr:uid="{49F16615-3586-4879-B54D-5E1ACB3BEA59}"/>
    <cellStyle name="Comma 2 3 2 4 2 2 2 3" xfId="36462" xr:uid="{6F765AF4-6352-4007-BD23-6A008E4A29DB}"/>
    <cellStyle name="Comma 2 3 2 4 2 2 3" xfId="14558" xr:uid="{AAD16F8E-CE01-4D9D-9BE6-6142F269C416}"/>
    <cellStyle name="Comma 2 3 2 4 2 2 3 2" xfId="51066" xr:uid="{9ACA513D-A70C-4078-AF5A-EA75B76A00B3}"/>
    <cellStyle name="Comma 2 3 2 4 2 2 3 3" xfId="32812" xr:uid="{8F5F016F-EAB2-4CD0-9283-1A044B9E9FA3}"/>
    <cellStyle name="Comma 2 3 2 4 2 2 4" xfId="10908" xr:uid="{2AD19856-4C72-4A55-B62E-DDC0E14D156C}"/>
    <cellStyle name="Comma 2 3 2 4 2 2 4 2" xfId="47416" xr:uid="{3D346E15-2A18-43E3-B744-E30E62755F38}"/>
    <cellStyle name="Comma 2 3 2 4 2 2 4 3" xfId="29162" xr:uid="{310C34BC-39A3-429B-AE4A-B92D62CD1144}"/>
    <cellStyle name="Comma 2 3 2 4 2 2 5" xfId="7258" xr:uid="{C379CBF0-0C23-4C7F-AFCD-47A0B0159E43}"/>
    <cellStyle name="Comma 2 3 2 4 2 2 5 2" xfId="43766" xr:uid="{7E8CFC3B-743E-4048-8AD1-B9AD9FD76ED6}"/>
    <cellStyle name="Comma 2 3 2 4 2 2 5 3" xfId="25512" xr:uid="{49E409DB-8AFA-4A02-A9E6-E4C23B3250CD}"/>
    <cellStyle name="Comma 2 3 2 4 2 2 6" xfId="40116" xr:uid="{D321A81B-1295-4148-857E-FFB85A7DFDE7}"/>
    <cellStyle name="Comma 2 3 2 4 2 2 7" xfId="21862" xr:uid="{2ED1B6E5-0BF4-4E5A-9E64-A7F6828B2CE8}"/>
    <cellStyle name="Comma 2 3 2 4 2 3" xfId="2878" xr:uid="{E2366A8B-2F2B-49D5-BB12-08015DE3DAE2}"/>
    <cellStyle name="Comma 2 3 2 4 2 3 2" xfId="17478" xr:uid="{4A4EBF04-1CEC-46FB-B33A-9A58A7AD709A}"/>
    <cellStyle name="Comma 2 3 2 4 2 3 2 2" xfId="53986" xr:uid="{7D979FB1-1F81-4D79-9166-5005EFE191C0}"/>
    <cellStyle name="Comma 2 3 2 4 2 3 2 3" xfId="35732" xr:uid="{0F9A8F79-4224-4397-876C-402ADE96193E}"/>
    <cellStyle name="Comma 2 3 2 4 2 3 3" xfId="13828" xr:uid="{F6C127D2-5858-4418-96FE-383F5A3C9F8C}"/>
    <cellStyle name="Comma 2 3 2 4 2 3 3 2" xfId="50336" xr:uid="{2381A72F-3F11-4D6C-B0A7-84CB2367FD8B}"/>
    <cellStyle name="Comma 2 3 2 4 2 3 3 3" xfId="32082" xr:uid="{671BC2D9-2122-4EA0-94C8-98C9627F7C66}"/>
    <cellStyle name="Comma 2 3 2 4 2 3 4" xfId="10178" xr:uid="{A30B2343-5073-4D6C-8B94-C8CCE89DD0E6}"/>
    <cellStyle name="Comma 2 3 2 4 2 3 4 2" xfId="46686" xr:uid="{0696F41C-CF89-47BB-8E57-2E10FF21360D}"/>
    <cellStyle name="Comma 2 3 2 4 2 3 4 3" xfId="28432" xr:uid="{28D19531-06E7-4C13-8E4C-E7CBD2538C15}"/>
    <cellStyle name="Comma 2 3 2 4 2 3 5" xfId="6528" xr:uid="{D43860BE-5A96-48E3-83E6-0CB6FD69EBC3}"/>
    <cellStyle name="Comma 2 3 2 4 2 3 5 2" xfId="43036" xr:uid="{EBB6C80C-E73B-412E-B4A1-2E548329041F}"/>
    <cellStyle name="Comma 2 3 2 4 2 3 5 3" xfId="24782" xr:uid="{514CB6D9-20A0-4F1A-BEB5-970545DDD519}"/>
    <cellStyle name="Comma 2 3 2 4 2 3 6" xfId="39386" xr:uid="{83BBF57E-FF8C-4AA9-8ECE-8FE27BC92F23}"/>
    <cellStyle name="Comma 2 3 2 4 2 3 7" xfId="21132" xr:uid="{462BD187-087F-4FA1-851F-77AF61616C8B}"/>
    <cellStyle name="Comma 2 3 2 4 2 4" xfId="2148" xr:uid="{79CC9185-A6D3-4CB8-91A0-029769D9DFA0}"/>
    <cellStyle name="Comma 2 3 2 4 2 4 2" xfId="16748" xr:uid="{375237E5-AD2C-4CD1-AB5D-67AB579E4272}"/>
    <cellStyle name="Comma 2 3 2 4 2 4 2 2" xfId="53256" xr:uid="{DAE1B585-8E86-4D6A-B387-983C07CDE039}"/>
    <cellStyle name="Comma 2 3 2 4 2 4 2 3" xfId="35002" xr:uid="{4B119B2A-E1DD-4A34-9AFC-382A77EF2ADD}"/>
    <cellStyle name="Comma 2 3 2 4 2 4 3" xfId="13098" xr:uid="{3D49E7B2-633C-49A5-A251-937B88E4D767}"/>
    <cellStyle name="Comma 2 3 2 4 2 4 3 2" xfId="49606" xr:uid="{46A1DEEA-49F8-4FD2-A9C5-24E8D5D33F2A}"/>
    <cellStyle name="Comma 2 3 2 4 2 4 3 3" xfId="31352" xr:uid="{1628D2FA-06C5-41B1-A5E5-60B65268561F}"/>
    <cellStyle name="Comma 2 3 2 4 2 4 4" xfId="9448" xr:uid="{8E383A82-C6BA-4135-8AF0-FD5DCEA81E53}"/>
    <cellStyle name="Comma 2 3 2 4 2 4 4 2" xfId="45956" xr:uid="{EB12B573-0A75-4646-B32F-FE06A33E508B}"/>
    <cellStyle name="Comma 2 3 2 4 2 4 4 3" xfId="27702" xr:uid="{FAE45E69-F71B-4C1A-B6B6-B34F4F3F0EA6}"/>
    <cellStyle name="Comma 2 3 2 4 2 4 5" xfId="5798" xr:uid="{72705BD3-1BAC-4B9C-9784-0E821E00C53D}"/>
    <cellStyle name="Comma 2 3 2 4 2 4 5 2" xfId="42306" xr:uid="{EC1E452F-2094-4F4B-BC9A-1623BFE2D88F}"/>
    <cellStyle name="Comma 2 3 2 4 2 4 5 3" xfId="24052" xr:uid="{A6063446-0A22-4A0C-BEFD-1A65A048140E}"/>
    <cellStyle name="Comma 2 3 2 4 2 4 6" xfId="38656" xr:uid="{22B67C26-3CA7-4119-90C4-4220AA0872F6}"/>
    <cellStyle name="Comma 2 3 2 4 2 4 7" xfId="20402" xr:uid="{09C332B6-5152-4130-BC99-86F350B1A6DD}"/>
    <cellStyle name="Comma 2 3 2 4 2 5" xfId="1418" xr:uid="{FF257012-9392-44FA-B9EC-688A5B1345F6}"/>
    <cellStyle name="Comma 2 3 2 4 2 5 2" xfId="16018" xr:uid="{D17E7B35-79CA-4AAC-8873-A0773B009439}"/>
    <cellStyle name="Comma 2 3 2 4 2 5 2 2" xfId="52526" xr:uid="{6F40664F-5795-45CD-93CB-8794D6D8EA17}"/>
    <cellStyle name="Comma 2 3 2 4 2 5 2 3" xfId="34272" xr:uid="{DEA8B752-365E-49E3-AC3D-2EDD89B80C82}"/>
    <cellStyle name="Comma 2 3 2 4 2 5 3" xfId="12368" xr:uid="{873F98B3-F24C-4113-A8D8-5F3AA8371D2B}"/>
    <cellStyle name="Comma 2 3 2 4 2 5 3 2" xfId="48876" xr:uid="{B09AAAE4-45B4-4633-9A99-EFEABC60BB53}"/>
    <cellStyle name="Comma 2 3 2 4 2 5 3 3" xfId="30622" xr:uid="{4EF341AA-1E3E-4081-A5CC-1018C47CEFF9}"/>
    <cellStyle name="Comma 2 3 2 4 2 5 4" xfId="8718" xr:uid="{F1B5368E-DFA3-436F-81C4-F0B025DA562F}"/>
    <cellStyle name="Comma 2 3 2 4 2 5 4 2" xfId="45226" xr:uid="{85042B78-BD69-4601-9C19-969CDF1C7430}"/>
    <cellStyle name="Comma 2 3 2 4 2 5 4 3" xfId="26972" xr:uid="{2B6949FA-4A27-4A19-B6CD-69ACC4445CB9}"/>
    <cellStyle name="Comma 2 3 2 4 2 5 5" xfId="5068" xr:uid="{8B9B0FBE-6828-4B0A-8C36-57A2440FA385}"/>
    <cellStyle name="Comma 2 3 2 4 2 5 5 2" xfId="41576" xr:uid="{E51CE189-6C48-4CDD-B945-C3F2DC2366D9}"/>
    <cellStyle name="Comma 2 3 2 4 2 5 5 3" xfId="23322" xr:uid="{A29E359B-DDC1-4DFA-A585-2DB6929B778A}"/>
    <cellStyle name="Comma 2 3 2 4 2 5 6" xfId="37926" xr:uid="{5ED81183-2552-4581-9E34-CF9EF4B845AC}"/>
    <cellStyle name="Comma 2 3 2 4 2 5 7" xfId="19672" xr:uid="{0E2B9174-29B7-4513-ABDE-1F56948D6E10}"/>
    <cellStyle name="Comma 2 3 2 4 2 6" xfId="15288" xr:uid="{5364248D-F825-4F78-9230-D5D82BB37890}"/>
    <cellStyle name="Comma 2 3 2 4 2 6 2" xfId="51796" xr:uid="{1C4FB963-BBE3-4FB3-9A14-D5EA11EF7082}"/>
    <cellStyle name="Comma 2 3 2 4 2 6 3" xfId="33542" xr:uid="{A15B13DD-C20F-4D0F-A6E7-30D29E477951}"/>
    <cellStyle name="Comma 2 3 2 4 2 7" xfId="11638" xr:uid="{B462D8CA-92E5-4CA5-AAEB-4ACA6DF5E136}"/>
    <cellStyle name="Comma 2 3 2 4 2 7 2" xfId="48146" xr:uid="{2E57A90E-1840-42D2-9F6C-8AE3F6B1C973}"/>
    <cellStyle name="Comma 2 3 2 4 2 7 3" xfId="29892" xr:uid="{B8B82031-5128-445A-9931-4D4C6B3FE8C0}"/>
    <cellStyle name="Comma 2 3 2 4 2 8" xfId="7988" xr:uid="{58C0C81D-6F36-43F6-816F-D0781DFD67DE}"/>
    <cellStyle name="Comma 2 3 2 4 2 8 2" xfId="44496" xr:uid="{4249C184-1579-44A4-B5F7-61545EE8F0A4}"/>
    <cellStyle name="Comma 2 3 2 4 2 8 3" xfId="26242" xr:uid="{4EFAF386-F8C4-4FF4-B0E0-068AAFE24E8A}"/>
    <cellStyle name="Comma 2 3 2 4 2 9" xfId="4338" xr:uid="{0795D236-2385-4FBB-A226-C06884BABD1E}"/>
    <cellStyle name="Comma 2 3 2 4 2 9 2" xfId="40846" xr:uid="{5A35FCE6-4F1F-48D2-AED3-2DBF9D2D4BF4}"/>
    <cellStyle name="Comma 2 3 2 4 2 9 3" xfId="22592" xr:uid="{7465E626-2345-42EB-B0E8-8F01FE2EFA35}"/>
    <cellStyle name="Comma 2 3 2 4 3" xfId="584" xr:uid="{844C31EE-A14F-4D76-BA86-8002CD759E05}"/>
    <cellStyle name="Comma 2 3 2 4 3 10" xfId="37092" xr:uid="{51821094-D5E1-4681-9CA2-3C4909CD1245}"/>
    <cellStyle name="Comma 2 3 2 4 3 11" xfId="18838" xr:uid="{1A9E274D-23E8-4A5A-BE0C-234F6C40C3B9}"/>
    <cellStyle name="Comma 2 3 2 4 3 2" xfId="3504" xr:uid="{3BEFBAFB-B97C-4485-A9B5-00E99E4EF507}"/>
    <cellStyle name="Comma 2 3 2 4 3 2 2" xfId="18104" xr:uid="{1516B72C-DD92-4A2D-AA3D-EE3C24E0573B}"/>
    <cellStyle name="Comma 2 3 2 4 3 2 2 2" xfId="54612" xr:uid="{7756B885-0807-4460-8734-89E248B3061F}"/>
    <cellStyle name="Comma 2 3 2 4 3 2 2 3" xfId="36358" xr:uid="{CFDDD458-987D-40C0-97E6-65A616EDF1F0}"/>
    <cellStyle name="Comma 2 3 2 4 3 2 3" xfId="14454" xr:uid="{35ED7344-9C76-4B93-B1C1-CA6145C70E39}"/>
    <cellStyle name="Comma 2 3 2 4 3 2 3 2" xfId="50962" xr:uid="{EE18F934-433A-4D2A-9F76-EB970333F770}"/>
    <cellStyle name="Comma 2 3 2 4 3 2 3 3" xfId="32708" xr:uid="{8ABA327C-3300-45C7-9464-AA80798DB583}"/>
    <cellStyle name="Comma 2 3 2 4 3 2 4" xfId="10804" xr:uid="{9379B2F6-A864-4B82-BC61-CA88B272CEE5}"/>
    <cellStyle name="Comma 2 3 2 4 3 2 4 2" xfId="47312" xr:uid="{E52E7447-16AC-437D-8C65-63AD84503AB5}"/>
    <cellStyle name="Comma 2 3 2 4 3 2 4 3" xfId="29058" xr:uid="{9CC065F7-BFB1-4AE1-B54F-C88A590C93E0}"/>
    <cellStyle name="Comma 2 3 2 4 3 2 5" xfId="7154" xr:uid="{F2B43782-9A8E-4C83-881E-8EB8CFB4AA48}"/>
    <cellStyle name="Comma 2 3 2 4 3 2 5 2" xfId="43662" xr:uid="{EA4410EB-3A46-4939-8806-66A1098BEC01}"/>
    <cellStyle name="Comma 2 3 2 4 3 2 5 3" xfId="25408" xr:uid="{427D18FA-8C8F-45F3-98A3-815C58739077}"/>
    <cellStyle name="Comma 2 3 2 4 3 2 6" xfId="40012" xr:uid="{0BF12B10-54A6-435B-BACF-62212D092AE6}"/>
    <cellStyle name="Comma 2 3 2 4 3 2 7" xfId="21758" xr:uid="{B7EFC624-5B2D-4627-86D1-B6573F73DB60}"/>
    <cellStyle name="Comma 2 3 2 4 3 3" xfId="2774" xr:uid="{7880D902-BF51-472E-916E-ADE95C6CFFCD}"/>
    <cellStyle name="Comma 2 3 2 4 3 3 2" xfId="17374" xr:uid="{F57E3FEA-851F-4999-9C19-7A0629583F71}"/>
    <cellStyle name="Comma 2 3 2 4 3 3 2 2" xfId="53882" xr:uid="{A8213416-5F38-471A-B87F-8EC11F14F780}"/>
    <cellStyle name="Comma 2 3 2 4 3 3 2 3" xfId="35628" xr:uid="{308076DE-12BC-4FF3-B610-6D755A2582B2}"/>
    <cellStyle name="Comma 2 3 2 4 3 3 3" xfId="13724" xr:uid="{9F7190EE-1170-4C4E-8596-E3E0708FBA5D}"/>
    <cellStyle name="Comma 2 3 2 4 3 3 3 2" xfId="50232" xr:uid="{3416E7F6-EA39-4FF7-9029-60FC27E9B400}"/>
    <cellStyle name="Comma 2 3 2 4 3 3 3 3" xfId="31978" xr:uid="{67782AE5-90AD-4C3C-A7F2-614BB02059D3}"/>
    <cellStyle name="Comma 2 3 2 4 3 3 4" xfId="10074" xr:uid="{37518FF2-A6AD-4D89-9326-CB4F9B24450E}"/>
    <cellStyle name="Comma 2 3 2 4 3 3 4 2" xfId="46582" xr:uid="{2B9D9FD6-4B30-49E7-8596-51C19451A1D3}"/>
    <cellStyle name="Comma 2 3 2 4 3 3 4 3" xfId="28328" xr:uid="{876BC785-464F-4A1C-852D-3405FF7ED21D}"/>
    <cellStyle name="Comma 2 3 2 4 3 3 5" xfId="6424" xr:uid="{F031437A-12EE-4155-B621-40657061C398}"/>
    <cellStyle name="Comma 2 3 2 4 3 3 5 2" xfId="42932" xr:uid="{861D7373-4A27-44FD-B3CA-1B7DFBFB5FFD}"/>
    <cellStyle name="Comma 2 3 2 4 3 3 5 3" xfId="24678" xr:uid="{E09AAF79-1E7C-4BBB-BCF2-65C5BC1C3C40}"/>
    <cellStyle name="Comma 2 3 2 4 3 3 6" xfId="39282" xr:uid="{F7E60994-5B30-4EDD-8166-ACF98E36A295}"/>
    <cellStyle name="Comma 2 3 2 4 3 3 7" xfId="21028" xr:uid="{345332DB-CBFE-4EEB-82FD-6BA6343C27BE}"/>
    <cellStyle name="Comma 2 3 2 4 3 4" xfId="2044" xr:uid="{99007194-D3F6-4C7D-B22C-BDE16B77FB71}"/>
    <cellStyle name="Comma 2 3 2 4 3 4 2" xfId="16644" xr:uid="{7CDDF605-46BE-4F40-B101-1D346C5FD17D}"/>
    <cellStyle name="Comma 2 3 2 4 3 4 2 2" xfId="53152" xr:uid="{D6B12D08-AA8C-4BC0-B97C-FB60CE551752}"/>
    <cellStyle name="Comma 2 3 2 4 3 4 2 3" xfId="34898" xr:uid="{AD72ED42-C690-4AA8-89AE-A2BE5290563E}"/>
    <cellStyle name="Comma 2 3 2 4 3 4 3" xfId="12994" xr:uid="{51F08823-ABD0-44CD-B226-25BFCFBD6006}"/>
    <cellStyle name="Comma 2 3 2 4 3 4 3 2" xfId="49502" xr:uid="{13278312-B40F-4D3C-9B6F-0B159354A01F}"/>
    <cellStyle name="Comma 2 3 2 4 3 4 3 3" xfId="31248" xr:uid="{4ECE5AF1-81A4-4444-9FB8-36E5D927012C}"/>
    <cellStyle name="Comma 2 3 2 4 3 4 4" xfId="9344" xr:uid="{E19759FF-3E2F-4D52-AC46-DD76B36CDC5F}"/>
    <cellStyle name="Comma 2 3 2 4 3 4 4 2" xfId="45852" xr:uid="{BC4DCA34-89A3-4B82-80AD-2F6DE144DA61}"/>
    <cellStyle name="Comma 2 3 2 4 3 4 4 3" xfId="27598" xr:uid="{305295AD-A9D3-40A5-A6A3-F40A4CA9FC19}"/>
    <cellStyle name="Comma 2 3 2 4 3 4 5" xfId="5694" xr:uid="{6867FDF4-7BB5-46D8-81B6-AB42F03D3EDC}"/>
    <cellStyle name="Comma 2 3 2 4 3 4 5 2" xfId="42202" xr:uid="{BF2FC671-8ACA-4F48-9DB8-1CA4022E7CAC}"/>
    <cellStyle name="Comma 2 3 2 4 3 4 5 3" xfId="23948" xr:uid="{E3602755-BC7D-4877-9E62-F055395991F8}"/>
    <cellStyle name="Comma 2 3 2 4 3 4 6" xfId="38552" xr:uid="{535DD5C4-7DCF-4512-8760-9CC7AEA91867}"/>
    <cellStyle name="Comma 2 3 2 4 3 4 7" xfId="20298" xr:uid="{4646C390-A4D1-44C9-92D3-24CC23B48131}"/>
    <cellStyle name="Comma 2 3 2 4 3 5" xfId="1314" xr:uid="{BF9550D4-98E1-443C-86CA-BAB45C58A939}"/>
    <cellStyle name="Comma 2 3 2 4 3 5 2" xfId="15914" xr:uid="{3531DED6-7567-4BD4-8465-30578FA6A5F4}"/>
    <cellStyle name="Comma 2 3 2 4 3 5 2 2" xfId="52422" xr:uid="{2848C381-EE2B-44D8-9F8B-D30FC1D4ABE9}"/>
    <cellStyle name="Comma 2 3 2 4 3 5 2 3" xfId="34168" xr:uid="{25499FCB-66DA-4FD1-A1B1-7FFAD58EFED9}"/>
    <cellStyle name="Comma 2 3 2 4 3 5 3" xfId="12264" xr:uid="{23F87FC5-5BE3-4ECC-BE70-7D8843AD79CF}"/>
    <cellStyle name="Comma 2 3 2 4 3 5 3 2" xfId="48772" xr:uid="{74A440A2-1F2C-43F1-A7C3-BB567B8DC35D}"/>
    <cellStyle name="Comma 2 3 2 4 3 5 3 3" xfId="30518" xr:uid="{3C95283F-8015-48D4-8A6B-BD73D991BCCA}"/>
    <cellStyle name="Comma 2 3 2 4 3 5 4" xfId="8614" xr:uid="{7C0D6068-72EA-4462-9FA1-344A6604C62E}"/>
    <cellStyle name="Comma 2 3 2 4 3 5 4 2" xfId="45122" xr:uid="{6A99F681-D450-4685-BD97-F9D6EC42D567}"/>
    <cellStyle name="Comma 2 3 2 4 3 5 4 3" xfId="26868" xr:uid="{31E54E0B-0F6C-4C5B-97E3-A5F317E5849A}"/>
    <cellStyle name="Comma 2 3 2 4 3 5 5" xfId="4964" xr:uid="{DCBB0FA7-388E-4F89-8037-42AB25D76156}"/>
    <cellStyle name="Comma 2 3 2 4 3 5 5 2" xfId="41472" xr:uid="{00383832-B4B9-4ED5-8CAF-2DFBC346FCEC}"/>
    <cellStyle name="Comma 2 3 2 4 3 5 5 3" xfId="23218" xr:uid="{BC4E2AFA-9579-41F1-9379-A0B678AACA6B}"/>
    <cellStyle name="Comma 2 3 2 4 3 5 6" xfId="37822" xr:uid="{AD3908B1-6A13-451E-B57F-A2E0627AF316}"/>
    <cellStyle name="Comma 2 3 2 4 3 5 7" xfId="19568" xr:uid="{9E6888D7-6CE2-475E-9538-165EDC613808}"/>
    <cellStyle name="Comma 2 3 2 4 3 6" xfId="15184" xr:uid="{BF48F42E-E4B4-4E4C-9CFE-8F1CC943510A}"/>
    <cellStyle name="Comma 2 3 2 4 3 6 2" xfId="51692" xr:uid="{22EBF6E8-576E-496A-B1CC-470AF61676D6}"/>
    <cellStyle name="Comma 2 3 2 4 3 6 3" xfId="33438" xr:uid="{BAA0209A-370C-44B6-8CCA-A170667BB31A}"/>
    <cellStyle name="Comma 2 3 2 4 3 7" xfId="11534" xr:uid="{AFF3B2DB-9121-48F7-A92A-39A2DEF1AAE0}"/>
    <cellStyle name="Comma 2 3 2 4 3 7 2" xfId="48042" xr:uid="{7CA55BA8-DEE0-417E-9419-7FD5954C7B97}"/>
    <cellStyle name="Comma 2 3 2 4 3 7 3" xfId="29788" xr:uid="{A317FF5C-7489-4787-BF0D-327FA701E362}"/>
    <cellStyle name="Comma 2 3 2 4 3 8" xfId="7884" xr:uid="{4CC6F4F9-936B-493E-9F47-1F2CE9632E21}"/>
    <cellStyle name="Comma 2 3 2 4 3 8 2" xfId="44392" xr:uid="{4D53927E-630C-4C2A-BBD9-9CD8F02ED567}"/>
    <cellStyle name="Comma 2 3 2 4 3 8 3" xfId="26138" xr:uid="{DE6E8C4D-5865-4F6F-A05A-766C9D386F07}"/>
    <cellStyle name="Comma 2 3 2 4 3 9" xfId="4234" xr:uid="{2C3ABA2E-BB01-4C52-82E2-18B60DD356AD}"/>
    <cellStyle name="Comma 2 3 2 4 3 9 2" xfId="40742" xr:uid="{362702DF-7FB6-46A8-989F-F2524B77384B}"/>
    <cellStyle name="Comma 2 3 2 4 3 9 3" xfId="22488" xr:uid="{A220ABF4-9CA0-4EAC-927E-396A50E30C61}"/>
    <cellStyle name="Comma 2 3 2 4 4" xfId="480" xr:uid="{DAB6E560-ED58-47ED-87C4-2A7A5C994B26}"/>
    <cellStyle name="Comma 2 3 2 4 4 10" xfId="36988" xr:uid="{11080DB5-1CA2-4E76-8957-1B81123B8796}"/>
    <cellStyle name="Comma 2 3 2 4 4 11" xfId="18734" xr:uid="{7BE2A889-446B-4992-90AE-2B90E81B8472}"/>
    <cellStyle name="Comma 2 3 2 4 4 2" xfId="3400" xr:uid="{EB959853-3337-45B4-9FAD-9509619B3CFC}"/>
    <cellStyle name="Comma 2 3 2 4 4 2 2" xfId="18000" xr:uid="{6FEEF924-4200-4314-BDE0-DC74BE0D64A4}"/>
    <cellStyle name="Comma 2 3 2 4 4 2 2 2" xfId="54508" xr:uid="{F2A369D0-6F86-460E-A759-73BB730A940A}"/>
    <cellStyle name="Comma 2 3 2 4 4 2 2 3" xfId="36254" xr:uid="{D72AE74F-0E06-4D8F-BCC6-8996194FE582}"/>
    <cellStyle name="Comma 2 3 2 4 4 2 3" xfId="14350" xr:uid="{169CFD9A-B55D-453B-87CF-EA47B6E2958D}"/>
    <cellStyle name="Comma 2 3 2 4 4 2 3 2" xfId="50858" xr:uid="{2D8B2E85-10C2-456F-8662-F808526171D5}"/>
    <cellStyle name="Comma 2 3 2 4 4 2 3 3" xfId="32604" xr:uid="{416293E1-69EF-43A7-BEED-C56B422959B2}"/>
    <cellStyle name="Comma 2 3 2 4 4 2 4" xfId="10700" xr:uid="{107FDC21-F4FA-4E2E-9B66-38174101EF99}"/>
    <cellStyle name="Comma 2 3 2 4 4 2 4 2" xfId="47208" xr:uid="{C2115AA1-734F-4E88-82D0-2AD0E0247B23}"/>
    <cellStyle name="Comma 2 3 2 4 4 2 4 3" xfId="28954" xr:uid="{C01C5139-3987-44A4-9E4E-8AB7062E47DF}"/>
    <cellStyle name="Comma 2 3 2 4 4 2 5" xfId="7050" xr:uid="{92DAB8E4-E5D6-4CCE-AC89-DA5626AF4D98}"/>
    <cellStyle name="Comma 2 3 2 4 4 2 5 2" xfId="43558" xr:uid="{8D7DB217-152B-49DB-8047-637074E9DF94}"/>
    <cellStyle name="Comma 2 3 2 4 4 2 5 3" xfId="25304" xr:uid="{5F8B2923-3A86-4946-89F8-C0FFEFACAB91}"/>
    <cellStyle name="Comma 2 3 2 4 4 2 6" xfId="39908" xr:uid="{61CB1129-E8E0-4518-873B-8061DB43F5EF}"/>
    <cellStyle name="Comma 2 3 2 4 4 2 7" xfId="21654" xr:uid="{099ABEE6-4E2A-4630-84EA-9FA36F3F4F09}"/>
    <cellStyle name="Comma 2 3 2 4 4 3" xfId="2670" xr:uid="{41B15621-8E97-4061-BCE3-7733640C1AE3}"/>
    <cellStyle name="Comma 2 3 2 4 4 3 2" xfId="17270" xr:uid="{7C17E038-56CC-406D-88F9-F416604CB737}"/>
    <cellStyle name="Comma 2 3 2 4 4 3 2 2" xfId="53778" xr:uid="{F79D3F24-19D6-41B4-B724-896F274851B2}"/>
    <cellStyle name="Comma 2 3 2 4 4 3 2 3" xfId="35524" xr:uid="{FF0A322F-D667-429A-92C1-12561F1CEEF3}"/>
    <cellStyle name="Comma 2 3 2 4 4 3 3" xfId="13620" xr:uid="{3D836896-0BEF-410B-B291-C5F3A01C3F6E}"/>
    <cellStyle name="Comma 2 3 2 4 4 3 3 2" xfId="50128" xr:uid="{8BB024BA-87B5-4BB5-BE89-A17A97DEB2BF}"/>
    <cellStyle name="Comma 2 3 2 4 4 3 3 3" xfId="31874" xr:uid="{20F49E2A-9A5B-4CA0-B2DA-B597852CEB35}"/>
    <cellStyle name="Comma 2 3 2 4 4 3 4" xfId="9970" xr:uid="{412CEEE2-150B-4610-93AA-58E18E11495B}"/>
    <cellStyle name="Comma 2 3 2 4 4 3 4 2" xfId="46478" xr:uid="{C98F29F6-D025-4473-90C3-C337D9C34974}"/>
    <cellStyle name="Comma 2 3 2 4 4 3 4 3" xfId="28224" xr:uid="{527AA5E6-D318-46B9-A998-0616C27922A5}"/>
    <cellStyle name="Comma 2 3 2 4 4 3 5" xfId="6320" xr:uid="{2CBE1543-C142-420A-9EB8-A4DEF0D20FDD}"/>
    <cellStyle name="Comma 2 3 2 4 4 3 5 2" xfId="42828" xr:uid="{C948A4C5-4687-48C4-8C1F-7EEF4E7A621D}"/>
    <cellStyle name="Comma 2 3 2 4 4 3 5 3" xfId="24574" xr:uid="{B595ED05-DFB5-4074-8D98-19C5BA294620}"/>
    <cellStyle name="Comma 2 3 2 4 4 3 6" xfId="39178" xr:uid="{024902E5-2D7A-4B23-BCF0-8A5B1F6513FA}"/>
    <cellStyle name="Comma 2 3 2 4 4 3 7" xfId="20924" xr:uid="{D813A688-BCEB-4A22-8F46-F8CF3778F811}"/>
    <cellStyle name="Comma 2 3 2 4 4 4" xfId="1940" xr:uid="{92BB89E3-E522-43BE-AA64-20D1B5865ED5}"/>
    <cellStyle name="Comma 2 3 2 4 4 4 2" xfId="16540" xr:uid="{D091AC1B-77AF-4C8E-99B0-35C8244DBFF5}"/>
    <cellStyle name="Comma 2 3 2 4 4 4 2 2" xfId="53048" xr:uid="{05B8A3E2-C4D8-4D76-8A0B-185D8E0BE302}"/>
    <cellStyle name="Comma 2 3 2 4 4 4 2 3" xfId="34794" xr:uid="{E9CD5CA5-1A8A-4C02-BF1B-D1FC1ABFB957}"/>
    <cellStyle name="Comma 2 3 2 4 4 4 3" xfId="12890" xr:uid="{1DEE489F-765F-42F7-9A5A-11A80A1C06B9}"/>
    <cellStyle name="Comma 2 3 2 4 4 4 3 2" xfId="49398" xr:uid="{F69D83C6-6DCC-4AA6-86F5-D8ACB022CBBD}"/>
    <cellStyle name="Comma 2 3 2 4 4 4 3 3" xfId="31144" xr:uid="{3761AF79-EB6A-412B-8B68-C8003D28FA12}"/>
    <cellStyle name="Comma 2 3 2 4 4 4 4" xfId="9240" xr:uid="{1ACB6EB1-E3EE-4160-8619-FF5B9F6D8ED3}"/>
    <cellStyle name="Comma 2 3 2 4 4 4 4 2" xfId="45748" xr:uid="{1DD3948C-3C76-4A45-9446-56B44F580E73}"/>
    <cellStyle name="Comma 2 3 2 4 4 4 4 3" xfId="27494" xr:uid="{AF131415-FF62-428E-9B94-C9F7E306C8DE}"/>
    <cellStyle name="Comma 2 3 2 4 4 4 5" xfId="5590" xr:uid="{9A0198F2-C16E-4F2B-A5F3-E3FEB7BE443A}"/>
    <cellStyle name="Comma 2 3 2 4 4 4 5 2" xfId="42098" xr:uid="{9ECBEC51-D4B7-49E5-90B2-D48712BE28C8}"/>
    <cellStyle name="Comma 2 3 2 4 4 4 5 3" xfId="23844" xr:uid="{421986C3-4459-4AE2-87A0-72669BC2933F}"/>
    <cellStyle name="Comma 2 3 2 4 4 4 6" xfId="38448" xr:uid="{C9B602FB-C53F-4CBA-8D9D-9E2343DC88B8}"/>
    <cellStyle name="Comma 2 3 2 4 4 4 7" xfId="20194" xr:uid="{931687CD-1C14-4D75-BA4D-4456C7F03E79}"/>
    <cellStyle name="Comma 2 3 2 4 4 5" xfId="1210" xr:uid="{91895AAA-A382-4462-9EF6-A0418CEE06E1}"/>
    <cellStyle name="Comma 2 3 2 4 4 5 2" xfId="15810" xr:uid="{BB0A1D3C-0B4B-4BCE-9D3C-156FD5392F9B}"/>
    <cellStyle name="Comma 2 3 2 4 4 5 2 2" xfId="52318" xr:uid="{C4D03858-B572-457A-A212-A37137688219}"/>
    <cellStyle name="Comma 2 3 2 4 4 5 2 3" xfId="34064" xr:uid="{A898A88F-8FF5-4856-AFE4-C673F54EA148}"/>
    <cellStyle name="Comma 2 3 2 4 4 5 3" xfId="12160" xr:uid="{67B483E5-B4A3-4017-9CCC-38FE4F3B300B}"/>
    <cellStyle name="Comma 2 3 2 4 4 5 3 2" xfId="48668" xr:uid="{291DA38F-AF77-4A61-ADA2-883A17CBB27D}"/>
    <cellStyle name="Comma 2 3 2 4 4 5 3 3" xfId="30414" xr:uid="{4151056B-C0D8-4D5A-83B8-35C233C775ED}"/>
    <cellStyle name="Comma 2 3 2 4 4 5 4" xfId="8510" xr:uid="{96D7BC8D-4309-41F4-A4D0-75F1A14F150B}"/>
    <cellStyle name="Comma 2 3 2 4 4 5 4 2" xfId="45018" xr:uid="{04D36B3E-F38B-4505-9C41-762BF9F91A5E}"/>
    <cellStyle name="Comma 2 3 2 4 4 5 4 3" xfId="26764" xr:uid="{71842B3A-5843-4AA1-8BE7-E18048E209F0}"/>
    <cellStyle name="Comma 2 3 2 4 4 5 5" xfId="4860" xr:uid="{B5860AAB-FCE6-4D2A-8897-BCA33DF65494}"/>
    <cellStyle name="Comma 2 3 2 4 4 5 5 2" xfId="41368" xr:uid="{A769F1DC-77F5-43B6-AA72-B35E5B3900FD}"/>
    <cellStyle name="Comma 2 3 2 4 4 5 5 3" xfId="23114" xr:uid="{DE583E71-49D9-4CCB-AFEC-3B8317E507A1}"/>
    <cellStyle name="Comma 2 3 2 4 4 5 6" xfId="37718" xr:uid="{6446EEBE-48B6-4A95-A56E-E71C10A0BD3F}"/>
    <cellStyle name="Comma 2 3 2 4 4 5 7" xfId="19464" xr:uid="{3313416D-7395-4EE5-ACDE-FB9C70F337B6}"/>
    <cellStyle name="Comma 2 3 2 4 4 6" xfId="15080" xr:uid="{6886E5BE-C640-489B-B493-6124152EEE74}"/>
    <cellStyle name="Comma 2 3 2 4 4 6 2" xfId="51588" xr:uid="{23881280-6593-4441-AC93-2D2801EC2B99}"/>
    <cellStyle name="Comma 2 3 2 4 4 6 3" xfId="33334" xr:uid="{F3F47495-1B70-4CBA-9EAC-D49830184C21}"/>
    <cellStyle name="Comma 2 3 2 4 4 7" xfId="11430" xr:uid="{304472ED-B353-46A9-BCAB-9553D713F21F}"/>
    <cellStyle name="Comma 2 3 2 4 4 7 2" xfId="47938" xr:uid="{4409F485-A863-4628-9829-FCB4FE8B32DD}"/>
    <cellStyle name="Comma 2 3 2 4 4 7 3" xfId="29684" xr:uid="{DCE69FA4-FD6B-4EE2-A49F-0D3EC23022AD}"/>
    <cellStyle name="Comma 2 3 2 4 4 8" xfId="7780" xr:uid="{082A08A2-542B-4323-8F0B-DF0EB70BBB22}"/>
    <cellStyle name="Comma 2 3 2 4 4 8 2" xfId="44288" xr:uid="{4AD50ED2-B63C-46C2-AD6A-03625F2C06AC}"/>
    <cellStyle name="Comma 2 3 2 4 4 8 3" xfId="26034" xr:uid="{E301B36B-BBCA-4AFF-9498-092E379923C3}"/>
    <cellStyle name="Comma 2 3 2 4 4 9" xfId="4130" xr:uid="{4977D08E-A035-4308-86E7-3D288FADC637}"/>
    <cellStyle name="Comma 2 3 2 4 4 9 2" xfId="40638" xr:uid="{6E91568E-9EB1-4327-BBCD-82AF5D176A96}"/>
    <cellStyle name="Comma 2 3 2 4 4 9 3" xfId="22384" xr:uid="{34D0E6EF-4CA1-432F-9D59-F2E87FFF8FC6}"/>
    <cellStyle name="Comma 2 3 2 4 5" xfId="376" xr:uid="{C7A31F4F-8D63-4556-85F9-57AB48ACC3BC}"/>
    <cellStyle name="Comma 2 3 2 4 5 10" xfId="36884" xr:uid="{86B3BB8E-D07E-44EB-882D-06851F34556E}"/>
    <cellStyle name="Comma 2 3 2 4 5 11" xfId="18630" xr:uid="{3D03A600-07A1-4FFC-94ED-AB00512BEB4F}"/>
    <cellStyle name="Comma 2 3 2 4 5 2" xfId="3296" xr:uid="{3FE3C8A5-F214-4A7F-88FB-0E048FC3C63A}"/>
    <cellStyle name="Comma 2 3 2 4 5 2 2" xfId="17896" xr:uid="{2D808AA3-34CB-4B38-BCCE-922F7871F578}"/>
    <cellStyle name="Comma 2 3 2 4 5 2 2 2" xfId="54404" xr:uid="{EE667BAE-0071-4FDC-82FB-6AF4CFB7D081}"/>
    <cellStyle name="Comma 2 3 2 4 5 2 2 3" xfId="36150" xr:uid="{D2DABF9C-0D62-420F-A75C-1D42ABA11B6B}"/>
    <cellStyle name="Comma 2 3 2 4 5 2 3" xfId="14246" xr:uid="{36E94EC2-BBE3-4934-8088-8570959F84C6}"/>
    <cellStyle name="Comma 2 3 2 4 5 2 3 2" xfId="50754" xr:uid="{863E22A7-68DC-468D-B3E6-13D0CA2B2A86}"/>
    <cellStyle name="Comma 2 3 2 4 5 2 3 3" xfId="32500" xr:uid="{6FBACB6F-6D7F-49EF-BBAC-699631AFAD4B}"/>
    <cellStyle name="Comma 2 3 2 4 5 2 4" xfId="10596" xr:uid="{1C2F2645-E72B-4746-9CAE-A75D962C5BC7}"/>
    <cellStyle name="Comma 2 3 2 4 5 2 4 2" xfId="47104" xr:uid="{A67AF499-0BF4-46D8-8EE3-17A0F9E7FA10}"/>
    <cellStyle name="Comma 2 3 2 4 5 2 4 3" xfId="28850" xr:uid="{094DEF81-E7F3-4581-A0BB-705AE21073FD}"/>
    <cellStyle name="Comma 2 3 2 4 5 2 5" xfId="6946" xr:uid="{8B804994-F800-4AE9-A4E8-BDD11EB5C1AC}"/>
    <cellStyle name="Comma 2 3 2 4 5 2 5 2" xfId="43454" xr:uid="{4DB1E3B1-2939-4057-8FB4-AABCB9B36429}"/>
    <cellStyle name="Comma 2 3 2 4 5 2 5 3" xfId="25200" xr:uid="{3C7DF0CC-FF15-4B70-A016-E670B17C10B2}"/>
    <cellStyle name="Comma 2 3 2 4 5 2 6" xfId="39804" xr:uid="{0D465127-D3A3-4474-A7E4-94E78715A4D1}"/>
    <cellStyle name="Comma 2 3 2 4 5 2 7" xfId="21550" xr:uid="{5B3B16C2-52D2-4FDA-B1D8-813CEC2D1AA1}"/>
    <cellStyle name="Comma 2 3 2 4 5 3" xfId="2566" xr:uid="{E8E39277-DAF8-489B-941E-2CB28073ADC4}"/>
    <cellStyle name="Comma 2 3 2 4 5 3 2" xfId="17166" xr:uid="{86B34BEB-568A-4116-9687-D1CB02AB8FDF}"/>
    <cellStyle name="Comma 2 3 2 4 5 3 2 2" xfId="53674" xr:uid="{BA53DA48-7E6B-4747-A20B-80E6F158AAE4}"/>
    <cellStyle name="Comma 2 3 2 4 5 3 2 3" xfId="35420" xr:uid="{587EC33F-77DC-409A-A5A2-9B573ABB9CE5}"/>
    <cellStyle name="Comma 2 3 2 4 5 3 3" xfId="13516" xr:uid="{A4AA2A06-D56D-44C3-AA46-2B5C36AAA4E2}"/>
    <cellStyle name="Comma 2 3 2 4 5 3 3 2" xfId="50024" xr:uid="{30AD97D1-CC4C-4C44-B0F5-162004BF3491}"/>
    <cellStyle name="Comma 2 3 2 4 5 3 3 3" xfId="31770" xr:uid="{1B52B08F-AE2E-4375-B863-E3B911B0C000}"/>
    <cellStyle name="Comma 2 3 2 4 5 3 4" xfId="9866" xr:uid="{F1A25B98-C536-4760-A49B-6D38B75C3052}"/>
    <cellStyle name="Comma 2 3 2 4 5 3 4 2" xfId="46374" xr:uid="{A008FE56-9E4A-4C45-ACE1-3D398E687A08}"/>
    <cellStyle name="Comma 2 3 2 4 5 3 4 3" xfId="28120" xr:uid="{6F9F3A91-C352-4BED-A031-93A610789357}"/>
    <cellStyle name="Comma 2 3 2 4 5 3 5" xfId="6216" xr:uid="{EEE5CEA5-391D-484E-953C-C6A85AE61891}"/>
    <cellStyle name="Comma 2 3 2 4 5 3 5 2" xfId="42724" xr:uid="{F695BFEB-8375-4BC9-870D-C18E72392EB3}"/>
    <cellStyle name="Comma 2 3 2 4 5 3 5 3" xfId="24470" xr:uid="{36201DC6-00D2-449A-A5EB-6C69CDBC6988}"/>
    <cellStyle name="Comma 2 3 2 4 5 3 6" xfId="39074" xr:uid="{517303BD-FCAB-43C6-B386-62DA854A3C9D}"/>
    <cellStyle name="Comma 2 3 2 4 5 3 7" xfId="20820" xr:uid="{DFDD84CA-308A-4AB1-AC31-D43BEC5066F3}"/>
    <cellStyle name="Comma 2 3 2 4 5 4" xfId="1836" xr:uid="{583A0FBD-F385-4120-A444-83B63925E0B6}"/>
    <cellStyle name="Comma 2 3 2 4 5 4 2" xfId="16436" xr:uid="{26C1E703-3D6F-4FE4-8574-FE17AA15099C}"/>
    <cellStyle name="Comma 2 3 2 4 5 4 2 2" xfId="52944" xr:uid="{D139E812-5F20-4825-8DEB-CC5DD4D98715}"/>
    <cellStyle name="Comma 2 3 2 4 5 4 2 3" xfId="34690" xr:uid="{FE199EB5-FC8F-4E5E-A104-EABEB6F5978A}"/>
    <cellStyle name="Comma 2 3 2 4 5 4 3" xfId="12786" xr:uid="{8B6358EA-15C5-427A-AC2E-D51B1CFCA414}"/>
    <cellStyle name="Comma 2 3 2 4 5 4 3 2" xfId="49294" xr:uid="{CCBD039D-F035-421B-B563-D6B72ED8BDF4}"/>
    <cellStyle name="Comma 2 3 2 4 5 4 3 3" xfId="31040" xr:uid="{52244FBA-ACB4-4A04-88F3-0C91D740FFDA}"/>
    <cellStyle name="Comma 2 3 2 4 5 4 4" xfId="9136" xr:uid="{EC6BB547-AA8C-472B-83BF-2AC4DAD0D483}"/>
    <cellStyle name="Comma 2 3 2 4 5 4 4 2" xfId="45644" xr:uid="{4C05815C-5AB4-45D5-9289-EC8FD49ABB46}"/>
    <cellStyle name="Comma 2 3 2 4 5 4 4 3" xfId="27390" xr:uid="{2C79B4D4-949B-4E15-8644-3EA54437432A}"/>
    <cellStyle name="Comma 2 3 2 4 5 4 5" xfId="5486" xr:uid="{AD82105C-D195-4DD7-B899-CD14EB3178BF}"/>
    <cellStyle name="Comma 2 3 2 4 5 4 5 2" xfId="41994" xr:uid="{2EBD0923-3A9E-496E-BF58-28103CFF200E}"/>
    <cellStyle name="Comma 2 3 2 4 5 4 5 3" xfId="23740" xr:uid="{69158648-7F41-4AF9-BB8B-EC2D7FC52673}"/>
    <cellStyle name="Comma 2 3 2 4 5 4 6" xfId="38344" xr:uid="{1517981A-4AC8-4A98-B098-6B9172C3DB74}"/>
    <cellStyle name="Comma 2 3 2 4 5 4 7" xfId="20090" xr:uid="{64F6B26B-96F6-47A9-826A-576C958E03C2}"/>
    <cellStyle name="Comma 2 3 2 4 5 5" xfId="1106" xr:uid="{112DB4E2-549F-4B55-A0DB-B8125B147675}"/>
    <cellStyle name="Comma 2 3 2 4 5 5 2" xfId="15706" xr:uid="{F875EA0E-92E7-4332-9860-3802F42B6E9C}"/>
    <cellStyle name="Comma 2 3 2 4 5 5 2 2" xfId="52214" xr:uid="{1A2AB966-1AE4-48F2-B607-7DAC79084225}"/>
    <cellStyle name="Comma 2 3 2 4 5 5 2 3" xfId="33960" xr:uid="{34E156CE-0155-4AA0-89DA-26F4C5E5C9A4}"/>
    <cellStyle name="Comma 2 3 2 4 5 5 3" xfId="12056" xr:uid="{7DF8AF9D-CB91-4652-A677-3A739AEB48DA}"/>
    <cellStyle name="Comma 2 3 2 4 5 5 3 2" xfId="48564" xr:uid="{3AC24458-737D-42AA-A7E6-4A2D6FE4A253}"/>
    <cellStyle name="Comma 2 3 2 4 5 5 3 3" xfId="30310" xr:uid="{6B0D290B-D686-4302-AB36-E8E1F2175450}"/>
    <cellStyle name="Comma 2 3 2 4 5 5 4" xfId="8406" xr:uid="{FFE7A2BB-69CB-4EB0-867F-EDCA55762334}"/>
    <cellStyle name="Comma 2 3 2 4 5 5 4 2" xfId="44914" xr:uid="{CE7D0413-6FFB-4D5D-9454-3F73D5ED0058}"/>
    <cellStyle name="Comma 2 3 2 4 5 5 4 3" xfId="26660" xr:uid="{558EAA00-C5EC-4E55-9673-176FF323F1F9}"/>
    <cellStyle name="Comma 2 3 2 4 5 5 5" xfId="4756" xr:uid="{D6C12C3E-2714-4D4C-BA47-BF03220AE3BC}"/>
    <cellStyle name="Comma 2 3 2 4 5 5 5 2" xfId="41264" xr:uid="{D0F12474-644E-4818-A565-669544840383}"/>
    <cellStyle name="Comma 2 3 2 4 5 5 5 3" xfId="23010" xr:uid="{902422D9-C01E-4450-B56B-931883C59B8B}"/>
    <cellStyle name="Comma 2 3 2 4 5 5 6" xfId="37614" xr:uid="{EDF9F503-AFC0-4886-AFEA-183E0854E258}"/>
    <cellStyle name="Comma 2 3 2 4 5 5 7" xfId="19360" xr:uid="{52E52078-88A5-4E92-A664-A2D3CEFF913F}"/>
    <cellStyle name="Comma 2 3 2 4 5 6" xfId="14976" xr:uid="{E164E4F5-38CA-442D-923A-F49EBDFD2528}"/>
    <cellStyle name="Comma 2 3 2 4 5 6 2" xfId="51484" xr:uid="{55943C74-E0F3-41EC-A6C2-0D7C6720850E}"/>
    <cellStyle name="Comma 2 3 2 4 5 6 3" xfId="33230" xr:uid="{5DBA0BB2-6F25-416A-A771-16EFD4C33C72}"/>
    <cellStyle name="Comma 2 3 2 4 5 7" xfId="11326" xr:uid="{FCBC9082-DB89-4523-B906-ED80E34C8D7A}"/>
    <cellStyle name="Comma 2 3 2 4 5 7 2" xfId="47834" xr:uid="{7A6A024B-A47D-41E0-B0D8-56A63B08C43B}"/>
    <cellStyle name="Comma 2 3 2 4 5 7 3" xfId="29580" xr:uid="{3979DB00-5CD8-4939-8624-83C042EFE6A9}"/>
    <cellStyle name="Comma 2 3 2 4 5 8" xfId="7676" xr:uid="{BEEF9CAF-CB3E-4919-9C76-755F858E5E37}"/>
    <cellStyle name="Comma 2 3 2 4 5 8 2" xfId="44184" xr:uid="{8E9E4709-5DD1-45FF-9E4B-CA31326F474E}"/>
    <cellStyle name="Comma 2 3 2 4 5 8 3" xfId="25930" xr:uid="{B9399882-9573-47AD-8B0B-311F83D0BF94}"/>
    <cellStyle name="Comma 2 3 2 4 5 9" xfId="4026" xr:uid="{2A5C0E22-FCBA-4DCE-8834-D50C0860EED6}"/>
    <cellStyle name="Comma 2 3 2 4 5 9 2" xfId="40534" xr:uid="{08B0D4BA-9B07-47A1-95D0-685CF8F56095}"/>
    <cellStyle name="Comma 2 3 2 4 5 9 3" xfId="22280" xr:uid="{FF81CBC7-BE1F-4593-B3AE-D1BA784AC569}"/>
    <cellStyle name="Comma 2 3 2 4 6" xfId="272" xr:uid="{F2F4E477-796D-48E9-A66E-CF51296C7586}"/>
    <cellStyle name="Comma 2 3 2 4 6 10" xfId="36780" xr:uid="{BDEBC8FC-22C9-43AE-B861-6D66396CB3B8}"/>
    <cellStyle name="Comma 2 3 2 4 6 11" xfId="18526" xr:uid="{949FADDE-787C-4922-9AE1-4BAA7F6DB11C}"/>
    <cellStyle name="Comma 2 3 2 4 6 2" xfId="3192" xr:uid="{8D92B826-AF33-4067-9468-B885B72887B5}"/>
    <cellStyle name="Comma 2 3 2 4 6 2 2" xfId="17792" xr:uid="{EC9E32A4-37E1-4EA1-B951-7C77857D2D26}"/>
    <cellStyle name="Comma 2 3 2 4 6 2 2 2" xfId="54300" xr:uid="{4554EBCD-A626-4F27-AF17-F2D360F099E0}"/>
    <cellStyle name="Comma 2 3 2 4 6 2 2 3" xfId="36046" xr:uid="{07804D0A-33E4-41C2-84AA-6CB25F6B1DA1}"/>
    <cellStyle name="Comma 2 3 2 4 6 2 3" xfId="14142" xr:uid="{12B715FB-D643-4D5D-90B8-5675F039D04D}"/>
    <cellStyle name="Comma 2 3 2 4 6 2 3 2" xfId="50650" xr:uid="{247CE4C7-D0CF-4944-9FC7-DF265C67D272}"/>
    <cellStyle name="Comma 2 3 2 4 6 2 3 3" xfId="32396" xr:uid="{431BCA15-4752-4F03-8C0A-AC704BB3FBD8}"/>
    <cellStyle name="Comma 2 3 2 4 6 2 4" xfId="10492" xr:uid="{2DC93FA3-F057-4CEB-AC99-C91C1CF73FD8}"/>
    <cellStyle name="Comma 2 3 2 4 6 2 4 2" xfId="47000" xr:uid="{9E3172F3-2CE3-41DF-97EC-A640CC925419}"/>
    <cellStyle name="Comma 2 3 2 4 6 2 4 3" xfId="28746" xr:uid="{5426D79D-AF5C-4DF6-A726-15245AC5B9AD}"/>
    <cellStyle name="Comma 2 3 2 4 6 2 5" xfId="6842" xr:uid="{6E447986-542B-4278-9248-66E3D193A01E}"/>
    <cellStyle name="Comma 2 3 2 4 6 2 5 2" xfId="43350" xr:uid="{2322D773-69CB-4D3A-A127-896389ECDECB}"/>
    <cellStyle name="Comma 2 3 2 4 6 2 5 3" xfId="25096" xr:uid="{CA5054EE-45FE-46E4-9847-51FE2EB32167}"/>
    <cellStyle name="Comma 2 3 2 4 6 2 6" xfId="39700" xr:uid="{657716FA-225F-4BED-ADEC-3E4241E60D84}"/>
    <cellStyle name="Comma 2 3 2 4 6 2 7" xfId="21446" xr:uid="{BCAA902E-7750-4F83-B540-CE970B6C1F65}"/>
    <cellStyle name="Comma 2 3 2 4 6 3" xfId="2462" xr:uid="{36DE89B9-D50D-415B-B2C5-E651B9F7F448}"/>
    <cellStyle name="Comma 2 3 2 4 6 3 2" xfId="17062" xr:uid="{E78450AB-EDEB-4DCB-B7E6-FFD7F42F17E2}"/>
    <cellStyle name="Comma 2 3 2 4 6 3 2 2" xfId="53570" xr:uid="{7520FED5-E2A8-444C-AF22-160C206207CF}"/>
    <cellStyle name="Comma 2 3 2 4 6 3 2 3" xfId="35316" xr:uid="{2175C7AD-E6CF-4BE3-90E7-969E603274CD}"/>
    <cellStyle name="Comma 2 3 2 4 6 3 3" xfId="13412" xr:uid="{6187D1ED-09A6-4A78-B984-20720C21BB76}"/>
    <cellStyle name="Comma 2 3 2 4 6 3 3 2" xfId="49920" xr:uid="{38B1C1EB-E8FB-4B32-960A-FF12FB633371}"/>
    <cellStyle name="Comma 2 3 2 4 6 3 3 3" xfId="31666" xr:uid="{D8C2AB95-13AE-4674-B953-CE16C39B0246}"/>
    <cellStyle name="Comma 2 3 2 4 6 3 4" xfId="9762" xr:uid="{2ACE074D-D693-49C2-8895-82192B151654}"/>
    <cellStyle name="Comma 2 3 2 4 6 3 4 2" xfId="46270" xr:uid="{8701B3A9-5FC6-4184-BBA5-BF35D21574B8}"/>
    <cellStyle name="Comma 2 3 2 4 6 3 4 3" xfId="28016" xr:uid="{14F47689-9EA6-4F35-95A6-604062342AC7}"/>
    <cellStyle name="Comma 2 3 2 4 6 3 5" xfId="6112" xr:uid="{EDF42BDD-6392-4704-BE44-8A73599E98DA}"/>
    <cellStyle name="Comma 2 3 2 4 6 3 5 2" xfId="42620" xr:uid="{DDF163BB-AE0E-428E-B753-F66031B624F8}"/>
    <cellStyle name="Comma 2 3 2 4 6 3 5 3" xfId="24366" xr:uid="{C0DC75A9-7A66-4E20-9D9B-2BD97A79BE25}"/>
    <cellStyle name="Comma 2 3 2 4 6 3 6" xfId="38970" xr:uid="{01CB26A2-6210-40E3-A704-4F3245ACC746}"/>
    <cellStyle name="Comma 2 3 2 4 6 3 7" xfId="20716" xr:uid="{06B1C6FC-EC1C-4C7A-8454-2F445D346C84}"/>
    <cellStyle name="Comma 2 3 2 4 6 4" xfId="1732" xr:uid="{F7B15F6A-EA3A-44DE-8769-4ED5EE4BE623}"/>
    <cellStyle name="Comma 2 3 2 4 6 4 2" xfId="16332" xr:uid="{2761C235-8872-4822-8874-11ECEBC20715}"/>
    <cellStyle name="Comma 2 3 2 4 6 4 2 2" xfId="52840" xr:uid="{0103C6E7-CCDF-49E4-9A0C-FFCB52315042}"/>
    <cellStyle name="Comma 2 3 2 4 6 4 2 3" xfId="34586" xr:uid="{1C1E5052-9AEF-4714-8014-3633B02F1A8D}"/>
    <cellStyle name="Comma 2 3 2 4 6 4 3" xfId="12682" xr:uid="{E3CABF85-9FF7-4FF5-9C9A-900FD51700DB}"/>
    <cellStyle name="Comma 2 3 2 4 6 4 3 2" xfId="49190" xr:uid="{ACED7AD5-ED78-46CA-AAA8-6E6D8B467ACA}"/>
    <cellStyle name="Comma 2 3 2 4 6 4 3 3" xfId="30936" xr:uid="{7127BC17-7171-48B9-A19E-6AEB3CF7906C}"/>
    <cellStyle name="Comma 2 3 2 4 6 4 4" xfId="9032" xr:uid="{7B686CC9-BD71-4073-A8B2-D5141995D8A6}"/>
    <cellStyle name="Comma 2 3 2 4 6 4 4 2" xfId="45540" xr:uid="{168E26BF-C726-45DD-80C5-021626C95D39}"/>
    <cellStyle name="Comma 2 3 2 4 6 4 4 3" xfId="27286" xr:uid="{74EA56BD-164C-484D-BC73-8EC3F8D35335}"/>
    <cellStyle name="Comma 2 3 2 4 6 4 5" xfId="5382" xr:uid="{ECF8ACE1-0F8B-4441-906C-B26A79FD39E4}"/>
    <cellStyle name="Comma 2 3 2 4 6 4 5 2" xfId="41890" xr:uid="{552BAD1C-B870-4271-9D0B-59F7C4739557}"/>
    <cellStyle name="Comma 2 3 2 4 6 4 5 3" xfId="23636" xr:uid="{F4466CAB-A57D-4D92-A342-467EE742BA3D}"/>
    <cellStyle name="Comma 2 3 2 4 6 4 6" xfId="38240" xr:uid="{3CB7C999-B5C6-460A-992F-91E947B5B3A3}"/>
    <cellStyle name="Comma 2 3 2 4 6 4 7" xfId="19986" xr:uid="{7278A8D3-1A65-49E3-AFA0-7D0B19F7745E}"/>
    <cellStyle name="Comma 2 3 2 4 6 5" xfId="1002" xr:uid="{66B6D158-79D8-49DA-B363-496825E1F32C}"/>
    <cellStyle name="Comma 2 3 2 4 6 5 2" xfId="15602" xr:uid="{C80A78D8-7DB0-4945-AE8C-BEB41C64981E}"/>
    <cellStyle name="Comma 2 3 2 4 6 5 2 2" xfId="52110" xr:uid="{F8D879B1-3D58-4400-A0D9-36A205673418}"/>
    <cellStyle name="Comma 2 3 2 4 6 5 2 3" xfId="33856" xr:uid="{559CC3D4-D93C-4DDC-8876-AB02BC9CB9B1}"/>
    <cellStyle name="Comma 2 3 2 4 6 5 3" xfId="11952" xr:uid="{77E28484-59BE-4D06-909B-E3EC198EE5CE}"/>
    <cellStyle name="Comma 2 3 2 4 6 5 3 2" xfId="48460" xr:uid="{E4D8DDF9-FF97-4425-820E-84B7D9F5C525}"/>
    <cellStyle name="Comma 2 3 2 4 6 5 3 3" xfId="30206" xr:uid="{1DFA0686-9211-48F0-8195-0C94BA3F7908}"/>
    <cellStyle name="Comma 2 3 2 4 6 5 4" xfId="8302" xr:uid="{976EF9CF-52DD-4DAC-BD9C-82F98309DD95}"/>
    <cellStyle name="Comma 2 3 2 4 6 5 4 2" xfId="44810" xr:uid="{98646766-C60B-4FD5-8F60-167687654A7D}"/>
    <cellStyle name="Comma 2 3 2 4 6 5 4 3" xfId="26556" xr:uid="{77F3E474-D2E8-4713-8F49-A7827B71CEFB}"/>
    <cellStyle name="Comma 2 3 2 4 6 5 5" xfId="4652" xr:uid="{567F5C86-2FE7-4DD3-A484-835BF879D1D8}"/>
    <cellStyle name="Comma 2 3 2 4 6 5 5 2" xfId="41160" xr:uid="{4C68354E-6CFF-400F-B468-F6599475B214}"/>
    <cellStyle name="Comma 2 3 2 4 6 5 5 3" xfId="22906" xr:uid="{6E829B7D-EDED-4819-89A2-318446A48089}"/>
    <cellStyle name="Comma 2 3 2 4 6 5 6" xfId="37510" xr:uid="{5FB8C14D-1175-4AA3-948A-B3898086956B}"/>
    <cellStyle name="Comma 2 3 2 4 6 5 7" xfId="19256" xr:uid="{5EA91B9D-E128-4DE3-B764-847BFB60B862}"/>
    <cellStyle name="Comma 2 3 2 4 6 6" xfId="14872" xr:uid="{77DFE62F-99D6-4FCC-A601-9759BDE2FE9B}"/>
    <cellStyle name="Comma 2 3 2 4 6 6 2" xfId="51380" xr:uid="{395A0C68-878D-4792-9CA4-373F501A6B08}"/>
    <cellStyle name="Comma 2 3 2 4 6 6 3" xfId="33126" xr:uid="{597675B9-6D66-4E14-950C-4BD45D721F2E}"/>
    <cellStyle name="Comma 2 3 2 4 6 7" xfId="11222" xr:uid="{EB3F1402-B6B4-466A-A1CA-CDD1A54070CB}"/>
    <cellStyle name="Comma 2 3 2 4 6 7 2" xfId="47730" xr:uid="{C813FAE5-D25F-4106-8FAC-6231E5A9E400}"/>
    <cellStyle name="Comma 2 3 2 4 6 7 3" xfId="29476" xr:uid="{639C5E50-FD28-4E33-B9F8-86A77A3DEF42}"/>
    <cellStyle name="Comma 2 3 2 4 6 8" xfId="7572" xr:uid="{08AD2DCA-FF21-4A75-9434-271000B36CF3}"/>
    <cellStyle name="Comma 2 3 2 4 6 8 2" xfId="44080" xr:uid="{18183CF9-0D26-49B7-B5DC-4EC98110D3BB}"/>
    <cellStyle name="Comma 2 3 2 4 6 8 3" xfId="25826" xr:uid="{57A40BCA-5826-49F8-94FE-6481C7B13BCE}"/>
    <cellStyle name="Comma 2 3 2 4 6 9" xfId="3922" xr:uid="{373EAE35-A21C-4FAB-96BA-D497D9A10FD2}"/>
    <cellStyle name="Comma 2 3 2 4 6 9 2" xfId="40430" xr:uid="{977D73C8-4B0A-42F6-8D50-D9E39254ECDB}"/>
    <cellStyle name="Comma 2 3 2 4 6 9 3" xfId="22176" xr:uid="{3E2440B5-B68C-4CC8-A384-10AB5A22C358}"/>
    <cellStyle name="Comma 2 3 2 4 7" xfId="168" xr:uid="{9545900E-EBE5-4E50-BD72-585EF7DB37CB}"/>
    <cellStyle name="Comma 2 3 2 4 7 10" xfId="36676" xr:uid="{416355E1-4317-4538-9431-8FBAD2365BFB}"/>
    <cellStyle name="Comma 2 3 2 4 7 11" xfId="18422" xr:uid="{7BC4F309-B0A0-4394-BC7D-2EBA059282B6}"/>
    <cellStyle name="Comma 2 3 2 4 7 2" xfId="3088" xr:uid="{CD14AEDF-80DD-4A33-B7CA-B88D3F2F9CA4}"/>
    <cellStyle name="Comma 2 3 2 4 7 2 2" xfId="17688" xr:uid="{CDB6A1D6-E94E-4425-A68B-1B3F14ADFF4C}"/>
    <cellStyle name="Comma 2 3 2 4 7 2 2 2" xfId="54196" xr:uid="{3DBF6376-2E94-45E3-A966-C525BA796BDE}"/>
    <cellStyle name="Comma 2 3 2 4 7 2 2 3" xfId="35942" xr:uid="{D2C36923-DF2A-4DBD-BDA1-AD765AA300BD}"/>
    <cellStyle name="Comma 2 3 2 4 7 2 3" xfId="14038" xr:uid="{341FC600-7FF5-4466-A722-0C9DA2EA4EC4}"/>
    <cellStyle name="Comma 2 3 2 4 7 2 3 2" xfId="50546" xr:uid="{BA7AE15F-25FD-4E24-8C43-25461EE2DA3A}"/>
    <cellStyle name="Comma 2 3 2 4 7 2 3 3" xfId="32292" xr:uid="{A241CDFE-21CF-4149-955C-16DAC2765078}"/>
    <cellStyle name="Comma 2 3 2 4 7 2 4" xfId="10388" xr:uid="{415D97DD-74E3-4DB5-A62E-700A511D9534}"/>
    <cellStyle name="Comma 2 3 2 4 7 2 4 2" xfId="46896" xr:uid="{BE6B9891-53C8-4801-A9B8-FC41CA6E0BE1}"/>
    <cellStyle name="Comma 2 3 2 4 7 2 4 3" xfId="28642" xr:uid="{7332BF1F-655A-46F6-9C4C-A572D2867DE5}"/>
    <cellStyle name="Comma 2 3 2 4 7 2 5" xfId="6738" xr:uid="{F03FC9C0-07F8-4DEB-A343-B2C109C1A05D}"/>
    <cellStyle name="Comma 2 3 2 4 7 2 5 2" xfId="43246" xr:uid="{A4AA6D0A-A187-447D-AD85-7607EB2DC85B}"/>
    <cellStyle name="Comma 2 3 2 4 7 2 5 3" xfId="24992" xr:uid="{9DDC8657-CF5F-4130-A57B-5EC1A7AC773D}"/>
    <cellStyle name="Comma 2 3 2 4 7 2 6" xfId="39596" xr:uid="{43B74687-127F-4730-A54C-5729A458B50C}"/>
    <cellStyle name="Comma 2 3 2 4 7 2 7" xfId="21342" xr:uid="{56C47925-F34E-44A4-96AC-608AEE5988EA}"/>
    <cellStyle name="Comma 2 3 2 4 7 3" xfId="2358" xr:uid="{2441E6DB-A95F-4CD6-A798-7E5D6264B4BF}"/>
    <cellStyle name="Comma 2 3 2 4 7 3 2" xfId="16958" xr:uid="{97660FEF-4157-4400-BBFA-BFF6E6734BF2}"/>
    <cellStyle name="Comma 2 3 2 4 7 3 2 2" xfId="53466" xr:uid="{DBBA0773-D6DA-471F-9464-ED5AB06683F8}"/>
    <cellStyle name="Comma 2 3 2 4 7 3 2 3" xfId="35212" xr:uid="{D09D7E56-192D-4976-A82E-B8A3EDAE1A44}"/>
    <cellStyle name="Comma 2 3 2 4 7 3 3" xfId="13308" xr:uid="{301F3F3B-A6C9-4EAC-BFBF-7F93661B58C6}"/>
    <cellStyle name="Comma 2 3 2 4 7 3 3 2" xfId="49816" xr:uid="{E28ACB82-2CC1-4B3E-8D94-D55534042B83}"/>
    <cellStyle name="Comma 2 3 2 4 7 3 3 3" xfId="31562" xr:uid="{B998CEA1-F948-490B-B7FD-A2620C9F6B9C}"/>
    <cellStyle name="Comma 2 3 2 4 7 3 4" xfId="9658" xr:uid="{422FD921-E94E-419F-B3FD-4369675DDD77}"/>
    <cellStyle name="Comma 2 3 2 4 7 3 4 2" xfId="46166" xr:uid="{BE529828-1146-40B9-8C82-E10F0E9A25E3}"/>
    <cellStyle name="Comma 2 3 2 4 7 3 4 3" xfId="27912" xr:uid="{A79F0C7A-E037-45B1-9CC2-5EC7891B435C}"/>
    <cellStyle name="Comma 2 3 2 4 7 3 5" xfId="6008" xr:uid="{EA96A744-2280-45BB-A405-AD7139BA5CF1}"/>
    <cellStyle name="Comma 2 3 2 4 7 3 5 2" xfId="42516" xr:uid="{8456DDFF-B08B-4949-94B5-F820BB060D09}"/>
    <cellStyle name="Comma 2 3 2 4 7 3 5 3" xfId="24262" xr:uid="{A1065546-11C3-494C-894E-85F850FF0F27}"/>
    <cellStyle name="Comma 2 3 2 4 7 3 6" xfId="38866" xr:uid="{E2266E72-0ADF-4A99-863F-C10E89ABAD6E}"/>
    <cellStyle name="Comma 2 3 2 4 7 3 7" xfId="20612" xr:uid="{68D31A8D-6CBF-486C-8EAE-0C57DB05217A}"/>
    <cellStyle name="Comma 2 3 2 4 7 4" xfId="1628" xr:uid="{6448FEB3-5D86-4418-9C46-33BF072C449D}"/>
    <cellStyle name="Comma 2 3 2 4 7 4 2" xfId="16228" xr:uid="{E7DDC28F-67E5-4343-9DBE-CEB6321263B9}"/>
    <cellStyle name="Comma 2 3 2 4 7 4 2 2" xfId="52736" xr:uid="{825B3C08-B0DD-4B91-9584-D7CAE5DC122D}"/>
    <cellStyle name="Comma 2 3 2 4 7 4 2 3" xfId="34482" xr:uid="{8709D005-56C2-49C3-8A91-7FDE09652D49}"/>
    <cellStyle name="Comma 2 3 2 4 7 4 3" xfId="12578" xr:uid="{5C201091-D976-496F-BFEA-6452A79A9B4E}"/>
    <cellStyle name="Comma 2 3 2 4 7 4 3 2" xfId="49086" xr:uid="{6C862BE2-F320-4691-9A9F-6834B8A165BE}"/>
    <cellStyle name="Comma 2 3 2 4 7 4 3 3" xfId="30832" xr:uid="{EBB56866-1E38-47B6-B3D9-9FF17898165C}"/>
    <cellStyle name="Comma 2 3 2 4 7 4 4" xfId="8928" xr:uid="{2A3F0714-C331-4040-9E52-47BBADDABC11}"/>
    <cellStyle name="Comma 2 3 2 4 7 4 4 2" xfId="45436" xr:uid="{31C3435B-3321-418B-8A55-6933181B69CD}"/>
    <cellStyle name="Comma 2 3 2 4 7 4 4 3" xfId="27182" xr:uid="{5C748860-CCE5-4AE0-AD73-5C1FA258CCBE}"/>
    <cellStyle name="Comma 2 3 2 4 7 4 5" xfId="5278" xr:uid="{C016714D-3239-4BB6-AAB8-BEC533B7D5FE}"/>
    <cellStyle name="Comma 2 3 2 4 7 4 5 2" xfId="41786" xr:uid="{9D71833A-5B62-4153-8282-61AD2BD7F4C6}"/>
    <cellStyle name="Comma 2 3 2 4 7 4 5 3" xfId="23532" xr:uid="{0982C347-6FC0-421C-AB5D-39A617745684}"/>
    <cellStyle name="Comma 2 3 2 4 7 4 6" xfId="38136" xr:uid="{3A241C4B-9244-4DA7-81F9-8D89E1DB2270}"/>
    <cellStyle name="Comma 2 3 2 4 7 4 7" xfId="19882" xr:uid="{3ADD88A3-47C3-4CBC-859A-65D4FD54BC39}"/>
    <cellStyle name="Comma 2 3 2 4 7 5" xfId="898" xr:uid="{6CE77717-DA69-4476-8CD0-9A092264AE3B}"/>
    <cellStyle name="Comma 2 3 2 4 7 5 2" xfId="15498" xr:uid="{C073BD6E-D43C-4E04-B21E-68078875040E}"/>
    <cellStyle name="Comma 2 3 2 4 7 5 2 2" xfId="52006" xr:uid="{8D720811-BB5F-4CD3-BC06-23B85C795351}"/>
    <cellStyle name="Comma 2 3 2 4 7 5 2 3" xfId="33752" xr:uid="{EB97901E-7BF2-4394-85D8-B4FF5882EF40}"/>
    <cellStyle name="Comma 2 3 2 4 7 5 3" xfId="11848" xr:uid="{BCBF6CA2-8658-4EBB-9A21-B1BDF9231330}"/>
    <cellStyle name="Comma 2 3 2 4 7 5 3 2" xfId="48356" xr:uid="{F51871A0-BDE5-41B1-91B4-2DC706FC284B}"/>
    <cellStyle name="Comma 2 3 2 4 7 5 3 3" xfId="30102" xr:uid="{8227890E-9348-44DE-AE99-66E4DE533CB7}"/>
    <cellStyle name="Comma 2 3 2 4 7 5 4" xfId="8198" xr:uid="{8E1EC625-571E-4697-80BA-9C658D1FDB67}"/>
    <cellStyle name="Comma 2 3 2 4 7 5 4 2" xfId="44706" xr:uid="{9E957C48-7F9D-47FB-B88F-83A90609995E}"/>
    <cellStyle name="Comma 2 3 2 4 7 5 4 3" xfId="26452" xr:uid="{1D82A049-F117-4D23-BA96-DDECE56A39DE}"/>
    <cellStyle name="Comma 2 3 2 4 7 5 5" xfId="4548" xr:uid="{6F64D9E7-5E8D-4356-A16E-8FA7577AC747}"/>
    <cellStyle name="Comma 2 3 2 4 7 5 5 2" xfId="41056" xr:uid="{C1E90F94-503E-4320-B587-B4242FC91A82}"/>
    <cellStyle name="Comma 2 3 2 4 7 5 5 3" xfId="22802" xr:uid="{31A1EE36-1C98-4E3F-9C2D-53C0D56A55A4}"/>
    <cellStyle name="Comma 2 3 2 4 7 5 6" xfId="37406" xr:uid="{3F925975-F756-47E3-A50C-40D4E847B9DF}"/>
    <cellStyle name="Comma 2 3 2 4 7 5 7" xfId="19152" xr:uid="{6E66420B-9AEF-4E36-AE15-EFA165ABC3A1}"/>
    <cellStyle name="Comma 2 3 2 4 7 6" xfId="14768" xr:uid="{B75434B0-66EF-46E3-BBE1-117175314CE0}"/>
    <cellStyle name="Comma 2 3 2 4 7 6 2" xfId="51276" xr:uid="{DF2B6695-2370-48EE-A056-00D58C0D8A2C}"/>
    <cellStyle name="Comma 2 3 2 4 7 6 3" xfId="33022" xr:uid="{7EEE8D7E-413F-4305-8208-14B270C80443}"/>
    <cellStyle name="Comma 2 3 2 4 7 7" xfId="11118" xr:uid="{577DD4C3-D6D8-4B94-BE5F-F4ABE528D357}"/>
    <cellStyle name="Comma 2 3 2 4 7 7 2" xfId="47626" xr:uid="{52988E94-32CA-44FA-9050-F09501A87EC2}"/>
    <cellStyle name="Comma 2 3 2 4 7 7 3" xfId="29372" xr:uid="{6CAAE98A-DB38-435D-BF53-4837BCABBB41}"/>
    <cellStyle name="Comma 2 3 2 4 7 8" xfId="7468" xr:uid="{81225BEE-91BF-426E-878C-2296FCF171C0}"/>
    <cellStyle name="Comma 2 3 2 4 7 8 2" xfId="43976" xr:uid="{A6CBBFB0-2D77-4376-8A7B-06183F20F4F6}"/>
    <cellStyle name="Comma 2 3 2 4 7 8 3" xfId="25722" xr:uid="{AB45875F-72FD-4019-9254-7E64D222CF2A}"/>
    <cellStyle name="Comma 2 3 2 4 7 9" xfId="3818" xr:uid="{17340DB8-C504-46EB-98CA-B93B191A5751}"/>
    <cellStyle name="Comma 2 3 2 4 7 9 2" xfId="40326" xr:uid="{6A40AF94-C7AA-4680-BA35-60D23713EEA1}"/>
    <cellStyle name="Comma 2 3 2 4 7 9 3" xfId="22072" xr:uid="{0258918A-72EF-416C-92FB-15D9FE74736A}"/>
    <cellStyle name="Comma 2 3 2 4 8" xfId="2984" xr:uid="{779E1995-9151-42FA-A638-D2C0E228E06F}"/>
    <cellStyle name="Comma 2 3 2 4 8 2" xfId="17584" xr:uid="{60ABA91C-E934-4B52-9835-DE8227855DCE}"/>
    <cellStyle name="Comma 2 3 2 4 8 2 2" xfId="54092" xr:uid="{91AB60A5-055F-4F17-ACBC-47FE70A92F00}"/>
    <cellStyle name="Comma 2 3 2 4 8 2 3" xfId="35838" xr:uid="{D8FBA836-2F73-4A3D-A4AD-869098AE5ED8}"/>
    <cellStyle name="Comma 2 3 2 4 8 3" xfId="13934" xr:uid="{CE78C048-E01B-47B1-9457-6EA81A9A1C9E}"/>
    <cellStyle name="Comma 2 3 2 4 8 3 2" xfId="50442" xr:uid="{CCCA35B0-F2D6-45CD-85FC-027931F6FF72}"/>
    <cellStyle name="Comma 2 3 2 4 8 3 3" xfId="32188" xr:uid="{BEC4B77F-6A2B-4F1B-B98A-BB3A83C5BE07}"/>
    <cellStyle name="Comma 2 3 2 4 8 4" xfId="10284" xr:uid="{5BA45642-9D01-4C02-9039-A794DB627643}"/>
    <cellStyle name="Comma 2 3 2 4 8 4 2" xfId="46792" xr:uid="{AB29473B-B116-417D-A98E-A040FBF190BB}"/>
    <cellStyle name="Comma 2 3 2 4 8 4 3" xfId="28538" xr:uid="{F90E078E-933A-4BBD-8FB3-F98AD723D0EC}"/>
    <cellStyle name="Comma 2 3 2 4 8 5" xfId="6634" xr:uid="{7AD41776-23FC-4892-8315-1E3C7B6B4568}"/>
    <cellStyle name="Comma 2 3 2 4 8 5 2" xfId="43142" xr:uid="{1566B6C2-AB69-414B-A4F6-CB2D5EB1A501}"/>
    <cellStyle name="Comma 2 3 2 4 8 5 3" xfId="24888" xr:uid="{1E500362-EECC-4823-AAD9-01C927914869}"/>
    <cellStyle name="Comma 2 3 2 4 8 6" xfId="39492" xr:uid="{B757463E-C288-41BD-9EEA-316572F6A978}"/>
    <cellStyle name="Comma 2 3 2 4 8 7" xfId="21238" xr:uid="{50925602-B89F-49E8-B877-FD34622A00F9}"/>
    <cellStyle name="Comma 2 3 2 4 9" xfId="2254" xr:uid="{AE227D35-8CB7-4492-ACA5-18D79D3DEF7A}"/>
    <cellStyle name="Comma 2 3 2 4 9 2" xfId="16854" xr:uid="{450A78C5-A1CC-436A-B3BB-A56EAF2400C2}"/>
    <cellStyle name="Comma 2 3 2 4 9 2 2" xfId="53362" xr:uid="{727A81D3-4B2A-4404-BE50-F887B46000B6}"/>
    <cellStyle name="Comma 2 3 2 4 9 2 3" xfId="35108" xr:uid="{02CF3949-2266-48E4-A265-350DA1300206}"/>
    <cellStyle name="Comma 2 3 2 4 9 3" xfId="13204" xr:uid="{536B4505-4DDF-4388-BB64-9AB7D77B50F2}"/>
    <cellStyle name="Comma 2 3 2 4 9 3 2" xfId="49712" xr:uid="{D8C4D4B4-AC47-4912-B432-B498C54C33A9}"/>
    <cellStyle name="Comma 2 3 2 4 9 3 3" xfId="31458" xr:uid="{44872BBA-DE9A-448D-98B0-9DC18C6DC96E}"/>
    <cellStyle name="Comma 2 3 2 4 9 4" xfId="9554" xr:uid="{CF3556A0-595E-4B4D-9C55-34BB764BCB60}"/>
    <cellStyle name="Comma 2 3 2 4 9 4 2" xfId="46062" xr:uid="{66ADB9DD-154E-4E6D-A87B-2C2FDAEBB1AE}"/>
    <cellStyle name="Comma 2 3 2 4 9 4 3" xfId="27808" xr:uid="{78817C81-FD42-4B84-B833-9F15F49465BE}"/>
    <cellStyle name="Comma 2 3 2 4 9 5" xfId="5904" xr:uid="{0EF41321-AD0D-4F10-A9E8-CBFCE396CCCD}"/>
    <cellStyle name="Comma 2 3 2 4 9 5 2" xfId="42412" xr:uid="{00F1EDB2-3884-40F0-9DB2-9B30198FDEAC}"/>
    <cellStyle name="Comma 2 3 2 4 9 5 3" xfId="24158" xr:uid="{B73C001B-BA40-4D66-B990-61CA92B532C8}"/>
    <cellStyle name="Comma 2 3 2 4 9 6" xfId="38762" xr:uid="{4414E523-338E-403A-973E-D953E4DC6C40}"/>
    <cellStyle name="Comma 2 3 2 4 9 7" xfId="20508" xr:uid="{6C218783-E9A0-445B-93BD-EED04656597D}"/>
    <cellStyle name="Comma 2 3 2 5" xfId="656" xr:uid="{09D263D8-66B1-4275-B931-616612D39C82}"/>
    <cellStyle name="Comma 2 3 2 5 10" xfId="37164" xr:uid="{E54E2D35-EB05-47EA-A2EB-1FC0758819A4}"/>
    <cellStyle name="Comma 2 3 2 5 11" xfId="18910" xr:uid="{76DE071C-F688-4079-A7F9-157A97934F70}"/>
    <cellStyle name="Comma 2 3 2 5 2" xfId="3576" xr:uid="{849AE249-9358-4C4F-B2EF-4EC098360151}"/>
    <cellStyle name="Comma 2 3 2 5 2 2" xfId="18176" xr:uid="{FACEAD00-A4F3-4515-99B1-26D745098EF2}"/>
    <cellStyle name="Comma 2 3 2 5 2 2 2" xfId="54684" xr:uid="{22C02650-43CF-431E-894F-A4595961A7AB}"/>
    <cellStyle name="Comma 2 3 2 5 2 2 3" xfId="36430" xr:uid="{C79C319B-080A-441B-9CBE-2CA84EA98617}"/>
    <cellStyle name="Comma 2 3 2 5 2 3" xfId="14526" xr:uid="{33A47958-02A2-42AE-80E2-5C50F036786F}"/>
    <cellStyle name="Comma 2 3 2 5 2 3 2" xfId="51034" xr:uid="{62BACFE8-CF38-4426-868C-071418C7493D}"/>
    <cellStyle name="Comma 2 3 2 5 2 3 3" xfId="32780" xr:uid="{4041702F-B510-4AEF-945A-C5A4EDE0A9C9}"/>
    <cellStyle name="Comma 2 3 2 5 2 4" xfId="10876" xr:uid="{C4C08BC0-32FD-4B62-B708-52157A8B4F44}"/>
    <cellStyle name="Comma 2 3 2 5 2 4 2" xfId="47384" xr:uid="{9D7D6BE3-27BC-40D2-B21C-C3779BD8857B}"/>
    <cellStyle name="Comma 2 3 2 5 2 4 3" xfId="29130" xr:uid="{EAFC56C0-0EBA-44C0-83D7-910063C6D97B}"/>
    <cellStyle name="Comma 2 3 2 5 2 5" xfId="7226" xr:uid="{77C8666C-04C6-4A60-BD85-E9449F9F9E69}"/>
    <cellStyle name="Comma 2 3 2 5 2 5 2" xfId="43734" xr:uid="{DE72C407-11A3-4D32-8F70-F413B9AE70F2}"/>
    <cellStyle name="Comma 2 3 2 5 2 5 3" xfId="25480" xr:uid="{A3FBDBD9-4AB4-4120-9948-D8FB904609D0}"/>
    <cellStyle name="Comma 2 3 2 5 2 6" xfId="40084" xr:uid="{4CA32768-564B-466D-9971-7BEF08458084}"/>
    <cellStyle name="Comma 2 3 2 5 2 7" xfId="21830" xr:uid="{069D1654-F6DC-4543-B069-373E4AA05402}"/>
    <cellStyle name="Comma 2 3 2 5 3" xfId="2846" xr:uid="{D7DD31E6-A0A7-425D-A679-74B31F52A0B0}"/>
    <cellStyle name="Comma 2 3 2 5 3 2" xfId="17446" xr:uid="{58C4EFA6-4BC3-49E1-9D0A-A933C820E76B}"/>
    <cellStyle name="Comma 2 3 2 5 3 2 2" xfId="53954" xr:uid="{D4C37292-D86B-49BA-996C-E8F7124617A3}"/>
    <cellStyle name="Comma 2 3 2 5 3 2 3" xfId="35700" xr:uid="{3AC9F134-72A2-4F28-9471-42F983B72228}"/>
    <cellStyle name="Comma 2 3 2 5 3 3" xfId="13796" xr:uid="{68941A2C-16FF-449E-8ADA-3A80F4FAB75D}"/>
    <cellStyle name="Comma 2 3 2 5 3 3 2" xfId="50304" xr:uid="{6E1B6027-2428-4BF8-94A6-268ACC2A0A87}"/>
    <cellStyle name="Comma 2 3 2 5 3 3 3" xfId="32050" xr:uid="{B9021C4B-429B-41FF-84F4-45EC02FE06FC}"/>
    <cellStyle name="Comma 2 3 2 5 3 4" xfId="10146" xr:uid="{8E195EEC-8F1A-4883-807D-AE61F7928E68}"/>
    <cellStyle name="Comma 2 3 2 5 3 4 2" xfId="46654" xr:uid="{ECD2D03C-533F-41D1-892D-66E46136B2BA}"/>
    <cellStyle name="Comma 2 3 2 5 3 4 3" xfId="28400" xr:uid="{23EFCCA3-B86C-4CE6-82E5-9330F56E6115}"/>
    <cellStyle name="Comma 2 3 2 5 3 5" xfId="6496" xr:uid="{EB7B71C2-71EA-494B-8977-9F4495040852}"/>
    <cellStyle name="Comma 2 3 2 5 3 5 2" xfId="43004" xr:uid="{E3FC2878-5D4E-4CC5-BE8B-6730CB094722}"/>
    <cellStyle name="Comma 2 3 2 5 3 5 3" xfId="24750" xr:uid="{F62B43B2-D25D-488A-928D-EF445EBD6A18}"/>
    <cellStyle name="Comma 2 3 2 5 3 6" xfId="39354" xr:uid="{9B8233F7-B3B5-4677-9C29-3926495692F7}"/>
    <cellStyle name="Comma 2 3 2 5 3 7" xfId="21100" xr:uid="{CDEAEFE6-8BDD-4AD4-981F-3DE6C099C109}"/>
    <cellStyle name="Comma 2 3 2 5 4" xfId="2116" xr:uid="{2FB9964F-A84D-42C3-8C5C-B1830DA82EFA}"/>
    <cellStyle name="Comma 2 3 2 5 4 2" xfId="16716" xr:uid="{5B40FA8D-215E-465E-BFCC-29789722FA75}"/>
    <cellStyle name="Comma 2 3 2 5 4 2 2" xfId="53224" xr:uid="{101A0BFD-55F4-477C-8DF1-62CAE58B8857}"/>
    <cellStyle name="Comma 2 3 2 5 4 2 3" xfId="34970" xr:uid="{6B1493BF-9C32-474F-BF06-CF19BFA9F844}"/>
    <cellStyle name="Comma 2 3 2 5 4 3" xfId="13066" xr:uid="{65B76E51-6C73-4425-A3E7-2782FC6497FD}"/>
    <cellStyle name="Comma 2 3 2 5 4 3 2" xfId="49574" xr:uid="{6358712F-8033-4555-BE44-4ACFD40DAEC9}"/>
    <cellStyle name="Comma 2 3 2 5 4 3 3" xfId="31320" xr:uid="{614F6DC6-3A72-424F-825E-3651FAD9E37E}"/>
    <cellStyle name="Comma 2 3 2 5 4 4" xfId="9416" xr:uid="{C9213667-D73E-42D8-991F-636235524978}"/>
    <cellStyle name="Comma 2 3 2 5 4 4 2" xfId="45924" xr:uid="{651FD674-CAA8-461D-8D91-A926C08296F4}"/>
    <cellStyle name="Comma 2 3 2 5 4 4 3" xfId="27670" xr:uid="{C4533C06-344B-4E1F-98BD-28AB8A55DA6B}"/>
    <cellStyle name="Comma 2 3 2 5 4 5" xfId="5766" xr:uid="{D07579F2-A826-4EB0-BA61-5DA622FE4706}"/>
    <cellStyle name="Comma 2 3 2 5 4 5 2" xfId="42274" xr:uid="{B5BCDF7A-D8A7-4886-B5DE-66A6F508D5AB}"/>
    <cellStyle name="Comma 2 3 2 5 4 5 3" xfId="24020" xr:uid="{0DEE1989-C096-4F7D-806C-C665F564964A}"/>
    <cellStyle name="Comma 2 3 2 5 4 6" xfId="38624" xr:uid="{941C941B-24C4-407F-BDBF-A92F83E8670F}"/>
    <cellStyle name="Comma 2 3 2 5 4 7" xfId="20370" xr:uid="{E189B88F-726E-4B39-BF99-AE5903AB13DB}"/>
    <cellStyle name="Comma 2 3 2 5 5" xfId="1386" xr:uid="{465C084C-D12C-4720-8F9A-0E54235B9A13}"/>
    <cellStyle name="Comma 2 3 2 5 5 2" xfId="15986" xr:uid="{EFE89DA3-D684-470E-86D3-7374076F982F}"/>
    <cellStyle name="Comma 2 3 2 5 5 2 2" xfId="52494" xr:uid="{35B6F3FD-82F2-4887-9A02-FA8E821659E3}"/>
    <cellStyle name="Comma 2 3 2 5 5 2 3" xfId="34240" xr:uid="{365F6603-B3A0-4B9F-AC37-8788AF4CCC21}"/>
    <cellStyle name="Comma 2 3 2 5 5 3" xfId="12336" xr:uid="{A6F419B0-E367-406C-A1E0-865655544EED}"/>
    <cellStyle name="Comma 2 3 2 5 5 3 2" xfId="48844" xr:uid="{767FB603-8B07-4D40-B271-200E185ACC60}"/>
    <cellStyle name="Comma 2 3 2 5 5 3 3" xfId="30590" xr:uid="{15BE4AA5-A67E-4D35-AB2F-C36C0F368EB6}"/>
    <cellStyle name="Comma 2 3 2 5 5 4" xfId="8686" xr:uid="{9CED9732-2945-4EDF-8500-9C17E8890531}"/>
    <cellStyle name="Comma 2 3 2 5 5 4 2" xfId="45194" xr:uid="{45E27356-AD62-481B-9B4B-2AD569D199F8}"/>
    <cellStyle name="Comma 2 3 2 5 5 4 3" xfId="26940" xr:uid="{F22F4A2D-86E8-44F4-B41B-BA369B8D1519}"/>
    <cellStyle name="Comma 2 3 2 5 5 5" xfId="5036" xr:uid="{8ED96EF2-8DED-45FA-8524-690BB25CC7A8}"/>
    <cellStyle name="Comma 2 3 2 5 5 5 2" xfId="41544" xr:uid="{4CFA2180-08FB-4E24-96CF-53A35347F343}"/>
    <cellStyle name="Comma 2 3 2 5 5 5 3" xfId="23290" xr:uid="{CFD4BB4F-F9D8-4A92-8B15-AB18BBADBDEC}"/>
    <cellStyle name="Comma 2 3 2 5 5 6" xfId="37894" xr:uid="{31354EB9-AA01-4B5D-85B4-69D1F3DC9DCA}"/>
    <cellStyle name="Comma 2 3 2 5 5 7" xfId="19640" xr:uid="{713743EA-A5F7-4E74-B23B-5333E726617E}"/>
    <cellStyle name="Comma 2 3 2 5 6" xfId="15256" xr:uid="{9A3541D4-B48B-4803-8480-ED864053E50D}"/>
    <cellStyle name="Comma 2 3 2 5 6 2" xfId="51764" xr:uid="{52141F48-A13B-4CAA-9B31-B6B5B6BCF50D}"/>
    <cellStyle name="Comma 2 3 2 5 6 3" xfId="33510" xr:uid="{10A6FB48-66C8-4CF1-B9E3-7287876215BB}"/>
    <cellStyle name="Comma 2 3 2 5 7" xfId="11606" xr:uid="{069EF865-1AF1-4B35-9F96-0167465F3593}"/>
    <cellStyle name="Comma 2 3 2 5 7 2" xfId="48114" xr:uid="{4A6F3874-633C-45B0-914B-2B65730C3B0B}"/>
    <cellStyle name="Comma 2 3 2 5 7 3" xfId="29860" xr:uid="{2439A70D-DEAA-4CDD-AC09-2B6E11B4AB88}"/>
    <cellStyle name="Comma 2 3 2 5 8" xfId="7956" xr:uid="{34F82C20-9434-40A3-B9B0-81DE36EB7DE9}"/>
    <cellStyle name="Comma 2 3 2 5 8 2" xfId="44464" xr:uid="{11F93C6B-F72B-4552-9B8F-CD9B782BEDCA}"/>
    <cellStyle name="Comma 2 3 2 5 8 3" xfId="26210" xr:uid="{F23D6FEB-89B3-41F2-9FA9-C1E2BA8C25EC}"/>
    <cellStyle name="Comma 2 3 2 5 9" xfId="4306" xr:uid="{F7C0FC15-1981-4409-A678-2286E9DF8682}"/>
    <cellStyle name="Comma 2 3 2 5 9 2" xfId="40814" xr:uid="{569B2AA4-EA69-430A-9F46-763D99C53612}"/>
    <cellStyle name="Comma 2 3 2 5 9 3" xfId="22560" xr:uid="{B5A7CF3B-876C-40B6-8AEA-133DB44814B1}"/>
    <cellStyle name="Comma 2 3 2 6" xfId="552" xr:uid="{72AA81C0-5120-43F5-BB64-2E166F6C2528}"/>
    <cellStyle name="Comma 2 3 2 6 10" xfId="37060" xr:uid="{69A58D4A-BB92-40D9-A998-92ABAE896CB2}"/>
    <cellStyle name="Comma 2 3 2 6 11" xfId="18806" xr:uid="{E853735E-6C9F-4426-B2A6-96267AA532BA}"/>
    <cellStyle name="Comma 2 3 2 6 2" xfId="3472" xr:uid="{EF371D9E-D78F-4026-BB00-CBA32AD77911}"/>
    <cellStyle name="Comma 2 3 2 6 2 2" xfId="18072" xr:uid="{45CF4679-5089-4496-A77E-F628A5E06CD0}"/>
    <cellStyle name="Comma 2 3 2 6 2 2 2" xfId="54580" xr:uid="{7F5DAEFB-797F-40A1-BE86-E924EEA0AE80}"/>
    <cellStyle name="Comma 2 3 2 6 2 2 3" xfId="36326" xr:uid="{B758F844-A161-480B-AD00-4D3DE0F20BF8}"/>
    <cellStyle name="Comma 2 3 2 6 2 3" xfId="14422" xr:uid="{64F2215F-3690-4AD0-8DDA-536B682C9788}"/>
    <cellStyle name="Comma 2 3 2 6 2 3 2" xfId="50930" xr:uid="{5BE54B6A-C87A-4B63-813A-E8332F3DD7C2}"/>
    <cellStyle name="Comma 2 3 2 6 2 3 3" xfId="32676" xr:uid="{1832274C-48FC-403B-B910-274015AC42CF}"/>
    <cellStyle name="Comma 2 3 2 6 2 4" xfId="10772" xr:uid="{DB74E2C4-9DE7-44DA-BF47-72FF3ABCE7F1}"/>
    <cellStyle name="Comma 2 3 2 6 2 4 2" xfId="47280" xr:uid="{DF3B986F-43BF-4B23-B624-A9564CBB16F3}"/>
    <cellStyle name="Comma 2 3 2 6 2 4 3" xfId="29026" xr:uid="{5CA17937-97EB-46F2-9454-653BA4AF1491}"/>
    <cellStyle name="Comma 2 3 2 6 2 5" xfId="7122" xr:uid="{52680299-E146-425B-961C-8DCD8C9DAA15}"/>
    <cellStyle name="Comma 2 3 2 6 2 5 2" xfId="43630" xr:uid="{26F61587-5DD0-4429-A1E9-3CFC7358E797}"/>
    <cellStyle name="Comma 2 3 2 6 2 5 3" xfId="25376" xr:uid="{FC33B6B0-E0A9-438B-BFD8-C0BEF796CC0A}"/>
    <cellStyle name="Comma 2 3 2 6 2 6" xfId="39980" xr:uid="{4954A5AE-5848-4BDF-B46E-50577E629DAB}"/>
    <cellStyle name="Comma 2 3 2 6 2 7" xfId="21726" xr:uid="{16AA7E53-5968-46E2-B181-9C69E70A684D}"/>
    <cellStyle name="Comma 2 3 2 6 3" xfId="2742" xr:uid="{A0364478-3C60-4649-93A3-C3A912A3A936}"/>
    <cellStyle name="Comma 2 3 2 6 3 2" xfId="17342" xr:uid="{0B934759-BEEA-4611-B234-CC9C2A97E1A3}"/>
    <cellStyle name="Comma 2 3 2 6 3 2 2" xfId="53850" xr:uid="{94B329C2-02D0-4ABB-B3F5-CB3B044F95BD}"/>
    <cellStyle name="Comma 2 3 2 6 3 2 3" xfId="35596" xr:uid="{6BB40D83-DB40-4BAA-AB94-01C9F56DB370}"/>
    <cellStyle name="Comma 2 3 2 6 3 3" xfId="13692" xr:uid="{E8E52880-959E-4E5D-8687-2F55E97B1487}"/>
    <cellStyle name="Comma 2 3 2 6 3 3 2" xfId="50200" xr:uid="{C1BB0EF4-1D56-4DEB-8A06-21A0326C39ED}"/>
    <cellStyle name="Comma 2 3 2 6 3 3 3" xfId="31946" xr:uid="{C7CEED7D-7DA9-448F-A1C0-580E5B3F4AC4}"/>
    <cellStyle name="Comma 2 3 2 6 3 4" xfId="10042" xr:uid="{5A100A3B-B034-49C8-981B-696F6872145A}"/>
    <cellStyle name="Comma 2 3 2 6 3 4 2" xfId="46550" xr:uid="{F56386D9-0774-45B4-8AA3-A014A4ED4DB8}"/>
    <cellStyle name="Comma 2 3 2 6 3 4 3" xfId="28296" xr:uid="{D56D35DC-4C9D-4187-82F6-6D2801901926}"/>
    <cellStyle name="Comma 2 3 2 6 3 5" xfId="6392" xr:uid="{DFA274A2-532D-402B-BCE8-4E62DE324520}"/>
    <cellStyle name="Comma 2 3 2 6 3 5 2" xfId="42900" xr:uid="{40967618-8416-488D-ADF5-6185071FAFD2}"/>
    <cellStyle name="Comma 2 3 2 6 3 5 3" xfId="24646" xr:uid="{57D6B609-30CD-449E-A469-28C0F41DDEB7}"/>
    <cellStyle name="Comma 2 3 2 6 3 6" xfId="39250" xr:uid="{1FA075AF-B8E3-4755-A285-E618F671DFE7}"/>
    <cellStyle name="Comma 2 3 2 6 3 7" xfId="20996" xr:uid="{9B7A35BD-B595-4F04-9F8D-1D7DC95B8999}"/>
    <cellStyle name="Comma 2 3 2 6 4" xfId="2012" xr:uid="{4D109001-FCA5-4A7A-9508-2062645D85D4}"/>
    <cellStyle name="Comma 2 3 2 6 4 2" xfId="16612" xr:uid="{FCC1157F-7495-4D00-A28B-907C07254C7F}"/>
    <cellStyle name="Comma 2 3 2 6 4 2 2" xfId="53120" xr:uid="{1C648923-F72D-456D-B556-8116464C0AEA}"/>
    <cellStyle name="Comma 2 3 2 6 4 2 3" xfId="34866" xr:uid="{F57BC7B2-D800-42E1-9DD3-B37C948DA204}"/>
    <cellStyle name="Comma 2 3 2 6 4 3" xfId="12962" xr:uid="{F29C121C-9413-4B86-9256-16185273043D}"/>
    <cellStyle name="Comma 2 3 2 6 4 3 2" xfId="49470" xr:uid="{3F4F33BA-0DDB-4709-9734-5BEA03B6965C}"/>
    <cellStyle name="Comma 2 3 2 6 4 3 3" xfId="31216" xr:uid="{468938D4-5182-4B4A-9021-C433936F80FE}"/>
    <cellStyle name="Comma 2 3 2 6 4 4" xfId="9312" xr:uid="{A61994B9-8267-442F-ABBF-A13A0D9B1F24}"/>
    <cellStyle name="Comma 2 3 2 6 4 4 2" xfId="45820" xr:uid="{87BDCE39-D496-4305-8731-699CB67833BB}"/>
    <cellStyle name="Comma 2 3 2 6 4 4 3" xfId="27566" xr:uid="{008842D5-3C5A-4B74-A341-814A29605168}"/>
    <cellStyle name="Comma 2 3 2 6 4 5" xfId="5662" xr:uid="{41000169-9D7E-4B23-96EF-9334DAD254BF}"/>
    <cellStyle name="Comma 2 3 2 6 4 5 2" xfId="42170" xr:uid="{301C77BC-7775-4140-82E7-CDEBA1172345}"/>
    <cellStyle name="Comma 2 3 2 6 4 5 3" xfId="23916" xr:uid="{322A1986-5658-4D38-8DC7-8CEBA3349F7F}"/>
    <cellStyle name="Comma 2 3 2 6 4 6" xfId="38520" xr:uid="{4C68F0E1-3272-4354-A52B-E3DAA13DB8A3}"/>
    <cellStyle name="Comma 2 3 2 6 4 7" xfId="20266" xr:uid="{61B489FB-ADE0-4337-9BF1-9C0653AB0ECD}"/>
    <cellStyle name="Comma 2 3 2 6 5" xfId="1282" xr:uid="{4B823576-9790-4D25-8830-73442EE3C04A}"/>
    <cellStyle name="Comma 2 3 2 6 5 2" xfId="15882" xr:uid="{911E49F3-68EE-46FD-BBF1-A5C047DE75D6}"/>
    <cellStyle name="Comma 2 3 2 6 5 2 2" xfId="52390" xr:uid="{B1B77625-2D5C-425F-8C4C-6255CD9619C6}"/>
    <cellStyle name="Comma 2 3 2 6 5 2 3" xfId="34136" xr:uid="{0D82A53A-97CA-4EED-9A21-905C1EE0DCE2}"/>
    <cellStyle name="Comma 2 3 2 6 5 3" xfId="12232" xr:uid="{F473E07A-7DCE-4CA3-8A36-940821E14C60}"/>
    <cellStyle name="Comma 2 3 2 6 5 3 2" xfId="48740" xr:uid="{A6A6B594-AE67-4B44-A771-310A06E29D8A}"/>
    <cellStyle name="Comma 2 3 2 6 5 3 3" xfId="30486" xr:uid="{843892FD-DF6C-452D-9842-006042AEF840}"/>
    <cellStyle name="Comma 2 3 2 6 5 4" xfId="8582" xr:uid="{3CFFF5CE-69D0-4A7A-91AA-2B5544898A79}"/>
    <cellStyle name="Comma 2 3 2 6 5 4 2" xfId="45090" xr:uid="{13FFB956-31DF-48EE-8602-987273679D8B}"/>
    <cellStyle name="Comma 2 3 2 6 5 4 3" xfId="26836" xr:uid="{DA069E86-F149-4C4F-BE8B-FF3B83255378}"/>
    <cellStyle name="Comma 2 3 2 6 5 5" xfId="4932" xr:uid="{B3F04048-ED8E-4B4E-8B8F-999346E8AB8B}"/>
    <cellStyle name="Comma 2 3 2 6 5 5 2" xfId="41440" xr:uid="{7A5D8AF6-2E6E-43BC-9353-D39865EBF356}"/>
    <cellStyle name="Comma 2 3 2 6 5 5 3" xfId="23186" xr:uid="{95C13060-1858-49E9-BD67-710BEE93FFB7}"/>
    <cellStyle name="Comma 2 3 2 6 5 6" xfId="37790" xr:uid="{977155BD-8614-4D7D-8EBC-5FC4A70BB53F}"/>
    <cellStyle name="Comma 2 3 2 6 5 7" xfId="19536" xr:uid="{F564B69A-A895-4CE8-9F26-4C7BC5688CC7}"/>
    <cellStyle name="Comma 2 3 2 6 6" xfId="15152" xr:uid="{83B0FFCA-90E7-4658-B397-1FF6C236315C}"/>
    <cellStyle name="Comma 2 3 2 6 6 2" xfId="51660" xr:uid="{4C98B536-EB8C-4E42-9539-7A628D80AA60}"/>
    <cellStyle name="Comma 2 3 2 6 6 3" xfId="33406" xr:uid="{92AD7300-4EA4-40FD-8777-6CDC2D701063}"/>
    <cellStyle name="Comma 2 3 2 6 7" xfId="11502" xr:uid="{A31B72CD-707A-40CB-943A-A472B612A8FC}"/>
    <cellStyle name="Comma 2 3 2 6 7 2" xfId="48010" xr:uid="{0F8A9D6A-8344-43DD-BA50-3FEEB162152A}"/>
    <cellStyle name="Comma 2 3 2 6 7 3" xfId="29756" xr:uid="{D0A0C28B-28A3-474D-ABD1-51253C338D26}"/>
    <cellStyle name="Comma 2 3 2 6 8" xfId="7852" xr:uid="{117D0BBD-FA10-49AF-AD83-32B479F3AEB8}"/>
    <cellStyle name="Comma 2 3 2 6 8 2" xfId="44360" xr:uid="{30D3E814-0FC6-4C42-8BAC-758C923CC686}"/>
    <cellStyle name="Comma 2 3 2 6 8 3" xfId="26106" xr:uid="{BB68F39A-A018-421B-8422-410A46AC840B}"/>
    <cellStyle name="Comma 2 3 2 6 9" xfId="4202" xr:uid="{307F6E3A-28E3-4247-9221-5C8A9D676F99}"/>
    <cellStyle name="Comma 2 3 2 6 9 2" xfId="40710" xr:uid="{3879E6D6-5769-4145-B869-A37D528B1C28}"/>
    <cellStyle name="Comma 2 3 2 6 9 3" xfId="22456" xr:uid="{954C070A-65EB-4BD2-987B-0E88C30E6678}"/>
    <cellStyle name="Comma 2 3 2 7" xfId="448" xr:uid="{604493ED-58E0-4B12-970D-66B919AC99BF}"/>
    <cellStyle name="Comma 2 3 2 7 10" xfId="36956" xr:uid="{BE050CD9-3AAD-40ED-89A7-E67D7B01E71F}"/>
    <cellStyle name="Comma 2 3 2 7 11" xfId="18702" xr:uid="{B8F8EB16-BAA7-45D8-AA4E-4E0FB35A01AD}"/>
    <cellStyle name="Comma 2 3 2 7 2" xfId="3368" xr:uid="{8343E2BD-43DA-4699-AD54-397A8DBF8EAA}"/>
    <cellStyle name="Comma 2 3 2 7 2 2" xfId="17968" xr:uid="{F736BF92-5281-4E5B-8209-FF9E4FC1509B}"/>
    <cellStyle name="Comma 2 3 2 7 2 2 2" xfId="54476" xr:uid="{570ECBD8-1555-434C-B4E6-4C58F655FD03}"/>
    <cellStyle name="Comma 2 3 2 7 2 2 3" xfId="36222" xr:uid="{F4B6AE7B-56E2-4EF4-B169-87439BA56479}"/>
    <cellStyle name="Comma 2 3 2 7 2 3" xfId="14318" xr:uid="{ADFED232-3961-4ED1-A7AC-7B2EF3BDCDA9}"/>
    <cellStyle name="Comma 2 3 2 7 2 3 2" xfId="50826" xr:uid="{4495E6D0-A971-41E8-87E5-0B068170EBEE}"/>
    <cellStyle name="Comma 2 3 2 7 2 3 3" xfId="32572" xr:uid="{1D175A15-6D42-4206-BF98-29EF7DCB504D}"/>
    <cellStyle name="Comma 2 3 2 7 2 4" xfId="10668" xr:uid="{5A6089B2-520C-4BB2-9076-FAE791D78BC4}"/>
    <cellStyle name="Comma 2 3 2 7 2 4 2" xfId="47176" xr:uid="{81359164-4C3B-4866-ACCA-51324E279946}"/>
    <cellStyle name="Comma 2 3 2 7 2 4 3" xfId="28922" xr:uid="{26BB5B52-9EC1-483F-AA3E-0191E88A7964}"/>
    <cellStyle name="Comma 2 3 2 7 2 5" xfId="7018" xr:uid="{37D95788-52A1-46A1-BF1C-EC33C43A0E2E}"/>
    <cellStyle name="Comma 2 3 2 7 2 5 2" xfId="43526" xr:uid="{267EA9F2-86E8-405C-8C20-964D199AFD45}"/>
    <cellStyle name="Comma 2 3 2 7 2 5 3" xfId="25272" xr:uid="{4DD7000C-B799-4E64-A6E0-C0C577ECB865}"/>
    <cellStyle name="Comma 2 3 2 7 2 6" xfId="39876" xr:uid="{324A0F76-9A1C-4DF8-A1BC-8430381FE3DD}"/>
    <cellStyle name="Comma 2 3 2 7 2 7" xfId="21622" xr:uid="{462C9639-77E3-4443-89F8-103697E58D81}"/>
    <cellStyle name="Comma 2 3 2 7 3" xfId="2638" xr:uid="{3AB6CC58-9480-4D9E-9F5D-E231E61913C8}"/>
    <cellStyle name="Comma 2 3 2 7 3 2" xfId="17238" xr:uid="{02D9CD0D-41AD-4C11-AA68-8F2DC4C9BEEA}"/>
    <cellStyle name="Comma 2 3 2 7 3 2 2" xfId="53746" xr:uid="{5E40EA76-88AF-40DC-BDF5-47D70D480766}"/>
    <cellStyle name="Comma 2 3 2 7 3 2 3" xfId="35492" xr:uid="{3EE31CD1-0D66-4672-8914-11C4B9F14DD7}"/>
    <cellStyle name="Comma 2 3 2 7 3 3" xfId="13588" xr:uid="{29960BB3-2B07-4C0F-85E9-BB3ACDF7718C}"/>
    <cellStyle name="Comma 2 3 2 7 3 3 2" xfId="50096" xr:uid="{BAAFF61A-E802-47C4-9B2F-FFE0A82FBDB7}"/>
    <cellStyle name="Comma 2 3 2 7 3 3 3" xfId="31842" xr:uid="{FF3EF2D9-00B3-4878-AEA0-0B5B573A4F14}"/>
    <cellStyle name="Comma 2 3 2 7 3 4" xfId="9938" xr:uid="{4ED53269-3DBA-454E-90D6-A5640C6A1528}"/>
    <cellStyle name="Comma 2 3 2 7 3 4 2" xfId="46446" xr:uid="{5D546EFD-509F-4509-A6CC-BE67FA95F0D0}"/>
    <cellStyle name="Comma 2 3 2 7 3 4 3" xfId="28192" xr:uid="{47483928-ADC5-4334-88FD-ADBE959AC7E1}"/>
    <cellStyle name="Comma 2 3 2 7 3 5" xfId="6288" xr:uid="{370EAC26-D1CF-4A11-AA7D-8E5E82727BF2}"/>
    <cellStyle name="Comma 2 3 2 7 3 5 2" xfId="42796" xr:uid="{7F6627C5-E38F-460E-8148-87C9D2492A2E}"/>
    <cellStyle name="Comma 2 3 2 7 3 5 3" xfId="24542" xr:uid="{55597328-97E2-4640-A8F2-3A4F6ECB598A}"/>
    <cellStyle name="Comma 2 3 2 7 3 6" xfId="39146" xr:uid="{B83713C4-9FEA-4204-BE45-6C70409C8EC3}"/>
    <cellStyle name="Comma 2 3 2 7 3 7" xfId="20892" xr:uid="{DD04F9FB-3F7A-4333-A74D-8BAEEC2033E3}"/>
    <cellStyle name="Comma 2 3 2 7 4" xfId="1908" xr:uid="{F97FA439-7D16-4996-970D-E2FD98AF1F96}"/>
    <cellStyle name="Comma 2 3 2 7 4 2" xfId="16508" xr:uid="{56DC9CA2-4221-4F5A-A194-9E4FAC4AD383}"/>
    <cellStyle name="Comma 2 3 2 7 4 2 2" xfId="53016" xr:uid="{FB3F244D-28A6-449F-808C-F8A465D83B8B}"/>
    <cellStyle name="Comma 2 3 2 7 4 2 3" xfId="34762" xr:uid="{811C21CA-3CD6-4EE0-A953-1A1ACF6461CA}"/>
    <cellStyle name="Comma 2 3 2 7 4 3" xfId="12858" xr:uid="{5CE40F6E-E903-4092-A7DB-2FAB9F8A7FA9}"/>
    <cellStyle name="Comma 2 3 2 7 4 3 2" xfId="49366" xr:uid="{DC5EA617-C43A-401A-8192-0F05C5035A33}"/>
    <cellStyle name="Comma 2 3 2 7 4 3 3" xfId="31112" xr:uid="{5B413EBE-69B8-4D5C-9DC4-475D6BA3109B}"/>
    <cellStyle name="Comma 2 3 2 7 4 4" xfId="9208" xr:uid="{8CD3FA74-CE98-4481-8A64-C3037A6827FE}"/>
    <cellStyle name="Comma 2 3 2 7 4 4 2" xfId="45716" xr:uid="{13631C86-3281-4CE7-96F8-564234E4321F}"/>
    <cellStyle name="Comma 2 3 2 7 4 4 3" xfId="27462" xr:uid="{3221272D-A03E-456B-8F29-2C71A57913D5}"/>
    <cellStyle name="Comma 2 3 2 7 4 5" xfId="5558" xr:uid="{F08ACAC6-F447-45A3-8320-1967307B9633}"/>
    <cellStyle name="Comma 2 3 2 7 4 5 2" xfId="42066" xr:uid="{B4749A76-3FBD-40E1-ABE2-D6D358F9A29A}"/>
    <cellStyle name="Comma 2 3 2 7 4 5 3" xfId="23812" xr:uid="{9CD86C48-FE0E-461C-86D2-E18ACB7644A5}"/>
    <cellStyle name="Comma 2 3 2 7 4 6" xfId="38416" xr:uid="{2FFBC1ED-7FCB-4A84-B19B-54B491D06AED}"/>
    <cellStyle name="Comma 2 3 2 7 4 7" xfId="20162" xr:uid="{6757B4B2-D981-4A56-91AA-AA942701E97D}"/>
    <cellStyle name="Comma 2 3 2 7 5" xfId="1178" xr:uid="{5355DC07-058A-4481-B305-917E541192F1}"/>
    <cellStyle name="Comma 2 3 2 7 5 2" xfId="15778" xr:uid="{353A9AAF-FDE0-4F45-90B6-8D0D3291BA9F}"/>
    <cellStyle name="Comma 2 3 2 7 5 2 2" xfId="52286" xr:uid="{6228B372-288D-4D4F-B25D-DE64CF5EE19D}"/>
    <cellStyle name="Comma 2 3 2 7 5 2 3" xfId="34032" xr:uid="{CF2D79B1-81EF-493A-A31B-63B4C3A25945}"/>
    <cellStyle name="Comma 2 3 2 7 5 3" xfId="12128" xr:uid="{67EFCF4E-278A-432D-99B6-13748C88E689}"/>
    <cellStyle name="Comma 2 3 2 7 5 3 2" xfId="48636" xr:uid="{B8CB6183-9175-481D-B981-97F6B1065C1C}"/>
    <cellStyle name="Comma 2 3 2 7 5 3 3" xfId="30382" xr:uid="{D8D66094-E5E7-402E-8D04-32B57137D934}"/>
    <cellStyle name="Comma 2 3 2 7 5 4" xfId="8478" xr:uid="{8B54F4D0-99B4-43ED-803C-D46F74508F47}"/>
    <cellStyle name="Comma 2 3 2 7 5 4 2" xfId="44986" xr:uid="{DFF5D313-C6D2-4F62-A67A-9459CAB9A8D4}"/>
    <cellStyle name="Comma 2 3 2 7 5 4 3" xfId="26732" xr:uid="{93EFBBE5-890D-46A5-BBA1-07741715C1F8}"/>
    <cellStyle name="Comma 2 3 2 7 5 5" xfId="4828" xr:uid="{BF365270-692B-4F61-9B2A-3C8A65994418}"/>
    <cellStyle name="Comma 2 3 2 7 5 5 2" xfId="41336" xr:uid="{7F4DF66A-EAF8-485B-A13F-332B1F0FD9C6}"/>
    <cellStyle name="Comma 2 3 2 7 5 5 3" xfId="23082" xr:uid="{E32227C5-9048-4BF1-9A9F-B848CDDA904E}"/>
    <cellStyle name="Comma 2 3 2 7 5 6" xfId="37686" xr:uid="{78645635-9510-42CA-A35A-CCFDC4E266E2}"/>
    <cellStyle name="Comma 2 3 2 7 5 7" xfId="19432" xr:uid="{66FD7BAB-9F7A-402F-81E2-E26F2B1BEC77}"/>
    <cellStyle name="Comma 2 3 2 7 6" xfId="15048" xr:uid="{EBD8B2E7-FC09-4694-B263-9D7E7B24F7DC}"/>
    <cellStyle name="Comma 2 3 2 7 6 2" xfId="51556" xr:uid="{06919143-7C75-4CCB-82B4-C5825A54ACE0}"/>
    <cellStyle name="Comma 2 3 2 7 6 3" xfId="33302" xr:uid="{A4BE4EE1-3141-4DAF-AD2D-544B378EC36F}"/>
    <cellStyle name="Comma 2 3 2 7 7" xfId="11398" xr:uid="{E190FEFC-15CA-461A-9E42-341C26297568}"/>
    <cellStyle name="Comma 2 3 2 7 7 2" xfId="47906" xr:uid="{DC297509-EFB9-4CC2-B878-44261CE48287}"/>
    <cellStyle name="Comma 2 3 2 7 7 3" xfId="29652" xr:uid="{778ED8F0-8924-47D3-AAE6-D8E5C8CB4F44}"/>
    <cellStyle name="Comma 2 3 2 7 8" xfId="7748" xr:uid="{66F7C4D1-135F-4E38-89EF-EB3B8072050B}"/>
    <cellStyle name="Comma 2 3 2 7 8 2" xfId="44256" xr:uid="{5CB9B835-515D-4B98-AA34-113A83B8B22D}"/>
    <cellStyle name="Comma 2 3 2 7 8 3" xfId="26002" xr:uid="{E9569BF0-DE13-4E69-9392-22E518F7DF85}"/>
    <cellStyle name="Comma 2 3 2 7 9" xfId="4098" xr:uid="{8389BBFD-D3DD-4FB0-A2B4-924593B10BB9}"/>
    <cellStyle name="Comma 2 3 2 7 9 2" xfId="40606" xr:uid="{0340FD39-F763-4CB2-8401-5AD9B820B568}"/>
    <cellStyle name="Comma 2 3 2 7 9 3" xfId="22352" xr:uid="{50CE5B44-FFAE-4BF5-AAF9-7B5F94490B8A}"/>
    <cellStyle name="Comma 2 3 2 8" xfId="344" xr:uid="{C659A3CD-4810-4D56-BB6E-7B1AE5F3B1FE}"/>
    <cellStyle name="Comma 2 3 2 8 10" xfId="36852" xr:uid="{6AA5EEFF-54AD-47D6-9227-F76838695415}"/>
    <cellStyle name="Comma 2 3 2 8 11" xfId="18598" xr:uid="{18EE3B36-0644-4FCC-858C-2C2EAC5A6B49}"/>
    <cellStyle name="Comma 2 3 2 8 2" xfId="3264" xr:uid="{E62A27C4-45C6-4034-81C5-47EC1FFF7F26}"/>
    <cellStyle name="Comma 2 3 2 8 2 2" xfId="17864" xr:uid="{FAF14C1A-05F9-41DF-B0E4-ABF68FBB5913}"/>
    <cellStyle name="Comma 2 3 2 8 2 2 2" xfId="54372" xr:uid="{94831B77-0248-406A-9E7D-9285E6EAA269}"/>
    <cellStyle name="Comma 2 3 2 8 2 2 3" xfId="36118" xr:uid="{4FDD986E-E4FD-4976-9E64-8172D2DE1A3A}"/>
    <cellStyle name="Comma 2 3 2 8 2 3" xfId="14214" xr:uid="{CCFE3DA4-7CFF-4629-82E9-376243CBE724}"/>
    <cellStyle name="Comma 2 3 2 8 2 3 2" xfId="50722" xr:uid="{5497FA17-5BE0-43B5-B0C2-404B414D6368}"/>
    <cellStyle name="Comma 2 3 2 8 2 3 3" xfId="32468" xr:uid="{50083035-BE07-4CBE-9B10-64B3C0B382AD}"/>
    <cellStyle name="Comma 2 3 2 8 2 4" xfId="10564" xr:uid="{ECD217F1-1DCD-4205-8894-35EC0BFF0B30}"/>
    <cellStyle name="Comma 2 3 2 8 2 4 2" xfId="47072" xr:uid="{477BE1C6-BCF6-47F2-8870-DBA843179A25}"/>
    <cellStyle name="Comma 2 3 2 8 2 4 3" xfId="28818" xr:uid="{D9D4B816-0D16-4CE7-A665-E9D8459E7EEE}"/>
    <cellStyle name="Comma 2 3 2 8 2 5" xfId="6914" xr:uid="{8D280B30-BA82-4328-8956-D56399241C21}"/>
    <cellStyle name="Comma 2 3 2 8 2 5 2" xfId="43422" xr:uid="{6D8CBB8E-99D3-4A51-B9C6-7596235EA51A}"/>
    <cellStyle name="Comma 2 3 2 8 2 5 3" xfId="25168" xr:uid="{DEBCE3C6-74D4-440C-84DE-0D0AF7C561F3}"/>
    <cellStyle name="Comma 2 3 2 8 2 6" xfId="39772" xr:uid="{1B38F1CB-7958-4697-BF21-93D4FA96D62D}"/>
    <cellStyle name="Comma 2 3 2 8 2 7" xfId="21518" xr:uid="{775D8D1C-7FBC-4EF2-9CBE-958F21E35AA5}"/>
    <cellStyle name="Comma 2 3 2 8 3" xfId="2534" xr:uid="{C1F616E3-27AA-46A1-A81E-4DB0CD2219FC}"/>
    <cellStyle name="Comma 2 3 2 8 3 2" xfId="17134" xr:uid="{3136D287-B0EA-4634-8FF5-5C5A96C97EB5}"/>
    <cellStyle name="Comma 2 3 2 8 3 2 2" xfId="53642" xr:uid="{0F11F67E-CA29-4476-A178-94F4613174BC}"/>
    <cellStyle name="Comma 2 3 2 8 3 2 3" xfId="35388" xr:uid="{372579D0-FAE1-42AA-AA86-C64E29109B05}"/>
    <cellStyle name="Comma 2 3 2 8 3 3" xfId="13484" xr:uid="{2F81FF18-EE5F-4311-BF28-B2D9B94C4F38}"/>
    <cellStyle name="Comma 2 3 2 8 3 3 2" xfId="49992" xr:uid="{D6DA25FA-AF8C-48DF-99A2-4FB0406C214F}"/>
    <cellStyle name="Comma 2 3 2 8 3 3 3" xfId="31738" xr:uid="{E3C79064-32BA-4027-B5C8-089E3DAC6899}"/>
    <cellStyle name="Comma 2 3 2 8 3 4" xfId="9834" xr:uid="{12477B64-BEF9-4538-A18D-F7A76EF0CF17}"/>
    <cellStyle name="Comma 2 3 2 8 3 4 2" xfId="46342" xr:uid="{E7215974-BEFD-4707-9710-5DB0E0FC069A}"/>
    <cellStyle name="Comma 2 3 2 8 3 4 3" xfId="28088" xr:uid="{EAA0C51F-E454-4A52-B001-E5596C17381E}"/>
    <cellStyle name="Comma 2 3 2 8 3 5" xfId="6184" xr:uid="{E165E8DA-C4DC-47F6-AB1A-66065DE82DE3}"/>
    <cellStyle name="Comma 2 3 2 8 3 5 2" xfId="42692" xr:uid="{58DDF89F-A2ED-410E-BABF-C4DB4E3BE18C}"/>
    <cellStyle name="Comma 2 3 2 8 3 5 3" xfId="24438" xr:uid="{07C9E377-DDEE-4F88-8B2F-90D646F2679C}"/>
    <cellStyle name="Comma 2 3 2 8 3 6" xfId="39042" xr:uid="{E9E6255D-2782-4978-9B50-1498A61EBFCA}"/>
    <cellStyle name="Comma 2 3 2 8 3 7" xfId="20788" xr:uid="{4E6B059E-1935-436B-86C9-2C2C4BA6500E}"/>
    <cellStyle name="Comma 2 3 2 8 4" xfId="1804" xr:uid="{E542BB0D-F4FA-44FE-95A9-56BBF1C9A35B}"/>
    <cellStyle name="Comma 2 3 2 8 4 2" xfId="16404" xr:uid="{F610323D-9A48-40AA-9D14-57D8C6F1CEF2}"/>
    <cellStyle name="Comma 2 3 2 8 4 2 2" xfId="52912" xr:uid="{5C2B77AB-3CEB-4403-9BAE-2CC75DC01E79}"/>
    <cellStyle name="Comma 2 3 2 8 4 2 3" xfId="34658" xr:uid="{D9B82DB3-E532-45A3-8814-C08313B43F86}"/>
    <cellStyle name="Comma 2 3 2 8 4 3" xfId="12754" xr:uid="{828C4930-4112-45A9-BD27-3695EAD62315}"/>
    <cellStyle name="Comma 2 3 2 8 4 3 2" xfId="49262" xr:uid="{7E35866B-B7B4-461F-B748-4893A8CE3E2D}"/>
    <cellStyle name="Comma 2 3 2 8 4 3 3" xfId="31008" xr:uid="{6A13F86F-FAEE-4138-A1C8-21898154452D}"/>
    <cellStyle name="Comma 2 3 2 8 4 4" xfId="9104" xr:uid="{71363C01-F0CF-4FF7-A324-B2E2FBC67E09}"/>
    <cellStyle name="Comma 2 3 2 8 4 4 2" xfId="45612" xr:uid="{13EB53BB-448D-45B4-9E20-99BD6BAF414E}"/>
    <cellStyle name="Comma 2 3 2 8 4 4 3" xfId="27358" xr:uid="{D0691F00-8F40-4127-A8D1-E8872FFD3EE2}"/>
    <cellStyle name="Comma 2 3 2 8 4 5" xfId="5454" xr:uid="{5E005912-2725-4906-A138-8A558C232C0F}"/>
    <cellStyle name="Comma 2 3 2 8 4 5 2" xfId="41962" xr:uid="{61781065-7A32-4650-A7BA-FF3C8F5DA75F}"/>
    <cellStyle name="Comma 2 3 2 8 4 5 3" xfId="23708" xr:uid="{E326876C-0A87-45CA-A7DF-06132532BFDC}"/>
    <cellStyle name="Comma 2 3 2 8 4 6" xfId="38312" xr:uid="{C6A651B1-A9A4-48F3-AFDF-C3BBC9A47F7A}"/>
    <cellStyle name="Comma 2 3 2 8 4 7" xfId="20058" xr:uid="{AE65DCD1-5089-4F91-AAE5-C405F4B5E86B}"/>
    <cellStyle name="Comma 2 3 2 8 5" xfId="1074" xr:uid="{74587BE8-2057-4FF5-924B-F0EFFDFD4C56}"/>
    <cellStyle name="Comma 2 3 2 8 5 2" xfId="15674" xr:uid="{FEE5D0EA-3B02-4FC8-B38F-B8F06916297C}"/>
    <cellStyle name="Comma 2 3 2 8 5 2 2" xfId="52182" xr:uid="{2708A725-DF68-44DF-87B0-D68D7C87D6B0}"/>
    <cellStyle name="Comma 2 3 2 8 5 2 3" xfId="33928" xr:uid="{1C92B9F0-D12C-4E37-A30B-C5A0F2828876}"/>
    <cellStyle name="Comma 2 3 2 8 5 3" xfId="12024" xr:uid="{9A8B5349-935E-4404-9811-8AD948459C88}"/>
    <cellStyle name="Comma 2 3 2 8 5 3 2" xfId="48532" xr:uid="{DA1E2A68-CE44-4162-B3F2-2051FAE15766}"/>
    <cellStyle name="Comma 2 3 2 8 5 3 3" xfId="30278" xr:uid="{888DFB6F-1229-4C95-80F4-61D11987AF52}"/>
    <cellStyle name="Comma 2 3 2 8 5 4" xfId="8374" xr:uid="{85A77BAA-35D6-435B-B926-5954FCE9AE20}"/>
    <cellStyle name="Comma 2 3 2 8 5 4 2" xfId="44882" xr:uid="{D344FC3A-7042-4E4D-8627-E7561D8B8E6C}"/>
    <cellStyle name="Comma 2 3 2 8 5 4 3" xfId="26628" xr:uid="{CDB7E63F-235C-4F30-99AC-C1E914DFDB54}"/>
    <cellStyle name="Comma 2 3 2 8 5 5" xfId="4724" xr:uid="{2DF4E5AF-0927-4A66-A7D7-CE130F435E24}"/>
    <cellStyle name="Comma 2 3 2 8 5 5 2" xfId="41232" xr:uid="{2052528F-881C-4C5E-BAE0-9F3E479EA915}"/>
    <cellStyle name="Comma 2 3 2 8 5 5 3" xfId="22978" xr:uid="{6AD7E55D-35E2-4EF0-9730-53754294333D}"/>
    <cellStyle name="Comma 2 3 2 8 5 6" xfId="37582" xr:uid="{50B2DF80-6815-4CF7-A552-D493FB4FE81A}"/>
    <cellStyle name="Comma 2 3 2 8 5 7" xfId="19328" xr:uid="{D98F8AF9-168B-43E0-8D5A-D9A8624E9D80}"/>
    <cellStyle name="Comma 2 3 2 8 6" xfId="14944" xr:uid="{671EA2AA-DA8F-4FBA-A183-165FB9759984}"/>
    <cellStyle name="Comma 2 3 2 8 6 2" xfId="51452" xr:uid="{0B951918-92F1-4682-B953-A31EA5E6BC6F}"/>
    <cellStyle name="Comma 2 3 2 8 6 3" xfId="33198" xr:uid="{3A504FCC-A045-4945-B680-A40C9837409E}"/>
    <cellStyle name="Comma 2 3 2 8 7" xfId="11294" xr:uid="{B0FA4B7F-EEC4-49A5-8C23-591A003B7750}"/>
    <cellStyle name="Comma 2 3 2 8 7 2" xfId="47802" xr:uid="{2769409D-534C-4C2C-B50E-16735A69790A}"/>
    <cellStyle name="Comma 2 3 2 8 7 3" xfId="29548" xr:uid="{626D1CBD-5A3C-420B-B675-3458E9A6BE90}"/>
    <cellStyle name="Comma 2 3 2 8 8" xfId="7644" xr:uid="{D435BE5F-939B-44CB-857F-AFFC0DF39927}"/>
    <cellStyle name="Comma 2 3 2 8 8 2" xfId="44152" xr:uid="{A4DB77AF-A0B0-4789-9826-9D9ADE3B24F2}"/>
    <cellStyle name="Comma 2 3 2 8 8 3" xfId="25898" xr:uid="{41C9BD9F-919C-454B-A30C-11E941BB263B}"/>
    <cellStyle name="Comma 2 3 2 8 9" xfId="3994" xr:uid="{BCCF542C-F76D-432E-9C64-DB841D71F16C}"/>
    <cellStyle name="Comma 2 3 2 8 9 2" xfId="40502" xr:uid="{C95B4E36-A15C-4254-B2DA-9C98242B1449}"/>
    <cellStyle name="Comma 2 3 2 8 9 3" xfId="22248" xr:uid="{967FAC92-C4FC-426B-A3AE-F7FE45CA700A}"/>
    <cellStyle name="Comma 2 3 2 9" xfId="240" xr:uid="{E0246FE1-926E-42D2-A853-78D829B2A6D9}"/>
    <cellStyle name="Comma 2 3 2 9 10" xfId="36748" xr:uid="{EB9E9483-2A1D-463D-8EEF-E95D055240A9}"/>
    <cellStyle name="Comma 2 3 2 9 11" xfId="18494" xr:uid="{82EF4466-54DC-435A-884C-2DA0CA1D6D5E}"/>
    <cellStyle name="Comma 2 3 2 9 2" xfId="3160" xr:uid="{D8D51133-5D64-4335-99C9-327D04378A93}"/>
    <cellStyle name="Comma 2 3 2 9 2 2" xfId="17760" xr:uid="{27E358AE-F956-42D1-8CE4-58D34D291F97}"/>
    <cellStyle name="Comma 2 3 2 9 2 2 2" xfId="54268" xr:uid="{83AD2979-0695-41D5-B486-7499DB41119B}"/>
    <cellStyle name="Comma 2 3 2 9 2 2 3" xfId="36014" xr:uid="{819B26AD-ACE4-4FDE-A53E-2FD7F1A29CC8}"/>
    <cellStyle name="Comma 2 3 2 9 2 3" xfId="14110" xr:uid="{18FFEEC4-E010-4355-9861-20FAB1CAF1DE}"/>
    <cellStyle name="Comma 2 3 2 9 2 3 2" xfId="50618" xr:uid="{45496ABE-5267-4E00-8F8D-9664DC96FAC6}"/>
    <cellStyle name="Comma 2 3 2 9 2 3 3" xfId="32364" xr:uid="{95F689E1-7578-45C4-8292-1E08B800D73E}"/>
    <cellStyle name="Comma 2 3 2 9 2 4" xfId="10460" xr:uid="{588E7B76-E71F-451A-AD87-8CEFA164C057}"/>
    <cellStyle name="Comma 2 3 2 9 2 4 2" xfId="46968" xr:uid="{DB6975D1-7CE5-41F0-A16D-A4886D188E24}"/>
    <cellStyle name="Comma 2 3 2 9 2 4 3" xfId="28714" xr:uid="{A1738B4C-51AE-4A65-B5FE-094ADD0B7902}"/>
    <cellStyle name="Comma 2 3 2 9 2 5" xfId="6810" xr:uid="{3750E60F-1E2F-4E6E-B754-E90AFF78CB9D}"/>
    <cellStyle name="Comma 2 3 2 9 2 5 2" xfId="43318" xr:uid="{6FBB3A49-0E1B-4028-886B-1CED7713811A}"/>
    <cellStyle name="Comma 2 3 2 9 2 5 3" xfId="25064" xr:uid="{91D3C5E6-5EB7-43CD-BC90-97326FA77AF5}"/>
    <cellStyle name="Comma 2 3 2 9 2 6" xfId="39668" xr:uid="{88CC3E80-EE30-4517-92A8-B2FBE5DD3485}"/>
    <cellStyle name="Comma 2 3 2 9 2 7" xfId="21414" xr:uid="{63C9A0F0-71A1-4414-9026-D248BADE8CBF}"/>
    <cellStyle name="Comma 2 3 2 9 3" xfId="2430" xr:uid="{764B0CEA-C5A6-43AC-9A11-516610732B62}"/>
    <cellStyle name="Comma 2 3 2 9 3 2" xfId="17030" xr:uid="{1D46D843-10EA-446E-86FE-D20904C6C319}"/>
    <cellStyle name="Comma 2 3 2 9 3 2 2" xfId="53538" xr:uid="{7BCE25E1-B871-4EFB-BD98-F381CBF8761D}"/>
    <cellStyle name="Comma 2 3 2 9 3 2 3" xfId="35284" xr:uid="{E8B69B91-40D8-49F2-B0F0-A48A4E7C3362}"/>
    <cellStyle name="Comma 2 3 2 9 3 3" xfId="13380" xr:uid="{F21D0680-FFDB-4E6F-9E12-7BF08604D1AD}"/>
    <cellStyle name="Comma 2 3 2 9 3 3 2" xfId="49888" xr:uid="{E132F52B-2358-4749-ADEA-5AA7BAD5CEFB}"/>
    <cellStyle name="Comma 2 3 2 9 3 3 3" xfId="31634" xr:uid="{9E6CDE81-E5F4-43DE-937E-B598085DBD6B}"/>
    <cellStyle name="Comma 2 3 2 9 3 4" xfId="9730" xr:uid="{306672B7-4142-452C-99EE-8EAB595C8229}"/>
    <cellStyle name="Comma 2 3 2 9 3 4 2" xfId="46238" xr:uid="{1906B111-0CB4-4F69-B17D-EBE139C01303}"/>
    <cellStyle name="Comma 2 3 2 9 3 4 3" xfId="27984" xr:uid="{A972ED9D-942B-4ADA-BC3D-A684266608AA}"/>
    <cellStyle name="Comma 2 3 2 9 3 5" xfId="6080" xr:uid="{84575DB5-304E-4990-89CF-E12E524BDD38}"/>
    <cellStyle name="Comma 2 3 2 9 3 5 2" xfId="42588" xr:uid="{5DAF50D9-0CB0-4D2B-B20A-EADDF88F44D0}"/>
    <cellStyle name="Comma 2 3 2 9 3 5 3" xfId="24334" xr:uid="{1E365C9F-79BE-4230-93C3-B21CB92716DF}"/>
    <cellStyle name="Comma 2 3 2 9 3 6" xfId="38938" xr:uid="{9C903C0E-C8B5-48F7-B1B5-8D90B7871292}"/>
    <cellStyle name="Comma 2 3 2 9 3 7" xfId="20684" xr:uid="{86075028-5C95-4A87-94C7-D65B97F4AF73}"/>
    <cellStyle name="Comma 2 3 2 9 4" xfId="1700" xr:uid="{C5DB2B71-3AF6-4038-B99F-FD63F575F866}"/>
    <cellStyle name="Comma 2 3 2 9 4 2" xfId="16300" xr:uid="{45D29C9A-6B4A-4B72-B3C9-2CE26427DFB0}"/>
    <cellStyle name="Comma 2 3 2 9 4 2 2" xfId="52808" xr:uid="{85F01765-43BB-4513-ACFA-13BD76F6B12C}"/>
    <cellStyle name="Comma 2 3 2 9 4 2 3" xfId="34554" xr:uid="{48512E3B-0032-4832-BA88-AA8A02CFDF40}"/>
    <cellStyle name="Comma 2 3 2 9 4 3" xfId="12650" xr:uid="{C5EACFA9-410D-46D6-9B47-5F65810B4DF6}"/>
    <cellStyle name="Comma 2 3 2 9 4 3 2" xfId="49158" xr:uid="{4B945AA0-58D3-4648-AD84-3CE6BBDE6F80}"/>
    <cellStyle name="Comma 2 3 2 9 4 3 3" xfId="30904" xr:uid="{F05F7FC1-6FB9-4B97-8258-41F9680CDDC4}"/>
    <cellStyle name="Comma 2 3 2 9 4 4" xfId="9000" xr:uid="{D15B007F-BFB5-4BC0-ADA1-A79C1A36FEE3}"/>
    <cellStyle name="Comma 2 3 2 9 4 4 2" xfId="45508" xr:uid="{E57309B9-9EE6-4DE0-BECD-F02539EA5A36}"/>
    <cellStyle name="Comma 2 3 2 9 4 4 3" xfId="27254" xr:uid="{97AA4E44-B337-4F41-A8A3-950818B6653C}"/>
    <cellStyle name="Comma 2 3 2 9 4 5" xfId="5350" xr:uid="{91EC99C5-E879-486F-8432-4E1F1E0A192B}"/>
    <cellStyle name="Comma 2 3 2 9 4 5 2" xfId="41858" xr:uid="{5D72B61C-5393-4091-B7A3-AD4F162163A4}"/>
    <cellStyle name="Comma 2 3 2 9 4 5 3" xfId="23604" xr:uid="{427629F5-63EB-422F-B888-F8C9F2780937}"/>
    <cellStyle name="Comma 2 3 2 9 4 6" xfId="38208" xr:uid="{6A6CB930-0A65-4C8D-A092-4F16681C7979}"/>
    <cellStyle name="Comma 2 3 2 9 4 7" xfId="19954" xr:uid="{45A77AFC-9281-4E98-AFD9-970AA141A9AD}"/>
    <cellStyle name="Comma 2 3 2 9 5" xfId="970" xr:uid="{EFC059C4-4B16-42CF-9334-F7A1BE49E9E9}"/>
    <cellStyle name="Comma 2 3 2 9 5 2" xfId="15570" xr:uid="{F470D72E-96CE-4893-8297-04386BC60B31}"/>
    <cellStyle name="Comma 2 3 2 9 5 2 2" xfId="52078" xr:uid="{523A5265-961D-45C5-BCD4-29F0AC19035B}"/>
    <cellStyle name="Comma 2 3 2 9 5 2 3" xfId="33824" xr:uid="{6B09FB05-55AE-4B5F-8BC5-9444692566CB}"/>
    <cellStyle name="Comma 2 3 2 9 5 3" xfId="11920" xr:uid="{1EB29B03-19DB-4690-B892-69CBA05A8F54}"/>
    <cellStyle name="Comma 2 3 2 9 5 3 2" xfId="48428" xr:uid="{B525CF1D-2A67-47A1-8DD8-969305D097FC}"/>
    <cellStyle name="Comma 2 3 2 9 5 3 3" xfId="30174" xr:uid="{4C434C84-8F83-4A61-A576-C6EDE2D9BE6D}"/>
    <cellStyle name="Comma 2 3 2 9 5 4" xfId="8270" xr:uid="{206F34DF-90E2-428A-B1F3-C14626D1DE3A}"/>
    <cellStyle name="Comma 2 3 2 9 5 4 2" xfId="44778" xr:uid="{34F659A9-17CA-4B1C-B77D-6F2B900B8897}"/>
    <cellStyle name="Comma 2 3 2 9 5 4 3" xfId="26524" xr:uid="{8869087E-FEC9-4249-9664-77D72D63D805}"/>
    <cellStyle name="Comma 2 3 2 9 5 5" xfId="4620" xr:uid="{D79D534D-A800-4210-91BF-FAE12D49BBF2}"/>
    <cellStyle name="Comma 2 3 2 9 5 5 2" xfId="41128" xr:uid="{EA666632-704D-4D7B-835E-94BEBC3110ED}"/>
    <cellStyle name="Comma 2 3 2 9 5 5 3" xfId="22874" xr:uid="{1012F9B1-88C9-4D4C-8857-DB2A9DC44FC3}"/>
    <cellStyle name="Comma 2 3 2 9 5 6" xfId="37478" xr:uid="{BE311BE3-87B7-4206-A6A9-7991EFCEFB04}"/>
    <cellStyle name="Comma 2 3 2 9 5 7" xfId="19224" xr:uid="{074F6270-DEDC-4BF0-AFED-A6D5A094BFC0}"/>
    <cellStyle name="Comma 2 3 2 9 6" xfId="14840" xr:uid="{F3C10D2B-B0AC-4E34-A981-4A50E876E1ED}"/>
    <cellStyle name="Comma 2 3 2 9 6 2" xfId="51348" xr:uid="{C961FD32-54A4-4519-8735-632E7A10C6CD}"/>
    <cellStyle name="Comma 2 3 2 9 6 3" xfId="33094" xr:uid="{69DB3C8D-1C84-4481-9FF7-0C5A4EAD13A8}"/>
    <cellStyle name="Comma 2 3 2 9 7" xfId="11190" xr:uid="{1849A122-DEA1-48FA-9696-15DC78202715}"/>
    <cellStyle name="Comma 2 3 2 9 7 2" xfId="47698" xr:uid="{E070D3A4-65DA-41B1-B7EC-13F23AEA5FD8}"/>
    <cellStyle name="Comma 2 3 2 9 7 3" xfId="29444" xr:uid="{D1155F61-EF0A-42B4-BA7C-C9916E54D87C}"/>
    <cellStyle name="Comma 2 3 2 9 8" xfId="7540" xr:uid="{CD2BFF51-8B55-4600-A3A3-C3AC578CB0A9}"/>
    <cellStyle name="Comma 2 3 2 9 8 2" xfId="44048" xr:uid="{D63537C7-8E33-4C1C-832F-D7B4EC315017}"/>
    <cellStyle name="Comma 2 3 2 9 8 3" xfId="25794" xr:uid="{F5FE24B2-DCB2-4BD7-89A7-10D4BFF5F2E0}"/>
    <cellStyle name="Comma 2 3 2 9 9" xfId="3890" xr:uid="{1600C02C-CF1D-40D6-BA35-C5EC120BD1E1}"/>
    <cellStyle name="Comma 2 3 2 9 9 2" xfId="40398" xr:uid="{0C245CC4-5FC2-4CE1-A4E3-DFC45BFC8A43}"/>
    <cellStyle name="Comma 2 3 2 9 9 3" xfId="22144" xr:uid="{41DBFFF1-C10C-47ED-A3EE-B6325C604B65}"/>
    <cellStyle name="Comma 2 3 20" xfId="36532" xr:uid="{2B106DBA-A12F-4278-9C3B-61E77ACED9F1}"/>
    <cellStyle name="Comma 2 3 21" xfId="18278" xr:uid="{D488E5E2-E3F4-479A-9677-0A050C202762}"/>
    <cellStyle name="Comma 2 3 3" xfId="31" xr:uid="{590AFE62-9151-429E-B5F0-36CBE775C89F}"/>
    <cellStyle name="Comma 2 3 3 10" xfId="2960" xr:uid="{D57CFA90-FD1C-4514-B960-F65EC1AC0A9C}"/>
    <cellStyle name="Comma 2 3 3 10 2" xfId="17560" xr:uid="{B9E2AFB6-C2D7-456D-9783-F8C79B9D96D9}"/>
    <cellStyle name="Comma 2 3 3 10 2 2" xfId="54068" xr:uid="{14E6563C-EE19-4DC7-9F5A-6F3151736B48}"/>
    <cellStyle name="Comma 2 3 3 10 2 3" xfId="35814" xr:uid="{4AFCA0FD-D097-4A9F-8B2D-FFDDC0B6B504}"/>
    <cellStyle name="Comma 2 3 3 10 3" xfId="13910" xr:uid="{5C0B0C23-A800-46B1-9F6D-6917B264F89D}"/>
    <cellStyle name="Comma 2 3 3 10 3 2" xfId="50418" xr:uid="{30CF38C7-1380-4034-A0D4-0DE4813B9E29}"/>
    <cellStyle name="Comma 2 3 3 10 3 3" xfId="32164" xr:uid="{2A5B4657-A7C7-4535-9B9C-1882F8113620}"/>
    <cellStyle name="Comma 2 3 3 10 4" xfId="10260" xr:uid="{7271A637-2A06-4BF8-AE19-F9C427788EA9}"/>
    <cellStyle name="Comma 2 3 3 10 4 2" xfId="46768" xr:uid="{376CB5D0-9EDB-44FE-B48A-98C6ACE854BB}"/>
    <cellStyle name="Comma 2 3 3 10 4 3" xfId="28514" xr:uid="{1CE200F4-A1B2-42CA-8AFE-73368F8D9B7F}"/>
    <cellStyle name="Comma 2 3 3 10 5" xfId="6610" xr:uid="{5F9B8845-15AF-4AD3-8A86-B16F8112BC24}"/>
    <cellStyle name="Comma 2 3 3 10 5 2" xfId="43118" xr:uid="{5AD62F25-37C6-4A1F-9271-340731DC9341}"/>
    <cellStyle name="Comma 2 3 3 10 5 3" xfId="24864" xr:uid="{1CD82E5B-93BC-4052-8517-8DB22470B7F1}"/>
    <cellStyle name="Comma 2 3 3 10 6" xfId="39468" xr:uid="{0A06FB75-9E2D-424F-BC21-AA1C254E6693}"/>
    <cellStyle name="Comma 2 3 3 10 7" xfId="21214" xr:uid="{849918E6-B4BB-43A8-A78F-359853770ADE}"/>
    <cellStyle name="Comma 2 3 3 11" xfId="2230" xr:uid="{67E6009B-FBC5-4034-9250-C02429ECD700}"/>
    <cellStyle name="Comma 2 3 3 11 2" xfId="16830" xr:uid="{BB729969-C0FF-4987-9747-16C7B690A4DD}"/>
    <cellStyle name="Comma 2 3 3 11 2 2" xfId="53338" xr:uid="{1506BBAE-1404-4A5F-964A-9B5FB3220716}"/>
    <cellStyle name="Comma 2 3 3 11 2 3" xfId="35084" xr:uid="{3E0F0812-A915-4F4C-ACB0-437609F23CD6}"/>
    <cellStyle name="Comma 2 3 3 11 3" xfId="13180" xr:uid="{B1B12590-C431-415D-95C5-AC1753EF0271}"/>
    <cellStyle name="Comma 2 3 3 11 3 2" xfId="49688" xr:uid="{C449AC29-261B-4721-B185-1A97696E87A4}"/>
    <cellStyle name="Comma 2 3 3 11 3 3" xfId="31434" xr:uid="{77C8E127-34CE-48CA-BE92-AFFC89809DA4}"/>
    <cellStyle name="Comma 2 3 3 11 4" xfId="9530" xr:uid="{E49C8708-E0DE-4139-A28D-245E97173A8D}"/>
    <cellStyle name="Comma 2 3 3 11 4 2" xfId="46038" xr:uid="{B5AC2423-AE8A-4119-97DA-25FDADEB4D57}"/>
    <cellStyle name="Comma 2 3 3 11 4 3" xfId="27784" xr:uid="{19BE198B-EAA4-4110-A200-431399E82AB8}"/>
    <cellStyle name="Comma 2 3 3 11 5" xfId="5880" xr:uid="{DAE01DEE-8FB7-4EF4-9CEB-C6A9334A7A84}"/>
    <cellStyle name="Comma 2 3 3 11 5 2" xfId="42388" xr:uid="{6A5FDE42-0170-4AF6-9603-41A4F19AB0F9}"/>
    <cellStyle name="Comma 2 3 3 11 5 3" xfId="24134" xr:uid="{F4BFD7D2-A0B1-4D6F-9C59-A5073D07329C}"/>
    <cellStyle name="Comma 2 3 3 11 6" xfId="38738" xr:uid="{83774916-36D0-4AE5-B687-02A2CCC32923}"/>
    <cellStyle name="Comma 2 3 3 11 7" xfId="20484" xr:uid="{C908CFEA-70EA-4C89-A459-C8D076E5D9C0}"/>
    <cellStyle name="Comma 2 3 3 12" xfId="1500" xr:uid="{8A894EFA-BEF9-4824-9899-C1038A9C9D01}"/>
    <cellStyle name="Comma 2 3 3 12 2" xfId="16100" xr:uid="{F9942341-E25D-4525-A0B2-14CD1670178A}"/>
    <cellStyle name="Comma 2 3 3 12 2 2" xfId="52608" xr:uid="{809CFB15-90DA-4A38-B803-49887DA89988}"/>
    <cellStyle name="Comma 2 3 3 12 2 3" xfId="34354" xr:uid="{1800D9A2-5D57-4D31-B024-4391170E01A9}"/>
    <cellStyle name="Comma 2 3 3 12 3" xfId="12450" xr:uid="{F752E280-BBBB-4CD2-9BF4-7CBA1FACD3C0}"/>
    <cellStyle name="Comma 2 3 3 12 3 2" xfId="48958" xr:uid="{889EDFA3-38AC-4E74-950A-E809E54F6ECA}"/>
    <cellStyle name="Comma 2 3 3 12 3 3" xfId="30704" xr:uid="{6D3D11C5-D756-4D83-9D1E-E6D5963A467B}"/>
    <cellStyle name="Comma 2 3 3 12 4" xfId="8800" xr:uid="{570F3C15-56DA-40C4-BD37-E124C444B3AD}"/>
    <cellStyle name="Comma 2 3 3 12 4 2" xfId="45308" xr:uid="{BF1BD314-1A62-4D3A-B7BF-94574BEA723B}"/>
    <cellStyle name="Comma 2 3 3 12 4 3" xfId="27054" xr:uid="{12179BCC-7DE1-4E75-8338-58A2F37CF367}"/>
    <cellStyle name="Comma 2 3 3 12 5" xfId="5150" xr:uid="{D1C76DD4-6DAE-494C-BC66-1EB6C7DBD5CE}"/>
    <cellStyle name="Comma 2 3 3 12 5 2" xfId="41658" xr:uid="{EF48AFAB-FB56-41FF-BC94-32B5A2D4DC96}"/>
    <cellStyle name="Comma 2 3 3 12 5 3" xfId="23404" xr:uid="{F915969B-96FE-43CB-BACC-DD6347BE7C3C}"/>
    <cellStyle name="Comma 2 3 3 12 6" xfId="38008" xr:uid="{5F8AF602-724E-4FFD-BD67-879D374A3600}"/>
    <cellStyle name="Comma 2 3 3 12 7" xfId="19754" xr:uid="{E6261E09-3B80-4A5A-B170-E8C2AED167B2}"/>
    <cellStyle name="Comma 2 3 3 13" xfId="770" xr:uid="{8161142B-D6B6-4AE6-BB68-25835C84D773}"/>
    <cellStyle name="Comma 2 3 3 13 2" xfId="15370" xr:uid="{8EB5B407-3300-4E53-995C-E448996AC453}"/>
    <cellStyle name="Comma 2 3 3 13 2 2" xfId="51878" xr:uid="{CEADEE8E-8F51-4ED4-ACE4-903DDABF246C}"/>
    <cellStyle name="Comma 2 3 3 13 2 3" xfId="33624" xr:uid="{DC6EF9B6-BA6A-42AB-956F-37B1E86134E6}"/>
    <cellStyle name="Comma 2 3 3 13 3" xfId="11720" xr:uid="{B97CD4E5-8B9D-466C-B517-A4B5B7C67B0B}"/>
    <cellStyle name="Comma 2 3 3 13 3 2" xfId="48228" xr:uid="{9FA786DA-1A65-4C59-B0E5-44FBDA277345}"/>
    <cellStyle name="Comma 2 3 3 13 3 3" xfId="29974" xr:uid="{AB31610D-7ADF-4C04-BB78-A79B77EA9F33}"/>
    <cellStyle name="Comma 2 3 3 13 4" xfId="8070" xr:uid="{D5FB875D-4909-4355-BE69-CD2F023D7AE3}"/>
    <cellStyle name="Comma 2 3 3 13 4 2" xfId="44578" xr:uid="{4AB552C5-41B8-440A-83E3-8F38E6631157}"/>
    <cellStyle name="Comma 2 3 3 13 4 3" xfId="26324" xr:uid="{2760BB72-1132-41CD-87F4-E00F36821A89}"/>
    <cellStyle name="Comma 2 3 3 13 5" xfId="4420" xr:uid="{019E6C2B-FF5D-4FA3-A590-DA773ACE621D}"/>
    <cellStyle name="Comma 2 3 3 13 5 2" xfId="40928" xr:uid="{BC098903-624B-48E3-8C22-CB99FB71B39E}"/>
    <cellStyle name="Comma 2 3 3 13 5 3" xfId="22674" xr:uid="{D4EC89E7-E75D-488A-8496-B969578C52BA}"/>
    <cellStyle name="Comma 2 3 3 13 6" xfId="37278" xr:uid="{1CFA77A1-CDD3-4F25-B388-68B1CB28A229}"/>
    <cellStyle name="Comma 2 3 3 13 7" xfId="19024" xr:uid="{451551D8-2FD3-4EEE-9CC5-C601D508F383}"/>
    <cellStyle name="Comma 2 3 3 14" xfId="14640" xr:uid="{71A7450A-70EF-49FB-B2A1-3323B028DF48}"/>
    <cellStyle name="Comma 2 3 3 14 2" xfId="51148" xr:uid="{60AD7DAE-7E2F-4367-849A-FCF541C1A8FF}"/>
    <cellStyle name="Comma 2 3 3 14 3" xfId="32894" xr:uid="{9F3E13A5-0274-416B-AA01-3B7DF62A6BF1}"/>
    <cellStyle name="Comma 2 3 3 15" xfId="10990" xr:uid="{C0CA7BE3-7B12-4057-96F3-0EFDC9403346}"/>
    <cellStyle name="Comma 2 3 3 15 2" xfId="47498" xr:uid="{15CB684E-4CC9-4352-8EA6-93395E026F9A}"/>
    <cellStyle name="Comma 2 3 3 15 3" xfId="29244" xr:uid="{700C46CD-4059-4EAC-A371-71894C346BA8}"/>
    <cellStyle name="Comma 2 3 3 16" xfId="7340" xr:uid="{CF17BC74-5985-4A01-87DE-D853AE85BEF0}"/>
    <cellStyle name="Comma 2 3 3 16 2" xfId="43848" xr:uid="{A46C5107-7E52-4749-A275-D5204EF9A7C2}"/>
    <cellStyle name="Comma 2 3 3 16 3" xfId="25594" xr:uid="{FC4C2049-C5C2-4C8A-BFBF-2D3AC151E2C2}"/>
    <cellStyle name="Comma 2 3 3 17" xfId="3690" xr:uid="{F250C80F-75AB-4891-8172-139E8CCB5FB7}"/>
    <cellStyle name="Comma 2 3 3 17 2" xfId="40198" xr:uid="{0E2D366B-BAB3-4CC9-A4DE-11C22DE70772}"/>
    <cellStyle name="Comma 2 3 3 17 3" xfId="21944" xr:uid="{82A460CD-0C12-4C24-B455-C70ED40C1E4B}"/>
    <cellStyle name="Comma 2 3 3 18" xfId="36548" xr:uid="{45DE5026-7169-4859-BB46-3CEBD7141633}"/>
    <cellStyle name="Comma 2 3 3 19" xfId="18294" xr:uid="{A9C5D4E7-9E0F-4AF3-87F9-D10EDC1C8B51}"/>
    <cellStyle name="Comma 2 3 3 2" xfId="105" xr:uid="{643381C2-35A8-455D-83F8-58BB20AE2215}"/>
    <cellStyle name="Comma 2 3 3 2 10" xfId="1564" xr:uid="{59699B08-A468-406B-8EDD-2CC77B2AB194}"/>
    <cellStyle name="Comma 2 3 3 2 10 2" xfId="16164" xr:uid="{56C90940-89E4-4B88-A56E-A953077FF1DC}"/>
    <cellStyle name="Comma 2 3 3 2 10 2 2" xfId="52672" xr:uid="{E9477C30-80EA-4C5E-B160-31617244DBAA}"/>
    <cellStyle name="Comma 2 3 3 2 10 2 3" xfId="34418" xr:uid="{116EAE87-F936-42AA-9AD8-860CEAF32BA4}"/>
    <cellStyle name="Comma 2 3 3 2 10 3" xfId="12514" xr:uid="{46E8E348-078E-4325-AA71-C03D0395F7B2}"/>
    <cellStyle name="Comma 2 3 3 2 10 3 2" xfId="49022" xr:uid="{14AF84C9-7C8A-4043-BBBB-31A0833535A6}"/>
    <cellStyle name="Comma 2 3 3 2 10 3 3" xfId="30768" xr:uid="{B39EF1BC-BC44-441B-A1AE-A8D548AC4007}"/>
    <cellStyle name="Comma 2 3 3 2 10 4" xfId="8864" xr:uid="{44A6FA77-26A3-4A16-A215-2148A4628B7D}"/>
    <cellStyle name="Comma 2 3 3 2 10 4 2" xfId="45372" xr:uid="{EE189E3B-4D53-4CE4-9C8A-A3F060F235DE}"/>
    <cellStyle name="Comma 2 3 3 2 10 4 3" xfId="27118" xr:uid="{FF3514B2-745D-4F16-8935-1F77603ECD50}"/>
    <cellStyle name="Comma 2 3 3 2 10 5" xfId="5214" xr:uid="{0A0A3CF7-0853-456B-9392-455E74654D0D}"/>
    <cellStyle name="Comma 2 3 3 2 10 5 2" xfId="41722" xr:uid="{3FA8A1F1-C7EF-44A5-B01A-4100ED53A8EB}"/>
    <cellStyle name="Comma 2 3 3 2 10 5 3" xfId="23468" xr:uid="{AAF3A937-0E25-40CF-92EA-586E85D2C69C}"/>
    <cellStyle name="Comma 2 3 3 2 10 6" xfId="38072" xr:uid="{2117DF97-EF65-4E12-8882-1A25DCD4FD75}"/>
    <cellStyle name="Comma 2 3 3 2 10 7" xfId="19818" xr:uid="{493C8F1C-E9F6-414E-BA6A-AE3B6923BF16}"/>
    <cellStyle name="Comma 2 3 3 2 11" xfId="834" xr:uid="{DD38F44D-98FA-43FE-85C5-BC701A28D1B7}"/>
    <cellStyle name="Comma 2 3 3 2 11 2" xfId="15434" xr:uid="{E94CB024-AA8B-43A0-A04A-AA76E59A76EA}"/>
    <cellStyle name="Comma 2 3 3 2 11 2 2" xfId="51942" xr:uid="{57251CFE-D807-4FF4-8748-E4022B2A3AA6}"/>
    <cellStyle name="Comma 2 3 3 2 11 2 3" xfId="33688" xr:uid="{E4D55268-F5D7-4DFA-9B44-FB73477A9C57}"/>
    <cellStyle name="Comma 2 3 3 2 11 3" xfId="11784" xr:uid="{6D51BFBF-A369-4DF4-97E1-B511E64F4969}"/>
    <cellStyle name="Comma 2 3 3 2 11 3 2" xfId="48292" xr:uid="{86B7F1FB-85DF-4B3B-8224-1D5F3AC31376}"/>
    <cellStyle name="Comma 2 3 3 2 11 3 3" xfId="30038" xr:uid="{1355A8A6-6289-4AFE-8576-F540C063A184}"/>
    <cellStyle name="Comma 2 3 3 2 11 4" xfId="8134" xr:uid="{4FD4EEE5-A372-4A44-A30E-72CE8CB26ACD}"/>
    <cellStyle name="Comma 2 3 3 2 11 4 2" xfId="44642" xr:uid="{43C78F12-A583-4668-9601-F4501D421CA7}"/>
    <cellStyle name="Comma 2 3 3 2 11 4 3" xfId="26388" xr:uid="{2699B16C-4DD2-47AD-99D1-7B708DB5CC0A}"/>
    <cellStyle name="Comma 2 3 3 2 11 5" xfId="4484" xr:uid="{BB26D862-C63A-4625-9758-4F7CE1D6DBF0}"/>
    <cellStyle name="Comma 2 3 3 2 11 5 2" xfId="40992" xr:uid="{86A793ED-5B68-44E2-B510-DA6961B52C03}"/>
    <cellStyle name="Comma 2 3 3 2 11 5 3" xfId="22738" xr:uid="{65AA43DA-E20C-4AA7-9372-99BAD743577E}"/>
    <cellStyle name="Comma 2 3 3 2 11 6" xfId="37342" xr:uid="{D0336203-1666-426E-9D10-1377F88BAD9C}"/>
    <cellStyle name="Comma 2 3 3 2 11 7" xfId="19088" xr:uid="{0AA5290C-B5A6-4AC2-A6C8-31603652C135}"/>
    <cellStyle name="Comma 2 3 3 2 12" xfId="14704" xr:uid="{7CAD215B-12E0-4737-831F-AEF0222F278F}"/>
    <cellStyle name="Comma 2 3 3 2 12 2" xfId="51212" xr:uid="{210F59B8-2D7D-4F1E-8F2E-CD6DCB8BF96E}"/>
    <cellStyle name="Comma 2 3 3 2 12 3" xfId="32958" xr:uid="{461F213F-50D0-4ED4-B563-55CCE40AF0BA}"/>
    <cellStyle name="Comma 2 3 3 2 13" xfId="11054" xr:uid="{CADADE53-F9FC-4D71-AE7B-5019F8214FFD}"/>
    <cellStyle name="Comma 2 3 3 2 13 2" xfId="47562" xr:uid="{756C7E50-8A53-4C6E-A46E-41A7625E6D4F}"/>
    <cellStyle name="Comma 2 3 3 2 13 3" xfId="29308" xr:uid="{54E57961-6AE0-4E2F-B511-980CEA85BAE7}"/>
    <cellStyle name="Comma 2 3 3 2 14" xfId="7404" xr:uid="{42AC8EDE-0C03-410B-99F9-6582048B0785}"/>
    <cellStyle name="Comma 2 3 3 2 14 2" xfId="43912" xr:uid="{01F8474E-DECB-4130-A422-201EA35C498D}"/>
    <cellStyle name="Comma 2 3 3 2 14 3" xfId="25658" xr:uid="{1BA59B19-1CAA-4162-B7BC-3D32BD9E5FFB}"/>
    <cellStyle name="Comma 2 3 3 2 15" xfId="3754" xr:uid="{2D54F411-4F02-4FA3-9A84-24AD9A1C8E10}"/>
    <cellStyle name="Comma 2 3 3 2 15 2" xfId="40262" xr:uid="{3FFA6237-A15E-4792-A773-2C1398988D12}"/>
    <cellStyle name="Comma 2 3 3 2 15 3" xfId="22008" xr:uid="{8B50887A-06B2-4AF0-82E2-E682EE57C11A}"/>
    <cellStyle name="Comma 2 3 3 2 16" xfId="36612" xr:uid="{60A02445-58A9-4D23-A00A-45135759FD68}"/>
    <cellStyle name="Comma 2 3 3 2 17" xfId="18358" xr:uid="{6A210A4B-B96E-47C4-A0A9-661276CA23E5}"/>
    <cellStyle name="Comma 2 3 3 2 2" xfId="728" xr:uid="{48F7CFAE-DEFF-4827-8F24-6E03670757C6}"/>
    <cellStyle name="Comma 2 3 3 2 2 10" xfId="37236" xr:uid="{0FC666E0-B9FB-46F0-99DD-EA14404E29B0}"/>
    <cellStyle name="Comma 2 3 3 2 2 11" xfId="18982" xr:uid="{EADDFB88-6ADC-46F1-8D99-C1E7FF829742}"/>
    <cellStyle name="Comma 2 3 3 2 2 2" xfId="3648" xr:uid="{AB1A48D8-4F56-4356-BC93-0DE31DF04CC4}"/>
    <cellStyle name="Comma 2 3 3 2 2 2 2" xfId="18248" xr:uid="{A71CDABA-0454-414B-B6BE-4A5642657401}"/>
    <cellStyle name="Comma 2 3 3 2 2 2 2 2" xfId="54756" xr:uid="{D6A5FC36-A400-4DD2-AB33-CAA677725F47}"/>
    <cellStyle name="Comma 2 3 3 2 2 2 2 3" xfId="36502" xr:uid="{74CD76EA-DB31-4984-8B26-6614AA757E8B}"/>
    <cellStyle name="Comma 2 3 3 2 2 2 3" xfId="14598" xr:uid="{04D0C81F-47E8-48B0-878D-DB6859C69AC1}"/>
    <cellStyle name="Comma 2 3 3 2 2 2 3 2" xfId="51106" xr:uid="{5656C30E-01E0-48A5-A9AB-BBAD6A64319C}"/>
    <cellStyle name="Comma 2 3 3 2 2 2 3 3" xfId="32852" xr:uid="{A8A1CBE6-3960-49C9-9ADF-B11731733E6A}"/>
    <cellStyle name="Comma 2 3 3 2 2 2 4" xfId="10948" xr:uid="{34DF6D3E-30A2-4DD5-8EA0-49B2A1E154B4}"/>
    <cellStyle name="Comma 2 3 3 2 2 2 4 2" xfId="47456" xr:uid="{5C8D56B2-4C0B-4D3E-A32B-9F88089FCC86}"/>
    <cellStyle name="Comma 2 3 3 2 2 2 4 3" xfId="29202" xr:uid="{B337F612-3BB1-4926-A042-E0DDDDDB79FC}"/>
    <cellStyle name="Comma 2 3 3 2 2 2 5" xfId="7298" xr:uid="{DC88ED2E-30BD-4D1F-B989-A5505EA74970}"/>
    <cellStyle name="Comma 2 3 3 2 2 2 5 2" xfId="43806" xr:uid="{A58622B7-EF99-45A9-AF4D-8A47A0586A8D}"/>
    <cellStyle name="Comma 2 3 3 2 2 2 5 3" xfId="25552" xr:uid="{4E2C0ED2-08C1-4ACC-9763-CEFAB1210499}"/>
    <cellStyle name="Comma 2 3 3 2 2 2 6" xfId="40156" xr:uid="{CDB8B407-376D-4C34-9583-3C71AEB0BA0A}"/>
    <cellStyle name="Comma 2 3 3 2 2 2 7" xfId="21902" xr:uid="{D9818416-34FD-40B3-A468-07F590EF3906}"/>
    <cellStyle name="Comma 2 3 3 2 2 3" xfId="2918" xr:uid="{7A3A0A01-214A-40E3-991E-D9BAAB434BF6}"/>
    <cellStyle name="Comma 2 3 3 2 2 3 2" xfId="17518" xr:uid="{8F242126-49FF-4CFE-8846-6FE7327052C8}"/>
    <cellStyle name="Comma 2 3 3 2 2 3 2 2" xfId="54026" xr:uid="{78EF4AC1-9454-492F-A32D-DBEFA21073B9}"/>
    <cellStyle name="Comma 2 3 3 2 2 3 2 3" xfId="35772" xr:uid="{442632E0-5AFC-4170-BB86-C71E1A6A6647}"/>
    <cellStyle name="Comma 2 3 3 2 2 3 3" xfId="13868" xr:uid="{5968743A-C3A5-44C5-A852-4E8E91BE675F}"/>
    <cellStyle name="Comma 2 3 3 2 2 3 3 2" xfId="50376" xr:uid="{F8F76F56-14AC-4518-9F87-8C9F8C09C536}"/>
    <cellStyle name="Comma 2 3 3 2 2 3 3 3" xfId="32122" xr:uid="{4FF089D8-7969-411F-9461-41684C628A1E}"/>
    <cellStyle name="Comma 2 3 3 2 2 3 4" xfId="10218" xr:uid="{21976602-4F27-4C67-86BA-D4FB77CBFABF}"/>
    <cellStyle name="Comma 2 3 3 2 2 3 4 2" xfId="46726" xr:uid="{E350255F-C63A-4388-AFEF-3F855BFAFF92}"/>
    <cellStyle name="Comma 2 3 3 2 2 3 4 3" xfId="28472" xr:uid="{B9CBD6B4-4877-4B24-BBDA-8ABEDA6C10D2}"/>
    <cellStyle name="Comma 2 3 3 2 2 3 5" xfId="6568" xr:uid="{37D3BB35-FFF8-4B5C-923F-48130ADC1E6C}"/>
    <cellStyle name="Comma 2 3 3 2 2 3 5 2" xfId="43076" xr:uid="{BB5AD0F6-ACF2-4591-A7FB-6685FF186A32}"/>
    <cellStyle name="Comma 2 3 3 2 2 3 5 3" xfId="24822" xr:uid="{1596CBA4-FA16-4EF6-95B6-B73A8512E236}"/>
    <cellStyle name="Comma 2 3 3 2 2 3 6" xfId="39426" xr:uid="{8B00C9A5-90D0-4A49-8BD8-278A3A992B04}"/>
    <cellStyle name="Comma 2 3 3 2 2 3 7" xfId="21172" xr:uid="{89B9E9B5-398C-4D82-98DC-2C335E64D7C8}"/>
    <cellStyle name="Comma 2 3 3 2 2 4" xfId="2188" xr:uid="{EE4004EE-22E4-4AF7-81FA-A7B6BE5F7789}"/>
    <cellStyle name="Comma 2 3 3 2 2 4 2" xfId="16788" xr:uid="{EB293532-BDE0-49D4-90B2-472A4ABE8D69}"/>
    <cellStyle name="Comma 2 3 3 2 2 4 2 2" xfId="53296" xr:uid="{42801E39-201D-44D8-A0F8-C991696064B5}"/>
    <cellStyle name="Comma 2 3 3 2 2 4 2 3" xfId="35042" xr:uid="{6D5641BF-D1B5-4366-9336-24B9BDDF6E32}"/>
    <cellStyle name="Comma 2 3 3 2 2 4 3" xfId="13138" xr:uid="{3C2C3B02-F88A-4207-B177-3C93B578FA11}"/>
    <cellStyle name="Comma 2 3 3 2 2 4 3 2" xfId="49646" xr:uid="{7B14906A-69FC-43D1-BF42-7B475F3DF23B}"/>
    <cellStyle name="Comma 2 3 3 2 2 4 3 3" xfId="31392" xr:uid="{1C658FE1-2AC1-45C8-A1E2-2D675AD52CA6}"/>
    <cellStyle name="Comma 2 3 3 2 2 4 4" xfId="9488" xr:uid="{4D9520B2-F3EF-411E-868A-05D27694837A}"/>
    <cellStyle name="Comma 2 3 3 2 2 4 4 2" xfId="45996" xr:uid="{691BBBE4-ADE6-4FDD-9F5B-5B9E3612D26E}"/>
    <cellStyle name="Comma 2 3 3 2 2 4 4 3" xfId="27742" xr:uid="{17939816-580A-48CD-BDEB-6B271D6F52E4}"/>
    <cellStyle name="Comma 2 3 3 2 2 4 5" xfId="5838" xr:uid="{FC46B2B3-0A60-4AF9-8B6F-8F0E58663199}"/>
    <cellStyle name="Comma 2 3 3 2 2 4 5 2" xfId="42346" xr:uid="{8A6836FC-0226-4CD2-946E-3B1411ABDD53}"/>
    <cellStyle name="Comma 2 3 3 2 2 4 5 3" xfId="24092" xr:uid="{A7009745-2B98-4B7A-931C-469CC291DA5C}"/>
    <cellStyle name="Comma 2 3 3 2 2 4 6" xfId="38696" xr:uid="{E1B88838-1ACE-4ABD-A512-FF20771C4F2D}"/>
    <cellStyle name="Comma 2 3 3 2 2 4 7" xfId="20442" xr:uid="{345C0B63-6C62-4384-892E-9779DCCEFEFC}"/>
    <cellStyle name="Comma 2 3 3 2 2 5" xfId="1458" xr:uid="{3E376F45-3D3F-429F-8963-8E8712D853C9}"/>
    <cellStyle name="Comma 2 3 3 2 2 5 2" xfId="16058" xr:uid="{64EB35CA-6601-426A-86E4-33911C415A46}"/>
    <cellStyle name="Comma 2 3 3 2 2 5 2 2" xfId="52566" xr:uid="{B37A4BD3-EE43-4494-8D69-35D9C3E072D2}"/>
    <cellStyle name="Comma 2 3 3 2 2 5 2 3" xfId="34312" xr:uid="{A328E5A1-E65F-4A7D-A850-EC8DC326E819}"/>
    <cellStyle name="Comma 2 3 3 2 2 5 3" xfId="12408" xr:uid="{4018C377-BF1A-49F6-BFB5-7DD180822A04}"/>
    <cellStyle name="Comma 2 3 3 2 2 5 3 2" xfId="48916" xr:uid="{EFEDB940-CAF8-4373-90CA-E08DC3C19892}"/>
    <cellStyle name="Comma 2 3 3 2 2 5 3 3" xfId="30662" xr:uid="{4D7F93E5-C92E-4468-8055-B425A1297AE7}"/>
    <cellStyle name="Comma 2 3 3 2 2 5 4" xfId="8758" xr:uid="{136E1150-310D-46B2-B009-A5326D4223AC}"/>
    <cellStyle name="Comma 2 3 3 2 2 5 4 2" xfId="45266" xr:uid="{A70DD5A7-3483-474F-A0E6-15C2BABA8C84}"/>
    <cellStyle name="Comma 2 3 3 2 2 5 4 3" xfId="27012" xr:uid="{FD5BAA8F-6B8E-444D-BEB5-B76E6D2DBBF7}"/>
    <cellStyle name="Comma 2 3 3 2 2 5 5" xfId="5108" xr:uid="{5552DA15-C057-42C4-97C1-73E730B6E067}"/>
    <cellStyle name="Comma 2 3 3 2 2 5 5 2" xfId="41616" xr:uid="{3DDB8DE8-3C1E-4776-A0FA-C3EF38958BE9}"/>
    <cellStyle name="Comma 2 3 3 2 2 5 5 3" xfId="23362" xr:uid="{94E7F1A3-59A2-4CBC-8F3C-09E5C67CA06A}"/>
    <cellStyle name="Comma 2 3 3 2 2 5 6" xfId="37966" xr:uid="{6CDB5DEA-93E9-459F-BECD-1B005130330F}"/>
    <cellStyle name="Comma 2 3 3 2 2 5 7" xfId="19712" xr:uid="{3556AEF5-E8E0-4CEB-B1D3-6A2766DDD015}"/>
    <cellStyle name="Comma 2 3 3 2 2 6" xfId="15328" xr:uid="{51FC2FE0-2313-4A81-B15C-5B7B05313E79}"/>
    <cellStyle name="Comma 2 3 3 2 2 6 2" xfId="51836" xr:uid="{1255575A-2F2E-4C8D-9CB9-D0905DE19581}"/>
    <cellStyle name="Comma 2 3 3 2 2 6 3" xfId="33582" xr:uid="{CE22A795-BEE7-4B8C-A520-6B2E1DF5799D}"/>
    <cellStyle name="Comma 2 3 3 2 2 7" xfId="11678" xr:uid="{85C68CB0-538A-4968-A85C-848F026CFEA6}"/>
    <cellStyle name="Comma 2 3 3 2 2 7 2" xfId="48186" xr:uid="{C56285BA-41CF-49D3-B167-58270FDCE1BA}"/>
    <cellStyle name="Comma 2 3 3 2 2 7 3" xfId="29932" xr:uid="{90C08D89-44C9-4D92-A842-507E240F0293}"/>
    <cellStyle name="Comma 2 3 3 2 2 8" xfId="8028" xr:uid="{6C3CAEA4-A073-43C6-8E1D-C31C28F15957}"/>
    <cellStyle name="Comma 2 3 3 2 2 8 2" xfId="44536" xr:uid="{32AE8938-82B9-4E96-AAAB-EE096C3E357F}"/>
    <cellStyle name="Comma 2 3 3 2 2 8 3" xfId="26282" xr:uid="{9B9DFAB3-88AE-4856-86DE-AE775B4AAA46}"/>
    <cellStyle name="Comma 2 3 3 2 2 9" xfId="4378" xr:uid="{5960C5C5-7FC7-4E33-9DF3-3DEA8B4BAB35}"/>
    <cellStyle name="Comma 2 3 3 2 2 9 2" xfId="40886" xr:uid="{FDB869AB-C84B-4C02-846B-E706D6571854}"/>
    <cellStyle name="Comma 2 3 3 2 2 9 3" xfId="22632" xr:uid="{270EB900-E31D-4424-9683-644A5B6B2671}"/>
    <cellStyle name="Comma 2 3 3 2 3" xfId="624" xr:uid="{857260AD-607C-49F1-BBA1-E480E2847768}"/>
    <cellStyle name="Comma 2 3 3 2 3 10" xfId="37132" xr:uid="{5F3D5C1E-D610-4B33-BAB9-9632693A4490}"/>
    <cellStyle name="Comma 2 3 3 2 3 11" xfId="18878" xr:uid="{3C85AB2F-C704-46FD-AB43-1D8870381AC2}"/>
    <cellStyle name="Comma 2 3 3 2 3 2" xfId="3544" xr:uid="{D66456C0-7014-4375-8175-2E6409CAD013}"/>
    <cellStyle name="Comma 2 3 3 2 3 2 2" xfId="18144" xr:uid="{AFDDFB6C-451D-4DD5-BDF0-7645BDFD1BD2}"/>
    <cellStyle name="Comma 2 3 3 2 3 2 2 2" xfId="54652" xr:uid="{944CEA62-F545-4A5B-8527-70F4260640D1}"/>
    <cellStyle name="Comma 2 3 3 2 3 2 2 3" xfId="36398" xr:uid="{53E53199-6740-4AB1-A487-5E76788F287D}"/>
    <cellStyle name="Comma 2 3 3 2 3 2 3" xfId="14494" xr:uid="{C40CEAEE-55E6-429A-88B3-592E0D93543F}"/>
    <cellStyle name="Comma 2 3 3 2 3 2 3 2" xfId="51002" xr:uid="{B4067905-72F5-47B0-B392-EC131D73F02F}"/>
    <cellStyle name="Comma 2 3 3 2 3 2 3 3" xfId="32748" xr:uid="{9F75B037-C89E-48AC-BD5C-5E8CFB899DC2}"/>
    <cellStyle name="Comma 2 3 3 2 3 2 4" xfId="10844" xr:uid="{14ABED8B-21D6-4C01-B65A-24E4C6EC058F}"/>
    <cellStyle name="Comma 2 3 3 2 3 2 4 2" xfId="47352" xr:uid="{EF2C3A46-8456-4555-AEBC-FAC2B0935000}"/>
    <cellStyle name="Comma 2 3 3 2 3 2 4 3" xfId="29098" xr:uid="{8D68D9EB-CA8D-4A1C-A907-E712341AD682}"/>
    <cellStyle name="Comma 2 3 3 2 3 2 5" xfId="7194" xr:uid="{41E64BF4-5C07-45FF-BEF3-D08FDF3F5C7C}"/>
    <cellStyle name="Comma 2 3 3 2 3 2 5 2" xfId="43702" xr:uid="{CBE44DE6-4EE4-41BC-91E5-0ED369153928}"/>
    <cellStyle name="Comma 2 3 3 2 3 2 5 3" xfId="25448" xr:uid="{86D0502D-6F44-49C2-AA8E-6E5B0121ED7A}"/>
    <cellStyle name="Comma 2 3 3 2 3 2 6" xfId="40052" xr:uid="{9234128C-A9C7-485A-9A6C-42AAA388E957}"/>
    <cellStyle name="Comma 2 3 3 2 3 2 7" xfId="21798" xr:uid="{8AE182F2-E4C9-42CC-AB3A-74ED4D91CF27}"/>
    <cellStyle name="Comma 2 3 3 2 3 3" xfId="2814" xr:uid="{95D3BDF7-DEA2-4FEC-8F50-AFC420003DE7}"/>
    <cellStyle name="Comma 2 3 3 2 3 3 2" xfId="17414" xr:uid="{31B041BE-4D75-4433-B7A3-3C9BC142C0D8}"/>
    <cellStyle name="Comma 2 3 3 2 3 3 2 2" xfId="53922" xr:uid="{ECFA5369-82F1-4240-A6B2-60E7AF749E3B}"/>
    <cellStyle name="Comma 2 3 3 2 3 3 2 3" xfId="35668" xr:uid="{449C6292-4F18-490E-9789-17C9236EEB17}"/>
    <cellStyle name="Comma 2 3 3 2 3 3 3" xfId="13764" xr:uid="{067EEA7A-E31D-43DF-9E1E-1BF43498A7FB}"/>
    <cellStyle name="Comma 2 3 3 2 3 3 3 2" xfId="50272" xr:uid="{05329CD5-D4EC-406B-9A92-173020354F3A}"/>
    <cellStyle name="Comma 2 3 3 2 3 3 3 3" xfId="32018" xr:uid="{84673532-D643-4B12-93BE-8F1F924E85D7}"/>
    <cellStyle name="Comma 2 3 3 2 3 3 4" xfId="10114" xr:uid="{E2A9BCFA-27C8-46C2-8273-F31F7DAA7F11}"/>
    <cellStyle name="Comma 2 3 3 2 3 3 4 2" xfId="46622" xr:uid="{A1E3A585-F2A7-4874-9646-299607A418D4}"/>
    <cellStyle name="Comma 2 3 3 2 3 3 4 3" xfId="28368" xr:uid="{454FEFDA-B0D6-4CFF-AC7C-0EC3CA73D65D}"/>
    <cellStyle name="Comma 2 3 3 2 3 3 5" xfId="6464" xr:uid="{12366803-AD80-4FF7-B7F7-B488AEB40505}"/>
    <cellStyle name="Comma 2 3 3 2 3 3 5 2" xfId="42972" xr:uid="{056C1E66-FC8B-428F-93CC-ED19D00C370C}"/>
    <cellStyle name="Comma 2 3 3 2 3 3 5 3" xfId="24718" xr:uid="{00091184-C11C-4D2F-B0AE-F34E58252AC5}"/>
    <cellStyle name="Comma 2 3 3 2 3 3 6" xfId="39322" xr:uid="{F5BC1F15-6E7D-4D44-9DCE-0F3261BB9B2C}"/>
    <cellStyle name="Comma 2 3 3 2 3 3 7" xfId="21068" xr:uid="{DEE7A64F-19D1-4679-A35D-F75DC6BC8F1F}"/>
    <cellStyle name="Comma 2 3 3 2 3 4" xfId="2084" xr:uid="{F6229FD6-F965-4775-AC67-1DA9591C9202}"/>
    <cellStyle name="Comma 2 3 3 2 3 4 2" xfId="16684" xr:uid="{7036965E-31FA-47F1-A0AD-D801573F6309}"/>
    <cellStyle name="Comma 2 3 3 2 3 4 2 2" xfId="53192" xr:uid="{0206163A-BC7C-49F6-85DA-8D0411DF7475}"/>
    <cellStyle name="Comma 2 3 3 2 3 4 2 3" xfId="34938" xr:uid="{EC8B533A-FE18-468A-95A6-12559DD977E4}"/>
    <cellStyle name="Comma 2 3 3 2 3 4 3" xfId="13034" xr:uid="{30FD8A1F-4F47-4BC1-A78B-0CE0F2A5B132}"/>
    <cellStyle name="Comma 2 3 3 2 3 4 3 2" xfId="49542" xr:uid="{531135D5-885C-4084-9974-35361B566DC4}"/>
    <cellStyle name="Comma 2 3 3 2 3 4 3 3" xfId="31288" xr:uid="{C993D68A-0C41-4EBA-8024-E92350E66E1F}"/>
    <cellStyle name="Comma 2 3 3 2 3 4 4" xfId="9384" xr:uid="{D2D991D7-AC49-4F35-820C-7FE3CBAFEE5E}"/>
    <cellStyle name="Comma 2 3 3 2 3 4 4 2" xfId="45892" xr:uid="{603C36B3-5B5D-4F74-A53E-328203ACFA6C}"/>
    <cellStyle name="Comma 2 3 3 2 3 4 4 3" xfId="27638" xr:uid="{55502DE4-B729-4675-8B1E-5D3E1E11A08B}"/>
    <cellStyle name="Comma 2 3 3 2 3 4 5" xfId="5734" xr:uid="{331961FA-1267-42BB-B144-8EB945A8EDD2}"/>
    <cellStyle name="Comma 2 3 3 2 3 4 5 2" xfId="42242" xr:uid="{D87083CB-8E5D-461A-948A-7BF3669EC8A7}"/>
    <cellStyle name="Comma 2 3 3 2 3 4 5 3" xfId="23988" xr:uid="{5105B210-10DD-48DA-945B-14A6D2DBBA34}"/>
    <cellStyle name="Comma 2 3 3 2 3 4 6" xfId="38592" xr:uid="{583F8FFC-CD5B-4ACF-9489-396D356778E4}"/>
    <cellStyle name="Comma 2 3 3 2 3 4 7" xfId="20338" xr:uid="{EFDB33F7-9096-4CAA-B471-3B625E421D90}"/>
    <cellStyle name="Comma 2 3 3 2 3 5" xfId="1354" xr:uid="{0AEE03DC-DB7E-46DB-9F58-0B4D9DDCC9A8}"/>
    <cellStyle name="Comma 2 3 3 2 3 5 2" xfId="15954" xr:uid="{98558A70-F5F4-493B-B76B-258EAC82BD8D}"/>
    <cellStyle name="Comma 2 3 3 2 3 5 2 2" xfId="52462" xr:uid="{382B85BE-953A-4E02-839B-A2688A2230D7}"/>
    <cellStyle name="Comma 2 3 3 2 3 5 2 3" xfId="34208" xr:uid="{3C75B43D-BE3E-4545-94EC-69FC092175C4}"/>
    <cellStyle name="Comma 2 3 3 2 3 5 3" xfId="12304" xr:uid="{757BCEBD-793F-42BE-A470-3577A62C2892}"/>
    <cellStyle name="Comma 2 3 3 2 3 5 3 2" xfId="48812" xr:uid="{5CF998FF-B701-4DAC-AFC0-23723F391284}"/>
    <cellStyle name="Comma 2 3 3 2 3 5 3 3" xfId="30558" xr:uid="{F5F3971C-9826-4E6C-84D9-4F1D3BE8DD1F}"/>
    <cellStyle name="Comma 2 3 3 2 3 5 4" xfId="8654" xr:uid="{2B0C9386-00DF-44E9-8B49-396E309E5307}"/>
    <cellStyle name="Comma 2 3 3 2 3 5 4 2" xfId="45162" xr:uid="{1EF124E1-10C1-424B-96E9-82EF960B08A9}"/>
    <cellStyle name="Comma 2 3 3 2 3 5 4 3" xfId="26908" xr:uid="{8EFEA6B8-DAAB-4B28-9375-7C99FC19CC86}"/>
    <cellStyle name="Comma 2 3 3 2 3 5 5" xfId="5004" xr:uid="{99C984EC-8653-469C-BD90-1ABB46D65B75}"/>
    <cellStyle name="Comma 2 3 3 2 3 5 5 2" xfId="41512" xr:uid="{E41D1646-05D4-4BE2-A0BE-3EC2E57DF1E2}"/>
    <cellStyle name="Comma 2 3 3 2 3 5 5 3" xfId="23258" xr:uid="{F30A2081-A133-44D0-B90B-A14E5FCD6A9F}"/>
    <cellStyle name="Comma 2 3 3 2 3 5 6" xfId="37862" xr:uid="{25BCC7A1-E86D-46CA-BF8B-F3DF851D40AA}"/>
    <cellStyle name="Comma 2 3 3 2 3 5 7" xfId="19608" xr:uid="{E1785FAA-362B-4305-BB5D-4CC24670971A}"/>
    <cellStyle name="Comma 2 3 3 2 3 6" xfId="15224" xr:uid="{EAC06703-27E7-430C-B928-601F01A2BDBB}"/>
    <cellStyle name="Comma 2 3 3 2 3 6 2" xfId="51732" xr:uid="{F5C54657-86DD-469C-AF9B-C65104BBD301}"/>
    <cellStyle name="Comma 2 3 3 2 3 6 3" xfId="33478" xr:uid="{964198DE-28D8-41EC-9840-626FFAEC84E3}"/>
    <cellStyle name="Comma 2 3 3 2 3 7" xfId="11574" xr:uid="{C70015AC-0885-489A-8671-8098871D848E}"/>
    <cellStyle name="Comma 2 3 3 2 3 7 2" xfId="48082" xr:uid="{E45B841B-3827-461B-83A6-6CDC5D2E0975}"/>
    <cellStyle name="Comma 2 3 3 2 3 7 3" xfId="29828" xr:uid="{251F4EAF-43D8-4FFA-992E-4C665EC7B177}"/>
    <cellStyle name="Comma 2 3 3 2 3 8" xfId="7924" xr:uid="{D0B25DD1-2486-4A63-8076-DBBA92B3249E}"/>
    <cellStyle name="Comma 2 3 3 2 3 8 2" xfId="44432" xr:uid="{7B08C04C-7D72-43A0-8805-C25DC31D697A}"/>
    <cellStyle name="Comma 2 3 3 2 3 8 3" xfId="26178" xr:uid="{AEA17D78-5240-4382-A97C-A6F8B35BDD40}"/>
    <cellStyle name="Comma 2 3 3 2 3 9" xfId="4274" xr:uid="{CD72CF1E-4A01-49CA-96A3-17741F63934A}"/>
    <cellStyle name="Comma 2 3 3 2 3 9 2" xfId="40782" xr:uid="{E34969AE-2877-4BC0-B16E-31B0B48DA4FA}"/>
    <cellStyle name="Comma 2 3 3 2 3 9 3" xfId="22528" xr:uid="{3AC72C65-6E97-4524-96B0-2197470EB6F1}"/>
    <cellStyle name="Comma 2 3 3 2 4" xfId="520" xr:uid="{11B6FE10-E325-44CC-BC09-EC563B593557}"/>
    <cellStyle name="Comma 2 3 3 2 4 10" xfId="37028" xr:uid="{B3862DB1-3378-4226-953F-5F985896CBAB}"/>
    <cellStyle name="Comma 2 3 3 2 4 11" xfId="18774" xr:uid="{20BF7046-0E00-47BD-8274-3D1062CA3D53}"/>
    <cellStyle name="Comma 2 3 3 2 4 2" xfId="3440" xr:uid="{2616C77E-1E36-4264-A47C-C5B8CC835307}"/>
    <cellStyle name="Comma 2 3 3 2 4 2 2" xfId="18040" xr:uid="{1210E33D-7699-498C-854A-01071A356F7E}"/>
    <cellStyle name="Comma 2 3 3 2 4 2 2 2" xfId="54548" xr:uid="{1BE9CD0D-DF6C-4F03-AFA7-93023154DF3E}"/>
    <cellStyle name="Comma 2 3 3 2 4 2 2 3" xfId="36294" xr:uid="{1232F684-6FF6-4157-A05B-C3DB9E118092}"/>
    <cellStyle name="Comma 2 3 3 2 4 2 3" xfId="14390" xr:uid="{513D6857-B2FB-459C-A217-6EE76F544381}"/>
    <cellStyle name="Comma 2 3 3 2 4 2 3 2" xfId="50898" xr:uid="{27B73F15-96B1-4967-9273-905E3A9EA1E4}"/>
    <cellStyle name="Comma 2 3 3 2 4 2 3 3" xfId="32644" xr:uid="{FADF8381-89C4-4E0E-A440-1FFE63A4368D}"/>
    <cellStyle name="Comma 2 3 3 2 4 2 4" xfId="10740" xr:uid="{F3C997D7-ED76-4784-87AE-6A90B3CE2E9A}"/>
    <cellStyle name="Comma 2 3 3 2 4 2 4 2" xfId="47248" xr:uid="{5C3F7151-990B-417A-93E6-3B6AAEA72921}"/>
    <cellStyle name="Comma 2 3 3 2 4 2 4 3" xfId="28994" xr:uid="{2B653AFE-AF39-4A66-8729-8C86108F0137}"/>
    <cellStyle name="Comma 2 3 3 2 4 2 5" xfId="7090" xr:uid="{3A7B3253-5E64-4287-9829-1651D1BC7087}"/>
    <cellStyle name="Comma 2 3 3 2 4 2 5 2" xfId="43598" xr:uid="{B7E2397C-D8E8-4A46-9BF3-6BFCFD8D81B6}"/>
    <cellStyle name="Comma 2 3 3 2 4 2 5 3" xfId="25344" xr:uid="{EDB26970-1DD1-44EE-AD97-78E3C92DEDAD}"/>
    <cellStyle name="Comma 2 3 3 2 4 2 6" xfId="39948" xr:uid="{6EE3212F-2DC8-496C-8F92-D24941FCCB98}"/>
    <cellStyle name="Comma 2 3 3 2 4 2 7" xfId="21694" xr:uid="{218EB4BA-3864-474D-80C2-64DB97DF8B8F}"/>
    <cellStyle name="Comma 2 3 3 2 4 3" xfId="2710" xr:uid="{DD6A2A6F-0DA0-40EA-A835-B218179684BB}"/>
    <cellStyle name="Comma 2 3 3 2 4 3 2" xfId="17310" xr:uid="{29ACB18D-44D7-4B16-996A-39AFEF034970}"/>
    <cellStyle name="Comma 2 3 3 2 4 3 2 2" xfId="53818" xr:uid="{EB81D69B-A83C-4CE9-A8E5-2E5ED49305F6}"/>
    <cellStyle name="Comma 2 3 3 2 4 3 2 3" xfId="35564" xr:uid="{F060B2CC-0A96-4510-913E-2BB67F52CB0E}"/>
    <cellStyle name="Comma 2 3 3 2 4 3 3" xfId="13660" xr:uid="{3997A012-A619-426C-B3D5-9D464F0BB87E}"/>
    <cellStyle name="Comma 2 3 3 2 4 3 3 2" xfId="50168" xr:uid="{A4D68152-3324-4934-B14C-FB6D69020DBC}"/>
    <cellStyle name="Comma 2 3 3 2 4 3 3 3" xfId="31914" xr:uid="{7B1581A7-C8F2-42CC-A737-ACBCF8B2C4C4}"/>
    <cellStyle name="Comma 2 3 3 2 4 3 4" xfId="10010" xr:uid="{EC94AA20-9E39-493D-B4EA-88CA92DE36B4}"/>
    <cellStyle name="Comma 2 3 3 2 4 3 4 2" xfId="46518" xr:uid="{3FCFEEEB-7823-4039-9FCA-8EFB69F0B1E6}"/>
    <cellStyle name="Comma 2 3 3 2 4 3 4 3" xfId="28264" xr:uid="{72FE360B-5264-48AF-8AD3-B0E71CA45992}"/>
    <cellStyle name="Comma 2 3 3 2 4 3 5" xfId="6360" xr:uid="{19E13DB6-3519-4BA4-8995-0FC77DB4A6CA}"/>
    <cellStyle name="Comma 2 3 3 2 4 3 5 2" xfId="42868" xr:uid="{ABD6ECBE-91C6-43BE-95F6-D2F450174CEE}"/>
    <cellStyle name="Comma 2 3 3 2 4 3 5 3" xfId="24614" xr:uid="{3181A7FF-5FA6-47A7-9AC6-B7A1FCB41BEC}"/>
    <cellStyle name="Comma 2 3 3 2 4 3 6" xfId="39218" xr:uid="{FEF0FFE7-E4F3-4057-AFA1-AE6D6DA773B7}"/>
    <cellStyle name="Comma 2 3 3 2 4 3 7" xfId="20964" xr:uid="{B4F12146-EFC3-48B2-B3F6-6DA661C5C8F5}"/>
    <cellStyle name="Comma 2 3 3 2 4 4" xfId="1980" xr:uid="{6EF0B967-DAFD-444E-8F1E-C87DB87CB2F0}"/>
    <cellStyle name="Comma 2 3 3 2 4 4 2" xfId="16580" xr:uid="{282AEC67-6B2A-4F30-90A4-EF07E1F88B72}"/>
    <cellStyle name="Comma 2 3 3 2 4 4 2 2" xfId="53088" xr:uid="{542DE32B-94A6-42D2-8EAF-CDC06F4D6031}"/>
    <cellStyle name="Comma 2 3 3 2 4 4 2 3" xfId="34834" xr:uid="{F22B9DA1-6652-4290-A3EC-2992423D5C85}"/>
    <cellStyle name="Comma 2 3 3 2 4 4 3" xfId="12930" xr:uid="{8BB93EEA-3724-4BC3-96E2-97712D25EE1C}"/>
    <cellStyle name="Comma 2 3 3 2 4 4 3 2" xfId="49438" xr:uid="{146F833D-382C-438A-B7EB-CE59A4CD8652}"/>
    <cellStyle name="Comma 2 3 3 2 4 4 3 3" xfId="31184" xr:uid="{A698A3A1-F7EC-41D6-8070-C05A78CE4336}"/>
    <cellStyle name="Comma 2 3 3 2 4 4 4" xfId="9280" xr:uid="{B921E1A2-9216-48E5-BE46-EB457ADF26B6}"/>
    <cellStyle name="Comma 2 3 3 2 4 4 4 2" xfId="45788" xr:uid="{0FA13BBD-9BBD-4829-8873-1651BB895066}"/>
    <cellStyle name="Comma 2 3 3 2 4 4 4 3" xfId="27534" xr:uid="{634C1657-FD0B-43BF-89B2-BB181C4EBC37}"/>
    <cellStyle name="Comma 2 3 3 2 4 4 5" xfId="5630" xr:uid="{D34C3F77-27FE-4503-83A6-A4AC6316BC84}"/>
    <cellStyle name="Comma 2 3 3 2 4 4 5 2" xfId="42138" xr:uid="{05ABCBE2-4266-4C0A-95EB-A327E20D369E}"/>
    <cellStyle name="Comma 2 3 3 2 4 4 5 3" xfId="23884" xr:uid="{B5943E5F-84F9-44A9-9459-6CC1374F3E9B}"/>
    <cellStyle name="Comma 2 3 3 2 4 4 6" xfId="38488" xr:uid="{5548A7F8-6ACD-42CB-A915-D1B8CCFE1929}"/>
    <cellStyle name="Comma 2 3 3 2 4 4 7" xfId="20234" xr:uid="{317A5AFF-34CA-4CA4-A8A6-5FD8DAB22BB7}"/>
    <cellStyle name="Comma 2 3 3 2 4 5" xfId="1250" xr:uid="{36299820-991D-451D-A5DA-F12F7B20406C}"/>
    <cellStyle name="Comma 2 3 3 2 4 5 2" xfId="15850" xr:uid="{62F22D95-869F-438C-8A6B-D50A9F2D65FC}"/>
    <cellStyle name="Comma 2 3 3 2 4 5 2 2" xfId="52358" xr:uid="{17CB6E0D-7B54-4DAC-99C7-58F88586E739}"/>
    <cellStyle name="Comma 2 3 3 2 4 5 2 3" xfId="34104" xr:uid="{60E978DE-E0FF-4DC8-930B-0E854F8925E9}"/>
    <cellStyle name="Comma 2 3 3 2 4 5 3" xfId="12200" xr:uid="{8790746F-5AAF-4C32-8E09-05D8598E183F}"/>
    <cellStyle name="Comma 2 3 3 2 4 5 3 2" xfId="48708" xr:uid="{95E91B8C-9173-43A7-AAF0-59B64F253418}"/>
    <cellStyle name="Comma 2 3 3 2 4 5 3 3" xfId="30454" xr:uid="{EE0AEB8A-291D-4DC2-A15E-0010AB825CCC}"/>
    <cellStyle name="Comma 2 3 3 2 4 5 4" xfId="8550" xr:uid="{357D37DF-17BF-4CD4-9A58-128811BA5A99}"/>
    <cellStyle name="Comma 2 3 3 2 4 5 4 2" xfId="45058" xr:uid="{D573DCE1-CAB3-41E1-B929-A2BB02CE9B5D}"/>
    <cellStyle name="Comma 2 3 3 2 4 5 4 3" xfId="26804" xr:uid="{DD5788A9-B27B-468A-898D-B6ECABB03CB1}"/>
    <cellStyle name="Comma 2 3 3 2 4 5 5" xfId="4900" xr:uid="{61B99494-CB23-4F1E-8D68-2315F6B70C62}"/>
    <cellStyle name="Comma 2 3 3 2 4 5 5 2" xfId="41408" xr:uid="{AE47C9CD-880A-4375-B73F-E48D714DB91D}"/>
    <cellStyle name="Comma 2 3 3 2 4 5 5 3" xfId="23154" xr:uid="{1781ADF8-DCC8-4571-B79A-41AF89BA1DEB}"/>
    <cellStyle name="Comma 2 3 3 2 4 5 6" xfId="37758" xr:uid="{51FAA0F3-CB84-4B56-8E87-F784E663A2B1}"/>
    <cellStyle name="Comma 2 3 3 2 4 5 7" xfId="19504" xr:uid="{85C46327-4BAF-4E78-9E9D-E188620F8DA8}"/>
    <cellStyle name="Comma 2 3 3 2 4 6" xfId="15120" xr:uid="{218D958D-33B9-4ABB-9CAC-F1E534AD7939}"/>
    <cellStyle name="Comma 2 3 3 2 4 6 2" xfId="51628" xr:uid="{4310F8C4-E2F8-4A2D-A4D4-8FBA028BAEBC}"/>
    <cellStyle name="Comma 2 3 3 2 4 6 3" xfId="33374" xr:uid="{174CFE4A-1F89-4870-A7AD-414927A1780C}"/>
    <cellStyle name="Comma 2 3 3 2 4 7" xfId="11470" xr:uid="{C5B9313E-A5F4-445B-9A18-DA6C0E7C932D}"/>
    <cellStyle name="Comma 2 3 3 2 4 7 2" xfId="47978" xr:uid="{18EF3F7F-9E77-4F8B-B7C1-46DA8514ED31}"/>
    <cellStyle name="Comma 2 3 3 2 4 7 3" xfId="29724" xr:uid="{3BB6BDAA-B95E-4DE6-8F2D-68B2CFB6AD29}"/>
    <cellStyle name="Comma 2 3 3 2 4 8" xfId="7820" xr:uid="{C3B84A94-2A87-4133-9250-2E1D44DB6EC4}"/>
    <cellStyle name="Comma 2 3 3 2 4 8 2" xfId="44328" xr:uid="{197F7C22-B394-40A5-B459-AB912AD18163}"/>
    <cellStyle name="Comma 2 3 3 2 4 8 3" xfId="26074" xr:uid="{C825B4D4-B564-48C4-A79A-9B88F09C8C6E}"/>
    <cellStyle name="Comma 2 3 3 2 4 9" xfId="4170" xr:uid="{E839F464-AE8C-457B-9C8F-65D520BB7C21}"/>
    <cellStyle name="Comma 2 3 3 2 4 9 2" xfId="40678" xr:uid="{9C649CDE-D4C1-4197-BDA7-F2B47B90B8CD}"/>
    <cellStyle name="Comma 2 3 3 2 4 9 3" xfId="22424" xr:uid="{25C35D36-F4D8-40F3-941C-FE4A9A3CC8B1}"/>
    <cellStyle name="Comma 2 3 3 2 5" xfId="416" xr:uid="{CB1A7378-F0B4-4E66-8F7E-EAD8E7FA3801}"/>
    <cellStyle name="Comma 2 3 3 2 5 10" xfId="36924" xr:uid="{785AE085-0C0D-4A7D-A983-A0E625247B1C}"/>
    <cellStyle name="Comma 2 3 3 2 5 11" xfId="18670" xr:uid="{47ED4D16-9CC5-45F7-9644-04396227944D}"/>
    <cellStyle name="Comma 2 3 3 2 5 2" xfId="3336" xr:uid="{1D55CA37-C290-462B-B08E-CDA471C4E581}"/>
    <cellStyle name="Comma 2 3 3 2 5 2 2" xfId="17936" xr:uid="{77B3C078-1B35-4B2A-966B-DB4E3B5F0581}"/>
    <cellStyle name="Comma 2 3 3 2 5 2 2 2" xfId="54444" xr:uid="{7104014D-EE6B-4EC2-A36B-9803BB196FDC}"/>
    <cellStyle name="Comma 2 3 3 2 5 2 2 3" xfId="36190" xr:uid="{AD84B9DC-2246-4372-A121-1EB011B8F3D5}"/>
    <cellStyle name="Comma 2 3 3 2 5 2 3" xfId="14286" xr:uid="{C1CBD3BA-44D0-452C-B635-FCB2DD4C1A7B}"/>
    <cellStyle name="Comma 2 3 3 2 5 2 3 2" xfId="50794" xr:uid="{6A014249-F7C8-4B55-92CF-E167FDCD0CB9}"/>
    <cellStyle name="Comma 2 3 3 2 5 2 3 3" xfId="32540" xr:uid="{D3B9E0C7-E2D5-492C-80F4-368894F651C0}"/>
    <cellStyle name="Comma 2 3 3 2 5 2 4" xfId="10636" xr:uid="{3962AEC7-C059-4540-A520-9CEE546061DA}"/>
    <cellStyle name="Comma 2 3 3 2 5 2 4 2" xfId="47144" xr:uid="{EEC6AEA6-AF7F-4D0D-A3C9-91F3A01964B7}"/>
    <cellStyle name="Comma 2 3 3 2 5 2 4 3" xfId="28890" xr:uid="{E7C3DF59-E639-40F4-94AA-593037FFEDA2}"/>
    <cellStyle name="Comma 2 3 3 2 5 2 5" xfId="6986" xr:uid="{44517F3B-572C-4862-A263-8E446B7A6ACE}"/>
    <cellStyle name="Comma 2 3 3 2 5 2 5 2" xfId="43494" xr:uid="{725AD485-313E-4A9E-B3CD-D19C7E583B61}"/>
    <cellStyle name="Comma 2 3 3 2 5 2 5 3" xfId="25240" xr:uid="{57687AAC-C0E5-4752-B786-9AEC200EB6A2}"/>
    <cellStyle name="Comma 2 3 3 2 5 2 6" xfId="39844" xr:uid="{A6596059-32B4-416E-8C8E-2F0CECE8B71C}"/>
    <cellStyle name="Comma 2 3 3 2 5 2 7" xfId="21590" xr:uid="{CA67AB05-F40F-4664-B6C8-F3A0C3E0858C}"/>
    <cellStyle name="Comma 2 3 3 2 5 3" xfId="2606" xr:uid="{827A3786-8785-4508-A7A2-E9DED7D6BAA5}"/>
    <cellStyle name="Comma 2 3 3 2 5 3 2" xfId="17206" xr:uid="{E47D5B1C-E7BD-40C8-91E8-62D3C4B1EDC0}"/>
    <cellStyle name="Comma 2 3 3 2 5 3 2 2" xfId="53714" xr:uid="{653073EA-22B7-4A46-A236-B6D508E64E1C}"/>
    <cellStyle name="Comma 2 3 3 2 5 3 2 3" xfId="35460" xr:uid="{8A1CCBE0-D78A-49E2-A52E-29D21DAB7583}"/>
    <cellStyle name="Comma 2 3 3 2 5 3 3" xfId="13556" xr:uid="{E2D993E3-6642-486D-99F3-E6A81DCD4386}"/>
    <cellStyle name="Comma 2 3 3 2 5 3 3 2" xfId="50064" xr:uid="{33998A85-8C39-4653-A1E4-6E3C5068C0C6}"/>
    <cellStyle name="Comma 2 3 3 2 5 3 3 3" xfId="31810" xr:uid="{5373E352-56C9-41BC-B0CE-308C0D26B584}"/>
    <cellStyle name="Comma 2 3 3 2 5 3 4" xfId="9906" xr:uid="{FFAD52FF-C7D3-4410-9634-0A31E6BA7634}"/>
    <cellStyle name="Comma 2 3 3 2 5 3 4 2" xfId="46414" xr:uid="{955DEB7E-CA0D-4704-800A-02F8BD51EB70}"/>
    <cellStyle name="Comma 2 3 3 2 5 3 4 3" xfId="28160" xr:uid="{F565CC95-A6A7-48D7-9C6E-677DD8265868}"/>
    <cellStyle name="Comma 2 3 3 2 5 3 5" xfId="6256" xr:uid="{B3F7494D-2C4B-40AF-B052-5A230C2581A3}"/>
    <cellStyle name="Comma 2 3 3 2 5 3 5 2" xfId="42764" xr:uid="{71F5995F-C828-42D2-8D3F-F0630015DFB9}"/>
    <cellStyle name="Comma 2 3 3 2 5 3 5 3" xfId="24510" xr:uid="{ED17AFF5-AF1B-4603-A6C2-019AEAB8F43A}"/>
    <cellStyle name="Comma 2 3 3 2 5 3 6" xfId="39114" xr:uid="{671BD50E-A42D-40F0-9B69-8594C5F0105B}"/>
    <cellStyle name="Comma 2 3 3 2 5 3 7" xfId="20860" xr:uid="{B11869ED-D2AD-4D22-817F-D0BB1BF90DD2}"/>
    <cellStyle name="Comma 2 3 3 2 5 4" xfId="1876" xr:uid="{6C293469-FAF0-493C-BBF1-E4BC75A41B10}"/>
    <cellStyle name="Comma 2 3 3 2 5 4 2" xfId="16476" xr:uid="{F956F207-2AF1-40F7-BDD5-B9C57B8FFB68}"/>
    <cellStyle name="Comma 2 3 3 2 5 4 2 2" xfId="52984" xr:uid="{83C9F910-91FB-4795-B50C-38461A644381}"/>
    <cellStyle name="Comma 2 3 3 2 5 4 2 3" xfId="34730" xr:uid="{33A88972-E6CC-4C40-B34F-2F0993324E7B}"/>
    <cellStyle name="Comma 2 3 3 2 5 4 3" xfId="12826" xr:uid="{EC81F622-AC1C-48D3-AC04-1DBA0A2DB3B4}"/>
    <cellStyle name="Comma 2 3 3 2 5 4 3 2" xfId="49334" xr:uid="{E5BFB812-611F-4C98-A566-A8B783034E45}"/>
    <cellStyle name="Comma 2 3 3 2 5 4 3 3" xfId="31080" xr:uid="{6229DE7E-785A-4432-B8B8-40095F5237AD}"/>
    <cellStyle name="Comma 2 3 3 2 5 4 4" xfId="9176" xr:uid="{D29348E5-37A6-4F46-9DAB-3164355B70EC}"/>
    <cellStyle name="Comma 2 3 3 2 5 4 4 2" xfId="45684" xr:uid="{890E1E52-4AF9-4DB6-BD64-1A6EFB9F68F8}"/>
    <cellStyle name="Comma 2 3 3 2 5 4 4 3" xfId="27430" xr:uid="{28200B04-22CA-4F8C-AEBF-BC913A97C8D9}"/>
    <cellStyle name="Comma 2 3 3 2 5 4 5" xfId="5526" xr:uid="{4C057390-D837-4EED-8140-F10A071FBF23}"/>
    <cellStyle name="Comma 2 3 3 2 5 4 5 2" xfId="42034" xr:uid="{DDA9925D-8069-4492-99A0-1C60732F40E1}"/>
    <cellStyle name="Comma 2 3 3 2 5 4 5 3" xfId="23780" xr:uid="{2FD804A1-45EB-4F30-A9ED-AB06A39323F7}"/>
    <cellStyle name="Comma 2 3 3 2 5 4 6" xfId="38384" xr:uid="{F71B663B-335D-4514-893E-0EC0DFE2B973}"/>
    <cellStyle name="Comma 2 3 3 2 5 4 7" xfId="20130" xr:uid="{730FCDCC-9543-442C-AEF4-6F7EFA70A3FB}"/>
    <cellStyle name="Comma 2 3 3 2 5 5" xfId="1146" xr:uid="{AAF784CA-5F07-49DD-904B-844F10CDC534}"/>
    <cellStyle name="Comma 2 3 3 2 5 5 2" xfId="15746" xr:uid="{864186EB-89BC-4959-BB2A-8D414DD1805A}"/>
    <cellStyle name="Comma 2 3 3 2 5 5 2 2" xfId="52254" xr:uid="{D3FDA842-1B3E-4814-A94D-2F22DCDA6C1B}"/>
    <cellStyle name="Comma 2 3 3 2 5 5 2 3" xfId="34000" xr:uid="{4D573D79-5238-4429-9578-187D0C1E241D}"/>
    <cellStyle name="Comma 2 3 3 2 5 5 3" xfId="12096" xr:uid="{FBBFC0C5-15C1-410C-BE73-68CC66C038E7}"/>
    <cellStyle name="Comma 2 3 3 2 5 5 3 2" xfId="48604" xr:uid="{73FABBDF-F52E-4016-BAEA-3FB391D71940}"/>
    <cellStyle name="Comma 2 3 3 2 5 5 3 3" xfId="30350" xr:uid="{252FCAA1-7D37-4571-832E-E9A8A7539075}"/>
    <cellStyle name="Comma 2 3 3 2 5 5 4" xfId="8446" xr:uid="{DB808BAC-5897-4661-9003-C231E0E05E33}"/>
    <cellStyle name="Comma 2 3 3 2 5 5 4 2" xfId="44954" xr:uid="{6AEA5493-8949-440C-8AA2-11947EFE093C}"/>
    <cellStyle name="Comma 2 3 3 2 5 5 4 3" xfId="26700" xr:uid="{0EF7DFB1-9C34-449E-9D6C-359CB074E017}"/>
    <cellStyle name="Comma 2 3 3 2 5 5 5" xfId="4796" xr:uid="{5E0EAE79-3347-417B-947A-D3053F70554E}"/>
    <cellStyle name="Comma 2 3 3 2 5 5 5 2" xfId="41304" xr:uid="{40F76B64-353F-4DC1-BED2-88EF87BE3F47}"/>
    <cellStyle name="Comma 2 3 3 2 5 5 5 3" xfId="23050" xr:uid="{D765C71B-DAF9-40D4-B232-1B42869F3CED}"/>
    <cellStyle name="Comma 2 3 3 2 5 5 6" xfId="37654" xr:uid="{E9EF1E1A-06E8-46AA-8237-B42EFCD10475}"/>
    <cellStyle name="Comma 2 3 3 2 5 5 7" xfId="19400" xr:uid="{35167933-C72B-492B-A81C-FE60ACA7BB60}"/>
    <cellStyle name="Comma 2 3 3 2 5 6" xfId="15016" xr:uid="{937C6307-3C62-444A-B7AD-E0F4FC6D4811}"/>
    <cellStyle name="Comma 2 3 3 2 5 6 2" xfId="51524" xr:uid="{396C044B-CB70-4FA7-8C7A-2640D77046BF}"/>
    <cellStyle name="Comma 2 3 3 2 5 6 3" xfId="33270" xr:uid="{3C68EDBC-1F4D-4C13-A842-C1EE3AA26EB0}"/>
    <cellStyle name="Comma 2 3 3 2 5 7" xfId="11366" xr:uid="{C034A3CE-7425-4E79-9328-BFB0529D1832}"/>
    <cellStyle name="Comma 2 3 3 2 5 7 2" xfId="47874" xr:uid="{0CF1F097-648E-49C6-8515-889304F8CB8F}"/>
    <cellStyle name="Comma 2 3 3 2 5 7 3" xfId="29620" xr:uid="{0F130866-70C4-4A95-A955-6D067EEDBEFC}"/>
    <cellStyle name="Comma 2 3 3 2 5 8" xfId="7716" xr:uid="{6528FFE4-DC49-467D-BFCE-FF4EE351A223}"/>
    <cellStyle name="Comma 2 3 3 2 5 8 2" xfId="44224" xr:uid="{1983FA98-17FD-4D38-ACDD-E585224560EA}"/>
    <cellStyle name="Comma 2 3 3 2 5 8 3" xfId="25970" xr:uid="{5732341D-0B8D-4E86-89B4-26A73CA77190}"/>
    <cellStyle name="Comma 2 3 3 2 5 9" xfId="4066" xr:uid="{0B433CA1-0492-4F87-B325-DE4978A7555C}"/>
    <cellStyle name="Comma 2 3 3 2 5 9 2" xfId="40574" xr:uid="{514AE9A9-52F1-4FA0-9D8B-A05F1A9916E4}"/>
    <cellStyle name="Comma 2 3 3 2 5 9 3" xfId="22320" xr:uid="{DE0A1F16-E4FC-45E2-B4C8-89213371E3C0}"/>
    <cellStyle name="Comma 2 3 3 2 6" xfId="312" xr:uid="{712BD9CB-4194-49E3-96A5-2EC801E7E904}"/>
    <cellStyle name="Comma 2 3 3 2 6 10" xfId="36820" xr:uid="{6AFBF6FF-B4B2-42A7-8391-E80C9AC01D5A}"/>
    <cellStyle name="Comma 2 3 3 2 6 11" xfId="18566" xr:uid="{B4033340-A946-41E8-8E57-8A8FE49572A1}"/>
    <cellStyle name="Comma 2 3 3 2 6 2" xfId="3232" xr:uid="{23C6C5C8-138D-4A01-9679-DCFA57E0B393}"/>
    <cellStyle name="Comma 2 3 3 2 6 2 2" xfId="17832" xr:uid="{69752219-830C-4A08-9A33-885D4AEA1651}"/>
    <cellStyle name="Comma 2 3 3 2 6 2 2 2" xfId="54340" xr:uid="{8E21CD23-1D2D-4DF3-8300-92FF9446D3C0}"/>
    <cellStyle name="Comma 2 3 3 2 6 2 2 3" xfId="36086" xr:uid="{84D40592-91AB-4559-8392-25DBF832D8AD}"/>
    <cellStyle name="Comma 2 3 3 2 6 2 3" xfId="14182" xr:uid="{34969A2F-8743-4A2F-A4CE-45B0D4EA6DFE}"/>
    <cellStyle name="Comma 2 3 3 2 6 2 3 2" xfId="50690" xr:uid="{638A372B-6277-411F-87A1-669B03903C41}"/>
    <cellStyle name="Comma 2 3 3 2 6 2 3 3" xfId="32436" xr:uid="{D6EB5252-D4D7-45A1-9715-1A1549607AD9}"/>
    <cellStyle name="Comma 2 3 3 2 6 2 4" xfId="10532" xr:uid="{191E0FBE-34D3-4818-BB78-514A74D3CB2D}"/>
    <cellStyle name="Comma 2 3 3 2 6 2 4 2" xfId="47040" xr:uid="{7843BE11-9C62-4ECE-B730-1A3D646D6148}"/>
    <cellStyle name="Comma 2 3 3 2 6 2 4 3" xfId="28786" xr:uid="{206F88FD-413D-477C-8D36-27C603AF60D9}"/>
    <cellStyle name="Comma 2 3 3 2 6 2 5" xfId="6882" xr:uid="{463EF164-5AE9-40E0-B7A1-A3FA9CD5C18C}"/>
    <cellStyle name="Comma 2 3 3 2 6 2 5 2" xfId="43390" xr:uid="{42D9F492-9CCC-4C32-B3FB-8A6BEB12E922}"/>
    <cellStyle name="Comma 2 3 3 2 6 2 5 3" xfId="25136" xr:uid="{2D3E97D9-0905-47F6-8593-A5C0756AD701}"/>
    <cellStyle name="Comma 2 3 3 2 6 2 6" xfId="39740" xr:uid="{57FC8A29-D5F9-4BB2-83A3-2F13E31C40BB}"/>
    <cellStyle name="Comma 2 3 3 2 6 2 7" xfId="21486" xr:uid="{61562FD8-697B-4BA5-81BE-AB3C024C87DF}"/>
    <cellStyle name="Comma 2 3 3 2 6 3" xfId="2502" xr:uid="{EFE75139-C9DA-4A8B-86AE-241955095A92}"/>
    <cellStyle name="Comma 2 3 3 2 6 3 2" xfId="17102" xr:uid="{71572B67-561E-4127-B79C-294068B4BCDD}"/>
    <cellStyle name="Comma 2 3 3 2 6 3 2 2" xfId="53610" xr:uid="{6339E143-1B0A-4701-9FCE-6EE8C616A3EC}"/>
    <cellStyle name="Comma 2 3 3 2 6 3 2 3" xfId="35356" xr:uid="{7510662D-B2F0-48C4-956E-5AAAFF459DFB}"/>
    <cellStyle name="Comma 2 3 3 2 6 3 3" xfId="13452" xr:uid="{1D56712D-DDE5-4E27-8E12-7E80AE608D01}"/>
    <cellStyle name="Comma 2 3 3 2 6 3 3 2" xfId="49960" xr:uid="{4E43307B-9D49-4C82-86A9-8FF909CFBBB2}"/>
    <cellStyle name="Comma 2 3 3 2 6 3 3 3" xfId="31706" xr:uid="{BD5598AE-1E2B-4318-BFD1-08325A22948B}"/>
    <cellStyle name="Comma 2 3 3 2 6 3 4" xfId="9802" xr:uid="{8339C6AA-2313-4B11-B1CA-5192B31E9CDC}"/>
    <cellStyle name="Comma 2 3 3 2 6 3 4 2" xfId="46310" xr:uid="{93656DAC-BFA5-4583-AF34-7848D2A4A49F}"/>
    <cellStyle name="Comma 2 3 3 2 6 3 4 3" xfId="28056" xr:uid="{485E69AF-F2B8-4FCA-AAB8-EEA7095B487D}"/>
    <cellStyle name="Comma 2 3 3 2 6 3 5" xfId="6152" xr:uid="{12093711-A2E1-4504-B546-B539D87848B6}"/>
    <cellStyle name="Comma 2 3 3 2 6 3 5 2" xfId="42660" xr:uid="{E31F7A2F-BA4C-4591-B13A-D63F93080B64}"/>
    <cellStyle name="Comma 2 3 3 2 6 3 5 3" xfId="24406" xr:uid="{699E67E0-DECA-414F-9E8C-3089FA7F0E0D}"/>
    <cellStyle name="Comma 2 3 3 2 6 3 6" xfId="39010" xr:uid="{859BB4B3-2A90-4EA7-90FE-27D0FB508F08}"/>
    <cellStyle name="Comma 2 3 3 2 6 3 7" xfId="20756" xr:uid="{160CE302-2946-4A8E-A931-ED955CFF6C1F}"/>
    <cellStyle name="Comma 2 3 3 2 6 4" xfId="1772" xr:uid="{89B31742-62B8-4E99-8F98-2C694FB58D62}"/>
    <cellStyle name="Comma 2 3 3 2 6 4 2" xfId="16372" xr:uid="{AD65D019-0810-4C9A-90EF-7F2B36F95963}"/>
    <cellStyle name="Comma 2 3 3 2 6 4 2 2" xfId="52880" xr:uid="{381E50F6-9C83-405F-9029-F2B44CC5FB70}"/>
    <cellStyle name="Comma 2 3 3 2 6 4 2 3" xfId="34626" xr:uid="{DD067007-D34D-45A3-B7C9-956EDA8E4C3C}"/>
    <cellStyle name="Comma 2 3 3 2 6 4 3" xfId="12722" xr:uid="{0BF60EF5-0C2A-40E0-B8C1-6CFA6B38FCBA}"/>
    <cellStyle name="Comma 2 3 3 2 6 4 3 2" xfId="49230" xr:uid="{3ABC9652-0F55-41F7-B54A-3CEA32E16B78}"/>
    <cellStyle name="Comma 2 3 3 2 6 4 3 3" xfId="30976" xr:uid="{EF97B251-A49A-4EF8-86F8-F272072829B1}"/>
    <cellStyle name="Comma 2 3 3 2 6 4 4" xfId="9072" xr:uid="{A96A2426-1EE9-4E60-B1AA-66FF05575809}"/>
    <cellStyle name="Comma 2 3 3 2 6 4 4 2" xfId="45580" xr:uid="{A367DF57-96D4-4ACF-9FDC-1025F8078970}"/>
    <cellStyle name="Comma 2 3 3 2 6 4 4 3" xfId="27326" xr:uid="{9FA17108-36A7-4244-99F0-F597AF963450}"/>
    <cellStyle name="Comma 2 3 3 2 6 4 5" xfId="5422" xr:uid="{A9DFAE5D-5B1D-4209-89DA-36285D86AA90}"/>
    <cellStyle name="Comma 2 3 3 2 6 4 5 2" xfId="41930" xr:uid="{17F89D4D-B4AF-4F0E-B5D2-61B697C3CCD0}"/>
    <cellStyle name="Comma 2 3 3 2 6 4 5 3" xfId="23676" xr:uid="{BB9742F8-374E-4DDB-A469-721B00C89BBC}"/>
    <cellStyle name="Comma 2 3 3 2 6 4 6" xfId="38280" xr:uid="{DFB13C95-4AE1-41D7-B8BF-6EE86DD346D6}"/>
    <cellStyle name="Comma 2 3 3 2 6 4 7" xfId="20026" xr:uid="{342B7685-6A1A-4738-86E6-E7DE7673BCDC}"/>
    <cellStyle name="Comma 2 3 3 2 6 5" xfId="1042" xr:uid="{206563CE-F9C2-4FC0-A158-235373EB47D3}"/>
    <cellStyle name="Comma 2 3 3 2 6 5 2" xfId="15642" xr:uid="{7B7B0E2D-D5A9-4041-8047-2C4332DC5EFA}"/>
    <cellStyle name="Comma 2 3 3 2 6 5 2 2" xfId="52150" xr:uid="{868BE7BC-58BF-4488-B608-14CCCD85972A}"/>
    <cellStyle name="Comma 2 3 3 2 6 5 2 3" xfId="33896" xr:uid="{C8C06382-DFC2-4C7E-AE0C-A32643A05C43}"/>
    <cellStyle name="Comma 2 3 3 2 6 5 3" xfId="11992" xr:uid="{AD8003F2-5AC4-4B96-B266-5522896ACC27}"/>
    <cellStyle name="Comma 2 3 3 2 6 5 3 2" xfId="48500" xr:uid="{29382F0B-F723-417A-B8D2-3588C7956411}"/>
    <cellStyle name="Comma 2 3 3 2 6 5 3 3" xfId="30246" xr:uid="{AAB242D7-B43A-4FC7-93D9-B15DB6EEA933}"/>
    <cellStyle name="Comma 2 3 3 2 6 5 4" xfId="8342" xr:uid="{F0013594-3A88-4B00-90E7-291626F23E07}"/>
    <cellStyle name="Comma 2 3 3 2 6 5 4 2" xfId="44850" xr:uid="{161CD1D7-D9E8-403A-8C97-7FAC7AAB1B82}"/>
    <cellStyle name="Comma 2 3 3 2 6 5 4 3" xfId="26596" xr:uid="{9A45CE52-9197-465C-BD2E-B0DF49268EAD}"/>
    <cellStyle name="Comma 2 3 3 2 6 5 5" xfId="4692" xr:uid="{F2755EFC-36A0-42BF-944B-EFC204F561BE}"/>
    <cellStyle name="Comma 2 3 3 2 6 5 5 2" xfId="41200" xr:uid="{798C7731-6FE6-4878-838C-BD12A47DD5B6}"/>
    <cellStyle name="Comma 2 3 3 2 6 5 5 3" xfId="22946" xr:uid="{791194DD-5578-46AA-BDA4-971A05305D54}"/>
    <cellStyle name="Comma 2 3 3 2 6 5 6" xfId="37550" xr:uid="{6BF5D33F-FC0F-4C47-A19A-E895E38C520F}"/>
    <cellStyle name="Comma 2 3 3 2 6 5 7" xfId="19296" xr:uid="{3157BB17-87F3-458C-850A-1EE1532E7DB5}"/>
    <cellStyle name="Comma 2 3 3 2 6 6" xfId="14912" xr:uid="{33457951-5706-4E52-B8C2-B0D3FA5A65DA}"/>
    <cellStyle name="Comma 2 3 3 2 6 6 2" xfId="51420" xr:uid="{4AB9CC99-15FA-4A6D-B4C7-D08E15694096}"/>
    <cellStyle name="Comma 2 3 3 2 6 6 3" xfId="33166" xr:uid="{19D8B641-0091-4E67-864F-A829CDFA5CAF}"/>
    <cellStyle name="Comma 2 3 3 2 6 7" xfId="11262" xr:uid="{FA206DEC-F195-4E7B-A37C-D72C779ADFB8}"/>
    <cellStyle name="Comma 2 3 3 2 6 7 2" xfId="47770" xr:uid="{7CC05DD4-6EED-46EF-B51F-25E96DE78E3E}"/>
    <cellStyle name="Comma 2 3 3 2 6 7 3" xfId="29516" xr:uid="{BD32B153-A87A-41FD-8DA7-54FA71A226A5}"/>
    <cellStyle name="Comma 2 3 3 2 6 8" xfId="7612" xr:uid="{752FC1F2-6C54-4CD8-9ECD-C5EE38C5AB6F}"/>
    <cellStyle name="Comma 2 3 3 2 6 8 2" xfId="44120" xr:uid="{4561F098-94DD-4D0B-B8B4-8FCE988EDC3D}"/>
    <cellStyle name="Comma 2 3 3 2 6 8 3" xfId="25866" xr:uid="{947AF68B-EFAD-4822-A914-30D1F7A9A37D}"/>
    <cellStyle name="Comma 2 3 3 2 6 9" xfId="3962" xr:uid="{7DD138E6-3B87-48F9-A6DF-4DF06657C0CA}"/>
    <cellStyle name="Comma 2 3 3 2 6 9 2" xfId="40470" xr:uid="{4DAF5A30-842F-41F7-A34F-D052FCBDF2FF}"/>
    <cellStyle name="Comma 2 3 3 2 6 9 3" xfId="22216" xr:uid="{2CCD9DCF-B04B-4BE4-8B25-A8883E91F07F}"/>
    <cellStyle name="Comma 2 3 3 2 7" xfId="208" xr:uid="{55D2C6C0-C1DD-445A-89CD-49A441A0F5D8}"/>
    <cellStyle name="Comma 2 3 3 2 7 10" xfId="36716" xr:uid="{064FBE97-954F-4032-ACC1-46AD59E75590}"/>
    <cellStyle name="Comma 2 3 3 2 7 11" xfId="18462" xr:uid="{CF181B77-F880-45FB-965F-674E90DC1A4A}"/>
    <cellStyle name="Comma 2 3 3 2 7 2" xfId="3128" xr:uid="{2489DEB9-3A46-479D-8D32-F45F18F5EE7F}"/>
    <cellStyle name="Comma 2 3 3 2 7 2 2" xfId="17728" xr:uid="{2EF0C843-443E-4A9A-8733-3EC49AF99266}"/>
    <cellStyle name="Comma 2 3 3 2 7 2 2 2" xfId="54236" xr:uid="{4B3C467A-AC2A-4DDD-A239-9113A01C697C}"/>
    <cellStyle name="Comma 2 3 3 2 7 2 2 3" xfId="35982" xr:uid="{F1FCAA7B-CA1D-4EE9-B6E5-5B7890C7DF54}"/>
    <cellStyle name="Comma 2 3 3 2 7 2 3" xfId="14078" xr:uid="{618BE27A-DBD9-4BF6-A29C-1EEA9FE23110}"/>
    <cellStyle name="Comma 2 3 3 2 7 2 3 2" xfId="50586" xr:uid="{B41D9CD2-43BE-4C59-B135-DD2A7D0CDC63}"/>
    <cellStyle name="Comma 2 3 3 2 7 2 3 3" xfId="32332" xr:uid="{8407FFEF-DA37-4A90-B419-8F91E57C3AF8}"/>
    <cellStyle name="Comma 2 3 3 2 7 2 4" xfId="10428" xr:uid="{9FD67EBA-8256-4F2D-A2E3-E6BA795CE929}"/>
    <cellStyle name="Comma 2 3 3 2 7 2 4 2" xfId="46936" xr:uid="{9C7EA0E0-495A-48CB-A74D-CB41C0864DEE}"/>
    <cellStyle name="Comma 2 3 3 2 7 2 4 3" xfId="28682" xr:uid="{150B2AFF-9F37-4CCE-80EF-6475702346F8}"/>
    <cellStyle name="Comma 2 3 3 2 7 2 5" xfId="6778" xr:uid="{66B2A237-2943-4584-BEFE-F52F75E59EFB}"/>
    <cellStyle name="Comma 2 3 3 2 7 2 5 2" xfId="43286" xr:uid="{9AA0F5FE-9054-43EF-8A8D-476E56B32791}"/>
    <cellStyle name="Comma 2 3 3 2 7 2 5 3" xfId="25032" xr:uid="{DFE138C6-4EAA-4A92-BC3C-E36A2D8440CE}"/>
    <cellStyle name="Comma 2 3 3 2 7 2 6" xfId="39636" xr:uid="{4BC24299-E797-4A9C-90D5-DA1D8BFCE0A4}"/>
    <cellStyle name="Comma 2 3 3 2 7 2 7" xfId="21382" xr:uid="{0F5E4702-C294-49FB-A20B-21167A391A52}"/>
    <cellStyle name="Comma 2 3 3 2 7 3" xfId="2398" xr:uid="{BCF307B9-FEBE-4D26-869F-39651581AB83}"/>
    <cellStyle name="Comma 2 3 3 2 7 3 2" xfId="16998" xr:uid="{760DCE25-16C4-4EB2-81CD-86D333B1B0D2}"/>
    <cellStyle name="Comma 2 3 3 2 7 3 2 2" xfId="53506" xr:uid="{63AEEB56-F7B2-43B0-AD18-98F875B13424}"/>
    <cellStyle name="Comma 2 3 3 2 7 3 2 3" xfId="35252" xr:uid="{210BF88D-C69D-4915-9F77-6FB2680F19D6}"/>
    <cellStyle name="Comma 2 3 3 2 7 3 3" xfId="13348" xr:uid="{6364835F-9377-40BB-B51B-F4265C71B2C3}"/>
    <cellStyle name="Comma 2 3 3 2 7 3 3 2" xfId="49856" xr:uid="{25B6FAFC-6F73-4405-88B5-1247944505B3}"/>
    <cellStyle name="Comma 2 3 3 2 7 3 3 3" xfId="31602" xr:uid="{E00D30BA-5482-4BA6-94A5-B7CFC666060C}"/>
    <cellStyle name="Comma 2 3 3 2 7 3 4" xfId="9698" xr:uid="{4C4BAE52-08C6-4DDC-A497-1B976D758E2B}"/>
    <cellStyle name="Comma 2 3 3 2 7 3 4 2" xfId="46206" xr:uid="{B30573F6-F1C2-4DFC-820E-2BBEBEB3EC60}"/>
    <cellStyle name="Comma 2 3 3 2 7 3 4 3" xfId="27952" xr:uid="{89D5ABEA-49D8-420F-8B65-D91F777811A1}"/>
    <cellStyle name="Comma 2 3 3 2 7 3 5" xfId="6048" xr:uid="{595BAE84-1347-4995-878C-E43E9AEB1061}"/>
    <cellStyle name="Comma 2 3 3 2 7 3 5 2" xfId="42556" xr:uid="{8AD1CA65-1FA8-46F4-8D6E-C69A5D66BD9E}"/>
    <cellStyle name="Comma 2 3 3 2 7 3 5 3" xfId="24302" xr:uid="{D84C1924-83AD-4B9F-8374-74E071E2D808}"/>
    <cellStyle name="Comma 2 3 3 2 7 3 6" xfId="38906" xr:uid="{6F0D6F61-6E5A-46AF-9923-4DCB44424D28}"/>
    <cellStyle name="Comma 2 3 3 2 7 3 7" xfId="20652" xr:uid="{F27F47E8-AC3C-4306-8BFF-E7E17C58678F}"/>
    <cellStyle name="Comma 2 3 3 2 7 4" xfId="1668" xr:uid="{A94658EB-833F-4C35-8DE8-43BFCCAAC972}"/>
    <cellStyle name="Comma 2 3 3 2 7 4 2" xfId="16268" xr:uid="{32A90170-AE84-4507-AEE4-92BD4A9BED41}"/>
    <cellStyle name="Comma 2 3 3 2 7 4 2 2" xfId="52776" xr:uid="{6E2E96F4-3C2E-46F1-AECD-CA53653AB6B4}"/>
    <cellStyle name="Comma 2 3 3 2 7 4 2 3" xfId="34522" xr:uid="{6FC43FEE-FC80-4816-9593-937B09DF9EA2}"/>
    <cellStyle name="Comma 2 3 3 2 7 4 3" xfId="12618" xr:uid="{F7B49823-AF32-4667-AF36-4FBA7D0CF686}"/>
    <cellStyle name="Comma 2 3 3 2 7 4 3 2" xfId="49126" xr:uid="{0AB2115A-8C0E-4204-AA4A-7AB101972808}"/>
    <cellStyle name="Comma 2 3 3 2 7 4 3 3" xfId="30872" xr:uid="{EF5F3EB7-BDD2-4706-8B29-F110283CA489}"/>
    <cellStyle name="Comma 2 3 3 2 7 4 4" xfId="8968" xr:uid="{C36955A8-6891-4AEA-9BEE-52B0FC8C8818}"/>
    <cellStyle name="Comma 2 3 3 2 7 4 4 2" xfId="45476" xr:uid="{0D8D78B2-63C2-4F4D-AFC3-220F3020C5BB}"/>
    <cellStyle name="Comma 2 3 3 2 7 4 4 3" xfId="27222" xr:uid="{EA2FDEA1-A12C-4D0D-A294-520217DF036D}"/>
    <cellStyle name="Comma 2 3 3 2 7 4 5" xfId="5318" xr:uid="{945D5997-DE6B-4AD7-9FB1-87F6DCD4B248}"/>
    <cellStyle name="Comma 2 3 3 2 7 4 5 2" xfId="41826" xr:uid="{6477FE4B-C705-45D2-9E6C-2F024FD50E07}"/>
    <cellStyle name="Comma 2 3 3 2 7 4 5 3" xfId="23572" xr:uid="{5F9C6ACE-C468-4B64-B976-06333E7BAE0B}"/>
    <cellStyle name="Comma 2 3 3 2 7 4 6" xfId="38176" xr:uid="{21A18056-4165-4ADA-A47C-5C3D4A7644B8}"/>
    <cellStyle name="Comma 2 3 3 2 7 4 7" xfId="19922" xr:uid="{44BD9E20-9162-4DA8-B2DE-5E3B49DA0919}"/>
    <cellStyle name="Comma 2 3 3 2 7 5" xfId="938" xr:uid="{53C2705F-8579-4E2E-B3E6-EB294DBF19F0}"/>
    <cellStyle name="Comma 2 3 3 2 7 5 2" xfId="15538" xr:uid="{4C5D4D16-023A-4AD9-9D29-65D02391AB97}"/>
    <cellStyle name="Comma 2 3 3 2 7 5 2 2" xfId="52046" xr:uid="{111911DD-E20D-46AB-9C8D-90E2443267E0}"/>
    <cellStyle name="Comma 2 3 3 2 7 5 2 3" xfId="33792" xr:uid="{5FD9A3BC-F0D9-4657-B2CC-F56D5DC4A576}"/>
    <cellStyle name="Comma 2 3 3 2 7 5 3" xfId="11888" xr:uid="{40619FEC-F157-41CC-B879-FC6FE2F27FB4}"/>
    <cellStyle name="Comma 2 3 3 2 7 5 3 2" xfId="48396" xr:uid="{2677CC6B-5F7F-481B-9A11-A9A73D79BDC4}"/>
    <cellStyle name="Comma 2 3 3 2 7 5 3 3" xfId="30142" xr:uid="{383BFA38-D606-4F4D-B608-692E7BDA9260}"/>
    <cellStyle name="Comma 2 3 3 2 7 5 4" xfId="8238" xr:uid="{F71F1063-A0A1-45E1-9DF5-4041562043AE}"/>
    <cellStyle name="Comma 2 3 3 2 7 5 4 2" xfId="44746" xr:uid="{E7D00465-EC87-41D7-BEC9-7CEBED42F0C5}"/>
    <cellStyle name="Comma 2 3 3 2 7 5 4 3" xfId="26492" xr:uid="{FFDCA742-E846-4252-BB93-74E4F1CAF71D}"/>
    <cellStyle name="Comma 2 3 3 2 7 5 5" xfId="4588" xr:uid="{C1D507B4-30BF-41D0-89B1-0FAEBFED08AB}"/>
    <cellStyle name="Comma 2 3 3 2 7 5 5 2" xfId="41096" xr:uid="{9E677DBA-D26B-4D45-B93D-2EFE8F85A5BC}"/>
    <cellStyle name="Comma 2 3 3 2 7 5 5 3" xfId="22842" xr:uid="{A49B9126-6E8F-4EF0-8984-7C607D82A933}"/>
    <cellStyle name="Comma 2 3 3 2 7 5 6" xfId="37446" xr:uid="{4B951C89-24B1-4EEE-8230-21A199A7A0BA}"/>
    <cellStyle name="Comma 2 3 3 2 7 5 7" xfId="19192" xr:uid="{223B2BC2-CAC0-4991-A81D-124CDFC439DC}"/>
    <cellStyle name="Comma 2 3 3 2 7 6" xfId="14808" xr:uid="{3D3AA009-CB22-4E16-B453-87889FA55521}"/>
    <cellStyle name="Comma 2 3 3 2 7 6 2" xfId="51316" xr:uid="{2A344167-9D28-436D-BE67-14FAC16331DA}"/>
    <cellStyle name="Comma 2 3 3 2 7 6 3" xfId="33062" xr:uid="{D89DF9B2-6ECC-4954-9B17-4B88C340AF1A}"/>
    <cellStyle name="Comma 2 3 3 2 7 7" xfId="11158" xr:uid="{AC8A53EF-88C9-461F-9C55-442A3D863397}"/>
    <cellStyle name="Comma 2 3 3 2 7 7 2" xfId="47666" xr:uid="{481D7912-9572-4906-B741-39034F01D40D}"/>
    <cellStyle name="Comma 2 3 3 2 7 7 3" xfId="29412" xr:uid="{73E97AE4-72FD-42D8-92BC-606AB16DC394}"/>
    <cellStyle name="Comma 2 3 3 2 7 8" xfId="7508" xr:uid="{2C7EE71E-B586-49A2-89C3-872EB1E30BAA}"/>
    <cellStyle name="Comma 2 3 3 2 7 8 2" xfId="44016" xr:uid="{4FEEBD35-09E3-4658-820E-6B0505E4A693}"/>
    <cellStyle name="Comma 2 3 3 2 7 8 3" xfId="25762" xr:uid="{FD474C9E-C958-4D3E-8BDB-238E7410B300}"/>
    <cellStyle name="Comma 2 3 3 2 7 9" xfId="3858" xr:uid="{BD5E585F-0360-4DBF-AB52-FF58A6354A2B}"/>
    <cellStyle name="Comma 2 3 3 2 7 9 2" xfId="40366" xr:uid="{0131D3E2-87C1-4DD7-A6D7-5A0AE7093B39}"/>
    <cellStyle name="Comma 2 3 3 2 7 9 3" xfId="22112" xr:uid="{52316121-F7AC-463A-9D70-1D57C0524B55}"/>
    <cellStyle name="Comma 2 3 3 2 8" xfId="3024" xr:uid="{7D78B397-F38D-4B2A-8CEC-99A25ADBE144}"/>
    <cellStyle name="Comma 2 3 3 2 8 2" xfId="17624" xr:uid="{B66B4402-A995-4CE2-BEFE-7C92ED100EC0}"/>
    <cellStyle name="Comma 2 3 3 2 8 2 2" xfId="54132" xr:uid="{8E13AD4D-DE46-4BFC-A4EF-6DF542467046}"/>
    <cellStyle name="Comma 2 3 3 2 8 2 3" xfId="35878" xr:uid="{E86310E1-41B1-45FF-8A34-2A8EAAA05356}"/>
    <cellStyle name="Comma 2 3 3 2 8 3" xfId="13974" xr:uid="{36DE35D8-B3AF-4378-8BCC-DD8DBD56406A}"/>
    <cellStyle name="Comma 2 3 3 2 8 3 2" xfId="50482" xr:uid="{FDDE5778-DBC4-47C8-9091-2EBA505D1FAC}"/>
    <cellStyle name="Comma 2 3 3 2 8 3 3" xfId="32228" xr:uid="{078BE983-2F90-426A-AA05-D6479E46085B}"/>
    <cellStyle name="Comma 2 3 3 2 8 4" xfId="10324" xr:uid="{70169C01-AF23-43EA-8E96-97D7E44CA5D1}"/>
    <cellStyle name="Comma 2 3 3 2 8 4 2" xfId="46832" xr:uid="{39F537B5-D02D-4BBE-BF4A-E0C9D0A2B796}"/>
    <cellStyle name="Comma 2 3 3 2 8 4 3" xfId="28578" xr:uid="{1A65B8F5-481D-412E-9018-98AD81F00DB9}"/>
    <cellStyle name="Comma 2 3 3 2 8 5" xfId="6674" xr:uid="{9A378FC2-D073-422F-9D0D-FBC4262C333D}"/>
    <cellStyle name="Comma 2 3 3 2 8 5 2" xfId="43182" xr:uid="{2B74F19D-3BE4-4170-BEA0-D90120B980FC}"/>
    <cellStyle name="Comma 2 3 3 2 8 5 3" xfId="24928" xr:uid="{0C6FAA16-3D22-403D-814E-F85C83C3BFAB}"/>
    <cellStyle name="Comma 2 3 3 2 8 6" xfId="39532" xr:uid="{F52A88B7-99C1-4445-864F-243D79AD60BB}"/>
    <cellStyle name="Comma 2 3 3 2 8 7" xfId="21278" xr:uid="{D0CECE8F-25D2-4625-84C4-705386ACF86E}"/>
    <cellStyle name="Comma 2 3 3 2 9" xfId="2294" xr:uid="{8591DFD3-3BB3-455B-8802-1D1F30F35EC4}"/>
    <cellStyle name="Comma 2 3 3 2 9 2" xfId="16894" xr:uid="{BC1F5A00-57DF-4BE8-AB12-758FEAB1016B}"/>
    <cellStyle name="Comma 2 3 3 2 9 2 2" xfId="53402" xr:uid="{5E548CAE-B75C-4115-A76E-A8A62A6AA3F5}"/>
    <cellStyle name="Comma 2 3 3 2 9 2 3" xfId="35148" xr:uid="{60132119-98F4-468C-AABF-B779AB71CA67}"/>
    <cellStyle name="Comma 2 3 3 2 9 3" xfId="13244" xr:uid="{8E1A278A-AD4C-4F29-9A85-61FA7F648F36}"/>
    <cellStyle name="Comma 2 3 3 2 9 3 2" xfId="49752" xr:uid="{4BFE79EC-3625-49AA-9A1A-CBCAD39A7681}"/>
    <cellStyle name="Comma 2 3 3 2 9 3 3" xfId="31498" xr:uid="{6E4A9443-B3A6-4BF2-9D7C-2964F66EA9FF}"/>
    <cellStyle name="Comma 2 3 3 2 9 4" xfId="9594" xr:uid="{54FA58E4-8FB5-477D-8D28-C1F280276749}"/>
    <cellStyle name="Comma 2 3 3 2 9 4 2" xfId="46102" xr:uid="{D992958B-E58B-433F-9838-E1328229845F}"/>
    <cellStyle name="Comma 2 3 3 2 9 4 3" xfId="27848" xr:uid="{3063D378-5D0E-4DE6-B1F0-62F827A47300}"/>
    <cellStyle name="Comma 2 3 3 2 9 5" xfId="5944" xr:uid="{F13190C7-9480-456E-AC21-E0E7E4AA0C77}"/>
    <cellStyle name="Comma 2 3 3 2 9 5 2" xfId="42452" xr:uid="{D6B277E9-C76C-4F16-9F78-553D38A15982}"/>
    <cellStyle name="Comma 2 3 3 2 9 5 3" xfId="24198" xr:uid="{817B6B2F-5D7F-413E-9BB7-14B5EB76775C}"/>
    <cellStyle name="Comma 2 3 3 2 9 6" xfId="38802" xr:uid="{25AAC88C-D532-4134-BF39-2A2BEAD385E9}"/>
    <cellStyle name="Comma 2 3 3 2 9 7" xfId="20548" xr:uid="{D011767D-613E-48E1-983A-92B7BC027CA5}"/>
    <cellStyle name="Comma 2 3 3 3" xfId="69" xr:uid="{2D9DFD02-7318-4EF4-90DE-CACB29F7B490}"/>
    <cellStyle name="Comma 2 3 3 3 10" xfId="1532" xr:uid="{94F8C836-D125-4EA3-AA73-DBA1E4C9D6A5}"/>
    <cellStyle name="Comma 2 3 3 3 10 2" xfId="16132" xr:uid="{6FA00F0E-25F5-4161-9988-9357907B03A1}"/>
    <cellStyle name="Comma 2 3 3 3 10 2 2" xfId="52640" xr:uid="{2E853075-1FE6-4DB3-B354-B1FA09FBEE7D}"/>
    <cellStyle name="Comma 2 3 3 3 10 2 3" xfId="34386" xr:uid="{BD1F14CB-42A6-4A64-B4A3-003ACC912340}"/>
    <cellStyle name="Comma 2 3 3 3 10 3" xfId="12482" xr:uid="{BA3C386F-C566-4541-9394-41B1C556757B}"/>
    <cellStyle name="Comma 2 3 3 3 10 3 2" xfId="48990" xr:uid="{C9D1507E-DE86-4C88-8A9B-118C8911CC1E}"/>
    <cellStyle name="Comma 2 3 3 3 10 3 3" xfId="30736" xr:uid="{5FD55C27-EC25-4B8A-A8DE-8B942AB8DF7E}"/>
    <cellStyle name="Comma 2 3 3 3 10 4" xfId="8832" xr:uid="{6DDAE86A-92B2-4C6D-A129-C11C32CA64CF}"/>
    <cellStyle name="Comma 2 3 3 3 10 4 2" xfId="45340" xr:uid="{095E2298-99F4-4BD8-8EFB-988C703D8450}"/>
    <cellStyle name="Comma 2 3 3 3 10 4 3" xfId="27086" xr:uid="{1CFB6E48-447B-4052-B5DF-AD33FCB342B5}"/>
    <cellStyle name="Comma 2 3 3 3 10 5" xfId="5182" xr:uid="{AEBB3E2F-5C20-49BA-9074-F1343F852536}"/>
    <cellStyle name="Comma 2 3 3 3 10 5 2" xfId="41690" xr:uid="{33BF6B17-72F9-44F5-AB6C-130C9F7E5A29}"/>
    <cellStyle name="Comma 2 3 3 3 10 5 3" xfId="23436" xr:uid="{5AA0400E-BF81-4694-A29A-DE12FB203335}"/>
    <cellStyle name="Comma 2 3 3 3 10 6" xfId="38040" xr:uid="{5FE79C08-15E9-4B1B-8C90-02EC0216C120}"/>
    <cellStyle name="Comma 2 3 3 3 10 7" xfId="19786" xr:uid="{FE5302E3-A881-4C76-8EED-DF1E4A3D06AF}"/>
    <cellStyle name="Comma 2 3 3 3 11" xfId="802" xr:uid="{942FC33B-9D04-4A19-955F-72446B8D9D02}"/>
    <cellStyle name="Comma 2 3 3 3 11 2" xfId="15402" xr:uid="{671D2724-71AA-40C8-A559-C5A9731F7B20}"/>
    <cellStyle name="Comma 2 3 3 3 11 2 2" xfId="51910" xr:uid="{AE574FC0-94A4-4FA5-8ADF-80AFCDC6B7E2}"/>
    <cellStyle name="Comma 2 3 3 3 11 2 3" xfId="33656" xr:uid="{AF14F4CE-50D5-4DAA-86C1-05400799595F}"/>
    <cellStyle name="Comma 2 3 3 3 11 3" xfId="11752" xr:uid="{5114705A-72CC-444C-B09F-A18ADE0805DF}"/>
    <cellStyle name="Comma 2 3 3 3 11 3 2" xfId="48260" xr:uid="{1DCD6FA2-0C40-4422-8022-EC832E32F0C2}"/>
    <cellStyle name="Comma 2 3 3 3 11 3 3" xfId="30006" xr:uid="{57CFEFBF-B320-41AB-B853-6D2CEC14E84D}"/>
    <cellStyle name="Comma 2 3 3 3 11 4" xfId="8102" xr:uid="{710698E1-C704-4030-952C-BDF57B835253}"/>
    <cellStyle name="Comma 2 3 3 3 11 4 2" xfId="44610" xr:uid="{099DDF6B-1893-4A06-9EF2-12820FF37360}"/>
    <cellStyle name="Comma 2 3 3 3 11 4 3" xfId="26356" xr:uid="{04F05B15-69FB-4A81-95DB-9DFC087527C4}"/>
    <cellStyle name="Comma 2 3 3 3 11 5" xfId="4452" xr:uid="{23115020-508A-48E0-8E7A-62B3CBB49FA4}"/>
    <cellStyle name="Comma 2 3 3 3 11 5 2" xfId="40960" xr:uid="{909FDC95-B593-48E2-9D1E-968BACEA5A63}"/>
    <cellStyle name="Comma 2 3 3 3 11 5 3" xfId="22706" xr:uid="{7A500F45-F92A-4EFD-8AEB-10F5486C6089}"/>
    <cellStyle name="Comma 2 3 3 3 11 6" xfId="37310" xr:uid="{9A5AD3E4-58A8-4DBA-9F72-3E4F838B2BB1}"/>
    <cellStyle name="Comma 2 3 3 3 11 7" xfId="19056" xr:uid="{3916A03D-B8C9-44F9-9C61-30E5790536D9}"/>
    <cellStyle name="Comma 2 3 3 3 12" xfId="14672" xr:uid="{EA9DEC25-EA35-402F-88B5-79D8F3F66D57}"/>
    <cellStyle name="Comma 2 3 3 3 12 2" xfId="51180" xr:uid="{4216C842-79FC-4730-81DB-09A98504094B}"/>
    <cellStyle name="Comma 2 3 3 3 12 3" xfId="32926" xr:uid="{F82191AF-5E94-414A-8FCE-740DB42FA03F}"/>
    <cellStyle name="Comma 2 3 3 3 13" xfId="11022" xr:uid="{26BD8729-92F4-477B-98B2-39745357ACF4}"/>
    <cellStyle name="Comma 2 3 3 3 13 2" xfId="47530" xr:uid="{FC39C566-E1ED-448B-8C59-2760A0AC6325}"/>
    <cellStyle name="Comma 2 3 3 3 13 3" xfId="29276" xr:uid="{C6D6BD56-411B-463A-833B-7A74F43A8D6F}"/>
    <cellStyle name="Comma 2 3 3 3 14" xfId="7372" xr:uid="{48E2AEE2-35D0-41C5-B87A-79790095D04C}"/>
    <cellStyle name="Comma 2 3 3 3 14 2" xfId="43880" xr:uid="{9C50FFE5-BD80-46AB-9DAE-F99C2AEE0F7A}"/>
    <cellStyle name="Comma 2 3 3 3 14 3" xfId="25626" xr:uid="{653BD1CC-5D42-479F-9F98-E964C8720D34}"/>
    <cellStyle name="Comma 2 3 3 3 15" xfId="3722" xr:uid="{EED3B410-0EC9-4AD3-A87A-59DD0EA629BF}"/>
    <cellStyle name="Comma 2 3 3 3 15 2" xfId="40230" xr:uid="{B359F09C-C76F-4ECA-914A-713851461BDC}"/>
    <cellStyle name="Comma 2 3 3 3 15 3" xfId="21976" xr:uid="{11ACDF3A-7237-4514-8A37-B9111CBCB0F6}"/>
    <cellStyle name="Comma 2 3 3 3 16" xfId="36580" xr:uid="{67B7F13B-99A5-433C-9C23-8DEDC9D0416E}"/>
    <cellStyle name="Comma 2 3 3 3 17" xfId="18326" xr:uid="{0AA43779-91C4-4271-96E2-4F8938F8F7BF}"/>
    <cellStyle name="Comma 2 3 3 3 2" xfId="696" xr:uid="{355FA0F1-1E2E-4220-B137-F44F911D24C3}"/>
    <cellStyle name="Comma 2 3 3 3 2 10" xfId="37204" xr:uid="{79343BB5-8E8D-4D8D-B86B-281753250421}"/>
    <cellStyle name="Comma 2 3 3 3 2 11" xfId="18950" xr:uid="{738529F6-287D-41BE-B061-3FCBCE7DA9AF}"/>
    <cellStyle name="Comma 2 3 3 3 2 2" xfId="3616" xr:uid="{B87C2D4C-71F6-4F87-A808-AAE9E0BDC6B8}"/>
    <cellStyle name="Comma 2 3 3 3 2 2 2" xfId="18216" xr:uid="{CD3D142F-5EF4-40EC-8161-42051546FA12}"/>
    <cellStyle name="Comma 2 3 3 3 2 2 2 2" xfId="54724" xr:uid="{E56319B4-08B3-43AA-830E-19D7FB8E9760}"/>
    <cellStyle name="Comma 2 3 3 3 2 2 2 3" xfId="36470" xr:uid="{CFBCA00B-AA32-4439-8B82-8D3521761F87}"/>
    <cellStyle name="Comma 2 3 3 3 2 2 3" xfId="14566" xr:uid="{88B260A0-1A97-4FFF-BEB4-347088314173}"/>
    <cellStyle name="Comma 2 3 3 3 2 2 3 2" xfId="51074" xr:uid="{694753A8-930D-44E2-8F60-D8CCF5C81DF4}"/>
    <cellStyle name="Comma 2 3 3 3 2 2 3 3" xfId="32820" xr:uid="{F71123E1-C72C-40E4-B0E4-7F0357E23140}"/>
    <cellStyle name="Comma 2 3 3 3 2 2 4" xfId="10916" xr:uid="{7E30D023-6030-47A0-AF8C-90975D8D3C68}"/>
    <cellStyle name="Comma 2 3 3 3 2 2 4 2" xfId="47424" xr:uid="{4EC0AAAF-9FE0-4379-AC64-9F73400B7A1E}"/>
    <cellStyle name="Comma 2 3 3 3 2 2 4 3" xfId="29170" xr:uid="{A0963CC7-47B1-43AE-A12E-BEC03D44EF51}"/>
    <cellStyle name="Comma 2 3 3 3 2 2 5" xfId="7266" xr:uid="{A5D087A0-E588-40B2-B8AD-47CA47563368}"/>
    <cellStyle name="Comma 2 3 3 3 2 2 5 2" xfId="43774" xr:uid="{CE58F68B-8FE3-4049-92C8-11DA73734817}"/>
    <cellStyle name="Comma 2 3 3 3 2 2 5 3" xfId="25520" xr:uid="{99321219-1BF7-44F0-B9E3-B4C7F2F3943D}"/>
    <cellStyle name="Comma 2 3 3 3 2 2 6" xfId="40124" xr:uid="{1205E5F0-49D9-44BF-978C-04939E5B447D}"/>
    <cellStyle name="Comma 2 3 3 3 2 2 7" xfId="21870" xr:uid="{BC252FE6-54A5-4AFC-897C-36E61399BBEF}"/>
    <cellStyle name="Comma 2 3 3 3 2 3" xfId="2886" xr:uid="{47BDCB13-EFEC-40A1-B1AE-43C08AE4006D}"/>
    <cellStyle name="Comma 2 3 3 3 2 3 2" xfId="17486" xr:uid="{7503DD4A-0439-4E7F-ABD4-D933A57F0292}"/>
    <cellStyle name="Comma 2 3 3 3 2 3 2 2" xfId="53994" xr:uid="{39E6DBD9-0B77-4D36-BE83-EFB37FCE7224}"/>
    <cellStyle name="Comma 2 3 3 3 2 3 2 3" xfId="35740" xr:uid="{12673932-FF8E-4D79-9ECF-6279CC52466D}"/>
    <cellStyle name="Comma 2 3 3 3 2 3 3" xfId="13836" xr:uid="{B51CF1DD-8853-4B6E-B756-F97B68D72B43}"/>
    <cellStyle name="Comma 2 3 3 3 2 3 3 2" xfId="50344" xr:uid="{F876D9B0-9CAB-4C0D-9369-FD8FA0FBE33C}"/>
    <cellStyle name="Comma 2 3 3 3 2 3 3 3" xfId="32090" xr:uid="{EF54DD5B-A46E-4D86-BDF4-A74FC524373A}"/>
    <cellStyle name="Comma 2 3 3 3 2 3 4" xfId="10186" xr:uid="{4E9B817E-0213-4107-8EA8-FB2F2C73667C}"/>
    <cellStyle name="Comma 2 3 3 3 2 3 4 2" xfId="46694" xr:uid="{451234C3-B2E0-4A0F-90B9-38426FD1079D}"/>
    <cellStyle name="Comma 2 3 3 3 2 3 4 3" xfId="28440" xr:uid="{5E745AD3-9F7A-44C4-9F7F-7E0B5718F92F}"/>
    <cellStyle name="Comma 2 3 3 3 2 3 5" xfId="6536" xr:uid="{E3C64CEC-169D-46EB-8466-9D5633983EEC}"/>
    <cellStyle name="Comma 2 3 3 3 2 3 5 2" xfId="43044" xr:uid="{74E9E0CF-063A-4799-BCBC-D2EE0C071D80}"/>
    <cellStyle name="Comma 2 3 3 3 2 3 5 3" xfId="24790" xr:uid="{6DEFFC20-7D3C-4730-8068-412B2A3BD353}"/>
    <cellStyle name="Comma 2 3 3 3 2 3 6" xfId="39394" xr:uid="{FFB95F79-AE51-42AF-9C5C-4790A95E9702}"/>
    <cellStyle name="Comma 2 3 3 3 2 3 7" xfId="21140" xr:uid="{951CAAFD-2559-452B-9E5C-286C3186DC31}"/>
    <cellStyle name="Comma 2 3 3 3 2 4" xfId="2156" xr:uid="{60B78602-0F75-4FAD-9122-D229BC8B5185}"/>
    <cellStyle name="Comma 2 3 3 3 2 4 2" xfId="16756" xr:uid="{C638EEC1-3F11-4E19-AD93-2FED666180C5}"/>
    <cellStyle name="Comma 2 3 3 3 2 4 2 2" xfId="53264" xr:uid="{C6F68E40-5951-474C-BD23-EA90F6D5C7EB}"/>
    <cellStyle name="Comma 2 3 3 3 2 4 2 3" xfId="35010" xr:uid="{39352538-DD51-4805-AB57-8708CDB52AA0}"/>
    <cellStyle name="Comma 2 3 3 3 2 4 3" xfId="13106" xr:uid="{A0B67875-25B6-4C40-B7A2-19479AA15661}"/>
    <cellStyle name="Comma 2 3 3 3 2 4 3 2" xfId="49614" xr:uid="{8A1D82C9-AA89-470F-9ECE-D5EE30C90E60}"/>
    <cellStyle name="Comma 2 3 3 3 2 4 3 3" xfId="31360" xr:uid="{4377AE41-BDBF-4ABA-A655-5108071FF467}"/>
    <cellStyle name="Comma 2 3 3 3 2 4 4" xfId="9456" xr:uid="{65D3F015-0883-4AE7-A86D-A543C821572D}"/>
    <cellStyle name="Comma 2 3 3 3 2 4 4 2" xfId="45964" xr:uid="{5F64326C-1A52-4D34-A2D7-28F89D498EDC}"/>
    <cellStyle name="Comma 2 3 3 3 2 4 4 3" xfId="27710" xr:uid="{61950495-1D58-4FA2-9E1D-C2D8056BC912}"/>
    <cellStyle name="Comma 2 3 3 3 2 4 5" xfId="5806" xr:uid="{B089934F-29E2-4DA8-B1FB-CE924BC648F6}"/>
    <cellStyle name="Comma 2 3 3 3 2 4 5 2" xfId="42314" xr:uid="{4247D0D6-DBC9-4107-B9B7-F427D279F8CC}"/>
    <cellStyle name="Comma 2 3 3 3 2 4 5 3" xfId="24060" xr:uid="{54B80AD4-84C9-4D06-9C8A-ABB303E36744}"/>
    <cellStyle name="Comma 2 3 3 3 2 4 6" xfId="38664" xr:uid="{546DD4D6-60E6-4FC9-898A-B7DC27A2779B}"/>
    <cellStyle name="Comma 2 3 3 3 2 4 7" xfId="20410" xr:uid="{892A8964-53BC-420F-8CDD-F5918640C2A4}"/>
    <cellStyle name="Comma 2 3 3 3 2 5" xfId="1426" xr:uid="{F1964E2F-09D1-40FC-8BF5-6BC3A2415EA3}"/>
    <cellStyle name="Comma 2 3 3 3 2 5 2" xfId="16026" xr:uid="{25946F34-72B7-4B85-8B91-9636A5E4B2DA}"/>
    <cellStyle name="Comma 2 3 3 3 2 5 2 2" xfId="52534" xr:uid="{05D44A03-6A26-494A-946F-B6640FABD4BA}"/>
    <cellStyle name="Comma 2 3 3 3 2 5 2 3" xfId="34280" xr:uid="{999C14AB-9364-40DB-9248-05B639EE5E21}"/>
    <cellStyle name="Comma 2 3 3 3 2 5 3" xfId="12376" xr:uid="{AD7751A4-D2A0-44D2-A189-5478AEB23DD7}"/>
    <cellStyle name="Comma 2 3 3 3 2 5 3 2" xfId="48884" xr:uid="{48E52D28-A73F-4467-8650-A2A67994E969}"/>
    <cellStyle name="Comma 2 3 3 3 2 5 3 3" xfId="30630" xr:uid="{0DA8553E-642C-42A6-B1B6-2255F6D7FCE5}"/>
    <cellStyle name="Comma 2 3 3 3 2 5 4" xfId="8726" xr:uid="{D94F6D2F-7B6D-4779-BA66-468C7AB16DAC}"/>
    <cellStyle name="Comma 2 3 3 3 2 5 4 2" xfId="45234" xr:uid="{E0986C6C-24B1-4BB1-9F93-C9E290A45C30}"/>
    <cellStyle name="Comma 2 3 3 3 2 5 4 3" xfId="26980" xr:uid="{C0C24F61-44D7-4573-BF1F-EF7D361EA0F6}"/>
    <cellStyle name="Comma 2 3 3 3 2 5 5" xfId="5076" xr:uid="{5CCAE189-3D68-4903-9904-C844A55AD902}"/>
    <cellStyle name="Comma 2 3 3 3 2 5 5 2" xfId="41584" xr:uid="{49DC0F37-F153-410D-841A-E2E12E53806E}"/>
    <cellStyle name="Comma 2 3 3 3 2 5 5 3" xfId="23330" xr:uid="{57CC2048-D18C-4BC3-8B1B-922965639A26}"/>
    <cellStyle name="Comma 2 3 3 3 2 5 6" xfId="37934" xr:uid="{10F051F1-126D-4B36-A94F-7B36E777AAE6}"/>
    <cellStyle name="Comma 2 3 3 3 2 5 7" xfId="19680" xr:uid="{14A20113-21AB-4D2B-B80F-09DF041348FD}"/>
    <cellStyle name="Comma 2 3 3 3 2 6" xfId="15296" xr:uid="{8FDA7CAA-BBE4-43E3-96C9-8A3C4164D507}"/>
    <cellStyle name="Comma 2 3 3 3 2 6 2" xfId="51804" xr:uid="{0140BC41-10F4-44A8-A2B5-14E69F07D7DB}"/>
    <cellStyle name="Comma 2 3 3 3 2 6 3" xfId="33550" xr:uid="{90C88AD0-4F7D-404C-93B6-D90A216D0231}"/>
    <cellStyle name="Comma 2 3 3 3 2 7" xfId="11646" xr:uid="{62CF8B2B-6ED9-41EB-9F70-7CA48D598603}"/>
    <cellStyle name="Comma 2 3 3 3 2 7 2" xfId="48154" xr:uid="{FE2F3E44-62E2-4A1D-B3F1-77FDB6303E14}"/>
    <cellStyle name="Comma 2 3 3 3 2 7 3" xfId="29900" xr:uid="{6F9221A9-B79C-4C39-AA7F-BD6D3291BB19}"/>
    <cellStyle name="Comma 2 3 3 3 2 8" xfId="7996" xr:uid="{BCFB38C3-E883-4E71-9E64-39DE3E876876}"/>
    <cellStyle name="Comma 2 3 3 3 2 8 2" xfId="44504" xr:uid="{50DC0BDE-67BA-4ED5-BAE9-AABD46027950}"/>
    <cellStyle name="Comma 2 3 3 3 2 8 3" xfId="26250" xr:uid="{0787AB2F-0387-48D2-B508-38132B7812CC}"/>
    <cellStyle name="Comma 2 3 3 3 2 9" xfId="4346" xr:uid="{D1799C57-13F1-4246-A3F2-80F37139381A}"/>
    <cellStyle name="Comma 2 3 3 3 2 9 2" xfId="40854" xr:uid="{F218E58E-9C13-41C8-A91A-43EF7AF16B21}"/>
    <cellStyle name="Comma 2 3 3 3 2 9 3" xfId="22600" xr:uid="{E1FC0F1A-EAB3-47FA-BC4F-B8D4A0593A42}"/>
    <cellStyle name="Comma 2 3 3 3 3" xfId="592" xr:uid="{3A5FF4E3-2328-4F2F-BC49-686663D58D0C}"/>
    <cellStyle name="Comma 2 3 3 3 3 10" xfId="37100" xr:uid="{372085AE-9B0A-449D-B4B5-10C982591E77}"/>
    <cellStyle name="Comma 2 3 3 3 3 11" xfId="18846" xr:uid="{84FEFC06-50CD-47A4-86EF-06A2A01AA0AB}"/>
    <cellStyle name="Comma 2 3 3 3 3 2" xfId="3512" xr:uid="{2615E1E2-EFB8-4598-A690-10ABC2D27862}"/>
    <cellStyle name="Comma 2 3 3 3 3 2 2" xfId="18112" xr:uid="{E7EA7244-2F1F-40FA-AFED-74058882AD05}"/>
    <cellStyle name="Comma 2 3 3 3 3 2 2 2" xfId="54620" xr:uid="{0CBCDFE1-B8D6-4F9A-80DB-AD4E788977F4}"/>
    <cellStyle name="Comma 2 3 3 3 3 2 2 3" xfId="36366" xr:uid="{2693763E-0A2E-4779-AAF7-9F2117088108}"/>
    <cellStyle name="Comma 2 3 3 3 3 2 3" xfId="14462" xr:uid="{F31A9A48-B37F-49C5-8F3B-F89F5940DB75}"/>
    <cellStyle name="Comma 2 3 3 3 3 2 3 2" xfId="50970" xr:uid="{71AC13BE-F3A3-4143-9E45-BA1336DE7C88}"/>
    <cellStyle name="Comma 2 3 3 3 3 2 3 3" xfId="32716" xr:uid="{0AAE46F3-1425-4E15-B1E6-473C8D6C1483}"/>
    <cellStyle name="Comma 2 3 3 3 3 2 4" xfId="10812" xr:uid="{73F6D17E-B6C6-47D3-A853-67FB4ECD420F}"/>
    <cellStyle name="Comma 2 3 3 3 3 2 4 2" xfId="47320" xr:uid="{56CB39CD-83D0-4EAE-B559-EC0DF443D972}"/>
    <cellStyle name="Comma 2 3 3 3 3 2 4 3" xfId="29066" xr:uid="{BA26C938-A888-4F35-9F46-DB2ABCAC2DE8}"/>
    <cellStyle name="Comma 2 3 3 3 3 2 5" xfId="7162" xr:uid="{4A2BF681-FFB1-4FB8-9468-B2AF43A4C66C}"/>
    <cellStyle name="Comma 2 3 3 3 3 2 5 2" xfId="43670" xr:uid="{C13A0EB6-526E-4515-B86E-BE6643471DA2}"/>
    <cellStyle name="Comma 2 3 3 3 3 2 5 3" xfId="25416" xr:uid="{5BB4EF25-7152-4116-BFB7-6CAC3680B605}"/>
    <cellStyle name="Comma 2 3 3 3 3 2 6" xfId="40020" xr:uid="{A6E716CB-4812-442E-B6D6-D5652EA41CB0}"/>
    <cellStyle name="Comma 2 3 3 3 3 2 7" xfId="21766" xr:uid="{EE955669-5D80-4A15-BE37-3C37882EC090}"/>
    <cellStyle name="Comma 2 3 3 3 3 3" xfId="2782" xr:uid="{2817B615-7275-425E-BD51-A0A6C0C4148A}"/>
    <cellStyle name="Comma 2 3 3 3 3 3 2" xfId="17382" xr:uid="{64EF9462-6969-4B6E-BA66-730BE2371509}"/>
    <cellStyle name="Comma 2 3 3 3 3 3 2 2" xfId="53890" xr:uid="{38F64916-6147-4BE3-915D-66C74BB5E0AB}"/>
    <cellStyle name="Comma 2 3 3 3 3 3 2 3" xfId="35636" xr:uid="{929D4E2E-E993-43BD-A317-B1A0F8299528}"/>
    <cellStyle name="Comma 2 3 3 3 3 3 3" xfId="13732" xr:uid="{A489B02E-7D47-4F88-9943-F1E32F980CAD}"/>
    <cellStyle name="Comma 2 3 3 3 3 3 3 2" xfId="50240" xr:uid="{30E29862-2185-4800-97C5-19D8828C2486}"/>
    <cellStyle name="Comma 2 3 3 3 3 3 3 3" xfId="31986" xr:uid="{AED604C7-77FB-492E-A113-0801E9D1C1EA}"/>
    <cellStyle name="Comma 2 3 3 3 3 3 4" xfId="10082" xr:uid="{F232AA5B-CB1F-477F-A86D-760C02B1CBA2}"/>
    <cellStyle name="Comma 2 3 3 3 3 3 4 2" xfId="46590" xr:uid="{ABE9F9C5-1B53-478D-A75F-F0F109962E0D}"/>
    <cellStyle name="Comma 2 3 3 3 3 3 4 3" xfId="28336" xr:uid="{AA355E0D-931D-46C8-A359-54085F81D5DC}"/>
    <cellStyle name="Comma 2 3 3 3 3 3 5" xfId="6432" xr:uid="{D3518C00-628E-42B0-B2B7-983932A90011}"/>
    <cellStyle name="Comma 2 3 3 3 3 3 5 2" xfId="42940" xr:uid="{9162F8D5-885C-4B48-B5C1-15C15AFED77F}"/>
    <cellStyle name="Comma 2 3 3 3 3 3 5 3" xfId="24686" xr:uid="{1FD1FFCA-61E5-468B-8315-CFD1E7D5D11B}"/>
    <cellStyle name="Comma 2 3 3 3 3 3 6" xfId="39290" xr:uid="{F8DEF30B-C805-4563-8150-7F1512DCDC8A}"/>
    <cellStyle name="Comma 2 3 3 3 3 3 7" xfId="21036" xr:uid="{2D4CE225-DA33-4C0B-9334-6930D69DAFAB}"/>
    <cellStyle name="Comma 2 3 3 3 3 4" xfId="2052" xr:uid="{D09BA20F-0CD5-433C-A286-A12E23D5EED9}"/>
    <cellStyle name="Comma 2 3 3 3 3 4 2" xfId="16652" xr:uid="{B02659CD-DF7E-4CD1-AE2E-A426B4141379}"/>
    <cellStyle name="Comma 2 3 3 3 3 4 2 2" xfId="53160" xr:uid="{3480B337-6EB4-4DE9-877C-54DD85391BF8}"/>
    <cellStyle name="Comma 2 3 3 3 3 4 2 3" xfId="34906" xr:uid="{01E3AAE6-F2CB-489F-8670-EACB7D55D274}"/>
    <cellStyle name="Comma 2 3 3 3 3 4 3" xfId="13002" xr:uid="{E7EFD224-7C94-43C2-9A75-034186023028}"/>
    <cellStyle name="Comma 2 3 3 3 3 4 3 2" xfId="49510" xr:uid="{1483039B-BD4C-477A-B648-2F116CA9354F}"/>
    <cellStyle name="Comma 2 3 3 3 3 4 3 3" xfId="31256" xr:uid="{828D9C0A-8B59-477B-8288-AA8DE6A8F235}"/>
    <cellStyle name="Comma 2 3 3 3 3 4 4" xfId="9352" xr:uid="{28B9CABA-7E0B-4325-8510-0014D0D128EB}"/>
    <cellStyle name="Comma 2 3 3 3 3 4 4 2" xfId="45860" xr:uid="{15C7926E-DDD3-4017-AE5A-2C47691915C0}"/>
    <cellStyle name="Comma 2 3 3 3 3 4 4 3" xfId="27606" xr:uid="{F4F5502D-EA57-4713-81FA-5583B1913533}"/>
    <cellStyle name="Comma 2 3 3 3 3 4 5" xfId="5702" xr:uid="{0B4F0C81-240E-44BC-B6F3-F9D80A108447}"/>
    <cellStyle name="Comma 2 3 3 3 3 4 5 2" xfId="42210" xr:uid="{6A2DD221-D28B-42E9-8FB1-84974A089654}"/>
    <cellStyle name="Comma 2 3 3 3 3 4 5 3" xfId="23956" xr:uid="{5CD9F910-5ED5-4CB7-A18B-5CDFD9B21316}"/>
    <cellStyle name="Comma 2 3 3 3 3 4 6" xfId="38560" xr:uid="{D40F69B3-B356-42A1-843B-DAE80421B6D6}"/>
    <cellStyle name="Comma 2 3 3 3 3 4 7" xfId="20306" xr:uid="{38BBB450-01A8-42C6-A118-856BCE43B777}"/>
    <cellStyle name="Comma 2 3 3 3 3 5" xfId="1322" xr:uid="{6090A31F-EB44-46AB-9062-452C579B69E8}"/>
    <cellStyle name="Comma 2 3 3 3 3 5 2" xfId="15922" xr:uid="{AE10D371-1ACE-4EBF-83CC-B019C8C3FDB6}"/>
    <cellStyle name="Comma 2 3 3 3 3 5 2 2" xfId="52430" xr:uid="{C52FAEB6-7A1C-4394-8123-8B7FBE83835F}"/>
    <cellStyle name="Comma 2 3 3 3 3 5 2 3" xfId="34176" xr:uid="{6ABC4B2C-747D-4F8A-8F16-548D46F3B113}"/>
    <cellStyle name="Comma 2 3 3 3 3 5 3" xfId="12272" xr:uid="{8AA1B05C-DF37-4B5A-A4B5-011AA0177DDC}"/>
    <cellStyle name="Comma 2 3 3 3 3 5 3 2" xfId="48780" xr:uid="{1B240A8D-B03F-4748-9AC4-694CF1723C6E}"/>
    <cellStyle name="Comma 2 3 3 3 3 5 3 3" xfId="30526" xr:uid="{2E132D00-94DA-4C82-A963-AD15021A98C4}"/>
    <cellStyle name="Comma 2 3 3 3 3 5 4" xfId="8622" xr:uid="{E107B393-BDD5-4516-A147-DA1AD1E0C97F}"/>
    <cellStyle name="Comma 2 3 3 3 3 5 4 2" xfId="45130" xr:uid="{800B87B1-E403-42D3-823A-1448AE991667}"/>
    <cellStyle name="Comma 2 3 3 3 3 5 4 3" xfId="26876" xr:uid="{7AD12E50-AEEE-40B6-9DAA-1954ECEA83E6}"/>
    <cellStyle name="Comma 2 3 3 3 3 5 5" xfId="4972" xr:uid="{F8C05069-D30F-43D5-9B5F-36255737C5B5}"/>
    <cellStyle name="Comma 2 3 3 3 3 5 5 2" xfId="41480" xr:uid="{79DCB021-4202-42A2-9CAD-88D31DD28037}"/>
    <cellStyle name="Comma 2 3 3 3 3 5 5 3" xfId="23226" xr:uid="{B15B2EC7-30E5-4729-9EFA-755406AA2125}"/>
    <cellStyle name="Comma 2 3 3 3 3 5 6" xfId="37830" xr:uid="{A4E17734-0011-4863-AA06-82D14D4CE7C4}"/>
    <cellStyle name="Comma 2 3 3 3 3 5 7" xfId="19576" xr:uid="{F28DB35F-08EA-4C74-8C5D-860D8FFCE9DD}"/>
    <cellStyle name="Comma 2 3 3 3 3 6" xfId="15192" xr:uid="{941FC8CD-04C6-48BF-A3B2-B9CD74DBB0D3}"/>
    <cellStyle name="Comma 2 3 3 3 3 6 2" xfId="51700" xr:uid="{6DA85264-673E-4F3C-BDDB-EBF61A9AC7A1}"/>
    <cellStyle name="Comma 2 3 3 3 3 6 3" xfId="33446" xr:uid="{3F1325ED-3054-45B6-9C03-EFDB6801A4A2}"/>
    <cellStyle name="Comma 2 3 3 3 3 7" xfId="11542" xr:uid="{7355A1EC-21B7-47F5-8377-BF1AFC2E5493}"/>
    <cellStyle name="Comma 2 3 3 3 3 7 2" xfId="48050" xr:uid="{D4813395-C2EE-4695-8028-B69726A456A6}"/>
    <cellStyle name="Comma 2 3 3 3 3 7 3" xfId="29796" xr:uid="{ECE06CF2-34A2-406C-86BB-5D6D310F0465}"/>
    <cellStyle name="Comma 2 3 3 3 3 8" xfId="7892" xr:uid="{A79EC3BF-6587-4A3C-9FAA-F43B84CA2C13}"/>
    <cellStyle name="Comma 2 3 3 3 3 8 2" xfId="44400" xr:uid="{70DB1714-D766-44CC-94E6-A890B7AE32DF}"/>
    <cellStyle name="Comma 2 3 3 3 3 8 3" xfId="26146" xr:uid="{435DB28D-C096-4E86-8A87-A4A977DE4236}"/>
    <cellStyle name="Comma 2 3 3 3 3 9" xfId="4242" xr:uid="{A50CD40E-487E-43A3-9A51-71F0FC54C45B}"/>
    <cellStyle name="Comma 2 3 3 3 3 9 2" xfId="40750" xr:uid="{58524E42-D437-48C8-9AF8-E7BD8C663D50}"/>
    <cellStyle name="Comma 2 3 3 3 3 9 3" xfId="22496" xr:uid="{BC87AA6A-38AE-45A6-9CC4-559AD4384A76}"/>
    <cellStyle name="Comma 2 3 3 3 4" xfId="488" xr:uid="{7B69EA3A-6ACB-4AFA-8745-0399278DE290}"/>
    <cellStyle name="Comma 2 3 3 3 4 10" xfId="36996" xr:uid="{B6B4020B-4BA1-4493-A810-6014FA907352}"/>
    <cellStyle name="Comma 2 3 3 3 4 11" xfId="18742" xr:uid="{106EBAFF-7F80-43FC-95B2-ED336D63903F}"/>
    <cellStyle name="Comma 2 3 3 3 4 2" xfId="3408" xr:uid="{2349D020-A1E7-48A8-8CF2-4A143145949D}"/>
    <cellStyle name="Comma 2 3 3 3 4 2 2" xfId="18008" xr:uid="{D38E6F23-A303-461A-8E86-652CE03485EC}"/>
    <cellStyle name="Comma 2 3 3 3 4 2 2 2" xfId="54516" xr:uid="{004634CC-BEAD-4C3F-896D-596DCB2644B3}"/>
    <cellStyle name="Comma 2 3 3 3 4 2 2 3" xfId="36262" xr:uid="{91CB0A95-E3C4-4967-B923-CD487F5B65C5}"/>
    <cellStyle name="Comma 2 3 3 3 4 2 3" xfId="14358" xr:uid="{3373CC19-DFEB-4C2A-B57F-4664407C12EB}"/>
    <cellStyle name="Comma 2 3 3 3 4 2 3 2" xfId="50866" xr:uid="{5C522250-A7B0-4E97-8CD4-0BA20E953510}"/>
    <cellStyle name="Comma 2 3 3 3 4 2 3 3" xfId="32612" xr:uid="{0D9F771C-FDB9-43CB-BA63-DD3CE2DD52B2}"/>
    <cellStyle name="Comma 2 3 3 3 4 2 4" xfId="10708" xr:uid="{0FF686D1-A31B-47C0-959E-EB51F2515BF7}"/>
    <cellStyle name="Comma 2 3 3 3 4 2 4 2" xfId="47216" xr:uid="{85D9436E-A073-45B2-9E8F-563FFE320182}"/>
    <cellStyle name="Comma 2 3 3 3 4 2 4 3" xfId="28962" xr:uid="{FA298E0B-270C-4350-9CAB-4AA51CD43B15}"/>
    <cellStyle name="Comma 2 3 3 3 4 2 5" xfId="7058" xr:uid="{5FE3F67C-CF79-498C-BB26-E058C7030D88}"/>
    <cellStyle name="Comma 2 3 3 3 4 2 5 2" xfId="43566" xr:uid="{E10B7190-127E-4EBF-BD68-45E444E2E1BD}"/>
    <cellStyle name="Comma 2 3 3 3 4 2 5 3" xfId="25312" xr:uid="{00FB181A-E616-49F5-AFCB-319644178A46}"/>
    <cellStyle name="Comma 2 3 3 3 4 2 6" xfId="39916" xr:uid="{01B7F17C-E94A-4639-A833-9F535BC39607}"/>
    <cellStyle name="Comma 2 3 3 3 4 2 7" xfId="21662" xr:uid="{EF1E33F6-344A-4F37-989B-92D2262C7DB4}"/>
    <cellStyle name="Comma 2 3 3 3 4 3" xfId="2678" xr:uid="{A325668C-AE4F-4329-B506-1DB984E47BE7}"/>
    <cellStyle name="Comma 2 3 3 3 4 3 2" xfId="17278" xr:uid="{AF4E4DF6-5562-4480-BEEA-7B95DC6DE844}"/>
    <cellStyle name="Comma 2 3 3 3 4 3 2 2" xfId="53786" xr:uid="{C5809090-7998-4832-B99B-ABFC58CE210B}"/>
    <cellStyle name="Comma 2 3 3 3 4 3 2 3" xfId="35532" xr:uid="{D1FE6AE1-8FB2-42B8-BE32-F345443F0BFD}"/>
    <cellStyle name="Comma 2 3 3 3 4 3 3" xfId="13628" xr:uid="{9C9F4D2E-1819-4B30-B91F-DB638033DEF8}"/>
    <cellStyle name="Comma 2 3 3 3 4 3 3 2" xfId="50136" xr:uid="{091266ED-6315-486E-A787-C85C3EA33E8F}"/>
    <cellStyle name="Comma 2 3 3 3 4 3 3 3" xfId="31882" xr:uid="{0FE50F72-AB1F-4939-B0D4-FB8DAB1879BF}"/>
    <cellStyle name="Comma 2 3 3 3 4 3 4" xfId="9978" xr:uid="{6A6517F1-2C44-4DA1-A0CA-E4A75E2E4C85}"/>
    <cellStyle name="Comma 2 3 3 3 4 3 4 2" xfId="46486" xr:uid="{A6D5C695-E21A-4362-841F-64CA4499B415}"/>
    <cellStyle name="Comma 2 3 3 3 4 3 4 3" xfId="28232" xr:uid="{074AC28B-9059-4163-BFBB-B6A041BDA1D1}"/>
    <cellStyle name="Comma 2 3 3 3 4 3 5" xfId="6328" xr:uid="{0A47D7F2-F796-494F-AFA7-E4B79116F400}"/>
    <cellStyle name="Comma 2 3 3 3 4 3 5 2" xfId="42836" xr:uid="{2C940418-66D7-4048-87A7-8AD8FACBC738}"/>
    <cellStyle name="Comma 2 3 3 3 4 3 5 3" xfId="24582" xr:uid="{A847CECF-D2BF-45A1-90E7-0BC3E3A7F905}"/>
    <cellStyle name="Comma 2 3 3 3 4 3 6" xfId="39186" xr:uid="{83758DA1-37E7-46BC-B29C-795B75439D04}"/>
    <cellStyle name="Comma 2 3 3 3 4 3 7" xfId="20932" xr:uid="{C91CAF85-65D5-47E7-91B2-CEA9FD73A983}"/>
    <cellStyle name="Comma 2 3 3 3 4 4" xfId="1948" xr:uid="{E912AAE0-B2B8-43F7-BAA1-3B1E0232BDA6}"/>
    <cellStyle name="Comma 2 3 3 3 4 4 2" xfId="16548" xr:uid="{C63ACBAB-B8B4-4219-A204-D5EFD5B7E925}"/>
    <cellStyle name="Comma 2 3 3 3 4 4 2 2" xfId="53056" xr:uid="{4855811C-D6D3-41C8-9476-DC950C739E7B}"/>
    <cellStyle name="Comma 2 3 3 3 4 4 2 3" xfId="34802" xr:uid="{1E03CD23-250B-44F6-81B8-8ACE6A2535C5}"/>
    <cellStyle name="Comma 2 3 3 3 4 4 3" xfId="12898" xr:uid="{4ABADC1B-D9FD-4A75-9FCF-6E607D3F0970}"/>
    <cellStyle name="Comma 2 3 3 3 4 4 3 2" xfId="49406" xr:uid="{6AE41003-DE4F-44CC-B860-C530EA97776C}"/>
    <cellStyle name="Comma 2 3 3 3 4 4 3 3" xfId="31152" xr:uid="{259223A7-A063-483B-BFC8-9B2E80A33DF8}"/>
    <cellStyle name="Comma 2 3 3 3 4 4 4" xfId="9248" xr:uid="{B84AB7A8-C034-4892-8031-E17146935AF2}"/>
    <cellStyle name="Comma 2 3 3 3 4 4 4 2" xfId="45756" xr:uid="{D956B132-758C-471E-B568-E11DA1224C45}"/>
    <cellStyle name="Comma 2 3 3 3 4 4 4 3" xfId="27502" xr:uid="{7AE570E5-FBB4-47F2-920E-76794EC424A9}"/>
    <cellStyle name="Comma 2 3 3 3 4 4 5" xfId="5598" xr:uid="{FFC11002-5E4A-480F-9BBF-43E4F4D16C82}"/>
    <cellStyle name="Comma 2 3 3 3 4 4 5 2" xfId="42106" xr:uid="{9B79198D-C61E-4919-BB05-ABF84BC43CA7}"/>
    <cellStyle name="Comma 2 3 3 3 4 4 5 3" xfId="23852" xr:uid="{AD9A6D2B-C24E-415A-B0F1-F38815885929}"/>
    <cellStyle name="Comma 2 3 3 3 4 4 6" xfId="38456" xr:uid="{241D2766-8A77-4089-B55A-8B500894F02E}"/>
    <cellStyle name="Comma 2 3 3 3 4 4 7" xfId="20202" xr:uid="{6BAC6401-395F-4AA4-A5F2-3B66632F3E7D}"/>
    <cellStyle name="Comma 2 3 3 3 4 5" xfId="1218" xr:uid="{65A168C2-AA94-45E2-B1B1-86A64149E9C4}"/>
    <cellStyle name="Comma 2 3 3 3 4 5 2" xfId="15818" xr:uid="{8AC72ABB-49C3-40C0-8187-EE051754051E}"/>
    <cellStyle name="Comma 2 3 3 3 4 5 2 2" xfId="52326" xr:uid="{505DE358-2173-4F58-ABF3-E2364B4B3742}"/>
    <cellStyle name="Comma 2 3 3 3 4 5 2 3" xfId="34072" xr:uid="{73FAB99F-C525-458A-9F2B-21ED944DBEB6}"/>
    <cellStyle name="Comma 2 3 3 3 4 5 3" xfId="12168" xr:uid="{C2DC4FBF-1161-44E1-B3AD-1F97F1B29911}"/>
    <cellStyle name="Comma 2 3 3 3 4 5 3 2" xfId="48676" xr:uid="{E3762E6F-DE8E-4E6D-966A-BA9391FE8542}"/>
    <cellStyle name="Comma 2 3 3 3 4 5 3 3" xfId="30422" xr:uid="{9C8A28B4-2D7D-43AE-9E9E-A66FEA6CB8B8}"/>
    <cellStyle name="Comma 2 3 3 3 4 5 4" xfId="8518" xr:uid="{8CCACD42-D9D3-433D-9A02-9773A2EDB129}"/>
    <cellStyle name="Comma 2 3 3 3 4 5 4 2" xfId="45026" xr:uid="{0F6A1F76-A75D-40F1-BF21-560483157157}"/>
    <cellStyle name="Comma 2 3 3 3 4 5 4 3" xfId="26772" xr:uid="{39A17033-AC79-424A-A038-88D82EB11B15}"/>
    <cellStyle name="Comma 2 3 3 3 4 5 5" xfId="4868" xr:uid="{9D13839C-4C0F-49D8-8E70-0058345A00B6}"/>
    <cellStyle name="Comma 2 3 3 3 4 5 5 2" xfId="41376" xr:uid="{6B0919A4-76CD-4A02-AE17-4AA938E89FD9}"/>
    <cellStyle name="Comma 2 3 3 3 4 5 5 3" xfId="23122" xr:uid="{52EC91C9-9C2D-4943-B312-80A0B5167BCB}"/>
    <cellStyle name="Comma 2 3 3 3 4 5 6" xfId="37726" xr:uid="{2610E7AB-6D08-4AAA-B29B-C6CDC12C56BF}"/>
    <cellStyle name="Comma 2 3 3 3 4 5 7" xfId="19472" xr:uid="{0FF485E6-FDEC-4368-B2C6-6B197BA9001D}"/>
    <cellStyle name="Comma 2 3 3 3 4 6" xfId="15088" xr:uid="{471FD8AB-33C0-456E-92A8-F92488A806DE}"/>
    <cellStyle name="Comma 2 3 3 3 4 6 2" xfId="51596" xr:uid="{ED4DC833-7E89-40BC-BA0C-2B9D112FB865}"/>
    <cellStyle name="Comma 2 3 3 3 4 6 3" xfId="33342" xr:uid="{08A2871E-D2D4-434D-A864-0BB605C8390B}"/>
    <cellStyle name="Comma 2 3 3 3 4 7" xfId="11438" xr:uid="{A3DFBAB0-26CB-465E-9C01-6498E2E76C39}"/>
    <cellStyle name="Comma 2 3 3 3 4 7 2" xfId="47946" xr:uid="{75CDFBE9-8A2F-4656-A246-DBE193F19CF5}"/>
    <cellStyle name="Comma 2 3 3 3 4 7 3" xfId="29692" xr:uid="{69B1C7F5-DDD2-4C5B-92E6-99534E8AE4AE}"/>
    <cellStyle name="Comma 2 3 3 3 4 8" xfId="7788" xr:uid="{09A61F6A-2E74-4B97-8324-2E3D43706F16}"/>
    <cellStyle name="Comma 2 3 3 3 4 8 2" xfId="44296" xr:uid="{E41837EA-10A9-4113-840C-BA5CF4C7F81F}"/>
    <cellStyle name="Comma 2 3 3 3 4 8 3" xfId="26042" xr:uid="{13F7D1E9-3D15-4320-9DD5-0437E83DF09D}"/>
    <cellStyle name="Comma 2 3 3 3 4 9" xfId="4138" xr:uid="{2AC36AE1-A8EA-4FE4-96BC-1C65CF238F36}"/>
    <cellStyle name="Comma 2 3 3 3 4 9 2" xfId="40646" xr:uid="{4E8ECB8D-B89A-4AFF-A615-44855C0E54FC}"/>
    <cellStyle name="Comma 2 3 3 3 4 9 3" xfId="22392" xr:uid="{D8C3C760-AA8E-4FB8-B9F1-4C7FEC5DA4C4}"/>
    <cellStyle name="Comma 2 3 3 3 5" xfId="384" xr:uid="{540DB50A-B6A3-4144-89C6-6DF7B8792539}"/>
    <cellStyle name="Comma 2 3 3 3 5 10" xfId="36892" xr:uid="{60D73600-07F9-421D-AFA7-DC9CC4917E1D}"/>
    <cellStyle name="Comma 2 3 3 3 5 11" xfId="18638" xr:uid="{F6C89F3B-8B44-4F17-88EE-B5357D5D43BD}"/>
    <cellStyle name="Comma 2 3 3 3 5 2" xfId="3304" xr:uid="{AEF3CF54-D6E8-4A49-BF01-719B65EA8B62}"/>
    <cellStyle name="Comma 2 3 3 3 5 2 2" xfId="17904" xr:uid="{E4330E34-FB35-4444-BE13-13A52F7480DB}"/>
    <cellStyle name="Comma 2 3 3 3 5 2 2 2" xfId="54412" xr:uid="{D3A97E49-4967-40FC-BA1F-752625D026C0}"/>
    <cellStyle name="Comma 2 3 3 3 5 2 2 3" xfId="36158" xr:uid="{AD15122C-679E-4295-8325-9687D3F42790}"/>
    <cellStyle name="Comma 2 3 3 3 5 2 3" xfId="14254" xr:uid="{A4355AEC-5096-49C7-84B8-1CA7D540CACA}"/>
    <cellStyle name="Comma 2 3 3 3 5 2 3 2" xfId="50762" xr:uid="{B76966E1-E600-4668-9647-70E0737F57CC}"/>
    <cellStyle name="Comma 2 3 3 3 5 2 3 3" xfId="32508" xr:uid="{76B5F8A7-B61E-4F1F-A67F-993671F8C963}"/>
    <cellStyle name="Comma 2 3 3 3 5 2 4" xfId="10604" xr:uid="{FFDE85D1-6020-4CA5-A8DE-A2B0B253E81D}"/>
    <cellStyle name="Comma 2 3 3 3 5 2 4 2" xfId="47112" xr:uid="{31ECFA8B-4A50-422C-9770-8765C364237B}"/>
    <cellStyle name="Comma 2 3 3 3 5 2 4 3" xfId="28858" xr:uid="{00DB50EF-83EC-475F-A356-44B4DEA72915}"/>
    <cellStyle name="Comma 2 3 3 3 5 2 5" xfId="6954" xr:uid="{83D70416-4615-47F4-9ED8-8DC2E859AE3C}"/>
    <cellStyle name="Comma 2 3 3 3 5 2 5 2" xfId="43462" xr:uid="{2E53385C-BD9F-417F-B068-CC15F7A4A71A}"/>
    <cellStyle name="Comma 2 3 3 3 5 2 5 3" xfId="25208" xr:uid="{27A02470-2F54-4F0A-A14C-4A8A2CCD2D00}"/>
    <cellStyle name="Comma 2 3 3 3 5 2 6" xfId="39812" xr:uid="{7A8DA68B-256F-4293-BD86-9155741FCDCA}"/>
    <cellStyle name="Comma 2 3 3 3 5 2 7" xfId="21558" xr:uid="{B7AB69F5-432C-4CBE-8ED8-C3DAD647A099}"/>
    <cellStyle name="Comma 2 3 3 3 5 3" xfId="2574" xr:uid="{04850555-EAEB-499B-93CB-39D960B2205B}"/>
    <cellStyle name="Comma 2 3 3 3 5 3 2" xfId="17174" xr:uid="{F7021543-CBC6-4859-B81F-73E6A745D730}"/>
    <cellStyle name="Comma 2 3 3 3 5 3 2 2" xfId="53682" xr:uid="{A7093BE6-6A41-4A40-936F-B5C677BE79C0}"/>
    <cellStyle name="Comma 2 3 3 3 5 3 2 3" xfId="35428" xr:uid="{E8E8D826-C581-44E4-B494-774A348809FC}"/>
    <cellStyle name="Comma 2 3 3 3 5 3 3" xfId="13524" xr:uid="{8DCE26AE-CCEA-4D86-8F80-B9ECCC0DC651}"/>
    <cellStyle name="Comma 2 3 3 3 5 3 3 2" xfId="50032" xr:uid="{53C74011-75F9-4F27-B683-9959EA68D1BD}"/>
    <cellStyle name="Comma 2 3 3 3 5 3 3 3" xfId="31778" xr:uid="{548F8807-4ACC-438D-9A88-2B795315282D}"/>
    <cellStyle name="Comma 2 3 3 3 5 3 4" xfId="9874" xr:uid="{BC72A613-D732-478E-AB51-D4FB39C81C39}"/>
    <cellStyle name="Comma 2 3 3 3 5 3 4 2" xfId="46382" xr:uid="{1BB87E24-32C6-45ED-948B-8FB02E44163F}"/>
    <cellStyle name="Comma 2 3 3 3 5 3 4 3" xfId="28128" xr:uid="{E9961BA7-B6C5-4C3F-A4A7-D484102FD6B1}"/>
    <cellStyle name="Comma 2 3 3 3 5 3 5" xfId="6224" xr:uid="{C382F5CA-30FA-47D7-912A-B377762EAE06}"/>
    <cellStyle name="Comma 2 3 3 3 5 3 5 2" xfId="42732" xr:uid="{1477619B-7669-4649-B9CA-9F4BF2F51A09}"/>
    <cellStyle name="Comma 2 3 3 3 5 3 5 3" xfId="24478" xr:uid="{6C244B68-13E8-4A7B-B4F5-7F4231B2A303}"/>
    <cellStyle name="Comma 2 3 3 3 5 3 6" xfId="39082" xr:uid="{B496CA43-F7CB-470E-B60B-1DD8A0429893}"/>
    <cellStyle name="Comma 2 3 3 3 5 3 7" xfId="20828" xr:uid="{8D0757D9-2A4F-4061-8F7D-F966A67002CD}"/>
    <cellStyle name="Comma 2 3 3 3 5 4" xfId="1844" xr:uid="{929B943E-D05B-4EB3-8618-D4907D85ACE4}"/>
    <cellStyle name="Comma 2 3 3 3 5 4 2" xfId="16444" xr:uid="{EEDFB4E1-1C67-4F04-9B2D-13B8A2AFE999}"/>
    <cellStyle name="Comma 2 3 3 3 5 4 2 2" xfId="52952" xr:uid="{AC2AB867-B0DB-4333-B9DD-C760D1813576}"/>
    <cellStyle name="Comma 2 3 3 3 5 4 2 3" xfId="34698" xr:uid="{AD2F3069-A493-4B52-B40D-351DC091171C}"/>
    <cellStyle name="Comma 2 3 3 3 5 4 3" xfId="12794" xr:uid="{90329D66-BC7B-43F8-A8A5-97C6487F05B9}"/>
    <cellStyle name="Comma 2 3 3 3 5 4 3 2" xfId="49302" xr:uid="{AE3D900E-68D0-4314-BFC7-E4B3696CEDCE}"/>
    <cellStyle name="Comma 2 3 3 3 5 4 3 3" xfId="31048" xr:uid="{FE876795-5DD5-4CDE-81E6-23C68A6284F0}"/>
    <cellStyle name="Comma 2 3 3 3 5 4 4" xfId="9144" xr:uid="{C35C580A-D4BB-4E36-BE3E-85D0077330CD}"/>
    <cellStyle name="Comma 2 3 3 3 5 4 4 2" xfId="45652" xr:uid="{26880710-EBF3-491E-A5EE-8A9993BD1683}"/>
    <cellStyle name="Comma 2 3 3 3 5 4 4 3" xfId="27398" xr:uid="{8194279B-AB8C-4390-901B-46C81EEC1215}"/>
    <cellStyle name="Comma 2 3 3 3 5 4 5" xfId="5494" xr:uid="{33D80592-A728-44C8-8F50-BB9B4715FD0F}"/>
    <cellStyle name="Comma 2 3 3 3 5 4 5 2" xfId="42002" xr:uid="{AC92E075-EEDD-4009-A9B0-A59326C7FB74}"/>
    <cellStyle name="Comma 2 3 3 3 5 4 5 3" xfId="23748" xr:uid="{526B8587-2749-4E30-B14C-2A1B72C42E63}"/>
    <cellStyle name="Comma 2 3 3 3 5 4 6" xfId="38352" xr:uid="{DBFFFA55-4E3D-43DC-A3CF-B09DED1A0CAA}"/>
    <cellStyle name="Comma 2 3 3 3 5 4 7" xfId="20098" xr:uid="{FB1AF8AB-5FCB-4547-A804-B34EDB3DCA67}"/>
    <cellStyle name="Comma 2 3 3 3 5 5" xfId="1114" xr:uid="{A6E6B48F-E37A-4266-9115-DDA5400CA301}"/>
    <cellStyle name="Comma 2 3 3 3 5 5 2" xfId="15714" xr:uid="{5C826AB7-CF38-406F-9329-D31031521DDB}"/>
    <cellStyle name="Comma 2 3 3 3 5 5 2 2" xfId="52222" xr:uid="{6FCFFE80-48C0-4CDC-B36D-090B629ACFC9}"/>
    <cellStyle name="Comma 2 3 3 3 5 5 2 3" xfId="33968" xr:uid="{EBFB44E9-AE32-4ECE-B01E-EB10BCE05A07}"/>
    <cellStyle name="Comma 2 3 3 3 5 5 3" xfId="12064" xr:uid="{67412F8F-30FE-4498-B58B-31BC3016DDBB}"/>
    <cellStyle name="Comma 2 3 3 3 5 5 3 2" xfId="48572" xr:uid="{523AC304-6AD3-40C2-AD6E-F9913CAAB226}"/>
    <cellStyle name="Comma 2 3 3 3 5 5 3 3" xfId="30318" xr:uid="{571EC4AB-06FC-45A4-BF55-89C36A3DE53E}"/>
    <cellStyle name="Comma 2 3 3 3 5 5 4" xfId="8414" xr:uid="{0FBB5E0D-8819-440B-898E-E851D7000F6F}"/>
    <cellStyle name="Comma 2 3 3 3 5 5 4 2" xfId="44922" xr:uid="{EAAA6E88-13E8-41A3-BCA0-EB8D91CCF10E}"/>
    <cellStyle name="Comma 2 3 3 3 5 5 4 3" xfId="26668" xr:uid="{A3B4DDE2-3165-4C0C-AAC1-28B5BB8A2A03}"/>
    <cellStyle name="Comma 2 3 3 3 5 5 5" xfId="4764" xr:uid="{C864ECA4-0658-46AA-BB94-55EF90AA5022}"/>
    <cellStyle name="Comma 2 3 3 3 5 5 5 2" xfId="41272" xr:uid="{5902C17A-F3BE-466B-8131-5BDC2CD58B1E}"/>
    <cellStyle name="Comma 2 3 3 3 5 5 5 3" xfId="23018" xr:uid="{3F9C06F9-53F5-4CCB-A53B-B2C6AA7769A8}"/>
    <cellStyle name="Comma 2 3 3 3 5 5 6" xfId="37622" xr:uid="{F01C5A45-C96E-427D-BD44-C11057F43D3D}"/>
    <cellStyle name="Comma 2 3 3 3 5 5 7" xfId="19368" xr:uid="{66879FAE-526B-405A-869B-7BC181C544BA}"/>
    <cellStyle name="Comma 2 3 3 3 5 6" xfId="14984" xr:uid="{E14422BD-D206-4C14-A8D4-17055C3E2A71}"/>
    <cellStyle name="Comma 2 3 3 3 5 6 2" xfId="51492" xr:uid="{C4D64E01-09E6-4DB2-B863-0FB50A9E4267}"/>
    <cellStyle name="Comma 2 3 3 3 5 6 3" xfId="33238" xr:uid="{D08AC8EA-CEDD-4C89-8695-3E8D7F51632C}"/>
    <cellStyle name="Comma 2 3 3 3 5 7" xfId="11334" xr:uid="{AC96D59F-1D05-4C15-9B1E-0977EF9D078F}"/>
    <cellStyle name="Comma 2 3 3 3 5 7 2" xfId="47842" xr:uid="{AC09F595-FE48-4BE3-A131-F7D0755BF4AB}"/>
    <cellStyle name="Comma 2 3 3 3 5 7 3" xfId="29588" xr:uid="{C04F375B-574B-44BD-9F3D-B1B7E462A057}"/>
    <cellStyle name="Comma 2 3 3 3 5 8" xfId="7684" xr:uid="{E92477FA-7700-414A-B0D5-8188BDD89E3A}"/>
    <cellStyle name="Comma 2 3 3 3 5 8 2" xfId="44192" xr:uid="{DFFC422F-E945-4385-A493-1D4955F4539A}"/>
    <cellStyle name="Comma 2 3 3 3 5 8 3" xfId="25938" xr:uid="{FC5868FF-D272-44C8-986C-8B930809AA83}"/>
    <cellStyle name="Comma 2 3 3 3 5 9" xfId="4034" xr:uid="{CB2B4B78-8D6A-4340-9EA7-03A8029BEF7E}"/>
    <cellStyle name="Comma 2 3 3 3 5 9 2" xfId="40542" xr:uid="{B6B1B29A-240C-47C7-A2C3-E950E0CE37BC}"/>
    <cellStyle name="Comma 2 3 3 3 5 9 3" xfId="22288" xr:uid="{D4AC786A-0665-46AD-9A30-1515D0E5365B}"/>
    <cellStyle name="Comma 2 3 3 3 6" xfId="280" xr:uid="{4D80D187-7982-43A0-8EF6-A8AD75812BFB}"/>
    <cellStyle name="Comma 2 3 3 3 6 10" xfId="36788" xr:uid="{BE3F840F-A4D0-4D2C-88AE-0B7C7AB77C07}"/>
    <cellStyle name="Comma 2 3 3 3 6 11" xfId="18534" xr:uid="{9758295A-9348-4DA9-AC44-65029153F7C3}"/>
    <cellStyle name="Comma 2 3 3 3 6 2" xfId="3200" xr:uid="{B478FCE2-CEC6-44EB-920E-46389FEFCB6F}"/>
    <cellStyle name="Comma 2 3 3 3 6 2 2" xfId="17800" xr:uid="{CEA86CA6-6F76-4548-8564-24D3CB209637}"/>
    <cellStyle name="Comma 2 3 3 3 6 2 2 2" xfId="54308" xr:uid="{52CD000E-08B8-442E-9524-7110B0C400E0}"/>
    <cellStyle name="Comma 2 3 3 3 6 2 2 3" xfId="36054" xr:uid="{60976B32-D1D5-45A9-8AC0-3E1FF9A8B4BE}"/>
    <cellStyle name="Comma 2 3 3 3 6 2 3" xfId="14150" xr:uid="{F84D0206-7B70-4144-9CD0-AF0039C38F4E}"/>
    <cellStyle name="Comma 2 3 3 3 6 2 3 2" xfId="50658" xr:uid="{4227BF5C-6A26-4082-B913-7BBD0167B00A}"/>
    <cellStyle name="Comma 2 3 3 3 6 2 3 3" xfId="32404" xr:uid="{7A7BC34C-525C-4573-9C80-99D481FF6B4D}"/>
    <cellStyle name="Comma 2 3 3 3 6 2 4" xfId="10500" xr:uid="{A7B26B58-853C-4317-9F7D-85F2DAB6D9D6}"/>
    <cellStyle name="Comma 2 3 3 3 6 2 4 2" xfId="47008" xr:uid="{F7BFDD56-94A6-42B9-AA6E-B1D5ADDE6F04}"/>
    <cellStyle name="Comma 2 3 3 3 6 2 4 3" xfId="28754" xr:uid="{D58469F2-89E5-431F-A420-7A028C25085C}"/>
    <cellStyle name="Comma 2 3 3 3 6 2 5" xfId="6850" xr:uid="{A108EA11-978E-4680-A830-284CA28AEEA2}"/>
    <cellStyle name="Comma 2 3 3 3 6 2 5 2" xfId="43358" xr:uid="{795ABE9E-05BA-450E-AE32-886D36357A0B}"/>
    <cellStyle name="Comma 2 3 3 3 6 2 5 3" xfId="25104" xr:uid="{B4BEE5B3-BDE6-442B-BA7D-D07B33EEE613}"/>
    <cellStyle name="Comma 2 3 3 3 6 2 6" xfId="39708" xr:uid="{EDC3171C-61FF-4285-A40A-4D1CD2BFF438}"/>
    <cellStyle name="Comma 2 3 3 3 6 2 7" xfId="21454" xr:uid="{7B6CEFBB-662F-4307-A391-8E897933F1A0}"/>
    <cellStyle name="Comma 2 3 3 3 6 3" xfId="2470" xr:uid="{22BD8EC7-663C-4965-9297-B5BD76B99859}"/>
    <cellStyle name="Comma 2 3 3 3 6 3 2" xfId="17070" xr:uid="{56003A1D-BA9B-4A52-ABCF-6F713591A929}"/>
    <cellStyle name="Comma 2 3 3 3 6 3 2 2" xfId="53578" xr:uid="{8E883D3A-81BE-4821-B27E-6A04725EFC19}"/>
    <cellStyle name="Comma 2 3 3 3 6 3 2 3" xfId="35324" xr:uid="{70E8A952-702F-4090-98EF-ECA36E2B20D9}"/>
    <cellStyle name="Comma 2 3 3 3 6 3 3" xfId="13420" xr:uid="{10D97C2D-28AD-43D8-8049-7C15E27DE6CF}"/>
    <cellStyle name="Comma 2 3 3 3 6 3 3 2" xfId="49928" xr:uid="{1DA4F3AC-3ECC-4B68-8DD1-FBE3A4B533A7}"/>
    <cellStyle name="Comma 2 3 3 3 6 3 3 3" xfId="31674" xr:uid="{98F0F997-6C2C-423F-BC64-239D982EC599}"/>
    <cellStyle name="Comma 2 3 3 3 6 3 4" xfId="9770" xr:uid="{6A1C640F-A2AA-4728-95D4-E87039865BE2}"/>
    <cellStyle name="Comma 2 3 3 3 6 3 4 2" xfId="46278" xr:uid="{63110BAC-C0E5-4B19-B318-112D1477D641}"/>
    <cellStyle name="Comma 2 3 3 3 6 3 4 3" xfId="28024" xr:uid="{2892F352-AE19-469F-AC2C-C7DE6AE9873F}"/>
    <cellStyle name="Comma 2 3 3 3 6 3 5" xfId="6120" xr:uid="{5A652FF4-9E4C-4F44-88F2-DEFD08E53996}"/>
    <cellStyle name="Comma 2 3 3 3 6 3 5 2" xfId="42628" xr:uid="{7A7C6F35-3057-4A8F-BCA4-D2C35AA76E27}"/>
    <cellStyle name="Comma 2 3 3 3 6 3 5 3" xfId="24374" xr:uid="{521F8AD8-E753-47EE-8E6A-1DA106582050}"/>
    <cellStyle name="Comma 2 3 3 3 6 3 6" xfId="38978" xr:uid="{B6E85F2E-3CE4-466A-873F-924086CA0D14}"/>
    <cellStyle name="Comma 2 3 3 3 6 3 7" xfId="20724" xr:uid="{41FE939C-1C28-4AC8-B585-5864B478B649}"/>
    <cellStyle name="Comma 2 3 3 3 6 4" xfId="1740" xr:uid="{CC6FD2B6-D391-4E5D-8CFE-406BB13D3B15}"/>
    <cellStyle name="Comma 2 3 3 3 6 4 2" xfId="16340" xr:uid="{91C41AFA-074E-454D-8504-DDF3B4D3BD10}"/>
    <cellStyle name="Comma 2 3 3 3 6 4 2 2" xfId="52848" xr:uid="{17A5B404-0D5E-411D-BB7C-865E0AD97026}"/>
    <cellStyle name="Comma 2 3 3 3 6 4 2 3" xfId="34594" xr:uid="{66D8A999-63CC-4CCF-9346-4D4DFD93DD32}"/>
    <cellStyle name="Comma 2 3 3 3 6 4 3" xfId="12690" xr:uid="{A0456329-4198-4662-B598-560BA746CE71}"/>
    <cellStyle name="Comma 2 3 3 3 6 4 3 2" xfId="49198" xr:uid="{194EBAB4-DAD1-41AA-BA67-18CBBA58BB52}"/>
    <cellStyle name="Comma 2 3 3 3 6 4 3 3" xfId="30944" xr:uid="{CE1109DA-40B4-4466-B63B-E04CAD701E4E}"/>
    <cellStyle name="Comma 2 3 3 3 6 4 4" xfId="9040" xr:uid="{F2675898-1AA5-416A-B1EC-B88DB14AC986}"/>
    <cellStyle name="Comma 2 3 3 3 6 4 4 2" xfId="45548" xr:uid="{657842C5-56D2-44BE-9A10-13D36CDB818C}"/>
    <cellStyle name="Comma 2 3 3 3 6 4 4 3" xfId="27294" xr:uid="{B20DF54F-CCE1-4262-9AF9-B305440D01CF}"/>
    <cellStyle name="Comma 2 3 3 3 6 4 5" xfId="5390" xr:uid="{737F75BF-28DE-469D-A07C-86FDF2D02125}"/>
    <cellStyle name="Comma 2 3 3 3 6 4 5 2" xfId="41898" xr:uid="{0B8D5136-1594-4694-BB46-33A640C157F4}"/>
    <cellStyle name="Comma 2 3 3 3 6 4 5 3" xfId="23644" xr:uid="{E743AB24-995B-4E7A-8613-55D1FDC861C3}"/>
    <cellStyle name="Comma 2 3 3 3 6 4 6" xfId="38248" xr:uid="{6EF30068-C725-499D-88E6-C6A4D5131AFA}"/>
    <cellStyle name="Comma 2 3 3 3 6 4 7" xfId="19994" xr:uid="{EFF66EED-8BA0-432C-98F7-6B9D31AEE989}"/>
    <cellStyle name="Comma 2 3 3 3 6 5" xfId="1010" xr:uid="{C8323DD7-D0C1-4D3F-AEDC-E74749057FB6}"/>
    <cellStyle name="Comma 2 3 3 3 6 5 2" xfId="15610" xr:uid="{918C56B8-B280-4E92-B621-817DA7EE268C}"/>
    <cellStyle name="Comma 2 3 3 3 6 5 2 2" xfId="52118" xr:uid="{2F77BB8D-1C91-4A59-8C72-CA1BE97DD2E4}"/>
    <cellStyle name="Comma 2 3 3 3 6 5 2 3" xfId="33864" xr:uid="{B72C065A-37BA-4FD5-B1E2-DDB115D1D912}"/>
    <cellStyle name="Comma 2 3 3 3 6 5 3" xfId="11960" xr:uid="{3BDE1409-679C-4287-8028-9302F3AE75E1}"/>
    <cellStyle name="Comma 2 3 3 3 6 5 3 2" xfId="48468" xr:uid="{A6C87146-765D-4F9B-B713-FBD7329CF329}"/>
    <cellStyle name="Comma 2 3 3 3 6 5 3 3" xfId="30214" xr:uid="{30415961-0B73-406E-A92D-D1ECB0B43303}"/>
    <cellStyle name="Comma 2 3 3 3 6 5 4" xfId="8310" xr:uid="{24BCF6D2-E4EF-4B7B-BC39-B0523DE3E519}"/>
    <cellStyle name="Comma 2 3 3 3 6 5 4 2" xfId="44818" xr:uid="{D13D62CD-CCE9-4AA8-8E8D-7E6BD80C4114}"/>
    <cellStyle name="Comma 2 3 3 3 6 5 4 3" xfId="26564" xr:uid="{47274670-5DB4-4F91-B4C2-2604DECB40A2}"/>
    <cellStyle name="Comma 2 3 3 3 6 5 5" xfId="4660" xr:uid="{D9100848-357A-4861-A64A-E410E921C1CF}"/>
    <cellStyle name="Comma 2 3 3 3 6 5 5 2" xfId="41168" xr:uid="{7F552537-2DDB-4D14-BFEA-F430ED9CA720}"/>
    <cellStyle name="Comma 2 3 3 3 6 5 5 3" xfId="22914" xr:uid="{F06EF250-8EDA-4BAB-822D-3EF93F762625}"/>
    <cellStyle name="Comma 2 3 3 3 6 5 6" xfId="37518" xr:uid="{5414F481-BF27-4AAD-8C89-B20FA6A975D4}"/>
    <cellStyle name="Comma 2 3 3 3 6 5 7" xfId="19264" xr:uid="{ABC23A04-EEC2-4097-B86A-F5016769B164}"/>
    <cellStyle name="Comma 2 3 3 3 6 6" xfId="14880" xr:uid="{10628ED5-F346-4BE4-BD11-6C56B33D688E}"/>
    <cellStyle name="Comma 2 3 3 3 6 6 2" xfId="51388" xr:uid="{2C78C7DD-E8EE-4751-8C83-90B08D318374}"/>
    <cellStyle name="Comma 2 3 3 3 6 6 3" xfId="33134" xr:uid="{6C34FFC9-8B3C-4EAF-92C3-6DB5223DC678}"/>
    <cellStyle name="Comma 2 3 3 3 6 7" xfId="11230" xr:uid="{CAC9B6E7-6700-4438-83A5-FE477774A15B}"/>
    <cellStyle name="Comma 2 3 3 3 6 7 2" xfId="47738" xr:uid="{E74E3E99-1806-45BC-8154-DBD1A547F5E5}"/>
    <cellStyle name="Comma 2 3 3 3 6 7 3" xfId="29484" xr:uid="{4363C2E3-BE24-45D0-B12D-9B54FB092C6D}"/>
    <cellStyle name="Comma 2 3 3 3 6 8" xfId="7580" xr:uid="{F3B75484-61EA-47A2-945D-0464F90B95C1}"/>
    <cellStyle name="Comma 2 3 3 3 6 8 2" xfId="44088" xr:uid="{21B7AD5E-C938-42B7-B835-64B221E133DD}"/>
    <cellStyle name="Comma 2 3 3 3 6 8 3" xfId="25834" xr:uid="{AE1454A8-DD93-46AF-A30C-E03B420F33C9}"/>
    <cellStyle name="Comma 2 3 3 3 6 9" xfId="3930" xr:uid="{D81B4F4C-8001-495E-BB6C-A63BC378F42E}"/>
    <cellStyle name="Comma 2 3 3 3 6 9 2" xfId="40438" xr:uid="{E1DD2A95-F391-487C-B0CB-E0533091379E}"/>
    <cellStyle name="Comma 2 3 3 3 6 9 3" xfId="22184" xr:uid="{03C0E41A-B082-4648-9501-803B378FEACC}"/>
    <cellStyle name="Comma 2 3 3 3 7" xfId="176" xr:uid="{B6DE9735-94BC-4483-859D-E314D0420DD2}"/>
    <cellStyle name="Comma 2 3 3 3 7 10" xfId="36684" xr:uid="{A771C402-078A-494A-BFBB-3CB29114CDE7}"/>
    <cellStyle name="Comma 2 3 3 3 7 11" xfId="18430" xr:uid="{94C3FFBB-8977-4F05-B2ED-DBD01621B3C8}"/>
    <cellStyle name="Comma 2 3 3 3 7 2" xfId="3096" xr:uid="{728244CF-CD76-4644-8301-E618481BE572}"/>
    <cellStyle name="Comma 2 3 3 3 7 2 2" xfId="17696" xr:uid="{339DC76B-A668-4466-9B42-7F10DA11CE7D}"/>
    <cellStyle name="Comma 2 3 3 3 7 2 2 2" xfId="54204" xr:uid="{856B4301-8CA7-40C6-ABE5-F734A999C074}"/>
    <cellStyle name="Comma 2 3 3 3 7 2 2 3" xfId="35950" xr:uid="{913191B5-5E4D-4720-8114-89C06C9763D0}"/>
    <cellStyle name="Comma 2 3 3 3 7 2 3" xfId="14046" xr:uid="{F332707D-37F3-4FC8-B27B-02A8AA362544}"/>
    <cellStyle name="Comma 2 3 3 3 7 2 3 2" xfId="50554" xr:uid="{2730AA74-6AD1-4151-A86C-4E92C4711423}"/>
    <cellStyle name="Comma 2 3 3 3 7 2 3 3" xfId="32300" xr:uid="{1F626DAF-9A71-4DA3-890D-21210AE54F60}"/>
    <cellStyle name="Comma 2 3 3 3 7 2 4" xfId="10396" xr:uid="{DBB9ABEB-3D85-47A8-879A-5FACFB453D09}"/>
    <cellStyle name="Comma 2 3 3 3 7 2 4 2" xfId="46904" xr:uid="{89BB39C2-E9A5-4A15-9FBA-75C56CE394F8}"/>
    <cellStyle name="Comma 2 3 3 3 7 2 4 3" xfId="28650" xr:uid="{7A5B7FBE-77C7-420F-AB35-6F1038D852B3}"/>
    <cellStyle name="Comma 2 3 3 3 7 2 5" xfId="6746" xr:uid="{8A1191DF-847D-41A1-A756-DE480B14B3FD}"/>
    <cellStyle name="Comma 2 3 3 3 7 2 5 2" xfId="43254" xr:uid="{B71B48EE-50EE-40CB-96A0-8F7FA5D0713B}"/>
    <cellStyle name="Comma 2 3 3 3 7 2 5 3" xfId="25000" xr:uid="{3649B97D-420A-46A0-8D0E-7375759888DA}"/>
    <cellStyle name="Comma 2 3 3 3 7 2 6" xfId="39604" xr:uid="{E315CAD2-56D0-42F8-A49C-4FF3D835D036}"/>
    <cellStyle name="Comma 2 3 3 3 7 2 7" xfId="21350" xr:uid="{6C2621B9-931A-42CE-A871-8448C600E3D6}"/>
    <cellStyle name="Comma 2 3 3 3 7 3" xfId="2366" xr:uid="{2B4026BA-9C96-45EF-BC18-356093465A25}"/>
    <cellStyle name="Comma 2 3 3 3 7 3 2" xfId="16966" xr:uid="{57E6B987-E24A-4662-BE4F-57EDAD9F51F3}"/>
    <cellStyle name="Comma 2 3 3 3 7 3 2 2" xfId="53474" xr:uid="{EEC4F87F-F324-494D-9F73-465BCC2D6D76}"/>
    <cellStyle name="Comma 2 3 3 3 7 3 2 3" xfId="35220" xr:uid="{6F4683F1-97ED-414A-A758-38582A7669DA}"/>
    <cellStyle name="Comma 2 3 3 3 7 3 3" xfId="13316" xr:uid="{55130A24-4162-42D8-9440-5DE6D16B8590}"/>
    <cellStyle name="Comma 2 3 3 3 7 3 3 2" xfId="49824" xr:uid="{05D3C75C-2589-490C-BCE1-B22BB262CE52}"/>
    <cellStyle name="Comma 2 3 3 3 7 3 3 3" xfId="31570" xr:uid="{6A2B0338-53E8-4BE6-9B86-4293099858A7}"/>
    <cellStyle name="Comma 2 3 3 3 7 3 4" xfId="9666" xr:uid="{E2CE313B-B8CC-4B32-BBF2-193D2A53170C}"/>
    <cellStyle name="Comma 2 3 3 3 7 3 4 2" xfId="46174" xr:uid="{8A921A3A-DBAA-4378-9245-A60028E469F9}"/>
    <cellStyle name="Comma 2 3 3 3 7 3 4 3" xfId="27920" xr:uid="{A843BEAE-84EF-4F87-938C-4EB33C628B68}"/>
    <cellStyle name="Comma 2 3 3 3 7 3 5" xfId="6016" xr:uid="{89040624-9CA9-4F07-8ADB-E8D007D0AC29}"/>
    <cellStyle name="Comma 2 3 3 3 7 3 5 2" xfId="42524" xr:uid="{0C4C7AB5-3F8F-4E15-8847-E23486EF8ADD}"/>
    <cellStyle name="Comma 2 3 3 3 7 3 5 3" xfId="24270" xr:uid="{3382511D-A7EF-4FE9-B651-F761794EBAAE}"/>
    <cellStyle name="Comma 2 3 3 3 7 3 6" xfId="38874" xr:uid="{84317F49-BA08-4B72-B619-5F95997EEDB0}"/>
    <cellStyle name="Comma 2 3 3 3 7 3 7" xfId="20620" xr:uid="{EB594371-DF78-4C7C-87F1-6B95AADFCCFE}"/>
    <cellStyle name="Comma 2 3 3 3 7 4" xfId="1636" xr:uid="{C6FD38BA-9B64-415A-9A7D-1C96B175A381}"/>
    <cellStyle name="Comma 2 3 3 3 7 4 2" xfId="16236" xr:uid="{4977B468-F281-45E2-BD1D-C2F5D1080F11}"/>
    <cellStyle name="Comma 2 3 3 3 7 4 2 2" xfId="52744" xr:uid="{CBF7FD55-03C5-4131-A124-5A4ECC80680A}"/>
    <cellStyle name="Comma 2 3 3 3 7 4 2 3" xfId="34490" xr:uid="{0A94CB5C-00E0-4C66-B650-9756780CD236}"/>
    <cellStyle name="Comma 2 3 3 3 7 4 3" xfId="12586" xr:uid="{9199DD3E-1D45-494D-983A-E5D89B3C326F}"/>
    <cellStyle name="Comma 2 3 3 3 7 4 3 2" xfId="49094" xr:uid="{D952E80D-B740-4EA9-9E79-4B471E4475B1}"/>
    <cellStyle name="Comma 2 3 3 3 7 4 3 3" xfId="30840" xr:uid="{5D61F416-374E-4F52-86C6-83D8F1BCA70E}"/>
    <cellStyle name="Comma 2 3 3 3 7 4 4" xfId="8936" xr:uid="{2DDDB54F-F21B-4B39-8A38-266E0AE456CB}"/>
    <cellStyle name="Comma 2 3 3 3 7 4 4 2" xfId="45444" xr:uid="{92FE8826-4D47-4F7A-980D-91670A5ED32F}"/>
    <cellStyle name="Comma 2 3 3 3 7 4 4 3" xfId="27190" xr:uid="{A922B789-BD53-48C7-A577-787FF727E884}"/>
    <cellStyle name="Comma 2 3 3 3 7 4 5" xfId="5286" xr:uid="{ECBCB04A-9902-4613-A4E6-DA120D06666A}"/>
    <cellStyle name="Comma 2 3 3 3 7 4 5 2" xfId="41794" xr:uid="{BD61B6AC-0D57-49CA-9A81-A8711CA4D906}"/>
    <cellStyle name="Comma 2 3 3 3 7 4 5 3" xfId="23540" xr:uid="{8CDAC449-6D3E-4680-A33B-8BC261B06F93}"/>
    <cellStyle name="Comma 2 3 3 3 7 4 6" xfId="38144" xr:uid="{EDA9253C-A2D7-4F39-9A46-3D20F700936C}"/>
    <cellStyle name="Comma 2 3 3 3 7 4 7" xfId="19890" xr:uid="{95CD27B8-AB0F-4506-BDCE-074445875704}"/>
    <cellStyle name="Comma 2 3 3 3 7 5" xfId="906" xr:uid="{E9D37EF0-FF4B-45CD-BA20-F70AE99743A2}"/>
    <cellStyle name="Comma 2 3 3 3 7 5 2" xfId="15506" xr:uid="{D512144B-EE00-424E-A289-482BAC631394}"/>
    <cellStyle name="Comma 2 3 3 3 7 5 2 2" xfId="52014" xr:uid="{539942DE-4C8D-44B7-8457-AE2C36F51DAC}"/>
    <cellStyle name="Comma 2 3 3 3 7 5 2 3" xfId="33760" xr:uid="{D56F7B04-D14F-4A42-A032-D3E353755A7B}"/>
    <cellStyle name="Comma 2 3 3 3 7 5 3" xfId="11856" xr:uid="{D5F89AC0-77B0-4554-9A6B-686E592F3101}"/>
    <cellStyle name="Comma 2 3 3 3 7 5 3 2" xfId="48364" xr:uid="{DC1904BC-AB26-45A7-A8A1-7764B8E4EAD6}"/>
    <cellStyle name="Comma 2 3 3 3 7 5 3 3" xfId="30110" xr:uid="{FD38CCC3-02DE-4A6F-9D83-0AEC90C129F5}"/>
    <cellStyle name="Comma 2 3 3 3 7 5 4" xfId="8206" xr:uid="{A8D1294B-5196-4190-A499-A3AAC53E559A}"/>
    <cellStyle name="Comma 2 3 3 3 7 5 4 2" xfId="44714" xr:uid="{3910BE3E-A893-421B-9E55-536C452DF4DE}"/>
    <cellStyle name="Comma 2 3 3 3 7 5 4 3" xfId="26460" xr:uid="{ED27E6E4-4544-45D5-9013-1DD973087DD2}"/>
    <cellStyle name="Comma 2 3 3 3 7 5 5" xfId="4556" xr:uid="{14104A15-21C0-4F64-B739-A2DED0FBFE02}"/>
    <cellStyle name="Comma 2 3 3 3 7 5 5 2" xfId="41064" xr:uid="{49FC439D-C532-42A9-B913-4A6E78DA25AC}"/>
    <cellStyle name="Comma 2 3 3 3 7 5 5 3" xfId="22810" xr:uid="{A804EE70-284D-4A11-AA99-86D80B0AEE5D}"/>
    <cellStyle name="Comma 2 3 3 3 7 5 6" xfId="37414" xr:uid="{9C9CFBD7-8CCC-48A6-BE30-F5EFAA985BF5}"/>
    <cellStyle name="Comma 2 3 3 3 7 5 7" xfId="19160" xr:uid="{D9CB6D18-F673-4802-9B58-5FE724D4F232}"/>
    <cellStyle name="Comma 2 3 3 3 7 6" xfId="14776" xr:uid="{A62AF181-09D0-4057-B8B0-7334A33081A2}"/>
    <cellStyle name="Comma 2 3 3 3 7 6 2" xfId="51284" xr:uid="{86AA7DFB-027C-48D7-A35E-243AD861C192}"/>
    <cellStyle name="Comma 2 3 3 3 7 6 3" xfId="33030" xr:uid="{1064B875-9DD4-449C-97C0-CF698E5B2A3D}"/>
    <cellStyle name="Comma 2 3 3 3 7 7" xfId="11126" xr:uid="{FD873BC8-D158-491F-A25D-72A3CAA64360}"/>
    <cellStyle name="Comma 2 3 3 3 7 7 2" xfId="47634" xr:uid="{796E33FF-32C4-40EA-9249-5566661D2522}"/>
    <cellStyle name="Comma 2 3 3 3 7 7 3" xfId="29380" xr:uid="{2EA11E70-93EA-4277-8007-3CC575D8E2BB}"/>
    <cellStyle name="Comma 2 3 3 3 7 8" xfId="7476" xr:uid="{0ACB0E75-76A0-4E4D-B414-7DB3784D52B7}"/>
    <cellStyle name="Comma 2 3 3 3 7 8 2" xfId="43984" xr:uid="{6AE24B45-2178-4057-9148-137F6AA1F10D}"/>
    <cellStyle name="Comma 2 3 3 3 7 8 3" xfId="25730" xr:uid="{2821A413-BB34-4BD4-91BF-6AEB3EE128AC}"/>
    <cellStyle name="Comma 2 3 3 3 7 9" xfId="3826" xr:uid="{FD5E58A6-B91F-4503-96D5-24D5C0E166ED}"/>
    <cellStyle name="Comma 2 3 3 3 7 9 2" xfId="40334" xr:uid="{F5C9174F-E50B-4E01-8B62-879A9EAC3CCE}"/>
    <cellStyle name="Comma 2 3 3 3 7 9 3" xfId="22080" xr:uid="{2F2E4AA2-9E52-47F8-9EA1-2C4442C8C6DB}"/>
    <cellStyle name="Comma 2 3 3 3 8" xfId="2992" xr:uid="{D2E42982-6759-48E2-BB18-16AF07A5A81F}"/>
    <cellStyle name="Comma 2 3 3 3 8 2" xfId="17592" xr:uid="{A1695B6D-7555-4449-8791-F16088157BA6}"/>
    <cellStyle name="Comma 2 3 3 3 8 2 2" xfId="54100" xr:uid="{238D0190-0280-4C08-99D8-5479876E4A9F}"/>
    <cellStyle name="Comma 2 3 3 3 8 2 3" xfId="35846" xr:uid="{08163E3B-FCE0-43F7-B991-30827DF6EACD}"/>
    <cellStyle name="Comma 2 3 3 3 8 3" xfId="13942" xr:uid="{B130B099-9A59-48B1-A15C-E3BF661343C2}"/>
    <cellStyle name="Comma 2 3 3 3 8 3 2" xfId="50450" xr:uid="{BBC7C232-46AA-45AA-92F2-1D97802F28D9}"/>
    <cellStyle name="Comma 2 3 3 3 8 3 3" xfId="32196" xr:uid="{849CC3B0-486B-4F88-8840-613771950632}"/>
    <cellStyle name="Comma 2 3 3 3 8 4" xfId="10292" xr:uid="{049B18DA-520E-4D6A-8F92-7089C19D1EC1}"/>
    <cellStyle name="Comma 2 3 3 3 8 4 2" xfId="46800" xr:uid="{FDB422AC-EF67-4465-91CD-EB5C8E062F18}"/>
    <cellStyle name="Comma 2 3 3 3 8 4 3" xfId="28546" xr:uid="{07B4C207-1554-43D8-9724-227D57E928B9}"/>
    <cellStyle name="Comma 2 3 3 3 8 5" xfId="6642" xr:uid="{01516C92-9E0E-41BA-9194-FDA3A3D0D13F}"/>
    <cellStyle name="Comma 2 3 3 3 8 5 2" xfId="43150" xr:uid="{CFACEBEF-F7D3-4A01-B273-981B7338A05A}"/>
    <cellStyle name="Comma 2 3 3 3 8 5 3" xfId="24896" xr:uid="{9EFD81E8-CDA1-44DA-A5C1-8268632C714E}"/>
    <cellStyle name="Comma 2 3 3 3 8 6" xfId="39500" xr:uid="{A0D50A8A-F115-44F5-AD4D-6A4D60993A64}"/>
    <cellStyle name="Comma 2 3 3 3 8 7" xfId="21246" xr:uid="{902B5EBC-0B6B-43EC-A700-2EF932D7F7BC}"/>
    <cellStyle name="Comma 2 3 3 3 9" xfId="2262" xr:uid="{8018B7DF-34FA-4FA5-9AAD-25D1B1BAF883}"/>
    <cellStyle name="Comma 2 3 3 3 9 2" xfId="16862" xr:uid="{4858EACA-5CA3-4F32-BF60-E363F442F857}"/>
    <cellStyle name="Comma 2 3 3 3 9 2 2" xfId="53370" xr:uid="{A5339331-0084-462B-A2D7-CB784C8BF1C1}"/>
    <cellStyle name="Comma 2 3 3 3 9 2 3" xfId="35116" xr:uid="{7011DC32-436B-41DF-9AD6-F0F0D0CD625C}"/>
    <cellStyle name="Comma 2 3 3 3 9 3" xfId="13212" xr:uid="{AF6E1DA5-7703-4787-9827-DE0B8F4B14AE}"/>
    <cellStyle name="Comma 2 3 3 3 9 3 2" xfId="49720" xr:uid="{0DB19177-A06C-4BCB-860F-E70B125C0791}"/>
    <cellStyle name="Comma 2 3 3 3 9 3 3" xfId="31466" xr:uid="{3F9EF74A-B8B6-4F06-A5E1-239BA6DFEE6C}"/>
    <cellStyle name="Comma 2 3 3 3 9 4" xfId="9562" xr:uid="{36299B95-92A3-42DF-921A-2585BD67CF40}"/>
    <cellStyle name="Comma 2 3 3 3 9 4 2" xfId="46070" xr:uid="{29ADF6C5-FD12-455B-BB05-2149A275E228}"/>
    <cellStyle name="Comma 2 3 3 3 9 4 3" xfId="27816" xr:uid="{6969BF5F-C304-4638-A18B-D44CDD17565B}"/>
    <cellStyle name="Comma 2 3 3 3 9 5" xfId="5912" xr:uid="{BF3F1D0B-4E60-4F95-9C5D-CAC013B69BC9}"/>
    <cellStyle name="Comma 2 3 3 3 9 5 2" xfId="42420" xr:uid="{0C04513D-9EBD-4A40-9C9C-F67BDCDCDBC5}"/>
    <cellStyle name="Comma 2 3 3 3 9 5 3" xfId="24166" xr:uid="{852E564F-10DA-4673-B39D-768C5B7BF14A}"/>
    <cellStyle name="Comma 2 3 3 3 9 6" xfId="38770" xr:uid="{B1AABE1E-374B-4CC3-A039-749707F03643}"/>
    <cellStyle name="Comma 2 3 3 3 9 7" xfId="20516" xr:uid="{F87E709B-B203-43C3-B7E5-6C30D1DAABE9}"/>
    <cellStyle name="Comma 2 3 3 4" xfId="664" xr:uid="{16A4EE24-EBE1-4553-B225-CA21AD5FF982}"/>
    <cellStyle name="Comma 2 3 3 4 10" xfId="37172" xr:uid="{A4DE6210-C67A-42E9-AB3E-6D09467A1E90}"/>
    <cellStyle name="Comma 2 3 3 4 11" xfId="18918" xr:uid="{3CE37C07-6333-49BB-8B8B-3092061A62E0}"/>
    <cellStyle name="Comma 2 3 3 4 2" xfId="3584" xr:uid="{0685E77E-ACCB-4294-AAD0-C83A2A36977C}"/>
    <cellStyle name="Comma 2 3 3 4 2 2" xfId="18184" xr:uid="{D750E5FA-2563-47EC-8A09-16334A3F35B1}"/>
    <cellStyle name="Comma 2 3 3 4 2 2 2" xfId="54692" xr:uid="{776CA15E-B201-420D-A563-364316049008}"/>
    <cellStyle name="Comma 2 3 3 4 2 2 3" xfId="36438" xr:uid="{8B4E973E-46A1-4F3E-AC5F-B135D44DA3F1}"/>
    <cellStyle name="Comma 2 3 3 4 2 3" xfId="14534" xr:uid="{CF2FD6ED-7017-4F3A-9533-32D0E07094A0}"/>
    <cellStyle name="Comma 2 3 3 4 2 3 2" xfId="51042" xr:uid="{93D28BA7-0416-4713-8EFE-EC230A8E104F}"/>
    <cellStyle name="Comma 2 3 3 4 2 3 3" xfId="32788" xr:uid="{069E1275-DED7-436B-9AF7-B2922E4B37B9}"/>
    <cellStyle name="Comma 2 3 3 4 2 4" xfId="10884" xr:uid="{BC69FE42-AF04-4901-801C-4D55510E1443}"/>
    <cellStyle name="Comma 2 3 3 4 2 4 2" xfId="47392" xr:uid="{6545B263-8824-469E-AF06-BC35FA154356}"/>
    <cellStyle name="Comma 2 3 3 4 2 4 3" xfId="29138" xr:uid="{307B9137-24CE-47DC-BB30-9064B82A983B}"/>
    <cellStyle name="Comma 2 3 3 4 2 5" xfId="7234" xr:uid="{EB0E1FB1-36D6-4578-8E39-C9394E3C3C03}"/>
    <cellStyle name="Comma 2 3 3 4 2 5 2" xfId="43742" xr:uid="{E8F72888-7E33-42BF-9E34-4A2F7F8EDA24}"/>
    <cellStyle name="Comma 2 3 3 4 2 5 3" xfId="25488" xr:uid="{BBC9FBFA-EE09-4BE3-A9BE-525775655019}"/>
    <cellStyle name="Comma 2 3 3 4 2 6" xfId="40092" xr:uid="{D3D529AF-1E1B-4EF9-8518-11188C850737}"/>
    <cellStyle name="Comma 2 3 3 4 2 7" xfId="21838" xr:uid="{12391A99-8765-4FE0-BC2F-0F8863C97778}"/>
    <cellStyle name="Comma 2 3 3 4 3" xfId="2854" xr:uid="{65EF22EF-646C-4D99-91A9-E53E2FECF71F}"/>
    <cellStyle name="Comma 2 3 3 4 3 2" xfId="17454" xr:uid="{F3551BAB-A383-4E4F-9642-EE3B0592E8E4}"/>
    <cellStyle name="Comma 2 3 3 4 3 2 2" xfId="53962" xr:uid="{09726341-F9B5-4523-936A-D59324E51574}"/>
    <cellStyle name="Comma 2 3 3 4 3 2 3" xfId="35708" xr:uid="{DE37D640-9FB6-4C36-9358-B25C46DF322E}"/>
    <cellStyle name="Comma 2 3 3 4 3 3" xfId="13804" xr:uid="{8D51370F-3B73-40A5-A404-5CD47B3C4520}"/>
    <cellStyle name="Comma 2 3 3 4 3 3 2" xfId="50312" xr:uid="{3784DE1E-53E4-4FC0-AC2B-96EB3F5E7DC5}"/>
    <cellStyle name="Comma 2 3 3 4 3 3 3" xfId="32058" xr:uid="{73D8C853-14F6-4D6C-8D4C-7254F81770E2}"/>
    <cellStyle name="Comma 2 3 3 4 3 4" xfId="10154" xr:uid="{8A681C56-F88E-40FB-8476-4E8FA1010158}"/>
    <cellStyle name="Comma 2 3 3 4 3 4 2" xfId="46662" xr:uid="{D9F4DE93-B308-452B-9B3B-A9273E661D3D}"/>
    <cellStyle name="Comma 2 3 3 4 3 4 3" xfId="28408" xr:uid="{0A1C2BFA-16A3-4394-976C-89B5793EDD7E}"/>
    <cellStyle name="Comma 2 3 3 4 3 5" xfId="6504" xr:uid="{100D7105-81F6-4A92-93BA-9EF2B4708301}"/>
    <cellStyle name="Comma 2 3 3 4 3 5 2" xfId="43012" xr:uid="{6CAF2CE5-277C-4F98-80A0-1988A3FAC550}"/>
    <cellStyle name="Comma 2 3 3 4 3 5 3" xfId="24758" xr:uid="{B7761587-8148-4471-8C08-1067B9624E61}"/>
    <cellStyle name="Comma 2 3 3 4 3 6" xfId="39362" xr:uid="{967E18E0-A2D3-47C0-AD2B-6728E954A532}"/>
    <cellStyle name="Comma 2 3 3 4 3 7" xfId="21108" xr:uid="{3C4CF918-3958-4A7C-9FF0-0AE1FDB916F8}"/>
    <cellStyle name="Comma 2 3 3 4 4" xfId="2124" xr:uid="{2712201B-1059-44AA-A90B-CC9481E0638A}"/>
    <cellStyle name="Comma 2 3 3 4 4 2" xfId="16724" xr:uid="{3065B4E1-7B6F-4C18-B217-0C7603B28919}"/>
    <cellStyle name="Comma 2 3 3 4 4 2 2" xfId="53232" xr:uid="{99F1927A-74A0-4070-8E1F-D0DE98E2DD50}"/>
    <cellStyle name="Comma 2 3 3 4 4 2 3" xfId="34978" xr:uid="{D4E2C016-8AA0-4504-B0ED-9C69FE942168}"/>
    <cellStyle name="Comma 2 3 3 4 4 3" xfId="13074" xr:uid="{AB13668E-BF15-48D2-913E-F76229A57D27}"/>
    <cellStyle name="Comma 2 3 3 4 4 3 2" xfId="49582" xr:uid="{D955C14F-3192-48F4-8AAC-AEC4855DA4FB}"/>
    <cellStyle name="Comma 2 3 3 4 4 3 3" xfId="31328" xr:uid="{B285F3EB-4F0C-4254-9E48-D512325E47E3}"/>
    <cellStyle name="Comma 2 3 3 4 4 4" xfId="9424" xr:uid="{50CE3B1F-46A3-40EF-A38E-894BEE2D963B}"/>
    <cellStyle name="Comma 2 3 3 4 4 4 2" xfId="45932" xr:uid="{2909451C-E923-47BF-B3FC-889E1042963A}"/>
    <cellStyle name="Comma 2 3 3 4 4 4 3" xfId="27678" xr:uid="{F12729F9-7E5C-40D4-9603-45810CDD11FF}"/>
    <cellStyle name="Comma 2 3 3 4 4 5" xfId="5774" xr:uid="{1C69E738-A1E0-45DC-B09B-94B9AD4CD084}"/>
    <cellStyle name="Comma 2 3 3 4 4 5 2" xfId="42282" xr:uid="{457A0393-D601-42BA-84A4-F78A68AEDA6F}"/>
    <cellStyle name="Comma 2 3 3 4 4 5 3" xfId="24028" xr:uid="{1BA0EC90-180F-4ACD-A478-F600283EDF8F}"/>
    <cellStyle name="Comma 2 3 3 4 4 6" xfId="38632" xr:uid="{F5C6160A-8F97-4842-A299-D72210B655E5}"/>
    <cellStyle name="Comma 2 3 3 4 4 7" xfId="20378" xr:uid="{FF97AC97-6435-4570-B5E9-A642EAC252EA}"/>
    <cellStyle name="Comma 2 3 3 4 5" xfId="1394" xr:uid="{F8A3D8D3-C674-4272-BDCB-4CFDB638350D}"/>
    <cellStyle name="Comma 2 3 3 4 5 2" xfId="15994" xr:uid="{3885210F-3323-4C3D-9958-972BBCD53B74}"/>
    <cellStyle name="Comma 2 3 3 4 5 2 2" xfId="52502" xr:uid="{6F4761AC-B821-4619-A3C2-105AD2984206}"/>
    <cellStyle name="Comma 2 3 3 4 5 2 3" xfId="34248" xr:uid="{0DEEB576-7117-4302-AEC1-9EAC06C65F49}"/>
    <cellStyle name="Comma 2 3 3 4 5 3" xfId="12344" xr:uid="{202CE84A-3112-4B90-A0D6-4BB7743D9362}"/>
    <cellStyle name="Comma 2 3 3 4 5 3 2" xfId="48852" xr:uid="{345BEC9C-F103-4E49-A079-ED2535D95AE5}"/>
    <cellStyle name="Comma 2 3 3 4 5 3 3" xfId="30598" xr:uid="{BE73EAD7-6DD3-4541-952F-A400C201F33C}"/>
    <cellStyle name="Comma 2 3 3 4 5 4" xfId="8694" xr:uid="{E232F5B1-A05B-493F-932E-1B8F90237474}"/>
    <cellStyle name="Comma 2 3 3 4 5 4 2" xfId="45202" xr:uid="{71D10E8F-6B30-4EC8-BC6D-1CB59B9CE006}"/>
    <cellStyle name="Comma 2 3 3 4 5 4 3" xfId="26948" xr:uid="{405F1697-4696-44BC-B779-628128EC791D}"/>
    <cellStyle name="Comma 2 3 3 4 5 5" xfId="5044" xr:uid="{AF77CA08-938B-4FE0-AE54-06CD67CFBDA7}"/>
    <cellStyle name="Comma 2 3 3 4 5 5 2" xfId="41552" xr:uid="{A1580362-3080-44F0-AF35-67255C605388}"/>
    <cellStyle name="Comma 2 3 3 4 5 5 3" xfId="23298" xr:uid="{2BF7DF89-FB84-4773-A14D-E2468048113D}"/>
    <cellStyle name="Comma 2 3 3 4 5 6" xfId="37902" xr:uid="{0861C18D-41F8-4B58-8658-46AE693DBCD6}"/>
    <cellStyle name="Comma 2 3 3 4 5 7" xfId="19648" xr:uid="{CFA61A09-BF1A-40A0-8309-0A7CB63A986E}"/>
    <cellStyle name="Comma 2 3 3 4 6" xfId="15264" xr:uid="{E2F7FC3A-AD12-4F03-B83E-C2F64484902B}"/>
    <cellStyle name="Comma 2 3 3 4 6 2" xfId="51772" xr:uid="{CDC627C3-F814-40D1-82E6-CEAF4072EBA2}"/>
    <cellStyle name="Comma 2 3 3 4 6 3" xfId="33518" xr:uid="{A9187319-92FF-40A5-BC3F-2923473BADBE}"/>
    <cellStyle name="Comma 2 3 3 4 7" xfId="11614" xr:uid="{FA86801C-9431-4C74-9041-38539E1F367D}"/>
    <cellStyle name="Comma 2 3 3 4 7 2" xfId="48122" xr:uid="{83F40EA3-397B-4BB4-A87C-045674110408}"/>
    <cellStyle name="Comma 2 3 3 4 7 3" xfId="29868" xr:uid="{F6514E6B-2F18-416F-A8E1-74F71FC88867}"/>
    <cellStyle name="Comma 2 3 3 4 8" xfId="7964" xr:uid="{80BCA902-48E8-4DE4-B672-E33C863719BC}"/>
    <cellStyle name="Comma 2 3 3 4 8 2" xfId="44472" xr:uid="{A8CA9B2D-EEF8-4C4E-8D07-345DD200AEDC}"/>
    <cellStyle name="Comma 2 3 3 4 8 3" xfId="26218" xr:uid="{198C0A0D-2EAC-4658-8A5C-4C41B0D73AEC}"/>
    <cellStyle name="Comma 2 3 3 4 9" xfId="4314" xr:uid="{43F9F792-002A-464D-BD17-881FDC29D888}"/>
    <cellStyle name="Comma 2 3 3 4 9 2" xfId="40822" xr:uid="{E47F55F9-74CD-4DEC-AB3A-6B614B3822CE}"/>
    <cellStyle name="Comma 2 3 3 4 9 3" xfId="22568" xr:uid="{5566B820-600A-4B95-809D-781568306896}"/>
    <cellStyle name="Comma 2 3 3 5" xfId="560" xr:uid="{8206267E-3340-4401-AED5-35FCE0A45F6A}"/>
    <cellStyle name="Comma 2 3 3 5 10" xfId="37068" xr:uid="{55AC971A-0492-40A4-88D5-B19EC8C2D4A6}"/>
    <cellStyle name="Comma 2 3 3 5 11" xfId="18814" xr:uid="{CFFB0490-4DBE-4530-A36B-C00607E3105F}"/>
    <cellStyle name="Comma 2 3 3 5 2" xfId="3480" xr:uid="{8010C05D-FA05-4807-936A-C4AF7204EB8E}"/>
    <cellStyle name="Comma 2 3 3 5 2 2" xfId="18080" xr:uid="{5FAA6832-4BA4-4CEE-80BD-8979C92C8F10}"/>
    <cellStyle name="Comma 2 3 3 5 2 2 2" xfId="54588" xr:uid="{553FB328-A5B4-4BE5-B096-1226D93FA220}"/>
    <cellStyle name="Comma 2 3 3 5 2 2 3" xfId="36334" xr:uid="{EEE0867B-A0B0-471C-BCAF-6C24C343DC2C}"/>
    <cellStyle name="Comma 2 3 3 5 2 3" xfId="14430" xr:uid="{1EDE8971-8707-41A6-98F5-DFD08B721CF6}"/>
    <cellStyle name="Comma 2 3 3 5 2 3 2" xfId="50938" xr:uid="{11D3CBBB-4F3B-4B34-9AEA-17BF4F4A1727}"/>
    <cellStyle name="Comma 2 3 3 5 2 3 3" xfId="32684" xr:uid="{CECA5E07-BBB5-45DB-A3C6-3F248E61ED89}"/>
    <cellStyle name="Comma 2 3 3 5 2 4" xfId="10780" xr:uid="{772BD6EB-89C9-424F-B0DB-F3313179E648}"/>
    <cellStyle name="Comma 2 3 3 5 2 4 2" xfId="47288" xr:uid="{0B68E8CE-1AFC-4589-8D8D-8E7CA2EF30C7}"/>
    <cellStyle name="Comma 2 3 3 5 2 4 3" xfId="29034" xr:uid="{FDCE7C15-218E-4EE3-ACD6-C7DF90EA88FE}"/>
    <cellStyle name="Comma 2 3 3 5 2 5" xfId="7130" xr:uid="{BA6882D6-87E9-4362-AA1A-BA7B8D0FA8E1}"/>
    <cellStyle name="Comma 2 3 3 5 2 5 2" xfId="43638" xr:uid="{D134CCCF-9466-4CDA-A23B-1AE74FA5C338}"/>
    <cellStyle name="Comma 2 3 3 5 2 5 3" xfId="25384" xr:uid="{B28507DE-EF84-4543-8CE2-8B45881539DA}"/>
    <cellStyle name="Comma 2 3 3 5 2 6" xfId="39988" xr:uid="{9A81B76D-BB92-4810-980F-867BDED28B0F}"/>
    <cellStyle name="Comma 2 3 3 5 2 7" xfId="21734" xr:uid="{C3498EBB-DF33-4056-B9F2-62CC54CA63BB}"/>
    <cellStyle name="Comma 2 3 3 5 3" xfId="2750" xr:uid="{A349CED1-3B53-4EC0-B350-DB50C8517D9B}"/>
    <cellStyle name="Comma 2 3 3 5 3 2" xfId="17350" xr:uid="{8BF03DF6-F32C-42A2-AB06-7E74F31DC751}"/>
    <cellStyle name="Comma 2 3 3 5 3 2 2" xfId="53858" xr:uid="{7E4762E3-ACDB-4C45-A819-2322F31FF4DB}"/>
    <cellStyle name="Comma 2 3 3 5 3 2 3" xfId="35604" xr:uid="{165EC609-C67F-425E-B065-5CFB0D744466}"/>
    <cellStyle name="Comma 2 3 3 5 3 3" xfId="13700" xr:uid="{32999FA2-0E51-480C-B54E-28A21E60145B}"/>
    <cellStyle name="Comma 2 3 3 5 3 3 2" xfId="50208" xr:uid="{F6629008-CA38-421A-A3E8-CC680FCEDC0E}"/>
    <cellStyle name="Comma 2 3 3 5 3 3 3" xfId="31954" xr:uid="{D5715AC3-3C94-46C7-83F7-7273B75C1E83}"/>
    <cellStyle name="Comma 2 3 3 5 3 4" xfId="10050" xr:uid="{6E94E09A-0EA5-4265-B0E0-A433FEC81471}"/>
    <cellStyle name="Comma 2 3 3 5 3 4 2" xfId="46558" xr:uid="{F6FD1D8F-A125-410B-84DF-E745E5F4F20B}"/>
    <cellStyle name="Comma 2 3 3 5 3 4 3" xfId="28304" xr:uid="{4A7C9E34-3A45-4B73-9377-B40401243076}"/>
    <cellStyle name="Comma 2 3 3 5 3 5" xfId="6400" xr:uid="{C0FC9033-D941-4EFD-9DDF-CD3B3F6832B1}"/>
    <cellStyle name="Comma 2 3 3 5 3 5 2" xfId="42908" xr:uid="{9F2829FD-5DF3-4E60-88B0-46CD3502EA40}"/>
    <cellStyle name="Comma 2 3 3 5 3 5 3" xfId="24654" xr:uid="{257546A8-21CF-4CFD-AFB1-992B073E7D7E}"/>
    <cellStyle name="Comma 2 3 3 5 3 6" xfId="39258" xr:uid="{18732B99-9D4D-49A4-8514-006F587DD64A}"/>
    <cellStyle name="Comma 2 3 3 5 3 7" xfId="21004" xr:uid="{5E0217B3-F817-4397-AA1C-2A4C3B59711B}"/>
    <cellStyle name="Comma 2 3 3 5 4" xfId="2020" xr:uid="{CF12DDB9-8AA5-4D54-85F5-D413D29F6E13}"/>
    <cellStyle name="Comma 2 3 3 5 4 2" xfId="16620" xr:uid="{436B9646-A909-4665-BADE-95BC07E33694}"/>
    <cellStyle name="Comma 2 3 3 5 4 2 2" xfId="53128" xr:uid="{EF827123-FEF9-41DA-A10A-DB7B86ABCE0E}"/>
    <cellStyle name="Comma 2 3 3 5 4 2 3" xfId="34874" xr:uid="{996CB5DF-EE89-40F8-8594-4C5158672B54}"/>
    <cellStyle name="Comma 2 3 3 5 4 3" xfId="12970" xr:uid="{2640BD68-C156-4800-9D76-293276977633}"/>
    <cellStyle name="Comma 2 3 3 5 4 3 2" xfId="49478" xr:uid="{4A39E963-3A39-4D02-9078-1E814DA05C35}"/>
    <cellStyle name="Comma 2 3 3 5 4 3 3" xfId="31224" xr:uid="{5DB9F0C3-26AF-4107-B069-F4E9F84D9A89}"/>
    <cellStyle name="Comma 2 3 3 5 4 4" xfId="9320" xr:uid="{BBCCCC97-AB90-4B86-A44C-05B78FC0F2B0}"/>
    <cellStyle name="Comma 2 3 3 5 4 4 2" xfId="45828" xr:uid="{64335F5F-85D4-43C4-88C5-CBD6AC5BE149}"/>
    <cellStyle name="Comma 2 3 3 5 4 4 3" xfId="27574" xr:uid="{A28257BA-1AC4-4CA9-A65C-6930AC952F78}"/>
    <cellStyle name="Comma 2 3 3 5 4 5" xfId="5670" xr:uid="{1CD13A99-D664-48D3-B443-D9FCB45608A4}"/>
    <cellStyle name="Comma 2 3 3 5 4 5 2" xfId="42178" xr:uid="{89B8A4BC-A703-4C83-923D-B90428C42492}"/>
    <cellStyle name="Comma 2 3 3 5 4 5 3" xfId="23924" xr:uid="{ED5B6C70-91EF-4B76-AF3B-241C21D8C5EC}"/>
    <cellStyle name="Comma 2 3 3 5 4 6" xfId="38528" xr:uid="{A1863159-77AF-4C61-89A6-DD8571EA9667}"/>
    <cellStyle name="Comma 2 3 3 5 4 7" xfId="20274" xr:uid="{C94D8C3E-1FFB-4F8A-8044-5B5C630F4EEF}"/>
    <cellStyle name="Comma 2 3 3 5 5" xfId="1290" xr:uid="{BEE54B08-067C-4DB0-A989-D1D9214C843A}"/>
    <cellStyle name="Comma 2 3 3 5 5 2" xfId="15890" xr:uid="{DB4E38DB-3A43-4367-B523-23C56E528A40}"/>
    <cellStyle name="Comma 2 3 3 5 5 2 2" xfId="52398" xr:uid="{DB2F7F59-0B05-40F1-873F-5EFF2820ECD2}"/>
    <cellStyle name="Comma 2 3 3 5 5 2 3" xfId="34144" xr:uid="{A348CBCE-93B8-40C7-AFEC-53F99810115F}"/>
    <cellStyle name="Comma 2 3 3 5 5 3" xfId="12240" xr:uid="{E7A694E6-C7DB-40BD-AB54-54F348881387}"/>
    <cellStyle name="Comma 2 3 3 5 5 3 2" xfId="48748" xr:uid="{8334B160-6568-451D-9DF7-D1BA1F65E5B3}"/>
    <cellStyle name="Comma 2 3 3 5 5 3 3" xfId="30494" xr:uid="{DED358B1-29C5-4F55-8A4E-67E361A006F0}"/>
    <cellStyle name="Comma 2 3 3 5 5 4" xfId="8590" xr:uid="{EE9FB99B-3144-4D9E-8C1D-3C141064F190}"/>
    <cellStyle name="Comma 2 3 3 5 5 4 2" xfId="45098" xr:uid="{11FBB375-ACEE-4448-BE5B-6C18A702E0A0}"/>
    <cellStyle name="Comma 2 3 3 5 5 4 3" xfId="26844" xr:uid="{E65C1B74-A554-4E12-935D-9424A89CEB9F}"/>
    <cellStyle name="Comma 2 3 3 5 5 5" xfId="4940" xr:uid="{B2E0B817-AF6F-483E-816A-3A8CF03F0CC4}"/>
    <cellStyle name="Comma 2 3 3 5 5 5 2" xfId="41448" xr:uid="{5956BB6E-D77B-4A92-B0E7-9AA5BEF40637}"/>
    <cellStyle name="Comma 2 3 3 5 5 5 3" xfId="23194" xr:uid="{6ACCE859-8188-4D64-8792-C00E88B23E65}"/>
    <cellStyle name="Comma 2 3 3 5 5 6" xfId="37798" xr:uid="{D17E0A55-0A36-4EF2-AEDF-04B739A34AF1}"/>
    <cellStyle name="Comma 2 3 3 5 5 7" xfId="19544" xr:uid="{686DBF8F-E1DE-41AF-BE77-893C9DFAA152}"/>
    <cellStyle name="Comma 2 3 3 5 6" xfId="15160" xr:uid="{E1CD5635-06E1-4B6F-A683-5DF226DEEA9D}"/>
    <cellStyle name="Comma 2 3 3 5 6 2" xfId="51668" xr:uid="{9A900305-548E-4DDB-BA0B-5EE9C403FB13}"/>
    <cellStyle name="Comma 2 3 3 5 6 3" xfId="33414" xr:uid="{A5D897F5-0BE6-40C9-8228-0011477C76DF}"/>
    <cellStyle name="Comma 2 3 3 5 7" xfId="11510" xr:uid="{255F734A-7067-44C1-8179-15D654560F42}"/>
    <cellStyle name="Comma 2 3 3 5 7 2" xfId="48018" xr:uid="{35B49841-4719-4414-BEF5-ECBD43D69744}"/>
    <cellStyle name="Comma 2 3 3 5 7 3" xfId="29764" xr:uid="{28422A6A-E0D5-4194-A478-36284BE4E1CF}"/>
    <cellStyle name="Comma 2 3 3 5 8" xfId="7860" xr:uid="{19F4AC22-C661-40FF-8D89-C9B880482AD7}"/>
    <cellStyle name="Comma 2 3 3 5 8 2" xfId="44368" xr:uid="{693D5F9E-202E-46A2-BEC9-EA5A0E5912EF}"/>
    <cellStyle name="Comma 2 3 3 5 8 3" xfId="26114" xr:uid="{1BD63120-814A-4961-8BB2-6469A055A87C}"/>
    <cellStyle name="Comma 2 3 3 5 9" xfId="4210" xr:uid="{360B1AAE-0884-49BB-B2ED-2ADD4B770FB2}"/>
    <cellStyle name="Comma 2 3 3 5 9 2" xfId="40718" xr:uid="{E9E99EF8-C642-4473-98AE-57820856617C}"/>
    <cellStyle name="Comma 2 3 3 5 9 3" xfId="22464" xr:uid="{8642E18A-0A68-4C64-BD4F-3DF9FC1AC548}"/>
    <cellStyle name="Comma 2 3 3 6" xfId="456" xr:uid="{7E170848-167B-4295-824B-4F7D1D3BD26C}"/>
    <cellStyle name="Comma 2 3 3 6 10" xfId="36964" xr:uid="{D165CD26-E51E-41DB-8D97-65C56109F978}"/>
    <cellStyle name="Comma 2 3 3 6 11" xfId="18710" xr:uid="{22A5BA6A-62B3-41B6-8E9A-16C8DC2EDF48}"/>
    <cellStyle name="Comma 2 3 3 6 2" xfId="3376" xr:uid="{B7F56D05-37CE-4B65-A49F-FBDFC8BF84E6}"/>
    <cellStyle name="Comma 2 3 3 6 2 2" xfId="17976" xr:uid="{0E432DA8-C7FC-49C6-ACFC-33872681B5ED}"/>
    <cellStyle name="Comma 2 3 3 6 2 2 2" xfId="54484" xr:uid="{208F1D4B-8140-4F24-B931-480FD963E19F}"/>
    <cellStyle name="Comma 2 3 3 6 2 2 3" xfId="36230" xr:uid="{CD824A8C-FF41-4152-A567-2AF5E2F835F2}"/>
    <cellStyle name="Comma 2 3 3 6 2 3" xfId="14326" xr:uid="{F6F0B1AC-1D65-462D-B94E-59E224F4B12D}"/>
    <cellStyle name="Comma 2 3 3 6 2 3 2" xfId="50834" xr:uid="{64F2780B-DBF6-4CAD-B902-09ACCD54908E}"/>
    <cellStyle name="Comma 2 3 3 6 2 3 3" xfId="32580" xr:uid="{B4F5E03F-01C6-488B-A68F-34DBB50B5810}"/>
    <cellStyle name="Comma 2 3 3 6 2 4" xfId="10676" xr:uid="{732DF74C-160F-4F4C-95CD-80B880D1388A}"/>
    <cellStyle name="Comma 2 3 3 6 2 4 2" xfId="47184" xr:uid="{FE1EA988-CE75-4D82-9EF3-65ED00654DB8}"/>
    <cellStyle name="Comma 2 3 3 6 2 4 3" xfId="28930" xr:uid="{562AF91A-CDDB-47E3-8508-43E2DE558C09}"/>
    <cellStyle name="Comma 2 3 3 6 2 5" xfId="7026" xr:uid="{FF0932A2-5C6D-4499-9732-C948DD201D78}"/>
    <cellStyle name="Comma 2 3 3 6 2 5 2" xfId="43534" xr:uid="{52A53D86-EED5-4F12-9BE0-18196FD66FAB}"/>
    <cellStyle name="Comma 2 3 3 6 2 5 3" xfId="25280" xr:uid="{BD34BB95-70DD-4048-A995-375A126B0ED1}"/>
    <cellStyle name="Comma 2 3 3 6 2 6" xfId="39884" xr:uid="{AF0882D9-F7EF-4D24-A8C9-B411F777E974}"/>
    <cellStyle name="Comma 2 3 3 6 2 7" xfId="21630" xr:uid="{7C7A0F53-C10C-466E-98BE-7F346C8ED8D2}"/>
    <cellStyle name="Comma 2 3 3 6 3" xfId="2646" xr:uid="{D85FEEE7-FAD1-48CF-9008-7D1C48139A76}"/>
    <cellStyle name="Comma 2 3 3 6 3 2" xfId="17246" xr:uid="{7A6614CF-43AC-425B-AF7E-31EDDABC595E}"/>
    <cellStyle name="Comma 2 3 3 6 3 2 2" xfId="53754" xr:uid="{01927B4B-5A5F-435C-928E-C57F5D5C1D32}"/>
    <cellStyle name="Comma 2 3 3 6 3 2 3" xfId="35500" xr:uid="{CE602062-F20C-447D-A261-9A4998D06617}"/>
    <cellStyle name="Comma 2 3 3 6 3 3" xfId="13596" xr:uid="{5EA8BD84-D724-4BFB-8DEA-86BC4C9E270B}"/>
    <cellStyle name="Comma 2 3 3 6 3 3 2" xfId="50104" xr:uid="{E3CC5867-17D5-46D8-9DF0-9BB4A6FF3D43}"/>
    <cellStyle name="Comma 2 3 3 6 3 3 3" xfId="31850" xr:uid="{A6ACE11B-14F7-41B1-B07F-989A7AFFE2A8}"/>
    <cellStyle name="Comma 2 3 3 6 3 4" xfId="9946" xr:uid="{D3465521-F21C-4242-AB40-C065F3949292}"/>
    <cellStyle name="Comma 2 3 3 6 3 4 2" xfId="46454" xr:uid="{038BF3F9-6D4E-4A34-94CC-3F423B1549DF}"/>
    <cellStyle name="Comma 2 3 3 6 3 4 3" xfId="28200" xr:uid="{4FB1B127-229D-4BB9-A845-125FD622A2AD}"/>
    <cellStyle name="Comma 2 3 3 6 3 5" xfId="6296" xr:uid="{B833E27F-5154-4E32-941F-4C277457D3E5}"/>
    <cellStyle name="Comma 2 3 3 6 3 5 2" xfId="42804" xr:uid="{5AA2A90A-9B62-495E-807C-46ACC4446D37}"/>
    <cellStyle name="Comma 2 3 3 6 3 5 3" xfId="24550" xr:uid="{D069F29A-40E0-4B9F-B16B-8230156C4013}"/>
    <cellStyle name="Comma 2 3 3 6 3 6" xfId="39154" xr:uid="{77FE8626-6375-4E17-8768-8EBF761859F7}"/>
    <cellStyle name="Comma 2 3 3 6 3 7" xfId="20900" xr:uid="{3CDF6B33-7181-4485-BE45-C6C5A7C9F276}"/>
    <cellStyle name="Comma 2 3 3 6 4" xfId="1916" xr:uid="{EB1329A4-7E2F-40B7-9301-450420B1CF11}"/>
    <cellStyle name="Comma 2 3 3 6 4 2" xfId="16516" xr:uid="{293E510D-8F63-4016-B9BB-21D3E3F84142}"/>
    <cellStyle name="Comma 2 3 3 6 4 2 2" xfId="53024" xr:uid="{BEC16C6F-C649-4120-8690-1AD0580D3D06}"/>
    <cellStyle name="Comma 2 3 3 6 4 2 3" xfId="34770" xr:uid="{AF9358C2-BFCB-4894-8F9F-766AAE8D24B0}"/>
    <cellStyle name="Comma 2 3 3 6 4 3" xfId="12866" xr:uid="{2F18214C-A23B-48F1-B6C5-0699940FF6E0}"/>
    <cellStyle name="Comma 2 3 3 6 4 3 2" xfId="49374" xr:uid="{654D6622-608A-48F9-AC6D-0F21857BDC5E}"/>
    <cellStyle name="Comma 2 3 3 6 4 3 3" xfId="31120" xr:uid="{4C9D29DD-502B-4530-A450-27F415785D9A}"/>
    <cellStyle name="Comma 2 3 3 6 4 4" xfId="9216" xr:uid="{8F722B1F-EBFA-4AD2-AD0F-D4579329A2A9}"/>
    <cellStyle name="Comma 2 3 3 6 4 4 2" xfId="45724" xr:uid="{D6068685-E60B-48D2-B343-38F883423813}"/>
    <cellStyle name="Comma 2 3 3 6 4 4 3" xfId="27470" xr:uid="{552E1C0F-F9A1-410E-AEC8-8C21A066C429}"/>
    <cellStyle name="Comma 2 3 3 6 4 5" xfId="5566" xr:uid="{438C0F27-9C0A-4F83-B281-C949097E20C6}"/>
    <cellStyle name="Comma 2 3 3 6 4 5 2" xfId="42074" xr:uid="{4A78743C-D724-423F-96D9-BAB9619FDEA3}"/>
    <cellStyle name="Comma 2 3 3 6 4 5 3" xfId="23820" xr:uid="{EBE06C10-5C4B-4F95-8D75-6FFA4A4C792E}"/>
    <cellStyle name="Comma 2 3 3 6 4 6" xfId="38424" xr:uid="{BDF0BB61-F755-4F6C-83D4-C515EFA2DBB6}"/>
    <cellStyle name="Comma 2 3 3 6 4 7" xfId="20170" xr:uid="{5C785156-2152-4139-993E-112A986D6B9C}"/>
    <cellStyle name="Comma 2 3 3 6 5" xfId="1186" xr:uid="{D4103243-4404-4141-A216-6B5E6A287E00}"/>
    <cellStyle name="Comma 2 3 3 6 5 2" xfId="15786" xr:uid="{D3B94B22-A874-455E-8BA0-3F58202F1A45}"/>
    <cellStyle name="Comma 2 3 3 6 5 2 2" xfId="52294" xr:uid="{65F6A026-B837-46EE-B948-A7F31E330DD0}"/>
    <cellStyle name="Comma 2 3 3 6 5 2 3" xfId="34040" xr:uid="{BA34B20D-79A1-44B5-8A7D-754007E6F5F8}"/>
    <cellStyle name="Comma 2 3 3 6 5 3" xfId="12136" xr:uid="{CC5B5ECD-F257-44F2-B174-6C0C6F5D65E8}"/>
    <cellStyle name="Comma 2 3 3 6 5 3 2" xfId="48644" xr:uid="{F6D00B50-C42D-418F-8244-45B729CE56D4}"/>
    <cellStyle name="Comma 2 3 3 6 5 3 3" xfId="30390" xr:uid="{52B6CDA9-32FD-47DF-BEFE-D46E9E21EC7E}"/>
    <cellStyle name="Comma 2 3 3 6 5 4" xfId="8486" xr:uid="{F795C627-7F76-441D-BF40-FF9C3A6BB103}"/>
    <cellStyle name="Comma 2 3 3 6 5 4 2" xfId="44994" xr:uid="{1D91DE37-91A7-4E4E-808B-0A879EDB9DAD}"/>
    <cellStyle name="Comma 2 3 3 6 5 4 3" xfId="26740" xr:uid="{77EC8F0E-1C54-419C-80B7-A024564EDFFA}"/>
    <cellStyle name="Comma 2 3 3 6 5 5" xfId="4836" xr:uid="{E82ECAAA-B77C-4EEC-ABD8-DF7F79E54A63}"/>
    <cellStyle name="Comma 2 3 3 6 5 5 2" xfId="41344" xr:uid="{D4C729AE-DC62-473C-91C5-078F97E7E3F3}"/>
    <cellStyle name="Comma 2 3 3 6 5 5 3" xfId="23090" xr:uid="{31ABE37A-4689-4538-B151-4C6A44AE2E6A}"/>
    <cellStyle name="Comma 2 3 3 6 5 6" xfId="37694" xr:uid="{391AF1A4-F5A3-477A-A459-21F45CF96BA3}"/>
    <cellStyle name="Comma 2 3 3 6 5 7" xfId="19440" xr:uid="{A821A92C-2578-4120-A132-9F5DAA1E95D4}"/>
    <cellStyle name="Comma 2 3 3 6 6" xfId="15056" xr:uid="{955C908F-71D7-404D-A4D0-B5748E5F6C13}"/>
    <cellStyle name="Comma 2 3 3 6 6 2" xfId="51564" xr:uid="{DC9718CD-DAA5-4DA7-AFE6-3BCA2C3A3A70}"/>
    <cellStyle name="Comma 2 3 3 6 6 3" xfId="33310" xr:uid="{6C639D9B-E7E4-46BF-86E5-258B76A151D5}"/>
    <cellStyle name="Comma 2 3 3 6 7" xfId="11406" xr:uid="{CED5241F-56A9-4E1D-98D7-C7136D5D32E8}"/>
    <cellStyle name="Comma 2 3 3 6 7 2" xfId="47914" xr:uid="{E5976D37-BDC0-4D00-A495-C29E9C708D9B}"/>
    <cellStyle name="Comma 2 3 3 6 7 3" xfId="29660" xr:uid="{D76C126D-55F7-4885-BDC4-8AFF08ECB33F}"/>
    <cellStyle name="Comma 2 3 3 6 8" xfId="7756" xr:uid="{99C694AA-06CA-4ED3-A3D4-C1F47A118A89}"/>
    <cellStyle name="Comma 2 3 3 6 8 2" xfId="44264" xr:uid="{9C133CEE-619D-44DC-9087-765DA9B3CDBF}"/>
    <cellStyle name="Comma 2 3 3 6 8 3" xfId="26010" xr:uid="{176FEE50-899D-4DDE-9BFA-56991785B73A}"/>
    <cellStyle name="Comma 2 3 3 6 9" xfId="4106" xr:uid="{41188E0F-2C3F-4277-ADF2-A2D2F5FE31BE}"/>
    <cellStyle name="Comma 2 3 3 6 9 2" xfId="40614" xr:uid="{49A6FD56-45C2-4C1C-822B-6691C2035529}"/>
    <cellStyle name="Comma 2 3 3 6 9 3" xfId="22360" xr:uid="{E397C6F4-92D3-4B98-A782-D2C7EC533A29}"/>
    <cellStyle name="Comma 2 3 3 7" xfId="352" xr:uid="{17E126EF-9116-4146-88A8-6C04A9DEDF90}"/>
    <cellStyle name="Comma 2 3 3 7 10" xfId="36860" xr:uid="{6EAA6448-7F85-4817-A3C2-6C3CBC27AE51}"/>
    <cellStyle name="Comma 2 3 3 7 11" xfId="18606" xr:uid="{5B84CB64-4FFA-48EA-B900-E8B69E13921E}"/>
    <cellStyle name="Comma 2 3 3 7 2" xfId="3272" xr:uid="{BD39B249-3DA4-485D-A7BA-814DEAC92350}"/>
    <cellStyle name="Comma 2 3 3 7 2 2" xfId="17872" xr:uid="{48E4D1FA-3988-4CAF-9BD3-4F0BAA4CEDD0}"/>
    <cellStyle name="Comma 2 3 3 7 2 2 2" xfId="54380" xr:uid="{CC6DC088-4059-4916-8B3E-A20C884DA7D8}"/>
    <cellStyle name="Comma 2 3 3 7 2 2 3" xfId="36126" xr:uid="{097432E0-1144-4B3F-9CE6-A8E46CFA2BA0}"/>
    <cellStyle name="Comma 2 3 3 7 2 3" xfId="14222" xr:uid="{7090D37A-3B72-41E3-BA5E-02256F9A81DD}"/>
    <cellStyle name="Comma 2 3 3 7 2 3 2" xfId="50730" xr:uid="{C84D6D8D-313E-4E1E-9344-0BC278DE3A62}"/>
    <cellStyle name="Comma 2 3 3 7 2 3 3" xfId="32476" xr:uid="{CE9C2A61-BDC9-466E-8470-4BAC4CE6EE2F}"/>
    <cellStyle name="Comma 2 3 3 7 2 4" xfId="10572" xr:uid="{9A44A33F-DABA-45BA-8E4E-4D05DFDC06EB}"/>
    <cellStyle name="Comma 2 3 3 7 2 4 2" xfId="47080" xr:uid="{C51C1AD3-4A9B-469E-AE37-A851FC168EBE}"/>
    <cellStyle name="Comma 2 3 3 7 2 4 3" xfId="28826" xr:uid="{ADC408B6-AFAC-4AE4-828C-7488236AE7CA}"/>
    <cellStyle name="Comma 2 3 3 7 2 5" xfId="6922" xr:uid="{831FE5B8-C278-49DC-877A-B3D409A2C487}"/>
    <cellStyle name="Comma 2 3 3 7 2 5 2" xfId="43430" xr:uid="{1DD5417B-9B8C-4993-9B8D-D845868223DD}"/>
    <cellStyle name="Comma 2 3 3 7 2 5 3" xfId="25176" xr:uid="{55679B09-23A2-448F-A319-D58CAE869C3D}"/>
    <cellStyle name="Comma 2 3 3 7 2 6" xfId="39780" xr:uid="{CB89E8A3-C7DB-43E7-906D-30D55A625070}"/>
    <cellStyle name="Comma 2 3 3 7 2 7" xfId="21526" xr:uid="{65A6EBDC-6230-4510-B6CF-F29C24EE1FC9}"/>
    <cellStyle name="Comma 2 3 3 7 3" xfId="2542" xr:uid="{0A29BE6D-DC3C-4D56-B770-826A3A79DF52}"/>
    <cellStyle name="Comma 2 3 3 7 3 2" xfId="17142" xr:uid="{7A430BEB-3265-4904-B578-3BC5B1A30CA1}"/>
    <cellStyle name="Comma 2 3 3 7 3 2 2" xfId="53650" xr:uid="{04BC7D77-41D9-4A8C-BD08-95BE22B9E919}"/>
    <cellStyle name="Comma 2 3 3 7 3 2 3" xfId="35396" xr:uid="{8443D668-2B0D-46B1-AF31-1EC2A7672406}"/>
    <cellStyle name="Comma 2 3 3 7 3 3" xfId="13492" xr:uid="{C07C1EF3-0309-4585-A5B0-4BFF0E84E08C}"/>
    <cellStyle name="Comma 2 3 3 7 3 3 2" xfId="50000" xr:uid="{17B84A6A-5E63-4210-BC59-1DB5B4F78DC7}"/>
    <cellStyle name="Comma 2 3 3 7 3 3 3" xfId="31746" xr:uid="{B1AC9D3C-6CCA-4CD7-AE5A-EC1F23DEBFAB}"/>
    <cellStyle name="Comma 2 3 3 7 3 4" xfId="9842" xr:uid="{810EAE9E-9B02-4DC7-8245-11DF83EB986F}"/>
    <cellStyle name="Comma 2 3 3 7 3 4 2" xfId="46350" xr:uid="{7490AEC4-EA8E-4015-B50F-972D95D9B2E6}"/>
    <cellStyle name="Comma 2 3 3 7 3 4 3" xfId="28096" xr:uid="{FBEB5974-8B51-42B0-8644-C793C0A69496}"/>
    <cellStyle name="Comma 2 3 3 7 3 5" xfId="6192" xr:uid="{42D742EE-CDC3-4B78-8181-858E7ACE693B}"/>
    <cellStyle name="Comma 2 3 3 7 3 5 2" xfId="42700" xr:uid="{A9AD2C63-D727-40AD-BDF9-1C1B09F8A53F}"/>
    <cellStyle name="Comma 2 3 3 7 3 5 3" xfId="24446" xr:uid="{2D77B424-3B0B-410C-85FA-B01E2EC97445}"/>
    <cellStyle name="Comma 2 3 3 7 3 6" xfId="39050" xr:uid="{AA0A4129-917D-4567-918B-4564127902B6}"/>
    <cellStyle name="Comma 2 3 3 7 3 7" xfId="20796" xr:uid="{5DD137C1-A92F-4723-B2FA-B3339EF12A5D}"/>
    <cellStyle name="Comma 2 3 3 7 4" xfId="1812" xr:uid="{7230CCD6-EAF5-4738-B7AE-EC8911D25582}"/>
    <cellStyle name="Comma 2 3 3 7 4 2" xfId="16412" xr:uid="{E156D4F9-3B18-4775-868C-664B25BB7F12}"/>
    <cellStyle name="Comma 2 3 3 7 4 2 2" xfId="52920" xr:uid="{79DD5C07-68AF-4FD5-B2A7-F443CC5F0B23}"/>
    <cellStyle name="Comma 2 3 3 7 4 2 3" xfId="34666" xr:uid="{70BB2F96-34EB-4060-92F1-05934CFF823C}"/>
    <cellStyle name="Comma 2 3 3 7 4 3" xfId="12762" xr:uid="{9E8FD1DB-CCC6-4D42-A5C6-6F4633359A55}"/>
    <cellStyle name="Comma 2 3 3 7 4 3 2" xfId="49270" xr:uid="{C6A87CBA-E010-42DE-B022-A1FB8858D3DA}"/>
    <cellStyle name="Comma 2 3 3 7 4 3 3" xfId="31016" xr:uid="{B31B2114-004E-4D8B-8337-0FA786E571BD}"/>
    <cellStyle name="Comma 2 3 3 7 4 4" xfId="9112" xr:uid="{4A50730D-79E6-41FD-9E83-8D4ABF8C2E64}"/>
    <cellStyle name="Comma 2 3 3 7 4 4 2" xfId="45620" xr:uid="{1EB75BF0-C377-49DD-90B4-0DF9109B842E}"/>
    <cellStyle name="Comma 2 3 3 7 4 4 3" xfId="27366" xr:uid="{034B03D7-5617-403D-A7EE-0413B0B9C545}"/>
    <cellStyle name="Comma 2 3 3 7 4 5" xfId="5462" xr:uid="{309CDA48-B396-403E-9EE7-3DD23B464268}"/>
    <cellStyle name="Comma 2 3 3 7 4 5 2" xfId="41970" xr:uid="{EE198C72-0C26-44D1-AE5D-794C3E3AEAF6}"/>
    <cellStyle name="Comma 2 3 3 7 4 5 3" xfId="23716" xr:uid="{1CBD20C2-F7CE-46DC-8742-844A1BFED8D4}"/>
    <cellStyle name="Comma 2 3 3 7 4 6" xfId="38320" xr:uid="{3C2C9C4B-C859-47FE-A053-B8E2EB33DF33}"/>
    <cellStyle name="Comma 2 3 3 7 4 7" xfId="20066" xr:uid="{8B029EF3-8590-4ACA-A0B8-7649E9D4BDC6}"/>
    <cellStyle name="Comma 2 3 3 7 5" xfId="1082" xr:uid="{50884802-2943-4E98-9395-AC1BC8732EB3}"/>
    <cellStyle name="Comma 2 3 3 7 5 2" xfId="15682" xr:uid="{62DAF865-5B5B-404E-863F-4E9B769E007F}"/>
    <cellStyle name="Comma 2 3 3 7 5 2 2" xfId="52190" xr:uid="{814561DD-AC96-4776-A838-C416208ADE6B}"/>
    <cellStyle name="Comma 2 3 3 7 5 2 3" xfId="33936" xr:uid="{54F8D96A-A08C-49EB-BA3A-9C4DBF0FDBD6}"/>
    <cellStyle name="Comma 2 3 3 7 5 3" xfId="12032" xr:uid="{9B43EE43-530D-415C-ACDD-E7D455674A65}"/>
    <cellStyle name="Comma 2 3 3 7 5 3 2" xfId="48540" xr:uid="{AC09C51C-CC00-4870-9B7E-1CF1B1021B49}"/>
    <cellStyle name="Comma 2 3 3 7 5 3 3" xfId="30286" xr:uid="{F08CC6A8-E6A9-436B-A966-6FE7BF4993E7}"/>
    <cellStyle name="Comma 2 3 3 7 5 4" xfId="8382" xr:uid="{0A6AA766-377D-4BA8-A5FB-727E598CD87B}"/>
    <cellStyle name="Comma 2 3 3 7 5 4 2" xfId="44890" xr:uid="{E639C45E-10C6-44FB-8F24-3BAE0CFD994E}"/>
    <cellStyle name="Comma 2 3 3 7 5 4 3" xfId="26636" xr:uid="{138EB55E-B0C0-4180-9241-896887FB6BB0}"/>
    <cellStyle name="Comma 2 3 3 7 5 5" xfId="4732" xr:uid="{2441AAD3-FFC9-4EA7-B6EC-B15B31106AC4}"/>
    <cellStyle name="Comma 2 3 3 7 5 5 2" xfId="41240" xr:uid="{44284371-27CE-4A2F-A70A-C9C837DB3A48}"/>
    <cellStyle name="Comma 2 3 3 7 5 5 3" xfId="22986" xr:uid="{E79A1C7F-B480-4FC3-85BD-6029AAA4E4DA}"/>
    <cellStyle name="Comma 2 3 3 7 5 6" xfId="37590" xr:uid="{C21AFD61-CA5E-4544-8E4E-45C3BC5E67FC}"/>
    <cellStyle name="Comma 2 3 3 7 5 7" xfId="19336" xr:uid="{6D2FAFA2-A8CE-4109-B76A-CF0FBF4835B8}"/>
    <cellStyle name="Comma 2 3 3 7 6" xfId="14952" xr:uid="{6EFAA4B7-7EDE-4A8E-8D38-C4A06EB29277}"/>
    <cellStyle name="Comma 2 3 3 7 6 2" xfId="51460" xr:uid="{751178B7-1516-43F7-B303-7D7F796B5C20}"/>
    <cellStyle name="Comma 2 3 3 7 6 3" xfId="33206" xr:uid="{340867DA-0B99-4F7C-B3C6-BF872EA54431}"/>
    <cellStyle name="Comma 2 3 3 7 7" xfId="11302" xr:uid="{45536BFE-501C-4FFA-A235-B02DB09F4502}"/>
    <cellStyle name="Comma 2 3 3 7 7 2" xfId="47810" xr:uid="{1F7F51E7-DC15-49E9-AF96-133E3CE0F8E4}"/>
    <cellStyle name="Comma 2 3 3 7 7 3" xfId="29556" xr:uid="{CB6B4BEB-2C65-45D8-BB11-128BD9B789C2}"/>
    <cellStyle name="Comma 2 3 3 7 8" xfId="7652" xr:uid="{C6673260-9287-4C30-83EC-0B68B2AE5A22}"/>
    <cellStyle name="Comma 2 3 3 7 8 2" xfId="44160" xr:uid="{476285AF-C492-4A92-9788-C0EDF24AB27E}"/>
    <cellStyle name="Comma 2 3 3 7 8 3" xfId="25906" xr:uid="{5275FEB1-0F7E-42D9-A8A6-FDE773DF70CD}"/>
    <cellStyle name="Comma 2 3 3 7 9" xfId="4002" xr:uid="{2905A485-9072-4685-8B7F-47FB79D6605A}"/>
    <cellStyle name="Comma 2 3 3 7 9 2" xfId="40510" xr:uid="{B77FEA13-5C4E-460C-A40F-BEAB01A74647}"/>
    <cellStyle name="Comma 2 3 3 7 9 3" xfId="22256" xr:uid="{AA478ED6-ED6E-42B4-BF1F-B48F362EEA06}"/>
    <cellStyle name="Comma 2 3 3 8" xfId="248" xr:uid="{0C25FC6C-A266-4727-A7A0-38B242EAD13C}"/>
    <cellStyle name="Comma 2 3 3 8 10" xfId="36756" xr:uid="{8B2EEF4F-AF54-4681-8181-714D16852186}"/>
    <cellStyle name="Comma 2 3 3 8 11" xfId="18502" xr:uid="{DF720621-3A35-4840-92B6-F2FE0366B8B5}"/>
    <cellStyle name="Comma 2 3 3 8 2" xfId="3168" xr:uid="{2302E328-E8E5-4CFF-8F35-64CAD411B2A2}"/>
    <cellStyle name="Comma 2 3 3 8 2 2" xfId="17768" xr:uid="{AF3C8B97-6A40-4553-A2FC-327BAF18B9C0}"/>
    <cellStyle name="Comma 2 3 3 8 2 2 2" xfId="54276" xr:uid="{2A2197FD-3B7E-4494-84ED-6F284BC51FA3}"/>
    <cellStyle name="Comma 2 3 3 8 2 2 3" xfId="36022" xr:uid="{AF4412A3-6E32-46EB-8A59-68FC085ED4DF}"/>
    <cellStyle name="Comma 2 3 3 8 2 3" xfId="14118" xr:uid="{EEDCF269-903C-45E2-9650-7C29E5598229}"/>
    <cellStyle name="Comma 2 3 3 8 2 3 2" xfId="50626" xr:uid="{2925DB2A-C0DF-4D63-A500-58A820DE6CBE}"/>
    <cellStyle name="Comma 2 3 3 8 2 3 3" xfId="32372" xr:uid="{C109FB07-2E0D-48A0-BC6A-30CE98FADF37}"/>
    <cellStyle name="Comma 2 3 3 8 2 4" xfId="10468" xr:uid="{0789EF9B-84D8-496A-A03A-A5107FBF2CFB}"/>
    <cellStyle name="Comma 2 3 3 8 2 4 2" xfId="46976" xr:uid="{AB2E1657-E6E5-44D6-8B47-8E32027B516E}"/>
    <cellStyle name="Comma 2 3 3 8 2 4 3" xfId="28722" xr:uid="{C7504FFC-F150-4253-9E1D-AF6D34283AC3}"/>
    <cellStyle name="Comma 2 3 3 8 2 5" xfId="6818" xr:uid="{0C581991-00D0-4667-B602-CB0B1ED4CA71}"/>
    <cellStyle name="Comma 2 3 3 8 2 5 2" xfId="43326" xr:uid="{DAC7769B-A001-42D4-9C97-1F5229AEB35A}"/>
    <cellStyle name="Comma 2 3 3 8 2 5 3" xfId="25072" xr:uid="{9D239A71-3715-4BA5-95EF-F74F5E2D2380}"/>
    <cellStyle name="Comma 2 3 3 8 2 6" xfId="39676" xr:uid="{31C42459-AFAB-472A-930F-512F85C24D99}"/>
    <cellStyle name="Comma 2 3 3 8 2 7" xfId="21422" xr:uid="{B015B2D2-59C8-4B76-B07D-E1E7035457A8}"/>
    <cellStyle name="Comma 2 3 3 8 3" xfId="2438" xr:uid="{EA94D615-F79C-4601-A4FF-0119A52CBD40}"/>
    <cellStyle name="Comma 2 3 3 8 3 2" xfId="17038" xr:uid="{2A0CF33F-1981-45D2-9DC6-F09DF806FD02}"/>
    <cellStyle name="Comma 2 3 3 8 3 2 2" xfId="53546" xr:uid="{51C54A53-E80B-4538-A83E-87AA677B4574}"/>
    <cellStyle name="Comma 2 3 3 8 3 2 3" xfId="35292" xr:uid="{A8A24F4D-246D-4A1C-8EAB-0B92B8938AEA}"/>
    <cellStyle name="Comma 2 3 3 8 3 3" xfId="13388" xr:uid="{4A04B49B-79C6-4B4C-BB0C-B622D5D805FD}"/>
    <cellStyle name="Comma 2 3 3 8 3 3 2" xfId="49896" xr:uid="{967D84DC-7FF9-495A-B158-612BE8EAE8AB}"/>
    <cellStyle name="Comma 2 3 3 8 3 3 3" xfId="31642" xr:uid="{2A395DE3-E09E-4EA3-BFE6-98F8BF99AC9F}"/>
    <cellStyle name="Comma 2 3 3 8 3 4" xfId="9738" xr:uid="{BD07F55B-2335-4105-96A8-358440C1C7D9}"/>
    <cellStyle name="Comma 2 3 3 8 3 4 2" xfId="46246" xr:uid="{53201021-766B-4118-A98A-3555151BC874}"/>
    <cellStyle name="Comma 2 3 3 8 3 4 3" xfId="27992" xr:uid="{6AD54BCC-9103-462F-8DE0-D4A4CE5DAD3A}"/>
    <cellStyle name="Comma 2 3 3 8 3 5" xfId="6088" xr:uid="{FBA3D7C1-D0AF-47EA-9778-8C244B3144B6}"/>
    <cellStyle name="Comma 2 3 3 8 3 5 2" xfId="42596" xr:uid="{1FB4063B-0D53-48C5-B5E1-1E2FF50596B9}"/>
    <cellStyle name="Comma 2 3 3 8 3 5 3" xfId="24342" xr:uid="{22317C0F-0B2D-48F4-A797-C499DD3364E5}"/>
    <cellStyle name="Comma 2 3 3 8 3 6" xfId="38946" xr:uid="{22D59F2F-BA78-489F-8C12-8C1ED4FCE36A}"/>
    <cellStyle name="Comma 2 3 3 8 3 7" xfId="20692" xr:uid="{CCE3323E-CD7D-46A5-9B0C-08B537D6C8F3}"/>
    <cellStyle name="Comma 2 3 3 8 4" xfId="1708" xr:uid="{EAF9B5CE-9648-4EA7-A856-55B19C262A95}"/>
    <cellStyle name="Comma 2 3 3 8 4 2" xfId="16308" xr:uid="{8E78B065-9759-4ABF-AA3C-77F268651643}"/>
    <cellStyle name="Comma 2 3 3 8 4 2 2" xfId="52816" xr:uid="{4733DAE9-79D6-4177-A842-F258CEBDA63F}"/>
    <cellStyle name="Comma 2 3 3 8 4 2 3" xfId="34562" xr:uid="{66DC445A-DABF-4C2B-966C-136B30B2BF23}"/>
    <cellStyle name="Comma 2 3 3 8 4 3" xfId="12658" xr:uid="{0580529D-1520-4B1E-BE16-6C81A7EF9794}"/>
    <cellStyle name="Comma 2 3 3 8 4 3 2" xfId="49166" xr:uid="{B5B28C2C-0683-41F3-ABB6-2F573EF0CB44}"/>
    <cellStyle name="Comma 2 3 3 8 4 3 3" xfId="30912" xr:uid="{DAC220C4-AD47-492B-8DEF-2DCFE1F7807E}"/>
    <cellStyle name="Comma 2 3 3 8 4 4" xfId="9008" xr:uid="{FC04D605-4C40-4AB2-AE8E-DCB548822080}"/>
    <cellStyle name="Comma 2 3 3 8 4 4 2" xfId="45516" xr:uid="{5A450464-079C-45D9-BBDB-81F9DCAA6E9F}"/>
    <cellStyle name="Comma 2 3 3 8 4 4 3" xfId="27262" xr:uid="{82E3E38F-9471-4CD0-ACD7-98AF76790583}"/>
    <cellStyle name="Comma 2 3 3 8 4 5" xfId="5358" xr:uid="{47A9A973-A63E-4B28-9D1E-1297864EA284}"/>
    <cellStyle name="Comma 2 3 3 8 4 5 2" xfId="41866" xr:uid="{E67ABF80-F4EC-4B0C-BA02-94CDD7000BE6}"/>
    <cellStyle name="Comma 2 3 3 8 4 5 3" xfId="23612" xr:uid="{868CDED6-88AD-492E-927F-F2F66117B0A3}"/>
    <cellStyle name="Comma 2 3 3 8 4 6" xfId="38216" xr:uid="{CBCCE229-D79B-49BF-8F09-F2AF9A61AE7D}"/>
    <cellStyle name="Comma 2 3 3 8 4 7" xfId="19962" xr:uid="{D7487A95-B0FF-49DF-B4DB-2832C73DF03B}"/>
    <cellStyle name="Comma 2 3 3 8 5" xfId="978" xr:uid="{CD075C8D-0740-4533-862E-E73DFF1BA822}"/>
    <cellStyle name="Comma 2 3 3 8 5 2" xfId="15578" xr:uid="{AB6D1C37-3DCA-42C4-9E91-F5B188CF22A1}"/>
    <cellStyle name="Comma 2 3 3 8 5 2 2" xfId="52086" xr:uid="{4F41D60F-3BE9-4BEE-B78A-9ED21E11BF63}"/>
    <cellStyle name="Comma 2 3 3 8 5 2 3" xfId="33832" xr:uid="{8CB231EB-3512-4F1B-B71B-EF940A85CD8C}"/>
    <cellStyle name="Comma 2 3 3 8 5 3" xfId="11928" xr:uid="{08E22085-AEFB-4013-A5B5-848FA21D6144}"/>
    <cellStyle name="Comma 2 3 3 8 5 3 2" xfId="48436" xr:uid="{45A1849D-6798-4A51-9FDC-A6469C65D524}"/>
    <cellStyle name="Comma 2 3 3 8 5 3 3" xfId="30182" xr:uid="{1B8ED37E-4652-4E89-8FCC-2A9B8C0CC3AA}"/>
    <cellStyle name="Comma 2 3 3 8 5 4" xfId="8278" xr:uid="{DD6DCB3C-C10B-49A1-A180-3283A808FAEC}"/>
    <cellStyle name="Comma 2 3 3 8 5 4 2" xfId="44786" xr:uid="{EA65EE27-7C97-4036-94C4-AA1A46B81265}"/>
    <cellStyle name="Comma 2 3 3 8 5 4 3" xfId="26532" xr:uid="{C439A9BC-D37A-48AB-8F79-89913A6FD8D7}"/>
    <cellStyle name="Comma 2 3 3 8 5 5" xfId="4628" xr:uid="{B11B83F8-3E2C-487C-A1EF-AFC85669F246}"/>
    <cellStyle name="Comma 2 3 3 8 5 5 2" xfId="41136" xr:uid="{E81FD0E8-A53F-4588-9AF9-A42CE4F16357}"/>
    <cellStyle name="Comma 2 3 3 8 5 5 3" xfId="22882" xr:uid="{E3347055-6E45-4E75-93B9-D57511E01DFA}"/>
    <cellStyle name="Comma 2 3 3 8 5 6" xfId="37486" xr:uid="{6D952725-13A9-4A87-B557-7EAE37B045A9}"/>
    <cellStyle name="Comma 2 3 3 8 5 7" xfId="19232" xr:uid="{998522E4-3D04-4C58-921A-D1641A760544}"/>
    <cellStyle name="Comma 2 3 3 8 6" xfId="14848" xr:uid="{B7FF93BF-396A-4BCD-9F0B-6E2F6F7098EA}"/>
    <cellStyle name="Comma 2 3 3 8 6 2" xfId="51356" xr:uid="{7944D5AE-0C26-4365-96FC-EEA74996E843}"/>
    <cellStyle name="Comma 2 3 3 8 6 3" xfId="33102" xr:uid="{73AE5A27-1B4C-4F36-A4BB-5BB6858A267F}"/>
    <cellStyle name="Comma 2 3 3 8 7" xfId="11198" xr:uid="{86935C0F-3851-4153-AB00-B5A3FE053905}"/>
    <cellStyle name="Comma 2 3 3 8 7 2" xfId="47706" xr:uid="{04141715-88AA-4915-9DFF-40DF79DD4C9A}"/>
    <cellStyle name="Comma 2 3 3 8 7 3" xfId="29452" xr:uid="{7FDC5C5E-B9C3-482B-8337-5A98D17F6F20}"/>
    <cellStyle name="Comma 2 3 3 8 8" xfId="7548" xr:uid="{A5D0671B-CF2E-4C3E-87B8-E172135F3272}"/>
    <cellStyle name="Comma 2 3 3 8 8 2" xfId="44056" xr:uid="{BEBA1178-7B73-4BC8-8B4B-758F0285E325}"/>
    <cellStyle name="Comma 2 3 3 8 8 3" xfId="25802" xr:uid="{C2261403-1E62-4531-BE69-ADC5DB576064}"/>
    <cellStyle name="Comma 2 3 3 8 9" xfId="3898" xr:uid="{C2487943-F0C0-47F2-828A-03BA295D82B7}"/>
    <cellStyle name="Comma 2 3 3 8 9 2" xfId="40406" xr:uid="{9E5A7C95-B7B3-4571-9A46-0DFEB00963BF}"/>
    <cellStyle name="Comma 2 3 3 8 9 3" xfId="22152" xr:uid="{9B788601-9322-421F-B258-F8A23F6AAF24}"/>
    <cellStyle name="Comma 2 3 3 9" xfId="144" xr:uid="{97E2264E-FF00-4D32-B6C4-919E6C00CD2E}"/>
    <cellStyle name="Comma 2 3 3 9 10" xfId="36652" xr:uid="{B1A25CC8-0146-4BA0-A850-4924E8978DAE}"/>
    <cellStyle name="Comma 2 3 3 9 11" xfId="18398" xr:uid="{D40934E7-546C-478F-AABE-9B273E136ADE}"/>
    <cellStyle name="Comma 2 3 3 9 2" xfId="3064" xr:uid="{22C0042E-0271-40F4-92D7-1C5ADDAB6E92}"/>
    <cellStyle name="Comma 2 3 3 9 2 2" xfId="17664" xr:uid="{1B50F0E9-D2F4-4795-9711-41E4F3FFA0F0}"/>
    <cellStyle name="Comma 2 3 3 9 2 2 2" xfId="54172" xr:uid="{5EF9B787-1327-4F1D-B3C5-DA5A26836849}"/>
    <cellStyle name="Comma 2 3 3 9 2 2 3" xfId="35918" xr:uid="{2CF0DE98-0892-4723-BE2C-28FDC55B448A}"/>
    <cellStyle name="Comma 2 3 3 9 2 3" xfId="14014" xr:uid="{886A3790-108A-4C8E-BAD3-0034DE445810}"/>
    <cellStyle name="Comma 2 3 3 9 2 3 2" xfId="50522" xr:uid="{D9E44E96-6474-4D40-BA57-96D0A178F2CD}"/>
    <cellStyle name="Comma 2 3 3 9 2 3 3" xfId="32268" xr:uid="{2B466FC7-BF24-48CF-80AB-18B2914FDDFB}"/>
    <cellStyle name="Comma 2 3 3 9 2 4" xfId="10364" xr:uid="{B0B07D0E-8A3C-4CB2-8219-EAA55936C59F}"/>
    <cellStyle name="Comma 2 3 3 9 2 4 2" xfId="46872" xr:uid="{5CFE8B42-B3DB-464E-A4DB-56BA02985FB2}"/>
    <cellStyle name="Comma 2 3 3 9 2 4 3" xfId="28618" xr:uid="{F582AF89-8E4F-4DC2-9646-05EE0E2E1B9F}"/>
    <cellStyle name="Comma 2 3 3 9 2 5" xfId="6714" xr:uid="{AE6D898D-274E-454C-A6E7-72831AAB47A8}"/>
    <cellStyle name="Comma 2 3 3 9 2 5 2" xfId="43222" xr:uid="{84964A7F-6634-41D5-936D-9BD326B1855B}"/>
    <cellStyle name="Comma 2 3 3 9 2 5 3" xfId="24968" xr:uid="{C31AA97D-4AC6-459F-AB4F-A318A026CE36}"/>
    <cellStyle name="Comma 2 3 3 9 2 6" xfId="39572" xr:uid="{3B9D23CF-A42F-4945-B7C1-08DFEC00D06D}"/>
    <cellStyle name="Comma 2 3 3 9 2 7" xfId="21318" xr:uid="{0C43BE5C-6EE8-421D-BE55-56FDEAD3C230}"/>
    <cellStyle name="Comma 2 3 3 9 3" xfId="2334" xr:uid="{FD2628AB-DACF-49C9-BB52-5DFA6C33510C}"/>
    <cellStyle name="Comma 2 3 3 9 3 2" xfId="16934" xr:uid="{E00527A3-B7C9-4A9D-B1BB-ACA1CE3D36DF}"/>
    <cellStyle name="Comma 2 3 3 9 3 2 2" xfId="53442" xr:uid="{380AAF99-1C75-4880-9547-2C5AAB045C1E}"/>
    <cellStyle name="Comma 2 3 3 9 3 2 3" xfId="35188" xr:uid="{D8054F19-AB7D-4A91-8DB4-02535B65E01A}"/>
    <cellStyle name="Comma 2 3 3 9 3 3" xfId="13284" xr:uid="{031FE4EB-FD24-4FED-B227-C4A820A137A9}"/>
    <cellStyle name="Comma 2 3 3 9 3 3 2" xfId="49792" xr:uid="{3142C232-E10A-4D86-B239-91189ECF6493}"/>
    <cellStyle name="Comma 2 3 3 9 3 3 3" xfId="31538" xr:uid="{952D8403-B40C-4FF7-A1E5-FD2F9AF419F9}"/>
    <cellStyle name="Comma 2 3 3 9 3 4" xfId="9634" xr:uid="{605C70E3-40A8-49E5-8CE9-BFA50734DD7E}"/>
    <cellStyle name="Comma 2 3 3 9 3 4 2" xfId="46142" xr:uid="{C5434B15-3BE6-461D-B722-7951B17D150E}"/>
    <cellStyle name="Comma 2 3 3 9 3 4 3" xfId="27888" xr:uid="{9E2946FB-B9F0-444F-937C-1BDD5244307D}"/>
    <cellStyle name="Comma 2 3 3 9 3 5" xfId="5984" xr:uid="{9890EE91-0228-4ADB-BF40-F1652F60BCF2}"/>
    <cellStyle name="Comma 2 3 3 9 3 5 2" xfId="42492" xr:uid="{B6DC42D5-3489-4859-944C-40D6D50C9330}"/>
    <cellStyle name="Comma 2 3 3 9 3 5 3" xfId="24238" xr:uid="{53BA4BF9-56F2-4733-91AA-FF61756799F5}"/>
    <cellStyle name="Comma 2 3 3 9 3 6" xfId="38842" xr:uid="{9A737298-D114-4DA0-91D0-C1C48F6B6C5A}"/>
    <cellStyle name="Comma 2 3 3 9 3 7" xfId="20588" xr:uid="{846E3543-EC57-46CD-9CCA-1DF64AC1DD4C}"/>
    <cellStyle name="Comma 2 3 3 9 4" xfId="1604" xr:uid="{A75BAE5B-24B3-40B3-9D6D-A14406CD1D7E}"/>
    <cellStyle name="Comma 2 3 3 9 4 2" xfId="16204" xr:uid="{C3133273-43D8-4198-84C7-231EC3564935}"/>
    <cellStyle name="Comma 2 3 3 9 4 2 2" xfId="52712" xr:uid="{F9ADAE6F-8D0D-43E0-9D9D-0770B8E0B72D}"/>
    <cellStyle name="Comma 2 3 3 9 4 2 3" xfId="34458" xr:uid="{9731F74C-E646-4971-8C37-4D6E0D935CC8}"/>
    <cellStyle name="Comma 2 3 3 9 4 3" xfId="12554" xr:uid="{308CE090-7BB9-43DB-A03F-C9E092CC4122}"/>
    <cellStyle name="Comma 2 3 3 9 4 3 2" xfId="49062" xr:uid="{636AF095-1752-4578-A788-46FC5C2BAFAA}"/>
    <cellStyle name="Comma 2 3 3 9 4 3 3" xfId="30808" xr:uid="{74E46988-2D56-4A1A-8104-0D7988257B6F}"/>
    <cellStyle name="Comma 2 3 3 9 4 4" xfId="8904" xr:uid="{5456C19E-C539-40C2-9844-A05A19E03454}"/>
    <cellStyle name="Comma 2 3 3 9 4 4 2" xfId="45412" xr:uid="{F2FE1D52-D8AD-4969-9488-D98C8B790447}"/>
    <cellStyle name="Comma 2 3 3 9 4 4 3" xfId="27158" xr:uid="{80D3986C-B33C-4D38-B4B5-33AE52A62BC1}"/>
    <cellStyle name="Comma 2 3 3 9 4 5" xfId="5254" xr:uid="{42FE9F82-308B-4536-BACE-3E0388BF52A8}"/>
    <cellStyle name="Comma 2 3 3 9 4 5 2" xfId="41762" xr:uid="{386367A9-91C0-46BB-A3F3-E30128EAA988}"/>
    <cellStyle name="Comma 2 3 3 9 4 5 3" xfId="23508" xr:uid="{BA57E4FD-044C-41F8-99D0-CA091B182434}"/>
    <cellStyle name="Comma 2 3 3 9 4 6" xfId="38112" xr:uid="{1E8A10FA-E0CB-41C2-B22E-22D731DE6FF4}"/>
    <cellStyle name="Comma 2 3 3 9 4 7" xfId="19858" xr:uid="{3A94DFC5-4E0D-4571-8539-BAD30C717BD9}"/>
    <cellStyle name="Comma 2 3 3 9 5" xfId="874" xr:uid="{463549D9-C1EF-436A-AAE2-F22A4B973825}"/>
    <cellStyle name="Comma 2 3 3 9 5 2" xfId="15474" xr:uid="{11E0883A-B224-41FB-9DFD-15054DDBADD5}"/>
    <cellStyle name="Comma 2 3 3 9 5 2 2" xfId="51982" xr:uid="{A14EAF5E-0AA3-43E7-B4EF-9A7320F55D1F}"/>
    <cellStyle name="Comma 2 3 3 9 5 2 3" xfId="33728" xr:uid="{7EFA99AC-72B8-442F-B595-2D40382202DE}"/>
    <cellStyle name="Comma 2 3 3 9 5 3" xfId="11824" xr:uid="{E97F9F19-9122-45DF-B7A3-32BC11DBCA4F}"/>
    <cellStyle name="Comma 2 3 3 9 5 3 2" xfId="48332" xr:uid="{ECFA499D-C2BA-4EC3-82E1-D9A4A20B2EB1}"/>
    <cellStyle name="Comma 2 3 3 9 5 3 3" xfId="30078" xr:uid="{1791523F-507D-4D19-911F-27FC4E3BF5FE}"/>
    <cellStyle name="Comma 2 3 3 9 5 4" xfId="8174" xr:uid="{45BBCB12-2B2E-4C6E-B2D8-AFAF22C4E495}"/>
    <cellStyle name="Comma 2 3 3 9 5 4 2" xfId="44682" xr:uid="{7490C566-A63E-49A1-9676-0BE39A6E0D49}"/>
    <cellStyle name="Comma 2 3 3 9 5 4 3" xfId="26428" xr:uid="{280060E4-9C89-46AF-8A7C-E5278D41DE66}"/>
    <cellStyle name="Comma 2 3 3 9 5 5" xfId="4524" xr:uid="{4CB27571-6CB6-4F32-A5DF-4560FD590288}"/>
    <cellStyle name="Comma 2 3 3 9 5 5 2" xfId="41032" xr:uid="{006F6B7A-6C58-4644-95AF-B12767CEBEB8}"/>
    <cellStyle name="Comma 2 3 3 9 5 5 3" xfId="22778" xr:uid="{519D2E78-3B34-4989-B629-21994922AD6F}"/>
    <cellStyle name="Comma 2 3 3 9 5 6" xfId="37382" xr:uid="{EDF35E2B-0418-474F-A718-4CF2D801F41A}"/>
    <cellStyle name="Comma 2 3 3 9 5 7" xfId="19128" xr:uid="{1D232E3E-47EC-4ABE-BE7F-4EF57A3ED523}"/>
    <cellStyle name="Comma 2 3 3 9 6" xfId="14744" xr:uid="{DC584781-35CC-4579-ACE7-D6C339DE47A9}"/>
    <cellStyle name="Comma 2 3 3 9 6 2" xfId="51252" xr:uid="{958F42CC-625F-493A-8999-D96E28576BE2}"/>
    <cellStyle name="Comma 2 3 3 9 6 3" xfId="32998" xr:uid="{A4202E64-2B2D-4049-9E05-3CB9763F352A}"/>
    <cellStyle name="Comma 2 3 3 9 7" xfId="11094" xr:uid="{974B424D-109F-4595-865D-856D295756B8}"/>
    <cellStyle name="Comma 2 3 3 9 7 2" xfId="47602" xr:uid="{2BC369CA-2E2A-4F54-BA92-347B87BFF13F}"/>
    <cellStyle name="Comma 2 3 3 9 7 3" xfId="29348" xr:uid="{0C2AFEA8-B5C2-417C-8AB3-B416968963B3}"/>
    <cellStyle name="Comma 2 3 3 9 8" xfId="7444" xr:uid="{B60C5759-1124-4150-AB85-4F203557305A}"/>
    <cellStyle name="Comma 2 3 3 9 8 2" xfId="43952" xr:uid="{5C6448C5-1177-4EBA-B726-66E3A6AAEE77}"/>
    <cellStyle name="Comma 2 3 3 9 8 3" xfId="25698" xr:uid="{8CE758FF-EDC2-4353-8C7D-865334602315}"/>
    <cellStyle name="Comma 2 3 3 9 9" xfId="3794" xr:uid="{73A4F9E3-50FE-49FC-96C2-A38ED77AB78D}"/>
    <cellStyle name="Comma 2 3 3 9 9 2" xfId="40302" xr:uid="{1E073602-6C22-4B19-B769-1205A89B99DD}"/>
    <cellStyle name="Comma 2 3 3 9 9 3" xfId="22048" xr:uid="{5CB37305-1041-4151-A43A-1892DD1188C1}"/>
    <cellStyle name="Comma 2 3 4" xfId="88" xr:uid="{9363098C-E536-41FE-8BA8-F9593A3E61BB}"/>
    <cellStyle name="Comma 2 3 4 10" xfId="1548" xr:uid="{620AF22E-5402-4B8D-9436-474139CE0EAB}"/>
    <cellStyle name="Comma 2 3 4 10 2" xfId="16148" xr:uid="{2DC16FD0-350D-4734-80CF-D3ADD0AECCB0}"/>
    <cellStyle name="Comma 2 3 4 10 2 2" xfId="52656" xr:uid="{A7CA4F54-213F-4A3D-9EC4-37D8F14965FC}"/>
    <cellStyle name="Comma 2 3 4 10 2 3" xfId="34402" xr:uid="{3450B7BC-2CAA-4451-905E-4002990362D2}"/>
    <cellStyle name="Comma 2 3 4 10 3" xfId="12498" xr:uid="{13EA062D-042B-4CFA-A2F4-0205A806AA71}"/>
    <cellStyle name="Comma 2 3 4 10 3 2" xfId="49006" xr:uid="{46EE00A3-4E2A-4CD2-BCC7-F75F3C024340}"/>
    <cellStyle name="Comma 2 3 4 10 3 3" xfId="30752" xr:uid="{1C0486DB-FED6-4482-9637-DDCEDCA2B2D7}"/>
    <cellStyle name="Comma 2 3 4 10 4" xfId="8848" xr:uid="{43ADC58D-6A4E-490F-917A-6C3CCF926A5D}"/>
    <cellStyle name="Comma 2 3 4 10 4 2" xfId="45356" xr:uid="{7EFEE92C-B384-45DC-92AD-CBF21F2D305B}"/>
    <cellStyle name="Comma 2 3 4 10 4 3" xfId="27102" xr:uid="{3A994B69-832B-4314-B6EB-C646A4410BD9}"/>
    <cellStyle name="Comma 2 3 4 10 5" xfId="5198" xr:uid="{7929DD47-4B9D-41C3-831E-2B7736767AF0}"/>
    <cellStyle name="Comma 2 3 4 10 5 2" xfId="41706" xr:uid="{B495B00A-A37D-4673-82AE-914BEAE9D32E}"/>
    <cellStyle name="Comma 2 3 4 10 5 3" xfId="23452" xr:uid="{E4B6539E-36E4-46FC-B4E7-051EF3267996}"/>
    <cellStyle name="Comma 2 3 4 10 6" xfId="38056" xr:uid="{FD2B8CAC-8522-4048-8CA7-C4FCCF1188CD}"/>
    <cellStyle name="Comma 2 3 4 10 7" xfId="19802" xr:uid="{F3D00309-DE97-476A-87E3-AAE260CB2B85}"/>
    <cellStyle name="Comma 2 3 4 11" xfId="818" xr:uid="{327E1E0B-46B7-47E8-B2D4-DD6F89BF2CBE}"/>
    <cellStyle name="Comma 2 3 4 11 2" xfId="15418" xr:uid="{C53F6AF8-1A94-4FF6-8844-1570F61536DA}"/>
    <cellStyle name="Comma 2 3 4 11 2 2" xfId="51926" xr:uid="{7DE1B3B5-A0E0-4DF8-9B7D-8ABABDB77FED}"/>
    <cellStyle name="Comma 2 3 4 11 2 3" xfId="33672" xr:uid="{C09514AD-178C-4708-8865-A8EFCBC72B9A}"/>
    <cellStyle name="Comma 2 3 4 11 3" xfId="11768" xr:uid="{4D6B06BC-0D59-4240-9077-E79E6E7F5C71}"/>
    <cellStyle name="Comma 2 3 4 11 3 2" xfId="48276" xr:uid="{C1B5CA4C-F0B5-4D7A-A08C-D6F49363CF4C}"/>
    <cellStyle name="Comma 2 3 4 11 3 3" xfId="30022" xr:uid="{3629B018-1CC0-4657-804D-EF05BA9410FA}"/>
    <cellStyle name="Comma 2 3 4 11 4" xfId="8118" xr:uid="{0EE1807C-7660-4D9A-B467-86DE33240A32}"/>
    <cellStyle name="Comma 2 3 4 11 4 2" xfId="44626" xr:uid="{62047966-9560-4415-8ED3-930AB69C94DD}"/>
    <cellStyle name="Comma 2 3 4 11 4 3" xfId="26372" xr:uid="{FC44DD07-9F42-4074-A7EF-01A12925E7FF}"/>
    <cellStyle name="Comma 2 3 4 11 5" xfId="4468" xr:uid="{657AAAE7-2BE7-4B6B-9650-7FA27AD02893}"/>
    <cellStyle name="Comma 2 3 4 11 5 2" xfId="40976" xr:uid="{040485DE-8327-4401-8F86-AF0BB5042F8C}"/>
    <cellStyle name="Comma 2 3 4 11 5 3" xfId="22722" xr:uid="{828562FB-D5C2-416C-B94D-F96E690EA860}"/>
    <cellStyle name="Comma 2 3 4 11 6" xfId="37326" xr:uid="{935F327E-9167-44E7-A641-9AD477CDEFE0}"/>
    <cellStyle name="Comma 2 3 4 11 7" xfId="19072" xr:uid="{46C16CAA-15FE-4566-83FC-85D31DAEA30B}"/>
    <cellStyle name="Comma 2 3 4 12" xfId="14688" xr:uid="{59BCAF88-BA6C-4C7A-BCB2-8EB2CC4FE225}"/>
    <cellStyle name="Comma 2 3 4 12 2" xfId="51196" xr:uid="{0274DCD9-CCDA-410C-BB76-E5FF6A37CB3F}"/>
    <cellStyle name="Comma 2 3 4 12 3" xfId="32942" xr:uid="{8E05AB3D-76A8-42DF-BB9E-D0AEA28C47CF}"/>
    <cellStyle name="Comma 2 3 4 13" xfId="11038" xr:uid="{527A781C-AEC6-428F-96AF-28C490E4D057}"/>
    <cellStyle name="Comma 2 3 4 13 2" xfId="47546" xr:uid="{65211D04-98C6-4BB8-9E9F-5E86F1A28E7D}"/>
    <cellStyle name="Comma 2 3 4 13 3" xfId="29292" xr:uid="{754F856F-6A94-4C09-AC7A-345F4BAA73C3}"/>
    <cellStyle name="Comma 2 3 4 14" xfId="7388" xr:uid="{D81E403D-2AE4-479D-A476-217B228B315A}"/>
    <cellStyle name="Comma 2 3 4 14 2" xfId="43896" xr:uid="{EC0F8E18-F829-4680-8E91-A63DF3B64601}"/>
    <cellStyle name="Comma 2 3 4 14 3" xfId="25642" xr:uid="{ABF8C6A4-C590-48F5-9B1D-948FD745EFAE}"/>
    <cellStyle name="Comma 2 3 4 15" xfId="3738" xr:uid="{4F3CD3C0-1026-4415-9EDD-4BD5A2A67FEE}"/>
    <cellStyle name="Comma 2 3 4 15 2" xfId="40246" xr:uid="{9D59ECD5-29E1-4756-BDF7-6597878E9B48}"/>
    <cellStyle name="Comma 2 3 4 15 3" xfId="21992" xr:uid="{8BC01BA8-AA20-49FE-875B-5A3CB2C0FE13}"/>
    <cellStyle name="Comma 2 3 4 16" xfId="36596" xr:uid="{70E88314-08AD-48E7-A345-13BB8FED0287}"/>
    <cellStyle name="Comma 2 3 4 17" xfId="18342" xr:uid="{32D6AC2F-7E0D-46A0-94BC-EF017CF5EA4C}"/>
    <cellStyle name="Comma 2 3 4 2" xfId="712" xr:uid="{818729B4-04C4-4907-BB3F-90B14BD0602E}"/>
    <cellStyle name="Comma 2 3 4 2 10" xfId="37220" xr:uid="{D51C118A-5541-46C1-85E4-211AECF7292A}"/>
    <cellStyle name="Comma 2 3 4 2 11" xfId="18966" xr:uid="{2CC54543-B319-4688-A00A-2545966CC426}"/>
    <cellStyle name="Comma 2 3 4 2 2" xfId="3632" xr:uid="{0BBD09B5-3AFC-4011-B815-C20C1E6727CB}"/>
    <cellStyle name="Comma 2 3 4 2 2 2" xfId="18232" xr:uid="{E3B633F5-B17C-4A45-B0BC-D3CF4AFD0F75}"/>
    <cellStyle name="Comma 2 3 4 2 2 2 2" xfId="54740" xr:uid="{DF8D712E-4204-408B-8628-B04F6A9EB47F}"/>
    <cellStyle name="Comma 2 3 4 2 2 2 3" xfId="36486" xr:uid="{F266A0D1-1518-4A69-879A-B86EFFEA8E66}"/>
    <cellStyle name="Comma 2 3 4 2 2 3" xfId="14582" xr:uid="{C8B8701E-22FD-4640-ADDC-32052680D6A0}"/>
    <cellStyle name="Comma 2 3 4 2 2 3 2" xfId="51090" xr:uid="{8E2ED970-7432-45C6-BBB9-252979AE8F8D}"/>
    <cellStyle name="Comma 2 3 4 2 2 3 3" xfId="32836" xr:uid="{8223017D-6288-4DE3-AAC3-0B01C7B9B791}"/>
    <cellStyle name="Comma 2 3 4 2 2 4" xfId="10932" xr:uid="{EED4931B-0DED-4D68-9313-680439D7E432}"/>
    <cellStyle name="Comma 2 3 4 2 2 4 2" xfId="47440" xr:uid="{2054A8BC-5FAA-44E8-AA92-A66A97ECCBE8}"/>
    <cellStyle name="Comma 2 3 4 2 2 4 3" xfId="29186" xr:uid="{188AF43B-ECF1-4655-A49A-5BDE9CB1E78F}"/>
    <cellStyle name="Comma 2 3 4 2 2 5" xfId="7282" xr:uid="{08C01AA3-4B5F-4D9F-8386-550157F3BAC4}"/>
    <cellStyle name="Comma 2 3 4 2 2 5 2" xfId="43790" xr:uid="{858D0C73-3899-435F-B0B3-BC1B1ABAF4D9}"/>
    <cellStyle name="Comma 2 3 4 2 2 5 3" xfId="25536" xr:uid="{811BBD08-583A-4F3C-A189-179698954E31}"/>
    <cellStyle name="Comma 2 3 4 2 2 6" xfId="40140" xr:uid="{6B2F3D6F-DD71-4004-8D4A-CFC59507F7FE}"/>
    <cellStyle name="Comma 2 3 4 2 2 7" xfId="21886" xr:uid="{4FABE5AF-54AE-4A34-89B8-934DB75A45D6}"/>
    <cellStyle name="Comma 2 3 4 2 3" xfId="2902" xr:uid="{9D251220-33F1-4792-AB18-AA20317563B4}"/>
    <cellStyle name="Comma 2 3 4 2 3 2" xfId="17502" xr:uid="{3F5B3201-40D2-4FE8-9D75-4CF540B85732}"/>
    <cellStyle name="Comma 2 3 4 2 3 2 2" xfId="54010" xr:uid="{254A5FA0-AD28-446E-903C-F7FD9EC0CA10}"/>
    <cellStyle name="Comma 2 3 4 2 3 2 3" xfId="35756" xr:uid="{AC6A7175-1458-4592-87AC-20FD8821FBF9}"/>
    <cellStyle name="Comma 2 3 4 2 3 3" xfId="13852" xr:uid="{F7789B94-9C63-4F5B-8252-20C7ED48C999}"/>
    <cellStyle name="Comma 2 3 4 2 3 3 2" xfId="50360" xr:uid="{9A7951DB-C04D-4F77-B786-198FC4A561C1}"/>
    <cellStyle name="Comma 2 3 4 2 3 3 3" xfId="32106" xr:uid="{EFEA61A8-1B48-4FAF-BC05-4BFA4C0D416B}"/>
    <cellStyle name="Comma 2 3 4 2 3 4" xfId="10202" xr:uid="{9EBF8BB4-FD36-45CE-8B68-0945AC0F716D}"/>
    <cellStyle name="Comma 2 3 4 2 3 4 2" xfId="46710" xr:uid="{E41EB4E1-3DC8-4DD8-BB24-463E44D29B28}"/>
    <cellStyle name="Comma 2 3 4 2 3 4 3" xfId="28456" xr:uid="{BCB435A4-5D3A-4C42-B4B7-D683D464DC36}"/>
    <cellStyle name="Comma 2 3 4 2 3 5" xfId="6552" xr:uid="{E68E4FD3-1F48-4BF4-924B-ACD5A3D4F67B}"/>
    <cellStyle name="Comma 2 3 4 2 3 5 2" xfId="43060" xr:uid="{4F3EC8D3-30D0-47F8-8441-F34A53E762D1}"/>
    <cellStyle name="Comma 2 3 4 2 3 5 3" xfId="24806" xr:uid="{0938D5AC-7D0F-4179-A14A-04392C89A694}"/>
    <cellStyle name="Comma 2 3 4 2 3 6" xfId="39410" xr:uid="{DE4E03E1-EE5A-482B-B5A3-1A0E940A1FA0}"/>
    <cellStyle name="Comma 2 3 4 2 3 7" xfId="21156" xr:uid="{FBF44A25-CE69-4A2A-862D-5455FF907771}"/>
    <cellStyle name="Comma 2 3 4 2 4" xfId="2172" xr:uid="{EDF4A1FC-FB89-40A7-9A1F-DD23E06C86FA}"/>
    <cellStyle name="Comma 2 3 4 2 4 2" xfId="16772" xr:uid="{C429200B-554E-4958-B383-5C4AF00A2D63}"/>
    <cellStyle name="Comma 2 3 4 2 4 2 2" xfId="53280" xr:uid="{6BB94F14-725C-417D-8C1A-F0771AF50615}"/>
    <cellStyle name="Comma 2 3 4 2 4 2 3" xfId="35026" xr:uid="{032A7FD8-40BD-4601-9087-62062A7DCD3D}"/>
    <cellStyle name="Comma 2 3 4 2 4 3" xfId="13122" xr:uid="{37F8C2E7-754B-4BF4-9DA9-18796F554063}"/>
    <cellStyle name="Comma 2 3 4 2 4 3 2" xfId="49630" xr:uid="{6E58A1E2-0E7B-4964-9710-31D7F74A5625}"/>
    <cellStyle name="Comma 2 3 4 2 4 3 3" xfId="31376" xr:uid="{1A164E7E-C08F-4130-ABB2-5D4BBDB86862}"/>
    <cellStyle name="Comma 2 3 4 2 4 4" xfId="9472" xr:uid="{7E3592F9-371E-459B-80FD-934CDE0A8080}"/>
    <cellStyle name="Comma 2 3 4 2 4 4 2" xfId="45980" xr:uid="{857B3773-D7DD-4148-8EFA-A2462D131697}"/>
    <cellStyle name="Comma 2 3 4 2 4 4 3" xfId="27726" xr:uid="{C8090FE9-7AC4-44EA-AE29-26517446E1F6}"/>
    <cellStyle name="Comma 2 3 4 2 4 5" xfId="5822" xr:uid="{F018EE01-8175-4AF3-A8C8-BE65BDF4C7EE}"/>
    <cellStyle name="Comma 2 3 4 2 4 5 2" xfId="42330" xr:uid="{5F187D25-398D-407F-A0FE-829418555BDF}"/>
    <cellStyle name="Comma 2 3 4 2 4 5 3" xfId="24076" xr:uid="{33D92727-6092-4F20-9887-970AF4E9D9E7}"/>
    <cellStyle name="Comma 2 3 4 2 4 6" xfId="38680" xr:uid="{36C02829-A927-47AB-BC19-5C20F6D67989}"/>
    <cellStyle name="Comma 2 3 4 2 4 7" xfId="20426" xr:uid="{B5CD47CE-9CA3-4DE4-BA9D-7F7BAE0C02B4}"/>
    <cellStyle name="Comma 2 3 4 2 5" xfId="1442" xr:uid="{3B6B4A55-518D-44BF-AF49-B5AB242D53B6}"/>
    <cellStyle name="Comma 2 3 4 2 5 2" xfId="16042" xr:uid="{D7405BF0-C9A0-46BD-A014-9812ECCA9F50}"/>
    <cellStyle name="Comma 2 3 4 2 5 2 2" xfId="52550" xr:uid="{86418F2B-7126-42E0-8FEC-574F903B6AB8}"/>
    <cellStyle name="Comma 2 3 4 2 5 2 3" xfId="34296" xr:uid="{527582BF-27F5-483E-A5BD-FC58E50D34F4}"/>
    <cellStyle name="Comma 2 3 4 2 5 3" xfId="12392" xr:uid="{544112D4-F7DA-4538-9D94-CEC8D639D9B1}"/>
    <cellStyle name="Comma 2 3 4 2 5 3 2" xfId="48900" xr:uid="{D14FA009-B92D-4939-94E6-CDB291B76BC7}"/>
    <cellStyle name="Comma 2 3 4 2 5 3 3" xfId="30646" xr:uid="{4EC742C2-C10B-47BA-8DD2-D8A1AC7E77E9}"/>
    <cellStyle name="Comma 2 3 4 2 5 4" xfId="8742" xr:uid="{F9319577-2EFB-4E9D-9AC8-29B4036D9F33}"/>
    <cellStyle name="Comma 2 3 4 2 5 4 2" xfId="45250" xr:uid="{5A1FA1BF-359D-47D8-9775-E06C647AACC8}"/>
    <cellStyle name="Comma 2 3 4 2 5 4 3" xfId="26996" xr:uid="{B174C038-26AD-4116-9D32-EBE8BAA21989}"/>
    <cellStyle name="Comma 2 3 4 2 5 5" xfId="5092" xr:uid="{9EC5373F-F261-4668-9597-135B7760D260}"/>
    <cellStyle name="Comma 2 3 4 2 5 5 2" xfId="41600" xr:uid="{20C838CE-4613-42D4-A742-D7ECEB2D9126}"/>
    <cellStyle name="Comma 2 3 4 2 5 5 3" xfId="23346" xr:uid="{0BCF2DE9-BA47-480C-9C07-A1087B9FD421}"/>
    <cellStyle name="Comma 2 3 4 2 5 6" xfId="37950" xr:uid="{5C7EAFB6-1AB1-46A4-8C09-A40B02564C9C}"/>
    <cellStyle name="Comma 2 3 4 2 5 7" xfId="19696" xr:uid="{05A4BC89-F5AB-47FB-91F1-DE1659B893DE}"/>
    <cellStyle name="Comma 2 3 4 2 6" xfId="15312" xr:uid="{A5812411-DFAD-4DD6-8B9F-49D55044E266}"/>
    <cellStyle name="Comma 2 3 4 2 6 2" xfId="51820" xr:uid="{9B189861-560F-4AA4-9426-C5F8D58E6A70}"/>
    <cellStyle name="Comma 2 3 4 2 6 3" xfId="33566" xr:uid="{A5423CFA-AF4C-4658-B48E-27D613EE4B5E}"/>
    <cellStyle name="Comma 2 3 4 2 7" xfId="11662" xr:uid="{8B22ACF8-A4E6-494B-B30D-45A8F9A2A218}"/>
    <cellStyle name="Comma 2 3 4 2 7 2" xfId="48170" xr:uid="{31016E6B-7C0E-4535-BE40-847E92426B92}"/>
    <cellStyle name="Comma 2 3 4 2 7 3" xfId="29916" xr:uid="{FF44B733-6DB6-4C7C-B0CF-576C7F506CFB}"/>
    <cellStyle name="Comma 2 3 4 2 8" xfId="8012" xr:uid="{04A0003E-B8AA-4A9F-87E1-C1B8069509B1}"/>
    <cellStyle name="Comma 2 3 4 2 8 2" xfId="44520" xr:uid="{0E6CB4A6-A802-46DD-ABC2-3BCE296DC1A3}"/>
    <cellStyle name="Comma 2 3 4 2 8 3" xfId="26266" xr:uid="{B670377C-5BF9-4D27-A12A-48F33FF5EF47}"/>
    <cellStyle name="Comma 2 3 4 2 9" xfId="4362" xr:uid="{E65513D1-E94B-4A2E-8E10-8A3F3DD5662C}"/>
    <cellStyle name="Comma 2 3 4 2 9 2" xfId="40870" xr:uid="{0B560A75-5ED9-4563-818C-733722B24714}"/>
    <cellStyle name="Comma 2 3 4 2 9 3" xfId="22616" xr:uid="{403507B2-2F33-49DA-BC7B-83F38C5B2F50}"/>
    <cellStyle name="Comma 2 3 4 3" xfId="608" xr:uid="{BF82C71F-519A-47FF-A62D-651780A6CE5F}"/>
    <cellStyle name="Comma 2 3 4 3 10" xfId="37116" xr:uid="{624099F9-00FA-4F0F-89B8-935BE5845A88}"/>
    <cellStyle name="Comma 2 3 4 3 11" xfId="18862" xr:uid="{9FFAC9CF-C838-4FB5-B715-AECFC01B29F8}"/>
    <cellStyle name="Comma 2 3 4 3 2" xfId="3528" xr:uid="{25A3737B-16D8-4DDA-B74C-B49D1F815B44}"/>
    <cellStyle name="Comma 2 3 4 3 2 2" xfId="18128" xr:uid="{8682CFE3-498B-45B2-8539-CDA4765FE126}"/>
    <cellStyle name="Comma 2 3 4 3 2 2 2" xfId="54636" xr:uid="{FA2866E6-E8D0-4A97-8722-D8C7B1B417CB}"/>
    <cellStyle name="Comma 2 3 4 3 2 2 3" xfId="36382" xr:uid="{8D493A07-C468-4DC4-AA96-63623CF4FE28}"/>
    <cellStyle name="Comma 2 3 4 3 2 3" xfId="14478" xr:uid="{9DBD8D2F-7EC5-4392-ACF6-89C42083DC5C}"/>
    <cellStyle name="Comma 2 3 4 3 2 3 2" xfId="50986" xr:uid="{8FFCE567-5A54-4501-BB27-F6468330E680}"/>
    <cellStyle name="Comma 2 3 4 3 2 3 3" xfId="32732" xr:uid="{CDD1BCFC-5F1A-408C-92B9-20F3AA56603E}"/>
    <cellStyle name="Comma 2 3 4 3 2 4" xfId="10828" xr:uid="{31AE7173-388F-48D8-BEEB-F4DA9FF9C064}"/>
    <cellStyle name="Comma 2 3 4 3 2 4 2" xfId="47336" xr:uid="{D4864297-6CC7-4C2C-8085-1597BE3F23C9}"/>
    <cellStyle name="Comma 2 3 4 3 2 4 3" xfId="29082" xr:uid="{CC6796F7-1C8E-4C6B-B3A5-14C902194B52}"/>
    <cellStyle name="Comma 2 3 4 3 2 5" xfId="7178" xr:uid="{2A0D681A-9987-4D22-8AED-9D705FD15BAC}"/>
    <cellStyle name="Comma 2 3 4 3 2 5 2" xfId="43686" xr:uid="{19D334AB-0A62-492A-9722-EE7C3349D384}"/>
    <cellStyle name="Comma 2 3 4 3 2 5 3" xfId="25432" xr:uid="{D519A7D6-176C-40DB-A468-584DB9B2BFF6}"/>
    <cellStyle name="Comma 2 3 4 3 2 6" xfId="40036" xr:uid="{AAEF15AE-47A9-4345-BEFB-0954E7860E30}"/>
    <cellStyle name="Comma 2 3 4 3 2 7" xfId="21782" xr:uid="{2957F18F-5F5D-4EC4-B94B-4F926A3A26D5}"/>
    <cellStyle name="Comma 2 3 4 3 3" xfId="2798" xr:uid="{96E0570F-51E0-4D3F-951D-8F8BEA8C787A}"/>
    <cellStyle name="Comma 2 3 4 3 3 2" xfId="17398" xr:uid="{1F8F80E9-CC62-434F-8E02-95A830D10586}"/>
    <cellStyle name="Comma 2 3 4 3 3 2 2" xfId="53906" xr:uid="{8EC51136-693B-4D3C-A525-3AF703BE04BF}"/>
    <cellStyle name="Comma 2 3 4 3 3 2 3" xfId="35652" xr:uid="{2A0ED181-E5A9-4D52-9A23-8A496A93BF37}"/>
    <cellStyle name="Comma 2 3 4 3 3 3" xfId="13748" xr:uid="{3C376450-0484-4B96-A807-82744BF1DA94}"/>
    <cellStyle name="Comma 2 3 4 3 3 3 2" xfId="50256" xr:uid="{30B4CBA2-9BEE-44B8-A367-15CBAE062F5D}"/>
    <cellStyle name="Comma 2 3 4 3 3 3 3" xfId="32002" xr:uid="{92DE0DC8-6BE3-4EFC-AD6E-812554E17E52}"/>
    <cellStyle name="Comma 2 3 4 3 3 4" xfId="10098" xr:uid="{C2384727-B6BE-4255-A4D7-1EAEF93D1721}"/>
    <cellStyle name="Comma 2 3 4 3 3 4 2" xfId="46606" xr:uid="{BEA3D0CB-2C34-44D7-B4DE-4DD5F0A4FA09}"/>
    <cellStyle name="Comma 2 3 4 3 3 4 3" xfId="28352" xr:uid="{756CC446-A9A6-4AA2-BAE5-C122314C95A4}"/>
    <cellStyle name="Comma 2 3 4 3 3 5" xfId="6448" xr:uid="{8B17BAA6-0B39-485A-9165-7AEF6D9D5FB3}"/>
    <cellStyle name="Comma 2 3 4 3 3 5 2" xfId="42956" xr:uid="{96914121-A2C8-48DC-AA89-B1F55B676ED3}"/>
    <cellStyle name="Comma 2 3 4 3 3 5 3" xfId="24702" xr:uid="{8EEBE7D0-9C77-4D6F-B804-086891F2DA9E}"/>
    <cellStyle name="Comma 2 3 4 3 3 6" xfId="39306" xr:uid="{3D65F841-58C5-43DE-8ADA-35DB77515E7A}"/>
    <cellStyle name="Comma 2 3 4 3 3 7" xfId="21052" xr:uid="{0A23AC5E-183F-4BF3-BE73-FA7D6A66BFFD}"/>
    <cellStyle name="Comma 2 3 4 3 4" xfId="2068" xr:uid="{DBCD7FDA-6864-401D-9849-BB0E8A045837}"/>
    <cellStyle name="Comma 2 3 4 3 4 2" xfId="16668" xr:uid="{2C6DF08C-A855-4092-9D27-47837D43D866}"/>
    <cellStyle name="Comma 2 3 4 3 4 2 2" xfId="53176" xr:uid="{40A6A6B1-E74C-4574-974D-385F5C88FBDA}"/>
    <cellStyle name="Comma 2 3 4 3 4 2 3" xfId="34922" xr:uid="{9DBCE68D-D5EF-48C7-824F-26ADB8BAC394}"/>
    <cellStyle name="Comma 2 3 4 3 4 3" xfId="13018" xr:uid="{4F88F95D-A229-4884-9447-C7876281BE29}"/>
    <cellStyle name="Comma 2 3 4 3 4 3 2" xfId="49526" xr:uid="{69FEA56B-B4B7-4F2F-B775-DEC35561D0D8}"/>
    <cellStyle name="Comma 2 3 4 3 4 3 3" xfId="31272" xr:uid="{149B4235-2D1C-40BE-AF4E-A514F60EFFAA}"/>
    <cellStyle name="Comma 2 3 4 3 4 4" xfId="9368" xr:uid="{C0DEE7C7-ACDE-486C-87A2-2FF39B944671}"/>
    <cellStyle name="Comma 2 3 4 3 4 4 2" xfId="45876" xr:uid="{44DF6055-9EB9-42B6-93F8-E62407C8787A}"/>
    <cellStyle name="Comma 2 3 4 3 4 4 3" xfId="27622" xr:uid="{42BE275C-9971-408E-9173-A7BF93A67501}"/>
    <cellStyle name="Comma 2 3 4 3 4 5" xfId="5718" xr:uid="{BB2B399E-255B-41EB-AE6B-B1BFCD9EF114}"/>
    <cellStyle name="Comma 2 3 4 3 4 5 2" xfId="42226" xr:uid="{C5168B74-146F-45CF-916A-D15A65CD2CD5}"/>
    <cellStyle name="Comma 2 3 4 3 4 5 3" xfId="23972" xr:uid="{747FD049-AACF-4584-A64E-1A80EDCAA8CB}"/>
    <cellStyle name="Comma 2 3 4 3 4 6" xfId="38576" xr:uid="{768A1D4A-C53B-422A-87DF-B72139ECA476}"/>
    <cellStyle name="Comma 2 3 4 3 4 7" xfId="20322" xr:uid="{9E468A70-23BF-4DE1-9EC6-2B122E563C77}"/>
    <cellStyle name="Comma 2 3 4 3 5" xfId="1338" xr:uid="{7EC7F60D-E06E-44D0-A06E-85AF27E91E20}"/>
    <cellStyle name="Comma 2 3 4 3 5 2" xfId="15938" xr:uid="{9CA79730-11DF-4058-AD93-84508DB9567B}"/>
    <cellStyle name="Comma 2 3 4 3 5 2 2" xfId="52446" xr:uid="{0DC2B171-30AC-4BA5-8073-023A019BB213}"/>
    <cellStyle name="Comma 2 3 4 3 5 2 3" xfId="34192" xr:uid="{63CBF7AB-FCA8-4012-BC8D-1BA007E5FA54}"/>
    <cellStyle name="Comma 2 3 4 3 5 3" xfId="12288" xr:uid="{3CC41462-AB94-4504-9747-7564F3853F86}"/>
    <cellStyle name="Comma 2 3 4 3 5 3 2" xfId="48796" xr:uid="{00A4B4C8-E661-47C7-BE6C-7D45E0D06C8D}"/>
    <cellStyle name="Comma 2 3 4 3 5 3 3" xfId="30542" xr:uid="{CE09A8A1-9903-4AF6-8BF0-F2432C8116EF}"/>
    <cellStyle name="Comma 2 3 4 3 5 4" xfId="8638" xr:uid="{0CB370EE-34B5-4FE8-A810-44B7519F6E74}"/>
    <cellStyle name="Comma 2 3 4 3 5 4 2" xfId="45146" xr:uid="{0AA681EC-F690-408B-A726-654DA747060E}"/>
    <cellStyle name="Comma 2 3 4 3 5 4 3" xfId="26892" xr:uid="{DD1A158F-E35B-4A94-93DB-952C29092C6E}"/>
    <cellStyle name="Comma 2 3 4 3 5 5" xfId="4988" xr:uid="{B6C01C0F-49CB-4EE2-9B62-C87070632C92}"/>
    <cellStyle name="Comma 2 3 4 3 5 5 2" xfId="41496" xr:uid="{647AA8B9-E108-4F0F-BA7F-18B55BF33AD2}"/>
    <cellStyle name="Comma 2 3 4 3 5 5 3" xfId="23242" xr:uid="{13CCA1EC-5FBF-4114-BC03-982AB987E5C8}"/>
    <cellStyle name="Comma 2 3 4 3 5 6" xfId="37846" xr:uid="{CE93B4A4-7790-417D-979C-90A63FCB2205}"/>
    <cellStyle name="Comma 2 3 4 3 5 7" xfId="19592" xr:uid="{D96CB251-A358-43BD-BB41-A1376158BB4A}"/>
    <cellStyle name="Comma 2 3 4 3 6" xfId="15208" xr:uid="{9F8756FD-A021-4ABE-801D-A859F0F80D35}"/>
    <cellStyle name="Comma 2 3 4 3 6 2" xfId="51716" xr:uid="{28D9DF55-56D2-49C6-9A46-207EDF8BC95A}"/>
    <cellStyle name="Comma 2 3 4 3 6 3" xfId="33462" xr:uid="{5C3429C9-DEB8-453B-914C-6D451C1F9D0F}"/>
    <cellStyle name="Comma 2 3 4 3 7" xfId="11558" xr:uid="{DB046C10-C206-45CF-8538-1D2399B110F3}"/>
    <cellStyle name="Comma 2 3 4 3 7 2" xfId="48066" xr:uid="{9388E3D4-E8A4-4C65-A2BA-2C45BDBE6A58}"/>
    <cellStyle name="Comma 2 3 4 3 7 3" xfId="29812" xr:uid="{0A3C0021-9FFC-4FFF-B1BC-19680A0BC264}"/>
    <cellStyle name="Comma 2 3 4 3 8" xfId="7908" xr:uid="{C8E16AD1-41FC-4854-9236-2120D728575B}"/>
    <cellStyle name="Comma 2 3 4 3 8 2" xfId="44416" xr:uid="{95ABA75E-DBE6-4712-BDDB-AC065B9BB757}"/>
    <cellStyle name="Comma 2 3 4 3 8 3" xfId="26162" xr:uid="{341B71F5-548E-4DEB-8A99-632DFF559AA7}"/>
    <cellStyle name="Comma 2 3 4 3 9" xfId="4258" xr:uid="{ADFA4CAF-7E0A-42F9-85B6-65D8AE5F1AA6}"/>
    <cellStyle name="Comma 2 3 4 3 9 2" xfId="40766" xr:uid="{9001C919-9C5B-4096-A4B5-A010480435DC}"/>
    <cellStyle name="Comma 2 3 4 3 9 3" xfId="22512" xr:uid="{CA5474B1-60DE-4362-9ED3-AC3FBB0E42A0}"/>
    <cellStyle name="Comma 2 3 4 4" xfId="504" xr:uid="{FD37D076-87BE-4E9A-9C75-0F6D062BC966}"/>
    <cellStyle name="Comma 2 3 4 4 10" xfId="37012" xr:uid="{A0F365E6-3DA7-4721-BCBB-47BB93CD457D}"/>
    <cellStyle name="Comma 2 3 4 4 11" xfId="18758" xr:uid="{2AE54D8D-4CF5-402C-96DE-DE0BB0246F7C}"/>
    <cellStyle name="Comma 2 3 4 4 2" xfId="3424" xr:uid="{63A98ACC-0F52-40C7-BC5C-985002AEFA67}"/>
    <cellStyle name="Comma 2 3 4 4 2 2" xfId="18024" xr:uid="{A36B81C1-7D66-4996-844A-F42EEAF1D3C5}"/>
    <cellStyle name="Comma 2 3 4 4 2 2 2" xfId="54532" xr:uid="{3AB21850-2666-4538-B666-680CEC39045A}"/>
    <cellStyle name="Comma 2 3 4 4 2 2 3" xfId="36278" xr:uid="{3AFCABA6-3D46-4424-8135-5A78F3452640}"/>
    <cellStyle name="Comma 2 3 4 4 2 3" xfId="14374" xr:uid="{D479D8A3-7422-4802-A4AE-FD446923CF5B}"/>
    <cellStyle name="Comma 2 3 4 4 2 3 2" xfId="50882" xr:uid="{55B5526C-EFA6-468B-AEF9-90AA107A6AE4}"/>
    <cellStyle name="Comma 2 3 4 4 2 3 3" xfId="32628" xr:uid="{78E211EC-C35D-4B40-A127-2E6A749FEDEE}"/>
    <cellStyle name="Comma 2 3 4 4 2 4" xfId="10724" xr:uid="{30214366-A44E-47E3-84C4-3AD0AB4C9DBF}"/>
    <cellStyle name="Comma 2 3 4 4 2 4 2" xfId="47232" xr:uid="{B2D2E74E-7F1C-4CA4-AD91-ACED1942F0BC}"/>
    <cellStyle name="Comma 2 3 4 4 2 4 3" xfId="28978" xr:uid="{E566B3D1-1707-456A-9E90-27A7F032D134}"/>
    <cellStyle name="Comma 2 3 4 4 2 5" xfId="7074" xr:uid="{C58D54D2-7ADA-4C5A-8524-9EB59DCD8455}"/>
    <cellStyle name="Comma 2 3 4 4 2 5 2" xfId="43582" xr:uid="{F19E8464-8A30-4F59-BE80-B58EA4357CA2}"/>
    <cellStyle name="Comma 2 3 4 4 2 5 3" xfId="25328" xr:uid="{294B653C-CF0F-4AE0-8207-4F1F836F673B}"/>
    <cellStyle name="Comma 2 3 4 4 2 6" xfId="39932" xr:uid="{E632349C-2992-4596-B42D-8E6C501A43D2}"/>
    <cellStyle name="Comma 2 3 4 4 2 7" xfId="21678" xr:uid="{FF266810-050A-4602-9D63-0D47A3087587}"/>
    <cellStyle name="Comma 2 3 4 4 3" xfId="2694" xr:uid="{FD38789B-9E9E-425C-9206-3FE45B428AD4}"/>
    <cellStyle name="Comma 2 3 4 4 3 2" xfId="17294" xr:uid="{2CFAFB71-3B4B-4E2D-BC67-ED3DE1B46E8D}"/>
    <cellStyle name="Comma 2 3 4 4 3 2 2" xfId="53802" xr:uid="{9A5C7F29-BE51-4E98-B808-3C78F712D539}"/>
    <cellStyle name="Comma 2 3 4 4 3 2 3" xfId="35548" xr:uid="{A6B0418D-960D-4E53-9C5E-F620F64D2E3A}"/>
    <cellStyle name="Comma 2 3 4 4 3 3" xfId="13644" xr:uid="{F962D73B-93E8-4BAF-8C5C-3BA647C3AC88}"/>
    <cellStyle name="Comma 2 3 4 4 3 3 2" xfId="50152" xr:uid="{CD4187B4-22D2-4074-A862-E7770141A557}"/>
    <cellStyle name="Comma 2 3 4 4 3 3 3" xfId="31898" xr:uid="{59F18C06-843E-47CB-BCA8-63EC5C7B88C8}"/>
    <cellStyle name="Comma 2 3 4 4 3 4" xfId="9994" xr:uid="{E91C6EB1-EBCB-4FB5-A2F4-B38986BEC25D}"/>
    <cellStyle name="Comma 2 3 4 4 3 4 2" xfId="46502" xr:uid="{4372B08F-6A81-4B7F-9F61-63D2ED995F33}"/>
    <cellStyle name="Comma 2 3 4 4 3 4 3" xfId="28248" xr:uid="{7C3443CB-983A-44C3-AFBF-AD81CEB44EC0}"/>
    <cellStyle name="Comma 2 3 4 4 3 5" xfId="6344" xr:uid="{12DFCDE2-A694-45CB-BFE6-8F88C7722AD0}"/>
    <cellStyle name="Comma 2 3 4 4 3 5 2" xfId="42852" xr:uid="{7AFB392F-4279-4441-8456-4EA5C375F5A1}"/>
    <cellStyle name="Comma 2 3 4 4 3 5 3" xfId="24598" xr:uid="{DB0B2E5F-0B0A-43D0-A82B-3E47077B496C}"/>
    <cellStyle name="Comma 2 3 4 4 3 6" xfId="39202" xr:uid="{671E219F-757D-4D8E-8386-3E1C2E5B91DD}"/>
    <cellStyle name="Comma 2 3 4 4 3 7" xfId="20948" xr:uid="{BA1CE7FC-2D07-4820-AF12-9AEE8B423798}"/>
    <cellStyle name="Comma 2 3 4 4 4" xfId="1964" xr:uid="{0AB7EE31-E02C-40A3-AD13-D48C94F14A0E}"/>
    <cellStyle name="Comma 2 3 4 4 4 2" xfId="16564" xr:uid="{BD74D7F5-BDC9-423A-BDD4-CAB88F957046}"/>
    <cellStyle name="Comma 2 3 4 4 4 2 2" xfId="53072" xr:uid="{F23AFD00-B8D0-419D-8AA5-10854147D813}"/>
    <cellStyle name="Comma 2 3 4 4 4 2 3" xfId="34818" xr:uid="{C169F69B-9D10-413B-9219-75C118905DA6}"/>
    <cellStyle name="Comma 2 3 4 4 4 3" xfId="12914" xr:uid="{CE51E5A8-BDC0-4943-BAFE-8DB6ED59D7F9}"/>
    <cellStyle name="Comma 2 3 4 4 4 3 2" xfId="49422" xr:uid="{9E09ABBE-1E89-4E1B-AFB9-6418CAD73D89}"/>
    <cellStyle name="Comma 2 3 4 4 4 3 3" xfId="31168" xr:uid="{2F890726-329D-4DA2-88E4-3DEBECB040E1}"/>
    <cellStyle name="Comma 2 3 4 4 4 4" xfId="9264" xr:uid="{714AF571-E91A-4D8F-812F-B30B94EB9CD7}"/>
    <cellStyle name="Comma 2 3 4 4 4 4 2" xfId="45772" xr:uid="{E9B2494C-8A61-45D1-9E34-DFB040F4CA8B}"/>
    <cellStyle name="Comma 2 3 4 4 4 4 3" xfId="27518" xr:uid="{3256ECDD-C216-427C-B1AA-A9A5172C1A7B}"/>
    <cellStyle name="Comma 2 3 4 4 4 5" xfId="5614" xr:uid="{7DDB7B04-DB72-4BB5-B806-8AF6E9AA7E6B}"/>
    <cellStyle name="Comma 2 3 4 4 4 5 2" xfId="42122" xr:uid="{DB9A57E7-2FB7-4B0B-8EDE-43D0C7DDDDCD}"/>
    <cellStyle name="Comma 2 3 4 4 4 5 3" xfId="23868" xr:uid="{FEA9D1AA-B5CE-4FB3-9E27-2CCCAC1FCDD4}"/>
    <cellStyle name="Comma 2 3 4 4 4 6" xfId="38472" xr:uid="{452FC413-A352-45E8-A4FD-03B63B4CDEA5}"/>
    <cellStyle name="Comma 2 3 4 4 4 7" xfId="20218" xr:uid="{1B0A045B-457C-4621-8F1A-433B620A1CEC}"/>
    <cellStyle name="Comma 2 3 4 4 5" xfId="1234" xr:uid="{70AADB8D-1D31-480E-B407-C7DD132B15CC}"/>
    <cellStyle name="Comma 2 3 4 4 5 2" xfId="15834" xr:uid="{F0505ABF-0D19-4518-9FB7-251A7A145A8C}"/>
    <cellStyle name="Comma 2 3 4 4 5 2 2" xfId="52342" xr:uid="{4AA05005-0D08-46E8-B4A5-279890BC69B5}"/>
    <cellStyle name="Comma 2 3 4 4 5 2 3" xfId="34088" xr:uid="{312904C8-AFC6-4F96-83E8-D4218D66DE78}"/>
    <cellStyle name="Comma 2 3 4 4 5 3" xfId="12184" xr:uid="{3999C755-3ADC-4FA8-893B-D5A4D6640882}"/>
    <cellStyle name="Comma 2 3 4 4 5 3 2" xfId="48692" xr:uid="{ABFD3B36-49C4-4F95-92D7-6CD4CB81D556}"/>
    <cellStyle name="Comma 2 3 4 4 5 3 3" xfId="30438" xr:uid="{C28B22F4-4B18-447C-A692-AC24EDFA8D10}"/>
    <cellStyle name="Comma 2 3 4 4 5 4" xfId="8534" xr:uid="{47D3E788-1FC2-48D3-AB05-77103A229E75}"/>
    <cellStyle name="Comma 2 3 4 4 5 4 2" xfId="45042" xr:uid="{FAC6CA77-AFD2-49E7-AD9D-26362B307ABE}"/>
    <cellStyle name="Comma 2 3 4 4 5 4 3" xfId="26788" xr:uid="{B5E687C9-E898-4AC2-8F40-34B41247062B}"/>
    <cellStyle name="Comma 2 3 4 4 5 5" xfId="4884" xr:uid="{D76B80D8-247A-4283-A197-E4C286CA8180}"/>
    <cellStyle name="Comma 2 3 4 4 5 5 2" xfId="41392" xr:uid="{A2208F57-936D-4938-9BA8-78A3866E2B12}"/>
    <cellStyle name="Comma 2 3 4 4 5 5 3" xfId="23138" xr:uid="{F3855E31-D651-443A-8D70-9273A3082FB4}"/>
    <cellStyle name="Comma 2 3 4 4 5 6" xfId="37742" xr:uid="{73CA84BF-C727-4AB9-AC86-CDEFB6B5F997}"/>
    <cellStyle name="Comma 2 3 4 4 5 7" xfId="19488" xr:uid="{DD28B6F7-FEC1-4250-A1B5-6F1C9ED01CA5}"/>
    <cellStyle name="Comma 2 3 4 4 6" xfId="15104" xr:uid="{B6016545-A3F6-4372-BA51-0FE4EFE576E1}"/>
    <cellStyle name="Comma 2 3 4 4 6 2" xfId="51612" xr:uid="{7BF29B4A-72EB-4771-971D-B404283F31C7}"/>
    <cellStyle name="Comma 2 3 4 4 6 3" xfId="33358" xr:uid="{B174DC62-3295-4C66-B690-B97A005B2591}"/>
    <cellStyle name="Comma 2 3 4 4 7" xfId="11454" xr:uid="{66968D8C-E9AB-410C-A83E-7B83D9E24D42}"/>
    <cellStyle name="Comma 2 3 4 4 7 2" xfId="47962" xr:uid="{FBCE356C-0503-4849-9B94-D1C3450C971B}"/>
    <cellStyle name="Comma 2 3 4 4 7 3" xfId="29708" xr:uid="{2854AA31-9B93-4CD9-876D-5330AED95D97}"/>
    <cellStyle name="Comma 2 3 4 4 8" xfId="7804" xr:uid="{F879A312-FC49-478E-9785-89D4587BBC2C}"/>
    <cellStyle name="Comma 2 3 4 4 8 2" xfId="44312" xr:uid="{120C9AEE-7BA6-4977-A901-37D529F7F2C0}"/>
    <cellStyle name="Comma 2 3 4 4 8 3" xfId="26058" xr:uid="{80439BCA-12EC-4E20-89C5-3A529FB56F7F}"/>
    <cellStyle name="Comma 2 3 4 4 9" xfId="4154" xr:uid="{35CACC6A-41A3-4C5B-B04B-0828F20BD63F}"/>
    <cellStyle name="Comma 2 3 4 4 9 2" xfId="40662" xr:uid="{D595D6BE-7447-4EFF-9BCF-CAC4B15A4990}"/>
    <cellStyle name="Comma 2 3 4 4 9 3" xfId="22408" xr:uid="{B8A0074E-1B59-4274-B718-2B1E3DF863CA}"/>
    <cellStyle name="Comma 2 3 4 5" xfId="400" xr:uid="{1B73A8DA-B7ED-4BF8-A615-95BD9161A872}"/>
    <cellStyle name="Comma 2 3 4 5 10" xfId="36908" xr:uid="{50106781-46B7-49D2-B308-B8B68F1DF09E}"/>
    <cellStyle name="Comma 2 3 4 5 11" xfId="18654" xr:uid="{07D16072-C4C1-4AE4-8690-BACB5DE4FA1A}"/>
    <cellStyle name="Comma 2 3 4 5 2" xfId="3320" xr:uid="{09F0503E-3125-4982-8BE5-4282E06758E8}"/>
    <cellStyle name="Comma 2 3 4 5 2 2" xfId="17920" xr:uid="{9A717696-761D-46CB-8032-8CE7D45BE39E}"/>
    <cellStyle name="Comma 2 3 4 5 2 2 2" xfId="54428" xr:uid="{A96B34EA-A3AE-47AF-B8B7-E2CBCD77F24F}"/>
    <cellStyle name="Comma 2 3 4 5 2 2 3" xfId="36174" xr:uid="{F04DB32F-07B8-4BC4-A67A-06E150EBF296}"/>
    <cellStyle name="Comma 2 3 4 5 2 3" xfId="14270" xr:uid="{C9792A5E-DBE9-4235-BF1A-B33F2741E0A7}"/>
    <cellStyle name="Comma 2 3 4 5 2 3 2" xfId="50778" xr:uid="{FD3A8102-2D43-439A-99BE-107A3079C42A}"/>
    <cellStyle name="Comma 2 3 4 5 2 3 3" xfId="32524" xr:uid="{93EF732B-A435-4B9E-8DC6-D8CD48AA949F}"/>
    <cellStyle name="Comma 2 3 4 5 2 4" xfId="10620" xr:uid="{A10780DD-D2E0-4BB3-AF79-CB106B1CBA2C}"/>
    <cellStyle name="Comma 2 3 4 5 2 4 2" xfId="47128" xr:uid="{32CD479A-DD1F-4BD6-B645-2B4F3ECA82EB}"/>
    <cellStyle name="Comma 2 3 4 5 2 4 3" xfId="28874" xr:uid="{3F53D38A-8542-4099-A708-C379A30B1ACB}"/>
    <cellStyle name="Comma 2 3 4 5 2 5" xfId="6970" xr:uid="{BCD91F98-4C6F-4C76-977B-834FB372186D}"/>
    <cellStyle name="Comma 2 3 4 5 2 5 2" xfId="43478" xr:uid="{F8B5EDB6-BC61-41A5-96E2-860BC0E3D44C}"/>
    <cellStyle name="Comma 2 3 4 5 2 5 3" xfId="25224" xr:uid="{9B23607F-0E0D-4273-85D0-958C4D919E0D}"/>
    <cellStyle name="Comma 2 3 4 5 2 6" xfId="39828" xr:uid="{BC587E86-1666-454D-9FB9-2206B5DD1F11}"/>
    <cellStyle name="Comma 2 3 4 5 2 7" xfId="21574" xr:uid="{7EB5542F-3B71-411F-941A-165A60A4298E}"/>
    <cellStyle name="Comma 2 3 4 5 3" xfId="2590" xr:uid="{573652DB-EDFA-4D9B-8F4B-A705242C0131}"/>
    <cellStyle name="Comma 2 3 4 5 3 2" xfId="17190" xr:uid="{9922C8B7-8A09-4DD0-81B7-E36A2209C509}"/>
    <cellStyle name="Comma 2 3 4 5 3 2 2" xfId="53698" xr:uid="{EB27DC8F-F201-47BD-AFBA-DE087928585A}"/>
    <cellStyle name="Comma 2 3 4 5 3 2 3" xfId="35444" xr:uid="{3057BBC9-F8FC-4F8F-8D47-5F8AF1F24C8D}"/>
    <cellStyle name="Comma 2 3 4 5 3 3" xfId="13540" xr:uid="{4B4E30B9-930B-48F6-B8A7-CEC06B562C37}"/>
    <cellStyle name="Comma 2 3 4 5 3 3 2" xfId="50048" xr:uid="{F4397E24-EBBC-4CBF-9B45-04734EBEA975}"/>
    <cellStyle name="Comma 2 3 4 5 3 3 3" xfId="31794" xr:uid="{2A08108B-EC28-4C3D-86F2-EE402039AD72}"/>
    <cellStyle name="Comma 2 3 4 5 3 4" xfId="9890" xr:uid="{CD0DE057-47C2-44E1-93CD-BF56287B3B82}"/>
    <cellStyle name="Comma 2 3 4 5 3 4 2" xfId="46398" xr:uid="{46F305EA-FFF4-4136-AFE4-86C227B57407}"/>
    <cellStyle name="Comma 2 3 4 5 3 4 3" xfId="28144" xr:uid="{FC3EE738-2141-47A0-93CF-94E60528293F}"/>
    <cellStyle name="Comma 2 3 4 5 3 5" xfId="6240" xr:uid="{C9FC2434-9436-48A9-972E-758D578A8E11}"/>
    <cellStyle name="Comma 2 3 4 5 3 5 2" xfId="42748" xr:uid="{539EE066-9145-43EF-B995-154C6748BD68}"/>
    <cellStyle name="Comma 2 3 4 5 3 5 3" xfId="24494" xr:uid="{08A45AC8-45E6-4167-8DB5-620B66EB1E87}"/>
    <cellStyle name="Comma 2 3 4 5 3 6" xfId="39098" xr:uid="{D73803C7-5F5B-4DF5-9EF0-7E7158E960B0}"/>
    <cellStyle name="Comma 2 3 4 5 3 7" xfId="20844" xr:uid="{F1CCD196-9117-4273-8103-74A3C7F7F8C1}"/>
    <cellStyle name="Comma 2 3 4 5 4" xfId="1860" xr:uid="{B061E819-0120-4DDC-A569-B2231601E4F2}"/>
    <cellStyle name="Comma 2 3 4 5 4 2" xfId="16460" xr:uid="{F47CBFA4-F4D3-4742-B28F-0EEC3242AD85}"/>
    <cellStyle name="Comma 2 3 4 5 4 2 2" xfId="52968" xr:uid="{CA1DA818-24F0-4AB5-B215-AFA74C6E4736}"/>
    <cellStyle name="Comma 2 3 4 5 4 2 3" xfId="34714" xr:uid="{B6E5BA4F-9B76-4452-AAE2-A53B489421BE}"/>
    <cellStyle name="Comma 2 3 4 5 4 3" xfId="12810" xr:uid="{D3DA7B47-800C-456B-92DE-104C84EF871C}"/>
    <cellStyle name="Comma 2 3 4 5 4 3 2" xfId="49318" xr:uid="{B7666D85-5638-4ACC-B95D-B405789E650A}"/>
    <cellStyle name="Comma 2 3 4 5 4 3 3" xfId="31064" xr:uid="{3C6409F8-24B1-45F2-925D-82406B973319}"/>
    <cellStyle name="Comma 2 3 4 5 4 4" xfId="9160" xr:uid="{564A63D2-023B-4965-AC2C-48A8E81CB036}"/>
    <cellStyle name="Comma 2 3 4 5 4 4 2" xfId="45668" xr:uid="{CABC1463-1BEF-49AC-AD73-F50D05A2983A}"/>
    <cellStyle name="Comma 2 3 4 5 4 4 3" xfId="27414" xr:uid="{A8E87A19-3F81-418A-8DBA-0FD48926E306}"/>
    <cellStyle name="Comma 2 3 4 5 4 5" xfId="5510" xr:uid="{8EC777B1-355D-44A4-8885-ED7ACBBCD92B}"/>
    <cellStyle name="Comma 2 3 4 5 4 5 2" xfId="42018" xr:uid="{02D7C299-6899-4BB7-9A4D-93C1A66EF6CA}"/>
    <cellStyle name="Comma 2 3 4 5 4 5 3" xfId="23764" xr:uid="{B6712DF3-0E22-442A-9D7B-0B95652373E8}"/>
    <cellStyle name="Comma 2 3 4 5 4 6" xfId="38368" xr:uid="{670AE8F7-C151-4A41-B314-E1ACA9A0E23D}"/>
    <cellStyle name="Comma 2 3 4 5 4 7" xfId="20114" xr:uid="{C3848AEA-1DF0-4EC3-9736-7A71731EABE0}"/>
    <cellStyle name="Comma 2 3 4 5 5" xfId="1130" xr:uid="{61FE6F8E-A55B-4B85-9E86-D04FA9BEF8B7}"/>
    <cellStyle name="Comma 2 3 4 5 5 2" xfId="15730" xr:uid="{AA80EAE0-439D-4ADD-BBF8-C66A9C37C636}"/>
    <cellStyle name="Comma 2 3 4 5 5 2 2" xfId="52238" xr:uid="{64BACB02-7CC0-42D0-9E69-54661FFF9B88}"/>
    <cellStyle name="Comma 2 3 4 5 5 2 3" xfId="33984" xr:uid="{EDDD49E2-81C0-4F3F-A741-375D001812E1}"/>
    <cellStyle name="Comma 2 3 4 5 5 3" xfId="12080" xr:uid="{3E9185D5-564B-4EBB-9CAE-87BEA74FC4CA}"/>
    <cellStyle name="Comma 2 3 4 5 5 3 2" xfId="48588" xr:uid="{8ABAE101-6522-4C8B-AA0A-4AC5C8F8847C}"/>
    <cellStyle name="Comma 2 3 4 5 5 3 3" xfId="30334" xr:uid="{E8C3E968-F821-434B-BDF5-C0AFB4D99C43}"/>
    <cellStyle name="Comma 2 3 4 5 5 4" xfId="8430" xr:uid="{D1368049-BA04-4869-B11B-9AB0CECDBE79}"/>
    <cellStyle name="Comma 2 3 4 5 5 4 2" xfId="44938" xr:uid="{2345F608-9F1D-4AE5-9C71-27F5FAB62E01}"/>
    <cellStyle name="Comma 2 3 4 5 5 4 3" xfId="26684" xr:uid="{4BD1E523-2B44-43F8-9C47-8FAFDF44CEC4}"/>
    <cellStyle name="Comma 2 3 4 5 5 5" xfId="4780" xr:uid="{5360EFA0-0A6A-4379-9BF8-54370F75D72F}"/>
    <cellStyle name="Comma 2 3 4 5 5 5 2" xfId="41288" xr:uid="{8860435F-E0D8-41C8-9846-EBF3F6863948}"/>
    <cellStyle name="Comma 2 3 4 5 5 5 3" xfId="23034" xr:uid="{17BED408-032D-4185-8AB0-9EF9EA6271FC}"/>
    <cellStyle name="Comma 2 3 4 5 5 6" xfId="37638" xr:uid="{ECCF2F27-6D95-43CB-9D73-24B0387E98B2}"/>
    <cellStyle name="Comma 2 3 4 5 5 7" xfId="19384" xr:uid="{3A85FA0C-1883-4789-804C-05FAFF8FFE3A}"/>
    <cellStyle name="Comma 2 3 4 5 6" xfId="15000" xr:uid="{213C4FF3-4389-428A-8536-B67AF7837A07}"/>
    <cellStyle name="Comma 2 3 4 5 6 2" xfId="51508" xr:uid="{BFC480B3-792D-42E9-82E9-C5ED2E6CD174}"/>
    <cellStyle name="Comma 2 3 4 5 6 3" xfId="33254" xr:uid="{12BB9EC7-23F7-4A03-95CF-4052E14ACD92}"/>
    <cellStyle name="Comma 2 3 4 5 7" xfId="11350" xr:uid="{2B83A361-CB08-4257-A5E9-D959F89E41E9}"/>
    <cellStyle name="Comma 2 3 4 5 7 2" xfId="47858" xr:uid="{D09373BE-88B3-4BD2-A1CD-3F9D4E96B1D6}"/>
    <cellStyle name="Comma 2 3 4 5 7 3" xfId="29604" xr:uid="{1DDC5F3E-7BAA-4F80-8442-CFC32013134C}"/>
    <cellStyle name="Comma 2 3 4 5 8" xfId="7700" xr:uid="{7115A81B-00C2-45F9-A7E5-A9A6DB9DE868}"/>
    <cellStyle name="Comma 2 3 4 5 8 2" xfId="44208" xr:uid="{4D39A6AC-B62D-4407-8670-087E719F8B5E}"/>
    <cellStyle name="Comma 2 3 4 5 8 3" xfId="25954" xr:uid="{AF3DDE61-3687-4F3D-BA28-AA4C9770EBB8}"/>
    <cellStyle name="Comma 2 3 4 5 9" xfId="4050" xr:uid="{D6E528D0-7153-4229-9500-0E5B9119729D}"/>
    <cellStyle name="Comma 2 3 4 5 9 2" xfId="40558" xr:uid="{AFABA884-90F9-48A1-90D2-56B774F25A31}"/>
    <cellStyle name="Comma 2 3 4 5 9 3" xfId="22304" xr:uid="{9FE23DE8-DE96-44B8-ACE3-1DE1795827F8}"/>
    <cellStyle name="Comma 2 3 4 6" xfId="296" xr:uid="{9E6FF882-4546-48C5-AA37-6CF3A49F6E91}"/>
    <cellStyle name="Comma 2 3 4 6 10" xfId="36804" xr:uid="{7C9376C4-56E9-49D5-BE69-C26063187C37}"/>
    <cellStyle name="Comma 2 3 4 6 11" xfId="18550" xr:uid="{0BB7F97C-E3C9-4B44-9B12-553C2D2440E2}"/>
    <cellStyle name="Comma 2 3 4 6 2" xfId="3216" xr:uid="{527213E1-D304-4335-B562-39B5E0C9B60F}"/>
    <cellStyle name="Comma 2 3 4 6 2 2" xfId="17816" xr:uid="{055C7B0F-B2BB-4A15-965B-034B69631456}"/>
    <cellStyle name="Comma 2 3 4 6 2 2 2" xfId="54324" xr:uid="{63704F69-349C-4115-B2E8-1661ABB01AF6}"/>
    <cellStyle name="Comma 2 3 4 6 2 2 3" xfId="36070" xr:uid="{86B290AC-51F6-461B-9D9A-C7E94BC24B5C}"/>
    <cellStyle name="Comma 2 3 4 6 2 3" xfId="14166" xr:uid="{D5D8EFBB-3E24-4E4B-A28D-6AF355545C5F}"/>
    <cellStyle name="Comma 2 3 4 6 2 3 2" xfId="50674" xr:uid="{5B16DC11-E4B7-4CE5-86FC-6A5DB8514E85}"/>
    <cellStyle name="Comma 2 3 4 6 2 3 3" xfId="32420" xr:uid="{FDCB92E6-85C1-4801-A951-358D809D83FA}"/>
    <cellStyle name="Comma 2 3 4 6 2 4" xfId="10516" xr:uid="{4803A681-3C1E-47D7-ADAA-F8B9B2961029}"/>
    <cellStyle name="Comma 2 3 4 6 2 4 2" xfId="47024" xr:uid="{0169A760-ADC4-49E1-B8DB-04708E05A750}"/>
    <cellStyle name="Comma 2 3 4 6 2 4 3" xfId="28770" xr:uid="{C7D5F769-C122-459B-A9E0-2AB4D2770B4A}"/>
    <cellStyle name="Comma 2 3 4 6 2 5" xfId="6866" xr:uid="{5384C6AC-DAEE-4E2F-A1AB-C6B666E22844}"/>
    <cellStyle name="Comma 2 3 4 6 2 5 2" xfId="43374" xr:uid="{B031D2BA-05E8-4E74-8FD2-4D0C2C740ABD}"/>
    <cellStyle name="Comma 2 3 4 6 2 5 3" xfId="25120" xr:uid="{0877B3ED-6F44-4EF6-9778-7E4DA2FC8BDF}"/>
    <cellStyle name="Comma 2 3 4 6 2 6" xfId="39724" xr:uid="{AC21A099-B439-4184-ABCD-3E4DB494F136}"/>
    <cellStyle name="Comma 2 3 4 6 2 7" xfId="21470" xr:uid="{EF5763C9-B7C5-45FA-AB79-7835AF393E42}"/>
    <cellStyle name="Comma 2 3 4 6 3" xfId="2486" xr:uid="{5CFA43A5-A0E8-4646-8CAB-BC12AD06F831}"/>
    <cellStyle name="Comma 2 3 4 6 3 2" xfId="17086" xr:uid="{94C5F8E0-962A-4CC2-B035-800B10D5A49F}"/>
    <cellStyle name="Comma 2 3 4 6 3 2 2" xfId="53594" xr:uid="{208EE028-209F-4202-BCE6-D45C1826237A}"/>
    <cellStyle name="Comma 2 3 4 6 3 2 3" xfId="35340" xr:uid="{AAEDF7FE-A992-4BE4-82F0-E08953422464}"/>
    <cellStyle name="Comma 2 3 4 6 3 3" xfId="13436" xr:uid="{B63900DB-9152-4837-BC95-B2FC4FFF984C}"/>
    <cellStyle name="Comma 2 3 4 6 3 3 2" xfId="49944" xr:uid="{D79A3803-1B19-4F46-A6C0-5026F779D23B}"/>
    <cellStyle name="Comma 2 3 4 6 3 3 3" xfId="31690" xr:uid="{197304CA-2444-4F7B-9D8B-72429907327A}"/>
    <cellStyle name="Comma 2 3 4 6 3 4" xfId="9786" xr:uid="{6BCE7005-B76D-4D11-8143-55D49B5F0423}"/>
    <cellStyle name="Comma 2 3 4 6 3 4 2" xfId="46294" xr:uid="{13719FEC-2F45-4F8C-9C8B-69B6B1D81131}"/>
    <cellStyle name="Comma 2 3 4 6 3 4 3" xfId="28040" xr:uid="{FCD77AE7-318C-47C5-AD55-00136CBF2EAD}"/>
    <cellStyle name="Comma 2 3 4 6 3 5" xfId="6136" xr:uid="{C53E4113-6225-4999-8274-9E8710801838}"/>
    <cellStyle name="Comma 2 3 4 6 3 5 2" xfId="42644" xr:uid="{AAD9C77C-067E-4B2C-9260-66D1AF034384}"/>
    <cellStyle name="Comma 2 3 4 6 3 5 3" xfId="24390" xr:uid="{4829F1D0-8018-4315-947D-32BC46857C09}"/>
    <cellStyle name="Comma 2 3 4 6 3 6" xfId="38994" xr:uid="{87FBE427-5967-47B8-A3B3-EECFEDE96AB3}"/>
    <cellStyle name="Comma 2 3 4 6 3 7" xfId="20740" xr:uid="{E8813AFE-1A42-4402-8BC4-A7773E2E5F38}"/>
    <cellStyle name="Comma 2 3 4 6 4" xfId="1756" xr:uid="{9EEA0028-6B34-44B4-8CD6-02C64CAC9EB7}"/>
    <cellStyle name="Comma 2 3 4 6 4 2" xfId="16356" xr:uid="{37A05B02-A318-45DA-B384-8D69FA8048DD}"/>
    <cellStyle name="Comma 2 3 4 6 4 2 2" xfId="52864" xr:uid="{C18E080D-4AC3-464A-BEFC-5F30F3ED4860}"/>
    <cellStyle name="Comma 2 3 4 6 4 2 3" xfId="34610" xr:uid="{BF3E5C92-7A9D-4F6B-86ED-7F100D69E1BD}"/>
    <cellStyle name="Comma 2 3 4 6 4 3" xfId="12706" xr:uid="{9789A1E9-1725-4555-A9CE-4DAFC8E5C2F6}"/>
    <cellStyle name="Comma 2 3 4 6 4 3 2" xfId="49214" xr:uid="{AFA8BFFA-3408-42AE-8DB1-CBCFFFB91344}"/>
    <cellStyle name="Comma 2 3 4 6 4 3 3" xfId="30960" xr:uid="{DF8FCA33-C0AA-4576-A2E1-61D7C326CADC}"/>
    <cellStyle name="Comma 2 3 4 6 4 4" xfId="9056" xr:uid="{DAD2C65A-ABF4-4427-BC4A-AA0C4C277546}"/>
    <cellStyle name="Comma 2 3 4 6 4 4 2" xfId="45564" xr:uid="{B2F26E69-6E21-49EA-9D1B-02E5CF4268AA}"/>
    <cellStyle name="Comma 2 3 4 6 4 4 3" xfId="27310" xr:uid="{D4F076A8-38A3-4EBA-9A73-BD747EAD5E40}"/>
    <cellStyle name="Comma 2 3 4 6 4 5" xfId="5406" xr:uid="{20C178ED-8DD7-46E0-BEF6-0E34C66210B3}"/>
    <cellStyle name="Comma 2 3 4 6 4 5 2" xfId="41914" xr:uid="{8D71CA06-A389-4960-A32D-9AC4E7B7F4E8}"/>
    <cellStyle name="Comma 2 3 4 6 4 5 3" xfId="23660" xr:uid="{2B016804-D7C8-4B14-8A25-C72AB6A95BC0}"/>
    <cellStyle name="Comma 2 3 4 6 4 6" xfId="38264" xr:uid="{BE02AF78-33B8-40C5-9D5D-F6D8DD4C0D9F}"/>
    <cellStyle name="Comma 2 3 4 6 4 7" xfId="20010" xr:uid="{4331C0CB-DC6C-4CD0-9C3F-740A2F438A98}"/>
    <cellStyle name="Comma 2 3 4 6 5" xfId="1026" xr:uid="{45059F08-704B-4720-BE7C-20482D724EFB}"/>
    <cellStyle name="Comma 2 3 4 6 5 2" xfId="15626" xr:uid="{7E9F359A-C318-4F35-814F-57F5EC56A1E9}"/>
    <cellStyle name="Comma 2 3 4 6 5 2 2" xfId="52134" xr:uid="{9BF8CBD1-63BA-4485-8782-82CAC4969D16}"/>
    <cellStyle name="Comma 2 3 4 6 5 2 3" xfId="33880" xr:uid="{A8CE8E37-AD86-4221-915D-65179B61767A}"/>
    <cellStyle name="Comma 2 3 4 6 5 3" xfId="11976" xr:uid="{3EA9BC22-BB75-4CAD-9975-A49F8EC76EA4}"/>
    <cellStyle name="Comma 2 3 4 6 5 3 2" xfId="48484" xr:uid="{64D7D79D-A97E-4723-B8D1-49AC864E9B2E}"/>
    <cellStyle name="Comma 2 3 4 6 5 3 3" xfId="30230" xr:uid="{32247A21-ECD1-4B06-86D4-E257FFFF1C04}"/>
    <cellStyle name="Comma 2 3 4 6 5 4" xfId="8326" xr:uid="{8DF6A603-512B-4090-A6D8-6D5093237E71}"/>
    <cellStyle name="Comma 2 3 4 6 5 4 2" xfId="44834" xr:uid="{9EA52C5C-7504-43A0-B636-05A45C19AB9D}"/>
    <cellStyle name="Comma 2 3 4 6 5 4 3" xfId="26580" xr:uid="{8240C079-55F0-420D-B1B4-FE78D978F232}"/>
    <cellStyle name="Comma 2 3 4 6 5 5" xfId="4676" xr:uid="{DE643C09-B5EE-4C95-B268-DA65F0D9ECEE}"/>
    <cellStyle name="Comma 2 3 4 6 5 5 2" xfId="41184" xr:uid="{8774DA27-003A-406A-B5BF-FEFB7997D9EC}"/>
    <cellStyle name="Comma 2 3 4 6 5 5 3" xfId="22930" xr:uid="{6DDBCBE4-BD7A-43B5-8DA1-10ADBAA6C6FC}"/>
    <cellStyle name="Comma 2 3 4 6 5 6" xfId="37534" xr:uid="{A955CD85-A48C-4ABE-B395-3302EDF46D4C}"/>
    <cellStyle name="Comma 2 3 4 6 5 7" xfId="19280" xr:uid="{DFB78ACB-0DC6-40E8-B2FD-5B872F6F2404}"/>
    <cellStyle name="Comma 2 3 4 6 6" xfId="14896" xr:uid="{1D135F11-F980-494B-BDDE-2C04D5222474}"/>
    <cellStyle name="Comma 2 3 4 6 6 2" xfId="51404" xr:uid="{97D52211-AB0D-4510-A129-4CC2BBD66630}"/>
    <cellStyle name="Comma 2 3 4 6 6 3" xfId="33150" xr:uid="{63E88ED1-9FEE-467A-8EB4-A05EEEFD62E9}"/>
    <cellStyle name="Comma 2 3 4 6 7" xfId="11246" xr:uid="{65C42245-AD75-4F51-92B5-863E20047774}"/>
    <cellStyle name="Comma 2 3 4 6 7 2" xfId="47754" xr:uid="{BFA77D51-B60C-4684-AE91-B0B069FB7935}"/>
    <cellStyle name="Comma 2 3 4 6 7 3" xfId="29500" xr:uid="{E5A49693-6796-4B96-B845-55309D96360E}"/>
    <cellStyle name="Comma 2 3 4 6 8" xfId="7596" xr:uid="{11DA0ADA-2E13-4368-83CD-D09E385C6E9A}"/>
    <cellStyle name="Comma 2 3 4 6 8 2" xfId="44104" xr:uid="{B8BD8B94-EF8F-4645-A841-9488D4D19E6D}"/>
    <cellStyle name="Comma 2 3 4 6 8 3" xfId="25850" xr:uid="{B7885DD3-ECF5-4FF2-BBEF-4B506F16E3B3}"/>
    <cellStyle name="Comma 2 3 4 6 9" xfId="3946" xr:uid="{740AD8BD-F6CD-4324-B6AF-9E501FBC5302}"/>
    <cellStyle name="Comma 2 3 4 6 9 2" xfId="40454" xr:uid="{18DA86F8-03A2-4E4C-B574-7FF536A72546}"/>
    <cellStyle name="Comma 2 3 4 6 9 3" xfId="22200" xr:uid="{C78573DF-6157-48CF-A74C-84EAF4ED714D}"/>
    <cellStyle name="Comma 2 3 4 7" xfId="192" xr:uid="{C861B416-8214-4C69-A0BD-DDA5F98F553B}"/>
    <cellStyle name="Comma 2 3 4 7 10" xfId="36700" xr:uid="{6A0B2789-3687-4D39-9981-1580B6073ED6}"/>
    <cellStyle name="Comma 2 3 4 7 11" xfId="18446" xr:uid="{2D669B8F-FF9C-4A5E-B97B-4CA965EA7782}"/>
    <cellStyle name="Comma 2 3 4 7 2" xfId="3112" xr:uid="{DA1237F1-F87F-4B66-8325-8DDEEC1419BD}"/>
    <cellStyle name="Comma 2 3 4 7 2 2" xfId="17712" xr:uid="{3130529D-FB41-41AE-B8BC-B3ECB6B92846}"/>
    <cellStyle name="Comma 2 3 4 7 2 2 2" xfId="54220" xr:uid="{CE5349EC-8FDB-48D4-988C-93B6AF1A412F}"/>
    <cellStyle name="Comma 2 3 4 7 2 2 3" xfId="35966" xr:uid="{E5D52392-F0D8-42B8-84A2-EDE2FA7F7847}"/>
    <cellStyle name="Comma 2 3 4 7 2 3" xfId="14062" xr:uid="{08F9E675-F1EE-4FC6-9E3A-DD4B3D780CC5}"/>
    <cellStyle name="Comma 2 3 4 7 2 3 2" xfId="50570" xr:uid="{7A93EAA1-F073-406E-8D12-BEDEFF83BADA}"/>
    <cellStyle name="Comma 2 3 4 7 2 3 3" xfId="32316" xr:uid="{5C08269B-7280-4A2D-B31A-0D306342FD15}"/>
    <cellStyle name="Comma 2 3 4 7 2 4" xfId="10412" xr:uid="{6A1AE448-4C46-4424-B955-7EB282D40291}"/>
    <cellStyle name="Comma 2 3 4 7 2 4 2" xfId="46920" xr:uid="{F545E9B4-DDB3-4FAB-BCF1-5B17F797AE00}"/>
    <cellStyle name="Comma 2 3 4 7 2 4 3" xfId="28666" xr:uid="{7FFA500F-2776-499E-A656-3C08F88B285C}"/>
    <cellStyle name="Comma 2 3 4 7 2 5" xfId="6762" xr:uid="{7C55A95E-5B7E-48E8-8CDC-684FE4B32CF2}"/>
    <cellStyle name="Comma 2 3 4 7 2 5 2" xfId="43270" xr:uid="{3D8FEE83-92FB-476D-8B22-1D4401B02070}"/>
    <cellStyle name="Comma 2 3 4 7 2 5 3" xfId="25016" xr:uid="{26AEBB87-1847-42E6-815D-02EE8F30D2D8}"/>
    <cellStyle name="Comma 2 3 4 7 2 6" xfId="39620" xr:uid="{92AD2B5E-2FDB-4A48-B63F-89E5DD0FA3D4}"/>
    <cellStyle name="Comma 2 3 4 7 2 7" xfId="21366" xr:uid="{4C5F79D9-7B39-4706-BCEA-02938B58CF77}"/>
    <cellStyle name="Comma 2 3 4 7 3" xfId="2382" xr:uid="{CB709375-0045-44EE-AFFE-BB45788F4C17}"/>
    <cellStyle name="Comma 2 3 4 7 3 2" xfId="16982" xr:uid="{9DA9ED2B-DC8B-404C-8B26-DE1E9AD541BB}"/>
    <cellStyle name="Comma 2 3 4 7 3 2 2" xfId="53490" xr:uid="{1A465BEE-6073-4D55-AF9C-AC797F627887}"/>
    <cellStyle name="Comma 2 3 4 7 3 2 3" xfId="35236" xr:uid="{99B91B74-B2BF-4E26-9EDE-5E8B054221C9}"/>
    <cellStyle name="Comma 2 3 4 7 3 3" xfId="13332" xr:uid="{0A3DAF48-66FD-4395-AEAA-AB222A49EA78}"/>
    <cellStyle name="Comma 2 3 4 7 3 3 2" xfId="49840" xr:uid="{2B36F76A-24E4-4F8F-BE88-D4673D5615FE}"/>
    <cellStyle name="Comma 2 3 4 7 3 3 3" xfId="31586" xr:uid="{20C13AB9-7257-4CF2-94B1-3CAAC4981F77}"/>
    <cellStyle name="Comma 2 3 4 7 3 4" xfId="9682" xr:uid="{843C1824-06C6-4979-A3AD-171CACAEB74E}"/>
    <cellStyle name="Comma 2 3 4 7 3 4 2" xfId="46190" xr:uid="{51B0D8F0-FE68-4AE9-95CE-9C89EAFFA14C}"/>
    <cellStyle name="Comma 2 3 4 7 3 4 3" xfId="27936" xr:uid="{8E50274A-234B-4006-B269-7BE54E4BE9F4}"/>
    <cellStyle name="Comma 2 3 4 7 3 5" xfId="6032" xr:uid="{1B9513C5-F69E-4639-9A73-9A606FAC2DD5}"/>
    <cellStyle name="Comma 2 3 4 7 3 5 2" xfId="42540" xr:uid="{A17333CA-6440-44E1-8E78-522A2AF57E8F}"/>
    <cellStyle name="Comma 2 3 4 7 3 5 3" xfId="24286" xr:uid="{5E3AD9FA-065C-4A22-B135-594F7A055377}"/>
    <cellStyle name="Comma 2 3 4 7 3 6" xfId="38890" xr:uid="{C88660D3-6804-4C8B-879E-848CA3543635}"/>
    <cellStyle name="Comma 2 3 4 7 3 7" xfId="20636" xr:uid="{FC0CAFFB-DDEE-4DD7-B350-00CDC7DB378B}"/>
    <cellStyle name="Comma 2 3 4 7 4" xfId="1652" xr:uid="{A782D437-5BFF-420F-AE58-52B5D87C9320}"/>
    <cellStyle name="Comma 2 3 4 7 4 2" xfId="16252" xr:uid="{0F79C139-6846-49DB-A2A6-508D727EF451}"/>
    <cellStyle name="Comma 2 3 4 7 4 2 2" xfId="52760" xr:uid="{68ADAB21-2D06-4C12-A6E5-30549B35429C}"/>
    <cellStyle name="Comma 2 3 4 7 4 2 3" xfId="34506" xr:uid="{AC7A12D8-89C2-47EF-9B32-418A23172ACB}"/>
    <cellStyle name="Comma 2 3 4 7 4 3" xfId="12602" xr:uid="{2BDA5930-AC36-41A0-87CD-A63CB819CE12}"/>
    <cellStyle name="Comma 2 3 4 7 4 3 2" xfId="49110" xr:uid="{F5F88E1A-D1ED-427E-A046-06AE51B21B04}"/>
    <cellStyle name="Comma 2 3 4 7 4 3 3" xfId="30856" xr:uid="{94B351CF-17D9-4C6F-B360-B7138AF343FC}"/>
    <cellStyle name="Comma 2 3 4 7 4 4" xfId="8952" xr:uid="{4319E360-82CB-44EC-B4A3-260D69BB7E59}"/>
    <cellStyle name="Comma 2 3 4 7 4 4 2" xfId="45460" xr:uid="{81698A64-BFFD-4516-A2B3-6B4FE0BB7D60}"/>
    <cellStyle name="Comma 2 3 4 7 4 4 3" xfId="27206" xr:uid="{F7E72D67-7062-4560-BC18-8CCDB650F66A}"/>
    <cellStyle name="Comma 2 3 4 7 4 5" xfId="5302" xr:uid="{2D3BC59B-207C-4332-AA6F-9787EC8E69B9}"/>
    <cellStyle name="Comma 2 3 4 7 4 5 2" xfId="41810" xr:uid="{726E4043-C515-43B1-BF8B-EC4E25AEF247}"/>
    <cellStyle name="Comma 2 3 4 7 4 5 3" xfId="23556" xr:uid="{11DEF2BF-2A0E-4085-86FA-414678D5DB06}"/>
    <cellStyle name="Comma 2 3 4 7 4 6" xfId="38160" xr:uid="{B514A232-B9BC-4348-B6A5-3F34F03BB849}"/>
    <cellStyle name="Comma 2 3 4 7 4 7" xfId="19906" xr:uid="{CDB6458B-373A-45FC-B7BC-E170026221C0}"/>
    <cellStyle name="Comma 2 3 4 7 5" xfId="922" xr:uid="{2CB46D5E-5749-437D-91F7-7DDE6BE0AD84}"/>
    <cellStyle name="Comma 2 3 4 7 5 2" xfId="15522" xr:uid="{7548CFEB-9165-4491-A385-CBFC741B48D8}"/>
    <cellStyle name="Comma 2 3 4 7 5 2 2" xfId="52030" xr:uid="{5D14E1F5-C212-444A-A017-C9FD2DA06A5E}"/>
    <cellStyle name="Comma 2 3 4 7 5 2 3" xfId="33776" xr:uid="{9770A2FD-2987-47D9-AD8B-CBD88A1F21EA}"/>
    <cellStyle name="Comma 2 3 4 7 5 3" xfId="11872" xr:uid="{8FD651C9-DCF6-4BE7-9DDB-5FE9E58B503A}"/>
    <cellStyle name="Comma 2 3 4 7 5 3 2" xfId="48380" xr:uid="{D4383E37-310A-435D-84E9-FC955699987B}"/>
    <cellStyle name="Comma 2 3 4 7 5 3 3" xfId="30126" xr:uid="{19B574F4-09C6-41AD-A79B-1EC0F76CAA0E}"/>
    <cellStyle name="Comma 2 3 4 7 5 4" xfId="8222" xr:uid="{CB06B2F1-8818-4474-8041-D7412BA7A6EA}"/>
    <cellStyle name="Comma 2 3 4 7 5 4 2" xfId="44730" xr:uid="{39BF6052-1822-4FBA-99CA-2ABF9D6CD47C}"/>
    <cellStyle name="Comma 2 3 4 7 5 4 3" xfId="26476" xr:uid="{E7D3831D-7109-4D8A-B0EC-8EC9BF4F4938}"/>
    <cellStyle name="Comma 2 3 4 7 5 5" xfId="4572" xr:uid="{F02B7F14-63F3-40E6-BB8A-0EE53C7BFD6A}"/>
    <cellStyle name="Comma 2 3 4 7 5 5 2" xfId="41080" xr:uid="{B22DAA4E-0317-4F62-99C4-DC7723690227}"/>
    <cellStyle name="Comma 2 3 4 7 5 5 3" xfId="22826" xr:uid="{4FD71CCA-E4DE-44B9-89FF-50EC55E39B3C}"/>
    <cellStyle name="Comma 2 3 4 7 5 6" xfId="37430" xr:uid="{0B0B09D5-44FF-4D70-8E89-6562987B3B4D}"/>
    <cellStyle name="Comma 2 3 4 7 5 7" xfId="19176" xr:uid="{5CC67FF4-8D35-4891-BF92-BF0CC50B3BA4}"/>
    <cellStyle name="Comma 2 3 4 7 6" xfId="14792" xr:uid="{EAF9F7B1-EF18-4CA8-9DC6-CC32C0CFC125}"/>
    <cellStyle name="Comma 2 3 4 7 6 2" xfId="51300" xr:uid="{89332BEA-688D-49FF-B2FB-DC83F87C51E4}"/>
    <cellStyle name="Comma 2 3 4 7 6 3" xfId="33046" xr:uid="{201A633C-91F6-4B34-B0D5-EA0356E842EF}"/>
    <cellStyle name="Comma 2 3 4 7 7" xfId="11142" xr:uid="{C1E63DD1-39A9-40E8-B3A9-928D59092BA3}"/>
    <cellStyle name="Comma 2 3 4 7 7 2" xfId="47650" xr:uid="{57108079-7D52-456C-B0C4-51FFC07364F2}"/>
    <cellStyle name="Comma 2 3 4 7 7 3" xfId="29396" xr:uid="{695FBF4B-7CE4-4F27-B88D-8C03DD339507}"/>
    <cellStyle name="Comma 2 3 4 7 8" xfId="7492" xr:uid="{CB50B94E-7E7E-443B-9D95-85D14AC25D24}"/>
    <cellStyle name="Comma 2 3 4 7 8 2" xfId="44000" xr:uid="{896B0CC9-84E1-4EC3-B73E-274C430AB6AD}"/>
    <cellStyle name="Comma 2 3 4 7 8 3" xfId="25746" xr:uid="{13A462A1-4BCA-4338-A93F-4BE464BB28CC}"/>
    <cellStyle name="Comma 2 3 4 7 9" xfId="3842" xr:uid="{884180F5-7E95-42E1-A579-42E5E31ADFCF}"/>
    <cellStyle name="Comma 2 3 4 7 9 2" xfId="40350" xr:uid="{D817DABE-391E-47A8-B962-3E6191C21D7A}"/>
    <cellStyle name="Comma 2 3 4 7 9 3" xfId="22096" xr:uid="{EA6883E4-5F88-46CA-BCC4-3476D2EC86D7}"/>
    <cellStyle name="Comma 2 3 4 8" xfId="3008" xr:uid="{702646BD-96B7-4EC1-BA19-4C592EAD0448}"/>
    <cellStyle name="Comma 2 3 4 8 2" xfId="17608" xr:uid="{6588C975-F989-4809-AAEC-BD192BE3CFB6}"/>
    <cellStyle name="Comma 2 3 4 8 2 2" xfId="54116" xr:uid="{5A1CBEBF-00A6-48AA-BF73-2CD0A95930AB}"/>
    <cellStyle name="Comma 2 3 4 8 2 3" xfId="35862" xr:uid="{F9843270-C184-46EE-B241-373434506E3A}"/>
    <cellStyle name="Comma 2 3 4 8 3" xfId="13958" xr:uid="{6BE35E1F-8EDC-4A59-8C2E-3A68EBC23319}"/>
    <cellStyle name="Comma 2 3 4 8 3 2" xfId="50466" xr:uid="{FA3F2146-E853-4E3C-AB2B-354DF2D14CC9}"/>
    <cellStyle name="Comma 2 3 4 8 3 3" xfId="32212" xr:uid="{D4269467-AECC-456C-BD70-26D973B46B62}"/>
    <cellStyle name="Comma 2 3 4 8 4" xfId="10308" xr:uid="{F20C6080-D15A-48FD-B492-60469A2DA8DC}"/>
    <cellStyle name="Comma 2 3 4 8 4 2" xfId="46816" xr:uid="{0C53DEBA-7208-4060-83F3-E5A0B2DD59A7}"/>
    <cellStyle name="Comma 2 3 4 8 4 3" xfId="28562" xr:uid="{EC09D1DE-F529-4043-AB48-2ED0FC9D9A74}"/>
    <cellStyle name="Comma 2 3 4 8 5" xfId="6658" xr:uid="{22987C7C-A42F-4812-80CD-80A576537603}"/>
    <cellStyle name="Comma 2 3 4 8 5 2" xfId="43166" xr:uid="{A40361C7-6DBB-4569-AA2D-E8ECA08B9BFD}"/>
    <cellStyle name="Comma 2 3 4 8 5 3" xfId="24912" xr:uid="{F675DDC1-3265-415E-B946-EB0BA7B4B8A3}"/>
    <cellStyle name="Comma 2 3 4 8 6" xfId="39516" xr:uid="{1955AB8B-54F1-465C-A1B0-6FA9549BAD0D}"/>
    <cellStyle name="Comma 2 3 4 8 7" xfId="21262" xr:uid="{45A32948-26BF-4654-BC0A-2B3F271AAFC5}"/>
    <cellStyle name="Comma 2 3 4 9" xfId="2278" xr:uid="{56E9F231-210D-45A7-B520-D13A6709DC73}"/>
    <cellStyle name="Comma 2 3 4 9 2" xfId="16878" xr:uid="{BB2D904A-F9CD-419C-B2D6-56DC8D617756}"/>
    <cellStyle name="Comma 2 3 4 9 2 2" xfId="53386" xr:uid="{4076F057-BF5A-44A2-B827-FD93E7283B44}"/>
    <cellStyle name="Comma 2 3 4 9 2 3" xfId="35132" xr:uid="{6F8EC8B6-C32C-4C60-A6B2-92967A937D10}"/>
    <cellStyle name="Comma 2 3 4 9 3" xfId="13228" xr:uid="{ADC97073-D3E2-4D6F-9685-2989880B262D}"/>
    <cellStyle name="Comma 2 3 4 9 3 2" xfId="49736" xr:uid="{42C1D97B-390F-4D00-AA1D-E3BE1FCE8032}"/>
    <cellStyle name="Comma 2 3 4 9 3 3" xfId="31482" xr:uid="{65EF47AB-B213-4C44-80B5-02769971D924}"/>
    <cellStyle name="Comma 2 3 4 9 4" xfId="9578" xr:uid="{12BA41D4-5417-42D0-8CC0-FE2C856577E2}"/>
    <cellStyle name="Comma 2 3 4 9 4 2" xfId="46086" xr:uid="{033DD7B2-4471-4CEE-AF87-4B84639250C6}"/>
    <cellStyle name="Comma 2 3 4 9 4 3" xfId="27832" xr:uid="{EFF0907F-70D0-4C41-BC25-F7E2637990FC}"/>
    <cellStyle name="Comma 2 3 4 9 5" xfId="5928" xr:uid="{CEA30E17-C8EC-4563-8A89-B0F71F38EF17}"/>
    <cellStyle name="Comma 2 3 4 9 5 2" xfId="42436" xr:uid="{FA8000A7-4454-4F8A-8629-C5BEB42A7164}"/>
    <cellStyle name="Comma 2 3 4 9 5 3" xfId="24182" xr:uid="{100E395B-CA10-433A-8D02-9C2B51CCE33F}"/>
    <cellStyle name="Comma 2 3 4 9 6" xfId="38786" xr:uid="{3D77B007-FD04-4D7A-8FB9-414432098F5D}"/>
    <cellStyle name="Comma 2 3 4 9 7" xfId="20532" xr:uid="{5749B603-9032-464B-8E70-C3A395B9179D}"/>
    <cellStyle name="Comma 2 3 5" xfId="50" xr:uid="{999D0C05-0853-4E3D-A89F-DE0B384A9B69}"/>
    <cellStyle name="Comma 2 3 5 10" xfId="1516" xr:uid="{4BB00F22-DE42-4B50-8351-B8E72A8A3CD5}"/>
    <cellStyle name="Comma 2 3 5 10 2" xfId="16116" xr:uid="{A0132DC9-80A3-43B6-89CC-3A3AFB58E16F}"/>
    <cellStyle name="Comma 2 3 5 10 2 2" xfId="52624" xr:uid="{496C10A1-167F-44EA-97A0-5A27D1BA953A}"/>
    <cellStyle name="Comma 2 3 5 10 2 3" xfId="34370" xr:uid="{B75B4A83-ABCC-40FE-B1DA-AE5D3253FC43}"/>
    <cellStyle name="Comma 2 3 5 10 3" xfId="12466" xr:uid="{801953E3-1AAB-4CAE-BAC0-E602C4C13E8D}"/>
    <cellStyle name="Comma 2 3 5 10 3 2" xfId="48974" xr:uid="{390B81C5-B86E-4C72-9522-2B59450A4FDA}"/>
    <cellStyle name="Comma 2 3 5 10 3 3" xfId="30720" xr:uid="{E0738E79-8466-43F7-81EA-129C75BC50D6}"/>
    <cellStyle name="Comma 2 3 5 10 4" xfId="8816" xr:uid="{44F70E43-1AFE-494C-9060-007A6F5B661D}"/>
    <cellStyle name="Comma 2 3 5 10 4 2" xfId="45324" xr:uid="{04E41054-302E-4243-B4DC-D978461C695B}"/>
    <cellStyle name="Comma 2 3 5 10 4 3" xfId="27070" xr:uid="{E66D5077-55AC-455F-84AD-E24AAD1C5DF2}"/>
    <cellStyle name="Comma 2 3 5 10 5" xfId="5166" xr:uid="{7F48EED8-4628-4B3E-B6FD-9FBD1DBED91B}"/>
    <cellStyle name="Comma 2 3 5 10 5 2" xfId="41674" xr:uid="{D2D22762-DD72-4B3C-BBD3-3D542D411BDA}"/>
    <cellStyle name="Comma 2 3 5 10 5 3" xfId="23420" xr:uid="{C896B6C5-1DED-4C3A-9030-02F48EFDB2F9}"/>
    <cellStyle name="Comma 2 3 5 10 6" xfId="38024" xr:uid="{EFEC3D01-4452-435F-891A-832F9C69254C}"/>
    <cellStyle name="Comma 2 3 5 10 7" xfId="19770" xr:uid="{6C1414E2-CBE6-4CF7-A832-CB2375A29C26}"/>
    <cellStyle name="Comma 2 3 5 11" xfId="786" xr:uid="{63D6DCB8-0844-450B-8F72-5FD1B9516ED4}"/>
    <cellStyle name="Comma 2 3 5 11 2" xfId="15386" xr:uid="{EE69A479-5B85-4940-B6D4-565B07DE4A12}"/>
    <cellStyle name="Comma 2 3 5 11 2 2" xfId="51894" xr:uid="{D6E03982-0937-4937-855A-0B5F6A2A82E6}"/>
    <cellStyle name="Comma 2 3 5 11 2 3" xfId="33640" xr:uid="{2EC5408F-31B2-44A4-8183-BA0452F6823A}"/>
    <cellStyle name="Comma 2 3 5 11 3" xfId="11736" xr:uid="{900F1562-2562-4D42-B49B-2E070F36AADD}"/>
    <cellStyle name="Comma 2 3 5 11 3 2" xfId="48244" xr:uid="{C7D0B9E3-09DA-49CC-9103-6B7C9A2887BC}"/>
    <cellStyle name="Comma 2 3 5 11 3 3" xfId="29990" xr:uid="{3C5BEEDE-D2B6-48C4-80C2-4902B4AD3D61}"/>
    <cellStyle name="Comma 2 3 5 11 4" xfId="8086" xr:uid="{280F5B61-3842-4DCB-A4F8-E42E0F813392}"/>
    <cellStyle name="Comma 2 3 5 11 4 2" xfId="44594" xr:uid="{B1894804-D5CA-4DB0-A0EF-B15EB2B454C9}"/>
    <cellStyle name="Comma 2 3 5 11 4 3" xfId="26340" xr:uid="{29077D98-8713-4747-ADB9-6218D1A4E4F0}"/>
    <cellStyle name="Comma 2 3 5 11 5" xfId="4436" xr:uid="{17D8C5A8-4C16-4FC3-A23D-9745C74F24F3}"/>
    <cellStyle name="Comma 2 3 5 11 5 2" xfId="40944" xr:uid="{41E06F6D-97A1-4819-A36E-3EFFBE5DCBBC}"/>
    <cellStyle name="Comma 2 3 5 11 5 3" xfId="22690" xr:uid="{6140486D-4CBD-4167-9A56-5FF1AFF4391E}"/>
    <cellStyle name="Comma 2 3 5 11 6" xfId="37294" xr:uid="{4FA77556-81B7-4F0A-87F1-099772B1DC7E}"/>
    <cellStyle name="Comma 2 3 5 11 7" xfId="19040" xr:uid="{8E49EB30-7F62-46B2-BEA2-B2280B795384}"/>
    <cellStyle name="Comma 2 3 5 12" xfId="14656" xr:uid="{3882F584-67DE-46D2-9E43-ADED2EF3F3F3}"/>
    <cellStyle name="Comma 2 3 5 12 2" xfId="51164" xr:uid="{BD98C4DF-45DC-477F-BA65-7F436897C54F}"/>
    <cellStyle name="Comma 2 3 5 12 3" xfId="32910" xr:uid="{72763453-1EA6-4959-8F0B-DB56E22D18AD}"/>
    <cellStyle name="Comma 2 3 5 13" xfId="11006" xr:uid="{6CC733D1-8D9D-4377-85A6-AFD0EED110CD}"/>
    <cellStyle name="Comma 2 3 5 13 2" xfId="47514" xr:uid="{32539077-F708-4252-996C-97A4B47D4335}"/>
    <cellStyle name="Comma 2 3 5 13 3" xfId="29260" xr:uid="{295E220D-CFD9-4D6A-927E-6BE8449BCD48}"/>
    <cellStyle name="Comma 2 3 5 14" xfId="7356" xr:uid="{A4C76188-BBD6-4BDD-8B85-D1A1AC03332D}"/>
    <cellStyle name="Comma 2 3 5 14 2" xfId="43864" xr:uid="{B087D109-06F1-4531-B1CF-5A98D026CA9A}"/>
    <cellStyle name="Comma 2 3 5 14 3" xfId="25610" xr:uid="{B44BAF43-1189-419A-8DCD-23A53A21E6D8}"/>
    <cellStyle name="Comma 2 3 5 15" xfId="3706" xr:uid="{C2E40248-C54C-44FC-A3F8-96A7E5EF2503}"/>
    <cellStyle name="Comma 2 3 5 15 2" xfId="40214" xr:uid="{EF917D33-C3E8-4B7E-9486-AAF624139FEA}"/>
    <cellStyle name="Comma 2 3 5 15 3" xfId="21960" xr:uid="{164F7100-6BD6-4F75-84A3-1D01EA1C44E4}"/>
    <cellStyle name="Comma 2 3 5 16" xfId="36564" xr:uid="{43D91D7D-737A-459B-91EA-37EA2F8603A4}"/>
    <cellStyle name="Comma 2 3 5 17" xfId="18310" xr:uid="{A2E7C856-2A42-4B67-BBBD-D60B1B5D635B}"/>
    <cellStyle name="Comma 2 3 5 2" xfId="680" xr:uid="{EB643AC5-D9F2-43DC-AA84-771C5904E9FD}"/>
    <cellStyle name="Comma 2 3 5 2 10" xfId="37188" xr:uid="{718870C6-2A10-4AEA-B355-4F8E6D4AD566}"/>
    <cellStyle name="Comma 2 3 5 2 11" xfId="18934" xr:uid="{FD64FC31-25C3-47D7-BE64-F7F95D2CADF0}"/>
    <cellStyle name="Comma 2 3 5 2 2" xfId="3600" xr:uid="{F3B8FA0E-F761-4E94-A59B-5BC4D698A4DB}"/>
    <cellStyle name="Comma 2 3 5 2 2 2" xfId="18200" xr:uid="{854662A6-EB3C-4596-AB2A-ABAAD7908B78}"/>
    <cellStyle name="Comma 2 3 5 2 2 2 2" xfId="54708" xr:uid="{AC3AEEB4-D887-4BD3-813E-54E00BC7474C}"/>
    <cellStyle name="Comma 2 3 5 2 2 2 3" xfId="36454" xr:uid="{B39ACC21-1637-4902-BD3E-8D55E3E94A35}"/>
    <cellStyle name="Comma 2 3 5 2 2 3" xfId="14550" xr:uid="{E64AA52A-2B65-47B5-8443-26B71307474F}"/>
    <cellStyle name="Comma 2 3 5 2 2 3 2" xfId="51058" xr:uid="{BA9D50C7-DEEA-4850-ADA8-C3674AB1660D}"/>
    <cellStyle name="Comma 2 3 5 2 2 3 3" xfId="32804" xr:uid="{ADFBBE57-1D7A-41DB-9D71-401824106CCE}"/>
    <cellStyle name="Comma 2 3 5 2 2 4" xfId="10900" xr:uid="{ADCC216D-125C-4C0C-A824-7FB075135A38}"/>
    <cellStyle name="Comma 2 3 5 2 2 4 2" xfId="47408" xr:uid="{C1FB5C7C-BC3E-4D31-BB27-095A012F0C26}"/>
    <cellStyle name="Comma 2 3 5 2 2 4 3" xfId="29154" xr:uid="{0926711B-E8CF-4462-87F6-E512B2C4843B}"/>
    <cellStyle name="Comma 2 3 5 2 2 5" xfId="7250" xr:uid="{F05FA1EE-F8AF-4F0B-B6EF-CAF99AFEE678}"/>
    <cellStyle name="Comma 2 3 5 2 2 5 2" xfId="43758" xr:uid="{09B26F34-647E-41DD-AF8A-19D170B3EC11}"/>
    <cellStyle name="Comma 2 3 5 2 2 5 3" xfId="25504" xr:uid="{3561B719-AD4D-403F-95D0-675FC63116C9}"/>
    <cellStyle name="Comma 2 3 5 2 2 6" xfId="40108" xr:uid="{9BEA68C6-B2A6-496D-B7ED-E9C0CF6BD1BF}"/>
    <cellStyle name="Comma 2 3 5 2 2 7" xfId="21854" xr:uid="{77C78B22-5534-45C8-83E6-DC3C78691352}"/>
    <cellStyle name="Comma 2 3 5 2 3" xfId="2870" xr:uid="{56EBEB80-82B3-4437-902E-F19D0DA4FF37}"/>
    <cellStyle name="Comma 2 3 5 2 3 2" xfId="17470" xr:uid="{B6CE13DB-9AAE-4157-91DE-58792882AE9B}"/>
    <cellStyle name="Comma 2 3 5 2 3 2 2" xfId="53978" xr:uid="{8ABFB34E-B7CE-4FBB-A8E8-9D4D41D77808}"/>
    <cellStyle name="Comma 2 3 5 2 3 2 3" xfId="35724" xr:uid="{F869C624-AE33-4971-9ED5-4DDA23098E51}"/>
    <cellStyle name="Comma 2 3 5 2 3 3" xfId="13820" xr:uid="{5A54502E-12CA-469C-BEE0-D1B173A2F504}"/>
    <cellStyle name="Comma 2 3 5 2 3 3 2" xfId="50328" xr:uid="{DD9154CF-4130-4F02-A86E-01D54EFBB130}"/>
    <cellStyle name="Comma 2 3 5 2 3 3 3" xfId="32074" xr:uid="{FC7D0E26-58DF-47BC-A07E-284F1B88070A}"/>
    <cellStyle name="Comma 2 3 5 2 3 4" xfId="10170" xr:uid="{36160EFA-4314-4A84-83E3-714B30855021}"/>
    <cellStyle name="Comma 2 3 5 2 3 4 2" xfId="46678" xr:uid="{EC716CB5-0B43-4B4F-A0D7-6A08EE2AFD51}"/>
    <cellStyle name="Comma 2 3 5 2 3 4 3" xfId="28424" xr:uid="{6DEBB18F-B8AD-4FA9-9C0F-C45F0890D006}"/>
    <cellStyle name="Comma 2 3 5 2 3 5" xfId="6520" xr:uid="{8C95F566-F5AE-41D9-9457-70ED553967B4}"/>
    <cellStyle name="Comma 2 3 5 2 3 5 2" xfId="43028" xr:uid="{1EF47D94-DB65-4F79-B330-30ABA6D41CD4}"/>
    <cellStyle name="Comma 2 3 5 2 3 5 3" xfId="24774" xr:uid="{D81C792C-1611-47E3-8227-ADC340473718}"/>
    <cellStyle name="Comma 2 3 5 2 3 6" xfId="39378" xr:uid="{40057410-F626-4134-9FB6-8E42D39B7150}"/>
    <cellStyle name="Comma 2 3 5 2 3 7" xfId="21124" xr:uid="{DAE8D9E3-B64A-417C-8EC3-7A77FE88C363}"/>
    <cellStyle name="Comma 2 3 5 2 4" xfId="2140" xr:uid="{BE1560BF-8644-4996-934F-91883D652F46}"/>
    <cellStyle name="Comma 2 3 5 2 4 2" xfId="16740" xr:uid="{6977A094-9AE1-4B20-96F5-B80B02E33C64}"/>
    <cellStyle name="Comma 2 3 5 2 4 2 2" xfId="53248" xr:uid="{8757DC0C-F471-4FDE-B50D-DBB5E1B225A8}"/>
    <cellStyle name="Comma 2 3 5 2 4 2 3" xfId="34994" xr:uid="{03EFD8A2-BCB2-4D04-B211-2E4EBD9FDEE1}"/>
    <cellStyle name="Comma 2 3 5 2 4 3" xfId="13090" xr:uid="{8BF0E454-CA40-41B0-B0BD-BA93AB846409}"/>
    <cellStyle name="Comma 2 3 5 2 4 3 2" xfId="49598" xr:uid="{E24E70B0-0D61-4CD9-8820-C25226DF23E1}"/>
    <cellStyle name="Comma 2 3 5 2 4 3 3" xfId="31344" xr:uid="{51D7E982-87E4-46BD-A87C-75056BB33E31}"/>
    <cellStyle name="Comma 2 3 5 2 4 4" xfId="9440" xr:uid="{2A0D6B04-0989-476C-BF32-7BAE8FED54B1}"/>
    <cellStyle name="Comma 2 3 5 2 4 4 2" xfId="45948" xr:uid="{BB196FB6-6D4C-4A0F-A06F-C4C1E1E7D0CF}"/>
    <cellStyle name="Comma 2 3 5 2 4 4 3" xfId="27694" xr:uid="{D3BF4B6C-0A3B-4812-B28B-30F68EC35C1B}"/>
    <cellStyle name="Comma 2 3 5 2 4 5" xfId="5790" xr:uid="{FF899DE7-FE42-49CD-A9F7-52167C4C91CF}"/>
    <cellStyle name="Comma 2 3 5 2 4 5 2" xfId="42298" xr:uid="{C77379E0-D063-49D4-876D-5918605901E2}"/>
    <cellStyle name="Comma 2 3 5 2 4 5 3" xfId="24044" xr:uid="{5610D3E6-A449-441F-8E5A-0204C865E6E9}"/>
    <cellStyle name="Comma 2 3 5 2 4 6" xfId="38648" xr:uid="{59D751F1-865E-41E5-BAE0-9EE1007F72ED}"/>
    <cellStyle name="Comma 2 3 5 2 4 7" xfId="20394" xr:uid="{D7849102-BB70-47C1-BD06-51A055DC8E04}"/>
    <cellStyle name="Comma 2 3 5 2 5" xfId="1410" xr:uid="{4A3C9CC1-B493-4C6C-92E8-0F1CF0CAD85F}"/>
    <cellStyle name="Comma 2 3 5 2 5 2" xfId="16010" xr:uid="{40A9FC46-715C-4C29-B68B-AC564A5E0D59}"/>
    <cellStyle name="Comma 2 3 5 2 5 2 2" xfId="52518" xr:uid="{464CA0A6-E645-409F-AC2C-13AE3A69315E}"/>
    <cellStyle name="Comma 2 3 5 2 5 2 3" xfId="34264" xr:uid="{C87CF375-1E9A-4B81-9954-D2B05E104F45}"/>
    <cellStyle name="Comma 2 3 5 2 5 3" xfId="12360" xr:uid="{4CEE9C95-3953-4603-B55A-935CE98019C0}"/>
    <cellStyle name="Comma 2 3 5 2 5 3 2" xfId="48868" xr:uid="{B8251E26-5900-4344-B84D-02E1D0C8CC0D}"/>
    <cellStyle name="Comma 2 3 5 2 5 3 3" xfId="30614" xr:uid="{1B10C7CF-E968-4253-AD2A-CD58E07F29A2}"/>
    <cellStyle name="Comma 2 3 5 2 5 4" xfId="8710" xr:uid="{9D3DC8FA-5CED-4920-B481-AD8E6714AB4B}"/>
    <cellStyle name="Comma 2 3 5 2 5 4 2" xfId="45218" xr:uid="{EB8394F1-1512-4143-8A3F-AED78B382BEF}"/>
    <cellStyle name="Comma 2 3 5 2 5 4 3" xfId="26964" xr:uid="{C14107BD-70F8-4AC1-A2FA-0642867B2C79}"/>
    <cellStyle name="Comma 2 3 5 2 5 5" xfId="5060" xr:uid="{A11BC23F-8318-4620-8FCE-187EFC3F0E40}"/>
    <cellStyle name="Comma 2 3 5 2 5 5 2" xfId="41568" xr:uid="{7F0C2267-B7D1-48A5-9A37-45DB1FA31D11}"/>
    <cellStyle name="Comma 2 3 5 2 5 5 3" xfId="23314" xr:uid="{0A3FEC7D-EBCA-45FF-A0F1-EC7AAC9BCC09}"/>
    <cellStyle name="Comma 2 3 5 2 5 6" xfId="37918" xr:uid="{74FB7F51-35A6-4F5E-B7A4-4EF9B1AC047F}"/>
    <cellStyle name="Comma 2 3 5 2 5 7" xfId="19664" xr:uid="{B594F957-5CE6-49D0-BEF8-5E957E665425}"/>
    <cellStyle name="Comma 2 3 5 2 6" xfId="15280" xr:uid="{860CB502-1095-43B8-922F-9704F63E49E4}"/>
    <cellStyle name="Comma 2 3 5 2 6 2" xfId="51788" xr:uid="{F1A1C029-8EBC-487B-8846-46C83AC40E47}"/>
    <cellStyle name="Comma 2 3 5 2 6 3" xfId="33534" xr:uid="{5D8AA122-F1C1-496D-8DDC-087C2E8EDF7A}"/>
    <cellStyle name="Comma 2 3 5 2 7" xfId="11630" xr:uid="{1B5469C2-8F64-44A6-9546-C52752ECA85E}"/>
    <cellStyle name="Comma 2 3 5 2 7 2" xfId="48138" xr:uid="{5B91435A-CEB4-4256-A97E-FAB49E31C321}"/>
    <cellStyle name="Comma 2 3 5 2 7 3" xfId="29884" xr:uid="{F1E7FF24-F1E2-4653-9476-A13E43D51D8A}"/>
    <cellStyle name="Comma 2 3 5 2 8" xfId="7980" xr:uid="{E2D68A94-AE40-4CDF-9040-F57B94E49CB5}"/>
    <cellStyle name="Comma 2 3 5 2 8 2" xfId="44488" xr:uid="{37D72C6E-D904-4FE4-AF45-0A9D6A8C1036}"/>
    <cellStyle name="Comma 2 3 5 2 8 3" xfId="26234" xr:uid="{D504D094-80E6-45DC-813F-14F602037A9E}"/>
    <cellStyle name="Comma 2 3 5 2 9" xfId="4330" xr:uid="{DAA69415-8531-4E3B-9167-D1FF1ADECB87}"/>
    <cellStyle name="Comma 2 3 5 2 9 2" xfId="40838" xr:uid="{806DE4B7-A7B6-4881-873C-0A8EDC140FB6}"/>
    <cellStyle name="Comma 2 3 5 2 9 3" xfId="22584" xr:uid="{59777A18-B54B-42B0-9439-A4505322A243}"/>
    <cellStyle name="Comma 2 3 5 3" xfId="576" xr:uid="{DB258FB3-C30A-489E-AC5E-6ABCEE532AE3}"/>
    <cellStyle name="Comma 2 3 5 3 10" xfId="37084" xr:uid="{345DD056-5462-4F0C-987D-61CC6922C694}"/>
    <cellStyle name="Comma 2 3 5 3 11" xfId="18830" xr:uid="{24025FF7-1452-42F3-A05B-B705903530A5}"/>
    <cellStyle name="Comma 2 3 5 3 2" xfId="3496" xr:uid="{D6DF4D21-D4E0-47ED-A0BE-B463317062C0}"/>
    <cellStyle name="Comma 2 3 5 3 2 2" xfId="18096" xr:uid="{00173859-334F-4E06-B3C2-40380B0A32B2}"/>
    <cellStyle name="Comma 2 3 5 3 2 2 2" xfId="54604" xr:uid="{6B68F7B9-1E64-4BEC-A134-553E63BC843D}"/>
    <cellStyle name="Comma 2 3 5 3 2 2 3" xfId="36350" xr:uid="{2DACC7AF-8A0B-49F0-ACD5-3D583BED8161}"/>
    <cellStyle name="Comma 2 3 5 3 2 3" xfId="14446" xr:uid="{07AA434D-06AC-47E1-A9F9-B0CA0E1DBF1B}"/>
    <cellStyle name="Comma 2 3 5 3 2 3 2" xfId="50954" xr:uid="{8FFD6952-99D3-44B7-85AA-0E8C270E0B17}"/>
    <cellStyle name="Comma 2 3 5 3 2 3 3" xfId="32700" xr:uid="{CB354DCF-FDD8-4549-A73D-1D078F2871BE}"/>
    <cellStyle name="Comma 2 3 5 3 2 4" xfId="10796" xr:uid="{F031D4CC-47F4-4589-BFC7-DE513D2D32B0}"/>
    <cellStyle name="Comma 2 3 5 3 2 4 2" xfId="47304" xr:uid="{DB9A2ECC-6FEB-463C-9845-84D4C6CF5199}"/>
    <cellStyle name="Comma 2 3 5 3 2 4 3" xfId="29050" xr:uid="{0C2D82A1-FB92-4E61-BA6A-D54720C33461}"/>
    <cellStyle name="Comma 2 3 5 3 2 5" xfId="7146" xr:uid="{15B56A94-EE63-4BA7-A350-730615FC6583}"/>
    <cellStyle name="Comma 2 3 5 3 2 5 2" xfId="43654" xr:uid="{09C490F6-64F5-4B31-B6B1-517995BCAC3B}"/>
    <cellStyle name="Comma 2 3 5 3 2 5 3" xfId="25400" xr:uid="{47C774FA-CF3D-438B-B697-17D8EC13783D}"/>
    <cellStyle name="Comma 2 3 5 3 2 6" xfId="40004" xr:uid="{D5291B0A-EC63-4DF3-8EAC-BFBB4C1F10E6}"/>
    <cellStyle name="Comma 2 3 5 3 2 7" xfId="21750" xr:uid="{7BAB2DF1-8BEF-440A-B2FB-93E35C2E582B}"/>
    <cellStyle name="Comma 2 3 5 3 3" xfId="2766" xr:uid="{1865EBDD-2C33-4042-B06B-E3EA3ABB8698}"/>
    <cellStyle name="Comma 2 3 5 3 3 2" xfId="17366" xr:uid="{8ADE0F68-4E83-444A-92F6-D447993A20CD}"/>
    <cellStyle name="Comma 2 3 5 3 3 2 2" xfId="53874" xr:uid="{E9B16F29-7884-4062-8F63-D474ABF94E83}"/>
    <cellStyle name="Comma 2 3 5 3 3 2 3" xfId="35620" xr:uid="{09BB1811-7D5B-4C2F-B0D3-665D8AAC90A8}"/>
    <cellStyle name="Comma 2 3 5 3 3 3" xfId="13716" xr:uid="{8F5CC5F6-3300-4133-9FB3-512C3DAF0F51}"/>
    <cellStyle name="Comma 2 3 5 3 3 3 2" xfId="50224" xr:uid="{3EF26830-96A6-4D97-8897-C5C909D35DFE}"/>
    <cellStyle name="Comma 2 3 5 3 3 3 3" xfId="31970" xr:uid="{5A972C0D-E622-451F-B43A-B756EFAA7D74}"/>
    <cellStyle name="Comma 2 3 5 3 3 4" xfId="10066" xr:uid="{6DE44EF4-6E12-478F-A1D2-65DE58839337}"/>
    <cellStyle name="Comma 2 3 5 3 3 4 2" xfId="46574" xr:uid="{48872FAD-4579-4FA8-806B-F59DDFE2B137}"/>
    <cellStyle name="Comma 2 3 5 3 3 4 3" xfId="28320" xr:uid="{D3BD2E49-5A08-4B49-8503-10D3E67D98ED}"/>
    <cellStyle name="Comma 2 3 5 3 3 5" xfId="6416" xr:uid="{167DCF3E-A5FD-4D58-A14F-3BAA5873AF3B}"/>
    <cellStyle name="Comma 2 3 5 3 3 5 2" xfId="42924" xr:uid="{B304359C-C5C8-4571-AE0E-9DC8D6708B74}"/>
    <cellStyle name="Comma 2 3 5 3 3 5 3" xfId="24670" xr:uid="{C97C3C3A-D0D9-4450-80FE-2EE516318AA3}"/>
    <cellStyle name="Comma 2 3 5 3 3 6" xfId="39274" xr:uid="{CA2D5749-A170-461E-8904-1974B09A02BA}"/>
    <cellStyle name="Comma 2 3 5 3 3 7" xfId="21020" xr:uid="{FE4B50A9-1F70-4F9D-BA87-4D9E46AACB1D}"/>
    <cellStyle name="Comma 2 3 5 3 4" xfId="2036" xr:uid="{2E5A8433-2611-40C2-BAB3-AC297ACE745B}"/>
    <cellStyle name="Comma 2 3 5 3 4 2" xfId="16636" xr:uid="{9E3F49DA-4C89-4353-9C19-A55766F16E50}"/>
    <cellStyle name="Comma 2 3 5 3 4 2 2" xfId="53144" xr:uid="{CF003501-465F-4663-A515-8DDF5D0056C4}"/>
    <cellStyle name="Comma 2 3 5 3 4 2 3" xfId="34890" xr:uid="{3EB3E47D-A545-4442-A97C-2DF87BF70D1A}"/>
    <cellStyle name="Comma 2 3 5 3 4 3" xfId="12986" xr:uid="{85CAA92F-E53E-4A31-8CA9-A1BBA5169622}"/>
    <cellStyle name="Comma 2 3 5 3 4 3 2" xfId="49494" xr:uid="{036193B5-D444-4E5E-9360-1D519EA1C311}"/>
    <cellStyle name="Comma 2 3 5 3 4 3 3" xfId="31240" xr:uid="{71D8EB8F-EA4F-44EC-A8D0-1FFA7568BFD9}"/>
    <cellStyle name="Comma 2 3 5 3 4 4" xfId="9336" xr:uid="{2B0F0229-EA39-41B5-8EE2-747D035F939C}"/>
    <cellStyle name="Comma 2 3 5 3 4 4 2" xfId="45844" xr:uid="{CA8F7153-04D9-4161-B569-73A1F8524DC1}"/>
    <cellStyle name="Comma 2 3 5 3 4 4 3" xfId="27590" xr:uid="{FDFD65EE-2151-42BF-BB0A-7342342C0D5A}"/>
    <cellStyle name="Comma 2 3 5 3 4 5" xfId="5686" xr:uid="{37AA4170-CC9B-4E40-96AA-0F2D696509A9}"/>
    <cellStyle name="Comma 2 3 5 3 4 5 2" xfId="42194" xr:uid="{0A6D7E7A-7E48-4BF4-801A-98AB520AD5D6}"/>
    <cellStyle name="Comma 2 3 5 3 4 5 3" xfId="23940" xr:uid="{295F986C-8CBE-4C62-8C6F-591EA84BFDD1}"/>
    <cellStyle name="Comma 2 3 5 3 4 6" xfId="38544" xr:uid="{B7732C7C-F580-4691-9232-86A450729C0D}"/>
    <cellStyle name="Comma 2 3 5 3 4 7" xfId="20290" xr:uid="{1C6BABBD-DB2F-4EF0-B82A-58993689F9F0}"/>
    <cellStyle name="Comma 2 3 5 3 5" xfId="1306" xr:uid="{ECE8582A-938C-43D3-B6D4-63A177672D1F}"/>
    <cellStyle name="Comma 2 3 5 3 5 2" xfId="15906" xr:uid="{E3C97144-30BA-49A4-80E1-2B6EF70AC1D8}"/>
    <cellStyle name="Comma 2 3 5 3 5 2 2" xfId="52414" xr:uid="{A4ECEE01-1806-4F41-BF72-6082EF416003}"/>
    <cellStyle name="Comma 2 3 5 3 5 2 3" xfId="34160" xr:uid="{10534753-45E6-48FE-A928-DD867F2ED0E6}"/>
    <cellStyle name="Comma 2 3 5 3 5 3" xfId="12256" xr:uid="{010F29AC-BB05-4D72-AD54-F30A1E24B0AD}"/>
    <cellStyle name="Comma 2 3 5 3 5 3 2" xfId="48764" xr:uid="{8B6C3F27-20D2-4FD8-BF71-337B385AD091}"/>
    <cellStyle name="Comma 2 3 5 3 5 3 3" xfId="30510" xr:uid="{FD1811F4-3218-4C1F-88CC-32D11D5201A4}"/>
    <cellStyle name="Comma 2 3 5 3 5 4" xfId="8606" xr:uid="{D59295F8-7FD8-45DC-B05D-A556EB702655}"/>
    <cellStyle name="Comma 2 3 5 3 5 4 2" xfId="45114" xr:uid="{9C433687-6459-442B-8306-2D50B023CE23}"/>
    <cellStyle name="Comma 2 3 5 3 5 4 3" xfId="26860" xr:uid="{55456553-160A-400F-A151-36424F0B7C71}"/>
    <cellStyle name="Comma 2 3 5 3 5 5" xfId="4956" xr:uid="{24D75E7D-1F3B-4A28-BBEF-27EE220565A8}"/>
    <cellStyle name="Comma 2 3 5 3 5 5 2" xfId="41464" xr:uid="{86C1ED3A-FBF7-4E82-AFDF-8209EA3190AC}"/>
    <cellStyle name="Comma 2 3 5 3 5 5 3" xfId="23210" xr:uid="{46C2EAE4-5473-4CCE-97F1-BFDD74CE9BEE}"/>
    <cellStyle name="Comma 2 3 5 3 5 6" xfId="37814" xr:uid="{A6A56A54-7863-4CAB-BFF4-DB735D86E1A3}"/>
    <cellStyle name="Comma 2 3 5 3 5 7" xfId="19560" xr:uid="{C12D9681-8299-4E9B-9B66-8300FAFC5EE1}"/>
    <cellStyle name="Comma 2 3 5 3 6" xfId="15176" xr:uid="{D340BEF9-CBD0-4528-93FD-96E6AD76586C}"/>
    <cellStyle name="Comma 2 3 5 3 6 2" xfId="51684" xr:uid="{239EDB51-8571-439A-8030-E73D202A03B4}"/>
    <cellStyle name="Comma 2 3 5 3 6 3" xfId="33430" xr:uid="{2C2981E7-4B14-430D-91C8-CA294C9DCC07}"/>
    <cellStyle name="Comma 2 3 5 3 7" xfId="11526" xr:uid="{35833D27-772A-43C2-80CE-F206F9631F7F}"/>
    <cellStyle name="Comma 2 3 5 3 7 2" xfId="48034" xr:uid="{A83566FB-BBFB-4CC0-9C4B-22B88236E0A5}"/>
    <cellStyle name="Comma 2 3 5 3 7 3" xfId="29780" xr:uid="{0EAFFFFB-5941-4582-B6B6-52E2681BC7C9}"/>
    <cellStyle name="Comma 2 3 5 3 8" xfId="7876" xr:uid="{1F1D4308-352B-4657-BB1E-2206245A72F2}"/>
    <cellStyle name="Comma 2 3 5 3 8 2" xfId="44384" xr:uid="{95CFC34A-5462-4883-9D98-98BF9E489B07}"/>
    <cellStyle name="Comma 2 3 5 3 8 3" xfId="26130" xr:uid="{B1CB93E9-1AE7-44E5-A397-59E47B08EB9F}"/>
    <cellStyle name="Comma 2 3 5 3 9" xfId="4226" xr:uid="{71F15015-F846-423D-910F-94A09690E6A7}"/>
    <cellStyle name="Comma 2 3 5 3 9 2" xfId="40734" xr:uid="{76403E14-C28F-4D71-B725-E5B68A87348B}"/>
    <cellStyle name="Comma 2 3 5 3 9 3" xfId="22480" xr:uid="{3DA60C4F-A920-4BA8-A140-EBDD2D9B4B36}"/>
    <cellStyle name="Comma 2 3 5 4" xfId="472" xr:uid="{E5A9D2AD-A30B-4728-B9C6-CDF5914FDF17}"/>
    <cellStyle name="Comma 2 3 5 4 10" xfId="36980" xr:uid="{6C748812-4E6F-445E-8820-E2F1B8851790}"/>
    <cellStyle name="Comma 2 3 5 4 11" xfId="18726" xr:uid="{952353E1-F96B-4287-9D78-E3BD539160D1}"/>
    <cellStyle name="Comma 2 3 5 4 2" xfId="3392" xr:uid="{8EF1AF55-11C3-40BB-929D-868B4153B286}"/>
    <cellStyle name="Comma 2 3 5 4 2 2" xfId="17992" xr:uid="{293D82D5-CDE6-4600-9B68-8025135393C4}"/>
    <cellStyle name="Comma 2 3 5 4 2 2 2" xfId="54500" xr:uid="{A610603D-EC41-4DFC-B13C-7558736EB4B2}"/>
    <cellStyle name="Comma 2 3 5 4 2 2 3" xfId="36246" xr:uid="{25B3A9B2-62F0-49AB-AE10-CA4E10674D3D}"/>
    <cellStyle name="Comma 2 3 5 4 2 3" xfId="14342" xr:uid="{6330DDDB-124E-4BFA-8AEE-1574C7669876}"/>
    <cellStyle name="Comma 2 3 5 4 2 3 2" xfId="50850" xr:uid="{C97AF13B-BBDC-4F99-8FA0-517EE6AA712E}"/>
    <cellStyle name="Comma 2 3 5 4 2 3 3" xfId="32596" xr:uid="{CD32A741-3F1B-41BD-8A7E-3A67D46F5802}"/>
    <cellStyle name="Comma 2 3 5 4 2 4" xfId="10692" xr:uid="{6FB4C3FD-0D20-4216-ADC3-4BD50AF38860}"/>
    <cellStyle name="Comma 2 3 5 4 2 4 2" xfId="47200" xr:uid="{6F5A0C83-4C78-4D7E-B456-6731A831E325}"/>
    <cellStyle name="Comma 2 3 5 4 2 4 3" xfId="28946" xr:uid="{07D84CE5-10B3-4A57-AB06-D893A87F4366}"/>
    <cellStyle name="Comma 2 3 5 4 2 5" xfId="7042" xr:uid="{C0D39E14-0E82-4336-B2F9-BD69A6263288}"/>
    <cellStyle name="Comma 2 3 5 4 2 5 2" xfId="43550" xr:uid="{87F0CFCC-E406-4D8D-B896-84ABBC0F4D76}"/>
    <cellStyle name="Comma 2 3 5 4 2 5 3" xfId="25296" xr:uid="{63E38813-4088-4E56-8AE7-DD93F0919BDE}"/>
    <cellStyle name="Comma 2 3 5 4 2 6" xfId="39900" xr:uid="{D851EFA0-D110-4D2C-AC4E-1EA74C742DA1}"/>
    <cellStyle name="Comma 2 3 5 4 2 7" xfId="21646" xr:uid="{07862C15-A1C2-480F-B8FC-7FB9261768F0}"/>
    <cellStyle name="Comma 2 3 5 4 3" xfId="2662" xr:uid="{BA3841D2-6848-4B40-9D8F-735791A8E408}"/>
    <cellStyle name="Comma 2 3 5 4 3 2" xfId="17262" xr:uid="{278BC952-F7BE-4F72-BFBA-DC8E6E73DF2D}"/>
    <cellStyle name="Comma 2 3 5 4 3 2 2" xfId="53770" xr:uid="{587A0A6D-6C6B-4022-BFDE-6E909B60787A}"/>
    <cellStyle name="Comma 2 3 5 4 3 2 3" xfId="35516" xr:uid="{2A90C026-D386-4793-A7CD-76D0AF8E673B}"/>
    <cellStyle name="Comma 2 3 5 4 3 3" xfId="13612" xr:uid="{6FF48C99-99CE-495A-980B-5C20BAC9FEAA}"/>
    <cellStyle name="Comma 2 3 5 4 3 3 2" xfId="50120" xr:uid="{309CC897-4417-442C-9C97-D3FC39586738}"/>
    <cellStyle name="Comma 2 3 5 4 3 3 3" xfId="31866" xr:uid="{15717725-2FEE-4DBF-8720-B06CB7AB72D8}"/>
    <cellStyle name="Comma 2 3 5 4 3 4" xfId="9962" xr:uid="{7025CD2A-972B-408C-AA21-45230DEFE5AE}"/>
    <cellStyle name="Comma 2 3 5 4 3 4 2" xfId="46470" xr:uid="{5A00DD2E-055B-4ACF-87FA-53A2E5D00A65}"/>
    <cellStyle name="Comma 2 3 5 4 3 4 3" xfId="28216" xr:uid="{43576D67-875D-4522-9125-43DCB5A55646}"/>
    <cellStyle name="Comma 2 3 5 4 3 5" xfId="6312" xr:uid="{05137EDF-0E96-4CFD-A3EB-9C861C1D1070}"/>
    <cellStyle name="Comma 2 3 5 4 3 5 2" xfId="42820" xr:uid="{236A0E48-3CB6-4EB9-8012-6E88CEEDAA90}"/>
    <cellStyle name="Comma 2 3 5 4 3 5 3" xfId="24566" xr:uid="{77C4D289-9A69-443D-B985-D300EAE49AB6}"/>
    <cellStyle name="Comma 2 3 5 4 3 6" xfId="39170" xr:uid="{918293CD-1B97-49E3-BC17-1BA1E3367987}"/>
    <cellStyle name="Comma 2 3 5 4 3 7" xfId="20916" xr:uid="{035F563B-1CA1-4FBE-BD15-B0A2AB109D9B}"/>
    <cellStyle name="Comma 2 3 5 4 4" xfId="1932" xr:uid="{625B38E9-8F2B-45ED-AB45-56EED5B762AC}"/>
    <cellStyle name="Comma 2 3 5 4 4 2" xfId="16532" xr:uid="{ACAEE7A1-A7EF-463B-830D-43108286E218}"/>
    <cellStyle name="Comma 2 3 5 4 4 2 2" xfId="53040" xr:uid="{A7E1B471-A955-46C7-B2DA-F8D20C1B42C6}"/>
    <cellStyle name="Comma 2 3 5 4 4 2 3" xfId="34786" xr:uid="{B43B27FA-B62C-4AC6-97A8-AAA52798A23C}"/>
    <cellStyle name="Comma 2 3 5 4 4 3" xfId="12882" xr:uid="{739E5D9B-8A34-4BB1-B9BD-54CA4632A5F8}"/>
    <cellStyle name="Comma 2 3 5 4 4 3 2" xfId="49390" xr:uid="{494FB0EF-AEA7-4654-8475-F5A03D6204E7}"/>
    <cellStyle name="Comma 2 3 5 4 4 3 3" xfId="31136" xr:uid="{DC13BC8D-E3F1-4360-8D21-DEB9E4A357C1}"/>
    <cellStyle name="Comma 2 3 5 4 4 4" xfId="9232" xr:uid="{72EDC05C-2EF4-4E6F-A1AC-E04ACD5246C1}"/>
    <cellStyle name="Comma 2 3 5 4 4 4 2" xfId="45740" xr:uid="{1D11200D-2982-43AB-9323-DC18C1647F65}"/>
    <cellStyle name="Comma 2 3 5 4 4 4 3" xfId="27486" xr:uid="{7D283AAC-4FE6-450C-A8D7-AC72328B617B}"/>
    <cellStyle name="Comma 2 3 5 4 4 5" xfId="5582" xr:uid="{0ABF0DEE-6CEE-4034-824B-247DCD8F74A7}"/>
    <cellStyle name="Comma 2 3 5 4 4 5 2" xfId="42090" xr:uid="{98D57B58-5064-443F-AD10-4640F8D98E84}"/>
    <cellStyle name="Comma 2 3 5 4 4 5 3" xfId="23836" xr:uid="{C5A61079-0454-4F34-B484-B10372E7A65B}"/>
    <cellStyle name="Comma 2 3 5 4 4 6" xfId="38440" xr:uid="{42B62D72-1FE2-4326-BE60-15764CDFF6AC}"/>
    <cellStyle name="Comma 2 3 5 4 4 7" xfId="20186" xr:uid="{F4C828AB-E2F7-41B0-A02B-DF562AE29EDD}"/>
    <cellStyle name="Comma 2 3 5 4 5" xfId="1202" xr:uid="{C81DFD5A-C7D1-4790-ACA0-4495C4FF9426}"/>
    <cellStyle name="Comma 2 3 5 4 5 2" xfId="15802" xr:uid="{7AE74F9F-47D5-47A4-8092-999716DD33D9}"/>
    <cellStyle name="Comma 2 3 5 4 5 2 2" xfId="52310" xr:uid="{0CD78387-B7B1-48A7-A485-64A62704B92E}"/>
    <cellStyle name="Comma 2 3 5 4 5 2 3" xfId="34056" xr:uid="{0F0492A0-AC24-4E2C-9433-7CA5881C30AC}"/>
    <cellStyle name="Comma 2 3 5 4 5 3" xfId="12152" xr:uid="{80D09947-A8C1-4D38-9822-E74E7EF7803E}"/>
    <cellStyle name="Comma 2 3 5 4 5 3 2" xfId="48660" xr:uid="{6AFBC1D1-BD4F-4BC9-A811-30509F971174}"/>
    <cellStyle name="Comma 2 3 5 4 5 3 3" xfId="30406" xr:uid="{C0052FCC-66C7-48AE-8E7D-A9AE42F60A9D}"/>
    <cellStyle name="Comma 2 3 5 4 5 4" xfId="8502" xr:uid="{0B2BAFF2-8910-480B-AEA0-53182896887F}"/>
    <cellStyle name="Comma 2 3 5 4 5 4 2" xfId="45010" xr:uid="{BDAA5BFE-7C1F-408B-88E8-535794B947D8}"/>
    <cellStyle name="Comma 2 3 5 4 5 4 3" xfId="26756" xr:uid="{E7B18A99-9404-4CB3-AFEF-179C55F49715}"/>
    <cellStyle name="Comma 2 3 5 4 5 5" xfId="4852" xr:uid="{5A75FC42-CEA4-4FB5-9E7E-D99D8B4AD9AA}"/>
    <cellStyle name="Comma 2 3 5 4 5 5 2" xfId="41360" xr:uid="{5B9A9A66-DF6E-4425-A313-70399A3BC575}"/>
    <cellStyle name="Comma 2 3 5 4 5 5 3" xfId="23106" xr:uid="{4B0B445C-3487-4E35-9DD0-A77017A45F2F}"/>
    <cellStyle name="Comma 2 3 5 4 5 6" xfId="37710" xr:uid="{F253E566-8CB4-4FAA-9736-F9591EB4544D}"/>
    <cellStyle name="Comma 2 3 5 4 5 7" xfId="19456" xr:uid="{A169FE56-9F3B-4CF7-93CC-727E530F8375}"/>
    <cellStyle name="Comma 2 3 5 4 6" xfId="15072" xr:uid="{A2F070F8-1605-49C7-BBCA-0D705A188BEF}"/>
    <cellStyle name="Comma 2 3 5 4 6 2" xfId="51580" xr:uid="{6C232330-59FC-47F0-93F7-0F6B13D445FD}"/>
    <cellStyle name="Comma 2 3 5 4 6 3" xfId="33326" xr:uid="{8F2B17F5-8CF9-4AF6-A800-E481D86DDD0C}"/>
    <cellStyle name="Comma 2 3 5 4 7" xfId="11422" xr:uid="{7D41A00A-7AAC-4D03-8C0E-EF9356372113}"/>
    <cellStyle name="Comma 2 3 5 4 7 2" xfId="47930" xr:uid="{20EF6B7B-2F0E-4950-A069-DD5449EE6277}"/>
    <cellStyle name="Comma 2 3 5 4 7 3" xfId="29676" xr:uid="{5DB8F07D-77F5-4C51-B1B6-EE023B29C752}"/>
    <cellStyle name="Comma 2 3 5 4 8" xfId="7772" xr:uid="{5E55E13D-B7BF-4AE4-8516-0C647A45F201}"/>
    <cellStyle name="Comma 2 3 5 4 8 2" xfId="44280" xr:uid="{3D73008A-0E17-450A-9411-5D73661E310B}"/>
    <cellStyle name="Comma 2 3 5 4 8 3" xfId="26026" xr:uid="{C964B6E0-2DBC-4121-B8DE-55171E77B6ED}"/>
    <cellStyle name="Comma 2 3 5 4 9" xfId="4122" xr:uid="{E6A35543-1568-47D9-A1C1-C74B12A55243}"/>
    <cellStyle name="Comma 2 3 5 4 9 2" xfId="40630" xr:uid="{DB13F340-00C7-4089-8A50-D937EC45789A}"/>
    <cellStyle name="Comma 2 3 5 4 9 3" xfId="22376" xr:uid="{BAFB7FA7-1624-4B60-A479-1752ABC4D6C4}"/>
    <cellStyle name="Comma 2 3 5 5" xfId="368" xr:uid="{A8D523BA-A417-4D7B-9E28-88178C6BF6C1}"/>
    <cellStyle name="Comma 2 3 5 5 10" xfId="36876" xr:uid="{BD0C00C1-2B66-4317-84DF-2D7E2F8A4876}"/>
    <cellStyle name="Comma 2 3 5 5 11" xfId="18622" xr:uid="{727B3281-A1F8-4F48-AEB6-9613C0B02835}"/>
    <cellStyle name="Comma 2 3 5 5 2" xfId="3288" xr:uid="{98FFFFFD-6DC6-4876-9984-BADCE059BECC}"/>
    <cellStyle name="Comma 2 3 5 5 2 2" xfId="17888" xr:uid="{00F83699-24EA-42C5-8AD8-507E831D26FB}"/>
    <cellStyle name="Comma 2 3 5 5 2 2 2" xfId="54396" xr:uid="{20934F96-1C99-49FF-B393-674E0B49E36A}"/>
    <cellStyle name="Comma 2 3 5 5 2 2 3" xfId="36142" xr:uid="{535D7988-A923-4D15-9CD7-6BE123859F9A}"/>
    <cellStyle name="Comma 2 3 5 5 2 3" xfId="14238" xr:uid="{54BD1CC5-8D82-4B4F-99E9-BA742CAD6604}"/>
    <cellStyle name="Comma 2 3 5 5 2 3 2" xfId="50746" xr:uid="{2E5AA61A-9270-4F8D-8958-46309611FE8D}"/>
    <cellStyle name="Comma 2 3 5 5 2 3 3" xfId="32492" xr:uid="{5AE89E4B-E35C-406C-8D98-76DEC0C22CFE}"/>
    <cellStyle name="Comma 2 3 5 5 2 4" xfId="10588" xr:uid="{E6F2618E-61E6-4FDA-9CC6-7DEF0856C6DA}"/>
    <cellStyle name="Comma 2 3 5 5 2 4 2" xfId="47096" xr:uid="{9BAC3EB4-3C14-4C66-9439-01972ABFE34D}"/>
    <cellStyle name="Comma 2 3 5 5 2 4 3" xfId="28842" xr:uid="{C9820692-D174-49AE-B4A2-2295DB796446}"/>
    <cellStyle name="Comma 2 3 5 5 2 5" xfId="6938" xr:uid="{663347FF-199A-4EA3-B37B-4EE77D914DB6}"/>
    <cellStyle name="Comma 2 3 5 5 2 5 2" xfId="43446" xr:uid="{E474EB4C-2110-4558-966C-45273D76F5FE}"/>
    <cellStyle name="Comma 2 3 5 5 2 5 3" xfId="25192" xr:uid="{5D861C58-2CE6-4E0F-A169-341A0384BE25}"/>
    <cellStyle name="Comma 2 3 5 5 2 6" xfId="39796" xr:uid="{65FA75C0-EBF5-4C3F-8EBE-0E3030251517}"/>
    <cellStyle name="Comma 2 3 5 5 2 7" xfId="21542" xr:uid="{3A8032DC-6266-4ED2-9E46-93ED83999727}"/>
    <cellStyle name="Comma 2 3 5 5 3" xfId="2558" xr:uid="{9DB9486E-EF72-4C34-A171-597778347014}"/>
    <cellStyle name="Comma 2 3 5 5 3 2" xfId="17158" xr:uid="{06085B8C-3159-4C97-A8EC-0C85A76866B5}"/>
    <cellStyle name="Comma 2 3 5 5 3 2 2" xfId="53666" xr:uid="{71286EFF-0867-446D-80A4-D2D286F35E37}"/>
    <cellStyle name="Comma 2 3 5 5 3 2 3" xfId="35412" xr:uid="{6A50B072-FB57-47A7-AFD9-8A704B30F6CE}"/>
    <cellStyle name="Comma 2 3 5 5 3 3" xfId="13508" xr:uid="{9F1D4D74-ED4D-442A-9A3C-100DB05680B3}"/>
    <cellStyle name="Comma 2 3 5 5 3 3 2" xfId="50016" xr:uid="{BF5CE73E-33E7-49D7-970B-E56A257C3883}"/>
    <cellStyle name="Comma 2 3 5 5 3 3 3" xfId="31762" xr:uid="{7E3D0A31-DE1C-44FB-93DC-62172566EF60}"/>
    <cellStyle name="Comma 2 3 5 5 3 4" xfId="9858" xr:uid="{515E8855-E890-47E6-BB69-482692CDB558}"/>
    <cellStyle name="Comma 2 3 5 5 3 4 2" xfId="46366" xr:uid="{3B8CF5F8-D0C4-4302-96E4-E79BE5877FDE}"/>
    <cellStyle name="Comma 2 3 5 5 3 4 3" xfId="28112" xr:uid="{4DBD61E5-28E1-4A09-BC6C-A8EADC388B5D}"/>
    <cellStyle name="Comma 2 3 5 5 3 5" xfId="6208" xr:uid="{328B417F-F94D-4ACA-A946-EB557B0B1401}"/>
    <cellStyle name="Comma 2 3 5 5 3 5 2" xfId="42716" xr:uid="{73362502-ACB7-4832-B27F-68AE72CB08C1}"/>
    <cellStyle name="Comma 2 3 5 5 3 5 3" xfId="24462" xr:uid="{73BED319-4B38-41CD-A11B-F673B80C1D10}"/>
    <cellStyle name="Comma 2 3 5 5 3 6" xfId="39066" xr:uid="{4E4B604D-2FDD-4115-974C-8A548C5FE4E5}"/>
    <cellStyle name="Comma 2 3 5 5 3 7" xfId="20812" xr:uid="{CDFE0CCA-6895-4D10-96DB-4AEB30AFAA98}"/>
    <cellStyle name="Comma 2 3 5 5 4" xfId="1828" xr:uid="{9A8EC98F-26E2-445E-B302-831864998F47}"/>
    <cellStyle name="Comma 2 3 5 5 4 2" xfId="16428" xr:uid="{EDE50001-26C4-4700-97D1-3FDD0C0D9A08}"/>
    <cellStyle name="Comma 2 3 5 5 4 2 2" xfId="52936" xr:uid="{36D090D4-51D6-45D4-9852-9D9FF696CB97}"/>
    <cellStyle name="Comma 2 3 5 5 4 2 3" xfId="34682" xr:uid="{40C54A74-C4EE-4598-BC35-6154C258549F}"/>
    <cellStyle name="Comma 2 3 5 5 4 3" xfId="12778" xr:uid="{48AA4576-8F19-47E3-AF03-7A7F4357B1E4}"/>
    <cellStyle name="Comma 2 3 5 5 4 3 2" xfId="49286" xr:uid="{7B98E615-0A77-4DC1-9FA9-D45C474BCB1D}"/>
    <cellStyle name="Comma 2 3 5 5 4 3 3" xfId="31032" xr:uid="{37528D48-9908-4C23-A13B-D743F673904C}"/>
    <cellStyle name="Comma 2 3 5 5 4 4" xfId="9128" xr:uid="{7774996F-2975-4501-BCAA-C6E58B2D6C38}"/>
    <cellStyle name="Comma 2 3 5 5 4 4 2" xfId="45636" xr:uid="{78FEF090-F82A-452C-A565-A996BC15AACB}"/>
    <cellStyle name="Comma 2 3 5 5 4 4 3" xfId="27382" xr:uid="{9FF3B611-43F8-40E6-941F-1D7A26606309}"/>
    <cellStyle name="Comma 2 3 5 5 4 5" xfId="5478" xr:uid="{75C010EA-396D-4553-A491-CE2C609BE743}"/>
    <cellStyle name="Comma 2 3 5 5 4 5 2" xfId="41986" xr:uid="{5C837040-5AD5-4CF6-9981-63FEEBB5E6E5}"/>
    <cellStyle name="Comma 2 3 5 5 4 5 3" xfId="23732" xr:uid="{B2DCD446-201A-4632-AA61-1BBA76751833}"/>
    <cellStyle name="Comma 2 3 5 5 4 6" xfId="38336" xr:uid="{AF2ADC0B-716B-4E2D-91F3-3526E4522BD2}"/>
    <cellStyle name="Comma 2 3 5 5 4 7" xfId="20082" xr:uid="{28433EFD-22DF-4F10-8BB7-C1BEE4EC112D}"/>
    <cellStyle name="Comma 2 3 5 5 5" xfId="1098" xr:uid="{A2ECEB4B-AB09-4EE9-90CB-6047282C26EA}"/>
    <cellStyle name="Comma 2 3 5 5 5 2" xfId="15698" xr:uid="{B0DFB23D-7F9B-4839-B76B-69C876B070AC}"/>
    <cellStyle name="Comma 2 3 5 5 5 2 2" xfId="52206" xr:uid="{22120997-BE0D-4C87-9F63-81117367E5D4}"/>
    <cellStyle name="Comma 2 3 5 5 5 2 3" xfId="33952" xr:uid="{2CD5834A-262A-4CD5-A9D5-0578A45E455C}"/>
    <cellStyle name="Comma 2 3 5 5 5 3" xfId="12048" xr:uid="{2AD5E78D-20B6-486F-9C88-1268A6B7C050}"/>
    <cellStyle name="Comma 2 3 5 5 5 3 2" xfId="48556" xr:uid="{187DBD3C-4F62-4099-B3CC-5705744C82B3}"/>
    <cellStyle name="Comma 2 3 5 5 5 3 3" xfId="30302" xr:uid="{13DABBFD-4881-47C1-A919-2626A1596E55}"/>
    <cellStyle name="Comma 2 3 5 5 5 4" xfId="8398" xr:uid="{9B10E14A-F743-43CC-A1AF-2FDCD1B3B911}"/>
    <cellStyle name="Comma 2 3 5 5 5 4 2" xfId="44906" xr:uid="{FA150784-FDAA-45CC-8665-CA5962B1C338}"/>
    <cellStyle name="Comma 2 3 5 5 5 4 3" xfId="26652" xr:uid="{C121BA41-E8C0-4912-BB9B-FE891EF097FB}"/>
    <cellStyle name="Comma 2 3 5 5 5 5" xfId="4748" xr:uid="{02851A3E-FC29-4E09-8B5B-431FF1A37DB7}"/>
    <cellStyle name="Comma 2 3 5 5 5 5 2" xfId="41256" xr:uid="{BAC116C9-85C9-49EC-84B8-76FCE4BCA14F}"/>
    <cellStyle name="Comma 2 3 5 5 5 5 3" xfId="23002" xr:uid="{FBBE2771-E139-47F5-94C5-D25C32CC559A}"/>
    <cellStyle name="Comma 2 3 5 5 5 6" xfId="37606" xr:uid="{EF2C00F4-F3B4-4509-BE3F-78F08818C276}"/>
    <cellStyle name="Comma 2 3 5 5 5 7" xfId="19352" xr:uid="{D1512D1C-CCE5-4E92-9278-A15C6E440348}"/>
    <cellStyle name="Comma 2 3 5 5 6" xfId="14968" xr:uid="{38C73ACA-5E5B-4CCD-9F80-1B93D4E92E98}"/>
    <cellStyle name="Comma 2 3 5 5 6 2" xfId="51476" xr:uid="{2BEB6BDF-D34F-4C07-A8DC-C523F3479BD8}"/>
    <cellStyle name="Comma 2 3 5 5 6 3" xfId="33222" xr:uid="{321E9A28-5993-444F-9B8C-0652197E964C}"/>
    <cellStyle name="Comma 2 3 5 5 7" xfId="11318" xr:uid="{72473FC0-8CE2-43C2-AFA6-45EB4B5F9D33}"/>
    <cellStyle name="Comma 2 3 5 5 7 2" xfId="47826" xr:uid="{C703E8BF-962C-48CA-8055-746C90DA802D}"/>
    <cellStyle name="Comma 2 3 5 5 7 3" xfId="29572" xr:uid="{76095733-531B-461B-B8BC-ABDE97458685}"/>
    <cellStyle name="Comma 2 3 5 5 8" xfId="7668" xr:uid="{57E0FD29-0BE8-4BD0-B724-761EAD2E9111}"/>
    <cellStyle name="Comma 2 3 5 5 8 2" xfId="44176" xr:uid="{329B6EBA-2D7E-4A00-8F8C-9AA8C12AAF45}"/>
    <cellStyle name="Comma 2 3 5 5 8 3" xfId="25922" xr:uid="{CB5349F9-171D-41AA-A482-3B9C210C07BB}"/>
    <cellStyle name="Comma 2 3 5 5 9" xfId="4018" xr:uid="{FB6A78DA-64CE-497B-81EB-E5A27C021EDD}"/>
    <cellStyle name="Comma 2 3 5 5 9 2" xfId="40526" xr:uid="{3C512C3C-1591-4156-92D4-C8EE56D2D57B}"/>
    <cellStyle name="Comma 2 3 5 5 9 3" xfId="22272" xr:uid="{D24D20B3-2EC8-4BF1-A7D7-DD2E262EFAA8}"/>
    <cellStyle name="Comma 2 3 5 6" xfId="264" xr:uid="{485F4270-04BB-420F-9256-1141E76972E1}"/>
    <cellStyle name="Comma 2 3 5 6 10" xfId="36772" xr:uid="{500FE8A9-EAFC-4004-AE34-0B7879CED685}"/>
    <cellStyle name="Comma 2 3 5 6 11" xfId="18518" xr:uid="{5CA13D68-527B-4EB5-9F03-8BBAA53BB5EE}"/>
    <cellStyle name="Comma 2 3 5 6 2" xfId="3184" xr:uid="{D4D25BFA-E706-4220-9AE5-54682BA6FE6B}"/>
    <cellStyle name="Comma 2 3 5 6 2 2" xfId="17784" xr:uid="{7340536F-16FF-4C3C-8391-370499BA9FB5}"/>
    <cellStyle name="Comma 2 3 5 6 2 2 2" xfId="54292" xr:uid="{75C6A411-817C-4C9D-A71C-6B2C4378D0E3}"/>
    <cellStyle name="Comma 2 3 5 6 2 2 3" xfId="36038" xr:uid="{E17DD3AE-2093-46C0-A5FE-11F42281323C}"/>
    <cellStyle name="Comma 2 3 5 6 2 3" xfId="14134" xr:uid="{FD5672AD-C0CC-470B-99B9-419F11EEB583}"/>
    <cellStyle name="Comma 2 3 5 6 2 3 2" xfId="50642" xr:uid="{141E9E6F-4309-43B4-AF7D-65B4B3E31870}"/>
    <cellStyle name="Comma 2 3 5 6 2 3 3" xfId="32388" xr:uid="{628CE026-E8C1-4D78-A026-102273164138}"/>
    <cellStyle name="Comma 2 3 5 6 2 4" xfId="10484" xr:uid="{0F27C732-6A98-4673-9A76-953A80D11031}"/>
    <cellStyle name="Comma 2 3 5 6 2 4 2" xfId="46992" xr:uid="{0B9E0914-2286-46DB-86CC-642CC09A1326}"/>
    <cellStyle name="Comma 2 3 5 6 2 4 3" xfId="28738" xr:uid="{FA6B28D6-C8EF-4F18-AD69-AB8E08AEAF2C}"/>
    <cellStyle name="Comma 2 3 5 6 2 5" xfId="6834" xr:uid="{10135B53-BF51-45C0-B939-9407C21D77F4}"/>
    <cellStyle name="Comma 2 3 5 6 2 5 2" xfId="43342" xr:uid="{4316E54B-C2CB-4E29-8CF4-7EF7187C4C87}"/>
    <cellStyle name="Comma 2 3 5 6 2 5 3" xfId="25088" xr:uid="{FADD0D49-2B00-46E7-BBA9-782545300F8A}"/>
    <cellStyle name="Comma 2 3 5 6 2 6" xfId="39692" xr:uid="{0EA1AA14-4EA8-4F20-A87C-58F2FBCE473F}"/>
    <cellStyle name="Comma 2 3 5 6 2 7" xfId="21438" xr:uid="{A2C1F2F3-032B-485C-830F-0BD2B65899C1}"/>
    <cellStyle name="Comma 2 3 5 6 3" xfId="2454" xr:uid="{EC87F36E-C8A1-4B88-813C-6FDB26CB455C}"/>
    <cellStyle name="Comma 2 3 5 6 3 2" xfId="17054" xr:uid="{4AA698AE-64CD-404D-A12A-C4BD636C59C8}"/>
    <cellStyle name="Comma 2 3 5 6 3 2 2" xfId="53562" xr:uid="{9225824B-88A2-468B-ADAE-2CF073AB5519}"/>
    <cellStyle name="Comma 2 3 5 6 3 2 3" xfId="35308" xr:uid="{66BE481B-EF5B-4200-8E22-AB2859A366C6}"/>
    <cellStyle name="Comma 2 3 5 6 3 3" xfId="13404" xr:uid="{532CF9EC-1EFC-4191-BFBE-3D647459919C}"/>
    <cellStyle name="Comma 2 3 5 6 3 3 2" xfId="49912" xr:uid="{706AC012-6A9A-4314-81AD-8E6515541096}"/>
    <cellStyle name="Comma 2 3 5 6 3 3 3" xfId="31658" xr:uid="{E5F912E0-57A5-4307-805D-6AD0C7FE1658}"/>
    <cellStyle name="Comma 2 3 5 6 3 4" xfId="9754" xr:uid="{209C843C-BF5C-484B-84FF-EA22A7F85041}"/>
    <cellStyle name="Comma 2 3 5 6 3 4 2" xfId="46262" xr:uid="{7451E538-92FC-405D-AC26-19EF80A37BF3}"/>
    <cellStyle name="Comma 2 3 5 6 3 4 3" xfId="28008" xr:uid="{A3C04CA3-E6DD-4237-A3E0-8B0C5BC464E8}"/>
    <cellStyle name="Comma 2 3 5 6 3 5" xfId="6104" xr:uid="{9EE34CA5-469B-4FE7-AE8D-F3E903BBFA83}"/>
    <cellStyle name="Comma 2 3 5 6 3 5 2" xfId="42612" xr:uid="{97549B2D-A771-436A-B95B-C85E5CE1E408}"/>
    <cellStyle name="Comma 2 3 5 6 3 5 3" xfId="24358" xr:uid="{78455B1B-9BE4-4E65-B474-6EC1F1B5DA0C}"/>
    <cellStyle name="Comma 2 3 5 6 3 6" xfId="38962" xr:uid="{F0D31803-C1B2-45ED-AFC3-3207A06FE203}"/>
    <cellStyle name="Comma 2 3 5 6 3 7" xfId="20708" xr:uid="{F9FBA859-8A14-4BBF-B022-F85E195ADF24}"/>
    <cellStyle name="Comma 2 3 5 6 4" xfId="1724" xr:uid="{D57C5A64-1A08-4F40-AAB6-89A6E322D487}"/>
    <cellStyle name="Comma 2 3 5 6 4 2" xfId="16324" xr:uid="{C7B62EF1-C819-445C-91AE-35324B922034}"/>
    <cellStyle name="Comma 2 3 5 6 4 2 2" xfId="52832" xr:uid="{9657A7DA-AF68-4753-9CC3-BE0811CF6756}"/>
    <cellStyle name="Comma 2 3 5 6 4 2 3" xfId="34578" xr:uid="{2F73751F-C6A8-412E-BA91-853F0016886F}"/>
    <cellStyle name="Comma 2 3 5 6 4 3" xfId="12674" xr:uid="{FC7E39E3-CBCE-47C2-8862-4FC8BFC1C58A}"/>
    <cellStyle name="Comma 2 3 5 6 4 3 2" xfId="49182" xr:uid="{03335D1F-29F9-4DD2-9E9C-93E0666F438E}"/>
    <cellStyle name="Comma 2 3 5 6 4 3 3" xfId="30928" xr:uid="{6D6E5191-56EB-443D-B91F-5D9AD17D4C81}"/>
    <cellStyle name="Comma 2 3 5 6 4 4" xfId="9024" xr:uid="{83273AFF-8050-4197-A98F-1B2A77FC2715}"/>
    <cellStyle name="Comma 2 3 5 6 4 4 2" xfId="45532" xr:uid="{0065E99A-0AEF-4B48-8B94-2FBACA5D18BE}"/>
    <cellStyle name="Comma 2 3 5 6 4 4 3" xfId="27278" xr:uid="{C1AAA240-BACE-4E0F-AEF9-866B42D17B27}"/>
    <cellStyle name="Comma 2 3 5 6 4 5" xfId="5374" xr:uid="{AE24E662-5AF9-493B-A863-832F9B43E861}"/>
    <cellStyle name="Comma 2 3 5 6 4 5 2" xfId="41882" xr:uid="{C1EE2808-8CDD-48D6-8374-100E931695E1}"/>
    <cellStyle name="Comma 2 3 5 6 4 5 3" xfId="23628" xr:uid="{97CFE144-A9E3-4550-889A-34C075F297FD}"/>
    <cellStyle name="Comma 2 3 5 6 4 6" xfId="38232" xr:uid="{FB3EC80A-33F1-4521-93C6-9AF4D590D8B0}"/>
    <cellStyle name="Comma 2 3 5 6 4 7" xfId="19978" xr:uid="{D0EF5E3D-C547-496F-803D-5827DA1544A1}"/>
    <cellStyle name="Comma 2 3 5 6 5" xfId="994" xr:uid="{B0A700E5-3CEB-49B4-9045-DAD8F8002A73}"/>
    <cellStyle name="Comma 2 3 5 6 5 2" xfId="15594" xr:uid="{C9F4D96E-AE6F-45A8-A218-42BD394B9E87}"/>
    <cellStyle name="Comma 2 3 5 6 5 2 2" xfId="52102" xr:uid="{5C11999C-44E4-47F5-A835-B4315BE8EA3A}"/>
    <cellStyle name="Comma 2 3 5 6 5 2 3" xfId="33848" xr:uid="{57D429A5-D2B0-45F2-B9B0-62DDB40F451C}"/>
    <cellStyle name="Comma 2 3 5 6 5 3" xfId="11944" xr:uid="{5F8A6C91-FF54-43DA-8D0E-129FD4791E06}"/>
    <cellStyle name="Comma 2 3 5 6 5 3 2" xfId="48452" xr:uid="{D1DA8212-C364-47E2-9AE4-7A694357386E}"/>
    <cellStyle name="Comma 2 3 5 6 5 3 3" xfId="30198" xr:uid="{8DBB9559-F561-47F5-AC77-216A7E54F740}"/>
    <cellStyle name="Comma 2 3 5 6 5 4" xfId="8294" xr:uid="{CAFA4EE5-B410-46E8-9D9C-A5D928DA2636}"/>
    <cellStyle name="Comma 2 3 5 6 5 4 2" xfId="44802" xr:uid="{1AF815D9-791A-408C-8F16-C07B28098599}"/>
    <cellStyle name="Comma 2 3 5 6 5 4 3" xfId="26548" xr:uid="{7833D815-9802-428B-8251-E282690135E5}"/>
    <cellStyle name="Comma 2 3 5 6 5 5" xfId="4644" xr:uid="{1AEA66CB-827B-41F9-939F-681AD5940A0A}"/>
    <cellStyle name="Comma 2 3 5 6 5 5 2" xfId="41152" xr:uid="{F6A3C1B5-0762-4B00-BB63-2DFB129A4070}"/>
    <cellStyle name="Comma 2 3 5 6 5 5 3" xfId="22898" xr:uid="{C62DAC8D-7498-49D7-932F-15C51C4F0F13}"/>
    <cellStyle name="Comma 2 3 5 6 5 6" xfId="37502" xr:uid="{5C0E3AB5-001F-4A57-A3BF-3FD549860AE3}"/>
    <cellStyle name="Comma 2 3 5 6 5 7" xfId="19248" xr:uid="{E4F2425C-D918-4FED-8EEB-08F940EFD0E3}"/>
    <cellStyle name="Comma 2 3 5 6 6" xfId="14864" xr:uid="{735C280E-301B-4DE8-8755-66B56BC89509}"/>
    <cellStyle name="Comma 2 3 5 6 6 2" xfId="51372" xr:uid="{E8D08FE7-7D98-4239-9619-0262F247BDE6}"/>
    <cellStyle name="Comma 2 3 5 6 6 3" xfId="33118" xr:uid="{6F435851-FC05-44DD-AE2D-659A956BEE0C}"/>
    <cellStyle name="Comma 2 3 5 6 7" xfId="11214" xr:uid="{60FE924A-6EFE-4F6D-BD3F-90893CD7DC49}"/>
    <cellStyle name="Comma 2 3 5 6 7 2" xfId="47722" xr:uid="{212BC1ED-0E06-41EB-A3C6-DFFBBBCEE374}"/>
    <cellStyle name="Comma 2 3 5 6 7 3" xfId="29468" xr:uid="{63E58FE7-DDBB-474A-B020-0499C2C162F6}"/>
    <cellStyle name="Comma 2 3 5 6 8" xfId="7564" xr:uid="{AB523D01-4B1D-486B-9EA1-B497B5414892}"/>
    <cellStyle name="Comma 2 3 5 6 8 2" xfId="44072" xr:uid="{8E283D86-4711-48BA-B533-8E9EBB1F4658}"/>
    <cellStyle name="Comma 2 3 5 6 8 3" xfId="25818" xr:uid="{8BDCCE3B-1072-4EE3-8398-5C3CFED528F0}"/>
    <cellStyle name="Comma 2 3 5 6 9" xfId="3914" xr:uid="{58ED9DED-27C1-4C75-B733-D46AB8EC2F48}"/>
    <cellStyle name="Comma 2 3 5 6 9 2" xfId="40422" xr:uid="{7EB4F985-733C-41B0-972A-2E689F3B2B62}"/>
    <cellStyle name="Comma 2 3 5 6 9 3" xfId="22168" xr:uid="{D5B1DF70-F4A4-4F5A-A4B2-C241A5FAF514}"/>
    <cellStyle name="Comma 2 3 5 7" xfId="160" xr:uid="{C32A51C2-AA27-4CAF-8E8A-6C4D08F34586}"/>
    <cellStyle name="Comma 2 3 5 7 10" xfId="36668" xr:uid="{F8B3E865-5286-4083-91CD-E6B8C6B17272}"/>
    <cellStyle name="Comma 2 3 5 7 11" xfId="18414" xr:uid="{C6D30C49-1700-4325-9EF4-6CC44009C619}"/>
    <cellStyle name="Comma 2 3 5 7 2" xfId="3080" xr:uid="{3B3543FC-E537-412C-A781-11B883D03F0E}"/>
    <cellStyle name="Comma 2 3 5 7 2 2" xfId="17680" xr:uid="{A8240505-9DE5-4CE3-9631-C58F24FF7ED2}"/>
    <cellStyle name="Comma 2 3 5 7 2 2 2" xfId="54188" xr:uid="{CAAF4B55-D5C0-4158-8C8B-9F89AC212683}"/>
    <cellStyle name="Comma 2 3 5 7 2 2 3" xfId="35934" xr:uid="{399F1A1F-F016-4B20-907D-B3010C9EF6C9}"/>
    <cellStyle name="Comma 2 3 5 7 2 3" xfId="14030" xr:uid="{108C7476-95DB-4443-8B90-963CAA46463E}"/>
    <cellStyle name="Comma 2 3 5 7 2 3 2" xfId="50538" xr:uid="{24DEE3BB-CE6F-46C3-83C8-8835798E0602}"/>
    <cellStyle name="Comma 2 3 5 7 2 3 3" xfId="32284" xr:uid="{6B0BCCFB-1E6A-4715-9BCF-5803D1817057}"/>
    <cellStyle name="Comma 2 3 5 7 2 4" xfId="10380" xr:uid="{5B2DD198-AC38-4349-A888-CA4D598CDF36}"/>
    <cellStyle name="Comma 2 3 5 7 2 4 2" xfId="46888" xr:uid="{B96F1DA5-EAFF-4222-BB37-7D2B729AEDC9}"/>
    <cellStyle name="Comma 2 3 5 7 2 4 3" xfId="28634" xr:uid="{02142545-B390-40FC-BE23-3C6ADCDCC298}"/>
    <cellStyle name="Comma 2 3 5 7 2 5" xfId="6730" xr:uid="{76D9D19C-AE3F-46B5-90E5-9FFCCFB8BF11}"/>
    <cellStyle name="Comma 2 3 5 7 2 5 2" xfId="43238" xr:uid="{98043BFE-95E7-4E34-8B2A-F4BD5F2456E8}"/>
    <cellStyle name="Comma 2 3 5 7 2 5 3" xfId="24984" xr:uid="{4C9E6A8A-168E-4FCE-9748-908BD13C4F05}"/>
    <cellStyle name="Comma 2 3 5 7 2 6" xfId="39588" xr:uid="{24C1F362-B82F-4887-8B07-EFD4DEF92924}"/>
    <cellStyle name="Comma 2 3 5 7 2 7" xfId="21334" xr:uid="{01C9EA02-1FD3-4B32-8685-67A22D359FC1}"/>
    <cellStyle name="Comma 2 3 5 7 3" xfId="2350" xr:uid="{23A7AA41-545B-4C4E-81B6-F6512FEECE8C}"/>
    <cellStyle name="Comma 2 3 5 7 3 2" xfId="16950" xr:uid="{7D64DE37-133B-474E-BFFE-E2F0BF7531E0}"/>
    <cellStyle name="Comma 2 3 5 7 3 2 2" xfId="53458" xr:uid="{2DC0D7BD-ACA8-4320-B61E-1ADB9F83956C}"/>
    <cellStyle name="Comma 2 3 5 7 3 2 3" xfId="35204" xr:uid="{01AF1F6D-D4B1-44DA-A563-F42FC89CA080}"/>
    <cellStyle name="Comma 2 3 5 7 3 3" xfId="13300" xr:uid="{2E152717-694E-4761-96C2-0DF55019BAC5}"/>
    <cellStyle name="Comma 2 3 5 7 3 3 2" xfId="49808" xr:uid="{A812506E-DA86-498F-8832-E4E2C43DA934}"/>
    <cellStyle name="Comma 2 3 5 7 3 3 3" xfId="31554" xr:uid="{9DD02F6A-06BC-4EF9-93BD-62263B6F0E09}"/>
    <cellStyle name="Comma 2 3 5 7 3 4" xfId="9650" xr:uid="{1B5FC750-591C-4A93-9F1D-2170E807839F}"/>
    <cellStyle name="Comma 2 3 5 7 3 4 2" xfId="46158" xr:uid="{DAD17D36-3968-45EA-AA45-98A0A9363220}"/>
    <cellStyle name="Comma 2 3 5 7 3 4 3" xfId="27904" xr:uid="{BDD6500D-FCC3-4459-854B-3E31060321A6}"/>
    <cellStyle name="Comma 2 3 5 7 3 5" xfId="6000" xr:uid="{DBE8956F-1073-4559-81E9-1F5D24C29056}"/>
    <cellStyle name="Comma 2 3 5 7 3 5 2" xfId="42508" xr:uid="{1DAE5F93-064F-407E-8880-AD754C8F94DC}"/>
    <cellStyle name="Comma 2 3 5 7 3 5 3" xfId="24254" xr:uid="{0CDA3D9C-858A-4F50-A932-CFF1D1D5DB68}"/>
    <cellStyle name="Comma 2 3 5 7 3 6" xfId="38858" xr:uid="{4EAE84BA-78DA-4B25-87A8-B3341C7CFEC0}"/>
    <cellStyle name="Comma 2 3 5 7 3 7" xfId="20604" xr:uid="{AFC73456-31CD-47D9-8B81-45D6C3836020}"/>
    <cellStyle name="Comma 2 3 5 7 4" xfId="1620" xr:uid="{616667A8-569C-4786-B3F0-62D189DF524A}"/>
    <cellStyle name="Comma 2 3 5 7 4 2" xfId="16220" xr:uid="{FB0441AB-370B-4CDC-A126-C028856289F7}"/>
    <cellStyle name="Comma 2 3 5 7 4 2 2" xfId="52728" xr:uid="{ADBA7C0D-54AB-4FE3-BF21-DEB8ED9C64AD}"/>
    <cellStyle name="Comma 2 3 5 7 4 2 3" xfId="34474" xr:uid="{18866C5A-9853-45C8-9608-DF0AAF3F84D7}"/>
    <cellStyle name="Comma 2 3 5 7 4 3" xfId="12570" xr:uid="{B0F0B65D-5BDE-4BE2-893E-A1284172A7A3}"/>
    <cellStyle name="Comma 2 3 5 7 4 3 2" xfId="49078" xr:uid="{8B63BCE6-D398-4E5F-83F1-52DC98AC943D}"/>
    <cellStyle name="Comma 2 3 5 7 4 3 3" xfId="30824" xr:uid="{D7561C22-6C75-4E7A-932E-9AEE1790BEC0}"/>
    <cellStyle name="Comma 2 3 5 7 4 4" xfId="8920" xr:uid="{434F37D8-8DDB-452A-82C6-47D421BCCCC3}"/>
    <cellStyle name="Comma 2 3 5 7 4 4 2" xfId="45428" xr:uid="{DEB45A48-82C5-42E9-A58E-91FFE26E92DB}"/>
    <cellStyle name="Comma 2 3 5 7 4 4 3" xfId="27174" xr:uid="{ED59A223-311C-42A2-9043-EB5B6FF532E6}"/>
    <cellStyle name="Comma 2 3 5 7 4 5" xfId="5270" xr:uid="{DD30CE4A-6335-48E5-914E-20D014ED409B}"/>
    <cellStyle name="Comma 2 3 5 7 4 5 2" xfId="41778" xr:uid="{74F7DDA9-DC50-41BB-8392-9CF44C3374F5}"/>
    <cellStyle name="Comma 2 3 5 7 4 5 3" xfId="23524" xr:uid="{01F13C7A-6772-4B50-9DCC-1A27EAD89FAD}"/>
    <cellStyle name="Comma 2 3 5 7 4 6" xfId="38128" xr:uid="{B2D2B57A-B8A7-42D9-B7B2-7FB834A3C76F}"/>
    <cellStyle name="Comma 2 3 5 7 4 7" xfId="19874" xr:uid="{4844B3E0-D274-4E2E-A5A9-FE1C44E0B4CC}"/>
    <cellStyle name="Comma 2 3 5 7 5" xfId="890" xr:uid="{8C2EF4C2-3240-4876-92DB-869F26133618}"/>
    <cellStyle name="Comma 2 3 5 7 5 2" xfId="15490" xr:uid="{486DC2B2-652B-4C66-AD4F-C9C208FD4E20}"/>
    <cellStyle name="Comma 2 3 5 7 5 2 2" xfId="51998" xr:uid="{38DB22E1-8FE7-42D7-BF1A-72FA877CA779}"/>
    <cellStyle name="Comma 2 3 5 7 5 2 3" xfId="33744" xr:uid="{3339168D-7B23-485D-BCD4-1A0DD1A9222F}"/>
    <cellStyle name="Comma 2 3 5 7 5 3" xfId="11840" xr:uid="{6417617B-09BD-4025-A8EF-E08865412CD9}"/>
    <cellStyle name="Comma 2 3 5 7 5 3 2" xfId="48348" xr:uid="{08859ED8-6259-4F95-A399-9C218427BDD8}"/>
    <cellStyle name="Comma 2 3 5 7 5 3 3" xfId="30094" xr:uid="{173D5B50-28D4-42BF-BC26-AA3ACD2D8CA1}"/>
    <cellStyle name="Comma 2 3 5 7 5 4" xfId="8190" xr:uid="{25C188F9-A616-4F4A-90E3-B3A6994FECD5}"/>
    <cellStyle name="Comma 2 3 5 7 5 4 2" xfId="44698" xr:uid="{2160F05C-1CEF-4188-BAC9-A121C2D4419F}"/>
    <cellStyle name="Comma 2 3 5 7 5 4 3" xfId="26444" xr:uid="{B72C173B-90F5-4757-B66A-ABF6D1FE888D}"/>
    <cellStyle name="Comma 2 3 5 7 5 5" xfId="4540" xr:uid="{C3DD46BB-A219-4618-86EA-EDE9725B501D}"/>
    <cellStyle name="Comma 2 3 5 7 5 5 2" xfId="41048" xr:uid="{32ED1D73-D07F-496E-98B0-501841EE40DF}"/>
    <cellStyle name="Comma 2 3 5 7 5 5 3" xfId="22794" xr:uid="{287F2F2B-42AC-4BDF-A210-98BABF60B4BD}"/>
    <cellStyle name="Comma 2 3 5 7 5 6" xfId="37398" xr:uid="{9C3C9218-3C12-43A2-B1EC-A14B76E9FC5C}"/>
    <cellStyle name="Comma 2 3 5 7 5 7" xfId="19144" xr:uid="{3444382F-88A4-4648-8BF3-74AD002751BE}"/>
    <cellStyle name="Comma 2 3 5 7 6" xfId="14760" xr:uid="{505D9E90-ED65-4A08-8687-4B9154A8B1C7}"/>
    <cellStyle name="Comma 2 3 5 7 6 2" xfId="51268" xr:uid="{0D7A3633-3FEF-4783-A059-4AC4F9746F2C}"/>
    <cellStyle name="Comma 2 3 5 7 6 3" xfId="33014" xr:uid="{7AF0FBE9-A1C7-47FE-9662-8D4808E29CB1}"/>
    <cellStyle name="Comma 2 3 5 7 7" xfId="11110" xr:uid="{4DA07502-B6B1-45CD-9DF8-DE9CD181D4AB}"/>
    <cellStyle name="Comma 2 3 5 7 7 2" xfId="47618" xr:uid="{95F9F07C-D0B4-47AC-B780-0310A890BE98}"/>
    <cellStyle name="Comma 2 3 5 7 7 3" xfId="29364" xr:uid="{9DF654CE-2D3B-4F04-9E5D-C7FFC2867F0D}"/>
    <cellStyle name="Comma 2 3 5 7 8" xfId="7460" xr:uid="{51F22B7E-76BF-40BA-B030-2A2346AE023C}"/>
    <cellStyle name="Comma 2 3 5 7 8 2" xfId="43968" xr:uid="{6070096C-B985-46F5-9963-B5CDAFD727DE}"/>
    <cellStyle name="Comma 2 3 5 7 8 3" xfId="25714" xr:uid="{CEA0AFF7-F673-4F06-A453-55061F290C59}"/>
    <cellStyle name="Comma 2 3 5 7 9" xfId="3810" xr:uid="{587ECF65-E564-419B-A017-14EB2F14FD5D}"/>
    <cellStyle name="Comma 2 3 5 7 9 2" xfId="40318" xr:uid="{49238149-C6F0-425C-B469-FE00DE036CF0}"/>
    <cellStyle name="Comma 2 3 5 7 9 3" xfId="22064" xr:uid="{01AB2983-8C17-4049-B6EB-FEBC8E032A6F}"/>
    <cellStyle name="Comma 2 3 5 8" xfId="2976" xr:uid="{C6D9E667-DA69-491D-B885-A39E2EB8516A}"/>
    <cellStyle name="Comma 2 3 5 8 2" xfId="17576" xr:uid="{4C9CD24A-C3A9-48D8-BA70-A8D399146B18}"/>
    <cellStyle name="Comma 2 3 5 8 2 2" xfId="54084" xr:uid="{E27A58AD-9401-4094-AE99-76A96287D76D}"/>
    <cellStyle name="Comma 2 3 5 8 2 3" xfId="35830" xr:uid="{7B418AB4-8034-4F8C-943C-6966CCA51CBB}"/>
    <cellStyle name="Comma 2 3 5 8 3" xfId="13926" xr:uid="{EA4C2380-4BEF-4D97-B4F1-433F59288196}"/>
    <cellStyle name="Comma 2 3 5 8 3 2" xfId="50434" xr:uid="{AE6A93C7-CEB5-48CE-8176-4039050A33FA}"/>
    <cellStyle name="Comma 2 3 5 8 3 3" xfId="32180" xr:uid="{F99C30E1-72CA-479D-B822-5853E0829522}"/>
    <cellStyle name="Comma 2 3 5 8 4" xfId="10276" xr:uid="{C0B6872B-4449-46F0-BD7E-2A07F3DD9A08}"/>
    <cellStyle name="Comma 2 3 5 8 4 2" xfId="46784" xr:uid="{FA1942F2-04CF-472F-8941-BF8E874E4D8B}"/>
    <cellStyle name="Comma 2 3 5 8 4 3" xfId="28530" xr:uid="{EA0FC26C-D3C9-41BA-B82A-1EC6344E7E0D}"/>
    <cellStyle name="Comma 2 3 5 8 5" xfId="6626" xr:uid="{18D35A7A-0EDD-4EF9-BA5C-74E3E37E98AD}"/>
    <cellStyle name="Comma 2 3 5 8 5 2" xfId="43134" xr:uid="{AC60393F-7B48-47F6-8F02-055EC05D82EF}"/>
    <cellStyle name="Comma 2 3 5 8 5 3" xfId="24880" xr:uid="{13AF0D27-EA9E-4A18-A6C5-0D59C520BA57}"/>
    <cellStyle name="Comma 2 3 5 8 6" xfId="39484" xr:uid="{B8E341F4-D54B-4F59-AAA4-73B940AB45EB}"/>
    <cellStyle name="Comma 2 3 5 8 7" xfId="21230" xr:uid="{D4C2CCFA-79A9-4378-A179-7C284708ED6B}"/>
    <cellStyle name="Comma 2 3 5 9" xfId="2246" xr:uid="{B61C3B4F-F1A4-4DA6-96CD-BE5A7D5018BC}"/>
    <cellStyle name="Comma 2 3 5 9 2" xfId="16846" xr:uid="{F4A350D6-43AE-4898-939B-9C043B06E534}"/>
    <cellStyle name="Comma 2 3 5 9 2 2" xfId="53354" xr:uid="{661E35FF-7C3E-4E6F-9FED-E7145A4D4CCE}"/>
    <cellStyle name="Comma 2 3 5 9 2 3" xfId="35100" xr:uid="{94CC9045-A92E-42E1-A2DF-25720EF77188}"/>
    <cellStyle name="Comma 2 3 5 9 3" xfId="13196" xr:uid="{25A06CB0-8C6C-4FFA-8A82-B4A651D832D7}"/>
    <cellStyle name="Comma 2 3 5 9 3 2" xfId="49704" xr:uid="{E49850F1-6B23-4FCD-8D55-5A2B5A7E8B49}"/>
    <cellStyle name="Comma 2 3 5 9 3 3" xfId="31450" xr:uid="{49D4A0CD-9388-4D38-AE95-2691AD986851}"/>
    <cellStyle name="Comma 2 3 5 9 4" xfId="9546" xr:uid="{3DDA9F7B-82B0-4673-BB12-8363855F8392}"/>
    <cellStyle name="Comma 2 3 5 9 4 2" xfId="46054" xr:uid="{BCC9601A-3F3F-4040-8F7A-A7391D3E0111}"/>
    <cellStyle name="Comma 2 3 5 9 4 3" xfId="27800" xr:uid="{BAC08E71-CFC7-432B-9E5B-CE46FF184A3A}"/>
    <cellStyle name="Comma 2 3 5 9 5" xfId="5896" xr:uid="{246D9AFB-F0A8-433C-860E-E9E12B3724F4}"/>
    <cellStyle name="Comma 2 3 5 9 5 2" xfId="42404" xr:uid="{59C34693-CF27-4CDB-BCD3-46B88C10DFF8}"/>
    <cellStyle name="Comma 2 3 5 9 5 3" xfId="24150" xr:uid="{F182DBF0-967C-48EF-83CC-44B7F7D435F0}"/>
    <cellStyle name="Comma 2 3 5 9 6" xfId="38754" xr:uid="{E02BC8B2-BEF0-493C-8B60-A0A8762C10B0}"/>
    <cellStyle name="Comma 2 3 5 9 7" xfId="20500" xr:uid="{552C6317-717E-4BD6-ACCA-14D33452E2E5}"/>
    <cellStyle name="Comma 2 3 6" xfId="648" xr:uid="{2DD055EC-A146-4026-9FA7-1E9A05B7052D}"/>
    <cellStyle name="Comma 2 3 6 10" xfId="37156" xr:uid="{0C81001C-9719-41CB-BF81-2ED1C1A0FD84}"/>
    <cellStyle name="Comma 2 3 6 11" xfId="18902" xr:uid="{D0140864-54D1-4E37-BF20-3446E282E816}"/>
    <cellStyle name="Comma 2 3 6 2" xfId="3568" xr:uid="{95651DF3-B934-4AB7-B286-0F2AD77C4405}"/>
    <cellStyle name="Comma 2 3 6 2 2" xfId="18168" xr:uid="{C4598029-46D0-4F26-B196-F33F5913253D}"/>
    <cellStyle name="Comma 2 3 6 2 2 2" xfId="54676" xr:uid="{4F3C07E8-8A9B-4806-A2AD-B94D497AB884}"/>
    <cellStyle name="Comma 2 3 6 2 2 3" xfId="36422" xr:uid="{CB868B80-0BD0-47CB-AC8B-6F2FC1BBCF2A}"/>
    <cellStyle name="Comma 2 3 6 2 3" xfId="14518" xr:uid="{73FF95DF-E660-446E-B24B-1027716EDFDA}"/>
    <cellStyle name="Comma 2 3 6 2 3 2" xfId="51026" xr:uid="{C648B2BF-449B-4217-A227-F52EE2A7DBBF}"/>
    <cellStyle name="Comma 2 3 6 2 3 3" xfId="32772" xr:uid="{8CD5C515-0033-4449-A5FF-5E33692B5D2C}"/>
    <cellStyle name="Comma 2 3 6 2 4" xfId="10868" xr:uid="{87F0770E-9C7E-432E-B1BE-CE5A19887CDC}"/>
    <cellStyle name="Comma 2 3 6 2 4 2" xfId="47376" xr:uid="{B90B7C2A-3706-45B7-ABAE-C9AAB46246FC}"/>
    <cellStyle name="Comma 2 3 6 2 4 3" xfId="29122" xr:uid="{4C6309F2-73F5-49C3-B3CF-0605D4BB3319}"/>
    <cellStyle name="Comma 2 3 6 2 5" xfId="7218" xr:uid="{03E54D6E-D2E9-433A-88FE-9C050F270F51}"/>
    <cellStyle name="Comma 2 3 6 2 5 2" xfId="43726" xr:uid="{19EBE1EB-295B-41E9-B3F6-B04CD9F99385}"/>
    <cellStyle name="Comma 2 3 6 2 5 3" xfId="25472" xr:uid="{68B88611-6C05-4B3B-9977-56E38889E938}"/>
    <cellStyle name="Comma 2 3 6 2 6" xfId="40076" xr:uid="{12BA7DAF-666F-476D-B968-E7F28D248520}"/>
    <cellStyle name="Comma 2 3 6 2 7" xfId="21822" xr:uid="{F50B19BD-7317-461C-A7CE-37D72332A52F}"/>
    <cellStyle name="Comma 2 3 6 3" xfId="2838" xr:uid="{29CB5CF6-5A55-49BB-B00D-FBB7294C5611}"/>
    <cellStyle name="Comma 2 3 6 3 2" xfId="17438" xr:uid="{6A5D674A-D9FE-4961-80C0-620861857BC6}"/>
    <cellStyle name="Comma 2 3 6 3 2 2" xfId="53946" xr:uid="{FB1C5F01-9A14-44B3-9654-1ABC0EDB61B8}"/>
    <cellStyle name="Comma 2 3 6 3 2 3" xfId="35692" xr:uid="{0CD6E41A-DD89-4E53-BC7D-606B88D71C8C}"/>
    <cellStyle name="Comma 2 3 6 3 3" xfId="13788" xr:uid="{F921C76D-0723-4F6E-AAFC-1FFE32EDD576}"/>
    <cellStyle name="Comma 2 3 6 3 3 2" xfId="50296" xr:uid="{29F24BE8-A2D3-4CD7-8C36-3D9BE5A8B510}"/>
    <cellStyle name="Comma 2 3 6 3 3 3" xfId="32042" xr:uid="{757EC3E9-0C7B-48CE-B172-A64DE0713843}"/>
    <cellStyle name="Comma 2 3 6 3 4" xfId="10138" xr:uid="{547E3F68-CAD4-41ED-AB43-9AD6FE9D07F2}"/>
    <cellStyle name="Comma 2 3 6 3 4 2" xfId="46646" xr:uid="{81C6FE3A-E6AB-4C66-999D-168221B58B2C}"/>
    <cellStyle name="Comma 2 3 6 3 4 3" xfId="28392" xr:uid="{78C8ABAE-074C-4BA1-A480-9DBAA28171D5}"/>
    <cellStyle name="Comma 2 3 6 3 5" xfId="6488" xr:uid="{17F08218-95D2-499A-A89D-59AAEC5238E4}"/>
    <cellStyle name="Comma 2 3 6 3 5 2" xfId="42996" xr:uid="{66309B69-358F-49D6-9FB1-D9C3C2EB1BE6}"/>
    <cellStyle name="Comma 2 3 6 3 5 3" xfId="24742" xr:uid="{B296CFB3-FDC8-415A-9D92-41AFC92F4D36}"/>
    <cellStyle name="Comma 2 3 6 3 6" xfId="39346" xr:uid="{A4283B55-E50E-4438-83DC-8D341BC05FE6}"/>
    <cellStyle name="Comma 2 3 6 3 7" xfId="21092" xr:uid="{BE42E8A5-DC0D-4B28-A4E1-CA7803442459}"/>
    <cellStyle name="Comma 2 3 6 4" xfId="2108" xr:uid="{CFCA9DB0-2679-4804-8808-B9C1A3930840}"/>
    <cellStyle name="Comma 2 3 6 4 2" xfId="16708" xr:uid="{A96561A3-8956-4368-8F2E-F31A4A75F9C5}"/>
    <cellStyle name="Comma 2 3 6 4 2 2" xfId="53216" xr:uid="{AC651C1E-9B4E-4769-AB07-4C088B93E28A}"/>
    <cellStyle name="Comma 2 3 6 4 2 3" xfId="34962" xr:uid="{73802D98-9FC9-4B13-A3B2-971200AC0056}"/>
    <cellStyle name="Comma 2 3 6 4 3" xfId="13058" xr:uid="{8830CA34-8F8D-4EEE-82F7-0BB80B30D324}"/>
    <cellStyle name="Comma 2 3 6 4 3 2" xfId="49566" xr:uid="{48D694B2-D95A-4C1C-BD45-A261D82549F4}"/>
    <cellStyle name="Comma 2 3 6 4 3 3" xfId="31312" xr:uid="{DE99E2D2-B88D-4847-A5D2-F37C76F01F27}"/>
    <cellStyle name="Comma 2 3 6 4 4" xfId="9408" xr:uid="{581D8FE0-5A3F-4478-B6A7-1A36ADF58206}"/>
    <cellStyle name="Comma 2 3 6 4 4 2" xfId="45916" xr:uid="{75CDD21B-C8AA-48C8-9F11-01390C1AF561}"/>
    <cellStyle name="Comma 2 3 6 4 4 3" xfId="27662" xr:uid="{60D78CFF-7F48-4B49-BADC-34F5ECF466AA}"/>
    <cellStyle name="Comma 2 3 6 4 5" xfId="5758" xr:uid="{291592E6-2B22-4A96-B3ED-5FD883CB90F0}"/>
    <cellStyle name="Comma 2 3 6 4 5 2" xfId="42266" xr:uid="{304D316E-3F7D-4712-BF8B-D3352947914C}"/>
    <cellStyle name="Comma 2 3 6 4 5 3" xfId="24012" xr:uid="{5B164CC4-B86D-41A9-BCC7-0DA47514832D}"/>
    <cellStyle name="Comma 2 3 6 4 6" xfId="38616" xr:uid="{56E67007-388B-4EB1-980E-2CB2D43A4295}"/>
    <cellStyle name="Comma 2 3 6 4 7" xfId="20362" xr:uid="{214807E6-8E3E-43A4-811D-CE403064AB93}"/>
    <cellStyle name="Comma 2 3 6 5" xfId="1378" xr:uid="{F6D144EC-128A-43D4-9095-1EA4F1F692FA}"/>
    <cellStyle name="Comma 2 3 6 5 2" xfId="15978" xr:uid="{85864A7F-2061-4818-AD6B-2C7EF4DDAD02}"/>
    <cellStyle name="Comma 2 3 6 5 2 2" xfId="52486" xr:uid="{D83D2E45-700D-4D70-91C3-D6D59A0719B6}"/>
    <cellStyle name="Comma 2 3 6 5 2 3" xfId="34232" xr:uid="{2C2894F3-ADD8-4988-9B71-8C277FA44B29}"/>
    <cellStyle name="Comma 2 3 6 5 3" xfId="12328" xr:uid="{D1BAF287-F9AF-4DDD-8D86-D7D52EFCB835}"/>
    <cellStyle name="Comma 2 3 6 5 3 2" xfId="48836" xr:uid="{F5A029AD-7EF5-4A15-B1D3-0EBC3C2319D8}"/>
    <cellStyle name="Comma 2 3 6 5 3 3" xfId="30582" xr:uid="{7827FFBF-4F03-4C00-AFE4-22F7FF233DBF}"/>
    <cellStyle name="Comma 2 3 6 5 4" xfId="8678" xr:uid="{1E6EDBFA-4216-426C-8E6D-66A983153684}"/>
    <cellStyle name="Comma 2 3 6 5 4 2" xfId="45186" xr:uid="{39977798-28F8-41BB-B20E-7896C4B0FF3F}"/>
    <cellStyle name="Comma 2 3 6 5 4 3" xfId="26932" xr:uid="{2AC42CFF-1D83-485C-A0DC-F9CF77992BA2}"/>
    <cellStyle name="Comma 2 3 6 5 5" xfId="5028" xr:uid="{01CD0DA3-C62A-405D-AB33-0E8D14363245}"/>
    <cellStyle name="Comma 2 3 6 5 5 2" xfId="41536" xr:uid="{4626CA66-375D-41F3-A56B-9CE63445FE99}"/>
    <cellStyle name="Comma 2 3 6 5 5 3" xfId="23282" xr:uid="{60F6FB9D-A372-4443-B11C-1C67D8197A71}"/>
    <cellStyle name="Comma 2 3 6 5 6" xfId="37886" xr:uid="{913B9747-0420-4EAF-83A5-1337DF4A4419}"/>
    <cellStyle name="Comma 2 3 6 5 7" xfId="19632" xr:uid="{F4960117-50BF-4FA8-8717-6696B2B1A0C1}"/>
    <cellStyle name="Comma 2 3 6 6" xfId="15248" xr:uid="{B223F0AC-7837-40CC-BCD8-CC5BE7F4BDB2}"/>
    <cellStyle name="Comma 2 3 6 6 2" xfId="51756" xr:uid="{EBFAF374-C0D0-4C5D-B718-26AF4ADA114E}"/>
    <cellStyle name="Comma 2 3 6 6 3" xfId="33502" xr:uid="{71BFF9A9-3597-4A77-AB94-ADCFC96D9FD9}"/>
    <cellStyle name="Comma 2 3 6 7" xfId="11598" xr:uid="{07C0C4CE-B28E-4ECE-867C-B9139DBA4E33}"/>
    <cellStyle name="Comma 2 3 6 7 2" xfId="48106" xr:uid="{AB78A044-F957-4F9E-8726-047ECC6EC360}"/>
    <cellStyle name="Comma 2 3 6 7 3" xfId="29852" xr:uid="{4B5F0287-C7F0-4F39-B18E-A9A90DE5BFD9}"/>
    <cellStyle name="Comma 2 3 6 8" xfId="7948" xr:uid="{E10722DF-E84B-4E4C-835C-D7D51D408F05}"/>
    <cellStyle name="Comma 2 3 6 8 2" xfId="44456" xr:uid="{6977E13F-443C-4A24-AD6B-50B71C32B498}"/>
    <cellStyle name="Comma 2 3 6 8 3" xfId="26202" xr:uid="{367ECB5B-C078-45B7-A621-CE5101FD698C}"/>
    <cellStyle name="Comma 2 3 6 9" xfId="4298" xr:uid="{E3A0061C-C8E7-49D7-93FA-35DA96362CF4}"/>
    <cellStyle name="Comma 2 3 6 9 2" xfId="40806" xr:uid="{5D9369BC-C521-445A-BC2E-27F163ED00BD}"/>
    <cellStyle name="Comma 2 3 6 9 3" xfId="22552" xr:uid="{A565F89B-2911-4D80-B482-B5396EFED01E}"/>
    <cellStyle name="Comma 2 3 7" xfId="544" xr:uid="{96B892F0-9CC3-40A0-878E-77D4CF12AF56}"/>
    <cellStyle name="Comma 2 3 7 10" xfId="37052" xr:uid="{C6D5F582-35B1-4FB2-84A8-83A34E19014C}"/>
    <cellStyle name="Comma 2 3 7 11" xfId="18798" xr:uid="{4A1A8759-A0F0-42CC-A605-29D767DCE7CD}"/>
    <cellStyle name="Comma 2 3 7 2" xfId="3464" xr:uid="{B9CFAECD-B7CA-4C88-9F43-3324393C1343}"/>
    <cellStyle name="Comma 2 3 7 2 2" xfId="18064" xr:uid="{8181DCCE-BD93-4F4E-AF9D-8C62EA8DD900}"/>
    <cellStyle name="Comma 2 3 7 2 2 2" xfId="54572" xr:uid="{976CDCFD-3562-4ECE-AEBB-FF9E44F9A4A5}"/>
    <cellStyle name="Comma 2 3 7 2 2 3" xfId="36318" xr:uid="{F55129CD-1DDC-4712-AC1C-7F8A85AB7413}"/>
    <cellStyle name="Comma 2 3 7 2 3" xfId="14414" xr:uid="{CE30963B-32B6-4692-A2BC-BDE32886F88E}"/>
    <cellStyle name="Comma 2 3 7 2 3 2" xfId="50922" xr:uid="{55B8A0F0-3E31-4850-8B19-91292501AADF}"/>
    <cellStyle name="Comma 2 3 7 2 3 3" xfId="32668" xr:uid="{567A4E42-1C45-46B0-BDE6-357B036D1A5B}"/>
    <cellStyle name="Comma 2 3 7 2 4" xfId="10764" xr:uid="{D8A79E91-2E0A-4D4D-91DD-845B881C9DCD}"/>
    <cellStyle name="Comma 2 3 7 2 4 2" xfId="47272" xr:uid="{D433B563-490E-468C-82B6-15FC4831FEDA}"/>
    <cellStyle name="Comma 2 3 7 2 4 3" xfId="29018" xr:uid="{9EA08EA6-63A7-42CD-84C6-EA6845975AB2}"/>
    <cellStyle name="Comma 2 3 7 2 5" xfId="7114" xr:uid="{722F2925-BAFA-42A6-B34A-FF95BE0CF0D0}"/>
    <cellStyle name="Comma 2 3 7 2 5 2" xfId="43622" xr:uid="{01608F7B-4119-4DCE-8513-F05BA4D760C2}"/>
    <cellStyle name="Comma 2 3 7 2 5 3" xfId="25368" xr:uid="{04A6DAC9-DE30-476B-B95C-A098F9CE1455}"/>
    <cellStyle name="Comma 2 3 7 2 6" xfId="39972" xr:uid="{55C758D0-1D9A-4755-9626-C77947B78777}"/>
    <cellStyle name="Comma 2 3 7 2 7" xfId="21718" xr:uid="{B1012CC4-E3F8-47BB-B735-31E7C5906C07}"/>
    <cellStyle name="Comma 2 3 7 3" xfId="2734" xr:uid="{3F006EC0-39B6-43C2-BAFF-67E5439A361B}"/>
    <cellStyle name="Comma 2 3 7 3 2" xfId="17334" xr:uid="{11F50371-E58F-4382-A408-6082ECE1678A}"/>
    <cellStyle name="Comma 2 3 7 3 2 2" xfId="53842" xr:uid="{F63B1173-F21D-4D04-A7B0-B356E0E561FA}"/>
    <cellStyle name="Comma 2 3 7 3 2 3" xfId="35588" xr:uid="{B86DC89B-ECB7-4D78-8C9B-A8A9B0ADE204}"/>
    <cellStyle name="Comma 2 3 7 3 3" xfId="13684" xr:uid="{0B443C2F-8F26-4C9D-ACB2-FC18B137A0B6}"/>
    <cellStyle name="Comma 2 3 7 3 3 2" xfId="50192" xr:uid="{A1BEF041-E8B8-4FE2-B58C-EA0741668CB4}"/>
    <cellStyle name="Comma 2 3 7 3 3 3" xfId="31938" xr:uid="{8483028C-DC83-476E-BC58-E71F6754FEF1}"/>
    <cellStyle name="Comma 2 3 7 3 4" xfId="10034" xr:uid="{D7C7896E-58D6-4A7B-9F28-38EC940D9531}"/>
    <cellStyle name="Comma 2 3 7 3 4 2" xfId="46542" xr:uid="{C6231E8F-1DA3-4B45-9B98-871EF67389BA}"/>
    <cellStyle name="Comma 2 3 7 3 4 3" xfId="28288" xr:uid="{7D639BA5-A615-4B8A-A318-650D94A412E0}"/>
    <cellStyle name="Comma 2 3 7 3 5" xfId="6384" xr:uid="{D5AB3AA8-276F-43E3-B7FD-D93C30BE2AC9}"/>
    <cellStyle name="Comma 2 3 7 3 5 2" xfId="42892" xr:uid="{B340BA13-C747-469A-8A1B-83BFE8F1827C}"/>
    <cellStyle name="Comma 2 3 7 3 5 3" xfId="24638" xr:uid="{22BC682C-065A-48BC-A45E-5E6A8CD742E6}"/>
    <cellStyle name="Comma 2 3 7 3 6" xfId="39242" xr:uid="{11A517B3-8857-4FAE-B081-59314D0A2A3B}"/>
    <cellStyle name="Comma 2 3 7 3 7" xfId="20988" xr:uid="{ABFC38F6-A749-429E-8329-A4DCDA8C53BD}"/>
    <cellStyle name="Comma 2 3 7 4" xfId="2004" xr:uid="{497C63C0-C415-4F27-ABF4-4CC895E7B627}"/>
    <cellStyle name="Comma 2 3 7 4 2" xfId="16604" xr:uid="{60C22115-1B49-4EFA-8958-962863FD6736}"/>
    <cellStyle name="Comma 2 3 7 4 2 2" xfId="53112" xr:uid="{90EB4984-6BE2-4B9B-BEBC-3800E3D65045}"/>
    <cellStyle name="Comma 2 3 7 4 2 3" xfId="34858" xr:uid="{A446F341-7633-45D1-BF0A-E074505297C9}"/>
    <cellStyle name="Comma 2 3 7 4 3" xfId="12954" xr:uid="{968C86FA-F06B-4001-96AD-0814C00DA244}"/>
    <cellStyle name="Comma 2 3 7 4 3 2" xfId="49462" xr:uid="{64FFACC0-BC86-468A-9A9E-312683F6DE01}"/>
    <cellStyle name="Comma 2 3 7 4 3 3" xfId="31208" xr:uid="{AF37BEC6-9468-4366-B33D-C8BE9EA23066}"/>
    <cellStyle name="Comma 2 3 7 4 4" xfId="9304" xr:uid="{44E317A7-1EC0-4D72-B684-8964031E9540}"/>
    <cellStyle name="Comma 2 3 7 4 4 2" xfId="45812" xr:uid="{5334B595-53CB-4388-A0D8-F9781A9A9B87}"/>
    <cellStyle name="Comma 2 3 7 4 4 3" xfId="27558" xr:uid="{0DE29C0A-0CF5-4E6C-AC50-E6825952B45C}"/>
    <cellStyle name="Comma 2 3 7 4 5" xfId="5654" xr:uid="{9A093387-F931-4C0F-A4DD-C9D9CA1DAFF4}"/>
    <cellStyle name="Comma 2 3 7 4 5 2" xfId="42162" xr:uid="{8265C4BB-75B4-4FA4-ACCD-D09B8264513B}"/>
    <cellStyle name="Comma 2 3 7 4 5 3" xfId="23908" xr:uid="{48DBC561-ACBC-4F61-84C4-08EFA378BFDB}"/>
    <cellStyle name="Comma 2 3 7 4 6" xfId="38512" xr:uid="{D6A23AEB-CFF8-4D3E-9FDF-FF53F4B36689}"/>
    <cellStyle name="Comma 2 3 7 4 7" xfId="20258" xr:uid="{A54CE8BB-BF6F-48AD-9F27-E3791F4950E2}"/>
    <cellStyle name="Comma 2 3 7 5" xfId="1274" xr:uid="{04D5E34C-A025-46A1-B2EA-6C28147FAD46}"/>
    <cellStyle name="Comma 2 3 7 5 2" xfId="15874" xr:uid="{B9B6F141-72EA-4433-B695-AB752BA8DF45}"/>
    <cellStyle name="Comma 2 3 7 5 2 2" xfId="52382" xr:uid="{AC979AE5-C2A1-4291-B11E-CBD8D16A7D6D}"/>
    <cellStyle name="Comma 2 3 7 5 2 3" xfId="34128" xr:uid="{4CB87EC7-F724-4185-BE5D-3178716F9096}"/>
    <cellStyle name="Comma 2 3 7 5 3" xfId="12224" xr:uid="{CA538891-C930-46C8-9AF8-41F3E388934D}"/>
    <cellStyle name="Comma 2 3 7 5 3 2" xfId="48732" xr:uid="{4C37D8C8-11A6-46C7-ABB5-760F5F678952}"/>
    <cellStyle name="Comma 2 3 7 5 3 3" xfId="30478" xr:uid="{CEB195B7-9760-49E5-BA14-7B28A4BF0E18}"/>
    <cellStyle name="Comma 2 3 7 5 4" xfId="8574" xr:uid="{24EDB182-B291-40CE-91AD-0105AF0BF6B4}"/>
    <cellStyle name="Comma 2 3 7 5 4 2" xfId="45082" xr:uid="{B7E93FDE-1E9A-4727-BC74-9CFB8D7A2DA8}"/>
    <cellStyle name="Comma 2 3 7 5 4 3" xfId="26828" xr:uid="{32D73491-93B2-4483-A393-668710AD91F1}"/>
    <cellStyle name="Comma 2 3 7 5 5" xfId="4924" xr:uid="{8FDA131F-16EA-4ACF-8EA3-1A4FC065A19E}"/>
    <cellStyle name="Comma 2 3 7 5 5 2" xfId="41432" xr:uid="{1043FB3F-FDD1-475D-8F5B-299344E1F467}"/>
    <cellStyle name="Comma 2 3 7 5 5 3" xfId="23178" xr:uid="{B486E448-0114-4E55-BAD0-061FE63807A5}"/>
    <cellStyle name="Comma 2 3 7 5 6" xfId="37782" xr:uid="{A47EA10B-608D-4E39-8030-F125E980A97C}"/>
    <cellStyle name="Comma 2 3 7 5 7" xfId="19528" xr:uid="{662844FB-7FCE-489E-BAB7-4B15A42ACE3D}"/>
    <cellStyle name="Comma 2 3 7 6" xfId="15144" xr:uid="{72F85B3B-792B-4943-B6D1-40D526A137DE}"/>
    <cellStyle name="Comma 2 3 7 6 2" xfId="51652" xr:uid="{C62656AD-C9FA-4168-BB7F-169DEB847DDF}"/>
    <cellStyle name="Comma 2 3 7 6 3" xfId="33398" xr:uid="{0EC40869-EB5A-4EDF-8386-EC273919EAF5}"/>
    <cellStyle name="Comma 2 3 7 7" xfId="11494" xr:uid="{9A1BB775-F4F5-4AE4-8EB9-72925F463D2B}"/>
    <cellStyle name="Comma 2 3 7 7 2" xfId="48002" xr:uid="{68C0222B-4A7F-41FF-B276-9E65504ED28A}"/>
    <cellStyle name="Comma 2 3 7 7 3" xfId="29748" xr:uid="{D7762E35-3784-4CD6-93EE-4AD9ECEC6E95}"/>
    <cellStyle name="Comma 2 3 7 8" xfId="7844" xr:uid="{24CD925B-C1FB-42FE-96D2-C83AA680961E}"/>
    <cellStyle name="Comma 2 3 7 8 2" xfId="44352" xr:uid="{6094D074-17D7-4D9B-9D67-3E6F2BB6947B}"/>
    <cellStyle name="Comma 2 3 7 8 3" xfId="26098" xr:uid="{6C82086F-BA54-43CC-8F6B-363BC8E12B3A}"/>
    <cellStyle name="Comma 2 3 7 9" xfId="4194" xr:uid="{C8706B8A-1745-4792-A493-479B422B7804}"/>
    <cellStyle name="Comma 2 3 7 9 2" xfId="40702" xr:uid="{E661BE17-EF10-4D01-B68B-7643803B0869}"/>
    <cellStyle name="Comma 2 3 7 9 3" xfId="22448" xr:uid="{464A6C97-56BA-42B8-99E9-FAA0E5BB192E}"/>
    <cellStyle name="Comma 2 3 8" xfId="440" xr:uid="{9211435A-7238-4C3A-BB96-9D4EDE0DA095}"/>
    <cellStyle name="Comma 2 3 8 10" xfId="36948" xr:uid="{B8E6A99A-6D1F-4DEF-A9B8-85DF7BE30736}"/>
    <cellStyle name="Comma 2 3 8 11" xfId="18694" xr:uid="{441CE75A-35FF-4001-9370-C579F1475335}"/>
    <cellStyle name="Comma 2 3 8 2" xfId="3360" xr:uid="{C3E6D48B-6BAF-423B-BAAD-F8226A0AC7E8}"/>
    <cellStyle name="Comma 2 3 8 2 2" xfId="17960" xr:uid="{94CE5A16-7038-4F7C-820F-14D0FDB92B6C}"/>
    <cellStyle name="Comma 2 3 8 2 2 2" xfId="54468" xr:uid="{9861394C-A67A-4991-86BB-F9E1D899DB16}"/>
    <cellStyle name="Comma 2 3 8 2 2 3" xfId="36214" xr:uid="{37AF8E7B-3DDE-4B6A-AE6C-BB7E36E424E9}"/>
    <cellStyle name="Comma 2 3 8 2 3" xfId="14310" xr:uid="{1ADD46BA-F5E5-4DD8-B731-4BFEA8241C5A}"/>
    <cellStyle name="Comma 2 3 8 2 3 2" xfId="50818" xr:uid="{7321A344-518B-4598-82DF-6A9654463319}"/>
    <cellStyle name="Comma 2 3 8 2 3 3" xfId="32564" xr:uid="{1EC3FDFB-321E-48A6-88E6-2E59A7EEDB8C}"/>
    <cellStyle name="Comma 2 3 8 2 4" xfId="10660" xr:uid="{B593F10C-E0F0-492B-A830-E7730C5CC593}"/>
    <cellStyle name="Comma 2 3 8 2 4 2" xfId="47168" xr:uid="{EC79FF43-32C2-4421-B2BC-E64E1438D0E9}"/>
    <cellStyle name="Comma 2 3 8 2 4 3" xfId="28914" xr:uid="{CC479DA3-EC55-40F4-8F8D-B30743C15776}"/>
    <cellStyle name="Comma 2 3 8 2 5" xfId="7010" xr:uid="{3317DA6F-267D-431D-8449-8A4B5FADD191}"/>
    <cellStyle name="Comma 2 3 8 2 5 2" xfId="43518" xr:uid="{345FFD91-7493-46B4-8C03-BEE48DCA9217}"/>
    <cellStyle name="Comma 2 3 8 2 5 3" xfId="25264" xr:uid="{518285CE-7EF5-4FF1-ABD9-126D872E7C83}"/>
    <cellStyle name="Comma 2 3 8 2 6" xfId="39868" xr:uid="{681EF3DF-0CD7-4439-89B2-4D682E739AFF}"/>
    <cellStyle name="Comma 2 3 8 2 7" xfId="21614" xr:uid="{E94BA69F-AC36-4D56-8D89-1FC78933D6A4}"/>
    <cellStyle name="Comma 2 3 8 3" xfId="2630" xr:uid="{69EAE95A-AB9C-45F7-A8B1-E6BA7DD6CE4F}"/>
    <cellStyle name="Comma 2 3 8 3 2" xfId="17230" xr:uid="{A718E3FC-301A-449D-8F35-5B2C1645C8A4}"/>
    <cellStyle name="Comma 2 3 8 3 2 2" xfId="53738" xr:uid="{DC87DFAC-765C-4715-94CF-29677B3DFCC6}"/>
    <cellStyle name="Comma 2 3 8 3 2 3" xfId="35484" xr:uid="{FC193EB8-9339-454D-80F6-693BACF57F42}"/>
    <cellStyle name="Comma 2 3 8 3 3" xfId="13580" xr:uid="{C333DCA5-E2C9-4DC2-92E6-766B8C4DDE75}"/>
    <cellStyle name="Comma 2 3 8 3 3 2" xfId="50088" xr:uid="{5F96DFE8-7392-4CCC-88E2-68556D1A88BA}"/>
    <cellStyle name="Comma 2 3 8 3 3 3" xfId="31834" xr:uid="{09382F19-0E69-4D1F-9C8F-F8C927F955BF}"/>
    <cellStyle name="Comma 2 3 8 3 4" xfId="9930" xr:uid="{D9D82CDA-ED82-4188-A2E2-08F6AF3C9B7B}"/>
    <cellStyle name="Comma 2 3 8 3 4 2" xfId="46438" xr:uid="{8E3F6716-7BC8-4D8B-BB72-D031DB7E0B67}"/>
    <cellStyle name="Comma 2 3 8 3 4 3" xfId="28184" xr:uid="{28D62388-C155-4CA0-9059-F3A4D66ABF0A}"/>
    <cellStyle name="Comma 2 3 8 3 5" xfId="6280" xr:uid="{031B61DF-286E-4F0C-B3BD-903AF7CA81C9}"/>
    <cellStyle name="Comma 2 3 8 3 5 2" xfId="42788" xr:uid="{524ABDF5-89D6-49ED-8042-2A2C4D03791F}"/>
    <cellStyle name="Comma 2 3 8 3 5 3" xfId="24534" xr:uid="{C1FBACD7-B926-465F-B9C2-D818D234FDDB}"/>
    <cellStyle name="Comma 2 3 8 3 6" xfId="39138" xr:uid="{FAC751D1-477A-44D8-9DDB-4A39FB45468B}"/>
    <cellStyle name="Comma 2 3 8 3 7" xfId="20884" xr:uid="{1F7E0AAE-6E6A-4CC4-970C-E7C7C964975B}"/>
    <cellStyle name="Comma 2 3 8 4" xfId="1900" xr:uid="{8BB9D7D0-482F-4843-A717-5E8EDE7FD77D}"/>
    <cellStyle name="Comma 2 3 8 4 2" xfId="16500" xr:uid="{DA2BC7AE-4D13-4B72-A8D0-A047D1171341}"/>
    <cellStyle name="Comma 2 3 8 4 2 2" xfId="53008" xr:uid="{A8219139-8ABA-48E8-9298-405C30A87BD2}"/>
    <cellStyle name="Comma 2 3 8 4 2 3" xfId="34754" xr:uid="{E7DAEDE3-7FAB-4797-BACB-6FAD6DE54C04}"/>
    <cellStyle name="Comma 2 3 8 4 3" xfId="12850" xr:uid="{5DA26BBC-ECF1-4771-9C78-1BA2F0674428}"/>
    <cellStyle name="Comma 2 3 8 4 3 2" xfId="49358" xr:uid="{79B64B53-F0FD-48F8-A58B-9B1C3715E834}"/>
    <cellStyle name="Comma 2 3 8 4 3 3" xfId="31104" xr:uid="{B8081CC3-D017-40BF-A03A-AA9B80B4E86C}"/>
    <cellStyle name="Comma 2 3 8 4 4" xfId="9200" xr:uid="{C35E9DE0-4AE6-4878-B5AC-80C641E1CFB7}"/>
    <cellStyle name="Comma 2 3 8 4 4 2" xfId="45708" xr:uid="{7819977D-E1C0-4028-A147-DC9FC3E0AF5D}"/>
    <cellStyle name="Comma 2 3 8 4 4 3" xfId="27454" xr:uid="{54CBA8B4-5337-43B5-82B9-68CAFD754D03}"/>
    <cellStyle name="Comma 2 3 8 4 5" xfId="5550" xr:uid="{F899F047-3615-47FD-BEE3-35B1AD2857E6}"/>
    <cellStyle name="Comma 2 3 8 4 5 2" xfId="42058" xr:uid="{C99A1F5C-943E-4140-8028-2EE129E4AAA7}"/>
    <cellStyle name="Comma 2 3 8 4 5 3" xfId="23804" xr:uid="{1C5B5398-8A2D-4709-88DF-EED8C4E34A2A}"/>
    <cellStyle name="Comma 2 3 8 4 6" xfId="38408" xr:uid="{BE513202-8FE7-48EA-9C7E-CBFD94DC84FE}"/>
    <cellStyle name="Comma 2 3 8 4 7" xfId="20154" xr:uid="{0297F22C-412B-4EF9-98A6-8A64A810AAF9}"/>
    <cellStyle name="Comma 2 3 8 5" xfId="1170" xr:uid="{CAA30B2F-6C50-47C1-B79C-6B9C3B103310}"/>
    <cellStyle name="Comma 2 3 8 5 2" xfId="15770" xr:uid="{B74C8379-FE9C-4C1D-8685-058F2359F833}"/>
    <cellStyle name="Comma 2 3 8 5 2 2" xfId="52278" xr:uid="{ED3025FF-4C9F-4115-B828-4A3B9933C623}"/>
    <cellStyle name="Comma 2 3 8 5 2 3" xfId="34024" xr:uid="{BD5150F8-D25A-4503-AEBF-64C7E9EFFEC7}"/>
    <cellStyle name="Comma 2 3 8 5 3" xfId="12120" xr:uid="{E700F21E-4250-43CB-9359-BA7D469232D2}"/>
    <cellStyle name="Comma 2 3 8 5 3 2" xfId="48628" xr:uid="{9070352B-70A9-45D0-AF7E-E77448A6CC19}"/>
    <cellStyle name="Comma 2 3 8 5 3 3" xfId="30374" xr:uid="{9C02469F-7B37-4200-9745-02E04E416D19}"/>
    <cellStyle name="Comma 2 3 8 5 4" xfId="8470" xr:uid="{660588B3-1F93-4A1B-824D-386F0BBC1901}"/>
    <cellStyle name="Comma 2 3 8 5 4 2" xfId="44978" xr:uid="{0AA596C2-9259-4C9E-9B2F-767831FE34DC}"/>
    <cellStyle name="Comma 2 3 8 5 4 3" xfId="26724" xr:uid="{022AA1BE-13C1-44A0-9FC8-1EE9948ADDE1}"/>
    <cellStyle name="Comma 2 3 8 5 5" xfId="4820" xr:uid="{42A8DD12-425F-48AB-AE2F-ACE27C22D04D}"/>
    <cellStyle name="Comma 2 3 8 5 5 2" xfId="41328" xr:uid="{30923CB3-7474-4916-88C8-B1C65FF0E6A3}"/>
    <cellStyle name="Comma 2 3 8 5 5 3" xfId="23074" xr:uid="{2CE44C58-3259-4514-A60F-E5667E558DBA}"/>
    <cellStyle name="Comma 2 3 8 5 6" xfId="37678" xr:uid="{7105BE91-1D21-4760-85C1-356664606B59}"/>
    <cellStyle name="Comma 2 3 8 5 7" xfId="19424" xr:uid="{ECDEF621-326F-4685-BEFB-8E48C9518843}"/>
    <cellStyle name="Comma 2 3 8 6" xfId="15040" xr:uid="{352E60A4-FC77-4F28-9524-5ED1E64F9858}"/>
    <cellStyle name="Comma 2 3 8 6 2" xfId="51548" xr:uid="{3E6BE1D7-2918-4134-A6BC-BDB500A8B562}"/>
    <cellStyle name="Comma 2 3 8 6 3" xfId="33294" xr:uid="{BDD5E532-7361-4DAB-B963-BA52D3441CD4}"/>
    <cellStyle name="Comma 2 3 8 7" xfId="11390" xr:uid="{19F0C4E7-27B3-46F2-8842-7623DB313774}"/>
    <cellStyle name="Comma 2 3 8 7 2" xfId="47898" xr:uid="{88CF046C-C709-4CA6-96BA-AC1C0491E000}"/>
    <cellStyle name="Comma 2 3 8 7 3" xfId="29644" xr:uid="{508AB96A-0C73-445C-A630-9F613485CAC4}"/>
    <cellStyle name="Comma 2 3 8 8" xfId="7740" xr:uid="{C0C621AC-31C9-4CB5-A708-53C3CE187DBA}"/>
    <cellStyle name="Comma 2 3 8 8 2" xfId="44248" xr:uid="{E8110345-0FAE-43A6-973D-DAC28C002351}"/>
    <cellStyle name="Comma 2 3 8 8 3" xfId="25994" xr:uid="{12A8C871-4427-4DC1-80CD-4E908DF59628}"/>
    <cellStyle name="Comma 2 3 8 9" xfId="4090" xr:uid="{41F0AD1E-53BE-43F4-A0D4-546C1B9FBE5A}"/>
    <cellStyle name="Comma 2 3 8 9 2" xfId="40598" xr:uid="{FB1052CC-047D-43A7-8BE5-B8895E872655}"/>
    <cellStyle name="Comma 2 3 8 9 3" xfId="22344" xr:uid="{2FA9F9DE-6D58-4132-977C-7A31D8B1A941}"/>
    <cellStyle name="Comma 2 3 9" xfId="336" xr:uid="{F04BADBF-CBD1-464C-9466-2F69C2172BA1}"/>
    <cellStyle name="Comma 2 3 9 10" xfId="36844" xr:uid="{12AD9345-38C6-4A08-86F0-73895AF243AC}"/>
    <cellStyle name="Comma 2 3 9 11" xfId="18590" xr:uid="{16E0A00E-459B-4EA0-808C-9B19DA2BBEBF}"/>
    <cellStyle name="Comma 2 3 9 2" xfId="3256" xr:uid="{22676BAC-5640-4F18-9ECC-172AD92F589C}"/>
    <cellStyle name="Comma 2 3 9 2 2" xfId="17856" xr:uid="{66B193FD-3056-4625-948F-FDD4A3D9D4C3}"/>
    <cellStyle name="Comma 2 3 9 2 2 2" xfId="54364" xr:uid="{780B5D43-F7C5-4FBF-8145-DAB83D78821C}"/>
    <cellStyle name="Comma 2 3 9 2 2 3" xfId="36110" xr:uid="{30347ADE-D2FB-45C5-A5A5-E4D1357CEBD9}"/>
    <cellStyle name="Comma 2 3 9 2 3" xfId="14206" xr:uid="{FC22B957-4ACC-4CAB-83C7-3198BA438F4E}"/>
    <cellStyle name="Comma 2 3 9 2 3 2" xfId="50714" xr:uid="{F1CE7E2B-B5A8-4E64-9F69-642C10DFB55F}"/>
    <cellStyle name="Comma 2 3 9 2 3 3" xfId="32460" xr:uid="{A73F75B5-D18B-49C7-B9A0-F87640656B42}"/>
    <cellStyle name="Comma 2 3 9 2 4" xfId="10556" xr:uid="{55C6CA8B-A829-46C9-AF94-D82B459792F9}"/>
    <cellStyle name="Comma 2 3 9 2 4 2" xfId="47064" xr:uid="{EAFCDDD7-68D1-48A4-A5BE-29FD3B854520}"/>
    <cellStyle name="Comma 2 3 9 2 4 3" xfId="28810" xr:uid="{8FE997AD-2E7A-4D68-9C22-59B399461448}"/>
    <cellStyle name="Comma 2 3 9 2 5" xfId="6906" xr:uid="{C4C65F50-BFCD-45CF-B499-C957691ED175}"/>
    <cellStyle name="Comma 2 3 9 2 5 2" xfId="43414" xr:uid="{CEC50479-03D6-419C-A654-C25C6A8CEA87}"/>
    <cellStyle name="Comma 2 3 9 2 5 3" xfId="25160" xr:uid="{57BDFF28-9EC4-4021-B2F9-8000C1C28053}"/>
    <cellStyle name="Comma 2 3 9 2 6" xfId="39764" xr:uid="{BD0D1F32-D291-46D5-9D59-6FB18718571C}"/>
    <cellStyle name="Comma 2 3 9 2 7" xfId="21510" xr:uid="{FC83C8BB-2609-4605-8F0A-32989BDA5399}"/>
    <cellStyle name="Comma 2 3 9 3" xfId="2526" xr:uid="{F23D2B46-DC07-4052-B7BC-4EDC5A6438F9}"/>
    <cellStyle name="Comma 2 3 9 3 2" xfId="17126" xr:uid="{F506EC61-7694-421A-AF53-D9B7860157E5}"/>
    <cellStyle name="Comma 2 3 9 3 2 2" xfId="53634" xr:uid="{7E1F120C-80FE-42F1-96A0-CFE6FB47CC9F}"/>
    <cellStyle name="Comma 2 3 9 3 2 3" xfId="35380" xr:uid="{1C57B4FB-9630-417D-9D90-153B6A806CDD}"/>
    <cellStyle name="Comma 2 3 9 3 3" xfId="13476" xr:uid="{D77EB980-F59D-4FFC-A841-A1D4F49C6A0C}"/>
    <cellStyle name="Comma 2 3 9 3 3 2" xfId="49984" xr:uid="{B6129A97-CBC3-4A86-AEB9-E1D100F84C57}"/>
    <cellStyle name="Comma 2 3 9 3 3 3" xfId="31730" xr:uid="{D2DA7566-059F-4FDE-A026-DA09DCFA28EB}"/>
    <cellStyle name="Comma 2 3 9 3 4" xfId="9826" xr:uid="{D32F8467-016E-4824-8B5C-0BE4CBB66FF7}"/>
    <cellStyle name="Comma 2 3 9 3 4 2" xfId="46334" xr:uid="{3F06FACC-CE6E-46AE-958D-8E6BF2D9760B}"/>
    <cellStyle name="Comma 2 3 9 3 4 3" xfId="28080" xr:uid="{4C748472-1AF1-4573-BE68-682030CF8E06}"/>
    <cellStyle name="Comma 2 3 9 3 5" xfId="6176" xr:uid="{88AC166F-C5DA-4714-899E-A462B005BE98}"/>
    <cellStyle name="Comma 2 3 9 3 5 2" xfId="42684" xr:uid="{677ECE3F-E97C-4920-9269-7A170CD4B6B1}"/>
    <cellStyle name="Comma 2 3 9 3 5 3" xfId="24430" xr:uid="{C88124D3-AEFF-4054-B069-FF7A5070E31E}"/>
    <cellStyle name="Comma 2 3 9 3 6" xfId="39034" xr:uid="{6664910E-8A44-4B80-99EE-39F1618EA46E}"/>
    <cellStyle name="Comma 2 3 9 3 7" xfId="20780" xr:uid="{9359C8DF-5B33-47F9-A095-B2E3052F2F38}"/>
    <cellStyle name="Comma 2 3 9 4" xfId="1796" xr:uid="{B85797F9-D7EA-4385-BE3B-6BA3EFE06CD6}"/>
    <cellStyle name="Comma 2 3 9 4 2" xfId="16396" xr:uid="{5B18587D-9087-4C74-A318-66B62F98A34E}"/>
    <cellStyle name="Comma 2 3 9 4 2 2" xfId="52904" xr:uid="{33C66639-1424-45F9-825B-D51289991E33}"/>
    <cellStyle name="Comma 2 3 9 4 2 3" xfId="34650" xr:uid="{7EAF7C77-3A65-455E-B8B8-02A02B315AFB}"/>
    <cellStyle name="Comma 2 3 9 4 3" xfId="12746" xr:uid="{3AA16991-BF88-49B2-9720-4A87D30ABB79}"/>
    <cellStyle name="Comma 2 3 9 4 3 2" xfId="49254" xr:uid="{8E5EB716-2EFA-40B7-B608-21567B13B184}"/>
    <cellStyle name="Comma 2 3 9 4 3 3" xfId="31000" xr:uid="{287CE5A5-4BAF-481F-93A9-5E1BE323C9E1}"/>
    <cellStyle name="Comma 2 3 9 4 4" xfId="9096" xr:uid="{43B5FA6C-978F-48F3-A8A3-AA1454B265A6}"/>
    <cellStyle name="Comma 2 3 9 4 4 2" xfId="45604" xr:uid="{EA2ABCFA-28B8-4F63-8A90-0CAD15239E59}"/>
    <cellStyle name="Comma 2 3 9 4 4 3" xfId="27350" xr:uid="{BA86481A-8A62-4A0D-8BD1-F8EC7BC19CA1}"/>
    <cellStyle name="Comma 2 3 9 4 5" xfId="5446" xr:uid="{FA3552A0-D093-4234-9CCE-FF31768A2427}"/>
    <cellStyle name="Comma 2 3 9 4 5 2" xfId="41954" xr:uid="{6DC7681A-5CC0-4175-8FB2-614148D72755}"/>
    <cellStyle name="Comma 2 3 9 4 5 3" xfId="23700" xr:uid="{0EB87203-D476-42E9-8760-1BE02D605938}"/>
    <cellStyle name="Comma 2 3 9 4 6" xfId="38304" xr:uid="{D739A437-B956-4EC2-93D9-1EBCD8226DBB}"/>
    <cellStyle name="Comma 2 3 9 4 7" xfId="20050" xr:uid="{8E1D8593-8ED4-4302-9597-3834DC4D85F7}"/>
    <cellStyle name="Comma 2 3 9 5" xfId="1066" xr:uid="{53D2B53A-5E37-4F0B-BCF4-EF232DE0705C}"/>
    <cellStyle name="Comma 2 3 9 5 2" xfId="15666" xr:uid="{6973DB0B-F6C1-41C1-B0BD-ACF5F487B1AC}"/>
    <cellStyle name="Comma 2 3 9 5 2 2" xfId="52174" xr:uid="{5277BDB9-55AF-41A7-8646-812A77198BC7}"/>
    <cellStyle name="Comma 2 3 9 5 2 3" xfId="33920" xr:uid="{A930B9C2-14CC-459D-83A9-4642FE699D9B}"/>
    <cellStyle name="Comma 2 3 9 5 3" xfId="12016" xr:uid="{3C7ECF05-A9AE-426A-ABBC-1E93E378BF52}"/>
    <cellStyle name="Comma 2 3 9 5 3 2" xfId="48524" xr:uid="{5867B3AB-FE22-4193-BB9D-0E44897A759A}"/>
    <cellStyle name="Comma 2 3 9 5 3 3" xfId="30270" xr:uid="{F467DA0F-ED34-42B2-8214-182D571A3443}"/>
    <cellStyle name="Comma 2 3 9 5 4" xfId="8366" xr:uid="{6646F343-997B-4F02-83E9-9E117CCE072B}"/>
    <cellStyle name="Comma 2 3 9 5 4 2" xfId="44874" xr:uid="{D071B213-0A21-423A-8402-4F383FD3C428}"/>
    <cellStyle name="Comma 2 3 9 5 4 3" xfId="26620" xr:uid="{E9A7D22E-ED86-4F44-9159-5862DA2D8CF9}"/>
    <cellStyle name="Comma 2 3 9 5 5" xfId="4716" xr:uid="{E434A6CE-FF6F-4584-956E-720C64A3D88E}"/>
    <cellStyle name="Comma 2 3 9 5 5 2" xfId="41224" xr:uid="{8D71E1BA-020B-486A-A2E2-14ADBBF0D5C0}"/>
    <cellStyle name="Comma 2 3 9 5 5 3" xfId="22970" xr:uid="{608FB618-85F8-47AD-8657-4401F9887FD9}"/>
    <cellStyle name="Comma 2 3 9 5 6" xfId="37574" xr:uid="{008C5AA5-F2F4-4887-B6B1-E679EA0320E6}"/>
    <cellStyle name="Comma 2 3 9 5 7" xfId="19320" xr:uid="{11DB6598-AC55-4DB5-B010-22A5F641A2ED}"/>
    <cellStyle name="Comma 2 3 9 6" xfId="14936" xr:uid="{0E24B4E3-9FB2-46D9-A262-1B7EC582E4E3}"/>
    <cellStyle name="Comma 2 3 9 6 2" xfId="51444" xr:uid="{AB0A459D-950B-46AD-A5A1-62124B06B5AB}"/>
    <cellStyle name="Comma 2 3 9 6 3" xfId="33190" xr:uid="{5BE15E6D-E91A-438D-8483-C51156CC2A94}"/>
    <cellStyle name="Comma 2 3 9 7" xfId="11286" xr:uid="{BA059851-11BD-4482-8B79-7B240A4ED4F6}"/>
    <cellStyle name="Comma 2 3 9 7 2" xfId="47794" xr:uid="{224F854F-4E62-48CD-BFB0-2B0BF4360BC9}"/>
    <cellStyle name="Comma 2 3 9 7 3" xfId="29540" xr:uid="{0F5DB52D-F9BA-4BC8-BDF8-1F0A73F9CB15}"/>
    <cellStyle name="Comma 2 3 9 8" xfId="7636" xr:uid="{E7087D06-BE34-4C02-81F8-E56108CE9CE8}"/>
    <cellStyle name="Comma 2 3 9 8 2" xfId="44144" xr:uid="{A8BD6F9C-35CA-4F7B-A540-77861429D227}"/>
    <cellStyle name="Comma 2 3 9 8 3" xfId="25890" xr:uid="{812748AC-67C7-40AC-9BC8-247C7E34CF60}"/>
    <cellStyle name="Comma 2 3 9 9" xfId="3986" xr:uid="{EE753072-BDFB-45DA-812B-802B05CBCCF7}"/>
    <cellStyle name="Comma 2 3 9 9 2" xfId="40494" xr:uid="{692F589F-465E-4F38-BE69-4AA61D28C7AA}"/>
    <cellStyle name="Comma 2 3 9 9 3" xfId="22240" xr:uid="{07ED0681-6558-41D1-8001-5C80AE78F976}"/>
    <cellStyle name="Comma 2 4" xfId="16" xr:uid="{00000000-0005-0000-0000-000008000000}"/>
    <cellStyle name="Comma 2 4 10" xfId="132" xr:uid="{9059B9D6-C6B1-430D-8686-A46F2F47E8E3}"/>
    <cellStyle name="Comma 2 4 10 10" xfId="36640" xr:uid="{C4400805-64BA-49A5-BBF5-90520759DBB1}"/>
    <cellStyle name="Comma 2 4 10 11" xfId="18386" xr:uid="{CA3F0965-6B80-455E-BD56-CB8CA9DCBEAA}"/>
    <cellStyle name="Comma 2 4 10 2" xfId="3052" xr:uid="{C171BDF7-6BC8-46EC-A7B1-FA4B7A9A78A9}"/>
    <cellStyle name="Comma 2 4 10 2 2" xfId="17652" xr:uid="{366770BB-1688-4F25-8D00-92483DF2B6BE}"/>
    <cellStyle name="Comma 2 4 10 2 2 2" xfId="54160" xr:uid="{9381AAD1-9273-4879-91A3-4E100576E8A3}"/>
    <cellStyle name="Comma 2 4 10 2 2 3" xfId="35906" xr:uid="{AECA147C-037F-42E1-B2AB-21C8A469F9D8}"/>
    <cellStyle name="Comma 2 4 10 2 3" xfId="14002" xr:uid="{6A989447-3C37-4226-A532-E47133B257F5}"/>
    <cellStyle name="Comma 2 4 10 2 3 2" xfId="50510" xr:uid="{1AE57D06-CDCE-49AF-A747-B7AF583B7D6F}"/>
    <cellStyle name="Comma 2 4 10 2 3 3" xfId="32256" xr:uid="{5B34483B-FE2B-4D73-BC0C-964285916C65}"/>
    <cellStyle name="Comma 2 4 10 2 4" xfId="10352" xr:uid="{875C05A9-6667-41BE-A9EC-F25ABC0685A6}"/>
    <cellStyle name="Comma 2 4 10 2 4 2" xfId="46860" xr:uid="{BDD8A052-6461-426B-B504-F1F37F5D7E8B}"/>
    <cellStyle name="Comma 2 4 10 2 4 3" xfId="28606" xr:uid="{5F3EAD8C-8EA1-4AE3-9622-8342A6A2B0A9}"/>
    <cellStyle name="Comma 2 4 10 2 5" xfId="6702" xr:uid="{EC121A83-337B-4C39-8F9A-1A78FF8D72BC}"/>
    <cellStyle name="Comma 2 4 10 2 5 2" xfId="43210" xr:uid="{8BC95514-7231-4099-9F61-3D890E1070CB}"/>
    <cellStyle name="Comma 2 4 10 2 5 3" xfId="24956" xr:uid="{24160A85-4C90-4C69-B9DD-40A5417C5703}"/>
    <cellStyle name="Comma 2 4 10 2 6" xfId="39560" xr:uid="{537EC83F-FAE5-4182-9EDF-BC2744B401D8}"/>
    <cellStyle name="Comma 2 4 10 2 7" xfId="21306" xr:uid="{3EE1E6B4-0150-4782-85EB-6C11077E955C}"/>
    <cellStyle name="Comma 2 4 10 3" xfId="2322" xr:uid="{BDC954C5-BCC5-4C04-9749-0E810BC559EA}"/>
    <cellStyle name="Comma 2 4 10 3 2" xfId="16922" xr:uid="{4E837411-B301-407B-8817-15006130A783}"/>
    <cellStyle name="Comma 2 4 10 3 2 2" xfId="53430" xr:uid="{4A95DE7B-A72E-4F52-85BE-181DF5BCDE4D}"/>
    <cellStyle name="Comma 2 4 10 3 2 3" xfId="35176" xr:uid="{D4BA4C64-FD4B-44C0-841B-6541B4002579}"/>
    <cellStyle name="Comma 2 4 10 3 3" xfId="13272" xr:uid="{DB4D3A60-ABB5-40FC-AE3D-C5673AD1F2C5}"/>
    <cellStyle name="Comma 2 4 10 3 3 2" xfId="49780" xr:uid="{A9DCA532-1270-4A9B-BD2E-DE477D92F9CB}"/>
    <cellStyle name="Comma 2 4 10 3 3 3" xfId="31526" xr:uid="{DD06EFA4-F2A8-40EE-9F14-A8A01A1F08A9}"/>
    <cellStyle name="Comma 2 4 10 3 4" xfId="9622" xr:uid="{EE3136F6-0C10-40CE-8E71-F48F666C0C9B}"/>
    <cellStyle name="Comma 2 4 10 3 4 2" xfId="46130" xr:uid="{B8BC3E20-87C5-4703-983C-2692BAB1F24D}"/>
    <cellStyle name="Comma 2 4 10 3 4 3" xfId="27876" xr:uid="{DE09B85E-9DAB-477C-A806-6374A7F2B7B6}"/>
    <cellStyle name="Comma 2 4 10 3 5" xfId="5972" xr:uid="{F2828C74-3F3F-468C-BF7A-C5963CABEDAF}"/>
    <cellStyle name="Comma 2 4 10 3 5 2" xfId="42480" xr:uid="{7AA2ADA6-780B-4045-B97A-10DC9C8DB5DF}"/>
    <cellStyle name="Comma 2 4 10 3 5 3" xfId="24226" xr:uid="{AB19B0D6-17EC-485B-9336-1865CEC7139C}"/>
    <cellStyle name="Comma 2 4 10 3 6" xfId="38830" xr:uid="{4935BCA7-AAD9-486C-A9FD-78092846411B}"/>
    <cellStyle name="Comma 2 4 10 3 7" xfId="20576" xr:uid="{52812F06-82C9-4532-929B-6C9424C1A90E}"/>
    <cellStyle name="Comma 2 4 10 4" xfId="1592" xr:uid="{F210B796-6FE8-4975-8F05-28D6E13E7300}"/>
    <cellStyle name="Comma 2 4 10 4 2" xfId="16192" xr:uid="{F04DE66A-F934-4F67-BD35-45C393E10E9A}"/>
    <cellStyle name="Comma 2 4 10 4 2 2" xfId="52700" xr:uid="{F5DA15F2-5D9D-4009-913D-780093654420}"/>
    <cellStyle name="Comma 2 4 10 4 2 3" xfId="34446" xr:uid="{A618C771-FCB0-4776-9DE4-150AF2E1680D}"/>
    <cellStyle name="Comma 2 4 10 4 3" xfId="12542" xr:uid="{5EFDACC0-3692-4951-ABB5-7D07AF007009}"/>
    <cellStyle name="Comma 2 4 10 4 3 2" xfId="49050" xr:uid="{EA058D56-B649-468F-B485-09C4834524E0}"/>
    <cellStyle name="Comma 2 4 10 4 3 3" xfId="30796" xr:uid="{7BECAD8F-A658-4602-861C-721C3A88C2FA}"/>
    <cellStyle name="Comma 2 4 10 4 4" xfId="8892" xr:uid="{A33F05A0-FD20-4C1D-B192-D75ACA607405}"/>
    <cellStyle name="Comma 2 4 10 4 4 2" xfId="45400" xr:uid="{6AC330EB-AE54-4ED9-B354-9BD7DB57B660}"/>
    <cellStyle name="Comma 2 4 10 4 4 3" xfId="27146" xr:uid="{7121F502-0754-426A-B513-389E514687F8}"/>
    <cellStyle name="Comma 2 4 10 4 5" xfId="5242" xr:uid="{A40D5E75-FB50-4F39-8592-2D74CF31FEB2}"/>
    <cellStyle name="Comma 2 4 10 4 5 2" xfId="41750" xr:uid="{C90E5193-6D4E-41E6-A366-0774F11EADDF}"/>
    <cellStyle name="Comma 2 4 10 4 5 3" xfId="23496" xr:uid="{83DE088B-E1F4-486F-BCE5-00B7F0296594}"/>
    <cellStyle name="Comma 2 4 10 4 6" xfId="38100" xr:uid="{F775CC1A-128F-4843-A56A-14EBA88F8875}"/>
    <cellStyle name="Comma 2 4 10 4 7" xfId="19846" xr:uid="{653EE2CE-5E41-45F6-81C3-DC4F0A25858D}"/>
    <cellStyle name="Comma 2 4 10 5" xfId="862" xr:uid="{21571D4E-4ADD-4E92-82EF-EC95C78CA8A6}"/>
    <cellStyle name="Comma 2 4 10 5 2" xfId="15462" xr:uid="{E86AD253-0199-4356-8A50-6880E608AB84}"/>
    <cellStyle name="Comma 2 4 10 5 2 2" xfId="51970" xr:uid="{2141184F-A8C7-4150-846E-41A50874DFEC}"/>
    <cellStyle name="Comma 2 4 10 5 2 3" xfId="33716" xr:uid="{760B5E4F-A3CE-4615-891F-507E056CCB6A}"/>
    <cellStyle name="Comma 2 4 10 5 3" xfId="11812" xr:uid="{501D6DBE-5093-487C-B00C-66D9FF348D0B}"/>
    <cellStyle name="Comma 2 4 10 5 3 2" xfId="48320" xr:uid="{0A24C95C-3ECA-4BFD-8DF6-9268984A98A9}"/>
    <cellStyle name="Comma 2 4 10 5 3 3" xfId="30066" xr:uid="{9069342D-0ECE-4B83-B21B-03AB3C3AC791}"/>
    <cellStyle name="Comma 2 4 10 5 4" xfId="8162" xr:uid="{81DDB4F3-C6F0-4C93-93E8-891546BB6954}"/>
    <cellStyle name="Comma 2 4 10 5 4 2" xfId="44670" xr:uid="{F718D739-3121-4F7E-BE12-40A7FE638CB4}"/>
    <cellStyle name="Comma 2 4 10 5 4 3" xfId="26416" xr:uid="{5D4A813C-93F7-4068-B460-55D7C659B98E}"/>
    <cellStyle name="Comma 2 4 10 5 5" xfId="4512" xr:uid="{84A9F925-3A7B-440D-A753-F45D5F251E45}"/>
    <cellStyle name="Comma 2 4 10 5 5 2" xfId="41020" xr:uid="{E9970743-5E83-4C77-8BF5-F2B84A220B84}"/>
    <cellStyle name="Comma 2 4 10 5 5 3" xfId="22766" xr:uid="{C029BD1A-13C2-4B4D-84FB-ABC6DA9932D5}"/>
    <cellStyle name="Comma 2 4 10 5 6" xfId="37370" xr:uid="{F94A9CEA-7FB0-4C00-ABA8-2BD4D742079B}"/>
    <cellStyle name="Comma 2 4 10 5 7" xfId="19116" xr:uid="{B9A2BEB4-324C-4A1C-B8A9-455F7A34DB76}"/>
    <cellStyle name="Comma 2 4 10 6" xfId="14732" xr:uid="{75A6A68E-6018-4CAC-B516-D047BB60BBE4}"/>
    <cellStyle name="Comma 2 4 10 6 2" xfId="51240" xr:uid="{72EDD85D-AB4C-46F0-A44B-0853D55D73DA}"/>
    <cellStyle name="Comma 2 4 10 6 3" xfId="32986" xr:uid="{FC4460FF-E5A0-4139-8CE1-771BE930575A}"/>
    <cellStyle name="Comma 2 4 10 7" xfId="11082" xr:uid="{F2C77705-8075-4E26-921B-7FAF811F82F7}"/>
    <cellStyle name="Comma 2 4 10 7 2" xfId="47590" xr:uid="{A77578DC-FD66-4EBC-BDF8-0A780C614066}"/>
    <cellStyle name="Comma 2 4 10 7 3" xfId="29336" xr:uid="{CB2D802E-5783-4BAF-B9C6-C1E860B9148E}"/>
    <cellStyle name="Comma 2 4 10 8" xfId="7432" xr:uid="{CF35F369-5D19-4F85-BE58-12D9D8683464}"/>
    <cellStyle name="Comma 2 4 10 8 2" xfId="43940" xr:uid="{F156D572-88EF-444C-969A-DD468E274FA5}"/>
    <cellStyle name="Comma 2 4 10 8 3" xfId="25686" xr:uid="{1162CAD5-B83B-4C68-9B5F-373FBE36C348}"/>
    <cellStyle name="Comma 2 4 10 9" xfId="3782" xr:uid="{40F8B1CF-E0CB-4AD1-AA82-B39AA2D47C2F}"/>
    <cellStyle name="Comma 2 4 10 9 2" xfId="40290" xr:uid="{2B7ECFCB-4B6A-4E95-8F1C-155226F3EA0A}"/>
    <cellStyle name="Comma 2 4 10 9 3" xfId="22036" xr:uid="{B421170F-C567-4498-9CD1-20C9E1270BFF}"/>
    <cellStyle name="Comma 2 4 11" xfId="2948" xr:uid="{CFE5CC0D-70C3-400F-893F-5F8FBD86E551}"/>
    <cellStyle name="Comma 2 4 11 2" xfId="17548" xr:uid="{758C31D0-2226-4FD1-89E3-18215E32CCE1}"/>
    <cellStyle name="Comma 2 4 11 2 2" xfId="54056" xr:uid="{A7637EF4-A373-4787-A7EA-A44E78DAB78A}"/>
    <cellStyle name="Comma 2 4 11 2 3" xfId="35802" xr:uid="{4D9E284D-D5A6-44CF-A2C1-FC44E8B4D9E9}"/>
    <cellStyle name="Comma 2 4 11 3" xfId="13898" xr:uid="{5B735871-968C-401C-9FFE-1B3CE86EBFC7}"/>
    <cellStyle name="Comma 2 4 11 3 2" xfId="50406" xr:uid="{3E36A414-4F36-4799-896C-3AB78EF84303}"/>
    <cellStyle name="Comma 2 4 11 3 3" xfId="32152" xr:uid="{7F6D0169-F8A1-46C4-A7A4-368893894A5B}"/>
    <cellStyle name="Comma 2 4 11 4" xfId="10248" xr:uid="{46B04341-A48D-4F2A-9581-CE3B6190721D}"/>
    <cellStyle name="Comma 2 4 11 4 2" xfId="46756" xr:uid="{108CFFCD-94B7-441D-B10D-7EA98CDDA691}"/>
    <cellStyle name="Comma 2 4 11 4 3" xfId="28502" xr:uid="{7B6A3A7D-4BE3-4CFB-AB7D-CC3648E037FE}"/>
    <cellStyle name="Comma 2 4 11 5" xfId="6598" xr:uid="{82BB863D-9C84-4718-B72B-CC3D83D7ED76}"/>
    <cellStyle name="Comma 2 4 11 5 2" xfId="43106" xr:uid="{A7626DAB-67A5-407E-98C7-AB7FECBD399B}"/>
    <cellStyle name="Comma 2 4 11 5 3" xfId="24852" xr:uid="{2597EB52-A965-4A68-8743-E2CF6EDA632B}"/>
    <cellStyle name="Comma 2 4 11 6" xfId="39456" xr:uid="{B8F51670-75EB-4561-ABF9-08B9814B3ADE}"/>
    <cellStyle name="Comma 2 4 11 7" xfId="21202" xr:uid="{C931BCF4-65CE-4A03-A896-94D112E31857}"/>
    <cellStyle name="Comma 2 4 12" xfId="2218" xr:uid="{2F70618D-D0A4-4EA0-88A7-C6AD52C9BBB0}"/>
    <cellStyle name="Comma 2 4 12 2" xfId="16818" xr:uid="{DA61E379-C23E-4315-B363-2A9FFB99DB93}"/>
    <cellStyle name="Comma 2 4 12 2 2" xfId="53326" xr:uid="{21EC7803-BF04-4B87-91AF-1F71881EA99C}"/>
    <cellStyle name="Comma 2 4 12 2 3" xfId="35072" xr:uid="{4A60803D-D471-4FB9-B2E5-AF7541E5CB0D}"/>
    <cellStyle name="Comma 2 4 12 3" xfId="13168" xr:uid="{794748D5-DA16-49A4-A9DC-04A410575C94}"/>
    <cellStyle name="Comma 2 4 12 3 2" xfId="49676" xr:uid="{AF701697-7EF1-49BA-A9F2-EEF2A472ED21}"/>
    <cellStyle name="Comma 2 4 12 3 3" xfId="31422" xr:uid="{A52F88E4-4A1E-48FA-93D0-3F27B9360FCE}"/>
    <cellStyle name="Comma 2 4 12 4" xfId="9518" xr:uid="{A61226D8-5BB2-4AA0-8752-7347B03677AF}"/>
    <cellStyle name="Comma 2 4 12 4 2" xfId="46026" xr:uid="{C5274649-C99D-4FCC-AF97-97EAC262D232}"/>
    <cellStyle name="Comma 2 4 12 4 3" xfId="27772" xr:uid="{20134A3E-C226-453F-B762-138898871E07}"/>
    <cellStyle name="Comma 2 4 12 5" xfId="5868" xr:uid="{5C7A383B-A9D4-4A69-8277-893808489E3A}"/>
    <cellStyle name="Comma 2 4 12 5 2" xfId="42376" xr:uid="{87D09D3E-257E-482B-8C8B-8639C42824B0}"/>
    <cellStyle name="Comma 2 4 12 5 3" xfId="24122" xr:uid="{350FDCF1-F4E2-4FBB-931D-5D76EA54F456}"/>
    <cellStyle name="Comma 2 4 12 6" xfId="38726" xr:uid="{7BC331D0-3978-4748-B2BF-46C5F9D52006}"/>
    <cellStyle name="Comma 2 4 12 7" xfId="20472" xr:uid="{D4829168-B919-44EF-AE90-C623D18AF031}"/>
    <cellStyle name="Comma 2 4 13" xfId="1488" xr:uid="{A1E26D13-44DB-45DA-AFFC-4446BB937D13}"/>
    <cellStyle name="Comma 2 4 13 2" xfId="16088" xr:uid="{2481C71E-B732-4E06-A33D-A905547CE450}"/>
    <cellStyle name="Comma 2 4 13 2 2" xfId="52596" xr:uid="{2F5F7E69-6D29-40B2-96CD-E6682CB31B22}"/>
    <cellStyle name="Comma 2 4 13 2 3" xfId="34342" xr:uid="{3BA526BF-9655-4475-ADE3-B796F578EF0C}"/>
    <cellStyle name="Comma 2 4 13 3" xfId="12438" xr:uid="{7771E412-6A7D-40C3-9501-9232BB023713}"/>
    <cellStyle name="Comma 2 4 13 3 2" xfId="48946" xr:uid="{8B62316C-8102-4464-8484-B736DB746502}"/>
    <cellStyle name="Comma 2 4 13 3 3" xfId="30692" xr:uid="{06E68C78-4991-45A7-86F3-DD43968D1709}"/>
    <cellStyle name="Comma 2 4 13 4" xfId="8788" xr:uid="{FD1602C6-BFE2-4085-8971-F1AF62B987F5}"/>
    <cellStyle name="Comma 2 4 13 4 2" xfId="45296" xr:uid="{91E6B7F3-B6FA-4CDB-98D4-1D0B96E9AC91}"/>
    <cellStyle name="Comma 2 4 13 4 3" xfId="27042" xr:uid="{C6A55C76-065D-4941-B9F3-F2098C6EC06D}"/>
    <cellStyle name="Comma 2 4 13 5" xfId="5138" xr:uid="{F5516B44-B577-43DD-90C7-83B5F56A5C96}"/>
    <cellStyle name="Comma 2 4 13 5 2" xfId="41646" xr:uid="{45F23028-A7E2-43A4-8E57-A98865F2A195}"/>
    <cellStyle name="Comma 2 4 13 5 3" xfId="23392" xr:uid="{6818C0B8-99D7-4A21-9DC6-07B195903995}"/>
    <cellStyle name="Comma 2 4 13 6" xfId="37996" xr:uid="{44A4CA5F-091D-4AF1-BCEC-8A7688FBEB90}"/>
    <cellStyle name="Comma 2 4 13 7" xfId="19742" xr:uid="{38108961-309F-41C8-A072-CEDEBEFE080A}"/>
    <cellStyle name="Comma 2 4 14" xfId="758" xr:uid="{C2CDB69C-EB39-46C1-81BD-5A7928D18657}"/>
    <cellStyle name="Comma 2 4 14 2" xfId="15358" xr:uid="{32DBF85E-8C6F-4262-BFE7-B208399CA78B}"/>
    <cellStyle name="Comma 2 4 14 2 2" xfId="51866" xr:uid="{51B121CA-7D38-4E5F-9EB1-E29FCC0B2917}"/>
    <cellStyle name="Comma 2 4 14 2 3" xfId="33612" xr:uid="{07A7EBF9-199A-4EA8-9A88-66F10E5342D8}"/>
    <cellStyle name="Comma 2 4 14 3" xfId="11708" xr:uid="{56634FA4-28F5-4F97-ADB9-EC31BF412677}"/>
    <cellStyle name="Comma 2 4 14 3 2" xfId="48216" xr:uid="{B27E9823-B749-4FD7-ABF8-DD4BA0BC2637}"/>
    <cellStyle name="Comma 2 4 14 3 3" xfId="29962" xr:uid="{06D9DBDD-74C3-41CC-8FBC-75D0E9AD08A2}"/>
    <cellStyle name="Comma 2 4 14 4" xfId="8058" xr:uid="{143E956A-2212-48E8-9E10-CF74FE7971D6}"/>
    <cellStyle name="Comma 2 4 14 4 2" xfId="44566" xr:uid="{00B43329-37EF-4FA3-A18B-70AAD92E0F4F}"/>
    <cellStyle name="Comma 2 4 14 4 3" xfId="26312" xr:uid="{C71EDE47-AE4A-42EB-A43F-F55250A308A6}"/>
    <cellStyle name="Comma 2 4 14 5" xfId="4408" xr:uid="{056CB2EC-4DED-42F7-87C3-0ED830479ECC}"/>
    <cellStyle name="Comma 2 4 14 5 2" xfId="40916" xr:uid="{89B99164-521B-4C7B-B552-1BC5F7765BD3}"/>
    <cellStyle name="Comma 2 4 14 5 3" xfId="22662" xr:uid="{6CC615E6-281A-4D28-94C7-E5D722B8DF92}"/>
    <cellStyle name="Comma 2 4 14 6" xfId="37266" xr:uid="{8FC21117-E211-4C32-9517-7EF428DDCCF9}"/>
    <cellStyle name="Comma 2 4 14 7" xfId="19012" xr:uid="{A5C7C09B-A996-41D1-9B2C-D10D547BDF98}"/>
    <cellStyle name="Comma 2 4 15" xfId="14628" xr:uid="{EDE32BFE-0C54-4938-A096-A72613959405}"/>
    <cellStyle name="Comma 2 4 15 2" xfId="51136" xr:uid="{5DA7251D-DF36-46A3-8A27-2D6F0EDA9080}"/>
    <cellStyle name="Comma 2 4 15 3" xfId="32882" xr:uid="{D04219A4-84B3-474F-BD35-3EDDC18CE131}"/>
    <cellStyle name="Comma 2 4 16" xfId="10978" xr:uid="{64005BE2-C547-4F25-A04E-0D8B6232E9F4}"/>
    <cellStyle name="Comma 2 4 16 2" xfId="47486" xr:uid="{DE7AE30A-1046-4F88-9D82-ECAC89758DD8}"/>
    <cellStyle name="Comma 2 4 16 3" xfId="29232" xr:uid="{EE4C8848-205F-48B5-95A7-B5EDD25F59F7}"/>
    <cellStyle name="Comma 2 4 17" xfId="7328" xr:uid="{1F61ADF4-A43E-4473-85E7-A741D34EEA16}"/>
    <cellStyle name="Comma 2 4 17 2" xfId="43836" xr:uid="{5A4D7F92-565F-4DED-97D2-8181DC17B636}"/>
    <cellStyle name="Comma 2 4 17 3" xfId="25582" xr:uid="{A47556DB-A8FA-4A91-A162-B1BEBD612BF0}"/>
    <cellStyle name="Comma 2 4 18" xfId="3678" xr:uid="{71F8BDD9-6C21-4162-B90F-B4C1F9B9CD29}"/>
    <cellStyle name="Comma 2 4 18 2" xfId="40186" xr:uid="{BDA7F9BD-FD95-4FCB-BFDB-C51C73F5BDCC}"/>
    <cellStyle name="Comma 2 4 18 3" xfId="21932" xr:uid="{E211B526-1911-4E7F-86E8-496A18BC550C}"/>
    <cellStyle name="Comma 2 4 19" xfId="36536" xr:uid="{0DB9B655-367E-4179-83EA-A46D1FD014B0}"/>
    <cellStyle name="Comma 2 4 2" xfId="35" xr:uid="{D3460FDE-95F7-441D-87DC-E66CC598E395}"/>
    <cellStyle name="Comma 2 4 2 10" xfId="2964" xr:uid="{8D73C208-7F06-49CD-A721-4B6CD3349AFC}"/>
    <cellStyle name="Comma 2 4 2 10 2" xfId="17564" xr:uid="{7EE7A395-80F8-4286-B5B3-1608CF2244EF}"/>
    <cellStyle name="Comma 2 4 2 10 2 2" xfId="54072" xr:uid="{D3C51CDE-7F0C-4B15-BC1C-3C3D13DADEAF}"/>
    <cellStyle name="Comma 2 4 2 10 2 3" xfId="35818" xr:uid="{98859298-CB05-4B99-AE16-8B5C1A2F8088}"/>
    <cellStyle name="Comma 2 4 2 10 3" xfId="13914" xr:uid="{D0312852-EE83-4DCF-B4EE-C1FB753C2605}"/>
    <cellStyle name="Comma 2 4 2 10 3 2" xfId="50422" xr:uid="{8093E9F8-7662-4AF4-8742-9BEBF69E1CE9}"/>
    <cellStyle name="Comma 2 4 2 10 3 3" xfId="32168" xr:uid="{47A6C5A5-7AB6-407A-8F4D-34F2D01717D6}"/>
    <cellStyle name="Comma 2 4 2 10 4" xfId="10264" xr:uid="{77528FAF-25E9-4C0A-A0F3-BD046C3E78C2}"/>
    <cellStyle name="Comma 2 4 2 10 4 2" xfId="46772" xr:uid="{C47E503B-8E01-48F2-A28D-BC18B48DBC2B}"/>
    <cellStyle name="Comma 2 4 2 10 4 3" xfId="28518" xr:uid="{E26592FD-EA91-458C-9376-17FEA08C6B36}"/>
    <cellStyle name="Comma 2 4 2 10 5" xfId="6614" xr:uid="{CC2F28A9-5CAD-4403-B98C-F6CEE4CEDE77}"/>
    <cellStyle name="Comma 2 4 2 10 5 2" xfId="43122" xr:uid="{D6875FAB-2EF1-48F6-8120-82904C79C7FD}"/>
    <cellStyle name="Comma 2 4 2 10 5 3" xfId="24868" xr:uid="{39D621D9-6414-41D0-899A-7331D2B0CD85}"/>
    <cellStyle name="Comma 2 4 2 10 6" xfId="39472" xr:uid="{AB20A481-71ED-4969-AC2E-89E18AF9FBE3}"/>
    <cellStyle name="Comma 2 4 2 10 7" xfId="21218" xr:uid="{DEF09CBE-66B9-4843-8E95-0E59192DCE35}"/>
    <cellStyle name="Comma 2 4 2 11" xfId="2234" xr:uid="{71B8C31A-0012-4AA2-95FE-FFE56B09F06A}"/>
    <cellStyle name="Comma 2 4 2 11 2" xfId="16834" xr:uid="{A55C504B-FA0A-41FA-9881-FA02713222E6}"/>
    <cellStyle name="Comma 2 4 2 11 2 2" xfId="53342" xr:uid="{FEA9BF5A-0EE8-430D-891B-CD7B1E4969F3}"/>
    <cellStyle name="Comma 2 4 2 11 2 3" xfId="35088" xr:uid="{F7113E2F-58E2-4DA3-A2A6-D3FCF90A1C14}"/>
    <cellStyle name="Comma 2 4 2 11 3" xfId="13184" xr:uid="{DD86763E-F5E7-443D-8FDB-F991ECDA57DF}"/>
    <cellStyle name="Comma 2 4 2 11 3 2" xfId="49692" xr:uid="{9F680872-F31C-4FF6-9017-5A7DA31D559D}"/>
    <cellStyle name="Comma 2 4 2 11 3 3" xfId="31438" xr:uid="{A14F1083-8CF8-4730-BCDD-340658A5B5C2}"/>
    <cellStyle name="Comma 2 4 2 11 4" xfId="9534" xr:uid="{298A5F0F-6D7E-4C38-BD74-1408E05D5E45}"/>
    <cellStyle name="Comma 2 4 2 11 4 2" xfId="46042" xr:uid="{91CBAEC7-C34E-4B6E-B98F-3D548CC11975}"/>
    <cellStyle name="Comma 2 4 2 11 4 3" xfId="27788" xr:uid="{7EA375A4-B822-47D0-9085-D14B74960A59}"/>
    <cellStyle name="Comma 2 4 2 11 5" xfId="5884" xr:uid="{A3A8F904-403B-4EC7-A00D-8F5DBF31E453}"/>
    <cellStyle name="Comma 2 4 2 11 5 2" xfId="42392" xr:uid="{FB8261B4-8A84-4443-8906-4CC26ACEA5D8}"/>
    <cellStyle name="Comma 2 4 2 11 5 3" xfId="24138" xr:uid="{8D2635DA-9CB6-44CD-9B34-87D6F5ED8492}"/>
    <cellStyle name="Comma 2 4 2 11 6" xfId="38742" xr:uid="{C7CD6C8D-961D-4091-915A-0205265A82AA}"/>
    <cellStyle name="Comma 2 4 2 11 7" xfId="20488" xr:uid="{7AE5B83F-D821-4ADE-A98F-CFBDD51EB424}"/>
    <cellStyle name="Comma 2 4 2 12" xfId="1504" xr:uid="{09449EA8-1426-4291-A556-827DB5E37337}"/>
    <cellStyle name="Comma 2 4 2 12 2" xfId="16104" xr:uid="{24EAFDE5-219A-47F9-A651-0BA4FA2AA758}"/>
    <cellStyle name="Comma 2 4 2 12 2 2" xfId="52612" xr:uid="{680F677A-68FD-4083-B415-51FA06391DC4}"/>
    <cellStyle name="Comma 2 4 2 12 2 3" xfId="34358" xr:uid="{855266CA-C742-4BFF-8266-04EF73DFA529}"/>
    <cellStyle name="Comma 2 4 2 12 3" xfId="12454" xr:uid="{458DB01B-5711-42A2-8E2F-FE46BA0E2C7B}"/>
    <cellStyle name="Comma 2 4 2 12 3 2" xfId="48962" xr:uid="{3A47D7BB-2230-46D0-837E-133FDAFB42D4}"/>
    <cellStyle name="Comma 2 4 2 12 3 3" xfId="30708" xr:uid="{955DA6CB-488C-48EE-ABF0-90030AA8FBF9}"/>
    <cellStyle name="Comma 2 4 2 12 4" xfId="8804" xr:uid="{5D650C03-1E9E-4E5E-9B58-19B01B71CE8D}"/>
    <cellStyle name="Comma 2 4 2 12 4 2" xfId="45312" xr:uid="{471A495D-F3AE-4EC7-9B30-6D3F08DF3DA0}"/>
    <cellStyle name="Comma 2 4 2 12 4 3" xfId="27058" xr:uid="{9EC3924E-B005-4303-BBB0-F92A98195AAD}"/>
    <cellStyle name="Comma 2 4 2 12 5" xfId="5154" xr:uid="{EED491B1-0501-4080-9066-DEE0AC1250DD}"/>
    <cellStyle name="Comma 2 4 2 12 5 2" xfId="41662" xr:uid="{5151A50F-A7CE-42EB-B3FD-09ACB91A195A}"/>
    <cellStyle name="Comma 2 4 2 12 5 3" xfId="23408" xr:uid="{156FE5F6-33C2-44D4-93EC-6886BE1F54A7}"/>
    <cellStyle name="Comma 2 4 2 12 6" xfId="38012" xr:uid="{CA28A22E-799A-440A-83BC-E5145E56E33F}"/>
    <cellStyle name="Comma 2 4 2 12 7" xfId="19758" xr:uid="{9430ACC9-924F-4643-BCE9-7C7B2808384E}"/>
    <cellStyle name="Comma 2 4 2 13" xfId="774" xr:uid="{9DAA3A20-1BBA-4856-A5E1-33DBDCD0E43C}"/>
    <cellStyle name="Comma 2 4 2 13 2" xfId="15374" xr:uid="{B04F1718-44AD-4FE7-BD3B-B848415D03C9}"/>
    <cellStyle name="Comma 2 4 2 13 2 2" xfId="51882" xr:uid="{DB30FBFD-CDEA-41E1-A4AE-557E52FD3CCA}"/>
    <cellStyle name="Comma 2 4 2 13 2 3" xfId="33628" xr:uid="{0D9F273E-0379-40D4-A0C3-C9BF2F691336}"/>
    <cellStyle name="Comma 2 4 2 13 3" xfId="11724" xr:uid="{E84C9027-7A4A-4147-85D4-632D894DF6FA}"/>
    <cellStyle name="Comma 2 4 2 13 3 2" xfId="48232" xr:uid="{0F448241-B73F-4E0C-B18A-423FDDA33A28}"/>
    <cellStyle name="Comma 2 4 2 13 3 3" xfId="29978" xr:uid="{4B4086C5-C499-456F-B8E6-8AD9A127AE40}"/>
    <cellStyle name="Comma 2 4 2 13 4" xfId="8074" xr:uid="{95545F3B-2560-4E5C-AD94-C6E95C4DCE8F}"/>
    <cellStyle name="Comma 2 4 2 13 4 2" xfId="44582" xr:uid="{A0976B1B-EC7D-4DA6-B264-B3915AD88525}"/>
    <cellStyle name="Comma 2 4 2 13 4 3" xfId="26328" xr:uid="{1463F34D-0F16-4C7C-87BC-DFAB643A30F1}"/>
    <cellStyle name="Comma 2 4 2 13 5" xfId="4424" xr:uid="{D5DEFE39-05A4-4F8D-AA60-06DD7900846E}"/>
    <cellStyle name="Comma 2 4 2 13 5 2" xfId="40932" xr:uid="{FFA09CC6-E141-499C-ADA0-218A6E74F41C}"/>
    <cellStyle name="Comma 2 4 2 13 5 3" xfId="22678" xr:uid="{E88BFFB8-14CB-4A1E-BF52-67168B3A0594}"/>
    <cellStyle name="Comma 2 4 2 13 6" xfId="37282" xr:uid="{EEDFF796-ADAB-452D-9F94-A3DEB3377976}"/>
    <cellStyle name="Comma 2 4 2 13 7" xfId="19028" xr:uid="{8C3F1023-28FF-4402-8A87-D8333508C2FA}"/>
    <cellStyle name="Comma 2 4 2 14" xfId="14644" xr:uid="{98E91ED8-5F35-4F7B-A50F-4DE7D46E2E13}"/>
    <cellStyle name="Comma 2 4 2 14 2" xfId="51152" xr:uid="{62B93C5B-DF92-4AA0-9BB9-A8F04B402BBB}"/>
    <cellStyle name="Comma 2 4 2 14 3" xfId="32898" xr:uid="{22959CF4-2167-4538-9E06-DEDF29B7D37B}"/>
    <cellStyle name="Comma 2 4 2 15" xfId="10994" xr:uid="{162FAE2A-9CAF-4A2A-84EB-0E00BECCAA87}"/>
    <cellStyle name="Comma 2 4 2 15 2" xfId="47502" xr:uid="{CED453F2-3F7A-4547-8BA8-F5FA0FD8C985}"/>
    <cellStyle name="Comma 2 4 2 15 3" xfId="29248" xr:uid="{A7E8935A-D330-4B36-8116-BF9748E070A8}"/>
    <cellStyle name="Comma 2 4 2 16" xfId="7344" xr:uid="{A4A28B31-0DD1-491C-B0CC-8D2A3ACC9A4D}"/>
    <cellStyle name="Comma 2 4 2 16 2" xfId="43852" xr:uid="{87092DA3-6203-4BB9-BDBC-BA6AF004E8FB}"/>
    <cellStyle name="Comma 2 4 2 16 3" xfId="25598" xr:uid="{1FED455E-9B4F-48CC-BA65-C0BA96319B83}"/>
    <cellStyle name="Comma 2 4 2 17" xfId="3694" xr:uid="{5CBE5609-186B-4A9E-B2F7-4D5ED98F6DC2}"/>
    <cellStyle name="Comma 2 4 2 17 2" xfId="40202" xr:uid="{C0E5DEAA-91FE-4884-BB7B-AD14B77D670F}"/>
    <cellStyle name="Comma 2 4 2 17 3" xfId="21948" xr:uid="{247145F7-35C6-4E81-A37C-63AA7EFCA1D5}"/>
    <cellStyle name="Comma 2 4 2 18" xfId="36552" xr:uid="{C3B8A378-EAD8-48FF-9818-35E6CF43063D}"/>
    <cellStyle name="Comma 2 4 2 19" xfId="18298" xr:uid="{BFD5ABA7-452F-4A55-8C38-D5FAE4B67077}"/>
    <cellStyle name="Comma 2 4 2 2" xfId="109" xr:uid="{B820BDDC-64DF-4339-82E6-B0EBB141FFFF}"/>
    <cellStyle name="Comma 2 4 2 2 10" xfId="1568" xr:uid="{F071A51C-2AAC-43AE-BD8A-726A56C69A66}"/>
    <cellStyle name="Comma 2 4 2 2 10 2" xfId="16168" xr:uid="{487D8A28-96F6-49E0-A87E-250C91B39298}"/>
    <cellStyle name="Comma 2 4 2 2 10 2 2" xfId="52676" xr:uid="{0A02457E-57B0-4EC5-8531-199D3F1934DF}"/>
    <cellStyle name="Comma 2 4 2 2 10 2 3" xfId="34422" xr:uid="{1C74796D-A3B7-4596-89C2-BD2F862825B8}"/>
    <cellStyle name="Comma 2 4 2 2 10 3" xfId="12518" xr:uid="{8A8066D4-BA7E-434B-A59F-2F63529E36BF}"/>
    <cellStyle name="Comma 2 4 2 2 10 3 2" xfId="49026" xr:uid="{CF6CA2E8-FF10-4E92-988D-46E45543CE61}"/>
    <cellStyle name="Comma 2 4 2 2 10 3 3" xfId="30772" xr:uid="{801AD231-EC36-444F-AEDA-0DEE8BD98541}"/>
    <cellStyle name="Comma 2 4 2 2 10 4" xfId="8868" xr:uid="{4F180020-4257-4041-A36E-4BAC2589557F}"/>
    <cellStyle name="Comma 2 4 2 2 10 4 2" xfId="45376" xr:uid="{33A4F5DA-A9F3-41B4-824A-C3ECCD2AE390}"/>
    <cellStyle name="Comma 2 4 2 2 10 4 3" xfId="27122" xr:uid="{98D4D4F0-DD20-4E97-9028-D33B33D91AFA}"/>
    <cellStyle name="Comma 2 4 2 2 10 5" xfId="5218" xr:uid="{45DA0293-C3EC-441E-9070-EE6209EED898}"/>
    <cellStyle name="Comma 2 4 2 2 10 5 2" xfId="41726" xr:uid="{7EBE39AC-65D1-4A74-BEAB-94EEFDE0FA2C}"/>
    <cellStyle name="Comma 2 4 2 2 10 5 3" xfId="23472" xr:uid="{E8683F0D-D515-4DBC-9A3E-14AB88048E71}"/>
    <cellStyle name="Comma 2 4 2 2 10 6" xfId="38076" xr:uid="{0D638FDA-0B0C-4260-8331-36676FF9E924}"/>
    <cellStyle name="Comma 2 4 2 2 10 7" xfId="19822" xr:uid="{C95CE5A1-2E84-415A-8130-AE367B26DB14}"/>
    <cellStyle name="Comma 2 4 2 2 11" xfId="838" xr:uid="{A60999FD-F62B-4458-B522-200B771C17DD}"/>
    <cellStyle name="Comma 2 4 2 2 11 2" xfId="15438" xr:uid="{91E75C2C-DF84-41D5-930C-9C59FA135A1C}"/>
    <cellStyle name="Comma 2 4 2 2 11 2 2" xfId="51946" xr:uid="{790F67D8-85C4-4952-AE33-5DADC4B62A52}"/>
    <cellStyle name="Comma 2 4 2 2 11 2 3" xfId="33692" xr:uid="{6F347668-0EF3-4910-BE13-4F149601F69D}"/>
    <cellStyle name="Comma 2 4 2 2 11 3" xfId="11788" xr:uid="{06820C09-ADC0-4E17-809A-4F3AD05B37EC}"/>
    <cellStyle name="Comma 2 4 2 2 11 3 2" xfId="48296" xr:uid="{60349C29-FEC1-40B4-974E-FE86292FF674}"/>
    <cellStyle name="Comma 2 4 2 2 11 3 3" xfId="30042" xr:uid="{3096019F-37AD-4DAE-A1D3-5C48749FF9BB}"/>
    <cellStyle name="Comma 2 4 2 2 11 4" xfId="8138" xr:uid="{B9CC03CD-FDB3-40F7-8FAB-CA6C1997A4BD}"/>
    <cellStyle name="Comma 2 4 2 2 11 4 2" xfId="44646" xr:uid="{F22813C9-7488-472D-A31D-A64067EBF510}"/>
    <cellStyle name="Comma 2 4 2 2 11 4 3" xfId="26392" xr:uid="{5631B15A-EE09-46CA-AB3E-5625D121A721}"/>
    <cellStyle name="Comma 2 4 2 2 11 5" xfId="4488" xr:uid="{F468BD23-CD05-4920-A01D-6EBE00F286FB}"/>
    <cellStyle name="Comma 2 4 2 2 11 5 2" xfId="40996" xr:uid="{8891E386-23E0-48F6-B4F5-7044A9725490}"/>
    <cellStyle name="Comma 2 4 2 2 11 5 3" xfId="22742" xr:uid="{FFC64C18-CD8A-4CE2-A3D7-8C19825F6363}"/>
    <cellStyle name="Comma 2 4 2 2 11 6" xfId="37346" xr:uid="{D4E35C2F-5B6D-4EB3-99EB-EBB47D920F91}"/>
    <cellStyle name="Comma 2 4 2 2 11 7" xfId="19092" xr:uid="{99871185-2CD6-42C3-A090-F6F399177EF0}"/>
    <cellStyle name="Comma 2 4 2 2 12" xfId="14708" xr:uid="{5E924A48-66AD-473D-A25B-DBB0F3C67B5F}"/>
    <cellStyle name="Comma 2 4 2 2 12 2" xfId="51216" xr:uid="{A5686011-34DB-4436-8F9A-17ADB8CAAAB1}"/>
    <cellStyle name="Comma 2 4 2 2 12 3" xfId="32962" xr:uid="{F557BF62-C11F-4CF1-B312-2F92FF6B48A8}"/>
    <cellStyle name="Comma 2 4 2 2 13" xfId="11058" xr:uid="{BDEF311E-4D6A-45AF-B069-A45BA5C3BBFF}"/>
    <cellStyle name="Comma 2 4 2 2 13 2" xfId="47566" xr:uid="{1030251E-BE16-4D0B-B38D-41EF401EF471}"/>
    <cellStyle name="Comma 2 4 2 2 13 3" xfId="29312" xr:uid="{37B8E30A-32D9-4F45-BABD-78CBE4640EF2}"/>
    <cellStyle name="Comma 2 4 2 2 14" xfId="7408" xr:uid="{E521F56C-07B0-4453-9F74-45687FAA9BFD}"/>
    <cellStyle name="Comma 2 4 2 2 14 2" xfId="43916" xr:uid="{8F7DF449-7D26-49B1-8B76-1596F4E7B5C5}"/>
    <cellStyle name="Comma 2 4 2 2 14 3" xfId="25662" xr:uid="{B7145107-5E6C-4CD1-BF7F-5DF85671FF84}"/>
    <cellStyle name="Comma 2 4 2 2 15" xfId="3758" xr:uid="{B0D0D7A5-BC6F-4848-817E-2614D4EAEB72}"/>
    <cellStyle name="Comma 2 4 2 2 15 2" xfId="40266" xr:uid="{210462EE-1ECB-4B42-92E9-6FAEE69EFE7B}"/>
    <cellStyle name="Comma 2 4 2 2 15 3" xfId="22012" xr:uid="{A1B75277-4318-4F99-85CD-713D48A85C83}"/>
    <cellStyle name="Comma 2 4 2 2 16" xfId="36616" xr:uid="{CB5BABF3-B57E-4098-9792-48280715EBBF}"/>
    <cellStyle name="Comma 2 4 2 2 17" xfId="18362" xr:uid="{B119AAC9-902A-44E2-99A3-A68ACA5E22B9}"/>
    <cellStyle name="Comma 2 4 2 2 2" xfId="732" xr:uid="{3595F8B1-94A7-4583-A98B-1FD024535D40}"/>
    <cellStyle name="Comma 2 4 2 2 2 10" xfId="37240" xr:uid="{38C2A593-3CDB-482D-948E-A560E93F1FB7}"/>
    <cellStyle name="Comma 2 4 2 2 2 11" xfId="18986" xr:uid="{9908948E-2D94-4E9F-9AB5-D2226A812B89}"/>
    <cellStyle name="Comma 2 4 2 2 2 2" xfId="3652" xr:uid="{81A207B4-E29C-4D00-81F6-E0D7D57B69C3}"/>
    <cellStyle name="Comma 2 4 2 2 2 2 2" xfId="18252" xr:uid="{E6F45999-746C-43B8-BBA0-9922C1858748}"/>
    <cellStyle name="Comma 2 4 2 2 2 2 2 2" xfId="54760" xr:uid="{4703FD2D-B12D-45DA-A00B-FB1180955D9C}"/>
    <cellStyle name="Comma 2 4 2 2 2 2 2 3" xfId="36506" xr:uid="{E7A68593-1E14-4146-8B8A-B406615E59BB}"/>
    <cellStyle name="Comma 2 4 2 2 2 2 3" xfId="14602" xr:uid="{7FA01184-B74B-4FB9-9079-425DC9004816}"/>
    <cellStyle name="Comma 2 4 2 2 2 2 3 2" xfId="51110" xr:uid="{9318E686-D565-49C7-B518-21137419E560}"/>
    <cellStyle name="Comma 2 4 2 2 2 2 3 3" xfId="32856" xr:uid="{5DE397C3-6E20-4B25-AA4A-886CC75CA95B}"/>
    <cellStyle name="Comma 2 4 2 2 2 2 4" xfId="10952" xr:uid="{7863F42D-A612-4928-9888-42AFA4E1844E}"/>
    <cellStyle name="Comma 2 4 2 2 2 2 4 2" xfId="47460" xr:uid="{ED419267-4589-4E46-B7C4-B89D27577673}"/>
    <cellStyle name="Comma 2 4 2 2 2 2 4 3" xfId="29206" xr:uid="{508B6C47-FE47-4A84-94A4-0435D08E68E4}"/>
    <cellStyle name="Comma 2 4 2 2 2 2 5" xfId="7302" xr:uid="{3D5CAF61-B063-4611-95BE-C931AF0282F8}"/>
    <cellStyle name="Comma 2 4 2 2 2 2 5 2" xfId="43810" xr:uid="{903161A8-656C-40A2-B844-A427D87863DC}"/>
    <cellStyle name="Comma 2 4 2 2 2 2 5 3" xfId="25556" xr:uid="{DC070616-F017-4999-AAAA-3D7A15EE5CAE}"/>
    <cellStyle name="Comma 2 4 2 2 2 2 6" xfId="40160" xr:uid="{A2DEA8C3-CB29-40A0-930B-A56A032ACA1E}"/>
    <cellStyle name="Comma 2 4 2 2 2 2 7" xfId="21906" xr:uid="{9DBC5314-32B3-4B0D-B6BF-64BCA63A906F}"/>
    <cellStyle name="Comma 2 4 2 2 2 3" xfId="2922" xr:uid="{E9AC3BCD-D56E-4E32-8346-594AC4F190D1}"/>
    <cellStyle name="Comma 2 4 2 2 2 3 2" xfId="17522" xr:uid="{FB5DBF98-4502-4223-9B7F-F215F1DBD118}"/>
    <cellStyle name="Comma 2 4 2 2 2 3 2 2" xfId="54030" xr:uid="{270C4778-8F93-4517-9675-270E5119244E}"/>
    <cellStyle name="Comma 2 4 2 2 2 3 2 3" xfId="35776" xr:uid="{CDDC52FB-3FE3-4C33-B378-FD49A37F764E}"/>
    <cellStyle name="Comma 2 4 2 2 2 3 3" xfId="13872" xr:uid="{9769B6F0-1E83-462E-9759-40B2B533FFFE}"/>
    <cellStyle name="Comma 2 4 2 2 2 3 3 2" xfId="50380" xr:uid="{3038992A-E7B3-4530-8421-8A2ADCDC313E}"/>
    <cellStyle name="Comma 2 4 2 2 2 3 3 3" xfId="32126" xr:uid="{A38E56BA-FB9E-4E76-95DB-C9D0E8CC23DF}"/>
    <cellStyle name="Comma 2 4 2 2 2 3 4" xfId="10222" xr:uid="{DDFCC93A-A88D-4D63-A976-F4B875F76794}"/>
    <cellStyle name="Comma 2 4 2 2 2 3 4 2" xfId="46730" xr:uid="{993BFA7E-E120-4707-A60A-9A075F2538FD}"/>
    <cellStyle name="Comma 2 4 2 2 2 3 4 3" xfId="28476" xr:uid="{A76CA4F7-484D-44B7-9D68-41638E4B6960}"/>
    <cellStyle name="Comma 2 4 2 2 2 3 5" xfId="6572" xr:uid="{8467910F-35E9-49A1-90CA-D703AD3B19A3}"/>
    <cellStyle name="Comma 2 4 2 2 2 3 5 2" xfId="43080" xr:uid="{C536B194-5CDA-4BCA-9B98-D9C28BA4504E}"/>
    <cellStyle name="Comma 2 4 2 2 2 3 5 3" xfId="24826" xr:uid="{59E1C64B-5191-41FD-AD33-0D4C512ABA93}"/>
    <cellStyle name="Comma 2 4 2 2 2 3 6" xfId="39430" xr:uid="{E6AD7399-8ED3-4A98-84AB-3D2AF675FAC8}"/>
    <cellStyle name="Comma 2 4 2 2 2 3 7" xfId="21176" xr:uid="{E450F4CE-9DAB-4674-9C5D-146A4C8286B8}"/>
    <cellStyle name="Comma 2 4 2 2 2 4" xfId="2192" xr:uid="{C5E790A6-9034-4AA5-B437-70E5C5BB46D8}"/>
    <cellStyle name="Comma 2 4 2 2 2 4 2" xfId="16792" xr:uid="{461DE3C7-9BAA-4E38-9A3A-40A0266C753A}"/>
    <cellStyle name="Comma 2 4 2 2 2 4 2 2" xfId="53300" xr:uid="{7AB35925-7154-475B-A8FC-2929C4165178}"/>
    <cellStyle name="Comma 2 4 2 2 2 4 2 3" xfId="35046" xr:uid="{F037E63E-B87C-4088-AEB3-B07451E46622}"/>
    <cellStyle name="Comma 2 4 2 2 2 4 3" xfId="13142" xr:uid="{F25BB536-D254-4762-B5F3-F907633772F6}"/>
    <cellStyle name="Comma 2 4 2 2 2 4 3 2" xfId="49650" xr:uid="{2B8086DB-C35D-45B5-86FF-0B96F2E7E06A}"/>
    <cellStyle name="Comma 2 4 2 2 2 4 3 3" xfId="31396" xr:uid="{089AE5CB-8033-4CA9-89FE-D10BA8015CAC}"/>
    <cellStyle name="Comma 2 4 2 2 2 4 4" xfId="9492" xr:uid="{DEB4504E-40BF-4228-A3EE-036727BF1487}"/>
    <cellStyle name="Comma 2 4 2 2 2 4 4 2" xfId="46000" xr:uid="{0F721D49-7EB2-4C31-91A3-6584A8E62F7D}"/>
    <cellStyle name="Comma 2 4 2 2 2 4 4 3" xfId="27746" xr:uid="{64C1ED03-5505-47F5-A3C9-34D3744658DB}"/>
    <cellStyle name="Comma 2 4 2 2 2 4 5" xfId="5842" xr:uid="{4D0B8F44-DB54-4652-9AD4-14922D11D8C3}"/>
    <cellStyle name="Comma 2 4 2 2 2 4 5 2" xfId="42350" xr:uid="{978E86FD-2837-4561-BF74-5482A043555F}"/>
    <cellStyle name="Comma 2 4 2 2 2 4 5 3" xfId="24096" xr:uid="{D93F86A9-C075-4CB3-A34C-1D6B2C026FF3}"/>
    <cellStyle name="Comma 2 4 2 2 2 4 6" xfId="38700" xr:uid="{BFD122EC-C0ED-45D2-A145-7D9503F525F5}"/>
    <cellStyle name="Comma 2 4 2 2 2 4 7" xfId="20446" xr:uid="{8D2EDD8C-2D45-4C01-9567-3AB56CEB12B4}"/>
    <cellStyle name="Comma 2 4 2 2 2 5" xfId="1462" xr:uid="{4561296E-4052-4BA7-B521-F17C2E33480E}"/>
    <cellStyle name="Comma 2 4 2 2 2 5 2" xfId="16062" xr:uid="{43C3811A-BD9F-42A6-B8B4-1E17225DB8D2}"/>
    <cellStyle name="Comma 2 4 2 2 2 5 2 2" xfId="52570" xr:uid="{2D5FBC9E-4047-4CD9-AE3A-E8C748A604C6}"/>
    <cellStyle name="Comma 2 4 2 2 2 5 2 3" xfId="34316" xr:uid="{E2B2CA6B-8CD1-48D8-AE5B-54206ABCD296}"/>
    <cellStyle name="Comma 2 4 2 2 2 5 3" xfId="12412" xr:uid="{E50D45A0-E661-478D-859E-1DBCB52C4681}"/>
    <cellStyle name="Comma 2 4 2 2 2 5 3 2" xfId="48920" xr:uid="{43F67EE9-1B2C-407D-92F1-B6A87DEFC76A}"/>
    <cellStyle name="Comma 2 4 2 2 2 5 3 3" xfId="30666" xr:uid="{9728D86A-93DA-439B-B98F-A0CD62DA3131}"/>
    <cellStyle name="Comma 2 4 2 2 2 5 4" xfId="8762" xr:uid="{477A8F0C-D87C-4E7B-88EC-823C8F2E9BEE}"/>
    <cellStyle name="Comma 2 4 2 2 2 5 4 2" xfId="45270" xr:uid="{A73B9B0D-45BE-451B-AE3C-4794B9B2D9D8}"/>
    <cellStyle name="Comma 2 4 2 2 2 5 4 3" xfId="27016" xr:uid="{DE968389-D797-4475-8C5E-7033117B8E0F}"/>
    <cellStyle name="Comma 2 4 2 2 2 5 5" xfId="5112" xr:uid="{B2A13801-D45D-415D-9D3E-FEE2319E805D}"/>
    <cellStyle name="Comma 2 4 2 2 2 5 5 2" xfId="41620" xr:uid="{9869D222-85CD-4E19-A1EA-84640D565D7F}"/>
    <cellStyle name="Comma 2 4 2 2 2 5 5 3" xfId="23366" xr:uid="{516A3556-1C6F-417D-BC0A-B65D32B5B80E}"/>
    <cellStyle name="Comma 2 4 2 2 2 5 6" xfId="37970" xr:uid="{3AF11FE3-6F0B-492E-9BB6-3847C087F683}"/>
    <cellStyle name="Comma 2 4 2 2 2 5 7" xfId="19716" xr:uid="{40539CCC-4349-4F44-A0A5-6AB86BE54AE3}"/>
    <cellStyle name="Comma 2 4 2 2 2 6" xfId="15332" xr:uid="{9AD3A5D6-EE40-4A4C-A45A-CC2AB23DF60A}"/>
    <cellStyle name="Comma 2 4 2 2 2 6 2" xfId="51840" xr:uid="{A39535EF-037A-4AB5-B20E-799DADA23037}"/>
    <cellStyle name="Comma 2 4 2 2 2 6 3" xfId="33586" xr:uid="{29413D41-6C98-4C2E-AED0-C5CD4D901D51}"/>
    <cellStyle name="Comma 2 4 2 2 2 7" xfId="11682" xr:uid="{18C57456-614F-44B4-8750-DABEA3DDA76A}"/>
    <cellStyle name="Comma 2 4 2 2 2 7 2" xfId="48190" xr:uid="{8F80253A-3FF9-4D7D-B1F0-3F06132E64BB}"/>
    <cellStyle name="Comma 2 4 2 2 2 7 3" xfId="29936" xr:uid="{F6BF29A5-C42A-4B9D-8000-85478202D6E8}"/>
    <cellStyle name="Comma 2 4 2 2 2 8" xfId="8032" xr:uid="{483010E1-970B-4E6D-B46D-2179607E7749}"/>
    <cellStyle name="Comma 2 4 2 2 2 8 2" xfId="44540" xr:uid="{4C852938-6E89-4E15-B6F5-9ABD386B388E}"/>
    <cellStyle name="Comma 2 4 2 2 2 8 3" xfId="26286" xr:uid="{BF635EAF-4BF6-4075-B365-5DAF0256B1A7}"/>
    <cellStyle name="Comma 2 4 2 2 2 9" xfId="4382" xr:uid="{436177A6-08E2-4992-AA13-6F6F27405215}"/>
    <cellStyle name="Comma 2 4 2 2 2 9 2" xfId="40890" xr:uid="{AA7AA1AC-1C69-43B7-8CE9-B3A7266C9573}"/>
    <cellStyle name="Comma 2 4 2 2 2 9 3" xfId="22636" xr:uid="{22841934-D1C5-494F-9C0B-37B46D03A928}"/>
    <cellStyle name="Comma 2 4 2 2 3" xfId="628" xr:uid="{10C6AF96-9AB6-4BD1-8A72-C155B526F965}"/>
    <cellStyle name="Comma 2 4 2 2 3 10" xfId="37136" xr:uid="{5EBA978A-8227-4CD1-AB65-87C0A6D3A62B}"/>
    <cellStyle name="Comma 2 4 2 2 3 11" xfId="18882" xr:uid="{6A2E8272-5F20-4B0C-94E5-11894CB74149}"/>
    <cellStyle name="Comma 2 4 2 2 3 2" xfId="3548" xr:uid="{01F53B18-83C4-4082-820C-6719D1F19244}"/>
    <cellStyle name="Comma 2 4 2 2 3 2 2" xfId="18148" xr:uid="{4E0F55E9-3E48-4243-91CF-246559C1FF38}"/>
    <cellStyle name="Comma 2 4 2 2 3 2 2 2" xfId="54656" xr:uid="{CFA29061-A61A-4369-AC00-3430851AA710}"/>
    <cellStyle name="Comma 2 4 2 2 3 2 2 3" xfId="36402" xr:uid="{4B92E1EB-3EA1-46F5-AC1A-A16DCA861545}"/>
    <cellStyle name="Comma 2 4 2 2 3 2 3" xfId="14498" xr:uid="{E5D53612-64F6-4026-8F46-A4DD21A494AA}"/>
    <cellStyle name="Comma 2 4 2 2 3 2 3 2" xfId="51006" xr:uid="{6184C305-19F4-4DDB-AE8B-935A7C56F71C}"/>
    <cellStyle name="Comma 2 4 2 2 3 2 3 3" xfId="32752" xr:uid="{48BD9E9C-6676-4FA4-BBDF-B95D7777F430}"/>
    <cellStyle name="Comma 2 4 2 2 3 2 4" xfId="10848" xr:uid="{84D5815C-9E6B-45EE-A2F7-A178FD666B37}"/>
    <cellStyle name="Comma 2 4 2 2 3 2 4 2" xfId="47356" xr:uid="{DCE4B088-E213-4B9C-B711-58BEAD1AE40B}"/>
    <cellStyle name="Comma 2 4 2 2 3 2 4 3" xfId="29102" xr:uid="{B2F5E81B-9919-43D2-9BE0-255C91E183D0}"/>
    <cellStyle name="Comma 2 4 2 2 3 2 5" xfId="7198" xr:uid="{3F9F1C0C-0467-4E77-A57A-7DC6AC57D049}"/>
    <cellStyle name="Comma 2 4 2 2 3 2 5 2" xfId="43706" xr:uid="{8A71A146-23D1-46FE-8DA5-070BF8A2C936}"/>
    <cellStyle name="Comma 2 4 2 2 3 2 5 3" xfId="25452" xr:uid="{3F5F0EB2-6E80-426F-979F-EF0E4863631F}"/>
    <cellStyle name="Comma 2 4 2 2 3 2 6" xfId="40056" xr:uid="{16ED7B40-10E9-4BDE-916E-93369085A704}"/>
    <cellStyle name="Comma 2 4 2 2 3 2 7" xfId="21802" xr:uid="{BF4FC864-E196-4944-869D-F6CC1219860E}"/>
    <cellStyle name="Comma 2 4 2 2 3 3" xfId="2818" xr:uid="{9477A1F1-08D3-40F9-8E1F-BAAD60CC1CD4}"/>
    <cellStyle name="Comma 2 4 2 2 3 3 2" xfId="17418" xr:uid="{3849CE28-81A5-4FB1-B5F4-DF7F8B493706}"/>
    <cellStyle name="Comma 2 4 2 2 3 3 2 2" xfId="53926" xr:uid="{4EC54617-D1D9-4E82-9344-CAC9CD78BC38}"/>
    <cellStyle name="Comma 2 4 2 2 3 3 2 3" xfId="35672" xr:uid="{A0FFCAC9-6825-46C3-9C20-CE4B6B47E568}"/>
    <cellStyle name="Comma 2 4 2 2 3 3 3" xfId="13768" xr:uid="{C654AEA8-E6E2-4828-8B45-4A9AA14AA7F1}"/>
    <cellStyle name="Comma 2 4 2 2 3 3 3 2" xfId="50276" xr:uid="{C07908B7-1E9E-44F2-AEB0-0B19E5493E90}"/>
    <cellStyle name="Comma 2 4 2 2 3 3 3 3" xfId="32022" xr:uid="{E129EB1F-0FCB-4F9E-97AE-F2E5B2016E10}"/>
    <cellStyle name="Comma 2 4 2 2 3 3 4" xfId="10118" xr:uid="{8A272ED5-CAFC-4807-809F-66456F65D269}"/>
    <cellStyle name="Comma 2 4 2 2 3 3 4 2" xfId="46626" xr:uid="{B06E685C-55F8-4530-85FD-983494BFF32E}"/>
    <cellStyle name="Comma 2 4 2 2 3 3 4 3" xfId="28372" xr:uid="{82E65403-32A6-43F5-94B8-D949D5F32002}"/>
    <cellStyle name="Comma 2 4 2 2 3 3 5" xfId="6468" xr:uid="{40717D09-889F-45A2-8FBA-885E73609F4C}"/>
    <cellStyle name="Comma 2 4 2 2 3 3 5 2" xfId="42976" xr:uid="{8C32AC17-2632-4E41-8E02-247F4C717404}"/>
    <cellStyle name="Comma 2 4 2 2 3 3 5 3" xfId="24722" xr:uid="{267585AB-EC2B-4C93-8246-7EC6A701C4F0}"/>
    <cellStyle name="Comma 2 4 2 2 3 3 6" xfId="39326" xr:uid="{09A61E0C-521A-4F45-B521-0B396A4A9A16}"/>
    <cellStyle name="Comma 2 4 2 2 3 3 7" xfId="21072" xr:uid="{98C4C120-D846-48DA-A65D-D021631B8AF5}"/>
    <cellStyle name="Comma 2 4 2 2 3 4" xfId="2088" xr:uid="{8B63DBA5-D2C4-4F8B-B4BB-BEC414922553}"/>
    <cellStyle name="Comma 2 4 2 2 3 4 2" xfId="16688" xr:uid="{AC22B8E2-AF92-4FF2-9B40-39FD58A95CD0}"/>
    <cellStyle name="Comma 2 4 2 2 3 4 2 2" xfId="53196" xr:uid="{1626F804-E608-4DDB-AA96-ADAA3C9D318E}"/>
    <cellStyle name="Comma 2 4 2 2 3 4 2 3" xfId="34942" xr:uid="{8B428775-B156-449B-870B-81B1EEAADBB0}"/>
    <cellStyle name="Comma 2 4 2 2 3 4 3" xfId="13038" xr:uid="{8925872D-DF39-47EF-8DC8-D137296A5D53}"/>
    <cellStyle name="Comma 2 4 2 2 3 4 3 2" xfId="49546" xr:uid="{3B0B440E-F90D-43FE-B2D7-1F7DBCAA7DD3}"/>
    <cellStyle name="Comma 2 4 2 2 3 4 3 3" xfId="31292" xr:uid="{B2645D43-C0EA-4BE3-B84C-C06841697CCF}"/>
    <cellStyle name="Comma 2 4 2 2 3 4 4" xfId="9388" xr:uid="{2478A87A-9EA6-49C0-B14D-9DEC3DF769E4}"/>
    <cellStyle name="Comma 2 4 2 2 3 4 4 2" xfId="45896" xr:uid="{FF517FDB-1C69-44B3-AE9E-CA1E8FFEACDE}"/>
    <cellStyle name="Comma 2 4 2 2 3 4 4 3" xfId="27642" xr:uid="{BABB8489-9616-465A-9763-58CFE3C07EF3}"/>
    <cellStyle name="Comma 2 4 2 2 3 4 5" xfId="5738" xr:uid="{BBEEABE3-E98C-4ED3-9879-7B5958AA768A}"/>
    <cellStyle name="Comma 2 4 2 2 3 4 5 2" xfId="42246" xr:uid="{0E6BFE70-A2A6-47C2-A9E5-D2AED2DAE181}"/>
    <cellStyle name="Comma 2 4 2 2 3 4 5 3" xfId="23992" xr:uid="{BEE3DC60-C8A5-40A0-A42C-DA873A2D150B}"/>
    <cellStyle name="Comma 2 4 2 2 3 4 6" xfId="38596" xr:uid="{60FD10B6-4F61-4E5F-857E-3BE914D19FEF}"/>
    <cellStyle name="Comma 2 4 2 2 3 4 7" xfId="20342" xr:uid="{4564999E-EC08-4FA7-8CD5-BC6846F37140}"/>
    <cellStyle name="Comma 2 4 2 2 3 5" xfId="1358" xr:uid="{FAE454B7-FF67-4173-B784-D35653C06812}"/>
    <cellStyle name="Comma 2 4 2 2 3 5 2" xfId="15958" xr:uid="{7448B262-11E9-43D3-A536-AF94C2E83BA7}"/>
    <cellStyle name="Comma 2 4 2 2 3 5 2 2" xfId="52466" xr:uid="{38C34910-E116-4874-B215-C9A4EB7DDFE5}"/>
    <cellStyle name="Comma 2 4 2 2 3 5 2 3" xfId="34212" xr:uid="{FBC6E551-34AB-4041-8339-E3D56618DF70}"/>
    <cellStyle name="Comma 2 4 2 2 3 5 3" xfId="12308" xr:uid="{40667EB0-1F72-4D72-B673-63A30DC3A7C8}"/>
    <cellStyle name="Comma 2 4 2 2 3 5 3 2" xfId="48816" xr:uid="{B0B11C91-F627-4CB1-8656-06945FB11184}"/>
    <cellStyle name="Comma 2 4 2 2 3 5 3 3" xfId="30562" xr:uid="{988D63E4-3470-43BC-A818-A3593B2ECB56}"/>
    <cellStyle name="Comma 2 4 2 2 3 5 4" xfId="8658" xr:uid="{827AFDBB-BB2A-44AD-BC73-75F16D6FE154}"/>
    <cellStyle name="Comma 2 4 2 2 3 5 4 2" xfId="45166" xr:uid="{82DAB550-859C-4CF4-89C3-1E047695957D}"/>
    <cellStyle name="Comma 2 4 2 2 3 5 4 3" xfId="26912" xr:uid="{7A587849-1C06-45E7-8345-EBD6615AEF7D}"/>
    <cellStyle name="Comma 2 4 2 2 3 5 5" xfId="5008" xr:uid="{DC848E0F-FF6C-4F86-B57E-73F06A39023D}"/>
    <cellStyle name="Comma 2 4 2 2 3 5 5 2" xfId="41516" xr:uid="{15197451-C16E-409E-918D-A6972E5FE7F2}"/>
    <cellStyle name="Comma 2 4 2 2 3 5 5 3" xfId="23262" xr:uid="{F8F1964F-7424-41FE-817B-79B95EED9E66}"/>
    <cellStyle name="Comma 2 4 2 2 3 5 6" xfId="37866" xr:uid="{5BA1DDC5-E66C-4B0E-B1D6-FA83620CEF01}"/>
    <cellStyle name="Comma 2 4 2 2 3 5 7" xfId="19612" xr:uid="{3AF65E05-DBDE-429E-82ED-1D7B997B5E80}"/>
    <cellStyle name="Comma 2 4 2 2 3 6" xfId="15228" xr:uid="{3305E641-4E84-498A-9CEF-DF1D5A7777B2}"/>
    <cellStyle name="Comma 2 4 2 2 3 6 2" xfId="51736" xr:uid="{C1DF3346-ABBB-4C29-86A9-E3C293F893C0}"/>
    <cellStyle name="Comma 2 4 2 2 3 6 3" xfId="33482" xr:uid="{5F166292-E071-4FFF-A70E-C3D2FB81D98F}"/>
    <cellStyle name="Comma 2 4 2 2 3 7" xfId="11578" xr:uid="{7C646357-EC95-4897-BE73-01B3A044C4AA}"/>
    <cellStyle name="Comma 2 4 2 2 3 7 2" xfId="48086" xr:uid="{93A63981-58E9-4E97-99E3-CED5334DE82F}"/>
    <cellStyle name="Comma 2 4 2 2 3 7 3" xfId="29832" xr:uid="{CBB68CF5-70AD-495A-B913-A268D017A9DE}"/>
    <cellStyle name="Comma 2 4 2 2 3 8" xfId="7928" xr:uid="{F8795D71-75E6-47F8-B566-3CD5895B8115}"/>
    <cellStyle name="Comma 2 4 2 2 3 8 2" xfId="44436" xr:uid="{1F43D6E8-3466-4899-9308-58E625CF264E}"/>
    <cellStyle name="Comma 2 4 2 2 3 8 3" xfId="26182" xr:uid="{1AF0E76B-18E4-42B8-8E3D-12B0CC6060D4}"/>
    <cellStyle name="Comma 2 4 2 2 3 9" xfId="4278" xr:uid="{8FCB3294-8881-47AA-A842-ACDACF6AB935}"/>
    <cellStyle name="Comma 2 4 2 2 3 9 2" xfId="40786" xr:uid="{6107496E-0BDB-43EE-9F4A-EAB892A2535B}"/>
    <cellStyle name="Comma 2 4 2 2 3 9 3" xfId="22532" xr:uid="{3BD08E37-82BE-469E-B372-ED47732A59FB}"/>
    <cellStyle name="Comma 2 4 2 2 4" xfId="524" xr:uid="{A106F114-7386-4D81-9CC0-10D5804E49A0}"/>
    <cellStyle name="Comma 2 4 2 2 4 10" xfId="37032" xr:uid="{12E2F111-A1D6-4F51-8558-06DEF8B9553C}"/>
    <cellStyle name="Comma 2 4 2 2 4 11" xfId="18778" xr:uid="{ED36BFB1-8206-4057-A44A-4AA16CB20F25}"/>
    <cellStyle name="Comma 2 4 2 2 4 2" xfId="3444" xr:uid="{C347483B-BE77-449C-B9E4-197FA2808DE5}"/>
    <cellStyle name="Comma 2 4 2 2 4 2 2" xfId="18044" xr:uid="{ED55A53E-1858-4BB0-A249-646B6D29BE0A}"/>
    <cellStyle name="Comma 2 4 2 2 4 2 2 2" xfId="54552" xr:uid="{FE8569D7-F0CD-4731-AE29-03BADA756723}"/>
    <cellStyle name="Comma 2 4 2 2 4 2 2 3" xfId="36298" xr:uid="{E49D062C-97E0-41FD-82B9-192BC7C586DF}"/>
    <cellStyle name="Comma 2 4 2 2 4 2 3" xfId="14394" xr:uid="{1ED6F852-3BD1-4F2E-91BE-13986E307E78}"/>
    <cellStyle name="Comma 2 4 2 2 4 2 3 2" xfId="50902" xr:uid="{6D8A01B7-6933-4D6C-8AC5-AE3354A8D3EA}"/>
    <cellStyle name="Comma 2 4 2 2 4 2 3 3" xfId="32648" xr:uid="{3F4AE513-0601-4BAC-8291-317A6A6765D2}"/>
    <cellStyle name="Comma 2 4 2 2 4 2 4" xfId="10744" xr:uid="{8110E50A-BBAF-4079-AB08-AF5E994938A5}"/>
    <cellStyle name="Comma 2 4 2 2 4 2 4 2" xfId="47252" xr:uid="{0F433830-360B-4009-B489-245F3A69C4F2}"/>
    <cellStyle name="Comma 2 4 2 2 4 2 4 3" xfId="28998" xr:uid="{9BCE3CDE-1115-4BA4-BD95-34478F2E40DA}"/>
    <cellStyle name="Comma 2 4 2 2 4 2 5" xfId="7094" xr:uid="{9DCBBBDF-E620-4418-B017-E2E19759A9BA}"/>
    <cellStyle name="Comma 2 4 2 2 4 2 5 2" xfId="43602" xr:uid="{64269F4B-8231-407A-9585-CB2EF0C65CEF}"/>
    <cellStyle name="Comma 2 4 2 2 4 2 5 3" xfId="25348" xr:uid="{B370F9B0-DE42-4282-9AF9-6F1AC54A989E}"/>
    <cellStyle name="Comma 2 4 2 2 4 2 6" xfId="39952" xr:uid="{4F178E8C-2EF7-4959-9A7B-577D231A9F4D}"/>
    <cellStyle name="Comma 2 4 2 2 4 2 7" xfId="21698" xr:uid="{58C4F9FD-ECE1-4AC8-ADF5-750236B790C0}"/>
    <cellStyle name="Comma 2 4 2 2 4 3" xfId="2714" xr:uid="{AE40CF34-D558-42A4-8FBE-C75434220790}"/>
    <cellStyle name="Comma 2 4 2 2 4 3 2" xfId="17314" xr:uid="{72AAECF6-6218-4089-B4C2-22ACB6A5984A}"/>
    <cellStyle name="Comma 2 4 2 2 4 3 2 2" xfId="53822" xr:uid="{FE0435E0-EFB7-4C61-B41D-D9C5DF93731A}"/>
    <cellStyle name="Comma 2 4 2 2 4 3 2 3" xfId="35568" xr:uid="{63A6D158-ED22-4E9F-9429-280FCB94AAAC}"/>
    <cellStyle name="Comma 2 4 2 2 4 3 3" xfId="13664" xr:uid="{A7C4BA74-3322-4ADD-BFD9-C07257E5E7DE}"/>
    <cellStyle name="Comma 2 4 2 2 4 3 3 2" xfId="50172" xr:uid="{41617575-FEC3-497C-B084-C03B6566E1C0}"/>
    <cellStyle name="Comma 2 4 2 2 4 3 3 3" xfId="31918" xr:uid="{BEAF631F-8AC9-49EB-93D5-2002F11006CF}"/>
    <cellStyle name="Comma 2 4 2 2 4 3 4" xfId="10014" xr:uid="{312C003B-BCDF-4CBB-A74E-0E7DAA2FA057}"/>
    <cellStyle name="Comma 2 4 2 2 4 3 4 2" xfId="46522" xr:uid="{73E18FDE-E136-4775-BC7E-689502224CCF}"/>
    <cellStyle name="Comma 2 4 2 2 4 3 4 3" xfId="28268" xr:uid="{93EEC5FF-308D-4987-BDCF-AE8108BF19B9}"/>
    <cellStyle name="Comma 2 4 2 2 4 3 5" xfId="6364" xr:uid="{6744C723-9356-4264-8066-A9336A8E2A1F}"/>
    <cellStyle name="Comma 2 4 2 2 4 3 5 2" xfId="42872" xr:uid="{35893C50-66B9-4E7D-B0A0-1B1E08B7B94F}"/>
    <cellStyle name="Comma 2 4 2 2 4 3 5 3" xfId="24618" xr:uid="{B5C05CF5-EF3A-4058-AA94-C6A9417A9BBD}"/>
    <cellStyle name="Comma 2 4 2 2 4 3 6" xfId="39222" xr:uid="{3E0843AA-65E7-4F06-98B5-B65413F84DA4}"/>
    <cellStyle name="Comma 2 4 2 2 4 3 7" xfId="20968" xr:uid="{8EED5023-22AD-4D45-9C58-17D07E5DA2A8}"/>
    <cellStyle name="Comma 2 4 2 2 4 4" xfId="1984" xr:uid="{C814738F-08F4-4986-B3BA-135AD549849E}"/>
    <cellStyle name="Comma 2 4 2 2 4 4 2" xfId="16584" xr:uid="{101E2477-2E2F-4354-85D0-AFA35653C269}"/>
    <cellStyle name="Comma 2 4 2 2 4 4 2 2" xfId="53092" xr:uid="{33FF7ABB-AC36-4DA0-8B12-B7F5453513E6}"/>
    <cellStyle name="Comma 2 4 2 2 4 4 2 3" xfId="34838" xr:uid="{3CE2C189-992B-4836-B4DF-77BA63B89261}"/>
    <cellStyle name="Comma 2 4 2 2 4 4 3" xfId="12934" xr:uid="{0AD0EF8C-D277-4F02-8587-0D9B38EEA662}"/>
    <cellStyle name="Comma 2 4 2 2 4 4 3 2" xfId="49442" xr:uid="{92399312-9644-43ED-94BF-3E1C06DE5D04}"/>
    <cellStyle name="Comma 2 4 2 2 4 4 3 3" xfId="31188" xr:uid="{575B6504-6AA3-4DED-9E63-1AE931E3F2B4}"/>
    <cellStyle name="Comma 2 4 2 2 4 4 4" xfId="9284" xr:uid="{7C14EAB6-3619-44C6-A3C6-FB317A465287}"/>
    <cellStyle name="Comma 2 4 2 2 4 4 4 2" xfId="45792" xr:uid="{E4520140-D2CE-4BEA-8707-63E3B45686C1}"/>
    <cellStyle name="Comma 2 4 2 2 4 4 4 3" xfId="27538" xr:uid="{D8B01E30-CDDD-47E0-8C49-BF80258FB317}"/>
    <cellStyle name="Comma 2 4 2 2 4 4 5" xfId="5634" xr:uid="{F98868D5-BA7B-4806-B2C3-8D850845D3CB}"/>
    <cellStyle name="Comma 2 4 2 2 4 4 5 2" xfId="42142" xr:uid="{D8F6C047-DEA3-41C2-8EE1-A85094121986}"/>
    <cellStyle name="Comma 2 4 2 2 4 4 5 3" xfId="23888" xr:uid="{B732E901-C8E3-40AD-9B96-2F441EE85C03}"/>
    <cellStyle name="Comma 2 4 2 2 4 4 6" xfId="38492" xr:uid="{36D8799A-874D-49A7-93D2-64B33B721BCC}"/>
    <cellStyle name="Comma 2 4 2 2 4 4 7" xfId="20238" xr:uid="{D143DD6F-95C8-44FA-99AC-B0CC4793E761}"/>
    <cellStyle name="Comma 2 4 2 2 4 5" xfId="1254" xr:uid="{0A4E61AB-871B-4149-9E99-4F56C6A8DEAD}"/>
    <cellStyle name="Comma 2 4 2 2 4 5 2" xfId="15854" xr:uid="{7BDCBF63-932E-46A1-B8FD-A190DC74A89B}"/>
    <cellStyle name="Comma 2 4 2 2 4 5 2 2" xfId="52362" xr:uid="{D6636902-BFC0-475A-8872-7CF313811E97}"/>
    <cellStyle name="Comma 2 4 2 2 4 5 2 3" xfId="34108" xr:uid="{2F237856-F127-4B45-848F-E22D57F5D87F}"/>
    <cellStyle name="Comma 2 4 2 2 4 5 3" xfId="12204" xr:uid="{C7C0CD73-607E-458B-A5D0-8BEA4BDF5F28}"/>
    <cellStyle name="Comma 2 4 2 2 4 5 3 2" xfId="48712" xr:uid="{7C2725E4-2D55-4149-AAC8-6354311DA2F6}"/>
    <cellStyle name="Comma 2 4 2 2 4 5 3 3" xfId="30458" xr:uid="{BF7DC1BB-C887-4581-AD3D-712E96317688}"/>
    <cellStyle name="Comma 2 4 2 2 4 5 4" xfId="8554" xr:uid="{AED1B288-B8B0-41C0-AB1E-D779DD69EA09}"/>
    <cellStyle name="Comma 2 4 2 2 4 5 4 2" xfId="45062" xr:uid="{1DC08242-EAF1-416C-A37B-1CFFC09DCCAD}"/>
    <cellStyle name="Comma 2 4 2 2 4 5 4 3" xfId="26808" xr:uid="{E074FF03-5D69-4388-A435-75CCD7CB7880}"/>
    <cellStyle name="Comma 2 4 2 2 4 5 5" xfId="4904" xr:uid="{9BF5F992-A6E4-43E4-B13F-CC4ACF64BAC6}"/>
    <cellStyle name="Comma 2 4 2 2 4 5 5 2" xfId="41412" xr:uid="{90AFE278-B9FF-4A0B-8A6E-65BDA606022E}"/>
    <cellStyle name="Comma 2 4 2 2 4 5 5 3" xfId="23158" xr:uid="{CC38F0C8-87A2-4F50-98CF-D92EE36849AB}"/>
    <cellStyle name="Comma 2 4 2 2 4 5 6" xfId="37762" xr:uid="{A05E2CFF-865A-4FFE-8D97-DDE9CD7A074F}"/>
    <cellStyle name="Comma 2 4 2 2 4 5 7" xfId="19508" xr:uid="{C596C726-5E36-4EE5-80C5-6B1C2F38125E}"/>
    <cellStyle name="Comma 2 4 2 2 4 6" xfId="15124" xr:uid="{20F17EA6-3CB7-428E-9F73-0422A7A578AB}"/>
    <cellStyle name="Comma 2 4 2 2 4 6 2" xfId="51632" xr:uid="{73CD2960-50AD-4950-96A8-1F4584EE8CF9}"/>
    <cellStyle name="Comma 2 4 2 2 4 6 3" xfId="33378" xr:uid="{23FD7CC3-6DA5-4D26-BB4A-5B92AB683281}"/>
    <cellStyle name="Comma 2 4 2 2 4 7" xfId="11474" xr:uid="{A081450B-D37F-4730-8999-8CC577550310}"/>
    <cellStyle name="Comma 2 4 2 2 4 7 2" xfId="47982" xr:uid="{43407ED3-25EB-4267-A196-BEA840847013}"/>
    <cellStyle name="Comma 2 4 2 2 4 7 3" xfId="29728" xr:uid="{86CADCC2-716C-4B77-9653-33D9ABF58BEF}"/>
    <cellStyle name="Comma 2 4 2 2 4 8" xfId="7824" xr:uid="{67349AAA-4E10-40FC-B5A9-D950615BFE07}"/>
    <cellStyle name="Comma 2 4 2 2 4 8 2" xfId="44332" xr:uid="{AE572986-4A95-46C5-B9C5-747071EB8C4B}"/>
    <cellStyle name="Comma 2 4 2 2 4 8 3" xfId="26078" xr:uid="{5DE61224-33DF-4886-BFA7-432F1E897004}"/>
    <cellStyle name="Comma 2 4 2 2 4 9" xfId="4174" xr:uid="{DF2849F1-6DE8-4B01-BF51-508CA6CDF008}"/>
    <cellStyle name="Comma 2 4 2 2 4 9 2" xfId="40682" xr:uid="{A4685E03-CB6B-4857-A2C9-2A9721D37A1C}"/>
    <cellStyle name="Comma 2 4 2 2 4 9 3" xfId="22428" xr:uid="{A628D455-32A7-40EA-A03A-2F7F187764C7}"/>
    <cellStyle name="Comma 2 4 2 2 5" xfId="420" xr:uid="{D207A8D1-357B-4B01-8799-31BA713A9887}"/>
    <cellStyle name="Comma 2 4 2 2 5 10" xfId="36928" xr:uid="{711CC2AC-C86A-4337-A4EC-D3C09A7AFBC0}"/>
    <cellStyle name="Comma 2 4 2 2 5 11" xfId="18674" xr:uid="{7C09C6FE-CCBD-4AEE-B9CF-6752470B24A3}"/>
    <cellStyle name="Comma 2 4 2 2 5 2" xfId="3340" xr:uid="{5F71A271-9C1A-49DB-885E-5004332A356C}"/>
    <cellStyle name="Comma 2 4 2 2 5 2 2" xfId="17940" xr:uid="{F32270C2-E007-4AA6-869C-A001650FC3B3}"/>
    <cellStyle name="Comma 2 4 2 2 5 2 2 2" xfId="54448" xr:uid="{AC24E96C-CCBF-422B-BAFB-B4AA63584381}"/>
    <cellStyle name="Comma 2 4 2 2 5 2 2 3" xfId="36194" xr:uid="{B99D4C3B-CE06-41E2-9AC0-3D921CCA2EFB}"/>
    <cellStyle name="Comma 2 4 2 2 5 2 3" xfId="14290" xr:uid="{93DCEA5B-DE2E-42FB-972B-AB266069438A}"/>
    <cellStyle name="Comma 2 4 2 2 5 2 3 2" xfId="50798" xr:uid="{48EDB0E5-ED0F-4079-A024-C8E467B824D1}"/>
    <cellStyle name="Comma 2 4 2 2 5 2 3 3" xfId="32544" xr:uid="{56A97264-3524-4F29-ADA8-3695EF1D5D0B}"/>
    <cellStyle name="Comma 2 4 2 2 5 2 4" xfId="10640" xr:uid="{4EDC7DF5-41DB-4734-86E4-B469B3EB626E}"/>
    <cellStyle name="Comma 2 4 2 2 5 2 4 2" xfId="47148" xr:uid="{E08AF492-66CF-4FF1-8EA0-01244EF8C696}"/>
    <cellStyle name="Comma 2 4 2 2 5 2 4 3" xfId="28894" xr:uid="{1790290F-9457-4C60-A75B-513079497189}"/>
    <cellStyle name="Comma 2 4 2 2 5 2 5" xfId="6990" xr:uid="{CE548955-9DB1-4A47-8614-6A00644FF7F6}"/>
    <cellStyle name="Comma 2 4 2 2 5 2 5 2" xfId="43498" xr:uid="{5A47A261-1C8E-4F9E-A5BE-66220FC0E35B}"/>
    <cellStyle name="Comma 2 4 2 2 5 2 5 3" xfId="25244" xr:uid="{EF9178B6-753D-4BF8-93F1-FFEDFDE36F1C}"/>
    <cellStyle name="Comma 2 4 2 2 5 2 6" xfId="39848" xr:uid="{5D4EC457-F0C3-44D4-B658-20EE4731700F}"/>
    <cellStyle name="Comma 2 4 2 2 5 2 7" xfId="21594" xr:uid="{F042207D-74EA-4050-96B2-202D815CC90D}"/>
    <cellStyle name="Comma 2 4 2 2 5 3" xfId="2610" xr:uid="{18FC30AB-9876-4DE0-B27E-644730034966}"/>
    <cellStyle name="Comma 2 4 2 2 5 3 2" xfId="17210" xr:uid="{29F7A8A3-8385-478B-9C75-F29AEFC8C691}"/>
    <cellStyle name="Comma 2 4 2 2 5 3 2 2" xfId="53718" xr:uid="{8C9E4249-4EC8-4883-A7E5-6A4DDC27C58F}"/>
    <cellStyle name="Comma 2 4 2 2 5 3 2 3" xfId="35464" xr:uid="{CC81D938-E75C-4D43-BA3F-6192C051FB51}"/>
    <cellStyle name="Comma 2 4 2 2 5 3 3" xfId="13560" xr:uid="{3958D344-2259-4FA5-95C4-3BCDDE2257A0}"/>
    <cellStyle name="Comma 2 4 2 2 5 3 3 2" xfId="50068" xr:uid="{689A30F5-3F78-4512-BF53-ED9EBC9E390F}"/>
    <cellStyle name="Comma 2 4 2 2 5 3 3 3" xfId="31814" xr:uid="{1C6B6002-C2CA-4C98-9366-1A3B493F1CCB}"/>
    <cellStyle name="Comma 2 4 2 2 5 3 4" xfId="9910" xr:uid="{15B79A75-C853-4A58-89EF-3A0C400D9D5D}"/>
    <cellStyle name="Comma 2 4 2 2 5 3 4 2" xfId="46418" xr:uid="{CAC00028-65BE-4A7D-B732-72C16C8053CA}"/>
    <cellStyle name="Comma 2 4 2 2 5 3 4 3" xfId="28164" xr:uid="{DDCD60D7-097D-4567-82FD-AC28AA69355A}"/>
    <cellStyle name="Comma 2 4 2 2 5 3 5" xfId="6260" xr:uid="{017B6477-75EB-48F7-9BF8-424819F43BCB}"/>
    <cellStyle name="Comma 2 4 2 2 5 3 5 2" xfId="42768" xr:uid="{147DF454-76E1-441B-955C-5A2C0EB7A60E}"/>
    <cellStyle name="Comma 2 4 2 2 5 3 5 3" xfId="24514" xr:uid="{776A2171-D3F9-4585-B37C-499FE3BCEF8B}"/>
    <cellStyle name="Comma 2 4 2 2 5 3 6" xfId="39118" xr:uid="{90163A89-BB43-4CBF-A669-5ACD67B78A47}"/>
    <cellStyle name="Comma 2 4 2 2 5 3 7" xfId="20864" xr:uid="{DB4F5EE5-4357-47A3-8D5F-BE39731A7589}"/>
    <cellStyle name="Comma 2 4 2 2 5 4" xfId="1880" xr:uid="{538D3D2A-AC2B-4BD0-81F9-FE1063BA4E06}"/>
    <cellStyle name="Comma 2 4 2 2 5 4 2" xfId="16480" xr:uid="{51F9ECAC-386A-4EC0-851B-F243C10CC159}"/>
    <cellStyle name="Comma 2 4 2 2 5 4 2 2" xfId="52988" xr:uid="{60DF2905-CC1D-408D-B822-D03E184F6571}"/>
    <cellStyle name="Comma 2 4 2 2 5 4 2 3" xfId="34734" xr:uid="{2D712060-1EE4-4D16-8434-47D3C799B64E}"/>
    <cellStyle name="Comma 2 4 2 2 5 4 3" xfId="12830" xr:uid="{E63273DB-EC44-4E00-A41C-CA607E47B536}"/>
    <cellStyle name="Comma 2 4 2 2 5 4 3 2" xfId="49338" xr:uid="{FAA4E633-DDDD-4DF7-A3FC-49AE2D31D08D}"/>
    <cellStyle name="Comma 2 4 2 2 5 4 3 3" xfId="31084" xr:uid="{C9C79A76-B7B6-4F84-AEBB-92AB7B9775C0}"/>
    <cellStyle name="Comma 2 4 2 2 5 4 4" xfId="9180" xr:uid="{59D042C9-6F63-4D42-AF22-65CAEF68E6AB}"/>
    <cellStyle name="Comma 2 4 2 2 5 4 4 2" xfId="45688" xr:uid="{15D93FF5-1905-42B3-BFD9-35744DCCAFB8}"/>
    <cellStyle name="Comma 2 4 2 2 5 4 4 3" xfId="27434" xr:uid="{42B27A32-A8FD-4F7A-ADC7-20AD15BBDC93}"/>
    <cellStyle name="Comma 2 4 2 2 5 4 5" xfId="5530" xr:uid="{B67F6677-0E32-4FCB-85B4-42636150D3B1}"/>
    <cellStyle name="Comma 2 4 2 2 5 4 5 2" xfId="42038" xr:uid="{20DC1917-D547-47A5-AEA9-6754BB90C023}"/>
    <cellStyle name="Comma 2 4 2 2 5 4 5 3" xfId="23784" xr:uid="{B11F7C45-21AA-47B0-8CD0-EB49C3430F3D}"/>
    <cellStyle name="Comma 2 4 2 2 5 4 6" xfId="38388" xr:uid="{04786CE2-8BCF-4D14-A466-D023113A1DB5}"/>
    <cellStyle name="Comma 2 4 2 2 5 4 7" xfId="20134" xr:uid="{805479F4-11C8-4D40-8561-85D0D4C2755A}"/>
    <cellStyle name="Comma 2 4 2 2 5 5" xfId="1150" xr:uid="{A1A6223F-A653-40D9-B8CC-8BC160610F35}"/>
    <cellStyle name="Comma 2 4 2 2 5 5 2" xfId="15750" xr:uid="{1039917D-54F1-48EB-BB29-2942C86D37AC}"/>
    <cellStyle name="Comma 2 4 2 2 5 5 2 2" xfId="52258" xr:uid="{9A03C378-6F2C-4F9C-95B5-EC38F1ABADC3}"/>
    <cellStyle name="Comma 2 4 2 2 5 5 2 3" xfId="34004" xr:uid="{C2F9C591-6FCD-44C8-A85C-B8F941074045}"/>
    <cellStyle name="Comma 2 4 2 2 5 5 3" xfId="12100" xr:uid="{0BE7CAF3-448B-49FF-A97E-79DE76CDF7DB}"/>
    <cellStyle name="Comma 2 4 2 2 5 5 3 2" xfId="48608" xr:uid="{80F1B45C-E661-4910-B6A7-4FC4817E425E}"/>
    <cellStyle name="Comma 2 4 2 2 5 5 3 3" xfId="30354" xr:uid="{1C8CC09B-FC75-4F5E-B9D1-98B1D37CC40C}"/>
    <cellStyle name="Comma 2 4 2 2 5 5 4" xfId="8450" xr:uid="{6AAB8983-864C-4FCB-81A1-7FC9E061DCA1}"/>
    <cellStyle name="Comma 2 4 2 2 5 5 4 2" xfId="44958" xr:uid="{E3C628AE-8277-40DB-B887-899218417471}"/>
    <cellStyle name="Comma 2 4 2 2 5 5 4 3" xfId="26704" xr:uid="{BFF8AA5D-C7F8-4D54-9D7E-3F3E852B000D}"/>
    <cellStyle name="Comma 2 4 2 2 5 5 5" xfId="4800" xr:uid="{CE1CED76-3E23-47ED-AE44-30EBFD2B7269}"/>
    <cellStyle name="Comma 2 4 2 2 5 5 5 2" xfId="41308" xr:uid="{4DBBD807-E324-4EF0-BFB3-FDD94CB6E7BD}"/>
    <cellStyle name="Comma 2 4 2 2 5 5 5 3" xfId="23054" xr:uid="{0EE5DEAA-D425-4A16-84EA-BFA822BC3907}"/>
    <cellStyle name="Comma 2 4 2 2 5 5 6" xfId="37658" xr:uid="{4DD1B268-28BF-415F-A1A9-5C750993C735}"/>
    <cellStyle name="Comma 2 4 2 2 5 5 7" xfId="19404" xr:uid="{3243B655-264F-4EFB-B2CE-1E64C64AC3D7}"/>
    <cellStyle name="Comma 2 4 2 2 5 6" xfId="15020" xr:uid="{8B0C2D52-05C1-405C-8CB7-BE1676121247}"/>
    <cellStyle name="Comma 2 4 2 2 5 6 2" xfId="51528" xr:uid="{55119D9D-CCCA-4C24-81A8-7883AEA61609}"/>
    <cellStyle name="Comma 2 4 2 2 5 6 3" xfId="33274" xr:uid="{D67A428D-4682-4E8E-8D08-11E77F8AD9B7}"/>
    <cellStyle name="Comma 2 4 2 2 5 7" xfId="11370" xr:uid="{0C8EEC01-5A70-493E-B62E-F9052F6B4EDC}"/>
    <cellStyle name="Comma 2 4 2 2 5 7 2" xfId="47878" xr:uid="{D6497A5A-05AE-4F58-88EA-77C0E68D909D}"/>
    <cellStyle name="Comma 2 4 2 2 5 7 3" xfId="29624" xr:uid="{E4ECAA45-6CE2-4D92-A6A0-97448434295A}"/>
    <cellStyle name="Comma 2 4 2 2 5 8" xfId="7720" xr:uid="{1F247B27-8873-40BB-84BE-FF5834C5B2B8}"/>
    <cellStyle name="Comma 2 4 2 2 5 8 2" xfId="44228" xr:uid="{0940E663-F32E-4F1E-85EE-D74191DE400F}"/>
    <cellStyle name="Comma 2 4 2 2 5 8 3" xfId="25974" xr:uid="{361B3DD0-B2CD-4EAE-9BA6-7C742E468B59}"/>
    <cellStyle name="Comma 2 4 2 2 5 9" xfId="4070" xr:uid="{4ECA7E68-E17A-4B85-BB85-38967C46C29B}"/>
    <cellStyle name="Comma 2 4 2 2 5 9 2" xfId="40578" xr:uid="{4DD12C16-1FDC-4C4F-94EF-E8C503A7A35C}"/>
    <cellStyle name="Comma 2 4 2 2 5 9 3" xfId="22324" xr:uid="{A3EBCEB5-04FC-4C35-91DA-D2E47C9564E7}"/>
    <cellStyle name="Comma 2 4 2 2 6" xfId="316" xr:uid="{8D2C54BB-C7E5-43FD-86E1-2A76E4418BA7}"/>
    <cellStyle name="Comma 2 4 2 2 6 10" xfId="36824" xr:uid="{EED878DB-E2DA-473E-927F-A87DB157B4DD}"/>
    <cellStyle name="Comma 2 4 2 2 6 11" xfId="18570" xr:uid="{E7AE40E3-2B0A-49E9-9350-2301CE807680}"/>
    <cellStyle name="Comma 2 4 2 2 6 2" xfId="3236" xr:uid="{0445DA30-DAA4-42FA-816B-C6CDA5B9DA9C}"/>
    <cellStyle name="Comma 2 4 2 2 6 2 2" xfId="17836" xr:uid="{35511D7B-BFA1-4093-9C33-12E0CDDC261B}"/>
    <cellStyle name="Comma 2 4 2 2 6 2 2 2" xfId="54344" xr:uid="{948CDB84-68C4-47F8-9C49-AD72B9F2AFC5}"/>
    <cellStyle name="Comma 2 4 2 2 6 2 2 3" xfId="36090" xr:uid="{115D408D-F332-40FB-AD34-1CF15776E98C}"/>
    <cellStyle name="Comma 2 4 2 2 6 2 3" xfId="14186" xr:uid="{BE256A6B-5BEC-4483-AF42-9169CF01E020}"/>
    <cellStyle name="Comma 2 4 2 2 6 2 3 2" xfId="50694" xr:uid="{12E787B0-0BB1-4C7F-8E6D-B6D2863166A7}"/>
    <cellStyle name="Comma 2 4 2 2 6 2 3 3" xfId="32440" xr:uid="{74115886-48C3-4367-953C-9FB81027CD67}"/>
    <cellStyle name="Comma 2 4 2 2 6 2 4" xfId="10536" xr:uid="{80222423-6F91-4D3F-874A-0FAFD7CEC68C}"/>
    <cellStyle name="Comma 2 4 2 2 6 2 4 2" xfId="47044" xr:uid="{14C71FA3-8242-4D07-A3C9-3BD58533C5EB}"/>
    <cellStyle name="Comma 2 4 2 2 6 2 4 3" xfId="28790" xr:uid="{C195412C-18BF-4022-972F-B7C0847E42E9}"/>
    <cellStyle name="Comma 2 4 2 2 6 2 5" xfId="6886" xr:uid="{0C0D650C-0665-4C55-85B5-B394BD57D530}"/>
    <cellStyle name="Comma 2 4 2 2 6 2 5 2" xfId="43394" xr:uid="{BC7622E0-5075-498E-A927-FDFF39E67554}"/>
    <cellStyle name="Comma 2 4 2 2 6 2 5 3" xfId="25140" xr:uid="{22AA880A-74BF-4BEF-AAB9-20ADB0E1E627}"/>
    <cellStyle name="Comma 2 4 2 2 6 2 6" xfId="39744" xr:uid="{7BAB1A7F-E73F-47BA-BC86-445F603F0AFB}"/>
    <cellStyle name="Comma 2 4 2 2 6 2 7" xfId="21490" xr:uid="{D052BAC3-8EB0-44EC-8BF2-76CF954488F3}"/>
    <cellStyle name="Comma 2 4 2 2 6 3" xfId="2506" xr:uid="{88C9D683-332A-4129-BF05-9DE782139B39}"/>
    <cellStyle name="Comma 2 4 2 2 6 3 2" xfId="17106" xr:uid="{442F4D5B-98AD-493D-97EF-114CDC290331}"/>
    <cellStyle name="Comma 2 4 2 2 6 3 2 2" xfId="53614" xr:uid="{5C83ACC5-1237-4A78-B9CB-8A1D69FFE88F}"/>
    <cellStyle name="Comma 2 4 2 2 6 3 2 3" xfId="35360" xr:uid="{179CD009-ECBD-4FB6-BE19-2A8B370D6E42}"/>
    <cellStyle name="Comma 2 4 2 2 6 3 3" xfId="13456" xr:uid="{D6093C97-0CD8-49BD-96A9-AC041833ECBD}"/>
    <cellStyle name="Comma 2 4 2 2 6 3 3 2" xfId="49964" xr:uid="{34290BD8-B96C-4369-BF7A-FA306A2B008F}"/>
    <cellStyle name="Comma 2 4 2 2 6 3 3 3" xfId="31710" xr:uid="{F3836E5B-637F-4102-89AB-DAB45DD4F3B4}"/>
    <cellStyle name="Comma 2 4 2 2 6 3 4" xfId="9806" xr:uid="{963400D1-8152-4138-BAF3-57465BB7B13F}"/>
    <cellStyle name="Comma 2 4 2 2 6 3 4 2" xfId="46314" xr:uid="{4059A7C3-CC13-4CFB-B590-DF6EBA46CC89}"/>
    <cellStyle name="Comma 2 4 2 2 6 3 4 3" xfId="28060" xr:uid="{0EFCFF5E-65F2-41A5-B686-7A3EA7615FB3}"/>
    <cellStyle name="Comma 2 4 2 2 6 3 5" xfId="6156" xr:uid="{19AABAC7-EDAF-4BE9-8D38-B707997C5EBB}"/>
    <cellStyle name="Comma 2 4 2 2 6 3 5 2" xfId="42664" xr:uid="{B48E172F-E774-414A-B96D-8AD11A4A3CBC}"/>
    <cellStyle name="Comma 2 4 2 2 6 3 5 3" xfId="24410" xr:uid="{9C57BD62-CC70-4EF5-B640-62C2EDE9EB9D}"/>
    <cellStyle name="Comma 2 4 2 2 6 3 6" xfId="39014" xr:uid="{25441915-195D-43C9-B5B7-05D945FEEBAF}"/>
    <cellStyle name="Comma 2 4 2 2 6 3 7" xfId="20760" xr:uid="{3229F699-3689-490E-9CCA-B0731F51A0CB}"/>
    <cellStyle name="Comma 2 4 2 2 6 4" xfId="1776" xr:uid="{7F842FFD-9757-42D6-BC01-DD1E560B040C}"/>
    <cellStyle name="Comma 2 4 2 2 6 4 2" xfId="16376" xr:uid="{3E4EAFD0-95DD-4D07-A2F2-83D5FA023377}"/>
    <cellStyle name="Comma 2 4 2 2 6 4 2 2" xfId="52884" xr:uid="{33D7E93C-73CB-46CB-9E52-49B79BB8DBEE}"/>
    <cellStyle name="Comma 2 4 2 2 6 4 2 3" xfId="34630" xr:uid="{4A793E95-10DD-4A5E-8729-C0D2B2A96E41}"/>
    <cellStyle name="Comma 2 4 2 2 6 4 3" xfId="12726" xr:uid="{6D3C6290-80E0-4779-8B41-1565C5799D92}"/>
    <cellStyle name="Comma 2 4 2 2 6 4 3 2" xfId="49234" xr:uid="{368C3E8E-3ADC-4440-81E9-89CA0BA18353}"/>
    <cellStyle name="Comma 2 4 2 2 6 4 3 3" xfId="30980" xr:uid="{D4D650AC-3C96-4D25-A31C-CAE3C85B05E3}"/>
    <cellStyle name="Comma 2 4 2 2 6 4 4" xfId="9076" xr:uid="{2E2E795E-C240-4A6C-9F79-DF20BC86376F}"/>
    <cellStyle name="Comma 2 4 2 2 6 4 4 2" xfId="45584" xr:uid="{9AA19A5F-261F-4B8C-8CF0-DDEE0033C536}"/>
    <cellStyle name="Comma 2 4 2 2 6 4 4 3" xfId="27330" xr:uid="{557F121A-BCFA-4F56-886C-4758994BCD31}"/>
    <cellStyle name="Comma 2 4 2 2 6 4 5" xfId="5426" xr:uid="{8F1DD807-46D9-4E1E-AB1B-C3E2883CE9FD}"/>
    <cellStyle name="Comma 2 4 2 2 6 4 5 2" xfId="41934" xr:uid="{3EBDDD20-FFE0-469E-BF95-FEC713E821E9}"/>
    <cellStyle name="Comma 2 4 2 2 6 4 5 3" xfId="23680" xr:uid="{704CB00F-BE81-4651-88B6-3A0AECF813F5}"/>
    <cellStyle name="Comma 2 4 2 2 6 4 6" xfId="38284" xr:uid="{900A5E3F-4727-4FCE-B363-6201ED214027}"/>
    <cellStyle name="Comma 2 4 2 2 6 4 7" xfId="20030" xr:uid="{DD5FDEC2-B9F4-4765-A6B3-05B01A7187A5}"/>
    <cellStyle name="Comma 2 4 2 2 6 5" xfId="1046" xr:uid="{6D78004C-27DA-473C-AE39-52973C7EA13C}"/>
    <cellStyle name="Comma 2 4 2 2 6 5 2" xfId="15646" xr:uid="{51A341F8-9BCB-4E6C-ADC1-43B26459BC30}"/>
    <cellStyle name="Comma 2 4 2 2 6 5 2 2" xfId="52154" xr:uid="{936353E6-E34B-430E-AEB9-6F51448821EB}"/>
    <cellStyle name="Comma 2 4 2 2 6 5 2 3" xfId="33900" xr:uid="{938E3D77-D693-4A28-B6F0-9620E8D041BB}"/>
    <cellStyle name="Comma 2 4 2 2 6 5 3" xfId="11996" xr:uid="{497F1C38-3CAE-4005-82BF-21B3E6F1115F}"/>
    <cellStyle name="Comma 2 4 2 2 6 5 3 2" xfId="48504" xr:uid="{703555C3-908B-40FA-9A9C-40361ABA9141}"/>
    <cellStyle name="Comma 2 4 2 2 6 5 3 3" xfId="30250" xr:uid="{D1D926EE-2F2C-4B3D-AA8D-632551395686}"/>
    <cellStyle name="Comma 2 4 2 2 6 5 4" xfId="8346" xr:uid="{37122382-D7CA-4EDE-BB5E-79BD88627D69}"/>
    <cellStyle name="Comma 2 4 2 2 6 5 4 2" xfId="44854" xr:uid="{9496E120-EB3A-4D03-AD24-72A75E3FE720}"/>
    <cellStyle name="Comma 2 4 2 2 6 5 4 3" xfId="26600" xr:uid="{8756720E-B6D0-421E-AB6A-5A66066544F4}"/>
    <cellStyle name="Comma 2 4 2 2 6 5 5" xfId="4696" xr:uid="{AF28CE6A-4EE3-4276-912A-9B777CED21B3}"/>
    <cellStyle name="Comma 2 4 2 2 6 5 5 2" xfId="41204" xr:uid="{4DD30433-FFDE-433A-8F81-FB9D3A3F3DF7}"/>
    <cellStyle name="Comma 2 4 2 2 6 5 5 3" xfId="22950" xr:uid="{85462C4A-6C53-43E9-BCAF-D0F9A651C605}"/>
    <cellStyle name="Comma 2 4 2 2 6 5 6" xfId="37554" xr:uid="{D5F5024B-F7BA-4264-AA7C-96E6311B07B1}"/>
    <cellStyle name="Comma 2 4 2 2 6 5 7" xfId="19300" xr:uid="{8DB2F509-29D0-40CA-9898-F6BCAAB3BE5A}"/>
    <cellStyle name="Comma 2 4 2 2 6 6" xfId="14916" xr:uid="{E4174E50-DCE2-4F82-9B56-FCFCB9D3151D}"/>
    <cellStyle name="Comma 2 4 2 2 6 6 2" xfId="51424" xr:uid="{8F9CBC7A-0A4A-47A1-8148-7312C50755D5}"/>
    <cellStyle name="Comma 2 4 2 2 6 6 3" xfId="33170" xr:uid="{D92B1403-9836-4E33-850B-E99953EDF4A5}"/>
    <cellStyle name="Comma 2 4 2 2 6 7" xfId="11266" xr:uid="{8C3531E2-01A2-4787-A3CE-60D2E7BF072F}"/>
    <cellStyle name="Comma 2 4 2 2 6 7 2" xfId="47774" xr:uid="{35E62830-255F-4F82-8412-5B9CB90C0287}"/>
    <cellStyle name="Comma 2 4 2 2 6 7 3" xfId="29520" xr:uid="{4F4A3BF8-03C4-4A87-8DE6-0DC1DD22C797}"/>
    <cellStyle name="Comma 2 4 2 2 6 8" xfId="7616" xr:uid="{C3381F41-3698-4117-8CF4-D6036B0788FC}"/>
    <cellStyle name="Comma 2 4 2 2 6 8 2" xfId="44124" xr:uid="{1BF2974D-B851-4735-9E7B-EC41991F703E}"/>
    <cellStyle name="Comma 2 4 2 2 6 8 3" xfId="25870" xr:uid="{C483B515-4A2A-472C-9C1D-3ED5CCD5E640}"/>
    <cellStyle name="Comma 2 4 2 2 6 9" xfId="3966" xr:uid="{D2CD8394-47B1-4A69-B373-A7484D0E94FB}"/>
    <cellStyle name="Comma 2 4 2 2 6 9 2" xfId="40474" xr:uid="{34AD01A4-78C4-46D3-B697-C00190C920A9}"/>
    <cellStyle name="Comma 2 4 2 2 6 9 3" xfId="22220" xr:uid="{04BC6BAA-CE8B-40B2-8C75-2A65F3E7C88F}"/>
    <cellStyle name="Comma 2 4 2 2 7" xfId="212" xr:uid="{44FD0F41-BD56-490B-ADEB-125E241F7060}"/>
    <cellStyle name="Comma 2 4 2 2 7 10" xfId="36720" xr:uid="{8E9C0FE6-CCA3-4EFF-A301-B60FCD612780}"/>
    <cellStyle name="Comma 2 4 2 2 7 11" xfId="18466" xr:uid="{A42191A3-6B1C-4DC7-897C-88A52D6A1296}"/>
    <cellStyle name="Comma 2 4 2 2 7 2" xfId="3132" xr:uid="{6110A155-CA90-4BE4-B12B-A0B489EF2204}"/>
    <cellStyle name="Comma 2 4 2 2 7 2 2" xfId="17732" xr:uid="{0977D954-B1BD-4BB2-891C-2A4970D947E5}"/>
    <cellStyle name="Comma 2 4 2 2 7 2 2 2" xfId="54240" xr:uid="{2DA1942D-320A-48B8-BB83-58867FD32935}"/>
    <cellStyle name="Comma 2 4 2 2 7 2 2 3" xfId="35986" xr:uid="{88E5F843-1DDA-45E8-A443-682A261CBA4D}"/>
    <cellStyle name="Comma 2 4 2 2 7 2 3" xfId="14082" xr:uid="{6A79B79C-3BA8-4AC7-8CE6-0FCAD77E4E2E}"/>
    <cellStyle name="Comma 2 4 2 2 7 2 3 2" xfId="50590" xr:uid="{597E4758-E163-46AB-8C7E-F2D1B32ED3D2}"/>
    <cellStyle name="Comma 2 4 2 2 7 2 3 3" xfId="32336" xr:uid="{E7340291-207F-4154-B99D-13DF184CB679}"/>
    <cellStyle name="Comma 2 4 2 2 7 2 4" xfId="10432" xr:uid="{F8012207-D0D8-44C7-816E-959B67EC549C}"/>
    <cellStyle name="Comma 2 4 2 2 7 2 4 2" xfId="46940" xr:uid="{1515AA3C-4146-4B3C-822F-F131367E8AF7}"/>
    <cellStyle name="Comma 2 4 2 2 7 2 4 3" xfId="28686" xr:uid="{ED408392-1643-4807-8F7B-4EC796F0066D}"/>
    <cellStyle name="Comma 2 4 2 2 7 2 5" xfId="6782" xr:uid="{27B6516A-CDA7-4FD2-813A-D5ACFF9A64A6}"/>
    <cellStyle name="Comma 2 4 2 2 7 2 5 2" xfId="43290" xr:uid="{0D3B68B0-CC6F-4E96-B505-7A91370D4185}"/>
    <cellStyle name="Comma 2 4 2 2 7 2 5 3" xfId="25036" xr:uid="{C9888D5D-F933-4B79-8C8C-7699D798E1F9}"/>
    <cellStyle name="Comma 2 4 2 2 7 2 6" xfId="39640" xr:uid="{3249B6C3-568E-417B-B323-8CC2CEE1F9F5}"/>
    <cellStyle name="Comma 2 4 2 2 7 2 7" xfId="21386" xr:uid="{D73C1480-E017-401E-8698-9E62729131C9}"/>
    <cellStyle name="Comma 2 4 2 2 7 3" xfId="2402" xr:uid="{BB60D330-386C-46DC-B8DA-C6C51F3BB655}"/>
    <cellStyle name="Comma 2 4 2 2 7 3 2" xfId="17002" xr:uid="{2F9FA216-0CC4-475B-9F41-9EE4143682B5}"/>
    <cellStyle name="Comma 2 4 2 2 7 3 2 2" xfId="53510" xr:uid="{041B086B-B890-4E00-AD01-3080087525A0}"/>
    <cellStyle name="Comma 2 4 2 2 7 3 2 3" xfId="35256" xr:uid="{803C49B9-7A86-4282-9097-3F83FF334B84}"/>
    <cellStyle name="Comma 2 4 2 2 7 3 3" xfId="13352" xr:uid="{D2AD32A8-D674-4524-9E77-9CFFED48118E}"/>
    <cellStyle name="Comma 2 4 2 2 7 3 3 2" xfId="49860" xr:uid="{25C407C4-40B6-4CD7-8D2F-DE891A9302E0}"/>
    <cellStyle name="Comma 2 4 2 2 7 3 3 3" xfId="31606" xr:uid="{45413BB6-1DA2-4FEB-B26D-5D08D6910DC9}"/>
    <cellStyle name="Comma 2 4 2 2 7 3 4" xfId="9702" xr:uid="{DF645EB8-CEBF-42A7-B17A-9E5D03FDCF3D}"/>
    <cellStyle name="Comma 2 4 2 2 7 3 4 2" xfId="46210" xr:uid="{4BAE78CF-38F0-45C5-A769-A66515A9B519}"/>
    <cellStyle name="Comma 2 4 2 2 7 3 4 3" xfId="27956" xr:uid="{70B7B8EE-91CD-4CE0-961C-FB6679D24CE1}"/>
    <cellStyle name="Comma 2 4 2 2 7 3 5" xfId="6052" xr:uid="{A01FC7DD-9C1D-493E-A86B-5EA9995C0ACD}"/>
    <cellStyle name="Comma 2 4 2 2 7 3 5 2" xfId="42560" xr:uid="{736C9AAE-7BEE-4154-9F23-2AB5F324ED16}"/>
    <cellStyle name="Comma 2 4 2 2 7 3 5 3" xfId="24306" xr:uid="{094E4D84-545B-4862-978F-8E221CB6F3D0}"/>
    <cellStyle name="Comma 2 4 2 2 7 3 6" xfId="38910" xr:uid="{7899D605-1202-407F-8B0F-8B3CFE0B7518}"/>
    <cellStyle name="Comma 2 4 2 2 7 3 7" xfId="20656" xr:uid="{FF8CBDB2-1AFF-47F8-8E3D-89504A058A0B}"/>
    <cellStyle name="Comma 2 4 2 2 7 4" xfId="1672" xr:uid="{62669AE4-CBB7-485D-8F80-4047D9694659}"/>
    <cellStyle name="Comma 2 4 2 2 7 4 2" xfId="16272" xr:uid="{69BEE867-890B-46BD-9C6D-D3A64CA82447}"/>
    <cellStyle name="Comma 2 4 2 2 7 4 2 2" xfId="52780" xr:uid="{35E492BB-DFE6-4AAF-8AFF-7479030477BF}"/>
    <cellStyle name="Comma 2 4 2 2 7 4 2 3" xfId="34526" xr:uid="{5635244A-7C28-4D05-95AE-E2584D0A3E87}"/>
    <cellStyle name="Comma 2 4 2 2 7 4 3" xfId="12622" xr:uid="{5D264161-E47A-48B5-8ED2-23F8E3CF1C43}"/>
    <cellStyle name="Comma 2 4 2 2 7 4 3 2" xfId="49130" xr:uid="{9303FB1D-6CB3-4F95-9D3E-5E2F3C0BD5D5}"/>
    <cellStyle name="Comma 2 4 2 2 7 4 3 3" xfId="30876" xr:uid="{78A85BAE-C5EF-45D3-9135-545E0B96F09B}"/>
    <cellStyle name="Comma 2 4 2 2 7 4 4" xfId="8972" xr:uid="{BDF0CD21-A177-4258-89FF-4AC7D300F7BA}"/>
    <cellStyle name="Comma 2 4 2 2 7 4 4 2" xfId="45480" xr:uid="{BE7BDA4F-5B89-4280-B710-1A22E4300AE7}"/>
    <cellStyle name="Comma 2 4 2 2 7 4 4 3" xfId="27226" xr:uid="{BDAA4986-C0E7-4D52-A20C-B2DD1855C273}"/>
    <cellStyle name="Comma 2 4 2 2 7 4 5" xfId="5322" xr:uid="{9EE0CDF7-146F-405C-9D81-AF4387C1757C}"/>
    <cellStyle name="Comma 2 4 2 2 7 4 5 2" xfId="41830" xr:uid="{68409723-2933-4F77-A86F-0FC3943F85C3}"/>
    <cellStyle name="Comma 2 4 2 2 7 4 5 3" xfId="23576" xr:uid="{4E796BBE-990A-4F10-AB56-764B9BD9476E}"/>
    <cellStyle name="Comma 2 4 2 2 7 4 6" xfId="38180" xr:uid="{138EF0CD-D306-496B-8CC6-7FAA12C7EBFD}"/>
    <cellStyle name="Comma 2 4 2 2 7 4 7" xfId="19926" xr:uid="{0A92D713-B438-4EDB-B0EA-393E77F4912B}"/>
    <cellStyle name="Comma 2 4 2 2 7 5" xfId="942" xr:uid="{0B340AE3-2B59-474C-8601-41B98C7B2CA5}"/>
    <cellStyle name="Comma 2 4 2 2 7 5 2" xfId="15542" xr:uid="{B710B3AC-495C-46D2-86E4-D53170FB9C83}"/>
    <cellStyle name="Comma 2 4 2 2 7 5 2 2" xfId="52050" xr:uid="{70E47FB1-2512-4874-B1F9-455D2CD247CF}"/>
    <cellStyle name="Comma 2 4 2 2 7 5 2 3" xfId="33796" xr:uid="{6ACE5F0D-D1AC-45D3-8CF5-79466D3E7082}"/>
    <cellStyle name="Comma 2 4 2 2 7 5 3" xfId="11892" xr:uid="{667D7187-E7AD-4D73-8DFC-DEE8B85038B1}"/>
    <cellStyle name="Comma 2 4 2 2 7 5 3 2" xfId="48400" xr:uid="{FF3B8CC6-2302-44EE-AD48-6105B09EA861}"/>
    <cellStyle name="Comma 2 4 2 2 7 5 3 3" xfId="30146" xr:uid="{CCB5A952-2E1B-4DF7-8CD0-C85674E19C60}"/>
    <cellStyle name="Comma 2 4 2 2 7 5 4" xfId="8242" xr:uid="{9CDF3A1D-54A7-45BF-B80F-1528196ADAF3}"/>
    <cellStyle name="Comma 2 4 2 2 7 5 4 2" xfId="44750" xr:uid="{5E989B0D-3AD8-4781-9666-51692C1AB522}"/>
    <cellStyle name="Comma 2 4 2 2 7 5 4 3" xfId="26496" xr:uid="{661B8B45-FACE-4EC1-BBA9-C855B9730399}"/>
    <cellStyle name="Comma 2 4 2 2 7 5 5" xfId="4592" xr:uid="{9F70662F-65D2-4835-904C-CC873A2B794D}"/>
    <cellStyle name="Comma 2 4 2 2 7 5 5 2" xfId="41100" xr:uid="{0B0D8DF7-ACA0-4F21-8BD2-805114219B44}"/>
    <cellStyle name="Comma 2 4 2 2 7 5 5 3" xfId="22846" xr:uid="{10C5340F-831E-4027-95C7-0F9325700BF4}"/>
    <cellStyle name="Comma 2 4 2 2 7 5 6" xfId="37450" xr:uid="{BB596BAC-C868-4BB4-9F97-184C4F112FB1}"/>
    <cellStyle name="Comma 2 4 2 2 7 5 7" xfId="19196" xr:uid="{E5F54B19-5E6E-46C8-8BA5-BB92026EB49B}"/>
    <cellStyle name="Comma 2 4 2 2 7 6" xfId="14812" xr:uid="{BB18DDBB-F567-49BD-94EB-52AC38CA8509}"/>
    <cellStyle name="Comma 2 4 2 2 7 6 2" xfId="51320" xr:uid="{5B529DA9-DF30-4E9E-B408-C970E7720758}"/>
    <cellStyle name="Comma 2 4 2 2 7 6 3" xfId="33066" xr:uid="{05308828-3AB9-4843-9F06-58F8CC54277C}"/>
    <cellStyle name="Comma 2 4 2 2 7 7" xfId="11162" xr:uid="{A2AB3376-9421-455E-A3EC-CA3296ED641F}"/>
    <cellStyle name="Comma 2 4 2 2 7 7 2" xfId="47670" xr:uid="{1D8EBA5C-10FE-4E34-9175-68B15CB799F6}"/>
    <cellStyle name="Comma 2 4 2 2 7 7 3" xfId="29416" xr:uid="{FA087593-F77A-4C9A-BA15-0E44FDA0DE84}"/>
    <cellStyle name="Comma 2 4 2 2 7 8" xfId="7512" xr:uid="{E5AAE9E0-B473-4CF5-B747-A66394BF6835}"/>
    <cellStyle name="Comma 2 4 2 2 7 8 2" xfId="44020" xr:uid="{9DB73FB2-1E54-47EA-8AFF-8A06C9C8CF25}"/>
    <cellStyle name="Comma 2 4 2 2 7 8 3" xfId="25766" xr:uid="{1A1E1FCE-5FF6-4E39-926B-7D4108264019}"/>
    <cellStyle name="Comma 2 4 2 2 7 9" xfId="3862" xr:uid="{651299CC-C7EB-4190-971E-653688237359}"/>
    <cellStyle name="Comma 2 4 2 2 7 9 2" xfId="40370" xr:uid="{224241C9-2D65-41EE-8DE8-F4E20EDD7347}"/>
    <cellStyle name="Comma 2 4 2 2 7 9 3" xfId="22116" xr:uid="{79F79191-EAD6-4039-A4FE-46539EFEC6C6}"/>
    <cellStyle name="Comma 2 4 2 2 8" xfId="3028" xr:uid="{B4BAE4F1-95C3-4F9E-A71D-6D4E03FC48AE}"/>
    <cellStyle name="Comma 2 4 2 2 8 2" xfId="17628" xr:uid="{A8582390-B9F2-4DA0-BAB8-787CB55B891D}"/>
    <cellStyle name="Comma 2 4 2 2 8 2 2" xfId="54136" xr:uid="{59C6ECF8-8F41-4D8F-923D-41FF0FC48CE4}"/>
    <cellStyle name="Comma 2 4 2 2 8 2 3" xfId="35882" xr:uid="{E7161E89-A973-4B65-BE44-6539B66E24B5}"/>
    <cellStyle name="Comma 2 4 2 2 8 3" xfId="13978" xr:uid="{93E769E5-BF18-46B3-8A89-8EE4CB2A7C09}"/>
    <cellStyle name="Comma 2 4 2 2 8 3 2" xfId="50486" xr:uid="{9D200E27-1D03-4518-8977-02ECD5F23D6B}"/>
    <cellStyle name="Comma 2 4 2 2 8 3 3" xfId="32232" xr:uid="{9C17B806-F7A1-489E-94EC-948E170AFBD1}"/>
    <cellStyle name="Comma 2 4 2 2 8 4" xfId="10328" xr:uid="{1F59185D-61DB-4B25-BCB8-A9EC01E442F8}"/>
    <cellStyle name="Comma 2 4 2 2 8 4 2" xfId="46836" xr:uid="{7BBFFE78-9708-41C6-BBB6-7A0979804671}"/>
    <cellStyle name="Comma 2 4 2 2 8 4 3" xfId="28582" xr:uid="{D488227E-2CBB-486D-B7E4-A543834F8E41}"/>
    <cellStyle name="Comma 2 4 2 2 8 5" xfId="6678" xr:uid="{CC991C74-3A8B-4D62-B3DC-74BC20504EE6}"/>
    <cellStyle name="Comma 2 4 2 2 8 5 2" xfId="43186" xr:uid="{2CE2E202-73E4-4CB3-A03D-EB9E436173C2}"/>
    <cellStyle name="Comma 2 4 2 2 8 5 3" xfId="24932" xr:uid="{F394BF05-14CC-4820-B391-408250B020CA}"/>
    <cellStyle name="Comma 2 4 2 2 8 6" xfId="39536" xr:uid="{8E13E38E-64B0-4BB3-BEC2-132DB08C63E8}"/>
    <cellStyle name="Comma 2 4 2 2 8 7" xfId="21282" xr:uid="{FC886013-FB6A-49D2-B590-2D9720C238F6}"/>
    <cellStyle name="Comma 2 4 2 2 9" xfId="2298" xr:uid="{0112DBB0-C23E-40F3-8A24-63286649E28C}"/>
    <cellStyle name="Comma 2 4 2 2 9 2" xfId="16898" xr:uid="{F1EC4752-33B1-4E95-A598-3DFF0E56BAAB}"/>
    <cellStyle name="Comma 2 4 2 2 9 2 2" xfId="53406" xr:uid="{908AD777-6D99-4C4B-9605-9A4F240BD720}"/>
    <cellStyle name="Comma 2 4 2 2 9 2 3" xfId="35152" xr:uid="{0BEABEF1-03B6-4E7D-9EFE-E4CCE365D9EC}"/>
    <cellStyle name="Comma 2 4 2 2 9 3" xfId="13248" xr:uid="{AF913B3D-8C0E-4750-A9D4-68BBF7400695}"/>
    <cellStyle name="Comma 2 4 2 2 9 3 2" xfId="49756" xr:uid="{CBCB66DC-A153-460A-A1E2-61B14EF26A33}"/>
    <cellStyle name="Comma 2 4 2 2 9 3 3" xfId="31502" xr:uid="{6AC81162-DE08-4D29-AD37-129A35B6DB5D}"/>
    <cellStyle name="Comma 2 4 2 2 9 4" xfId="9598" xr:uid="{5ABE4188-7193-4442-9DB2-FBF263B2D615}"/>
    <cellStyle name="Comma 2 4 2 2 9 4 2" xfId="46106" xr:uid="{B9977497-10F7-4D9D-85BF-4A897550C41A}"/>
    <cellStyle name="Comma 2 4 2 2 9 4 3" xfId="27852" xr:uid="{FA1353A0-8666-4E1A-B42E-779C1AB96BC9}"/>
    <cellStyle name="Comma 2 4 2 2 9 5" xfId="5948" xr:uid="{DE91C2B2-B337-451F-848A-0A9B848ECBCC}"/>
    <cellStyle name="Comma 2 4 2 2 9 5 2" xfId="42456" xr:uid="{368237C1-BF9B-4EEA-B8FE-D438626DD62C}"/>
    <cellStyle name="Comma 2 4 2 2 9 5 3" xfId="24202" xr:uid="{91ABBD6D-C82F-45D6-9E76-DB43F0BDB473}"/>
    <cellStyle name="Comma 2 4 2 2 9 6" xfId="38806" xr:uid="{C94666DE-9296-4722-ABA9-217343E1F409}"/>
    <cellStyle name="Comma 2 4 2 2 9 7" xfId="20552" xr:uid="{E6694B4A-A3ED-4F82-A049-364CCEE3A902}"/>
    <cellStyle name="Comma 2 4 2 3" xfId="73" xr:uid="{8A15B3F2-E57D-4555-AB93-6AF6FEAE6ADD}"/>
    <cellStyle name="Comma 2 4 2 3 10" xfId="1536" xr:uid="{2D569EAC-18A8-4CDF-9934-9F2E020532D4}"/>
    <cellStyle name="Comma 2 4 2 3 10 2" xfId="16136" xr:uid="{36080853-C81E-46DE-8D71-4B11EF9ED3D6}"/>
    <cellStyle name="Comma 2 4 2 3 10 2 2" xfId="52644" xr:uid="{DC3184BE-E128-42A9-A336-700A62C22DDC}"/>
    <cellStyle name="Comma 2 4 2 3 10 2 3" xfId="34390" xr:uid="{811420DB-C999-412C-9B66-73D31D5258EA}"/>
    <cellStyle name="Comma 2 4 2 3 10 3" xfId="12486" xr:uid="{00BCE12B-644B-42F3-9C7E-2EB194BA89FC}"/>
    <cellStyle name="Comma 2 4 2 3 10 3 2" xfId="48994" xr:uid="{42F4AB7C-EE0D-4990-844D-D3B655F9B3E6}"/>
    <cellStyle name="Comma 2 4 2 3 10 3 3" xfId="30740" xr:uid="{0AF3E2C3-AA8F-4119-9825-4A7B36755AE3}"/>
    <cellStyle name="Comma 2 4 2 3 10 4" xfId="8836" xr:uid="{8632F0F6-FC81-4C09-A26A-B6B999837899}"/>
    <cellStyle name="Comma 2 4 2 3 10 4 2" xfId="45344" xr:uid="{D5E24E9B-961B-47BE-B062-2E3E8E4C68A5}"/>
    <cellStyle name="Comma 2 4 2 3 10 4 3" xfId="27090" xr:uid="{63E61A48-A4E0-4BC9-9EB5-EEC46EC21236}"/>
    <cellStyle name="Comma 2 4 2 3 10 5" xfId="5186" xr:uid="{86BE81C0-16BB-4248-BF9A-2F5FD7145582}"/>
    <cellStyle name="Comma 2 4 2 3 10 5 2" xfId="41694" xr:uid="{29B90B19-47C9-4CE4-8495-FC51F5BE017B}"/>
    <cellStyle name="Comma 2 4 2 3 10 5 3" xfId="23440" xr:uid="{6A457AB6-ECC6-44B3-83E0-E64704FD762E}"/>
    <cellStyle name="Comma 2 4 2 3 10 6" xfId="38044" xr:uid="{23B18826-123B-473F-B79B-F690971581F1}"/>
    <cellStyle name="Comma 2 4 2 3 10 7" xfId="19790" xr:uid="{4728D613-E644-42D3-9E98-48505D866509}"/>
    <cellStyle name="Comma 2 4 2 3 11" xfId="806" xr:uid="{AFB65987-296D-49D5-9042-B392B86BA58B}"/>
    <cellStyle name="Comma 2 4 2 3 11 2" xfId="15406" xr:uid="{0D73E5C5-4F89-4839-A9B9-387BF8821060}"/>
    <cellStyle name="Comma 2 4 2 3 11 2 2" xfId="51914" xr:uid="{1DC1A3FF-37E1-4399-B869-F472F9532806}"/>
    <cellStyle name="Comma 2 4 2 3 11 2 3" xfId="33660" xr:uid="{5C8C544C-DCF1-4E4F-B7F5-A6B93770F085}"/>
    <cellStyle name="Comma 2 4 2 3 11 3" xfId="11756" xr:uid="{5FDA1657-87DE-4B82-B227-21788B248BB6}"/>
    <cellStyle name="Comma 2 4 2 3 11 3 2" xfId="48264" xr:uid="{BA560301-8FC3-4AEE-9766-7A5F266B1D83}"/>
    <cellStyle name="Comma 2 4 2 3 11 3 3" xfId="30010" xr:uid="{12B9497B-1652-42DE-96E3-B5E01AFD59A6}"/>
    <cellStyle name="Comma 2 4 2 3 11 4" xfId="8106" xr:uid="{FE80EA44-A633-43F3-9E16-07C98EBE306D}"/>
    <cellStyle name="Comma 2 4 2 3 11 4 2" xfId="44614" xr:uid="{0C3C5E6F-0A6C-4130-95B2-D65F8E474211}"/>
    <cellStyle name="Comma 2 4 2 3 11 4 3" xfId="26360" xr:uid="{C8ACB84B-EAC3-4ACA-8FF7-9A3301F3ED26}"/>
    <cellStyle name="Comma 2 4 2 3 11 5" xfId="4456" xr:uid="{ED9F4E1E-C88C-4801-AB78-E2ADA2B723C9}"/>
    <cellStyle name="Comma 2 4 2 3 11 5 2" xfId="40964" xr:uid="{D2027E05-51F2-4024-A1C0-265F6A6A35E7}"/>
    <cellStyle name="Comma 2 4 2 3 11 5 3" xfId="22710" xr:uid="{C70613CB-1C90-4B6C-849C-12948E9F5226}"/>
    <cellStyle name="Comma 2 4 2 3 11 6" xfId="37314" xr:uid="{BB5B2D45-2853-4F84-ADBA-A307C54F50D2}"/>
    <cellStyle name="Comma 2 4 2 3 11 7" xfId="19060" xr:uid="{48910B36-C229-44E7-B48C-8D933AE2A8F8}"/>
    <cellStyle name="Comma 2 4 2 3 12" xfId="14676" xr:uid="{7B5376FB-B6F5-42A6-9FB1-6EBC3C2F76A3}"/>
    <cellStyle name="Comma 2 4 2 3 12 2" xfId="51184" xr:uid="{9242AAEE-8F26-4883-8E5F-E53DC2AC37F9}"/>
    <cellStyle name="Comma 2 4 2 3 12 3" xfId="32930" xr:uid="{177F0433-37B1-4052-8214-08194D0A17EF}"/>
    <cellStyle name="Comma 2 4 2 3 13" xfId="11026" xr:uid="{A017D805-2737-421D-BE43-6B2057D5E9B9}"/>
    <cellStyle name="Comma 2 4 2 3 13 2" xfId="47534" xr:uid="{D7736491-CF14-4921-8B83-14D6653E9933}"/>
    <cellStyle name="Comma 2 4 2 3 13 3" xfId="29280" xr:uid="{13279B7B-E6A9-4140-9763-A21C9F574FFC}"/>
    <cellStyle name="Comma 2 4 2 3 14" xfId="7376" xr:uid="{D5ED18CA-C1F9-4284-86B5-4398ABB64041}"/>
    <cellStyle name="Comma 2 4 2 3 14 2" xfId="43884" xr:uid="{AE8D8E11-1827-4142-9B37-8004391A1B61}"/>
    <cellStyle name="Comma 2 4 2 3 14 3" xfId="25630" xr:uid="{057F9D43-E3A4-4B2E-AF91-AF9313EE0A2A}"/>
    <cellStyle name="Comma 2 4 2 3 15" xfId="3726" xr:uid="{A84BC0E2-EAB6-4E29-B538-A20668E4519F}"/>
    <cellStyle name="Comma 2 4 2 3 15 2" xfId="40234" xr:uid="{F8848709-0498-498B-A06B-D146552A70D2}"/>
    <cellStyle name="Comma 2 4 2 3 15 3" xfId="21980" xr:uid="{1AB5A533-AC81-4950-9A87-618F5A4AD5A7}"/>
    <cellStyle name="Comma 2 4 2 3 16" xfId="36584" xr:uid="{5A25754F-70FF-4028-89B1-CEC3160442B1}"/>
    <cellStyle name="Comma 2 4 2 3 17" xfId="18330" xr:uid="{C1DA6DD6-9FBF-4694-A509-EC9E78FF168A}"/>
    <cellStyle name="Comma 2 4 2 3 2" xfId="700" xr:uid="{FF8FBD91-3A68-493F-8B86-FB750DEBA139}"/>
    <cellStyle name="Comma 2 4 2 3 2 10" xfId="37208" xr:uid="{FAC1D4F0-D40D-4453-8DB0-D9FDB6731654}"/>
    <cellStyle name="Comma 2 4 2 3 2 11" xfId="18954" xr:uid="{ADAACA3B-CF89-432D-89AF-F0F6EFE96042}"/>
    <cellStyle name="Comma 2 4 2 3 2 2" xfId="3620" xr:uid="{0B467371-0E44-4D1C-953C-768556AEAA14}"/>
    <cellStyle name="Comma 2 4 2 3 2 2 2" xfId="18220" xr:uid="{B7C4B342-98D3-4F9B-994C-7BA5F34C657A}"/>
    <cellStyle name="Comma 2 4 2 3 2 2 2 2" xfId="54728" xr:uid="{8A9805F6-89CF-411B-B4AD-13ADC0C48321}"/>
    <cellStyle name="Comma 2 4 2 3 2 2 2 3" xfId="36474" xr:uid="{64E317C2-58AD-4486-B4CF-E4C6A1861180}"/>
    <cellStyle name="Comma 2 4 2 3 2 2 3" xfId="14570" xr:uid="{0E1EE7B1-D06E-4E81-8E6A-E5A176B82D34}"/>
    <cellStyle name="Comma 2 4 2 3 2 2 3 2" xfId="51078" xr:uid="{38F5C974-1ABB-4519-AD69-3E9C7C3F2828}"/>
    <cellStyle name="Comma 2 4 2 3 2 2 3 3" xfId="32824" xr:uid="{E21CC80F-3BB4-44C2-A4EB-9862FA1B6E5F}"/>
    <cellStyle name="Comma 2 4 2 3 2 2 4" xfId="10920" xr:uid="{4FCD5480-C855-4ED3-ADE0-25924672F16A}"/>
    <cellStyle name="Comma 2 4 2 3 2 2 4 2" xfId="47428" xr:uid="{D59CA18E-CD9D-4E36-B7D0-C2B7D24B275D}"/>
    <cellStyle name="Comma 2 4 2 3 2 2 4 3" xfId="29174" xr:uid="{E4395D56-6CD0-4FE2-8866-7D2DCDA5D324}"/>
    <cellStyle name="Comma 2 4 2 3 2 2 5" xfId="7270" xr:uid="{53C2CBA1-F7B1-4A70-941C-C98EC25D6240}"/>
    <cellStyle name="Comma 2 4 2 3 2 2 5 2" xfId="43778" xr:uid="{D2E8B3C3-9BA8-4709-8FB5-D8C089043E5C}"/>
    <cellStyle name="Comma 2 4 2 3 2 2 5 3" xfId="25524" xr:uid="{2A2054CF-B70A-4392-97E8-9408A7D31E69}"/>
    <cellStyle name="Comma 2 4 2 3 2 2 6" xfId="40128" xr:uid="{EDA7BE5C-BE54-416F-9ED0-F406500D8680}"/>
    <cellStyle name="Comma 2 4 2 3 2 2 7" xfId="21874" xr:uid="{DAFC2D78-C2FC-4860-9078-7378247C97B8}"/>
    <cellStyle name="Comma 2 4 2 3 2 3" xfId="2890" xr:uid="{3B9F287D-D388-4D16-879B-AE67F9F8022B}"/>
    <cellStyle name="Comma 2 4 2 3 2 3 2" xfId="17490" xr:uid="{27108DBE-4C7C-40E3-BE79-5DE0B48BD713}"/>
    <cellStyle name="Comma 2 4 2 3 2 3 2 2" xfId="53998" xr:uid="{921DFBF0-0C41-4927-966A-CFC2E02A0F5B}"/>
    <cellStyle name="Comma 2 4 2 3 2 3 2 3" xfId="35744" xr:uid="{C0A27E1A-D435-4D23-B92C-644840DDE822}"/>
    <cellStyle name="Comma 2 4 2 3 2 3 3" xfId="13840" xr:uid="{E3C067CA-B212-418E-952F-6D25A925CCB1}"/>
    <cellStyle name="Comma 2 4 2 3 2 3 3 2" xfId="50348" xr:uid="{95B50DBA-37D5-4286-BD6F-BB36F6E45AC9}"/>
    <cellStyle name="Comma 2 4 2 3 2 3 3 3" xfId="32094" xr:uid="{E6CBAD6A-FE8C-467E-92BA-354604AAD208}"/>
    <cellStyle name="Comma 2 4 2 3 2 3 4" xfId="10190" xr:uid="{C86D6DFA-5EDB-464D-9C8F-AA9DEAF11D8D}"/>
    <cellStyle name="Comma 2 4 2 3 2 3 4 2" xfId="46698" xr:uid="{D6E8D9BB-C274-4455-95D2-390E6A8DD94E}"/>
    <cellStyle name="Comma 2 4 2 3 2 3 4 3" xfId="28444" xr:uid="{0B238C47-15E8-4B59-86C2-47B5297BF2ED}"/>
    <cellStyle name="Comma 2 4 2 3 2 3 5" xfId="6540" xr:uid="{0A29C11E-081C-4A93-9777-C1DEB2012CC1}"/>
    <cellStyle name="Comma 2 4 2 3 2 3 5 2" xfId="43048" xr:uid="{8743405F-8909-4498-A58C-5CDB333FFAE8}"/>
    <cellStyle name="Comma 2 4 2 3 2 3 5 3" xfId="24794" xr:uid="{870F7409-B0E9-4EAE-AFBE-6506DCCE6A3B}"/>
    <cellStyle name="Comma 2 4 2 3 2 3 6" xfId="39398" xr:uid="{80064163-37E0-4D05-B702-7677953C5A60}"/>
    <cellStyle name="Comma 2 4 2 3 2 3 7" xfId="21144" xr:uid="{705FAF6D-4845-4F77-896E-E5A683E259A5}"/>
    <cellStyle name="Comma 2 4 2 3 2 4" xfId="2160" xr:uid="{D12E4922-12ED-4F02-9D2B-9E0ED2C4B9AD}"/>
    <cellStyle name="Comma 2 4 2 3 2 4 2" xfId="16760" xr:uid="{A04AAA56-A047-4C1C-BA6C-A5E750464D5A}"/>
    <cellStyle name="Comma 2 4 2 3 2 4 2 2" xfId="53268" xr:uid="{90B00A5C-C1DD-4FAE-A02C-5B2D7579A970}"/>
    <cellStyle name="Comma 2 4 2 3 2 4 2 3" xfId="35014" xr:uid="{27035F0C-CEF0-4536-84A0-AFECC3994454}"/>
    <cellStyle name="Comma 2 4 2 3 2 4 3" xfId="13110" xr:uid="{28B583F0-07F0-486E-83CF-FF11C1000CD7}"/>
    <cellStyle name="Comma 2 4 2 3 2 4 3 2" xfId="49618" xr:uid="{4EF48971-FF39-4172-ABCA-D09F4B5258B3}"/>
    <cellStyle name="Comma 2 4 2 3 2 4 3 3" xfId="31364" xr:uid="{032980E3-1D5F-425C-AE16-384AE67B913D}"/>
    <cellStyle name="Comma 2 4 2 3 2 4 4" xfId="9460" xr:uid="{24227C3B-0C1A-43DC-A927-6846B4C5FC6E}"/>
    <cellStyle name="Comma 2 4 2 3 2 4 4 2" xfId="45968" xr:uid="{F4F10A2A-798E-4C1B-B944-6184083F335E}"/>
    <cellStyle name="Comma 2 4 2 3 2 4 4 3" xfId="27714" xr:uid="{B56B6BDF-7D54-4D8D-8459-D60B3BF14F69}"/>
    <cellStyle name="Comma 2 4 2 3 2 4 5" xfId="5810" xr:uid="{8A725C67-94A7-412A-8887-AA0A62A0CBB7}"/>
    <cellStyle name="Comma 2 4 2 3 2 4 5 2" xfId="42318" xr:uid="{C58005DA-3A98-406D-8BC7-05968246DD86}"/>
    <cellStyle name="Comma 2 4 2 3 2 4 5 3" xfId="24064" xr:uid="{1CF0CBB0-E314-457B-8891-FD24FAF5A368}"/>
    <cellStyle name="Comma 2 4 2 3 2 4 6" xfId="38668" xr:uid="{4BEC2850-5251-455C-9AFA-F1C731826AFA}"/>
    <cellStyle name="Comma 2 4 2 3 2 4 7" xfId="20414" xr:uid="{CE9D0810-3DE7-420C-B6AA-A12C7DC17E32}"/>
    <cellStyle name="Comma 2 4 2 3 2 5" xfId="1430" xr:uid="{02EFC814-350E-43B0-9A89-FB19F3AC9A4C}"/>
    <cellStyle name="Comma 2 4 2 3 2 5 2" xfId="16030" xr:uid="{1F9F184A-1563-43FB-B027-92285E44B50D}"/>
    <cellStyle name="Comma 2 4 2 3 2 5 2 2" xfId="52538" xr:uid="{0DAF391B-E1D9-47B8-80F8-5F593DB2C37F}"/>
    <cellStyle name="Comma 2 4 2 3 2 5 2 3" xfId="34284" xr:uid="{FAC0449A-2063-4795-B3C2-489D59F06BA9}"/>
    <cellStyle name="Comma 2 4 2 3 2 5 3" xfId="12380" xr:uid="{1BFDFE2D-CD55-4908-A616-92318E67E0A9}"/>
    <cellStyle name="Comma 2 4 2 3 2 5 3 2" xfId="48888" xr:uid="{6BB3FFB1-AA0A-4CEF-80B3-6F3F12F1B9B0}"/>
    <cellStyle name="Comma 2 4 2 3 2 5 3 3" xfId="30634" xr:uid="{6B206579-EA4C-47D9-8724-29494A60A3F0}"/>
    <cellStyle name="Comma 2 4 2 3 2 5 4" xfId="8730" xr:uid="{163AD084-A7B4-40C0-BBE7-7D914EBC4033}"/>
    <cellStyle name="Comma 2 4 2 3 2 5 4 2" xfId="45238" xr:uid="{89FE65B7-75B8-4496-8A55-C9500E987FA5}"/>
    <cellStyle name="Comma 2 4 2 3 2 5 4 3" xfId="26984" xr:uid="{5DCD0E39-8D0D-479D-90A1-E605D21F2519}"/>
    <cellStyle name="Comma 2 4 2 3 2 5 5" xfId="5080" xr:uid="{7AC1D071-72E3-46F1-AE86-8F94C1FB8F88}"/>
    <cellStyle name="Comma 2 4 2 3 2 5 5 2" xfId="41588" xr:uid="{02911439-1F8B-4905-B023-34F1D89E8A91}"/>
    <cellStyle name="Comma 2 4 2 3 2 5 5 3" xfId="23334" xr:uid="{E93F810E-D6DB-46EB-B5DA-47650FD9DAD9}"/>
    <cellStyle name="Comma 2 4 2 3 2 5 6" xfId="37938" xr:uid="{04D7A787-A631-48CA-902C-8CAD701E3E7A}"/>
    <cellStyle name="Comma 2 4 2 3 2 5 7" xfId="19684" xr:uid="{0E7B3EA0-5E7B-438D-AF07-3766578C708F}"/>
    <cellStyle name="Comma 2 4 2 3 2 6" xfId="15300" xr:uid="{1C410A51-CC31-4074-B4BA-9AC99B574114}"/>
    <cellStyle name="Comma 2 4 2 3 2 6 2" xfId="51808" xr:uid="{DC463F63-8BE9-4FFE-946D-7821554A1F6E}"/>
    <cellStyle name="Comma 2 4 2 3 2 6 3" xfId="33554" xr:uid="{F354A049-FCCC-48BA-A1DF-B6782B73A53A}"/>
    <cellStyle name="Comma 2 4 2 3 2 7" xfId="11650" xr:uid="{3CC75385-A03F-49E5-8C1D-152A408AF77E}"/>
    <cellStyle name="Comma 2 4 2 3 2 7 2" xfId="48158" xr:uid="{F287C689-1882-4CD7-BE66-47518842A289}"/>
    <cellStyle name="Comma 2 4 2 3 2 7 3" xfId="29904" xr:uid="{229E3B64-972C-46D3-9397-10647180B263}"/>
    <cellStyle name="Comma 2 4 2 3 2 8" xfId="8000" xr:uid="{E20D1268-EF5B-40FC-B4A6-BA0649AC774B}"/>
    <cellStyle name="Comma 2 4 2 3 2 8 2" xfId="44508" xr:uid="{099CBDB3-F7A8-47F2-AB33-2F51AE634EC3}"/>
    <cellStyle name="Comma 2 4 2 3 2 8 3" xfId="26254" xr:uid="{F0B1E9B0-6A4F-456E-B644-6DD1117FE3A8}"/>
    <cellStyle name="Comma 2 4 2 3 2 9" xfId="4350" xr:uid="{4B6B475D-C657-40D2-846E-FBF7047C9F04}"/>
    <cellStyle name="Comma 2 4 2 3 2 9 2" xfId="40858" xr:uid="{16731C3E-4DC2-497C-B4B2-1E655279440F}"/>
    <cellStyle name="Comma 2 4 2 3 2 9 3" xfId="22604" xr:uid="{5C07745E-CE1B-4DB2-BEB7-0C413347D8AA}"/>
    <cellStyle name="Comma 2 4 2 3 3" xfId="596" xr:uid="{78DCBB59-3AE4-4046-A913-A05AB82AC843}"/>
    <cellStyle name="Comma 2 4 2 3 3 10" xfId="37104" xr:uid="{4282B050-3366-4E1E-96CF-E4EF8C53D8AF}"/>
    <cellStyle name="Comma 2 4 2 3 3 11" xfId="18850" xr:uid="{346FF8B4-7A66-4B95-974E-B6CB3D65E4FA}"/>
    <cellStyle name="Comma 2 4 2 3 3 2" xfId="3516" xr:uid="{AEC13D03-4B34-403C-89FB-C57A80C2F287}"/>
    <cellStyle name="Comma 2 4 2 3 3 2 2" xfId="18116" xr:uid="{71B76C08-EA5D-4A87-BD76-A5CD51E4C65F}"/>
    <cellStyle name="Comma 2 4 2 3 3 2 2 2" xfId="54624" xr:uid="{C1877C27-728E-45D8-AEA1-FB92CE4DD4AA}"/>
    <cellStyle name="Comma 2 4 2 3 3 2 2 3" xfId="36370" xr:uid="{71BB43FF-862B-4DE7-9875-6DC287CE4FAE}"/>
    <cellStyle name="Comma 2 4 2 3 3 2 3" xfId="14466" xr:uid="{2BE3D8F6-BA87-4B73-A90E-89B6BD225591}"/>
    <cellStyle name="Comma 2 4 2 3 3 2 3 2" xfId="50974" xr:uid="{0E7E36DF-37C4-4301-AE76-9B45BCF4E7B3}"/>
    <cellStyle name="Comma 2 4 2 3 3 2 3 3" xfId="32720" xr:uid="{57C45478-A221-407B-8B04-193FF0175A61}"/>
    <cellStyle name="Comma 2 4 2 3 3 2 4" xfId="10816" xr:uid="{B0B0951C-659D-454C-B861-35DA0942CB36}"/>
    <cellStyle name="Comma 2 4 2 3 3 2 4 2" xfId="47324" xr:uid="{757989EF-7B5D-45F1-870F-6C93360EA2AC}"/>
    <cellStyle name="Comma 2 4 2 3 3 2 4 3" xfId="29070" xr:uid="{71F61FDB-18CC-4D05-97BE-5AF2CEBD2076}"/>
    <cellStyle name="Comma 2 4 2 3 3 2 5" xfId="7166" xr:uid="{809DCCD3-1874-4B18-98B7-2D05E37E0344}"/>
    <cellStyle name="Comma 2 4 2 3 3 2 5 2" xfId="43674" xr:uid="{366CB34D-898F-42F9-A189-D23CD4F1377F}"/>
    <cellStyle name="Comma 2 4 2 3 3 2 5 3" xfId="25420" xr:uid="{B359734E-6B49-4294-8868-D6EA911D9896}"/>
    <cellStyle name="Comma 2 4 2 3 3 2 6" xfId="40024" xr:uid="{7506B091-C16F-4A60-9DCD-56DA56B33B21}"/>
    <cellStyle name="Comma 2 4 2 3 3 2 7" xfId="21770" xr:uid="{DD4D905A-08F3-48C1-A281-F3468302F6EB}"/>
    <cellStyle name="Comma 2 4 2 3 3 3" xfId="2786" xr:uid="{BB5986AD-2A87-4544-AB39-AF7BA69DFE11}"/>
    <cellStyle name="Comma 2 4 2 3 3 3 2" xfId="17386" xr:uid="{2C1F8AE3-BD65-471D-B13E-C18D16A08852}"/>
    <cellStyle name="Comma 2 4 2 3 3 3 2 2" xfId="53894" xr:uid="{70F88D97-B3F0-465E-B757-95DE88DE7760}"/>
    <cellStyle name="Comma 2 4 2 3 3 3 2 3" xfId="35640" xr:uid="{AE6D3203-F3BB-495D-B982-50F9280E1C7E}"/>
    <cellStyle name="Comma 2 4 2 3 3 3 3" xfId="13736" xr:uid="{01E541D1-988E-4943-9A5C-EEBF62B4FFC7}"/>
    <cellStyle name="Comma 2 4 2 3 3 3 3 2" xfId="50244" xr:uid="{717157E1-F813-465D-A6BD-7F871CDB4B4E}"/>
    <cellStyle name="Comma 2 4 2 3 3 3 3 3" xfId="31990" xr:uid="{3886B05C-2022-4D82-9381-33E7979DFF93}"/>
    <cellStyle name="Comma 2 4 2 3 3 3 4" xfId="10086" xr:uid="{12E0CABF-1C76-40AD-89B9-47AC541142BA}"/>
    <cellStyle name="Comma 2 4 2 3 3 3 4 2" xfId="46594" xr:uid="{88FAEBF4-529C-4442-94DC-5995E1654C2E}"/>
    <cellStyle name="Comma 2 4 2 3 3 3 4 3" xfId="28340" xr:uid="{524FF7D9-61E0-4A77-A4F0-134D2CD89927}"/>
    <cellStyle name="Comma 2 4 2 3 3 3 5" xfId="6436" xr:uid="{AC827A03-D8DD-4B81-91CD-351EA9FDC581}"/>
    <cellStyle name="Comma 2 4 2 3 3 3 5 2" xfId="42944" xr:uid="{84FC268B-3E34-4523-967F-430A4540BF62}"/>
    <cellStyle name="Comma 2 4 2 3 3 3 5 3" xfId="24690" xr:uid="{6E4FB542-615D-4EE6-83BD-F99AA8E0A97D}"/>
    <cellStyle name="Comma 2 4 2 3 3 3 6" xfId="39294" xr:uid="{FA234050-7935-46F6-8B3C-799FA7B0F537}"/>
    <cellStyle name="Comma 2 4 2 3 3 3 7" xfId="21040" xr:uid="{4F03BD76-450F-43F7-A320-F6720C3F3CDA}"/>
    <cellStyle name="Comma 2 4 2 3 3 4" xfId="2056" xr:uid="{86E74E42-7B40-4DBC-A8D4-1048FC179D41}"/>
    <cellStyle name="Comma 2 4 2 3 3 4 2" xfId="16656" xr:uid="{2DCC9087-F02C-4F04-BE66-B21D46651860}"/>
    <cellStyle name="Comma 2 4 2 3 3 4 2 2" xfId="53164" xr:uid="{1EBF33E2-A875-46C3-9395-65A10528AF6E}"/>
    <cellStyle name="Comma 2 4 2 3 3 4 2 3" xfId="34910" xr:uid="{D98DD911-71A4-4607-8395-5F5097CEE98E}"/>
    <cellStyle name="Comma 2 4 2 3 3 4 3" xfId="13006" xr:uid="{F58FD121-FCA4-426A-A8B4-FA81E0A5FCAF}"/>
    <cellStyle name="Comma 2 4 2 3 3 4 3 2" xfId="49514" xr:uid="{A3B303BB-2E51-43F7-A0ED-0399146FEC22}"/>
    <cellStyle name="Comma 2 4 2 3 3 4 3 3" xfId="31260" xr:uid="{1811328C-BC51-4CB6-A920-0B65ABF56891}"/>
    <cellStyle name="Comma 2 4 2 3 3 4 4" xfId="9356" xr:uid="{23F652D9-76E7-4390-B564-32FA1EFDFC45}"/>
    <cellStyle name="Comma 2 4 2 3 3 4 4 2" xfId="45864" xr:uid="{D72586A0-621D-4F44-8346-8C6C4E523F87}"/>
    <cellStyle name="Comma 2 4 2 3 3 4 4 3" xfId="27610" xr:uid="{99434784-5C13-4E2F-B165-87FD76CF585D}"/>
    <cellStyle name="Comma 2 4 2 3 3 4 5" xfId="5706" xr:uid="{01D02D18-300E-4D22-8423-EE4ED74A0C5D}"/>
    <cellStyle name="Comma 2 4 2 3 3 4 5 2" xfId="42214" xr:uid="{BB9FEC88-A6CC-48A7-897B-9BA6A19F913A}"/>
    <cellStyle name="Comma 2 4 2 3 3 4 5 3" xfId="23960" xr:uid="{CAADA801-875B-4E0D-AD23-8F55DE1B6B97}"/>
    <cellStyle name="Comma 2 4 2 3 3 4 6" xfId="38564" xr:uid="{654E108E-2C3B-4602-AAB4-2AF6FFA3F2D1}"/>
    <cellStyle name="Comma 2 4 2 3 3 4 7" xfId="20310" xr:uid="{E5005C2B-9309-41E1-872A-C8B4EBEB652C}"/>
    <cellStyle name="Comma 2 4 2 3 3 5" xfId="1326" xr:uid="{ED135B3A-64A4-48E3-AD65-C68B991D71F4}"/>
    <cellStyle name="Comma 2 4 2 3 3 5 2" xfId="15926" xr:uid="{4C555200-912C-4E4E-A9DA-710641DA3B07}"/>
    <cellStyle name="Comma 2 4 2 3 3 5 2 2" xfId="52434" xr:uid="{E45225AA-188A-4B0B-AE58-0CFCD065AAB1}"/>
    <cellStyle name="Comma 2 4 2 3 3 5 2 3" xfId="34180" xr:uid="{400BFB41-9E23-47C3-8C3A-C853CBBFEE97}"/>
    <cellStyle name="Comma 2 4 2 3 3 5 3" xfId="12276" xr:uid="{61AC3125-2943-4144-8E31-6BE3B1157621}"/>
    <cellStyle name="Comma 2 4 2 3 3 5 3 2" xfId="48784" xr:uid="{C134C7B1-B9BB-4302-82D8-8D6D2E6889A7}"/>
    <cellStyle name="Comma 2 4 2 3 3 5 3 3" xfId="30530" xr:uid="{959CB074-EDF7-4320-A800-8ACDC36C7A71}"/>
    <cellStyle name="Comma 2 4 2 3 3 5 4" xfId="8626" xr:uid="{474262F3-619D-455E-BB4E-3ED76EA42F64}"/>
    <cellStyle name="Comma 2 4 2 3 3 5 4 2" xfId="45134" xr:uid="{16FB8022-CB12-4658-98C6-66707CDDD189}"/>
    <cellStyle name="Comma 2 4 2 3 3 5 4 3" xfId="26880" xr:uid="{394FCC8F-6F3B-451A-93BD-56148AC99577}"/>
    <cellStyle name="Comma 2 4 2 3 3 5 5" xfId="4976" xr:uid="{8637D804-7B9E-495B-A60C-ABB792646C62}"/>
    <cellStyle name="Comma 2 4 2 3 3 5 5 2" xfId="41484" xr:uid="{8F4AF0EF-7656-49A1-A6FA-E5B2A35DD810}"/>
    <cellStyle name="Comma 2 4 2 3 3 5 5 3" xfId="23230" xr:uid="{EF73218D-9559-469A-A0B1-1320BDC88083}"/>
    <cellStyle name="Comma 2 4 2 3 3 5 6" xfId="37834" xr:uid="{9D462A6F-7C78-450A-986E-6ECF3DC0D56C}"/>
    <cellStyle name="Comma 2 4 2 3 3 5 7" xfId="19580" xr:uid="{E75B5F27-5999-45BF-B351-83471E46B738}"/>
    <cellStyle name="Comma 2 4 2 3 3 6" xfId="15196" xr:uid="{425DE0D1-9F36-4708-A0C2-E2591FE7C44D}"/>
    <cellStyle name="Comma 2 4 2 3 3 6 2" xfId="51704" xr:uid="{6EAF17DA-D000-4F2E-B3A3-21141331D85B}"/>
    <cellStyle name="Comma 2 4 2 3 3 6 3" xfId="33450" xr:uid="{E11B0976-5FB6-4285-8AB2-E4CE8A49F20E}"/>
    <cellStyle name="Comma 2 4 2 3 3 7" xfId="11546" xr:uid="{23B53F7C-14AB-4D80-AA91-38D31AC99D14}"/>
    <cellStyle name="Comma 2 4 2 3 3 7 2" xfId="48054" xr:uid="{478B1E31-9458-4C0C-A91E-C54376BF19C9}"/>
    <cellStyle name="Comma 2 4 2 3 3 7 3" xfId="29800" xr:uid="{4FE64779-6C28-44A8-A59A-08C04B51B381}"/>
    <cellStyle name="Comma 2 4 2 3 3 8" xfId="7896" xr:uid="{6E98F461-FF70-45BE-8BE9-01E801D566C7}"/>
    <cellStyle name="Comma 2 4 2 3 3 8 2" xfId="44404" xr:uid="{3364BF7F-4928-4428-942C-F853A01043DE}"/>
    <cellStyle name="Comma 2 4 2 3 3 8 3" xfId="26150" xr:uid="{ABE2E390-F6DF-4FC9-AFF8-84F0884077D0}"/>
    <cellStyle name="Comma 2 4 2 3 3 9" xfId="4246" xr:uid="{2660285B-7785-4C4E-AB30-1B507CB677B6}"/>
    <cellStyle name="Comma 2 4 2 3 3 9 2" xfId="40754" xr:uid="{2F50FF71-7666-4CC5-B266-1ECADB96B9A7}"/>
    <cellStyle name="Comma 2 4 2 3 3 9 3" xfId="22500" xr:uid="{AABABFF4-0202-4E0D-B198-5B59603C3137}"/>
    <cellStyle name="Comma 2 4 2 3 4" xfId="492" xr:uid="{00A5977D-1D5E-4516-9173-D104E5C57F1A}"/>
    <cellStyle name="Comma 2 4 2 3 4 10" xfId="37000" xr:uid="{C224F3C7-9756-4C39-A56D-93E7E4C08CB2}"/>
    <cellStyle name="Comma 2 4 2 3 4 11" xfId="18746" xr:uid="{DD7AB8D7-7314-4D8E-9813-6ACC3F732B4C}"/>
    <cellStyle name="Comma 2 4 2 3 4 2" xfId="3412" xr:uid="{7EB7A2FD-FB57-4D2C-ABB4-929A39127AAA}"/>
    <cellStyle name="Comma 2 4 2 3 4 2 2" xfId="18012" xr:uid="{048F61DE-FCDB-4FD2-8A1F-3802C2960E4F}"/>
    <cellStyle name="Comma 2 4 2 3 4 2 2 2" xfId="54520" xr:uid="{C8ECA4F1-D267-4150-B47F-FBC8555544DE}"/>
    <cellStyle name="Comma 2 4 2 3 4 2 2 3" xfId="36266" xr:uid="{D1C3497E-37B6-4A7D-8652-8024B885BFBA}"/>
    <cellStyle name="Comma 2 4 2 3 4 2 3" xfId="14362" xr:uid="{53D3BDCF-E9EE-4117-83ED-C85910216CD6}"/>
    <cellStyle name="Comma 2 4 2 3 4 2 3 2" xfId="50870" xr:uid="{13693AFA-DAC1-435F-9C8B-47AFAB0E15FC}"/>
    <cellStyle name="Comma 2 4 2 3 4 2 3 3" xfId="32616" xr:uid="{DA0AD89D-7EE7-4FFD-9F98-BF3DB831A5EB}"/>
    <cellStyle name="Comma 2 4 2 3 4 2 4" xfId="10712" xr:uid="{AD489757-5715-427C-ACAF-F5F757BC0428}"/>
    <cellStyle name="Comma 2 4 2 3 4 2 4 2" xfId="47220" xr:uid="{D99545AA-8916-4CE1-80BB-51ED5C9D60DF}"/>
    <cellStyle name="Comma 2 4 2 3 4 2 4 3" xfId="28966" xr:uid="{28D624A5-A251-4B28-9D50-C27CB4F52C0E}"/>
    <cellStyle name="Comma 2 4 2 3 4 2 5" xfId="7062" xr:uid="{1F6A954C-D2A0-4540-A94F-D59F46B36DF3}"/>
    <cellStyle name="Comma 2 4 2 3 4 2 5 2" xfId="43570" xr:uid="{BE3CC3B3-E6E0-46A9-A94E-16632E384F8E}"/>
    <cellStyle name="Comma 2 4 2 3 4 2 5 3" xfId="25316" xr:uid="{31BA268A-9F54-47E6-8BF9-AC7134A8B702}"/>
    <cellStyle name="Comma 2 4 2 3 4 2 6" xfId="39920" xr:uid="{8ACB6AFB-3CB0-4008-902A-C8E1993A713D}"/>
    <cellStyle name="Comma 2 4 2 3 4 2 7" xfId="21666" xr:uid="{9E1030CC-EECF-461F-BED0-3E498B22A81C}"/>
    <cellStyle name="Comma 2 4 2 3 4 3" xfId="2682" xr:uid="{2AE9A5FD-0A1B-4BF3-8EC3-97CEFBFDD91A}"/>
    <cellStyle name="Comma 2 4 2 3 4 3 2" xfId="17282" xr:uid="{9C3757F1-0CF6-48C3-8408-CC64478481DA}"/>
    <cellStyle name="Comma 2 4 2 3 4 3 2 2" xfId="53790" xr:uid="{315677C1-5EAD-4A11-9A02-A3360A915AA4}"/>
    <cellStyle name="Comma 2 4 2 3 4 3 2 3" xfId="35536" xr:uid="{8FC995C6-7507-42AF-806F-B18D69650C68}"/>
    <cellStyle name="Comma 2 4 2 3 4 3 3" xfId="13632" xr:uid="{41C21201-02E5-4687-B475-68E3B54DF5CD}"/>
    <cellStyle name="Comma 2 4 2 3 4 3 3 2" xfId="50140" xr:uid="{1753C7AB-2AAB-4A93-865B-CD55B4936816}"/>
    <cellStyle name="Comma 2 4 2 3 4 3 3 3" xfId="31886" xr:uid="{A0FD2849-91C3-4163-BC7B-DB49E88EF64A}"/>
    <cellStyle name="Comma 2 4 2 3 4 3 4" xfId="9982" xr:uid="{88B5AB05-2207-4953-969A-14C34C9399EC}"/>
    <cellStyle name="Comma 2 4 2 3 4 3 4 2" xfId="46490" xr:uid="{EE29F09B-85FF-4B2A-B04A-81C95E2F5951}"/>
    <cellStyle name="Comma 2 4 2 3 4 3 4 3" xfId="28236" xr:uid="{0B22652A-AD9F-4F00-A5DB-4BB745EF578E}"/>
    <cellStyle name="Comma 2 4 2 3 4 3 5" xfId="6332" xr:uid="{C4D091BE-38D8-4E98-AEBB-73141A9D0B00}"/>
    <cellStyle name="Comma 2 4 2 3 4 3 5 2" xfId="42840" xr:uid="{CC6D134F-9A53-47A1-B144-111B002ED59C}"/>
    <cellStyle name="Comma 2 4 2 3 4 3 5 3" xfId="24586" xr:uid="{AAC2ED25-9DEA-4837-8566-A1D1D6511E4D}"/>
    <cellStyle name="Comma 2 4 2 3 4 3 6" xfId="39190" xr:uid="{238378DD-0042-42F5-B3EB-AB930C429BFB}"/>
    <cellStyle name="Comma 2 4 2 3 4 3 7" xfId="20936" xr:uid="{733CAE50-A3F8-4A0E-9CF7-C3D8AA8404FE}"/>
    <cellStyle name="Comma 2 4 2 3 4 4" xfId="1952" xr:uid="{C6671071-F79B-4463-97ED-52AA617E01DB}"/>
    <cellStyle name="Comma 2 4 2 3 4 4 2" xfId="16552" xr:uid="{D4DEEAFE-3491-442F-BE45-36B39A723F8B}"/>
    <cellStyle name="Comma 2 4 2 3 4 4 2 2" xfId="53060" xr:uid="{B95BE9D5-4069-4BC9-8266-073A7BFEDE91}"/>
    <cellStyle name="Comma 2 4 2 3 4 4 2 3" xfId="34806" xr:uid="{CFAF0536-9C0F-4C06-ACF7-128F8AEB8E70}"/>
    <cellStyle name="Comma 2 4 2 3 4 4 3" xfId="12902" xr:uid="{97DA93B6-93C9-457E-920F-8F4B0B4B99A4}"/>
    <cellStyle name="Comma 2 4 2 3 4 4 3 2" xfId="49410" xr:uid="{BE64900C-9F45-4F52-9365-F90ED5E86E05}"/>
    <cellStyle name="Comma 2 4 2 3 4 4 3 3" xfId="31156" xr:uid="{D105C67A-36DD-497B-BDA9-2388A119FA59}"/>
    <cellStyle name="Comma 2 4 2 3 4 4 4" xfId="9252" xr:uid="{898D2531-F66F-4C65-A91C-E3D10BD8DCDC}"/>
    <cellStyle name="Comma 2 4 2 3 4 4 4 2" xfId="45760" xr:uid="{62317953-65CA-4EBE-BCA1-5189C973875D}"/>
    <cellStyle name="Comma 2 4 2 3 4 4 4 3" xfId="27506" xr:uid="{23546F38-80D6-405F-97D8-AFF722E8CC7A}"/>
    <cellStyle name="Comma 2 4 2 3 4 4 5" xfId="5602" xr:uid="{25D33992-BD64-4813-AC1E-A52F13BD6869}"/>
    <cellStyle name="Comma 2 4 2 3 4 4 5 2" xfId="42110" xr:uid="{4E8FE172-E44B-4111-B200-5BFDAEEB51EC}"/>
    <cellStyle name="Comma 2 4 2 3 4 4 5 3" xfId="23856" xr:uid="{91F0F12D-18A4-48FE-BDEA-DE4BE2E18130}"/>
    <cellStyle name="Comma 2 4 2 3 4 4 6" xfId="38460" xr:uid="{83A8076B-C3BB-48E4-A714-52BA90C32D84}"/>
    <cellStyle name="Comma 2 4 2 3 4 4 7" xfId="20206" xr:uid="{B39AD4C9-B8F0-48AC-A49B-064F7BBA9EC0}"/>
    <cellStyle name="Comma 2 4 2 3 4 5" xfId="1222" xr:uid="{1A8DE8F1-B71A-46B1-8F1D-FED02516A5AA}"/>
    <cellStyle name="Comma 2 4 2 3 4 5 2" xfId="15822" xr:uid="{E501E7B0-2F1A-4513-AD53-BAAC70C11CC6}"/>
    <cellStyle name="Comma 2 4 2 3 4 5 2 2" xfId="52330" xr:uid="{6D14325F-2C5B-42FD-A860-639F7D07F2D9}"/>
    <cellStyle name="Comma 2 4 2 3 4 5 2 3" xfId="34076" xr:uid="{2FFC9FC6-3917-4038-86A7-9CD88B54B4DF}"/>
    <cellStyle name="Comma 2 4 2 3 4 5 3" xfId="12172" xr:uid="{AE3E8815-CC25-48AC-BC9B-E5E05E938631}"/>
    <cellStyle name="Comma 2 4 2 3 4 5 3 2" xfId="48680" xr:uid="{E032E083-AC6A-4EAD-8428-93B500D5C035}"/>
    <cellStyle name="Comma 2 4 2 3 4 5 3 3" xfId="30426" xr:uid="{94277C61-9CE8-46E7-87F0-85C1DDA4138B}"/>
    <cellStyle name="Comma 2 4 2 3 4 5 4" xfId="8522" xr:uid="{A70A2B93-DE81-48EF-B3E4-1CB6C43E30A8}"/>
    <cellStyle name="Comma 2 4 2 3 4 5 4 2" xfId="45030" xr:uid="{A7E8DC2E-644F-4959-A3C9-8170E2DEB22E}"/>
    <cellStyle name="Comma 2 4 2 3 4 5 4 3" xfId="26776" xr:uid="{D6E0B261-8FA7-449E-A6C9-C393FDA573E6}"/>
    <cellStyle name="Comma 2 4 2 3 4 5 5" xfId="4872" xr:uid="{B8AE5CDE-BD40-4BE7-A459-16740A478FD9}"/>
    <cellStyle name="Comma 2 4 2 3 4 5 5 2" xfId="41380" xr:uid="{2B658732-E44A-4475-AAB2-F0D2674C9AB6}"/>
    <cellStyle name="Comma 2 4 2 3 4 5 5 3" xfId="23126" xr:uid="{AA8A5038-09B7-4768-A1A8-27CDF91116C5}"/>
    <cellStyle name="Comma 2 4 2 3 4 5 6" xfId="37730" xr:uid="{38B15836-0BA1-4AF6-BC2F-46E15E773170}"/>
    <cellStyle name="Comma 2 4 2 3 4 5 7" xfId="19476" xr:uid="{C35ACA0A-0CBA-4FB0-9539-E543DC94BAB5}"/>
    <cellStyle name="Comma 2 4 2 3 4 6" xfId="15092" xr:uid="{04260BEC-4B2A-4CB8-A1E5-7A477603F38E}"/>
    <cellStyle name="Comma 2 4 2 3 4 6 2" xfId="51600" xr:uid="{EE083FA4-AD71-404E-BD6F-D325D3785C91}"/>
    <cellStyle name="Comma 2 4 2 3 4 6 3" xfId="33346" xr:uid="{0F834389-9CC2-43A0-B2C7-1752F0D6E44C}"/>
    <cellStyle name="Comma 2 4 2 3 4 7" xfId="11442" xr:uid="{F9116335-8C19-4D4F-9FFE-1ABC2FBD8C19}"/>
    <cellStyle name="Comma 2 4 2 3 4 7 2" xfId="47950" xr:uid="{D83D1B41-0758-4BF5-A6C9-AD5A3089FDA7}"/>
    <cellStyle name="Comma 2 4 2 3 4 7 3" xfId="29696" xr:uid="{37A11F25-66A1-4319-8395-A9D04578BCE4}"/>
    <cellStyle name="Comma 2 4 2 3 4 8" xfId="7792" xr:uid="{4ED8CBA7-04CD-4687-BB67-FE7E6D7DAE30}"/>
    <cellStyle name="Comma 2 4 2 3 4 8 2" xfId="44300" xr:uid="{9266125C-5A59-481B-870D-5C31960322F1}"/>
    <cellStyle name="Comma 2 4 2 3 4 8 3" xfId="26046" xr:uid="{A0361116-9807-423B-9763-BD324D518A78}"/>
    <cellStyle name="Comma 2 4 2 3 4 9" xfId="4142" xr:uid="{3530EEAB-EAB9-4883-ABD0-348BC8C9A453}"/>
    <cellStyle name="Comma 2 4 2 3 4 9 2" xfId="40650" xr:uid="{D2504BA0-BB8F-4BBC-BE5F-059739EC2CBA}"/>
    <cellStyle name="Comma 2 4 2 3 4 9 3" xfId="22396" xr:uid="{89EC8911-EF29-4952-BF61-7C560A6D5815}"/>
    <cellStyle name="Comma 2 4 2 3 5" xfId="388" xr:uid="{E94ACCF4-5DA0-44DE-AA95-B222BAF73A87}"/>
    <cellStyle name="Comma 2 4 2 3 5 10" xfId="36896" xr:uid="{408E2C91-58A4-4395-84AD-8439A0C61D3A}"/>
    <cellStyle name="Comma 2 4 2 3 5 11" xfId="18642" xr:uid="{3CF11FFA-2AC4-4D4D-AE70-7FA488D69C53}"/>
    <cellStyle name="Comma 2 4 2 3 5 2" xfId="3308" xr:uid="{0227BE9D-46F1-41FA-9A37-2AA9B6F8AAA1}"/>
    <cellStyle name="Comma 2 4 2 3 5 2 2" xfId="17908" xr:uid="{2DFAAF03-8BC7-40E2-BEE6-3BCFC2E48CD7}"/>
    <cellStyle name="Comma 2 4 2 3 5 2 2 2" xfId="54416" xr:uid="{68DDC024-7DB7-490F-B7D6-56099CD7E216}"/>
    <cellStyle name="Comma 2 4 2 3 5 2 2 3" xfId="36162" xr:uid="{855ACC2D-7D44-4B65-85BE-5B3358887D42}"/>
    <cellStyle name="Comma 2 4 2 3 5 2 3" xfId="14258" xr:uid="{CDCC0673-AE9F-4406-8F17-25AEEF671B6C}"/>
    <cellStyle name="Comma 2 4 2 3 5 2 3 2" xfId="50766" xr:uid="{56FC35DF-F552-4D5A-8E63-69FC99F91EC1}"/>
    <cellStyle name="Comma 2 4 2 3 5 2 3 3" xfId="32512" xr:uid="{2EB48623-299C-4FA8-B812-BA85B9C0F209}"/>
    <cellStyle name="Comma 2 4 2 3 5 2 4" xfId="10608" xr:uid="{FE58F750-7386-45F8-A9F2-710B19CDB22E}"/>
    <cellStyle name="Comma 2 4 2 3 5 2 4 2" xfId="47116" xr:uid="{C8283415-CCC8-4B29-B3C9-F0DFAD2FD814}"/>
    <cellStyle name="Comma 2 4 2 3 5 2 4 3" xfId="28862" xr:uid="{34F8EE74-E1CA-461A-B85C-A38860B484A4}"/>
    <cellStyle name="Comma 2 4 2 3 5 2 5" xfId="6958" xr:uid="{6EC20655-CC4A-46FE-9264-9307A494CE47}"/>
    <cellStyle name="Comma 2 4 2 3 5 2 5 2" xfId="43466" xr:uid="{4ACEB313-875B-4580-A768-42BFFDDB735E}"/>
    <cellStyle name="Comma 2 4 2 3 5 2 5 3" xfId="25212" xr:uid="{90D0D901-324D-47D3-B87F-BFD31589B083}"/>
    <cellStyle name="Comma 2 4 2 3 5 2 6" xfId="39816" xr:uid="{32D1B884-78D4-45B2-B5C1-A695FC33F5FE}"/>
    <cellStyle name="Comma 2 4 2 3 5 2 7" xfId="21562" xr:uid="{44A2CADE-BD1F-473F-AB20-0E9F30A81302}"/>
    <cellStyle name="Comma 2 4 2 3 5 3" xfId="2578" xr:uid="{566F2AA5-8991-41A0-96E1-08EB42FD75C5}"/>
    <cellStyle name="Comma 2 4 2 3 5 3 2" xfId="17178" xr:uid="{FA3D2AE5-0E23-4001-A889-59D0F3955EA5}"/>
    <cellStyle name="Comma 2 4 2 3 5 3 2 2" xfId="53686" xr:uid="{89084748-5ECE-430B-BCDD-A1929C346E94}"/>
    <cellStyle name="Comma 2 4 2 3 5 3 2 3" xfId="35432" xr:uid="{9FB379E7-F920-4349-B86F-0684A621E425}"/>
    <cellStyle name="Comma 2 4 2 3 5 3 3" xfId="13528" xr:uid="{BFC9BEA9-4129-4943-9295-8AC4C6AEF99C}"/>
    <cellStyle name="Comma 2 4 2 3 5 3 3 2" xfId="50036" xr:uid="{78194E90-D20D-499C-9BE8-D59E436B3527}"/>
    <cellStyle name="Comma 2 4 2 3 5 3 3 3" xfId="31782" xr:uid="{349E8B8A-87D6-40CC-BE54-6EA6FD59FE45}"/>
    <cellStyle name="Comma 2 4 2 3 5 3 4" xfId="9878" xr:uid="{1AA36C22-D48F-4415-81B8-304D82ECE352}"/>
    <cellStyle name="Comma 2 4 2 3 5 3 4 2" xfId="46386" xr:uid="{B85642F3-23BB-448E-A117-BA8530827E91}"/>
    <cellStyle name="Comma 2 4 2 3 5 3 4 3" xfId="28132" xr:uid="{D5BF7B03-9CA9-470F-9D91-B985F131EBBC}"/>
    <cellStyle name="Comma 2 4 2 3 5 3 5" xfId="6228" xr:uid="{A3087468-9B2A-41A5-B192-256AEE6E52F1}"/>
    <cellStyle name="Comma 2 4 2 3 5 3 5 2" xfId="42736" xr:uid="{FD6B9380-3125-458A-A60A-02F92AE4414C}"/>
    <cellStyle name="Comma 2 4 2 3 5 3 5 3" xfId="24482" xr:uid="{4508094E-F0D8-4EC8-AEF7-65D629BC02C6}"/>
    <cellStyle name="Comma 2 4 2 3 5 3 6" xfId="39086" xr:uid="{20B1B0BE-7426-4978-AD20-3CB0CC13BC11}"/>
    <cellStyle name="Comma 2 4 2 3 5 3 7" xfId="20832" xr:uid="{ED4F588D-41CB-4CB4-8378-DE27D0645F1D}"/>
    <cellStyle name="Comma 2 4 2 3 5 4" xfId="1848" xr:uid="{299936CC-7E40-4221-A1DE-7696142FC830}"/>
    <cellStyle name="Comma 2 4 2 3 5 4 2" xfId="16448" xr:uid="{93D6FBC2-DBD1-40A5-8FB3-26836F0A1081}"/>
    <cellStyle name="Comma 2 4 2 3 5 4 2 2" xfId="52956" xr:uid="{1EDFD0F7-4F83-42B3-94B8-817FF3EA3115}"/>
    <cellStyle name="Comma 2 4 2 3 5 4 2 3" xfId="34702" xr:uid="{626644A9-0EB7-480D-BA0B-5E30579920BC}"/>
    <cellStyle name="Comma 2 4 2 3 5 4 3" xfId="12798" xr:uid="{601BDA6B-6DAB-42F8-8564-82615E56F798}"/>
    <cellStyle name="Comma 2 4 2 3 5 4 3 2" xfId="49306" xr:uid="{946AC9D2-9320-44FC-9AEC-AF4FEEE26BE8}"/>
    <cellStyle name="Comma 2 4 2 3 5 4 3 3" xfId="31052" xr:uid="{4B6747BD-31ED-4B47-BDF5-FC0532DAF838}"/>
    <cellStyle name="Comma 2 4 2 3 5 4 4" xfId="9148" xr:uid="{AF456592-C4AA-49F8-873A-078D095D3264}"/>
    <cellStyle name="Comma 2 4 2 3 5 4 4 2" xfId="45656" xr:uid="{BFF0A54E-ECD6-4B4D-8B37-97D99476CC4F}"/>
    <cellStyle name="Comma 2 4 2 3 5 4 4 3" xfId="27402" xr:uid="{182F99DC-E02E-4866-B001-3FD6695FFB9C}"/>
    <cellStyle name="Comma 2 4 2 3 5 4 5" xfId="5498" xr:uid="{4EF9FE60-633C-4230-AC2B-F2BFEED244E0}"/>
    <cellStyle name="Comma 2 4 2 3 5 4 5 2" xfId="42006" xr:uid="{4E3EE784-570C-4548-B332-FEDC7E4EEFD6}"/>
    <cellStyle name="Comma 2 4 2 3 5 4 5 3" xfId="23752" xr:uid="{06A74E7C-2B5F-48CA-90DB-B6123BD478F4}"/>
    <cellStyle name="Comma 2 4 2 3 5 4 6" xfId="38356" xr:uid="{8BC2BD97-DBDE-498A-97E5-B478F8279228}"/>
    <cellStyle name="Comma 2 4 2 3 5 4 7" xfId="20102" xr:uid="{E7C4AAC3-EA13-48C1-9117-39AC2336C4DF}"/>
    <cellStyle name="Comma 2 4 2 3 5 5" xfId="1118" xr:uid="{AC905A3C-5A73-49AF-B3C7-51C168C2E1D6}"/>
    <cellStyle name="Comma 2 4 2 3 5 5 2" xfId="15718" xr:uid="{D6A155A6-3C42-4515-8BA6-5C258ACBDC4D}"/>
    <cellStyle name="Comma 2 4 2 3 5 5 2 2" xfId="52226" xr:uid="{E3866AE2-9AD3-4280-9ED8-CF7925E52EF6}"/>
    <cellStyle name="Comma 2 4 2 3 5 5 2 3" xfId="33972" xr:uid="{1513F769-4158-4A82-8656-C33D8DA964BA}"/>
    <cellStyle name="Comma 2 4 2 3 5 5 3" xfId="12068" xr:uid="{9DDC2B31-5EF3-48F3-AD9F-3B8D1697E614}"/>
    <cellStyle name="Comma 2 4 2 3 5 5 3 2" xfId="48576" xr:uid="{1165BDC6-4921-4970-8189-DBE25B68F2A4}"/>
    <cellStyle name="Comma 2 4 2 3 5 5 3 3" xfId="30322" xr:uid="{5CA9D665-A5A8-49B8-9DC8-F1F73F842E7B}"/>
    <cellStyle name="Comma 2 4 2 3 5 5 4" xfId="8418" xr:uid="{1BB4EC2B-6A1B-46AA-B29B-E66A98559F37}"/>
    <cellStyle name="Comma 2 4 2 3 5 5 4 2" xfId="44926" xr:uid="{98492CB8-6BA5-4DB9-A893-7EE476CA2C9B}"/>
    <cellStyle name="Comma 2 4 2 3 5 5 4 3" xfId="26672" xr:uid="{80FC9D36-AA8D-40DD-BA9D-73CD9292442C}"/>
    <cellStyle name="Comma 2 4 2 3 5 5 5" xfId="4768" xr:uid="{4287E53E-4815-43B9-9FC6-3E9894F1E561}"/>
    <cellStyle name="Comma 2 4 2 3 5 5 5 2" xfId="41276" xr:uid="{C9C7A90C-97F0-44BD-B1D5-4ED5F866B61D}"/>
    <cellStyle name="Comma 2 4 2 3 5 5 5 3" xfId="23022" xr:uid="{D8628EE5-83F4-4DFB-8388-D90143DB0ED6}"/>
    <cellStyle name="Comma 2 4 2 3 5 5 6" xfId="37626" xr:uid="{10779AC0-52DE-4686-9099-E1EA1506F4DA}"/>
    <cellStyle name="Comma 2 4 2 3 5 5 7" xfId="19372" xr:uid="{6087E821-E78E-493D-9A21-45CFC03752AE}"/>
    <cellStyle name="Comma 2 4 2 3 5 6" xfId="14988" xr:uid="{6142DC38-819F-4839-8601-EDE0DD2BE457}"/>
    <cellStyle name="Comma 2 4 2 3 5 6 2" xfId="51496" xr:uid="{2465C5D2-84A9-4D1A-AF1C-EA98863D78F7}"/>
    <cellStyle name="Comma 2 4 2 3 5 6 3" xfId="33242" xr:uid="{B2A316B0-83E1-460D-A15A-7181835AC7C3}"/>
    <cellStyle name="Comma 2 4 2 3 5 7" xfId="11338" xr:uid="{913A3E17-2026-4666-9EC3-1EEF17141882}"/>
    <cellStyle name="Comma 2 4 2 3 5 7 2" xfId="47846" xr:uid="{CD628595-7CB9-4761-8950-0402D2E5093E}"/>
    <cellStyle name="Comma 2 4 2 3 5 7 3" xfId="29592" xr:uid="{43542744-415B-4CF2-9947-DC41A398E881}"/>
    <cellStyle name="Comma 2 4 2 3 5 8" xfId="7688" xr:uid="{E877E4A0-8096-46FC-A1A1-4A48B0B829E8}"/>
    <cellStyle name="Comma 2 4 2 3 5 8 2" xfId="44196" xr:uid="{0E31D802-67AB-4DB6-89EF-E077C72D4220}"/>
    <cellStyle name="Comma 2 4 2 3 5 8 3" xfId="25942" xr:uid="{5AFD9684-F546-4504-A952-0CB1E4FD21A8}"/>
    <cellStyle name="Comma 2 4 2 3 5 9" xfId="4038" xr:uid="{E58A997B-F238-46E7-9B78-F70D2EF32AA0}"/>
    <cellStyle name="Comma 2 4 2 3 5 9 2" xfId="40546" xr:uid="{257BE2C1-B25A-4BD8-82AC-F5DCE4C9A317}"/>
    <cellStyle name="Comma 2 4 2 3 5 9 3" xfId="22292" xr:uid="{F32E3D65-16EA-4BAA-8DDA-744FF8111BF0}"/>
    <cellStyle name="Comma 2 4 2 3 6" xfId="284" xr:uid="{25982792-D1D2-45FC-A275-DA3B66C558F0}"/>
    <cellStyle name="Comma 2 4 2 3 6 10" xfId="36792" xr:uid="{F68DAFF8-4B76-48D2-BD15-EA3CFCE6620D}"/>
    <cellStyle name="Comma 2 4 2 3 6 11" xfId="18538" xr:uid="{86A313A9-ACE5-4532-B057-F02693C8B5F0}"/>
    <cellStyle name="Comma 2 4 2 3 6 2" xfId="3204" xr:uid="{8885ADC3-5F9B-4B12-8632-539BB7B9552A}"/>
    <cellStyle name="Comma 2 4 2 3 6 2 2" xfId="17804" xr:uid="{FBDD31F8-AEC6-4853-A408-8D22DB95832E}"/>
    <cellStyle name="Comma 2 4 2 3 6 2 2 2" xfId="54312" xr:uid="{A7AB1C34-D313-4933-A660-3CB55253C0F8}"/>
    <cellStyle name="Comma 2 4 2 3 6 2 2 3" xfId="36058" xr:uid="{7E3DB25D-13EC-4943-9821-387D5D885DDA}"/>
    <cellStyle name="Comma 2 4 2 3 6 2 3" xfId="14154" xr:uid="{C32D74FD-9A10-4D27-995C-9F7E2B028C0F}"/>
    <cellStyle name="Comma 2 4 2 3 6 2 3 2" xfId="50662" xr:uid="{501B5785-9867-4B2E-A33D-CF685A77B50D}"/>
    <cellStyle name="Comma 2 4 2 3 6 2 3 3" xfId="32408" xr:uid="{D5984762-98A4-49C5-A837-CBA34E44B76F}"/>
    <cellStyle name="Comma 2 4 2 3 6 2 4" xfId="10504" xr:uid="{A5BD0A84-C2B4-4C70-8AD2-85C4A69813ED}"/>
    <cellStyle name="Comma 2 4 2 3 6 2 4 2" xfId="47012" xr:uid="{4FBA3E38-8928-4026-9657-C9E32EB0B3C8}"/>
    <cellStyle name="Comma 2 4 2 3 6 2 4 3" xfId="28758" xr:uid="{22B289B9-02D1-4B61-802F-C20EBCB5105E}"/>
    <cellStyle name="Comma 2 4 2 3 6 2 5" xfId="6854" xr:uid="{ED8F0B6F-F419-4E59-9358-1187768CAB43}"/>
    <cellStyle name="Comma 2 4 2 3 6 2 5 2" xfId="43362" xr:uid="{ACC1924E-C5E3-44A6-A94A-C1D312AD26E3}"/>
    <cellStyle name="Comma 2 4 2 3 6 2 5 3" xfId="25108" xr:uid="{B104C9B6-D314-4647-9332-C568F9F76C2A}"/>
    <cellStyle name="Comma 2 4 2 3 6 2 6" xfId="39712" xr:uid="{817F1AB5-13D2-4128-AA48-A6D04E6EDCDA}"/>
    <cellStyle name="Comma 2 4 2 3 6 2 7" xfId="21458" xr:uid="{BC54F571-9612-428C-9903-66656E4724E3}"/>
    <cellStyle name="Comma 2 4 2 3 6 3" xfId="2474" xr:uid="{F9A9D429-5941-4834-8E30-65CEF979F5BD}"/>
    <cellStyle name="Comma 2 4 2 3 6 3 2" xfId="17074" xr:uid="{744ADF31-2B41-4D6B-9116-F98AC04F5C78}"/>
    <cellStyle name="Comma 2 4 2 3 6 3 2 2" xfId="53582" xr:uid="{09E08BFA-E7EE-4F93-B73D-D879160E066E}"/>
    <cellStyle name="Comma 2 4 2 3 6 3 2 3" xfId="35328" xr:uid="{6ACFE76A-1FEC-4B0E-9057-2122473E6630}"/>
    <cellStyle name="Comma 2 4 2 3 6 3 3" xfId="13424" xr:uid="{2F995716-FC23-4812-A752-1561204C3BE1}"/>
    <cellStyle name="Comma 2 4 2 3 6 3 3 2" xfId="49932" xr:uid="{C26B294A-3524-4D25-AC76-8950EEF36B16}"/>
    <cellStyle name="Comma 2 4 2 3 6 3 3 3" xfId="31678" xr:uid="{1815A0C1-A8CF-4840-A9B6-1EF2D544DCE0}"/>
    <cellStyle name="Comma 2 4 2 3 6 3 4" xfId="9774" xr:uid="{00986C7B-2BD4-426C-9260-F6FC044228D7}"/>
    <cellStyle name="Comma 2 4 2 3 6 3 4 2" xfId="46282" xr:uid="{3B6D1578-56A3-4AA0-982E-999193FF19CE}"/>
    <cellStyle name="Comma 2 4 2 3 6 3 4 3" xfId="28028" xr:uid="{9E0F1EFD-6907-4D19-B432-BE912F76E682}"/>
    <cellStyle name="Comma 2 4 2 3 6 3 5" xfId="6124" xr:uid="{12201497-9413-4415-A45B-A3BEA3D2D215}"/>
    <cellStyle name="Comma 2 4 2 3 6 3 5 2" xfId="42632" xr:uid="{D8BD6FAC-2CAE-4A1D-BCD4-221832F20658}"/>
    <cellStyle name="Comma 2 4 2 3 6 3 5 3" xfId="24378" xr:uid="{677488BC-7CC1-4D68-98A2-7600499FD5C9}"/>
    <cellStyle name="Comma 2 4 2 3 6 3 6" xfId="38982" xr:uid="{340FA3A9-1824-470C-AC14-9E865C7077BF}"/>
    <cellStyle name="Comma 2 4 2 3 6 3 7" xfId="20728" xr:uid="{3AC3E47A-6DF8-45DD-9DC9-8664DCF7D9E0}"/>
    <cellStyle name="Comma 2 4 2 3 6 4" xfId="1744" xr:uid="{5CE2F9C1-1976-41AB-9CEC-FBDFEC9F6477}"/>
    <cellStyle name="Comma 2 4 2 3 6 4 2" xfId="16344" xr:uid="{8CD40FA6-846C-495B-B14F-5BFAF461CAA7}"/>
    <cellStyle name="Comma 2 4 2 3 6 4 2 2" xfId="52852" xr:uid="{67A9B4C6-6723-48D8-83DF-C98BDDDA6268}"/>
    <cellStyle name="Comma 2 4 2 3 6 4 2 3" xfId="34598" xr:uid="{F58F5BD5-611E-4045-B848-CFC69EA64414}"/>
    <cellStyle name="Comma 2 4 2 3 6 4 3" xfId="12694" xr:uid="{35BF62EF-41A4-4FA9-B1F6-2077B99BA8DD}"/>
    <cellStyle name="Comma 2 4 2 3 6 4 3 2" xfId="49202" xr:uid="{85205D71-6C4B-46E6-B4C6-C2E569A723D8}"/>
    <cellStyle name="Comma 2 4 2 3 6 4 3 3" xfId="30948" xr:uid="{3FAEE62F-74FA-41A3-B766-65E0334F40B5}"/>
    <cellStyle name="Comma 2 4 2 3 6 4 4" xfId="9044" xr:uid="{B94B121A-7C08-4AE5-B250-C94AFFBAE963}"/>
    <cellStyle name="Comma 2 4 2 3 6 4 4 2" xfId="45552" xr:uid="{C2397341-8E05-4CA6-8533-0D4C8B4273E6}"/>
    <cellStyle name="Comma 2 4 2 3 6 4 4 3" xfId="27298" xr:uid="{CCAFF900-DC3A-4083-BFC2-3F889B0C224C}"/>
    <cellStyle name="Comma 2 4 2 3 6 4 5" xfId="5394" xr:uid="{4E537BCB-56FC-477F-9662-8822566BFFC3}"/>
    <cellStyle name="Comma 2 4 2 3 6 4 5 2" xfId="41902" xr:uid="{FE3EA057-FEB5-4F8D-B479-4D0FE9716C0B}"/>
    <cellStyle name="Comma 2 4 2 3 6 4 5 3" xfId="23648" xr:uid="{D7CBC48A-B9E0-4310-98E3-7810DA3D9FFC}"/>
    <cellStyle name="Comma 2 4 2 3 6 4 6" xfId="38252" xr:uid="{639D4EE0-E4EA-4FD9-8B22-722EB42C3C99}"/>
    <cellStyle name="Comma 2 4 2 3 6 4 7" xfId="19998" xr:uid="{6DA17F9B-5597-49E7-92A4-174C18BCACB5}"/>
    <cellStyle name="Comma 2 4 2 3 6 5" xfId="1014" xr:uid="{E14203E8-AB0D-47C7-BED1-F2BBABE6DD99}"/>
    <cellStyle name="Comma 2 4 2 3 6 5 2" xfId="15614" xr:uid="{EAFBCEC6-7C38-41D0-87F3-64CC30517040}"/>
    <cellStyle name="Comma 2 4 2 3 6 5 2 2" xfId="52122" xr:uid="{A1434ACC-91B9-4C31-A8E7-45EFA0F1E4DF}"/>
    <cellStyle name="Comma 2 4 2 3 6 5 2 3" xfId="33868" xr:uid="{3CD4A0CF-37C5-4D2C-92B5-2DAD44D9A21D}"/>
    <cellStyle name="Comma 2 4 2 3 6 5 3" xfId="11964" xr:uid="{0183C641-AF63-4426-8F4F-89129CB09D1D}"/>
    <cellStyle name="Comma 2 4 2 3 6 5 3 2" xfId="48472" xr:uid="{1C5340C3-4345-4A12-821C-74F96FD27B13}"/>
    <cellStyle name="Comma 2 4 2 3 6 5 3 3" xfId="30218" xr:uid="{A3646A3C-D744-4107-8B54-240689590506}"/>
    <cellStyle name="Comma 2 4 2 3 6 5 4" xfId="8314" xr:uid="{2446042A-7675-4C3F-8A68-08DC134A4F0D}"/>
    <cellStyle name="Comma 2 4 2 3 6 5 4 2" xfId="44822" xr:uid="{654D5AAB-FD79-44EC-B74D-A642F9377A5F}"/>
    <cellStyle name="Comma 2 4 2 3 6 5 4 3" xfId="26568" xr:uid="{77B18A58-7659-4F22-A8ED-ADD3D4A0CE9E}"/>
    <cellStyle name="Comma 2 4 2 3 6 5 5" xfId="4664" xr:uid="{36C3F5CB-C52A-4E62-844F-14150A11CA5E}"/>
    <cellStyle name="Comma 2 4 2 3 6 5 5 2" xfId="41172" xr:uid="{F57596AC-D961-45C0-A24A-6F28D6B21DEE}"/>
    <cellStyle name="Comma 2 4 2 3 6 5 5 3" xfId="22918" xr:uid="{EAB175F1-2BEB-45EA-885B-9EE3D2343D98}"/>
    <cellStyle name="Comma 2 4 2 3 6 5 6" xfId="37522" xr:uid="{6FB831A7-52F2-45C9-B31E-DBAEB667C1DF}"/>
    <cellStyle name="Comma 2 4 2 3 6 5 7" xfId="19268" xr:uid="{172163C4-1EF9-427D-9818-C05F981F6F24}"/>
    <cellStyle name="Comma 2 4 2 3 6 6" xfId="14884" xr:uid="{2BD5E00B-D06B-4ED7-8161-6FBCBDF65065}"/>
    <cellStyle name="Comma 2 4 2 3 6 6 2" xfId="51392" xr:uid="{6466169F-D6C9-4636-9E96-B53A7E20792A}"/>
    <cellStyle name="Comma 2 4 2 3 6 6 3" xfId="33138" xr:uid="{7A250F42-F988-45D8-9120-D9C4E2575FDF}"/>
    <cellStyle name="Comma 2 4 2 3 6 7" xfId="11234" xr:uid="{93B1977D-86AC-4D23-AF17-D7375CADFDAF}"/>
    <cellStyle name="Comma 2 4 2 3 6 7 2" xfId="47742" xr:uid="{6637CD72-8927-4C28-9CC8-1150B6DE58EA}"/>
    <cellStyle name="Comma 2 4 2 3 6 7 3" xfId="29488" xr:uid="{DFEFD887-DAC6-476F-8DB8-6CF6D909DD86}"/>
    <cellStyle name="Comma 2 4 2 3 6 8" xfId="7584" xr:uid="{50BBEA65-BD0E-4C75-BD6E-A503EF80AB2F}"/>
    <cellStyle name="Comma 2 4 2 3 6 8 2" xfId="44092" xr:uid="{98C2AE7A-E358-410F-9271-1433B658DBDD}"/>
    <cellStyle name="Comma 2 4 2 3 6 8 3" xfId="25838" xr:uid="{5DB81B43-05D6-4D07-B99B-082FD2041141}"/>
    <cellStyle name="Comma 2 4 2 3 6 9" xfId="3934" xr:uid="{8BE8DF98-2B59-476F-B879-43E6A968DD7E}"/>
    <cellStyle name="Comma 2 4 2 3 6 9 2" xfId="40442" xr:uid="{B790C9FB-8A2E-45F0-A953-34CE650C9896}"/>
    <cellStyle name="Comma 2 4 2 3 6 9 3" xfId="22188" xr:uid="{EC0A3DE2-1929-450C-ACD0-8F109A22D7D8}"/>
    <cellStyle name="Comma 2 4 2 3 7" xfId="180" xr:uid="{FF6AE3A2-D68B-47C1-A6E1-5D374DE7030F}"/>
    <cellStyle name="Comma 2 4 2 3 7 10" xfId="36688" xr:uid="{B73639EA-696B-4C12-BF80-7115F40C64B0}"/>
    <cellStyle name="Comma 2 4 2 3 7 11" xfId="18434" xr:uid="{9458E5FA-0747-45C7-8FE9-170C47ED2B6D}"/>
    <cellStyle name="Comma 2 4 2 3 7 2" xfId="3100" xr:uid="{13ACD74B-26AC-4526-92CB-7022534F6BF9}"/>
    <cellStyle name="Comma 2 4 2 3 7 2 2" xfId="17700" xr:uid="{7E9CD7B7-3FD0-4396-845F-30E129760349}"/>
    <cellStyle name="Comma 2 4 2 3 7 2 2 2" xfId="54208" xr:uid="{9DE6DE6B-1503-4934-B8A9-0036245B50E5}"/>
    <cellStyle name="Comma 2 4 2 3 7 2 2 3" xfId="35954" xr:uid="{16497AB7-3C4A-407A-BC00-E78394D05417}"/>
    <cellStyle name="Comma 2 4 2 3 7 2 3" xfId="14050" xr:uid="{CF38204F-1BF2-477A-8252-37DB0037B252}"/>
    <cellStyle name="Comma 2 4 2 3 7 2 3 2" xfId="50558" xr:uid="{D8D3904B-089D-40BA-B6EE-579DC135AD26}"/>
    <cellStyle name="Comma 2 4 2 3 7 2 3 3" xfId="32304" xr:uid="{84D0555E-E027-4F3E-861C-FA0356A03BD2}"/>
    <cellStyle name="Comma 2 4 2 3 7 2 4" xfId="10400" xr:uid="{1CB904F8-4895-4B2A-9AD1-63A495A92DDF}"/>
    <cellStyle name="Comma 2 4 2 3 7 2 4 2" xfId="46908" xr:uid="{DB40E56F-624D-4E2F-BCA0-BE2BBC9D9238}"/>
    <cellStyle name="Comma 2 4 2 3 7 2 4 3" xfId="28654" xr:uid="{26A9E8D6-FF77-4424-AB68-2F3E08808972}"/>
    <cellStyle name="Comma 2 4 2 3 7 2 5" xfId="6750" xr:uid="{6B06CC3A-0574-457A-A5D2-A3C05B70A8FE}"/>
    <cellStyle name="Comma 2 4 2 3 7 2 5 2" xfId="43258" xr:uid="{B23D3B3B-CF4B-4B04-BFAF-F9FCFEBAFFA9}"/>
    <cellStyle name="Comma 2 4 2 3 7 2 5 3" xfId="25004" xr:uid="{BD2340D1-B2BB-47A1-A786-438AA3888DAC}"/>
    <cellStyle name="Comma 2 4 2 3 7 2 6" xfId="39608" xr:uid="{BA41F5C3-1A2D-46A1-9A4A-698E1B2E7BEA}"/>
    <cellStyle name="Comma 2 4 2 3 7 2 7" xfId="21354" xr:uid="{1E8A998D-A37E-4510-A5EB-2FF646CD0E47}"/>
    <cellStyle name="Comma 2 4 2 3 7 3" xfId="2370" xr:uid="{C4F92032-907E-4FFC-8287-0C140EE638C4}"/>
    <cellStyle name="Comma 2 4 2 3 7 3 2" xfId="16970" xr:uid="{CDDA40D5-B9BE-469E-9ACD-119F24BE9387}"/>
    <cellStyle name="Comma 2 4 2 3 7 3 2 2" xfId="53478" xr:uid="{47E0159A-050D-4387-A885-88D4DF331A13}"/>
    <cellStyle name="Comma 2 4 2 3 7 3 2 3" xfId="35224" xr:uid="{ED40FA77-24EF-43DA-A5AD-3AF0207DE048}"/>
    <cellStyle name="Comma 2 4 2 3 7 3 3" xfId="13320" xr:uid="{56E72F2B-CCA3-4558-8914-75130E7269DF}"/>
    <cellStyle name="Comma 2 4 2 3 7 3 3 2" xfId="49828" xr:uid="{03A8E4EA-F0B8-4A77-AA9B-0DF72C6292C6}"/>
    <cellStyle name="Comma 2 4 2 3 7 3 3 3" xfId="31574" xr:uid="{C9B8E6DA-F698-4748-A39B-9655B5512BFA}"/>
    <cellStyle name="Comma 2 4 2 3 7 3 4" xfId="9670" xr:uid="{A0427933-518C-4B12-873A-439A0628B768}"/>
    <cellStyle name="Comma 2 4 2 3 7 3 4 2" xfId="46178" xr:uid="{57E6860D-2C05-4F04-BCC0-324F9FA79753}"/>
    <cellStyle name="Comma 2 4 2 3 7 3 4 3" xfId="27924" xr:uid="{2B75808A-F2BA-42A1-958F-6EF49EA89731}"/>
    <cellStyle name="Comma 2 4 2 3 7 3 5" xfId="6020" xr:uid="{C43E95E8-0AD7-4624-9F54-14C94CE6F426}"/>
    <cellStyle name="Comma 2 4 2 3 7 3 5 2" xfId="42528" xr:uid="{BA8DD607-76DD-4A46-AFB6-827CBE9BC687}"/>
    <cellStyle name="Comma 2 4 2 3 7 3 5 3" xfId="24274" xr:uid="{B5DCF430-7893-453F-8F59-502BA189FB8D}"/>
    <cellStyle name="Comma 2 4 2 3 7 3 6" xfId="38878" xr:uid="{0B89A29F-6DAB-46FF-B892-B39C10E82430}"/>
    <cellStyle name="Comma 2 4 2 3 7 3 7" xfId="20624" xr:uid="{C239B0F2-40AA-4459-AB80-F9174BD79931}"/>
    <cellStyle name="Comma 2 4 2 3 7 4" xfId="1640" xr:uid="{84F017B3-9174-419E-924E-45BBB6270E7F}"/>
    <cellStyle name="Comma 2 4 2 3 7 4 2" xfId="16240" xr:uid="{AC306469-9979-4DAA-A357-44EF48588E70}"/>
    <cellStyle name="Comma 2 4 2 3 7 4 2 2" xfId="52748" xr:uid="{3783502E-3E4A-41DC-A2FA-684FD0564919}"/>
    <cellStyle name="Comma 2 4 2 3 7 4 2 3" xfId="34494" xr:uid="{6D6461F7-C84B-457B-9BC8-E609AA18E2A2}"/>
    <cellStyle name="Comma 2 4 2 3 7 4 3" xfId="12590" xr:uid="{43C4CCC5-C7E0-4454-9DB9-868E2FB6A7FE}"/>
    <cellStyle name="Comma 2 4 2 3 7 4 3 2" xfId="49098" xr:uid="{F9F2DF9E-AD86-4562-B80F-51897857C7A0}"/>
    <cellStyle name="Comma 2 4 2 3 7 4 3 3" xfId="30844" xr:uid="{2BDBB319-D02C-448C-8593-7069D7685806}"/>
    <cellStyle name="Comma 2 4 2 3 7 4 4" xfId="8940" xr:uid="{4CA2306A-C61A-4513-A5C1-9A3589ADD11F}"/>
    <cellStyle name="Comma 2 4 2 3 7 4 4 2" xfId="45448" xr:uid="{56D4C1F7-EF86-4E23-B0AD-A997FB2C0BDF}"/>
    <cellStyle name="Comma 2 4 2 3 7 4 4 3" xfId="27194" xr:uid="{FD5F03D2-6590-4236-8482-C58CB8650C08}"/>
    <cellStyle name="Comma 2 4 2 3 7 4 5" xfId="5290" xr:uid="{BC21EB17-753B-4BB6-B9E6-11F4AAE0024C}"/>
    <cellStyle name="Comma 2 4 2 3 7 4 5 2" xfId="41798" xr:uid="{4244889B-CD99-4070-A1E5-FE6334E486EB}"/>
    <cellStyle name="Comma 2 4 2 3 7 4 5 3" xfId="23544" xr:uid="{04BACE3C-6FFD-4AFE-94C3-BB7E46021444}"/>
    <cellStyle name="Comma 2 4 2 3 7 4 6" xfId="38148" xr:uid="{8C7AB457-5020-4678-B9AF-C5FBD053EC80}"/>
    <cellStyle name="Comma 2 4 2 3 7 4 7" xfId="19894" xr:uid="{BCB8D68F-05C7-4613-80F4-0046A92B407C}"/>
    <cellStyle name="Comma 2 4 2 3 7 5" xfId="910" xr:uid="{07598DE4-FCB9-4090-881B-2FC160E04B6A}"/>
    <cellStyle name="Comma 2 4 2 3 7 5 2" xfId="15510" xr:uid="{E76A98BA-B19B-4C65-B475-87176175FE5A}"/>
    <cellStyle name="Comma 2 4 2 3 7 5 2 2" xfId="52018" xr:uid="{1EAA388F-CB30-4CD3-95BC-AD2BB5C8DB08}"/>
    <cellStyle name="Comma 2 4 2 3 7 5 2 3" xfId="33764" xr:uid="{94DDD702-E4C8-429A-8B0B-BC9930DEC7EC}"/>
    <cellStyle name="Comma 2 4 2 3 7 5 3" xfId="11860" xr:uid="{94A40228-BBDA-4481-BCB7-3CB87FD326B2}"/>
    <cellStyle name="Comma 2 4 2 3 7 5 3 2" xfId="48368" xr:uid="{9DAE350C-29B3-4DF7-90AF-595E20AE978B}"/>
    <cellStyle name="Comma 2 4 2 3 7 5 3 3" xfId="30114" xr:uid="{8196899D-0F01-4D38-AE27-1436A32F7A73}"/>
    <cellStyle name="Comma 2 4 2 3 7 5 4" xfId="8210" xr:uid="{8F53A44B-3085-46F4-B46D-7FD2B073057A}"/>
    <cellStyle name="Comma 2 4 2 3 7 5 4 2" xfId="44718" xr:uid="{F1EE324F-0E3F-49B8-919D-9C1615984F25}"/>
    <cellStyle name="Comma 2 4 2 3 7 5 4 3" xfId="26464" xr:uid="{A8183F9B-DF52-4761-94FB-4088FCFAD18D}"/>
    <cellStyle name="Comma 2 4 2 3 7 5 5" xfId="4560" xr:uid="{7ABF5362-8CFC-40D9-9408-EA0F2D5AC016}"/>
    <cellStyle name="Comma 2 4 2 3 7 5 5 2" xfId="41068" xr:uid="{A94581DE-F085-428E-A85E-6AB6B8934154}"/>
    <cellStyle name="Comma 2 4 2 3 7 5 5 3" xfId="22814" xr:uid="{1473D3C7-313C-45B5-B1BD-4653D84DCBB7}"/>
    <cellStyle name="Comma 2 4 2 3 7 5 6" xfId="37418" xr:uid="{A3581FB1-B2C0-4D4E-B4E3-BE5E84103261}"/>
    <cellStyle name="Comma 2 4 2 3 7 5 7" xfId="19164" xr:uid="{D9F8681F-1093-4F50-9180-11DF521839E6}"/>
    <cellStyle name="Comma 2 4 2 3 7 6" xfId="14780" xr:uid="{4164BA85-3F69-493B-B916-C5D702E47C6C}"/>
    <cellStyle name="Comma 2 4 2 3 7 6 2" xfId="51288" xr:uid="{8D6A8AE7-0528-49BE-8110-094202D55381}"/>
    <cellStyle name="Comma 2 4 2 3 7 6 3" xfId="33034" xr:uid="{5878DADB-771C-458C-963E-0EE948EDDD00}"/>
    <cellStyle name="Comma 2 4 2 3 7 7" xfId="11130" xr:uid="{F5D12FA3-3464-4896-9131-E7014D9F9C11}"/>
    <cellStyle name="Comma 2 4 2 3 7 7 2" xfId="47638" xr:uid="{C5788762-D030-4C74-BDE0-83F59DC6DC36}"/>
    <cellStyle name="Comma 2 4 2 3 7 7 3" xfId="29384" xr:uid="{4350F7D6-EAD7-4AFE-A8F8-A656276D105E}"/>
    <cellStyle name="Comma 2 4 2 3 7 8" xfId="7480" xr:uid="{A01AFCBF-D1D6-4A7C-978E-62B9AFCD3C69}"/>
    <cellStyle name="Comma 2 4 2 3 7 8 2" xfId="43988" xr:uid="{556B02E2-86D9-4677-8DBB-4B3CA71E97A0}"/>
    <cellStyle name="Comma 2 4 2 3 7 8 3" xfId="25734" xr:uid="{46E5F5C5-BA55-4B2C-95C0-563980B38A7B}"/>
    <cellStyle name="Comma 2 4 2 3 7 9" xfId="3830" xr:uid="{3DFEF698-E7E5-46F2-A464-B1EC000F1D7A}"/>
    <cellStyle name="Comma 2 4 2 3 7 9 2" xfId="40338" xr:uid="{8AAFA6AE-B432-42AD-8B36-BFEB848B021D}"/>
    <cellStyle name="Comma 2 4 2 3 7 9 3" xfId="22084" xr:uid="{10546D70-3F14-4A6F-88DF-A493A3ED8922}"/>
    <cellStyle name="Comma 2 4 2 3 8" xfId="2996" xr:uid="{EFC43D10-2AB7-4633-BF9C-5E11318416C4}"/>
    <cellStyle name="Comma 2 4 2 3 8 2" xfId="17596" xr:uid="{C2579229-F245-45EB-84BB-EC23CB8A3470}"/>
    <cellStyle name="Comma 2 4 2 3 8 2 2" xfId="54104" xr:uid="{EC90998E-BB58-45AB-98CC-952D57C9353A}"/>
    <cellStyle name="Comma 2 4 2 3 8 2 3" xfId="35850" xr:uid="{768A240C-9913-48AB-AE2E-13C0A9945033}"/>
    <cellStyle name="Comma 2 4 2 3 8 3" xfId="13946" xr:uid="{853006F9-F723-4A9E-AB3B-769A319C3462}"/>
    <cellStyle name="Comma 2 4 2 3 8 3 2" xfId="50454" xr:uid="{F2E81CD9-9742-46E1-BBED-9C0D5BA89D14}"/>
    <cellStyle name="Comma 2 4 2 3 8 3 3" xfId="32200" xr:uid="{73B22BF4-B7D5-4E56-A48D-3F2F9E4F99FB}"/>
    <cellStyle name="Comma 2 4 2 3 8 4" xfId="10296" xr:uid="{8E8CFF75-5D42-4947-97EA-AF1D62CDBEDB}"/>
    <cellStyle name="Comma 2 4 2 3 8 4 2" xfId="46804" xr:uid="{9DE632F0-630C-4CAE-B9CD-4EC66064C9A0}"/>
    <cellStyle name="Comma 2 4 2 3 8 4 3" xfId="28550" xr:uid="{8718B9C3-F210-4F9A-98D5-ADAE30F12AFD}"/>
    <cellStyle name="Comma 2 4 2 3 8 5" xfId="6646" xr:uid="{43E7A999-A882-4834-B376-02CDC4476BD6}"/>
    <cellStyle name="Comma 2 4 2 3 8 5 2" xfId="43154" xr:uid="{68925951-CF41-4F24-AF4D-4E6172BEDF14}"/>
    <cellStyle name="Comma 2 4 2 3 8 5 3" xfId="24900" xr:uid="{48A14857-C39A-4E42-A922-C40DF332D860}"/>
    <cellStyle name="Comma 2 4 2 3 8 6" xfId="39504" xr:uid="{86CD5C64-AEFD-47C0-AB1A-889458AA990E}"/>
    <cellStyle name="Comma 2 4 2 3 8 7" xfId="21250" xr:uid="{27342C51-CD34-4C82-9999-807A978936A2}"/>
    <cellStyle name="Comma 2 4 2 3 9" xfId="2266" xr:uid="{8FF7EBD0-1BB3-4496-AF4A-F44EB534D26D}"/>
    <cellStyle name="Comma 2 4 2 3 9 2" xfId="16866" xr:uid="{8C783277-74A2-4028-A007-2CC772C810C8}"/>
    <cellStyle name="Comma 2 4 2 3 9 2 2" xfId="53374" xr:uid="{2BA1152F-1B45-4DD6-8050-0307F7C4EEFE}"/>
    <cellStyle name="Comma 2 4 2 3 9 2 3" xfId="35120" xr:uid="{11928D0B-69A7-4B8A-891E-96FF594614A7}"/>
    <cellStyle name="Comma 2 4 2 3 9 3" xfId="13216" xr:uid="{4BF90C63-AD3C-45B8-AF3F-BD95FAAE71EB}"/>
    <cellStyle name="Comma 2 4 2 3 9 3 2" xfId="49724" xr:uid="{D1E03009-FA33-490B-B8DE-91E12CDC4B0D}"/>
    <cellStyle name="Comma 2 4 2 3 9 3 3" xfId="31470" xr:uid="{F5E025CE-26FF-4398-9563-731FFEDC5D91}"/>
    <cellStyle name="Comma 2 4 2 3 9 4" xfId="9566" xr:uid="{69DEB9ED-BFAC-4221-9B2D-C369B3B5EE9C}"/>
    <cellStyle name="Comma 2 4 2 3 9 4 2" xfId="46074" xr:uid="{FC6E55DC-3741-4467-A4BB-1A6B4E5DB6B5}"/>
    <cellStyle name="Comma 2 4 2 3 9 4 3" xfId="27820" xr:uid="{B8F08E85-4D45-41BC-84A3-398C762EF2A3}"/>
    <cellStyle name="Comma 2 4 2 3 9 5" xfId="5916" xr:uid="{FB9B973C-8473-4AC4-81ED-473ADB9F6EEA}"/>
    <cellStyle name="Comma 2 4 2 3 9 5 2" xfId="42424" xr:uid="{9954F931-91C7-472C-95BE-4B40CE960B6C}"/>
    <cellStyle name="Comma 2 4 2 3 9 5 3" xfId="24170" xr:uid="{7B1ABBD5-D7B7-42A5-988F-D3F5BBAF3F26}"/>
    <cellStyle name="Comma 2 4 2 3 9 6" xfId="38774" xr:uid="{41CA7F87-0FBE-4140-A9DD-0B95FC698499}"/>
    <cellStyle name="Comma 2 4 2 3 9 7" xfId="20520" xr:uid="{E32D0225-862C-40C0-BFB7-9975CBADAD09}"/>
    <cellStyle name="Comma 2 4 2 4" xfId="668" xr:uid="{9B3E6B34-79CC-4B1B-8065-4B383D2F5710}"/>
    <cellStyle name="Comma 2 4 2 4 10" xfId="37176" xr:uid="{891FF947-E99C-4E8C-AC7A-0451B3D1C1DF}"/>
    <cellStyle name="Comma 2 4 2 4 11" xfId="18922" xr:uid="{2A4A18AA-A221-4328-BB2A-D3237A7C252C}"/>
    <cellStyle name="Comma 2 4 2 4 2" xfId="3588" xr:uid="{DC72CB44-7DF8-4C70-95D9-F167DD712B3E}"/>
    <cellStyle name="Comma 2 4 2 4 2 2" xfId="18188" xr:uid="{C3904800-BC3C-4DBE-9FF7-89B68AF8DB9B}"/>
    <cellStyle name="Comma 2 4 2 4 2 2 2" xfId="54696" xr:uid="{A2778B89-956C-4BBC-B0B4-D8D85A92F22E}"/>
    <cellStyle name="Comma 2 4 2 4 2 2 3" xfId="36442" xr:uid="{B74E13F0-5955-4AE6-B2FD-6A4EE7AA4507}"/>
    <cellStyle name="Comma 2 4 2 4 2 3" xfId="14538" xr:uid="{8991B569-A0F0-4415-AA83-2E720B01C663}"/>
    <cellStyle name="Comma 2 4 2 4 2 3 2" xfId="51046" xr:uid="{E8A161B9-4C46-4931-9D72-CF423971DD40}"/>
    <cellStyle name="Comma 2 4 2 4 2 3 3" xfId="32792" xr:uid="{C5191848-4C1F-49A1-9532-673E90779D73}"/>
    <cellStyle name="Comma 2 4 2 4 2 4" xfId="10888" xr:uid="{227E2AAC-7A3F-4B5F-806E-374CF02A7CA1}"/>
    <cellStyle name="Comma 2 4 2 4 2 4 2" xfId="47396" xr:uid="{F9DC51DC-C1C6-45F1-A33C-6C73E577AA05}"/>
    <cellStyle name="Comma 2 4 2 4 2 4 3" xfId="29142" xr:uid="{47EC657F-D064-49A4-8A7D-A44C728282AF}"/>
    <cellStyle name="Comma 2 4 2 4 2 5" xfId="7238" xr:uid="{3309289B-95B0-4D70-A3F4-D982A76E4B20}"/>
    <cellStyle name="Comma 2 4 2 4 2 5 2" xfId="43746" xr:uid="{46681BC3-0EB4-48BE-8F9C-9F776321AF10}"/>
    <cellStyle name="Comma 2 4 2 4 2 5 3" xfId="25492" xr:uid="{DB184F3F-05E9-474C-9FFC-346D1D1F3D0B}"/>
    <cellStyle name="Comma 2 4 2 4 2 6" xfId="40096" xr:uid="{083E7099-074F-4F56-BECA-926C241F742B}"/>
    <cellStyle name="Comma 2 4 2 4 2 7" xfId="21842" xr:uid="{DB952EDF-6203-4FB4-82C1-227DF0CCC878}"/>
    <cellStyle name="Comma 2 4 2 4 3" xfId="2858" xr:uid="{F3355B88-5461-4A0F-91C8-430B192212C5}"/>
    <cellStyle name="Comma 2 4 2 4 3 2" xfId="17458" xr:uid="{7B7082F2-86EB-4336-9EAE-992C11AC8773}"/>
    <cellStyle name="Comma 2 4 2 4 3 2 2" xfId="53966" xr:uid="{7D3087FD-14A4-4F84-A05E-2BEA69B5569C}"/>
    <cellStyle name="Comma 2 4 2 4 3 2 3" xfId="35712" xr:uid="{2F72D734-5BA6-408C-88BC-8EBB5CE81279}"/>
    <cellStyle name="Comma 2 4 2 4 3 3" xfId="13808" xr:uid="{9FCCA371-3DAD-47CB-A239-0FBCE54414EE}"/>
    <cellStyle name="Comma 2 4 2 4 3 3 2" xfId="50316" xr:uid="{1FD26255-C61F-44C6-BA0D-0F3824F8D7FE}"/>
    <cellStyle name="Comma 2 4 2 4 3 3 3" xfId="32062" xr:uid="{4794A2A2-F9D8-4D21-96ED-4F921992B301}"/>
    <cellStyle name="Comma 2 4 2 4 3 4" xfId="10158" xr:uid="{0DC2B7CF-A23E-4D46-BC37-8AFBA68F80EC}"/>
    <cellStyle name="Comma 2 4 2 4 3 4 2" xfId="46666" xr:uid="{745317C6-95E9-4408-9F1B-934D89EE120A}"/>
    <cellStyle name="Comma 2 4 2 4 3 4 3" xfId="28412" xr:uid="{3369A150-AFFF-405D-975A-5FD9E7DD3599}"/>
    <cellStyle name="Comma 2 4 2 4 3 5" xfId="6508" xr:uid="{13D403D1-501E-44D9-88B7-1CB973FCC479}"/>
    <cellStyle name="Comma 2 4 2 4 3 5 2" xfId="43016" xr:uid="{C9DCDCFB-1351-4FD3-B96A-3EA2BECE0A2C}"/>
    <cellStyle name="Comma 2 4 2 4 3 5 3" xfId="24762" xr:uid="{6B30F583-8E3B-4913-A3E6-5D859916A1DC}"/>
    <cellStyle name="Comma 2 4 2 4 3 6" xfId="39366" xr:uid="{0C0F3C81-764D-4049-BA9F-B0623D44F028}"/>
    <cellStyle name="Comma 2 4 2 4 3 7" xfId="21112" xr:uid="{AAD114C9-E3D9-45D2-AEEC-32DF9C50A481}"/>
    <cellStyle name="Comma 2 4 2 4 4" xfId="2128" xr:uid="{A968A527-804B-4482-9159-EFF777422807}"/>
    <cellStyle name="Comma 2 4 2 4 4 2" xfId="16728" xr:uid="{FFB53EA5-A31F-49B6-A70D-0BED65D649CF}"/>
    <cellStyle name="Comma 2 4 2 4 4 2 2" xfId="53236" xr:uid="{18F66E46-7819-4338-8F94-8D0D81AEA6F3}"/>
    <cellStyle name="Comma 2 4 2 4 4 2 3" xfId="34982" xr:uid="{64241A35-4DF7-4CD3-B145-7AADC09A350C}"/>
    <cellStyle name="Comma 2 4 2 4 4 3" xfId="13078" xr:uid="{32DE4149-856A-4B21-BB35-30829FCC0F2F}"/>
    <cellStyle name="Comma 2 4 2 4 4 3 2" xfId="49586" xr:uid="{F3968872-9D4F-4015-8206-FECE6CA7BA55}"/>
    <cellStyle name="Comma 2 4 2 4 4 3 3" xfId="31332" xr:uid="{DD4FF69A-5615-4934-9722-42ADE3E865D6}"/>
    <cellStyle name="Comma 2 4 2 4 4 4" xfId="9428" xr:uid="{53F22141-1550-419B-A494-58F1968013B8}"/>
    <cellStyle name="Comma 2 4 2 4 4 4 2" xfId="45936" xr:uid="{484ACF00-4010-46A0-ACB6-74A799F11D95}"/>
    <cellStyle name="Comma 2 4 2 4 4 4 3" xfId="27682" xr:uid="{8E9A16F2-E427-4502-A46C-324ED033807D}"/>
    <cellStyle name="Comma 2 4 2 4 4 5" xfId="5778" xr:uid="{9D8D5496-4285-4294-87C9-5A2394FCE945}"/>
    <cellStyle name="Comma 2 4 2 4 4 5 2" xfId="42286" xr:uid="{41F87FE5-935A-4573-B4E3-A766687FD6D6}"/>
    <cellStyle name="Comma 2 4 2 4 4 5 3" xfId="24032" xr:uid="{C8280CC7-52A6-40FB-A435-E769C4AA05FD}"/>
    <cellStyle name="Comma 2 4 2 4 4 6" xfId="38636" xr:uid="{705A406A-275E-43DF-A72A-666DFB7EFB32}"/>
    <cellStyle name="Comma 2 4 2 4 4 7" xfId="20382" xr:uid="{A6AFFB9E-224B-4098-BA9B-8212A8F968DA}"/>
    <cellStyle name="Comma 2 4 2 4 5" xfId="1398" xr:uid="{F494868B-9322-4C53-808C-B162A36DA4AA}"/>
    <cellStyle name="Comma 2 4 2 4 5 2" xfId="15998" xr:uid="{C98A288B-96C7-4034-B137-CD84EDE4B985}"/>
    <cellStyle name="Comma 2 4 2 4 5 2 2" xfId="52506" xr:uid="{3A021A3C-9587-45BA-940B-3CD0BFCE4DA1}"/>
    <cellStyle name="Comma 2 4 2 4 5 2 3" xfId="34252" xr:uid="{BFA268F1-9C18-4DCC-AB32-38A3378A8D0C}"/>
    <cellStyle name="Comma 2 4 2 4 5 3" xfId="12348" xr:uid="{046A419F-761B-4935-8810-27BE37856FBB}"/>
    <cellStyle name="Comma 2 4 2 4 5 3 2" xfId="48856" xr:uid="{658E9C88-2951-4389-868D-64E6E9A5D338}"/>
    <cellStyle name="Comma 2 4 2 4 5 3 3" xfId="30602" xr:uid="{6C916A4E-85F9-4B48-A264-7AD1971D7F2F}"/>
    <cellStyle name="Comma 2 4 2 4 5 4" xfId="8698" xr:uid="{9F8C9135-4897-4BE3-B8E1-DB1E7CDE724A}"/>
    <cellStyle name="Comma 2 4 2 4 5 4 2" xfId="45206" xr:uid="{2000EAAF-00C7-4E96-867C-24F004B62428}"/>
    <cellStyle name="Comma 2 4 2 4 5 4 3" xfId="26952" xr:uid="{46256F9D-4C9C-433E-846D-FE5426419AF4}"/>
    <cellStyle name="Comma 2 4 2 4 5 5" xfId="5048" xr:uid="{3CBBBD52-F65F-4126-99F5-F192D59D98DF}"/>
    <cellStyle name="Comma 2 4 2 4 5 5 2" xfId="41556" xr:uid="{4EC33187-EDEC-4966-9263-73F777BCB9B8}"/>
    <cellStyle name="Comma 2 4 2 4 5 5 3" xfId="23302" xr:uid="{FB75DA68-654B-49BC-AB40-CA1D832EC870}"/>
    <cellStyle name="Comma 2 4 2 4 5 6" xfId="37906" xr:uid="{77B6472C-B00D-4123-9F2B-A4A1DF43CF7D}"/>
    <cellStyle name="Comma 2 4 2 4 5 7" xfId="19652" xr:uid="{8CE24068-D9DC-4521-B376-35CE955AE775}"/>
    <cellStyle name="Comma 2 4 2 4 6" xfId="15268" xr:uid="{141DFBFC-BFDC-49B2-B72F-ED6000DC0DE1}"/>
    <cellStyle name="Comma 2 4 2 4 6 2" xfId="51776" xr:uid="{9FDBC6B0-1FE0-4CBA-A5C5-FD6D77597A32}"/>
    <cellStyle name="Comma 2 4 2 4 6 3" xfId="33522" xr:uid="{E1D7E02A-AD11-4507-AAD5-E030B572A1A4}"/>
    <cellStyle name="Comma 2 4 2 4 7" xfId="11618" xr:uid="{AD50E122-9F6C-4897-96A9-413E899DE899}"/>
    <cellStyle name="Comma 2 4 2 4 7 2" xfId="48126" xr:uid="{46E1030C-A568-4F96-BD54-905060BA8002}"/>
    <cellStyle name="Comma 2 4 2 4 7 3" xfId="29872" xr:uid="{6A8AE769-6139-42FD-AF09-B62AA30CFB26}"/>
    <cellStyle name="Comma 2 4 2 4 8" xfId="7968" xr:uid="{90C53B9D-EE70-4451-9271-29404C6D175E}"/>
    <cellStyle name="Comma 2 4 2 4 8 2" xfId="44476" xr:uid="{41789760-099F-443E-A7E1-4067E8C6F7AA}"/>
    <cellStyle name="Comma 2 4 2 4 8 3" xfId="26222" xr:uid="{F6FA53A3-F688-498D-9B0A-C5482C308AA8}"/>
    <cellStyle name="Comma 2 4 2 4 9" xfId="4318" xr:uid="{C8C76446-F96D-4250-961A-782C8F15F6B3}"/>
    <cellStyle name="Comma 2 4 2 4 9 2" xfId="40826" xr:uid="{1B5B8775-6A8D-4885-A9FA-4A8A5C2F5720}"/>
    <cellStyle name="Comma 2 4 2 4 9 3" xfId="22572" xr:uid="{6E4C0146-A0D7-47B2-A3B7-78E4BFBC4ECF}"/>
    <cellStyle name="Comma 2 4 2 5" xfId="564" xr:uid="{DC761B7E-CBD7-484C-968D-8F405061CD80}"/>
    <cellStyle name="Comma 2 4 2 5 10" xfId="37072" xr:uid="{6DABEBDA-D34E-4DC7-9401-596460C55084}"/>
    <cellStyle name="Comma 2 4 2 5 11" xfId="18818" xr:uid="{602622C4-1796-4996-B78B-3FBC627AE055}"/>
    <cellStyle name="Comma 2 4 2 5 2" xfId="3484" xr:uid="{1507B909-921E-437B-97F9-35830A0E51E6}"/>
    <cellStyle name="Comma 2 4 2 5 2 2" xfId="18084" xr:uid="{C52F4516-3000-43C0-9E4B-0A209A10CEBD}"/>
    <cellStyle name="Comma 2 4 2 5 2 2 2" xfId="54592" xr:uid="{80A33436-4D5A-46D6-A613-3B45715F0DE8}"/>
    <cellStyle name="Comma 2 4 2 5 2 2 3" xfId="36338" xr:uid="{FDD4C3D0-0B90-4472-9C21-D358311A27EE}"/>
    <cellStyle name="Comma 2 4 2 5 2 3" xfId="14434" xr:uid="{3B89DE3B-AD0D-4BD9-BC38-62AD36045DBC}"/>
    <cellStyle name="Comma 2 4 2 5 2 3 2" xfId="50942" xr:uid="{002C8500-AFC0-4121-B8F4-AB78C47B9100}"/>
    <cellStyle name="Comma 2 4 2 5 2 3 3" xfId="32688" xr:uid="{B0E3D31A-AE57-45CE-9D08-8F1266F3413A}"/>
    <cellStyle name="Comma 2 4 2 5 2 4" xfId="10784" xr:uid="{345CA658-5428-43F6-A247-C161C773CAFB}"/>
    <cellStyle name="Comma 2 4 2 5 2 4 2" xfId="47292" xr:uid="{F8F6770D-68FD-4FEF-BAE9-25FCEE6B9FEF}"/>
    <cellStyle name="Comma 2 4 2 5 2 4 3" xfId="29038" xr:uid="{EFA48D05-F3F8-4EE7-A966-3477A4D4987C}"/>
    <cellStyle name="Comma 2 4 2 5 2 5" xfId="7134" xr:uid="{9C2E53C9-698A-4B92-97CE-05DFEDC626F3}"/>
    <cellStyle name="Comma 2 4 2 5 2 5 2" xfId="43642" xr:uid="{9CED7E1F-7BA3-402C-BBA6-2277A112213D}"/>
    <cellStyle name="Comma 2 4 2 5 2 5 3" xfId="25388" xr:uid="{768B7888-A5C2-4771-AC1F-A6A2A95EE33E}"/>
    <cellStyle name="Comma 2 4 2 5 2 6" xfId="39992" xr:uid="{98F50299-B916-44B8-A3C1-D92F2E1360AC}"/>
    <cellStyle name="Comma 2 4 2 5 2 7" xfId="21738" xr:uid="{288C7C34-BDE3-42AB-827C-5511F6642402}"/>
    <cellStyle name="Comma 2 4 2 5 3" xfId="2754" xr:uid="{916EC3E4-F5D5-444B-B7DE-0A71A0D93502}"/>
    <cellStyle name="Comma 2 4 2 5 3 2" xfId="17354" xr:uid="{B8B19AD2-7B0E-4C4E-804F-0F7B68FE08F7}"/>
    <cellStyle name="Comma 2 4 2 5 3 2 2" xfId="53862" xr:uid="{221C0F60-B22F-4404-8014-795145C8509A}"/>
    <cellStyle name="Comma 2 4 2 5 3 2 3" xfId="35608" xr:uid="{DE3BFFEE-8A2B-41A6-B645-3CF2AD36A78F}"/>
    <cellStyle name="Comma 2 4 2 5 3 3" xfId="13704" xr:uid="{F40D655F-A971-4693-B31C-9AAEE2F1D2B5}"/>
    <cellStyle name="Comma 2 4 2 5 3 3 2" xfId="50212" xr:uid="{33CCE6E4-C467-4E22-84DC-242B4D5D5FF8}"/>
    <cellStyle name="Comma 2 4 2 5 3 3 3" xfId="31958" xr:uid="{72E3C988-F14B-43FA-A28D-13D73AFACE76}"/>
    <cellStyle name="Comma 2 4 2 5 3 4" xfId="10054" xr:uid="{D8456768-6C59-4341-8574-E2AFC012D280}"/>
    <cellStyle name="Comma 2 4 2 5 3 4 2" xfId="46562" xr:uid="{F270962C-DA6A-4DBE-A194-7A19F7C9F853}"/>
    <cellStyle name="Comma 2 4 2 5 3 4 3" xfId="28308" xr:uid="{090331D4-32AB-4DDF-8E12-49CFA643056A}"/>
    <cellStyle name="Comma 2 4 2 5 3 5" xfId="6404" xr:uid="{51C41EE4-8994-431D-91B5-A4ECAFB60207}"/>
    <cellStyle name="Comma 2 4 2 5 3 5 2" xfId="42912" xr:uid="{E3BC1D51-0ABF-42F5-82BD-792C7306D596}"/>
    <cellStyle name="Comma 2 4 2 5 3 5 3" xfId="24658" xr:uid="{909BD4EC-61BC-4C88-ACE9-1AA57EAC122E}"/>
    <cellStyle name="Comma 2 4 2 5 3 6" xfId="39262" xr:uid="{2BB04A2C-7808-4024-8237-3F152BA2D6AA}"/>
    <cellStyle name="Comma 2 4 2 5 3 7" xfId="21008" xr:uid="{8BC20FF0-BD03-4149-9786-3B2A42BB2390}"/>
    <cellStyle name="Comma 2 4 2 5 4" xfId="2024" xr:uid="{7BC3C6BC-88F1-406A-8CEF-D3B7FAC115E4}"/>
    <cellStyle name="Comma 2 4 2 5 4 2" xfId="16624" xr:uid="{BEC5F8ED-1A80-4361-B75B-49368E87FDEC}"/>
    <cellStyle name="Comma 2 4 2 5 4 2 2" xfId="53132" xr:uid="{D9351867-46A5-43C6-AD66-FC867B7048A2}"/>
    <cellStyle name="Comma 2 4 2 5 4 2 3" xfId="34878" xr:uid="{5A14403F-1DE9-4B3E-BA9A-030180928913}"/>
    <cellStyle name="Comma 2 4 2 5 4 3" xfId="12974" xr:uid="{7C0C6D5D-5816-4A22-AB83-FECB139CBF3F}"/>
    <cellStyle name="Comma 2 4 2 5 4 3 2" xfId="49482" xr:uid="{B8C02D78-E727-4879-977F-0615CC76B877}"/>
    <cellStyle name="Comma 2 4 2 5 4 3 3" xfId="31228" xr:uid="{2151E83A-71BE-4C78-9F67-2CEA07C11A6E}"/>
    <cellStyle name="Comma 2 4 2 5 4 4" xfId="9324" xr:uid="{E29DC1E7-DEE0-40B9-B90A-2A74FC5D95C4}"/>
    <cellStyle name="Comma 2 4 2 5 4 4 2" xfId="45832" xr:uid="{A529D79B-20A6-406A-A6A4-3BC7E1A384EF}"/>
    <cellStyle name="Comma 2 4 2 5 4 4 3" xfId="27578" xr:uid="{0E1DCE65-5455-4187-9A7D-66C4637E1809}"/>
    <cellStyle name="Comma 2 4 2 5 4 5" xfId="5674" xr:uid="{1EEE9829-3591-43F4-89C7-843D6574AAE8}"/>
    <cellStyle name="Comma 2 4 2 5 4 5 2" xfId="42182" xr:uid="{9EA9EC58-2D3C-490F-A4ED-4ADB4A32AFE0}"/>
    <cellStyle name="Comma 2 4 2 5 4 5 3" xfId="23928" xr:uid="{82E558F7-8156-47FB-9756-2B35ED9A1629}"/>
    <cellStyle name="Comma 2 4 2 5 4 6" xfId="38532" xr:uid="{55D135D2-8CC4-483E-9EFD-7838963A80D6}"/>
    <cellStyle name="Comma 2 4 2 5 4 7" xfId="20278" xr:uid="{E68534E9-B5BC-46B8-BFB1-9462BAA1C213}"/>
    <cellStyle name="Comma 2 4 2 5 5" xfId="1294" xr:uid="{AE27D9BF-4B58-4D01-8E43-F4C0D7CEE051}"/>
    <cellStyle name="Comma 2 4 2 5 5 2" xfId="15894" xr:uid="{BE251E92-A2B7-41B6-8899-4E478508F0BC}"/>
    <cellStyle name="Comma 2 4 2 5 5 2 2" xfId="52402" xr:uid="{362782D0-F423-4634-9B39-EF5CA5B08610}"/>
    <cellStyle name="Comma 2 4 2 5 5 2 3" xfId="34148" xr:uid="{BBD57D7B-B669-4E3E-BF5B-EFFB84CE8E67}"/>
    <cellStyle name="Comma 2 4 2 5 5 3" xfId="12244" xr:uid="{F63D1563-BBD1-4BC7-BA09-BD0C993DA727}"/>
    <cellStyle name="Comma 2 4 2 5 5 3 2" xfId="48752" xr:uid="{3F67E683-2566-44F7-8128-B4B6877F5E18}"/>
    <cellStyle name="Comma 2 4 2 5 5 3 3" xfId="30498" xr:uid="{D728B7E3-4875-4676-BF83-A84DD60708A2}"/>
    <cellStyle name="Comma 2 4 2 5 5 4" xfId="8594" xr:uid="{258BDD4A-56F6-40F2-A76F-0391AEB85669}"/>
    <cellStyle name="Comma 2 4 2 5 5 4 2" xfId="45102" xr:uid="{A68313CE-02B4-4EBF-BD45-BC0F498944AF}"/>
    <cellStyle name="Comma 2 4 2 5 5 4 3" xfId="26848" xr:uid="{8699287C-FE3A-4CED-80B6-B000EC8527F9}"/>
    <cellStyle name="Comma 2 4 2 5 5 5" xfId="4944" xr:uid="{1C1A5E23-0752-40D5-A78D-6CEE400658B9}"/>
    <cellStyle name="Comma 2 4 2 5 5 5 2" xfId="41452" xr:uid="{957C5411-731F-4461-AAAB-FFC3836679CF}"/>
    <cellStyle name="Comma 2 4 2 5 5 5 3" xfId="23198" xr:uid="{2ABD9E7F-DF0D-43BC-936C-DD31A1C90CD8}"/>
    <cellStyle name="Comma 2 4 2 5 5 6" xfId="37802" xr:uid="{EA1D0AD0-EE3E-4EB2-B5FC-DD1138242576}"/>
    <cellStyle name="Comma 2 4 2 5 5 7" xfId="19548" xr:uid="{822F3327-9857-4026-B5D2-61E551D95156}"/>
    <cellStyle name="Comma 2 4 2 5 6" xfId="15164" xr:uid="{2CC87982-C701-4B42-BE9B-2C7EC6BED5DD}"/>
    <cellStyle name="Comma 2 4 2 5 6 2" xfId="51672" xr:uid="{7015304E-42BC-4DC9-8C1A-2EA64E0F6839}"/>
    <cellStyle name="Comma 2 4 2 5 6 3" xfId="33418" xr:uid="{C518E007-4D14-424F-9428-7B9382335792}"/>
    <cellStyle name="Comma 2 4 2 5 7" xfId="11514" xr:uid="{4CABB0A6-4402-47B7-94AB-D0BD9DC92CAA}"/>
    <cellStyle name="Comma 2 4 2 5 7 2" xfId="48022" xr:uid="{41B169F8-A27E-4051-82F0-7AE7A02E0F70}"/>
    <cellStyle name="Comma 2 4 2 5 7 3" xfId="29768" xr:uid="{18A8AD09-BE29-4C73-9D81-B94686B80DD0}"/>
    <cellStyle name="Comma 2 4 2 5 8" xfId="7864" xr:uid="{B484D196-CA83-4A69-AC71-63A0220F7214}"/>
    <cellStyle name="Comma 2 4 2 5 8 2" xfId="44372" xr:uid="{B1B49971-8171-407F-89AB-6D5A7C59D610}"/>
    <cellStyle name="Comma 2 4 2 5 8 3" xfId="26118" xr:uid="{D8726CFD-820B-4D07-9071-91FFEFE0B3C7}"/>
    <cellStyle name="Comma 2 4 2 5 9" xfId="4214" xr:uid="{B3DF6D64-A67D-47F9-838D-20A3644EFEC2}"/>
    <cellStyle name="Comma 2 4 2 5 9 2" xfId="40722" xr:uid="{95F6EA51-2F86-4019-A60F-F6C421E98423}"/>
    <cellStyle name="Comma 2 4 2 5 9 3" xfId="22468" xr:uid="{6A0F0BF0-2E29-4252-BC66-F50EBB2312C8}"/>
    <cellStyle name="Comma 2 4 2 6" xfId="460" xr:uid="{C53E5C4A-60DE-4F0B-A7EC-80A25210BF8C}"/>
    <cellStyle name="Comma 2 4 2 6 10" xfId="36968" xr:uid="{364CAF19-E0A8-4F00-8069-ED1235A050AC}"/>
    <cellStyle name="Comma 2 4 2 6 11" xfId="18714" xr:uid="{DCC57704-722C-46E0-9957-C0AF84780F95}"/>
    <cellStyle name="Comma 2 4 2 6 2" xfId="3380" xr:uid="{047C8C09-D6FB-4191-A6C5-0ED87A71967E}"/>
    <cellStyle name="Comma 2 4 2 6 2 2" xfId="17980" xr:uid="{4BDC9180-54C4-4DBB-8A86-4CF6C2DBF446}"/>
    <cellStyle name="Comma 2 4 2 6 2 2 2" xfId="54488" xr:uid="{FAA94312-78AE-4ED8-AA75-FA66CE00A797}"/>
    <cellStyle name="Comma 2 4 2 6 2 2 3" xfId="36234" xr:uid="{81BAA8F1-1B4D-4256-874E-7CB69E46D2FF}"/>
    <cellStyle name="Comma 2 4 2 6 2 3" xfId="14330" xr:uid="{9F167282-37A7-469F-A287-AAC4CB307E9F}"/>
    <cellStyle name="Comma 2 4 2 6 2 3 2" xfId="50838" xr:uid="{B21445A4-60B2-4E17-B806-4043EA5BFEE9}"/>
    <cellStyle name="Comma 2 4 2 6 2 3 3" xfId="32584" xr:uid="{978C74E0-AC3E-4E37-B6D6-23C776F1F0FA}"/>
    <cellStyle name="Comma 2 4 2 6 2 4" xfId="10680" xr:uid="{25364B8A-7FD1-41B6-A0A8-5AB722ABD004}"/>
    <cellStyle name="Comma 2 4 2 6 2 4 2" xfId="47188" xr:uid="{46D894F7-45EC-44C6-B635-9CA306C3510E}"/>
    <cellStyle name="Comma 2 4 2 6 2 4 3" xfId="28934" xr:uid="{FAB3F73D-5382-4128-9A78-3F86555ECA87}"/>
    <cellStyle name="Comma 2 4 2 6 2 5" xfId="7030" xr:uid="{682C685E-CF83-4852-A6FF-ED672F49AFF9}"/>
    <cellStyle name="Comma 2 4 2 6 2 5 2" xfId="43538" xr:uid="{541EAC19-EFB1-4863-93C5-44D2C7B9FD5B}"/>
    <cellStyle name="Comma 2 4 2 6 2 5 3" xfId="25284" xr:uid="{43A2EEE7-1F45-4006-85E3-1EAC6F1A574B}"/>
    <cellStyle name="Comma 2 4 2 6 2 6" xfId="39888" xr:uid="{E15782DE-ABDF-4893-BDE4-44026459BC73}"/>
    <cellStyle name="Comma 2 4 2 6 2 7" xfId="21634" xr:uid="{5820688F-DCCC-4C7B-9813-43108E4E6D2C}"/>
    <cellStyle name="Comma 2 4 2 6 3" xfId="2650" xr:uid="{48DEC89B-B8E7-4E62-A04D-A52BCF99C5CB}"/>
    <cellStyle name="Comma 2 4 2 6 3 2" xfId="17250" xr:uid="{739C6AE5-1702-4656-BC99-C6766C1BFD20}"/>
    <cellStyle name="Comma 2 4 2 6 3 2 2" xfId="53758" xr:uid="{134CDE2D-BB8A-47DB-8EFA-BFA935C17FAF}"/>
    <cellStyle name="Comma 2 4 2 6 3 2 3" xfId="35504" xr:uid="{F546FAFE-1849-4520-8B1D-C0B9A987877D}"/>
    <cellStyle name="Comma 2 4 2 6 3 3" xfId="13600" xr:uid="{7B8EAD6C-595E-4F3E-B4BC-14633107C15C}"/>
    <cellStyle name="Comma 2 4 2 6 3 3 2" xfId="50108" xr:uid="{8D01EBB9-2315-4B65-B561-9EEB60E8AC7D}"/>
    <cellStyle name="Comma 2 4 2 6 3 3 3" xfId="31854" xr:uid="{56C43AE2-4C78-4BE8-BEB1-8211AD99A0DB}"/>
    <cellStyle name="Comma 2 4 2 6 3 4" xfId="9950" xr:uid="{3B293059-2457-4242-BE26-ACBE40FA14B2}"/>
    <cellStyle name="Comma 2 4 2 6 3 4 2" xfId="46458" xr:uid="{98205800-ED20-4F73-9D8D-4973A0719092}"/>
    <cellStyle name="Comma 2 4 2 6 3 4 3" xfId="28204" xr:uid="{CD811105-D94D-42D0-99CF-A4131ED01DD6}"/>
    <cellStyle name="Comma 2 4 2 6 3 5" xfId="6300" xr:uid="{7FDC1D8F-2002-4494-BF2D-744860476EF7}"/>
    <cellStyle name="Comma 2 4 2 6 3 5 2" xfId="42808" xr:uid="{A76CCD34-0779-44EF-B043-914525DE5094}"/>
    <cellStyle name="Comma 2 4 2 6 3 5 3" xfId="24554" xr:uid="{C7FF3959-ABA9-489B-B8FA-54154A6445F9}"/>
    <cellStyle name="Comma 2 4 2 6 3 6" xfId="39158" xr:uid="{597BC201-CD3F-4FAA-A5B1-2C471FCEF283}"/>
    <cellStyle name="Comma 2 4 2 6 3 7" xfId="20904" xr:uid="{3AC79BB3-B72D-4547-8198-2C2C3D4E2DA8}"/>
    <cellStyle name="Comma 2 4 2 6 4" xfId="1920" xr:uid="{631FF031-9A08-4548-9EEA-A0F1F7C4E754}"/>
    <cellStyle name="Comma 2 4 2 6 4 2" xfId="16520" xr:uid="{2D409B8A-30A6-466D-9BF1-BDD8B185FD8F}"/>
    <cellStyle name="Comma 2 4 2 6 4 2 2" xfId="53028" xr:uid="{C042D390-E528-4500-91ED-EDEE94D19EEB}"/>
    <cellStyle name="Comma 2 4 2 6 4 2 3" xfId="34774" xr:uid="{CB02F3A7-EE41-4B47-B068-EF6E044F8929}"/>
    <cellStyle name="Comma 2 4 2 6 4 3" xfId="12870" xr:uid="{7033B1E0-B132-458E-927C-F0F7150A7CE8}"/>
    <cellStyle name="Comma 2 4 2 6 4 3 2" xfId="49378" xr:uid="{282F723D-DC39-4D36-877F-22E4B0FD76D4}"/>
    <cellStyle name="Comma 2 4 2 6 4 3 3" xfId="31124" xr:uid="{DAE404EE-0C48-4BFC-8D28-73372C5A0F6C}"/>
    <cellStyle name="Comma 2 4 2 6 4 4" xfId="9220" xr:uid="{C6CEF01D-6F4F-4B2F-A7B8-94E3B36581B8}"/>
    <cellStyle name="Comma 2 4 2 6 4 4 2" xfId="45728" xr:uid="{051B871A-79B5-4754-A417-701CC0AACC67}"/>
    <cellStyle name="Comma 2 4 2 6 4 4 3" xfId="27474" xr:uid="{9F3B64A2-32C8-42AD-9C0B-6006AC18E07F}"/>
    <cellStyle name="Comma 2 4 2 6 4 5" xfId="5570" xr:uid="{31AC634B-FEAE-4E05-935A-B23260ADDB24}"/>
    <cellStyle name="Comma 2 4 2 6 4 5 2" xfId="42078" xr:uid="{0717FC88-2CEA-4C01-AE31-80E9E1E28D01}"/>
    <cellStyle name="Comma 2 4 2 6 4 5 3" xfId="23824" xr:uid="{0CC22CB1-FC78-41CB-8B35-410DC231C4E9}"/>
    <cellStyle name="Comma 2 4 2 6 4 6" xfId="38428" xr:uid="{2CACFA8A-D68B-42B4-A870-37BAFF204D4E}"/>
    <cellStyle name="Comma 2 4 2 6 4 7" xfId="20174" xr:uid="{2D237D7E-7543-4056-A2AA-B72B4A6DE69F}"/>
    <cellStyle name="Comma 2 4 2 6 5" xfId="1190" xr:uid="{A2549C8A-C8A6-49A1-91E4-D6D1B333435F}"/>
    <cellStyle name="Comma 2 4 2 6 5 2" xfId="15790" xr:uid="{C0ACD044-9B75-4785-A35C-C5CBAEBDA72B}"/>
    <cellStyle name="Comma 2 4 2 6 5 2 2" xfId="52298" xr:uid="{90CFC76C-0FA3-4AB7-B2BE-FB53DDFC983D}"/>
    <cellStyle name="Comma 2 4 2 6 5 2 3" xfId="34044" xr:uid="{3E202EF5-59E0-48B9-8808-0908A60478CF}"/>
    <cellStyle name="Comma 2 4 2 6 5 3" xfId="12140" xr:uid="{93B4A772-5EED-4E73-B10C-E0BEE1DB3137}"/>
    <cellStyle name="Comma 2 4 2 6 5 3 2" xfId="48648" xr:uid="{33DE2CF7-97A9-497B-A621-D8194EBAA0E6}"/>
    <cellStyle name="Comma 2 4 2 6 5 3 3" xfId="30394" xr:uid="{605F8342-BC59-4125-92FF-1CCE16169437}"/>
    <cellStyle name="Comma 2 4 2 6 5 4" xfId="8490" xr:uid="{372BCAAE-8A22-45EA-AE3E-E42D2EB357A7}"/>
    <cellStyle name="Comma 2 4 2 6 5 4 2" xfId="44998" xr:uid="{44077244-BE90-4F3D-A1B9-F1BAF16B0277}"/>
    <cellStyle name="Comma 2 4 2 6 5 4 3" xfId="26744" xr:uid="{D85F9CB3-B302-49BE-9E74-E82613BA8CBB}"/>
    <cellStyle name="Comma 2 4 2 6 5 5" xfId="4840" xr:uid="{3CB2A0AF-01ED-4EDB-AC7F-88E7887F572B}"/>
    <cellStyle name="Comma 2 4 2 6 5 5 2" xfId="41348" xr:uid="{7AFEEA2A-94E4-4AA6-ACDA-E20B08738070}"/>
    <cellStyle name="Comma 2 4 2 6 5 5 3" xfId="23094" xr:uid="{9F2BA8DB-83EF-4872-9CCA-2045AE58FCAF}"/>
    <cellStyle name="Comma 2 4 2 6 5 6" xfId="37698" xr:uid="{C4352BDA-7AE6-4796-ACDA-C843C06DB7C6}"/>
    <cellStyle name="Comma 2 4 2 6 5 7" xfId="19444" xr:uid="{DD364A17-12F5-4B27-BD5F-B5468BEE4AF3}"/>
    <cellStyle name="Comma 2 4 2 6 6" xfId="15060" xr:uid="{1B83D436-25C0-4ABD-91D2-AB5FBB37763A}"/>
    <cellStyle name="Comma 2 4 2 6 6 2" xfId="51568" xr:uid="{368FD9F6-45CD-40F7-92A3-C6D90984DDB9}"/>
    <cellStyle name="Comma 2 4 2 6 6 3" xfId="33314" xr:uid="{FDF082F2-85D9-4F38-B430-5089763B536B}"/>
    <cellStyle name="Comma 2 4 2 6 7" xfId="11410" xr:uid="{1E74CB28-F7AA-44E1-B2DA-F6627FC87EB4}"/>
    <cellStyle name="Comma 2 4 2 6 7 2" xfId="47918" xr:uid="{795FB496-1B0D-458B-8E88-E89445BAF21D}"/>
    <cellStyle name="Comma 2 4 2 6 7 3" xfId="29664" xr:uid="{BF25F75A-1C67-4E14-8210-249F9FDA7E51}"/>
    <cellStyle name="Comma 2 4 2 6 8" xfId="7760" xr:uid="{0623215F-CD67-4D01-A1EA-706C0EC23761}"/>
    <cellStyle name="Comma 2 4 2 6 8 2" xfId="44268" xr:uid="{A9024FDA-9820-4DB4-A3C8-7F871E500825}"/>
    <cellStyle name="Comma 2 4 2 6 8 3" xfId="26014" xr:uid="{0E3462CF-37F8-46B1-8AA5-C167AB15E403}"/>
    <cellStyle name="Comma 2 4 2 6 9" xfId="4110" xr:uid="{B1D9215E-B05A-4638-AE02-A78BFB482F1A}"/>
    <cellStyle name="Comma 2 4 2 6 9 2" xfId="40618" xr:uid="{25883F9A-2E93-4ECB-AD44-03FD82A28E47}"/>
    <cellStyle name="Comma 2 4 2 6 9 3" xfId="22364" xr:uid="{816E1777-B6EC-487D-8E7D-7E20EC8D6B86}"/>
    <cellStyle name="Comma 2 4 2 7" xfId="356" xr:uid="{F7663587-8B9E-429B-94BD-E49F7F609C4B}"/>
    <cellStyle name="Comma 2 4 2 7 10" xfId="36864" xr:uid="{D832EBA9-066D-4F7E-AF18-ED0FE9B79A3F}"/>
    <cellStyle name="Comma 2 4 2 7 11" xfId="18610" xr:uid="{45AAC8AC-E64E-4CBF-81F1-6AACCCD0495A}"/>
    <cellStyle name="Comma 2 4 2 7 2" xfId="3276" xr:uid="{D9AEFF15-F160-4191-9907-247297BDB654}"/>
    <cellStyle name="Comma 2 4 2 7 2 2" xfId="17876" xr:uid="{47C1E556-2002-4639-ADA5-825382D64C9D}"/>
    <cellStyle name="Comma 2 4 2 7 2 2 2" xfId="54384" xr:uid="{956E1C39-9C92-49DB-AEA1-59FCCD9A6BEE}"/>
    <cellStyle name="Comma 2 4 2 7 2 2 3" xfId="36130" xr:uid="{AC1A8A5F-BBE1-4C85-B06D-56D9939DBBC2}"/>
    <cellStyle name="Comma 2 4 2 7 2 3" xfId="14226" xr:uid="{28564011-42AC-4EFD-8B16-F8334F03D173}"/>
    <cellStyle name="Comma 2 4 2 7 2 3 2" xfId="50734" xr:uid="{348EF816-69A2-4FF7-B896-C5E3779491D6}"/>
    <cellStyle name="Comma 2 4 2 7 2 3 3" xfId="32480" xr:uid="{3BD3CA51-3C11-44B8-8734-14705F93AC68}"/>
    <cellStyle name="Comma 2 4 2 7 2 4" xfId="10576" xr:uid="{0EBFC46E-0EA5-4E29-9B94-4FD536776708}"/>
    <cellStyle name="Comma 2 4 2 7 2 4 2" xfId="47084" xr:uid="{30FA4E63-7BD6-4C08-914D-58C0FD22C780}"/>
    <cellStyle name="Comma 2 4 2 7 2 4 3" xfId="28830" xr:uid="{510F5313-4427-4F1C-8690-4FBA1F6407E5}"/>
    <cellStyle name="Comma 2 4 2 7 2 5" xfId="6926" xr:uid="{49B40DD4-BF75-40CF-A597-DECE6168795A}"/>
    <cellStyle name="Comma 2 4 2 7 2 5 2" xfId="43434" xr:uid="{61BA1D11-F0B7-46E7-A313-5AA5DBE9F341}"/>
    <cellStyle name="Comma 2 4 2 7 2 5 3" xfId="25180" xr:uid="{C82BFEFC-0A21-4B89-A702-C77F88865C93}"/>
    <cellStyle name="Comma 2 4 2 7 2 6" xfId="39784" xr:uid="{98C80666-AAD5-4CE8-9E4C-CFA189170931}"/>
    <cellStyle name="Comma 2 4 2 7 2 7" xfId="21530" xr:uid="{B1959EB9-2BE3-4F08-8BB8-B8125B1827D9}"/>
    <cellStyle name="Comma 2 4 2 7 3" xfId="2546" xr:uid="{27965DF6-5F9E-46D7-BC33-FFAB3486B250}"/>
    <cellStyle name="Comma 2 4 2 7 3 2" xfId="17146" xr:uid="{5CEBA5DE-8789-432E-8D54-6B637A6F6359}"/>
    <cellStyle name="Comma 2 4 2 7 3 2 2" xfId="53654" xr:uid="{801ECC2A-3875-421B-9CB5-ECD5382B8F0C}"/>
    <cellStyle name="Comma 2 4 2 7 3 2 3" xfId="35400" xr:uid="{475D5967-DB84-4478-B220-4A983EB78AA2}"/>
    <cellStyle name="Comma 2 4 2 7 3 3" xfId="13496" xr:uid="{CA82F693-80D3-4AAB-833A-2671C807B8F2}"/>
    <cellStyle name="Comma 2 4 2 7 3 3 2" xfId="50004" xr:uid="{9FFC7CA8-3760-4082-9390-2CAE7BD633CA}"/>
    <cellStyle name="Comma 2 4 2 7 3 3 3" xfId="31750" xr:uid="{1C95C907-E6C6-471A-82F1-5FA656B76DAE}"/>
    <cellStyle name="Comma 2 4 2 7 3 4" xfId="9846" xr:uid="{8DCB36A0-FCD6-4693-AF11-4AAAF5BDFE47}"/>
    <cellStyle name="Comma 2 4 2 7 3 4 2" xfId="46354" xr:uid="{7ED85802-D0F1-4E69-BADD-3FB2D8C359D3}"/>
    <cellStyle name="Comma 2 4 2 7 3 4 3" xfId="28100" xr:uid="{EF663983-0499-440F-B315-99B4497DC9BA}"/>
    <cellStyle name="Comma 2 4 2 7 3 5" xfId="6196" xr:uid="{BB8CF6E2-1397-4BE2-8810-73A8EE79DECC}"/>
    <cellStyle name="Comma 2 4 2 7 3 5 2" xfId="42704" xr:uid="{3DB89BD1-A789-4816-97E1-1A8A75A62971}"/>
    <cellStyle name="Comma 2 4 2 7 3 5 3" xfId="24450" xr:uid="{81CE8229-A87D-4119-9E8B-480FD56E786D}"/>
    <cellStyle name="Comma 2 4 2 7 3 6" xfId="39054" xr:uid="{AA76E166-E217-4BB3-AEAE-EF55F2BF59A8}"/>
    <cellStyle name="Comma 2 4 2 7 3 7" xfId="20800" xr:uid="{3B237460-3322-4218-8D21-DEF76E8A580F}"/>
    <cellStyle name="Comma 2 4 2 7 4" xfId="1816" xr:uid="{FFBF96C5-DD2C-4595-87F4-B785EA4C6ED4}"/>
    <cellStyle name="Comma 2 4 2 7 4 2" xfId="16416" xr:uid="{8874AB69-A048-4769-9359-949A10ED3974}"/>
    <cellStyle name="Comma 2 4 2 7 4 2 2" xfId="52924" xr:uid="{BAECFDEE-44E7-4C58-A6F2-12707043A7E3}"/>
    <cellStyle name="Comma 2 4 2 7 4 2 3" xfId="34670" xr:uid="{046DD196-37AC-4CAE-8215-0FA7D8D2406A}"/>
    <cellStyle name="Comma 2 4 2 7 4 3" xfId="12766" xr:uid="{F02D17C2-75B7-41AB-9391-469EF25A3C9E}"/>
    <cellStyle name="Comma 2 4 2 7 4 3 2" xfId="49274" xr:uid="{5E12AE11-A1E9-46CA-88A7-5EBF7A1E9139}"/>
    <cellStyle name="Comma 2 4 2 7 4 3 3" xfId="31020" xr:uid="{3B38DFCF-B828-4963-8283-01E968889C83}"/>
    <cellStyle name="Comma 2 4 2 7 4 4" xfId="9116" xr:uid="{381F60FB-62D8-4BF0-9D01-5CFB5925C63C}"/>
    <cellStyle name="Comma 2 4 2 7 4 4 2" xfId="45624" xr:uid="{1B4667DA-7675-4EF9-A11A-8E7AFBC1C40D}"/>
    <cellStyle name="Comma 2 4 2 7 4 4 3" xfId="27370" xr:uid="{2B6B6F17-753E-4CAB-BBC8-5FF4B03C827F}"/>
    <cellStyle name="Comma 2 4 2 7 4 5" xfId="5466" xr:uid="{F112AB65-B946-4A0B-863F-9028A7850E7F}"/>
    <cellStyle name="Comma 2 4 2 7 4 5 2" xfId="41974" xr:uid="{36BCDB48-0D43-4437-85C5-6F1EBEE411B1}"/>
    <cellStyle name="Comma 2 4 2 7 4 5 3" xfId="23720" xr:uid="{EAE89823-FD14-4F07-A176-3BC29325B0A5}"/>
    <cellStyle name="Comma 2 4 2 7 4 6" xfId="38324" xr:uid="{C8C18C06-F1B7-4A72-BF1E-1E0C990C0CFA}"/>
    <cellStyle name="Comma 2 4 2 7 4 7" xfId="20070" xr:uid="{B7DFFEC6-630A-4781-9604-ECDE0466F538}"/>
    <cellStyle name="Comma 2 4 2 7 5" xfId="1086" xr:uid="{FFE67321-1DCB-4D45-A529-95F314D532D6}"/>
    <cellStyle name="Comma 2 4 2 7 5 2" xfId="15686" xr:uid="{53B99B3F-0E88-4122-8591-87E873F86C06}"/>
    <cellStyle name="Comma 2 4 2 7 5 2 2" xfId="52194" xr:uid="{01A753D0-47D0-4F50-AFDB-B3A58929AF09}"/>
    <cellStyle name="Comma 2 4 2 7 5 2 3" xfId="33940" xr:uid="{141F392C-3D74-43ED-A7F2-6EFD47B341EF}"/>
    <cellStyle name="Comma 2 4 2 7 5 3" xfId="12036" xr:uid="{CB76353F-8932-413B-9F0E-5B994F9462B7}"/>
    <cellStyle name="Comma 2 4 2 7 5 3 2" xfId="48544" xr:uid="{092F3773-C0BC-4B40-9DE0-A6F1399FDDBB}"/>
    <cellStyle name="Comma 2 4 2 7 5 3 3" xfId="30290" xr:uid="{1E65EED3-BA35-41F8-BDCA-80BC8C011A8A}"/>
    <cellStyle name="Comma 2 4 2 7 5 4" xfId="8386" xr:uid="{2B2177C1-3882-4DC1-ABA8-580B16A38474}"/>
    <cellStyle name="Comma 2 4 2 7 5 4 2" xfId="44894" xr:uid="{AEA6CFE4-2E04-4557-9A0B-3B9AC20667D6}"/>
    <cellStyle name="Comma 2 4 2 7 5 4 3" xfId="26640" xr:uid="{338ED483-4369-46F9-98D8-63A3A0218A78}"/>
    <cellStyle name="Comma 2 4 2 7 5 5" xfId="4736" xr:uid="{6F2EFA4C-9E16-423D-B50B-6F2B06A65D72}"/>
    <cellStyle name="Comma 2 4 2 7 5 5 2" xfId="41244" xr:uid="{559C5F87-F659-486F-8AF7-8D6A6E49F6E7}"/>
    <cellStyle name="Comma 2 4 2 7 5 5 3" xfId="22990" xr:uid="{5DFDECEB-885F-40D8-A6D4-68D6FBB7BA69}"/>
    <cellStyle name="Comma 2 4 2 7 5 6" xfId="37594" xr:uid="{3D2D6F28-280C-4E33-9C85-D54A829A9057}"/>
    <cellStyle name="Comma 2 4 2 7 5 7" xfId="19340" xr:uid="{3BD60C3A-4DC3-4DD1-A0A8-F6152F0B3215}"/>
    <cellStyle name="Comma 2 4 2 7 6" xfId="14956" xr:uid="{ABFF273F-1874-4AA8-9AAF-160AAE018C2F}"/>
    <cellStyle name="Comma 2 4 2 7 6 2" xfId="51464" xr:uid="{DB353BEC-8F50-4618-A13E-99B546C80C62}"/>
    <cellStyle name="Comma 2 4 2 7 6 3" xfId="33210" xr:uid="{C4F1C88C-E365-4207-A229-F1CC87E02D12}"/>
    <cellStyle name="Comma 2 4 2 7 7" xfId="11306" xr:uid="{87FF63DB-7B90-40C0-8D10-8306A4EADA99}"/>
    <cellStyle name="Comma 2 4 2 7 7 2" xfId="47814" xr:uid="{5DE84CBB-8B2A-4FAB-ADDF-C6EC4F6011F8}"/>
    <cellStyle name="Comma 2 4 2 7 7 3" xfId="29560" xr:uid="{CD211BEF-27EB-457A-9FFD-42DCC902BA05}"/>
    <cellStyle name="Comma 2 4 2 7 8" xfId="7656" xr:uid="{05C873B0-A4AA-419B-A544-A8294D80C543}"/>
    <cellStyle name="Comma 2 4 2 7 8 2" xfId="44164" xr:uid="{0065FC83-9D51-4CBF-95C9-A388C97B9506}"/>
    <cellStyle name="Comma 2 4 2 7 8 3" xfId="25910" xr:uid="{73C14544-33D9-4D18-BA42-FB69A93A92AC}"/>
    <cellStyle name="Comma 2 4 2 7 9" xfId="4006" xr:uid="{C8EF55E3-2FBD-4001-99AC-E9CA22949493}"/>
    <cellStyle name="Comma 2 4 2 7 9 2" xfId="40514" xr:uid="{54B4FB38-7DFC-47EC-BD4C-1011448BF218}"/>
    <cellStyle name="Comma 2 4 2 7 9 3" xfId="22260" xr:uid="{C313A513-D28E-4E30-A799-755EDBD13FCC}"/>
    <cellStyle name="Comma 2 4 2 8" xfId="252" xr:uid="{A9413E40-81DF-40B2-8A25-629B92FE565E}"/>
    <cellStyle name="Comma 2 4 2 8 10" xfId="36760" xr:uid="{8ED01012-CE7D-4519-9B51-B6A6409833B7}"/>
    <cellStyle name="Comma 2 4 2 8 11" xfId="18506" xr:uid="{E5142F01-5DF6-418A-B1EE-71AB4AF546E1}"/>
    <cellStyle name="Comma 2 4 2 8 2" xfId="3172" xr:uid="{031898D3-83DF-4039-B1EF-08EF3661EC4C}"/>
    <cellStyle name="Comma 2 4 2 8 2 2" xfId="17772" xr:uid="{644B8F5D-0FBA-49FC-821D-2F76BE8DC96E}"/>
    <cellStyle name="Comma 2 4 2 8 2 2 2" xfId="54280" xr:uid="{1C0415FE-E7C3-495D-8679-CE62B8AB5ABC}"/>
    <cellStyle name="Comma 2 4 2 8 2 2 3" xfId="36026" xr:uid="{2130869D-A483-43D1-B382-D23DF5895184}"/>
    <cellStyle name="Comma 2 4 2 8 2 3" xfId="14122" xr:uid="{99A6DB72-9E7F-44D9-9F77-D0FFF5E0FFEE}"/>
    <cellStyle name="Comma 2 4 2 8 2 3 2" xfId="50630" xr:uid="{53EB54B6-4117-405B-8C0E-6541350E95DC}"/>
    <cellStyle name="Comma 2 4 2 8 2 3 3" xfId="32376" xr:uid="{A566F4AB-3E6C-4241-9E4C-ACEBFC069CD1}"/>
    <cellStyle name="Comma 2 4 2 8 2 4" xfId="10472" xr:uid="{7ADB594B-104F-4F6D-B2B5-B48BF982EA3F}"/>
    <cellStyle name="Comma 2 4 2 8 2 4 2" xfId="46980" xr:uid="{D9DED4BF-F648-45DC-A2C2-A6DEB7A23256}"/>
    <cellStyle name="Comma 2 4 2 8 2 4 3" xfId="28726" xr:uid="{2525FC1B-B65C-41A7-B485-56544FB47C8C}"/>
    <cellStyle name="Comma 2 4 2 8 2 5" xfId="6822" xr:uid="{8042C037-3DFD-4DBD-94FE-B977C5134196}"/>
    <cellStyle name="Comma 2 4 2 8 2 5 2" xfId="43330" xr:uid="{5C1F682E-C776-4A65-8599-C1A13BDCA9DA}"/>
    <cellStyle name="Comma 2 4 2 8 2 5 3" xfId="25076" xr:uid="{5F68892A-2B56-453F-8413-57A8179178BA}"/>
    <cellStyle name="Comma 2 4 2 8 2 6" xfId="39680" xr:uid="{EB36A948-DD70-4DC6-870B-61BB58B10E87}"/>
    <cellStyle name="Comma 2 4 2 8 2 7" xfId="21426" xr:uid="{83A65519-C6B6-43AD-8C21-235B3593CE40}"/>
    <cellStyle name="Comma 2 4 2 8 3" xfId="2442" xr:uid="{D42F78D4-0478-4B47-83D6-F7918CEFD671}"/>
    <cellStyle name="Comma 2 4 2 8 3 2" xfId="17042" xr:uid="{5560DFE3-462D-4188-B167-3F07E9902CBF}"/>
    <cellStyle name="Comma 2 4 2 8 3 2 2" xfId="53550" xr:uid="{7A137AFB-997B-40E0-99CF-1BF41FCAF5E5}"/>
    <cellStyle name="Comma 2 4 2 8 3 2 3" xfId="35296" xr:uid="{8E9889A1-8828-406C-940D-4DF2D5EB8FA4}"/>
    <cellStyle name="Comma 2 4 2 8 3 3" xfId="13392" xr:uid="{D68B97C2-80F8-4150-A019-701ED92461A9}"/>
    <cellStyle name="Comma 2 4 2 8 3 3 2" xfId="49900" xr:uid="{71A9AA0B-B0C9-4AC7-B16E-7181E24006F5}"/>
    <cellStyle name="Comma 2 4 2 8 3 3 3" xfId="31646" xr:uid="{E4C4E357-9148-4B19-A92B-A97852BD4430}"/>
    <cellStyle name="Comma 2 4 2 8 3 4" xfId="9742" xr:uid="{C93BEFD9-C73A-402E-A0CF-74F5918F3708}"/>
    <cellStyle name="Comma 2 4 2 8 3 4 2" xfId="46250" xr:uid="{87D3F337-1D6B-4A0D-95C5-76244FD841B6}"/>
    <cellStyle name="Comma 2 4 2 8 3 4 3" xfId="27996" xr:uid="{61E2E5EE-3DAE-476C-B4D7-1AF02F3C71C5}"/>
    <cellStyle name="Comma 2 4 2 8 3 5" xfId="6092" xr:uid="{88F03E4E-9F33-4A5C-9C00-FE59A3114BC2}"/>
    <cellStyle name="Comma 2 4 2 8 3 5 2" xfId="42600" xr:uid="{BC90043F-4EC2-4511-B316-4AC153699FF9}"/>
    <cellStyle name="Comma 2 4 2 8 3 5 3" xfId="24346" xr:uid="{B2DE87C7-2840-4E2E-AA44-8A8F6EAF179C}"/>
    <cellStyle name="Comma 2 4 2 8 3 6" xfId="38950" xr:uid="{D750DC9A-B206-465B-BFC9-8F337CD1F6E7}"/>
    <cellStyle name="Comma 2 4 2 8 3 7" xfId="20696" xr:uid="{3837E6A2-734D-4074-9A27-6EB98E25A7A2}"/>
    <cellStyle name="Comma 2 4 2 8 4" xfId="1712" xr:uid="{FF16B862-6430-4178-8D8E-468D51DEC7BD}"/>
    <cellStyle name="Comma 2 4 2 8 4 2" xfId="16312" xr:uid="{3789F599-3C2E-46A5-90C0-0DE1CBA7ADC7}"/>
    <cellStyle name="Comma 2 4 2 8 4 2 2" xfId="52820" xr:uid="{540414F6-A7DC-4C5D-8F46-C29012A835F2}"/>
    <cellStyle name="Comma 2 4 2 8 4 2 3" xfId="34566" xr:uid="{7A607272-7C0C-448D-8079-0BA862E08F87}"/>
    <cellStyle name="Comma 2 4 2 8 4 3" xfId="12662" xr:uid="{5C742B55-D3EF-4934-9CCD-BB78B0E6BCE6}"/>
    <cellStyle name="Comma 2 4 2 8 4 3 2" xfId="49170" xr:uid="{D542E914-1C92-4B35-8296-78EE07FBC426}"/>
    <cellStyle name="Comma 2 4 2 8 4 3 3" xfId="30916" xr:uid="{C86037FC-2379-43EA-AFD0-243FB4012DCE}"/>
    <cellStyle name="Comma 2 4 2 8 4 4" xfId="9012" xr:uid="{CB5856B8-35C9-4D85-B646-1A53B83E5B4A}"/>
    <cellStyle name="Comma 2 4 2 8 4 4 2" xfId="45520" xr:uid="{74EEE6AC-8001-473D-B0FE-F3BCF2B20493}"/>
    <cellStyle name="Comma 2 4 2 8 4 4 3" xfId="27266" xr:uid="{EE237388-BBF0-4138-8B1F-18E2F809EAE4}"/>
    <cellStyle name="Comma 2 4 2 8 4 5" xfId="5362" xr:uid="{8AEF70C9-AF22-43D1-885C-7C8FF82B5F19}"/>
    <cellStyle name="Comma 2 4 2 8 4 5 2" xfId="41870" xr:uid="{6B909CCF-3AB7-4234-B700-DE807AF942A7}"/>
    <cellStyle name="Comma 2 4 2 8 4 5 3" xfId="23616" xr:uid="{99D791E1-7480-4BD8-8049-75BB85E49E2C}"/>
    <cellStyle name="Comma 2 4 2 8 4 6" xfId="38220" xr:uid="{75AC973A-DDA5-46CA-A684-E83117F6E359}"/>
    <cellStyle name="Comma 2 4 2 8 4 7" xfId="19966" xr:uid="{E463754D-B9E7-4FE3-88A3-7CAB107D0C1E}"/>
    <cellStyle name="Comma 2 4 2 8 5" xfId="982" xr:uid="{494A409F-A40B-43AC-AA42-2022E92C26EA}"/>
    <cellStyle name="Comma 2 4 2 8 5 2" xfId="15582" xr:uid="{7AD176A7-F8A5-42B4-9E07-A3B70FCD82FD}"/>
    <cellStyle name="Comma 2 4 2 8 5 2 2" xfId="52090" xr:uid="{A81656F1-DB2A-4CF2-BCB4-FDB62E1DA81F}"/>
    <cellStyle name="Comma 2 4 2 8 5 2 3" xfId="33836" xr:uid="{4E4FC66C-D94A-4901-B063-BC1786215E9C}"/>
    <cellStyle name="Comma 2 4 2 8 5 3" xfId="11932" xr:uid="{1D6AFCB1-E4D3-41F2-8CF3-06FDD1C41863}"/>
    <cellStyle name="Comma 2 4 2 8 5 3 2" xfId="48440" xr:uid="{F6480200-41D0-419D-BE1E-E0E2ADA611EC}"/>
    <cellStyle name="Comma 2 4 2 8 5 3 3" xfId="30186" xr:uid="{54B06094-8B4A-4650-96B3-6F322A2D1A99}"/>
    <cellStyle name="Comma 2 4 2 8 5 4" xfId="8282" xr:uid="{F2A6EF42-869A-4D26-BFD9-9E68CF711CC8}"/>
    <cellStyle name="Comma 2 4 2 8 5 4 2" xfId="44790" xr:uid="{05DD4064-87EC-41FD-9399-C921C5C8FA42}"/>
    <cellStyle name="Comma 2 4 2 8 5 4 3" xfId="26536" xr:uid="{234EBDD1-25C0-468B-A354-ED86C8ABC330}"/>
    <cellStyle name="Comma 2 4 2 8 5 5" xfId="4632" xr:uid="{AC647883-A22F-4D72-91C4-A62D0B30FC37}"/>
    <cellStyle name="Comma 2 4 2 8 5 5 2" xfId="41140" xr:uid="{79F4F46D-EC3D-4273-B1A5-7DDA91D02C25}"/>
    <cellStyle name="Comma 2 4 2 8 5 5 3" xfId="22886" xr:uid="{2A56CDD7-44BB-4327-8EAC-1EC82152BC19}"/>
    <cellStyle name="Comma 2 4 2 8 5 6" xfId="37490" xr:uid="{7E79DC7D-A03F-49F8-83C5-8D6DC7BC76AB}"/>
    <cellStyle name="Comma 2 4 2 8 5 7" xfId="19236" xr:uid="{A3AED6C8-5B9A-4932-86FC-AEE6085B943B}"/>
    <cellStyle name="Comma 2 4 2 8 6" xfId="14852" xr:uid="{F49A95C9-B89D-42D6-A24E-6D2E2968A876}"/>
    <cellStyle name="Comma 2 4 2 8 6 2" xfId="51360" xr:uid="{C0365559-3283-4DE4-A157-464DEF4BCB1D}"/>
    <cellStyle name="Comma 2 4 2 8 6 3" xfId="33106" xr:uid="{652FB191-05E0-40F1-B28C-FB74B9AA6A32}"/>
    <cellStyle name="Comma 2 4 2 8 7" xfId="11202" xr:uid="{301310E6-D62C-456A-A0E2-D9D39F022712}"/>
    <cellStyle name="Comma 2 4 2 8 7 2" xfId="47710" xr:uid="{0596E7A8-E6EA-4491-ABD6-164CB612958C}"/>
    <cellStyle name="Comma 2 4 2 8 7 3" xfId="29456" xr:uid="{BD084A5B-D173-4FF4-834D-5C009AC78F33}"/>
    <cellStyle name="Comma 2 4 2 8 8" xfId="7552" xr:uid="{D46B5D2F-2EE8-40CC-8717-EA4211658DAC}"/>
    <cellStyle name="Comma 2 4 2 8 8 2" xfId="44060" xr:uid="{1193850A-2CF7-4347-B3E2-4149F9BC98A5}"/>
    <cellStyle name="Comma 2 4 2 8 8 3" xfId="25806" xr:uid="{B00BFB29-325E-449D-8E86-01C2A1AA82E5}"/>
    <cellStyle name="Comma 2 4 2 8 9" xfId="3902" xr:uid="{1A6E1B7A-910D-433F-AB2E-F9E2B585FF23}"/>
    <cellStyle name="Comma 2 4 2 8 9 2" xfId="40410" xr:uid="{12F42F7F-47CB-432C-AA1B-D1B2E69507CA}"/>
    <cellStyle name="Comma 2 4 2 8 9 3" xfId="22156" xr:uid="{5A413A02-A94B-416F-B183-2DC03D95770F}"/>
    <cellStyle name="Comma 2 4 2 9" xfId="148" xr:uid="{4478B809-6304-4E47-AE6C-7E5FAA412507}"/>
    <cellStyle name="Comma 2 4 2 9 10" xfId="36656" xr:uid="{99082AFA-440C-4B9F-9DCC-29FBCBBD3A38}"/>
    <cellStyle name="Comma 2 4 2 9 11" xfId="18402" xr:uid="{9AEF5274-304B-4835-BFAD-9E0A996DECC9}"/>
    <cellStyle name="Comma 2 4 2 9 2" xfId="3068" xr:uid="{FC6F9600-43FE-46E5-939D-F2438F125702}"/>
    <cellStyle name="Comma 2 4 2 9 2 2" xfId="17668" xr:uid="{A2B6D739-9A4D-48FC-91C9-5178AF4F26B5}"/>
    <cellStyle name="Comma 2 4 2 9 2 2 2" xfId="54176" xr:uid="{61411CCF-171E-4E25-A2BC-1414C230FAA2}"/>
    <cellStyle name="Comma 2 4 2 9 2 2 3" xfId="35922" xr:uid="{3E2B3299-D4EA-4312-8ADF-73B2BF3507C5}"/>
    <cellStyle name="Comma 2 4 2 9 2 3" xfId="14018" xr:uid="{6906F105-EEFB-4932-AB8E-A58E15EDEED3}"/>
    <cellStyle name="Comma 2 4 2 9 2 3 2" xfId="50526" xr:uid="{B98B3E2B-8B17-48E0-983E-5B24FA372A2B}"/>
    <cellStyle name="Comma 2 4 2 9 2 3 3" xfId="32272" xr:uid="{E5503CCB-3772-41A6-AFBA-4F0D2E4A8E11}"/>
    <cellStyle name="Comma 2 4 2 9 2 4" xfId="10368" xr:uid="{C9E6C692-2544-4E7F-BD79-F490C5E4D967}"/>
    <cellStyle name="Comma 2 4 2 9 2 4 2" xfId="46876" xr:uid="{EC8C117B-9873-4F55-A38D-8F8258022725}"/>
    <cellStyle name="Comma 2 4 2 9 2 4 3" xfId="28622" xr:uid="{E5A96DC0-5840-4C51-8E7F-6D09EA64BC7C}"/>
    <cellStyle name="Comma 2 4 2 9 2 5" xfId="6718" xr:uid="{52C57EC1-38EC-44C1-9AF8-7A823CAC709D}"/>
    <cellStyle name="Comma 2 4 2 9 2 5 2" xfId="43226" xr:uid="{05DF5F5F-9324-488D-90BB-BF86349985B3}"/>
    <cellStyle name="Comma 2 4 2 9 2 5 3" xfId="24972" xr:uid="{F3C92335-A277-4344-B7EB-6F501E57858E}"/>
    <cellStyle name="Comma 2 4 2 9 2 6" xfId="39576" xr:uid="{BCDBE2C8-B506-4A4E-AA87-5DC836E3E7CE}"/>
    <cellStyle name="Comma 2 4 2 9 2 7" xfId="21322" xr:uid="{56563470-A55F-4E6B-B3C5-68E5FC1867AC}"/>
    <cellStyle name="Comma 2 4 2 9 3" xfId="2338" xr:uid="{E2EC124E-84C5-4AE5-B5DC-317AF400F458}"/>
    <cellStyle name="Comma 2 4 2 9 3 2" xfId="16938" xr:uid="{66F06AD7-4F25-47AA-9421-2F3FD83A5B67}"/>
    <cellStyle name="Comma 2 4 2 9 3 2 2" xfId="53446" xr:uid="{9F163694-29CB-41BB-84A0-0E4E7E52DCCC}"/>
    <cellStyle name="Comma 2 4 2 9 3 2 3" xfId="35192" xr:uid="{38529489-7939-47FB-94A3-508D09C86A13}"/>
    <cellStyle name="Comma 2 4 2 9 3 3" xfId="13288" xr:uid="{51E02CF8-2519-4C21-A61B-B2411746D665}"/>
    <cellStyle name="Comma 2 4 2 9 3 3 2" xfId="49796" xr:uid="{A3AED099-59F1-428C-8C1F-3ECCE4381D97}"/>
    <cellStyle name="Comma 2 4 2 9 3 3 3" xfId="31542" xr:uid="{F4CB89E5-F76A-4B38-B536-4C1D3895D99C}"/>
    <cellStyle name="Comma 2 4 2 9 3 4" xfId="9638" xr:uid="{84B202FB-328B-45EC-923D-A6693FA0FBD8}"/>
    <cellStyle name="Comma 2 4 2 9 3 4 2" xfId="46146" xr:uid="{5EA87DA7-0190-4B83-B689-86DDE7D901E6}"/>
    <cellStyle name="Comma 2 4 2 9 3 4 3" xfId="27892" xr:uid="{14406186-B78E-4239-AA0E-AB81B9AAD954}"/>
    <cellStyle name="Comma 2 4 2 9 3 5" xfId="5988" xr:uid="{4ABBCC4D-46FA-4E8A-B227-6DB804CFF868}"/>
    <cellStyle name="Comma 2 4 2 9 3 5 2" xfId="42496" xr:uid="{E8003DFD-8D36-4422-B952-1ACC9FBD627A}"/>
    <cellStyle name="Comma 2 4 2 9 3 5 3" xfId="24242" xr:uid="{C2E8B520-9F2B-4E0E-89AA-C4DEAF7FC8DF}"/>
    <cellStyle name="Comma 2 4 2 9 3 6" xfId="38846" xr:uid="{BF101588-45EA-4DC4-8FBC-9E9583C88CA6}"/>
    <cellStyle name="Comma 2 4 2 9 3 7" xfId="20592" xr:uid="{124124DA-7DF0-4AAF-B603-107FC0B2AC4B}"/>
    <cellStyle name="Comma 2 4 2 9 4" xfId="1608" xr:uid="{493911C1-8DB6-4482-8DD6-44E87383FB84}"/>
    <cellStyle name="Comma 2 4 2 9 4 2" xfId="16208" xr:uid="{47C1461A-2C80-4C27-AFAA-3BF5E07F6636}"/>
    <cellStyle name="Comma 2 4 2 9 4 2 2" xfId="52716" xr:uid="{D047FF70-135F-4907-ADEA-A782930671E7}"/>
    <cellStyle name="Comma 2 4 2 9 4 2 3" xfId="34462" xr:uid="{6FBDC1E2-736D-495C-B3B3-65347DF143B4}"/>
    <cellStyle name="Comma 2 4 2 9 4 3" xfId="12558" xr:uid="{1A3C5404-4665-457A-ACA3-B932C38095C6}"/>
    <cellStyle name="Comma 2 4 2 9 4 3 2" xfId="49066" xr:uid="{BAC0768A-3CD1-44A8-A151-D11561E81B9C}"/>
    <cellStyle name="Comma 2 4 2 9 4 3 3" xfId="30812" xr:uid="{E16145F7-A3FB-4E84-B835-DDA05CDD7A4E}"/>
    <cellStyle name="Comma 2 4 2 9 4 4" xfId="8908" xr:uid="{B75A523C-A21D-4D98-951D-DC7845310F00}"/>
    <cellStyle name="Comma 2 4 2 9 4 4 2" xfId="45416" xr:uid="{C92B6E5A-3F08-4343-8B2B-96F374E33586}"/>
    <cellStyle name="Comma 2 4 2 9 4 4 3" xfId="27162" xr:uid="{56BD0DFD-83FC-499E-80C6-B1B545FE4723}"/>
    <cellStyle name="Comma 2 4 2 9 4 5" xfId="5258" xr:uid="{F8894CB2-1F4F-4EDB-A21A-8B336854DC70}"/>
    <cellStyle name="Comma 2 4 2 9 4 5 2" xfId="41766" xr:uid="{3CE670E7-0E93-4C94-B7E0-55B6392D7066}"/>
    <cellStyle name="Comma 2 4 2 9 4 5 3" xfId="23512" xr:uid="{8533AE29-8DAD-472C-A732-026A1FE93ED7}"/>
    <cellStyle name="Comma 2 4 2 9 4 6" xfId="38116" xr:uid="{617B361B-5C5B-4A26-BEDF-EB4DE14340C4}"/>
    <cellStyle name="Comma 2 4 2 9 4 7" xfId="19862" xr:uid="{EAB12DCB-6530-4BE9-B6C8-3DE9F5C4013B}"/>
    <cellStyle name="Comma 2 4 2 9 5" xfId="878" xr:uid="{117E5AC4-154E-440B-ACE6-94563D3BA602}"/>
    <cellStyle name="Comma 2 4 2 9 5 2" xfId="15478" xr:uid="{EFEC0860-89D0-48D1-BDF9-10C47AB40937}"/>
    <cellStyle name="Comma 2 4 2 9 5 2 2" xfId="51986" xr:uid="{107D5F85-E177-41DB-AD08-E02C6B2A038F}"/>
    <cellStyle name="Comma 2 4 2 9 5 2 3" xfId="33732" xr:uid="{E182948F-F240-4072-8A64-E928B3398AD5}"/>
    <cellStyle name="Comma 2 4 2 9 5 3" xfId="11828" xr:uid="{A2679C04-DF61-499D-865A-338AE7650E5C}"/>
    <cellStyle name="Comma 2 4 2 9 5 3 2" xfId="48336" xr:uid="{638EC0A5-3D9E-4EBB-8851-9CB4266E8845}"/>
    <cellStyle name="Comma 2 4 2 9 5 3 3" xfId="30082" xr:uid="{8160A118-8E1D-472B-8B97-ED360421FE34}"/>
    <cellStyle name="Comma 2 4 2 9 5 4" xfId="8178" xr:uid="{BC3C340E-A4EB-4CFD-9237-807EFA69014C}"/>
    <cellStyle name="Comma 2 4 2 9 5 4 2" xfId="44686" xr:uid="{C5EEB496-4A02-479E-91FC-F9996883DBCB}"/>
    <cellStyle name="Comma 2 4 2 9 5 4 3" xfId="26432" xr:uid="{4050AB18-515C-464D-912D-7F86F26C2A77}"/>
    <cellStyle name="Comma 2 4 2 9 5 5" xfId="4528" xr:uid="{7DD08DC8-35B3-4ABB-9256-CD707CA35193}"/>
    <cellStyle name="Comma 2 4 2 9 5 5 2" xfId="41036" xr:uid="{3766599B-3920-4A03-AB8C-1AD79FC5F65D}"/>
    <cellStyle name="Comma 2 4 2 9 5 5 3" xfId="22782" xr:uid="{1A3B90F0-44E2-49F1-B02F-C4A621E50651}"/>
    <cellStyle name="Comma 2 4 2 9 5 6" xfId="37386" xr:uid="{EEFBBA2F-A91A-4EEF-8517-3DAFEC6A6BEC}"/>
    <cellStyle name="Comma 2 4 2 9 5 7" xfId="19132" xr:uid="{CD2B633E-8EC1-4671-95B4-9CBD91EDC4E8}"/>
    <cellStyle name="Comma 2 4 2 9 6" xfId="14748" xr:uid="{2C570267-FFE1-4B55-8A69-1CE4C9E31925}"/>
    <cellStyle name="Comma 2 4 2 9 6 2" xfId="51256" xr:uid="{9DC65A89-39A0-48EC-BA46-0D47BBAD21F2}"/>
    <cellStyle name="Comma 2 4 2 9 6 3" xfId="33002" xr:uid="{BA0412ED-1F1B-4F72-B7E8-CF14741A83BD}"/>
    <cellStyle name="Comma 2 4 2 9 7" xfId="11098" xr:uid="{B1F1598E-4050-4723-90E7-04C57875DC85}"/>
    <cellStyle name="Comma 2 4 2 9 7 2" xfId="47606" xr:uid="{17AD4C44-F1B5-4F95-99B0-769EF38CE56B}"/>
    <cellStyle name="Comma 2 4 2 9 7 3" xfId="29352" xr:uid="{B225A774-0699-42C5-8FBD-1E2043D61C83}"/>
    <cellStyle name="Comma 2 4 2 9 8" xfId="7448" xr:uid="{FF2B3F79-DED5-47A7-90CB-F261B71897F7}"/>
    <cellStyle name="Comma 2 4 2 9 8 2" xfId="43956" xr:uid="{69CF2ED1-C821-43B1-BB62-42C58AE4CD7C}"/>
    <cellStyle name="Comma 2 4 2 9 8 3" xfId="25702" xr:uid="{F8551A66-D603-4CF2-93B6-DFFD43924ECB}"/>
    <cellStyle name="Comma 2 4 2 9 9" xfId="3798" xr:uid="{AA407DF0-53B7-4F9D-AA8F-9327C5BCA1A0}"/>
    <cellStyle name="Comma 2 4 2 9 9 2" xfId="40306" xr:uid="{A7D659DC-95B6-49DC-AAB4-C50A95352953}"/>
    <cellStyle name="Comma 2 4 2 9 9 3" xfId="22052" xr:uid="{D7B8FC8A-CEFB-4D55-B7E4-00A1FC95AB41}"/>
    <cellStyle name="Comma 2 4 20" xfId="18282" xr:uid="{12847E75-898D-418C-8A2B-AA9A87A81E5C}"/>
    <cellStyle name="Comma 2 4 3" xfId="92" xr:uid="{38241BC1-99C0-4AE2-A26F-07928AFAE82F}"/>
    <cellStyle name="Comma 2 4 3 10" xfId="1552" xr:uid="{F5CE889D-7E25-4F7A-8203-51054E273E8D}"/>
    <cellStyle name="Comma 2 4 3 10 2" xfId="16152" xr:uid="{9673FAB6-5840-4735-9A7E-FF3B97FC41BC}"/>
    <cellStyle name="Comma 2 4 3 10 2 2" xfId="52660" xr:uid="{EB503B63-F8BC-4018-B812-7979B1924DA1}"/>
    <cellStyle name="Comma 2 4 3 10 2 3" xfId="34406" xr:uid="{B4236979-A991-479A-A599-5FB393C0DC89}"/>
    <cellStyle name="Comma 2 4 3 10 3" xfId="12502" xr:uid="{D1C73D6F-FC5D-4C4A-99F8-DBC2E897209B}"/>
    <cellStyle name="Comma 2 4 3 10 3 2" xfId="49010" xr:uid="{321789B4-8971-4472-94C7-B6F4BC9633E6}"/>
    <cellStyle name="Comma 2 4 3 10 3 3" xfId="30756" xr:uid="{4A5872E6-4793-45C4-B8AD-8C386FC75B0F}"/>
    <cellStyle name="Comma 2 4 3 10 4" xfId="8852" xr:uid="{9E2B3E98-2680-4E08-B467-9B286BDEAE26}"/>
    <cellStyle name="Comma 2 4 3 10 4 2" xfId="45360" xr:uid="{6E45B66A-E1E8-4A50-825C-FF671B5411EE}"/>
    <cellStyle name="Comma 2 4 3 10 4 3" xfId="27106" xr:uid="{4B2B915B-CF73-42F9-99E2-6578A5457787}"/>
    <cellStyle name="Comma 2 4 3 10 5" xfId="5202" xr:uid="{AD892F3B-821F-4B30-8111-DBD691EBA891}"/>
    <cellStyle name="Comma 2 4 3 10 5 2" xfId="41710" xr:uid="{71561C43-EE63-48FC-980D-CC9BC6A959F2}"/>
    <cellStyle name="Comma 2 4 3 10 5 3" xfId="23456" xr:uid="{DDF66C9F-4120-49C6-BD76-894BF36E2204}"/>
    <cellStyle name="Comma 2 4 3 10 6" xfId="38060" xr:uid="{6293C193-AD65-4F1A-8615-95DF92198225}"/>
    <cellStyle name="Comma 2 4 3 10 7" xfId="19806" xr:uid="{734450C6-15D3-41E6-9CC3-D15518719909}"/>
    <cellStyle name="Comma 2 4 3 11" xfId="822" xr:uid="{C1538595-3B68-44A5-A6AC-3BC4D8E68224}"/>
    <cellStyle name="Comma 2 4 3 11 2" xfId="15422" xr:uid="{0F00BD2E-B8CB-45ED-89F0-684F746BE1D5}"/>
    <cellStyle name="Comma 2 4 3 11 2 2" xfId="51930" xr:uid="{9EA89B70-AEFB-47ED-9B3A-65A59B7E5339}"/>
    <cellStyle name="Comma 2 4 3 11 2 3" xfId="33676" xr:uid="{1A1D355A-8480-4AC0-9E93-C185EE659F84}"/>
    <cellStyle name="Comma 2 4 3 11 3" xfId="11772" xr:uid="{B2846D01-CFF0-49E1-9B3C-5894C9DFA5D9}"/>
    <cellStyle name="Comma 2 4 3 11 3 2" xfId="48280" xr:uid="{7427F202-484F-4F74-BEE8-07132B3A1A9D}"/>
    <cellStyle name="Comma 2 4 3 11 3 3" xfId="30026" xr:uid="{BF990ACA-F006-4DCE-BFFE-DB1A8A1A7593}"/>
    <cellStyle name="Comma 2 4 3 11 4" xfId="8122" xr:uid="{FA06FC13-BA6F-4ED9-A6BC-679CDC94F4FF}"/>
    <cellStyle name="Comma 2 4 3 11 4 2" xfId="44630" xr:uid="{4C29A827-64FA-4329-802F-E91FC13B7AE9}"/>
    <cellStyle name="Comma 2 4 3 11 4 3" xfId="26376" xr:uid="{0918FC2A-06A8-48EF-BB34-56AAEB5EB21E}"/>
    <cellStyle name="Comma 2 4 3 11 5" xfId="4472" xr:uid="{E2DCC274-2068-44D4-BBAF-9790EDD8842B}"/>
    <cellStyle name="Comma 2 4 3 11 5 2" xfId="40980" xr:uid="{DF47BBF4-3582-453A-B066-BDAC87190EB6}"/>
    <cellStyle name="Comma 2 4 3 11 5 3" xfId="22726" xr:uid="{9462389F-446F-45BD-8F98-A423DAA79098}"/>
    <cellStyle name="Comma 2 4 3 11 6" xfId="37330" xr:uid="{A669AD80-79EE-464F-8AA7-277457F77C6C}"/>
    <cellStyle name="Comma 2 4 3 11 7" xfId="19076" xr:uid="{94B81DBE-4AAB-4C66-9DF8-A03336CFFD71}"/>
    <cellStyle name="Comma 2 4 3 12" xfId="14692" xr:uid="{8FD56C8A-E32B-4C9A-B2F7-44D586D2C1B6}"/>
    <cellStyle name="Comma 2 4 3 12 2" xfId="51200" xr:uid="{B739D66B-971A-4814-A671-08A87698383F}"/>
    <cellStyle name="Comma 2 4 3 12 3" xfId="32946" xr:uid="{EB8D8282-1A78-4148-A10E-BC81BEE223E4}"/>
    <cellStyle name="Comma 2 4 3 13" xfId="11042" xr:uid="{B3E135F0-3303-45EB-909C-2458C07FB37A}"/>
    <cellStyle name="Comma 2 4 3 13 2" xfId="47550" xr:uid="{2FE686DA-5470-4E45-8854-3CFB3A2BFA6B}"/>
    <cellStyle name="Comma 2 4 3 13 3" xfId="29296" xr:uid="{E4D2DB18-C275-4D35-B9CA-650ABE7DE7D6}"/>
    <cellStyle name="Comma 2 4 3 14" xfId="7392" xr:uid="{2BF75DAA-BB1B-46B1-A002-BE9EBDE765B6}"/>
    <cellStyle name="Comma 2 4 3 14 2" xfId="43900" xr:uid="{9803B7C7-83CE-4F72-87BB-5DB76833239B}"/>
    <cellStyle name="Comma 2 4 3 14 3" xfId="25646" xr:uid="{7D03192F-BA92-4595-B706-4A3E72DF4D9E}"/>
    <cellStyle name="Comma 2 4 3 15" xfId="3742" xr:uid="{A7297D3A-9818-46ED-A572-6E03B9AEED86}"/>
    <cellStyle name="Comma 2 4 3 15 2" xfId="40250" xr:uid="{60FBB0FA-7659-4AD0-8D47-5EA5EF349BFB}"/>
    <cellStyle name="Comma 2 4 3 15 3" xfId="21996" xr:uid="{D3A900B0-80AF-4AE2-BC8B-24B9F0BF9EA2}"/>
    <cellStyle name="Comma 2 4 3 16" xfId="36600" xr:uid="{463A1C3D-25BA-494F-882D-319C64BC7BCB}"/>
    <cellStyle name="Comma 2 4 3 17" xfId="18346" xr:uid="{135DDE3E-33E5-4475-97FB-6D1D083CFD13}"/>
    <cellStyle name="Comma 2 4 3 2" xfId="716" xr:uid="{71BE8883-A693-42FD-B971-3587F88F42A0}"/>
    <cellStyle name="Comma 2 4 3 2 10" xfId="37224" xr:uid="{755E2F09-0CBF-49BB-A558-7E0108F8D830}"/>
    <cellStyle name="Comma 2 4 3 2 11" xfId="18970" xr:uid="{96321A5D-E9F1-4582-A0B8-A2C15FB9E885}"/>
    <cellStyle name="Comma 2 4 3 2 2" xfId="3636" xr:uid="{AA32F89B-61FE-49A3-9E18-9BF05F92F304}"/>
    <cellStyle name="Comma 2 4 3 2 2 2" xfId="18236" xr:uid="{5EAADFD3-2348-4287-998F-AA3A3A22C182}"/>
    <cellStyle name="Comma 2 4 3 2 2 2 2" xfId="54744" xr:uid="{9C8F7E7E-940B-4688-8130-34FF3964B1A1}"/>
    <cellStyle name="Comma 2 4 3 2 2 2 3" xfId="36490" xr:uid="{FB93DDB7-1974-40AA-84CA-549B66D6D288}"/>
    <cellStyle name="Comma 2 4 3 2 2 3" xfId="14586" xr:uid="{256E4D76-19E7-47AD-A564-4556039F1E9C}"/>
    <cellStyle name="Comma 2 4 3 2 2 3 2" xfId="51094" xr:uid="{4EF2370B-CD59-4A33-A9D6-6ECAC9ABD271}"/>
    <cellStyle name="Comma 2 4 3 2 2 3 3" xfId="32840" xr:uid="{A9B8050E-B482-46B0-923E-B94DBB857A6B}"/>
    <cellStyle name="Comma 2 4 3 2 2 4" xfId="10936" xr:uid="{6446CE0A-D873-42C3-AA06-76C9F28F0301}"/>
    <cellStyle name="Comma 2 4 3 2 2 4 2" xfId="47444" xr:uid="{C9C77B49-775E-4F02-96C3-9FC1361944C4}"/>
    <cellStyle name="Comma 2 4 3 2 2 4 3" xfId="29190" xr:uid="{DC533CA9-597E-4782-8A21-BE645BE33865}"/>
    <cellStyle name="Comma 2 4 3 2 2 5" xfId="7286" xr:uid="{8BCE0BDF-518B-4047-B448-6BA6C462DC73}"/>
    <cellStyle name="Comma 2 4 3 2 2 5 2" xfId="43794" xr:uid="{CF252CBC-DF68-409E-B89C-124EC72B377C}"/>
    <cellStyle name="Comma 2 4 3 2 2 5 3" xfId="25540" xr:uid="{C9467871-E06A-48D0-A77D-42D571AA4C65}"/>
    <cellStyle name="Comma 2 4 3 2 2 6" xfId="40144" xr:uid="{A2E93B47-DF2C-41E1-9B22-30C03368B8CB}"/>
    <cellStyle name="Comma 2 4 3 2 2 7" xfId="21890" xr:uid="{8BB770EE-AD8A-4DC3-959B-CAE24E9C9D7F}"/>
    <cellStyle name="Comma 2 4 3 2 3" xfId="2906" xr:uid="{A10A315A-94DB-45E8-9CC4-8A9732CE6D3D}"/>
    <cellStyle name="Comma 2 4 3 2 3 2" xfId="17506" xr:uid="{CD896D76-186F-4312-AF0C-765997E81898}"/>
    <cellStyle name="Comma 2 4 3 2 3 2 2" xfId="54014" xr:uid="{901BD093-AC5A-4B73-B4FE-52373C547CCC}"/>
    <cellStyle name="Comma 2 4 3 2 3 2 3" xfId="35760" xr:uid="{1A4BFB2E-C392-428A-9E40-A8C6B58C1BF8}"/>
    <cellStyle name="Comma 2 4 3 2 3 3" xfId="13856" xr:uid="{F999A57C-7189-452D-9DEA-2E0FA3EAF375}"/>
    <cellStyle name="Comma 2 4 3 2 3 3 2" xfId="50364" xr:uid="{74EBE370-90E0-4258-9058-CF8E0F6086BF}"/>
    <cellStyle name="Comma 2 4 3 2 3 3 3" xfId="32110" xr:uid="{AE06AF79-36DF-486A-AC7E-86246B75604B}"/>
    <cellStyle name="Comma 2 4 3 2 3 4" xfId="10206" xr:uid="{2CC73294-F999-49D4-A37E-5531708C5D39}"/>
    <cellStyle name="Comma 2 4 3 2 3 4 2" xfId="46714" xr:uid="{EE771932-3F48-4369-A425-F1763BA39FD9}"/>
    <cellStyle name="Comma 2 4 3 2 3 4 3" xfId="28460" xr:uid="{E56CF7B3-CA21-470E-B507-53BEA2B1EB16}"/>
    <cellStyle name="Comma 2 4 3 2 3 5" xfId="6556" xr:uid="{BF535B50-2B50-414A-92D4-DF0B474F9C7E}"/>
    <cellStyle name="Comma 2 4 3 2 3 5 2" xfId="43064" xr:uid="{427CA493-8C99-4FEC-ABAF-77A03E90660C}"/>
    <cellStyle name="Comma 2 4 3 2 3 5 3" xfId="24810" xr:uid="{81AD61DB-7C1F-42C2-908C-CDFD925E4C1F}"/>
    <cellStyle name="Comma 2 4 3 2 3 6" xfId="39414" xr:uid="{E06582CF-1D9C-455C-9157-49A134F2C2DD}"/>
    <cellStyle name="Comma 2 4 3 2 3 7" xfId="21160" xr:uid="{71EB129D-57F3-4433-AB82-5E48FC6A738A}"/>
    <cellStyle name="Comma 2 4 3 2 4" xfId="2176" xr:uid="{5F7B7885-80D7-4556-BFA6-D2312A96956E}"/>
    <cellStyle name="Comma 2 4 3 2 4 2" xfId="16776" xr:uid="{7F0D4994-0145-4D00-95FC-2032016918DD}"/>
    <cellStyle name="Comma 2 4 3 2 4 2 2" xfId="53284" xr:uid="{83F8AD20-ADAF-4779-8A8B-F3BD26B0F7FA}"/>
    <cellStyle name="Comma 2 4 3 2 4 2 3" xfId="35030" xr:uid="{6D1D0019-0722-4B1F-B752-3491DEA48E82}"/>
    <cellStyle name="Comma 2 4 3 2 4 3" xfId="13126" xr:uid="{A1DB91B0-2758-4B6C-B14A-32680BFA6313}"/>
    <cellStyle name="Comma 2 4 3 2 4 3 2" xfId="49634" xr:uid="{1F3BC4FB-529D-4323-8387-A67DE4945D88}"/>
    <cellStyle name="Comma 2 4 3 2 4 3 3" xfId="31380" xr:uid="{85EC7784-C83C-461F-B8C5-50B7C60289FD}"/>
    <cellStyle name="Comma 2 4 3 2 4 4" xfId="9476" xr:uid="{B79DF795-B97E-4286-881E-357DEE252D80}"/>
    <cellStyle name="Comma 2 4 3 2 4 4 2" xfId="45984" xr:uid="{CFC076AE-1437-4F3E-A3B5-29215CAE6970}"/>
    <cellStyle name="Comma 2 4 3 2 4 4 3" xfId="27730" xr:uid="{0AB4BF42-A4D8-41BF-97FF-4C86F89C6B33}"/>
    <cellStyle name="Comma 2 4 3 2 4 5" xfId="5826" xr:uid="{0DABBCC3-483F-43BD-AE2A-1D1DFAB4FE13}"/>
    <cellStyle name="Comma 2 4 3 2 4 5 2" xfId="42334" xr:uid="{15AE518F-E4F1-4E75-841C-F120B62B1E36}"/>
    <cellStyle name="Comma 2 4 3 2 4 5 3" xfId="24080" xr:uid="{F575A98C-A907-4DC6-AE14-4BC1E5B0CF58}"/>
    <cellStyle name="Comma 2 4 3 2 4 6" xfId="38684" xr:uid="{EFE1530F-995B-455F-A0CD-BEAE0A8D62B3}"/>
    <cellStyle name="Comma 2 4 3 2 4 7" xfId="20430" xr:uid="{7E0D7FC6-4678-40E1-AEB9-9DC08437C971}"/>
    <cellStyle name="Comma 2 4 3 2 5" xfId="1446" xr:uid="{0695BC36-FDAF-4DCC-B72B-419F49F5E754}"/>
    <cellStyle name="Comma 2 4 3 2 5 2" xfId="16046" xr:uid="{7A666962-F659-4F28-9DDB-A6FBB5A99659}"/>
    <cellStyle name="Comma 2 4 3 2 5 2 2" xfId="52554" xr:uid="{70489403-6193-4A72-882B-269EB00E93F2}"/>
    <cellStyle name="Comma 2 4 3 2 5 2 3" xfId="34300" xr:uid="{5DAC0967-8685-470C-8ED6-E2F7BD64BAEC}"/>
    <cellStyle name="Comma 2 4 3 2 5 3" xfId="12396" xr:uid="{E39FD053-E6A2-4082-B544-5608463FC2A1}"/>
    <cellStyle name="Comma 2 4 3 2 5 3 2" xfId="48904" xr:uid="{C45AF6CD-693A-473E-AE3B-E31020DB9F54}"/>
    <cellStyle name="Comma 2 4 3 2 5 3 3" xfId="30650" xr:uid="{FB7F3A71-F538-4DE6-9B3E-4A0CD39F715A}"/>
    <cellStyle name="Comma 2 4 3 2 5 4" xfId="8746" xr:uid="{3FBFCB0E-54D0-4CA9-AD7D-BC60910636D4}"/>
    <cellStyle name="Comma 2 4 3 2 5 4 2" xfId="45254" xr:uid="{81B6B0FC-3119-449F-B0F3-5E473BCDA495}"/>
    <cellStyle name="Comma 2 4 3 2 5 4 3" xfId="27000" xr:uid="{785BBC12-B67D-4D49-B544-CADB76C0E5C8}"/>
    <cellStyle name="Comma 2 4 3 2 5 5" xfId="5096" xr:uid="{793254ED-8EEA-49DE-927D-18068C0889F1}"/>
    <cellStyle name="Comma 2 4 3 2 5 5 2" xfId="41604" xr:uid="{216CFCB8-03D6-49EB-B23F-0BCB03D132B8}"/>
    <cellStyle name="Comma 2 4 3 2 5 5 3" xfId="23350" xr:uid="{9784DDA3-C55D-4493-A376-655943846800}"/>
    <cellStyle name="Comma 2 4 3 2 5 6" xfId="37954" xr:uid="{3E20AA44-F43F-4C49-99FE-0BD0C5F16335}"/>
    <cellStyle name="Comma 2 4 3 2 5 7" xfId="19700" xr:uid="{C7E5F5ED-8F88-4CC0-BEC2-C0A237050AC1}"/>
    <cellStyle name="Comma 2 4 3 2 6" xfId="15316" xr:uid="{3C64F246-37B2-4AF7-8553-7B92582C93F3}"/>
    <cellStyle name="Comma 2 4 3 2 6 2" xfId="51824" xr:uid="{467C88E0-A833-43CB-871D-5754F68F0080}"/>
    <cellStyle name="Comma 2 4 3 2 6 3" xfId="33570" xr:uid="{6A406B97-FB35-41E7-BEAC-517245C181EC}"/>
    <cellStyle name="Comma 2 4 3 2 7" xfId="11666" xr:uid="{67C301A5-3EEC-47C9-8161-CE37490BB883}"/>
    <cellStyle name="Comma 2 4 3 2 7 2" xfId="48174" xr:uid="{D5D824A1-9C5F-4F74-ACB9-2F73B5C8A171}"/>
    <cellStyle name="Comma 2 4 3 2 7 3" xfId="29920" xr:uid="{B62BAD1F-7549-4DCD-8443-19E585853D15}"/>
    <cellStyle name="Comma 2 4 3 2 8" xfId="8016" xr:uid="{FE2D8C6E-4668-4DA7-8B0A-A057C16B98BF}"/>
    <cellStyle name="Comma 2 4 3 2 8 2" xfId="44524" xr:uid="{F0638CA9-94F0-4F68-94F4-A51FAA203B29}"/>
    <cellStyle name="Comma 2 4 3 2 8 3" xfId="26270" xr:uid="{668BC10D-EA0B-4580-AC10-603A56B27B5C}"/>
    <cellStyle name="Comma 2 4 3 2 9" xfId="4366" xr:uid="{C42D1107-B17C-4CE3-9C15-C7FC7F78C761}"/>
    <cellStyle name="Comma 2 4 3 2 9 2" xfId="40874" xr:uid="{72BFB7FE-FC83-4CB8-87A0-57D3AD9A9ABD}"/>
    <cellStyle name="Comma 2 4 3 2 9 3" xfId="22620" xr:uid="{09EDBE33-DC81-4313-9286-9B757701AC42}"/>
    <cellStyle name="Comma 2 4 3 3" xfId="612" xr:uid="{FD553E2F-0309-4C9C-B5A6-BF69745B82FC}"/>
    <cellStyle name="Comma 2 4 3 3 10" xfId="37120" xr:uid="{DEEA75B0-0DD0-470F-B182-6332619D91A7}"/>
    <cellStyle name="Comma 2 4 3 3 11" xfId="18866" xr:uid="{3AA0A0B3-1D92-4B2B-83F2-814A5B1B6D5F}"/>
    <cellStyle name="Comma 2 4 3 3 2" xfId="3532" xr:uid="{B9762DEB-11F0-4128-8B4F-EE041130B252}"/>
    <cellStyle name="Comma 2 4 3 3 2 2" xfId="18132" xr:uid="{33E9DD27-8216-4B09-B110-55E1524BEB7E}"/>
    <cellStyle name="Comma 2 4 3 3 2 2 2" xfId="54640" xr:uid="{3120A820-B0AE-4AAB-81A7-F93009B69E4F}"/>
    <cellStyle name="Comma 2 4 3 3 2 2 3" xfId="36386" xr:uid="{BB6260F0-85E9-4ECB-8EAD-7EF82491BB4F}"/>
    <cellStyle name="Comma 2 4 3 3 2 3" xfId="14482" xr:uid="{9D708AA0-97DF-4521-A34A-DC8CCD3A950B}"/>
    <cellStyle name="Comma 2 4 3 3 2 3 2" xfId="50990" xr:uid="{CCA31FC5-3065-4933-A60D-83A04D46E3EB}"/>
    <cellStyle name="Comma 2 4 3 3 2 3 3" xfId="32736" xr:uid="{3755135C-B4E8-446B-B7E6-0024F60E7B22}"/>
    <cellStyle name="Comma 2 4 3 3 2 4" xfId="10832" xr:uid="{4AD681D8-1920-4C07-9963-9C3193FED114}"/>
    <cellStyle name="Comma 2 4 3 3 2 4 2" xfId="47340" xr:uid="{D63C6075-300F-4662-9FE4-CC5546194633}"/>
    <cellStyle name="Comma 2 4 3 3 2 4 3" xfId="29086" xr:uid="{A27C9823-FA67-4B50-9A54-BCE7423786A7}"/>
    <cellStyle name="Comma 2 4 3 3 2 5" xfId="7182" xr:uid="{6E3D5E21-0F07-4A3F-9389-A6A5690B9403}"/>
    <cellStyle name="Comma 2 4 3 3 2 5 2" xfId="43690" xr:uid="{11E6807F-AC60-4A9B-ACA0-BA8BA4EB9DB3}"/>
    <cellStyle name="Comma 2 4 3 3 2 5 3" xfId="25436" xr:uid="{C88784C7-65C7-4C24-A45C-74C8F9036EAC}"/>
    <cellStyle name="Comma 2 4 3 3 2 6" xfId="40040" xr:uid="{2EF760E7-332C-4FAF-9A77-06FDEF52E5DC}"/>
    <cellStyle name="Comma 2 4 3 3 2 7" xfId="21786" xr:uid="{A8C48045-1906-48E0-BB25-525A96DA2D85}"/>
    <cellStyle name="Comma 2 4 3 3 3" xfId="2802" xr:uid="{DA277432-5567-4EAF-BE1C-B357AAC1A99A}"/>
    <cellStyle name="Comma 2 4 3 3 3 2" xfId="17402" xr:uid="{D1859EC1-8000-419A-8EBF-F9929FC1F139}"/>
    <cellStyle name="Comma 2 4 3 3 3 2 2" xfId="53910" xr:uid="{D393E6B9-FDE6-46D0-B760-88E910A79FAD}"/>
    <cellStyle name="Comma 2 4 3 3 3 2 3" xfId="35656" xr:uid="{61185E0C-D4DD-48FA-9568-8E6CC1A8DADD}"/>
    <cellStyle name="Comma 2 4 3 3 3 3" xfId="13752" xr:uid="{194C66D7-F2CD-4C2B-9938-CE12D76A5179}"/>
    <cellStyle name="Comma 2 4 3 3 3 3 2" xfId="50260" xr:uid="{A15E63AB-49FF-4014-AE0E-CE4AC239BA87}"/>
    <cellStyle name="Comma 2 4 3 3 3 3 3" xfId="32006" xr:uid="{F30DAF32-D190-4CDA-8FF7-19FACA324616}"/>
    <cellStyle name="Comma 2 4 3 3 3 4" xfId="10102" xr:uid="{D6639DE5-86E7-4B62-ACDA-3A31153B9C7B}"/>
    <cellStyle name="Comma 2 4 3 3 3 4 2" xfId="46610" xr:uid="{506C9CB8-F6AF-4850-B625-69FFC528FCA0}"/>
    <cellStyle name="Comma 2 4 3 3 3 4 3" xfId="28356" xr:uid="{FD2FBDE9-C16D-44AE-A31E-0D08388F2463}"/>
    <cellStyle name="Comma 2 4 3 3 3 5" xfId="6452" xr:uid="{440F3352-641D-46D3-8047-AA8C9D6453B7}"/>
    <cellStyle name="Comma 2 4 3 3 3 5 2" xfId="42960" xr:uid="{7E5E368C-9B58-4A5E-A909-84AFC5ADDF68}"/>
    <cellStyle name="Comma 2 4 3 3 3 5 3" xfId="24706" xr:uid="{C4901C59-09D8-4E79-902B-5A6C65DCD6C9}"/>
    <cellStyle name="Comma 2 4 3 3 3 6" xfId="39310" xr:uid="{2E9CEBDF-97DF-437E-8073-2C79D786BDDB}"/>
    <cellStyle name="Comma 2 4 3 3 3 7" xfId="21056" xr:uid="{E658D14C-E700-46DF-BE93-780A2ABDFA48}"/>
    <cellStyle name="Comma 2 4 3 3 4" xfId="2072" xr:uid="{03A44C52-119A-4E1F-A339-B382E34922DC}"/>
    <cellStyle name="Comma 2 4 3 3 4 2" xfId="16672" xr:uid="{1C803CB3-34B7-409F-96A4-0243227CF3F8}"/>
    <cellStyle name="Comma 2 4 3 3 4 2 2" xfId="53180" xr:uid="{BBE75B58-07F2-4C19-9EB4-AECE7E4F1016}"/>
    <cellStyle name="Comma 2 4 3 3 4 2 3" xfId="34926" xr:uid="{B8CD13F4-DA53-4FA4-AEB0-5008628AF66A}"/>
    <cellStyle name="Comma 2 4 3 3 4 3" xfId="13022" xr:uid="{440D41F3-1D0B-4057-8176-6BE233CAC1CB}"/>
    <cellStyle name="Comma 2 4 3 3 4 3 2" xfId="49530" xr:uid="{182CCA2C-1424-4FDB-B774-E4A316B4625C}"/>
    <cellStyle name="Comma 2 4 3 3 4 3 3" xfId="31276" xr:uid="{EA727762-5EC6-4269-AAAE-A0583F191FD7}"/>
    <cellStyle name="Comma 2 4 3 3 4 4" xfId="9372" xr:uid="{0E188B83-EF0C-470C-A0E3-7C1DB6AFB445}"/>
    <cellStyle name="Comma 2 4 3 3 4 4 2" xfId="45880" xr:uid="{58821C8E-0431-4DFE-8CDF-4FB29D505185}"/>
    <cellStyle name="Comma 2 4 3 3 4 4 3" xfId="27626" xr:uid="{2E90F244-4746-4343-9A5B-DE14FE7202AF}"/>
    <cellStyle name="Comma 2 4 3 3 4 5" xfId="5722" xr:uid="{E271BDB7-547A-46D9-8B9C-B0B93C51D598}"/>
    <cellStyle name="Comma 2 4 3 3 4 5 2" xfId="42230" xr:uid="{9252366F-24C0-4F62-8830-2744E633BBDD}"/>
    <cellStyle name="Comma 2 4 3 3 4 5 3" xfId="23976" xr:uid="{2D18E392-551D-4277-A715-80E798AF5E8B}"/>
    <cellStyle name="Comma 2 4 3 3 4 6" xfId="38580" xr:uid="{B12C7115-26EF-4DDE-B584-530C55385749}"/>
    <cellStyle name="Comma 2 4 3 3 4 7" xfId="20326" xr:uid="{4B030864-8701-43F2-929A-C84221944326}"/>
    <cellStyle name="Comma 2 4 3 3 5" xfId="1342" xr:uid="{896E4707-2DAE-411C-8A84-83B6A53CB69F}"/>
    <cellStyle name="Comma 2 4 3 3 5 2" xfId="15942" xr:uid="{2197303E-6FD5-45DF-837C-3F3EBABFBD29}"/>
    <cellStyle name="Comma 2 4 3 3 5 2 2" xfId="52450" xr:uid="{2E8FE541-ED81-419D-93B7-00E0DB289A26}"/>
    <cellStyle name="Comma 2 4 3 3 5 2 3" xfId="34196" xr:uid="{411393F7-2BC8-44F8-B8CC-2D748E554057}"/>
    <cellStyle name="Comma 2 4 3 3 5 3" xfId="12292" xr:uid="{1ECF0261-46D5-4E21-9D65-0E19F4EFA8DF}"/>
    <cellStyle name="Comma 2 4 3 3 5 3 2" xfId="48800" xr:uid="{5101FE04-A24E-4346-A725-A4C84F42235B}"/>
    <cellStyle name="Comma 2 4 3 3 5 3 3" xfId="30546" xr:uid="{9AB69BCE-61E5-4A1B-B94D-DC9EFFA1A83B}"/>
    <cellStyle name="Comma 2 4 3 3 5 4" xfId="8642" xr:uid="{75795400-C98A-402A-8B6D-BAF90E195C91}"/>
    <cellStyle name="Comma 2 4 3 3 5 4 2" xfId="45150" xr:uid="{9488282A-1960-4CAD-A639-A5B14D606224}"/>
    <cellStyle name="Comma 2 4 3 3 5 4 3" xfId="26896" xr:uid="{CEFA40A8-5F70-4690-873B-B957BF5F57E4}"/>
    <cellStyle name="Comma 2 4 3 3 5 5" xfId="4992" xr:uid="{2066CAAD-8B37-4AAA-B2F8-9DAB46D278CE}"/>
    <cellStyle name="Comma 2 4 3 3 5 5 2" xfId="41500" xr:uid="{92F39C0A-D1A4-4683-AB99-8407E6577D7C}"/>
    <cellStyle name="Comma 2 4 3 3 5 5 3" xfId="23246" xr:uid="{0CEB1BF3-E3E1-4D8C-806C-29121D145B15}"/>
    <cellStyle name="Comma 2 4 3 3 5 6" xfId="37850" xr:uid="{248E195A-6272-4BA9-AB79-26EFB31FAE91}"/>
    <cellStyle name="Comma 2 4 3 3 5 7" xfId="19596" xr:uid="{B9EBF858-E3AC-4FEE-A0A8-1852C4FFE968}"/>
    <cellStyle name="Comma 2 4 3 3 6" xfId="15212" xr:uid="{528B0C90-C7DD-40F4-8E03-A354693007DE}"/>
    <cellStyle name="Comma 2 4 3 3 6 2" xfId="51720" xr:uid="{DE10247E-DFEA-457D-85FB-7E5048CD4C3B}"/>
    <cellStyle name="Comma 2 4 3 3 6 3" xfId="33466" xr:uid="{934385B0-68A1-4959-9021-9B5F054A8FCC}"/>
    <cellStyle name="Comma 2 4 3 3 7" xfId="11562" xr:uid="{583D8448-0030-4B23-8855-CD024F0DB4E3}"/>
    <cellStyle name="Comma 2 4 3 3 7 2" xfId="48070" xr:uid="{A10CF74B-A7D6-4E39-98DA-A52C9CDF5D53}"/>
    <cellStyle name="Comma 2 4 3 3 7 3" xfId="29816" xr:uid="{E8C6DC2F-B85D-410B-86C5-54CE82EDE28A}"/>
    <cellStyle name="Comma 2 4 3 3 8" xfId="7912" xr:uid="{67EC9ECF-669F-400B-BDF3-383675F0CBB0}"/>
    <cellStyle name="Comma 2 4 3 3 8 2" xfId="44420" xr:uid="{7C41D158-DED5-47A8-9DF8-570CCC9A2C9D}"/>
    <cellStyle name="Comma 2 4 3 3 8 3" xfId="26166" xr:uid="{0DC7375D-CF66-4F15-897B-370149C958F7}"/>
    <cellStyle name="Comma 2 4 3 3 9" xfId="4262" xr:uid="{73894C63-2A73-407A-B1C1-7514FC77086B}"/>
    <cellStyle name="Comma 2 4 3 3 9 2" xfId="40770" xr:uid="{F2C0021B-0EC0-414D-9AB0-0A7B27C6C3C1}"/>
    <cellStyle name="Comma 2 4 3 3 9 3" xfId="22516" xr:uid="{234BB2F9-58C1-4D10-BFA6-B0FCB3E9E8F8}"/>
    <cellStyle name="Comma 2 4 3 4" xfId="508" xr:uid="{EE123D1A-84FF-467F-BE66-948D5F5E98C2}"/>
    <cellStyle name="Comma 2 4 3 4 10" xfId="37016" xr:uid="{1BACA623-9CD3-4B4C-8902-4FF3327B3430}"/>
    <cellStyle name="Comma 2 4 3 4 11" xfId="18762" xr:uid="{2D52F787-9DBE-4C74-91E8-2A8C539FE010}"/>
    <cellStyle name="Comma 2 4 3 4 2" xfId="3428" xr:uid="{3B01D134-3CEF-41AA-9D2E-8C52A02107CF}"/>
    <cellStyle name="Comma 2 4 3 4 2 2" xfId="18028" xr:uid="{0BA063AB-08D8-4434-BFDA-78803AB066ED}"/>
    <cellStyle name="Comma 2 4 3 4 2 2 2" xfId="54536" xr:uid="{26FE8466-504B-4946-8E97-771B8CBDD37B}"/>
    <cellStyle name="Comma 2 4 3 4 2 2 3" xfId="36282" xr:uid="{7162F117-9987-44DC-AD9F-5EB45B006A07}"/>
    <cellStyle name="Comma 2 4 3 4 2 3" xfId="14378" xr:uid="{14B0373A-2FD7-474E-A72C-670F3A1512D7}"/>
    <cellStyle name="Comma 2 4 3 4 2 3 2" xfId="50886" xr:uid="{4387794F-3FA7-4854-898E-C31719B1580E}"/>
    <cellStyle name="Comma 2 4 3 4 2 3 3" xfId="32632" xr:uid="{D5FABA17-41DD-4564-86C6-6C2C8E232AC9}"/>
    <cellStyle name="Comma 2 4 3 4 2 4" xfId="10728" xr:uid="{D8639EB2-99F7-4EE0-882A-3A2398AC12B2}"/>
    <cellStyle name="Comma 2 4 3 4 2 4 2" xfId="47236" xr:uid="{A07EFD09-FF57-472B-9479-4F89E9BA96E9}"/>
    <cellStyle name="Comma 2 4 3 4 2 4 3" xfId="28982" xr:uid="{B5785AC5-5EA0-49A4-A208-612B8FCEB007}"/>
    <cellStyle name="Comma 2 4 3 4 2 5" xfId="7078" xr:uid="{A0AD612D-832F-47F6-849A-3E5A0BFEEC1E}"/>
    <cellStyle name="Comma 2 4 3 4 2 5 2" xfId="43586" xr:uid="{A234E497-F103-40AB-A184-8378D80ACF30}"/>
    <cellStyle name="Comma 2 4 3 4 2 5 3" xfId="25332" xr:uid="{4AF669A7-57E9-4163-8520-11BD59317E6A}"/>
    <cellStyle name="Comma 2 4 3 4 2 6" xfId="39936" xr:uid="{D15162C6-FD95-4335-9D1D-22B387F73A77}"/>
    <cellStyle name="Comma 2 4 3 4 2 7" xfId="21682" xr:uid="{0DA01A61-E773-46AD-BE8D-523EBC070007}"/>
    <cellStyle name="Comma 2 4 3 4 3" xfId="2698" xr:uid="{DED8B05F-B025-4CC6-AF2C-23EA1D0C5AA6}"/>
    <cellStyle name="Comma 2 4 3 4 3 2" xfId="17298" xr:uid="{250492A5-31FD-44B9-B4D3-FEAC97B9C55A}"/>
    <cellStyle name="Comma 2 4 3 4 3 2 2" xfId="53806" xr:uid="{5CA49DD2-1EE3-420E-A918-BF51E9F664C4}"/>
    <cellStyle name="Comma 2 4 3 4 3 2 3" xfId="35552" xr:uid="{955DF40F-CFC0-4F10-85CE-6EA7897A4C76}"/>
    <cellStyle name="Comma 2 4 3 4 3 3" xfId="13648" xr:uid="{FC53684A-33D9-4E42-A6AB-642C2FED32DA}"/>
    <cellStyle name="Comma 2 4 3 4 3 3 2" xfId="50156" xr:uid="{89C278CA-E528-4812-9798-796FD1BE91C5}"/>
    <cellStyle name="Comma 2 4 3 4 3 3 3" xfId="31902" xr:uid="{B528CE95-984A-4940-A48F-48BD1551130D}"/>
    <cellStyle name="Comma 2 4 3 4 3 4" xfId="9998" xr:uid="{FC1DEEBC-6577-4A70-99DC-5C31B72AEAE9}"/>
    <cellStyle name="Comma 2 4 3 4 3 4 2" xfId="46506" xr:uid="{5F467382-52C3-4D20-9F9E-8CEF6C50AB70}"/>
    <cellStyle name="Comma 2 4 3 4 3 4 3" xfId="28252" xr:uid="{4D971EA4-3937-4BFC-87F8-FC0081123F47}"/>
    <cellStyle name="Comma 2 4 3 4 3 5" xfId="6348" xr:uid="{30AB1966-2D05-4347-9EA9-7D92ACDB88B3}"/>
    <cellStyle name="Comma 2 4 3 4 3 5 2" xfId="42856" xr:uid="{CD720893-BF75-4C94-997A-A2AD0D0F2FA9}"/>
    <cellStyle name="Comma 2 4 3 4 3 5 3" xfId="24602" xr:uid="{BB6C8444-D53F-4AC6-8DA8-D06E4C65AD4A}"/>
    <cellStyle name="Comma 2 4 3 4 3 6" xfId="39206" xr:uid="{5F949841-CB11-47A8-9B30-42D3CDFC9E53}"/>
    <cellStyle name="Comma 2 4 3 4 3 7" xfId="20952" xr:uid="{F864AFD6-A3A1-426F-9DA9-FBB55AC309A4}"/>
    <cellStyle name="Comma 2 4 3 4 4" xfId="1968" xr:uid="{5402689D-1BBA-4DE9-A1ED-1DE837D37AAF}"/>
    <cellStyle name="Comma 2 4 3 4 4 2" xfId="16568" xr:uid="{C4C6239E-B71A-4E84-89C4-F3E64583B680}"/>
    <cellStyle name="Comma 2 4 3 4 4 2 2" xfId="53076" xr:uid="{1EE849CC-ADFA-4CEE-A504-225EA91D9A76}"/>
    <cellStyle name="Comma 2 4 3 4 4 2 3" xfId="34822" xr:uid="{BE10EC6A-72F2-42B3-ADEA-2775ED1C2A03}"/>
    <cellStyle name="Comma 2 4 3 4 4 3" xfId="12918" xr:uid="{887E6B8F-FBC5-4FC4-90A0-4C766E819C00}"/>
    <cellStyle name="Comma 2 4 3 4 4 3 2" xfId="49426" xr:uid="{14E5CD73-AD06-4C53-A7F2-32F41F6F9864}"/>
    <cellStyle name="Comma 2 4 3 4 4 3 3" xfId="31172" xr:uid="{178C98A7-44FA-4EB4-813B-8099D342AD10}"/>
    <cellStyle name="Comma 2 4 3 4 4 4" xfId="9268" xr:uid="{4572C6BB-439F-4AF1-B1E4-CFE4AE97CFED}"/>
    <cellStyle name="Comma 2 4 3 4 4 4 2" xfId="45776" xr:uid="{A584F345-5960-4645-A735-20DCCAD3CC72}"/>
    <cellStyle name="Comma 2 4 3 4 4 4 3" xfId="27522" xr:uid="{260E0E2B-8CB7-4B5D-830D-7930085AC691}"/>
    <cellStyle name="Comma 2 4 3 4 4 5" xfId="5618" xr:uid="{03CBC317-DC1E-48CA-A1CB-D84C1BA80438}"/>
    <cellStyle name="Comma 2 4 3 4 4 5 2" xfId="42126" xr:uid="{AF54AC39-B105-4662-B8C1-6A769AB51459}"/>
    <cellStyle name="Comma 2 4 3 4 4 5 3" xfId="23872" xr:uid="{69343D7A-381C-4406-AEA9-C50256924FEE}"/>
    <cellStyle name="Comma 2 4 3 4 4 6" xfId="38476" xr:uid="{2F3B83E0-FD1C-475F-BD95-D80F0D5CE120}"/>
    <cellStyle name="Comma 2 4 3 4 4 7" xfId="20222" xr:uid="{D2C860BD-B2BA-455B-9912-4376A61697EA}"/>
    <cellStyle name="Comma 2 4 3 4 5" xfId="1238" xr:uid="{C32E4853-2ECF-422A-A9CB-EE7207A89ECD}"/>
    <cellStyle name="Comma 2 4 3 4 5 2" xfId="15838" xr:uid="{CB6BBCE4-47A3-4729-976F-424C2EEEF993}"/>
    <cellStyle name="Comma 2 4 3 4 5 2 2" xfId="52346" xr:uid="{F45156B1-F695-4ABF-8916-CAF5FBBBFB4E}"/>
    <cellStyle name="Comma 2 4 3 4 5 2 3" xfId="34092" xr:uid="{B7CE588E-888E-4932-9C88-79EF3BA8F603}"/>
    <cellStyle name="Comma 2 4 3 4 5 3" xfId="12188" xr:uid="{B346437C-AE32-427F-A20D-B2A9C269F668}"/>
    <cellStyle name="Comma 2 4 3 4 5 3 2" xfId="48696" xr:uid="{D1B92C4D-C8D9-4A4C-8F0B-DE15C83FAE3C}"/>
    <cellStyle name="Comma 2 4 3 4 5 3 3" xfId="30442" xr:uid="{52C2FEF5-DB89-479E-8523-8A782ECEB2A2}"/>
    <cellStyle name="Comma 2 4 3 4 5 4" xfId="8538" xr:uid="{BC105C8C-7242-4D83-A150-C3839DF5A8FA}"/>
    <cellStyle name="Comma 2 4 3 4 5 4 2" xfId="45046" xr:uid="{E2A8A636-656E-459F-A1F7-0E20A2EBB2B2}"/>
    <cellStyle name="Comma 2 4 3 4 5 4 3" xfId="26792" xr:uid="{AF17AFDE-99B0-4918-8F3B-E6C27369CC5F}"/>
    <cellStyle name="Comma 2 4 3 4 5 5" xfId="4888" xr:uid="{5F9210DC-CF71-410B-A6EC-74DFDF85E73C}"/>
    <cellStyle name="Comma 2 4 3 4 5 5 2" xfId="41396" xr:uid="{D825532E-07A5-421B-86C4-88E5FD6DDDD1}"/>
    <cellStyle name="Comma 2 4 3 4 5 5 3" xfId="23142" xr:uid="{8A6AC7CA-A281-4BD5-9FAB-95BF525622D2}"/>
    <cellStyle name="Comma 2 4 3 4 5 6" xfId="37746" xr:uid="{33B3C476-C3D2-4462-BCD2-2E813214355E}"/>
    <cellStyle name="Comma 2 4 3 4 5 7" xfId="19492" xr:uid="{C5F58420-C9B5-497A-BE5D-256A0A425620}"/>
    <cellStyle name="Comma 2 4 3 4 6" xfId="15108" xr:uid="{212CB1F7-0F78-4FC9-8303-8A086FAC40E4}"/>
    <cellStyle name="Comma 2 4 3 4 6 2" xfId="51616" xr:uid="{8E501D53-0085-440E-A978-4E7495F04CD9}"/>
    <cellStyle name="Comma 2 4 3 4 6 3" xfId="33362" xr:uid="{B540ECCF-A9B4-4251-A74F-56E67FD5F889}"/>
    <cellStyle name="Comma 2 4 3 4 7" xfId="11458" xr:uid="{BC507C50-8C72-4C14-8C88-B803E6EDD4C8}"/>
    <cellStyle name="Comma 2 4 3 4 7 2" xfId="47966" xr:uid="{861178DB-1DB7-497A-8C9D-C080D057D250}"/>
    <cellStyle name="Comma 2 4 3 4 7 3" xfId="29712" xr:uid="{DD7FAEE9-0CC7-4EDB-B68C-D7E7CE901003}"/>
    <cellStyle name="Comma 2 4 3 4 8" xfId="7808" xr:uid="{9BE19315-86A9-4353-910F-A4EAC3ABC0A7}"/>
    <cellStyle name="Comma 2 4 3 4 8 2" xfId="44316" xr:uid="{EA0E4205-6221-4626-99A0-2AE729729C38}"/>
    <cellStyle name="Comma 2 4 3 4 8 3" xfId="26062" xr:uid="{B601AE89-02C1-41B9-BFF4-A7CF425F0A08}"/>
    <cellStyle name="Comma 2 4 3 4 9" xfId="4158" xr:uid="{EBCAB36A-86D0-44C6-BE01-C0F3FF3A0F5A}"/>
    <cellStyle name="Comma 2 4 3 4 9 2" xfId="40666" xr:uid="{D363948F-37CA-4877-8A5C-EAE05F3BDFAE}"/>
    <cellStyle name="Comma 2 4 3 4 9 3" xfId="22412" xr:uid="{8FA011E8-725E-4191-AC31-AB22A7AE1FE6}"/>
    <cellStyle name="Comma 2 4 3 5" xfId="404" xr:uid="{E1D8E015-6F30-45AC-B343-DFA7996C2B78}"/>
    <cellStyle name="Comma 2 4 3 5 10" xfId="36912" xr:uid="{3D68F117-E55F-4A2C-BF56-F84084E23740}"/>
    <cellStyle name="Comma 2 4 3 5 11" xfId="18658" xr:uid="{C434F0D1-7AF7-4F93-BBD1-AA5CA9D4E034}"/>
    <cellStyle name="Comma 2 4 3 5 2" xfId="3324" xr:uid="{4F607972-7EDC-4F4B-8F69-F85FB509EBD2}"/>
    <cellStyle name="Comma 2 4 3 5 2 2" xfId="17924" xr:uid="{A779FADC-3708-44AD-AFA8-4360456AAB1F}"/>
    <cellStyle name="Comma 2 4 3 5 2 2 2" xfId="54432" xr:uid="{49380C2F-1583-42C8-ABB5-282C4F6800D0}"/>
    <cellStyle name="Comma 2 4 3 5 2 2 3" xfId="36178" xr:uid="{2E2F61FF-8B80-4D21-96A5-9AFE2B7F16A0}"/>
    <cellStyle name="Comma 2 4 3 5 2 3" xfId="14274" xr:uid="{040B996C-108B-4A33-A03A-8DB77CA4234C}"/>
    <cellStyle name="Comma 2 4 3 5 2 3 2" xfId="50782" xr:uid="{5CEBCE1B-76EE-42E6-9992-4B4A20B933A9}"/>
    <cellStyle name="Comma 2 4 3 5 2 3 3" xfId="32528" xr:uid="{96AF4A02-6BD4-4F10-B256-2420B65417C3}"/>
    <cellStyle name="Comma 2 4 3 5 2 4" xfId="10624" xr:uid="{8E71A08E-4301-4AF5-A3A7-4805AAFCF417}"/>
    <cellStyle name="Comma 2 4 3 5 2 4 2" xfId="47132" xr:uid="{16C37FC4-C306-4210-8B0E-250389AE9EFE}"/>
    <cellStyle name="Comma 2 4 3 5 2 4 3" xfId="28878" xr:uid="{056478B4-A345-47C2-94D8-CF407FC64304}"/>
    <cellStyle name="Comma 2 4 3 5 2 5" xfId="6974" xr:uid="{FBC9A4D5-CA15-4B37-B88F-EF306A4C13AC}"/>
    <cellStyle name="Comma 2 4 3 5 2 5 2" xfId="43482" xr:uid="{68D886DE-D55E-4F1C-BEFC-591D0E1A5394}"/>
    <cellStyle name="Comma 2 4 3 5 2 5 3" xfId="25228" xr:uid="{2759B645-F375-4A5D-87EF-EC43AC5DB7EF}"/>
    <cellStyle name="Comma 2 4 3 5 2 6" xfId="39832" xr:uid="{42523ABD-D4AD-4FD7-A0C2-F4734FD5F0E4}"/>
    <cellStyle name="Comma 2 4 3 5 2 7" xfId="21578" xr:uid="{31152476-51AC-4169-86B8-9E85CDDF8251}"/>
    <cellStyle name="Comma 2 4 3 5 3" xfId="2594" xr:uid="{300C03B6-DD65-4E07-832F-A9472874EEC1}"/>
    <cellStyle name="Comma 2 4 3 5 3 2" xfId="17194" xr:uid="{9EAC34C1-40D5-42F2-8824-1BE672BE3348}"/>
    <cellStyle name="Comma 2 4 3 5 3 2 2" xfId="53702" xr:uid="{2A0B5DEB-CCC2-4BE8-B7FA-9B85B7C986A0}"/>
    <cellStyle name="Comma 2 4 3 5 3 2 3" xfId="35448" xr:uid="{A279F3D3-F879-4658-8339-BCF48A484C4F}"/>
    <cellStyle name="Comma 2 4 3 5 3 3" xfId="13544" xr:uid="{176BACD9-4BF5-4D48-AE05-AAE9A3889FB0}"/>
    <cellStyle name="Comma 2 4 3 5 3 3 2" xfId="50052" xr:uid="{CA9C309A-3E7F-4DD0-81A5-62A4ED8BA78E}"/>
    <cellStyle name="Comma 2 4 3 5 3 3 3" xfId="31798" xr:uid="{0BE2BC05-F215-4432-8F70-325B0FF928A2}"/>
    <cellStyle name="Comma 2 4 3 5 3 4" xfId="9894" xr:uid="{DB732ECF-C005-4DAF-8369-C92938DEBF2B}"/>
    <cellStyle name="Comma 2 4 3 5 3 4 2" xfId="46402" xr:uid="{FF1B38A2-3434-4FCE-BF78-A52A69B653A2}"/>
    <cellStyle name="Comma 2 4 3 5 3 4 3" xfId="28148" xr:uid="{1F6BA92E-9C9E-444D-BAD6-3E79AB752FA3}"/>
    <cellStyle name="Comma 2 4 3 5 3 5" xfId="6244" xr:uid="{641E6101-E454-4BB0-AAC2-D8873A4792DC}"/>
    <cellStyle name="Comma 2 4 3 5 3 5 2" xfId="42752" xr:uid="{A8BE7705-C687-4966-BF65-47FB40A5B20A}"/>
    <cellStyle name="Comma 2 4 3 5 3 5 3" xfId="24498" xr:uid="{371AF9FD-BE6D-498E-89B8-E97C8A697DF1}"/>
    <cellStyle name="Comma 2 4 3 5 3 6" xfId="39102" xr:uid="{A5B97AD7-71EB-439B-9B57-DDA48887882D}"/>
    <cellStyle name="Comma 2 4 3 5 3 7" xfId="20848" xr:uid="{459F0BA1-274E-4954-9811-2A5B9220C72A}"/>
    <cellStyle name="Comma 2 4 3 5 4" xfId="1864" xr:uid="{4A12767C-9B54-404D-8D43-E9E38538A831}"/>
    <cellStyle name="Comma 2 4 3 5 4 2" xfId="16464" xr:uid="{04827967-B190-44F9-992F-CD0FF9113C23}"/>
    <cellStyle name="Comma 2 4 3 5 4 2 2" xfId="52972" xr:uid="{FB8078F9-1982-487D-885F-7025E4C930FA}"/>
    <cellStyle name="Comma 2 4 3 5 4 2 3" xfId="34718" xr:uid="{D705ACB3-DDDA-436C-9843-5AAAE67D8ADE}"/>
    <cellStyle name="Comma 2 4 3 5 4 3" xfId="12814" xr:uid="{329460D8-0444-4E91-A65E-9D5B6EB144A9}"/>
    <cellStyle name="Comma 2 4 3 5 4 3 2" xfId="49322" xr:uid="{D92FCA20-7661-425B-A3D8-52E5A2F98D32}"/>
    <cellStyle name="Comma 2 4 3 5 4 3 3" xfId="31068" xr:uid="{8285269A-03BF-4CEC-BBDB-736AC66CFBB8}"/>
    <cellStyle name="Comma 2 4 3 5 4 4" xfId="9164" xr:uid="{019DC3E5-2F34-44F0-97E3-CCC76010AF1A}"/>
    <cellStyle name="Comma 2 4 3 5 4 4 2" xfId="45672" xr:uid="{CD62BF44-B6A1-4295-900D-EBA5D7ACDD2F}"/>
    <cellStyle name="Comma 2 4 3 5 4 4 3" xfId="27418" xr:uid="{CE2D72F0-DF0C-4287-A6A2-F2A94FE95FFA}"/>
    <cellStyle name="Comma 2 4 3 5 4 5" xfId="5514" xr:uid="{8F3E5272-F73E-4284-8FBF-FAEF0B80EA79}"/>
    <cellStyle name="Comma 2 4 3 5 4 5 2" xfId="42022" xr:uid="{5F7D348B-4177-475E-B8EC-6017549B3468}"/>
    <cellStyle name="Comma 2 4 3 5 4 5 3" xfId="23768" xr:uid="{6027F1F8-B2AE-4CA3-B991-53E36119DD06}"/>
    <cellStyle name="Comma 2 4 3 5 4 6" xfId="38372" xr:uid="{D39A60AD-A7FE-4936-A720-352AB9F413A7}"/>
    <cellStyle name="Comma 2 4 3 5 4 7" xfId="20118" xr:uid="{F0E55DD8-9BFC-45AA-B0E7-1CCBE537FB93}"/>
    <cellStyle name="Comma 2 4 3 5 5" xfId="1134" xr:uid="{79F0ECF1-ADF2-40A7-BAD1-2C589E964BCA}"/>
    <cellStyle name="Comma 2 4 3 5 5 2" xfId="15734" xr:uid="{A50793FB-2788-495E-B24C-5EEA2BE00535}"/>
    <cellStyle name="Comma 2 4 3 5 5 2 2" xfId="52242" xr:uid="{E5165462-91A7-4558-80B8-8BA2F708E72A}"/>
    <cellStyle name="Comma 2 4 3 5 5 2 3" xfId="33988" xr:uid="{71CF3FC3-48B5-4E58-9ECF-C582EA638BD5}"/>
    <cellStyle name="Comma 2 4 3 5 5 3" xfId="12084" xr:uid="{0C3A7EE8-5465-41F8-B545-8C8AD3F845D6}"/>
    <cellStyle name="Comma 2 4 3 5 5 3 2" xfId="48592" xr:uid="{0218F897-0F09-466D-ACBF-798C95212D51}"/>
    <cellStyle name="Comma 2 4 3 5 5 3 3" xfId="30338" xr:uid="{FEE0C444-6196-4EF8-A30F-5DFCA640339E}"/>
    <cellStyle name="Comma 2 4 3 5 5 4" xfId="8434" xr:uid="{DAE46DE3-28D1-4EFF-9728-CE1121D459EE}"/>
    <cellStyle name="Comma 2 4 3 5 5 4 2" xfId="44942" xr:uid="{F66E3AAA-DBCC-4CBE-8CDE-0C55A6782476}"/>
    <cellStyle name="Comma 2 4 3 5 5 4 3" xfId="26688" xr:uid="{56D26AE5-3770-469B-B190-E9DE1D032BB1}"/>
    <cellStyle name="Comma 2 4 3 5 5 5" xfId="4784" xr:uid="{5C72D1D0-BE93-4BC5-98F3-6473A318378C}"/>
    <cellStyle name="Comma 2 4 3 5 5 5 2" xfId="41292" xr:uid="{876743C7-3F5A-4673-8DEC-DAF9F71943AC}"/>
    <cellStyle name="Comma 2 4 3 5 5 5 3" xfId="23038" xr:uid="{6604973E-FD70-4103-9B6F-CC6C72B7BCA2}"/>
    <cellStyle name="Comma 2 4 3 5 5 6" xfId="37642" xr:uid="{B1D9921A-B46B-4421-8785-151CA6618829}"/>
    <cellStyle name="Comma 2 4 3 5 5 7" xfId="19388" xr:uid="{0A36C923-450A-4464-8BDC-E4E405C5D21F}"/>
    <cellStyle name="Comma 2 4 3 5 6" xfId="15004" xr:uid="{A7954471-7610-48DE-8FD8-D8ED0C12DE6B}"/>
    <cellStyle name="Comma 2 4 3 5 6 2" xfId="51512" xr:uid="{4DFF87F0-34FA-42CD-AF2D-EBF140AB667E}"/>
    <cellStyle name="Comma 2 4 3 5 6 3" xfId="33258" xr:uid="{4204CDF8-BAEA-47E8-8F65-2104B16E5A78}"/>
    <cellStyle name="Comma 2 4 3 5 7" xfId="11354" xr:uid="{EE6E56D2-1053-48BC-9F40-4F3CA3AA8CAE}"/>
    <cellStyle name="Comma 2 4 3 5 7 2" xfId="47862" xr:uid="{D66A2CE6-B2FB-47F7-9EE6-18F3F55B8332}"/>
    <cellStyle name="Comma 2 4 3 5 7 3" xfId="29608" xr:uid="{1D325C77-9EF9-4590-AEC4-9960805C4CF4}"/>
    <cellStyle name="Comma 2 4 3 5 8" xfId="7704" xr:uid="{26FC0344-C346-4DA5-8064-3D9E72B99F84}"/>
    <cellStyle name="Comma 2 4 3 5 8 2" xfId="44212" xr:uid="{5C9B1CE7-1AF1-4617-BEDC-8E399E975CD9}"/>
    <cellStyle name="Comma 2 4 3 5 8 3" xfId="25958" xr:uid="{5C174912-4872-47DC-9003-F6C3F6B11988}"/>
    <cellStyle name="Comma 2 4 3 5 9" xfId="4054" xr:uid="{B67F21B8-8303-451F-A338-EC003C0A78B5}"/>
    <cellStyle name="Comma 2 4 3 5 9 2" xfId="40562" xr:uid="{3C69A37F-41F4-4AD4-8120-FBB9E81B7B34}"/>
    <cellStyle name="Comma 2 4 3 5 9 3" xfId="22308" xr:uid="{C7E34799-5923-4DAE-B90C-48F6B035B17F}"/>
    <cellStyle name="Comma 2 4 3 6" xfId="300" xr:uid="{E0B04116-1C56-4C38-A12E-D53BA870A153}"/>
    <cellStyle name="Comma 2 4 3 6 10" xfId="36808" xr:uid="{774DFAE3-4718-4664-8558-5978A0563424}"/>
    <cellStyle name="Comma 2 4 3 6 11" xfId="18554" xr:uid="{A9228929-A564-45B4-BA70-6DCDF0148EBF}"/>
    <cellStyle name="Comma 2 4 3 6 2" xfId="3220" xr:uid="{A935C1B4-A440-4B9D-A302-27FBCD7A6BF1}"/>
    <cellStyle name="Comma 2 4 3 6 2 2" xfId="17820" xr:uid="{224B8BF0-27EC-49BC-8C62-8A96FDC1C8C6}"/>
    <cellStyle name="Comma 2 4 3 6 2 2 2" xfId="54328" xr:uid="{F2B41804-84A9-4C5E-B8C4-5002E1DE9CE6}"/>
    <cellStyle name="Comma 2 4 3 6 2 2 3" xfId="36074" xr:uid="{6CC54D81-88F5-423F-B7E0-758B671A0028}"/>
    <cellStyle name="Comma 2 4 3 6 2 3" xfId="14170" xr:uid="{713EA9D8-7203-471A-94B0-ACE69BC780FB}"/>
    <cellStyle name="Comma 2 4 3 6 2 3 2" xfId="50678" xr:uid="{0F37A537-BF00-4733-ACEA-F4D71D885517}"/>
    <cellStyle name="Comma 2 4 3 6 2 3 3" xfId="32424" xr:uid="{0300E7EF-682D-497B-AD22-144365C3DCC6}"/>
    <cellStyle name="Comma 2 4 3 6 2 4" xfId="10520" xr:uid="{D8289A92-AAFD-414A-881D-64146EC7486B}"/>
    <cellStyle name="Comma 2 4 3 6 2 4 2" xfId="47028" xr:uid="{A21886F5-5DAF-4C07-8F29-603C48085796}"/>
    <cellStyle name="Comma 2 4 3 6 2 4 3" xfId="28774" xr:uid="{6950EB8D-269C-429F-9CBB-235416F051B6}"/>
    <cellStyle name="Comma 2 4 3 6 2 5" xfId="6870" xr:uid="{D98B302E-657F-401A-BFF3-A1A183307CEC}"/>
    <cellStyle name="Comma 2 4 3 6 2 5 2" xfId="43378" xr:uid="{C2AC260E-98CB-4B3C-888B-F0A3DB1C1FCE}"/>
    <cellStyle name="Comma 2 4 3 6 2 5 3" xfId="25124" xr:uid="{26806BDD-C8CC-4816-9A4E-FF5B7FC3B934}"/>
    <cellStyle name="Comma 2 4 3 6 2 6" xfId="39728" xr:uid="{DCFE7820-265D-4EAB-9D7D-E580552B59D4}"/>
    <cellStyle name="Comma 2 4 3 6 2 7" xfId="21474" xr:uid="{21B82F6F-A736-487D-BC70-0A5C029705BC}"/>
    <cellStyle name="Comma 2 4 3 6 3" xfId="2490" xr:uid="{1E3D0235-B603-469A-B361-AA1C027CFECE}"/>
    <cellStyle name="Comma 2 4 3 6 3 2" xfId="17090" xr:uid="{C62008AB-53ED-462C-9417-B81A8C8A8147}"/>
    <cellStyle name="Comma 2 4 3 6 3 2 2" xfId="53598" xr:uid="{6C5616F1-916D-4189-8516-81CBB16A1DB7}"/>
    <cellStyle name="Comma 2 4 3 6 3 2 3" xfId="35344" xr:uid="{0828E021-82F4-4DB5-8C1D-94EBAE3C5E7B}"/>
    <cellStyle name="Comma 2 4 3 6 3 3" xfId="13440" xr:uid="{2E2F5BB4-9FF5-40F7-B3CE-79C49B2CD346}"/>
    <cellStyle name="Comma 2 4 3 6 3 3 2" xfId="49948" xr:uid="{1B5ED1C5-1A8D-46DF-8DF3-4021D1151429}"/>
    <cellStyle name="Comma 2 4 3 6 3 3 3" xfId="31694" xr:uid="{C2D6D47D-99A4-4A48-88BE-891FEADF46A5}"/>
    <cellStyle name="Comma 2 4 3 6 3 4" xfId="9790" xr:uid="{6DF9E8BB-B77A-4DDD-B905-7630C77A2C1F}"/>
    <cellStyle name="Comma 2 4 3 6 3 4 2" xfId="46298" xr:uid="{358F3944-DB93-4D91-9997-8086D660530D}"/>
    <cellStyle name="Comma 2 4 3 6 3 4 3" xfId="28044" xr:uid="{8F0AD3E0-79AB-4042-BCAA-AC46216DE66B}"/>
    <cellStyle name="Comma 2 4 3 6 3 5" xfId="6140" xr:uid="{1993102E-60FA-4A64-877C-8D48F7CAFA70}"/>
    <cellStyle name="Comma 2 4 3 6 3 5 2" xfId="42648" xr:uid="{877ACA5A-625E-4563-AE23-5350817CACAA}"/>
    <cellStyle name="Comma 2 4 3 6 3 5 3" xfId="24394" xr:uid="{C2DC8DEF-0DA1-45A7-BA9E-F801144A9881}"/>
    <cellStyle name="Comma 2 4 3 6 3 6" xfId="38998" xr:uid="{CD414CE9-0273-4033-9B90-A55C3B168701}"/>
    <cellStyle name="Comma 2 4 3 6 3 7" xfId="20744" xr:uid="{E6C65D39-4274-4461-B7EC-787FB8C49EB5}"/>
    <cellStyle name="Comma 2 4 3 6 4" xfId="1760" xr:uid="{8FB92D5A-57EF-4AC5-944D-7647B78E0C2A}"/>
    <cellStyle name="Comma 2 4 3 6 4 2" xfId="16360" xr:uid="{F893823D-86FA-4B87-A3AF-2D000F2EBBC1}"/>
    <cellStyle name="Comma 2 4 3 6 4 2 2" xfId="52868" xr:uid="{FF9DD0AB-C94F-4512-A8DC-C9CBE47C77B6}"/>
    <cellStyle name="Comma 2 4 3 6 4 2 3" xfId="34614" xr:uid="{C408B46D-0F7A-409C-9E70-A1A3F7193E47}"/>
    <cellStyle name="Comma 2 4 3 6 4 3" xfId="12710" xr:uid="{BA612596-871F-4DA9-9AED-7A9E5C8EEBD4}"/>
    <cellStyle name="Comma 2 4 3 6 4 3 2" xfId="49218" xr:uid="{597DEF38-C4EA-4E81-88D1-20089172D669}"/>
    <cellStyle name="Comma 2 4 3 6 4 3 3" xfId="30964" xr:uid="{B19F5818-DBB6-4D23-B151-BE1154434A1B}"/>
    <cellStyle name="Comma 2 4 3 6 4 4" xfId="9060" xr:uid="{995B8B99-B56F-4F5C-B6CF-BBA60453F87E}"/>
    <cellStyle name="Comma 2 4 3 6 4 4 2" xfId="45568" xr:uid="{603613C0-48DA-4A3A-8149-8033EBE8D571}"/>
    <cellStyle name="Comma 2 4 3 6 4 4 3" xfId="27314" xr:uid="{69DCDB0B-E4D5-4A31-BB8C-385F7FB480DC}"/>
    <cellStyle name="Comma 2 4 3 6 4 5" xfId="5410" xr:uid="{EEA8E0F9-ADBE-4433-8EAC-7BF06F8DB719}"/>
    <cellStyle name="Comma 2 4 3 6 4 5 2" xfId="41918" xr:uid="{83C6EA54-BA50-47E8-89B9-8DC6A84308B8}"/>
    <cellStyle name="Comma 2 4 3 6 4 5 3" xfId="23664" xr:uid="{C9B1FFAC-65FB-4D18-8388-511A68D7E383}"/>
    <cellStyle name="Comma 2 4 3 6 4 6" xfId="38268" xr:uid="{B9D64A34-20FC-4F90-AE6E-0473360894E5}"/>
    <cellStyle name="Comma 2 4 3 6 4 7" xfId="20014" xr:uid="{B74D2AC4-2055-437F-A361-AB5D5B2BCE47}"/>
    <cellStyle name="Comma 2 4 3 6 5" xfId="1030" xr:uid="{FFE91DB6-4A75-4772-843A-57A5037407C1}"/>
    <cellStyle name="Comma 2 4 3 6 5 2" xfId="15630" xr:uid="{BB49076F-22A9-45F1-81B1-E49731EA53AC}"/>
    <cellStyle name="Comma 2 4 3 6 5 2 2" xfId="52138" xr:uid="{94A3B4CF-CDE0-4F1B-A82D-E30AAD035950}"/>
    <cellStyle name="Comma 2 4 3 6 5 2 3" xfId="33884" xr:uid="{89EC5AA0-28E4-460D-99BB-F129BDFEB64A}"/>
    <cellStyle name="Comma 2 4 3 6 5 3" xfId="11980" xr:uid="{9A2BE3B5-771F-4F58-85D7-7B8CBD68D2A0}"/>
    <cellStyle name="Comma 2 4 3 6 5 3 2" xfId="48488" xr:uid="{EAE6F5C2-E535-48E6-8844-0B59A7070AA4}"/>
    <cellStyle name="Comma 2 4 3 6 5 3 3" xfId="30234" xr:uid="{2C79631B-84A3-441A-B6B2-24C7C7C2A35B}"/>
    <cellStyle name="Comma 2 4 3 6 5 4" xfId="8330" xr:uid="{953B3A64-E87B-4EBC-A52C-CEE94194F4D0}"/>
    <cellStyle name="Comma 2 4 3 6 5 4 2" xfId="44838" xr:uid="{24B8FACC-956C-4087-AFAC-5EE258DB521F}"/>
    <cellStyle name="Comma 2 4 3 6 5 4 3" xfId="26584" xr:uid="{F30C3EC5-C1D9-41D9-9862-90A1CE8BD14D}"/>
    <cellStyle name="Comma 2 4 3 6 5 5" xfId="4680" xr:uid="{2AFDD091-013A-4FF8-9B95-1F44533BB773}"/>
    <cellStyle name="Comma 2 4 3 6 5 5 2" xfId="41188" xr:uid="{0948DF72-E427-46AF-889B-0E2E95BAD315}"/>
    <cellStyle name="Comma 2 4 3 6 5 5 3" xfId="22934" xr:uid="{0F9C44EE-6B2E-4BE8-B61E-DC2E347DDB5A}"/>
    <cellStyle name="Comma 2 4 3 6 5 6" xfId="37538" xr:uid="{E6CE6D63-C3F8-4CE3-8EF0-68551AE99DB9}"/>
    <cellStyle name="Comma 2 4 3 6 5 7" xfId="19284" xr:uid="{32CEE133-9F0E-4E24-B090-FB3BD999D0F0}"/>
    <cellStyle name="Comma 2 4 3 6 6" xfId="14900" xr:uid="{A8F3754E-CB75-4073-A940-22FB8F2F5571}"/>
    <cellStyle name="Comma 2 4 3 6 6 2" xfId="51408" xr:uid="{7710BE1A-B236-48EF-82E8-8184DFD5FC1D}"/>
    <cellStyle name="Comma 2 4 3 6 6 3" xfId="33154" xr:uid="{346F1A32-7BB9-4E91-B95A-28A613AAAD01}"/>
    <cellStyle name="Comma 2 4 3 6 7" xfId="11250" xr:uid="{80625C1C-C9FB-4293-8FA3-9087AA35B43F}"/>
    <cellStyle name="Comma 2 4 3 6 7 2" xfId="47758" xr:uid="{10707178-96AD-4D0C-85A9-520A9340EE74}"/>
    <cellStyle name="Comma 2 4 3 6 7 3" xfId="29504" xr:uid="{91D23B4E-BB25-4355-AF85-5B4C208C54AF}"/>
    <cellStyle name="Comma 2 4 3 6 8" xfId="7600" xr:uid="{7554B25C-1395-457E-8C0F-659657835747}"/>
    <cellStyle name="Comma 2 4 3 6 8 2" xfId="44108" xr:uid="{0C242B78-D34C-4E5D-9EA2-D27EAF422F1B}"/>
    <cellStyle name="Comma 2 4 3 6 8 3" xfId="25854" xr:uid="{BF77307A-4939-4ED5-896C-EF47120710C1}"/>
    <cellStyle name="Comma 2 4 3 6 9" xfId="3950" xr:uid="{809F1D10-F80B-4A0C-8434-3AF7AFF9477E}"/>
    <cellStyle name="Comma 2 4 3 6 9 2" xfId="40458" xr:uid="{19075F84-BA9B-49C2-93AC-FA582B38A115}"/>
    <cellStyle name="Comma 2 4 3 6 9 3" xfId="22204" xr:uid="{56BA5511-BAD6-407D-AB3D-E8DF2C82D3C3}"/>
    <cellStyle name="Comma 2 4 3 7" xfId="196" xr:uid="{F800AD76-866A-4EB2-B3E4-0CD542E01835}"/>
    <cellStyle name="Comma 2 4 3 7 10" xfId="36704" xr:uid="{B29BC5EE-F2A1-4A81-95B5-D112C9E2703E}"/>
    <cellStyle name="Comma 2 4 3 7 11" xfId="18450" xr:uid="{FD9B4A20-A578-4B05-BDFC-2585051E758E}"/>
    <cellStyle name="Comma 2 4 3 7 2" xfId="3116" xr:uid="{F7945BBF-DD57-493F-9168-93172E810E80}"/>
    <cellStyle name="Comma 2 4 3 7 2 2" xfId="17716" xr:uid="{2819A461-4C95-4102-87FA-AC73CC687ACB}"/>
    <cellStyle name="Comma 2 4 3 7 2 2 2" xfId="54224" xr:uid="{338CFF4D-501D-4D77-8043-2647DBF0583C}"/>
    <cellStyle name="Comma 2 4 3 7 2 2 3" xfId="35970" xr:uid="{5592500F-8D3B-4CC5-85F5-2EFC1B496F97}"/>
    <cellStyle name="Comma 2 4 3 7 2 3" xfId="14066" xr:uid="{37F3AFA2-457F-4D7C-8AA0-26904F9C8BE4}"/>
    <cellStyle name="Comma 2 4 3 7 2 3 2" xfId="50574" xr:uid="{DA12755D-39B1-4F90-AA34-4A51DB296B3E}"/>
    <cellStyle name="Comma 2 4 3 7 2 3 3" xfId="32320" xr:uid="{46612356-E264-4376-81B7-FAFA7D0F6F92}"/>
    <cellStyle name="Comma 2 4 3 7 2 4" xfId="10416" xr:uid="{980247D6-6B0E-49A6-9824-36164135A946}"/>
    <cellStyle name="Comma 2 4 3 7 2 4 2" xfId="46924" xr:uid="{B555177E-141B-48DA-AFD4-74B1A6536F3D}"/>
    <cellStyle name="Comma 2 4 3 7 2 4 3" xfId="28670" xr:uid="{8100B5B5-8034-4712-956E-28B3BE4CAA45}"/>
    <cellStyle name="Comma 2 4 3 7 2 5" xfId="6766" xr:uid="{5A6F8C51-6B1E-44B9-B0F7-E1FE7CC698F3}"/>
    <cellStyle name="Comma 2 4 3 7 2 5 2" xfId="43274" xr:uid="{5FC2FB03-57F3-41C3-9E7B-E522E9548C54}"/>
    <cellStyle name="Comma 2 4 3 7 2 5 3" xfId="25020" xr:uid="{99D2A749-4249-4767-9C45-052755C1FC9F}"/>
    <cellStyle name="Comma 2 4 3 7 2 6" xfId="39624" xr:uid="{1B4C7CF9-92F2-4007-986E-C42ACFD29B17}"/>
    <cellStyle name="Comma 2 4 3 7 2 7" xfId="21370" xr:uid="{DF0707E0-DB65-4F1F-BFDA-345ACC99B36F}"/>
    <cellStyle name="Comma 2 4 3 7 3" xfId="2386" xr:uid="{22705655-26A9-47AC-B837-FE5D3BD3C5BF}"/>
    <cellStyle name="Comma 2 4 3 7 3 2" xfId="16986" xr:uid="{D57B716F-E008-46BC-806B-C103FFB0BBED}"/>
    <cellStyle name="Comma 2 4 3 7 3 2 2" xfId="53494" xr:uid="{36A59188-9CDB-4DD9-A295-5D814E9A2E48}"/>
    <cellStyle name="Comma 2 4 3 7 3 2 3" xfId="35240" xr:uid="{E00DA2C6-6110-45A3-8F35-83CCE6566EC8}"/>
    <cellStyle name="Comma 2 4 3 7 3 3" xfId="13336" xr:uid="{DA688427-68D2-449D-9DD7-41766C6E6788}"/>
    <cellStyle name="Comma 2 4 3 7 3 3 2" xfId="49844" xr:uid="{B22E85A8-2542-4B01-8AF3-D5F524DF1F77}"/>
    <cellStyle name="Comma 2 4 3 7 3 3 3" xfId="31590" xr:uid="{24B6E126-6A2A-456B-8AA2-FAA84318A1E5}"/>
    <cellStyle name="Comma 2 4 3 7 3 4" xfId="9686" xr:uid="{02EC0A10-46C5-4A1F-AEC0-28326FC12295}"/>
    <cellStyle name="Comma 2 4 3 7 3 4 2" xfId="46194" xr:uid="{213E903A-A5B9-4A2D-B1FC-2CCDA239FB0F}"/>
    <cellStyle name="Comma 2 4 3 7 3 4 3" xfId="27940" xr:uid="{DC98C565-3454-43A0-ACB9-2A0DF3EFEA09}"/>
    <cellStyle name="Comma 2 4 3 7 3 5" xfId="6036" xr:uid="{F39069F0-837F-4E7E-B209-5A87BC258D7A}"/>
    <cellStyle name="Comma 2 4 3 7 3 5 2" xfId="42544" xr:uid="{F2A0C92E-D1FD-4584-9F7A-D61161571909}"/>
    <cellStyle name="Comma 2 4 3 7 3 5 3" xfId="24290" xr:uid="{FCAE1F60-6EE3-40CF-9E94-DA1C11F97D70}"/>
    <cellStyle name="Comma 2 4 3 7 3 6" xfId="38894" xr:uid="{EDA34D10-0DC6-4F23-98F3-80FE6A467167}"/>
    <cellStyle name="Comma 2 4 3 7 3 7" xfId="20640" xr:uid="{BEEA4B05-60EC-472C-B47F-2460010CCFEE}"/>
    <cellStyle name="Comma 2 4 3 7 4" xfId="1656" xr:uid="{C5911480-A85B-41B8-905A-1C7EE2D578E9}"/>
    <cellStyle name="Comma 2 4 3 7 4 2" xfId="16256" xr:uid="{5391F37C-CED3-4611-8C9F-9F38D0EDDDF9}"/>
    <cellStyle name="Comma 2 4 3 7 4 2 2" xfId="52764" xr:uid="{7B6B49A8-2699-4090-B7A5-5C5993C83B2F}"/>
    <cellStyle name="Comma 2 4 3 7 4 2 3" xfId="34510" xr:uid="{FFF75C23-E3B8-43A3-B941-02FCCBC26CAB}"/>
    <cellStyle name="Comma 2 4 3 7 4 3" xfId="12606" xr:uid="{6FC930BA-BDC9-4754-98DE-310686B36B8F}"/>
    <cellStyle name="Comma 2 4 3 7 4 3 2" xfId="49114" xr:uid="{77139C11-86C5-4E0D-9486-B827710EDD82}"/>
    <cellStyle name="Comma 2 4 3 7 4 3 3" xfId="30860" xr:uid="{5D40F8B8-F242-42F7-8730-F42E3EF7B03B}"/>
    <cellStyle name="Comma 2 4 3 7 4 4" xfId="8956" xr:uid="{0E8B9456-BE7F-439A-AD07-CC6619D8356A}"/>
    <cellStyle name="Comma 2 4 3 7 4 4 2" xfId="45464" xr:uid="{E7845273-D3E6-4E4C-B391-FCF846A0E410}"/>
    <cellStyle name="Comma 2 4 3 7 4 4 3" xfId="27210" xr:uid="{D8A3106B-4A9B-4CEB-A8C9-93349CAE8468}"/>
    <cellStyle name="Comma 2 4 3 7 4 5" xfId="5306" xr:uid="{00B66343-B4B2-4754-BE47-D0E7083BB782}"/>
    <cellStyle name="Comma 2 4 3 7 4 5 2" xfId="41814" xr:uid="{CEC3853A-6F78-48C5-A40A-0286872A8413}"/>
    <cellStyle name="Comma 2 4 3 7 4 5 3" xfId="23560" xr:uid="{7197CBF4-CEFF-41E9-BAD1-E34967817538}"/>
    <cellStyle name="Comma 2 4 3 7 4 6" xfId="38164" xr:uid="{8D7EC9F2-F228-48E9-A57C-DB3DCF727E00}"/>
    <cellStyle name="Comma 2 4 3 7 4 7" xfId="19910" xr:uid="{0E6B5A70-81AF-4D18-B124-F3431FC52F40}"/>
    <cellStyle name="Comma 2 4 3 7 5" xfId="926" xr:uid="{A757E9B2-6CBF-49F2-896C-66E0398E4F0D}"/>
    <cellStyle name="Comma 2 4 3 7 5 2" xfId="15526" xr:uid="{7C87D13E-83F8-4998-B807-48FAB10C7B71}"/>
    <cellStyle name="Comma 2 4 3 7 5 2 2" xfId="52034" xr:uid="{FE2FD4DB-2DAF-4AB3-8B86-D44F50E16DC9}"/>
    <cellStyle name="Comma 2 4 3 7 5 2 3" xfId="33780" xr:uid="{8BDD27D4-692A-4BB4-A3F2-FD38CBE73D8D}"/>
    <cellStyle name="Comma 2 4 3 7 5 3" xfId="11876" xr:uid="{25AA2DE4-BFCA-4528-B2D7-5BDD9D11BCA2}"/>
    <cellStyle name="Comma 2 4 3 7 5 3 2" xfId="48384" xr:uid="{79BBDD0D-836C-4901-8D70-356D55936005}"/>
    <cellStyle name="Comma 2 4 3 7 5 3 3" xfId="30130" xr:uid="{CACBDEA7-37BC-4C73-AACF-4F120908D428}"/>
    <cellStyle name="Comma 2 4 3 7 5 4" xfId="8226" xr:uid="{7F211C82-E965-423A-A41C-34A52A105BEA}"/>
    <cellStyle name="Comma 2 4 3 7 5 4 2" xfId="44734" xr:uid="{2E7E706C-7A54-47F8-8F66-D87AECCBBFAD}"/>
    <cellStyle name="Comma 2 4 3 7 5 4 3" xfId="26480" xr:uid="{E80066E4-4F33-43EB-AC89-BF7D5E1FD284}"/>
    <cellStyle name="Comma 2 4 3 7 5 5" xfId="4576" xr:uid="{24D702BE-01BC-4716-9FEC-10B436895D03}"/>
    <cellStyle name="Comma 2 4 3 7 5 5 2" xfId="41084" xr:uid="{CF4FC0AE-E689-46C6-8CB6-984FF85F8D50}"/>
    <cellStyle name="Comma 2 4 3 7 5 5 3" xfId="22830" xr:uid="{B781FBDD-BBC6-4072-8495-32278D984471}"/>
    <cellStyle name="Comma 2 4 3 7 5 6" xfId="37434" xr:uid="{325AD6DA-F19A-43E3-BEAC-B8B4EA22F70A}"/>
    <cellStyle name="Comma 2 4 3 7 5 7" xfId="19180" xr:uid="{57D94B26-801E-4BC4-8005-E3DFDDD11A6D}"/>
    <cellStyle name="Comma 2 4 3 7 6" xfId="14796" xr:uid="{36B62302-9E16-4E8B-A4DD-8552F275094E}"/>
    <cellStyle name="Comma 2 4 3 7 6 2" xfId="51304" xr:uid="{402B8B2B-B59A-4379-9D76-522D83B14242}"/>
    <cellStyle name="Comma 2 4 3 7 6 3" xfId="33050" xr:uid="{0AEB092B-1643-4BF7-B590-A3D6F08AAD28}"/>
    <cellStyle name="Comma 2 4 3 7 7" xfId="11146" xr:uid="{57A1B3F4-80B6-4EC2-94A3-25A79D87F156}"/>
    <cellStyle name="Comma 2 4 3 7 7 2" xfId="47654" xr:uid="{79775200-92B5-4FE6-AAF6-31DE6F94E835}"/>
    <cellStyle name="Comma 2 4 3 7 7 3" xfId="29400" xr:uid="{5E2CB354-EDAC-43C1-AD71-E637AF19BE27}"/>
    <cellStyle name="Comma 2 4 3 7 8" xfId="7496" xr:uid="{D806D406-A9B7-49C3-B914-735BD540B6DB}"/>
    <cellStyle name="Comma 2 4 3 7 8 2" xfId="44004" xr:uid="{52803B91-7114-44AB-9A32-CB5E684CA893}"/>
    <cellStyle name="Comma 2 4 3 7 8 3" xfId="25750" xr:uid="{A1BAC1BD-F97F-4BC3-843D-9435F92678C6}"/>
    <cellStyle name="Comma 2 4 3 7 9" xfId="3846" xr:uid="{FD399D5F-C102-472C-8FE4-23CDC56F0D8A}"/>
    <cellStyle name="Comma 2 4 3 7 9 2" xfId="40354" xr:uid="{120C8D8B-C023-484C-9F3A-B437FD77741E}"/>
    <cellStyle name="Comma 2 4 3 7 9 3" xfId="22100" xr:uid="{B5CBCA09-1C3C-4276-86ED-6BB6678C824D}"/>
    <cellStyle name="Comma 2 4 3 8" xfId="3012" xr:uid="{B98B16DE-3F89-4B86-91BD-FBB6FA5B92AC}"/>
    <cellStyle name="Comma 2 4 3 8 2" xfId="17612" xr:uid="{80F6459A-E3F5-4487-81ED-E5584F0F4F1B}"/>
    <cellStyle name="Comma 2 4 3 8 2 2" xfId="54120" xr:uid="{296F977E-1D19-4F7D-88F9-B226944E9257}"/>
    <cellStyle name="Comma 2 4 3 8 2 3" xfId="35866" xr:uid="{08A27103-E534-4441-91B0-633808CEF6D3}"/>
    <cellStyle name="Comma 2 4 3 8 3" xfId="13962" xr:uid="{CB75439A-C9E7-41F1-A746-ED953D7C357F}"/>
    <cellStyle name="Comma 2 4 3 8 3 2" xfId="50470" xr:uid="{8F764EC4-7400-4BCE-B5F5-041BAEC32A88}"/>
    <cellStyle name="Comma 2 4 3 8 3 3" xfId="32216" xr:uid="{F7F8082C-CF3C-4C8D-B3AB-DA5894C7BD2B}"/>
    <cellStyle name="Comma 2 4 3 8 4" xfId="10312" xr:uid="{0C0216CC-5B2A-4F89-ACFB-2EDFD89FC76E}"/>
    <cellStyle name="Comma 2 4 3 8 4 2" xfId="46820" xr:uid="{13254AE9-5AE2-4B5F-AB1D-D775BE07408D}"/>
    <cellStyle name="Comma 2 4 3 8 4 3" xfId="28566" xr:uid="{03E471C9-FE2F-4C93-90FA-4A8ED8877507}"/>
    <cellStyle name="Comma 2 4 3 8 5" xfId="6662" xr:uid="{EE2AA563-A4BB-4F5D-BA13-6E43FFEAF928}"/>
    <cellStyle name="Comma 2 4 3 8 5 2" xfId="43170" xr:uid="{2F0CA25A-ED78-463B-B50B-F86093680DFB}"/>
    <cellStyle name="Comma 2 4 3 8 5 3" xfId="24916" xr:uid="{D2E5067D-553A-463C-8BFC-C274F5DEAE76}"/>
    <cellStyle name="Comma 2 4 3 8 6" xfId="39520" xr:uid="{54D5FEC1-70CC-4DCB-8808-BCD74D17CAD7}"/>
    <cellStyle name="Comma 2 4 3 8 7" xfId="21266" xr:uid="{9A656EF0-CFD1-44CC-8A83-6A15298AF3A6}"/>
    <cellStyle name="Comma 2 4 3 9" xfId="2282" xr:uid="{97DD9F76-17C3-4D4B-9F82-B15A33AFEFA4}"/>
    <cellStyle name="Comma 2 4 3 9 2" xfId="16882" xr:uid="{1FE0BC6D-DA4A-4EBE-B04D-48E5C9E9239E}"/>
    <cellStyle name="Comma 2 4 3 9 2 2" xfId="53390" xr:uid="{9D487B81-4691-4C94-9BC5-D0B904C187FB}"/>
    <cellStyle name="Comma 2 4 3 9 2 3" xfId="35136" xr:uid="{1BF69C29-1841-4208-ABE3-9AF2B0C7C1A8}"/>
    <cellStyle name="Comma 2 4 3 9 3" xfId="13232" xr:uid="{31E6DBF6-8412-47C1-BAC2-C2D724D30388}"/>
    <cellStyle name="Comma 2 4 3 9 3 2" xfId="49740" xr:uid="{CA94DB8C-A3BF-467E-BD00-170119B9DDF9}"/>
    <cellStyle name="Comma 2 4 3 9 3 3" xfId="31486" xr:uid="{2541B63A-66DA-4503-BF6F-4F55D1BD873B}"/>
    <cellStyle name="Comma 2 4 3 9 4" xfId="9582" xr:uid="{B7882776-638D-4540-A77E-906FCDECE6F7}"/>
    <cellStyle name="Comma 2 4 3 9 4 2" xfId="46090" xr:uid="{04C1D607-BF0E-4F03-8168-0C6C4019AECA}"/>
    <cellStyle name="Comma 2 4 3 9 4 3" xfId="27836" xr:uid="{D6ABE83E-F3F2-4D8F-A3B6-B2B5A1623FC5}"/>
    <cellStyle name="Comma 2 4 3 9 5" xfId="5932" xr:uid="{76EDCFBB-A620-463F-8E8E-AF2CBDD7255D}"/>
    <cellStyle name="Comma 2 4 3 9 5 2" xfId="42440" xr:uid="{3E9A21B9-5D41-48AC-B41E-5514C58DA3B6}"/>
    <cellStyle name="Comma 2 4 3 9 5 3" xfId="24186" xr:uid="{F454A204-169B-48A9-A7DC-8F5C4B9FABCA}"/>
    <cellStyle name="Comma 2 4 3 9 6" xfId="38790" xr:uid="{6AE69060-2840-40A7-B8ED-330832F3C404}"/>
    <cellStyle name="Comma 2 4 3 9 7" xfId="20536" xr:uid="{3AB4C9FE-EDE9-4C23-BAF5-56E35719E72F}"/>
    <cellStyle name="Comma 2 4 4" xfId="54" xr:uid="{2AD637A0-E5CA-4837-887D-1047A8729220}"/>
    <cellStyle name="Comma 2 4 4 10" xfId="1520" xr:uid="{AF6621C1-FC3C-457E-B070-E560D2B9CFF1}"/>
    <cellStyle name="Comma 2 4 4 10 2" xfId="16120" xr:uid="{8458A5CD-CD7D-461A-AB04-0A39A6EE3934}"/>
    <cellStyle name="Comma 2 4 4 10 2 2" xfId="52628" xr:uid="{34869973-CB58-45B4-86A4-D8DFA27B7C1D}"/>
    <cellStyle name="Comma 2 4 4 10 2 3" xfId="34374" xr:uid="{928CAF9E-2F6B-4A18-BF85-E447683843B1}"/>
    <cellStyle name="Comma 2 4 4 10 3" xfId="12470" xr:uid="{2BD3593A-B33E-422F-9ACD-EDF42F503A07}"/>
    <cellStyle name="Comma 2 4 4 10 3 2" xfId="48978" xr:uid="{89620F84-8198-4642-952F-56B268D20777}"/>
    <cellStyle name="Comma 2 4 4 10 3 3" xfId="30724" xr:uid="{6B407233-EF88-4682-A9D9-F6BF3DD7826D}"/>
    <cellStyle name="Comma 2 4 4 10 4" xfId="8820" xr:uid="{ADF8AF0F-5110-4C26-AB28-0536387D0E65}"/>
    <cellStyle name="Comma 2 4 4 10 4 2" xfId="45328" xr:uid="{51F7A829-08BD-41E3-8A84-32F3C22CD89C}"/>
    <cellStyle name="Comma 2 4 4 10 4 3" xfId="27074" xr:uid="{A810D09D-32BE-4985-9556-A543BFFC34A3}"/>
    <cellStyle name="Comma 2 4 4 10 5" xfId="5170" xr:uid="{B91131F8-20D3-4C8B-AE16-A742272C5A13}"/>
    <cellStyle name="Comma 2 4 4 10 5 2" xfId="41678" xr:uid="{0E13967B-CD9C-46AE-93DB-73A08921E8B1}"/>
    <cellStyle name="Comma 2 4 4 10 5 3" xfId="23424" xr:uid="{E31A4F33-D652-441B-A5E4-630D8E5C0110}"/>
    <cellStyle name="Comma 2 4 4 10 6" xfId="38028" xr:uid="{5CDD191B-FA8D-4404-AB3C-EAAE43F016CA}"/>
    <cellStyle name="Comma 2 4 4 10 7" xfId="19774" xr:uid="{6B4FF902-007E-4E56-8197-0EAD443C4F86}"/>
    <cellStyle name="Comma 2 4 4 11" xfId="790" xr:uid="{2103EFA3-C736-4FEB-AFCA-6EF7CE854A6E}"/>
    <cellStyle name="Comma 2 4 4 11 2" xfId="15390" xr:uid="{A89757AC-2595-4BB6-ABA5-D8B0EEE7F9F3}"/>
    <cellStyle name="Comma 2 4 4 11 2 2" xfId="51898" xr:uid="{0C076B0F-D525-4101-B3C3-E952C807B7C5}"/>
    <cellStyle name="Comma 2 4 4 11 2 3" xfId="33644" xr:uid="{77A0EC28-7CEA-4BBD-BE6A-D5C5B6C64445}"/>
    <cellStyle name="Comma 2 4 4 11 3" xfId="11740" xr:uid="{297F379B-05FA-4A76-9C65-CAF84F873966}"/>
    <cellStyle name="Comma 2 4 4 11 3 2" xfId="48248" xr:uid="{95298544-C25F-4770-A824-0516857F7E4D}"/>
    <cellStyle name="Comma 2 4 4 11 3 3" xfId="29994" xr:uid="{AAAE811C-F91E-4FE4-B1D1-415E9D11A36C}"/>
    <cellStyle name="Comma 2 4 4 11 4" xfId="8090" xr:uid="{2CCE344B-6B9F-485A-AA24-DEB4588AC7B0}"/>
    <cellStyle name="Comma 2 4 4 11 4 2" xfId="44598" xr:uid="{B0FAAB63-E214-4EEC-B502-E52B0BFF8BC4}"/>
    <cellStyle name="Comma 2 4 4 11 4 3" xfId="26344" xr:uid="{3587F168-408D-469B-8E2B-D4A091E7C665}"/>
    <cellStyle name="Comma 2 4 4 11 5" xfId="4440" xr:uid="{643F577B-FF32-4C8F-B5B3-F37438369ED3}"/>
    <cellStyle name="Comma 2 4 4 11 5 2" xfId="40948" xr:uid="{07D6C7EA-AA26-406B-9030-CE6E31F6DFDA}"/>
    <cellStyle name="Comma 2 4 4 11 5 3" xfId="22694" xr:uid="{0B9D7690-A96B-4D61-B8B6-DE04020835EC}"/>
    <cellStyle name="Comma 2 4 4 11 6" xfId="37298" xr:uid="{5BFF2DAA-D927-43AD-BED1-72F869F19E61}"/>
    <cellStyle name="Comma 2 4 4 11 7" xfId="19044" xr:uid="{EC91FF08-877C-495E-9088-62E82B76A692}"/>
    <cellStyle name="Comma 2 4 4 12" xfId="14660" xr:uid="{1421BCA2-25AE-4057-AE03-D3CA6625A3EF}"/>
    <cellStyle name="Comma 2 4 4 12 2" xfId="51168" xr:uid="{CCBA87AA-7E0D-4C68-A1F5-4E595CA9F1BE}"/>
    <cellStyle name="Comma 2 4 4 12 3" xfId="32914" xr:uid="{0A587817-A40C-43DB-8459-DF7CAB88F276}"/>
    <cellStyle name="Comma 2 4 4 13" xfId="11010" xr:uid="{40473424-19FB-434C-9F6E-BAEF08C20E7B}"/>
    <cellStyle name="Comma 2 4 4 13 2" xfId="47518" xr:uid="{79A7F200-E241-4FE2-B45A-A52ACBA79802}"/>
    <cellStyle name="Comma 2 4 4 13 3" xfId="29264" xr:uid="{ADBB648C-0F9B-4E27-870F-DA7748283AD3}"/>
    <cellStyle name="Comma 2 4 4 14" xfId="7360" xr:uid="{2FFBB8EF-49EE-459E-8A99-D23DCDE088E9}"/>
    <cellStyle name="Comma 2 4 4 14 2" xfId="43868" xr:uid="{87D4904D-3391-49A5-8C7A-28A3E7A70DC4}"/>
    <cellStyle name="Comma 2 4 4 14 3" xfId="25614" xr:uid="{80741587-C140-4298-A34E-7551FCCEAF8C}"/>
    <cellStyle name="Comma 2 4 4 15" xfId="3710" xr:uid="{11D23ED2-C77F-4224-A7BE-43B715337EB6}"/>
    <cellStyle name="Comma 2 4 4 15 2" xfId="40218" xr:uid="{8D75B158-44AD-415F-BA76-57D18BE20E01}"/>
    <cellStyle name="Comma 2 4 4 15 3" xfId="21964" xr:uid="{2F6CDCE4-19CE-4F4D-B7F9-712F5D7EDF3C}"/>
    <cellStyle name="Comma 2 4 4 16" xfId="36568" xr:uid="{403EC120-6AA6-4A67-8C93-2E1444042C6C}"/>
    <cellStyle name="Comma 2 4 4 17" xfId="18314" xr:uid="{A5578FD4-0B33-437A-91F4-C1E5168DA45B}"/>
    <cellStyle name="Comma 2 4 4 2" xfId="684" xr:uid="{B76AAD3C-D8AB-4798-A0B1-0C4976E0B211}"/>
    <cellStyle name="Comma 2 4 4 2 10" xfId="37192" xr:uid="{0FD8A453-2327-4797-B563-7D1CD1B18D55}"/>
    <cellStyle name="Comma 2 4 4 2 11" xfId="18938" xr:uid="{263EB231-B440-43EB-B072-A44EFD712D7F}"/>
    <cellStyle name="Comma 2 4 4 2 2" xfId="3604" xr:uid="{DD62878C-C3ED-4DF0-9BAF-5244BC7BBF55}"/>
    <cellStyle name="Comma 2 4 4 2 2 2" xfId="18204" xr:uid="{997B5B55-5A16-45E3-9B7C-C5FF459FA4F7}"/>
    <cellStyle name="Comma 2 4 4 2 2 2 2" xfId="54712" xr:uid="{3CC6FA5D-8BE2-4776-9D96-E3F9D9EC7E0E}"/>
    <cellStyle name="Comma 2 4 4 2 2 2 3" xfId="36458" xr:uid="{644647A2-9E34-4158-891C-3C2449BBA911}"/>
    <cellStyle name="Comma 2 4 4 2 2 3" xfId="14554" xr:uid="{4E9BA01D-05E5-4C17-834B-D47E766D83B5}"/>
    <cellStyle name="Comma 2 4 4 2 2 3 2" xfId="51062" xr:uid="{B2CA86B1-DF26-41B2-ADE4-E4A5DA130047}"/>
    <cellStyle name="Comma 2 4 4 2 2 3 3" xfId="32808" xr:uid="{3A723D85-9568-4E03-8370-D5874EF350E6}"/>
    <cellStyle name="Comma 2 4 4 2 2 4" xfId="10904" xr:uid="{193640AB-14A5-47BB-8C1C-BC07BF32923D}"/>
    <cellStyle name="Comma 2 4 4 2 2 4 2" xfId="47412" xr:uid="{9A297B38-2A52-48C3-A007-2F05F1E1E135}"/>
    <cellStyle name="Comma 2 4 4 2 2 4 3" xfId="29158" xr:uid="{1C2CA9F0-80E1-4100-9D96-BAB032791830}"/>
    <cellStyle name="Comma 2 4 4 2 2 5" xfId="7254" xr:uid="{F931170F-42DA-4857-BE04-BD958706D7C8}"/>
    <cellStyle name="Comma 2 4 4 2 2 5 2" xfId="43762" xr:uid="{7008CB41-52D4-4ABA-A01B-365ECB951CE8}"/>
    <cellStyle name="Comma 2 4 4 2 2 5 3" xfId="25508" xr:uid="{AA6D032F-AEBB-42BF-9A61-57076F6D06FD}"/>
    <cellStyle name="Comma 2 4 4 2 2 6" xfId="40112" xr:uid="{FC40F0C2-6803-49D7-B633-E62CCCCECC5C}"/>
    <cellStyle name="Comma 2 4 4 2 2 7" xfId="21858" xr:uid="{022C022E-70AE-4744-8F9F-43D646116A0A}"/>
    <cellStyle name="Comma 2 4 4 2 3" xfId="2874" xr:uid="{6619A8EA-30BA-496E-85F4-D301AD43F559}"/>
    <cellStyle name="Comma 2 4 4 2 3 2" xfId="17474" xr:uid="{39153C2E-891F-433D-A553-99F06C2A69A0}"/>
    <cellStyle name="Comma 2 4 4 2 3 2 2" xfId="53982" xr:uid="{874DC5C7-4986-47DC-A460-C3FDD8FC1361}"/>
    <cellStyle name="Comma 2 4 4 2 3 2 3" xfId="35728" xr:uid="{2FEC14B2-E41D-4974-BA5B-A29B7BA4D8C5}"/>
    <cellStyle name="Comma 2 4 4 2 3 3" xfId="13824" xr:uid="{43EBA35E-4C7A-4971-AD35-7D17EA4C1852}"/>
    <cellStyle name="Comma 2 4 4 2 3 3 2" xfId="50332" xr:uid="{66A975AB-3FC0-45BB-ACB9-3D0BB4E1ECCC}"/>
    <cellStyle name="Comma 2 4 4 2 3 3 3" xfId="32078" xr:uid="{7F48345D-5FA3-49B1-84B7-FDEA0F794F98}"/>
    <cellStyle name="Comma 2 4 4 2 3 4" xfId="10174" xr:uid="{BC884527-8D6A-48FA-9E7A-EACEA5C35B9F}"/>
    <cellStyle name="Comma 2 4 4 2 3 4 2" xfId="46682" xr:uid="{E7676DFA-A895-4F45-B3B6-E6DA3B9770D9}"/>
    <cellStyle name="Comma 2 4 4 2 3 4 3" xfId="28428" xr:uid="{7252DF10-8251-4E98-86EB-8AA4D33BEA1F}"/>
    <cellStyle name="Comma 2 4 4 2 3 5" xfId="6524" xr:uid="{F7425503-2DF5-4720-80BD-659366CAE8AA}"/>
    <cellStyle name="Comma 2 4 4 2 3 5 2" xfId="43032" xr:uid="{1A71950F-09DA-4372-9B4C-A51FC26AD226}"/>
    <cellStyle name="Comma 2 4 4 2 3 5 3" xfId="24778" xr:uid="{2A498857-36E0-4F9C-AE47-38321D6FA7A8}"/>
    <cellStyle name="Comma 2 4 4 2 3 6" xfId="39382" xr:uid="{AA71881B-B288-4F12-8A6D-89E23B10783D}"/>
    <cellStyle name="Comma 2 4 4 2 3 7" xfId="21128" xr:uid="{5E4F6CEB-590D-409A-AEA6-EC7ACF31021D}"/>
    <cellStyle name="Comma 2 4 4 2 4" xfId="2144" xr:uid="{30053A60-8B82-4E03-82D5-579929D980E0}"/>
    <cellStyle name="Comma 2 4 4 2 4 2" xfId="16744" xr:uid="{85FCD7A5-D71A-45F5-BE89-8835A024266C}"/>
    <cellStyle name="Comma 2 4 4 2 4 2 2" xfId="53252" xr:uid="{A2F67DE3-12CE-4CDD-B764-444DDD32B84F}"/>
    <cellStyle name="Comma 2 4 4 2 4 2 3" xfId="34998" xr:uid="{A756227B-A1FE-4332-967E-7300FE094DC7}"/>
    <cellStyle name="Comma 2 4 4 2 4 3" xfId="13094" xr:uid="{EB277860-7277-47E5-982C-3086C656F4A0}"/>
    <cellStyle name="Comma 2 4 4 2 4 3 2" xfId="49602" xr:uid="{3CBDDA11-F4CB-47A3-84A7-833586ABB643}"/>
    <cellStyle name="Comma 2 4 4 2 4 3 3" xfId="31348" xr:uid="{ACCC4863-3AA6-4BB9-BE43-F4267CA9B523}"/>
    <cellStyle name="Comma 2 4 4 2 4 4" xfId="9444" xr:uid="{9AD92532-BF2D-4943-9EEB-63F8DE16CEE4}"/>
    <cellStyle name="Comma 2 4 4 2 4 4 2" xfId="45952" xr:uid="{DA9FC3C2-4DAE-4355-9105-14368CEF628F}"/>
    <cellStyle name="Comma 2 4 4 2 4 4 3" xfId="27698" xr:uid="{E4FDCBB0-00E4-45A2-AC9C-12CCB7C15AFE}"/>
    <cellStyle name="Comma 2 4 4 2 4 5" xfId="5794" xr:uid="{DA02FEDA-BB5F-44EA-835F-9813423805EC}"/>
    <cellStyle name="Comma 2 4 4 2 4 5 2" xfId="42302" xr:uid="{02E7E5BE-DF93-4DE7-BB4C-D08237C1CBA7}"/>
    <cellStyle name="Comma 2 4 4 2 4 5 3" xfId="24048" xr:uid="{71C7BFCE-D951-4E6C-BB9F-5AEED3A3E8AC}"/>
    <cellStyle name="Comma 2 4 4 2 4 6" xfId="38652" xr:uid="{0EB8A353-1ABB-4F0B-AD63-1DD975999C01}"/>
    <cellStyle name="Comma 2 4 4 2 4 7" xfId="20398" xr:uid="{060620A9-C800-4F21-BFC5-EC7356EC7710}"/>
    <cellStyle name="Comma 2 4 4 2 5" xfId="1414" xr:uid="{7E07A82D-4E94-456E-8CEA-75AA5A21183E}"/>
    <cellStyle name="Comma 2 4 4 2 5 2" xfId="16014" xr:uid="{FE50D838-E28D-4115-87A0-EF3D95234507}"/>
    <cellStyle name="Comma 2 4 4 2 5 2 2" xfId="52522" xr:uid="{C10F4027-B109-471B-B5C2-D0ECC7EC50F4}"/>
    <cellStyle name="Comma 2 4 4 2 5 2 3" xfId="34268" xr:uid="{B8E10307-7005-4C12-B10A-5F542D12374B}"/>
    <cellStyle name="Comma 2 4 4 2 5 3" xfId="12364" xr:uid="{6B3CD0DF-E913-4BE6-926D-29B797DDB95B}"/>
    <cellStyle name="Comma 2 4 4 2 5 3 2" xfId="48872" xr:uid="{A9F1F181-6075-4554-9AA9-44821706CE21}"/>
    <cellStyle name="Comma 2 4 4 2 5 3 3" xfId="30618" xr:uid="{0D9D0E6A-3477-47D5-A2BE-69FE755BE311}"/>
    <cellStyle name="Comma 2 4 4 2 5 4" xfId="8714" xr:uid="{6F8793E3-5EEA-4BE7-9966-744A740262FC}"/>
    <cellStyle name="Comma 2 4 4 2 5 4 2" xfId="45222" xr:uid="{1A51A0F3-8356-439A-8542-B032CD4EA53E}"/>
    <cellStyle name="Comma 2 4 4 2 5 4 3" xfId="26968" xr:uid="{D0CC4BEB-8EC7-4C97-8DB5-03562176F617}"/>
    <cellStyle name="Comma 2 4 4 2 5 5" xfId="5064" xr:uid="{8EA9B43C-DDA7-4AB7-AA18-CC36FD459A2F}"/>
    <cellStyle name="Comma 2 4 4 2 5 5 2" xfId="41572" xr:uid="{E44E9A10-284A-49E4-91C8-A51CAB16AF7A}"/>
    <cellStyle name="Comma 2 4 4 2 5 5 3" xfId="23318" xr:uid="{ACFD91E9-5876-46E5-8830-18A80D6E307C}"/>
    <cellStyle name="Comma 2 4 4 2 5 6" xfId="37922" xr:uid="{0479D3AC-78CA-4714-BA67-5788948291C4}"/>
    <cellStyle name="Comma 2 4 4 2 5 7" xfId="19668" xr:uid="{AB6D14FE-1325-4E5D-8179-57BC54C478DB}"/>
    <cellStyle name="Comma 2 4 4 2 6" xfId="15284" xr:uid="{F5EE9D3C-5967-41C5-8C56-D279D6D91F27}"/>
    <cellStyle name="Comma 2 4 4 2 6 2" xfId="51792" xr:uid="{DF273D55-03CF-4F4B-915D-C2F5B9A55912}"/>
    <cellStyle name="Comma 2 4 4 2 6 3" xfId="33538" xr:uid="{20EDD757-323A-4053-BC19-9BBA54B3CEFE}"/>
    <cellStyle name="Comma 2 4 4 2 7" xfId="11634" xr:uid="{2B8AF8BE-018E-4495-8CC5-B822CDBFADAF}"/>
    <cellStyle name="Comma 2 4 4 2 7 2" xfId="48142" xr:uid="{5B3C5A52-84F0-43C5-87FE-7CB6A17DFDAC}"/>
    <cellStyle name="Comma 2 4 4 2 7 3" xfId="29888" xr:uid="{98627CB2-9568-4A3B-B953-48693CC3C140}"/>
    <cellStyle name="Comma 2 4 4 2 8" xfId="7984" xr:uid="{A6D167E2-CF05-410C-9FE1-DB4C1A432D43}"/>
    <cellStyle name="Comma 2 4 4 2 8 2" xfId="44492" xr:uid="{6E149E73-13E8-4D89-80D7-E0B674A3AD87}"/>
    <cellStyle name="Comma 2 4 4 2 8 3" xfId="26238" xr:uid="{5DD08048-B5DC-49B2-ADA4-5154E1E3C8AD}"/>
    <cellStyle name="Comma 2 4 4 2 9" xfId="4334" xr:uid="{6D1AFA63-1FBA-4B8A-90DF-2F658D8921A3}"/>
    <cellStyle name="Comma 2 4 4 2 9 2" xfId="40842" xr:uid="{BAC17FAA-20DB-4B96-A91A-B2E3604DC04F}"/>
    <cellStyle name="Comma 2 4 4 2 9 3" xfId="22588" xr:uid="{23287C74-A6C3-4D98-9084-832003878E70}"/>
    <cellStyle name="Comma 2 4 4 3" xfId="580" xr:uid="{D97996C2-0D36-4FA0-A3A5-6DBCDEA72E80}"/>
    <cellStyle name="Comma 2 4 4 3 10" xfId="37088" xr:uid="{1C540AFC-DAA0-4BAF-9141-D6B2944F318C}"/>
    <cellStyle name="Comma 2 4 4 3 11" xfId="18834" xr:uid="{8F2BA151-E503-4158-BA24-798385BE0A4B}"/>
    <cellStyle name="Comma 2 4 4 3 2" xfId="3500" xr:uid="{AB8C35C2-027F-442E-BD79-1F54E9B68533}"/>
    <cellStyle name="Comma 2 4 4 3 2 2" xfId="18100" xr:uid="{B824A6EF-7401-43BA-BA29-864602CCF019}"/>
    <cellStyle name="Comma 2 4 4 3 2 2 2" xfId="54608" xr:uid="{8BA420F0-07D6-4967-A412-3777E34598CB}"/>
    <cellStyle name="Comma 2 4 4 3 2 2 3" xfId="36354" xr:uid="{06F9974A-B857-4EDD-A072-4EDD668303C6}"/>
    <cellStyle name="Comma 2 4 4 3 2 3" xfId="14450" xr:uid="{781BBDCB-430D-41C4-9D60-629F4A5AA39E}"/>
    <cellStyle name="Comma 2 4 4 3 2 3 2" xfId="50958" xr:uid="{D5E029FB-7F75-42F9-A406-34C3AF5152F4}"/>
    <cellStyle name="Comma 2 4 4 3 2 3 3" xfId="32704" xr:uid="{884688B5-65F9-4BCD-A911-F1F86E708E27}"/>
    <cellStyle name="Comma 2 4 4 3 2 4" xfId="10800" xr:uid="{A3297933-9C81-467C-A4BF-6F4B8418AF0E}"/>
    <cellStyle name="Comma 2 4 4 3 2 4 2" xfId="47308" xr:uid="{0EB509F3-A8E9-437F-A104-8A729FCE32F5}"/>
    <cellStyle name="Comma 2 4 4 3 2 4 3" xfId="29054" xr:uid="{DD926832-26F1-40DE-A243-78903CDEAC5D}"/>
    <cellStyle name="Comma 2 4 4 3 2 5" xfId="7150" xr:uid="{64DEBF12-E09B-42F5-9411-B6FFC2D9FE6C}"/>
    <cellStyle name="Comma 2 4 4 3 2 5 2" xfId="43658" xr:uid="{15D36F59-7FFC-411E-BC01-9E1A7E7B0CF0}"/>
    <cellStyle name="Comma 2 4 4 3 2 5 3" xfId="25404" xr:uid="{05CEFF15-A586-4E10-ABC3-78C1460607E8}"/>
    <cellStyle name="Comma 2 4 4 3 2 6" xfId="40008" xr:uid="{DA98797D-F809-4B6F-A1AC-AB32C0B4442B}"/>
    <cellStyle name="Comma 2 4 4 3 2 7" xfId="21754" xr:uid="{88F94A90-8206-4FD9-8B3D-92F1000ABE16}"/>
    <cellStyle name="Comma 2 4 4 3 3" xfId="2770" xr:uid="{431CC01E-1E07-4C3F-B842-ED5906EE1AED}"/>
    <cellStyle name="Comma 2 4 4 3 3 2" xfId="17370" xr:uid="{13E9E922-9543-47EE-BA6E-F49CF4CA034F}"/>
    <cellStyle name="Comma 2 4 4 3 3 2 2" xfId="53878" xr:uid="{E54145C0-11EF-40B2-97BA-8799C937C4F7}"/>
    <cellStyle name="Comma 2 4 4 3 3 2 3" xfId="35624" xr:uid="{2E8C79BC-BAF4-457A-8674-A5CF00365C46}"/>
    <cellStyle name="Comma 2 4 4 3 3 3" xfId="13720" xr:uid="{0AAF8C2E-8459-4598-9450-73089AB08F32}"/>
    <cellStyle name="Comma 2 4 4 3 3 3 2" xfId="50228" xr:uid="{1AD1ACEB-A227-47EC-9B89-B243C4EE757C}"/>
    <cellStyle name="Comma 2 4 4 3 3 3 3" xfId="31974" xr:uid="{BC6CB6A0-F044-4B3E-B861-354E65101F3A}"/>
    <cellStyle name="Comma 2 4 4 3 3 4" xfId="10070" xr:uid="{B00FD0FA-E8F7-4E2E-9522-4060A7E70799}"/>
    <cellStyle name="Comma 2 4 4 3 3 4 2" xfId="46578" xr:uid="{31323D88-E2DB-4454-BDD5-D551D874C344}"/>
    <cellStyle name="Comma 2 4 4 3 3 4 3" xfId="28324" xr:uid="{08BD8B57-9CA4-4814-975B-AF0962AB5FEA}"/>
    <cellStyle name="Comma 2 4 4 3 3 5" xfId="6420" xr:uid="{1AC0C084-AE28-4900-A30E-D81C83E0914D}"/>
    <cellStyle name="Comma 2 4 4 3 3 5 2" xfId="42928" xr:uid="{AF1EBC6D-833D-428F-B55A-9BBD02A8C44E}"/>
    <cellStyle name="Comma 2 4 4 3 3 5 3" xfId="24674" xr:uid="{8DDEE380-E1E1-4A68-B19F-B4724B43EF6E}"/>
    <cellStyle name="Comma 2 4 4 3 3 6" xfId="39278" xr:uid="{8E293189-E540-427C-904A-4393D517965B}"/>
    <cellStyle name="Comma 2 4 4 3 3 7" xfId="21024" xr:uid="{C0C2AC7E-9F72-4BFA-BED6-3BECC5770436}"/>
    <cellStyle name="Comma 2 4 4 3 4" xfId="2040" xr:uid="{53BDF3B2-D263-4485-B977-A9A22C725C76}"/>
    <cellStyle name="Comma 2 4 4 3 4 2" xfId="16640" xr:uid="{B0D23BE5-361E-4D44-96F7-37562690426D}"/>
    <cellStyle name="Comma 2 4 4 3 4 2 2" xfId="53148" xr:uid="{F909C86B-BA5F-44D7-8CF7-6B28568D1207}"/>
    <cellStyle name="Comma 2 4 4 3 4 2 3" xfId="34894" xr:uid="{AD4D5546-DF2D-4B10-9214-CB31274BAF09}"/>
    <cellStyle name="Comma 2 4 4 3 4 3" xfId="12990" xr:uid="{779F0044-ED6D-46B3-80CD-8D79D7D41932}"/>
    <cellStyle name="Comma 2 4 4 3 4 3 2" xfId="49498" xr:uid="{53E3EBDC-33E9-4927-838A-4F34F5C1BD3E}"/>
    <cellStyle name="Comma 2 4 4 3 4 3 3" xfId="31244" xr:uid="{19A62D40-28F5-4DDE-99A0-B21459B8DDA0}"/>
    <cellStyle name="Comma 2 4 4 3 4 4" xfId="9340" xr:uid="{D6AAEA6F-3532-4A10-83EC-6F25CA27D8A5}"/>
    <cellStyle name="Comma 2 4 4 3 4 4 2" xfId="45848" xr:uid="{38836AA2-5423-4AE3-9377-648C7FD0B4CF}"/>
    <cellStyle name="Comma 2 4 4 3 4 4 3" xfId="27594" xr:uid="{027AA3D2-C971-4CA6-85C4-EDF8C9001419}"/>
    <cellStyle name="Comma 2 4 4 3 4 5" xfId="5690" xr:uid="{B8DF8A32-E12A-4401-9610-5CFA8995AF4D}"/>
    <cellStyle name="Comma 2 4 4 3 4 5 2" xfId="42198" xr:uid="{6C6E8E76-C644-45B7-8E05-C79D95C0EB9A}"/>
    <cellStyle name="Comma 2 4 4 3 4 5 3" xfId="23944" xr:uid="{C329DE80-D9A7-4356-9DBA-1831C1AE72A6}"/>
    <cellStyle name="Comma 2 4 4 3 4 6" xfId="38548" xr:uid="{09DB9A3F-649E-4787-A947-3B409747986E}"/>
    <cellStyle name="Comma 2 4 4 3 4 7" xfId="20294" xr:uid="{6C340749-12D6-4113-851F-875C786ABFD1}"/>
    <cellStyle name="Comma 2 4 4 3 5" xfId="1310" xr:uid="{4B78C993-AA7C-487E-9D2A-2E3241EE4853}"/>
    <cellStyle name="Comma 2 4 4 3 5 2" xfId="15910" xr:uid="{CAC482D0-9B88-4182-AF03-376E0FC2A714}"/>
    <cellStyle name="Comma 2 4 4 3 5 2 2" xfId="52418" xr:uid="{62CDA4ED-2CAE-42E7-8FDA-6A1CAD605398}"/>
    <cellStyle name="Comma 2 4 4 3 5 2 3" xfId="34164" xr:uid="{3E7F7E15-E7D2-424A-BE71-32137C0D26D6}"/>
    <cellStyle name="Comma 2 4 4 3 5 3" xfId="12260" xr:uid="{D984F5B6-01A2-4288-9183-528F0634B0A0}"/>
    <cellStyle name="Comma 2 4 4 3 5 3 2" xfId="48768" xr:uid="{D69EE7C5-8B08-45FC-8317-19B69F57E9CF}"/>
    <cellStyle name="Comma 2 4 4 3 5 3 3" xfId="30514" xr:uid="{614E24A3-549F-4BA8-AA2C-521EC1E11CC6}"/>
    <cellStyle name="Comma 2 4 4 3 5 4" xfId="8610" xr:uid="{67DB5646-481B-4372-A56C-4862FF805C75}"/>
    <cellStyle name="Comma 2 4 4 3 5 4 2" xfId="45118" xr:uid="{6C19290F-59C5-44E8-AD64-88D2867332AE}"/>
    <cellStyle name="Comma 2 4 4 3 5 4 3" xfId="26864" xr:uid="{5306B72E-A03C-4AD3-B5E7-0F81ADB89F16}"/>
    <cellStyle name="Comma 2 4 4 3 5 5" xfId="4960" xr:uid="{620F94C2-8782-49B8-89F7-1F1CC52DA30A}"/>
    <cellStyle name="Comma 2 4 4 3 5 5 2" xfId="41468" xr:uid="{749EE2A3-CEBB-4412-B1B0-9A8ACAA0C75A}"/>
    <cellStyle name="Comma 2 4 4 3 5 5 3" xfId="23214" xr:uid="{2A590BB5-DE47-440E-99AD-FF6FC04101B0}"/>
    <cellStyle name="Comma 2 4 4 3 5 6" xfId="37818" xr:uid="{1586E762-F9AF-43E9-99F5-D0EAB95EDC2F}"/>
    <cellStyle name="Comma 2 4 4 3 5 7" xfId="19564" xr:uid="{9706AEE9-FFAF-45D0-8739-4ECDC3CEDDCD}"/>
    <cellStyle name="Comma 2 4 4 3 6" xfId="15180" xr:uid="{D45BC3A9-F89C-4242-9C9E-A430F4E45D36}"/>
    <cellStyle name="Comma 2 4 4 3 6 2" xfId="51688" xr:uid="{BEA99404-EBF6-4803-B74C-3B054137C33D}"/>
    <cellStyle name="Comma 2 4 4 3 6 3" xfId="33434" xr:uid="{42D3C06B-5BF3-41A3-9DB9-B831376BB63A}"/>
    <cellStyle name="Comma 2 4 4 3 7" xfId="11530" xr:uid="{8D26BAF0-934F-4C15-88F2-BDE73C853A29}"/>
    <cellStyle name="Comma 2 4 4 3 7 2" xfId="48038" xr:uid="{55BF07FB-5ABC-4B07-8EC7-3C614BCB6EF3}"/>
    <cellStyle name="Comma 2 4 4 3 7 3" xfId="29784" xr:uid="{59B5433D-F01D-4297-86DD-325C6839D8BB}"/>
    <cellStyle name="Comma 2 4 4 3 8" xfId="7880" xr:uid="{61B5336B-878F-48ED-B272-D75424403386}"/>
    <cellStyle name="Comma 2 4 4 3 8 2" xfId="44388" xr:uid="{444276AF-832E-498A-A9D4-3EAD37B6D818}"/>
    <cellStyle name="Comma 2 4 4 3 8 3" xfId="26134" xr:uid="{20A02B31-9D97-400D-B320-92BD2A1D6A11}"/>
    <cellStyle name="Comma 2 4 4 3 9" xfId="4230" xr:uid="{58CE6B9D-11FC-48EF-9EB9-567334D4F27D}"/>
    <cellStyle name="Comma 2 4 4 3 9 2" xfId="40738" xr:uid="{B35017B6-4EAD-488D-B8EC-7025B4F38077}"/>
    <cellStyle name="Comma 2 4 4 3 9 3" xfId="22484" xr:uid="{D1D36FE4-088A-4066-A421-7A066F3DC0DC}"/>
    <cellStyle name="Comma 2 4 4 4" xfId="476" xr:uid="{B3003DBC-A16A-4D47-BF94-AEB61D46B141}"/>
    <cellStyle name="Comma 2 4 4 4 10" xfId="36984" xr:uid="{1235BBFE-F64F-4BD6-AE04-67D5B1507AB8}"/>
    <cellStyle name="Comma 2 4 4 4 11" xfId="18730" xr:uid="{BAC91C22-56AE-40E1-B50E-33A8B4A385D6}"/>
    <cellStyle name="Comma 2 4 4 4 2" xfId="3396" xr:uid="{EB6001BD-7B4F-43F6-ACE9-79BF1C459940}"/>
    <cellStyle name="Comma 2 4 4 4 2 2" xfId="17996" xr:uid="{C77381AE-6154-46DD-8A88-71D93BC9F308}"/>
    <cellStyle name="Comma 2 4 4 4 2 2 2" xfId="54504" xr:uid="{1D868093-E89E-448B-B592-1A18ABDCD74D}"/>
    <cellStyle name="Comma 2 4 4 4 2 2 3" xfId="36250" xr:uid="{BCF2981B-E576-4347-A10F-D792279EE382}"/>
    <cellStyle name="Comma 2 4 4 4 2 3" xfId="14346" xr:uid="{79CDD46C-FCB2-487E-9B75-F2669E39CD47}"/>
    <cellStyle name="Comma 2 4 4 4 2 3 2" xfId="50854" xr:uid="{73AC8136-D35B-4B40-A5C1-70A3395CDA1F}"/>
    <cellStyle name="Comma 2 4 4 4 2 3 3" xfId="32600" xr:uid="{663F0CDC-6D2A-4762-8018-F105856D5B3A}"/>
    <cellStyle name="Comma 2 4 4 4 2 4" xfId="10696" xr:uid="{19EEAD08-D0E4-49B6-A7C4-6151F7060A7E}"/>
    <cellStyle name="Comma 2 4 4 4 2 4 2" xfId="47204" xr:uid="{B0C7DB55-D4E9-4C53-B314-E6BF814D9DF7}"/>
    <cellStyle name="Comma 2 4 4 4 2 4 3" xfId="28950" xr:uid="{EDF93FAA-6FC5-4D5A-B075-BEFB6EB35A20}"/>
    <cellStyle name="Comma 2 4 4 4 2 5" xfId="7046" xr:uid="{37D6A86D-03D4-4A07-A72F-57CC07449525}"/>
    <cellStyle name="Comma 2 4 4 4 2 5 2" xfId="43554" xr:uid="{E4D5A3BE-ABEA-4AC5-AAA2-97C3CCDEF997}"/>
    <cellStyle name="Comma 2 4 4 4 2 5 3" xfId="25300" xr:uid="{CAC1C9D0-2D73-4399-B172-5B5B362BF2FC}"/>
    <cellStyle name="Comma 2 4 4 4 2 6" xfId="39904" xr:uid="{06AF0625-E64E-41A4-800A-0284F1B9A191}"/>
    <cellStyle name="Comma 2 4 4 4 2 7" xfId="21650" xr:uid="{DB05750C-8B9D-4B20-8BEE-375D8E732A02}"/>
    <cellStyle name="Comma 2 4 4 4 3" xfId="2666" xr:uid="{7A747092-D467-4DDF-A061-537F6016F45E}"/>
    <cellStyle name="Comma 2 4 4 4 3 2" xfId="17266" xr:uid="{648CFB89-F052-4E6F-90F5-9FAE87488436}"/>
    <cellStyle name="Comma 2 4 4 4 3 2 2" xfId="53774" xr:uid="{36CBDB70-5FF2-421D-9DB1-A047682848FC}"/>
    <cellStyle name="Comma 2 4 4 4 3 2 3" xfId="35520" xr:uid="{0B3547EF-7901-4540-BE39-7E0D7015FDF0}"/>
    <cellStyle name="Comma 2 4 4 4 3 3" xfId="13616" xr:uid="{5D7F73E3-6EAA-4472-9CEC-3140B7A00E07}"/>
    <cellStyle name="Comma 2 4 4 4 3 3 2" xfId="50124" xr:uid="{FD8964DB-6A10-474E-A9A1-AA09A0DDBFBB}"/>
    <cellStyle name="Comma 2 4 4 4 3 3 3" xfId="31870" xr:uid="{53E8166A-C0E7-4249-AC19-E5E5C8A23A64}"/>
    <cellStyle name="Comma 2 4 4 4 3 4" xfId="9966" xr:uid="{D767C239-621C-4F2C-A2B6-3C4B6B2156F0}"/>
    <cellStyle name="Comma 2 4 4 4 3 4 2" xfId="46474" xr:uid="{045F4872-B344-427C-B8C4-F0EB016ECFA8}"/>
    <cellStyle name="Comma 2 4 4 4 3 4 3" xfId="28220" xr:uid="{BBE51A40-00DA-4C87-B51E-E66F506AA479}"/>
    <cellStyle name="Comma 2 4 4 4 3 5" xfId="6316" xr:uid="{79269353-2D1A-4877-BABD-95EDA77B169E}"/>
    <cellStyle name="Comma 2 4 4 4 3 5 2" xfId="42824" xr:uid="{086243ED-E6A2-43CB-943F-AF7B527C032F}"/>
    <cellStyle name="Comma 2 4 4 4 3 5 3" xfId="24570" xr:uid="{98CABD49-2B41-4BFE-8C97-CCD0A002F0E9}"/>
    <cellStyle name="Comma 2 4 4 4 3 6" xfId="39174" xr:uid="{0F3900FB-C563-46E5-A022-D19FCBE6D735}"/>
    <cellStyle name="Comma 2 4 4 4 3 7" xfId="20920" xr:uid="{2D4A2412-BE5B-4E30-9F2D-8E5A8B8D201E}"/>
    <cellStyle name="Comma 2 4 4 4 4" xfId="1936" xr:uid="{B461C96A-3D4D-459D-88BD-D504A0C0279F}"/>
    <cellStyle name="Comma 2 4 4 4 4 2" xfId="16536" xr:uid="{22D371E5-8763-45DC-9FAD-8B5B619B7B4C}"/>
    <cellStyle name="Comma 2 4 4 4 4 2 2" xfId="53044" xr:uid="{DA97853C-8CF2-42F3-84D2-A60ABD7DB776}"/>
    <cellStyle name="Comma 2 4 4 4 4 2 3" xfId="34790" xr:uid="{34E7E360-E00E-40B6-A274-29D986A44C8A}"/>
    <cellStyle name="Comma 2 4 4 4 4 3" xfId="12886" xr:uid="{1516F83C-65CF-490A-B0C7-D9E365EBDAB7}"/>
    <cellStyle name="Comma 2 4 4 4 4 3 2" xfId="49394" xr:uid="{0DF1B328-F265-48F3-9CF7-A6AB406BB030}"/>
    <cellStyle name="Comma 2 4 4 4 4 3 3" xfId="31140" xr:uid="{39933F24-BA56-4963-AF34-6779AF30C45B}"/>
    <cellStyle name="Comma 2 4 4 4 4 4" xfId="9236" xr:uid="{510A6A09-AB5E-4908-BE7F-3F9A516BAEDF}"/>
    <cellStyle name="Comma 2 4 4 4 4 4 2" xfId="45744" xr:uid="{7F04D2BE-9F2A-494B-AE0C-D444E8F61D89}"/>
    <cellStyle name="Comma 2 4 4 4 4 4 3" xfId="27490" xr:uid="{CE6B9415-D62D-44A5-A3F0-F960A18740D2}"/>
    <cellStyle name="Comma 2 4 4 4 4 5" xfId="5586" xr:uid="{BADBBE19-F3E7-419D-BB91-B5B869CB77E6}"/>
    <cellStyle name="Comma 2 4 4 4 4 5 2" xfId="42094" xr:uid="{FBA6DB5F-3C7C-4940-99E8-7C1CFB33459B}"/>
    <cellStyle name="Comma 2 4 4 4 4 5 3" xfId="23840" xr:uid="{2EF49CF9-B6E1-4515-9F5B-D86296B3D543}"/>
    <cellStyle name="Comma 2 4 4 4 4 6" xfId="38444" xr:uid="{D7EBE18A-3EE9-4431-B552-1F21D364C304}"/>
    <cellStyle name="Comma 2 4 4 4 4 7" xfId="20190" xr:uid="{93AB93A3-D32F-47E9-9E7E-F0E8E9CD73DD}"/>
    <cellStyle name="Comma 2 4 4 4 5" xfId="1206" xr:uid="{8BE3AF44-7308-4914-A9B4-EB83631DF90A}"/>
    <cellStyle name="Comma 2 4 4 4 5 2" xfId="15806" xr:uid="{9EDDB2F1-5218-44CA-8691-8665DC2D9687}"/>
    <cellStyle name="Comma 2 4 4 4 5 2 2" xfId="52314" xr:uid="{CC6D68CA-979F-4349-B253-680444EED6CA}"/>
    <cellStyle name="Comma 2 4 4 4 5 2 3" xfId="34060" xr:uid="{E4428A4B-342D-49B7-9906-5886F8178CF4}"/>
    <cellStyle name="Comma 2 4 4 4 5 3" xfId="12156" xr:uid="{5B1A1685-C356-4306-9042-21915D60B0F2}"/>
    <cellStyle name="Comma 2 4 4 4 5 3 2" xfId="48664" xr:uid="{40EDA1DE-D8F9-4880-BF40-7CE6AB67F211}"/>
    <cellStyle name="Comma 2 4 4 4 5 3 3" xfId="30410" xr:uid="{12C67864-7305-4348-B142-0A734C134AFD}"/>
    <cellStyle name="Comma 2 4 4 4 5 4" xfId="8506" xr:uid="{D4249BEB-AB86-45B2-AD48-21E24DA04CE1}"/>
    <cellStyle name="Comma 2 4 4 4 5 4 2" xfId="45014" xr:uid="{1C38BEE5-5B30-4A23-AAE2-42F378162CF4}"/>
    <cellStyle name="Comma 2 4 4 4 5 4 3" xfId="26760" xr:uid="{F8600398-0D56-4F92-9D7D-07ED0BAC5E7E}"/>
    <cellStyle name="Comma 2 4 4 4 5 5" xfId="4856" xr:uid="{F1F80785-85AC-4D6A-909D-CA5951917614}"/>
    <cellStyle name="Comma 2 4 4 4 5 5 2" xfId="41364" xr:uid="{5593DB03-7F81-48F8-9EA3-625337ED1466}"/>
    <cellStyle name="Comma 2 4 4 4 5 5 3" xfId="23110" xr:uid="{F0DC604A-0AC6-41CA-8946-2BF538A9D980}"/>
    <cellStyle name="Comma 2 4 4 4 5 6" xfId="37714" xr:uid="{31672075-D562-47B3-9C0A-624B2F216F5A}"/>
    <cellStyle name="Comma 2 4 4 4 5 7" xfId="19460" xr:uid="{68E1B762-D6D7-490E-A734-614E7FD63838}"/>
    <cellStyle name="Comma 2 4 4 4 6" xfId="15076" xr:uid="{3E9EB532-6A3E-4190-BC5F-668A2BF6645C}"/>
    <cellStyle name="Comma 2 4 4 4 6 2" xfId="51584" xr:uid="{6A0ECA43-6346-4909-B2FC-56F9E0864F36}"/>
    <cellStyle name="Comma 2 4 4 4 6 3" xfId="33330" xr:uid="{ACC38DC8-FE0A-4B77-9554-ABE104CC0138}"/>
    <cellStyle name="Comma 2 4 4 4 7" xfId="11426" xr:uid="{3A68B4E4-ED81-42CA-854F-0A8E2678FC69}"/>
    <cellStyle name="Comma 2 4 4 4 7 2" xfId="47934" xr:uid="{93D46953-BB90-40B3-8518-0CC7D0D5D5EF}"/>
    <cellStyle name="Comma 2 4 4 4 7 3" xfId="29680" xr:uid="{73DFE74E-438C-45E4-8A38-68C51925FB1B}"/>
    <cellStyle name="Comma 2 4 4 4 8" xfId="7776" xr:uid="{B648ACC8-05DD-45FD-88D9-2025241D287B}"/>
    <cellStyle name="Comma 2 4 4 4 8 2" xfId="44284" xr:uid="{A10F2050-9561-4E4E-BF9E-FC00B2792105}"/>
    <cellStyle name="Comma 2 4 4 4 8 3" xfId="26030" xr:uid="{38C5B303-A511-4863-9C77-101AC9183421}"/>
    <cellStyle name="Comma 2 4 4 4 9" xfId="4126" xr:uid="{4E18B8EE-5126-41C5-9E9A-E896FB21DD8E}"/>
    <cellStyle name="Comma 2 4 4 4 9 2" xfId="40634" xr:uid="{9DD8E30C-BB1B-46A3-BD44-84776F3AA34F}"/>
    <cellStyle name="Comma 2 4 4 4 9 3" xfId="22380" xr:uid="{B8D2C9C5-FBEC-4063-BECE-0EC3754B75D8}"/>
    <cellStyle name="Comma 2 4 4 5" xfId="372" xr:uid="{2A5296ED-3487-4CD7-8CDB-906CA6674C6B}"/>
    <cellStyle name="Comma 2 4 4 5 10" xfId="36880" xr:uid="{9C5CA4C2-BF9A-447B-A969-7A74055A8366}"/>
    <cellStyle name="Comma 2 4 4 5 11" xfId="18626" xr:uid="{B252FD5A-0C4F-44F7-8C8D-FBD31494F2C4}"/>
    <cellStyle name="Comma 2 4 4 5 2" xfId="3292" xr:uid="{E6FC805B-543A-4E5C-93C2-8E2C92265DE1}"/>
    <cellStyle name="Comma 2 4 4 5 2 2" xfId="17892" xr:uid="{8756C753-A84B-4BCF-899D-7675F6E057D1}"/>
    <cellStyle name="Comma 2 4 4 5 2 2 2" xfId="54400" xr:uid="{818FF3F5-195A-4F16-AF5A-94B098ED55A7}"/>
    <cellStyle name="Comma 2 4 4 5 2 2 3" xfId="36146" xr:uid="{80A67662-AC65-4F9F-B959-9BF9862C00AA}"/>
    <cellStyle name="Comma 2 4 4 5 2 3" xfId="14242" xr:uid="{D54E0F9B-3ECF-4FCE-8A9A-DAAB1FDC27BC}"/>
    <cellStyle name="Comma 2 4 4 5 2 3 2" xfId="50750" xr:uid="{C1A5E30A-B383-4FE9-AC21-6B650ACA5E18}"/>
    <cellStyle name="Comma 2 4 4 5 2 3 3" xfId="32496" xr:uid="{9CAF6B50-1A24-497B-805D-529EFEDD7D7B}"/>
    <cellStyle name="Comma 2 4 4 5 2 4" xfId="10592" xr:uid="{CDC0E48A-060B-4099-9029-2B8866BD869F}"/>
    <cellStyle name="Comma 2 4 4 5 2 4 2" xfId="47100" xr:uid="{85030416-071E-415B-8A19-5A4F259E76F6}"/>
    <cellStyle name="Comma 2 4 4 5 2 4 3" xfId="28846" xr:uid="{C82D3F95-809B-4DAF-9D20-47F58D2CD7FD}"/>
    <cellStyle name="Comma 2 4 4 5 2 5" xfId="6942" xr:uid="{F86B1B65-A02D-4000-BC59-40BE7429FA72}"/>
    <cellStyle name="Comma 2 4 4 5 2 5 2" xfId="43450" xr:uid="{17C5CB87-C2DC-4997-BC55-107FCC8A2432}"/>
    <cellStyle name="Comma 2 4 4 5 2 5 3" xfId="25196" xr:uid="{944664C9-25B0-41B5-87F0-69B73A98E786}"/>
    <cellStyle name="Comma 2 4 4 5 2 6" xfId="39800" xr:uid="{C37EAFAD-71EB-44D2-BFE3-ED506F954EE1}"/>
    <cellStyle name="Comma 2 4 4 5 2 7" xfId="21546" xr:uid="{F32AF82C-4467-474B-A35B-784DB816C2B1}"/>
    <cellStyle name="Comma 2 4 4 5 3" xfId="2562" xr:uid="{D93A6E10-6AA0-4D20-8142-3E7E968265B7}"/>
    <cellStyle name="Comma 2 4 4 5 3 2" xfId="17162" xr:uid="{65B2ADB7-5790-4C66-A30F-1A8B973AF7C8}"/>
    <cellStyle name="Comma 2 4 4 5 3 2 2" xfId="53670" xr:uid="{7E207B9D-90F3-41CD-89C5-DB886BF9A81B}"/>
    <cellStyle name="Comma 2 4 4 5 3 2 3" xfId="35416" xr:uid="{D0F943CE-B8D5-431C-B9BE-48A474BFC5DC}"/>
    <cellStyle name="Comma 2 4 4 5 3 3" xfId="13512" xr:uid="{6A5F4F9F-4BA6-474F-9DC2-A77CED733F82}"/>
    <cellStyle name="Comma 2 4 4 5 3 3 2" xfId="50020" xr:uid="{E3BA4C48-6E9B-4510-A539-5BD03D55F64A}"/>
    <cellStyle name="Comma 2 4 4 5 3 3 3" xfId="31766" xr:uid="{2E427394-9A40-41F0-8970-F4007156BA30}"/>
    <cellStyle name="Comma 2 4 4 5 3 4" xfId="9862" xr:uid="{5D13CD74-BDEE-42C1-A59B-92777847A773}"/>
    <cellStyle name="Comma 2 4 4 5 3 4 2" xfId="46370" xr:uid="{EB45EC8C-55A0-42F0-834E-D0547C043D00}"/>
    <cellStyle name="Comma 2 4 4 5 3 4 3" xfId="28116" xr:uid="{84B702E1-E736-4BD0-ABF9-080C4C76ED88}"/>
    <cellStyle name="Comma 2 4 4 5 3 5" xfId="6212" xr:uid="{9A525CCC-6315-48DB-B751-259CD06EF8A0}"/>
    <cellStyle name="Comma 2 4 4 5 3 5 2" xfId="42720" xr:uid="{40821F0F-D3F3-47E2-B8C3-B47C0C01CC1A}"/>
    <cellStyle name="Comma 2 4 4 5 3 5 3" xfId="24466" xr:uid="{200748AA-D3E6-401F-8DD1-1A3A63DA3B0F}"/>
    <cellStyle name="Comma 2 4 4 5 3 6" xfId="39070" xr:uid="{A97A1E20-3157-4975-B77D-6994D01CACBB}"/>
    <cellStyle name="Comma 2 4 4 5 3 7" xfId="20816" xr:uid="{81FB7217-CFDA-470B-B071-530EC0BBB892}"/>
    <cellStyle name="Comma 2 4 4 5 4" xfId="1832" xr:uid="{8B820489-3623-47DF-9A2E-1DCE3E809A39}"/>
    <cellStyle name="Comma 2 4 4 5 4 2" xfId="16432" xr:uid="{AA420BF2-FF25-41BB-BCA3-49722746A1B5}"/>
    <cellStyle name="Comma 2 4 4 5 4 2 2" xfId="52940" xr:uid="{03249925-E81D-4BD0-9D13-CDE0349FAD27}"/>
    <cellStyle name="Comma 2 4 4 5 4 2 3" xfId="34686" xr:uid="{C7B77358-D2B3-4D5C-AF2E-8FEEA2C33C41}"/>
    <cellStyle name="Comma 2 4 4 5 4 3" xfId="12782" xr:uid="{937F93B9-4E3E-44F2-8007-5483EFE8ACAC}"/>
    <cellStyle name="Comma 2 4 4 5 4 3 2" xfId="49290" xr:uid="{7CA4D763-BB5A-442A-863D-9322F1293B6C}"/>
    <cellStyle name="Comma 2 4 4 5 4 3 3" xfId="31036" xr:uid="{0703C751-5A34-4850-8C99-C0071CFDF76C}"/>
    <cellStyle name="Comma 2 4 4 5 4 4" xfId="9132" xr:uid="{929BAABC-C3FC-44D1-B7E0-E20647BEE526}"/>
    <cellStyle name="Comma 2 4 4 5 4 4 2" xfId="45640" xr:uid="{DAE9C70F-E6D2-443B-9661-AC22DA45E9DE}"/>
    <cellStyle name="Comma 2 4 4 5 4 4 3" xfId="27386" xr:uid="{AB50B521-7A31-48C6-9E49-A2F829DC42DA}"/>
    <cellStyle name="Comma 2 4 4 5 4 5" xfId="5482" xr:uid="{43CDB2E8-303A-4573-81F9-F4B83D076CA3}"/>
    <cellStyle name="Comma 2 4 4 5 4 5 2" xfId="41990" xr:uid="{A4F8C24E-DE3A-4172-896A-415B28375E35}"/>
    <cellStyle name="Comma 2 4 4 5 4 5 3" xfId="23736" xr:uid="{7B27B6A4-8F0C-46E8-8880-4242F880D95E}"/>
    <cellStyle name="Comma 2 4 4 5 4 6" xfId="38340" xr:uid="{787590CA-F48F-46CE-BC69-4B662D635F79}"/>
    <cellStyle name="Comma 2 4 4 5 4 7" xfId="20086" xr:uid="{DC12A2C0-CFC3-48CC-9202-D0FD34D0FBC1}"/>
    <cellStyle name="Comma 2 4 4 5 5" xfId="1102" xr:uid="{B2C9D1C1-D2BA-41F5-98AF-5B2AA49DA320}"/>
    <cellStyle name="Comma 2 4 4 5 5 2" xfId="15702" xr:uid="{668274D7-71DA-4BA4-9936-C59DD6A4ABC8}"/>
    <cellStyle name="Comma 2 4 4 5 5 2 2" xfId="52210" xr:uid="{DB16D81B-F013-4F07-B6F2-20CC609E64D5}"/>
    <cellStyle name="Comma 2 4 4 5 5 2 3" xfId="33956" xr:uid="{C7C42907-8739-4DAF-90B0-B5B87086F8CC}"/>
    <cellStyle name="Comma 2 4 4 5 5 3" xfId="12052" xr:uid="{3859139F-874C-4EAE-9CA0-1225CED77E67}"/>
    <cellStyle name="Comma 2 4 4 5 5 3 2" xfId="48560" xr:uid="{B3F2A1B3-9172-4EFE-80F2-2D5AF9982F98}"/>
    <cellStyle name="Comma 2 4 4 5 5 3 3" xfId="30306" xr:uid="{E403F0AB-6F3B-4C46-AE0A-0C48D7F547F4}"/>
    <cellStyle name="Comma 2 4 4 5 5 4" xfId="8402" xr:uid="{A3A95E22-89B3-49D3-AA23-A9D1112DB070}"/>
    <cellStyle name="Comma 2 4 4 5 5 4 2" xfId="44910" xr:uid="{97C5CA01-F157-4C6A-8198-F8F5642845FB}"/>
    <cellStyle name="Comma 2 4 4 5 5 4 3" xfId="26656" xr:uid="{5BAE8F03-BF1B-4040-B310-A8F9484D92E7}"/>
    <cellStyle name="Comma 2 4 4 5 5 5" xfId="4752" xr:uid="{62D2C4A3-AEB4-405C-970E-FFF6743CA42B}"/>
    <cellStyle name="Comma 2 4 4 5 5 5 2" xfId="41260" xr:uid="{16318A5B-260A-4851-B03D-2B1107EB2DA4}"/>
    <cellStyle name="Comma 2 4 4 5 5 5 3" xfId="23006" xr:uid="{93C692F9-A049-4147-B1A5-FC3A3ABB0887}"/>
    <cellStyle name="Comma 2 4 4 5 5 6" xfId="37610" xr:uid="{17D65B38-A7B8-42D5-9B6D-FF285993F3CF}"/>
    <cellStyle name="Comma 2 4 4 5 5 7" xfId="19356" xr:uid="{DE9B6676-16E7-4832-A9F2-A6719C7FDF85}"/>
    <cellStyle name="Comma 2 4 4 5 6" xfId="14972" xr:uid="{B94DEA3A-8C7C-4E09-A809-898A890F27B0}"/>
    <cellStyle name="Comma 2 4 4 5 6 2" xfId="51480" xr:uid="{94FEAF31-1468-4C2F-8258-F269223A98D1}"/>
    <cellStyle name="Comma 2 4 4 5 6 3" xfId="33226" xr:uid="{044DDDF3-6BC5-4CD8-9153-713BBF465635}"/>
    <cellStyle name="Comma 2 4 4 5 7" xfId="11322" xr:uid="{B4D22228-AA60-4BDA-812E-51B90D732358}"/>
    <cellStyle name="Comma 2 4 4 5 7 2" xfId="47830" xr:uid="{468F48E8-8595-4290-B543-811BE504AEB2}"/>
    <cellStyle name="Comma 2 4 4 5 7 3" xfId="29576" xr:uid="{0DA9F706-BF14-4853-A2C6-D55642A677FF}"/>
    <cellStyle name="Comma 2 4 4 5 8" xfId="7672" xr:uid="{64B1DBD8-F3E5-4CF2-BE34-EC567CBDF1F8}"/>
    <cellStyle name="Comma 2 4 4 5 8 2" xfId="44180" xr:uid="{7616CABD-964E-447F-A286-020C5336ED3A}"/>
    <cellStyle name="Comma 2 4 4 5 8 3" xfId="25926" xr:uid="{C7D25248-E64C-4FAA-A817-EF26DEFCF238}"/>
    <cellStyle name="Comma 2 4 4 5 9" xfId="4022" xr:uid="{ACB58AD4-B6FE-416E-B58A-7BE2F65ED4A8}"/>
    <cellStyle name="Comma 2 4 4 5 9 2" xfId="40530" xr:uid="{3D907C7B-3081-4BC8-A0E7-2D9D150A83E6}"/>
    <cellStyle name="Comma 2 4 4 5 9 3" xfId="22276" xr:uid="{105BA7E8-2083-4EFC-AEEB-93731D54E076}"/>
    <cellStyle name="Comma 2 4 4 6" xfId="268" xr:uid="{5305A8D0-331C-4085-8A2A-F54ACA236127}"/>
    <cellStyle name="Comma 2 4 4 6 10" xfId="36776" xr:uid="{26665D9C-92A7-404F-994D-86F14624551B}"/>
    <cellStyle name="Comma 2 4 4 6 11" xfId="18522" xr:uid="{EB4F2D58-19E9-489C-AD29-404447133DB6}"/>
    <cellStyle name="Comma 2 4 4 6 2" xfId="3188" xr:uid="{1E5386FF-566F-452F-8883-58FA76C308B3}"/>
    <cellStyle name="Comma 2 4 4 6 2 2" xfId="17788" xr:uid="{F54174E0-7C87-4F70-9409-931A120B1917}"/>
    <cellStyle name="Comma 2 4 4 6 2 2 2" xfId="54296" xr:uid="{3D42455D-FB5A-4CAF-B8F5-6A3ACCFDCE7C}"/>
    <cellStyle name="Comma 2 4 4 6 2 2 3" xfId="36042" xr:uid="{4CB26DFD-78F5-497C-AB15-5A5279404F69}"/>
    <cellStyle name="Comma 2 4 4 6 2 3" xfId="14138" xr:uid="{57FC82AF-9C6C-48E4-94E9-8EBBDF6A2779}"/>
    <cellStyle name="Comma 2 4 4 6 2 3 2" xfId="50646" xr:uid="{9DD98D87-22F2-4AE7-96B1-675741F33CFF}"/>
    <cellStyle name="Comma 2 4 4 6 2 3 3" xfId="32392" xr:uid="{02A1954F-8580-4F08-BB9B-1D03CC2A399B}"/>
    <cellStyle name="Comma 2 4 4 6 2 4" xfId="10488" xr:uid="{B1EB2816-1F6C-48D1-B304-23DC7A0D606C}"/>
    <cellStyle name="Comma 2 4 4 6 2 4 2" xfId="46996" xr:uid="{D8EE87C9-4E22-4AF4-8512-A5E17BCE0E5D}"/>
    <cellStyle name="Comma 2 4 4 6 2 4 3" xfId="28742" xr:uid="{6F2828C6-9CB4-4372-A164-571204C4E8C8}"/>
    <cellStyle name="Comma 2 4 4 6 2 5" xfId="6838" xr:uid="{D97EF5A8-1894-4A04-94A8-8E04E1415EB6}"/>
    <cellStyle name="Comma 2 4 4 6 2 5 2" xfId="43346" xr:uid="{41BBEDBC-3769-4D5E-B937-D304D55495AA}"/>
    <cellStyle name="Comma 2 4 4 6 2 5 3" xfId="25092" xr:uid="{BBA5ABA8-00DE-4303-B9C9-6493364A50AF}"/>
    <cellStyle name="Comma 2 4 4 6 2 6" xfId="39696" xr:uid="{6268AD0D-7F46-4E21-8E17-3CFFB42195F8}"/>
    <cellStyle name="Comma 2 4 4 6 2 7" xfId="21442" xr:uid="{908E3F91-41F3-413D-9D1D-9273BFC01E4F}"/>
    <cellStyle name="Comma 2 4 4 6 3" xfId="2458" xr:uid="{87B84A38-1848-4ABB-991A-3425EAAEC3CA}"/>
    <cellStyle name="Comma 2 4 4 6 3 2" xfId="17058" xr:uid="{0416A6B1-D540-4345-86FD-24A7345CA488}"/>
    <cellStyle name="Comma 2 4 4 6 3 2 2" xfId="53566" xr:uid="{AC991823-A39B-4353-9AAB-AAD869863D80}"/>
    <cellStyle name="Comma 2 4 4 6 3 2 3" xfId="35312" xr:uid="{AAED4375-5015-4E00-88B5-4D2A3EE76E28}"/>
    <cellStyle name="Comma 2 4 4 6 3 3" xfId="13408" xr:uid="{6D58ED33-2651-4101-AB44-91BB0F38AEA7}"/>
    <cellStyle name="Comma 2 4 4 6 3 3 2" xfId="49916" xr:uid="{D13B4A6C-9F33-4918-8B02-C2587D2D62EC}"/>
    <cellStyle name="Comma 2 4 4 6 3 3 3" xfId="31662" xr:uid="{81E799B1-1A2C-4142-BD77-B83C1E414139}"/>
    <cellStyle name="Comma 2 4 4 6 3 4" xfId="9758" xr:uid="{C8CBDEAE-1E85-4800-AF38-52A9A92B67AD}"/>
    <cellStyle name="Comma 2 4 4 6 3 4 2" xfId="46266" xr:uid="{898B4230-D1C2-4FD0-A63C-1B5DDE7D948C}"/>
    <cellStyle name="Comma 2 4 4 6 3 4 3" xfId="28012" xr:uid="{027C0DDD-FBBA-4D16-B5A6-8CCEBE61D868}"/>
    <cellStyle name="Comma 2 4 4 6 3 5" xfId="6108" xr:uid="{CBBBDA5A-8895-4888-874C-AD5811C80B7D}"/>
    <cellStyle name="Comma 2 4 4 6 3 5 2" xfId="42616" xr:uid="{5C66F8BB-0090-4DF2-9D4B-00D32D5DBE39}"/>
    <cellStyle name="Comma 2 4 4 6 3 5 3" xfId="24362" xr:uid="{5F667336-D87C-4991-B875-859D6F955321}"/>
    <cellStyle name="Comma 2 4 4 6 3 6" xfId="38966" xr:uid="{40111987-D0E5-4055-9424-28D811576C36}"/>
    <cellStyle name="Comma 2 4 4 6 3 7" xfId="20712" xr:uid="{B8E04DF5-736E-4EBC-A384-E2A2B7E9A407}"/>
    <cellStyle name="Comma 2 4 4 6 4" xfId="1728" xr:uid="{F3A2B104-FA16-4CBD-9902-5C09E938C485}"/>
    <cellStyle name="Comma 2 4 4 6 4 2" xfId="16328" xr:uid="{7BFDD401-71CD-4BA5-9F1F-F3B5E2B6B731}"/>
    <cellStyle name="Comma 2 4 4 6 4 2 2" xfId="52836" xr:uid="{7487CE78-51FC-4CA7-89B7-460362CBF42C}"/>
    <cellStyle name="Comma 2 4 4 6 4 2 3" xfId="34582" xr:uid="{3F7043F5-E5B7-4594-9282-909820B8A5E7}"/>
    <cellStyle name="Comma 2 4 4 6 4 3" xfId="12678" xr:uid="{52A87378-3967-484D-B68B-D040B6A16260}"/>
    <cellStyle name="Comma 2 4 4 6 4 3 2" xfId="49186" xr:uid="{32C35BFC-7D61-4B2F-927F-4CA341E4C753}"/>
    <cellStyle name="Comma 2 4 4 6 4 3 3" xfId="30932" xr:uid="{CE3A780C-3AF5-4D97-9DD7-C6E7EB7E6B82}"/>
    <cellStyle name="Comma 2 4 4 6 4 4" xfId="9028" xr:uid="{B975C6AC-8171-439E-A4EB-A8406551A82D}"/>
    <cellStyle name="Comma 2 4 4 6 4 4 2" xfId="45536" xr:uid="{AAEB198B-E504-41A3-949B-65AC3BFD5A03}"/>
    <cellStyle name="Comma 2 4 4 6 4 4 3" xfId="27282" xr:uid="{88EC0C09-17E6-4881-A23C-F77267E2E486}"/>
    <cellStyle name="Comma 2 4 4 6 4 5" xfId="5378" xr:uid="{690284AD-D3BB-4616-B929-F2B346E43F92}"/>
    <cellStyle name="Comma 2 4 4 6 4 5 2" xfId="41886" xr:uid="{A4C9C5DE-80F1-45CF-BC7E-26A015371301}"/>
    <cellStyle name="Comma 2 4 4 6 4 5 3" xfId="23632" xr:uid="{272C844B-B716-4989-8BE6-0E02876149DF}"/>
    <cellStyle name="Comma 2 4 4 6 4 6" xfId="38236" xr:uid="{3CC0CB44-3D4F-48E5-8983-6FEC54D8FF58}"/>
    <cellStyle name="Comma 2 4 4 6 4 7" xfId="19982" xr:uid="{C1B007E9-1173-4B7C-9BBF-4C88BCAAF269}"/>
    <cellStyle name="Comma 2 4 4 6 5" xfId="998" xr:uid="{76AF07B7-355B-42DB-937F-914E3339B883}"/>
    <cellStyle name="Comma 2 4 4 6 5 2" xfId="15598" xr:uid="{EE3187A9-260C-44E4-9EF8-4576BB163121}"/>
    <cellStyle name="Comma 2 4 4 6 5 2 2" xfId="52106" xr:uid="{6DAA53D0-5FF1-4A98-9D70-5D7EEE606EB4}"/>
    <cellStyle name="Comma 2 4 4 6 5 2 3" xfId="33852" xr:uid="{5BCA66A4-00F0-4D90-B94F-143A1113DB48}"/>
    <cellStyle name="Comma 2 4 4 6 5 3" xfId="11948" xr:uid="{90DFDF79-89D7-4A54-A91E-2C57AC44006F}"/>
    <cellStyle name="Comma 2 4 4 6 5 3 2" xfId="48456" xr:uid="{5525E043-DEB4-4DA3-B7D7-CB7D7CA50493}"/>
    <cellStyle name="Comma 2 4 4 6 5 3 3" xfId="30202" xr:uid="{955489DC-E746-4BBA-9B8F-DA136B0135AF}"/>
    <cellStyle name="Comma 2 4 4 6 5 4" xfId="8298" xr:uid="{772F8CC6-549A-45A3-95DF-A71FBCAC879E}"/>
    <cellStyle name="Comma 2 4 4 6 5 4 2" xfId="44806" xr:uid="{6708E809-A419-4E88-902C-5C14D5142761}"/>
    <cellStyle name="Comma 2 4 4 6 5 4 3" xfId="26552" xr:uid="{A05C8EB4-66EF-402F-B2A9-778A74327DC7}"/>
    <cellStyle name="Comma 2 4 4 6 5 5" xfId="4648" xr:uid="{6F214AD5-44E6-490B-A4C9-4F2071991F5C}"/>
    <cellStyle name="Comma 2 4 4 6 5 5 2" xfId="41156" xr:uid="{4D161C41-C0B1-40BE-9AE0-B1BB53CEAEEF}"/>
    <cellStyle name="Comma 2 4 4 6 5 5 3" xfId="22902" xr:uid="{3E408A7B-8B87-4DDF-8BA5-3B47AAF4E76A}"/>
    <cellStyle name="Comma 2 4 4 6 5 6" xfId="37506" xr:uid="{ACF1C0E9-210E-4F78-AE74-E34897710101}"/>
    <cellStyle name="Comma 2 4 4 6 5 7" xfId="19252" xr:uid="{BD3542D9-18FA-44D1-B48F-B548804BEB94}"/>
    <cellStyle name="Comma 2 4 4 6 6" xfId="14868" xr:uid="{146C5E51-61C3-4B3F-B22A-4C48C98656B5}"/>
    <cellStyle name="Comma 2 4 4 6 6 2" xfId="51376" xr:uid="{FB9920FF-5CEB-4F49-ACFA-C7F790E244B5}"/>
    <cellStyle name="Comma 2 4 4 6 6 3" xfId="33122" xr:uid="{0260F61A-0300-43B0-A004-CD324520B677}"/>
    <cellStyle name="Comma 2 4 4 6 7" xfId="11218" xr:uid="{C1C62780-B1BC-4C3C-AB89-30D7D58DAA0E}"/>
    <cellStyle name="Comma 2 4 4 6 7 2" xfId="47726" xr:uid="{0C168894-F9F3-4F67-A53D-81CD4CD1CED3}"/>
    <cellStyle name="Comma 2 4 4 6 7 3" xfId="29472" xr:uid="{4CA46C8A-B2F0-44C7-A798-248226E8CCB6}"/>
    <cellStyle name="Comma 2 4 4 6 8" xfId="7568" xr:uid="{11C8DC7A-9313-46AB-8EBF-35930A423950}"/>
    <cellStyle name="Comma 2 4 4 6 8 2" xfId="44076" xr:uid="{8C8DAE6C-5D55-4148-9C22-EED79C6183C5}"/>
    <cellStyle name="Comma 2 4 4 6 8 3" xfId="25822" xr:uid="{F8D066FB-A3E3-4FB6-BBAC-7B15AEE67846}"/>
    <cellStyle name="Comma 2 4 4 6 9" xfId="3918" xr:uid="{6D547ED8-E80D-4905-9AA1-C52204E07108}"/>
    <cellStyle name="Comma 2 4 4 6 9 2" xfId="40426" xr:uid="{550EDE6E-82F5-45DA-8C17-0685EEA4FC20}"/>
    <cellStyle name="Comma 2 4 4 6 9 3" xfId="22172" xr:uid="{F0F33B80-05AF-4296-A9E6-98D8A7996CB1}"/>
    <cellStyle name="Comma 2 4 4 7" xfId="164" xr:uid="{33A81EA5-D6BF-4CA3-B381-16ADF6D88403}"/>
    <cellStyle name="Comma 2 4 4 7 10" xfId="36672" xr:uid="{B8C8C370-8ABE-40CF-9FE0-A2FF38160F0E}"/>
    <cellStyle name="Comma 2 4 4 7 11" xfId="18418" xr:uid="{7663F802-5A7C-4FB5-A54B-CCE300D65D5F}"/>
    <cellStyle name="Comma 2 4 4 7 2" xfId="3084" xr:uid="{E127AFCE-D40A-4F86-A9EF-29F9C3B34799}"/>
    <cellStyle name="Comma 2 4 4 7 2 2" xfId="17684" xr:uid="{CA380920-605F-4497-A03E-6CE57345D85C}"/>
    <cellStyle name="Comma 2 4 4 7 2 2 2" xfId="54192" xr:uid="{922297B4-53AE-4407-8A99-D1B35CBE26FE}"/>
    <cellStyle name="Comma 2 4 4 7 2 2 3" xfId="35938" xr:uid="{983111D4-63A4-43CB-886C-635C937FE614}"/>
    <cellStyle name="Comma 2 4 4 7 2 3" xfId="14034" xr:uid="{164F4B66-B29D-4718-B123-3DBB4E4B7663}"/>
    <cellStyle name="Comma 2 4 4 7 2 3 2" xfId="50542" xr:uid="{3E11A359-DED3-4131-858C-30CC844141A8}"/>
    <cellStyle name="Comma 2 4 4 7 2 3 3" xfId="32288" xr:uid="{F5194E0A-DB88-427D-99A8-B63137EBB28B}"/>
    <cellStyle name="Comma 2 4 4 7 2 4" xfId="10384" xr:uid="{CCF7B1C9-57DF-4A6D-BC19-3D4DF981D2C8}"/>
    <cellStyle name="Comma 2 4 4 7 2 4 2" xfId="46892" xr:uid="{39C5CD55-9EC0-49B1-BC0F-10BD70103A3F}"/>
    <cellStyle name="Comma 2 4 4 7 2 4 3" xfId="28638" xr:uid="{8F57F89A-64A0-46A0-BCD3-3FEAD4735220}"/>
    <cellStyle name="Comma 2 4 4 7 2 5" xfId="6734" xr:uid="{A3A4A1E7-14CF-4A35-8DF1-DF01C4210531}"/>
    <cellStyle name="Comma 2 4 4 7 2 5 2" xfId="43242" xr:uid="{CEC99E8B-5311-4ACD-AFC7-82E6F2A86419}"/>
    <cellStyle name="Comma 2 4 4 7 2 5 3" xfId="24988" xr:uid="{31FDE91F-735A-429B-BBB5-4E64D52B2126}"/>
    <cellStyle name="Comma 2 4 4 7 2 6" xfId="39592" xr:uid="{C4AFD288-2C7B-48C1-BB1E-03154363B3B7}"/>
    <cellStyle name="Comma 2 4 4 7 2 7" xfId="21338" xr:uid="{1EC3373E-097C-4765-9190-5F6DAD0C9815}"/>
    <cellStyle name="Comma 2 4 4 7 3" xfId="2354" xr:uid="{77064CCA-0C57-41C0-B097-AF4BDC31990D}"/>
    <cellStyle name="Comma 2 4 4 7 3 2" xfId="16954" xr:uid="{8E3A3298-A073-449E-9F61-1FF6F30691AA}"/>
    <cellStyle name="Comma 2 4 4 7 3 2 2" xfId="53462" xr:uid="{1603CEC3-7424-4E49-A868-09E20D8EBA38}"/>
    <cellStyle name="Comma 2 4 4 7 3 2 3" xfId="35208" xr:uid="{2BDA1B46-0E52-42AA-8836-79EDBED70BE1}"/>
    <cellStyle name="Comma 2 4 4 7 3 3" xfId="13304" xr:uid="{A8C16F7D-FE56-4E83-B925-808D719F793E}"/>
    <cellStyle name="Comma 2 4 4 7 3 3 2" xfId="49812" xr:uid="{73CB121C-9B5A-41DE-B376-E148F58897AA}"/>
    <cellStyle name="Comma 2 4 4 7 3 3 3" xfId="31558" xr:uid="{8E9FE073-0AE5-4AFD-AC46-B7EED264C747}"/>
    <cellStyle name="Comma 2 4 4 7 3 4" xfId="9654" xr:uid="{27DAE8B3-3B05-4CBA-9B29-D524350FFF50}"/>
    <cellStyle name="Comma 2 4 4 7 3 4 2" xfId="46162" xr:uid="{2F68E0A6-C127-4F9D-99F3-99EBA2DFBB2E}"/>
    <cellStyle name="Comma 2 4 4 7 3 4 3" xfId="27908" xr:uid="{019F768B-4378-4C8C-BD53-A65793A5FFD1}"/>
    <cellStyle name="Comma 2 4 4 7 3 5" xfId="6004" xr:uid="{8F950437-812E-4AEE-A350-694429DE59A0}"/>
    <cellStyle name="Comma 2 4 4 7 3 5 2" xfId="42512" xr:uid="{A6B4DB74-8975-4630-BD29-AB2194B3FFC4}"/>
    <cellStyle name="Comma 2 4 4 7 3 5 3" xfId="24258" xr:uid="{8A00180A-82AC-4F73-9D8E-B5C837F1149A}"/>
    <cellStyle name="Comma 2 4 4 7 3 6" xfId="38862" xr:uid="{9CD78C88-6770-4458-B858-9FEA5825473F}"/>
    <cellStyle name="Comma 2 4 4 7 3 7" xfId="20608" xr:uid="{76FCDFA8-D2AB-466D-BA57-743EA296385A}"/>
    <cellStyle name="Comma 2 4 4 7 4" xfId="1624" xr:uid="{956BE20D-6B10-498A-8193-EC5343F1DF84}"/>
    <cellStyle name="Comma 2 4 4 7 4 2" xfId="16224" xr:uid="{DAAD42F9-EC7B-4F7B-B6D4-426EE2B0BD80}"/>
    <cellStyle name="Comma 2 4 4 7 4 2 2" xfId="52732" xr:uid="{BE2E2E18-2B2B-4A5A-8632-3CA806E1373B}"/>
    <cellStyle name="Comma 2 4 4 7 4 2 3" xfId="34478" xr:uid="{790CE899-6A74-48C3-A670-20C02160D4D5}"/>
    <cellStyle name="Comma 2 4 4 7 4 3" xfId="12574" xr:uid="{00151793-952B-48DC-896F-0CBB2063CB3D}"/>
    <cellStyle name="Comma 2 4 4 7 4 3 2" xfId="49082" xr:uid="{EE58ABF3-D0F2-4D6E-8A1B-43254105723D}"/>
    <cellStyle name="Comma 2 4 4 7 4 3 3" xfId="30828" xr:uid="{11B4CA92-14A9-4F2B-A119-D07AAB541F8F}"/>
    <cellStyle name="Comma 2 4 4 7 4 4" xfId="8924" xr:uid="{3442FE2E-930B-4C54-8F84-8A112ECE7656}"/>
    <cellStyle name="Comma 2 4 4 7 4 4 2" xfId="45432" xr:uid="{C587A4CD-CB1E-4F8F-BF1F-E2C1D751A6B2}"/>
    <cellStyle name="Comma 2 4 4 7 4 4 3" xfId="27178" xr:uid="{6041836C-D693-4CBA-A1D5-9F99B6A7E7E9}"/>
    <cellStyle name="Comma 2 4 4 7 4 5" xfId="5274" xr:uid="{91908375-1A88-42FD-B1D2-05DA727BCCAD}"/>
    <cellStyle name="Comma 2 4 4 7 4 5 2" xfId="41782" xr:uid="{D8121792-1164-4F23-9E34-5C6B59628396}"/>
    <cellStyle name="Comma 2 4 4 7 4 5 3" xfId="23528" xr:uid="{547D7EC8-A40D-47CB-920C-E1B9BCE17F13}"/>
    <cellStyle name="Comma 2 4 4 7 4 6" xfId="38132" xr:uid="{C41A0410-B723-4DBE-AEE2-A4E8C3F53D07}"/>
    <cellStyle name="Comma 2 4 4 7 4 7" xfId="19878" xr:uid="{8CFDECB7-9BB8-41E5-AA77-6CE06620D0CC}"/>
    <cellStyle name="Comma 2 4 4 7 5" xfId="894" xr:uid="{90633A9B-37D5-4DB7-A457-EBC5533EA65E}"/>
    <cellStyle name="Comma 2 4 4 7 5 2" xfId="15494" xr:uid="{3014AC04-228F-4958-A310-8057813AF94D}"/>
    <cellStyle name="Comma 2 4 4 7 5 2 2" xfId="52002" xr:uid="{F1E085A0-8F5F-4A79-83C9-FB80CC33FAD2}"/>
    <cellStyle name="Comma 2 4 4 7 5 2 3" xfId="33748" xr:uid="{16E7C063-154A-4DCB-A184-51F7D4EF221A}"/>
    <cellStyle name="Comma 2 4 4 7 5 3" xfId="11844" xr:uid="{26BFB628-E203-446D-AC1E-6874CE989BC4}"/>
    <cellStyle name="Comma 2 4 4 7 5 3 2" xfId="48352" xr:uid="{DC42434A-8FEC-4FE3-90A5-3711EA70A3B8}"/>
    <cellStyle name="Comma 2 4 4 7 5 3 3" xfId="30098" xr:uid="{7970D48A-594C-420F-A4F0-518148490E9B}"/>
    <cellStyle name="Comma 2 4 4 7 5 4" xfId="8194" xr:uid="{30EB58E0-CAA4-4293-8F63-225D32F47D0C}"/>
    <cellStyle name="Comma 2 4 4 7 5 4 2" xfId="44702" xr:uid="{49659AEB-36F9-43AC-8C68-FE29E7C2E061}"/>
    <cellStyle name="Comma 2 4 4 7 5 4 3" xfId="26448" xr:uid="{394EBC26-E79F-47DD-AFC4-4138EC22300A}"/>
    <cellStyle name="Comma 2 4 4 7 5 5" xfId="4544" xr:uid="{E8E653FE-3117-4EBD-BD14-5607737CE1E2}"/>
    <cellStyle name="Comma 2 4 4 7 5 5 2" xfId="41052" xr:uid="{67D4CB94-A3D4-4958-B2EA-13738D0BCB69}"/>
    <cellStyle name="Comma 2 4 4 7 5 5 3" xfId="22798" xr:uid="{C009CD36-20CD-492A-9BA1-A0383109E397}"/>
    <cellStyle name="Comma 2 4 4 7 5 6" xfId="37402" xr:uid="{28069C31-8F7A-4BEB-852B-66FE66E2E82D}"/>
    <cellStyle name="Comma 2 4 4 7 5 7" xfId="19148" xr:uid="{D4586021-8DD9-430C-903A-67EE98E450B4}"/>
    <cellStyle name="Comma 2 4 4 7 6" xfId="14764" xr:uid="{DB548E0E-3A58-4060-9D5D-D8648DAED974}"/>
    <cellStyle name="Comma 2 4 4 7 6 2" xfId="51272" xr:uid="{9022D9A8-ED9D-433E-A546-876953ACF3F5}"/>
    <cellStyle name="Comma 2 4 4 7 6 3" xfId="33018" xr:uid="{7B860FB2-7B14-4513-A256-D349DAF1731F}"/>
    <cellStyle name="Comma 2 4 4 7 7" xfId="11114" xr:uid="{7ECF6824-3245-4AB1-ACD2-3C3CB34ED292}"/>
    <cellStyle name="Comma 2 4 4 7 7 2" xfId="47622" xr:uid="{1214FCF3-C7D0-4FB2-AC69-829061FA1E06}"/>
    <cellStyle name="Comma 2 4 4 7 7 3" xfId="29368" xr:uid="{F27DF757-012B-4264-9ADD-E37A0E033D02}"/>
    <cellStyle name="Comma 2 4 4 7 8" xfId="7464" xr:uid="{FA78C69B-5E73-46F3-808E-DE313BBBE8CB}"/>
    <cellStyle name="Comma 2 4 4 7 8 2" xfId="43972" xr:uid="{FAFB790B-6110-47BD-8897-92DDA55A74B7}"/>
    <cellStyle name="Comma 2 4 4 7 8 3" xfId="25718" xr:uid="{91403536-E9AE-4D98-A6E2-FF18DE9904D2}"/>
    <cellStyle name="Comma 2 4 4 7 9" xfId="3814" xr:uid="{83D5A779-BFE3-46B1-BD25-4FAE028995D0}"/>
    <cellStyle name="Comma 2 4 4 7 9 2" xfId="40322" xr:uid="{A74AD6E2-FC00-4641-8DFB-9236358F90D8}"/>
    <cellStyle name="Comma 2 4 4 7 9 3" xfId="22068" xr:uid="{ED2D991B-DA5F-4738-A9B4-E38E2DF29B54}"/>
    <cellStyle name="Comma 2 4 4 8" xfId="2980" xr:uid="{89E4E0C0-AA6B-41BC-B4A7-E5FDC1677AA0}"/>
    <cellStyle name="Comma 2 4 4 8 2" xfId="17580" xr:uid="{B14DEEB9-2579-4164-A485-D8A3A8CF4EC0}"/>
    <cellStyle name="Comma 2 4 4 8 2 2" xfId="54088" xr:uid="{22B2EA68-5040-438C-8479-AE7974AE557A}"/>
    <cellStyle name="Comma 2 4 4 8 2 3" xfId="35834" xr:uid="{CC4834BB-AA99-4FE1-BF87-71AD7A11F3ED}"/>
    <cellStyle name="Comma 2 4 4 8 3" xfId="13930" xr:uid="{A05AA0A9-A1CA-409B-AF06-AE6D1467CDCD}"/>
    <cellStyle name="Comma 2 4 4 8 3 2" xfId="50438" xr:uid="{7668CEBA-9258-4C05-BA88-313BD014A032}"/>
    <cellStyle name="Comma 2 4 4 8 3 3" xfId="32184" xr:uid="{8FDF5117-2139-4DF6-9F08-EC5D20AD3769}"/>
    <cellStyle name="Comma 2 4 4 8 4" xfId="10280" xr:uid="{6D5E9B67-0CB0-4943-A00E-427008461BA9}"/>
    <cellStyle name="Comma 2 4 4 8 4 2" xfId="46788" xr:uid="{ACE70B1C-879B-4881-B90F-D3C71222C0A4}"/>
    <cellStyle name="Comma 2 4 4 8 4 3" xfId="28534" xr:uid="{660C8767-05A7-4E86-823E-B9303CEE29CB}"/>
    <cellStyle name="Comma 2 4 4 8 5" xfId="6630" xr:uid="{C1DA5D0F-F4AD-4646-84CD-41F4C1ACB96D}"/>
    <cellStyle name="Comma 2 4 4 8 5 2" xfId="43138" xr:uid="{24AF1BB4-AC09-490D-BC8C-7DEF4C7892AB}"/>
    <cellStyle name="Comma 2 4 4 8 5 3" xfId="24884" xr:uid="{24118FBB-A1CB-41B2-9B71-40153280B806}"/>
    <cellStyle name="Comma 2 4 4 8 6" xfId="39488" xr:uid="{27368868-A52E-437F-8F95-58E922A79DF4}"/>
    <cellStyle name="Comma 2 4 4 8 7" xfId="21234" xr:uid="{AAA041F3-E565-4804-BB1F-B232C4F6FA25}"/>
    <cellStyle name="Comma 2 4 4 9" xfId="2250" xr:uid="{4533E510-E274-4630-B09A-A4C54DBA0AA9}"/>
    <cellStyle name="Comma 2 4 4 9 2" xfId="16850" xr:uid="{F7439154-977A-4CBD-AC36-5FC3CF485F1D}"/>
    <cellStyle name="Comma 2 4 4 9 2 2" xfId="53358" xr:uid="{A7AA8525-B1EE-4757-BED6-7C858C3FB4D8}"/>
    <cellStyle name="Comma 2 4 4 9 2 3" xfId="35104" xr:uid="{F436178E-ABD8-4807-A95C-620F1C47C906}"/>
    <cellStyle name="Comma 2 4 4 9 3" xfId="13200" xr:uid="{2BEC9FAA-537E-41C3-A75A-B66D627A796A}"/>
    <cellStyle name="Comma 2 4 4 9 3 2" xfId="49708" xr:uid="{A0E6BCB1-3C9D-427B-8CE2-7A48E01FE6EA}"/>
    <cellStyle name="Comma 2 4 4 9 3 3" xfId="31454" xr:uid="{1049A6BF-1C03-422E-933C-5470EF853E2C}"/>
    <cellStyle name="Comma 2 4 4 9 4" xfId="9550" xr:uid="{1D4C82B2-7161-48E9-8D28-310D8528294C}"/>
    <cellStyle name="Comma 2 4 4 9 4 2" xfId="46058" xr:uid="{75824CB2-4FC6-461D-83AB-C1567904EB14}"/>
    <cellStyle name="Comma 2 4 4 9 4 3" xfId="27804" xr:uid="{4B672BB6-C19B-4CC6-A695-E9FB636239BE}"/>
    <cellStyle name="Comma 2 4 4 9 5" xfId="5900" xr:uid="{2B7589CD-09B0-4780-A4FA-2BD816E04AA4}"/>
    <cellStyle name="Comma 2 4 4 9 5 2" xfId="42408" xr:uid="{5B964193-D62B-42BC-A0C7-D43D0CC7393F}"/>
    <cellStyle name="Comma 2 4 4 9 5 3" xfId="24154" xr:uid="{0E93077D-96C6-48CF-8FA6-C27AB3132D43}"/>
    <cellStyle name="Comma 2 4 4 9 6" xfId="38758" xr:uid="{8FB73E97-FEAE-450E-9411-BF8E8689AA96}"/>
    <cellStyle name="Comma 2 4 4 9 7" xfId="20504" xr:uid="{FCAA62AF-3E75-40E3-9669-49F45686A4B6}"/>
    <cellStyle name="Comma 2 4 5" xfId="652" xr:uid="{6DCFD56F-E597-462A-B91B-78CA3F1B8F40}"/>
    <cellStyle name="Comma 2 4 5 10" xfId="37160" xr:uid="{1C55140E-1FBC-420B-82D9-1ABA2251EDAB}"/>
    <cellStyle name="Comma 2 4 5 11" xfId="18906" xr:uid="{F6D96EC5-E3C4-481C-96F3-576951FB9248}"/>
    <cellStyle name="Comma 2 4 5 2" xfId="3572" xr:uid="{A7DA0451-2F71-43A4-ABD3-EFC45F93D879}"/>
    <cellStyle name="Comma 2 4 5 2 2" xfId="18172" xr:uid="{83646258-7A04-4C4D-8010-C2A498163D2F}"/>
    <cellStyle name="Comma 2 4 5 2 2 2" xfId="54680" xr:uid="{095AF2A9-7C03-404C-B4E5-672F8157AB66}"/>
    <cellStyle name="Comma 2 4 5 2 2 3" xfId="36426" xr:uid="{4E3DA7C1-BD77-4A13-BFCF-B9613A0FF133}"/>
    <cellStyle name="Comma 2 4 5 2 3" xfId="14522" xr:uid="{13E46540-A1E7-4881-8F8A-4CDDA04EBB83}"/>
    <cellStyle name="Comma 2 4 5 2 3 2" xfId="51030" xr:uid="{D157773D-2A87-4750-8C65-C739B28D4DFE}"/>
    <cellStyle name="Comma 2 4 5 2 3 3" xfId="32776" xr:uid="{7EA02D3D-A5B4-4D2F-9E74-8F02DA7F0441}"/>
    <cellStyle name="Comma 2 4 5 2 4" xfId="10872" xr:uid="{9707BB4F-0649-40F0-B540-453262EE6D94}"/>
    <cellStyle name="Comma 2 4 5 2 4 2" xfId="47380" xr:uid="{CD350DC2-F246-4F14-923C-D8089FF3071F}"/>
    <cellStyle name="Comma 2 4 5 2 4 3" xfId="29126" xr:uid="{272BCA02-2713-446B-90C9-E5977A7842C5}"/>
    <cellStyle name="Comma 2 4 5 2 5" xfId="7222" xr:uid="{EC7C4602-C62C-4394-828B-E77551908DD2}"/>
    <cellStyle name="Comma 2 4 5 2 5 2" xfId="43730" xr:uid="{806C55B4-0F94-4A43-A2FA-FC2DC4FEE98B}"/>
    <cellStyle name="Comma 2 4 5 2 5 3" xfId="25476" xr:uid="{38FE821E-9266-45D1-A17E-AA2BD33492B9}"/>
    <cellStyle name="Comma 2 4 5 2 6" xfId="40080" xr:uid="{953F4540-A5A2-435A-9B63-105F8FDB860D}"/>
    <cellStyle name="Comma 2 4 5 2 7" xfId="21826" xr:uid="{56438842-6447-42D1-AD9D-1EB2F328852C}"/>
    <cellStyle name="Comma 2 4 5 3" xfId="2842" xr:uid="{AEFD711F-3427-4E24-A69C-66A399F04A8B}"/>
    <cellStyle name="Comma 2 4 5 3 2" xfId="17442" xr:uid="{048C58C8-A0A8-4B5C-AEB3-1DE5261C65FE}"/>
    <cellStyle name="Comma 2 4 5 3 2 2" xfId="53950" xr:uid="{6069EC02-013E-43AD-ADCE-76894B5120D9}"/>
    <cellStyle name="Comma 2 4 5 3 2 3" xfId="35696" xr:uid="{F11F030A-ADF1-4E8E-9746-80CBDF89D398}"/>
    <cellStyle name="Comma 2 4 5 3 3" xfId="13792" xr:uid="{E013966C-EFFA-432C-92D6-128562FB4946}"/>
    <cellStyle name="Comma 2 4 5 3 3 2" xfId="50300" xr:uid="{4B04F518-9CB0-47E6-A65B-D847A307FC75}"/>
    <cellStyle name="Comma 2 4 5 3 3 3" xfId="32046" xr:uid="{69FB5525-22EC-4689-B1D3-7789E645631B}"/>
    <cellStyle name="Comma 2 4 5 3 4" xfId="10142" xr:uid="{F160E022-85E8-4A90-8500-2893DB65B09C}"/>
    <cellStyle name="Comma 2 4 5 3 4 2" xfId="46650" xr:uid="{DD0A1DC5-C737-46DB-A726-2E55DA84B197}"/>
    <cellStyle name="Comma 2 4 5 3 4 3" xfId="28396" xr:uid="{F28A30DF-7460-47C1-A5A3-04B3253A2A48}"/>
    <cellStyle name="Comma 2 4 5 3 5" xfId="6492" xr:uid="{90975DC8-D826-43B6-A064-111A59F3FB72}"/>
    <cellStyle name="Comma 2 4 5 3 5 2" xfId="43000" xr:uid="{36BB2E58-571D-4675-B9AB-22FEA6E8E650}"/>
    <cellStyle name="Comma 2 4 5 3 5 3" xfId="24746" xr:uid="{3EB63B6C-66EC-4C46-A68C-B4DDD298D815}"/>
    <cellStyle name="Comma 2 4 5 3 6" xfId="39350" xr:uid="{13ECD9E0-99D2-4384-B619-68A6E47D1CFF}"/>
    <cellStyle name="Comma 2 4 5 3 7" xfId="21096" xr:uid="{A270DB4E-E4AB-43C8-A5FF-C9C36E0848C9}"/>
    <cellStyle name="Comma 2 4 5 4" xfId="2112" xr:uid="{9FC19C29-D67E-43A9-80B4-B685C94EA426}"/>
    <cellStyle name="Comma 2 4 5 4 2" xfId="16712" xr:uid="{3108CCEB-3DEB-4691-9AA8-F2B7F911C79B}"/>
    <cellStyle name="Comma 2 4 5 4 2 2" xfId="53220" xr:uid="{738B5A87-11D2-450A-BDDD-B453845091FA}"/>
    <cellStyle name="Comma 2 4 5 4 2 3" xfId="34966" xr:uid="{CE7EE42A-1127-44C0-A431-066ADA01D690}"/>
    <cellStyle name="Comma 2 4 5 4 3" xfId="13062" xr:uid="{DCE74283-B9CC-432C-8A05-94A60AC0214C}"/>
    <cellStyle name="Comma 2 4 5 4 3 2" xfId="49570" xr:uid="{CF3CFAE5-DE93-44F2-9AD8-3909B33DC0F9}"/>
    <cellStyle name="Comma 2 4 5 4 3 3" xfId="31316" xr:uid="{AEB6190C-6FE1-46BE-8B4D-D59BCB846C4F}"/>
    <cellStyle name="Comma 2 4 5 4 4" xfId="9412" xr:uid="{3C006EB0-A90A-4BAB-8B6B-0A890B7E53C3}"/>
    <cellStyle name="Comma 2 4 5 4 4 2" xfId="45920" xr:uid="{057318C9-4CB8-4CA2-88CE-53A2700E0922}"/>
    <cellStyle name="Comma 2 4 5 4 4 3" xfId="27666" xr:uid="{7A91B54B-512B-419F-8C75-F587A21680BF}"/>
    <cellStyle name="Comma 2 4 5 4 5" xfId="5762" xr:uid="{7D4A12B6-1358-4B69-9CB0-87DA8F3928B9}"/>
    <cellStyle name="Comma 2 4 5 4 5 2" xfId="42270" xr:uid="{CA425A7F-AA71-4B8A-BB84-982A953C1856}"/>
    <cellStyle name="Comma 2 4 5 4 5 3" xfId="24016" xr:uid="{33621D8E-6B23-4C1C-B939-EAF453FBA56C}"/>
    <cellStyle name="Comma 2 4 5 4 6" xfId="38620" xr:uid="{A0B121BD-DCFC-4615-8D67-39E9259030A3}"/>
    <cellStyle name="Comma 2 4 5 4 7" xfId="20366" xr:uid="{E8BA02D4-2BE7-4CC6-B77A-45C0202F52C6}"/>
    <cellStyle name="Comma 2 4 5 5" xfId="1382" xr:uid="{5D4A814F-BD22-43BD-B193-52F0D68D732A}"/>
    <cellStyle name="Comma 2 4 5 5 2" xfId="15982" xr:uid="{1102BFCA-08D0-470C-BDEF-F1E7273D4849}"/>
    <cellStyle name="Comma 2 4 5 5 2 2" xfId="52490" xr:uid="{9FF6CED0-2026-433C-A9DB-952E53319C7B}"/>
    <cellStyle name="Comma 2 4 5 5 2 3" xfId="34236" xr:uid="{09BD3111-8F5A-4C79-A354-BC660D0FA41E}"/>
    <cellStyle name="Comma 2 4 5 5 3" xfId="12332" xr:uid="{28B7E2A0-8FC1-4053-9BE2-B5F7CDF685EC}"/>
    <cellStyle name="Comma 2 4 5 5 3 2" xfId="48840" xr:uid="{3B64266B-0787-4F52-AC09-0D637E6A06A7}"/>
    <cellStyle name="Comma 2 4 5 5 3 3" xfId="30586" xr:uid="{2AC27A05-C94D-49D8-9402-761B7124158A}"/>
    <cellStyle name="Comma 2 4 5 5 4" xfId="8682" xr:uid="{A03A76BA-1A94-449D-B89C-DB458ABF2789}"/>
    <cellStyle name="Comma 2 4 5 5 4 2" xfId="45190" xr:uid="{0FF8C179-94E3-485D-A1A5-7E1804DAB09C}"/>
    <cellStyle name="Comma 2 4 5 5 4 3" xfId="26936" xr:uid="{6EFB1DFE-B562-48AE-AA32-19738AAA3D18}"/>
    <cellStyle name="Comma 2 4 5 5 5" xfId="5032" xr:uid="{7DE8DD84-736C-4ABD-874B-CE32C0DE5CE1}"/>
    <cellStyle name="Comma 2 4 5 5 5 2" xfId="41540" xr:uid="{454540E1-A5DC-43A0-B335-1693B16041FA}"/>
    <cellStyle name="Comma 2 4 5 5 5 3" xfId="23286" xr:uid="{3675C237-CC7D-46AC-AEC0-33B36796807C}"/>
    <cellStyle name="Comma 2 4 5 5 6" xfId="37890" xr:uid="{30B7CA21-CBF4-46C2-BFFB-BD83255B6FE5}"/>
    <cellStyle name="Comma 2 4 5 5 7" xfId="19636" xr:uid="{443D3FAD-E5F1-4A6A-8F54-7F6985E75E7A}"/>
    <cellStyle name="Comma 2 4 5 6" xfId="15252" xr:uid="{DDE3CD7E-8D30-446C-AE71-47E8EE57369B}"/>
    <cellStyle name="Comma 2 4 5 6 2" xfId="51760" xr:uid="{D28B5E48-EFE2-4E9C-8C5E-E788CBE88A4B}"/>
    <cellStyle name="Comma 2 4 5 6 3" xfId="33506" xr:uid="{E3752EEB-2443-4743-99D5-97513A307199}"/>
    <cellStyle name="Comma 2 4 5 7" xfId="11602" xr:uid="{2C0116B1-ACE2-41DA-846E-4081E280BD5C}"/>
    <cellStyle name="Comma 2 4 5 7 2" xfId="48110" xr:uid="{FF4EF830-6EF0-4D0A-B3D9-DEBA91A82995}"/>
    <cellStyle name="Comma 2 4 5 7 3" xfId="29856" xr:uid="{9DBCD7C4-479D-4423-AA07-85C353FFE7E9}"/>
    <cellStyle name="Comma 2 4 5 8" xfId="7952" xr:uid="{FCA5BB68-B82B-4A22-8E0F-EAE7A72F7D97}"/>
    <cellStyle name="Comma 2 4 5 8 2" xfId="44460" xr:uid="{1F44A81C-52F9-48CB-A30C-E32AFDECA2DE}"/>
    <cellStyle name="Comma 2 4 5 8 3" xfId="26206" xr:uid="{7FD8BAAA-14EC-4973-9B87-FEEA04D8F177}"/>
    <cellStyle name="Comma 2 4 5 9" xfId="4302" xr:uid="{9497D2C7-0EE5-454A-BD8D-52460337A059}"/>
    <cellStyle name="Comma 2 4 5 9 2" xfId="40810" xr:uid="{3C58321E-383D-4877-B2D9-C8B8F0511350}"/>
    <cellStyle name="Comma 2 4 5 9 3" xfId="22556" xr:uid="{52A40852-F227-4B65-849F-2AB56462B977}"/>
    <cellStyle name="Comma 2 4 6" xfId="548" xr:uid="{F00D39C3-FB62-48B3-BA0D-8672932AE10F}"/>
    <cellStyle name="Comma 2 4 6 10" xfId="37056" xr:uid="{FC0A7F9E-FA2B-44B1-A914-3E148DB1A772}"/>
    <cellStyle name="Comma 2 4 6 11" xfId="18802" xr:uid="{E1745CAD-3F71-44EC-8302-BBDFE8696F29}"/>
    <cellStyle name="Comma 2 4 6 2" xfId="3468" xr:uid="{5F68C86C-817A-451F-B803-575FD227ECAC}"/>
    <cellStyle name="Comma 2 4 6 2 2" xfId="18068" xr:uid="{548ABE05-FCC1-48AE-8D47-400C40BD1C55}"/>
    <cellStyle name="Comma 2 4 6 2 2 2" xfId="54576" xr:uid="{57D44C6A-7E8A-4BED-BEF4-44B494EB27FF}"/>
    <cellStyle name="Comma 2 4 6 2 2 3" xfId="36322" xr:uid="{E0D9E87C-6F62-433A-9C4C-2BE899816F66}"/>
    <cellStyle name="Comma 2 4 6 2 3" xfId="14418" xr:uid="{88B799C2-1801-49C2-981D-77CEBD6BA0A7}"/>
    <cellStyle name="Comma 2 4 6 2 3 2" xfId="50926" xr:uid="{BC07B9DF-DA4F-4C19-ACC6-C29B95C8FED3}"/>
    <cellStyle name="Comma 2 4 6 2 3 3" xfId="32672" xr:uid="{3819342A-BE9D-46AD-82EF-9A392A22EE44}"/>
    <cellStyle name="Comma 2 4 6 2 4" xfId="10768" xr:uid="{9B1DE6F1-4944-4408-AA68-9AD1ED035094}"/>
    <cellStyle name="Comma 2 4 6 2 4 2" xfId="47276" xr:uid="{02E334F8-9525-4621-BBB6-2FE4333732FA}"/>
    <cellStyle name="Comma 2 4 6 2 4 3" xfId="29022" xr:uid="{91716402-BA24-48DB-82D9-7A5583ADCD65}"/>
    <cellStyle name="Comma 2 4 6 2 5" xfId="7118" xr:uid="{8ECF0B81-D12C-4FAE-8E11-05093BDB9AA3}"/>
    <cellStyle name="Comma 2 4 6 2 5 2" xfId="43626" xr:uid="{7F122B2F-1A0D-405E-8CB4-1B9FA7DA4A4F}"/>
    <cellStyle name="Comma 2 4 6 2 5 3" xfId="25372" xr:uid="{48ACFE1F-EB44-4FF6-BB14-C2709A4E6A63}"/>
    <cellStyle name="Comma 2 4 6 2 6" xfId="39976" xr:uid="{7BA07503-65E8-4497-BD73-7938DAE32F00}"/>
    <cellStyle name="Comma 2 4 6 2 7" xfId="21722" xr:uid="{0E79B060-3978-4730-94C7-FCE0B848D8D6}"/>
    <cellStyle name="Comma 2 4 6 3" xfId="2738" xr:uid="{EB566D05-5396-485C-9A54-A734FA3CC143}"/>
    <cellStyle name="Comma 2 4 6 3 2" xfId="17338" xr:uid="{692A616A-022F-49DC-80AB-81482DEE4159}"/>
    <cellStyle name="Comma 2 4 6 3 2 2" xfId="53846" xr:uid="{0CAD067E-34D4-46C9-8F8A-60D0A324AB4C}"/>
    <cellStyle name="Comma 2 4 6 3 2 3" xfId="35592" xr:uid="{4EBF5EE1-B14D-45EC-B259-48EB0ECB7C1F}"/>
    <cellStyle name="Comma 2 4 6 3 3" xfId="13688" xr:uid="{0C731ECD-7C39-450F-8068-740E73B71C98}"/>
    <cellStyle name="Comma 2 4 6 3 3 2" xfId="50196" xr:uid="{9F373A4C-3C0D-4140-A09F-6BAC2316147A}"/>
    <cellStyle name="Comma 2 4 6 3 3 3" xfId="31942" xr:uid="{0F02BC6D-6F8C-497C-855D-F61AD5FDC295}"/>
    <cellStyle name="Comma 2 4 6 3 4" xfId="10038" xr:uid="{37537585-1F82-4FB1-8EB1-8FD771128A0E}"/>
    <cellStyle name="Comma 2 4 6 3 4 2" xfId="46546" xr:uid="{70896DAF-AC16-4871-BF65-4FAFB0E635D1}"/>
    <cellStyle name="Comma 2 4 6 3 4 3" xfId="28292" xr:uid="{4849D9FA-BF88-4173-BF43-CE054DEA98F3}"/>
    <cellStyle name="Comma 2 4 6 3 5" xfId="6388" xr:uid="{5CDB0E65-7744-4407-A72C-D39931C439EB}"/>
    <cellStyle name="Comma 2 4 6 3 5 2" xfId="42896" xr:uid="{949A0BC2-737F-43F9-B6B9-52C60270C634}"/>
    <cellStyle name="Comma 2 4 6 3 5 3" xfId="24642" xr:uid="{8B72748E-FB5C-4D8C-8BC5-489F42C63CEF}"/>
    <cellStyle name="Comma 2 4 6 3 6" xfId="39246" xr:uid="{F21FE7DE-924D-4B3A-B689-C635C00986D6}"/>
    <cellStyle name="Comma 2 4 6 3 7" xfId="20992" xr:uid="{2B8B9AAE-5518-4E85-AA60-F0BE632E2CD7}"/>
    <cellStyle name="Comma 2 4 6 4" xfId="2008" xr:uid="{C729D433-4CFC-4A99-9A35-79892BFB3CF0}"/>
    <cellStyle name="Comma 2 4 6 4 2" xfId="16608" xr:uid="{2B3372B3-049B-4919-90C8-1E6F2DF5D2BC}"/>
    <cellStyle name="Comma 2 4 6 4 2 2" xfId="53116" xr:uid="{AC4FBF82-B155-407C-89CC-6279FF354442}"/>
    <cellStyle name="Comma 2 4 6 4 2 3" xfId="34862" xr:uid="{D3151BD6-7C77-4775-B028-3DB47D5D7D40}"/>
    <cellStyle name="Comma 2 4 6 4 3" xfId="12958" xr:uid="{41269E30-E990-4260-9435-98193FCE92EE}"/>
    <cellStyle name="Comma 2 4 6 4 3 2" xfId="49466" xr:uid="{FF1DABA9-39B6-4431-AB9A-66F81C980A1B}"/>
    <cellStyle name="Comma 2 4 6 4 3 3" xfId="31212" xr:uid="{DEBD90BE-3825-4FDB-ACA8-6EA1253ECB14}"/>
    <cellStyle name="Comma 2 4 6 4 4" xfId="9308" xr:uid="{EC5A1442-832C-4B3F-86D0-93446BD83DFF}"/>
    <cellStyle name="Comma 2 4 6 4 4 2" xfId="45816" xr:uid="{5D752E3D-5203-44C7-A486-21DC9D869380}"/>
    <cellStyle name="Comma 2 4 6 4 4 3" xfId="27562" xr:uid="{F297CC4E-EDD7-47DF-A53D-D71F8489B235}"/>
    <cellStyle name="Comma 2 4 6 4 5" xfId="5658" xr:uid="{B1A7620A-696D-4EE6-9596-ADB6118FB03A}"/>
    <cellStyle name="Comma 2 4 6 4 5 2" xfId="42166" xr:uid="{E9CA64C4-7D3D-4E5A-99C5-D3382603AE32}"/>
    <cellStyle name="Comma 2 4 6 4 5 3" xfId="23912" xr:uid="{BEB2360E-B397-4A68-BB78-2F324BCBBCC9}"/>
    <cellStyle name="Comma 2 4 6 4 6" xfId="38516" xr:uid="{B651759F-38E7-4947-8790-8C7380DB3C86}"/>
    <cellStyle name="Comma 2 4 6 4 7" xfId="20262" xr:uid="{E7AF754D-0584-4D93-BC82-6C1F8FC2EFF2}"/>
    <cellStyle name="Comma 2 4 6 5" xfId="1278" xr:uid="{ABC8B7CD-7AB4-46F9-882D-843806DA0961}"/>
    <cellStyle name="Comma 2 4 6 5 2" xfId="15878" xr:uid="{AFBB2029-362F-4314-BFC3-44D6B9532405}"/>
    <cellStyle name="Comma 2 4 6 5 2 2" xfId="52386" xr:uid="{D5FC53F3-D3EE-42CA-9714-B7BD455D2066}"/>
    <cellStyle name="Comma 2 4 6 5 2 3" xfId="34132" xr:uid="{75F21E5E-54D3-43BC-A11B-D9114894D462}"/>
    <cellStyle name="Comma 2 4 6 5 3" xfId="12228" xr:uid="{B0BA0137-9938-4E1E-8BA5-9887484AF302}"/>
    <cellStyle name="Comma 2 4 6 5 3 2" xfId="48736" xr:uid="{CEAA801F-C958-478D-A4F1-D255A2F82B6A}"/>
    <cellStyle name="Comma 2 4 6 5 3 3" xfId="30482" xr:uid="{374970E5-6FE8-4480-98E4-47A111C4CE81}"/>
    <cellStyle name="Comma 2 4 6 5 4" xfId="8578" xr:uid="{1A80878D-B942-4353-B338-0BA697F84327}"/>
    <cellStyle name="Comma 2 4 6 5 4 2" xfId="45086" xr:uid="{0539EDCC-BBE2-46C9-AFB6-BD3C7AF1C741}"/>
    <cellStyle name="Comma 2 4 6 5 4 3" xfId="26832" xr:uid="{84FB224D-7FA9-4431-9A32-50D0CBB0B905}"/>
    <cellStyle name="Comma 2 4 6 5 5" xfId="4928" xr:uid="{7E246CA4-F1F3-435F-AE10-43AFEE826AE9}"/>
    <cellStyle name="Comma 2 4 6 5 5 2" xfId="41436" xr:uid="{81578E0B-4181-49E7-9890-0FF40FA76F9A}"/>
    <cellStyle name="Comma 2 4 6 5 5 3" xfId="23182" xr:uid="{019813D0-5008-4A4F-A3DF-AAA0506DB2B2}"/>
    <cellStyle name="Comma 2 4 6 5 6" xfId="37786" xr:uid="{3B998FEF-2F2F-4986-8A31-A897D51354B4}"/>
    <cellStyle name="Comma 2 4 6 5 7" xfId="19532" xr:uid="{D671680F-67D6-4F69-AD0E-5C373DEF8DD7}"/>
    <cellStyle name="Comma 2 4 6 6" xfId="15148" xr:uid="{03D46376-1D45-4EA3-86BD-A7F12A2E24B7}"/>
    <cellStyle name="Comma 2 4 6 6 2" xfId="51656" xr:uid="{3E72A4B2-AEA6-4641-B030-85BC33E98170}"/>
    <cellStyle name="Comma 2 4 6 6 3" xfId="33402" xr:uid="{ABDE449A-785D-45B6-A690-BE1591E24247}"/>
    <cellStyle name="Comma 2 4 6 7" xfId="11498" xr:uid="{25DF4805-081E-4865-A21A-C506A8805FF9}"/>
    <cellStyle name="Comma 2 4 6 7 2" xfId="48006" xr:uid="{ABE3220B-9F11-4FAA-9051-C5F35F9BCDB1}"/>
    <cellStyle name="Comma 2 4 6 7 3" xfId="29752" xr:uid="{D6C80F68-3804-46EE-8F9C-BB63F0509F10}"/>
    <cellStyle name="Comma 2 4 6 8" xfId="7848" xr:uid="{ED6D256B-6850-42C9-8EC4-56C21D069C1F}"/>
    <cellStyle name="Comma 2 4 6 8 2" xfId="44356" xr:uid="{04A3480E-2D9C-4B30-9BBB-AB7B0E6C57F0}"/>
    <cellStyle name="Comma 2 4 6 8 3" xfId="26102" xr:uid="{E4F61789-9DC1-4025-9014-DAB394F2AC17}"/>
    <cellStyle name="Comma 2 4 6 9" xfId="4198" xr:uid="{93FCD41E-DB6E-4D61-8645-6E5EFAF2DA09}"/>
    <cellStyle name="Comma 2 4 6 9 2" xfId="40706" xr:uid="{FD1995C4-EFEF-4476-9242-E52EE6A74204}"/>
    <cellStyle name="Comma 2 4 6 9 3" xfId="22452" xr:uid="{6BE1AE31-7438-4900-B72B-75E3A4A2A252}"/>
    <cellStyle name="Comma 2 4 7" xfId="444" xr:uid="{59AAEE7E-FABD-4B09-A700-C4DD6933568E}"/>
    <cellStyle name="Comma 2 4 7 10" xfId="36952" xr:uid="{9AF624AB-473C-42CF-9A35-AB4E7F0CC9E3}"/>
    <cellStyle name="Comma 2 4 7 11" xfId="18698" xr:uid="{E868064F-5409-4E34-AD1C-F8DE9F3CB4F6}"/>
    <cellStyle name="Comma 2 4 7 2" xfId="3364" xr:uid="{21E01DD5-770C-4BA7-84DA-6316BFC769A6}"/>
    <cellStyle name="Comma 2 4 7 2 2" xfId="17964" xr:uid="{5E24FFF0-2B07-42CC-ADB7-D0B8E14F1CCD}"/>
    <cellStyle name="Comma 2 4 7 2 2 2" xfId="54472" xr:uid="{BFA3B731-8E78-4BDB-AC08-F32703553CA7}"/>
    <cellStyle name="Comma 2 4 7 2 2 3" xfId="36218" xr:uid="{44389EC2-18B7-486E-A37D-ABAE6DD3F799}"/>
    <cellStyle name="Comma 2 4 7 2 3" xfId="14314" xr:uid="{29736440-DC40-46C8-A112-C7315EF93D0E}"/>
    <cellStyle name="Comma 2 4 7 2 3 2" xfId="50822" xr:uid="{32E250CA-6DC3-4273-8116-D3C9986531DD}"/>
    <cellStyle name="Comma 2 4 7 2 3 3" xfId="32568" xr:uid="{2FA6E070-A8CF-4BFD-A617-781E3A4046A6}"/>
    <cellStyle name="Comma 2 4 7 2 4" xfId="10664" xr:uid="{970D70F9-0528-47D9-8EBD-8D9EFBD2CB7A}"/>
    <cellStyle name="Comma 2 4 7 2 4 2" xfId="47172" xr:uid="{D604A038-7CC2-42C9-8061-2BF50F870ED9}"/>
    <cellStyle name="Comma 2 4 7 2 4 3" xfId="28918" xr:uid="{B88C9BC6-D592-445C-9019-A35B2BB6B51C}"/>
    <cellStyle name="Comma 2 4 7 2 5" xfId="7014" xr:uid="{AA20B7CF-4865-4B1C-8721-D0B7C6569BAC}"/>
    <cellStyle name="Comma 2 4 7 2 5 2" xfId="43522" xr:uid="{D8951794-E20C-4646-B578-69D36BDD6A9A}"/>
    <cellStyle name="Comma 2 4 7 2 5 3" xfId="25268" xr:uid="{2867BB42-ADC0-4056-BD58-9579C120B1F1}"/>
    <cellStyle name="Comma 2 4 7 2 6" xfId="39872" xr:uid="{8B692B11-CE99-430B-AEC2-9023CB1D4369}"/>
    <cellStyle name="Comma 2 4 7 2 7" xfId="21618" xr:uid="{FE8B2B8B-DE80-4658-8196-83F4DB0684EF}"/>
    <cellStyle name="Comma 2 4 7 3" xfId="2634" xr:uid="{93067FA5-C6FF-4579-B7EA-4990B17AEA47}"/>
    <cellStyle name="Comma 2 4 7 3 2" xfId="17234" xr:uid="{90ABB8CD-183E-41EC-994E-2789E23C8923}"/>
    <cellStyle name="Comma 2 4 7 3 2 2" xfId="53742" xr:uid="{5CD9DE21-8FFD-4C7C-8DCC-69D0C207FCE8}"/>
    <cellStyle name="Comma 2 4 7 3 2 3" xfId="35488" xr:uid="{9B3988DB-2284-497C-9428-0173E029FE56}"/>
    <cellStyle name="Comma 2 4 7 3 3" xfId="13584" xr:uid="{9567E4E6-40A6-4087-9CEA-DCE8DDE406DC}"/>
    <cellStyle name="Comma 2 4 7 3 3 2" xfId="50092" xr:uid="{4C0A481A-CCA4-4D31-B884-49821C1CF4B6}"/>
    <cellStyle name="Comma 2 4 7 3 3 3" xfId="31838" xr:uid="{F8CCB5A5-5377-4AF5-9E8A-BC99F8E941B3}"/>
    <cellStyle name="Comma 2 4 7 3 4" xfId="9934" xr:uid="{6993B283-F705-47B7-AA83-1B6C83ED443E}"/>
    <cellStyle name="Comma 2 4 7 3 4 2" xfId="46442" xr:uid="{3330D186-4A4D-4FA2-A708-2216EBD30A32}"/>
    <cellStyle name="Comma 2 4 7 3 4 3" xfId="28188" xr:uid="{A488C99A-AF24-428D-BF54-F59C320093E1}"/>
    <cellStyle name="Comma 2 4 7 3 5" xfId="6284" xr:uid="{7B03B5A2-8C53-4A3A-A15C-AE3577CD3852}"/>
    <cellStyle name="Comma 2 4 7 3 5 2" xfId="42792" xr:uid="{71713ED9-D407-44F0-9EDC-E69A17A1F398}"/>
    <cellStyle name="Comma 2 4 7 3 5 3" xfId="24538" xr:uid="{8D6EED93-2079-443D-941D-F9D1A449238F}"/>
    <cellStyle name="Comma 2 4 7 3 6" xfId="39142" xr:uid="{387EF0CA-CF4C-413F-8C7A-0E3EE3ADE096}"/>
    <cellStyle name="Comma 2 4 7 3 7" xfId="20888" xr:uid="{46E30B8E-B617-4FDD-ACD7-AA9E069F7F20}"/>
    <cellStyle name="Comma 2 4 7 4" xfId="1904" xr:uid="{D09A3CDE-A912-4EA7-BBDA-77C3DB93D7F2}"/>
    <cellStyle name="Comma 2 4 7 4 2" xfId="16504" xr:uid="{31C4A3F0-9C44-4939-8A5C-D00A69822D2B}"/>
    <cellStyle name="Comma 2 4 7 4 2 2" xfId="53012" xr:uid="{CE6FAAF1-4D56-45BB-87E3-DADD2632F8D5}"/>
    <cellStyle name="Comma 2 4 7 4 2 3" xfId="34758" xr:uid="{1BE80B3E-9E18-4F84-9661-9E49E751F652}"/>
    <cellStyle name="Comma 2 4 7 4 3" xfId="12854" xr:uid="{5C61FF4B-C433-4507-86F1-19F65F08F28E}"/>
    <cellStyle name="Comma 2 4 7 4 3 2" xfId="49362" xr:uid="{314FB08C-D0C2-4198-85A6-9DA1DD816D36}"/>
    <cellStyle name="Comma 2 4 7 4 3 3" xfId="31108" xr:uid="{6FD6F330-7233-4BE9-B5B3-ACC2B6888B70}"/>
    <cellStyle name="Comma 2 4 7 4 4" xfId="9204" xr:uid="{47CA43E4-1C9B-442F-8B45-3FA046360435}"/>
    <cellStyle name="Comma 2 4 7 4 4 2" xfId="45712" xr:uid="{4CE161FD-6C31-4C0C-AC51-7113FF80467C}"/>
    <cellStyle name="Comma 2 4 7 4 4 3" xfId="27458" xr:uid="{C8D89CF0-0E0B-4867-A151-91E8BAF2733A}"/>
    <cellStyle name="Comma 2 4 7 4 5" xfId="5554" xr:uid="{3230F1BB-1E32-4F87-968F-147963CA0D43}"/>
    <cellStyle name="Comma 2 4 7 4 5 2" xfId="42062" xr:uid="{DF90E635-4710-41B9-BF78-4051EFC8FD39}"/>
    <cellStyle name="Comma 2 4 7 4 5 3" xfId="23808" xr:uid="{967769E6-E524-4BFF-BF06-20D5E4EA2673}"/>
    <cellStyle name="Comma 2 4 7 4 6" xfId="38412" xr:uid="{77C95C71-685C-4C27-A139-A1CB6C7888A6}"/>
    <cellStyle name="Comma 2 4 7 4 7" xfId="20158" xr:uid="{54297AEC-50F6-441C-82E2-68FE516CE448}"/>
    <cellStyle name="Comma 2 4 7 5" xfId="1174" xr:uid="{7BF10A0D-90BB-401B-B17A-C1A9CBB5AB98}"/>
    <cellStyle name="Comma 2 4 7 5 2" xfId="15774" xr:uid="{669EDC9F-8CD2-4672-BF94-971EA5545973}"/>
    <cellStyle name="Comma 2 4 7 5 2 2" xfId="52282" xr:uid="{E5C0DD4B-A74C-4595-AA12-317BD1C50F57}"/>
    <cellStyle name="Comma 2 4 7 5 2 3" xfId="34028" xr:uid="{FEC9899D-FD49-4CC7-925E-C277E2E115F4}"/>
    <cellStyle name="Comma 2 4 7 5 3" xfId="12124" xr:uid="{CCABABC8-8F9B-4704-939C-A0D0452DF037}"/>
    <cellStyle name="Comma 2 4 7 5 3 2" xfId="48632" xr:uid="{B2DC0C14-CB6A-4FA8-B4E0-4F543B4DD747}"/>
    <cellStyle name="Comma 2 4 7 5 3 3" xfId="30378" xr:uid="{7FE3ECF6-F748-46B5-A1A1-724F944029EA}"/>
    <cellStyle name="Comma 2 4 7 5 4" xfId="8474" xr:uid="{1565E5EC-9A3C-44D9-95F1-C62448610A1B}"/>
    <cellStyle name="Comma 2 4 7 5 4 2" xfId="44982" xr:uid="{8FABC82C-A069-4E01-B006-18D91E59C169}"/>
    <cellStyle name="Comma 2 4 7 5 4 3" xfId="26728" xr:uid="{55C97984-F8DC-445F-93D5-415E3DF8A138}"/>
    <cellStyle name="Comma 2 4 7 5 5" xfId="4824" xr:uid="{2D0AF40C-134B-44AE-BE88-902405CE43FC}"/>
    <cellStyle name="Comma 2 4 7 5 5 2" xfId="41332" xr:uid="{58A70750-631A-4A85-96DD-07BB6506B1E9}"/>
    <cellStyle name="Comma 2 4 7 5 5 3" xfId="23078" xr:uid="{9F772841-6EAE-4821-8441-ABA601BB1C85}"/>
    <cellStyle name="Comma 2 4 7 5 6" xfId="37682" xr:uid="{8E0E64AB-88AB-4657-BE2F-66F57BCB9B51}"/>
    <cellStyle name="Comma 2 4 7 5 7" xfId="19428" xr:uid="{432002C4-84C0-4107-9F0B-EC0191ADBC98}"/>
    <cellStyle name="Comma 2 4 7 6" xfId="15044" xr:uid="{8862633A-DB86-4AF2-B08C-D989B9B667FF}"/>
    <cellStyle name="Comma 2 4 7 6 2" xfId="51552" xr:uid="{40CA1072-968D-4997-B074-5E8095469685}"/>
    <cellStyle name="Comma 2 4 7 6 3" xfId="33298" xr:uid="{D0BA99D5-BAA6-4A56-B315-850320DF21A5}"/>
    <cellStyle name="Comma 2 4 7 7" xfId="11394" xr:uid="{FBA5BAEA-472D-4003-ADEF-CC942F7D472F}"/>
    <cellStyle name="Comma 2 4 7 7 2" xfId="47902" xr:uid="{46ECC6FF-FC64-484D-833D-C98BC03E1870}"/>
    <cellStyle name="Comma 2 4 7 7 3" xfId="29648" xr:uid="{DF2F5BC7-5E65-4E1D-A8F5-A8185D5EE091}"/>
    <cellStyle name="Comma 2 4 7 8" xfId="7744" xr:uid="{2B21BF5B-D1FA-409F-A19F-C7C91E79C0F2}"/>
    <cellStyle name="Comma 2 4 7 8 2" xfId="44252" xr:uid="{74E7EA3A-2B07-4CE9-9E20-1C772C84FCFF}"/>
    <cellStyle name="Comma 2 4 7 8 3" xfId="25998" xr:uid="{1FC1224A-61E4-4654-AAFD-6B7D26184A22}"/>
    <cellStyle name="Comma 2 4 7 9" xfId="4094" xr:uid="{8A544898-F413-4CB9-96FE-BF6078B0BAF1}"/>
    <cellStyle name="Comma 2 4 7 9 2" xfId="40602" xr:uid="{07880C83-E345-4819-BE22-3327B605F8EF}"/>
    <cellStyle name="Comma 2 4 7 9 3" xfId="22348" xr:uid="{0CD8D9E7-472F-4421-8C54-A24453A491EB}"/>
    <cellStyle name="Comma 2 4 8" xfId="340" xr:uid="{C56208FD-D158-4C6A-8E52-BED5E83C2C84}"/>
    <cellStyle name="Comma 2 4 8 10" xfId="36848" xr:uid="{CD262E62-DD2E-424F-93EA-EAAC6C119283}"/>
    <cellStyle name="Comma 2 4 8 11" xfId="18594" xr:uid="{98DB147B-154F-4193-AD90-F96D838CE641}"/>
    <cellStyle name="Comma 2 4 8 2" xfId="3260" xr:uid="{EF108AD3-C84D-446A-9D38-484BD68EEC87}"/>
    <cellStyle name="Comma 2 4 8 2 2" xfId="17860" xr:uid="{677E3C19-330D-4AE0-A62B-9DB81F8A3B6F}"/>
    <cellStyle name="Comma 2 4 8 2 2 2" xfId="54368" xr:uid="{DE43D5A7-7EA0-4ABA-A4C4-80B7A1643C47}"/>
    <cellStyle name="Comma 2 4 8 2 2 3" xfId="36114" xr:uid="{47CE9B46-D76E-4C76-A0B9-0DE953219D0C}"/>
    <cellStyle name="Comma 2 4 8 2 3" xfId="14210" xr:uid="{1D5CFA01-6DEA-4C73-A94C-317DCE2A2A87}"/>
    <cellStyle name="Comma 2 4 8 2 3 2" xfId="50718" xr:uid="{960AE15C-2B6C-4157-BB05-F44B79091E76}"/>
    <cellStyle name="Comma 2 4 8 2 3 3" xfId="32464" xr:uid="{E0D1B0F4-2259-4F7E-9D31-A26206570B4F}"/>
    <cellStyle name="Comma 2 4 8 2 4" xfId="10560" xr:uid="{6D59AD32-5CD1-46F4-8335-210702D47F10}"/>
    <cellStyle name="Comma 2 4 8 2 4 2" xfId="47068" xr:uid="{567EB5CF-3E51-4DEF-8445-7B865EA78B2C}"/>
    <cellStyle name="Comma 2 4 8 2 4 3" xfId="28814" xr:uid="{C02EB9C2-A6FD-443F-B4C3-E0E51061716D}"/>
    <cellStyle name="Comma 2 4 8 2 5" xfId="6910" xr:uid="{52388348-9672-464E-B5CF-8BA1DE606DCC}"/>
    <cellStyle name="Comma 2 4 8 2 5 2" xfId="43418" xr:uid="{29466C51-07A4-4949-9843-613ABCFA1769}"/>
    <cellStyle name="Comma 2 4 8 2 5 3" xfId="25164" xr:uid="{3EE54A2A-C5AE-4F17-9CE0-D04F8E4A2E7A}"/>
    <cellStyle name="Comma 2 4 8 2 6" xfId="39768" xr:uid="{D0039034-6BC5-4B16-91A4-E78C8BC56A85}"/>
    <cellStyle name="Comma 2 4 8 2 7" xfId="21514" xr:uid="{BADDE3BB-39F0-4B9F-B97A-26E017FCF41E}"/>
    <cellStyle name="Comma 2 4 8 3" xfId="2530" xr:uid="{37289352-C952-4C79-ABF2-A4C1238845DF}"/>
    <cellStyle name="Comma 2 4 8 3 2" xfId="17130" xr:uid="{A48B5D4E-EACE-4E13-B121-865D34E41E97}"/>
    <cellStyle name="Comma 2 4 8 3 2 2" xfId="53638" xr:uid="{F7B14F26-A5D5-4ED0-8215-E43560B8C8B7}"/>
    <cellStyle name="Comma 2 4 8 3 2 3" xfId="35384" xr:uid="{C165C56D-F8C4-40B4-8C27-9C0D38DE2409}"/>
    <cellStyle name="Comma 2 4 8 3 3" xfId="13480" xr:uid="{F3B22161-0A97-4584-B676-66693E687606}"/>
    <cellStyle name="Comma 2 4 8 3 3 2" xfId="49988" xr:uid="{09D522B1-3FC4-4FDE-8FBB-A04F70637AF5}"/>
    <cellStyle name="Comma 2 4 8 3 3 3" xfId="31734" xr:uid="{2C8E0FDD-CC73-4EE1-9A07-5F4712105CCE}"/>
    <cellStyle name="Comma 2 4 8 3 4" xfId="9830" xr:uid="{67D7F0CB-8BB7-4352-922B-B72A7FEB2096}"/>
    <cellStyle name="Comma 2 4 8 3 4 2" xfId="46338" xr:uid="{DACD2E43-4E87-4084-8ADA-192C13066DA0}"/>
    <cellStyle name="Comma 2 4 8 3 4 3" xfId="28084" xr:uid="{D134387E-8B96-473F-802B-58624BE4EDDB}"/>
    <cellStyle name="Comma 2 4 8 3 5" xfId="6180" xr:uid="{34CC9551-9D1E-4F48-832D-02BE27163AB3}"/>
    <cellStyle name="Comma 2 4 8 3 5 2" xfId="42688" xr:uid="{D662DC8D-3F62-4D4E-A82D-0A94E67B8671}"/>
    <cellStyle name="Comma 2 4 8 3 5 3" xfId="24434" xr:uid="{D43AD670-1ED9-45E1-96DF-92D3591D11CD}"/>
    <cellStyle name="Comma 2 4 8 3 6" xfId="39038" xr:uid="{16239C84-2643-4288-BB0B-31786CF8AD4F}"/>
    <cellStyle name="Comma 2 4 8 3 7" xfId="20784" xr:uid="{CA3EA248-C353-4483-84DC-3E3B5F3DA644}"/>
    <cellStyle name="Comma 2 4 8 4" xfId="1800" xr:uid="{FE1DC583-1E43-4DAA-A17C-44836B40B361}"/>
    <cellStyle name="Comma 2 4 8 4 2" xfId="16400" xr:uid="{7716C87B-CEAF-4E51-8FE3-844367539A5F}"/>
    <cellStyle name="Comma 2 4 8 4 2 2" xfId="52908" xr:uid="{5239F795-C5D3-4565-8C38-5DFA9F362EB5}"/>
    <cellStyle name="Comma 2 4 8 4 2 3" xfId="34654" xr:uid="{D1163A89-12DA-4BD4-A8CD-101634D513D7}"/>
    <cellStyle name="Comma 2 4 8 4 3" xfId="12750" xr:uid="{FA5B6346-7D7B-442A-82C6-50A744BB1AE2}"/>
    <cellStyle name="Comma 2 4 8 4 3 2" xfId="49258" xr:uid="{331F3ABD-BE46-4FF7-8FDD-05D723960C09}"/>
    <cellStyle name="Comma 2 4 8 4 3 3" xfId="31004" xr:uid="{57BD5496-D181-4551-AB76-3AD42A66ED5A}"/>
    <cellStyle name="Comma 2 4 8 4 4" xfId="9100" xr:uid="{B99C907A-7AB6-4F05-964F-BD6D618884D3}"/>
    <cellStyle name="Comma 2 4 8 4 4 2" xfId="45608" xr:uid="{DC2C1247-FCF5-474D-B673-50792A60F90A}"/>
    <cellStyle name="Comma 2 4 8 4 4 3" xfId="27354" xr:uid="{97B4E895-F885-420A-BB67-FAE0BF04A14D}"/>
    <cellStyle name="Comma 2 4 8 4 5" xfId="5450" xr:uid="{026FC592-1DC4-48F3-A15E-2C533FB2A92E}"/>
    <cellStyle name="Comma 2 4 8 4 5 2" xfId="41958" xr:uid="{6F92B5C4-D555-4A7B-9B1E-A1F2B855E745}"/>
    <cellStyle name="Comma 2 4 8 4 5 3" xfId="23704" xr:uid="{73268483-8EEF-4821-9592-66AE76751CE2}"/>
    <cellStyle name="Comma 2 4 8 4 6" xfId="38308" xr:uid="{DCB9A996-5ED2-414C-91C8-FC33C8574759}"/>
    <cellStyle name="Comma 2 4 8 4 7" xfId="20054" xr:uid="{5AE8E39B-01F2-4727-9B10-0F22C0959CE2}"/>
    <cellStyle name="Comma 2 4 8 5" xfId="1070" xr:uid="{4B9DDB8A-DF59-40C0-BDEB-50321631C077}"/>
    <cellStyle name="Comma 2 4 8 5 2" xfId="15670" xr:uid="{A25420C9-5E6F-4D48-B1AC-A8D5F4BB07CA}"/>
    <cellStyle name="Comma 2 4 8 5 2 2" xfId="52178" xr:uid="{25172E4F-7C71-4E31-BA30-09D6E0DB7C1D}"/>
    <cellStyle name="Comma 2 4 8 5 2 3" xfId="33924" xr:uid="{A6E8DD5F-1CC2-44A1-A9CD-131E61235C93}"/>
    <cellStyle name="Comma 2 4 8 5 3" xfId="12020" xr:uid="{093F0C06-207A-4C4A-88ED-361C283879C9}"/>
    <cellStyle name="Comma 2 4 8 5 3 2" xfId="48528" xr:uid="{D1242168-2677-4480-B00D-E437959A2F4B}"/>
    <cellStyle name="Comma 2 4 8 5 3 3" xfId="30274" xr:uid="{2506604A-5A19-4740-9C99-4574A3853974}"/>
    <cellStyle name="Comma 2 4 8 5 4" xfId="8370" xr:uid="{476A36A1-B09A-477C-86BA-C84006C47C8A}"/>
    <cellStyle name="Comma 2 4 8 5 4 2" xfId="44878" xr:uid="{B249E6C5-088E-46D1-8103-25D773636A37}"/>
    <cellStyle name="Comma 2 4 8 5 4 3" xfId="26624" xr:uid="{03E4B2F7-6601-4585-A82D-A76B89CEA5B8}"/>
    <cellStyle name="Comma 2 4 8 5 5" xfId="4720" xr:uid="{4245A360-46B0-4044-98DD-08A9EA5E2A52}"/>
    <cellStyle name="Comma 2 4 8 5 5 2" xfId="41228" xr:uid="{2D277DA1-5C2B-43CE-8DB5-73099775F94D}"/>
    <cellStyle name="Comma 2 4 8 5 5 3" xfId="22974" xr:uid="{0D415824-987C-4ABD-B971-B13878433E78}"/>
    <cellStyle name="Comma 2 4 8 5 6" xfId="37578" xr:uid="{46BAE8B1-0E87-4DFE-B82C-2DA568012F20}"/>
    <cellStyle name="Comma 2 4 8 5 7" xfId="19324" xr:uid="{9272B298-CC03-4C51-9B5A-7AB77ED92003}"/>
    <cellStyle name="Comma 2 4 8 6" xfId="14940" xr:uid="{617CCF8D-DE92-4963-9999-F7FEF6ED5C70}"/>
    <cellStyle name="Comma 2 4 8 6 2" xfId="51448" xr:uid="{1F751686-4D5B-47BE-A938-7EEC4323DF81}"/>
    <cellStyle name="Comma 2 4 8 6 3" xfId="33194" xr:uid="{AF12AF52-F978-48E7-9009-F9F76E32F6DC}"/>
    <cellStyle name="Comma 2 4 8 7" xfId="11290" xr:uid="{18A55FE4-ED0F-444C-81EC-FF6881292FAE}"/>
    <cellStyle name="Comma 2 4 8 7 2" xfId="47798" xr:uid="{0F2FC4E2-EBBC-45D2-A2AD-A1F6531A7C8E}"/>
    <cellStyle name="Comma 2 4 8 7 3" xfId="29544" xr:uid="{A3D901D8-11D8-4805-971C-0DF5AE45435B}"/>
    <cellStyle name="Comma 2 4 8 8" xfId="7640" xr:uid="{833439C4-E198-4A73-8BC5-50AF3C82A848}"/>
    <cellStyle name="Comma 2 4 8 8 2" xfId="44148" xr:uid="{1365C5BA-8D10-49F2-8103-17DD97D8C59F}"/>
    <cellStyle name="Comma 2 4 8 8 3" xfId="25894" xr:uid="{886FB69A-A371-498F-BA30-51E9460F7CDB}"/>
    <cellStyle name="Comma 2 4 8 9" xfId="3990" xr:uid="{3195366D-33CF-4F46-B5E2-2E1251E6902B}"/>
    <cellStyle name="Comma 2 4 8 9 2" xfId="40498" xr:uid="{2646E850-3B5E-4CDE-AB1B-7D8917550155}"/>
    <cellStyle name="Comma 2 4 8 9 3" xfId="22244" xr:uid="{9B20B1AE-7FAD-4A43-B16D-1E4DB76A138F}"/>
    <cellStyle name="Comma 2 4 9" xfId="236" xr:uid="{6FB9CB67-AB7F-4EC9-B14A-813A3D663090}"/>
    <cellStyle name="Comma 2 4 9 10" xfId="36744" xr:uid="{C58AC1BE-8F6D-4478-BC72-F34CAD0DF76C}"/>
    <cellStyle name="Comma 2 4 9 11" xfId="18490" xr:uid="{A12015F9-E889-4FBA-A932-C59AFFDF2562}"/>
    <cellStyle name="Comma 2 4 9 2" xfId="3156" xr:uid="{7D50B5A4-5129-44E6-9CEC-2F3A9C526675}"/>
    <cellStyle name="Comma 2 4 9 2 2" xfId="17756" xr:uid="{0E2AD914-DC93-4C9F-88CD-C46BBDBA0F7A}"/>
    <cellStyle name="Comma 2 4 9 2 2 2" xfId="54264" xr:uid="{CB1A2B82-A50F-4679-BDC1-59224F0429EA}"/>
    <cellStyle name="Comma 2 4 9 2 2 3" xfId="36010" xr:uid="{76E9590B-CA77-4F88-811E-92F74B1123AB}"/>
    <cellStyle name="Comma 2 4 9 2 3" xfId="14106" xr:uid="{73ED9E70-54E6-4BAF-9EE1-9D831926340D}"/>
    <cellStyle name="Comma 2 4 9 2 3 2" xfId="50614" xr:uid="{2D7FEDE0-88CB-49B0-85DA-236B952BE010}"/>
    <cellStyle name="Comma 2 4 9 2 3 3" xfId="32360" xr:uid="{0AA152DF-F5FD-407A-BF7A-16194158694C}"/>
    <cellStyle name="Comma 2 4 9 2 4" xfId="10456" xr:uid="{3654C1B5-1CCB-46CA-8A1A-7604E24A8412}"/>
    <cellStyle name="Comma 2 4 9 2 4 2" xfId="46964" xr:uid="{E415A667-9F54-41F6-BE59-9F5263055080}"/>
    <cellStyle name="Comma 2 4 9 2 4 3" xfId="28710" xr:uid="{F8FC9798-6C58-40A9-80B7-9DC872089EE2}"/>
    <cellStyle name="Comma 2 4 9 2 5" xfId="6806" xr:uid="{3B63CF06-C4D7-4EDA-9B72-E655947CFE3A}"/>
    <cellStyle name="Comma 2 4 9 2 5 2" xfId="43314" xr:uid="{C38B2A89-701F-4580-B030-93051A60CB14}"/>
    <cellStyle name="Comma 2 4 9 2 5 3" xfId="25060" xr:uid="{E9777F94-2EE3-4BF3-B7DD-DEA015E7644D}"/>
    <cellStyle name="Comma 2 4 9 2 6" xfId="39664" xr:uid="{A168F507-D3A0-447D-8F8F-E516BFC2B683}"/>
    <cellStyle name="Comma 2 4 9 2 7" xfId="21410" xr:uid="{7CE7360A-1E13-4337-B6CA-5C80AE645AA7}"/>
    <cellStyle name="Comma 2 4 9 3" xfId="2426" xr:uid="{F21738E7-BE7E-44EB-8BE6-194342A14518}"/>
    <cellStyle name="Comma 2 4 9 3 2" xfId="17026" xr:uid="{2DE01489-E3ED-47B7-A368-A109799B7C79}"/>
    <cellStyle name="Comma 2 4 9 3 2 2" xfId="53534" xr:uid="{2A539420-C876-4020-938D-8CB2F1A486A9}"/>
    <cellStyle name="Comma 2 4 9 3 2 3" xfId="35280" xr:uid="{647DAA6C-2E61-46C0-BA3E-E06FD17F7E22}"/>
    <cellStyle name="Comma 2 4 9 3 3" xfId="13376" xr:uid="{DE6861D3-D7A8-402B-BADF-D843087CE1CF}"/>
    <cellStyle name="Comma 2 4 9 3 3 2" xfId="49884" xr:uid="{E8CBAE49-3257-41CA-96A7-39C3D25739AC}"/>
    <cellStyle name="Comma 2 4 9 3 3 3" xfId="31630" xr:uid="{57B5D2FA-870F-4AB6-875D-151AA62CF556}"/>
    <cellStyle name="Comma 2 4 9 3 4" xfId="9726" xr:uid="{33FD0974-5CF1-4342-9513-4594410304CC}"/>
    <cellStyle name="Comma 2 4 9 3 4 2" xfId="46234" xr:uid="{0B2BEB81-240A-414F-8CC8-66198BC47FC4}"/>
    <cellStyle name="Comma 2 4 9 3 4 3" xfId="27980" xr:uid="{EEBE6095-F490-4D52-97E3-1483A84BBACB}"/>
    <cellStyle name="Comma 2 4 9 3 5" xfId="6076" xr:uid="{CADFFBE1-60FC-4EC5-B97F-29B30138FD0A}"/>
    <cellStyle name="Comma 2 4 9 3 5 2" xfId="42584" xr:uid="{BFA823E4-E573-47BF-94FB-1108CF70FA09}"/>
    <cellStyle name="Comma 2 4 9 3 5 3" xfId="24330" xr:uid="{FAF99730-5E06-4627-92B9-0DADDEFE8090}"/>
    <cellStyle name="Comma 2 4 9 3 6" xfId="38934" xr:uid="{F1CE45F0-7917-43BC-9490-23AC244DBC61}"/>
    <cellStyle name="Comma 2 4 9 3 7" xfId="20680" xr:uid="{8BFCC1D2-5955-489A-B463-3B23A1178380}"/>
    <cellStyle name="Comma 2 4 9 4" xfId="1696" xr:uid="{51311A4D-786C-4CE1-9968-4FFB3A0AAAF4}"/>
    <cellStyle name="Comma 2 4 9 4 2" xfId="16296" xr:uid="{DDCEB5D4-DF5D-496D-B16A-983949391CF0}"/>
    <cellStyle name="Comma 2 4 9 4 2 2" xfId="52804" xr:uid="{C8ECA228-C1F0-4D30-B755-4BECEB1325A3}"/>
    <cellStyle name="Comma 2 4 9 4 2 3" xfId="34550" xr:uid="{AF2A9430-A748-49B5-8720-A02CDF35C6D0}"/>
    <cellStyle name="Comma 2 4 9 4 3" xfId="12646" xr:uid="{A56B7F50-F712-4C20-9045-17CB3E70AB66}"/>
    <cellStyle name="Comma 2 4 9 4 3 2" xfId="49154" xr:uid="{11CACFDB-F346-4D93-AB7E-CC6C880C6A7A}"/>
    <cellStyle name="Comma 2 4 9 4 3 3" xfId="30900" xr:uid="{F737BF36-8E08-46C6-9ECB-E4D1D396AFBF}"/>
    <cellStyle name="Comma 2 4 9 4 4" xfId="8996" xr:uid="{352FC317-E658-4D90-8730-6F7C8238D1C2}"/>
    <cellStyle name="Comma 2 4 9 4 4 2" xfId="45504" xr:uid="{6D3EB87A-02EA-4F48-A05E-883C30F08853}"/>
    <cellStyle name="Comma 2 4 9 4 4 3" xfId="27250" xr:uid="{7CD76990-EE1F-4F7E-9406-BA5EF5635ECE}"/>
    <cellStyle name="Comma 2 4 9 4 5" xfId="5346" xr:uid="{D76F8CB4-8C3C-43E6-AB48-3FE663FF0316}"/>
    <cellStyle name="Comma 2 4 9 4 5 2" xfId="41854" xr:uid="{9B4F63C5-8196-4C88-A6F7-9E82EB78CA2E}"/>
    <cellStyle name="Comma 2 4 9 4 5 3" xfId="23600" xr:uid="{1BF71DC5-7768-4A4D-87F8-FAF61CF07383}"/>
    <cellStyle name="Comma 2 4 9 4 6" xfId="38204" xr:uid="{5702169F-2163-4A8A-BAC5-AC99C231D683}"/>
    <cellStyle name="Comma 2 4 9 4 7" xfId="19950" xr:uid="{93912271-61FA-4A72-82B6-9790AE921DDF}"/>
    <cellStyle name="Comma 2 4 9 5" xfId="966" xr:uid="{401657C9-EF8B-4CBB-9143-F9A69CC5F153}"/>
    <cellStyle name="Comma 2 4 9 5 2" xfId="15566" xr:uid="{CB51BA6C-2BC4-45A5-8391-B2C8F4D8125B}"/>
    <cellStyle name="Comma 2 4 9 5 2 2" xfId="52074" xr:uid="{667BCBE4-C467-4558-9F7F-CE417B4DA0E3}"/>
    <cellStyle name="Comma 2 4 9 5 2 3" xfId="33820" xr:uid="{821D7AFE-E88C-4C93-87A9-71834A458CD5}"/>
    <cellStyle name="Comma 2 4 9 5 3" xfId="11916" xr:uid="{7A9D1B97-D6C6-4CD8-9A38-C3EC5CC7E9C1}"/>
    <cellStyle name="Comma 2 4 9 5 3 2" xfId="48424" xr:uid="{7850E954-060A-48DB-BB44-5C24F1B8B11E}"/>
    <cellStyle name="Comma 2 4 9 5 3 3" xfId="30170" xr:uid="{30A68DD2-5B87-449C-9105-EF4CBA28F16C}"/>
    <cellStyle name="Comma 2 4 9 5 4" xfId="8266" xr:uid="{ABE03A2D-E71C-4D61-8E09-F8C3AE4A9F6D}"/>
    <cellStyle name="Comma 2 4 9 5 4 2" xfId="44774" xr:uid="{96D108F4-3D2E-48FB-90C8-BCB8C13B4EC0}"/>
    <cellStyle name="Comma 2 4 9 5 4 3" xfId="26520" xr:uid="{A7F63B19-D2CF-47A3-A91E-47CBB6DFB826}"/>
    <cellStyle name="Comma 2 4 9 5 5" xfId="4616" xr:uid="{AFFDA04B-DF30-4C88-9A2E-A5B657D3EE72}"/>
    <cellStyle name="Comma 2 4 9 5 5 2" xfId="41124" xr:uid="{2C7699F8-EED5-4AAA-8A97-A69D352C85D9}"/>
    <cellStyle name="Comma 2 4 9 5 5 3" xfId="22870" xr:uid="{E5B3527A-A031-4F3D-9693-8AEA2F00566F}"/>
    <cellStyle name="Comma 2 4 9 5 6" xfId="37474" xr:uid="{BFC67233-F3F4-4B81-A304-6245C08E2528}"/>
    <cellStyle name="Comma 2 4 9 5 7" xfId="19220" xr:uid="{19829B6B-E86E-4C34-AEA0-99FADE251ED2}"/>
    <cellStyle name="Comma 2 4 9 6" xfId="14836" xr:uid="{43D1F64E-E90B-467A-B7D2-556824864ED3}"/>
    <cellStyle name="Comma 2 4 9 6 2" xfId="51344" xr:uid="{A0898547-3978-444F-96AF-8C3706DB9410}"/>
    <cellStyle name="Comma 2 4 9 6 3" xfId="33090" xr:uid="{E18E5605-3301-42D4-A756-42CA047698CE}"/>
    <cellStyle name="Comma 2 4 9 7" xfId="11186" xr:uid="{1FA7130C-CC56-4E49-9308-696D471650EE}"/>
    <cellStyle name="Comma 2 4 9 7 2" xfId="47694" xr:uid="{AF5EC4EB-DB5E-4A00-803D-CC1929ED9D0D}"/>
    <cellStyle name="Comma 2 4 9 7 3" xfId="29440" xr:uid="{A7D2BB90-B951-4F56-889D-C9EC6126459B}"/>
    <cellStyle name="Comma 2 4 9 8" xfId="7536" xr:uid="{FD0A2B95-DB09-4890-BD71-730A8DCD84CD}"/>
    <cellStyle name="Comma 2 4 9 8 2" xfId="44044" xr:uid="{E019C3D9-852C-4226-8856-093957D57645}"/>
    <cellStyle name="Comma 2 4 9 8 3" xfId="25790" xr:uid="{BF7CA9B7-0234-4D0B-909E-3803BA65B252}"/>
    <cellStyle name="Comma 2 4 9 9" xfId="3886" xr:uid="{CDA2BC20-A9B5-477E-90A7-F34CE368C943}"/>
    <cellStyle name="Comma 2 4 9 9 2" xfId="40394" xr:uid="{FB018FEB-569E-4574-BAD7-5D9FB077D36F}"/>
    <cellStyle name="Comma 2 4 9 9 3" xfId="22140" xr:uid="{478EC656-C876-443C-8C7F-1510E99612B0}"/>
    <cellStyle name="Comma 2 5" xfId="27" xr:uid="{A79BE833-C444-4356-915A-34347922CAFF}"/>
    <cellStyle name="Comma 2 5 10" xfId="2956" xr:uid="{2392327A-5306-4CC2-BB24-FE9035A4B5BF}"/>
    <cellStyle name="Comma 2 5 10 2" xfId="17556" xr:uid="{AD22D446-2210-41A1-AAA0-315E88D667C3}"/>
    <cellStyle name="Comma 2 5 10 2 2" xfId="54064" xr:uid="{B27A1ED9-8DD4-489C-BC28-08C4645AFE86}"/>
    <cellStyle name="Comma 2 5 10 2 3" xfId="35810" xr:uid="{103C5659-6BFE-4F74-A01D-35D9DA4FC853}"/>
    <cellStyle name="Comma 2 5 10 3" xfId="13906" xr:uid="{95DFAB5A-5E6C-4EFA-96B4-1EC032169F15}"/>
    <cellStyle name="Comma 2 5 10 3 2" xfId="50414" xr:uid="{72316399-C594-4878-BBD8-C4247DEB01A1}"/>
    <cellStyle name="Comma 2 5 10 3 3" xfId="32160" xr:uid="{8BE39F7C-D7BC-4EEF-8614-6C675B452860}"/>
    <cellStyle name="Comma 2 5 10 4" xfId="10256" xr:uid="{D9469E9A-DAA6-4FF2-9561-F737661FEF6C}"/>
    <cellStyle name="Comma 2 5 10 4 2" xfId="46764" xr:uid="{AD0BB944-A1D7-4D19-8E14-2465F7C38069}"/>
    <cellStyle name="Comma 2 5 10 4 3" xfId="28510" xr:uid="{3D25EF2F-5E46-47F4-88A2-1B8B1652EF09}"/>
    <cellStyle name="Comma 2 5 10 5" xfId="6606" xr:uid="{34666DE3-E4B2-4263-A343-8DC5E9763A7C}"/>
    <cellStyle name="Comma 2 5 10 5 2" xfId="43114" xr:uid="{B37B5002-6DC3-488C-8C19-0B2E0B62DE5F}"/>
    <cellStyle name="Comma 2 5 10 5 3" xfId="24860" xr:uid="{91C46218-B852-4D15-9E9E-A89F82BE1D46}"/>
    <cellStyle name="Comma 2 5 10 6" xfId="39464" xr:uid="{84F8A45D-514D-43B4-94B5-F6FCF51AAA8D}"/>
    <cellStyle name="Comma 2 5 10 7" xfId="21210" xr:uid="{C9B36001-38F7-471B-AB71-04D49A657A00}"/>
    <cellStyle name="Comma 2 5 11" xfId="2226" xr:uid="{5E684C14-AC12-4557-B0D1-F963C8E0E928}"/>
    <cellStyle name="Comma 2 5 11 2" xfId="16826" xr:uid="{B1D5C7E4-8A25-4490-B03A-ABA718062D01}"/>
    <cellStyle name="Comma 2 5 11 2 2" xfId="53334" xr:uid="{ADAD431B-233F-4CE7-A00F-9171CE985A9C}"/>
    <cellStyle name="Comma 2 5 11 2 3" xfId="35080" xr:uid="{86121B50-2634-42D4-ACDF-9B11FE945F9D}"/>
    <cellStyle name="Comma 2 5 11 3" xfId="13176" xr:uid="{02458ADC-4B19-457A-85B6-6425C0071809}"/>
    <cellStyle name="Comma 2 5 11 3 2" xfId="49684" xr:uid="{FF5C75E9-F11F-4962-AF20-2872A0C4B1AE}"/>
    <cellStyle name="Comma 2 5 11 3 3" xfId="31430" xr:uid="{FA8969BF-E302-414C-A8CF-7685FDF1B3A0}"/>
    <cellStyle name="Comma 2 5 11 4" xfId="9526" xr:uid="{D2BD09CA-4A38-4A08-8621-323E41176841}"/>
    <cellStyle name="Comma 2 5 11 4 2" xfId="46034" xr:uid="{B30C2670-C7C4-4E12-8CDF-31EA5AD53098}"/>
    <cellStyle name="Comma 2 5 11 4 3" xfId="27780" xr:uid="{6F9FA179-6CAA-468A-80AB-FF149AD3DA60}"/>
    <cellStyle name="Comma 2 5 11 5" xfId="5876" xr:uid="{B170FB00-CE65-43D7-9885-CB1AE62E17EC}"/>
    <cellStyle name="Comma 2 5 11 5 2" xfId="42384" xr:uid="{E0849D5F-919B-46EE-BB85-47418F0A176F}"/>
    <cellStyle name="Comma 2 5 11 5 3" xfId="24130" xr:uid="{6A9E3D69-A4CC-4D55-AFA1-CC3884614347}"/>
    <cellStyle name="Comma 2 5 11 6" xfId="38734" xr:uid="{65174198-3B09-4F76-97F2-89196D2A212F}"/>
    <cellStyle name="Comma 2 5 11 7" xfId="20480" xr:uid="{CD91B253-3890-4570-A1D0-F40818FFD5FB}"/>
    <cellStyle name="Comma 2 5 12" xfId="1496" xr:uid="{D3A76E7E-86F7-437C-A153-62621C7801B6}"/>
    <cellStyle name="Comma 2 5 12 2" xfId="16096" xr:uid="{6D54BF6B-CD7D-4860-BD23-1D201C3DFF32}"/>
    <cellStyle name="Comma 2 5 12 2 2" xfId="52604" xr:uid="{98092E1B-28CC-4A56-BB1A-1C565092E81E}"/>
    <cellStyle name="Comma 2 5 12 2 3" xfId="34350" xr:uid="{1817FAF8-3C25-4773-841F-BFAEAFBB2423}"/>
    <cellStyle name="Comma 2 5 12 3" xfId="12446" xr:uid="{1A7ABC64-A3FE-4F19-B659-07E27F4DB77D}"/>
    <cellStyle name="Comma 2 5 12 3 2" xfId="48954" xr:uid="{89E84C53-C21C-4656-B6E6-87347D779F56}"/>
    <cellStyle name="Comma 2 5 12 3 3" xfId="30700" xr:uid="{76A992B0-AE8C-41F0-8165-591C092822CF}"/>
    <cellStyle name="Comma 2 5 12 4" xfId="8796" xr:uid="{A1D4CF76-A297-4B44-A603-B09C0A4DFF57}"/>
    <cellStyle name="Comma 2 5 12 4 2" xfId="45304" xr:uid="{B0CC06B1-D649-43C5-9289-460B96E567F1}"/>
    <cellStyle name="Comma 2 5 12 4 3" xfId="27050" xr:uid="{312FC6D8-C3BB-42CE-96B7-31CECED584A1}"/>
    <cellStyle name="Comma 2 5 12 5" xfId="5146" xr:uid="{BF3FC0A7-14C4-4B4D-BEAD-AEB60D7F4656}"/>
    <cellStyle name="Comma 2 5 12 5 2" xfId="41654" xr:uid="{E89F1674-7CC2-4240-B428-A57B76D418A6}"/>
    <cellStyle name="Comma 2 5 12 5 3" xfId="23400" xr:uid="{858F0346-54A4-420F-83C0-6FA19E4AA5A5}"/>
    <cellStyle name="Comma 2 5 12 6" xfId="38004" xr:uid="{EF72D14B-DD7A-4AE3-8DB3-DC6F937F47A8}"/>
    <cellStyle name="Comma 2 5 12 7" xfId="19750" xr:uid="{C6B4E442-1A7C-445D-9FFA-C5560905DC63}"/>
    <cellStyle name="Comma 2 5 13" xfId="766" xr:uid="{3036B889-7F75-4CCB-98A8-7FE22D714CB5}"/>
    <cellStyle name="Comma 2 5 13 2" xfId="15366" xr:uid="{0DB24DF7-03E6-4BD5-85BB-41A2006ED870}"/>
    <cellStyle name="Comma 2 5 13 2 2" xfId="51874" xr:uid="{A6DEB0AE-F59A-4948-BFA1-D46BFE25E2F0}"/>
    <cellStyle name="Comma 2 5 13 2 3" xfId="33620" xr:uid="{8367DA83-75D6-4E4F-A3C7-5735EF3C4BEB}"/>
    <cellStyle name="Comma 2 5 13 3" xfId="11716" xr:uid="{EA457459-D9AE-42A1-B30E-239B55D0FF4D}"/>
    <cellStyle name="Comma 2 5 13 3 2" xfId="48224" xr:uid="{8E8E6136-C5E9-4CD8-8FC8-7BB5A1814034}"/>
    <cellStyle name="Comma 2 5 13 3 3" xfId="29970" xr:uid="{D1A1C112-6EF7-4F89-83AB-DAAF81C7399F}"/>
    <cellStyle name="Comma 2 5 13 4" xfId="8066" xr:uid="{3F101D62-765B-4FA4-BBFA-0FB7EE798F13}"/>
    <cellStyle name="Comma 2 5 13 4 2" xfId="44574" xr:uid="{710E8708-9232-4EBD-8A7A-6768BC73DAA4}"/>
    <cellStyle name="Comma 2 5 13 4 3" xfId="26320" xr:uid="{E9274B27-40C0-437A-9797-616BDC696FA1}"/>
    <cellStyle name="Comma 2 5 13 5" xfId="4416" xr:uid="{62B50F06-C05E-4EB4-9AB3-108F61B70088}"/>
    <cellStyle name="Comma 2 5 13 5 2" xfId="40924" xr:uid="{1B87F6FE-7D29-4E0E-845A-FFE25FAD0BD9}"/>
    <cellStyle name="Comma 2 5 13 5 3" xfId="22670" xr:uid="{4F156246-CFB6-418A-9EB0-70A92ADD2557}"/>
    <cellStyle name="Comma 2 5 13 6" xfId="37274" xr:uid="{68538B5C-56AB-445F-8CE0-43893866A8E4}"/>
    <cellStyle name="Comma 2 5 13 7" xfId="19020" xr:uid="{A96BF2FF-AD60-430D-8FDD-7811B78A624F}"/>
    <cellStyle name="Comma 2 5 14" xfId="14636" xr:uid="{A258F0AD-3BC7-468A-A454-4472972C6F7C}"/>
    <cellStyle name="Comma 2 5 14 2" xfId="51144" xr:uid="{E86D7BD8-C52E-4ADA-A462-4F32AE25D28E}"/>
    <cellStyle name="Comma 2 5 14 3" xfId="32890" xr:uid="{CAF0E34A-25D8-4C50-96BC-0E1A117BB554}"/>
    <cellStyle name="Comma 2 5 15" xfId="10986" xr:uid="{10AC952F-2189-4A49-8B43-F87802B20961}"/>
    <cellStyle name="Comma 2 5 15 2" xfId="47494" xr:uid="{A3EE3D7B-85C0-48B3-884D-37FEB42387CD}"/>
    <cellStyle name="Comma 2 5 15 3" xfId="29240" xr:uid="{5D5183F9-C5A3-4681-B087-9297F71823B4}"/>
    <cellStyle name="Comma 2 5 16" xfId="7336" xr:uid="{61CD6047-E068-4799-8BE9-92C278DE01F0}"/>
    <cellStyle name="Comma 2 5 16 2" xfId="43844" xr:uid="{0A684B67-208B-487B-95D4-E8672A5601BE}"/>
    <cellStyle name="Comma 2 5 16 3" xfId="25590" xr:uid="{3328C364-FB84-4F82-B8BC-87A542BD1972}"/>
    <cellStyle name="Comma 2 5 17" xfId="3686" xr:uid="{2888BBC3-BAC6-43DB-91F3-51024790C7E8}"/>
    <cellStyle name="Comma 2 5 17 2" xfId="40194" xr:uid="{40EB8AA6-3471-4366-BE12-D8B19DC995ED}"/>
    <cellStyle name="Comma 2 5 17 3" xfId="21940" xr:uid="{080AE3D0-8328-4EDA-A8EE-66B41F4983A0}"/>
    <cellStyle name="Comma 2 5 18" xfId="36544" xr:uid="{34D9F276-7680-48A3-AB55-A94E30FF3C9C}"/>
    <cellStyle name="Comma 2 5 19" xfId="18290" xr:uid="{5FB89BEA-9904-4EBF-A985-C293267AD50B}"/>
    <cellStyle name="Comma 2 5 2" xfId="101" xr:uid="{42247FEC-CE18-4A1F-B914-BB39FE77B7EC}"/>
    <cellStyle name="Comma 2 5 2 10" xfId="1560" xr:uid="{EF859725-043A-414E-8092-1CEED6B0391F}"/>
    <cellStyle name="Comma 2 5 2 10 2" xfId="16160" xr:uid="{B7737525-F096-4BB9-A52B-33C863310D89}"/>
    <cellStyle name="Comma 2 5 2 10 2 2" xfId="52668" xr:uid="{9E56A9DC-740F-4E0E-BECA-76CD47B9D37E}"/>
    <cellStyle name="Comma 2 5 2 10 2 3" xfId="34414" xr:uid="{CC48B6F8-5E3C-459E-BA92-87115F59DD1E}"/>
    <cellStyle name="Comma 2 5 2 10 3" xfId="12510" xr:uid="{BDBE1869-1C70-4F25-92F7-6081E068878A}"/>
    <cellStyle name="Comma 2 5 2 10 3 2" xfId="49018" xr:uid="{F11497CD-08E1-4A3D-A92B-C790CCE87FB3}"/>
    <cellStyle name="Comma 2 5 2 10 3 3" xfId="30764" xr:uid="{6C4EC898-4236-4F06-AB8A-9261952B7265}"/>
    <cellStyle name="Comma 2 5 2 10 4" xfId="8860" xr:uid="{C2E0D6FC-3D44-49AB-8AB4-819BF3483A9E}"/>
    <cellStyle name="Comma 2 5 2 10 4 2" xfId="45368" xr:uid="{69DDFA71-70C3-4998-849F-CD238EC6679F}"/>
    <cellStyle name="Comma 2 5 2 10 4 3" xfId="27114" xr:uid="{BA942402-AD4D-4434-9BF3-D56D6CFB26A7}"/>
    <cellStyle name="Comma 2 5 2 10 5" xfId="5210" xr:uid="{A09D7E9E-7B62-4DB3-8D23-029ADA8632C6}"/>
    <cellStyle name="Comma 2 5 2 10 5 2" xfId="41718" xr:uid="{E949E18E-D95A-4ECA-B123-F4BC0A3CFB3D}"/>
    <cellStyle name="Comma 2 5 2 10 5 3" xfId="23464" xr:uid="{D1788E0B-08A1-4F51-9FC5-41C377D15B37}"/>
    <cellStyle name="Comma 2 5 2 10 6" xfId="38068" xr:uid="{8ED86491-03B0-4981-BC28-1037274CF3F2}"/>
    <cellStyle name="Comma 2 5 2 10 7" xfId="19814" xr:uid="{AD63865B-C625-4D17-A1E8-A682C85153AA}"/>
    <cellStyle name="Comma 2 5 2 11" xfId="830" xr:uid="{94FF3BD5-3596-4C73-AFC0-75106A4FF9B6}"/>
    <cellStyle name="Comma 2 5 2 11 2" xfId="15430" xr:uid="{8128C4B8-0BB4-48ED-8276-29A03B2E4AF3}"/>
    <cellStyle name="Comma 2 5 2 11 2 2" xfId="51938" xr:uid="{8D8E92ED-A8BB-4C01-A06A-91D661331D01}"/>
    <cellStyle name="Comma 2 5 2 11 2 3" xfId="33684" xr:uid="{172CE21A-AD3E-4374-8FB2-ECC86F37487F}"/>
    <cellStyle name="Comma 2 5 2 11 3" xfId="11780" xr:uid="{1E615AEE-319B-4980-9048-D0D460F0A63B}"/>
    <cellStyle name="Comma 2 5 2 11 3 2" xfId="48288" xr:uid="{34B032F1-A808-428D-A033-B8DC6DB0C15E}"/>
    <cellStyle name="Comma 2 5 2 11 3 3" xfId="30034" xr:uid="{0D0AA5F4-2D2E-4EEE-B2DE-6523FC468C5F}"/>
    <cellStyle name="Comma 2 5 2 11 4" xfId="8130" xr:uid="{2418B701-4119-49B5-B479-C8255DE111FD}"/>
    <cellStyle name="Comma 2 5 2 11 4 2" xfId="44638" xr:uid="{D74C43BB-C71C-4F00-8B7C-06AA41EC7B20}"/>
    <cellStyle name="Comma 2 5 2 11 4 3" xfId="26384" xr:uid="{42686FF6-BC2B-4417-8AE0-CA80494F38C4}"/>
    <cellStyle name="Comma 2 5 2 11 5" xfId="4480" xr:uid="{9B406DA6-5807-40B4-82D4-28D0E1C575E0}"/>
    <cellStyle name="Comma 2 5 2 11 5 2" xfId="40988" xr:uid="{F908FCE9-3CAE-4A99-8BDD-D860C9B416DF}"/>
    <cellStyle name="Comma 2 5 2 11 5 3" xfId="22734" xr:uid="{591E4191-E807-4E06-90D1-6EC6C8D26622}"/>
    <cellStyle name="Comma 2 5 2 11 6" xfId="37338" xr:uid="{33C1D41E-B8A0-4199-A22A-FC2FB1AD1058}"/>
    <cellStyle name="Comma 2 5 2 11 7" xfId="19084" xr:uid="{677500DB-B69F-48A6-8A6E-9A28FD17EF65}"/>
    <cellStyle name="Comma 2 5 2 12" xfId="14700" xr:uid="{40AA4913-532D-4195-89E5-070D4EE9B4CF}"/>
    <cellStyle name="Comma 2 5 2 12 2" xfId="51208" xr:uid="{A90C53D9-8934-42D1-8DD9-5D50562D8157}"/>
    <cellStyle name="Comma 2 5 2 12 3" xfId="32954" xr:uid="{FD450320-BABD-4864-82FC-412922F4059D}"/>
    <cellStyle name="Comma 2 5 2 13" xfId="11050" xr:uid="{0FBEBA04-D4C4-4CB8-A7E0-2739C13201E3}"/>
    <cellStyle name="Comma 2 5 2 13 2" xfId="47558" xr:uid="{8B03FAE9-0416-45C9-B566-C4AF7FF9B435}"/>
    <cellStyle name="Comma 2 5 2 13 3" xfId="29304" xr:uid="{59F4466B-87EE-4A12-A1F8-896F24CE90E0}"/>
    <cellStyle name="Comma 2 5 2 14" xfId="7400" xr:uid="{83955D93-CF25-46B7-9453-A93916AAEEDF}"/>
    <cellStyle name="Comma 2 5 2 14 2" xfId="43908" xr:uid="{8DB6DB97-BAA7-4648-9BD5-B5B30D5C053F}"/>
    <cellStyle name="Comma 2 5 2 14 3" xfId="25654" xr:uid="{4CB84326-DECD-4C00-A426-345CD3741D4D}"/>
    <cellStyle name="Comma 2 5 2 15" xfId="3750" xr:uid="{950087B6-0CA9-4E39-8870-D2220B12C8BD}"/>
    <cellStyle name="Comma 2 5 2 15 2" xfId="40258" xr:uid="{FCD9A388-7F5B-41A0-BEB7-ED483CF81BB6}"/>
    <cellStyle name="Comma 2 5 2 15 3" xfId="22004" xr:uid="{F225CEFA-52E5-4745-AA5D-48025029DA49}"/>
    <cellStyle name="Comma 2 5 2 16" xfId="36608" xr:uid="{B3F413FE-B3AF-4E1E-AE4E-9B7BCE0C540A}"/>
    <cellStyle name="Comma 2 5 2 17" xfId="18354" xr:uid="{6480C937-ACCF-4218-A400-BEE38924F3AB}"/>
    <cellStyle name="Comma 2 5 2 2" xfId="724" xr:uid="{14CFEF73-B403-474B-AF42-B3CCC970D042}"/>
    <cellStyle name="Comma 2 5 2 2 10" xfId="37232" xr:uid="{D247A0AD-F5E7-4CF6-A80A-388178149281}"/>
    <cellStyle name="Comma 2 5 2 2 11" xfId="18978" xr:uid="{75B4FE92-57C4-4213-91FD-D6A2DDA9AC91}"/>
    <cellStyle name="Comma 2 5 2 2 2" xfId="3644" xr:uid="{F7B17D63-AEBC-4AD4-B67F-539B39AE37E6}"/>
    <cellStyle name="Comma 2 5 2 2 2 2" xfId="18244" xr:uid="{FB13222C-0F5A-44EC-A706-3E3B1E1E0320}"/>
    <cellStyle name="Comma 2 5 2 2 2 2 2" xfId="54752" xr:uid="{C2CA0658-1497-4F05-93FC-8035AB88CEDF}"/>
    <cellStyle name="Comma 2 5 2 2 2 2 3" xfId="36498" xr:uid="{98673D6F-FA95-4D1C-94C2-FCDAF27EE3C6}"/>
    <cellStyle name="Comma 2 5 2 2 2 3" xfId="14594" xr:uid="{8CE88236-44E9-407A-9285-4AE5FDA67F08}"/>
    <cellStyle name="Comma 2 5 2 2 2 3 2" xfId="51102" xr:uid="{0A2CD4B7-58A2-4BB9-9577-00416BF90F1D}"/>
    <cellStyle name="Comma 2 5 2 2 2 3 3" xfId="32848" xr:uid="{4A230205-D3E6-410C-B83E-ABF873DE405C}"/>
    <cellStyle name="Comma 2 5 2 2 2 4" xfId="10944" xr:uid="{F2274283-2CE8-4B17-B9F9-26A50D9CBCAA}"/>
    <cellStyle name="Comma 2 5 2 2 2 4 2" xfId="47452" xr:uid="{D2BA7313-341B-41CF-949A-98948BCA765E}"/>
    <cellStyle name="Comma 2 5 2 2 2 4 3" xfId="29198" xr:uid="{03A17AF4-5B75-41B1-964A-AFDAECAEDEA3}"/>
    <cellStyle name="Comma 2 5 2 2 2 5" xfId="7294" xr:uid="{3BD022CD-FC26-4A0E-BBBB-11B37267CEC9}"/>
    <cellStyle name="Comma 2 5 2 2 2 5 2" xfId="43802" xr:uid="{06CB8B4A-9A1F-4A2D-8E56-18E43BAEB1BB}"/>
    <cellStyle name="Comma 2 5 2 2 2 5 3" xfId="25548" xr:uid="{68C58175-3C9C-4019-8598-50005ADCA23D}"/>
    <cellStyle name="Comma 2 5 2 2 2 6" xfId="40152" xr:uid="{040666A8-0131-447C-86B4-B2E1B84BE010}"/>
    <cellStyle name="Comma 2 5 2 2 2 7" xfId="21898" xr:uid="{147A2297-68B2-4046-9033-2D6CC39AC194}"/>
    <cellStyle name="Comma 2 5 2 2 3" xfId="2914" xr:uid="{8722DDCA-29B9-4757-B0A1-F56C5B4DE6BE}"/>
    <cellStyle name="Comma 2 5 2 2 3 2" xfId="17514" xr:uid="{8A82A213-72B6-48CD-84BA-23806894368C}"/>
    <cellStyle name="Comma 2 5 2 2 3 2 2" xfId="54022" xr:uid="{BCA3B55F-94DD-4BE3-935B-DE0FE1338BC0}"/>
    <cellStyle name="Comma 2 5 2 2 3 2 3" xfId="35768" xr:uid="{71F93FBA-61A6-4491-A9F9-029614D250AC}"/>
    <cellStyle name="Comma 2 5 2 2 3 3" xfId="13864" xr:uid="{E0E6466A-E133-4F92-B4B3-C82E76D77FE1}"/>
    <cellStyle name="Comma 2 5 2 2 3 3 2" xfId="50372" xr:uid="{0623284E-5C3D-43EA-9665-461A7D29A94C}"/>
    <cellStyle name="Comma 2 5 2 2 3 3 3" xfId="32118" xr:uid="{7B1C88E8-D2E3-4F89-86F0-5C7440F97C3E}"/>
    <cellStyle name="Comma 2 5 2 2 3 4" xfId="10214" xr:uid="{F2A18836-724D-44C4-AD88-DF2DF8F35B60}"/>
    <cellStyle name="Comma 2 5 2 2 3 4 2" xfId="46722" xr:uid="{5A9E96D8-3115-4A56-98D6-2BB2BAC98A7C}"/>
    <cellStyle name="Comma 2 5 2 2 3 4 3" xfId="28468" xr:uid="{8C8C66B2-61B8-4628-8C56-74019BE214D7}"/>
    <cellStyle name="Comma 2 5 2 2 3 5" xfId="6564" xr:uid="{6BCD9B08-5D4F-4320-BAEA-072EA692F871}"/>
    <cellStyle name="Comma 2 5 2 2 3 5 2" xfId="43072" xr:uid="{405B516D-6BB7-4111-81D8-6205F64906F8}"/>
    <cellStyle name="Comma 2 5 2 2 3 5 3" xfId="24818" xr:uid="{28AADE5A-AEA3-4AA0-B259-3AD57C32EEC4}"/>
    <cellStyle name="Comma 2 5 2 2 3 6" xfId="39422" xr:uid="{9AA0299F-502A-4C23-80E1-16B6A87B8332}"/>
    <cellStyle name="Comma 2 5 2 2 3 7" xfId="21168" xr:uid="{A7BCB62D-6723-4C65-9367-767F8F7FCCA7}"/>
    <cellStyle name="Comma 2 5 2 2 4" xfId="2184" xr:uid="{257372E2-FD1E-4F39-A44B-3691564183B1}"/>
    <cellStyle name="Comma 2 5 2 2 4 2" xfId="16784" xr:uid="{A9D6D7A3-136B-489E-8A4A-DBBD5F2B7464}"/>
    <cellStyle name="Comma 2 5 2 2 4 2 2" xfId="53292" xr:uid="{24E97B43-57CA-4A50-9651-DA06F7B50652}"/>
    <cellStyle name="Comma 2 5 2 2 4 2 3" xfId="35038" xr:uid="{0297A0C3-D511-41B4-BAD3-8D67C1C5C3C6}"/>
    <cellStyle name="Comma 2 5 2 2 4 3" xfId="13134" xr:uid="{982003CD-90CC-44A0-A44C-8BB764C517F1}"/>
    <cellStyle name="Comma 2 5 2 2 4 3 2" xfId="49642" xr:uid="{925B2A91-E040-4C03-A172-9D66B5EBBB01}"/>
    <cellStyle name="Comma 2 5 2 2 4 3 3" xfId="31388" xr:uid="{1CC57CAB-B5A9-4392-8821-25D54AD1022E}"/>
    <cellStyle name="Comma 2 5 2 2 4 4" xfId="9484" xr:uid="{99177493-9610-42C5-AE0F-492D2BB9A66D}"/>
    <cellStyle name="Comma 2 5 2 2 4 4 2" xfId="45992" xr:uid="{406B7730-0C23-4DF5-83AD-4DEC2C2BA496}"/>
    <cellStyle name="Comma 2 5 2 2 4 4 3" xfId="27738" xr:uid="{7ABC8F35-CBF7-4F3F-AFF3-A38BBB33FAA0}"/>
    <cellStyle name="Comma 2 5 2 2 4 5" xfId="5834" xr:uid="{E1C56680-02AB-481F-8F21-4C48D666C981}"/>
    <cellStyle name="Comma 2 5 2 2 4 5 2" xfId="42342" xr:uid="{A7EBD76E-219D-4B3E-B04F-F5120FDE220E}"/>
    <cellStyle name="Comma 2 5 2 2 4 5 3" xfId="24088" xr:uid="{DAAE2D0E-753B-48AA-9429-50F287AB0B08}"/>
    <cellStyle name="Comma 2 5 2 2 4 6" xfId="38692" xr:uid="{294AF30A-AC05-4BA7-8534-C8E3FEE02AF0}"/>
    <cellStyle name="Comma 2 5 2 2 4 7" xfId="20438" xr:uid="{51ABBDEA-57F7-4E65-AAB8-9A6235DF37B8}"/>
    <cellStyle name="Comma 2 5 2 2 5" xfId="1454" xr:uid="{59C56F2F-2613-4AA5-892C-D3CCCDC1BB74}"/>
    <cellStyle name="Comma 2 5 2 2 5 2" xfId="16054" xr:uid="{52C65F74-9457-4133-ACC3-576091703BDA}"/>
    <cellStyle name="Comma 2 5 2 2 5 2 2" xfId="52562" xr:uid="{EBE0B419-C782-4876-8310-A1111DA04F82}"/>
    <cellStyle name="Comma 2 5 2 2 5 2 3" xfId="34308" xr:uid="{75F68448-8D84-464D-BF00-25790406DD6C}"/>
    <cellStyle name="Comma 2 5 2 2 5 3" xfId="12404" xr:uid="{4DC0F24A-2E9E-4CC0-BC11-2711CEF0C032}"/>
    <cellStyle name="Comma 2 5 2 2 5 3 2" xfId="48912" xr:uid="{B4AED190-B45A-490A-8EBB-4AF6DE0571FA}"/>
    <cellStyle name="Comma 2 5 2 2 5 3 3" xfId="30658" xr:uid="{A816A139-084F-4D77-9F60-4CB42A9E418C}"/>
    <cellStyle name="Comma 2 5 2 2 5 4" xfId="8754" xr:uid="{A191725A-B2B5-4723-B7D0-4C75E3471A80}"/>
    <cellStyle name="Comma 2 5 2 2 5 4 2" xfId="45262" xr:uid="{C342467F-08A4-4562-B292-4558E3A30537}"/>
    <cellStyle name="Comma 2 5 2 2 5 4 3" xfId="27008" xr:uid="{60A4E7B5-ABBF-47CF-B57C-7A84F5CC62E3}"/>
    <cellStyle name="Comma 2 5 2 2 5 5" xfId="5104" xr:uid="{900A7EF8-7506-40CB-81E2-D39F3AB5D151}"/>
    <cellStyle name="Comma 2 5 2 2 5 5 2" xfId="41612" xr:uid="{FEF6573A-1301-4208-81A1-0B37A6F22E28}"/>
    <cellStyle name="Comma 2 5 2 2 5 5 3" xfId="23358" xr:uid="{D1405839-9AF2-4CCB-88C1-9FC9A3D8A2F6}"/>
    <cellStyle name="Comma 2 5 2 2 5 6" xfId="37962" xr:uid="{E099A140-978D-4852-BC6B-D2C3F22934A3}"/>
    <cellStyle name="Comma 2 5 2 2 5 7" xfId="19708" xr:uid="{6C66E70B-12BB-41BD-A424-E2A070256702}"/>
    <cellStyle name="Comma 2 5 2 2 6" xfId="15324" xr:uid="{19B05C71-023E-4645-BB08-FDC7957F80AF}"/>
    <cellStyle name="Comma 2 5 2 2 6 2" xfId="51832" xr:uid="{8AA92070-D1CB-48DB-B61A-A07CB1C174F9}"/>
    <cellStyle name="Comma 2 5 2 2 6 3" xfId="33578" xr:uid="{E8207900-2F63-4C00-8F48-D6879678DB77}"/>
    <cellStyle name="Comma 2 5 2 2 7" xfId="11674" xr:uid="{D4945F6D-055B-4A72-AB71-2A89AD7771A6}"/>
    <cellStyle name="Comma 2 5 2 2 7 2" xfId="48182" xr:uid="{7D6E45F2-F176-452D-95AB-7167CE17C4CE}"/>
    <cellStyle name="Comma 2 5 2 2 7 3" xfId="29928" xr:uid="{58174E2A-272C-494B-9B61-A5D486A2B462}"/>
    <cellStyle name="Comma 2 5 2 2 8" xfId="8024" xr:uid="{AFD9587A-0FA7-4878-A550-0AD7A23A78BE}"/>
    <cellStyle name="Comma 2 5 2 2 8 2" xfId="44532" xr:uid="{2FCB94DA-A05E-4B8C-9E77-D5DE098A105B}"/>
    <cellStyle name="Comma 2 5 2 2 8 3" xfId="26278" xr:uid="{63AF0EA6-B4CA-442A-9AC9-EAAAE0BBA0B1}"/>
    <cellStyle name="Comma 2 5 2 2 9" xfId="4374" xr:uid="{CA526779-A233-4DF6-B0B6-A74A6F767BBE}"/>
    <cellStyle name="Comma 2 5 2 2 9 2" xfId="40882" xr:uid="{1E03A9B9-79C9-48A4-A45A-44C14AC89C10}"/>
    <cellStyle name="Comma 2 5 2 2 9 3" xfId="22628" xr:uid="{66676AFA-2BBC-4E91-9F37-E5A58DF43141}"/>
    <cellStyle name="Comma 2 5 2 3" xfId="620" xr:uid="{54AE0149-DFF1-4978-A541-A291A14C35CE}"/>
    <cellStyle name="Comma 2 5 2 3 10" xfId="37128" xr:uid="{67FD0C1C-5AD2-48F3-8160-24A4F29A961F}"/>
    <cellStyle name="Comma 2 5 2 3 11" xfId="18874" xr:uid="{A9A92887-A6F8-41E4-A8DC-D1BFBE80EEC0}"/>
    <cellStyle name="Comma 2 5 2 3 2" xfId="3540" xr:uid="{269A264C-C944-488D-AD2C-37253135E869}"/>
    <cellStyle name="Comma 2 5 2 3 2 2" xfId="18140" xr:uid="{7D6EE9FB-5300-4F44-B7BC-8C743A72188C}"/>
    <cellStyle name="Comma 2 5 2 3 2 2 2" xfId="54648" xr:uid="{C0984B1D-69FC-4DF7-8B39-50630FF2BCCC}"/>
    <cellStyle name="Comma 2 5 2 3 2 2 3" xfId="36394" xr:uid="{D0CA1C74-CABC-4D94-BA33-D639C2404743}"/>
    <cellStyle name="Comma 2 5 2 3 2 3" xfId="14490" xr:uid="{3009BB5D-4070-4C7C-B5BD-3EEF5F091FD3}"/>
    <cellStyle name="Comma 2 5 2 3 2 3 2" xfId="50998" xr:uid="{CCBB4B83-C705-4F5B-9CB0-FE47B1F3A9FA}"/>
    <cellStyle name="Comma 2 5 2 3 2 3 3" xfId="32744" xr:uid="{ED08F651-6147-4972-A3A5-339F3C46EA49}"/>
    <cellStyle name="Comma 2 5 2 3 2 4" xfId="10840" xr:uid="{18429EB0-8E71-4EAD-9B55-55586A73A10A}"/>
    <cellStyle name="Comma 2 5 2 3 2 4 2" xfId="47348" xr:uid="{AFDF9661-2ABA-49EA-85DE-32AD49E043D3}"/>
    <cellStyle name="Comma 2 5 2 3 2 4 3" xfId="29094" xr:uid="{951A369E-2D81-40ED-B283-0966BAE07F81}"/>
    <cellStyle name="Comma 2 5 2 3 2 5" xfId="7190" xr:uid="{B65AEFB8-CAE4-4135-96B2-0A722E4775D3}"/>
    <cellStyle name="Comma 2 5 2 3 2 5 2" xfId="43698" xr:uid="{6BAF4E9F-FB75-4F5E-9337-047EFADB70F2}"/>
    <cellStyle name="Comma 2 5 2 3 2 5 3" xfId="25444" xr:uid="{19528447-6B49-40F5-815B-87DB999B9275}"/>
    <cellStyle name="Comma 2 5 2 3 2 6" xfId="40048" xr:uid="{C587912A-ECDB-4E30-A6D7-CC1E2B5FD4E1}"/>
    <cellStyle name="Comma 2 5 2 3 2 7" xfId="21794" xr:uid="{C05822A5-0B68-49EE-B9DC-A2318B9EE21D}"/>
    <cellStyle name="Comma 2 5 2 3 3" xfId="2810" xr:uid="{B9CFADC4-A354-4025-8C15-4BADDE6DEB7E}"/>
    <cellStyle name="Comma 2 5 2 3 3 2" xfId="17410" xr:uid="{ACB7A8F6-3EB6-4BA3-ACFE-6129A805AE0B}"/>
    <cellStyle name="Comma 2 5 2 3 3 2 2" xfId="53918" xr:uid="{A5C55F05-4A6D-47B1-B1AE-35B8EE5E2748}"/>
    <cellStyle name="Comma 2 5 2 3 3 2 3" xfId="35664" xr:uid="{B65130CF-EEC8-477A-83EC-0C7E6083D060}"/>
    <cellStyle name="Comma 2 5 2 3 3 3" xfId="13760" xr:uid="{6F7E4C7C-F16C-4706-A8B7-957E9FF9AFAF}"/>
    <cellStyle name="Comma 2 5 2 3 3 3 2" xfId="50268" xr:uid="{7982BC44-3FE7-464E-99A1-C910A9A80315}"/>
    <cellStyle name="Comma 2 5 2 3 3 3 3" xfId="32014" xr:uid="{758572C8-050C-41C9-989F-BEB8E24004EA}"/>
    <cellStyle name="Comma 2 5 2 3 3 4" xfId="10110" xr:uid="{7A486D60-2B15-42D8-A8F9-527D3375943B}"/>
    <cellStyle name="Comma 2 5 2 3 3 4 2" xfId="46618" xr:uid="{B6759C36-A3F2-4942-BBD0-3E604E76D16E}"/>
    <cellStyle name="Comma 2 5 2 3 3 4 3" xfId="28364" xr:uid="{F562D3DE-1521-4AC9-9144-C8F2B3C9484B}"/>
    <cellStyle name="Comma 2 5 2 3 3 5" xfId="6460" xr:uid="{8790C014-6748-4509-B325-EC6A0B4ADAE5}"/>
    <cellStyle name="Comma 2 5 2 3 3 5 2" xfId="42968" xr:uid="{04186906-0948-4B28-AD3C-8A87A9317BE3}"/>
    <cellStyle name="Comma 2 5 2 3 3 5 3" xfId="24714" xr:uid="{7E416689-8702-4006-ADF3-E8CB4401DCDF}"/>
    <cellStyle name="Comma 2 5 2 3 3 6" xfId="39318" xr:uid="{9C10D39E-CB84-4ADE-B48F-99B4E4ECCDD5}"/>
    <cellStyle name="Comma 2 5 2 3 3 7" xfId="21064" xr:uid="{46E9645B-7670-4592-BAC3-FDDCA2096928}"/>
    <cellStyle name="Comma 2 5 2 3 4" xfId="2080" xr:uid="{662F0C27-7745-4E59-9C58-4F34570624DE}"/>
    <cellStyle name="Comma 2 5 2 3 4 2" xfId="16680" xr:uid="{F6570F64-A81C-4A5D-8E99-497BDD834FC0}"/>
    <cellStyle name="Comma 2 5 2 3 4 2 2" xfId="53188" xr:uid="{F21FB244-DB50-4333-8A2D-87C32549DCBA}"/>
    <cellStyle name="Comma 2 5 2 3 4 2 3" xfId="34934" xr:uid="{A784BAF1-E2DD-4EB0-B2BD-B8AA952E6BB0}"/>
    <cellStyle name="Comma 2 5 2 3 4 3" xfId="13030" xr:uid="{D1D6DA98-B696-4526-BDD8-B506CBF54E43}"/>
    <cellStyle name="Comma 2 5 2 3 4 3 2" xfId="49538" xr:uid="{3ACAF049-C790-438B-BA0C-89F89A525224}"/>
    <cellStyle name="Comma 2 5 2 3 4 3 3" xfId="31284" xr:uid="{BF92B530-B757-4925-B843-415DF9943114}"/>
    <cellStyle name="Comma 2 5 2 3 4 4" xfId="9380" xr:uid="{19375C47-9020-4531-8FEF-581CF2B46C59}"/>
    <cellStyle name="Comma 2 5 2 3 4 4 2" xfId="45888" xr:uid="{38E625BE-92A1-4628-B736-89EAE58A384B}"/>
    <cellStyle name="Comma 2 5 2 3 4 4 3" xfId="27634" xr:uid="{CA65B680-30D1-4A89-8818-E48F4E2C5F0A}"/>
    <cellStyle name="Comma 2 5 2 3 4 5" xfId="5730" xr:uid="{0E3F14A4-12E2-4F9D-9C64-EC929F0F4495}"/>
    <cellStyle name="Comma 2 5 2 3 4 5 2" xfId="42238" xr:uid="{10298EFB-1701-4F09-93CA-BCD44A3B24DB}"/>
    <cellStyle name="Comma 2 5 2 3 4 5 3" xfId="23984" xr:uid="{A3FE76E7-00AF-4484-8B10-7C14D7742978}"/>
    <cellStyle name="Comma 2 5 2 3 4 6" xfId="38588" xr:uid="{FAEA8F4E-12DB-4BB0-8747-79A840718175}"/>
    <cellStyle name="Comma 2 5 2 3 4 7" xfId="20334" xr:uid="{D24E9FF7-C582-4830-A72E-AF215F67E905}"/>
    <cellStyle name="Comma 2 5 2 3 5" xfId="1350" xr:uid="{B13B1AE4-5617-461C-982F-3147A6B8DA01}"/>
    <cellStyle name="Comma 2 5 2 3 5 2" xfId="15950" xr:uid="{D5A70D82-2C94-4C9A-8242-B3C5DBB0CCDB}"/>
    <cellStyle name="Comma 2 5 2 3 5 2 2" xfId="52458" xr:uid="{A58EA6D3-D537-470C-8974-ADDC9EFF6996}"/>
    <cellStyle name="Comma 2 5 2 3 5 2 3" xfId="34204" xr:uid="{2F799DA6-4E2E-40C1-8F64-515AD6FDB357}"/>
    <cellStyle name="Comma 2 5 2 3 5 3" xfId="12300" xr:uid="{5A4CCCF6-9C73-416F-8B48-4BC0E73C0DC4}"/>
    <cellStyle name="Comma 2 5 2 3 5 3 2" xfId="48808" xr:uid="{CDD7B582-2866-4CF0-A553-DDEA13232BAD}"/>
    <cellStyle name="Comma 2 5 2 3 5 3 3" xfId="30554" xr:uid="{104E5B3F-53D6-40AA-97F5-130CD2D0325D}"/>
    <cellStyle name="Comma 2 5 2 3 5 4" xfId="8650" xr:uid="{2B6BDA54-2105-41BA-AC40-2ECC2988C056}"/>
    <cellStyle name="Comma 2 5 2 3 5 4 2" xfId="45158" xr:uid="{D6E11AEC-189D-4A6B-8FC9-D64E9587C3FC}"/>
    <cellStyle name="Comma 2 5 2 3 5 4 3" xfId="26904" xr:uid="{5B467577-9D2F-43A5-B23E-2D2C301CA80B}"/>
    <cellStyle name="Comma 2 5 2 3 5 5" xfId="5000" xr:uid="{4E32B3E2-5301-41EA-B360-1DACBB9981FB}"/>
    <cellStyle name="Comma 2 5 2 3 5 5 2" xfId="41508" xr:uid="{C5666969-8644-4DD6-8FCD-EB415593538F}"/>
    <cellStyle name="Comma 2 5 2 3 5 5 3" xfId="23254" xr:uid="{E8FC193C-F6E5-4398-94E6-B80B0ABDB393}"/>
    <cellStyle name="Comma 2 5 2 3 5 6" xfId="37858" xr:uid="{52D94402-51EF-4ACA-A655-7EDA39E2358D}"/>
    <cellStyle name="Comma 2 5 2 3 5 7" xfId="19604" xr:uid="{CB936CAB-5724-458E-952E-B9B136806ABC}"/>
    <cellStyle name="Comma 2 5 2 3 6" xfId="15220" xr:uid="{779BB50C-7E50-4AEC-B08C-2280E3394E47}"/>
    <cellStyle name="Comma 2 5 2 3 6 2" xfId="51728" xr:uid="{E6F40861-436F-4F18-B77F-10F98E2DF3A8}"/>
    <cellStyle name="Comma 2 5 2 3 6 3" xfId="33474" xr:uid="{E0615A60-84A0-4FCD-A26C-862E9D6CB3A9}"/>
    <cellStyle name="Comma 2 5 2 3 7" xfId="11570" xr:uid="{36D7C508-27E2-4C26-AE1A-B2479FD289F8}"/>
    <cellStyle name="Comma 2 5 2 3 7 2" xfId="48078" xr:uid="{FCA38274-A230-490A-AC56-6D95F698F270}"/>
    <cellStyle name="Comma 2 5 2 3 7 3" xfId="29824" xr:uid="{AE9050CF-F304-452B-B5A5-650B305D72C1}"/>
    <cellStyle name="Comma 2 5 2 3 8" xfId="7920" xr:uid="{9F0984B6-B1CE-4E13-9E86-8A034503A8DC}"/>
    <cellStyle name="Comma 2 5 2 3 8 2" xfId="44428" xr:uid="{C70ED1C9-4DAF-42E4-BAC1-055B215EC3C9}"/>
    <cellStyle name="Comma 2 5 2 3 8 3" xfId="26174" xr:uid="{0136FDB9-F9A5-4DA3-B09B-5CCCBBA7E394}"/>
    <cellStyle name="Comma 2 5 2 3 9" xfId="4270" xr:uid="{A03E7ABF-4B8E-44F9-8736-08F7CF6597FA}"/>
    <cellStyle name="Comma 2 5 2 3 9 2" xfId="40778" xr:uid="{AA5337F6-521E-4952-ABCE-732B1EC2A4A0}"/>
    <cellStyle name="Comma 2 5 2 3 9 3" xfId="22524" xr:uid="{F7A9DF21-05A0-42E9-BA52-2098CD377D03}"/>
    <cellStyle name="Comma 2 5 2 4" xfId="516" xr:uid="{84AF407B-DE24-4F3D-AA48-033A81133C75}"/>
    <cellStyle name="Comma 2 5 2 4 10" xfId="37024" xr:uid="{8FFF0F8A-4424-4401-8ACB-D30AD346EA7D}"/>
    <cellStyle name="Comma 2 5 2 4 11" xfId="18770" xr:uid="{9F91197A-E83A-425B-A911-D868D073FFD3}"/>
    <cellStyle name="Comma 2 5 2 4 2" xfId="3436" xr:uid="{C1BB54BC-90BD-4C69-9BC0-A605A57D8A89}"/>
    <cellStyle name="Comma 2 5 2 4 2 2" xfId="18036" xr:uid="{781ABED4-8D17-444A-8D9D-FEC8454BB57F}"/>
    <cellStyle name="Comma 2 5 2 4 2 2 2" xfId="54544" xr:uid="{DED847C9-3B38-4780-AE21-F453A4BBDD65}"/>
    <cellStyle name="Comma 2 5 2 4 2 2 3" xfId="36290" xr:uid="{D0C10F07-664B-4513-BC47-A4E27D7D58A4}"/>
    <cellStyle name="Comma 2 5 2 4 2 3" xfId="14386" xr:uid="{3EC83A33-10A1-4E56-B33F-AC0E9495DCE9}"/>
    <cellStyle name="Comma 2 5 2 4 2 3 2" xfId="50894" xr:uid="{870C23D2-B45E-4DF3-8B1A-E0A0613FD86F}"/>
    <cellStyle name="Comma 2 5 2 4 2 3 3" xfId="32640" xr:uid="{A9DC7E2F-3CC7-4BA5-8194-71FD6B8CEE24}"/>
    <cellStyle name="Comma 2 5 2 4 2 4" xfId="10736" xr:uid="{53E2DF7C-7E76-4C1D-8D51-8C8960B52539}"/>
    <cellStyle name="Comma 2 5 2 4 2 4 2" xfId="47244" xr:uid="{C0AFA6D0-F02C-43C6-B2E0-201941415D6F}"/>
    <cellStyle name="Comma 2 5 2 4 2 4 3" xfId="28990" xr:uid="{8491D39A-742E-4C26-8D78-F25E3BC9D91C}"/>
    <cellStyle name="Comma 2 5 2 4 2 5" xfId="7086" xr:uid="{FD5C6B45-869B-4677-AC9D-0C5D7CC2AE43}"/>
    <cellStyle name="Comma 2 5 2 4 2 5 2" xfId="43594" xr:uid="{A29F01CE-CC6E-4BAC-AB50-ABB31C392277}"/>
    <cellStyle name="Comma 2 5 2 4 2 5 3" xfId="25340" xr:uid="{E5C2BCD8-0A23-4935-85A5-58390A499DF8}"/>
    <cellStyle name="Comma 2 5 2 4 2 6" xfId="39944" xr:uid="{E59F3D2A-DCFC-4DC0-8EAD-E9B97FCF2518}"/>
    <cellStyle name="Comma 2 5 2 4 2 7" xfId="21690" xr:uid="{06266014-A71E-495A-A8C9-DC7075EB01AA}"/>
    <cellStyle name="Comma 2 5 2 4 3" xfId="2706" xr:uid="{9DC45B75-BEA9-4917-82EA-43612E95BEC9}"/>
    <cellStyle name="Comma 2 5 2 4 3 2" xfId="17306" xr:uid="{F7184FA3-34BD-4329-B6F3-1435004C46A5}"/>
    <cellStyle name="Comma 2 5 2 4 3 2 2" xfId="53814" xr:uid="{67F3FCDE-D31F-4F2B-9594-02BEBAAF2640}"/>
    <cellStyle name="Comma 2 5 2 4 3 2 3" xfId="35560" xr:uid="{F773F21D-3C45-4488-A025-C63B582B0A00}"/>
    <cellStyle name="Comma 2 5 2 4 3 3" xfId="13656" xr:uid="{BF1522E8-DD52-4098-88A2-873F4EA1A29B}"/>
    <cellStyle name="Comma 2 5 2 4 3 3 2" xfId="50164" xr:uid="{C36D5222-4AE0-45BF-B8AE-6E7FEE48E5DB}"/>
    <cellStyle name="Comma 2 5 2 4 3 3 3" xfId="31910" xr:uid="{6C3B6823-36FF-439D-AAE0-EA3677479C34}"/>
    <cellStyle name="Comma 2 5 2 4 3 4" xfId="10006" xr:uid="{32628A82-9554-40F7-AC98-D16E6CC7EAAD}"/>
    <cellStyle name="Comma 2 5 2 4 3 4 2" xfId="46514" xr:uid="{105ECA72-BC25-41C3-BEDA-1FDF571F6EB1}"/>
    <cellStyle name="Comma 2 5 2 4 3 4 3" xfId="28260" xr:uid="{2D5C43C4-EFC4-4022-9CC9-2240C7581C92}"/>
    <cellStyle name="Comma 2 5 2 4 3 5" xfId="6356" xr:uid="{4F0FF758-4E0D-4B08-AEEB-603FCF28711E}"/>
    <cellStyle name="Comma 2 5 2 4 3 5 2" xfId="42864" xr:uid="{B3599F2E-D8E5-428D-AAF5-4E66BED8B836}"/>
    <cellStyle name="Comma 2 5 2 4 3 5 3" xfId="24610" xr:uid="{DF37939C-0169-4E49-87E2-5B6FF75376F5}"/>
    <cellStyle name="Comma 2 5 2 4 3 6" xfId="39214" xr:uid="{B4438581-2E44-41F2-961D-06FAAB834065}"/>
    <cellStyle name="Comma 2 5 2 4 3 7" xfId="20960" xr:uid="{8473171E-0450-49ED-AD93-F292A448F0C8}"/>
    <cellStyle name="Comma 2 5 2 4 4" xfId="1976" xr:uid="{B6EF3675-0A34-4DB6-B384-FED711961779}"/>
    <cellStyle name="Comma 2 5 2 4 4 2" xfId="16576" xr:uid="{1FCD650E-0AE8-44BF-9110-851CBF7E0CC7}"/>
    <cellStyle name="Comma 2 5 2 4 4 2 2" xfId="53084" xr:uid="{A71D3E74-CC53-475D-B400-E8248F38F98A}"/>
    <cellStyle name="Comma 2 5 2 4 4 2 3" xfId="34830" xr:uid="{C93950C7-E48D-480D-90F5-05CC97A53891}"/>
    <cellStyle name="Comma 2 5 2 4 4 3" xfId="12926" xr:uid="{8936E915-398F-4840-921E-28C7BD24A8D7}"/>
    <cellStyle name="Comma 2 5 2 4 4 3 2" xfId="49434" xr:uid="{313D1620-F29F-46E6-AE11-6BCC77DFA848}"/>
    <cellStyle name="Comma 2 5 2 4 4 3 3" xfId="31180" xr:uid="{2B12FAD4-1F32-4505-99D8-428E584892D3}"/>
    <cellStyle name="Comma 2 5 2 4 4 4" xfId="9276" xr:uid="{A24A4B42-7364-491B-9D79-17E7EE094EA2}"/>
    <cellStyle name="Comma 2 5 2 4 4 4 2" xfId="45784" xr:uid="{16D57AB3-AD7E-420E-B9E0-D9DA16E56DC2}"/>
    <cellStyle name="Comma 2 5 2 4 4 4 3" xfId="27530" xr:uid="{11C3959F-F7AC-4C30-82DD-BF583E2FCDA7}"/>
    <cellStyle name="Comma 2 5 2 4 4 5" xfId="5626" xr:uid="{C7F55AED-D483-4835-97E9-E50B87ECCC04}"/>
    <cellStyle name="Comma 2 5 2 4 4 5 2" xfId="42134" xr:uid="{8B61B342-1D5A-447A-AAB3-5A951E98A5CA}"/>
    <cellStyle name="Comma 2 5 2 4 4 5 3" xfId="23880" xr:uid="{35145A5A-BB48-4365-89DB-7E6D6CB4AC95}"/>
    <cellStyle name="Comma 2 5 2 4 4 6" xfId="38484" xr:uid="{267EA182-3DDB-4E16-B45A-8C2E9A17A18C}"/>
    <cellStyle name="Comma 2 5 2 4 4 7" xfId="20230" xr:uid="{BC940DED-75DC-4D4C-AC6B-179C8E4CFFBE}"/>
    <cellStyle name="Comma 2 5 2 4 5" xfId="1246" xr:uid="{1029FAB3-2C48-4AFC-85F9-507E471ACE64}"/>
    <cellStyle name="Comma 2 5 2 4 5 2" xfId="15846" xr:uid="{E795F144-2D14-4FA6-BF46-E2536DE9237C}"/>
    <cellStyle name="Comma 2 5 2 4 5 2 2" xfId="52354" xr:uid="{C17AEC14-6F6B-404C-8EC9-859EB31B1812}"/>
    <cellStyle name="Comma 2 5 2 4 5 2 3" xfId="34100" xr:uid="{E8F892D0-6974-41CF-ACC0-1FF7D1E3BE3B}"/>
    <cellStyle name="Comma 2 5 2 4 5 3" xfId="12196" xr:uid="{3706608C-1BCC-4519-A69F-0D0CF46D8BDD}"/>
    <cellStyle name="Comma 2 5 2 4 5 3 2" xfId="48704" xr:uid="{72195CA5-3384-41B1-8D9C-A2AB58581E4C}"/>
    <cellStyle name="Comma 2 5 2 4 5 3 3" xfId="30450" xr:uid="{36C30317-6008-42CC-9BDA-AF6B8442CE49}"/>
    <cellStyle name="Comma 2 5 2 4 5 4" xfId="8546" xr:uid="{D296D09B-398E-41B2-96EF-E443C1BF9783}"/>
    <cellStyle name="Comma 2 5 2 4 5 4 2" xfId="45054" xr:uid="{02BB084E-FDBB-4981-8999-5A0DB86E3B2B}"/>
    <cellStyle name="Comma 2 5 2 4 5 4 3" xfId="26800" xr:uid="{08F5EECE-B387-4D6D-B0EF-389D2646ABD8}"/>
    <cellStyle name="Comma 2 5 2 4 5 5" xfId="4896" xr:uid="{E1E082CC-C65B-40AB-95F3-EE8F76C93073}"/>
    <cellStyle name="Comma 2 5 2 4 5 5 2" xfId="41404" xr:uid="{BF6D8922-C0C8-461D-873F-3C748CF1EA43}"/>
    <cellStyle name="Comma 2 5 2 4 5 5 3" xfId="23150" xr:uid="{BA41D18B-EDB8-48BC-8638-CC8BDC20F6BD}"/>
    <cellStyle name="Comma 2 5 2 4 5 6" xfId="37754" xr:uid="{96290253-BC0B-48C3-B855-BC4E05847A64}"/>
    <cellStyle name="Comma 2 5 2 4 5 7" xfId="19500" xr:uid="{2CBEB040-B978-4F90-94D9-E8B6FCBC0249}"/>
    <cellStyle name="Comma 2 5 2 4 6" xfId="15116" xr:uid="{195580E0-10EE-4792-90EF-DE2AA0F6D7A1}"/>
    <cellStyle name="Comma 2 5 2 4 6 2" xfId="51624" xr:uid="{9FB7FECF-AB13-4C75-B68F-1649D82EA622}"/>
    <cellStyle name="Comma 2 5 2 4 6 3" xfId="33370" xr:uid="{3B4F43ED-A8C0-4AC0-A927-80FFD8872426}"/>
    <cellStyle name="Comma 2 5 2 4 7" xfId="11466" xr:uid="{93652F7D-9607-4695-B060-C1A359B9C111}"/>
    <cellStyle name="Comma 2 5 2 4 7 2" xfId="47974" xr:uid="{4FE285EB-BB71-4F96-ACE6-B838C9A2BE5D}"/>
    <cellStyle name="Comma 2 5 2 4 7 3" xfId="29720" xr:uid="{0CACDA71-73FE-4C6D-B05D-5C4F32520398}"/>
    <cellStyle name="Comma 2 5 2 4 8" xfId="7816" xr:uid="{7CA35D8D-7B85-4923-8F60-AE369D0EC798}"/>
    <cellStyle name="Comma 2 5 2 4 8 2" xfId="44324" xr:uid="{D7C023ED-DC8E-433A-A118-3DAE33EA32B8}"/>
    <cellStyle name="Comma 2 5 2 4 8 3" xfId="26070" xr:uid="{B899B21B-405E-41CE-B475-A03C2841B2F0}"/>
    <cellStyle name="Comma 2 5 2 4 9" xfId="4166" xr:uid="{3A757875-B0A6-429E-A0E6-A959F38F8738}"/>
    <cellStyle name="Comma 2 5 2 4 9 2" xfId="40674" xr:uid="{B8877A07-346D-4E48-A24C-2AF8F6E16FD6}"/>
    <cellStyle name="Comma 2 5 2 4 9 3" xfId="22420" xr:uid="{89E9B9DA-BAFE-458A-911E-ED33A59C1A75}"/>
    <cellStyle name="Comma 2 5 2 5" xfId="412" xr:uid="{A12CFCEB-B9C8-4DD8-89AF-D10DCF11402D}"/>
    <cellStyle name="Comma 2 5 2 5 10" xfId="36920" xr:uid="{BC93B5F7-44CD-448D-B66B-4DC092444225}"/>
    <cellStyle name="Comma 2 5 2 5 11" xfId="18666" xr:uid="{7FF9EA9C-C12A-494D-9AAC-8735910A817E}"/>
    <cellStyle name="Comma 2 5 2 5 2" xfId="3332" xr:uid="{1A2DBF5C-7931-45A4-8840-833E1C9096B7}"/>
    <cellStyle name="Comma 2 5 2 5 2 2" xfId="17932" xr:uid="{7DACD01F-87DB-4AE3-95A1-0521DFBEB5C1}"/>
    <cellStyle name="Comma 2 5 2 5 2 2 2" xfId="54440" xr:uid="{9D3660B5-EBAA-4E1E-A619-4BF61516FBED}"/>
    <cellStyle name="Comma 2 5 2 5 2 2 3" xfId="36186" xr:uid="{741286D2-31AB-4C8B-BED2-BFFDF2514D23}"/>
    <cellStyle name="Comma 2 5 2 5 2 3" xfId="14282" xr:uid="{98C6FF2E-1280-48EF-8F0E-6F44F044A8F7}"/>
    <cellStyle name="Comma 2 5 2 5 2 3 2" xfId="50790" xr:uid="{0EF270C0-D93D-4AAB-98AD-B52B7D420CFA}"/>
    <cellStyle name="Comma 2 5 2 5 2 3 3" xfId="32536" xr:uid="{64F21CE6-ED32-4558-BE59-D5A0B1E4A996}"/>
    <cellStyle name="Comma 2 5 2 5 2 4" xfId="10632" xr:uid="{19325DF2-5112-4043-AA10-878AEC58EAF2}"/>
    <cellStyle name="Comma 2 5 2 5 2 4 2" xfId="47140" xr:uid="{B7C833A7-9D48-4313-A60C-DAE1C3B9102D}"/>
    <cellStyle name="Comma 2 5 2 5 2 4 3" xfId="28886" xr:uid="{9B3DAA4C-36CE-476E-8A65-FACF75B943EC}"/>
    <cellStyle name="Comma 2 5 2 5 2 5" xfId="6982" xr:uid="{EF4BB4C6-1DC9-4BA9-AE71-0CD10C79C762}"/>
    <cellStyle name="Comma 2 5 2 5 2 5 2" xfId="43490" xr:uid="{E7B3EA1A-6FCD-47D5-BD68-4E41DBE65C11}"/>
    <cellStyle name="Comma 2 5 2 5 2 5 3" xfId="25236" xr:uid="{E7D5016C-E296-4D78-A0AE-048C5AB5EAC5}"/>
    <cellStyle name="Comma 2 5 2 5 2 6" xfId="39840" xr:uid="{CDB0BDA1-A2C6-4E88-A5CB-2247C7B38D49}"/>
    <cellStyle name="Comma 2 5 2 5 2 7" xfId="21586" xr:uid="{98AE6535-7E82-4E77-A80A-E61007B44FFF}"/>
    <cellStyle name="Comma 2 5 2 5 3" xfId="2602" xr:uid="{888BED9D-1813-4D41-B585-4B60504DC2AA}"/>
    <cellStyle name="Comma 2 5 2 5 3 2" xfId="17202" xr:uid="{80933BE4-D0F1-48F0-81C9-2E58A6369CE8}"/>
    <cellStyle name="Comma 2 5 2 5 3 2 2" xfId="53710" xr:uid="{EEE938F1-0EC7-44BC-8FBB-EFF959930AFD}"/>
    <cellStyle name="Comma 2 5 2 5 3 2 3" xfId="35456" xr:uid="{BAFC799C-4E60-48E5-AE69-FF5E1638DFA4}"/>
    <cellStyle name="Comma 2 5 2 5 3 3" xfId="13552" xr:uid="{D71678D0-09BE-4992-942A-4A0DAE77671B}"/>
    <cellStyle name="Comma 2 5 2 5 3 3 2" xfId="50060" xr:uid="{3788FCBB-A25F-4597-AF98-C8A538A47E6B}"/>
    <cellStyle name="Comma 2 5 2 5 3 3 3" xfId="31806" xr:uid="{EF9CD406-5006-4168-AC65-C8733791C365}"/>
    <cellStyle name="Comma 2 5 2 5 3 4" xfId="9902" xr:uid="{2917CB08-612F-4C6F-A97A-E36B3E39F1F2}"/>
    <cellStyle name="Comma 2 5 2 5 3 4 2" xfId="46410" xr:uid="{49A5648A-3AA0-4CB0-8E03-A6C26569BE4D}"/>
    <cellStyle name="Comma 2 5 2 5 3 4 3" xfId="28156" xr:uid="{73A6C654-9A67-41F4-A3BC-30461D65127B}"/>
    <cellStyle name="Comma 2 5 2 5 3 5" xfId="6252" xr:uid="{113E02C9-2AB0-4C76-843A-25C4734F007E}"/>
    <cellStyle name="Comma 2 5 2 5 3 5 2" xfId="42760" xr:uid="{435F2DA4-86C0-43CA-8C12-ACF69DFD9A1D}"/>
    <cellStyle name="Comma 2 5 2 5 3 5 3" xfId="24506" xr:uid="{75CC7253-8625-4A27-97BD-99E66B6026C9}"/>
    <cellStyle name="Comma 2 5 2 5 3 6" xfId="39110" xr:uid="{2677C869-A174-4352-92D0-38D28A034B28}"/>
    <cellStyle name="Comma 2 5 2 5 3 7" xfId="20856" xr:uid="{69D39261-833B-4F17-8142-076AD7B792DA}"/>
    <cellStyle name="Comma 2 5 2 5 4" xfId="1872" xr:uid="{E68A6C08-A17E-4136-B6F8-24C14748B39A}"/>
    <cellStyle name="Comma 2 5 2 5 4 2" xfId="16472" xr:uid="{BADA7446-48BF-4478-A6E8-FF0775D911DE}"/>
    <cellStyle name="Comma 2 5 2 5 4 2 2" xfId="52980" xr:uid="{FF632000-7404-4CD5-9872-28D998338F34}"/>
    <cellStyle name="Comma 2 5 2 5 4 2 3" xfId="34726" xr:uid="{8A29EAB1-3687-4EB8-82A5-3FD7CCAD2610}"/>
    <cellStyle name="Comma 2 5 2 5 4 3" xfId="12822" xr:uid="{74E13913-09D7-4160-A62F-002DD3DCE58A}"/>
    <cellStyle name="Comma 2 5 2 5 4 3 2" xfId="49330" xr:uid="{423F1F4D-92FA-41D1-A4A0-1F497DA723A1}"/>
    <cellStyle name="Comma 2 5 2 5 4 3 3" xfId="31076" xr:uid="{39355606-0665-4160-9FE1-D7B94C7696EE}"/>
    <cellStyle name="Comma 2 5 2 5 4 4" xfId="9172" xr:uid="{35C9B39D-9521-4991-981B-C8D655BE0277}"/>
    <cellStyle name="Comma 2 5 2 5 4 4 2" xfId="45680" xr:uid="{AFE5553F-187C-4930-A781-0EA5800B70C8}"/>
    <cellStyle name="Comma 2 5 2 5 4 4 3" xfId="27426" xr:uid="{57356333-F28B-4DC5-87AE-99B52BB3D6F8}"/>
    <cellStyle name="Comma 2 5 2 5 4 5" xfId="5522" xr:uid="{DF13E5BF-285F-48E3-B21A-6CA60BF30719}"/>
    <cellStyle name="Comma 2 5 2 5 4 5 2" xfId="42030" xr:uid="{4CB0D83E-D5A3-49F7-B56D-0464E4703720}"/>
    <cellStyle name="Comma 2 5 2 5 4 5 3" xfId="23776" xr:uid="{55D4E713-68C3-4350-9152-39BB8CCD00D7}"/>
    <cellStyle name="Comma 2 5 2 5 4 6" xfId="38380" xr:uid="{63F36113-6C86-4CD2-84D8-703B72865EB0}"/>
    <cellStyle name="Comma 2 5 2 5 4 7" xfId="20126" xr:uid="{7E79E775-5CE6-4D2F-94B1-897E1D5ABC60}"/>
    <cellStyle name="Comma 2 5 2 5 5" xfId="1142" xr:uid="{8CF87227-28C4-4336-9593-7A85F95478E1}"/>
    <cellStyle name="Comma 2 5 2 5 5 2" xfId="15742" xr:uid="{A2B2BB66-FF40-4834-A75C-35FC572AA5BA}"/>
    <cellStyle name="Comma 2 5 2 5 5 2 2" xfId="52250" xr:uid="{945EB370-10A1-40EF-A6A1-6D3552733743}"/>
    <cellStyle name="Comma 2 5 2 5 5 2 3" xfId="33996" xr:uid="{89DE00B4-B352-44E8-B9C6-76EDAF9C9FCF}"/>
    <cellStyle name="Comma 2 5 2 5 5 3" xfId="12092" xr:uid="{73AF5859-A13F-42A5-ABED-F6741D5ED7EA}"/>
    <cellStyle name="Comma 2 5 2 5 5 3 2" xfId="48600" xr:uid="{A091750F-1E66-4DCF-92B6-F2D9984C382B}"/>
    <cellStyle name="Comma 2 5 2 5 5 3 3" xfId="30346" xr:uid="{8E722DB1-2131-48EB-ACBD-F76FAD88C9CB}"/>
    <cellStyle name="Comma 2 5 2 5 5 4" xfId="8442" xr:uid="{56435C82-B643-462D-8452-049707133A17}"/>
    <cellStyle name="Comma 2 5 2 5 5 4 2" xfId="44950" xr:uid="{E14C7230-4F00-434E-B841-F3EF3A0B870F}"/>
    <cellStyle name="Comma 2 5 2 5 5 4 3" xfId="26696" xr:uid="{6B45B3E4-15D7-4674-A9BC-4B267311E21A}"/>
    <cellStyle name="Comma 2 5 2 5 5 5" xfId="4792" xr:uid="{7D654D73-70BB-45E0-9D80-D51C62004D59}"/>
    <cellStyle name="Comma 2 5 2 5 5 5 2" xfId="41300" xr:uid="{FFA55D8F-192A-4F55-ABE2-040440AAD275}"/>
    <cellStyle name="Comma 2 5 2 5 5 5 3" xfId="23046" xr:uid="{2AA6535A-662C-4D37-8EB8-6A7CE25F58CB}"/>
    <cellStyle name="Comma 2 5 2 5 5 6" xfId="37650" xr:uid="{B971EE68-B8FE-477A-A567-27CCEE5095E3}"/>
    <cellStyle name="Comma 2 5 2 5 5 7" xfId="19396" xr:uid="{51EDA492-AFD4-4EA2-99BD-8C56C0763833}"/>
    <cellStyle name="Comma 2 5 2 5 6" xfId="15012" xr:uid="{8CAF7DD9-3B45-4752-9F14-F09972BED1C8}"/>
    <cellStyle name="Comma 2 5 2 5 6 2" xfId="51520" xr:uid="{ADA95A00-441C-4DC5-8524-BAFFD85BC083}"/>
    <cellStyle name="Comma 2 5 2 5 6 3" xfId="33266" xr:uid="{79AE035F-DF5E-4075-A58A-93CB178E6CBE}"/>
    <cellStyle name="Comma 2 5 2 5 7" xfId="11362" xr:uid="{D4113616-7BF7-499D-B505-DB1D41ABA3EA}"/>
    <cellStyle name="Comma 2 5 2 5 7 2" xfId="47870" xr:uid="{B741439B-F19C-418C-A9E8-F8A42DC9CAD2}"/>
    <cellStyle name="Comma 2 5 2 5 7 3" xfId="29616" xr:uid="{ECF405CB-9B08-4003-AE6F-46618030B0C6}"/>
    <cellStyle name="Comma 2 5 2 5 8" xfId="7712" xr:uid="{0D359E98-2DB4-4A40-AFE0-61D1F03A04D7}"/>
    <cellStyle name="Comma 2 5 2 5 8 2" xfId="44220" xr:uid="{20B91767-C284-4CA9-87ED-EF7CFDE89FE0}"/>
    <cellStyle name="Comma 2 5 2 5 8 3" xfId="25966" xr:uid="{23292A07-407C-4147-8898-969F33F1A1B5}"/>
    <cellStyle name="Comma 2 5 2 5 9" xfId="4062" xr:uid="{E1E132CD-00F0-4A96-91BB-2EA4042B3201}"/>
    <cellStyle name="Comma 2 5 2 5 9 2" xfId="40570" xr:uid="{0CE77ECB-437C-4882-9C08-243D56578A13}"/>
    <cellStyle name="Comma 2 5 2 5 9 3" xfId="22316" xr:uid="{9F88DA5B-AF0E-4014-B780-7838851827CC}"/>
    <cellStyle name="Comma 2 5 2 6" xfId="308" xr:uid="{4023ED33-2AFF-46BB-AAFB-02762F7FC121}"/>
    <cellStyle name="Comma 2 5 2 6 10" xfId="36816" xr:uid="{80FF115A-C8BA-44D8-A9D2-71DD40D693CE}"/>
    <cellStyle name="Comma 2 5 2 6 11" xfId="18562" xr:uid="{6D6F0D13-5E72-4AC7-9E95-F771CE71E302}"/>
    <cellStyle name="Comma 2 5 2 6 2" xfId="3228" xr:uid="{2FB0746D-4039-4557-97FA-63FF1490F37E}"/>
    <cellStyle name="Comma 2 5 2 6 2 2" xfId="17828" xr:uid="{20D082CD-796D-4406-90D2-55083DDB3A56}"/>
    <cellStyle name="Comma 2 5 2 6 2 2 2" xfId="54336" xr:uid="{73030288-8578-4794-A441-285EE7F6C8E6}"/>
    <cellStyle name="Comma 2 5 2 6 2 2 3" xfId="36082" xr:uid="{92E1454E-E4A0-4876-BE2A-2AB69B7A6B48}"/>
    <cellStyle name="Comma 2 5 2 6 2 3" xfId="14178" xr:uid="{72D95043-050B-4747-83FC-69736E02C821}"/>
    <cellStyle name="Comma 2 5 2 6 2 3 2" xfId="50686" xr:uid="{68ADC6FF-1835-408F-9A6C-AA5C1C7CF874}"/>
    <cellStyle name="Comma 2 5 2 6 2 3 3" xfId="32432" xr:uid="{C4A76846-25EC-4FC6-964C-4723B3ADC2FC}"/>
    <cellStyle name="Comma 2 5 2 6 2 4" xfId="10528" xr:uid="{0A9C883B-1FC4-4C0D-9182-24C0651BE73A}"/>
    <cellStyle name="Comma 2 5 2 6 2 4 2" xfId="47036" xr:uid="{743B76F3-7C9B-407A-A074-1C679C6399C6}"/>
    <cellStyle name="Comma 2 5 2 6 2 4 3" xfId="28782" xr:uid="{7F6D27B5-C8B1-434B-A4ED-990F3AC48D6B}"/>
    <cellStyle name="Comma 2 5 2 6 2 5" xfId="6878" xr:uid="{7D539353-7667-46EA-9706-9BBD4871A83D}"/>
    <cellStyle name="Comma 2 5 2 6 2 5 2" xfId="43386" xr:uid="{4955DAF9-51D7-4736-91AB-D713B7EF1CD6}"/>
    <cellStyle name="Comma 2 5 2 6 2 5 3" xfId="25132" xr:uid="{A2087F80-C312-4E24-9D1F-40E3F4A4AD67}"/>
    <cellStyle name="Comma 2 5 2 6 2 6" xfId="39736" xr:uid="{52973BC4-15E2-4A8C-9DB5-795AB5144D5E}"/>
    <cellStyle name="Comma 2 5 2 6 2 7" xfId="21482" xr:uid="{6A7081B9-4B94-4DA9-9458-770BA942AC7A}"/>
    <cellStyle name="Comma 2 5 2 6 3" xfId="2498" xr:uid="{52BCCC40-F3EC-419C-BD68-7C1A452D7355}"/>
    <cellStyle name="Comma 2 5 2 6 3 2" xfId="17098" xr:uid="{155BBED0-332F-4958-B280-E22AD8BEEB16}"/>
    <cellStyle name="Comma 2 5 2 6 3 2 2" xfId="53606" xr:uid="{FF97D388-44AB-4A16-AFE4-8FD15EA345B1}"/>
    <cellStyle name="Comma 2 5 2 6 3 2 3" xfId="35352" xr:uid="{8B14A8BE-9213-4359-82DB-41A759BA2521}"/>
    <cellStyle name="Comma 2 5 2 6 3 3" xfId="13448" xr:uid="{1CBE9274-79EE-483D-BCE1-091D44E80F4A}"/>
    <cellStyle name="Comma 2 5 2 6 3 3 2" xfId="49956" xr:uid="{2FF31719-9C8F-43D1-9806-404AFC36CB30}"/>
    <cellStyle name="Comma 2 5 2 6 3 3 3" xfId="31702" xr:uid="{FAA3373C-08FC-43AB-99F4-FBFC15F79E93}"/>
    <cellStyle name="Comma 2 5 2 6 3 4" xfId="9798" xr:uid="{D69F774C-6FD5-4AFB-B5E5-FDE006B8F8C7}"/>
    <cellStyle name="Comma 2 5 2 6 3 4 2" xfId="46306" xr:uid="{E4401DA2-A425-416F-ABED-131C6B2B1A05}"/>
    <cellStyle name="Comma 2 5 2 6 3 4 3" xfId="28052" xr:uid="{2F7405E3-E3D3-4685-A1A2-A6A060222D39}"/>
    <cellStyle name="Comma 2 5 2 6 3 5" xfId="6148" xr:uid="{285E682A-DF52-44EF-8416-D6EFD4294E12}"/>
    <cellStyle name="Comma 2 5 2 6 3 5 2" xfId="42656" xr:uid="{FD02078C-0A3F-43D9-8569-4C855FDFE3F1}"/>
    <cellStyle name="Comma 2 5 2 6 3 5 3" xfId="24402" xr:uid="{9B3B2DEF-4746-43FF-9760-EE95AF260122}"/>
    <cellStyle name="Comma 2 5 2 6 3 6" xfId="39006" xr:uid="{1584F89C-4698-4322-9CBD-38C5922E8428}"/>
    <cellStyle name="Comma 2 5 2 6 3 7" xfId="20752" xr:uid="{26F50D71-4544-42C7-BC6C-BF6EEBB338D4}"/>
    <cellStyle name="Comma 2 5 2 6 4" xfId="1768" xr:uid="{C975CA93-1491-4504-9006-30ACD5004354}"/>
    <cellStyle name="Comma 2 5 2 6 4 2" xfId="16368" xr:uid="{00CBEB52-DCC9-4924-B6F6-76E6A6F43F20}"/>
    <cellStyle name="Comma 2 5 2 6 4 2 2" xfId="52876" xr:uid="{5864A01E-8C8B-452D-B5AD-5D3B787AA9BB}"/>
    <cellStyle name="Comma 2 5 2 6 4 2 3" xfId="34622" xr:uid="{648D3D3A-7FF8-4B5C-B4B9-CEBAF5C1E2A5}"/>
    <cellStyle name="Comma 2 5 2 6 4 3" xfId="12718" xr:uid="{7DF9D751-4A02-4881-83F9-0F6BA54D6238}"/>
    <cellStyle name="Comma 2 5 2 6 4 3 2" xfId="49226" xr:uid="{21BD71AB-4069-4EAA-8183-30FBD26EE4E2}"/>
    <cellStyle name="Comma 2 5 2 6 4 3 3" xfId="30972" xr:uid="{C1ED4A3F-C025-4863-B56E-F37F01C73D8E}"/>
    <cellStyle name="Comma 2 5 2 6 4 4" xfId="9068" xr:uid="{0DAD0470-2925-4973-B533-6A9B57E6437F}"/>
    <cellStyle name="Comma 2 5 2 6 4 4 2" xfId="45576" xr:uid="{ADD26578-3797-4C50-8773-5524245CDF47}"/>
    <cellStyle name="Comma 2 5 2 6 4 4 3" xfId="27322" xr:uid="{DD9770A8-5AFA-40A6-957C-CFE0CCCF4B76}"/>
    <cellStyle name="Comma 2 5 2 6 4 5" xfId="5418" xr:uid="{614A6402-1C83-4388-A98A-0905CA3D93C9}"/>
    <cellStyle name="Comma 2 5 2 6 4 5 2" xfId="41926" xr:uid="{3028FCD4-2849-43E4-8420-75817752620F}"/>
    <cellStyle name="Comma 2 5 2 6 4 5 3" xfId="23672" xr:uid="{4173AF3F-BF34-4982-98F2-9155501A5C93}"/>
    <cellStyle name="Comma 2 5 2 6 4 6" xfId="38276" xr:uid="{58A710C3-79DD-4F6D-9A08-D00DC17D3F22}"/>
    <cellStyle name="Comma 2 5 2 6 4 7" xfId="20022" xr:uid="{0FCF3EB9-7EA9-4DEF-A540-2EF941FB4D06}"/>
    <cellStyle name="Comma 2 5 2 6 5" xfId="1038" xr:uid="{34221E31-1110-4F83-A20A-F88B8ABDA9FC}"/>
    <cellStyle name="Comma 2 5 2 6 5 2" xfId="15638" xr:uid="{232CFE59-1835-4034-B11F-E982785A5232}"/>
    <cellStyle name="Comma 2 5 2 6 5 2 2" xfId="52146" xr:uid="{07E3B4BC-5A03-481C-883B-48BC0A29FEAA}"/>
    <cellStyle name="Comma 2 5 2 6 5 2 3" xfId="33892" xr:uid="{8F2DF445-37DB-4989-9A7F-E97228995B65}"/>
    <cellStyle name="Comma 2 5 2 6 5 3" xfId="11988" xr:uid="{6F9E8AF0-DBC4-43C9-890E-7052D7C07A05}"/>
    <cellStyle name="Comma 2 5 2 6 5 3 2" xfId="48496" xr:uid="{8EC50A94-5C35-40A4-AEEF-70613621BE26}"/>
    <cellStyle name="Comma 2 5 2 6 5 3 3" xfId="30242" xr:uid="{F77A81E8-4BAD-4A1D-8441-3FEDAE8E4E50}"/>
    <cellStyle name="Comma 2 5 2 6 5 4" xfId="8338" xr:uid="{9E363000-320B-4AF7-AE88-50070757C5AA}"/>
    <cellStyle name="Comma 2 5 2 6 5 4 2" xfId="44846" xr:uid="{4853727A-9282-4924-B490-1D1830899EAF}"/>
    <cellStyle name="Comma 2 5 2 6 5 4 3" xfId="26592" xr:uid="{A5F090A0-FCC1-4EE8-A76C-EBAADDDC4632}"/>
    <cellStyle name="Comma 2 5 2 6 5 5" xfId="4688" xr:uid="{D2D25AF0-9D99-4430-A7FC-FE7A828360B9}"/>
    <cellStyle name="Comma 2 5 2 6 5 5 2" xfId="41196" xr:uid="{C04152DC-32F6-4F57-8CE0-15627EFBBDF8}"/>
    <cellStyle name="Comma 2 5 2 6 5 5 3" xfId="22942" xr:uid="{BCCCECA4-5D22-41CE-9821-E7F7A1F65121}"/>
    <cellStyle name="Comma 2 5 2 6 5 6" xfId="37546" xr:uid="{566B0D43-8BD6-4094-BAD1-79DE13E9A31B}"/>
    <cellStyle name="Comma 2 5 2 6 5 7" xfId="19292" xr:uid="{FFF257AC-923E-4E71-B4AB-E1949C954ECA}"/>
    <cellStyle name="Comma 2 5 2 6 6" xfId="14908" xr:uid="{04608C98-C1EA-4D07-94DC-E1232D6A8D0D}"/>
    <cellStyle name="Comma 2 5 2 6 6 2" xfId="51416" xr:uid="{45E431EC-75AF-44F0-B901-9F9E6D2BC03F}"/>
    <cellStyle name="Comma 2 5 2 6 6 3" xfId="33162" xr:uid="{EBE8CA4E-4664-4BAA-B93F-0A48C22837A9}"/>
    <cellStyle name="Comma 2 5 2 6 7" xfId="11258" xr:uid="{82947F1C-05DC-4217-AE89-D5C311296578}"/>
    <cellStyle name="Comma 2 5 2 6 7 2" xfId="47766" xr:uid="{5B757849-4C70-438C-88B0-C338CA7E3C11}"/>
    <cellStyle name="Comma 2 5 2 6 7 3" xfId="29512" xr:uid="{419EF9AA-B971-48AB-B27D-7F4D185A8373}"/>
    <cellStyle name="Comma 2 5 2 6 8" xfId="7608" xr:uid="{1581BFDA-AA60-43AE-AC07-9E7372302DCB}"/>
    <cellStyle name="Comma 2 5 2 6 8 2" xfId="44116" xr:uid="{77D191F7-5E73-43C1-97E7-FA0DD58023F8}"/>
    <cellStyle name="Comma 2 5 2 6 8 3" xfId="25862" xr:uid="{ACBA42CF-6717-46D4-9A16-D6BE32341EEB}"/>
    <cellStyle name="Comma 2 5 2 6 9" xfId="3958" xr:uid="{A542E812-4BDB-4754-B684-2C772D6192DE}"/>
    <cellStyle name="Comma 2 5 2 6 9 2" xfId="40466" xr:uid="{1A43A7EA-CDBF-404E-ABBD-D5CF223AFB3D}"/>
    <cellStyle name="Comma 2 5 2 6 9 3" xfId="22212" xr:uid="{8892A906-ED2E-4D03-B020-B88D80825993}"/>
    <cellStyle name="Comma 2 5 2 7" xfId="204" xr:uid="{78B76E90-87EA-4539-993F-BAC6DF4941C0}"/>
    <cellStyle name="Comma 2 5 2 7 10" xfId="36712" xr:uid="{462FDA32-EF15-4A10-99BF-7B0ED81FB07C}"/>
    <cellStyle name="Comma 2 5 2 7 11" xfId="18458" xr:uid="{E663E95A-78CA-4773-AD5F-7357EE381338}"/>
    <cellStyle name="Comma 2 5 2 7 2" xfId="3124" xr:uid="{0368DEAE-C8C7-42CE-8A57-998335E2BB98}"/>
    <cellStyle name="Comma 2 5 2 7 2 2" xfId="17724" xr:uid="{8B5EB9AD-3EED-4253-8A3F-E917F5B98B04}"/>
    <cellStyle name="Comma 2 5 2 7 2 2 2" xfId="54232" xr:uid="{AE96653E-52C9-4E9D-BC81-A8025BBCD823}"/>
    <cellStyle name="Comma 2 5 2 7 2 2 3" xfId="35978" xr:uid="{305DA8C7-CE25-4035-BA44-357B72778F15}"/>
    <cellStyle name="Comma 2 5 2 7 2 3" xfId="14074" xr:uid="{FC7C5566-72DA-42D7-A32A-FFBA48B28C93}"/>
    <cellStyle name="Comma 2 5 2 7 2 3 2" xfId="50582" xr:uid="{325E1BDC-8EA6-4698-A3C8-FA160ED7556B}"/>
    <cellStyle name="Comma 2 5 2 7 2 3 3" xfId="32328" xr:uid="{93E7A89F-E93C-46D6-9B77-79B90F0F9203}"/>
    <cellStyle name="Comma 2 5 2 7 2 4" xfId="10424" xr:uid="{A7FD412A-C51E-414B-A139-E425EF71DAB2}"/>
    <cellStyle name="Comma 2 5 2 7 2 4 2" xfId="46932" xr:uid="{F6DB5891-67F8-43C4-B284-163A215EB524}"/>
    <cellStyle name="Comma 2 5 2 7 2 4 3" xfId="28678" xr:uid="{19DD2265-8D69-403B-8CC8-2D339D6926A5}"/>
    <cellStyle name="Comma 2 5 2 7 2 5" xfId="6774" xr:uid="{0760D31C-F6F5-4707-B419-A88273A74974}"/>
    <cellStyle name="Comma 2 5 2 7 2 5 2" xfId="43282" xr:uid="{C47361AC-DB0C-400B-AB66-D82695DF9A14}"/>
    <cellStyle name="Comma 2 5 2 7 2 5 3" xfId="25028" xr:uid="{CA2ED914-D350-43C3-B1CA-197351DD494A}"/>
    <cellStyle name="Comma 2 5 2 7 2 6" xfId="39632" xr:uid="{E0003B7A-EB7C-4E5C-8ECE-AC4603E51B81}"/>
    <cellStyle name="Comma 2 5 2 7 2 7" xfId="21378" xr:uid="{C20DB7D6-A29F-421B-A0DA-1AB71C67D85F}"/>
    <cellStyle name="Comma 2 5 2 7 3" xfId="2394" xr:uid="{57F96426-9338-4E43-815F-22F3B0582EA6}"/>
    <cellStyle name="Comma 2 5 2 7 3 2" xfId="16994" xr:uid="{E9314DD2-08DF-4CD8-B2B8-1ADE68A65F7E}"/>
    <cellStyle name="Comma 2 5 2 7 3 2 2" xfId="53502" xr:uid="{6568A9DB-6123-4429-A769-1DB026E2324B}"/>
    <cellStyle name="Comma 2 5 2 7 3 2 3" xfId="35248" xr:uid="{71434310-8D91-442B-8A21-DADAAA7054AD}"/>
    <cellStyle name="Comma 2 5 2 7 3 3" xfId="13344" xr:uid="{E6A13921-8269-4A5B-B567-2EE644AD7BE9}"/>
    <cellStyle name="Comma 2 5 2 7 3 3 2" xfId="49852" xr:uid="{33FEEC5D-0005-4DCD-9510-B1E635694A1C}"/>
    <cellStyle name="Comma 2 5 2 7 3 3 3" xfId="31598" xr:uid="{8605D3A8-7C0A-4B9E-B704-F8D69E005844}"/>
    <cellStyle name="Comma 2 5 2 7 3 4" xfId="9694" xr:uid="{237A2111-50A8-4519-AB96-46C6CEE5AEAF}"/>
    <cellStyle name="Comma 2 5 2 7 3 4 2" xfId="46202" xr:uid="{5EB816B7-6110-46E6-B679-4A5A339F10D8}"/>
    <cellStyle name="Comma 2 5 2 7 3 4 3" xfId="27948" xr:uid="{7B9A017C-976B-49D0-A8D6-B8846A8C61FE}"/>
    <cellStyle name="Comma 2 5 2 7 3 5" xfId="6044" xr:uid="{690C6E87-8C6F-4371-9045-B9A601F7C8BB}"/>
    <cellStyle name="Comma 2 5 2 7 3 5 2" xfId="42552" xr:uid="{DF9AC20A-A976-4C3F-9656-BDC204B2D34C}"/>
    <cellStyle name="Comma 2 5 2 7 3 5 3" xfId="24298" xr:uid="{E0756DC2-347C-4A31-AF73-EFCFEC5E5D0D}"/>
    <cellStyle name="Comma 2 5 2 7 3 6" xfId="38902" xr:uid="{AA043F81-E3B9-477B-A5BC-4690A56526F1}"/>
    <cellStyle name="Comma 2 5 2 7 3 7" xfId="20648" xr:uid="{C27517E1-1A99-4060-874B-323AC59EAF97}"/>
    <cellStyle name="Comma 2 5 2 7 4" xfId="1664" xr:uid="{6615EA2E-E12F-4C60-A266-53092F5AF7D3}"/>
    <cellStyle name="Comma 2 5 2 7 4 2" xfId="16264" xr:uid="{14FF7BDE-4B64-48AE-82D5-77F41CA145B6}"/>
    <cellStyle name="Comma 2 5 2 7 4 2 2" xfId="52772" xr:uid="{1D630794-F469-487C-A62F-B14202A3E2E1}"/>
    <cellStyle name="Comma 2 5 2 7 4 2 3" xfId="34518" xr:uid="{F1186D1D-7A57-4A15-BE1F-0D5A5060F467}"/>
    <cellStyle name="Comma 2 5 2 7 4 3" xfId="12614" xr:uid="{56A244F0-CBB2-4397-B76A-0AB992412DCB}"/>
    <cellStyle name="Comma 2 5 2 7 4 3 2" xfId="49122" xr:uid="{B3E605EF-5842-4399-9D42-6F3F13EBC8EE}"/>
    <cellStyle name="Comma 2 5 2 7 4 3 3" xfId="30868" xr:uid="{88926BCA-4B6F-4777-820A-19DF490BBAF9}"/>
    <cellStyle name="Comma 2 5 2 7 4 4" xfId="8964" xr:uid="{A2064BC0-3930-4A68-A241-B77B459AB5AA}"/>
    <cellStyle name="Comma 2 5 2 7 4 4 2" xfId="45472" xr:uid="{584DBA4C-C38E-4FEB-A51F-3162DCDCD64B}"/>
    <cellStyle name="Comma 2 5 2 7 4 4 3" xfId="27218" xr:uid="{4F9DB3D6-15A5-4114-98AB-74E70BAAE584}"/>
    <cellStyle name="Comma 2 5 2 7 4 5" xfId="5314" xr:uid="{86ED2BC9-00AB-4B23-BE14-52D7E0BC3AF4}"/>
    <cellStyle name="Comma 2 5 2 7 4 5 2" xfId="41822" xr:uid="{8A6DE947-7E36-4DB7-9B99-F04F32B96E22}"/>
    <cellStyle name="Comma 2 5 2 7 4 5 3" xfId="23568" xr:uid="{7AA31682-EF22-47AF-A30F-3BE333A74705}"/>
    <cellStyle name="Comma 2 5 2 7 4 6" xfId="38172" xr:uid="{6A5A8F90-7825-4E75-9086-BD8375D09458}"/>
    <cellStyle name="Comma 2 5 2 7 4 7" xfId="19918" xr:uid="{6D9E9B78-25D5-4D34-BFD2-414154DF5A2F}"/>
    <cellStyle name="Comma 2 5 2 7 5" xfId="934" xr:uid="{1FCB25B5-8405-4969-A69D-1A2D8F9E6E67}"/>
    <cellStyle name="Comma 2 5 2 7 5 2" xfId="15534" xr:uid="{255F9732-49D0-4A81-9B42-1DABFE499339}"/>
    <cellStyle name="Comma 2 5 2 7 5 2 2" xfId="52042" xr:uid="{D9604C0A-08D8-4BDC-902E-7E484C997B96}"/>
    <cellStyle name="Comma 2 5 2 7 5 2 3" xfId="33788" xr:uid="{C1640008-FC23-4230-85D5-85F2DD5C27CC}"/>
    <cellStyle name="Comma 2 5 2 7 5 3" xfId="11884" xr:uid="{1B971AD3-E5D2-445A-B3D1-3C29F2AEBC71}"/>
    <cellStyle name="Comma 2 5 2 7 5 3 2" xfId="48392" xr:uid="{E930F5B7-D8B8-42B9-9C4F-F6CE5808CDEE}"/>
    <cellStyle name="Comma 2 5 2 7 5 3 3" xfId="30138" xr:uid="{444D249C-413A-430E-B161-80DBDFA9C155}"/>
    <cellStyle name="Comma 2 5 2 7 5 4" xfId="8234" xr:uid="{9F70DEA3-ABB7-423F-B96C-45F8A044E4FF}"/>
    <cellStyle name="Comma 2 5 2 7 5 4 2" xfId="44742" xr:uid="{3D59ED24-B1E9-46D0-AFB1-8D83D8E724E2}"/>
    <cellStyle name="Comma 2 5 2 7 5 4 3" xfId="26488" xr:uid="{8BE89FDC-CB61-436F-8AE8-CBBE2A700CDC}"/>
    <cellStyle name="Comma 2 5 2 7 5 5" xfId="4584" xr:uid="{F832A591-3168-40C8-BE84-4AEC72443174}"/>
    <cellStyle name="Comma 2 5 2 7 5 5 2" xfId="41092" xr:uid="{35F41C6A-DB9E-4370-942F-A482F8329250}"/>
    <cellStyle name="Comma 2 5 2 7 5 5 3" xfId="22838" xr:uid="{DC996C9C-D0F9-487D-82DC-0E82FDFE65C4}"/>
    <cellStyle name="Comma 2 5 2 7 5 6" xfId="37442" xr:uid="{ED6437F8-4B00-4FD7-BEC6-AA4E4129960B}"/>
    <cellStyle name="Comma 2 5 2 7 5 7" xfId="19188" xr:uid="{572C93E2-840E-4244-AF6F-2A9BDCD12B5D}"/>
    <cellStyle name="Comma 2 5 2 7 6" xfId="14804" xr:uid="{DC060BEE-8CBB-4583-9A2E-49D592D32032}"/>
    <cellStyle name="Comma 2 5 2 7 6 2" xfId="51312" xr:uid="{72EDE0BA-BC29-4B2D-BCBE-40E1C48A7006}"/>
    <cellStyle name="Comma 2 5 2 7 6 3" xfId="33058" xr:uid="{B176FCBB-1407-49B4-9728-A6896AD254BB}"/>
    <cellStyle name="Comma 2 5 2 7 7" xfId="11154" xr:uid="{BB1721DB-5E4D-442A-9FB8-63736B54C22F}"/>
    <cellStyle name="Comma 2 5 2 7 7 2" xfId="47662" xr:uid="{CAB0C3F0-EE83-4CFF-8B18-235BD7664206}"/>
    <cellStyle name="Comma 2 5 2 7 7 3" xfId="29408" xr:uid="{452D6FF9-6C88-4EA3-A259-6F24C518C12E}"/>
    <cellStyle name="Comma 2 5 2 7 8" xfId="7504" xr:uid="{621D7F8D-BC9E-49BA-B8FE-0576117442F8}"/>
    <cellStyle name="Comma 2 5 2 7 8 2" xfId="44012" xr:uid="{7DBFCC3F-E4BC-421E-96F7-C9BD364A8B47}"/>
    <cellStyle name="Comma 2 5 2 7 8 3" xfId="25758" xr:uid="{5A8C6743-9217-40D3-B4A7-C5C2255D3F7D}"/>
    <cellStyle name="Comma 2 5 2 7 9" xfId="3854" xr:uid="{723BA0FF-C1CA-4E06-9D7B-831906B1DC5D}"/>
    <cellStyle name="Comma 2 5 2 7 9 2" xfId="40362" xr:uid="{6C97B122-CA5E-4DAC-98EC-54ED58406067}"/>
    <cellStyle name="Comma 2 5 2 7 9 3" xfId="22108" xr:uid="{CCF91209-B583-4C4E-94E6-88BFDD9096B1}"/>
    <cellStyle name="Comma 2 5 2 8" xfId="3020" xr:uid="{F5280FC6-8AEB-4991-A2C9-9693812744F1}"/>
    <cellStyle name="Comma 2 5 2 8 2" xfId="17620" xr:uid="{11CEA4E4-7070-4127-B307-3E786349818E}"/>
    <cellStyle name="Comma 2 5 2 8 2 2" xfId="54128" xr:uid="{155EA65E-3464-471E-8196-6D97A5677F74}"/>
    <cellStyle name="Comma 2 5 2 8 2 3" xfId="35874" xr:uid="{77F1DCB2-78A0-470D-906E-C29D7166BA09}"/>
    <cellStyle name="Comma 2 5 2 8 3" xfId="13970" xr:uid="{CDA7B97B-9226-4DFF-8652-D84F0483831D}"/>
    <cellStyle name="Comma 2 5 2 8 3 2" xfId="50478" xr:uid="{B01D0173-87E1-477E-AD8D-327E615B7590}"/>
    <cellStyle name="Comma 2 5 2 8 3 3" xfId="32224" xr:uid="{4746043F-BFF9-4034-92A8-24051FD00A2A}"/>
    <cellStyle name="Comma 2 5 2 8 4" xfId="10320" xr:uid="{D3F55320-C981-4DF6-9A83-DB3C6396C703}"/>
    <cellStyle name="Comma 2 5 2 8 4 2" xfId="46828" xr:uid="{1972CC7C-EF39-4677-AC7C-26085BF0C32A}"/>
    <cellStyle name="Comma 2 5 2 8 4 3" xfId="28574" xr:uid="{F42B03C4-4E02-4934-9F0F-C1BAB48BF7A1}"/>
    <cellStyle name="Comma 2 5 2 8 5" xfId="6670" xr:uid="{6562ED2F-8D72-4262-98F8-8BBE08C2BD46}"/>
    <cellStyle name="Comma 2 5 2 8 5 2" xfId="43178" xr:uid="{5E89816F-CEBA-42BA-88FF-E9A13F5A3215}"/>
    <cellStyle name="Comma 2 5 2 8 5 3" xfId="24924" xr:uid="{3C0A5108-3715-4DE2-881F-1FE1D3746366}"/>
    <cellStyle name="Comma 2 5 2 8 6" xfId="39528" xr:uid="{03492A16-8B58-4A2C-A944-797785881F83}"/>
    <cellStyle name="Comma 2 5 2 8 7" xfId="21274" xr:uid="{70DDF8D9-6AA7-409B-908F-D6415E9D41BD}"/>
    <cellStyle name="Comma 2 5 2 9" xfId="2290" xr:uid="{B77F61C3-E746-417B-A189-8622F14F617D}"/>
    <cellStyle name="Comma 2 5 2 9 2" xfId="16890" xr:uid="{32680227-2003-4E3D-B1C6-0384D1B903AF}"/>
    <cellStyle name="Comma 2 5 2 9 2 2" xfId="53398" xr:uid="{C2970F17-BB2E-4568-B68D-14C31F85F8A6}"/>
    <cellStyle name="Comma 2 5 2 9 2 3" xfId="35144" xr:uid="{B36D6DA7-09DF-4B4C-A0DA-CB3892AE473F}"/>
    <cellStyle name="Comma 2 5 2 9 3" xfId="13240" xr:uid="{A0EF850B-C954-4CDA-A818-15BDEB2EF3F2}"/>
    <cellStyle name="Comma 2 5 2 9 3 2" xfId="49748" xr:uid="{4B09D232-5008-4124-BC26-FA0D2C408F10}"/>
    <cellStyle name="Comma 2 5 2 9 3 3" xfId="31494" xr:uid="{9E0055E3-CD3C-4E44-A702-43C22E55185C}"/>
    <cellStyle name="Comma 2 5 2 9 4" xfId="9590" xr:uid="{E8135A7B-609C-49A9-A253-42EECF50481A}"/>
    <cellStyle name="Comma 2 5 2 9 4 2" xfId="46098" xr:uid="{71C5DB2F-4022-43D8-B393-80B3E090634C}"/>
    <cellStyle name="Comma 2 5 2 9 4 3" xfId="27844" xr:uid="{1F9EB670-7458-462F-B35C-0AE2660D5C55}"/>
    <cellStyle name="Comma 2 5 2 9 5" xfId="5940" xr:uid="{D8029D80-6D8B-46F9-B617-DE338442EA58}"/>
    <cellStyle name="Comma 2 5 2 9 5 2" xfId="42448" xr:uid="{A33ECDCD-C898-467C-915E-4DE1F80327A8}"/>
    <cellStyle name="Comma 2 5 2 9 5 3" xfId="24194" xr:uid="{365EFA7F-8BEC-4D73-9726-378B14E11BE3}"/>
    <cellStyle name="Comma 2 5 2 9 6" xfId="38798" xr:uid="{468AC18C-C059-4245-A2EB-9BDEE3722378}"/>
    <cellStyle name="Comma 2 5 2 9 7" xfId="20544" xr:uid="{7FFA7C0A-7ED4-4911-9D7E-C1262FF2044F}"/>
    <cellStyle name="Comma 2 5 3" xfId="65" xr:uid="{2978375A-753F-438B-8834-E800EEB776FC}"/>
    <cellStyle name="Comma 2 5 3 10" xfId="1528" xr:uid="{1F915A75-2AFB-46FD-9FF6-8C4055E7005B}"/>
    <cellStyle name="Comma 2 5 3 10 2" xfId="16128" xr:uid="{350DD3E2-E605-4E40-A3F6-D88C75DA1040}"/>
    <cellStyle name="Comma 2 5 3 10 2 2" xfId="52636" xr:uid="{AD59E694-E191-463F-BD32-C5FC815347E1}"/>
    <cellStyle name="Comma 2 5 3 10 2 3" xfId="34382" xr:uid="{5713FFB7-9977-4088-90B1-53BBDF630B68}"/>
    <cellStyle name="Comma 2 5 3 10 3" xfId="12478" xr:uid="{A413F400-8CB8-496F-9DE4-CEBDE5A1EAE1}"/>
    <cellStyle name="Comma 2 5 3 10 3 2" xfId="48986" xr:uid="{12F5044E-024D-4314-A0C7-DB43579D235F}"/>
    <cellStyle name="Comma 2 5 3 10 3 3" xfId="30732" xr:uid="{8CD23FD6-0573-49BB-9ECF-BE55C431AA04}"/>
    <cellStyle name="Comma 2 5 3 10 4" xfId="8828" xr:uid="{347E3FB8-D140-4F52-BBBA-D30C7817FD43}"/>
    <cellStyle name="Comma 2 5 3 10 4 2" xfId="45336" xr:uid="{D18FA957-AC19-4A7C-A3EE-14B2BF93C502}"/>
    <cellStyle name="Comma 2 5 3 10 4 3" xfId="27082" xr:uid="{98E8082D-5602-4EFF-8E28-5B3B122C1FBB}"/>
    <cellStyle name="Comma 2 5 3 10 5" xfId="5178" xr:uid="{9FBEF75C-4152-471F-A736-B8016A6177EE}"/>
    <cellStyle name="Comma 2 5 3 10 5 2" xfId="41686" xr:uid="{2A419138-C3B9-41F4-9EE1-DACD027B9156}"/>
    <cellStyle name="Comma 2 5 3 10 5 3" xfId="23432" xr:uid="{D315DE4D-2D15-48BF-BF9B-C17966A84DE2}"/>
    <cellStyle name="Comma 2 5 3 10 6" xfId="38036" xr:uid="{CE742B48-43CE-4ED4-BB49-4FC163C7E8EF}"/>
    <cellStyle name="Comma 2 5 3 10 7" xfId="19782" xr:uid="{41395785-E5F7-4C46-987A-8C815E10088D}"/>
    <cellStyle name="Comma 2 5 3 11" xfId="798" xr:uid="{0C7031BC-FBB4-483F-B0D0-66878C3793AD}"/>
    <cellStyle name="Comma 2 5 3 11 2" xfId="15398" xr:uid="{25D75E0D-CC05-4566-B028-E87446BC40F0}"/>
    <cellStyle name="Comma 2 5 3 11 2 2" xfId="51906" xr:uid="{ED94DF12-A298-4C4A-BEB6-18CA1D60E1C1}"/>
    <cellStyle name="Comma 2 5 3 11 2 3" xfId="33652" xr:uid="{66B52C2F-9EC8-4A41-8D2E-2C22214CC80F}"/>
    <cellStyle name="Comma 2 5 3 11 3" xfId="11748" xr:uid="{020AFCBC-5244-43E9-A4FC-693BD563D742}"/>
    <cellStyle name="Comma 2 5 3 11 3 2" xfId="48256" xr:uid="{E24DD2CD-6F21-457F-B822-81DB26138706}"/>
    <cellStyle name="Comma 2 5 3 11 3 3" xfId="30002" xr:uid="{51B62E80-88A1-4C7F-A250-3CCA271CDBD9}"/>
    <cellStyle name="Comma 2 5 3 11 4" xfId="8098" xr:uid="{61D1C852-AD65-4DA5-B6CD-A3397D62BFB4}"/>
    <cellStyle name="Comma 2 5 3 11 4 2" xfId="44606" xr:uid="{82546199-5944-4E78-880C-67F772E9DC5F}"/>
    <cellStyle name="Comma 2 5 3 11 4 3" xfId="26352" xr:uid="{70BF68BD-4770-4B93-9CDD-CAC136B40026}"/>
    <cellStyle name="Comma 2 5 3 11 5" xfId="4448" xr:uid="{04CF3D07-23BC-44D6-A421-4DA35F64306F}"/>
    <cellStyle name="Comma 2 5 3 11 5 2" xfId="40956" xr:uid="{8D6B5AC0-BB26-47B6-B5DD-E6F11A64B1CE}"/>
    <cellStyle name="Comma 2 5 3 11 5 3" xfId="22702" xr:uid="{FAA00DDF-60C5-4841-9F36-8978C54C268A}"/>
    <cellStyle name="Comma 2 5 3 11 6" xfId="37306" xr:uid="{863C46CD-1A35-4278-81A7-003BA8CFDF82}"/>
    <cellStyle name="Comma 2 5 3 11 7" xfId="19052" xr:uid="{D168687D-556D-4694-969D-F3D04756F60B}"/>
    <cellStyle name="Comma 2 5 3 12" xfId="14668" xr:uid="{1F4FB59B-92FF-4F0E-9B45-F4F00467ED2B}"/>
    <cellStyle name="Comma 2 5 3 12 2" xfId="51176" xr:uid="{BC4729DE-2211-4B14-B702-2F65220A6996}"/>
    <cellStyle name="Comma 2 5 3 12 3" xfId="32922" xr:uid="{F0C42FA0-0C86-4A30-8CED-7DD8B5A939A2}"/>
    <cellStyle name="Comma 2 5 3 13" xfId="11018" xr:uid="{D9A7D8B7-065F-495D-9CBE-D7E205B3A52A}"/>
    <cellStyle name="Comma 2 5 3 13 2" xfId="47526" xr:uid="{9F13A2F3-23DC-4543-8C33-F5FEFDDFEC5C}"/>
    <cellStyle name="Comma 2 5 3 13 3" xfId="29272" xr:uid="{BD5C03CD-081A-4672-9E1D-D92E3FD45BE7}"/>
    <cellStyle name="Comma 2 5 3 14" xfId="7368" xr:uid="{A0998362-2E64-40E5-9239-E4448311ADA7}"/>
    <cellStyle name="Comma 2 5 3 14 2" xfId="43876" xr:uid="{4AE49342-ADBB-4D96-A546-0CCD253C69AE}"/>
    <cellStyle name="Comma 2 5 3 14 3" xfId="25622" xr:uid="{3FED0B56-A154-494F-A962-F7C3F3173F5E}"/>
    <cellStyle name="Comma 2 5 3 15" xfId="3718" xr:uid="{81844A14-1714-49DC-937F-5F209CD5E13A}"/>
    <cellStyle name="Comma 2 5 3 15 2" xfId="40226" xr:uid="{4953562B-627B-4B94-A878-DB58948D1676}"/>
    <cellStyle name="Comma 2 5 3 15 3" xfId="21972" xr:uid="{914E0258-ED4B-4D40-BBCD-9E852182EA9E}"/>
    <cellStyle name="Comma 2 5 3 16" xfId="36576" xr:uid="{D6A0F782-63C8-43D6-86EF-10DA468CD351}"/>
    <cellStyle name="Comma 2 5 3 17" xfId="18322" xr:uid="{B4E4D5DF-287C-4F0F-8636-FA88F00F475E}"/>
    <cellStyle name="Comma 2 5 3 2" xfId="692" xr:uid="{FBF3EEFE-785F-436C-AD73-3A14926E4C2A}"/>
    <cellStyle name="Comma 2 5 3 2 10" xfId="37200" xr:uid="{D2AA33BD-266C-4625-B048-DE8AE5E37A40}"/>
    <cellStyle name="Comma 2 5 3 2 11" xfId="18946" xr:uid="{69F7BEB8-3E06-4DBE-8D62-3788EED7A636}"/>
    <cellStyle name="Comma 2 5 3 2 2" xfId="3612" xr:uid="{BA47C04B-D564-42D8-81AF-C68825641746}"/>
    <cellStyle name="Comma 2 5 3 2 2 2" xfId="18212" xr:uid="{ACFDEC68-C828-4AD6-85FD-F477D2F5CE49}"/>
    <cellStyle name="Comma 2 5 3 2 2 2 2" xfId="54720" xr:uid="{62C3044F-A743-4CF3-9964-5DC1BAA5B773}"/>
    <cellStyle name="Comma 2 5 3 2 2 2 3" xfId="36466" xr:uid="{ED6A50CA-9CF8-471A-86EC-33D1B5BD7824}"/>
    <cellStyle name="Comma 2 5 3 2 2 3" xfId="14562" xr:uid="{4D43F80B-5F1E-4F5F-8FDD-D00F289977F3}"/>
    <cellStyle name="Comma 2 5 3 2 2 3 2" xfId="51070" xr:uid="{0E4B5294-C18E-412D-A2DE-703A05AA95C9}"/>
    <cellStyle name="Comma 2 5 3 2 2 3 3" xfId="32816" xr:uid="{A2AC951C-4474-41D1-AC32-22131C8557FB}"/>
    <cellStyle name="Comma 2 5 3 2 2 4" xfId="10912" xr:uid="{40D1AB32-9E5D-4051-AC54-5F95F703CE46}"/>
    <cellStyle name="Comma 2 5 3 2 2 4 2" xfId="47420" xr:uid="{58F0C5D4-4AB5-44A1-9522-537AB2C25F4A}"/>
    <cellStyle name="Comma 2 5 3 2 2 4 3" xfId="29166" xr:uid="{EE872ADC-360F-4308-9A59-0AF915F1F0DB}"/>
    <cellStyle name="Comma 2 5 3 2 2 5" xfId="7262" xr:uid="{413DF33A-61A6-4F58-989B-4119DDD8307C}"/>
    <cellStyle name="Comma 2 5 3 2 2 5 2" xfId="43770" xr:uid="{82E9BC64-4204-4EF3-AD41-79925721308F}"/>
    <cellStyle name="Comma 2 5 3 2 2 5 3" xfId="25516" xr:uid="{1DBB67C2-299C-475A-BC8C-693F9FB55944}"/>
    <cellStyle name="Comma 2 5 3 2 2 6" xfId="40120" xr:uid="{D5340D9E-EF2F-4B65-9D4E-9E3FDFBD2501}"/>
    <cellStyle name="Comma 2 5 3 2 2 7" xfId="21866" xr:uid="{FFC0B6AC-A2EC-4A31-8A86-2440472F448D}"/>
    <cellStyle name="Comma 2 5 3 2 3" xfId="2882" xr:uid="{BCE2462D-0A7D-498B-BEDC-446CAD13AFE5}"/>
    <cellStyle name="Comma 2 5 3 2 3 2" xfId="17482" xr:uid="{461B4A11-2C4C-46A4-A17B-617439F5D8E5}"/>
    <cellStyle name="Comma 2 5 3 2 3 2 2" xfId="53990" xr:uid="{8227AF69-3AC0-4843-A560-85BDC00400CE}"/>
    <cellStyle name="Comma 2 5 3 2 3 2 3" xfId="35736" xr:uid="{C017A042-FBFF-4530-823D-31AB970A5736}"/>
    <cellStyle name="Comma 2 5 3 2 3 3" xfId="13832" xr:uid="{57344041-0A34-4E20-8CC8-69C991C9731D}"/>
    <cellStyle name="Comma 2 5 3 2 3 3 2" xfId="50340" xr:uid="{D48B23A4-640D-476F-87C4-A82F5318C055}"/>
    <cellStyle name="Comma 2 5 3 2 3 3 3" xfId="32086" xr:uid="{C0FBD8D2-44A8-4788-BC13-88CC67652E7A}"/>
    <cellStyle name="Comma 2 5 3 2 3 4" xfId="10182" xr:uid="{83C27ED7-A77A-40E0-B8B2-7F22EE099C98}"/>
    <cellStyle name="Comma 2 5 3 2 3 4 2" xfId="46690" xr:uid="{019FCB95-BD46-4F3A-BC76-C44BFEDAAAE0}"/>
    <cellStyle name="Comma 2 5 3 2 3 4 3" xfId="28436" xr:uid="{4985BEE5-A992-4BE5-8425-CB04B4F5F369}"/>
    <cellStyle name="Comma 2 5 3 2 3 5" xfId="6532" xr:uid="{7CC085A5-969D-48B4-945A-2E12F366068C}"/>
    <cellStyle name="Comma 2 5 3 2 3 5 2" xfId="43040" xr:uid="{4D433B76-287B-467E-8403-571F9B9DC979}"/>
    <cellStyle name="Comma 2 5 3 2 3 5 3" xfId="24786" xr:uid="{405F2C51-470F-4759-A15F-8C85251731E5}"/>
    <cellStyle name="Comma 2 5 3 2 3 6" xfId="39390" xr:uid="{1AE404F6-88B3-4B40-8B13-36AE0673A7B4}"/>
    <cellStyle name="Comma 2 5 3 2 3 7" xfId="21136" xr:uid="{F594887A-534B-482B-B5EA-D9A907573E71}"/>
    <cellStyle name="Comma 2 5 3 2 4" xfId="2152" xr:uid="{4F250A78-DC05-4DFC-9ECA-FBE45D07ECD1}"/>
    <cellStyle name="Comma 2 5 3 2 4 2" xfId="16752" xr:uid="{F24594F4-C9FD-4E59-BDD5-A5689AFFD776}"/>
    <cellStyle name="Comma 2 5 3 2 4 2 2" xfId="53260" xr:uid="{E0307714-6480-487A-BEC7-EA4CDEA52DA2}"/>
    <cellStyle name="Comma 2 5 3 2 4 2 3" xfId="35006" xr:uid="{B1741C8B-F55B-4BC4-A1A1-84F02096A219}"/>
    <cellStyle name="Comma 2 5 3 2 4 3" xfId="13102" xr:uid="{21DDCA7C-EE66-458F-8EE2-886B2CE7DAE9}"/>
    <cellStyle name="Comma 2 5 3 2 4 3 2" xfId="49610" xr:uid="{E08DC5A5-AEA8-4138-8A2A-773ACAABAE0E}"/>
    <cellStyle name="Comma 2 5 3 2 4 3 3" xfId="31356" xr:uid="{B6411251-94EE-47B9-ADC4-6040E11BBF5E}"/>
    <cellStyle name="Comma 2 5 3 2 4 4" xfId="9452" xr:uid="{EDE6D79D-DD4A-4BDA-9608-EDA6665B4DBA}"/>
    <cellStyle name="Comma 2 5 3 2 4 4 2" xfId="45960" xr:uid="{2215D24D-D7F3-433B-851B-402F882CFE66}"/>
    <cellStyle name="Comma 2 5 3 2 4 4 3" xfId="27706" xr:uid="{7F884EE0-90A3-4FFB-9D6E-1C870AFF4B9C}"/>
    <cellStyle name="Comma 2 5 3 2 4 5" xfId="5802" xr:uid="{854C54FC-ACDD-4887-9BCE-8D2910FD09D9}"/>
    <cellStyle name="Comma 2 5 3 2 4 5 2" xfId="42310" xr:uid="{7E49EAC4-E53D-439B-BD9B-D5E48322F09F}"/>
    <cellStyle name="Comma 2 5 3 2 4 5 3" xfId="24056" xr:uid="{C6280E00-5F03-4D33-99DE-6EB691B217FB}"/>
    <cellStyle name="Comma 2 5 3 2 4 6" xfId="38660" xr:uid="{D947C9B0-2180-4BCD-8DAD-07246CACAF59}"/>
    <cellStyle name="Comma 2 5 3 2 4 7" xfId="20406" xr:uid="{03A8FAEB-6FFA-47BA-965E-DF5B668B78B8}"/>
    <cellStyle name="Comma 2 5 3 2 5" xfId="1422" xr:uid="{C7477B67-A1B4-4D14-97EA-7BDDC62B63AB}"/>
    <cellStyle name="Comma 2 5 3 2 5 2" xfId="16022" xr:uid="{B1198AC3-6744-4C4A-9267-23962815A8EF}"/>
    <cellStyle name="Comma 2 5 3 2 5 2 2" xfId="52530" xr:uid="{90A40F1F-D921-438F-815C-08F4C95048BA}"/>
    <cellStyle name="Comma 2 5 3 2 5 2 3" xfId="34276" xr:uid="{D19A62FA-3142-4667-9A88-2D0DF2529CF4}"/>
    <cellStyle name="Comma 2 5 3 2 5 3" xfId="12372" xr:uid="{10B3ECF5-1C13-4244-A9B5-1ABD9030B2AE}"/>
    <cellStyle name="Comma 2 5 3 2 5 3 2" xfId="48880" xr:uid="{3B144148-344C-4BAA-9E3B-2DA40AEA634D}"/>
    <cellStyle name="Comma 2 5 3 2 5 3 3" xfId="30626" xr:uid="{162E28F8-5201-4D83-BD5B-8540137D9ACA}"/>
    <cellStyle name="Comma 2 5 3 2 5 4" xfId="8722" xr:uid="{71A1B27F-A2CF-41CD-A83B-949CE999F4D5}"/>
    <cellStyle name="Comma 2 5 3 2 5 4 2" xfId="45230" xr:uid="{2D3E0006-C5E1-4FCE-8FA6-62BA39AC00C8}"/>
    <cellStyle name="Comma 2 5 3 2 5 4 3" xfId="26976" xr:uid="{712642E1-16EA-46E4-9A84-BF6D2B63839C}"/>
    <cellStyle name="Comma 2 5 3 2 5 5" xfId="5072" xr:uid="{3B87AB6E-E330-4297-B4CC-27D40770C3D5}"/>
    <cellStyle name="Comma 2 5 3 2 5 5 2" xfId="41580" xr:uid="{520BFC46-CB5B-4EE7-816E-2C800F724DCF}"/>
    <cellStyle name="Comma 2 5 3 2 5 5 3" xfId="23326" xr:uid="{8C9A42BE-DEB9-47AE-B01F-17F5D63A2B45}"/>
    <cellStyle name="Comma 2 5 3 2 5 6" xfId="37930" xr:uid="{399A24CE-61B3-42D2-BD36-E6B48DB81C6E}"/>
    <cellStyle name="Comma 2 5 3 2 5 7" xfId="19676" xr:uid="{C168387B-2015-4A22-A39F-E6B9BD8C3B9A}"/>
    <cellStyle name="Comma 2 5 3 2 6" xfId="15292" xr:uid="{1EDD9400-DFEF-4345-A1A8-26B6A959323E}"/>
    <cellStyle name="Comma 2 5 3 2 6 2" xfId="51800" xr:uid="{7C21E480-654F-4219-A37D-F77F70E4218B}"/>
    <cellStyle name="Comma 2 5 3 2 6 3" xfId="33546" xr:uid="{C56A0C2B-789C-4480-B43E-1B954C08C6F3}"/>
    <cellStyle name="Comma 2 5 3 2 7" xfId="11642" xr:uid="{C0EF4DC0-915C-45C7-8F8C-7BC89B3B994B}"/>
    <cellStyle name="Comma 2 5 3 2 7 2" xfId="48150" xr:uid="{9E1D0A53-EC85-4CA1-B210-36AD35AD9F8B}"/>
    <cellStyle name="Comma 2 5 3 2 7 3" xfId="29896" xr:uid="{982A66A2-4416-4FA6-A591-614445F1DBE9}"/>
    <cellStyle name="Comma 2 5 3 2 8" xfId="7992" xr:uid="{4CD975BC-2EF2-4216-B588-CF5093C3E7BD}"/>
    <cellStyle name="Comma 2 5 3 2 8 2" xfId="44500" xr:uid="{DEC7694D-4153-461E-8FB8-4E34FE40D5D3}"/>
    <cellStyle name="Comma 2 5 3 2 8 3" xfId="26246" xr:uid="{6C5A19E2-C0DD-4BCD-A083-FC9EF4D95669}"/>
    <cellStyle name="Comma 2 5 3 2 9" xfId="4342" xr:uid="{C62FABFF-2F63-4CD6-A843-45DE8B70C91A}"/>
    <cellStyle name="Comma 2 5 3 2 9 2" xfId="40850" xr:uid="{DD8E97B2-59C1-42BB-8EA8-87AD9FC295D7}"/>
    <cellStyle name="Comma 2 5 3 2 9 3" xfId="22596" xr:uid="{8183860A-77EB-4570-AF2C-02D76076C2C1}"/>
    <cellStyle name="Comma 2 5 3 3" xfId="588" xr:uid="{2A6861B4-2493-4921-81F1-C800D7F53405}"/>
    <cellStyle name="Comma 2 5 3 3 10" xfId="37096" xr:uid="{B2DD9F9B-526B-482F-BEBB-F00010999364}"/>
    <cellStyle name="Comma 2 5 3 3 11" xfId="18842" xr:uid="{F9EFCD16-E5D9-4462-91BD-2A22354068D5}"/>
    <cellStyle name="Comma 2 5 3 3 2" xfId="3508" xr:uid="{9AF71000-F688-4D0B-9505-FDA6EFAF84E5}"/>
    <cellStyle name="Comma 2 5 3 3 2 2" xfId="18108" xr:uid="{1051CF78-1360-4E6D-92DB-331559B65E7D}"/>
    <cellStyle name="Comma 2 5 3 3 2 2 2" xfId="54616" xr:uid="{276036C7-5C3A-4985-89C8-9998281710E4}"/>
    <cellStyle name="Comma 2 5 3 3 2 2 3" xfId="36362" xr:uid="{0E3026C9-506E-4371-93CA-D6061DDF8469}"/>
    <cellStyle name="Comma 2 5 3 3 2 3" xfId="14458" xr:uid="{31504286-CE6A-4FB2-B133-1D726909EABE}"/>
    <cellStyle name="Comma 2 5 3 3 2 3 2" xfId="50966" xr:uid="{34C8A086-3C18-4810-8F2C-EE9C4E58B494}"/>
    <cellStyle name="Comma 2 5 3 3 2 3 3" xfId="32712" xr:uid="{A0665370-3343-4186-9A6D-A34B72769368}"/>
    <cellStyle name="Comma 2 5 3 3 2 4" xfId="10808" xr:uid="{F7F9DE3C-5157-4446-A840-55AF0CAC9611}"/>
    <cellStyle name="Comma 2 5 3 3 2 4 2" xfId="47316" xr:uid="{47DEEFF0-5694-4A33-9F5A-227EAE8D14D0}"/>
    <cellStyle name="Comma 2 5 3 3 2 4 3" xfId="29062" xr:uid="{74D4A0B9-1B61-4399-A25F-701AFA307D9F}"/>
    <cellStyle name="Comma 2 5 3 3 2 5" xfId="7158" xr:uid="{D143EBE5-B305-4B12-8A16-ACF192AA7B3A}"/>
    <cellStyle name="Comma 2 5 3 3 2 5 2" xfId="43666" xr:uid="{80F2CB8B-29E5-47DE-A6C7-886B3E0D1699}"/>
    <cellStyle name="Comma 2 5 3 3 2 5 3" xfId="25412" xr:uid="{FA4BD166-E7F7-416B-9D5C-CB649E3D3CE0}"/>
    <cellStyle name="Comma 2 5 3 3 2 6" xfId="40016" xr:uid="{0737A6B8-E093-4A7D-B0B0-0AC1E5BDFDD6}"/>
    <cellStyle name="Comma 2 5 3 3 2 7" xfId="21762" xr:uid="{48FEB4A9-C127-4D1C-B6A4-1DA003C97184}"/>
    <cellStyle name="Comma 2 5 3 3 3" xfId="2778" xr:uid="{FD200209-0279-458E-A3F0-518AE5F5A8DC}"/>
    <cellStyle name="Comma 2 5 3 3 3 2" xfId="17378" xr:uid="{11DA76C9-35E0-445E-B3BD-0C0E10F4997D}"/>
    <cellStyle name="Comma 2 5 3 3 3 2 2" xfId="53886" xr:uid="{5EA336A2-8DB3-4118-88C1-E15407F14CAE}"/>
    <cellStyle name="Comma 2 5 3 3 3 2 3" xfId="35632" xr:uid="{18DD383D-3F5E-48E6-9635-A1560B47C01F}"/>
    <cellStyle name="Comma 2 5 3 3 3 3" xfId="13728" xr:uid="{3215B28D-52B0-4039-A29D-C0ECAAA162A6}"/>
    <cellStyle name="Comma 2 5 3 3 3 3 2" xfId="50236" xr:uid="{6F12F235-DE00-4321-AB77-649E17781CA4}"/>
    <cellStyle name="Comma 2 5 3 3 3 3 3" xfId="31982" xr:uid="{CE7567E8-EFC2-45BC-91D9-BF78297C016C}"/>
    <cellStyle name="Comma 2 5 3 3 3 4" xfId="10078" xr:uid="{3D49FA5E-CAB8-446B-99D3-5EA9DEE0255B}"/>
    <cellStyle name="Comma 2 5 3 3 3 4 2" xfId="46586" xr:uid="{9F1F1C7A-5B89-4701-8B3B-80E4148F6D15}"/>
    <cellStyle name="Comma 2 5 3 3 3 4 3" xfId="28332" xr:uid="{4397F901-EC1E-4588-BF69-92FE0D026775}"/>
    <cellStyle name="Comma 2 5 3 3 3 5" xfId="6428" xr:uid="{51D4670F-B53B-4CBA-B306-21A1CE8C1E7F}"/>
    <cellStyle name="Comma 2 5 3 3 3 5 2" xfId="42936" xr:uid="{36644848-5BF1-4A2A-AEE4-7F803D7CA84A}"/>
    <cellStyle name="Comma 2 5 3 3 3 5 3" xfId="24682" xr:uid="{23F15A57-8B46-45F4-B98B-E1A9929F7A4F}"/>
    <cellStyle name="Comma 2 5 3 3 3 6" xfId="39286" xr:uid="{41889B04-0A65-4DD9-9C1F-6534421BBE5C}"/>
    <cellStyle name="Comma 2 5 3 3 3 7" xfId="21032" xr:uid="{71E5C7D4-F58E-4A05-9A7C-800E67097C71}"/>
    <cellStyle name="Comma 2 5 3 3 4" xfId="2048" xr:uid="{BE6B87FD-E230-45C0-AEF7-0EEB29EB6DD6}"/>
    <cellStyle name="Comma 2 5 3 3 4 2" xfId="16648" xr:uid="{102C23FB-8C6C-41A6-AF0E-0578FE059A14}"/>
    <cellStyle name="Comma 2 5 3 3 4 2 2" xfId="53156" xr:uid="{7277EE5C-9473-4FC8-B463-C9AD9F7D9DAB}"/>
    <cellStyle name="Comma 2 5 3 3 4 2 3" xfId="34902" xr:uid="{62339FA1-D1E8-4E56-AE3D-B91A0EFA5D40}"/>
    <cellStyle name="Comma 2 5 3 3 4 3" xfId="12998" xr:uid="{B2BD19B1-C841-4F75-B749-22D6CD23454E}"/>
    <cellStyle name="Comma 2 5 3 3 4 3 2" xfId="49506" xr:uid="{C00C6025-A46E-4EE7-8CBC-C296B810C776}"/>
    <cellStyle name="Comma 2 5 3 3 4 3 3" xfId="31252" xr:uid="{B8C55234-5C30-4AAD-8371-20DA0EAA36F4}"/>
    <cellStyle name="Comma 2 5 3 3 4 4" xfId="9348" xr:uid="{07798CA9-3144-444D-9E14-EA3C51C1492C}"/>
    <cellStyle name="Comma 2 5 3 3 4 4 2" xfId="45856" xr:uid="{B199DCD0-1C60-46F4-9191-89E31BC02D61}"/>
    <cellStyle name="Comma 2 5 3 3 4 4 3" xfId="27602" xr:uid="{38E87051-875A-4FF5-902B-227B29B422D9}"/>
    <cellStyle name="Comma 2 5 3 3 4 5" xfId="5698" xr:uid="{45D2C505-ACFA-4592-A630-E04F8DFD9F15}"/>
    <cellStyle name="Comma 2 5 3 3 4 5 2" xfId="42206" xr:uid="{289CAD05-863F-4F9C-B41A-AC7898E7C109}"/>
    <cellStyle name="Comma 2 5 3 3 4 5 3" xfId="23952" xr:uid="{6B0C09E6-6D1D-41AC-B228-DC38EBD06A74}"/>
    <cellStyle name="Comma 2 5 3 3 4 6" xfId="38556" xr:uid="{0F4C5186-9489-4DAD-9447-E80AA4DCAD98}"/>
    <cellStyle name="Comma 2 5 3 3 4 7" xfId="20302" xr:uid="{C113BCAF-35B1-4B4B-A1DD-834EF331A19A}"/>
    <cellStyle name="Comma 2 5 3 3 5" xfId="1318" xr:uid="{F2C8401B-ACB4-4A30-A13A-AF0BDE72081C}"/>
    <cellStyle name="Comma 2 5 3 3 5 2" xfId="15918" xr:uid="{2C3AC7AE-CDC3-4178-9453-86501F1D65BB}"/>
    <cellStyle name="Comma 2 5 3 3 5 2 2" xfId="52426" xr:uid="{2D470322-6D58-4E1A-9D83-7CCEE2B303ED}"/>
    <cellStyle name="Comma 2 5 3 3 5 2 3" xfId="34172" xr:uid="{A216F319-27B2-495A-BE16-5E1D7DC784D3}"/>
    <cellStyle name="Comma 2 5 3 3 5 3" xfId="12268" xr:uid="{9A1371FE-2448-4265-B00C-C9A8A1BBCCD5}"/>
    <cellStyle name="Comma 2 5 3 3 5 3 2" xfId="48776" xr:uid="{31DAA830-EADE-4B0C-BFD1-5C767EE1B2B9}"/>
    <cellStyle name="Comma 2 5 3 3 5 3 3" xfId="30522" xr:uid="{96FDF482-020B-477E-9359-B66AB2F61AA6}"/>
    <cellStyle name="Comma 2 5 3 3 5 4" xfId="8618" xr:uid="{61343017-0717-480F-9480-05F5F4A875FD}"/>
    <cellStyle name="Comma 2 5 3 3 5 4 2" xfId="45126" xr:uid="{2B93BC0C-7C4B-4458-96F7-CCD61E1C5348}"/>
    <cellStyle name="Comma 2 5 3 3 5 4 3" xfId="26872" xr:uid="{4E75FFE5-4A63-4716-929C-02F1202CE762}"/>
    <cellStyle name="Comma 2 5 3 3 5 5" xfId="4968" xr:uid="{0EC9B0FC-E1B4-4D9C-A669-B43CF618E971}"/>
    <cellStyle name="Comma 2 5 3 3 5 5 2" xfId="41476" xr:uid="{6C60C3FB-8F18-474A-95A3-D597725A88E5}"/>
    <cellStyle name="Comma 2 5 3 3 5 5 3" xfId="23222" xr:uid="{882B04EE-A85F-4685-BF28-08D322EFFE70}"/>
    <cellStyle name="Comma 2 5 3 3 5 6" xfId="37826" xr:uid="{2D135EE5-2CA0-4D18-8F67-F50786A4C193}"/>
    <cellStyle name="Comma 2 5 3 3 5 7" xfId="19572" xr:uid="{14965CCF-CB17-4B1C-90C8-E5987D9C8C7F}"/>
    <cellStyle name="Comma 2 5 3 3 6" xfId="15188" xr:uid="{B3B49591-6424-4123-8A45-D1573FF6C502}"/>
    <cellStyle name="Comma 2 5 3 3 6 2" xfId="51696" xr:uid="{DCF253D8-85C4-40C7-9D94-E2402FF294DC}"/>
    <cellStyle name="Comma 2 5 3 3 6 3" xfId="33442" xr:uid="{349B3BEF-A5F9-41BD-9FD6-870A0C4ABE05}"/>
    <cellStyle name="Comma 2 5 3 3 7" xfId="11538" xr:uid="{DC856656-37E6-479A-AFE2-ACA6DE4CA7F2}"/>
    <cellStyle name="Comma 2 5 3 3 7 2" xfId="48046" xr:uid="{9E856B41-FB1D-48D8-8ED3-34D153B2137E}"/>
    <cellStyle name="Comma 2 5 3 3 7 3" xfId="29792" xr:uid="{71A83A13-E2A5-4C8B-8C83-1DCEAD774731}"/>
    <cellStyle name="Comma 2 5 3 3 8" xfId="7888" xr:uid="{F78CD5D6-68D2-4C06-8637-8A6103306531}"/>
    <cellStyle name="Comma 2 5 3 3 8 2" xfId="44396" xr:uid="{6D050A4A-81C6-475B-8409-DE234CF24E10}"/>
    <cellStyle name="Comma 2 5 3 3 8 3" xfId="26142" xr:uid="{D48997E4-1521-4B7A-80A8-FA570F306152}"/>
    <cellStyle name="Comma 2 5 3 3 9" xfId="4238" xr:uid="{24249B7C-2742-4C34-A1F6-4A494F76D976}"/>
    <cellStyle name="Comma 2 5 3 3 9 2" xfId="40746" xr:uid="{16F26F8F-095C-4AA6-8B58-459EF6D55270}"/>
    <cellStyle name="Comma 2 5 3 3 9 3" xfId="22492" xr:uid="{6E36585F-A08E-4A3B-A1F5-EF050FC55CA2}"/>
    <cellStyle name="Comma 2 5 3 4" xfId="484" xr:uid="{359C948B-63E8-42DB-A36C-AC9849C40161}"/>
    <cellStyle name="Comma 2 5 3 4 10" xfId="36992" xr:uid="{B37C9F56-83EB-4564-AD0C-C3E9824F25FF}"/>
    <cellStyle name="Comma 2 5 3 4 11" xfId="18738" xr:uid="{EE705DDD-05EB-4C87-90A1-09D22965B5FE}"/>
    <cellStyle name="Comma 2 5 3 4 2" xfId="3404" xr:uid="{2E87FAAF-79D2-4C7A-92E1-0574FA28FB82}"/>
    <cellStyle name="Comma 2 5 3 4 2 2" xfId="18004" xr:uid="{3A7231B3-E9F2-4549-A541-2AA33EC4641A}"/>
    <cellStyle name="Comma 2 5 3 4 2 2 2" xfId="54512" xr:uid="{CF48513F-BC78-47FE-9C31-0D2A3205803F}"/>
    <cellStyle name="Comma 2 5 3 4 2 2 3" xfId="36258" xr:uid="{71A5AB17-9388-4C29-BEF4-3F05EADA7FD7}"/>
    <cellStyle name="Comma 2 5 3 4 2 3" xfId="14354" xr:uid="{A639C87F-CB2C-42D8-B5EA-47CA8C87C1D3}"/>
    <cellStyle name="Comma 2 5 3 4 2 3 2" xfId="50862" xr:uid="{9262CCFF-129A-46EE-AFD9-5F47AEDDC30D}"/>
    <cellStyle name="Comma 2 5 3 4 2 3 3" xfId="32608" xr:uid="{069182EE-B93E-4033-81B5-CA98794C094B}"/>
    <cellStyle name="Comma 2 5 3 4 2 4" xfId="10704" xr:uid="{603C17A7-9076-4F05-ABCE-A22E8B1DB6AC}"/>
    <cellStyle name="Comma 2 5 3 4 2 4 2" xfId="47212" xr:uid="{54525C02-BBF4-4C77-9E6D-EE93942C5C8E}"/>
    <cellStyle name="Comma 2 5 3 4 2 4 3" xfId="28958" xr:uid="{B03C45EB-5930-40C8-8E05-88D0FFEE549D}"/>
    <cellStyle name="Comma 2 5 3 4 2 5" xfId="7054" xr:uid="{52777020-6379-4E1E-AB0D-BE501CB6D504}"/>
    <cellStyle name="Comma 2 5 3 4 2 5 2" xfId="43562" xr:uid="{FB0D90E4-A251-47B4-B9EA-2989872CEFD6}"/>
    <cellStyle name="Comma 2 5 3 4 2 5 3" xfId="25308" xr:uid="{A97A992C-D9AD-4232-AD5E-F44E0C159457}"/>
    <cellStyle name="Comma 2 5 3 4 2 6" xfId="39912" xr:uid="{BE6EF77B-D101-4410-B163-5C3E3C75D833}"/>
    <cellStyle name="Comma 2 5 3 4 2 7" xfId="21658" xr:uid="{221E4A91-9E1B-46E0-B42E-33B85101A682}"/>
    <cellStyle name="Comma 2 5 3 4 3" xfId="2674" xr:uid="{5921A7AA-42E9-4D70-AD59-CE898AA12922}"/>
    <cellStyle name="Comma 2 5 3 4 3 2" xfId="17274" xr:uid="{4BC10F55-3FDD-4FC5-A414-D1ED4B0EAC97}"/>
    <cellStyle name="Comma 2 5 3 4 3 2 2" xfId="53782" xr:uid="{310E532B-72C1-4AC4-BF7C-1DE44041F694}"/>
    <cellStyle name="Comma 2 5 3 4 3 2 3" xfId="35528" xr:uid="{10C89E7F-D1F4-46F7-8CBF-B8EBF8048401}"/>
    <cellStyle name="Comma 2 5 3 4 3 3" xfId="13624" xr:uid="{FDCE7239-F907-4D29-9786-56EE47DA8E38}"/>
    <cellStyle name="Comma 2 5 3 4 3 3 2" xfId="50132" xr:uid="{F5DDAE12-036C-4BA0-A7B1-90B96B072F79}"/>
    <cellStyle name="Comma 2 5 3 4 3 3 3" xfId="31878" xr:uid="{62F75D43-8E2E-4F84-8D95-48130BAECDB0}"/>
    <cellStyle name="Comma 2 5 3 4 3 4" xfId="9974" xr:uid="{537EC2D6-D114-4522-80A5-A8CDC1C04766}"/>
    <cellStyle name="Comma 2 5 3 4 3 4 2" xfId="46482" xr:uid="{4B755A91-AC07-4D83-9651-3471F82DE27B}"/>
    <cellStyle name="Comma 2 5 3 4 3 4 3" xfId="28228" xr:uid="{574613F4-AC2A-4A37-B9EA-BA0F6C27E91E}"/>
    <cellStyle name="Comma 2 5 3 4 3 5" xfId="6324" xr:uid="{ADE71918-6010-4D07-BEF1-6F2B3D2CE865}"/>
    <cellStyle name="Comma 2 5 3 4 3 5 2" xfId="42832" xr:uid="{14409FF6-3C38-4478-A427-7D7FD1FFFBA8}"/>
    <cellStyle name="Comma 2 5 3 4 3 5 3" xfId="24578" xr:uid="{00A563A9-D432-4C93-9783-2CE136B5865B}"/>
    <cellStyle name="Comma 2 5 3 4 3 6" xfId="39182" xr:uid="{3F0F0AD2-07C2-4257-8C39-12549D8DFC3A}"/>
    <cellStyle name="Comma 2 5 3 4 3 7" xfId="20928" xr:uid="{9D22A514-007F-4CA0-BAE4-56EAE291A3FB}"/>
    <cellStyle name="Comma 2 5 3 4 4" xfId="1944" xr:uid="{C975DDEB-41F4-470D-B56D-A7AD39A1455F}"/>
    <cellStyle name="Comma 2 5 3 4 4 2" xfId="16544" xr:uid="{F90ACB19-C9A4-484E-B592-0F87ACB5443D}"/>
    <cellStyle name="Comma 2 5 3 4 4 2 2" xfId="53052" xr:uid="{7187E985-429E-4DF2-B205-91212888B6B0}"/>
    <cellStyle name="Comma 2 5 3 4 4 2 3" xfId="34798" xr:uid="{E8505DE2-ECA0-46BC-9AA3-21835E17D446}"/>
    <cellStyle name="Comma 2 5 3 4 4 3" xfId="12894" xr:uid="{766F523F-3DCE-4F3A-A69F-A0324CBAB53C}"/>
    <cellStyle name="Comma 2 5 3 4 4 3 2" xfId="49402" xr:uid="{2B62C91B-A8FF-45F2-9CFF-A89DD6C1DDBB}"/>
    <cellStyle name="Comma 2 5 3 4 4 3 3" xfId="31148" xr:uid="{962A8E77-9C3A-493F-99D3-D68971FEB58E}"/>
    <cellStyle name="Comma 2 5 3 4 4 4" xfId="9244" xr:uid="{A1DF2D1B-4E7C-4423-967F-990BD186F3AA}"/>
    <cellStyle name="Comma 2 5 3 4 4 4 2" xfId="45752" xr:uid="{4092F9DF-E92D-485D-BB31-90FB1100AC54}"/>
    <cellStyle name="Comma 2 5 3 4 4 4 3" xfId="27498" xr:uid="{DD9A12CC-B457-4A18-8324-F6706D407090}"/>
    <cellStyle name="Comma 2 5 3 4 4 5" xfId="5594" xr:uid="{FE5E3068-12D1-40B0-86F0-E2AC8B021D31}"/>
    <cellStyle name="Comma 2 5 3 4 4 5 2" xfId="42102" xr:uid="{2D0392D9-967C-467E-A276-91C600035612}"/>
    <cellStyle name="Comma 2 5 3 4 4 5 3" xfId="23848" xr:uid="{444F69B4-FD11-4B97-A6A0-A44ABD6C4B10}"/>
    <cellStyle name="Comma 2 5 3 4 4 6" xfId="38452" xr:uid="{BBBF3DB0-E11F-470A-B5AA-E285BEEED7A8}"/>
    <cellStyle name="Comma 2 5 3 4 4 7" xfId="20198" xr:uid="{C8E9D51E-ECF9-44E6-A611-6DAB5B344858}"/>
    <cellStyle name="Comma 2 5 3 4 5" xfId="1214" xr:uid="{6596FEC7-9186-4D49-AAEA-329B8C58D2FF}"/>
    <cellStyle name="Comma 2 5 3 4 5 2" xfId="15814" xr:uid="{C61FAA75-A454-4E94-B691-826F9CE85213}"/>
    <cellStyle name="Comma 2 5 3 4 5 2 2" xfId="52322" xr:uid="{D81546CA-972B-4303-ADC5-E71CD2AC1DC3}"/>
    <cellStyle name="Comma 2 5 3 4 5 2 3" xfId="34068" xr:uid="{A2A18CDC-A7F1-4FBF-A465-CFD0FC3E30BC}"/>
    <cellStyle name="Comma 2 5 3 4 5 3" xfId="12164" xr:uid="{35B398F6-BF1D-4281-8B7E-27992BC1253F}"/>
    <cellStyle name="Comma 2 5 3 4 5 3 2" xfId="48672" xr:uid="{08B32929-4515-4385-B29F-D57C40B89B02}"/>
    <cellStyle name="Comma 2 5 3 4 5 3 3" xfId="30418" xr:uid="{157A0951-E024-4482-A37C-D78993265848}"/>
    <cellStyle name="Comma 2 5 3 4 5 4" xfId="8514" xr:uid="{31D89125-22AC-4E56-997E-1F6261CAAD6C}"/>
    <cellStyle name="Comma 2 5 3 4 5 4 2" xfId="45022" xr:uid="{8960C54B-C1E1-4FBA-A44C-1984E46E8EAA}"/>
    <cellStyle name="Comma 2 5 3 4 5 4 3" xfId="26768" xr:uid="{492AD7C4-4627-44A0-9549-D962337711BC}"/>
    <cellStyle name="Comma 2 5 3 4 5 5" xfId="4864" xr:uid="{F44624DF-4C2F-4EDF-A5C3-B07CEE3A25AF}"/>
    <cellStyle name="Comma 2 5 3 4 5 5 2" xfId="41372" xr:uid="{1A61A2A7-6C42-413B-81A2-5B267045865C}"/>
    <cellStyle name="Comma 2 5 3 4 5 5 3" xfId="23118" xr:uid="{D619FD2A-461D-4CB4-BDEF-22A374BCC560}"/>
    <cellStyle name="Comma 2 5 3 4 5 6" xfId="37722" xr:uid="{63070FAD-E5BB-4DF7-8204-077AA95836D9}"/>
    <cellStyle name="Comma 2 5 3 4 5 7" xfId="19468" xr:uid="{221B4E25-C15D-46CF-8217-78656A02CE07}"/>
    <cellStyle name="Comma 2 5 3 4 6" xfId="15084" xr:uid="{F4DCA923-7BEE-4044-B7B2-487D8FF94CAF}"/>
    <cellStyle name="Comma 2 5 3 4 6 2" xfId="51592" xr:uid="{BDDB707D-DDCA-40B6-B440-D23BBAA48FBB}"/>
    <cellStyle name="Comma 2 5 3 4 6 3" xfId="33338" xr:uid="{7161CF53-50BC-44FF-B041-0C95578DD7C4}"/>
    <cellStyle name="Comma 2 5 3 4 7" xfId="11434" xr:uid="{D9407A56-2D8F-4D19-9D7C-8250AF88E437}"/>
    <cellStyle name="Comma 2 5 3 4 7 2" xfId="47942" xr:uid="{E266524E-2D23-4CAD-801D-16BEBC116970}"/>
    <cellStyle name="Comma 2 5 3 4 7 3" xfId="29688" xr:uid="{6DD89592-0001-4F64-BDA9-573ED5E2F8DD}"/>
    <cellStyle name="Comma 2 5 3 4 8" xfId="7784" xr:uid="{ACFBBA04-3514-408E-A8CB-7616D297E5C5}"/>
    <cellStyle name="Comma 2 5 3 4 8 2" xfId="44292" xr:uid="{8E15C82E-6114-4C8D-8244-2286521399FE}"/>
    <cellStyle name="Comma 2 5 3 4 8 3" xfId="26038" xr:uid="{D164F1D7-48AA-4738-B288-75ABFE8159E2}"/>
    <cellStyle name="Comma 2 5 3 4 9" xfId="4134" xr:uid="{533C1328-5CF5-4C71-990B-B110967C5135}"/>
    <cellStyle name="Comma 2 5 3 4 9 2" xfId="40642" xr:uid="{F1936B1D-314E-418C-9ECA-FBEF7F708E93}"/>
    <cellStyle name="Comma 2 5 3 4 9 3" xfId="22388" xr:uid="{BC3E7877-0016-4C15-8D60-7593995EC9A6}"/>
    <cellStyle name="Comma 2 5 3 5" xfId="380" xr:uid="{267594CA-D5DE-4898-8F76-B8113557EA8F}"/>
    <cellStyle name="Comma 2 5 3 5 10" xfId="36888" xr:uid="{C9F4D62C-CDA5-4A68-8B37-D63A3C0D5284}"/>
    <cellStyle name="Comma 2 5 3 5 11" xfId="18634" xr:uid="{6CD785FE-EF40-452C-8E4F-525EA12AE7C6}"/>
    <cellStyle name="Comma 2 5 3 5 2" xfId="3300" xr:uid="{F79B1A15-1BF1-4BD8-A8E3-888A3E086FD7}"/>
    <cellStyle name="Comma 2 5 3 5 2 2" xfId="17900" xr:uid="{8BE563FF-CBE3-49B8-988F-EC98583F86AE}"/>
    <cellStyle name="Comma 2 5 3 5 2 2 2" xfId="54408" xr:uid="{D1C0F95B-4C06-4709-B1CE-8379E79C50CC}"/>
    <cellStyle name="Comma 2 5 3 5 2 2 3" xfId="36154" xr:uid="{8C133874-A472-4A05-A73B-1EC22C2B8CE3}"/>
    <cellStyle name="Comma 2 5 3 5 2 3" xfId="14250" xr:uid="{8E657B43-AFD8-4DFF-99AA-40B53C86B839}"/>
    <cellStyle name="Comma 2 5 3 5 2 3 2" xfId="50758" xr:uid="{56CFA461-9AC7-4447-8E11-689018170680}"/>
    <cellStyle name="Comma 2 5 3 5 2 3 3" xfId="32504" xr:uid="{A6AE21D4-C596-4374-B801-9B2215B8877C}"/>
    <cellStyle name="Comma 2 5 3 5 2 4" xfId="10600" xr:uid="{DE550ECC-6CA1-4967-B0AC-92FF89018FDE}"/>
    <cellStyle name="Comma 2 5 3 5 2 4 2" xfId="47108" xr:uid="{715205C1-78A6-4A73-B225-7A40385E1DE9}"/>
    <cellStyle name="Comma 2 5 3 5 2 4 3" xfId="28854" xr:uid="{2190F3C0-E61D-4245-AFDD-A3BA2FD6F344}"/>
    <cellStyle name="Comma 2 5 3 5 2 5" xfId="6950" xr:uid="{30C5A6B0-0E61-4613-9C4A-9AEDB483DEE4}"/>
    <cellStyle name="Comma 2 5 3 5 2 5 2" xfId="43458" xr:uid="{55C7BA26-52E0-4D1D-9415-2A67C49ABBA7}"/>
    <cellStyle name="Comma 2 5 3 5 2 5 3" xfId="25204" xr:uid="{621B6C4D-859E-4504-915A-C792DD6308B3}"/>
    <cellStyle name="Comma 2 5 3 5 2 6" xfId="39808" xr:uid="{32F7B616-7076-461E-B266-7421A2513687}"/>
    <cellStyle name="Comma 2 5 3 5 2 7" xfId="21554" xr:uid="{8100A415-6EEF-4B79-A81C-0EB689FFFEC7}"/>
    <cellStyle name="Comma 2 5 3 5 3" xfId="2570" xr:uid="{D5BBBB69-2F30-4902-ADD3-7CE6A4D8D73A}"/>
    <cellStyle name="Comma 2 5 3 5 3 2" xfId="17170" xr:uid="{F0042F18-6F56-4818-98C1-E9ADC2CD0C2F}"/>
    <cellStyle name="Comma 2 5 3 5 3 2 2" xfId="53678" xr:uid="{ED316716-9C19-4233-A104-F3C545F9AEF4}"/>
    <cellStyle name="Comma 2 5 3 5 3 2 3" xfId="35424" xr:uid="{10CA327C-0A16-4308-8244-B1742AA73A1C}"/>
    <cellStyle name="Comma 2 5 3 5 3 3" xfId="13520" xr:uid="{2D023AC3-55F5-4350-AB6F-DB55DC671FF1}"/>
    <cellStyle name="Comma 2 5 3 5 3 3 2" xfId="50028" xr:uid="{EEF48063-8E71-4F0F-BD43-13EEBDEF7D13}"/>
    <cellStyle name="Comma 2 5 3 5 3 3 3" xfId="31774" xr:uid="{B3E37C3E-3A46-406D-B1D9-667F572FD395}"/>
    <cellStyle name="Comma 2 5 3 5 3 4" xfId="9870" xr:uid="{3052CD0F-C2EF-481D-9677-443611B22E42}"/>
    <cellStyle name="Comma 2 5 3 5 3 4 2" xfId="46378" xr:uid="{8D1D69CF-82A3-4B36-8025-DBE3328F20B0}"/>
    <cellStyle name="Comma 2 5 3 5 3 4 3" xfId="28124" xr:uid="{8C19349C-95AB-496B-BEBC-9D53B7D5E153}"/>
    <cellStyle name="Comma 2 5 3 5 3 5" xfId="6220" xr:uid="{4FE489EB-CBE6-4C0C-8FE6-4764C112E060}"/>
    <cellStyle name="Comma 2 5 3 5 3 5 2" xfId="42728" xr:uid="{DF64CC08-662F-463F-A7A5-CE10BECBFB73}"/>
    <cellStyle name="Comma 2 5 3 5 3 5 3" xfId="24474" xr:uid="{5F87FE84-CCD3-46A3-A2D0-13B149C9EC24}"/>
    <cellStyle name="Comma 2 5 3 5 3 6" xfId="39078" xr:uid="{74D697CC-9F00-4DFB-AC2D-DF9F6A818B65}"/>
    <cellStyle name="Comma 2 5 3 5 3 7" xfId="20824" xr:uid="{69C84185-AF21-4B42-BA87-56C682E8171A}"/>
    <cellStyle name="Comma 2 5 3 5 4" xfId="1840" xr:uid="{2FA45B25-00E8-44C4-8DB9-C9B42CD1DF16}"/>
    <cellStyle name="Comma 2 5 3 5 4 2" xfId="16440" xr:uid="{00FFDC30-1197-4EA4-8212-757D19790F88}"/>
    <cellStyle name="Comma 2 5 3 5 4 2 2" xfId="52948" xr:uid="{736126C0-CC1A-47C8-8EE1-E7F692E80C02}"/>
    <cellStyle name="Comma 2 5 3 5 4 2 3" xfId="34694" xr:uid="{ACA852A1-28A1-4BE9-BB12-97720E944459}"/>
    <cellStyle name="Comma 2 5 3 5 4 3" xfId="12790" xr:uid="{D4C85230-CDE5-4D76-B4E4-E5E0EAEFD537}"/>
    <cellStyle name="Comma 2 5 3 5 4 3 2" xfId="49298" xr:uid="{BC6F1C4F-7B35-47CE-9AD9-6BB0CCE7C6CE}"/>
    <cellStyle name="Comma 2 5 3 5 4 3 3" xfId="31044" xr:uid="{A6DE8AFC-2489-4A9B-9884-082DE72E66DB}"/>
    <cellStyle name="Comma 2 5 3 5 4 4" xfId="9140" xr:uid="{67C794D5-5A69-450F-8EBF-C30ADA866611}"/>
    <cellStyle name="Comma 2 5 3 5 4 4 2" xfId="45648" xr:uid="{F775DE9E-2C77-49A6-8069-01B9676D467C}"/>
    <cellStyle name="Comma 2 5 3 5 4 4 3" xfId="27394" xr:uid="{8F77AB1A-0747-4176-B560-EFECFDE69644}"/>
    <cellStyle name="Comma 2 5 3 5 4 5" xfId="5490" xr:uid="{C077939B-ED95-40D2-86EA-52CEF217D2D3}"/>
    <cellStyle name="Comma 2 5 3 5 4 5 2" xfId="41998" xr:uid="{2EB8A16C-7EB0-43D2-8765-A26A0332E76C}"/>
    <cellStyle name="Comma 2 5 3 5 4 5 3" xfId="23744" xr:uid="{63FEF663-95EC-483A-9193-CE5C48B77D6D}"/>
    <cellStyle name="Comma 2 5 3 5 4 6" xfId="38348" xr:uid="{6BEDDCAA-E0AB-42A7-B2C1-25B405352629}"/>
    <cellStyle name="Comma 2 5 3 5 4 7" xfId="20094" xr:uid="{0A475F47-124E-416D-BE17-6A32DBEA6943}"/>
    <cellStyle name="Comma 2 5 3 5 5" xfId="1110" xr:uid="{8F1A4FF4-123F-48BF-B8DF-750D69D5A8C0}"/>
    <cellStyle name="Comma 2 5 3 5 5 2" xfId="15710" xr:uid="{465BAFCF-2CD1-44ED-8BBA-19275D9D0DD4}"/>
    <cellStyle name="Comma 2 5 3 5 5 2 2" xfId="52218" xr:uid="{AA15FFBE-80B7-4093-89CA-546AE795F97D}"/>
    <cellStyle name="Comma 2 5 3 5 5 2 3" xfId="33964" xr:uid="{872C77A0-284C-4A02-A12B-E28948111885}"/>
    <cellStyle name="Comma 2 5 3 5 5 3" xfId="12060" xr:uid="{C8F156D8-4FAD-49DB-80F6-4611A575629F}"/>
    <cellStyle name="Comma 2 5 3 5 5 3 2" xfId="48568" xr:uid="{BB3C3EA7-A2A2-4F74-A7A7-7D799F5597E4}"/>
    <cellStyle name="Comma 2 5 3 5 5 3 3" xfId="30314" xr:uid="{6CE3F78A-CE13-4F1A-9DD7-9ECC1394A591}"/>
    <cellStyle name="Comma 2 5 3 5 5 4" xfId="8410" xr:uid="{AFC5D4E7-6493-4F4E-BFCD-B31D9C568B1D}"/>
    <cellStyle name="Comma 2 5 3 5 5 4 2" xfId="44918" xr:uid="{3FDFB2AA-F597-4943-AFA9-ACE8784A01A5}"/>
    <cellStyle name="Comma 2 5 3 5 5 4 3" xfId="26664" xr:uid="{8400DF67-17C5-403C-9981-A307B47A4D44}"/>
    <cellStyle name="Comma 2 5 3 5 5 5" xfId="4760" xr:uid="{1CF60888-1A13-4E52-AF32-4187F12DC879}"/>
    <cellStyle name="Comma 2 5 3 5 5 5 2" xfId="41268" xr:uid="{C1CC2FE4-F7CC-4D78-96EC-B40E1F89C706}"/>
    <cellStyle name="Comma 2 5 3 5 5 5 3" xfId="23014" xr:uid="{F48A18D5-A8AD-4EF4-84AE-A1DEF4414285}"/>
    <cellStyle name="Comma 2 5 3 5 5 6" xfId="37618" xr:uid="{65A75314-B8EB-4781-B519-0EF91EADC240}"/>
    <cellStyle name="Comma 2 5 3 5 5 7" xfId="19364" xr:uid="{FDBDE790-5993-422F-8A41-DB3F8CD49357}"/>
    <cellStyle name="Comma 2 5 3 5 6" xfId="14980" xr:uid="{35C1E06A-3439-4CB2-A1FF-7A4272A2AADB}"/>
    <cellStyle name="Comma 2 5 3 5 6 2" xfId="51488" xr:uid="{3B7ED126-9EE3-482E-9EFF-02A72C58DD4F}"/>
    <cellStyle name="Comma 2 5 3 5 6 3" xfId="33234" xr:uid="{95025293-9969-4019-A0BF-AEA1C5C6F217}"/>
    <cellStyle name="Comma 2 5 3 5 7" xfId="11330" xr:uid="{17B85ED3-B4E8-4308-8235-F3EE19670D7E}"/>
    <cellStyle name="Comma 2 5 3 5 7 2" xfId="47838" xr:uid="{450D47E2-77B6-43EB-B6A7-6C07D836CDE9}"/>
    <cellStyle name="Comma 2 5 3 5 7 3" xfId="29584" xr:uid="{45552179-694C-446E-9C64-7ADB663B0FF2}"/>
    <cellStyle name="Comma 2 5 3 5 8" xfId="7680" xr:uid="{18013482-F255-428E-B375-E4710E242EED}"/>
    <cellStyle name="Comma 2 5 3 5 8 2" xfId="44188" xr:uid="{B55FB5E2-9900-437B-8D52-8957CF1B7B03}"/>
    <cellStyle name="Comma 2 5 3 5 8 3" xfId="25934" xr:uid="{6C3C606F-8349-4056-B0AA-9776145F74F3}"/>
    <cellStyle name="Comma 2 5 3 5 9" xfId="4030" xr:uid="{7F99A12A-0938-4730-8093-F84D3C50D5A7}"/>
    <cellStyle name="Comma 2 5 3 5 9 2" xfId="40538" xr:uid="{64E6220E-8B56-429F-9693-FB73409F8B81}"/>
    <cellStyle name="Comma 2 5 3 5 9 3" xfId="22284" xr:uid="{E7510202-E6F2-4FF0-B766-21A187222EA3}"/>
    <cellStyle name="Comma 2 5 3 6" xfId="276" xr:uid="{23728F94-E2DE-4DAC-BA41-9B766675C387}"/>
    <cellStyle name="Comma 2 5 3 6 10" xfId="36784" xr:uid="{10C699FC-5BA4-485F-A4F0-7EC328C9E290}"/>
    <cellStyle name="Comma 2 5 3 6 11" xfId="18530" xr:uid="{EECD24BE-9ACD-4835-A75E-ECD2EE8F40DA}"/>
    <cellStyle name="Comma 2 5 3 6 2" xfId="3196" xr:uid="{7835E4D0-1C9B-4677-93F0-3812E7A1F022}"/>
    <cellStyle name="Comma 2 5 3 6 2 2" xfId="17796" xr:uid="{A03BA1D2-E7F4-4717-A3A2-7DA6E986DE88}"/>
    <cellStyle name="Comma 2 5 3 6 2 2 2" xfId="54304" xr:uid="{F2349518-40FE-4CF7-A7D2-4E6168AEC509}"/>
    <cellStyle name="Comma 2 5 3 6 2 2 3" xfId="36050" xr:uid="{6C94AB4B-93BA-496D-B5A5-B26D95683631}"/>
    <cellStyle name="Comma 2 5 3 6 2 3" xfId="14146" xr:uid="{1B63261F-EBFA-4DFC-B445-62762C652AB2}"/>
    <cellStyle name="Comma 2 5 3 6 2 3 2" xfId="50654" xr:uid="{3116C738-D98B-4F45-B796-046735D25C83}"/>
    <cellStyle name="Comma 2 5 3 6 2 3 3" xfId="32400" xr:uid="{DD3AE1BA-5558-48D1-9B5E-9DF1BDED769B}"/>
    <cellStyle name="Comma 2 5 3 6 2 4" xfId="10496" xr:uid="{A90F31D2-3C9F-4B56-B354-AF7B650CFB21}"/>
    <cellStyle name="Comma 2 5 3 6 2 4 2" xfId="47004" xr:uid="{EB170615-26CD-43D5-ADC1-E8D2BBA78294}"/>
    <cellStyle name="Comma 2 5 3 6 2 4 3" xfId="28750" xr:uid="{8BB38556-5DE4-4DC6-AB2B-E41D4AD7B25D}"/>
    <cellStyle name="Comma 2 5 3 6 2 5" xfId="6846" xr:uid="{5D239FEB-F015-440A-A7C2-2F1FD2BC33F5}"/>
    <cellStyle name="Comma 2 5 3 6 2 5 2" xfId="43354" xr:uid="{F6C5A4EB-947B-45E6-8ACC-646A683DD00D}"/>
    <cellStyle name="Comma 2 5 3 6 2 5 3" xfId="25100" xr:uid="{B5E5F216-603E-4750-9903-0114E1A410DA}"/>
    <cellStyle name="Comma 2 5 3 6 2 6" xfId="39704" xr:uid="{53A12B9F-053D-4B50-9FAA-EEBA65340B44}"/>
    <cellStyle name="Comma 2 5 3 6 2 7" xfId="21450" xr:uid="{8859EC56-A583-4EA3-8B5B-510B0BB7AF79}"/>
    <cellStyle name="Comma 2 5 3 6 3" xfId="2466" xr:uid="{1EF5CC1C-A4D9-430C-95DC-BBE7C9DBF61A}"/>
    <cellStyle name="Comma 2 5 3 6 3 2" xfId="17066" xr:uid="{2D786C12-6DFD-42F3-A759-0C7A364A2E5A}"/>
    <cellStyle name="Comma 2 5 3 6 3 2 2" xfId="53574" xr:uid="{0EB13185-AA31-45E9-9D33-1C7273C2D201}"/>
    <cellStyle name="Comma 2 5 3 6 3 2 3" xfId="35320" xr:uid="{FC29C2AB-A4C1-4373-8272-A2DBFEF5FD8B}"/>
    <cellStyle name="Comma 2 5 3 6 3 3" xfId="13416" xr:uid="{7EE9FE5D-92B1-44F1-92C6-62575A4E4A69}"/>
    <cellStyle name="Comma 2 5 3 6 3 3 2" xfId="49924" xr:uid="{DE557DAA-908F-4ACC-A22D-3B6833D8DEA8}"/>
    <cellStyle name="Comma 2 5 3 6 3 3 3" xfId="31670" xr:uid="{AF183DB4-6123-4760-812C-DA795B58C138}"/>
    <cellStyle name="Comma 2 5 3 6 3 4" xfId="9766" xr:uid="{E6D26ABC-A87D-48A9-91AD-2CE582288553}"/>
    <cellStyle name="Comma 2 5 3 6 3 4 2" xfId="46274" xr:uid="{90FEFB13-F014-4DA1-B4B6-16E64FBA3459}"/>
    <cellStyle name="Comma 2 5 3 6 3 4 3" xfId="28020" xr:uid="{E4063B35-81AF-4D9E-84E5-1C28B51154BC}"/>
    <cellStyle name="Comma 2 5 3 6 3 5" xfId="6116" xr:uid="{AA22E291-A1CD-4479-A1A1-59D1C4E244C2}"/>
    <cellStyle name="Comma 2 5 3 6 3 5 2" xfId="42624" xr:uid="{C3A6FEE3-0663-4342-8D3E-F6A773413307}"/>
    <cellStyle name="Comma 2 5 3 6 3 5 3" xfId="24370" xr:uid="{E61D2A90-5E01-4865-9C38-21BBA65795D2}"/>
    <cellStyle name="Comma 2 5 3 6 3 6" xfId="38974" xr:uid="{536FFAF2-9979-4391-8BF0-A93DD755D44B}"/>
    <cellStyle name="Comma 2 5 3 6 3 7" xfId="20720" xr:uid="{B5311EBD-C3E0-45FE-8776-61C0EA6D8F77}"/>
    <cellStyle name="Comma 2 5 3 6 4" xfId="1736" xr:uid="{FD270116-89B8-48CE-9378-CE71CA3E8BFF}"/>
    <cellStyle name="Comma 2 5 3 6 4 2" xfId="16336" xr:uid="{FCF2AE75-BB64-4EF2-9069-3B61240B8B1A}"/>
    <cellStyle name="Comma 2 5 3 6 4 2 2" xfId="52844" xr:uid="{2AA25A12-B4FC-4544-9AB4-A509C73EC3F4}"/>
    <cellStyle name="Comma 2 5 3 6 4 2 3" xfId="34590" xr:uid="{54A67966-CD9C-4C23-B16F-21A36778485C}"/>
    <cellStyle name="Comma 2 5 3 6 4 3" xfId="12686" xr:uid="{822D88EC-8839-489B-B8B4-65A1DF7159AC}"/>
    <cellStyle name="Comma 2 5 3 6 4 3 2" xfId="49194" xr:uid="{CC6E3189-6DED-4479-8EBC-85D05ECADA77}"/>
    <cellStyle name="Comma 2 5 3 6 4 3 3" xfId="30940" xr:uid="{ACBFE374-E717-48B1-B2FF-9E0E69217B19}"/>
    <cellStyle name="Comma 2 5 3 6 4 4" xfId="9036" xr:uid="{2597AE5D-E9E3-4C22-AFCB-1972719F7584}"/>
    <cellStyle name="Comma 2 5 3 6 4 4 2" xfId="45544" xr:uid="{803EE47B-F52B-48E0-A29D-2415DF0779D6}"/>
    <cellStyle name="Comma 2 5 3 6 4 4 3" xfId="27290" xr:uid="{B413052D-DD81-45C3-AB27-DCBB1FB362B5}"/>
    <cellStyle name="Comma 2 5 3 6 4 5" xfId="5386" xr:uid="{A009B839-6A11-49EC-B6DE-202D572D4CE3}"/>
    <cellStyle name="Comma 2 5 3 6 4 5 2" xfId="41894" xr:uid="{3806B498-E127-48A1-9CC2-A046AAB68527}"/>
    <cellStyle name="Comma 2 5 3 6 4 5 3" xfId="23640" xr:uid="{E883BF55-FFED-47BA-B4B6-E7673CCA95B9}"/>
    <cellStyle name="Comma 2 5 3 6 4 6" xfId="38244" xr:uid="{4441583E-FE7A-49DC-AA87-ECB04D918239}"/>
    <cellStyle name="Comma 2 5 3 6 4 7" xfId="19990" xr:uid="{53977EAB-5D62-4AAF-B1AE-DB9D5B6961FB}"/>
    <cellStyle name="Comma 2 5 3 6 5" xfId="1006" xr:uid="{78D994E1-3734-438B-A8B6-CD51AD20582D}"/>
    <cellStyle name="Comma 2 5 3 6 5 2" xfId="15606" xr:uid="{454B75B4-9AF1-49D0-918A-842B0B5B0005}"/>
    <cellStyle name="Comma 2 5 3 6 5 2 2" xfId="52114" xr:uid="{005EE6DE-03BA-4A7A-8B31-FE6FC68CD20A}"/>
    <cellStyle name="Comma 2 5 3 6 5 2 3" xfId="33860" xr:uid="{5E26E54B-15C5-401B-B6BD-23AEECB7DB24}"/>
    <cellStyle name="Comma 2 5 3 6 5 3" xfId="11956" xr:uid="{687BDDA1-CBF5-431F-9E86-636441025AEA}"/>
    <cellStyle name="Comma 2 5 3 6 5 3 2" xfId="48464" xr:uid="{39665EBC-569C-401B-B35E-B0BC75F3BC48}"/>
    <cellStyle name="Comma 2 5 3 6 5 3 3" xfId="30210" xr:uid="{06216B21-CDFB-4061-AEFD-E8D1197C80CF}"/>
    <cellStyle name="Comma 2 5 3 6 5 4" xfId="8306" xr:uid="{1FD4E27B-92D5-458B-BE95-31CE44B18C10}"/>
    <cellStyle name="Comma 2 5 3 6 5 4 2" xfId="44814" xr:uid="{E959FBCC-21AF-4A3F-8C00-E91E091CF7EA}"/>
    <cellStyle name="Comma 2 5 3 6 5 4 3" xfId="26560" xr:uid="{55FD21E4-A92D-4C41-A09A-ED40598851C7}"/>
    <cellStyle name="Comma 2 5 3 6 5 5" xfId="4656" xr:uid="{FDDDB157-B655-4885-B13F-452CC9637095}"/>
    <cellStyle name="Comma 2 5 3 6 5 5 2" xfId="41164" xr:uid="{3793486C-2EF2-451B-828F-82CAA8826334}"/>
    <cellStyle name="Comma 2 5 3 6 5 5 3" xfId="22910" xr:uid="{C25A3088-7AC0-4B6E-8D9A-E93BFF820600}"/>
    <cellStyle name="Comma 2 5 3 6 5 6" xfId="37514" xr:uid="{BBFCB633-1026-45C2-B605-2B897F7871BA}"/>
    <cellStyle name="Comma 2 5 3 6 5 7" xfId="19260" xr:uid="{946C3B9F-C22F-432A-BB63-6750A1363716}"/>
    <cellStyle name="Comma 2 5 3 6 6" xfId="14876" xr:uid="{2549E8F2-6DE0-4358-9B85-C57E4CDB962C}"/>
    <cellStyle name="Comma 2 5 3 6 6 2" xfId="51384" xr:uid="{1D59D0DF-89D6-41AC-8813-637344810609}"/>
    <cellStyle name="Comma 2 5 3 6 6 3" xfId="33130" xr:uid="{3F494520-E77B-4AF2-8E03-E9652D3267AF}"/>
    <cellStyle name="Comma 2 5 3 6 7" xfId="11226" xr:uid="{40FA6C1A-8E80-4854-8ACC-FE5B4789E6E9}"/>
    <cellStyle name="Comma 2 5 3 6 7 2" xfId="47734" xr:uid="{D9FBA2CB-409A-4E46-BE68-2503EB79C6DC}"/>
    <cellStyle name="Comma 2 5 3 6 7 3" xfId="29480" xr:uid="{9DFA499C-4526-4A73-954B-CC55F0EE7604}"/>
    <cellStyle name="Comma 2 5 3 6 8" xfId="7576" xr:uid="{1A6389CF-64BA-4A94-9C56-AC2CFA8EEF02}"/>
    <cellStyle name="Comma 2 5 3 6 8 2" xfId="44084" xr:uid="{33880988-89D1-4243-8CF0-B17C7C1C9A66}"/>
    <cellStyle name="Comma 2 5 3 6 8 3" xfId="25830" xr:uid="{5393F740-B1CF-4083-AE15-76E0E635FD52}"/>
    <cellStyle name="Comma 2 5 3 6 9" xfId="3926" xr:uid="{B78BCA83-07E8-4EAC-94A6-EFEB35FCDD88}"/>
    <cellStyle name="Comma 2 5 3 6 9 2" xfId="40434" xr:uid="{449B4BE0-592C-432D-89F0-E6BEAB868E97}"/>
    <cellStyle name="Comma 2 5 3 6 9 3" xfId="22180" xr:uid="{DF42BCD8-62FC-42DB-B4E3-D50F88EF6597}"/>
    <cellStyle name="Comma 2 5 3 7" xfId="172" xr:uid="{AE6B1652-0B3D-424E-94F1-C12205F2B5D9}"/>
    <cellStyle name="Comma 2 5 3 7 10" xfId="36680" xr:uid="{83E0B15A-9847-416B-907A-2795DF6B4CA3}"/>
    <cellStyle name="Comma 2 5 3 7 11" xfId="18426" xr:uid="{7A8B782F-24B3-4941-9752-FE3FBC616548}"/>
    <cellStyle name="Comma 2 5 3 7 2" xfId="3092" xr:uid="{3B2C1E0E-7507-4C63-84F9-0C67A6B6492E}"/>
    <cellStyle name="Comma 2 5 3 7 2 2" xfId="17692" xr:uid="{2D59DFA1-77B7-460F-BD2A-10A0480D1C01}"/>
    <cellStyle name="Comma 2 5 3 7 2 2 2" xfId="54200" xr:uid="{99DE53E6-B1E9-4C6D-98A7-A48FD2C2702A}"/>
    <cellStyle name="Comma 2 5 3 7 2 2 3" xfId="35946" xr:uid="{76AA561B-E796-4189-BAAE-8A9E33423D99}"/>
    <cellStyle name="Comma 2 5 3 7 2 3" xfId="14042" xr:uid="{89F374DE-6A5D-4477-96B4-F37528F832AF}"/>
    <cellStyle name="Comma 2 5 3 7 2 3 2" xfId="50550" xr:uid="{B886ADA6-2ABE-4B48-BF42-ABFDD6B3366A}"/>
    <cellStyle name="Comma 2 5 3 7 2 3 3" xfId="32296" xr:uid="{66BBF4EF-7E07-4517-B314-06743080FAF3}"/>
    <cellStyle name="Comma 2 5 3 7 2 4" xfId="10392" xr:uid="{393E33E7-74AB-481A-9AFF-136713AEAB5D}"/>
    <cellStyle name="Comma 2 5 3 7 2 4 2" xfId="46900" xr:uid="{9C90F97D-C97D-44D3-8A47-09A521C6D6AE}"/>
    <cellStyle name="Comma 2 5 3 7 2 4 3" xfId="28646" xr:uid="{187C8C72-B408-4D95-AA98-DFC9B0BF0A76}"/>
    <cellStyle name="Comma 2 5 3 7 2 5" xfId="6742" xr:uid="{CC2959A0-D125-44B0-9A01-C5F62650DFE2}"/>
    <cellStyle name="Comma 2 5 3 7 2 5 2" xfId="43250" xr:uid="{9D176A0A-01BE-4AD3-A5F2-66773233C113}"/>
    <cellStyle name="Comma 2 5 3 7 2 5 3" xfId="24996" xr:uid="{36F81C32-D6DB-4F30-9F67-B2515ACBC732}"/>
    <cellStyle name="Comma 2 5 3 7 2 6" xfId="39600" xr:uid="{EADA22DC-FF2B-4610-A4BF-6ECF7554071A}"/>
    <cellStyle name="Comma 2 5 3 7 2 7" xfId="21346" xr:uid="{61F3BBB7-6CD6-42BE-B1F8-9620982BBB4A}"/>
    <cellStyle name="Comma 2 5 3 7 3" xfId="2362" xr:uid="{E2F0D9A8-C9B9-4D74-9D64-773CAA847D7E}"/>
    <cellStyle name="Comma 2 5 3 7 3 2" xfId="16962" xr:uid="{492AD6AE-0511-496D-B611-0E9F591AD266}"/>
    <cellStyle name="Comma 2 5 3 7 3 2 2" xfId="53470" xr:uid="{E6CFB145-2B89-498C-931C-57B274E8C3E5}"/>
    <cellStyle name="Comma 2 5 3 7 3 2 3" xfId="35216" xr:uid="{17C133F6-58FE-438D-B3DF-E9D57DC4E46E}"/>
    <cellStyle name="Comma 2 5 3 7 3 3" xfId="13312" xr:uid="{31945847-0C2F-4B76-B91A-638C065F6E68}"/>
    <cellStyle name="Comma 2 5 3 7 3 3 2" xfId="49820" xr:uid="{DBCEBA69-9BD2-4BF0-AC72-D95CE799F7DE}"/>
    <cellStyle name="Comma 2 5 3 7 3 3 3" xfId="31566" xr:uid="{CFE6E3C5-F020-49DD-895A-29CA33F6C174}"/>
    <cellStyle name="Comma 2 5 3 7 3 4" xfId="9662" xr:uid="{C2AA348F-8F92-4F87-8A6B-DDAE16A220CE}"/>
    <cellStyle name="Comma 2 5 3 7 3 4 2" xfId="46170" xr:uid="{4CE9C127-31D7-4914-9980-DC2B60B750A3}"/>
    <cellStyle name="Comma 2 5 3 7 3 4 3" xfId="27916" xr:uid="{7B479327-2813-4CB2-BAFC-76B8A1F3AEF8}"/>
    <cellStyle name="Comma 2 5 3 7 3 5" xfId="6012" xr:uid="{24AA1383-4BED-48CB-8881-862ED50C43BD}"/>
    <cellStyle name="Comma 2 5 3 7 3 5 2" xfId="42520" xr:uid="{BF13AC46-DE2F-4BEF-995B-8B9C2000518A}"/>
    <cellStyle name="Comma 2 5 3 7 3 5 3" xfId="24266" xr:uid="{6453E034-2127-4122-A193-A58E4CD3F7F0}"/>
    <cellStyle name="Comma 2 5 3 7 3 6" xfId="38870" xr:uid="{AD67B95F-7B81-4522-A9B5-711C1A442E35}"/>
    <cellStyle name="Comma 2 5 3 7 3 7" xfId="20616" xr:uid="{6EC36B07-298D-45E6-A65E-DB1782E5E8C6}"/>
    <cellStyle name="Comma 2 5 3 7 4" xfId="1632" xr:uid="{A7E1DBFE-7249-419B-97A2-A41C32FD355F}"/>
    <cellStyle name="Comma 2 5 3 7 4 2" xfId="16232" xr:uid="{3D829512-3EB1-4F88-AAA7-F76C94791A44}"/>
    <cellStyle name="Comma 2 5 3 7 4 2 2" xfId="52740" xr:uid="{F224D98D-AE09-4963-BE1C-77E4F40FC58D}"/>
    <cellStyle name="Comma 2 5 3 7 4 2 3" xfId="34486" xr:uid="{E402BEC2-92DA-49AB-9A21-61F7B926060F}"/>
    <cellStyle name="Comma 2 5 3 7 4 3" xfId="12582" xr:uid="{2A8B0789-2015-4420-9860-01EBAEEAF046}"/>
    <cellStyle name="Comma 2 5 3 7 4 3 2" xfId="49090" xr:uid="{78A43C7C-0104-4984-B504-A65FBDC0E528}"/>
    <cellStyle name="Comma 2 5 3 7 4 3 3" xfId="30836" xr:uid="{D6F2D1E2-52E2-4920-82A8-28C155441968}"/>
    <cellStyle name="Comma 2 5 3 7 4 4" xfId="8932" xr:uid="{C3231E38-0BC9-4EC7-A02E-ED6C9DE597B6}"/>
    <cellStyle name="Comma 2 5 3 7 4 4 2" xfId="45440" xr:uid="{C350EC94-A3E8-4242-AA5F-9712773B00AE}"/>
    <cellStyle name="Comma 2 5 3 7 4 4 3" xfId="27186" xr:uid="{1D945F2C-60D7-4E8D-8FA1-B5B8E426DEB3}"/>
    <cellStyle name="Comma 2 5 3 7 4 5" xfId="5282" xr:uid="{4350923C-CA66-4AD0-9284-F08A4823264B}"/>
    <cellStyle name="Comma 2 5 3 7 4 5 2" xfId="41790" xr:uid="{CE5B610C-F006-476A-83D8-65EC37C18CCC}"/>
    <cellStyle name="Comma 2 5 3 7 4 5 3" xfId="23536" xr:uid="{3B9B88E9-B249-4EC0-9A29-183EB20C6645}"/>
    <cellStyle name="Comma 2 5 3 7 4 6" xfId="38140" xr:uid="{F988E017-7B32-44B9-92F5-6D0C17DEDB4C}"/>
    <cellStyle name="Comma 2 5 3 7 4 7" xfId="19886" xr:uid="{11501B00-CDD3-4904-A65C-47CC2C019622}"/>
    <cellStyle name="Comma 2 5 3 7 5" xfId="902" xr:uid="{CE2B4E8D-3017-4480-8B28-2C754CCC6E5C}"/>
    <cellStyle name="Comma 2 5 3 7 5 2" xfId="15502" xr:uid="{23ED0D16-D4F5-4DD9-BE99-9E62E6D5225B}"/>
    <cellStyle name="Comma 2 5 3 7 5 2 2" xfId="52010" xr:uid="{4403327E-60FC-42B1-B81F-8E79FA2661DF}"/>
    <cellStyle name="Comma 2 5 3 7 5 2 3" xfId="33756" xr:uid="{C840EA7B-A78C-4A61-9A8D-8324038889CA}"/>
    <cellStyle name="Comma 2 5 3 7 5 3" xfId="11852" xr:uid="{61DBA60D-2E64-412F-8D25-B32C634B6D39}"/>
    <cellStyle name="Comma 2 5 3 7 5 3 2" xfId="48360" xr:uid="{9580BB39-5C2F-4458-AE0E-A1E97CC15874}"/>
    <cellStyle name="Comma 2 5 3 7 5 3 3" xfId="30106" xr:uid="{21017CA8-D7BC-43B3-B5EB-ECF2DFEB40EB}"/>
    <cellStyle name="Comma 2 5 3 7 5 4" xfId="8202" xr:uid="{B6A964DD-58BC-4006-9BD9-E4A07B51A83C}"/>
    <cellStyle name="Comma 2 5 3 7 5 4 2" xfId="44710" xr:uid="{FCA05870-5DD5-4662-AA90-FCDB91CB8A5D}"/>
    <cellStyle name="Comma 2 5 3 7 5 4 3" xfId="26456" xr:uid="{576A29B3-8773-472A-897A-27BEB4C98F06}"/>
    <cellStyle name="Comma 2 5 3 7 5 5" xfId="4552" xr:uid="{6BB108D9-4726-4B55-8653-4182E7BEE0DE}"/>
    <cellStyle name="Comma 2 5 3 7 5 5 2" xfId="41060" xr:uid="{3AA51FD2-DEFD-4A8E-81F7-DD3CCA240850}"/>
    <cellStyle name="Comma 2 5 3 7 5 5 3" xfId="22806" xr:uid="{06B5D120-EBDF-40CF-A712-4F7E7376ACD7}"/>
    <cellStyle name="Comma 2 5 3 7 5 6" xfId="37410" xr:uid="{8DE927AE-FD1F-4AB5-871F-1F65D785FC94}"/>
    <cellStyle name="Comma 2 5 3 7 5 7" xfId="19156" xr:uid="{C915EFD7-1A58-4291-925D-12F6E07D240E}"/>
    <cellStyle name="Comma 2 5 3 7 6" xfId="14772" xr:uid="{A04B5FEE-4376-4262-ABA4-46A5BB812187}"/>
    <cellStyle name="Comma 2 5 3 7 6 2" xfId="51280" xr:uid="{B3BD66C2-1DB2-4DB9-8C6C-8A6641D36893}"/>
    <cellStyle name="Comma 2 5 3 7 6 3" xfId="33026" xr:uid="{8F90C15E-CD95-4CD9-AEC3-73F7DDD8E80F}"/>
    <cellStyle name="Comma 2 5 3 7 7" xfId="11122" xr:uid="{87D26870-9376-4A0A-AADC-8C6789F11509}"/>
    <cellStyle name="Comma 2 5 3 7 7 2" xfId="47630" xr:uid="{E0881112-84AC-4D6B-AC2F-DFF6361D737E}"/>
    <cellStyle name="Comma 2 5 3 7 7 3" xfId="29376" xr:uid="{B52F1D00-3FAE-46A8-A0E9-DB0335FAC769}"/>
    <cellStyle name="Comma 2 5 3 7 8" xfId="7472" xr:uid="{BB5059D7-546D-46F4-B5F0-129E02D620A3}"/>
    <cellStyle name="Comma 2 5 3 7 8 2" xfId="43980" xr:uid="{3C83846B-9253-40A0-BABD-D268287AF4CC}"/>
    <cellStyle name="Comma 2 5 3 7 8 3" xfId="25726" xr:uid="{09330556-BEF4-4D27-9C16-DDEBD62A29C6}"/>
    <cellStyle name="Comma 2 5 3 7 9" xfId="3822" xr:uid="{01BF1470-DF11-47BE-88A7-FFDBAC867772}"/>
    <cellStyle name="Comma 2 5 3 7 9 2" xfId="40330" xr:uid="{A46C8901-4DCC-4036-8C7F-4150E8634E94}"/>
    <cellStyle name="Comma 2 5 3 7 9 3" xfId="22076" xr:uid="{F08A49C5-BC51-414B-ABF1-377F58D90514}"/>
    <cellStyle name="Comma 2 5 3 8" xfId="2988" xr:uid="{2CCEE60A-CD8C-46C3-970D-072FB12FF8FC}"/>
    <cellStyle name="Comma 2 5 3 8 2" xfId="17588" xr:uid="{DFE2940A-F0BE-4E2C-B693-EC2E8A82E9CE}"/>
    <cellStyle name="Comma 2 5 3 8 2 2" xfId="54096" xr:uid="{6ACAF571-67D2-4525-8E4B-CFF13DD648C9}"/>
    <cellStyle name="Comma 2 5 3 8 2 3" xfId="35842" xr:uid="{3F4503AA-9318-4A3F-9D5F-003F0A556FA8}"/>
    <cellStyle name="Comma 2 5 3 8 3" xfId="13938" xr:uid="{7D7D8107-CF6C-462A-A944-1896A754DE36}"/>
    <cellStyle name="Comma 2 5 3 8 3 2" xfId="50446" xr:uid="{43E41959-6232-41FD-9738-606A6F174823}"/>
    <cellStyle name="Comma 2 5 3 8 3 3" xfId="32192" xr:uid="{618D3A3E-5D71-48F9-8697-F862A568A9F9}"/>
    <cellStyle name="Comma 2 5 3 8 4" xfId="10288" xr:uid="{045D2BC5-16C3-497F-A46F-AFA1F9764E69}"/>
    <cellStyle name="Comma 2 5 3 8 4 2" xfId="46796" xr:uid="{806F9B14-E54F-4194-B684-5BD629554A82}"/>
    <cellStyle name="Comma 2 5 3 8 4 3" xfId="28542" xr:uid="{F2F8709E-A3BE-49FF-99BD-7F414B1DDAAD}"/>
    <cellStyle name="Comma 2 5 3 8 5" xfId="6638" xr:uid="{F5513D15-40F5-43E5-8A58-F8D79009B3CC}"/>
    <cellStyle name="Comma 2 5 3 8 5 2" xfId="43146" xr:uid="{D5091560-566A-4595-86FF-26F1364EEB9D}"/>
    <cellStyle name="Comma 2 5 3 8 5 3" xfId="24892" xr:uid="{3F5AD95C-7C22-47C1-AFD3-CA835B37A82E}"/>
    <cellStyle name="Comma 2 5 3 8 6" xfId="39496" xr:uid="{9764B953-8D13-4451-88BE-8A41DF437B9E}"/>
    <cellStyle name="Comma 2 5 3 8 7" xfId="21242" xr:uid="{DD86AC18-6377-4F29-8D12-01B131BBB3BD}"/>
    <cellStyle name="Comma 2 5 3 9" xfId="2258" xr:uid="{F12A51E3-5EDE-4CCE-9758-E82B452EF9E0}"/>
    <cellStyle name="Comma 2 5 3 9 2" xfId="16858" xr:uid="{2A07C8C0-191F-40EC-BDDA-8D4B51BCFF2D}"/>
    <cellStyle name="Comma 2 5 3 9 2 2" xfId="53366" xr:uid="{2B2F16F6-E376-4A94-BC9D-FB70D59FBE45}"/>
    <cellStyle name="Comma 2 5 3 9 2 3" xfId="35112" xr:uid="{4408CADB-EEFB-4FFA-A49C-3DF0F876998D}"/>
    <cellStyle name="Comma 2 5 3 9 3" xfId="13208" xr:uid="{BB2BD8F9-7C7C-4755-8AB9-88A56B77B27E}"/>
    <cellStyle name="Comma 2 5 3 9 3 2" xfId="49716" xr:uid="{078FFF37-2A7C-488F-B4A6-FFB3088DF900}"/>
    <cellStyle name="Comma 2 5 3 9 3 3" xfId="31462" xr:uid="{8C135934-090F-418B-8853-066CB0F3350C}"/>
    <cellStyle name="Comma 2 5 3 9 4" xfId="9558" xr:uid="{07465B8B-B840-494D-9857-34280BB1C52E}"/>
    <cellStyle name="Comma 2 5 3 9 4 2" xfId="46066" xr:uid="{F9B90A05-AADF-4FC2-9FA2-58C3252F83E6}"/>
    <cellStyle name="Comma 2 5 3 9 4 3" xfId="27812" xr:uid="{0FE414DD-DE5D-4D4D-87AE-C1DEF46AFAFF}"/>
    <cellStyle name="Comma 2 5 3 9 5" xfId="5908" xr:uid="{2B6B24F3-4028-44E5-A7FE-A8C744126C77}"/>
    <cellStyle name="Comma 2 5 3 9 5 2" xfId="42416" xr:uid="{F98F7BE8-0D8E-4BAA-9527-D6252C9C3548}"/>
    <cellStyle name="Comma 2 5 3 9 5 3" xfId="24162" xr:uid="{21D38FB0-C9C5-4978-B75B-9DA47A4A19DC}"/>
    <cellStyle name="Comma 2 5 3 9 6" xfId="38766" xr:uid="{2AFB4E40-621D-4C2F-B61E-2396D0D1164B}"/>
    <cellStyle name="Comma 2 5 3 9 7" xfId="20512" xr:uid="{A12A632D-CAD4-41E5-92D1-F439FBE24A77}"/>
    <cellStyle name="Comma 2 5 4" xfId="660" xr:uid="{9B9A766B-BA7A-495A-802A-7228D6F752C8}"/>
    <cellStyle name="Comma 2 5 4 10" xfId="37168" xr:uid="{C9873CB9-56D6-4911-8161-5103880F4365}"/>
    <cellStyle name="Comma 2 5 4 11" xfId="18914" xr:uid="{447CEE3C-3E44-4C21-8D91-B80B95E4F60A}"/>
    <cellStyle name="Comma 2 5 4 2" xfId="3580" xr:uid="{815E7B5E-5035-4131-81DF-BE1F6AB21271}"/>
    <cellStyle name="Comma 2 5 4 2 2" xfId="18180" xr:uid="{C9C96EDF-5210-4334-BF9B-C1FCB748A28D}"/>
    <cellStyle name="Comma 2 5 4 2 2 2" xfId="54688" xr:uid="{95122059-4869-489B-9306-E3EFD5CA03C4}"/>
    <cellStyle name="Comma 2 5 4 2 2 3" xfId="36434" xr:uid="{7A1D21F7-54DA-44F9-BF53-9912304961A6}"/>
    <cellStyle name="Comma 2 5 4 2 3" xfId="14530" xr:uid="{8C78B719-A22C-453D-A992-1CF57F6C01AA}"/>
    <cellStyle name="Comma 2 5 4 2 3 2" xfId="51038" xr:uid="{06ED1A42-2960-49C5-9A47-33AECA5E9E61}"/>
    <cellStyle name="Comma 2 5 4 2 3 3" xfId="32784" xr:uid="{0892258F-32A8-4F56-8C53-04B794CE981C}"/>
    <cellStyle name="Comma 2 5 4 2 4" xfId="10880" xr:uid="{57917A90-CD67-4B36-B113-2F76A17FFF0B}"/>
    <cellStyle name="Comma 2 5 4 2 4 2" xfId="47388" xr:uid="{67E58923-26E0-4B08-BECD-15192B906300}"/>
    <cellStyle name="Comma 2 5 4 2 4 3" xfId="29134" xr:uid="{B6226CDA-2C3E-41C5-ADBC-0A8B2AB28593}"/>
    <cellStyle name="Comma 2 5 4 2 5" xfId="7230" xr:uid="{C757BEFB-873B-449A-85D3-A0E88786654B}"/>
    <cellStyle name="Comma 2 5 4 2 5 2" xfId="43738" xr:uid="{622CF195-42B9-4B5E-A52E-88A78865F381}"/>
    <cellStyle name="Comma 2 5 4 2 5 3" xfId="25484" xr:uid="{BFE48BC0-E6CE-45FD-ABB0-7BA9DFEE12DD}"/>
    <cellStyle name="Comma 2 5 4 2 6" xfId="40088" xr:uid="{EF7E6368-613A-4093-8BC9-B6AA30D25FB6}"/>
    <cellStyle name="Comma 2 5 4 2 7" xfId="21834" xr:uid="{85063C2F-9895-475E-BFD3-8BFE3CBA90F5}"/>
    <cellStyle name="Comma 2 5 4 3" xfId="2850" xr:uid="{9AB2C484-9C1C-4216-9117-5601745FDF81}"/>
    <cellStyle name="Comma 2 5 4 3 2" xfId="17450" xr:uid="{45854DBC-9A15-4DAE-AED1-DBB59BAEAA5A}"/>
    <cellStyle name="Comma 2 5 4 3 2 2" xfId="53958" xr:uid="{F69A5A34-10EA-47D9-AA8B-F85CE66A9EAC}"/>
    <cellStyle name="Comma 2 5 4 3 2 3" xfId="35704" xr:uid="{894007EF-1709-45CF-AA13-46F7D0CFC380}"/>
    <cellStyle name="Comma 2 5 4 3 3" xfId="13800" xr:uid="{04475804-925E-423C-9D97-8A3E3F7CB32D}"/>
    <cellStyle name="Comma 2 5 4 3 3 2" xfId="50308" xr:uid="{1D20E378-B06D-46B8-856E-A16389BF18F3}"/>
    <cellStyle name="Comma 2 5 4 3 3 3" xfId="32054" xr:uid="{EEAD96D7-F0C2-4192-BEFE-D7F415E2CF03}"/>
    <cellStyle name="Comma 2 5 4 3 4" xfId="10150" xr:uid="{72CF779C-BD51-48E6-828C-C09C187A5D24}"/>
    <cellStyle name="Comma 2 5 4 3 4 2" xfId="46658" xr:uid="{01B2BB89-DA6A-48C1-BD6E-FAC7942C382B}"/>
    <cellStyle name="Comma 2 5 4 3 4 3" xfId="28404" xr:uid="{BD849DB9-C256-42FC-A279-D15644FE4D34}"/>
    <cellStyle name="Comma 2 5 4 3 5" xfId="6500" xr:uid="{A20C5259-FFB2-47A9-8338-1DDD424905C6}"/>
    <cellStyle name="Comma 2 5 4 3 5 2" xfId="43008" xr:uid="{68523BEC-C3F3-40AD-912A-2F6600E3504B}"/>
    <cellStyle name="Comma 2 5 4 3 5 3" xfId="24754" xr:uid="{77E7C54D-2041-4407-ACB4-E6D4FF0352B3}"/>
    <cellStyle name="Comma 2 5 4 3 6" xfId="39358" xr:uid="{1386CABF-9DEA-4E0F-95DE-E80B4DA2F7CF}"/>
    <cellStyle name="Comma 2 5 4 3 7" xfId="21104" xr:uid="{5F9963CB-A7F5-4275-9513-36E254B7B43B}"/>
    <cellStyle name="Comma 2 5 4 4" xfId="2120" xr:uid="{2246CB1A-0349-45E1-9358-FF18330B85A0}"/>
    <cellStyle name="Comma 2 5 4 4 2" xfId="16720" xr:uid="{327BCB0A-D715-4441-A538-4ADFB727F8C2}"/>
    <cellStyle name="Comma 2 5 4 4 2 2" xfId="53228" xr:uid="{EBB9304C-5451-429C-9680-C89C74C733BF}"/>
    <cellStyle name="Comma 2 5 4 4 2 3" xfId="34974" xr:uid="{A7F53350-E0C5-44D4-A6E2-5F3B09C206BB}"/>
    <cellStyle name="Comma 2 5 4 4 3" xfId="13070" xr:uid="{6B293DEC-C0FB-44CB-8E42-8A0E23C6C061}"/>
    <cellStyle name="Comma 2 5 4 4 3 2" xfId="49578" xr:uid="{7FDD7C7F-7151-4141-9EBE-6A36C20A0D8B}"/>
    <cellStyle name="Comma 2 5 4 4 3 3" xfId="31324" xr:uid="{DE666CEE-CD06-49E6-9216-A56173B940F0}"/>
    <cellStyle name="Comma 2 5 4 4 4" xfId="9420" xr:uid="{DBDBD4D3-3FAE-4AC0-96C2-17D89D8FCA44}"/>
    <cellStyle name="Comma 2 5 4 4 4 2" xfId="45928" xr:uid="{7212EB6C-B6DD-4A54-9BE0-C34EABCE48FA}"/>
    <cellStyle name="Comma 2 5 4 4 4 3" xfId="27674" xr:uid="{EDE333C4-AC1A-4DE9-8D42-FAC698C141DE}"/>
    <cellStyle name="Comma 2 5 4 4 5" xfId="5770" xr:uid="{9562FBEE-B0CA-480B-A4AD-5DE33D6F7964}"/>
    <cellStyle name="Comma 2 5 4 4 5 2" xfId="42278" xr:uid="{E63D829A-8B00-4C36-848B-AB510B4A1F97}"/>
    <cellStyle name="Comma 2 5 4 4 5 3" xfId="24024" xr:uid="{38508568-4BDD-45B2-9256-AD2EF0123541}"/>
    <cellStyle name="Comma 2 5 4 4 6" xfId="38628" xr:uid="{9D4260EA-9B13-46B5-A65C-A342C9FC65D0}"/>
    <cellStyle name="Comma 2 5 4 4 7" xfId="20374" xr:uid="{D5071031-C8E1-410F-855F-65937CCFF6C9}"/>
    <cellStyle name="Comma 2 5 4 5" xfId="1390" xr:uid="{76D02FCA-0FAB-40AC-BDA5-22EAC399841F}"/>
    <cellStyle name="Comma 2 5 4 5 2" xfId="15990" xr:uid="{B7906082-95EA-406E-BE46-9849328FD402}"/>
    <cellStyle name="Comma 2 5 4 5 2 2" xfId="52498" xr:uid="{F975C642-800A-4171-8374-6EDB94777150}"/>
    <cellStyle name="Comma 2 5 4 5 2 3" xfId="34244" xr:uid="{CB72EA4C-02A5-4FD3-B98A-2BEB2D88A2D9}"/>
    <cellStyle name="Comma 2 5 4 5 3" xfId="12340" xr:uid="{F935730F-C3ED-4B31-BB61-08CB75BC6676}"/>
    <cellStyle name="Comma 2 5 4 5 3 2" xfId="48848" xr:uid="{36716337-DF66-4BCC-9B56-EAF0DB9F6A69}"/>
    <cellStyle name="Comma 2 5 4 5 3 3" xfId="30594" xr:uid="{1766E7F7-E064-45A2-B0EF-01F4B42177C1}"/>
    <cellStyle name="Comma 2 5 4 5 4" xfId="8690" xr:uid="{20D8DEF0-9B02-4854-B4B0-8592A4250F43}"/>
    <cellStyle name="Comma 2 5 4 5 4 2" xfId="45198" xr:uid="{DBD24C31-3BF5-44C5-A278-0FC59E8A8E3C}"/>
    <cellStyle name="Comma 2 5 4 5 4 3" xfId="26944" xr:uid="{C17958F5-96B7-488F-9DF2-804F4937A91A}"/>
    <cellStyle name="Comma 2 5 4 5 5" xfId="5040" xr:uid="{F0822BFB-B074-4739-975D-4A1358DF4174}"/>
    <cellStyle name="Comma 2 5 4 5 5 2" xfId="41548" xr:uid="{3978D8A4-FDF6-488C-8F9A-2091FE008DF9}"/>
    <cellStyle name="Comma 2 5 4 5 5 3" xfId="23294" xr:uid="{6B76D59E-0EBD-40DA-9F92-8B4320473E82}"/>
    <cellStyle name="Comma 2 5 4 5 6" xfId="37898" xr:uid="{4017A105-CB38-44CD-9E57-CC6ED1EF396D}"/>
    <cellStyle name="Comma 2 5 4 5 7" xfId="19644" xr:uid="{C58C2E72-DBAF-4CED-82ED-AB6C47333536}"/>
    <cellStyle name="Comma 2 5 4 6" xfId="15260" xr:uid="{A560AC6B-B090-420A-AE9F-ECFD9735247E}"/>
    <cellStyle name="Comma 2 5 4 6 2" xfId="51768" xr:uid="{4A7564B0-2ADC-49F7-8089-97D968361741}"/>
    <cellStyle name="Comma 2 5 4 6 3" xfId="33514" xr:uid="{1AF79771-FF86-4BB9-A2F7-8E119AD46332}"/>
    <cellStyle name="Comma 2 5 4 7" xfId="11610" xr:uid="{244229C6-6712-46DA-87F7-29A699C32CCD}"/>
    <cellStyle name="Comma 2 5 4 7 2" xfId="48118" xr:uid="{ADE5D7A6-7A32-4A7D-B103-A89C57F60B5E}"/>
    <cellStyle name="Comma 2 5 4 7 3" xfId="29864" xr:uid="{A08872B2-0B6E-4E0F-A648-28A42EF51309}"/>
    <cellStyle name="Comma 2 5 4 8" xfId="7960" xr:uid="{5E23DBF6-DD9B-4F5B-A044-D097B7F6C7C1}"/>
    <cellStyle name="Comma 2 5 4 8 2" xfId="44468" xr:uid="{18C9552E-786D-4594-873D-1F6BA0A20E5C}"/>
    <cellStyle name="Comma 2 5 4 8 3" xfId="26214" xr:uid="{3E27AFF4-9D23-4773-806C-6EED067C61B3}"/>
    <cellStyle name="Comma 2 5 4 9" xfId="4310" xr:uid="{823289F3-BFFF-451C-806F-CD2EFBC3B563}"/>
    <cellStyle name="Comma 2 5 4 9 2" xfId="40818" xr:uid="{CD4CD7FD-1C76-49E9-AA7B-3C0F26E673D1}"/>
    <cellStyle name="Comma 2 5 4 9 3" xfId="22564" xr:uid="{EA49581D-22C8-464A-AA09-70A39431EFD0}"/>
    <cellStyle name="Comma 2 5 5" xfId="556" xr:uid="{C69C125D-2CCA-402B-82A1-EB5DF26E1CB1}"/>
    <cellStyle name="Comma 2 5 5 10" xfId="37064" xr:uid="{97EEF428-907C-486A-A2E0-6745AFD2DDCD}"/>
    <cellStyle name="Comma 2 5 5 11" xfId="18810" xr:uid="{80FF83FF-B7F3-4F04-8CA2-5490A4B30887}"/>
    <cellStyle name="Comma 2 5 5 2" xfId="3476" xr:uid="{99C555A0-1895-419B-9C34-C39B77819FBD}"/>
    <cellStyle name="Comma 2 5 5 2 2" xfId="18076" xr:uid="{EA68C235-F96A-4C7A-B9EE-83DAD50BE73E}"/>
    <cellStyle name="Comma 2 5 5 2 2 2" xfId="54584" xr:uid="{AF2BB94A-2978-4258-B58F-FEE33EC6FF35}"/>
    <cellStyle name="Comma 2 5 5 2 2 3" xfId="36330" xr:uid="{465DD57F-E0E8-4621-9B39-AB4AC75F8312}"/>
    <cellStyle name="Comma 2 5 5 2 3" xfId="14426" xr:uid="{B383B6E6-B81C-4291-9D93-40B0D44B8B0C}"/>
    <cellStyle name="Comma 2 5 5 2 3 2" xfId="50934" xr:uid="{6A25E54F-AE10-40F7-B0F9-EC5B8CA1695C}"/>
    <cellStyle name="Comma 2 5 5 2 3 3" xfId="32680" xr:uid="{8FB027AD-63FF-4031-B7BE-D17915514E47}"/>
    <cellStyle name="Comma 2 5 5 2 4" xfId="10776" xr:uid="{32FAF52C-8ED2-44DC-A01E-E027D4170BD9}"/>
    <cellStyle name="Comma 2 5 5 2 4 2" xfId="47284" xr:uid="{BD4C22AC-6145-496D-86CF-DE854EE1E314}"/>
    <cellStyle name="Comma 2 5 5 2 4 3" xfId="29030" xr:uid="{EDB13D34-56D1-4B0E-8297-FC202F9538AE}"/>
    <cellStyle name="Comma 2 5 5 2 5" xfId="7126" xr:uid="{3FB5411E-FA37-4431-932C-58850BBDE16C}"/>
    <cellStyle name="Comma 2 5 5 2 5 2" xfId="43634" xr:uid="{ED5A1281-7861-45ED-ADDB-A06BCAB9F6EF}"/>
    <cellStyle name="Comma 2 5 5 2 5 3" xfId="25380" xr:uid="{3E859FEB-49AD-48E2-A5AC-94FC5FFF15CA}"/>
    <cellStyle name="Comma 2 5 5 2 6" xfId="39984" xr:uid="{7035F989-017C-45E1-92CD-3E491D25295F}"/>
    <cellStyle name="Comma 2 5 5 2 7" xfId="21730" xr:uid="{C3C430C5-0C36-44BD-B7EA-C480F91DD6AA}"/>
    <cellStyle name="Comma 2 5 5 3" xfId="2746" xr:uid="{CDA55C0A-B17F-40BE-B47F-BADED8C2E6A4}"/>
    <cellStyle name="Comma 2 5 5 3 2" xfId="17346" xr:uid="{7E764F6C-ED5A-47A0-B172-D6D4BC40259B}"/>
    <cellStyle name="Comma 2 5 5 3 2 2" xfId="53854" xr:uid="{9F89DDA9-546F-4BAE-B27B-CA4737EEE19A}"/>
    <cellStyle name="Comma 2 5 5 3 2 3" xfId="35600" xr:uid="{547984B3-235B-488B-AC88-8506BEC88C38}"/>
    <cellStyle name="Comma 2 5 5 3 3" xfId="13696" xr:uid="{795897F6-2C48-47EE-9D38-A3F0CF44B5AC}"/>
    <cellStyle name="Comma 2 5 5 3 3 2" xfId="50204" xr:uid="{5FD83E15-FA2A-4A85-A0B3-F9DB1EE998E1}"/>
    <cellStyle name="Comma 2 5 5 3 3 3" xfId="31950" xr:uid="{F978DA68-84B8-42E7-AF44-F7ADCA0E5FED}"/>
    <cellStyle name="Comma 2 5 5 3 4" xfId="10046" xr:uid="{B721CF32-764D-4B9C-9712-34970439AF92}"/>
    <cellStyle name="Comma 2 5 5 3 4 2" xfId="46554" xr:uid="{10D5399E-A282-45D1-82EC-5704D16503AA}"/>
    <cellStyle name="Comma 2 5 5 3 4 3" xfId="28300" xr:uid="{425B8BF9-235A-44E5-A5BF-5815AFEC9C7C}"/>
    <cellStyle name="Comma 2 5 5 3 5" xfId="6396" xr:uid="{17390BF9-E47B-4D69-A13D-CF9D9672FBAA}"/>
    <cellStyle name="Comma 2 5 5 3 5 2" xfId="42904" xr:uid="{E05B1F73-4C20-43B4-8144-F4D6C6E6CCB1}"/>
    <cellStyle name="Comma 2 5 5 3 5 3" xfId="24650" xr:uid="{254B3CFC-5897-411B-91D5-1D373F2AC4EF}"/>
    <cellStyle name="Comma 2 5 5 3 6" xfId="39254" xr:uid="{961F9CF2-C018-4239-8DAB-25866A1B0AE1}"/>
    <cellStyle name="Comma 2 5 5 3 7" xfId="21000" xr:uid="{2C02EBE4-6C04-49E1-A15A-5A2D66BD5CE0}"/>
    <cellStyle name="Comma 2 5 5 4" xfId="2016" xr:uid="{7EC9817A-5D17-46C8-AA6C-B4BFC9F1B048}"/>
    <cellStyle name="Comma 2 5 5 4 2" xfId="16616" xr:uid="{A11CD43D-C4CA-49C1-96BF-D6ED1EC15725}"/>
    <cellStyle name="Comma 2 5 5 4 2 2" xfId="53124" xr:uid="{405ABDAB-F069-4132-907A-8348E49D2BA6}"/>
    <cellStyle name="Comma 2 5 5 4 2 3" xfId="34870" xr:uid="{5A2FE61F-75FC-47EE-A5F7-67C77DFEB919}"/>
    <cellStyle name="Comma 2 5 5 4 3" xfId="12966" xr:uid="{7EFCE49A-5518-4D33-8E10-8312AD494377}"/>
    <cellStyle name="Comma 2 5 5 4 3 2" xfId="49474" xr:uid="{EA2E3C1D-43A5-4BDA-AED6-94522307B3B9}"/>
    <cellStyle name="Comma 2 5 5 4 3 3" xfId="31220" xr:uid="{CB4238EB-F4AF-4818-86A6-D45929E5207B}"/>
    <cellStyle name="Comma 2 5 5 4 4" xfId="9316" xr:uid="{1C05DFFC-8A32-433E-8D46-16B6E0597F1B}"/>
    <cellStyle name="Comma 2 5 5 4 4 2" xfId="45824" xr:uid="{03EA1DE6-F671-46FE-8CDC-059103E74B1E}"/>
    <cellStyle name="Comma 2 5 5 4 4 3" xfId="27570" xr:uid="{AFF329FE-879F-491C-95E6-DD526C357A9A}"/>
    <cellStyle name="Comma 2 5 5 4 5" xfId="5666" xr:uid="{583BBA7A-6BF9-449D-B661-5CD5306060F7}"/>
    <cellStyle name="Comma 2 5 5 4 5 2" xfId="42174" xr:uid="{EBBEA18B-F530-43BF-A7D2-04A82D66EAAB}"/>
    <cellStyle name="Comma 2 5 5 4 5 3" xfId="23920" xr:uid="{20DD8BF3-63ED-4896-AD20-290F3426A9F1}"/>
    <cellStyle name="Comma 2 5 5 4 6" xfId="38524" xr:uid="{6D3158D2-469B-4AC4-809B-0691A5D0B224}"/>
    <cellStyle name="Comma 2 5 5 4 7" xfId="20270" xr:uid="{D576E8FB-4AA1-437A-89F8-BE0E91FAF873}"/>
    <cellStyle name="Comma 2 5 5 5" xfId="1286" xr:uid="{70BC1321-06AC-4AD8-9D69-E43B6D9C98F1}"/>
    <cellStyle name="Comma 2 5 5 5 2" xfId="15886" xr:uid="{D5069F31-D851-4D50-83F3-BDBF073C53B2}"/>
    <cellStyle name="Comma 2 5 5 5 2 2" xfId="52394" xr:uid="{7B6F588B-15FE-4AC7-BEE9-7B8589097ECD}"/>
    <cellStyle name="Comma 2 5 5 5 2 3" xfId="34140" xr:uid="{AC939BB7-0E1E-4B86-80EE-B93252B46731}"/>
    <cellStyle name="Comma 2 5 5 5 3" xfId="12236" xr:uid="{697521B3-F956-452D-A3F7-74880201E1AE}"/>
    <cellStyle name="Comma 2 5 5 5 3 2" xfId="48744" xr:uid="{3FD63740-F3CC-47C9-8C3D-C516E379673F}"/>
    <cellStyle name="Comma 2 5 5 5 3 3" xfId="30490" xr:uid="{548839F4-2E92-441F-8088-3B9C65EC0D9C}"/>
    <cellStyle name="Comma 2 5 5 5 4" xfId="8586" xr:uid="{1657403C-25F9-448F-B4A4-D622F622AF5B}"/>
    <cellStyle name="Comma 2 5 5 5 4 2" xfId="45094" xr:uid="{C9B2B58D-4189-434E-AC96-BF48441F7752}"/>
    <cellStyle name="Comma 2 5 5 5 4 3" xfId="26840" xr:uid="{31D36891-66A3-444E-A347-281BCF1BEDDD}"/>
    <cellStyle name="Comma 2 5 5 5 5" xfId="4936" xr:uid="{F5A761F0-7B56-4F6D-81D1-99C72AFC8613}"/>
    <cellStyle name="Comma 2 5 5 5 5 2" xfId="41444" xr:uid="{7EC5630B-6840-46F8-9DAF-674004FD9F46}"/>
    <cellStyle name="Comma 2 5 5 5 5 3" xfId="23190" xr:uid="{D8A766F7-42B6-49FD-8068-2307DEDE889E}"/>
    <cellStyle name="Comma 2 5 5 5 6" xfId="37794" xr:uid="{626DF28C-92EC-48F4-879F-3979FEAFFEB8}"/>
    <cellStyle name="Comma 2 5 5 5 7" xfId="19540" xr:uid="{5603939F-0867-48D5-9149-32320DE8E8DF}"/>
    <cellStyle name="Comma 2 5 5 6" xfId="15156" xr:uid="{B3936D37-01EA-479D-B25C-C3892B161335}"/>
    <cellStyle name="Comma 2 5 5 6 2" xfId="51664" xr:uid="{C37B39DA-3982-447B-A293-51AFD751196B}"/>
    <cellStyle name="Comma 2 5 5 6 3" xfId="33410" xr:uid="{9EC7A64E-43B5-4F2E-9796-FD9D6F249C72}"/>
    <cellStyle name="Comma 2 5 5 7" xfId="11506" xr:uid="{62CF1AC5-1B5C-4CC3-A659-D656074AE862}"/>
    <cellStyle name="Comma 2 5 5 7 2" xfId="48014" xr:uid="{77407879-1562-423E-A7A6-254A4FAB8C9F}"/>
    <cellStyle name="Comma 2 5 5 7 3" xfId="29760" xr:uid="{7FF39E07-6DC9-4A47-909D-4A180B8D9F50}"/>
    <cellStyle name="Comma 2 5 5 8" xfId="7856" xr:uid="{8216E1BF-805D-4DEC-8748-3C70674D06C1}"/>
    <cellStyle name="Comma 2 5 5 8 2" xfId="44364" xr:uid="{9AFF8726-07F7-4719-BC61-CD705A90A96B}"/>
    <cellStyle name="Comma 2 5 5 8 3" xfId="26110" xr:uid="{207952A2-4A9A-4E44-A8CF-3428FCBB33EA}"/>
    <cellStyle name="Comma 2 5 5 9" xfId="4206" xr:uid="{9D309B0D-1D50-48FF-AAD6-1FBD9E620CBC}"/>
    <cellStyle name="Comma 2 5 5 9 2" xfId="40714" xr:uid="{E5F7B279-C44C-4D01-AC74-B7E62720E7A1}"/>
    <cellStyle name="Comma 2 5 5 9 3" xfId="22460" xr:uid="{64323769-EDBC-44D5-911E-B6F530B20FBF}"/>
    <cellStyle name="Comma 2 5 6" xfId="452" xr:uid="{B446DD1A-23E6-4006-9196-4960D6E3EF20}"/>
    <cellStyle name="Comma 2 5 6 10" xfId="36960" xr:uid="{316EE7DA-37E3-4555-B98F-AA8AAC9641A6}"/>
    <cellStyle name="Comma 2 5 6 11" xfId="18706" xr:uid="{5977399A-323A-435F-8439-C82F8EC6235A}"/>
    <cellStyle name="Comma 2 5 6 2" xfId="3372" xr:uid="{F60F7B40-BCCD-4B27-9EA4-4217D1163CB1}"/>
    <cellStyle name="Comma 2 5 6 2 2" xfId="17972" xr:uid="{7D45F136-6CEB-49BE-9FE0-6B64084634C1}"/>
    <cellStyle name="Comma 2 5 6 2 2 2" xfId="54480" xr:uid="{FBF220AD-DB0D-42FE-B1AC-D2DE80900BC4}"/>
    <cellStyle name="Comma 2 5 6 2 2 3" xfId="36226" xr:uid="{4725EA67-FC79-40C9-B85E-31D664B9955B}"/>
    <cellStyle name="Comma 2 5 6 2 3" xfId="14322" xr:uid="{B106B227-6EEE-4C84-B109-F0EF2B5C4C03}"/>
    <cellStyle name="Comma 2 5 6 2 3 2" xfId="50830" xr:uid="{522F0FA2-B050-4679-8FFF-796E3B48543F}"/>
    <cellStyle name="Comma 2 5 6 2 3 3" xfId="32576" xr:uid="{ADF35E94-81D2-47DA-B84E-83795C4BEBC9}"/>
    <cellStyle name="Comma 2 5 6 2 4" xfId="10672" xr:uid="{83A7DBAC-EFF3-46DB-8B1B-8E77F74ACD83}"/>
    <cellStyle name="Comma 2 5 6 2 4 2" xfId="47180" xr:uid="{7335D757-4C5C-48F7-A937-B63781B3B892}"/>
    <cellStyle name="Comma 2 5 6 2 4 3" xfId="28926" xr:uid="{7775074E-100B-4E02-BF7E-B5D18F7584A3}"/>
    <cellStyle name="Comma 2 5 6 2 5" xfId="7022" xr:uid="{3BD77224-6365-4E95-A242-C27EBCCDAC84}"/>
    <cellStyle name="Comma 2 5 6 2 5 2" xfId="43530" xr:uid="{70D65AD9-5B49-4310-8E01-3EBC886CA256}"/>
    <cellStyle name="Comma 2 5 6 2 5 3" xfId="25276" xr:uid="{F6F9DBF9-1B13-42E4-81AE-B6318544CD5F}"/>
    <cellStyle name="Comma 2 5 6 2 6" xfId="39880" xr:uid="{67B8A35E-1A80-453D-B4AB-CD669B575052}"/>
    <cellStyle name="Comma 2 5 6 2 7" xfId="21626" xr:uid="{DAB8E2AD-A45A-4788-BE77-521666255BCE}"/>
    <cellStyle name="Comma 2 5 6 3" xfId="2642" xr:uid="{4BDDD64E-849B-4027-B34F-24D28A5BC965}"/>
    <cellStyle name="Comma 2 5 6 3 2" xfId="17242" xr:uid="{50155C0E-FE55-4A4E-8782-3BB8F78D697F}"/>
    <cellStyle name="Comma 2 5 6 3 2 2" xfId="53750" xr:uid="{9D6922E8-EA5F-4618-9C38-20F1B0C73AC1}"/>
    <cellStyle name="Comma 2 5 6 3 2 3" xfId="35496" xr:uid="{5D42C287-FFBD-4EBB-A3C2-57BFD9BBA2C9}"/>
    <cellStyle name="Comma 2 5 6 3 3" xfId="13592" xr:uid="{241DD7C3-26EC-4108-9059-FAC33477030C}"/>
    <cellStyle name="Comma 2 5 6 3 3 2" xfId="50100" xr:uid="{E23D4316-128B-4A4C-AD2A-71584EBCD2B8}"/>
    <cellStyle name="Comma 2 5 6 3 3 3" xfId="31846" xr:uid="{74F7E591-1EE1-4D2B-A574-3982900FDBFC}"/>
    <cellStyle name="Comma 2 5 6 3 4" xfId="9942" xr:uid="{D900D8A9-5A43-4819-BA64-7BA35B853929}"/>
    <cellStyle name="Comma 2 5 6 3 4 2" xfId="46450" xr:uid="{64A9ED40-0CE1-4E7E-AF49-CA0A7A8907B8}"/>
    <cellStyle name="Comma 2 5 6 3 4 3" xfId="28196" xr:uid="{C29616E2-84E0-4332-9EE4-14A8162C31E1}"/>
    <cellStyle name="Comma 2 5 6 3 5" xfId="6292" xr:uid="{F527C1B8-E9B8-40D2-AC50-3A6CD78EA9F3}"/>
    <cellStyle name="Comma 2 5 6 3 5 2" xfId="42800" xr:uid="{9476777C-0CED-4FF3-B546-E8138E43ADB0}"/>
    <cellStyle name="Comma 2 5 6 3 5 3" xfId="24546" xr:uid="{D826BFA7-5475-47ED-8E08-C27617E4212D}"/>
    <cellStyle name="Comma 2 5 6 3 6" xfId="39150" xr:uid="{82A9138C-97A6-4DBC-B87B-262B1728D8DE}"/>
    <cellStyle name="Comma 2 5 6 3 7" xfId="20896" xr:uid="{B1492D9D-8565-4A1D-B60F-370CDA532069}"/>
    <cellStyle name="Comma 2 5 6 4" xfId="1912" xr:uid="{E40F6066-CF93-4DFA-811B-41C17CB14ECB}"/>
    <cellStyle name="Comma 2 5 6 4 2" xfId="16512" xr:uid="{32B690D6-5459-4F7F-8B10-93004F18AE2C}"/>
    <cellStyle name="Comma 2 5 6 4 2 2" xfId="53020" xr:uid="{06AEA8F4-45D2-4184-B9E7-E19E4789800B}"/>
    <cellStyle name="Comma 2 5 6 4 2 3" xfId="34766" xr:uid="{418D50C0-8A73-4D11-B80A-B59DA1EB8A70}"/>
    <cellStyle name="Comma 2 5 6 4 3" xfId="12862" xr:uid="{5DDF7580-9066-41DF-ADFC-4F3AD400AD25}"/>
    <cellStyle name="Comma 2 5 6 4 3 2" xfId="49370" xr:uid="{BBCE3D2B-2C2C-4C9D-B321-39250F9D21A1}"/>
    <cellStyle name="Comma 2 5 6 4 3 3" xfId="31116" xr:uid="{32C442A8-1B1F-4BEE-A241-014BA114C680}"/>
    <cellStyle name="Comma 2 5 6 4 4" xfId="9212" xr:uid="{720DB6E0-9F4C-43E6-9E86-2A25F5F95079}"/>
    <cellStyle name="Comma 2 5 6 4 4 2" xfId="45720" xr:uid="{8325B474-6AF9-4D00-9EAE-9B3550C8244C}"/>
    <cellStyle name="Comma 2 5 6 4 4 3" xfId="27466" xr:uid="{FAA4835C-FDE2-4478-AB6E-5555EE00DCF5}"/>
    <cellStyle name="Comma 2 5 6 4 5" xfId="5562" xr:uid="{66CD0C84-95C6-409B-8655-E97316F8D725}"/>
    <cellStyle name="Comma 2 5 6 4 5 2" xfId="42070" xr:uid="{14770672-0956-4B98-A933-AF0DCBC084E3}"/>
    <cellStyle name="Comma 2 5 6 4 5 3" xfId="23816" xr:uid="{D9225B1F-F775-407D-84A1-4F8C34210D31}"/>
    <cellStyle name="Comma 2 5 6 4 6" xfId="38420" xr:uid="{BAF39E01-9ABB-47CF-A28E-449CE0E04893}"/>
    <cellStyle name="Comma 2 5 6 4 7" xfId="20166" xr:uid="{FD94339D-C09E-4862-A643-4D73476C40D5}"/>
    <cellStyle name="Comma 2 5 6 5" xfId="1182" xr:uid="{B034BAB4-32F2-4917-9271-F3A782D368DB}"/>
    <cellStyle name="Comma 2 5 6 5 2" xfId="15782" xr:uid="{16223F55-1505-4512-B3B1-3756A4050572}"/>
    <cellStyle name="Comma 2 5 6 5 2 2" xfId="52290" xr:uid="{F9C73C20-F98F-451F-A454-076A73F5FA83}"/>
    <cellStyle name="Comma 2 5 6 5 2 3" xfId="34036" xr:uid="{A6091B73-D53C-4A61-A759-3EBDC0EE9777}"/>
    <cellStyle name="Comma 2 5 6 5 3" xfId="12132" xr:uid="{FCCCFD07-3A08-4351-B2B3-6A53964EC6C4}"/>
    <cellStyle name="Comma 2 5 6 5 3 2" xfId="48640" xr:uid="{85483F24-1A51-4FC7-8750-CABC17F061E1}"/>
    <cellStyle name="Comma 2 5 6 5 3 3" xfId="30386" xr:uid="{F2D327D0-8B7B-4635-9F03-97C3F27E60AF}"/>
    <cellStyle name="Comma 2 5 6 5 4" xfId="8482" xr:uid="{4BADCDBF-0F07-4B5B-97A1-F62D8794D7F0}"/>
    <cellStyle name="Comma 2 5 6 5 4 2" xfId="44990" xr:uid="{E8AB2071-8835-4A57-9554-7E1B8FF0AAEF}"/>
    <cellStyle name="Comma 2 5 6 5 4 3" xfId="26736" xr:uid="{823651E2-6FC0-4308-AD2F-986716D3C26C}"/>
    <cellStyle name="Comma 2 5 6 5 5" xfId="4832" xr:uid="{EABB5000-1D8F-435A-8D87-D17B21A43ED4}"/>
    <cellStyle name="Comma 2 5 6 5 5 2" xfId="41340" xr:uid="{BC5F5644-275E-4B41-8F8D-E3753C11A570}"/>
    <cellStyle name="Comma 2 5 6 5 5 3" xfId="23086" xr:uid="{19FCA876-642B-46AE-A2F0-A226DA5EE512}"/>
    <cellStyle name="Comma 2 5 6 5 6" xfId="37690" xr:uid="{FF9A8765-E770-460C-88E5-C0C8E48D57FF}"/>
    <cellStyle name="Comma 2 5 6 5 7" xfId="19436" xr:uid="{767F60A9-DC41-47FC-B24A-F59E68823313}"/>
    <cellStyle name="Comma 2 5 6 6" xfId="15052" xr:uid="{E5A3B2C3-F8C1-4A0F-9D1F-9C3E5DF62A49}"/>
    <cellStyle name="Comma 2 5 6 6 2" xfId="51560" xr:uid="{2FD3547D-6818-42A1-B33D-3748B1723AB7}"/>
    <cellStyle name="Comma 2 5 6 6 3" xfId="33306" xr:uid="{F448AAC3-E079-4960-ACF2-4DD274D11F60}"/>
    <cellStyle name="Comma 2 5 6 7" xfId="11402" xr:uid="{DAF5E032-40B6-45B9-8B9F-B0BD53C4AAF3}"/>
    <cellStyle name="Comma 2 5 6 7 2" xfId="47910" xr:uid="{4B9877B1-FCA5-4D34-90EF-38D835CED3C7}"/>
    <cellStyle name="Comma 2 5 6 7 3" xfId="29656" xr:uid="{D0FE3694-26FA-420F-A19B-045D1842081B}"/>
    <cellStyle name="Comma 2 5 6 8" xfId="7752" xr:uid="{0982FCF1-824F-4570-BA60-B215E24E004E}"/>
    <cellStyle name="Comma 2 5 6 8 2" xfId="44260" xr:uid="{317A03DA-198B-4D81-9395-053C522EA2F6}"/>
    <cellStyle name="Comma 2 5 6 8 3" xfId="26006" xr:uid="{D36590CB-5E43-4DDA-91A5-4A1D57A79121}"/>
    <cellStyle name="Comma 2 5 6 9" xfId="4102" xr:uid="{2CB99993-A185-47BC-8AEC-A0C2787A942C}"/>
    <cellStyle name="Comma 2 5 6 9 2" xfId="40610" xr:uid="{9FFB3B94-88E2-40F9-8E4A-5A1A75E801B2}"/>
    <cellStyle name="Comma 2 5 6 9 3" xfId="22356" xr:uid="{42123523-A9AA-4285-BB84-BBF3EA72440D}"/>
    <cellStyle name="Comma 2 5 7" xfId="348" xr:uid="{0C24FB8B-A4F8-4216-B6D3-2ECD3366A410}"/>
    <cellStyle name="Comma 2 5 7 10" xfId="36856" xr:uid="{AEAA57D7-0973-44AC-A84A-B944F16FEC1F}"/>
    <cellStyle name="Comma 2 5 7 11" xfId="18602" xr:uid="{7FDFF55B-E44F-4123-989B-772F1283F119}"/>
    <cellStyle name="Comma 2 5 7 2" xfId="3268" xr:uid="{27EC0CD6-BF9B-4FBA-BAD0-73AACD6FEB77}"/>
    <cellStyle name="Comma 2 5 7 2 2" xfId="17868" xr:uid="{77F1BEBC-E798-4046-B6F8-DDC8823718DB}"/>
    <cellStyle name="Comma 2 5 7 2 2 2" xfId="54376" xr:uid="{4BBA1708-839B-4E8B-9A35-30308C0FF808}"/>
    <cellStyle name="Comma 2 5 7 2 2 3" xfId="36122" xr:uid="{DFE21175-67DF-4402-97F0-06D7224E20DE}"/>
    <cellStyle name="Comma 2 5 7 2 3" xfId="14218" xr:uid="{9E123B0F-B19B-45E6-B85C-677F71278D9A}"/>
    <cellStyle name="Comma 2 5 7 2 3 2" xfId="50726" xr:uid="{8803F658-D90E-4099-BBAA-32F1C18EAC75}"/>
    <cellStyle name="Comma 2 5 7 2 3 3" xfId="32472" xr:uid="{2A2A1447-7277-4771-933D-5C880AD1A08E}"/>
    <cellStyle name="Comma 2 5 7 2 4" xfId="10568" xr:uid="{23C054EF-E089-4774-88A8-4247D600B4B1}"/>
    <cellStyle name="Comma 2 5 7 2 4 2" xfId="47076" xr:uid="{9BCD59DF-32B9-4FDD-A1B0-94CF1E34F894}"/>
    <cellStyle name="Comma 2 5 7 2 4 3" xfId="28822" xr:uid="{E20C1D9D-0030-4CAC-99C7-39DD921704ED}"/>
    <cellStyle name="Comma 2 5 7 2 5" xfId="6918" xr:uid="{7EDEF12B-CEDA-4A8F-B1C5-E4D175957588}"/>
    <cellStyle name="Comma 2 5 7 2 5 2" xfId="43426" xr:uid="{2A294578-0593-4463-90ED-85FDD52D3DEF}"/>
    <cellStyle name="Comma 2 5 7 2 5 3" xfId="25172" xr:uid="{EA032504-A56F-401E-9E5D-7CD1F9EE0AE6}"/>
    <cellStyle name="Comma 2 5 7 2 6" xfId="39776" xr:uid="{6CFE7EAB-4BF1-4FA1-9CE5-90E971856313}"/>
    <cellStyle name="Comma 2 5 7 2 7" xfId="21522" xr:uid="{1D39C29C-0E58-43D1-95A4-628AF08F3F84}"/>
    <cellStyle name="Comma 2 5 7 3" xfId="2538" xr:uid="{03B3C31C-CF72-4AD6-8BAA-CAAE2D5FBE1B}"/>
    <cellStyle name="Comma 2 5 7 3 2" xfId="17138" xr:uid="{38A444F9-F9F7-4FAE-B4C1-53A81664673E}"/>
    <cellStyle name="Comma 2 5 7 3 2 2" xfId="53646" xr:uid="{AA3E10C3-348A-4554-9118-797F82340A89}"/>
    <cellStyle name="Comma 2 5 7 3 2 3" xfId="35392" xr:uid="{EC31CE97-D1B4-44E3-A758-9CB1F73353F4}"/>
    <cellStyle name="Comma 2 5 7 3 3" xfId="13488" xr:uid="{A2421CA3-B014-40DB-A2F8-046FF75406FD}"/>
    <cellStyle name="Comma 2 5 7 3 3 2" xfId="49996" xr:uid="{AEC77885-EBB0-4412-8BAD-2B7C83B2096C}"/>
    <cellStyle name="Comma 2 5 7 3 3 3" xfId="31742" xr:uid="{AAD9B3E2-C8AB-4577-B123-B677D4424116}"/>
    <cellStyle name="Comma 2 5 7 3 4" xfId="9838" xr:uid="{03017AB6-99BF-42BA-B0A7-0A543DED4D87}"/>
    <cellStyle name="Comma 2 5 7 3 4 2" xfId="46346" xr:uid="{935F60BC-1EC2-4D67-AF4C-866CBC131D6E}"/>
    <cellStyle name="Comma 2 5 7 3 4 3" xfId="28092" xr:uid="{047FE5D9-22D1-4E0A-A833-4DD9E61961C2}"/>
    <cellStyle name="Comma 2 5 7 3 5" xfId="6188" xr:uid="{1A47BBF9-393A-409B-A795-D1767A1161CC}"/>
    <cellStyle name="Comma 2 5 7 3 5 2" xfId="42696" xr:uid="{2F494D15-9494-457D-ACB6-1C9FB6648FD1}"/>
    <cellStyle name="Comma 2 5 7 3 5 3" xfId="24442" xr:uid="{2229E2A1-E0E0-46B6-AF61-4C559A335B88}"/>
    <cellStyle name="Comma 2 5 7 3 6" xfId="39046" xr:uid="{ADC42834-E900-4CEB-8F03-FAF1CB4E4B11}"/>
    <cellStyle name="Comma 2 5 7 3 7" xfId="20792" xr:uid="{2BC6C0A2-332B-42DD-A883-264B16375A3C}"/>
    <cellStyle name="Comma 2 5 7 4" xfId="1808" xr:uid="{467EC3F6-9019-4089-B224-36380A79EE0D}"/>
    <cellStyle name="Comma 2 5 7 4 2" xfId="16408" xr:uid="{CE8B0E0E-DA0A-45BA-BA51-6096DD0B2A0D}"/>
    <cellStyle name="Comma 2 5 7 4 2 2" xfId="52916" xr:uid="{F8AC58FB-4E57-49D5-B1F7-ACB7ABD92FDF}"/>
    <cellStyle name="Comma 2 5 7 4 2 3" xfId="34662" xr:uid="{BC79969C-C226-4520-B389-30773D076D20}"/>
    <cellStyle name="Comma 2 5 7 4 3" xfId="12758" xr:uid="{FA421D5D-580C-4AE3-8FD7-8D6F071D9A21}"/>
    <cellStyle name="Comma 2 5 7 4 3 2" xfId="49266" xr:uid="{9B338D00-CC46-4DC2-98E7-83D066C67718}"/>
    <cellStyle name="Comma 2 5 7 4 3 3" xfId="31012" xr:uid="{E529840F-EDB3-450E-9736-49DF02C6F35F}"/>
    <cellStyle name="Comma 2 5 7 4 4" xfId="9108" xr:uid="{6C27D1F1-9E90-48E2-B336-84DBBC4547F2}"/>
    <cellStyle name="Comma 2 5 7 4 4 2" xfId="45616" xr:uid="{7AA127B5-4002-47F5-9A6F-EB77EC2DBEA3}"/>
    <cellStyle name="Comma 2 5 7 4 4 3" xfId="27362" xr:uid="{3C72EF86-B6BB-479F-A765-327A2B9DD445}"/>
    <cellStyle name="Comma 2 5 7 4 5" xfId="5458" xr:uid="{0E36061D-AC20-4D5D-AA4F-37C0B9FFCF75}"/>
    <cellStyle name="Comma 2 5 7 4 5 2" xfId="41966" xr:uid="{2B3FC54C-F8B3-4F27-A873-6C934DC98F22}"/>
    <cellStyle name="Comma 2 5 7 4 5 3" xfId="23712" xr:uid="{378B1033-60B0-4956-9A99-6542BCFF8F54}"/>
    <cellStyle name="Comma 2 5 7 4 6" xfId="38316" xr:uid="{44733A56-BAF8-49F7-B9EF-F481391078C5}"/>
    <cellStyle name="Comma 2 5 7 4 7" xfId="20062" xr:uid="{A8E5179C-484B-463C-BECC-385E299E02F1}"/>
    <cellStyle name="Comma 2 5 7 5" xfId="1078" xr:uid="{5F426F85-BA5B-4137-9E87-CF24DBCC52EC}"/>
    <cellStyle name="Comma 2 5 7 5 2" xfId="15678" xr:uid="{A0E76D17-1CAD-4D58-B883-F37D0E4365CF}"/>
    <cellStyle name="Comma 2 5 7 5 2 2" xfId="52186" xr:uid="{7155122B-7626-4B49-A119-955361A82DD4}"/>
    <cellStyle name="Comma 2 5 7 5 2 3" xfId="33932" xr:uid="{0DD25995-CD32-4180-9413-F074BC07D4E4}"/>
    <cellStyle name="Comma 2 5 7 5 3" xfId="12028" xr:uid="{945F8F2E-B2CA-411B-899F-86884E7860A0}"/>
    <cellStyle name="Comma 2 5 7 5 3 2" xfId="48536" xr:uid="{A9556C05-8814-498A-9E54-547D4056906B}"/>
    <cellStyle name="Comma 2 5 7 5 3 3" xfId="30282" xr:uid="{2A906545-1B26-4154-BED9-7FE96A419416}"/>
    <cellStyle name="Comma 2 5 7 5 4" xfId="8378" xr:uid="{F6324166-7660-4993-AEFA-F77CEDFEC2CF}"/>
    <cellStyle name="Comma 2 5 7 5 4 2" xfId="44886" xr:uid="{C71B8E70-2544-450D-9DA2-AF8FBA08F668}"/>
    <cellStyle name="Comma 2 5 7 5 4 3" xfId="26632" xr:uid="{DC8519BA-C46D-4BE5-AD54-DC7B0DACB096}"/>
    <cellStyle name="Comma 2 5 7 5 5" xfId="4728" xr:uid="{052DADA4-E748-4009-8953-4FC6BFA0DE41}"/>
    <cellStyle name="Comma 2 5 7 5 5 2" xfId="41236" xr:uid="{FE62916F-D6D5-47FF-B5D5-AC7FF610FD4A}"/>
    <cellStyle name="Comma 2 5 7 5 5 3" xfId="22982" xr:uid="{418932AC-A59F-44A1-B11F-9541F74A6144}"/>
    <cellStyle name="Comma 2 5 7 5 6" xfId="37586" xr:uid="{8D51D58B-AA7B-412D-90BA-04E962082AAA}"/>
    <cellStyle name="Comma 2 5 7 5 7" xfId="19332" xr:uid="{E2865479-A956-4006-B7EA-BA3FA6E25F50}"/>
    <cellStyle name="Comma 2 5 7 6" xfId="14948" xr:uid="{265B5287-8C94-4C8C-BF95-BA3C148CD2C9}"/>
    <cellStyle name="Comma 2 5 7 6 2" xfId="51456" xr:uid="{0C587082-E366-45C7-8641-7A8109A60326}"/>
    <cellStyle name="Comma 2 5 7 6 3" xfId="33202" xr:uid="{038E2AC2-8CB8-4391-979E-C1538C82034D}"/>
    <cellStyle name="Comma 2 5 7 7" xfId="11298" xr:uid="{2EA61E24-2FDE-4078-8BE9-E66266A597D1}"/>
    <cellStyle name="Comma 2 5 7 7 2" xfId="47806" xr:uid="{5116E5F1-5644-4453-A414-A620770F2E90}"/>
    <cellStyle name="Comma 2 5 7 7 3" xfId="29552" xr:uid="{04376833-510F-413B-9F75-DF7FB90ECD7F}"/>
    <cellStyle name="Comma 2 5 7 8" xfId="7648" xr:uid="{6E207244-C298-4D1B-8E31-74C73F17FE63}"/>
    <cellStyle name="Comma 2 5 7 8 2" xfId="44156" xr:uid="{DF3715D4-0A87-4585-A455-DABA33A2895F}"/>
    <cellStyle name="Comma 2 5 7 8 3" xfId="25902" xr:uid="{82762DCA-B8A2-44FF-BCAD-871C1B51B77B}"/>
    <cellStyle name="Comma 2 5 7 9" xfId="3998" xr:uid="{BE695F83-01BA-4061-94A5-8CE739A01630}"/>
    <cellStyle name="Comma 2 5 7 9 2" xfId="40506" xr:uid="{576D49A2-BF45-48BA-9D3E-1623152777DA}"/>
    <cellStyle name="Comma 2 5 7 9 3" xfId="22252" xr:uid="{38C582B1-2CB7-410D-8C69-C8F74FF39B92}"/>
    <cellStyle name="Comma 2 5 8" xfId="244" xr:uid="{A82E3045-EE20-44A7-9310-516E16B78D4D}"/>
    <cellStyle name="Comma 2 5 8 10" xfId="36752" xr:uid="{DFB3CBDE-C360-4486-B77D-40B8795C61AC}"/>
    <cellStyle name="Comma 2 5 8 11" xfId="18498" xr:uid="{EF1A9457-5849-4EC7-86C1-17EFE932D84C}"/>
    <cellStyle name="Comma 2 5 8 2" xfId="3164" xr:uid="{11B913A6-7EEB-4E3D-85C6-8FACE54409B6}"/>
    <cellStyle name="Comma 2 5 8 2 2" xfId="17764" xr:uid="{CA6643B9-A21C-4BF6-BC7F-228E1EAE7845}"/>
    <cellStyle name="Comma 2 5 8 2 2 2" xfId="54272" xr:uid="{05BAF975-4EDA-49E4-BC9A-BD78602F2176}"/>
    <cellStyle name="Comma 2 5 8 2 2 3" xfId="36018" xr:uid="{82D78FA2-8EAA-4559-8A14-C7CD3367EA58}"/>
    <cellStyle name="Comma 2 5 8 2 3" xfId="14114" xr:uid="{372FC7C7-026E-41EA-88C5-EEBFD1ABB3C5}"/>
    <cellStyle name="Comma 2 5 8 2 3 2" xfId="50622" xr:uid="{9A65D71B-1DB9-4DA5-80A9-80ACDBCFB4DF}"/>
    <cellStyle name="Comma 2 5 8 2 3 3" xfId="32368" xr:uid="{B711B4F3-B0B6-4436-83F3-2D93E83129F8}"/>
    <cellStyle name="Comma 2 5 8 2 4" xfId="10464" xr:uid="{A53114FC-4D1F-4E7C-AC0E-EAA72810C587}"/>
    <cellStyle name="Comma 2 5 8 2 4 2" xfId="46972" xr:uid="{FDCE701F-3074-4A31-B126-BEF8106EEB36}"/>
    <cellStyle name="Comma 2 5 8 2 4 3" xfId="28718" xr:uid="{92B309CB-534B-498E-9844-8FDEF092F031}"/>
    <cellStyle name="Comma 2 5 8 2 5" xfId="6814" xr:uid="{C950CF5C-7B4C-478B-BD2C-9C7AF3FD1DFC}"/>
    <cellStyle name="Comma 2 5 8 2 5 2" xfId="43322" xr:uid="{EAF21310-79A7-41B2-A1E4-ABC463EC6A7B}"/>
    <cellStyle name="Comma 2 5 8 2 5 3" xfId="25068" xr:uid="{F7A48512-D721-4BE7-BC58-7B2518C3697F}"/>
    <cellStyle name="Comma 2 5 8 2 6" xfId="39672" xr:uid="{2B4A78CF-DAE5-4985-B54E-85A51FFC56F5}"/>
    <cellStyle name="Comma 2 5 8 2 7" xfId="21418" xr:uid="{0B302A66-12A1-4935-BCE6-6B38B21BB973}"/>
    <cellStyle name="Comma 2 5 8 3" xfId="2434" xr:uid="{90AE1162-3800-42AD-A0FB-453C1CDA8AFD}"/>
    <cellStyle name="Comma 2 5 8 3 2" xfId="17034" xr:uid="{3CF25BB5-1724-4D79-8E22-0E59CBA323FE}"/>
    <cellStyle name="Comma 2 5 8 3 2 2" xfId="53542" xr:uid="{B2488084-8167-47D7-BC20-F8FDDD07275B}"/>
    <cellStyle name="Comma 2 5 8 3 2 3" xfId="35288" xr:uid="{D8490CD9-D175-45AF-A6E1-7CC98B24ED82}"/>
    <cellStyle name="Comma 2 5 8 3 3" xfId="13384" xr:uid="{F7D2C1D3-4BBD-46FA-8685-97EE77368B8B}"/>
    <cellStyle name="Comma 2 5 8 3 3 2" xfId="49892" xr:uid="{BF72193E-D549-401F-ADCA-12A305FBDC0D}"/>
    <cellStyle name="Comma 2 5 8 3 3 3" xfId="31638" xr:uid="{F078971E-3713-44A5-82B8-88CD70922780}"/>
    <cellStyle name="Comma 2 5 8 3 4" xfId="9734" xr:uid="{75426195-15B5-4521-B3FD-B75E82001A50}"/>
    <cellStyle name="Comma 2 5 8 3 4 2" xfId="46242" xr:uid="{E0C7C889-ADDB-4662-A55D-5F54C1F61F78}"/>
    <cellStyle name="Comma 2 5 8 3 4 3" xfId="27988" xr:uid="{A62B09C8-E09C-4F52-AB33-8B6A58961DB5}"/>
    <cellStyle name="Comma 2 5 8 3 5" xfId="6084" xr:uid="{45DA3A3D-A7DE-4211-8B39-3FE4153E7AFF}"/>
    <cellStyle name="Comma 2 5 8 3 5 2" xfId="42592" xr:uid="{48D7C941-F36A-4274-A2B2-5C54C7AE9BEE}"/>
    <cellStyle name="Comma 2 5 8 3 5 3" xfId="24338" xr:uid="{CDD68047-E5A8-44E5-A7E8-F1BAB511BD5A}"/>
    <cellStyle name="Comma 2 5 8 3 6" xfId="38942" xr:uid="{B7CCDD77-8BA4-4B78-B317-9D1F977962CB}"/>
    <cellStyle name="Comma 2 5 8 3 7" xfId="20688" xr:uid="{AE607C2A-4698-4453-96D3-024D91DED79A}"/>
    <cellStyle name="Comma 2 5 8 4" xfId="1704" xr:uid="{7B3BFD12-0639-4414-B06C-7B8EE4867136}"/>
    <cellStyle name="Comma 2 5 8 4 2" xfId="16304" xr:uid="{2427D2CB-6990-450B-9CD8-232AD0A5A064}"/>
    <cellStyle name="Comma 2 5 8 4 2 2" xfId="52812" xr:uid="{92AFDA19-9A6C-4919-A52F-24450B266E1D}"/>
    <cellStyle name="Comma 2 5 8 4 2 3" xfId="34558" xr:uid="{4396F77B-3B10-4F95-A6B2-A26D2D638248}"/>
    <cellStyle name="Comma 2 5 8 4 3" xfId="12654" xr:uid="{299C2FC5-0D03-49CA-A038-D8B916126CD0}"/>
    <cellStyle name="Comma 2 5 8 4 3 2" xfId="49162" xr:uid="{6F47E187-9401-4300-975D-ABC272C4302F}"/>
    <cellStyle name="Comma 2 5 8 4 3 3" xfId="30908" xr:uid="{53975194-948D-4718-8FD8-8A120A3F2AA3}"/>
    <cellStyle name="Comma 2 5 8 4 4" xfId="9004" xr:uid="{E448D814-87CB-4278-938E-97FAFBE80F56}"/>
    <cellStyle name="Comma 2 5 8 4 4 2" xfId="45512" xr:uid="{C3D811BF-0C3F-4136-B6A4-7934A2903B41}"/>
    <cellStyle name="Comma 2 5 8 4 4 3" xfId="27258" xr:uid="{27E2B988-07DE-48C9-9FAA-A7B58CD54D16}"/>
    <cellStyle name="Comma 2 5 8 4 5" xfId="5354" xr:uid="{D4D41E31-294B-4824-9A26-45DC173C21E5}"/>
    <cellStyle name="Comma 2 5 8 4 5 2" xfId="41862" xr:uid="{31F2AFEB-09B4-489D-919E-1CCAA7968984}"/>
    <cellStyle name="Comma 2 5 8 4 5 3" xfId="23608" xr:uid="{5A6F2364-186D-435B-8CDC-4C28FAA1AAE3}"/>
    <cellStyle name="Comma 2 5 8 4 6" xfId="38212" xr:uid="{0A80E38D-9C61-4007-A8C7-54AA24D719E8}"/>
    <cellStyle name="Comma 2 5 8 4 7" xfId="19958" xr:uid="{2D52C10E-14DC-4898-9F20-97381F39B57E}"/>
    <cellStyle name="Comma 2 5 8 5" xfId="974" xr:uid="{1E666010-0E75-45E6-8831-309CBFCDABEE}"/>
    <cellStyle name="Comma 2 5 8 5 2" xfId="15574" xr:uid="{8BF985A9-D5D4-4B7E-8040-DD65ABAC821F}"/>
    <cellStyle name="Comma 2 5 8 5 2 2" xfId="52082" xr:uid="{E36A266B-80F6-48A3-BD12-5DD29E334A45}"/>
    <cellStyle name="Comma 2 5 8 5 2 3" xfId="33828" xr:uid="{8EBCF4CF-7530-4ACC-94C1-B06C769D9D91}"/>
    <cellStyle name="Comma 2 5 8 5 3" xfId="11924" xr:uid="{99EF5E90-E7D7-42D1-877C-52DFE6E5B517}"/>
    <cellStyle name="Comma 2 5 8 5 3 2" xfId="48432" xr:uid="{E9DB3FC7-8D3F-4516-A014-102A82E21717}"/>
    <cellStyle name="Comma 2 5 8 5 3 3" xfId="30178" xr:uid="{13B4D427-06BC-4E3E-8946-71D11B0D62C5}"/>
    <cellStyle name="Comma 2 5 8 5 4" xfId="8274" xr:uid="{B3D8680D-7354-44CE-8A91-97588E596DFD}"/>
    <cellStyle name="Comma 2 5 8 5 4 2" xfId="44782" xr:uid="{296068A6-3C41-4DD9-9121-9C3C19406E3E}"/>
    <cellStyle name="Comma 2 5 8 5 4 3" xfId="26528" xr:uid="{24F3ACCF-195E-4331-93D5-3AA2E35732AD}"/>
    <cellStyle name="Comma 2 5 8 5 5" xfId="4624" xr:uid="{37BE181C-9986-4DE5-A250-26A4ECE5B8E6}"/>
    <cellStyle name="Comma 2 5 8 5 5 2" xfId="41132" xr:uid="{A31BC958-3010-4808-BED7-AAD373E1E3FD}"/>
    <cellStyle name="Comma 2 5 8 5 5 3" xfId="22878" xr:uid="{93CD5087-E8A3-4279-918A-E250295FE2D4}"/>
    <cellStyle name="Comma 2 5 8 5 6" xfId="37482" xr:uid="{D2A2343E-E100-47C0-8091-09645463F952}"/>
    <cellStyle name="Comma 2 5 8 5 7" xfId="19228" xr:uid="{9A493C2E-E244-4A17-9730-FB051E63AC5B}"/>
    <cellStyle name="Comma 2 5 8 6" xfId="14844" xr:uid="{D2019BA2-8235-45F0-986C-E5C2B71CFD25}"/>
    <cellStyle name="Comma 2 5 8 6 2" xfId="51352" xr:uid="{2281E33B-09CC-49A3-BD2A-B9957AEDC760}"/>
    <cellStyle name="Comma 2 5 8 6 3" xfId="33098" xr:uid="{CC7165AD-BE0B-4338-B89D-DE3CCE7A242A}"/>
    <cellStyle name="Comma 2 5 8 7" xfId="11194" xr:uid="{2A9D45C1-64CD-48D2-8362-92514DACD0F0}"/>
    <cellStyle name="Comma 2 5 8 7 2" xfId="47702" xr:uid="{8D489D26-BD4E-445A-B542-55CBD141762A}"/>
    <cellStyle name="Comma 2 5 8 7 3" xfId="29448" xr:uid="{37554DFB-4C76-4C0E-B327-968B73AE085B}"/>
    <cellStyle name="Comma 2 5 8 8" xfId="7544" xr:uid="{8F4D400F-F4AA-48C9-96E3-90B6F74E4BDD}"/>
    <cellStyle name="Comma 2 5 8 8 2" xfId="44052" xr:uid="{F6D4D405-B459-4112-B73B-AE5BC5CB451E}"/>
    <cellStyle name="Comma 2 5 8 8 3" xfId="25798" xr:uid="{BD4C349C-613E-4EE1-8DB2-CE8C9A2709EA}"/>
    <cellStyle name="Comma 2 5 8 9" xfId="3894" xr:uid="{2CBDD957-70E1-4C5B-BA0A-CA7FFA3CBAA9}"/>
    <cellStyle name="Comma 2 5 8 9 2" xfId="40402" xr:uid="{91A40E48-75FC-4164-9684-6DCA4D6B3714}"/>
    <cellStyle name="Comma 2 5 8 9 3" xfId="22148" xr:uid="{E547B3CD-6F1D-486C-BE3A-F10E6176A642}"/>
    <cellStyle name="Comma 2 5 9" xfId="140" xr:uid="{A4C3E72E-CB19-4529-AD0B-3709D0573180}"/>
    <cellStyle name="Comma 2 5 9 10" xfId="36648" xr:uid="{521ED231-BFDE-43E6-B849-39F34B5ECB96}"/>
    <cellStyle name="Comma 2 5 9 11" xfId="18394" xr:uid="{0B5DF318-4176-47E1-A68D-96299E638855}"/>
    <cellStyle name="Comma 2 5 9 2" xfId="3060" xr:uid="{8AA0324D-36A9-4449-B66A-8458E8E9CDBA}"/>
    <cellStyle name="Comma 2 5 9 2 2" xfId="17660" xr:uid="{85014F7C-613E-4C6B-BB88-86590A8505DC}"/>
    <cellStyle name="Comma 2 5 9 2 2 2" xfId="54168" xr:uid="{4DAEB117-87C5-47E3-9FBE-BCE90B3D5918}"/>
    <cellStyle name="Comma 2 5 9 2 2 3" xfId="35914" xr:uid="{2671FCDB-B52A-4E22-B0DE-3B946F948E3C}"/>
    <cellStyle name="Comma 2 5 9 2 3" xfId="14010" xr:uid="{A7D4D967-7641-42FC-878E-194CD72BADAA}"/>
    <cellStyle name="Comma 2 5 9 2 3 2" xfId="50518" xr:uid="{AA88962E-C6A8-435E-88DB-6F4479695453}"/>
    <cellStyle name="Comma 2 5 9 2 3 3" xfId="32264" xr:uid="{FA706CC4-7264-414B-B7A2-487BCE079B86}"/>
    <cellStyle name="Comma 2 5 9 2 4" xfId="10360" xr:uid="{5DE93E5A-F223-45ED-B59E-61C8049774CA}"/>
    <cellStyle name="Comma 2 5 9 2 4 2" xfId="46868" xr:uid="{D97B36B5-80B3-46B9-8C70-C1B64F23D60A}"/>
    <cellStyle name="Comma 2 5 9 2 4 3" xfId="28614" xr:uid="{B9762188-5AE7-49C1-B080-B9613B24A8A3}"/>
    <cellStyle name="Comma 2 5 9 2 5" xfId="6710" xr:uid="{A6B467B6-17BC-4A09-A9BF-5D8D27D8F0B5}"/>
    <cellStyle name="Comma 2 5 9 2 5 2" xfId="43218" xr:uid="{902F2386-8D79-425C-8653-5DA32F34AA40}"/>
    <cellStyle name="Comma 2 5 9 2 5 3" xfId="24964" xr:uid="{56F44CA2-387C-41FB-9B85-8195B43B6AF6}"/>
    <cellStyle name="Comma 2 5 9 2 6" xfId="39568" xr:uid="{90B21F96-6B9D-4A97-8AEC-8D45357A5160}"/>
    <cellStyle name="Comma 2 5 9 2 7" xfId="21314" xr:uid="{AEDAAF62-81C8-4BBA-8913-8D43F8315497}"/>
    <cellStyle name="Comma 2 5 9 3" xfId="2330" xr:uid="{B54D57D2-F1D2-4E1B-B771-F313EA8F9274}"/>
    <cellStyle name="Comma 2 5 9 3 2" xfId="16930" xr:uid="{412A20A2-1705-4DF7-98C6-830D9574D604}"/>
    <cellStyle name="Comma 2 5 9 3 2 2" xfId="53438" xr:uid="{4FB3FAF1-8EDE-4AA7-87B4-9AC914B754A7}"/>
    <cellStyle name="Comma 2 5 9 3 2 3" xfId="35184" xr:uid="{3C0B8EF1-44AC-40B0-B96A-2680858BA0D9}"/>
    <cellStyle name="Comma 2 5 9 3 3" xfId="13280" xr:uid="{E4993B6B-A213-420D-BAEC-885B7EF810C3}"/>
    <cellStyle name="Comma 2 5 9 3 3 2" xfId="49788" xr:uid="{659296F1-D613-463A-8BBA-1CC7B9D9C3DE}"/>
    <cellStyle name="Comma 2 5 9 3 3 3" xfId="31534" xr:uid="{0905ED87-DFDB-4D7A-AC92-E296457124F1}"/>
    <cellStyle name="Comma 2 5 9 3 4" xfId="9630" xr:uid="{D8DDDB28-B0A0-4CAC-9C8F-537E142B3138}"/>
    <cellStyle name="Comma 2 5 9 3 4 2" xfId="46138" xr:uid="{88F18BD8-30D9-4A09-88ED-87DE5C1AB3F3}"/>
    <cellStyle name="Comma 2 5 9 3 4 3" xfId="27884" xr:uid="{38E935DA-7524-4C5A-BCDA-76198E88F097}"/>
    <cellStyle name="Comma 2 5 9 3 5" xfId="5980" xr:uid="{99F65C21-9307-4B26-9A7D-9D9BE4741839}"/>
    <cellStyle name="Comma 2 5 9 3 5 2" xfId="42488" xr:uid="{7C95BED5-292D-4098-A778-5358841C5B63}"/>
    <cellStyle name="Comma 2 5 9 3 5 3" xfId="24234" xr:uid="{FD6E922C-D1A6-4666-BD43-577F1157D5E1}"/>
    <cellStyle name="Comma 2 5 9 3 6" xfId="38838" xr:uid="{ADD174C6-BBF1-44A8-809F-513C19A9942A}"/>
    <cellStyle name="Comma 2 5 9 3 7" xfId="20584" xr:uid="{3A0B1F03-5B10-4766-B069-9F9335C4D4A2}"/>
    <cellStyle name="Comma 2 5 9 4" xfId="1600" xr:uid="{4E06E489-D66F-4878-B68E-B61BA3BC4286}"/>
    <cellStyle name="Comma 2 5 9 4 2" xfId="16200" xr:uid="{65B1A7C1-5B8E-4187-8C0A-93006D77BEF6}"/>
    <cellStyle name="Comma 2 5 9 4 2 2" xfId="52708" xr:uid="{B8ED4B1D-A2F2-48AE-821C-57C74DEFD899}"/>
    <cellStyle name="Comma 2 5 9 4 2 3" xfId="34454" xr:uid="{8F954863-D456-43BF-BF1B-9989F0057440}"/>
    <cellStyle name="Comma 2 5 9 4 3" xfId="12550" xr:uid="{D753C284-8294-4950-8E6D-8A3D33126879}"/>
    <cellStyle name="Comma 2 5 9 4 3 2" xfId="49058" xr:uid="{CDB81FC7-2232-4E10-B7FE-A6E14D3C910C}"/>
    <cellStyle name="Comma 2 5 9 4 3 3" xfId="30804" xr:uid="{0F0A60F3-EC22-49ED-A621-9047D2F289C7}"/>
    <cellStyle name="Comma 2 5 9 4 4" xfId="8900" xr:uid="{F25F9CC7-2194-4206-866E-B736B6335DBF}"/>
    <cellStyle name="Comma 2 5 9 4 4 2" xfId="45408" xr:uid="{B4298F75-BADF-4994-A746-6019412160D9}"/>
    <cellStyle name="Comma 2 5 9 4 4 3" xfId="27154" xr:uid="{FB4567A9-4527-4F88-9999-C37D522239BC}"/>
    <cellStyle name="Comma 2 5 9 4 5" xfId="5250" xr:uid="{56357301-1A7D-4575-9942-E6217FB34386}"/>
    <cellStyle name="Comma 2 5 9 4 5 2" xfId="41758" xr:uid="{B038C431-2093-4AFD-A0A3-B85FD4A80C52}"/>
    <cellStyle name="Comma 2 5 9 4 5 3" xfId="23504" xr:uid="{A90BD553-5AB8-4E38-98EE-13EEBBA0D275}"/>
    <cellStyle name="Comma 2 5 9 4 6" xfId="38108" xr:uid="{AE25400C-1964-479F-8827-01AE514ADC3F}"/>
    <cellStyle name="Comma 2 5 9 4 7" xfId="19854" xr:uid="{24FB22F7-E774-4230-AB7E-9BBDC3B11161}"/>
    <cellStyle name="Comma 2 5 9 5" xfId="870" xr:uid="{5319A8D1-C743-4506-82C3-D6310248B887}"/>
    <cellStyle name="Comma 2 5 9 5 2" xfId="15470" xr:uid="{0B9DDD49-7045-42A2-9033-35BDB91F7C4F}"/>
    <cellStyle name="Comma 2 5 9 5 2 2" xfId="51978" xr:uid="{6ED94E38-5778-44EF-B79A-8529EDDE7153}"/>
    <cellStyle name="Comma 2 5 9 5 2 3" xfId="33724" xr:uid="{2551D363-DFF2-4947-80B1-D76192731BD2}"/>
    <cellStyle name="Comma 2 5 9 5 3" xfId="11820" xr:uid="{A175CD96-E05C-4841-AFD4-0847560EA0D3}"/>
    <cellStyle name="Comma 2 5 9 5 3 2" xfId="48328" xr:uid="{9DC9D677-8DE6-4A24-8809-9AB4F03B4274}"/>
    <cellStyle name="Comma 2 5 9 5 3 3" xfId="30074" xr:uid="{BE9800D7-3FBB-4352-8436-6A6D29884E65}"/>
    <cellStyle name="Comma 2 5 9 5 4" xfId="8170" xr:uid="{302BCB4B-CFEC-40E0-BB72-72A7A2738A91}"/>
    <cellStyle name="Comma 2 5 9 5 4 2" xfId="44678" xr:uid="{EC862DF4-907F-41FF-952D-D8EF03057011}"/>
    <cellStyle name="Comma 2 5 9 5 4 3" xfId="26424" xr:uid="{10CDAA9D-6DF3-4C36-8D08-FBF7E814B7FD}"/>
    <cellStyle name="Comma 2 5 9 5 5" xfId="4520" xr:uid="{A1E3C343-0D14-4977-BB04-2EE693027E75}"/>
    <cellStyle name="Comma 2 5 9 5 5 2" xfId="41028" xr:uid="{2ED5DE3D-2FA3-45D2-BB5F-639EFE2F94CB}"/>
    <cellStyle name="Comma 2 5 9 5 5 3" xfId="22774" xr:uid="{B3600E49-61A9-4660-9EE8-FC909623786F}"/>
    <cellStyle name="Comma 2 5 9 5 6" xfId="37378" xr:uid="{9A75752D-37A3-4548-81A4-A627B227DB7D}"/>
    <cellStyle name="Comma 2 5 9 5 7" xfId="19124" xr:uid="{946EAD2C-459F-401B-837B-04B7590CB655}"/>
    <cellStyle name="Comma 2 5 9 6" xfId="14740" xr:uid="{3B00F92D-1064-4BE8-90ED-BE26060DACE3}"/>
    <cellStyle name="Comma 2 5 9 6 2" xfId="51248" xr:uid="{2B1B1A47-E6C2-4790-9ED4-29E5DDFC01C5}"/>
    <cellStyle name="Comma 2 5 9 6 3" xfId="32994" xr:uid="{36033388-6557-4571-9702-A2C14C10CC66}"/>
    <cellStyle name="Comma 2 5 9 7" xfId="11090" xr:uid="{F1AFC818-1764-48A6-88F6-3B656355E818}"/>
    <cellStyle name="Comma 2 5 9 7 2" xfId="47598" xr:uid="{51E42006-A21B-460D-B879-B36AB8EA7726}"/>
    <cellStyle name="Comma 2 5 9 7 3" xfId="29344" xr:uid="{A041D077-0B0C-49BD-80B0-4E8AA516A06F}"/>
    <cellStyle name="Comma 2 5 9 8" xfId="7440" xr:uid="{4459181C-B9FB-4CE9-896B-9771D6A35589}"/>
    <cellStyle name="Comma 2 5 9 8 2" xfId="43948" xr:uid="{02F8F33C-B6EA-4FAC-A1DE-4EA24A9B395A}"/>
    <cellStyle name="Comma 2 5 9 8 3" xfId="25694" xr:uid="{87A2069D-0790-454A-B3BD-A1C605F3FDD4}"/>
    <cellStyle name="Comma 2 5 9 9" xfId="3790" xr:uid="{121271DC-4F78-445F-9C05-C63CBB2A2182}"/>
    <cellStyle name="Comma 2 5 9 9 2" xfId="40298" xr:uid="{0AAEB66E-6B0E-45D4-8BC7-BCF79DE3B521}"/>
    <cellStyle name="Comma 2 5 9 9 3" xfId="22044" xr:uid="{AB287256-BC57-49C6-AA45-C02563D680F0}"/>
    <cellStyle name="Comma 2 6" xfId="84" xr:uid="{FA638764-3367-4971-A8B1-BD2D280BCA2A}"/>
    <cellStyle name="Comma 2 6 10" xfId="1544" xr:uid="{C3F9547A-BB8D-4E60-83BD-66A07A426732}"/>
    <cellStyle name="Comma 2 6 10 2" xfId="16144" xr:uid="{34C8AFE9-2322-405D-A230-8E468ABF376F}"/>
    <cellStyle name="Comma 2 6 10 2 2" xfId="52652" xr:uid="{E63D9EF6-4BB0-4007-BD04-E09054887913}"/>
    <cellStyle name="Comma 2 6 10 2 3" xfId="34398" xr:uid="{FDFC6290-3279-42C3-A28A-79212C662DC8}"/>
    <cellStyle name="Comma 2 6 10 3" xfId="12494" xr:uid="{500C3852-2C46-429E-AE08-B09EA3F3CC42}"/>
    <cellStyle name="Comma 2 6 10 3 2" xfId="49002" xr:uid="{8522D466-6295-4409-974F-C2DB993C98AF}"/>
    <cellStyle name="Comma 2 6 10 3 3" xfId="30748" xr:uid="{E1947369-346C-4804-82D0-2EDC722E32F1}"/>
    <cellStyle name="Comma 2 6 10 4" xfId="8844" xr:uid="{B5319AAD-9496-49D7-9D66-49CD5CEC0D80}"/>
    <cellStyle name="Comma 2 6 10 4 2" xfId="45352" xr:uid="{BEBE6AF4-94E3-46FE-9FA6-310D4A0A0F3E}"/>
    <cellStyle name="Comma 2 6 10 4 3" xfId="27098" xr:uid="{D3B1CD5B-B07B-4FF7-AA58-AAC716AE9FA1}"/>
    <cellStyle name="Comma 2 6 10 5" xfId="5194" xr:uid="{A1FAF39F-11A4-4A46-AB07-95DD2600E936}"/>
    <cellStyle name="Comma 2 6 10 5 2" xfId="41702" xr:uid="{F63BA7BD-70E5-43BA-A1B1-4FBD2C1C2D4D}"/>
    <cellStyle name="Comma 2 6 10 5 3" xfId="23448" xr:uid="{8599ED9B-EFC9-4326-8FC0-8A2DB7FC6689}"/>
    <cellStyle name="Comma 2 6 10 6" xfId="38052" xr:uid="{B8E2C2EB-5E3D-4E9E-BC95-BDA7C7C8E1FC}"/>
    <cellStyle name="Comma 2 6 10 7" xfId="19798" xr:uid="{7E83EAB3-8F7A-4ADB-8F7F-FB7750987D83}"/>
    <cellStyle name="Comma 2 6 11" xfId="814" xr:uid="{8EF7F00B-E2B3-481B-853A-A7CB5A136C02}"/>
    <cellStyle name="Comma 2 6 11 2" xfId="15414" xr:uid="{67B6810D-81EE-456D-A9C1-C0DC7BDEA62E}"/>
    <cellStyle name="Comma 2 6 11 2 2" xfId="51922" xr:uid="{D1704C32-B141-44B0-B18F-C362008C0066}"/>
    <cellStyle name="Comma 2 6 11 2 3" xfId="33668" xr:uid="{AB44C1A9-F79D-4FFA-BC42-60E509B9D53C}"/>
    <cellStyle name="Comma 2 6 11 3" xfId="11764" xr:uid="{E5490E16-2371-47A9-B243-C6664BED9AF7}"/>
    <cellStyle name="Comma 2 6 11 3 2" xfId="48272" xr:uid="{966F16FC-7602-47D1-BF3B-CF603E3704FD}"/>
    <cellStyle name="Comma 2 6 11 3 3" xfId="30018" xr:uid="{BDD33E46-307A-4456-8D3C-7DDA001FD0CB}"/>
    <cellStyle name="Comma 2 6 11 4" xfId="8114" xr:uid="{DB992CFB-7217-41D2-8D2A-8AF54CB919C6}"/>
    <cellStyle name="Comma 2 6 11 4 2" xfId="44622" xr:uid="{DEB150FE-DF0D-4556-BE35-774D9922F139}"/>
    <cellStyle name="Comma 2 6 11 4 3" xfId="26368" xr:uid="{0E0C976A-1E9B-4B53-8A0B-3A9B7F0ED930}"/>
    <cellStyle name="Comma 2 6 11 5" xfId="4464" xr:uid="{B7E76D34-43DD-4110-85AC-800A8E50BEC5}"/>
    <cellStyle name="Comma 2 6 11 5 2" xfId="40972" xr:uid="{C55FEDC9-2063-45BC-8DAB-60468DE5800C}"/>
    <cellStyle name="Comma 2 6 11 5 3" xfId="22718" xr:uid="{D35CB128-FF17-46C3-A7BD-B96D38C1F476}"/>
    <cellStyle name="Comma 2 6 11 6" xfId="37322" xr:uid="{C87B370D-F353-43D0-BF45-830E928FE05D}"/>
    <cellStyle name="Comma 2 6 11 7" xfId="19068" xr:uid="{F38CAE78-4956-4B84-BEE1-FF889AA3D3FB}"/>
    <cellStyle name="Comma 2 6 12" xfId="14684" xr:uid="{394030C0-7480-4D26-9EA9-66C505908AF3}"/>
    <cellStyle name="Comma 2 6 12 2" xfId="51192" xr:uid="{F16EB1D4-2D21-4BA6-9C15-2DE7A6E6FA31}"/>
    <cellStyle name="Comma 2 6 12 3" xfId="32938" xr:uid="{EF71593A-B597-460D-9FE7-ED12539001D5}"/>
    <cellStyle name="Comma 2 6 13" xfId="11034" xr:uid="{FF557238-F79C-408B-A332-83167300D8DF}"/>
    <cellStyle name="Comma 2 6 13 2" xfId="47542" xr:uid="{40803F9D-4EEC-447C-8BAB-B3997C79A7E0}"/>
    <cellStyle name="Comma 2 6 13 3" xfId="29288" xr:uid="{306965E4-311B-4961-BAC7-C8B5A15F8C59}"/>
    <cellStyle name="Comma 2 6 14" xfId="7384" xr:uid="{11D97B72-E2FB-451C-B252-FB03D6E8BCDB}"/>
    <cellStyle name="Comma 2 6 14 2" xfId="43892" xr:uid="{D80B687B-B362-4217-87F1-DE5C16DD802C}"/>
    <cellStyle name="Comma 2 6 14 3" xfId="25638" xr:uid="{D35750E5-4467-4937-879C-65A15D9E894B}"/>
    <cellStyle name="Comma 2 6 15" xfId="3734" xr:uid="{DD879F31-4194-4451-84B9-27172176093B}"/>
    <cellStyle name="Comma 2 6 15 2" xfId="40242" xr:uid="{7F954C3E-A914-4546-A17B-4429C44E17FE}"/>
    <cellStyle name="Comma 2 6 15 3" xfId="21988" xr:uid="{906E36B5-CFEC-411E-9DC0-25ED1577C7D9}"/>
    <cellStyle name="Comma 2 6 16" xfId="36592" xr:uid="{22F685D6-558F-4843-8D3D-34BA55652A05}"/>
    <cellStyle name="Comma 2 6 17" xfId="18338" xr:uid="{0E00B7F7-276A-43B0-886F-CD663CEE7C28}"/>
    <cellStyle name="Comma 2 6 2" xfId="708" xr:uid="{93B9640D-DBC5-4AC5-B6E9-C2F8E888E0BF}"/>
    <cellStyle name="Comma 2 6 2 10" xfId="37216" xr:uid="{266257B1-86D7-44FB-B28E-61F281F8E1D3}"/>
    <cellStyle name="Comma 2 6 2 11" xfId="18962" xr:uid="{5E4241E1-4EFA-4F55-8EC7-BBE4422279DF}"/>
    <cellStyle name="Comma 2 6 2 2" xfId="3628" xr:uid="{97830BC0-0FE7-412A-A301-396915C05910}"/>
    <cellStyle name="Comma 2 6 2 2 2" xfId="18228" xr:uid="{AE999C8B-F61F-49EF-BB80-C792748426F6}"/>
    <cellStyle name="Comma 2 6 2 2 2 2" xfId="54736" xr:uid="{73E87722-1E7E-4CCC-9A82-D25D619A79A4}"/>
    <cellStyle name="Comma 2 6 2 2 2 3" xfId="36482" xr:uid="{8E55F71C-8BFF-4CCE-A152-8D496ADDF0E7}"/>
    <cellStyle name="Comma 2 6 2 2 3" xfId="14578" xr:uid="{98808720-6575-4CD6-957D-8DEE3D61D67C}"/>
    <cellStyle name="Comma 2 6 2 2 3 2" xfId="51086" xr:uid="{EDF30392-CE8D-4B3A-918C-09EBB2029DA1}"/>
    <cellStyle name="Comma 2 6 2 2 3 3" xfId="32832" xr:uid="{FB2B7F4D-69AC-4835-AA7A-7B09E21041E7}"/>
    <cellStyle name="Comma 2 6 2 2 4" xfId="10928" xr:uid="{114559C4-C053-4901-AABB-9EC4300AC8DB}"/>
    <cellStyle name="Comma 2 6 2 2 4 2" xfId="47436" xr:uid="{A22791B6-777F-43A1-AD39-E0FCAD924299}"/>
    <cellStyle name="Comma 2 6 2 2 4 3" xfId="29182" xr:uid="{7CE99F57-2F69-48F1-839A-578316286488}"/>
    <cellStyle name="Comma 2 6 2 2 5" xfId="7278" xr:uid="{8A37E128-8ACD-4047-B75C-394C456C0B28}"/>
    <cellStyle name="Comma 2 6 2 2 5 2" xfId="43786" xr:uid="{51002C27-ACEE-46FB-AE94-46D1ED03026E}"/>
    <cellStyle name="Comma 2 6 2 2 5 3" xfId="25532" xr:uid="{E58C3189-CF7B-4398-A8F8-6C644F0C9764}"/>
    <cellStyle name="Comma 2 6 2 2 6" xfId="40136" xr:uid="{17C4CA8B-5F0C-4F6F-80E5-5ABF6BB959F1}"/>
    <cellStyle name="Comma 2 6 2 2 7" xfId="21882" xr:uid="{03CE3B1D-30C9-4BF3-ACD6-AD733BFBCBED}"/>
    <cellStyle name="Comma 2 6 2 3" xfId="2898" xr:uid="{5FF62D8C-AD76-4840-B0F5-AC77EFE2A3C5}"/>
    <cellStyle name="Comma 2 6 2 3 2" xfId="17498" xr:uid="{21274FF3-E872-409F-BEAD-1439011333AE}"/>
    <cellStyle name="Comma 2 6 2 3 2 2" xfId="54006" xr:uid="{349F70EA-5997-45EC-BABF-192561C7953D}"/>
    <cellStyle name="Comma 2 6 2 3 2 3" xfId="35752" xr:uid="{9FF6B82F-7A2A-474B-BFBA-B502EFC741B2}"/>
    <cellStyle name="Comma 2 6 2 3 3" xfId="13848" xr:uid="{73A49467-7885-436D-A78D-EA596A12CFB5}"/>
    <cellStyle name="Comma 2 6 2 3 3 2" xfId="50356" xr:uid="{6FE2BBD0-D55D-4602-99F8-89868EBCB818}"/>
    <cellStyle name="Comma 2 6 2 3 3 3" xfId="32102" xr:uid="{A048ED57-C1D5-4545-AFCC-49FB0FC9FB4E}"/>
    <cellStyle name="Comma 2 6 2 3 4" xfId="10198" xr:uid="{18C59A25-062E-4E18-8207-E773BE587E24}"/>
    <cellStyle name="Comma 2 6 2 3 4 2" xfId="46706" xr:uid="{5937350C-06E5-42BB-9E91-1D3A7B9F56AD}"/>
    <cellStyle name="Comma 2 6 2 3 4 3" xfId="28452" xr:uid="{F1327550-FA75-47FD-BE6C-363967512ABC}"/>
    <cellStyle name="Comma 2 6 2 3 5" xfId="6548" xr:uid="{C630EF9E-749E-44A8-BE46-CC0CEEFDC62C}"/>
    <cellStyle name="Comma 2 6 2 3 5 2" xfId="43056" xr:uid="{4008E216-45D6-4C1E-AB3A-B473974B404C}"/>
    <cellStyle name="Comma 2 6 2 3 5 3" xfId="24802" xr:uid="{903AF0E3-C497-4056-8134-047F1F43D58C}"/>
    <cellStyle name="Comma 2 6 2 3 6" xfId="39406" xr:uid="{67F255EE-6F6C-4BD9-B503-165A9DE16CF9}"/>
    <cellStyle name="Comma 2 6 2 3 7" xfId="21152" xr:uid="{4733B4F6-7BFD-4310-B584-E0DB9B849704}"/>
    <cellStyle name="Comma 2 6 2 4" xfId="2168" xr:uid="{3689AAB3-0E67-4B52-BD84-21728182AAE2}"/>
    <cellStyle name="Comma 2 6 2 4 2" xfId="16768" xr:uid="{701D6BA7-DA83-4BE5-BCBB-15689A1DA0C8}"/>
    <cellStyle name="Comma 2 6 2 4 2 2" xfId="53276" xr:uid="{3909A0C1-7C99-44AA-ADF7-4E1354D69577}"/>
    <cellStyle name="Comma 2 6 2 4 2 3" xfId="35022" xr:uid="{D6282362-148F-45B5-9149-84DFC8FBA616}"/>
    <cellStyle name="Comma 2 6 2 4 3" xfId="13118" xr:uid="{39EE34D5-F3E3-4545-9634-187CF863386C}"/>
    <cellStyle name="Comma 2 6 2 4 3 2" xfId="49626" xr:uid="{5C0787FB-FCF6-4E10-9D0E-4090165C6B1C}"/>
    <cellStyle name="Comma 2 6 2 4 3 3" xfId="31372" xr:uid="{94151C78-0AEB-4272-B1FB-FA28B4E9BD22}"/>
    <cellStyle name="Comma 2 6 2 4 4" xfId="9468" xr:uid="{C5D45B41-D08E-4C7B-A40F-78303A8C0500}"/>
    <cellStyle name="Comma 2 6 2 4 4 2" xfId="45976" xr:uid="{516DA46D-D2B6-4694-A775-63DCE5C6E4F4}"/>
    <cellStyle name="Comma 2 6 2 4 4 3" xfId="27722" xr:uid="{3E7D8293-A9F5-4B70-9042-8F05568732B0}"/>
    <cellStyle name="Comma 2 6 2 4 5" xfId="5818" xr:uid="{F4A97258-6074-4A51-B7D7-1E32E05B150D}"/>
    <cellStyle name="Comma 2 6 2 4 5 2" xfId="42326" xr:uid="{4055C6A3-F7D4-4F99-9D91-14C40E24D219}"/>
    <cellStyle name="Comma 2 6 2 4 5 3" xfId="24072" xr:uid="{FC6AB413-9730-4B60-A53E-361EA652DB67}"/>
    <cellStyle name="Comma 2 6 2 4 6" xfId="38676" xr:uid="{BBF652E8-396F-4A17-AAD0-E4ACE261182E}"/>
    <cellStyle name="Comma 2 6 2 4 7" xfId="20422" xr:uid="{D660E3AE-1EA3-4D0F-B271-2856CD5691B6}"/>
    <cellStyle name="Comma 2 6 2 5" xfId="1438" xr:uid="{8434E6C3-AD71-42A1-B14C-D4A8D6C5E2AE}"/>
    <cellStyle name="Comma 2 6 2 5 2" xfId="16038" xr:uid="{B953A97C-C53A-4852-ABD8-86D92C5F71A0}"/>
    <cellStyle name="Comma 2 6 2 5 2 2" xfId="52546" xr:uid="{465B47C1-1616-4B35-92A2-32448A5E27AB}"/>
    <cellStyle name="Comma 2 6 2 5 2 3" xfId="34292" xr:uid="{EDA37553-1DF8-4689-BF32-55A7A0159B5C}"/>
    <cellStyle name="Comma 2 6 2 5 3" xfId="12388" xr:uid="{1D9B835E-ADE0-4F3A-B5E8-BB2397CFD61A}"/>
    <cellStyle name="Comma 2 6 2 5 3 2" xfId="48896" xr:uid="{96640D7A-DC1B-44ED-8260-C0C6637AA583}"/>
    <cellStyle name="Comma 2 6 2 5 3 3" xfId="30642" xr:uid="{D3DEFFB0-B01D-42A2-AD23-9E4B200FA5E5}"/>
    <cellStyle name="Comma 2 6 2 5 4" xfId="8738" xr:uid="{4770235C-50B7-4D62-A475-C347AC730740}"/>
    <cellStyle name="Comma 2 6 2 5 4 2" xfId="45246" xr:uid="{E091A0EC-E0CF-424F-837D-DD22E947BD3D}"/>
    <cellStyle name="Comma 2 6 2 5 4 3" xfId="26992" xr:uid="{818ACC89-F84C-4B76-8A8F-ED9D64169FD0}"/>
    <cellStyle name="Comma 2 6 2 5 5" xfId="5088" xr:uid="{65286D94-6847-4BE1-8729-AAA0F14B0EAC}"/>
    <cellStyle name="Comma 2 6 2 5 5 2" xfId="41596" xr:uid="{C0A8F755-DDE1-468B-A78F-2DDCF40FA46A}"/>
    <cellStyle name="Comma 2 6 2 5 5 3" xfId="23342" xr:uid="{16F6B7C7-8C52-4622-A2CF-85C39C39E0C8}"/>
    <cellStyle name="Comma 2 6 2 5 6" xfId="37946" xr:uid="{42729013-DFDD-4358-B3BD-8F2285E25267}"/>
    <cellStyle name="Comma 2 6 2 5 7" xfId="19692" xr:uid="{DBAA89BD-A6CA-4F86-A91F-F8C17102E497}"/>
    <cellStyle name="Comma 2 6 2 6" xfId="15308" xr:uid="{EFC69FA0-CB2C-4AC5-A682-8519A107FC4C}"/>
    <cellStyle name="Comma 2 6 2 6 2" xfId="51816" xr:uid="{1B05B907-6EE0-4280-A269-8A3E9C51F529}"/>
    <cellStyle name="Comma 2 6 2 6 3" xfId="33562" xr:uid="{372C8795-CAE1-48A3-A858-A7A716B39FD3}"/>
    <cellStyle name="Comma 2 6 2 7" xfId="11658" xr:uid="{5352108A-F333-4241-AB21-41DD7E2068B3}"/>
    <cellStyle name="Comma 2 6 2 7 2" xfId="48166" xr:uid="{842FD1E9-99B0-49DD-887A-23496E8EE96C}"/>
    <cellStyle name="Comma 2 6 2 7 3" xfId="29912" xr:uid="{11A4E28A-6DDE-40DF-AA18-049ADB326C39}"/>
    <cellStyle name="Comma 2 6 2 8" xfId="8008" xr:uid="{BB8C039E-137A-4D58-A762-7392FD4CBD23}"/>
    <cellStyle name="Comma 2 6 2 8 2" xfId="44516" xr:uid="{AB5E5176-A078-4D95-AD5F-C14792E44E64}"/>
    <cellStyle name="Comma 2 6 2 8 3" xfId="26262" xr:uid="{A219E0AA-5D16-4D01-9D04-0F7886E0E3B7}"/>
    <cellStyle name="Comma 2 6 2 9" xfId="4358" xr:uid="{AD1DB928-EAEA-4560-94CA-009D7C74CCAA}"/>
    <cellStyle name="Comma 2 6 2 9 2" xfId="40866" xr:uid="{25AE95E2-8A27-482D-948C-3BB5A1DB8839}"/>
    <cellStyle name="Comma 2 6 2 9 3" xfId="22612" xr:uid="{8809FCA5-67C0-4AC9-8B72-7306BFB11D41}"/>
    <cellStyle name="Comma 2 6 3" xfId="604" xr:uid="{BAED5D90-7FD9-48B4-8630-00D5E369FB43}"/>
    <cellStyle name="Comma 2 6 3 10" xfId="37112" xr:uid="{B741289A-95BB-4366-9D41-442F1A33DCE2}"/>
    <cellStyle name="Comma 2 6 3 11" xfId="18858" xr:uid="{20023AA8-CBEE-422B-9ADD-5B28A6D377BE}"/>
    <cellStyle name="Comma 2 6 3 2" xfId="3524" xr:uid="{B984D440-71F6-4F2F-A60F-B15A3A71C28B}"/>
    <cellStyle name="Comma 2 6 3 2 2" xfId="18124" xr:uid="{8ED4570B-80F0-43C9-916D-9F4CEB99A0AE}"/>
    <cellStyle name="Comma 2 6 3 2 2 2" xfId="54632" xr:uid="{1BC20F2B-5DAE-4F80-8878-749AB09BD529}"/>
    <cellStyle name="Comma 2 6 3 2 2 3" xfId="36378" xr:uid="{0B971F27-926B-4358-986B-2ECC811060D9}"/>
    <cellStyle name="Comma 2 6 3 2 3" xfId="14474" xr:uid="{CCB416C5-91B1-4743-A799-954E2359DFB3}"/>
    <cellStyle name="Comma 2 6 3 2 3 2" xfId="50982" xr:uid="{56B4F282-930E-4454-A789-112D40841C8C}"/>
    <cellStyle name="Comma 2 6 3 2 3 3" xfId="32728" xr:uid="{56A593D1-E23B-4D80-85E7-4E3FAEDF4055}"/>
    <cellStyle name="Comma 2 6 3 2 4" xfId="10824" xr:uid="{B19F9374-E844-4A2A-BCC8-E4A1BC0B045F}"/>
    <cellStyle name="Comma 2 6 3 2 4 2" xfId="47332" xr:uid="{0B3C82FF-1658-48C0-AB9B-2EC6A575CDEF}"/>
    <cellStyle name="Comma 2 6 3 2 4 3" xfId="29078" xr:uid="{600ED579-8553-4F97-94AA-3C92C3CE56FD}"/>
    <cellStyle name="Comma 2 6 3 2 5" xfId="7174" xr:uid="{2CA86B62-D420-48E4-8CC7-1917ECB22E52}"/>
    <cellStyle name="Comma 2 6 3 2 5 2" xfId="43682" xr:uid="{ED76AD39-35E4-45F1-ACBD-D20F043F1712}"/>
    <cellStyle name="Comma 2 6 3 2 5 3" xfId="25428" xr:uid="{CABD37B4-8FEA-4FA0-8115-4F4C4A1DFAC4}"/>
    <cellStyle name="Comma 2 6 3 2 6" xfId="40032" xr:uid="{04CF4DD4-0894-4756-BFB9-F19EB1D5A4BA}"/>
    <cellStyle name="Comma 2 6 3 2 7" xfId="21778" xr:uid="{BE23A87A-A150-4B0C-A4C4-CB5424EAD778}"/>
    <cellStyle name="Comma 2 6 3 3" xfId="2794" xr:uid="{3DE52F6E-93B5-4778-8B72-7F733EBC22FA}"/>
    <cellStyle name="Comma 2 6 3 3 2" xfId="17394" xr:uid="{A2D81BF5-B844-4026-9BFE-577FD2D27CAD}"/>
    <cellStyle name="Comma 2 6 3 3 2 2" xfId="53902" xr:uid="{992E4745-0667-41C3-831D-0915B21D301C}"/>
    <cellStyle name="Comma 2 6 3 3 2 3" xfId="35648" xr:uid="{64FB65B0-7166-4365-A4F9-B131EE945D44}"/>
    <cellStyle name="Comma 2 6 3 3 3" xfId="13744" xr:uid="{DEB53243-FE12-4113-BBAB-4FFB2A355DFD}"/>
    <cellStyle name="Comma 2 6 3 3 3 2" xfId="50252" xr:uid="{C828F8A9-9897-415E-AE0A-72A9F0F5EE26}"/>
    <cellStyle name="Comma 2 6 3 3 3 3" xfId="31998" xr:uid="{2BF3D249-74EF-46B7-B1E3-0FD244CEFAA3}"/>
    <cellStyle name="Comma 2 6 3 3 4" xfId="10094" xr:uid="{646628D3-FBC3-4F8C-89E4-533F13363C2C}"/>
    <cellStyle name="Comma 2 6 3 3 4 2" xfId="46602" xr:uid="{BEE27606-6CEF-443A-882F-553661E3BEBB}"/>
    <cellStyle name="Comma 2 6 3 3 4 3" xfId="28348" xr:uid="{682E5D64-AC40-4A3B-8473-47B16AD9BD6C}"/>
    <cellStyle name="Comma 2 6 3 3 5" xfId="6444" xr:uid="{0CB073C7-D3E7-4680-915D-39BC3F155A31}"/>
    <cellStyle name="Comma 2 6 3 3 5 2" xfId="42952" xr:uid="{2A1EA0A4-B12A-4A25-A143-5FAE37668FFF}"/>
    <cellStyle name="Comma 2 6 3 3 5 3" xfId="24698" xr:uid="{984A1857-1C48-408D-8846-98DAA05D17F5}"/>
    <cellStyle name="Comma 2 6 3 3 6" xfId="39302" xr:uid="{36E91532-5285-4336-9E68-8CC04BDBA833}"/>
    <cellStyle name="Comma 2 6 3 3 7" xfId="21048" xr:uid="{BF235237-458D-4AF1-BBDD-E85A115499F0}"/>
    <cellStyle name="Comma 2 6 3 4" xfId="2064" xr:uid="{659B2952-E5A7-4B6D-8CFB-4F7F38F6DEC6}"/>
    <cellStyle name="Comma 2 6 3 4 2" xfId="16664" xr:uid="{38E9CDD6-3830-4CFA-8FC6-259A0A8A55AA}"/>
    <cellStyle name="Comma 2 6 3 4 2 2" xfId="53172" xr:uid="{BD29CFA9-A14C-4467-9035-DBDB86C6C13C}"/>
    <cellStyle name="Comma 2 6 3 4 2 3" xfId="34918" xr:uid="{1DB085DC-E926-4E93-9CA2-C8F4BF6049FA}"/>
    <cellStyle name="Comma 2 6 3 4 3" xfId="13014" xr:uid="{396DA76E-4C8A-4190-896E-36BD933B4352}"/>
    <cellStyle name="Comma 2 6 3 4 3 2" xfId="49522" xr:uid="{EC04E76A-7CA1-44C4-A504-D72BE13DBB64}"/>
    <cellStyle name="Comma 2 6 3 4 3 3" xfId="31268" xr:uid="{01E90E8A-682E-4697-8540-48266919FF4B}"/>
    <cellStyle name="Comma 2 6 3 4 4" xfId="9364" xr:uid="{2CF1DABC-87E5-42F9-A021-DFA60CCC22DB}"/>
    <cellStyle name="Comma 2 6 3 4 4 2" xfId="45872" xr:uid="{CFC6B3C4-11A7-4B93-AF57-223D8096984D}"/>
    <cellStyle name="Comma 2 6 3 4 4 3" xfId="27618" xr:uid="{2D947607-31D8-4145-A944-8EC7316E10BF}"/>
    <cellStyle name="Comma 2 6 3 4 5" xfId="5714" xr:uid="{03AF6AE6-8E89-4837-92A9-951D5B23055D}"/>
    <cellStyle name="Comma 2 6 3 4 5 2" xfId="42222" xr:uid="{954CB16E-8573-4456-A718-504042F18A0C}"/>
    <cellStyle name="Comma 2 6 3 4 5 3" xfId="23968" xr:uid="{A34DBDAF-DA45-4D1F-86F8-75265EC28B67}"/>
    <cellStyle name="Comma 2 6 3 4 6" xfId="38572" xr:uid="{E50F349A-4F84-4CB5-BCA3-538CBB12CBB1}"/>
    <cellStyle name="Comma 2 6 3 4 7" xfId="20318" xr:uid="{1A782C11-954C-4F11-81F3-1668CAC011DE}"/>
    <cellStyle name="Comma 2 6 3 5" xfId="1334" xr:uid="{CAB01DD1-037E-435C-AA49-4239E5C81EB8}"/>
    <cellStyle name="Comma 2 6 3 5 2" xfId="15934" xr:uid="{EBC469F4-524C-45FB-A2A4-7E9AE2375D6E}"/>
    <cellStyle name="Comma 2 6 3 5 2 2" xfId="52442" xr:uid="{63E16FE3-38FA-42E2-A762-8A8E1E0D2683}"/>
    <cellStyle name="Comma 2 6 3 5 2 3" xfId="34188" xr:uid="{A394C004-8BF1-4971-BFE4-03DF5DBE49F5}"/>
    <cellStyle name="Comma 2 6 3 5 3" xfId="12284" xr:uid="{17E5221D-DFCD-4004-BD97-B10F170FA203}"/>
    <cellStyle name="Comma 2 6 3 5 3 2" xfId="48792" xr:uid="{C38A4CF0-7D27-4947-B265-690FC89B22D7}"/>
    <cellStyle name="Comma 2 6 3 5 3 3" xfId="30538" xr:uid="{8056F335-9314-4433-ABA3-7B5205AC2EA8}"/>
    <cellStyle name="Comma 2 6 3 5 4" xfId="8634" xr:uid="{D2692791-6FB4-4186-9944-01FECB40D5B7}"/>
    <cellStyle name="Comma 2 6 3 5 4 2" xfId="45142" xr:uid="{E0A074FD-13AE-4855-BAB2-CADCCBE5890E}"/>
    <cellStyle name="Comma 2 6 3 5 4 3" xfId="26888" xr:uid="{0187428D-DD12-4CBD-ACDD-DFA9FC7F5FF0}"/>
    <cellStyle name="Comma 2 6 3 5 5" xfId="4984" xr:uid="{6BD2D0E5-DB43-4969-B7E7-135B3A36EC7A}"/>
    <cellStyle name="Comma 2 6 3 5 5 2" xfId="41492" xr:uid="{1C2DA989-C10C-4565-B0C4-1D1FD8DA4DA5}"/>
    <cellStyle name="Comma 2 6 3 5 5 3" xfId="23238" xr:uid="{E46404DD-E7FA-48BC-BA03-84D029DE5290}"/>
    <cellStyle name="Comma 2 6 3 5 6" xfId="37842" xr:uid="{5F1626BD-95FE-4BDD-B33D-CEFEFC31271B}"/>
    <cellStyle name="Comma 2 6 3 5 7" xfId="19588" xr:uid="{FE80999D-98C6-4C34-B2BB-C0A6A8E67E78}"/>
    <cellStyle name="Comma 2 6 3 6" xfId="15204" xr:uid="{27F17E7F-9DA5-448D-BC52-EB4FBFFFE246}"/>
    <cellStyle name="Comma 2 6 3 6 2" xfId="51712" xr:uid="{3D775165-4D97-4A21-8A7A-3272821C8C38}"/>
    <cellStyle name="Comma 2 6 3 6 3" xfId="33458" xr:uid="{BD9BC60B-C57D-4CE0-A2AA-5AC291A339F8}"/>
    <cellStyle name="Comma 2 6 3 7" xfId="11554" xr:uid="{5480FB91-EC0C-400C-8E78-B596BEFAB920}"/>
    <cellStyle name="Comma 2 6 3 7 2" xfId="48062" xr:uid="{95EC9114-A652-4074-B8F2-71D884ED066D}"/>
    <cellStyle name="Comma 2 6 3 7 3" xfId="29808" xr:uid="{7DB390E8-E4BD-4AA4-B7BC-D2EB1CD0D495}"/>
    <cellStyle name="Comma 2 6 3 8" xfId="7904" xr:uid="{467EA85E-3986-4ABB-B183-6701A5EBC2F0}"/>
    <cellStyle name="Comma 2 6 3 8 2" xfId="44412" xr:uid="{8446E438-3496-4714-93AC-F33FE71E7289}"/>
    <cellStyle name="Comma 2 6 3 8 3" xfId="26158" xr:uid="{405E1DEA-43F9-426A-AD37-CE00B3B4A2CC}"/>
    <cellStyle name="Comma 2 6 3 9" xfId="4254" xr:uid="{4D6E5C9A-AB0A-4183-9D93-9EF112CA20F8}"/>
    <cellStyle name="Comma 2 6 3 9 2" xfId="40762" xr:uid="{E8F8DB9F-64DE-4EB2-8349-CA11B738B95B}"/>
    <cellStyle name="Comma 2 6 3 9 3" xfId="22508" xr:uid="{1A128171-BBF3-44B5-B6E4-A1733F41E62A}"/>
    <cellStyle name="Comma 2 6 4" xfId="500" xr:uid="{1C298B5E-87BD-483A-B8AD-206140702853}"/>
    <cellStyle name="Comma 2 6 4 10" xfId="37008" xr:uid="{9A2D4F59-5E1F-4F21-9274-D8828455BCEA}"/>
    <cellStyle name="Comma 2 6 4 11" xfId="18754" xr:uid="{DCD0F4EE-0E6B-4CA2-8BA1-61E91818BF5D}"/>
    <cellStyle name="Comma 2 6 4 2" xfId="3420" xr:uid="{0D2749CD-AD7E-4A0B-B9C4-DE163EFAA0BB}"/>
    <cellStyle name="Comma 2 6 4 2 2" xfId="18020" xr:uid="{F2570BAA-F23C-445B-8351-15CC16B7D811}"/>
    <cellStyle name="Comma 2 6 4 2 2 2" xfId="54528" xr:uid="{00F3A913-FB22-479B-A081-49A55D7C88BB}"/>
    <cellStyle name="Comma 2 6 4 2 2 3" xfId="36274" xr:uid="{EBC38A73-05B8-47F5-8466-69D611B6332C}"/>
    <cellStyle name="Comma 2 6 4 2 3" xfId="14370" xr:uid="{2B84FAB7-D10A-492A-8EEE-86383F2CD8FF}"/>
    <cellStyle name="Comma 2 6 4 2 3 2" xfId="50878" xr:uid="{E5EB4E78-16FC-4F7C-BDA5-7451D580BE61}"/>
    <cellStyle name="Comma 2 6 4 2 3 3" xfId="32624" xr:uid="{5C475B94-E73B-41C7-9D22-6521786E5328}"/>
    <cellStyle name="Comma 2 6 4 2 4" xfId="10720" xr:uid="{5067D46C-DA09-41A6-8A70-B30FD3813731}"/>
    <cellStyle name="Comma 2 6 4 2 4 2" xfId="47228" xr:uid="{B6C29779-112E-48EA-9C34-E80FF047B6B4}"/>
    <cellStyle name="Comma 2 6 4 2 4 3" xfId="28974" xr:uid="{055F77DD-FBD1-4AB9-B90D-29F7C15A050A}"/>
    <cellStyle name="Comma 2 6 4 2 5" xfId="7070" xr:uid="{6297082F-FA80-4C55-935A-252696503C1A}"/>
    <cellStyle name="Comma 2 6 4 2 5 2" xfId="43578" xr:uid="{E18F13FB-5D5E-4925-967C-3E7CA0F58FF8}"/>
    <cellStyle name="Comma 2 6 4 2 5 3" xfId="25324" xr:uid="{99EE9FF4-EF86-4F51-B2A8-0691ED75819F}"/>
    <cellStyle name="Comma 2 6 4 2 6" xfId="39928" xr:uid="{4DEFB69B-C243-4B5C-BE69-A06A5A60630B}"/>
    <cellStyle name="Comma 2 6 4 2 7" xfId="21674" xr:uid="{91AA3EDA-A4FA-4201-AE46-4F8FB166D4BF}"/>
    <cellStyle name="Comma 2 6 4 3" xfId="2690" xr:uid="{06A587F1-586F-4C52-BAB8-BCD4290325A8}"/>
    <cellStyle name="Comma 2 6 4 3 2" xfId="17290" xr:uid="{D7944E6C-C3DD-4C0D-84CB-5C9689B8CD8E}"/>
    <cellStyle name="Comma 2 6 4 3 2 2" xfId="53798" xr:uid="{74F0D6A0-A5DD-43DE-B0DD-03CAFD59F7AB}"/>
    <cellStyle name="Comma 2 6 4 3 2 3" xfId="35544" xr:uid="{231962EF-DA77-4398-BB4E-9210006A11C2}"/>
    <cellStyle name="Comma 2 6 4 3 3" xfId="13640" xr:uid="{B87780B3-F632-4BB1-B3BD-0D0B0781FED7}"/>
    <cellStyle name="Comma 2 6 4 3 3 2" xfId="50148" xr:uid="{50F4B841-3731-488B-94A3-D382EE88CB93}"/>
    <cellStyle name="Comma 2 6 4 3 3 3" xfId="31894" xr:uid="{302F163C-5405-48D0-861A-DE9ABF6A057C}"/>
    <cellStyle name="Comma 2 6 4 3 4" xfId="9990" xr:uid="{5A032D18-9437-495B-B5DD-B8FFB29F4113}"/>
    <cellStyle name="Comma 2 6 4 3 4 2" xfId="46498" xr:uid="{5B488649-9140-44D4-9A4B-4E94EA249BD3}"/>
    <cellStyle name="Comma 2 6 4 3 4 3" xfId="28244" xr:uid="{C81461BA-6BE1-4E69-93CD-4D56A3EF6065}"/>
    <cellStyle name="Comma 2 6 4 3 5" xfId="6340" xr:uid="{59C169FA-D889-4E23-9E46-FCCFDB6308F1}"/>
    <cellStyle name="Comma 2 6 4 3 5 2" xfId="42848" xr:uid="{769F4D49-D763-45BA-84C5-20C66F33328A}"/>
    <cellStyle name="Comma 2 6 4 3 5 3" xfId="24594" xr:uid="{913CEEEB-407B-4F27-A06D-AE30CD727D70}"/>
    <cellStyle name="Comma 2 6 4 3 6" xfId="39198" xr:uid="{CEFEBB38-4E9E-447E-B481-68BC9C3CE324}"/>
    <cellStyle name="Comma 2 6 4 3 7" xfId="20944" xr:uid="{A618A5BB-9E70-4C14-9D50-7FE8832568FC}"/>
    <cellStyle name="Comma 2 6 4 4" xfId="1960" xr:uid="{2C804E69-E6AB-4E13-B1AA-3775C0E380D9}"/>
    <cellStyle name="Comma 2 6 4 4 2" xfId="16560" xr:uid="{B0108E5B-9B20-4E51-A654-3F5F61068F37}"/>
    <cellStyle name="Comma 2 6 4 4 2 2" xfId="53068" xr:uid="{714BCB53-7B74-4E52-84AB-3ABC671D1BF0}"/>
    <cellStyle name="Comma 2 6 4 4 2 3" xfId="34814" xr:uid="{8FE1FDEE-968F-48B4-9BF0-89549D79EFC5}"/>
    <cellStyle name="Comma 2 6 4 4 3" xfId="12910" xr:uid="{EAF74B2F-82D2-4EEE-AECE-DDB30D2EACCE}"/>
    <cellStyle name="Comma 2 6 4 4 3 2" xfId="49418" xr:uid="{52B12E11-8638-407E-A706-3F5CFFF53EA5}"/>
    <cellStyle name="Comma 2 6 4 4 3 3" xfId="31164" xr:uid="{3F646D9C-B40F-45C9-99C4-55B76D366740}"/>
    <cellStyle name="Comma 2 6 4 4 4" xfId="9260" xr:uid="{A9E29A55-C92E-49B4-9685-A7BB07F2CCC8}"/>
    <cellStyle name="Comma 2 6 4 4 4 2" xfId="45768" xr:uid="{105B1A2C-13A0-45A3-885A-F88EFF7AE322}"/>
    <cellStyle name="Comma 2 6 4 4 4 3" xfId="27514" xr:uid="{5F1BEF75-66D4-41AF-9A45-2D5C30B1B51D}"/>
    <cellStyle name="Comma 2 6 4 4 5" xfId="5610" xr:uid="{24DF9DB4-5191-4516-9059-1CE24E8F3375}"/>
    <cellStyle name="Comma 2 6 4 4 5 2" xfId="42118" xr:uid="{52F65C95-3B47-45CF-8069-1F3BD900E88C}"/>
    <cellStyle name="Comma 2 6 4 4 5 3" xfId="23864" xr:uid="{945F0CCA-6BE8-4FEF-A69A-501E77E00EE7}"/>
    <cellStyle name="Comma 2 6 4 4 6" xfId="38468" xr:uid="{F20A02C1-1790-45C0-AFF0-49BBCCC7CB9F}"/>
    <cellStyle name="Comma 2 6 4 4 7" xfId="20214" xr:uid="{DA222E30-9196-4CFF-BB3D-9C9D5F1B16E8}"/>
    <cellStyle name="Comma 2 6 4 5" xfId="1230" xr:uid="{7CA3E88A-FB24-4ABE-8922-A925E78BCE3F}"/>
    <cellStyle name="Comma 2 6 4 5 2" xfId="15830" xr:uid="{A90D1FEE-CA21-49AF-9401-3D01683779DB}"/>
    <cellStyle name="Comma 2 6 4 5 2 2" xfId="52338" xr:uid="{AF3F3CAD-E6C9-407E-A254-229172E178B3}"/>
    <cellStyle name="Comma 2 6 4 5 2 3" xfId="34084" xr:uid="{C90BD57B-5DA1-4271-BF4D-7F1E3A8FF5CA}"/>
    <cellStyle name="Comma 2 6 4 5 3" xfId="12180" xr:uid="{D0CE14CC-BE99-4B22-B247-B5B17454EB1B}"/>
    <cellStyle name="Comma 2 6 4 5 3 2" xfId="48688" xr:uid="{52E09BBE-2922-48F5-BB91-E89C72CE43BA}"/>
    <cellStyle name="Comma 2 6 4 5 3 3" xfId="30434" xr:uid="{69A7A6BB-5E8D-426E-8280-84B85C0FE181}"/>
    <cellStyle name="Comma 2 6 4 5 4" xfId="8530" xr:uid="{DA46123C-5B72-40E5-8092-86D24A726EE2}"/>
    <cellStyle name="Comma 2 6 4 5 4 2" xfId="45038" xr:uid="{5FB64A2F-FCD2-4598-AF1E-202BA9A698E4}"/>
    <cellStyle name="Comma 2 6 4 5 4 3" xfId="26784" xr:uid="{513988FF-5A8D-410D-9CBB-EBC09F76DD1C}"/>
    <cellStyle name="Comma 2 6 4 5 5" xfId="4880" xr:uid="{86D3934A-770F-442C-8FA1-A29C99A0F759}"/>
    <cellStyle name="Comma 2 6 4 5 5 2" xfId="41388" xr:uid="{95643F58-7EDE-460E-BFCA-B5B7607EAD14}"/>
    <cellStyle name="Comma 2 6 4 5 5 3" xfId="23134" xr:uid="{E51FC18C-AC25-4EDE-BD6D-A6858DEBC444}"/>
    <cellStyle name="Comma 2 6 4 5 6" xfId="37738" xr:uid="{B961E7CA-9FF1-4060-8513-E69AC8F6839C}"/>
    <cellStyle name="Comma 2 6 4 5 7" xfId="19484" xr:uid="{B51079B5-5A5F-49EA-AD0A-502B54E5FF5A}"/>
    <cellStyle name="Comma 2 6 4 6" xfId="15100" xr:uid="{CA1A4FBD-2D1B-4031-A5D7-1A05B8F13E6A}"/>
    <cellStyle name="Comma 2 6 4 6 2" xfId="51608" xr:uid="{4ED86F1F-F6D4-457B-BF13-57CF9D521BEC}"/>
    <cellStyle name="Comma 2 6 4 6 3" xfId="33354" xr:uid="{E5318163-8EA6-4806-BF32-B27FCA98C743}"/>
    <cellStyle name="Comma 2 6 4 7" xfId="11450" xr:uid="{8E7D258E-B268-4713-847D-BC7D2B279505}"/>
    <cellStyle name="Comma 2 6 4 7 2" xfId="47958" xr:uid="{AA3F8518-F339-4BB3-ADBA-7C9B93CFE16D}"/>
    <cellStyle name="Comma 2 6 4 7 3" xfId="29704" xr:uid="{A379A768-69C0-48A6-B2DF-3F7CD213D4E0}"/>
    <cellStyle name="Comma 2 6 4 8" xfId="7800" xr:uid="{037595A8-D29A-4C88-AFCB-F2864EDED9E2}"/>
    <cellStyle name="Comma 2 6 4 8 2" xfId="44308" xr:uid="{E871532C-B66E-41E1-BC2A-6E990275F4C7}"/>
    <cellStyle name="Comma 2 6 4 8 3" xfId="26054" xr:uid="{C822FB71-416A-4CF2-B84A-C9A1DFCCAF3B}"/>
    <cellStyle name="Comma 2 6 4 9" xfId="4150" xr:uid="{E3A66701-6902-4ED8-94DB-704E66587613}"/>
    <cellStyle name="Comma 2 6 4 9 2" xfId="40658" xr:uid="{FA91A662-5392-474A-A028-2BEB693F6FA9}"/>
    <cellStyle name="Comma 2 6 4 9 3" xfId="22404" xr:uid="{4D68FF34-CBD4-43BE-80A5-F9E444822D3A}"/>
    <cellStyle name="Comma 2 6 5" xfId="396" xr:uid="{8729781A-9D06-4821-8C68-F6A8289275C0}"/>
    <cellStyle name="Comma 2 6 5 10" xfId="36904" xr:uid="{12FEC7DE-D148-49D6-B8BE-A66780BA3E6F}"/>
    <cellStyle name="Comma 2 6 5 11" xfId="18650" xr:uid="{FD973475-AC70-4087-AA39-E4A9E66B76EA}"/>
    <cellStyle name="Comma 2 6 5 2" xfId="3316" xr:uid="{20D4E1DF-19C6-490B-8059-15CE2E9099D9}"/>
    <cellStyle name="Comma 2 6 5 2 2" xfId="17916" xr:uid="{B3C0E3CB-1BA4-4C5D-83B9-3949FE69D58A}"/>
    <cellStyle name="Comma 2 6 5 2 2 2" xfId="54424" xr:uid="{718701B4-E583-47C0-B24C-1B9520949476}"/>
    <cellStyle name="Comma 2 6 5 2 2 3" xfId="36170" xr:uid="{4F23D5B5-8B5D-4A5B-8F1F-E496C47A5676}"/>
    <cellStyle name="Comma 2 6 5 2 3" xfId="14266" xr:uid="{863C0167-DE58-42BF-B317-ABEA365FA412}"/>
    <cellStyle name="Comma 2 6 5 2 3 2" xfId="50774" xr:uid="{1F605F4C-88AF-4675-BE82-476118F0ADC8}"/>
    <cellStyle name="Comma 2 6 5 2 3 3" xfId="32520" xr:uid="{2735F1B9-AAE4-4573-A197-1C325C16BA24}"/>
    <cellStyle name="Comma 2 6 5 2 4" xfId="10616" xr:uid="{F8B6BB31-FCB0-4A36-8452-2BDAEDA7FEB6}"/>
    <cellStyle name="Comma 2 6 5 2 4 2" xfId="47124" xr:uid="{D21A5DAF-3A79-4A17-AFBF-FC2CE2131C95}"/>
    <cellStyle name="Comma 2 6 5 2 4 3" xfId="28870" xr:uid="{1B2188C5-DF7C-40D5-AAEA-36653446BE38}"/>
    <cellStyle name="Comma 2 6 5 2 5" xfId="6966" xr:uid="{90CD7711-6284-46D9-A220-1059A2A2AC97}"/>
    <cellStyle name="Comma 2 6 5 2 5 2" xfId="43474" xr:uid="{9AAFCDC0-CA9C-4EC9-945A-E8C7CAFD2F18}"/>
    <cellStyle name="Comma 2 6 5 2 5 3" xfId="25220" xr:uid="{8190AA99-F727-4BA9-8223-0CA201FF027E}"/>
    <cellStyle name="Comma 2 6 5 2 6" xfId="39824" xr:uid="{63D08ACA-B0CB-49A9-8F1B-0B406B7A8D57}"/>
    <cellStyle name="Comma 2 6 5 2 7" xfId="21570" xr:uid="{0847BA7B-F39E-45DC-8440-1178B2D5D4C6}"/>
    <cellStyle name="Comma 2 6 5 3" xfId="2586" xr:uid="{C30A131A-B9BD-4382-B815-D5218A508983}"/>
    <cellStyle name="Comma 2 6 5 3 2" xfId="17186" xr:uid="{0DD439D7-5FCC-49E4-B29D-F4F8BB936C25}"/>
    <cellStyle name="Comma 2 6 5 3 2 2" xfId="53694" xr:uid="{2540861A-B2BB-47E1-8934-B1C7E506C429}"/>
    <cellStyle name="Comma 2 6 5 3 2 3" xfId="35440" xr:uid="{950DB3EE-D52E-4BFA-A2CE-76C236FF348A}"/>
    <cellStyle name="Comma 2 6 5 3 3" xfId="13536" xr:uid="{E0059264-CF87-4C4C-85F2-F05B4319DF6C}"/>
    <cellStyle name="Comma 2 6 5 3 3 2" xfId="50044" xr:uid="{1D7D5D68-9C8C-44CC-9422-8F624D52C71A}"/>
    <cellStyle name="Comma 2 6 5 3 3 3" xfId="31790" xr:uid="{143912ED-8E5D-4DAB-A8C6-0746D48B6F01}"/>
    <cellStyle name="Comma 2 6 5 3 4" xfId="9886" xr:uid="{158B4CD7-1FAD-4C97-B074-AEAF5161D204}"/>
    <cellStyle name="Comma 2 6 5 3 4 2" xfId="46394" xr:uid="{8203138E-A165-453B-A38E-812BB9F63F7D}"/>
    <cellStyle name="Comma 2 6 5 3 4 3" xfId="28140" xr:uid="{C74A21DE-DDF6-4AAD-83E1-977CF8A315C8}"/>
    <cellStyle name="Comma 2 6 5 3 5" xfId="6236" xr:uid="{888686A0-F05C-4830-8374-4FC6DEC8CC0C}"/>
    <cellStyle name="Comma 2 6 5 3 5 2" xfId="42744" xr:uid="{1678AE26-9B6C-439D-B84A-EE77754CE9E1}"/>
    <cellStyle name="Comma 2 6 5 3 5 3" xfId="24490" xr:uid="{DFB211D7-4422-4042-9A76-1A5C0D6C27A7}"/>
    <cellStyle name="Comma 2 6 5 3 6" xfId="39094" xr:uid="{100E0561-F767-47C3-9EC4-DA5A0FCF09A5}"/>
    <cellStyle name="Comma 2 6 5 3 7" xfId="20840" xr:uid="{6CEFB9CF-A324-4B2C-8BD0-1C3779ACEF73}"/>
    <cellStyle name="Comma 2 6 5 4" xfId="1856" xr:uid="{75D30147-15A9-45D1-A859-B11A7206DA09}"/>
    <cellStyle name="Comma 2 6 5 4 2" xfId="16456" xr:uid="{43A179A7-3BC3-42E3-BAB6-D88A2A7265DE}"/>
    <cellStyle name="Comma 2 6 5 4 2 2" xfId="52964" xr:uid="{5F20288E-B6CF-49F2-8279-00E59F882771}"/>
    <cellStyle name="Comma 2 6 5 4 2 3" xfId="34710" xr:uid="{C30CFA4A-149F-496B-823C-C72C5DFA7B2B}"/>
    <cellStyle name="Comma 2 6 5 4 3" xfId="12806" xr:uid="{53E0FDD9-3CB6-4E49-99FD-400348899362}"/>
    <cellStyle name="Comma 2 6 5 4 3 2" xfId="49314" xr:uid="{82620F26-7EAC-4057-9754-17988811E919}"/>
    <cellStyle name="Comma 2 6 5 4 3 3" xfId="31060" xr:uid="{A902AFF9-AA15-4B93-95AC-8FEB69DA501F}"/>
    <cellStyle name="Comma 2 6 5 4 4" xfId="9156" xr:uid="{2AF79FE2-668E-41DC-8404-D616DDF1FB75}"/>
    <cellStyle name="Comma 2 6 5 4 4 2" xfId="45664" xr:uid="{A3CB75AE-1BC0-4C0B-A67C-764FF015B156}"/>
    <cellStyle name="Comma 2 6 5 4 4 3" xfId="27410" xr:uid="{CF38429F-BF46-4D29-8C97-5188F9EEE701}"/>
    <cellStyle name="Comma 2 6 5 4 5" xfId="5506" xr:uid="{43B9555E-BBDF-4B03-BFC4-5580E58A6ED9}"/>
    <cellStyle name="Comma 2 6 5 4 5 2" xfId="42014" xr:uid="{FAAF7018-CC11-4004-A798-F97D49D53868}"/>
    <cellStyle name="Comma 2 6 5 4 5 3" xfId="23760" xr:uid="{B0E5A2B0-BE67-4500-A0E3-4E25CFEAA825}"/>
    <cellStyle name="Comma 2 6 5 4 6" xfId="38364" xr:uid="{238B62AD-76A2-4B49-AB35-F50A9878731A}"/>
    <cellStyle name="Comma 2 6 5 4 7" xfId="20110" xr:uid="{9ABABFE9-E7C5-4C5E-8502-A23A403103D0}"/>
    <cellStyle name="Comma 2 6 5 5" xfId="1126" xr:uid="{7B0E9BE2-A3DF-404C-9194-8AA22F254B3C}"/>
    <cellStyle name="Comma 2 6 5 5 2" xfId="15726" xr:uid="{6FDC6F5E-FD07-4BC8-864F-01298769449D}"/>
    <cellStyle name="Comma 2 6 5 5 2 2" xfId="52234" xr:uid="{9037026E-AC79-4953-B454-14206B7BF4B1}"/>
    <cellStyle name="Comma 2 6 5 5 2 3" xfId="33980" xr:uid="{D8E4BBE7-91FE-4F6B-B715-9DAD9445E421}"/>
    <cellStyle name="Comma 2 6 5 5 3" xfId="12076" xr:uid="{44151F81-9D57-4932-9121-E1AB93CEBED0}"/>
    <cellStyle name="Comma 2 6 5 5 3 2" xfId="48584" xr:uid="{CBB5B945-23F1-4DE2-AD08-71CE84EC4679}"/>
    <cellStyle name="Comma 2 6 5 5 3 3" xfId="30330" xr:uid="{A3B34293-94C4-4F50-BB7D-F3BFC66B03F1}"/>
    <cellStyle name="Comma 2 6 5 5 4" xfId="8426" xr:uid="{D2B3A31B-54F3-41AC-A64A-BEFCCD541A8E}"/>
    <cellStyle name="Comma 2 6 5 5 4 2" xfId="44934" xr:uid="{F419D223-653D-45AE-8C4F-5DAFBE075AD2}"/>
    <cellStyle name="Comma 2 6 5 5 4 3" xfId="26680" xr:uid="{3A8B9F0F-1437-4C62-8637-FFF685F2E09F}"/>
    <cellStyle name="Comma 2 6 5 5 5" xfId="4776" xr:uid="{03765F3C-8DBC-4BD2-A962-8E8359E39CBC}"/>
    <cellStyle name="Comma 2 6 5 5 5 2" xfId="41284" xr:uid="{C27D93E8-6D92-4E2F-95A8-ED476A32DC23}"/>
    <cellStyle name="Comma 2 6 5 5 5 3" xfId="23030" xr:uid="{018BEDB9-2A93-49EE-ADE9-5E5025123E2C}"/>
    <cellStyle name="Comma 2 6 5 5 6" xfId="37634" xr:uid="{CF3DC5CE-FE84-4903-BC2E-3E7106967567}"/>
    <cellStyle name="Comma 2 6 5 5 7" xfId="19380" xr:uid="{327F241B-9C11-447A-94C1-03CCB08EE888}"/>
    <cellStyle name="Comma 2 6 5 6" xfId="14996" xr:uid="{7DCA4DA9-E00C-4E5C-B0E7-B73C8B9A9A37}"/>
    <cellStyle name="Comma 2 6 5 6 2" xfId="51504" xr:uid="{1859427D-4621-4143-A71B-6E64EE2A3521}"/>
    <cellStyle name="Comma 2 6 5 6 3" xfId="33250" xr:uid="{57D63CCD-837F-4E18-B65B-BD1688BD7C71}"/>
    <cellStyle name="Comma 2 6 5 7" xfId="11346" xr:uid="{EAB33D05-17BF-44E5-BC4F-649940C07F03}"/>
    <cellStyle name="Comma 2 6 5 7 2" xfId="47854" xr:uid="{786FB3A2-34FB-4377-98BE-0CAA63F8D00F}"/>
    <cellStyle name="Comma 2 6 5 7 3" xfId="29600" xr:uid="{AA0D6790-8EF1-4B48-99F5-11DA5CFB3D98}"/>
    <cellStyle name="Comma 2 6 5 8" xfId="7696" xr:uid="{ADC35D5D-7AA3-4AEA-8D41-80FDDE6225BC}"/>
    <cellStyle name="Comma 2 6 5 8 2" xfId="44204" xr:uid="{69844166-F2AE-4811-A5FC-7FCD495CD0F6}"/>
    <cellStyle name="Comma 2 6 5 8 3" xfId="25950" xr:uid="{E0CE0E4D-1797-4B6B-9247-DCDD9CCAA2DA}"/>
    <cellStyle name="Comma 2 6 5 9" xfId="4046" xr:uid="{AE855114-A6FB-4B59-B193-B0C6C7BF5B97}"/>
    <cellStyle name="Comma 2 6 5 9 2" xfId="40554" xr:uid="{46DB443C-93DB-4984-8353-00FC71938510}"/>
    <cellStyle name="Comma 2 6 5 9 3" xfId="22300" xr:uid="{6DCF7610-4937-4196-A1BB-196944A97046}"/>
    <cellStyle name="Comma 2 6 6" xfId="292" xr:uid="{E5C660B3-46C1-4BCB-82D0-88EFC17891D5}"/>
    <cellStyle name="Comma 2 6 6 10" xfId="36800" xr:uid="{5751769E-351E-4324-B067-8D6080C55B31}"/>
    <cellStyle name="Comma 2 6 6 11" xfId="18546" xr:uid="{6B02AAC7-B5C4-46D6-A6D0-4380906CD6C4}"/>
    <cellStyle name="Comma 2 6 6 2" xfId="3212" xr:uid="{89BBCDE1-C461-4EFD-BD34-9E3537B879B6}"/>
    <cellStyle name="Comma 2 6 6 2 2" xfId="17812" xr:uid="{7330A863-C50F-4706-9CF0-1E96047CD50A}"/>
    <cellStyle name="Comma 2 6 6 2 2 2" xfId="54320" xr:uid="{0E7FCE11-89D5-41C6-828C-71C2F5485583}"/>
    <cellStyle name="Comma 2 6 6 2 2 3" xfId="36066" xr:uid="{5A4B1E07-C7D0-4897-B741-68946C93749D}"/>
    <cellStyle name="Comma 2 6 6 2 3" xfId="14162" xr:uid="{1CBAE18E-6CE9-41ED-9557-347FEDD87B91}"/>
    <cellStyle name="Comma 2 6 6 2 3 2" xfId="50670" xr:uid="{47EEA07F-FB22-4A2A-A09A-A2943ED47CE5}"/>
    <cellStyle name="Comma 2 6 6 2 3 3" xfId="32416" xr:uid="{B17C6435-A8FF-4C60-A96E-68AAA9E1E1EA}"/>
    <cellStyle name="Comma 2 6 6 2 4" xfId="10512" xr:uid="{761EAFBF-32DD-4A47-8CCF-D005090A606C}"/>
    <cellStyle name="Comma 2 6 6 2 4 2" xfId="47020" xr:uid="{03E2A7BB-068A-45F6-9F33-FA4F7AB909A3}"/>
    <cellStyle name="Comma 2 6 6 2 4 3" xfId="28766" xr:uid="{61604E8D-CFAB-43F7-B520-62AA89782B73}"/>
    <cellStyle name="Comma 2 6 6 2 5" xfId="6862" xr:uid="{47566D2C-A378-4945-A850-B725245E7380}"/>
    <cellStyle name="Comma 2 6 6 2 5 2" xfId="43370" xr:uid="{AFDCB19E-AE37-420A-8C49-660584D810DC}"/>
    <cellStyle name="Comma 2 6 6 2 5 3" xfId="25116" xr:uid="{127852DF-22E0-4EA9-A9F3-EDB4E81E20A8}"/>
    <cellStyle name="Comma 2 6 6 2 6" xfId="39720" xr:uid="{CA1FBF9D-96D2-47E5-A627-A513564E31F9}"/>
    <cellStyle name="Comma 2 6 6 2 7" xfId="21466" xr:uid="{51967618-0CAE-413D-8135-9208FA6ED8EB}"/>
    <cellStyle name="Comma 2 6 6 3" xfId="2482" xr:uid="{907F77BF-3B4E-4A3F-9A7A-84F7126CE292}"/>
    <cellStyle name="Comma 2 6 6 3 2" xfId="17082" xr:uid="{9E02ED72-8B4A-406B-841D-EE99E877B1E9}"/>
    <cellStyle name="Comma 2 6 6 3 2 2" xfId="53590" xr:uid="{F7F6B7C0-20C8-4E2E-9E14-74A631740B08}"/>
    <cellStyle name="Comma 2 6 6 3 2 3" xfId="35336" xr:uid="{E42930DC-02DB-4E5E-A3BE-6149926F3E30}"/>
    <cellStyle name="Comma 2 6 6 3 3" xfId="13432" xr:uid="{DD51F0B7-9AAA-47C7-97A0-F69E0ADA9EC2}"/>
    <cellStyle name="Comma 2 6 6 3 3 2" xfId="49940" xr:uid="{0A1C9ABB-C3BE-42D9-8EAA-B83579079D16}"/>
    <cellStyle name="Comma 2 6 6 3 3 3" xfId="31686" xr:uid="{CFE1E0A0-970B-447B-B4AB-06CB080D0DC8}"/>
    <cellStyle name="Comma 2 6 6 3 4" xfId="9782" xr:uid="{20E692F0-7CA5-4948-B129-2CC71B83D6E9}"/>
    <cellStyle name="Comma 2 6 6 3 4 2" xfId="46290" xr:uid="{B65661E6-FB53-481C-BE60-37D60704E1D3}"/>
    <cellStyle name="Comma 2 6 6 3 4 3" xfId="28036" xr:uid="{0E617767-2F3D-45A4-995C-961826373E58}"/>
    <cellStyle name="Comma 2 6 6 3 5" xfId="6132" xr:uid="{C94867AA-C249-4D62-BF89-DD21F90026D7}"/>
    <cellStyle name="Comma 2 6 6 3 5 2" xfId="42640" xr:uid="{34C6E299-C137-489C-BC45-B143D128B79C}"/>
    <cellStyle name="Comma 2 6 6 3 5 3" xfId="24386" xr:uid="{4B4289F2-58BB-478F-9F17-526A3E25E2B4}"/>
    <cellStyle name="Comma 2 6 6 3 6" xfId="38990" xr:uid="{523D16B0-DEC8-4BAC-BC89-BCC12CBFD86C}"/>
    <cellStyle name="Comma 2 6 6 3 7" xfId="20736" xr:uid="{BEED3D07-8C9E-4E86-B383-43E6ED65CDE4}"/>
    <cellStyle name="Comma 2 6 6 4" xfId="1752" xr:uid="{D2F71516-275E-4691-B427-80D79CC0C97A}"/>
    <cellStyle name="Comma 2 6 6 4 2" xfId="16352" xr:uid="{34C1079C-64C7-4E5E-A28F-1DDACC5DABC0}"/>
    <cellStyle name="Comma 2 6 6 4 2 2" xfId="52860" xr:uid="{BA57CF1F-5634-44AD-8FD3-CA89F66FF1CD}"/>
    <cellStyle name="Comma 2 6 6 4 2 3" xfId="34606" xr:uid="{86E1B4E7-5EED-4B35-B381-4AB7F5BE8F23}"/>
    <cellStyle name="Comma 2 6 6 4 3" xfId="12702" xr:uid="{47EE7E62-2034-4D37-B784-A53972DA1464}"/>
    <cellStyle name="Comma 2 6 6 4 3 2" xfId="49210" xr:uid="{CE203FFC-E080-4FAF-BB51-0842DFEB0D9F}"/>
    <cellStyle name="Comma 2 6 6 4 3 3" xfId="30956" xr:uid="{7AC49E32-FACA-4970-8D37-CC01C5AE2609}"/>
    <cellStyle name="Comma 2 6 6 4 4" xfId="9052" xr:uid="{BD1A02F7-DD9F-4233-862D-16937B408C31}"/>
    <cellStyle name="Comma 2 6 6 4 4 2" xfId="45560" xr:uid="{A61A8342-9777-4E32-BA20-9BC86D319A64}"/>
    <cellStyle name="Comma 2 6 6 4 4 3" xfId="27306" xr:uid="{31CB26E9-9B6A-4788-97D8-14CA03397464}"/>
    <cellStyle name="Comma 2 6 6 4 5" xfId="5402" xr:uid="{99FA4849-C702-49B6-A8E9-C0F7C4405ED2}"/>
    <cellStyle name="Comma 2 6 6 4 5 2" xfId="41910" xr:uid="{ACA1FEA4-B0AC-4D02-9631-B6E190911169}"/>
    <cellStyle name="Comma 2 6 6 4 5 3" xfId="23656" xr:uid="{BEEB3B1C-C64D-4853-9BAD-458FC62F9663}"/>
    <cellStyle name="Comma 2 6 6 4 6" xfId="38260" xr:uid="{48B8BD80-ED18-434A-A301-D156068435D9}"/>
    <cellStyle name="Comma 2 6 6 4 7" xfId="20006" xr:uid="{EC56E21B-358A-405C-8A71-AE45D78B53D3}"/>
    <cellStyle name="Comma 2 6 6 5" xfId="1022" xr:uid="{249D8261-19D4-4970-B475-6FF0E261B2CE}"/>
    <cellStyle name="Comma 2 6 6 5 2" xfId="15622" xr:uid="{664905A2-B07B-4810-A26F-690DB70A70B2}"/>
    <cellStyle name="Comma 2 6 6 5 2 2" xfId="52130" xr:uid="{AC1C4022-2289-4218-A80C-2EB51A754093}"/>
    <cellStyle name="Comma 2 6 6 5 2 3" xfId="33876" xr:uid="{25CE3CDD-C883-4E0D-99BF-3FCE6165872B}"/>
    <cellStyle name="Comma 2 6 6 5 3" xfId="11972" xr:uid="{8DC9C4A4-FC9D-4563-8545-82808CCEDAB6}"/>
    <cellStyle name="Comma 2 6 6 5 3 2" xfId="48480" xr:uid="{7893B7DB-A9D8-4643-BEC6-4203988214C0}"/>
    <cellStyle name="Comma 2 6 6 5 3 3" xfId="30226" xr:uid="{A0D35A09-48B3-4D01-A8BA-A9221BB98DB1}"/>
    <cellStyle name="Comma 2 6 6 5 4" xfId="8322" xr:uid="{E3FC84BB-C5BF-4950-91E3-63D4275FDD39}"/>
    <cellStyle name="Comma 2 6 6 5 4 2" xfId="44830" xr:uid="{0A3627EC-C4C3-4AC1-8B55-0D67BD00D000}"/>
    <cellStyle name="Comma 2 6 6 5 4 3" xfId="26576" xr:uid="{E6142D50-834B-4A18-B70F-EBC6490438F2}"/>
    <cellStyle name="Comma 2 6 6 5 5" xfId="4672" xr:uid="{8BAE3EE3-4895-4534-939A-0AFFC4C40068}"/>
    <cellStyle name="Comma 2 6 6 5 5 2" xfId="41180" xr:uid="{C6841955-657B-494B-A267-107C5126C406}"/>
    <cellStyle name="Comma 2 6 6 5 5 3" xfId="22926" xr:uid="{11524D2F-6731-451C-B732-EBD59D3463B9}"/>
    <cellStyle name="Comma 2 6 6 5 6" xfId="37530" xr:uid="{FD5E7BB9-4710-4155-8DB2-6E1255732ECF}"/>
    <cellStyle name="Comma 2 6 6 5 7" xfId="19276" xr:uid="{684D1D50-8820-4119-975C-E39160A91E9F}"/>
    <cellStyle name="Comma 2 6 6 6" xfId="14892" xr:uid="{7D74146A-B298-4663-85B0-03A7CFDAF288}"/>
    <cellStyle name="Comma 2 6 6 6 2" xfId="51400" xr:uid="{DAD6D79E-7861-4BFF-B144-685A2D846C13}"/>
    <cellStyle name="Comma 2 6 6 6 3" xfId="33146" xr:uid="{E35BC78E-AB58-4EE5-9B26-B99545FFF38D}"/>
    <cellStyle name="Comma 2 6 6 7" xfId="11242" xr:uid="{B89D7BBC-EEF5-40A2-B232-8B06F019039A}"/>
    <cellStyle name="Comma 2 6 6 7 2" xfId="47750" xr:uid="{C6905355-5952-41FE-901B-25A30339400A}"/>
    <cellStyle name="Comma 2 6 6 7 3" xfId="29496" xr:uid="{92987A3D-D057-4265-BB40-72849099EE79}"/>
    <cellStyle name="Comma 2 6 6 8" xfId="7592" xr:uid="{BAF2820F-D92E-489D-9C49-4EDF41EC4D5A}"/>
    <cellStyle name="Comma 2 6 6 8 2" xfId="44100" xr:uid="{084A1CC9-6327-4463-97C7-DA04B9E1611F}"/>
    <cellStyle name="Comma 2 6 6 8 3" xfId="25846" xr:uid="{1C8163C9-A1B2-4F45-8A94-AFEE7528E137}"/>
    <cellStyle name="Comma 2 6 6 9" xfId="3942" xr:uid="{DCFEE4C2-D6C9-4145-A9FA-4FC7759F3C9C}"/>
    <cellStyle name="Comma 2 6 6 9 2" xfId="40450" xr:uid="{3A0008BC-F6C0-4DF4-AA12-1A9933555F14}"/>
    <cellStyle name="Comma 2 6 6 9 3" xfId="22196" xr:uid="{09ECFE4E-3E62-46C9-A712-F2DA3BB50CA0}"/>
    <cellStyle name="Comma 2 6 7" xfId="188" xr:uid="{C7316873-F497-44EB-89CD-8327E833EDFF}"/>
    <cellStyle name="Comma 2 6 7 10" xfId="36696" xr:uid="{91DDF3D0-7EBE-49D0-8403-1DFF00C07684}"/>
    <cellStyle name="Comma 2 6 7 11" xfId="18442" xr:uid="{46FC6AF6-2730-4B49-8675-06093F674778}"/>
    <cellStyle name="Comma 2 6 7 2" xfId="3108" xr:uid="{47873BD5-3CBA-4BD1-BFED-ADE21AD6B6B1}"/>
    <cellStyle name="Comma 2 6 7 2 2" xfId="17708" xr:uid="{29BEB298-359F-436B-8CA6-53589E1DF5D4}"/>
    <cellStyle name="Comma 2 6 7 2 2 2" xfId="54216" xr:uid="{89AFBD1F-E19F-4BBE-B1CB-8C0A4423D1EC}"/>
    <cellStyle name="Comma 2 6 7 2 2 3" xfId="35962" xr:uid="{6951DD12-A655-4358-9911-574A2F4A755D}"/>
    <cellStyle name="Comma 2 6 7 2 3" xfId="14058" xr:uid="{ED280985-DFB1-47B2-AA6D-950224EDEDEF}"/>
    <cellStyle name="Comma 2 6 7 2 3 2" xfId="50566" xr:uid="{8EDA5795-931B-4797-B7D7-858A9DE84A20}"/>
    <cellStyle name="Comma 2 6 7 2 3 3" xfId="32312" xr:uid="{EDD388F5-FF82-4501-9E39-98A2D373F56E}"/>
    <cellStyle name="Comma 2 6 7 2 4" xfId="10408" xr:uid="{84FF9747-8403-4797-AD96-03806E26C260}"/>
    <cellStyle name="Comma 2 6 7 2 4 2" xfId="46916" xr:uid="{6F9FBB2D-47E6-485B-A09F-9A95A203E929}"/>
    <cellStyle name="Comma 2 6 7 2 4 3" xfId="28662" xr:uid="{8888492A-1B24-40D9-A16B-926EC37DF6A6}"/>
    <cellStyle name="Comma 2 6 7 2 5" xfId="6758" xr:uid="{69AAC6A7-0B57-41CD-B9EA-6C34B7343228}"/>
    <cellStyle name="Comma 2 6 7 2 5 2" xfId="43266" xr:uid="{033D42B3-BB93-4086-AD56-5B73F4861E30}"/>
    <cellStyle name="Comma 2 6 7 2 5 3" xfId="25012" xr:uid="{19D2F33E-F70F-4178-8F6E-12B98DB5FB8F}"/>
    <cellStyle name="Comma 2 6 7 2 6" xfId="39616" xr:uid="{6C2E0512-AA2A-405D-A23D-ADD914560F4B}"/>
    <cellStyle name="Comma 2 6 7 2 7" xfId="21362" xr:uid="{EBFC1F6E-B4CE-455D-BC32-60062F3728A6}"/>
    <cellStyle name="Comma 2 6 7 3" xfId="2378" xr:uid="{137468C7-F256-4F2E-BBC9-71CE0E699B8A}"/>
    <cellStyle name="Comma 2 6 7 3 2" xfId="16978" xr:uid="{CC4BCB41-EF59-4F22-A2C8-8EF9128E36D5}"/>
    <cellStyle name="Comma 2 6 7 3 2 2" xfId="53486" xr:uid="{A89906DA-A9D6-474B-993A-B1FF823415F9}"/>
    <cellStyle name="Comma 2 6 7 3 2 3" xfId="35232" xr:uid="{738FD5B4-AA2B-4469-9062-84F43B4A528E}"/>
    <cellStyle name="Comma 2 6 7 3 3" xfId="13328" xr:uid="{1013EC0E-6C57-4003-AF65-5D563A583B41}"/>
    <cellStyle name="Comma 2 6 7 3 3 2" xfId="49836" xr:uid="{81ABE08F-DBCC-4A37-913D-AF6995ED4AC5}"/>
    <cellStyle name="Comma 2 6 7 3 3 3" xfId="31582" xr:uid="{FCE6FF2A-3FE3-40F6-A01F-BAE2A3268EDE}"/>
    <cellStyle name="Comma 2 6 7 3 4" xfId="9678" xr:uid="{E6CEE65F-E356-4142-BB13-782E23FF9995}"/>
    <cellStyle name="Comma 2 6 7 3 4 2" xfId="46186" xr:uid="{DF397895-4EFB-46DE-BED1-E87F9D9E90A9}"/>
    <cellStyle name="Comma 2 6 7 3 4 3" xfId="27932" xr:uid="{570E0227-0170-4A79-B62F-1CB34A21A043}"/>
    <cellStyle name="Comma 2 6 7 3 5" xfId="6028" xr:uid="{C3A5DAAB-0061-4C11-BAF2-8F11DCE34958}"/>
    <cellStyle name="Comma 2 6 7 3 5 2" xfId="42536" xr:uid="{DA7C18E3-E41D-4DA8-9263-C5041470FA81}"/>
    <cellStyle name="Comma 2 6 7 3 5 3" xfId="24282" xr:uid="{D9376B63-A8C1-4496-A611-3B57B9DD67B6}"/>
    <cellStyle name="Comma 2 6 7 3 6" xfId="38886" xr:uid="{9D8A3169-B664-4EF7-9F7B-50B32B649743}"/>
    <cellStyle name="Comma 2 6 7 3 7" xfId="20632" xr:uid="{7473194D-2F72-4397-88DB-CF33A3199293}"/>
    <cellStyle name="Comma 2 6 7 4" xfId="1648" xr:uid="{84C8E26E-63FA-406F-AECA-729D0B13B2F0}"/>
    <cellStyle name="Comma 2 6 7 4 2" xfId="16248" xr:uid="{C1D98CBA-C858-4704-8F84-F4BF4076A457}"/>
    <cellStyle name="Comma 2 6 7 4 2 2" xfId="52756" xr:uid="{9A46FB74-037D-4974-B5BE-0A199697BC9C}"/>
    <cellStyle name="Comma 2 6 7 4 2 3" xfId="34502" xr:uid="{EA99B6A1-ABD4-4B42-9C12-4BC2FA4A9CB9}"/>
    <cellStyle name="Comma 2 6 7 4 3" xfId="12598" xr:uid="{AC62898B-5EC9-4D7A-A8EF-18631EFDD5A1}"/>
    <cellStyle name="Comma 2 6 7 4 3 2" xfId="49106" xr:uid="{C1D96282-B00D-4BD2-BA5E-FC32E9948114}"/>
    <cellStyle name="Comma 2 6 7 4 3 3" xfId="30852" xr:uid="{8E1D79B9-4962-48E5-AB66-B3304F7AE2BB}"/>
    <cellStyle name="Comma 2 6 7 4 4" xfId="8948" xr:uid="{2C035704-C9D1-433C-89B7-F1DC84E0BD9E}"/>
    <cellStyle name="Comma 2 6 7 4 4 2" xfId="45456" xr:uid="{FEEFEBFA-87C0-49BA-8859-ECAA50084914}"/>
    <cellStyle name="Comma 2 6 7 4 4 3" xfId="27202" xr:uid="{150CB60C-22E5-429F-94DC-120BE443A38D}"/>
    <cellStyle name="Comma 2 6 7 4 5" xfId="5298" xr:uid="{305F2CA1-3B4D-42D8-9DAC-900CA9771019}"/>
    <cellStyle name="Comma 2 6 7 4 5 2" xfId="41806" xr:uid="{FF2C4BD6-AB82-4CEC-8C24-5586055497E5}"/>
    <cellStyle name="Comma 2 6 7 4 5 3" xfId="23552" xr:uid="{EEED6284-017A-429C-96EC-60B78FEEA2F4}"/>
    <cellStyle name="Comma 2 6 7 4 6" xfId="38156" xr:uid="{331768DA-36E4-41D9-AA57-AE619C867690}"/>
    <cellStyle name="Comma 2 6 7 4 7" xfId="19902" xr:uid="{9C0C4330-A27A-40D5-86E1-EB066EA03FBF}"/>
    <cellStyle name="Comma 2 6 7 5" xfId="918" xr:uid="{0FA22538-F9AA-4665-991A-D08C74E133D3}"/>
    <cellStyle name="Comma 2 6 7 5 2" xfId="15518" xr:uid="{7B3967A7-4A93-4CA4-8ADB-C5E0B41B7253}"/>
    <cellStyle name="Comma 2 6 7 5 2 2" xfId="52026" xr:uid="{A594054D-A635-46E8-BC10-DB33E09F6C25}"/>
    <cellStyle name="Comma 2 6 7 5 2 3" xfId="33772" xr:uid="{ACE485FE-EF05-4865-9351-4FA565D75429}"/>
    <cellStyle name="Comma 2 6 7 5 3" xfId="11868" xr:uid="{5BC3C5CA-FE32-4E9F-828A-694F12F49B2B}"/>
    <cellStyle name="Comma 2 6 7 5 3 2" xfId="48376" xr:uid="{7583CC77-91CE-4130-8FC4-795A9ACDB430}"/>
    <cellStyle name="Comma 2 6 7 5 3 3" xfId="30122" xr:uid="{AF7397CF-F499-419D-B99C-C08A7C2AB4C8}"/>
    <cellStyle name="Comma 2 6 7 5 4" xfId="8218" xr:uid="{1535CD0E-EE37-4E85-8C66-6ADBEEAF9A35}"/>
    <cellStyle name="Comma 2 6 7 5 4 2" xfId="44726" xr:uid="{2B9C9FD0-E8CB-4231-990A-73817DDC97A1}"/>
    <cellStyle name="Comma 2 6 7 5 4 3" xfId="26472" xr:uid="{81BBE8CA-4792-410E-82FC-D26E679C1E88}"/>
    <cellStyle name="Comma 2 6 7 5 5" xfId="4568" xr:uid="{CEE64BB1-7EC3-4983-953F-8FBE288B7AE0}"/>
    <cellStyle name="Comma 2 6 7 5 5 2" xfId="41076" xr:uid="{E5DE9AB8-BFAE-440F-B4C7-26FE84B1713E}"/>
    <cellStyle name="Comma 2 6 7 5 5 3" xfId="22822" xr:uid="{16392DA6-F183-4AC8-9BAC-9DF9E441DAC1}"/>
    <cellStyle name="Comma 2 6 7 5 6" xfId="37426" xr:uid="{2B2D120C-DCC7-4B0D-8892-CFB669B87F63}"/>
    <cellStyle name="Comma 2 6 7 5 7" xfId="19172" xr:uid="{FDFEF6CB-AE83-4E6B-AF91-57E959781160}"/>
    <cellStyle name="Comma 2 6 7 6" xfId="14788" xr:uid="{27E525B4-E99B-49B1-B595-0BB0B0706F42}"/>
    <cellStyle name="Comma 2 6 7 6 2" xfId="51296" xr:uid="{F37E4029-0EB4-4646-9553-1FD080465989}"/>
    <cellStyle name="Comma 2 6 7 6 3" xfId="33042" xr:uid="{16FDE41B-ED9D-4DB5-ABFC-3B5597AF7FD9}"/>
    <cellStyle name="Comma 2 6 7 7" xfId="11138" xr:uid="{C3811A57-BE8E-414C-A56D-82F22A644489}"/>
    <cellStyle name="Comma 2 6 7 7 2" xfId="47646" xr:uid="{59AD466D-DAC7-42D3-9BAD-2F7A111506F0}"/>
    <cellStyle name="Comma 2 6 7 7 3" xfId="29392" xr:uid="{0F0D5803-808E-42C5-A6D5-900E004F27D3}"/>
    <cellStyle name="Comma 2 6 7 8" xfId="7488" xr:uid="{E60EF692-ACBC-451B-8560-1960ACA72CAC}"/>
    <cellStyle name="Comma 2 6 7 8 2" xfId="43996" xr:uid="{0F2BAFD4-ED3E-469F-9D6A-E05C86B7EE52}"/>
    <cellStyle name="Comma 2 6 7 8 3" xfId="25742" xr:uid="{0407D66D-B48E-4D97-AAFB-D82110768D9D}"/>
    <cellStyle name="Comma 2 6 7 9" xfId="3838" xr:uid="{8FF8C5A6-DFCA-4546-A329-F5F80D9263AC}"/>
    <cellStyle name="Comma 2 6 7 9 2" xfId="40346" xr:uid="{D97354AF-14D9-485E-94CF-A0513C66D1AE}"/>
    <cellStyle name="Comma 2 6 7 9 3" xfId="22092" xr:uid="{A65F76F3-A839-4C52-A4FD-134DD9554BC0}"/>
    <cellStyle name="Comma 2 6 8" xfId="3004" xr:uid="{F2949C0A-F608-49EB-A1B2-A7A5CE09EA42}"/>
    <cellStyle name="Comma 2 6 8 2" xfId="17604" xr:uid="{05063A17-B973-4295-B045-E2A6700A8AE5}"/>
    <cellStyle name="Comma 2 6 8 2 2" xfId="54112" xr:uid="{8F9B1DD1-17A1-4B3A-AC1C-BA762F6FED52}"/>
    <cellStyle name="Comma 2 6 8 2 3" xfId="35858" xr:uid="{1EE7A977-6386-4BD7-A62B-83C8F2A420C9}"/>
    <cellStyle name="Comma 2 6 8 3" xfId="13954" xr:uid="{CDF96626-FCF2-4C3B-BC37-D19B289FBD2D}"/>
    <cellStyle name="Comma 2 6 8 3 2" xfId="50462" xr:uid="{FF4027FE-301D-4E24-AD6F-D1906D6410DF}"/>
    <cellStyle name="Comma 2 6 8 3 3" xfId="32208" xr:uid="{1CB4374C-AF3A-44E1-8017-8AC9C782E45E}"/>
    <cellStyle name="Comma 2 6 8 4" xfId="10304" xr:uid="{BC060F2F-DE3F-4096-9FCB-B532617F6CFF}"/>
    <cellStyle name="Comma 2 6 8 4 2" xfId="46812" xr:uid="{D84FE188-7C0E-429D-8A35-5135E7F7B9EC}"/>
    <cellStyle name="Comma 2 6 8 4 3" xfId="28558" xr:uid="{9AD895A9-DA9D-49BF-9EE4-9F1E8EDEA874}"/>
    <cellStyle name="Comma 2 6 8 5" xfId="6654" xr:uid="{2E38483E-F89B-4D9D-B7FD-534783BC4460}"/>
    <cellStyle name="Comma 2 6 8 5 2" xfId="43162" xr:uid="{F414C3FF-56A1-41BA-B5B8-656B2382F3ED}"/>
    <cellStyle name="Comma 2 6 8 5 3" xfId="24908" xr:uid="{6157F6C5-ACF8-4DF3-A340-3A386945BC2A}"/>
    <cellStyle name="Comma 2 6 8 6" xfId="39512" xr:uid="{AB99464D-E410-4008-B0AB-824CE800A57B}"/>
    <cellStyle name="Comma 2 6 8 7" xfId="21258" xr:uid="{B7E0A536-AC17-4F76-BA48-11FA26812E0D}"/>
    <cellStyle name="Comma 2 6 9" xfId="2274" xr:uid="{5E939D3D-3AA5-4607-B8D8-4E93993508D2}"/>
    <cellStyle name="Comma 2 6 9 2" xfId="16874" xr:uid="{7E28F843-57F2-4365-9EFF-BDDD8C7A3DE2}"/>
    <cellStyle name="Comma 2 6 9 2 2" xfId="53382" xr:uid="{195C34F1-728D-4EB5-89E6-29F911390257}"/>
    <cellStyle name="Comma 2 6 9 2 3" xfId="35128" xr:uid="{65566093-F054-4B11-83B8-BE1342D607C2}"/>
    <cellStyle name="Comma 2 6 9 3" xfId="13224" xr:uid="{B439794C-64F3-4771-920A-2FF23E4D0BF3}"/>
    <cellStyle name="Comma 2 6 9 3 2" xfId="49732" xr:uid="{275D8B35-393B-41DC-B6D2-720DB368ECB9}"/>
    <cellStyle name="Comma 2 6 9 3 3" xfId="31478" xr:uid="{3329C262-FBB5-4B61-A2CD-A7777450B766}"/>
    <cellStyle name="Comma 2 6 9 4" xfId="9574" xr:uid="{784ACE6C-9416-4863-BDF4-627614C985E6}"/>
    <cellStyle name="Comma 2 6 9 4 2" xfId="46082" xr:uid="{6BA6AC18-29BB-4CE6-8585-526591430101}"/>
    <cellStyle name="Comma 2 6 9 4 3" xfId="27828" xr:uid="{66962B86-5CF3-489B-85AF-ED76E420A0F2}"/>
    <cellStyle name="Comma 2 6 9 5" xfId="5924" xr:uid="{3C73B704-951A-435C-A919-CA4FCB53DEED}"/>
    <cellStyle name="Comma 2 6 9 5 2" xfId="42432" xr:uid="{C3D26406-B48F-4BA3-97B5-CB1F66C97D8D}"/>
    <cellStyle name="Comma 2 6 9 5 3" xfId="24178" xr:uid="{6F1BAE73-55DA-4DF6-9455-5739AC8FCB73}"/>
    <cellStyle name="Comma 2 6 9 6" xfId="38782" xr:uid="{B62FA875-EF16-4C58-ABA5-3AEE0AB95593}"/>
    <cellStyle name="Comma 2 6 9 7" xfId="20528" xr:uid="{9F934050-26B8-43E0-A19D-098884F9B2C0}"/>
    <cellStyle name="Comma 2 7" xfId="46" xr:uid="{B23AB231-53A7-4525-8AAF-D319EB32B21D}"/>
    <cellStyle name="Comma 2 7 10" xfId="1512" xr:uid="{F7CD33C5-078D-4126-8B71-476A9D1B9D55}"/>
    <cellStyle name="Comma 2 7 10 2" xfId="16112" xr:uid="{BB9EA21B-08A2-4F6C-A2FA-C0D2E622E033}"/>
    <cellStyle name="Comma 2 7 10 2 2" xfId="52620" xr:uid="{0722CA7E-4D74-4126-AF07-21A3EA1C49E5}"/>
    <cellStyle name="Comma 2 7 10 2 3" xfId="34366" xr:uid="{B3A45CCD-9484-453A-84F8-B90F57FC0A4B}"/>
    <cellStyle name="Comma 2 7 10 3" xfId="12462" xr:uid="{B8B5E979-D76E-430C-A7D7-5212EA3C8447}"/>
    <cellStyle name="Comma 2 7 10 3 2" xfId="48970" xr:uid="{A7DD4D1C-B86E-4632-B8BE-3B196E75F71B}"/>
    <cellStyle name="Comma 2 7 10 3 3" xfId="30716" xr:uid="{26742000-8BDE-4541-ACF5-BD1C88736662}"/>
    <cellStyle name="Comma 2 7 10 4" xfId="8812" xr:uid="{60352822-2273-4CE1-B358-3DBB5E1ADFF3}"/>
    <cellStyle name="Comma 2 7 10 4 2" xfId="45320" xr:uid="{77B9B80D-F968-41CC-9A84-A6805F0638F2}"/>
    <cellStyle name="Comma 2 7 10 4 3" xfId="27066" xr:uid="{D25EB7E3-6F0A-45C5-A82B-F2356C79D9A9}"/>
    <cellStyle name="Comma 2 7 10 5" xfId="5162" xr:uid="{055E96F3-CB0B-4F08-B28C-7C6E6D03621D}"/>
    <cellStyle name="Comma 2 7 10 5 2" xfId="41670" xr:uid="{D1985EDF-897B-4EDC-BC8C-A12C8909F740}"/>
    <cellStyle name="Comma 2 7 10 5 3" xfId="23416" xr:uid="{968EC2E5-DAC4-4B07-8E02-3BB417AB6DB5}"/>
    <cellStyle name="Comma 2 7 10 6" xfId="38020" xr:uid="{FBD63114-B8A0-4782-8CF0-9A9431EB3772}"/>
    <cellStyle name="Comma 2 7 10 7" xfId="19766" xr:uid="{40143734-E8E5-4F5A-A9CC-7A2D6BDA32C1}"/>
    <cellStyle name="Comma 2 7 11" xfId="782" xr:uid="{AA28B2BA-B648-4D69-AE3D-7CFBF67BE50A}"/>
    <cellStyle name="Comma 2 7 11 2" xfId="15382" xr:uid="{A0B265A5-A99E-40AA-8AD0-B5059D873402}"/>
    <cellStyle name="Comma 2 7 11 2 2" xfId="51890" xr:uid="{B890E148-9E3C-4DDA-9291-89D726177E3A}"/>
    <cellStyle name="Comma 2 7 11 2 3" xfId="33636" xr:uid="{B81C0792-C452-4C89-8345-B978EA4CBC29}"/>
    <cellStyle name="Comma 2 7 11 3" xfId="11732" xr:uid="{FD4835AC-A454-450C-AFA0-F305B59BFF6F}"/>
    <cellStyle name="Comma 2 7 11 3 2" xfId="48240" xr:uid="{E350D008-A680-49C9-9383-315060B26179}"/>
    <cellStyle name="Comma 2 7 11 3 3" xfId="29986" xr:uid="{036ACAA8-9CF9-48ED-BB61-0BFD2724B44B}"/>
    <cellStyle name="Comma 2 7 11 4" xfId="8082" xr:uid="{C0E172F9-3C77-4E6C-8548-0A1AED0B59EF}"/>
    <cellStyle name="Comma 2 7 11 4 2" xfId="44590" xr:uid="{3EC8B07E-5D58-4B73-9A7F-FDD7F5ED5524}"/>
    <cellStyle name="Comma 2 7 11 4 3" xfId="26336" xr:uid="{199E0522-D518-44AA-B3F7-88FD12B154F0}"/>
    <cellStyle name="Comma 2 7 11 5" xfId="4432" xr:uid="{698E6C30-8A48-4EB9-A20F-5D871BAF35BC}"/>
    <cellStyle name="Comma 2 7 11 5 2" xfId="40940" xr:uid="{F5D40DAC-8028-42B1-A01D-8E83FC13E611}"/>
    <cellStyle name="Comma 2 7 11 5 3" xfId="22686" xr:uid="{1690B9A3-2CAE-426F-A82B-5451A309DEC6}"/>
    <cellStyle name="Comma 2 7 11 6" xfId="37290" xr:uid="{9C50ADB8-C824-4286-B739-CA2511502B88}"/>
    <cellStyle name="Comma 2 7 11 7" xfId="19036" xr:uid="{F6BD9CC4-B767-469E-91C9-47873BAC6788}"/>
    <cellStyle name="Comma 2 7 12" xfId="14652" xr:uid="{20C0BD7F-5EEB-41C8-9D4A-7ABF2372E3CD}"/>
    <cellStyle name="Comma 2 7 12 2" xfId="51160" xr:uid="{6AF3A042-7468-4BAA-8703-1852F6089A2B}"/>
    <cellStyle name="Comma 2 7 12 3" xfId="32906" xr:uid="{0EF81CFF-E304-411D-817A-46A08EAF50B2}"/>
    <cellStyle name="Comma 2 7 13" xfId="11002" xr:uid="{286604BB-0048-445F-BEBE-0BB704007CCF}"/>
    <cellStyle name="Comma 2 7 13 2" xfId="47510" xr:uid="{C61A66D8-5D2D-4CB1-914C-F0DEB0642191}"/>
    <cellStyle name="Comma 2 7 13 3" xfId="29256" xr:uid="{8CBDC8A7-39EC-40A5-B95D-E9991F720EEE}"/>
    <cellStyle name="Comma 2 7 14" xfId="7352" xr:uid="{A493C8E3-2E60-46A1-B64D-F9CFF0FC7A6B}"/>
    <cellStyle name="Comma 2 7 14 2" xfId="43860" xr:uid="{FD25BA8E-BB41-44B9-8115-1C31155F1D13}"/>
    <cellStyle name="Comma 2 7 14 3" xfId="25606" xr:uid="{C5D15812-EB52-4919-B2DB-E89B0E39BD0E}"/>
    <cellStyle name="Comma 2 7 15" xfId="3702" xr:uid="{3162801E-0667-4EB8-A5AC-BA94AAE92962}"/>
    <cellStyle name="Comma 2 7 15 2" xfId="40210" xr:uid="{707CA20C-D277-405A-B5A3-8CFEAF3E922D}"/>
    <cellStyle name="Comma 2 7 15 3" xfId="21956" xr:uid="{97F4ADF3-B13C-466D-BCE0-1C0E398A70C7}"/>
    <cellStyle name="Comma 2 7 16" xfId="36560" xr:uid="{537EA85A-BEBD-4481-A060-9B86C3912C50}"/>
    <cellStyle name="Comma 2 7 17" xfId="18306" xr:uid="{F3224835-894B-4F5C-9FBB-57D622C88E81}"/>
    <cellStyle name="Comma 2 7 2" xfId="676" xr:uid="{5FEE0372-EC71-44AE-A8BD-AF2A93A1567F}"/>
    <cellStyle name="Comma 2 7 2 10" xfId="37184" xr:uid="{7ADE8328-F8F3-4BBE-A649-D770DFB27A2F}"/>
    <cellStyle name="Comma 2 7 2 11" xfId="18930" xr:uid="{0BF53063-5FDE-4D3B-B4A4-87DC1843A36F}"/>
    <cellStyle name="Comma 2 7 2 2" xfId="3596" xr:uid="{3F5FC161-0883-4AA6-B2A5-35D2C3AFBB7C}"/>
    <cellStyle name="Comma 2 7 2 2 2" xfId="18196" xr:uid="{ED7C01FA-0943-48F4-BA30-2BB01422B6B9}"/>
    <cellStyle name="Comma 2 7 2 2 2 2" xfId="54704" xr:uid="{C1DA9BF4-F9E7-4053-809C-07DA43480F4E}"/>
    <cellStyle name="Comma 2 7 2 2 2 3" xfId="36450" xr:uid="{C457BF9C-F7EE-445B-A081-BA800E4CD796}"/>
    <cellStyle name="Comma 2 7 2 2 3" xfId="14546" xr:uid="{C11753ED-5743-4870-9E5B-6612CD9769F0}"/>
    <cellStyle name="Comma 2 7 2 2 3 2" xfId="51054" xr:uid="{C5D70561-FB18-481E-8329-6334207E286D}"/>
    <cellStyle name="Comma 2 7 2 2 3 3" xfId="32800" xr:uid="{9F23FF78-276D-4D7F-8AD2-E6717D110920}"/>
    <cellStyle name="Comma 2 7 2 2 4" xfId="10896" xr:uid="{1A117765-F0F9-4B75-A4EF-2075ADEB417B}"/>
    <cellStyle name="Comma 2 7 2 2 4 2" xfId="47404" xr:uid="{E1AE1D16-9EC8-464B-A548-4F596B24AA89}"/>
    <cellStyle name="Comma 2 7 2 2 4 3" xfId="29150" xr:uid="{3B246B7D-4ADB-44D8-8541-BE080E637B7B}"/>
    <cellStyle name="Comma 2 7 2 2 5" xfId="7246" xr:uid="{86E3D5CD-B5F1-4629-BD17-2DE201FC6192}"/>
    <cellStyle name="Comma 2 7 2 2 5 2" xfId="43754" xr:uid="{F6309837-B590-4915-81AD-4EFB97A838FE}"/>
    <cellStyle name="Comma 2 7 2 2 5 3" xfId="25500" xr:uid="{FB6666F0-0B3A-4E5F-AB28-429955BC546A}"/>
    <cellStyle name="Comma 2 7 2 2 6" xfId="40104" xr:uid="{41A834E4-4913-46A5-98E2-27F20B0B6394}"/>
    <cellStyle name="Comma 2 7 2 2 7" xfId="21850" xr:uid="{4E4ADC6A-908A-4368-823A-F26608C83418}"/>
    <cellStyle name="Comma 2 7 2 3" xfId="2866" xr:uid="{19819B4E-437B-46BE-8A2C-636C78DB5C0C}"/>
    <cellStyle name="Comma 2 7 2 3 2" xfId="17466" xr:uid="{0DBA2A0B-7C41-4C3D-9179-1E7FAEBA5709}"/>
    <cellStyle name="Comma 2 7 2 3 2 2" xfId="53974" xr:uid="{899F9E77-C40E-4D16-A631-0F75C4D89C31}"/>
    <cellStyle name="Comma 2 7 2 3 2 3" xfId="35720" xr:uid="{ED0FEB23-2D7C-499E-AF16-D6CCCE215253}"/>
    <cellStyle name="Comma 2 7 2 3 3" xfId="13816" xr:uid="{707C629F-645E-4D80-A6B1-CC38E40DCA31}"/>
    <cellStyle name="Comma 2 7 2 3 3 2" xfId="50324" xr:uid="{BA4CABD3-8905-444C-B811-6DB1911893FF}"/>
    <cellStyle name="Comma 2 7 2 3 3 3" xfId="32070" xr:uid="{D3176E09-14EF-4CD5-A897-95C14030903A}"/>
    <cellStyle name="Comma 2 7 2 3 4" xfId="10166" xr:uid="{396F5BD0-48C0-4F45-A76C-C9A4CCE7E972}"/>
    <cellStyle name="Comma 2 7 2 3 4 2" xfId="46674" xr:uid="{AEECF29C-FAEB-4B21-9A84-6A3FA190311F}"/>
    <cellStyle name="Comma 2 7 2 3 4 3" xfId="28420" xr:uid="{99ADE35C-F295-4BB2-9163-241838AE4E85}"/>
    <cellStyle name="Comma 2 7 2 3 5" xfId="6516" xr:uid="{F8F3F818-BE0A-4C87-9646-2ECD0ED7703F}"/>
    <cellStyle name="Comma 2 7 2 3 5 2" xfId="43024" xr:uid="{14A2F9D0-187D-46C9-B615-69E30DE7A09D}"/>
    <cellStyle name="Comma 2 7 2 3 5 3" xfId="24770" xr:uid="{E49A3554-3733-430E-A16B-FAAF179C81BA}"/>
    <cellStyle name="Comma 2 7 2 3 6" xfId="39374" xr:uid="{B7A9531F-5F15-4F5D-A72F-37B8378A0F5D}"/>
    <cellStyle name="Comma 2 7 2 3 7" xfId="21120" xr:uid="{8A7862C7-B13D-41F7-BEB6-D9D91DDFA053}"/>
    <cellStyle name="Comma 2 7 2 4" xfId="2136" xr:uid="{684F8045-FEFB-4D22-A9E2-C3ECF04B1B34}"/>
    <cellStyle name="Comma 2 7 2 4 2" xfId="16736" xr:uid="{DA0BFC2F-1425-4745-9140-6A7CD5EB0E09}"/>
    <cellStyle name="Comma 2 7 2 4 2 2" xfId="53244" xr:uid="{4153D756-CA8E-4982-8B4C-4ACDCFD40BBE}"/>
    <cellStyle name="Comma 2 7 2 4 2 3" xfId="34990" xr:uid="{CB86C6D3-39F7-4BB1-B9CF-3207150542B5}"/>
    <cellStyle name="Comma 2 7 2 4 3" xfId="13086" xr:uid="{EEE2CA05-A9C7-444F-AA5C-94BC6E32A5CD}"/>
    <cellStyle name="Comma 2 7 2 4 3 2" xfId="49594" xr:uid="{F208D3EF-4926-468A-8037-F2A69B84DFE1}"/>
    <cellStyle name="Comma 2 7 2 4 3 3" xfId="31340" xr:uid="{E994AF62-E1F8-499F-ABA4-8971EFFD86C8}"/>
    <cellStyle name="Comma 2 7 2 4 4" xfId="9436" xr:uid="{3E09565F-8A57-4962-9E93-0E5757D0C8E8}"/>
    <cellStyle name="Comma 2 7 2 4 4 2" xfId="45944" xr:uid="{C71B8283-357D-44AC-8F98-A6C2B3FFC0B5}"/>
    <cellStyle name="Comma 2 7 2 4 4 3" xfId="27690" xr:uid="{6640D58B-84BB-44ED-8AB9-B042221780CF}"/>
    <cellStyle name="Comma 2 7 2 4 5" xfId="5786" xr:uid="{2AE2DD06-4668-4867-93C0-7AC76370E5AA}"/>
    <cellStyle name="Comma 2 7 2 4 5 2" xfId="42294" xr:uid="{62FE8453-1561-43E0-A173-BD7C87D96E73}"/>
    <cellStyle name="Comma 2 7 2 4 5 3" xfId="24040" xr:uid="{C96E8EEF-5018-4BB8-8D36-03BFFB8E864D}"/>
    <cellStyle name="Comma 2 7 2 4 6" xfId="38644" xr:uid="{58DFBBCA-0357-4140-9E12-2DD00946958C}"/>
    <cellStyle name="Comma 2 7 2 4 7" xfId="20390" xr:uid="{E1239ABA-76C6-4524-8715-053FFD6FEE08}"/>
    <cellStyle name="Comma 2 7 2 5" xfId="1406" xr:uid="{CA86A487-83D0-4F10-82E1-D73A24E33822}"/>
    <cellStyle name="Comma 2 7 2 5 2" xfId="16006" xr:uid="{33C995FD-4F37-4697-AC3A-7726140AC63F}"/>
    <cellStyle name="Comma 2 7 2 5 2 2" xfId="52514" xr:uid="{646D510B-9561-4865-81ED-E02702EEF533}"/>
    <cellStyle name="Comma 2 7 2 5 2 3" xfId="34260" xr:uid="{34430BD4-2A9F-4D1F-B22A-B4A3AC4FC1E5}"/>
    <cellStyle name="Comma 2 7 2 5 3" xfId="12356" xr:uid="{B796BC75-9090-4EF0-9389-8FADC5C1D590}"/>
    <cellStyle name="Comma 2 7 2 5 3 2" xfId="48864" xr:uid="{FB8F5031-390B-45E7-A59D-D631D8F9A58F}"/>
    <cellStyle name="Comma 2 7 2 5 3 3" xfId="30610" xr:uid="{5B9AEB1C-0BFB-4578-92C5-AC03AFFD38CF}"/>
    <cellStyle name="Comma 2 7 2 5 4" xfId="8706" xr:uid="{2F7447D1-7F9A-480D-8058-6C79A36F120F}"/>
    <cellStyle name="Comma 2 7 2 5 4 2" xfId="45214" xr:uid="{169931E2-ED40-4D36-BA95-5CFB720A6B75}"/>
    <cellStyle name="Comma 2 7 2 5 4 3" xfId="26960" xr:uid="{F54E645C-603E-4C67-97C8-7973BECA2A29}"/>
    <cellStyle name="Comma 2 7 2 5 5" xfId="5056" xr:uid="{D2546395-A06F-474D-BB75-DD7E67AB89F5}"/>
    <cellStyle name="Comma 2 7 2 5 5 2" xfId="41564" xr:uid="{6B3E27B7-F422-48CF-AA01-30A509A88081}"/>
    <cellStyle name="Comma 2 7 2 5 5 3" xfId="23310" xr:uid="{116CDF7C-3423-4EF8-9799-4E9A23CF09EA}"/>
    <cellStyle name="Comma 2 7 2 5 6" xfId="37914" xr:uid="{42DBF5D3-D008-4368-8337-D83DB0CCD10E}"/>
    <cellStyle name="Comma 2 7 2 5 7" xfId="19660" xr:uid="{306AB776-3DF1-4141-9D02-AE621D02CAB9}"/>
    <cellStyle name="Comma 2 7 2 6" xfId="15276" xr:uid="{17C22C96-6F9D-4375-A38E-20349B366409}"/>
    <cellStyle name="Comma 2 7 2 6 2" xfId="51784" xr:uid="{DD9EF3C2-89DC-4BAC-8602-314D621EB333}"/>
    <cellStyle name="Comma 2 7 2 6 3" xfId="33530" xr:uid="{BB1292B5-2FC0-4901-93C3-578EE388D796}"/>
    <cellStyle name="Comma 2 7 2 7" xfId="11626" xr:uid="{D9551DC1-06A0-4BAB-AD78-9308A08BC5A6}"/>
    <cellStyle name="Comma 2 7 2 7 2" xfId="48134" xr:uid="{577F57F9-08C3-4062-89CF-1DF4671123AB}"/>
    <cellStyle name="Comma 2 7 2 7 3" xfId="29880" xr:uid="{41656E1F-D708-4679-9DC0-A7197E4C7FA8}"/>
    <cellStyle name="Comma 2 7 2 8" xfId="7976" xr:uid="{3B095C5B-6354-4C71-AE59-0D545E6618D5}"/>
    <cellStyle name="Comma 2 7 2 8 2" xfId="44484" xr:uid="{5705A908-5C86-478C-A046-061EF195C4DF}"/>
    <cellStyle name="Comma 2 7 2 8 3" xfId="26230" xr:uid="{2AFE6C88-4164-4276-9BBE-7E56526BB03A}"/>
    <cellStyle name="Comma 2 7 2 9" xfId="4326" xr:uid="{32FD31AA-7E60-4925-A59F-FDC37E471CAA}"/>
    <cellStyle name="Comma 2 7 2 9 2" xfId="40834" xr:uid="{C002C0AA-448D-4B53-8C41-F9DD5FB6E33E}"/>
    <cellStyle name="Comma 2 7 2 9 3" xfId="22580" xr:uid="{42F7B463-E098-483A-8D60-A0A54C8E34A1}"/>
    <cellStyle name="Comma 2 7 3" xfId="572" xr:uid="{C063C3B3-9F30-4508-BC5E-DF31C5E77E9D}"/>
    <cellStyle name="Comma 2 7 3 10" xfId="37080" xr:uid="{58C38AF6-E8FB-4D4B-A642-62A6D375E7E8}"/>
    <cellStyle name="Comma 2 7 3 11" xfId="18826" xr:uid="{3798289E-E589-4968-8F13-3086F10431E0}"/>
    <cellStyle name="Comma 2 7 3 2" xfId="3492" xr:uid="{A8ECCDFB-31BA-4B7F-BB5C-1E25BC7CE829}"/>
    <cellStyle name="Comma 2 7 3 2 2" xfId="18092" xr:uid="{9D14053F-6E37-42D4-B3A0-A82E95949CDD}"/>
    <cellStyle name="Comma 2 7 3 2 2 2" xfId="54600" xr:uid="{5CAB548A-248D-41BB-9E28-947AA2216A56}"/>
    <cellStyle name="Comma 2 7 3 2 2 3" xfId="36346" xr:uid="{DDAEE27E-141A-41B1-B99F-6DE904D065B6}"/>
    <cellStyle name="Comma 2 7 3 2 3" xfId="14442" xr:uid="{91678472-F856-4413-BCD1-4471FCF3C167}"/>
    <cellStyle name="Comma 2 7 3 2 3 2" xfId="50950" xr:uid="{8B136839-91FD-444A-BB40-740B9B4734FB}"/>
    <cellStyle name="Comma 2 7 3 2 3 3" xfId="32696" xr:uid="{868EB8DD-09BB-41DE-99B1-614710BB4357}"/>
    <cellStyle name="Comma 2 7 3 2 4" xfId="10792" xr:uid="{E0D5C229-0770-4644-954D-51AB875C0910}"/>
    <cellStyle name="Comma 2 7 3 2 4 2" xfId="47300" xr:uid="{41AFF6AE-8C25-4B0B-ABD4-9DBAC4F7C724}"/>
    <cellStyle name="Comma 2 7 3 2 4 3" xfId="29046" xr:uid="{58B93C4C-4513-4C77-BC33-CD5545DB5425}"/>
    <cellStyle name="Comma 2 7 3 2 5" xfId="7142" xr:uid="{8B19EDA8-E940-45C8-962F-5AFEB8F25F81}"/>
    <cellStyle name="Comma 2 7 3 2 5 2" xfId="43650" xr:uid="{9EEE9F0B-155D-4C9B-B3D5-E66C17E6D78A}"/>
    <cellStyle name="Comma 2 7 3 2 5 3" xfId="25396" xr:uid="{47BC866D-4588-4D36-8979-AB40F65E7EC6}"/>
    <cellStyle name="Comma 2 7 3 2 6" xfId="40000" xr:uid="{1F2B573F-4F28-4829-A0D5-D3729C91135C}"/>
    <cellStyle name="Comma 2 7 3 2 7" xfId="21746" xr:uid="{3A0B547C-F767-470B-8342-DD6D47C9586A}"/>
    <cellStyle name="Comma 2 7 3 3" xfId="2762" xr:uid="{44142F83-A84A-446C-8AF8-CB341CB71F1A}"/>
    <cellStyle name="Comma 2 7 3 3 2" xfId="17362" xr:uid="{00E32C81-B897-4155-8DB7-07E84B06ACC7}"/>
    <cellStyle name="Comma 2 7 3 3 2 2" xfId="53870" xr:uid="{4F0787B6-B570-4E74-86B3-4570021F51D6}"/>
    <cellStyle name="Comma 2 7 3 3 2 3" xfId="35616" xr:uid="{DAC73F11-035B-4494-9E79-1925DBFDB127}"/>
    <cellStyle name="Comma 2 7 3 3 3" xfId="13712" xr:uid="{39D2E050-44FB-42DA-99EF-EC0182AEA1E4}"/>
    <cellStyle name="Comma 2 7 3 3 3 2" xfId="50220" xr:uid="{6B34234F-61E3-41F7-A485-07BB6BD78218}"/>
    <cellStyle name="Comma 2 7 3 3 3 3" xfId="31966" xr:uid="{237D90B2-EE4C-4770-8219-F4B0CCDB12B3}"/>
    <cellStyle name="Comma 2 7 3 3 4" xfId="10062" xr:uid="{4DE2E8F2-1331-4107-B971-435C84311E41}"/>
    <cellStyle name="Comma 2 7 3 3 4 2" xfId="46570" xr:uid="{CB0953D8-0123-4AB1-A4C3-5F020DE663E3}"/>
    <cellStyle name="Comma 2 7 3 3 4 3" xfId="28316" xr:uid="{54F76CB7-F66A-4E76-B847-8361D44D166A}"/>
    <cellStyle name="Comma 2 7 3 3 5" xfId="6412" xr:uid="{4A12371A-7E7F-4735-8640-99C3E1708993}"/>
    <cellStyle name="Comma 2 7 3 3 5 2" xfId="42920" xr:uid="{2721FEE9-D0B3-4BB8-8523-4F68ADCD2DCD}"/>
    <cellStyle name="Comma 2 7 3 3 5 3" xfId="24666" xr:uid="{AA8E8617-C6CA-4FD4-B1AE-244FA762377F}"/>
    <cellStyle name="Comma 2 7 3 3 6" xfId="39270" xr:uid="{A8D76484-E1A3-4858-80C8-84A30A24EEF5}"/>
    <cellStyle name="Comma 2 7 3 3 7" xfId="21016" xr:uid="{76246344-01B8-47AA-BFD2-9F47B09B343F}"/>
    <cellStyle name="Comma 2 7 3 4" xfId="2032" xr:uid="{1053E41B-3E7D-40B8-A9E9-772E263997C5}"/>
    <cellStyle name="Comma 2 7 3 4 2" xfId="16632" xr:uid="{B918C01C-6833-4D7A-9A13-796B9B353DBA}"/>
    <cellStyle name="Comma 2 7 3 4 2 2" xfId="53140" xr:uid="{EB752120-E725-4504-A590-CDB1E12DDC51}"/>
    <cellStyle name="Comma 2 7 3 4 2 3" xfId="34886" xr:uid="{A0C02A6C-E75B-4E01-B14A-FE79EC9743A5}"/>
    <cellStyle name="Comma 2 7 3 4 3" xfId="12982" xr:uid="{DADD2706-E687-4E7B-9532-C0108C533E78}"/>
    <cellStyle name="Comma 2 7 3 4 3 2" xfId="49490" xr:uid="{1897EC24-BCAC-42EE-B532-8B772910C493}"/>
    <cellStyle name="Comma 2 7 3 4 3 3" xfId="31236" xr:uid="{5CD00D93-D1FC-4A6B-A315-4F24A5C4A448}"/>
    <cellStyle name="Comma 2 7 3 4 4" xfId="9332" xr:uid="{5026B116-5E41-4653-8778-BB7E6DD8223E}"/>
    <cellStyle name="Comma 2 7 3 4 4 2" xfId="45840" xr:uid="{26F85F34-758A-4649-B736-44368F94B079}"/>
    <cellStyle name="Comma 2 7 3 4 4 3" xfId="27586" xr:uid="{E0CB3EFF-E15A-49CB-8953-4B6FCCD8111B}"/>
    <cellStyle name="Comma 2 7 3 4 5" xfId="5682" xr:uid="{DDE2C1D4-8C73-4BAC-86AB-8FD6988DD863}"/>
    <cellStyle name="Comma 2 7 3 4 5 2" xfId="42190" xr:uid="{196591C0-4A0F-46F4-86EC-BCE364D03F82}"/>
    <cellStyle name="Comma 2 7 3 4 5 3" xfId="23936" xr:uid="{04B609C2-DD48-40F3-94E7-D8B2A4EF2D58}"/>
    <cellStyle name="Comma 2 7 3 4 6" xfId="38540" xr:uid="{C3A23C85-FDFF-4407-94BE-3D4BC05ECFA3}"/>
    <cellStyle name="Comma 2 7 3 4 7" xfId="20286" xr:uid="{89D710CE-0AB6-4A20-B021-C4A6C03DC550}"/>
    <cellStyle name="Comma 2 7 3 5" xfId="1302" xr:uid="{3C8E4540-14F0-460C-B3AF-949436A27C42}"/>
    <cellStyle name="Comma 2 7 3 5 2" xfId="15902" xr:uid="{F57518C4-C57D-4278-ABF3-37C20781D6FE}"/>
    <cellStyle name="Comma 2 7 3 5 2 2" xfId="52410" xr:uid="{E7DB611A-9750-412B-9DA2-D5304BA8B57A}"/>
    <cellStyle name="Comma 2 7 3 5 2 3" xfId="34156" xr:uid="{3E2426A5-0CA7-4B15-96BC-0DCE6D7B27DC}"/>
    <cellStyle name="Comma 2 7 3 5 3" xfId="12252" xr:uid="{3EDED46A-56C3-4024-B6C3-AECE0C68BCEB}"/>
    <cellStyle name="Comma 2 7 3 5 3 2" xfId="48760" xr:uid="{BD2E4456-ECD6-44D1-9C32-080B89180AC0}"/>
    <cellStyle name="Comma 2 7 3 5 3 3" xfId="30506" xr:uid="{1CCF971A-47A2-458D-84B4-81BA38880192}"/>
    <cellStyle name="Comma 2 7 3 5 4" xfId="8602" xr:uid="{95531863-CCAF-47EF-A912-719317DCF4B6}"/>
    <cellStyle name="Comma 2 7 3 5 4 2" xfId="45110" xr:uid="{7E06AD07-04EC-42CA-A160-6B843D870A71}"/>
    <cellStyle name="Comma 2 7 3 5 4 3" xfId="26856" xr:uid="{C145C9CD-E94B-4BEC-8C40-02388E78B05A}"/>
    <cellStyle name="Comma 2 7 3 5 5" xfId="4952" xr:uid="{FE93383D-349F-48E3-B894-435C49762841}"/>
    <cellStyle name="Comma 2 7 3 5 5 2" xfId="41460" xr:uid="{19D2B4E9-2C2F-4AA7-AABB-1F5D8B64CDEB}"/>
    <cellStyle name="Comma 2 7 3 5 5 3" xfId="23206" xr:uid="{B5F89595-1FCE-4F11-B4F3-D14285067601}"/>
    <cellStyle name="Comma 2 7 3 5 6" xfId="37810" xr:uid="{337F9D46-47C0-4A0A-8DA5-43B4BA54A99F}"/>
    <cellStyle name="Comma 2 7 3 5 7" xfId="19556" xr:uid="{0E641979-C9A2-406D-9F47-A7E9123FC5AA}"/>
    <cellStyle name="Comma 2 7 3 6" xfId="15172" xr:uid="{B9CF8322-922A-4B17-9EF7-A6AA7D0F7B56}"/>
    <cellStyle name="Comma 2 7 3 6 2" xfId="51680" xr:uid="{AEF915A6-BEFF-4D96-981C-5D34D4EC6E29}"/>
    <cellStyle name="Comma 2 7 3 6 3" xfId="33426" xr:uid="{D8BD7348-144E-4EAB-82CB-18AF6B7BF4E3}"/>
    <cellStyle name="Comma 2 7 3 7" xfId="11522" xr:uid="{6B4BD006-1D56-45D5-B5B1-E429C367D226}"/>
    <cellStyle name="Comma 2 7 3 7 2" xfId="48030" xr:uid="{E0513554-1B78-475E-B6C7-3563D0157440}"/>
    <cellStyle name="Comma 2 7 3 7 3" xfId="29776" xr:uid="{081F75B2-879B-43AA-A597-5F634AB79465}"/>
    <cellStyle name="Comma 2 7 3 8" xfId="7872" xr:uid="{AB388B5C-E064-4FE1-ABE0-DB969F98FAEC}"/>
    <cellStyle name="Comma 2 7 3 8 2" xfId="44380" xr:uid="{A7F18750-AC1B-48DE-9B13-DF7201148F4F}"/>
    <cellStyle name="Comma 2 7 3 8 3" xfId="26126" xr:uid="{6735A7C6-3561-4FCC-A6D8-D473E43ED6FB}"/>
    <cellStyle name="Comma 2 7 3 9" xfId="4222" xr:uid="{D2D3412A-886C-491F-B241-0E82FCDC7ECD}"/>
    <cellStyle name="Comma 2 7 3 9 2" xfId="40730" xr:uid="{E7CA77F8-365F-4F3D-959F-6BCC64192C20}"/>
    <cellStyle name="Comma 2 7 3 9 3" xfId="22476" xr:uid="{7F2389B8-91A3-4123-99C1-F43013A71FEF}"/>
    <cellStyle name="Comma 2 7 4" xfId="468" xr:uid="{5DC93628-A6EE-4324-BAE9-7DDC97898DD1}"/>
    <cellStyle name="Comma 2 7 4 10" xfId="36976" xr:uid="{9C48E9D4-43B8-4D33-A976-4768E69C5C0B}"/>
    <cellStyle name="Comma 2 7 4 11" xfId="18722" xr:uid="{781D4D45-023F-48F9-8F19-88791244CD1D}"/>
    <cellStyle name="Comma 2 7 4 2" xfId="3388" xr:uid="{ABC56D80-4B7E-4EED-9998-B6040E80568D}"/>
    <cellStyle name="Comma 2 7 4 2 2" xfId="17988" xr:uid="{23CBCAA6-62F0-4F94-A984-42D1FCD1B51C}"/>
    <cellStyle name="Comma 2 7 4 2 2 2" xfId="54496" xr:uid="{97A3A9B8-E799-40F5-BDD5-94BE925FBF99}"/>
    <cellStyle name="Comma 2 7 4 2 2 3" xfId="36242" xr:uid="{15A7966C-F51A-46D7-875E-F7B968D08CDD}"/>
    <cellStyle name="Comma 2 7 4 2 3" xfId="14338" xr:uid="{A4B02214-FAEF-45AA-AFF8-E5633F55EB2F}"/>
    <cellStyle name="Comma 2 7 4 2 3 2" xfId="50846" xr:uid="{4A1486E1-541C-4BD9-92B1-63C8FFAFA949}"/>
    <cellStyle name="Comma 2 7 4 2 3 3" xfId="32592" xr:uid="{3E58FB9F-6AAA-43E7-8D3C-98E979EB4907}"/>
    <cellStyle name="Comma 2 7 4 2 4" xfId="10688" xr:uid="{1A63CAFC-9DDF-40DE-89D2-5B45FC2891C5}"/>
    <cellStyle name="Comma 2 7 4 2 4 2" xfId="47196" xr:uid="{736D99B1-25F4-4073-914D-E51E91034E40}"/>
    <cellStyle name="Comma 2 7 4 2 4 3" xfId="28942" xr:uid="{954B9CEA-E0E5-4780-98D5-0251EBDA043B}"/>
    <cellStyle name="Comma 2 7 4 2 5" xfId="7038" xr:uid="{C4D830A6-8A79-40C0-8B7B-52E69AC1057C}"/>
    <cellStyle name="Comma 2 7 4 2 5 2" xfId="43546" xr:uid="{FB0E2BF4-B44A-4C41-BCC9-B76A8D121FD6}"/>
    <cellStyle name="Comma 2 7 4 2 5 3" xfId="25292" xr:uid="{AB65912E-CA13-4BA2-B039-33DC19C32792}"/>
    <cellStyle name="Comma 2 7 4 2 6" xfId="39896" xr:uid="{661261C3-A298-45BF-A476-E0EA79FE27C8}"/>
    <cellStyle name="Comma 2 7 4 2 7" xfId="21642" xr:uid="{A038D467-F7AB-4754-BA2B-766D07060336}"/>
    <cellStyle name="Comma 2 7 4 3" xfId="2658" xr:uid="{C417FD19-1426-4DBD-8C76-5F8BBC24CBB5}"/>
    <cellStyle name="Comma 2 7 4 3 2" xfId="17258" xr:uid="{F4A8CE3A-538A-4B39-9320-27B394E9E17E}"/>
    <cellStyle name="Comma 2 7 4 3 2 2" xfId="53766" xr:uid="{A2003DE5-9BF7-489E-ABD8-D00D63170CA4}"/>
    <cellStyle name="Comma 2 7 4 3 2 3" xfId="35512" xr:uid="{421C17AB-6C1C-4D1F-8ECE-E9C90082AFD8}"/>
    <cellStyle name="Comma 2 7 4 3 3" xfId="13608" xr:uid="{9999ADB1-8305-449B-91A6-954D7307D1A4}"/>
    <cellStyle name="Comma 2 7 4 3 3 2" xfId="50116" xr:uid="{DC7DA28B-F977-476B-959B-86A56D537CAD}"/>
    <cellStyle name="Comma 2 7 4 3 3 3" xfId="31862" xr:uid="{8DE1E358-40E6-47BB-881F-A7366E4BE162}"/>
    <cellStyle name="Comma 2 7 4 3 4" xfId="9958" xr:uid="{6329D1A7-4E50-4C89-907C-232467E73972}"/>
    <cellStyle name="Comma 2 7 4 3 4 2" xfId="46466" xr:uid="{BEDC483A-69E3-46D4-833D-AD7D17D0F01F}"/>
    <cellStyle name="Comma 2 7 4 3 4 3" xfId="28212" xr:uid="{023B828B-8C1F-44FD-AD9E-A714C14C0E70}"/>
    <cellStyle name="Comma 2 7 4 3 5" xfId="6308" xr:uid="{6940F077-9A25-44A4-950F-303300F6CD8D}"/>
    <cellStyle name="Comma 2 7 4 3 5 2" xfId="42816" xr:uid="{9B66954E-B823-4F00-9C49-9267F6998D35}"/>
    <cellStyle name="Comma 2 7 4 3 5 3" xfId="24562" xr:uid="{6BB62E6E-C119-4159-8F39-88E334E67712}"/>
    <cellStyle name="Comma 2 7 4 3 6" xfId="39166" xr:uid="{791AABD0-2B6C-4FEC-AA70-42F577C80AA9}"/>
    <cellStyle name="Comma 2 7 4 3 7" xfId="20912" xr:uid="{D7C1962C-4FB7-4C8A-85F6-7133F59208C7}"/>
    <cellStyle name="Comma 2 7 4 4" xfId="1928" xr:uid="{E8845228-A3C0-4986-B149-9634D9DBC5EB}"/>
    <cellStyle name="Comma 2 7 4 4 2" xfId="16528" xr:uid="{B4A2681C-06B3-4FA3-AD76-5DA9FDA15542}"/>
    <cellStyle name="Comma 2 7 4 4 2 2" xfId="53036" xr:uid="{A0956B42-D458-4BCF-AB2A-5EAD3E5D6AC6}"/>
    <cellStyle name="Comma 2 7 4 4 2 3" xfId="34782" xr:uid="{9A1FC6A4-B45D-44B3-AC2D-A0DA5CBECEB6}"/>
    <cellStyle name="Comma 2 7 4 4 3" xfId="12878" xr:uid="{40994EE7-84A6-4E3F-9A05-7E403E35AFFF}"/>
    <cellStyle name="Comma 2 7 4 4 3 2" xfId="49386" xr:uid="{847110D1-873D-4812-B062-049C55C0669D}"/>
    <cellStyle name="Comma 2 7 4 4 3 3" xfId="31132" xr:uid="{DB8FFF4F-BAC2-4F1B-89DF-8704BEA73E96}"/>
    <cellStyle name="Comma 2 7 4 4 4" xfId="9228" xr:uid="{6D62EC84-0267-4204-AB8D-6B0E867B98B2}"/>
    <cellStyle name="Comma 2 7 4 4 4 2" xfId="45736" xr:uid="{C29B8EDE-2264-4A56-B52B-066A54738F80}"/>
    <cellStyle name="Comma 2 7 4 4 4 3" xfId="27482" xr:uid="{2CE26C77-A937-43E2-8226-8669BD29B9EB}"/>
    <cellStyle name="Comma 2 7 4 4 5" xfId="5578" xr:uid="{D8E0CD88-4AFC-4642-A7E5-0DB50B1ED84B}"/>
    <cellStyle name="Comma 2 7 4 4 5 2" xfId="42086" xr:uid="{7228F31B-D560-4B34-B521-C74417472AB1}"/>
    <cellStyle name="Comma 2 7 4 4 5 3" xfId="23832" xr:uid="{46F19946-5E16-49C5-99A1-188B523C19C3}"/>
    <cellStyle name="Comma 2 7 4 4 6" xfId="38436" xr:uid="{123A001B-C288-4427-8A21-42AE30B13A8E}"/>
    <cellStyle name="Comma 2 7 4 4 7" xfId="20182" xr:uid="{BDBF966B-3F5C-4B9D-A1DE-A20F26B0AB04}"/>
    <cellStyle name="Comma 2 7 4 5" xfId="1198" xr:uid="{7B4559E0-1088-45DC-857C-64663DDED160}"/>
    <cellStyle name="Comma 2 7 4 5 2" xfId="15798" xr:uid="{B916E60D-D84A-4AD0-B07D-C5E021DEBD0D}"/>
    <cellStyle name="Comma 2 7 4 5 2 2" xfId="52306" xr:uid="{057EF298-CA2C-490C-AE55-C3E14B57B3E0}"/>
    <cellStyle name="Comma 2 7 4 5 2 3" xfId="34052" xr:uid="{60769D48-0DEF-4446-99E2-412FCBB59F56}"/>
    <cellStyle name="Comma 2 7 4 5 3" xfId="12148" xr:uid="{EEF0CF3E-9D2C-4AB7-9A87-B1C0F0CC64F5}"/>
    <cellStyle name="Comma 2 7 4 5 3 2" xfId="48656" xr:uid="{6D70EC5D-73B6-473C-895B-720010587B1B}"/>
    <cellStyle name="Comma 2 7 4 5 3 3" xfId="30402" xr:uid="{926726C9-931F-4B75-A920-9E09A811F4C4}"/>
    <cellStyle name="Comma 2 7 4 5 4" xfId="8498" xr:uid="{8BEF8CDA-BF1C-4A6A-B2E8-8CB14D65882D}"/>
    <cellStyle name="Comma 2 7 4 5 4 2" xfId="45006" xr:uid="{B9CDF295-6346-4372-9921-59EFEE4DD133}"/>
    <cellStyle name="Comma 2 7 4 5 4 3" xfId="26752" xr:uid="{EFFC1584-BDCD-4ACA-B41D-C26E83B8B6C1}"/>
    <cellStyle name="Comma 2 7 4 5 5" xfId="4848" xr:uid="{8C304685-9454-4A13-8813-18FD8B23C308}"/>
    <cellStyle name="Comma 2 7 4 5 5 2" xfId="41356" xr:uid="{E3899D86-F020-44FE-A96D-D34FBAA3F13F}"/>
    <cellStyle name="Comma 2 7 4 5 5 3" xfId="23102" xr:uid="{76F6FDF7-ABD4-471C-A600-1611DD2C06BF}"/>
    <cellStyle name="Comma 2 7 4 5 6" xfId="37706" xr:uid="{E11A1216-F8EF-4DFB-96A6-F62CD2C0C057}"/>
    <cellStyle name="Comma 2 7 4 5 7" xfId="19452" xr:uid="{F2C05193-1A45-43D2-B4A1-937EA5CA4FD4}"/>
    <cellStyle name="Comma 2 7 4 6" xfId="15068" xr:uid="{C454824A-8982-482F-9ED7-79F886C2E2CC}"/>
    <cellStyle name="Comma 2 7 4 6 2" xfId="51576" xr:uid="{52F6525C-4DC1-4852-BC75-7E674851959D}"/>
    <cellStyle name="Comma 2 7 4 6 3" xfId="33322" xr:uid="{6854AA28-F17D-4546-A275-63B12A72BFCF}"/>
    <cellStyle name="Comma 2 7 4 7" xfId="11418" xr:uid="{00FEC64A-3B1F-4036-B3D8-1DD2B5997DA5}"/>
    <cellStyle name="Comma 2 7 4 7 2" xfId="47926" xr:uid="{A60F27FB-E9B5-4151-849D-6C904F26EA04}"/>
    <cellStyle name="Comma 2 7 4 7 3" xfId="29672" xr:uid="{6B586C77-5506-4BF4-B0EC-FEF4019A2D37}"/>
    <cellStyle name="Comma 2 7 4 8" xfId="7768" xr:uid="{F930A7C4-5BFA-4EC7-8B07-3759653DE5E9}"/>
    <cellStyle name="Comma 2 7 4 8 2" xfId="44276" xr:uid="{D5D238B0-E02A-4898-9591-E8F2C8D560AE}"/>
    <cellStyle name="Comma 2 7 4 8 3" xfId="26022" xr:uid="{E267ABD4-F181-415E-B912-3B9007B3E840}"/>
    <cellStyle name="Comma 2 7 4 9" xfId="4118" xr:uid="{49E0789A-4D28-40B8-AF20-65A8D896D006}"/>
    <cellStyle name="Comma 2 7 4 9 2" xfId="40626" xr:uid="{918415D2-6CBD-4CFD-A13A-B32751F85A67}"/>
    <cellStyle name="Comma 2 7 4 9 3" xfId="22372" xr:uid="{AFD74DA6-5969-4700-A828-9CD1E713DC37}"/>
    <cellStyle name="Comma 2 7 5" xfId="364" xr:uid="{91EEE17A-CB46-4AEC-8143-6681352DC58F}"/>
    <cellStyle name="Comma 2 7 5 10" xfId="36872" xr:uid="{DAC72BE4-545C-4CB3-9ACF-AD74A214D2F5}"/>
    <cellStyle name="Comma 2 7 5 11" xfId="18618" xr:uid="{DDD8E8D7-5822-4413-8F2C-E9E1B5054844}"/>
    <cellStyle name="Comma 2 7 5 2" xfId="3284" xr:uid="{B4867865-CE24-4E7E-ABAD-6CB675755758}"/>
    <cellStyle name="Comma 2 7 5 2 2" xfId="17884" xr:uid="{3346D9A9-3C78-4A32-A383-4D0AFE85063F}"/>
    <cellStyle name="Comma 2 7 5 2 2 2" xfId="54392" xr:uid="{08004367-AD0F-4989-8B50-852012C89B72}"/>
    <cellStyle name="Comma 2 7 5 2 2 3" xfId="36138" xr:uid="{F2F0BAD4-6629-45DE-9A45-95A95476CBD1}"/>
    <cellStyle name="Comma 2 7 5 2 3" xfId="14234" xr:uid="{17D45552-E5FC-4BB5-87A3-A45B549A4243}"/>
    <cellStyle name="Comma 2 7 5 2 3 2" xfId="50742" xr:uid="{4D4C144C-B442-4856-9136-5396C4C3FDC3}"/>
    <cellStyle name="Comma 2 7 5 2 3 3" xfId="32488" xr:uid="{A125638A-36EE-46D1-9354-20009715AD1B}"/>
    <cellStyle name="Comma 2 7 5 2 4" xfId="10584" xr:uid="{13E47E62-F639-48C5-9932-D88A724FA53C}"/>
    <cellStyle name="Comma 2 7 5 2 4 2" xfId="47092" xr:uid="{76CDFEF1-B685-4958-A39B-C30477A42A9E}"/>
    <cellStyle name="Comma 2 7 5 2 4 3" xfId="28838" xr:uid="{35999442-5A16-4D05-ADDD-11F4664C3B47}"/>
    <cellStyle name="Comma 2 7 5 2 5" xfId="6934" xr:uid="{056A7161-5CCD-42A5-9C4A-E26A954F583B}"/>
    <cellStyle name="Comma 2 7 5 2 5 2" xfId="43442" xr:uid="{A6F5D229-1CE7-4E27-B4C2-88410CBC6538}"/>
    <cellStyle name="Comma 2 7 5 2 5 3" xfId="25188" xr:uid="{FE907C87-DD9E-4017-8377-D0D28A495540}"/>
    <cellStyle name="Comma 2 7 5 2 6" xfId="39792" xr:uid="{FB0AC3D1-3563-4E93-BA5D-1EF6E15DFB67}"/>
    <cellStyle name="Comma 2 7 5 2 7" xfId="21538" xr:uid="{E91201F3-92FC-489B-8595-FD04341D64CD}"/>
    <cellStyle name="Comma 2 7 5 3" xfId="2554" xr:uid="{EA89235D-BB6F-4D07-99B0-D2B2A24E51DC}"/>
    <cellStyle name="Comma 2 7 5 3 2" xfId="17154" xr:uid="{6548125C-038F-4ADD-A972-AF523315496C}"/>
    <cellStyle name="Comma 2 7 5 3 2 2" xfId="53662" xr:uid="{55A030FA-5180-4A9F-893B-177C51930075}"/>
    <cellStyle name="Comma 2 7 5 3 2 3" xfId="35408" xr:uid="{9EA8ED1E-B4F3-4DD4-9450-0C1A8182ABB9}"/>
    <cellStyle name="Comma 2 7 5 3 3" xfId="13504" xr:uid="{401580B1-C46C-45DF-98F6-D64BBF5BDBE9}"/>
    <cellStyle name="Comma 2 7 5 3 3 2" xfId="50012" xr:uid="{E3B1E718-8455-48C6-A9C8-304016AF23F7}"/>
    <cellStyle name="Comma 2 7 5 3 3 3" xfId="31758" xr:uid="{4FC27BE2-0DE8-4DC7-B96C-AB52F302F661}"/>
    <cellStyle name="Comma 2 7 5 3 4" xfId="9854" xr:uid="{FD5650B6-5ECF-458F-B3A5-D2689B93EE21}"/>
    <cellStyle name="Comma 2 7 5 3 4 2" xfId="46362" xr:uid="{83850022-F42F-427B-ADA1-400C9A2D06C1}"/>
    <cellStyle name="Comma 2 7 5 3 4 3" xfId="28108" xr:uid="{D7913AF3-7FA4-4269-8E2E-4E1A1D8EA3C6}"/>
    <cellStyle name="Comma 2 7 5 3 5" xfId="6204" xr:uid="{8A28FF6F-F6B5-45D2-86C7-5A31E53DC87D}"/>
    <cellStyle name="Comma 2 7 5 3 5 2" xfId="42712" xr:uid="{AF8D526B-E70E-43CE-8062-1B7577EC2C91}"/>
    <cellStyle name="Comma 2 7 5 3 5 3" xfId="24458" xr:uid="{E5F2E77F-E426-4966-86BE-C2EA481A69AB}"/>
    <cellStyle name="Comma 2 7 5 3 6" xfId="39062" xr:uid="{795C47DF-00D9-49F6-A6FE-CD463BB5E4EE}"/>
    <cellStyle name="Comma 2 7 5 3 7" xfId="20808" xr:uid="{5FECDFEF-8065-4675-9BC1-854E57AF0B34}"/>
    <cellStyle name="Comma 2 7 5 4" xfId="1824" xr:uid="{FC79C5E4-9235-45E8-9063-CE5567F2E642}"/>
    <cellStyle name="Comma 2 7 5 4 2" xfId="16424" xr:uid="{550322D5-9199-4537-95CE-B54D6441BA07}"/>
    <cellStyle name="Comma 2 7 5 4 2 2" xfId="52932" xr:uid="{111E5484-E277-46B0-8B3D-C47F976411BF}"/>
    <cellStyle name="Comma 2 7 5 4 2 3" xfId="34678" xr:uid="{62FE1345-D6DA-4453-B1D7-053A7E8F520F}"/>
    <cellStyle name="Comma 2 7 5 4 3" xfId="12774" xr:uid="{572A64EA-12AC-4385-9A9E-FF961BFE5CC2}"/>
    <cellStyle name="Comma 2 7 5 4 3 2" xfId="49282" xr:uid="{53362428-15FF-48A7-AD48-D7D73EDEBFE4}"/>
    <cellStyle name="Comma 2 7 5 4 3 3" xfId="31028" xr:uid="{E6DD3658-CDF0-4CCF-9FD1-08BCC17C7915}"/>
    <cellStyle name="Comma 2 7 5 4 4" xfId="9124" xr:uid="{8362EC6D-11C1-422D-BDAB-35AEF56591BD}"/>
    <cellStyle name="Comma 2 7 5 4 4 2" xfId="45632" xr:uid="{F344B923-090A-4912-BD18-A47F0F9D6D0C}"/>
    <cellStyle name="Comma 2 7 5 4 4 3" xfId="27378" xr:uid="{5AE85D8C-B620-4A91-95DE-ECFC2513923D}"/>
    <cellStyle name="Comma 2 7 5 4 5" xfId="5474" xr:uid="{304E3FDE-D5F2-4F44-BB1E-0726F0AB25DB}"/>
    <cellStyle name="Comma 2 7 5 4 5 2" xfId="41982" xr:uid="{390B35AB-3E21-47E6-9108-779A631250FB}"/>
    <cellStyle name="Comma 2 7 5 4 5 3" xfId="23728" xr:uid="{93289F14-A0ED-4AA6-A9A2-5AE3B180E82B}"/>
    <cellStyle name="Comma 2 7 5 4 6" xfId="38332" xr:uid="{EBE89EA9-9FFC-493F-BBBD-C407D59712FC}"/>
    <cellStyle name="Comma 2 7 5 4 7" xfId="20078" xr:uid="{E2FCF6A9-4FB8-4BEC-AEB6-124D1815D822}"/>
    <cellStyle name="Comma 2 7 5 5" xfId="1094" xr:uid="{7C3C5F58-2ACB-468A-B054-E96398560448}"/>
    <cellStyle name="Comma 2 7 5 5 2" xfId="15694" xr:uid="{CA4E9CF8-93DE-4652-85B8-3C2C88899EA7}"/>
    <cellStyle name="Comma 2 7 5 5 2 2" xfId="52202" xr:uid="{B1E7FB13-C141-46C5-8FD7-E34024133C9A}"/>
    <cellStyle name="Comma 2 7 5 5 2 3" xfId="33948" xr:uid="{59BFF834-5223-4C7A-B017-FB1804BB1399}"/>
    <cellStyle name="Comma 2 7 5 5 3" xfId="12044" xr:uid="{F44FF98C-14FF-4717-AE8A-16F273E7B05C}"/>
    <cellStyle name="Comma 2 7 5 5 3 2" xfId="48552" xr:uid="{E5092A07-0B5F-4C43-B967-88BCC2E2FECB}"/>
    <cellStyle name="Comma 2 7 5 5 3 3" xfId="30298" xr:uid="{7EDA2A31-E9B8-41E3-B486-7D3ECA6151A6}"/>
    <cellStyle name="Comma 2 7 5 5 4" xfId="8394" xr:uid="{0A9820B9-F5D7-4B70-AAA4-1A6355D49309}"/>
    <cellStyle name="Comma 2 7 5 5 4 2" xfId="44902" xr:uid="{98AEBB5C-05D7-4BBD-B185-95E0B18E35AC}"/>
    <cellStyle name="Comma 2 7 5 5 4 3" xfId="26648" xr:uid="{C8ACA4BF-476A-4F8F-A5EE-B79E46157C83}"/>
    <cellStyle name="Comma 2 7 5 5 5" xfId="4744" xr:uid="{9730AE25-9188-42DC-8195-EDB0A9D82551}"/>
    <cellStyle name="Comma 2 7 5 5 5 2" xfId="41252" xr:uid="{6F666315-5922-4E4C-8ECC-A139816EE80B}"/>
    <cellStyle name="Comma 2 7 5 5 5 3" xfId="22998" xr:uid="{57C8CA8F-E729-4A75-A9E6-511C04BF26B8}"/>
    <cellStyle name="Comma 2 7 5 5 6" xfId="37602" xr:uid="{4805CEE8-A90C-41E1-BCF2-A632A7C76F04}"/>
    <cellStyle name="Comma 2 7 5 5 7" xfId="19348" xr:uid="{0C7A1E07-B9B5-4857-A8A6-AEC983D75A67}"/>
    <cellStyle name="Comma 2 7 5 6" xfId="14964" xr:uid="{D21E115D-3ADC-4362-84EF-11198F2D0E0A}"/>
    <cellStyle name="Comma 2 7 5 6 2" xfId="51472" xr:uid="{29282449-862F-4B13-9041-658AC99EFF96}"/>
    <cellStyle name="Comma 2 7 5 6 3" xfId="33218" xr:uid="{AF6FAD3A-E837-49CB-801B-1A9E149CFA78}"/>
    <cellStyle name="Comma 2 7 5 7" xfId="11314" xr:uid="{7727923A-B41E-4325-AB9F-928D407B3E71}"/>
    <cellStyle name="Comma 2 7 5 7 2" xfId="47822" xr:uid="{6B45DD18-AA70-4CED-9B0D-8C9D107F5E3B}"/>
    <cellStyle name="Comma 2 7 5 7 3" xfId="29568" xr:uid="{EC6FDFFF-14DE-454B-9865-015234F86EFA}"/>
    <cellStyle name="Comma 2 7 5 8" xfId="7664" xr:uid="{B332FE5B-5778-4638-94AF-642846DE79E6}"/>
    <cellStyle name="Comma 2 7 5 8 2" xfId="44172" xr:uid="{B4F5C795-D639-4257-9C7E-A5AD90AC36BA}"/>
    <cellStyle name="Comma 2 7 5 8 3" xfId="25918" xr:uid="{819A18D2-A97C-4477-B87D-CFAC6DBBB61A}"/>
    <cellStyle name="Comma 2 7 5 9" xfId="4014" xr:uid="{9401968D-CF11-4818-B018-238D9A582F17}"/>
    <cellStyle name="Comma 2 7 5 9 2" xfId="40522" xr:uid="{3D902F32-091F-4B26-BD0B-1DF02F2F897E}"/>
    <cellStyle name="Comma 2 7 5 9 3" xfId="22268" xr:uid="{F173698A-4E4E-4710-9D2F-567B7E376B4A}"/>
    <cellStyle name="Comma 2 7 6" xfId="260" xr:uid="{FA2B1E0C-D65C-42DA-B906-73580B9B951F}"/>
    <cellStyle name="Comma 2 7 6 10" xfId="36768" xr:uid="{30AA903A-02D2-4E4D-8971-E3E5BFAF120C}"/>
    <cellStyle name="Comma 2 7 6 11" xfId="18514" xr:uid="{ADCA492E-A198-44BE-8A8F-AE9B1FB1D25E}"/>
    <cellStyle name="Comma 2 7 6 2" xfId="3180" xr:uid="{5F7D2247-6DA2-4CBE-B9EA-99A65D5DEBE4}"/>
    <cellStyle name="Comma 2 7 6 2 2" xfId="17780" xr:uid="{8C12F916-36A9-43FD-98AB-6A804D104A84}"/>
    <cellStyle name="Comma 2 7 6 2 2 2" xfId="54288" xr:uid="{3AA7E055-722F-4185-B6FB-20B68C2AD28C}"/>
    <cellStyle name="Comma 2 7 6 2 2 3" xfId="36034" xr:uid="{009A6F5F-0CFB-42B5-85AD-08B58FAC2FEA}"/>
    <cellStyle name="Comma 2 7 6 2 3" xfId="14130" xr:uid="{DCB9A43D-0521-4B4B-A409-87E11D789781}"/>
    <cellStyle name="Comma 2 7 6 2 3 2" xfId="50638" xr:uid="{D25407B2-2D8B-46ED-9EF3-7DBB4FA2F27D}"/>
    <cellStyle name="Comma 2 7 6 2 3 3" xfId="32384" xr:uid="{BB58F563-B9F1-4668-879D-ED763F9410D4}"/>
    <cellStyle name="Comma 2 7 6 2 4" xfId="10480" xr:uid="{75DF19B4-92C8-4B6D-8EA8-DBAC97B1DC39}"/>
    <cellStyle name="Comma 2 7 6 2 4 2" xfId="46988" xr:uid="{EC4C0074-7C32-4138-BD09-DDD15035154B}"/>
    <cellStyle name="Comma 2 7 6 2 4 3" xfId="28734" xr:uid="{9F81D6B1-1F80-4370-8F3B-91DF4FEF25AB}"/>
    <cellStyle name="Comma 2 7 6 2 5" xfId="6830" xr:uid="{731CFA9E-10C8-40E9-A1A4-72975E5CE49A}"/>
    <cellStyle name="Comma 2 7 6 2 5 2" xfId="43338" xr:uid="{A39A6E1B-E35C-4E3E-B9E8-6E9957A6AB41}"/>
    <cellStyle name="Comma 2 7 6 2 5 3" xfId="25084" xr:uid="{2EC7E35C-F3A6-4BF9-96DD-B7452BBE88AA}"/>
    <cellStyle name="Comma 2 7 6 2 6" xfId="39688" xr:uid="{C049DB4E-364E-4AB4-A4EB-1B8143CB36D0}"/>
    <cellStyle name="Comma 2 7 6 2 7" xfId="21434" xr:uid="{1332BAE2-F77E-4E37-A00D-130E59DC69EE}"/>
    <cellStyle name="Comma 2 7 6 3" xfId="2450" xr:uid="{14CFA51E-762F-464A-9461-1F12D936232C}"/>
    <cellStyle name="Comma 2 7 6 3 2" xfId="17050" xr:uid="{4C32D97A-6F3C-4CBE-9E41-88472685D6B8}"/>
    <cellStyle name="Comma 2 7 6 3 2 2" xfId="53558" xr:uid="{5E423C3A-8B8D-44C5-9CF5-D7B6D66AF08B}"/>
    <cellStyle name="Comma 2 7 6 3 2 3" xfId="35304" xr:uid="{610F3263-EDD0-4AE0-8597-24EB31129CD1}"/>
    <cellStyle name="Comma 2 7 6 3 3" xfId="13400" xr:uid="{60946741-4795-4439-82B0-5925618D7CA6}"/>
    <cellStyle name="Comma 2 7 6 3 3 2" xfId="49908" xr:uid="{761F0A5D-CAB8-4C89-9F52-DEBB72F339DE}"/>
    <cellStyle name="Comma 2 7 6 3 3 3" xfId="31654" xr:uid="{B7A14745-3118-4CAC-B59B-10F04B82FEF2}"/>
    <cellStyle name="Comma 2 7 6 3 4" xfId="9750" xr:uid="{E3BEFFBF-ADE8-4837-8CD6-984EEEE7DA5C}"/>
    <cellStyle name="Comma 2 7 6 3 4 2" xfId="46258" xr:uid="{211EE679-AA7C-42CD-AFE5-CF9898DD1F99}"/>
    <cellStyle name="Comma 2 7 6 3 4 3" xfId="28004" xr:uid="{34CB3D10-9EEC-4EBD-86DF-9F5E6FB4B460}"/>
    <cellStyle name="Comma 2 7 6 3 5" xfId="6100" xr:uid="{048F7965-9D12-488C-844D-426AC40FDACC}"/>
    <cellStyle name="Comma 2 7 6 3 5 2" xfId="42608" xr:uid="{EEDC4784-B3DE-479A-8BD6-6746DF1E8F2C}"/>
    <cellStyle name="Comma 2 7 6 3 5 3" xfId="24354" xr:uid="{E7DF6AA1-2BA9-4654-BBB1-B1CFFE12FA01}"/>
    <cellStyle name="Comma 2 7 6 3 6" xfId="38958" xr:uid="{EB735BBC-246A-444F-8A30-14E22FB79043}"/>
    <cellStyle name="Comma 2 7 6 3 7" xfId="20704" xr:uid="{E760E9AF-5339-4DA9-92BB-A1D2C5509584}"/>
    <cellStyle name="Comma 2 7 6 4" xfId="1720" xr:uid="{87FBAD30-9945-4EC4-B274-E76373E63173}"/>
    <cellStyle name="Comma 2 7 6 4 2" xfId="16320" xr:uid="{6C7621E7-3CE4-44FD-A296-4E5BDD676859}"/>
    <cellStyle name="Comma 2 7 6 4 2 2" xfId="52828" xr:uid="{3A8B274F-BD75-4A1E-8E21-2E8207F59E33}"/>
    <cellStyle name="Comma 2 7 6 4 2 3" xfId="34574" xr:uid="{516BFBA7-8324-41DB-BE2A-D6A8D9146F51}"/>
    <cellStyle name="Comma 2 7 6 4 3" xfId="12670" xr:uid="{D768F0EC-0BA3-4BD3-ACBC-799DD513E29E}"/>
    <cellStyle name="Comma 2 7 6 4 3 2" xfId="49178" xr:uid="{E454F187-CD0A-4EEF-8C60-388EDE288571}"/>
    <cellStyle name="Comma 2 7 6 4 3 3" xfId="30924" xr:uid="{5EA0DE16-E5B6-478A-A4F9-55ED5E68118F}"/>
    <cellStyle name="Comma 2 7 6 4 4" xfId="9020" xr:uid="{4C71003C-67E7-4DC5-A5B2-77437F64DB1B}"/>
    <cellStyle name="Comma 2 7 6 4 4 2" xfId="45528" xr:uid="{FFAF57C5-8DD9-42E6-A450-64A0BF47098A}"/>
    <cellStyle name="Comma 2 7 6 4 4 3" xfId="27274" xr:uid="{A75EDCBA-5EF6-4B7E-AAC2-157599B6783B}"/>
    <cellStyle name="Comma 2 7 6 4 5" xfId="5370" xr:uid="{68C48777-B422-402F-907F-ECF591AB7042}"/>
    <cellStyle name="Comma 2 7 6 4 5 2" xfId="41878" xr:uid="{A530B21E-44C8-4E2C-AA37-0FE5CB9F1F82}"/>
    <cellStyle name="Comma 2 7 6 4 5 3" xfId="23624" xr:uid="{09CD6455-8980-4471-BF45-DF67620EA272}"/>
    <cellStyle name="Comma 2 7 6 4 6" xfId="38228" xr:uid="{F82168EE-A48E-430B-84B5-5AD89C4EAD4E}"/>
    <cellStyle name="Comma 2 7 6 4 7" xfId="19974" xr:uid="{63E91C75-E5FC-4361-BFB5-E77FC55EBADB}"/>
    <cellStyle name="Comma 2 7 6 5" xfId="990" xr:uid="{82D465BB-AC7D-4E42-8A6A-1D86990DD95C}"/>
    <cellStyle name="Comma 2 7 6 5 2" xfId="15590" xr:uid="{2A45875F-CAEC-4BB9-99B4-732B6936A203}"/>
    <cellStyle name="Comma 2 7 6 5 2 2" xfId="52098" xr:uid="{1A793C9C-4A93-457E-97F3-414BDF6D7AB9}"/>
    <cellStyle name="Comma 2 7 6 5 2 3" xfId="33844" xr:uid="{A909AE5C-5C52-46DF-A125-6F080908B9D1}"/>
    <cellStyle name="Comma 2 7 6 5 3" xfId="11940" xr:uid="{9414E74C-15D8-4F0D-86B2-A77FC144AEE6}"/>
    <cellStyle name="Comma 2 7 6 5 3 2" xfId="48448" xr:uid="{B4DFD7BB-30DB-4023-BFC6-0FED1589967B}"/>
    <cellStyle name="Comma 2 7 6 5 3 3" xfId="30194" xr:uid="{FB619491-E3B9-42A2-BA8A-E9F9051890DF}"/>
    <cellStyle name="Comma 2 7 6 5 4" xfId="8290" xr:uid="{C6D59C22-F6EC-4C77-814A-648CAA14D4C3}"/>
    <cellStyle name="Comma 2 7 6 5 4 2" xfId="44798" xr:uid="{22FB96A9-9C5C-4C90-94BF-8084659D235B}"/>
    <cellStyle name="Comma 2 7 6 5 4 3" xfId="26544" xr:uid="{65FE00BB-10FC-4465-A367-4A3FB0A73FBF}"/>
    <cellStyle name="Comma 2 7 6 5 5" xfId="4640" xr:uid="{44C04D22-0770-40C3-972F-CF54E60FF71A}"/>
    <cellStyle name="Comma 2 7 6 5 5 2" xfId="41148" xr:uid="{3833A8F5-8A6A-456A-8079-FE71519AE882}"/>
    <cellStyle name="Comma 2 7 6 5 5 3" xfId="22894" xr:uid="{2643A6C1-D132-4C50-96CE-AFFDEEFB6FFD}"/>
    <cellStyle name="Comma 2 7 6 5 6" xfId="37498" xr:uid="{3FABC36D-4713-4B4C-A636-34A3C38022C4}"/>
    <cellStyle name="Comma 2 7 6 5 7" xfId="19244" xr:uid="{A3482366-B022-4BC0-BDA8-7420C97B291E}"/>
    <cellStyle name="Comma 2 7 6 6" xfId="14860" xr:uid="{92E3FCEF-C4DF-436F-BB43-12C75132320F}"/>
    <cellStyle name="Comma 2 7 6 6 2" xfId="51368" xr:uid="{736F4066-9A7F-4871-92E5-7FEC7836BEEF}"/>
    <cellStyle name="Comma 2 7 6 6 3" xfId="33114" xr:uid="{13858D9A-EA7D-40BB-9B53-A4DFF3AC23CB}"/>
    <cellStyle name="Comma 2 7 6 7" xfId="11210" xr:uid="{EF922154-4028-40CD-9B8D-F1EBDF0EF6BF}"/>
    <cellStyle name="Comma 2 7 6 7 2" xfId="47718" xr:uid="{301057C3-E460-47D4-8EB1-21A397A37039}"/>
    <cellStyle name="Comma 2 7 6 7 3" xfId="29464" xr:uid="{2267B406-A9AF-4AEC-B94A-64117B7BA5C4}"/>
    <cellStyle name="Comma 2 7 6 8" xfId="7560" xr:uid="{FF938EB2-58C5-46C7-BB3C-EED098F5ADB7}"/>
    <cellStyle name="Comma 2 7 6 8 2" xfId="44068" xr:uid="{6EA267EE-B3BF-4991-9363-40C46D8E65C8}"/>
    <cellStyle name="Comma 2 7 6 8 3" xfId="25814" xr:uid="{2B746E8C-8723-4EBA-AE5F-95100E174FBF}"/>
    <cellStyle name="Comma 2 7 6 9" xfId="3910" xr:uid="{FF978011-D8F8-4BC8-98B2-E221DF00095D}"/>
    <cellStyle name="Comma 2 7 6 9 2" xfId="40418" xr:uid="{293C6DEC-2A76-48FE-B5F3-D8A577EAE9C0}"/>
    <cellStyle name="Comma 2 7 6 9 3" xfId="22164" xr:uid="{E55714EF-9A22-4E46-86C1-691B67CFEC6D}"/>
    <cellStyle name="Comma 2 7 7" xfId="156" xr:uid="{0C1B9275-B199-40E2-8AFE-6DD4787E75B1}"/>
    <cellStyle name="Comma 2 7 7 10" xfId="36664" xr:uid="{1A01CD26-417A-4591-A848-F4CCC6AABCA2}"/>
    <cellStyle name="Comma 2 7 7 11" xfId="18410" xr:uid="{35A61BAE-C5BD-4FF7-AF18-E2A514B7DC1F}"/>
    <cellStyle name="Comma 2 7 7 2" xfId="3076" xr:uid="{147D0EEC-6B89-4A75-8BCF-5A8AA9380798}"/>
    <cellStyle name="Comma 2 7 7 2 2" xfId="17676" xr:uid="{0A192D47-A27F-4AE4-8B7D-C822B82A6BAB}"/>
    <cellStyle name="Comma 2 7 7 2 2 2" xfId="54184" xr:uid="{FD21E475-0B0F-4EDD-BCA6-58715B40EB6A}"/>
    <cellStyle name="Comma 2 7 7 2 2 3" xfId="35930" xr:uid="{72378880-6E0E-40A7-A732-5192EBA7F28F}"/>
    <cellStyle name="Comma 2 7 7 2 3" xfId="14026" xr:uid="{B93ACF5E-A9EF-4FB8-ABA4-60A268D20578}"/>
    <cellStyle name="Comma 2 7 7 2 3 2" xfId="50534" xr:uid="{432DB506-AC7A-4427-8FD2-93A2A7F7F063}"/>
    <cellStyle name="Comma 2 7 7 2 3 3" xfId="32280" xr:uid="{20C04471-F44B-4841-B127-AB081C945228}"/>
    <cellStyle name="Comma 2 7 7 2 4" xfId="10376" xr:uid="{694B379B-8C7E-47C4-82C1-22EA4A49A754}"/>
    <cellStyle name="Comma 2 7 7 2 4 2" xfId="46884" xr:uid="{B5FA9ACF-A75E-45F8-92AC-F10012141A77}"/>
    <cellStyle name="Comma 2 7 7 2 4 3" xfId="28630" xr:uid="{C9466991-AE14-42CC-B82C-CE8C22B34BAA}"/>
    <cellStyle name="Comma 2 7 7 2 5" xfId="6726" xr:uid="{714108A8-A9B3-499A-968A-FA109E5BCA9E}"/>
    <cellStyle name="Comma 2 7 7 2 5 2" xfId="43234" xr:uid="{721E4E2C-EB4F-4BEC-88BD-317D0339BAA0}"/>
    <cellStyle name="Comma 2 7 7 2 5 3" xfId="24980" xr:uid="{79A44B50-0BE8-4016-AFE8-B6CB69628706}"/>
    <cellStyle name="Comma 2 7 7 2 6" xfId="39584" xr:uid="{04E43C8F-A7E1-413E-9A8F-CF4AE63A3FB4}"/>
    <cellStyle name="Comma 2 7 7 2 7" xfId="21330" xr:uid="{C5FF5BF9-3B5C-4379-8E49-20E9EB7CF51A}"/>
    <cellStyle name="Comma 2 7 7 3" xfId="2346" xr:uid="{556B735E-F281-44C5-A679-5900710B67A9}"/>
    <cellStyle name="Comma 2 7 7 3 2" xfId="16946" xr:uid="{08DC781A-4AF7-43A0-AA27-9A3B87A126EA}"/>
    <cellStyle name="Comma 2 7 7 3 2 2" xfId="53454" xr:uid="{BF399F26-907E-4162-9F35-4C7ABF30B591}"/>
    <cellStyle name="Comma 2 7 7 3 2 3" xfId="35200" xr:uid="{CBA94832-7EA2-4A4B-90EB-3C0CE64398CD}"/>
    <cellStyle name="Comma 2 7 7 3 3" xfId="13296" xr:uid="{8A92BAA5-2C32-46B3-8F2F-2D5A263CACBB}"/>
    <cellStyle name="Comma 2 7 7 3 3 2" xfId="49804" xr:uid="{9AA711E5-0FDB-49EC-A055-092B18F86425}"/>
    <cellStyle name="Comma 2 7 7 3 3 3" xfId="31550" xr:uid="{75598E16-BF73-46DA-A232-3A4BCEC4E37F}"/>
    <cellStyle name="Comma 2 7 7 3 4" xfId="9646" xr:uid="{5DF9D3FD-17A8-4149-A83B-E3A35486CB1D}"/>
    <cellStyle name="Comma 2 7 7 3 4 2" xfId="46154" xr:uid="{42B2F47A-9665-4793-A53D-42F55793F150}"/>
    <cellStyle name="Comma 2 7 7 3 4 3" xfId="27900" xr:uid="{D5DAA1F8-218A-42C9-9959-EE27B814C588}"/>
    <cellStyle name="Comma 2 7 7 3 5" xfId="5996" xr:uid="{1EB7DC95-343E-42BE-8F3B-7BACD1B84D64}"/>
    <cellStyle name="Comma 2 7 7 3 5 2" xfId="42504" xr:uid="{252AA08C-5E6C-452A-96B5-686C33E03F9B}"/>
    <cellStyle name="Comma 2 7 7 3 5 3" xfId="24250" xr:uid="{F737488E-3339-4221-8C11-577CB1C236F3}"/>
    <cellStyle name="Comma 2 7 7 3 6" xfId="38854" xr:uid="{42263C5E-E458-4234-921D-B722586B844C}"/>
    <cellStyle name="Comma 2 7 7 3 7" xfId="20600" xr:uid="{EE3103E6-0B73-46C0-A947-D8F1618C5705}"/>
    <cellStyle name="Comma 2 7 7 4" xfId="1616" xr:uid="{2582A749-CE62-41F7-B22C-028C3FA32F16}"/>
    <cellStyle name="Comma 2 7 7 4 2" xfId="16216" xr:uid="{768E2540-575B-4596-88AB-E0ACF912C68B}"/>
    <cellStyle name="Comma 2 7 7 4 2 2" xfId="52724" xr:uid="{C10ABE5F-6247-4055-AD80-A32DEDF8D02C}"/>
    <cellStyle name="Comma 2 7 7 4 2 3" xfId="34470" xr:uid="{B2FCA794-9D11-4A2C-8F24-DB941D908592}"/>
    <cellStyle name="Comma 2 7 7 4 3" xfId="12566" xr:uid="{DADAE322-B34A-42BD-B9BE-B994159BE9B7}"/>
    <cellStyle name="Comma 2 7 7 4 3 2" xfId="49074" xr:uid="{E09D5D7E-A828-467D-BEC5-5EA6D3170BD4}"/>
    <cellStyle name="Comma 2 7 7 4 3 3" xfId="30820" xr:uid="{EFAB8881-5233-447E-BE83-8435BE0F4E7C}"/>
    <cellStyle name="Comma 2 7 7 4 4" xfId="8916" xr:uid="{BD2630BB-4C5B-4214-90A5-E4BAB6E81EE9}"/>
    <cellStyle name="Comma 2 7 7 4 4 2" xfId="45424" xr:uid="{26F1AABE-69E3-47F8-A187-88AF11F0953B}"/>
    <cellStyle name="Comma 2 7 7 4 4 3" xfId="27170" xr:uid="{8B9C6E9D-3822-4314-88AC-678119F20155}"/>
    <cellStyle name="Comma 2 7 7 4 5" xfId="5266" xr:uid="{F0C4C80A-AC26-46D3-BEF4-65D0F2FFBCCE}"/>
    <cellStyle name="Comma 2 7 7 4 5 2" xfId="41774" xr:uid="{93184C70-B7B4-4221-9ADB-30DA4899C26F}"/>
    <cellStyle name="Comma 2 7 7 4 5 3" xfId="23520" xr:uid="{798F950D-152D-4422-B557-D1518E9D8634}"/>
    <cellStyle name="Comma 2 7 7 4 6" xfId="38124" xr:uid="{339B0819-A4E5-48A4-A6A2-07419F046860}"/>
    <cellStyle name="Comma 2 7 7 4 7" xfId="19870" xr:uid="{C82E67AD-B2AD-4BC2-86F2-02CECEF7CFC0}"/>
    <cellStyle name="Comma 2 7 7 5" xfId="886" xr:uid="{2F916E02-5245-4A6A-AC72-B75BDAE66270}"/>
    <cellStyle name="Comma 2 7 7 5 2" xfId="15486" xr:uid="{822C230F-401F-4EAD-8722-205877E05A95}"/>
    <cellStyle name="Comma 2 7 7 5 2 2" xfId="51994" xr:uid="{4C3EBB22-E73C-490F-8CE7-93FB26222797}"/>
    <cellStyle name="Comma 2 7 7 5 2 3" xfId="33740" xr:uid="{1DD2B5EC-7D6B-4E11-AAF0-5B5F803AD69C}"/>
    <cellStyle name="Comma 2 7 7 5 3" xfId="11836" xr:uid="{E9BCB1BE-BF51-4B0B-AA13-1C014B34B2D1}"/>
    <cellStyle name="Comma 2 7 7 5 3 2" xfId="48344" xr:uid="{E27C638D-22A5-46F1-867D-6656E6C3E4CD}"/>
    <cellStyle name="Comma 2 7 7 5 3 3" xfId="30090" xr:uid="{AF903D29-5C3D-4563-B4E5-E94CBD377A00}"/>
    <cellStyle name="Comma 2 7 7 5 4" xfId="8186" xr:uid="{86E68BBB-D44D-4BD9-8408-732580B283F1}"/>
    <cellStyle name="Comma 2 7 7 5 4 2" xfId="44694" xr:uid="{911D950A-461C-4426-8E80-FAA798510E90}"/>
    <cellStyle name="Comma 2 7 7 5 4 3" xfId="26440" xr:uid="{2C4B7F3D-A1B6-4624-B610-8EBA5386C240}"/>
    <cellStyle name="Comma 2 7 7 5 5" xfId="4536" xr:uid="{F1B11D70-5E6A-4DFD-BBF6-1E350AC21C09}"/>
    <cellStyle name="Comma 2 7 7 5 5 2" xfId="41044" xr:uid="{D981DC37-5D74-4001-A304-9D8CDC28468F}"/>
    <cellStyle name="Comma 2 7 7 5 5 3" xfId="22790" xr:uid="{682BBCE2-759A-4624-9A99-F9FA36D1B47C}"/>
    <cellStyle name="Comma 2 7 7 5 6" xfId="37394" xr:uid="{34CA6C40-C2AC-4C6A-A7A8-468418D18BD1}"/>
    <cellStyle name="Comma 2 7 7 5 7" xfId="19140" xr:uid="{4A0EA752-3FA1-4577-8D25-EFC97130ED3C}"/>
    <cellStyle name="Comma 2 7 7 6" xfId="14756" xr:uid="{66A5B090-98A7-4F4B-80A5-985954E8E82F}"/>
    <cellStyle name="Comma 2 7 7 6 2" xfId="51264" xr:uid="{1A3639E1-AA9A-49AB-8C53-6B3A200D89B6}"/>
    <cellStyle name="Comma 2 7 7 6 3" xfId="33010" xr:uid="{D852085B-3B4E-47C7-8851-89A7E2D2B886}"/>
    <cellStyle name="Comma 2 7 7 7" xfId="11106" xr:uid="{BEB89634-431C-4BCD-B5D4-BC437580209A}"/>
    <cellStyle name="Comma 2 7 7 7 2" xfId="47614" xr:uid="{7BEECAC8-64A4-4951-82A5-5749AAFF3986}"/>
    <cellStyle name="Comma 2 7 7 7 3" xfId="29360" xr:uid="{7F74DC06-BB1E-4784-B151-5A1CB733B080}"/>
    <cellStyle name="Comma 2 7 7 8" xfId="7456" xr:uid="{29AAFD88-1315-4C21-BB22-168B02EB78B7}"/>
    <cellStyle name="Comma 2 7 7 8 2" xfId="43964" xr:uid="{290565B5-24FE-43FD-AF8A-28226C12E32F}"/>
    <cellStyle name="Comma 2 7 7 8 3" xfId="25710" xr:uid="{7AA5188E-D9C7-41F7-88DB-5D6CCE92D44B}"/>
    <cellStyle name="Comma 2 7 7 9" xfId="3806" xr:uid="{2ADB5AA2-85F3-469F-A25B-24571232D04C}"/>
    <cellStyle name="Comma 2 7 7 9 2" xfId="40314" xr:uid="{1C91BD2E-8A5F-4225-8C6A-1E81A8444E8A}"/>
    <cellStyle name="Comma 2 7 7 9 3" xfId="22060" xr:uid="{22A20B06-613C-486A-82C2-CBB86F4232A2}"/>
    <cellStyle name="Comma 2 7 8" xfId="2972" xr:uid="{CE1D7419-CD9C-48ED-9D3A-6BB9D6310AED}"/>
    <cellStyle name="Comma 2 7 8 2" xfId="17572" xr:uid="{FB36AD83-9B9A-4AFF-8836-7568836C09C6}"/>
    <cellStyle name="Comma 2 7 8 2 2" xfId="54080" xr:uid="{F67C949B-9D0C-4D3F-8457-4DA77AC056E8}"/>
    <cellStyle name="Comma 2 7 8 2 3" xfId="35826" xr:uid="{DD2481C2-D4FA-4734-A1D1-251872D5CF29}"/>
    <cellStyle name="Comma 2 7 8 3" xfId="13922" xr:uid="{374E68B3-7B32-4F9A-8135-1F14E4F3E1BE}"/>
    <cellStyle name="Comma 2 7 8 3 2" xfId="50430" xr:uid="{F46FDF13-874B-4D7D-943E-AB890131BCB6}"/>
    <cellStyle name="Comma 2 7 8 3 3" xfId="32176" xr:uid="{B1E0F23F-2DDF-4FBA-9820-DA3E7E24ADFB}"/>
    <cellStyle name="Comma 2 7 8 4" xfId="10272" xr:uid="{C04A8963-24F6-49AF-92BB-CA84E4119E93}"/>
    <cellStyle name="Comma 2 7 8 4 2" xfId="46780" xr:uid="{A41F4FD3-0791-4E64-AB31-BB031137DB11}"/>
    <cellStyle name="Comma 2 7 8 4 3" xfId="28526" xr:uid="{496C0370-AAB1-4899-86B0-B4F6A6C5CC2A}"/>
    <cellStyle name="Comma 2 7 8 5" xfId="6622" xr:uid="{6899B176-7F2E-48A4-B66B-4646E933D0DD}"/>
    <cellStyle name="Comma 2 7 8 5 2" xfId="43130" xr:uid="{66B954B9-2406-4BFB-AD0E-C6954208472D}"/>
    <cellStyle name="Comma 2 7 8 5 3" xfId="24876" xr:uid="{B754FB39-70EB-474D-87C5-F1FF23DDF5DE}"/>
    <cellStyle name="Comma 2 7 8 6" xfId="39480" xr:uid="{06E0F042-9350-4227-8592-85F12BA0037B}"/>
    <cellStyle name="Comma 2 7 8 7" xfId="21226" xr:uid="{0A6FCECF-021D-4600-9AE1-88FF486803C7}"/>
    <cellStyle name="Comma 2 7 9" xfId="2242" xr:uid="{1009249E-A09D-45A3-AD7E-F75C952F91B1}"/>
    <cellStyle name="Comma 2 7 9 2" xfId="16842" xr:uid="{27455724-4CC0-4226-9F06-842CBB96E452}"/>
    <cellStyle name="Comma 2 7 9 2 2" xfId="53350" xr:uid="{B9E0C745-537F-4026-84CE-AD2D46034388}"/>
    <cellStyle name="Comma 2 7 9 2 3" xfId="35096" xr:uid="{23C8E45A-0C61-4240-BD2E-6C53424F5C4A}"/>
    <cellStyle name="Comma 2 7 9 3" xfId="13192" xr:uid="{28C71FD7-E7E0-4561-ADA1-C61F33E72DBE}"/>
    <cellStyle name="Comma 2 7 9 3 2" xfId="49700" xr:uid="{301CB684-59F5-4B27-BFE7-B847051BEF9D}"/>
    <cellStyle name="Comma 2 7 9 3 3" xfId="31446" xr:uid="{467DE31F-3F58-4C7C-81C7-B2F4C3D8C589}"/>
    <cellStyle name="Comma 2 7 9 4" xfId="9542" xr:uid="{2C3F48BA-E7A6-4EE2-A62C-1400BBCC408F}"/>
    <cellStyle name="Comma 2 7 9 4 2" xfId="46050" xr:uid="{B84B2756-B635-4920-902B-E5E4A149DD5C}"/>
    <cellStyle name="Comma 2 7 9 4 3" xfId="27796" xr:uid="{7B3EECAC-2CC6-4E55-9589-39F29FC1B1CF}"/>
    <cellStyle name="Comma 2 7 9 5" xfId="5892" xr:uid="{CF44A09E-774E-48E2-B7F1-ACDA4B152D26}"/>
    <cellStyle name="Comma 2 7 9 5 2" xfId="42400" xr:uid="{ACC64935-05D1-43A2-BCFD-CF89134E1B71}"/>
    <cellStyle name="Comma 2 7 9 5 3" xfId="24146" xr:uid="{C2AB8078-6B34-481E-978E-CD7B2C311CB5}"/>
    <cellStyle name="Comma 2 7 9 6" xfId="38750" xr:uid="{22A6CC7A-2F8B-484F-99F6-BEB0DBC1FA1E}"/>
    <cellStyle name="Comma 2 7 9 7" xfId="20496" xr:uid="{8FFF2D83-3765-49C5-B297-9ABFD9F4D9E4}"/>
    <cellStyle name="Comma 2 8" xfId="644" xr:uid="{8E5DF8F8-2AFF-448B-841E-724D7A68A5F8}"/>
    <cellStyle name="Comma 2 8 10" xfId="37152" xr:uid="{C87EAD48-F910-46DD-8392-FCFA7F2EB646}"/>
    <cellStyle name="Comma 2 8 11" xfId="18898" xr:uid="{FF38997B-902D-407F-B24B-A631EB24D196}"/>
    <cellStyle name="Comma 2 8 2" xfId="3564" xr:uid="{39DF8405-0227-4517-A035-E6BD75226EF1}"/>
    <cellStyle name="Comma 2 8 2 2" xfId="18164" xr:uid="{741A43C9-7F4B-475F-B92D-2074C4A4C286}"/>
    <cellStyle name="Comma 2 8 2 2 2" xfId="54672" xr:uid="{1756FDC3-1C2A-464E-A2E7-2F7FE11D527B}"/>
    <cellStyle name="Comma 2 8 2 2 3" xfId="36418" xr:uid="{8FAB891A-9B90-4D9B-A4B3-E75A0E87C752}"/>
    <cellStyle name="Comma 2 8 2 3" xfId="14514" xr:uid="{EC78C6DA-DCBA-4A11-9D7C-8CBA8A407283}"/>
    <cellStyle name="Comma 2 8 2 3 2" xfId="51022" xr:uid="{93DFF51E-C1F2-4840-AAAB-91B18A3236E6}"/>
    <cellStyle name="Comma 2 8 2 3 3" xfId="32768" xr:uid="{1D0CF894-0881-4980-9F63-509F17B47A86}"/>
    <cellStyle name="Comma 2 8 2 4" xfId="10864" xr:uid="{35857ADF-3402-439C-9FB6-3781C3808AB6}"/>
    <cellStyle name="Comma 2 8 2 4 2" xfId="47372" xr:uid="{0BA19EC4-8C8D-4F57-BBC7-A0A49EC0E0F8}"/>
    <cellStyle name="Comma 2 8 2 4 3" xfId="29118" xr:uid="{77D3B88C-62AF-42F3-AC86-411E4C943BB0}"/>
    <cellStyle name="Comma 2 8 2 5" xfId="7214" xr:uid="{F4A646DE-426D-4A9B-8C80-C5E082272FBE}"/>
    <cellStyle name="Comma 2 8 2 5 2" xfId="43722" xr:uid="{488C9A86-43BF-43A7-A377-0A42F302E0A0}"/>
    <cellStyle name="Comma 2 8 2 5 3" xfId="25468" xr:uid="{71A1B0EB-3127-4BE6-9D7B-A40855824B94}"/>
    <cellStyle name="Comma 2 8 2 6" xfId="40072" xr:uid="{A443B8C5-0026-47A6-840B-C49DE2C242E7}"/>
    <cellStyle name="Comma 2 8 2 7" xfId="21818" xr:uid="{310DE555-7788-4EAB-8FCE-107E1A80D67F}"/>
    <cellStyle name="Comma 2 8 3" xfId="2834" xr:uid="{1796DC10-8A99-4F61-9EB0-7B984F3C6902}"/>
    <cellStyle name="Comma 2 8 3 2" xfId="17434" xr:uid="{3FE67DC6-D5DF-4749-AC8E-DA00AB19F1E7}"/>
    <cellStyle name="Comma 2 8 3 2 2" xfId="53942" xr:uid="{001D8444-F1D1-47C8-B925-21AAA42DFBD4}"/>
    <cellStyle name="Comma 2 8 3 2 3" xfId="35688" xr:uid="{408674FF-FCB1-47C8-8DBE-DDDF19E6862F}"/>
    <cellStyle name="Comma 2 8 3 3" xfId="13784" xr:uid="{CF01F537-7EA5-4D08-82EE-0705DAA5998F}"/>
    <cellStyle name="Comma 2 8 3 3 2" xfId="50292" xr:uid="{E06251FE-F9A5-44DA-8839-082D808380B2}"/>
    <cellStyle name="Comma 2 8 3 3 3" xfId="32038" xr:uid="{4EDD4C0E-E4C0-4598-A983-6A5D7BA0B9AC}"/>
    <cellStyle name="Comma 2 8 3 4" xfId="10134" xr:uid="{928268C9-2180-4639-90A3-F2DFB1763C43}"/>
    <cellStyle name="Comma 2 8 3 4 2" xfId="46642" xr:uid="{BD5F138A-7EDC-4B05-BEF9-8C855C30601D}"/>
    <cellStyle name="Comma 2 8 3 4 3" xfId="28388" xr:uid="{0FCFDDD8-5964-4411-8234-86D00EA777AA}"/>
    <cellStyle name="Comma 2 8 3 5" xfId="6484" xr:uid="{0276D5E1-ABA5-4A7C-AD48-399761BBE44E}"/>
    <cellStyle name="Comma 2 8 3 5 2" xfId="42992" xr:uid="{B8F53A95-97C2-4FEE-A5DF-CBB08AA5D4A2}"/>
    <cellStyle name="Comma 2 8 3 5 3" xfId="24738" xr:uid="{310F5CA1-B3E6-4454-9422-98FA6A972607}"/>
    <cellStyle name="Comma 2 8 3 6" xfId="39342" xr:uid="{D36323AA-40D0-41F1-A8AF-F28C00A57B5C}"/>
    <cellStyle name="Comma 2 8 3 7" xfId="21088" xr:uid="{DD3BDF5D-F06B-458B-ACD3-CCDD9FDC0018}"/>
    <cellStyle name="Comma 2 8 4" xfId="2104" xr:uid="{1A11BA5E-735B-4788-83FE-2BDA79120B86}"/>
    <cellStyle name="Comma 2 8 4 2" xfId="16704" xr:uid="{44149C57-3517-42AF-8195-40AD45B04453}"/>
    <cellStyle name="Comma 2 8 4 2 2" xfId="53212" xr:uid="{ADFB4DBC-0299-4F4F-BB14-39E9D415E7BB}"/>
    <cellStyle name="Comma 2 8 4 2 3" xfId="34958" xr:uid="{39E40F34-9D5B-49C5-BAE3-6FD114D03A23}"/>
    <cellStyle name="Comma 2 8 4 3" xfId="13054" xr:uid="{A4BADA3C-E823-44A1-A63A-38BDD8BD55BD}"/>
    <cellStyle name="Comma 2 8 4 3 2" xfId="49562" xr:uid="{03A4A896-C6D4-47AF-9BE4-96922050CD35}"/>
    <cellStyle name="Comma 2 8 4 3 3" xfId="31308" xr:uid="{431E51E4-49A3-4E3C-AC74-57FF8C489A82}"/>
    <cellStyle name="Comma 2 8 4 4" xfId="9404" xr:uid="{D8289190-49DE-47BF-A331-DDBF94826844}"/>
    <cellStyle name="Comma 2 8 4 4 2" xfId="45912" xr:uid="{7D97535C-5284-474B-BD23-F2345D67FDC8}"/>
    <cellStyle name="Comma 2 8 4 4 3" xfId="27658" xr:uid="{B0A08C3A-475B-4ABB-BA25-51B6D14AED8A}"/>
    <cellStyle name="Comma 2 8 4 5" xfId="5754" xr:uid="{DFAA2CEA-2B61-4F94-A783-ACE3350A6F6E}"/>
    <cellStyle name="Comma 2 8 4 5 2" xfId="42262" xr:uid="{25DE389A-36D1-4861-975F-AE44DA9BEC09}"/>
    <cellStyle name="Comma 2 8 4 5 3" xfId="24008" xr:uid="{2F73C28A-C07D-4711-ADA1-38008C2FFF5D}"/>
    <cellStyle name="Comma 2 8 4 6" xfId="38612" xr:uid="{52AA3EC6-0DA9-4005-AB2C-140CC03F6D1F}"/>
    <cellStyle name="Comma 2 8 4 7" xfId="20358" xr:uid="{70EFC68A-ABC7-4D5C-A4FE-AB62AAEAA960}"/>
    <cellStyle name="Comma 2 8 5" xfId="1374" xr:uid="{E27295CD-C8CD-4064-9B93-01432BCB1F37}"/>
    <cellStyle name="Comma 2 8 5 2" xfId="15974" xr:uid="{F4220515-0CA4-40CC-BEDB-99C854DCE26B}"/>
    <cellStyle name="Comma 2 8 5 2 2" xfId="52482" xr:uid="{7F4C6AD2-B139-45B9-AF12-562D0D9FCC40}"/>
    <cellStyle name="Comma 2 8 5 2 3" xfId="34228" xr:uid="{C2B6ABFA-E1FB-4396-AA9D-C89881B5B7FA}"/>
    <cellStyle name="Comma 2 8 5 3" xfId="12324" xr:uid="{682EF115-1178-47A5-B0AE-2CE6C4D36B8E}"/>
    <cellStyle name="Comma 2 8 5 3 2" xfId="48832" xr:uid="{BD64F6FD-64D7-46D2-9FF8-B7BAC81E46AF}"/>
    <cellStyle name="Comma 2 8 5 3 3" xfId="30578" xr:uid="{9F8B641C-D9FE-4712-A7FB-C20CAA3D25E7}"/>
    <cellStyle name="Comma 2 8 5 4" xfId="8674" xr:uid="{96EF4E51-50D1-44B2-8088-2C4F5836C193}"/>
    <cellStyle name="Comma 2 8 5 4 2" xfId="45182" xr:uid="{DEAAFEC7-5D3E-4E80-B00D-8870B46757E2}"/>
    <cellStyle name="Comma 2 8 5 4 3" xfId="26928" xr:uid="{79B84E8C-91FA-434A-8D1D-FD812140DBF3}"/>
    <cellStyle name="Comma 2 8 5 5" xfId="5024" xr:uid="{32649F86-29ED-4B18-92B1-67B98AF05B7E}"/>
    <cellStyle name="Comma 2 8 5 5 2" xfId="41532" xr:uid="{87F4908B-3879-453C-9DE7-8FEEB80BFFE6}"/>
    <cellStyle name="Comma 2 8 5 5 3" xfId="23278" xr:uid="{224ED106-AFD9-4617-8C74-AFFC76CE4DC9}"/>
    <cellStyle name="Comma 2 8 5 6" xfId="37882" xr:uid="{4A4F104B-F5D8-4BA0-8DB5-0879C0824B2B}"/>
    <cellStyle name="Comma 2 8 5 7" xfId="19628" xr:uid="{95C512DD-AFF5-463E-B5AA-B60EAD196ADF}"/>
    <cellStyle name="Comma 2 8 6" xfId="15244" xr:uid="{4913A446-3CFE-4F2C-9220-C6BC94C1928C}"/>
    <cellStyle name="Comma 2 8 6 2" xfId="51752" xr:uid="{0C923DFC-7515-4229-8028-F6EAB809EF35}"/>
    <cellStyle name="Comma 2 8 6 3" xfId="33498" xr:uid="{CAD12F1C-4712-4035-9EB6-41A7312146C0}"/>
    <cellStyle name="Comma 2 8 7" xfId="11594" xr:uid="{D170B263-4493-4338-9B7C-E85D791BA52E}"/>
    <cellStyle name="Comma 2 8 7 2" xfId="48102" xr:uid="{D5D56F77-C07C-4EB8-82C4-07F0EC85516E}"/>
    <cellStyle name="Comma 2 8 7 3" xfId="29848" xr:uid="{31501979-657C-4B6E-A47E-044DA88ACD6F}"/>
    <cellStyle name="Comma 2 8 8" xfId="7944" xr:uid="{C065B1C8-4EB4-443E-9433-69BF1911A2DB}"/>
    <cellStyle name="Comma 2 8 8 2" xfId="44452" xr:uid="{9656EDBF-4935-40E3-91D0-B8B95C9B1816}"/>
    <cellStyle name="Comma 2 8 8 3" xfId="26198" xr:uid="{A99A61F8-6A68-4C76-B86F-23B3D19ABF9A}"/>
    <cellStyle name="Comma 2 8 9" xfId="4294" xr:uid="{4252A752-51B4-43BD-AEEF-DB4962EC2B61}"/>
    <cellStyle name="Comma 2 8 9 2" xfId="40802" xr:uid="{D89DDCDF-7319-4349-8657-CF28E255A441}"/>
    <cellStyle name="Comma 2 8 9 3" xfId="22548" xr:uid="{C243B205-BD09-4ADC-A697-59597DE643A6}"/>
    <cellStyle name="Comma 2 9" xfId="540" xr:uid="{FB5AC461-B799-46E1-9512-19444470A2E5}"/>
    <cellStyle name="Comma 2 9 10" xfId="37048" xr:uid="{6C8C1565-5EFF-4C97-ADAA-88660DCD8EBF}"/>
    <cellStyle name="Comma 2 9 11" xfId="18794" xr:uid="{FE13A456-F77E-459D-A2D1-F09744556BEF}"/>
    <cellStyle name="Comma 2 9 2" xfId="3460" xr:uid="{37650060-D0E8-4B85-8CE3-65907BE7B415}"/>
    <cellStyle name="Comma 2 9 2 2" xfId="18060" xr:uid="{560F6EDC-C161-4D8A-AD3F-5406174D8FE5}"/>
    <cellStyle name="Comma 2 9 2 2 2" xfId="54568" xr:uid="{897997F0-DCB9-41F4-A925-7D64A7BE7F77}"/>
    <cellStyle name="Comma 2 9 2 2 3" xfId="36314" xr:uid="{802FCFDA-557C-4277-B23B-7E3EA1FEBA8A}"/>
    <cellStyle name="Comma 2 9 2 3" xfId="14410" xr:uid="{8CE5F4D7-6A76-4B62-99F3-C40DDF1F621A}"/>
    <cellStyle name="Comma 2 9 2 3 2" xfId="50918" xr:uid="{22D6A22B-D423-4D3C-8EBD-19B280F84270}"/>
    <cellStyle name="Comma 2 9 2 3 3" xfId="32664" xr:uid="{1BF65CA4-A163-45F6-A635-CCF7E04196C4}"/>
    <cellStyle name="Comma 2 9 2 4" xfId="10760" xr:uid="{EB0240E1-0CAC-443E-B419-4D40F144F207}"/>
    <cellStyle name="Comma 2 9 2 4 2" xfId="47268" xr:uid="{6EA9DFB2-69D7-407F-8045-5441EB6622DD}"/>
    <cellStyle name="Comma 2 9 2 4 3" xfId="29014" xr:uid="{1B35DB8F-304B-4F2E-AFCA-5A1BB9CCC5E8}"/>
    <cellStyle name="Comma 2 9 2 5" xfId="7110" xr:uid="{BE50F829-FD1F-47FE-AAD9-83882215B424}"/>
    <cellStyle name="Comma 2 9 2 5 2" xfId="43618" xr:uid="{D2E83379-3A51-4C28-BA6D-9532FB163783}"/>
    <cellStyle name="Comma 2 9 2 5 3" xfId="25364" xr:uid="{4C52C498-BC28-4936-B919-51E48F86BAF4}"/>
    <cellStyle name="Comma 2 9 2 6" xfId="39968" xr:uid="{4E30C8F7-A844-43EA-8CAD-C95F0E381E29}"/>
    <cellStyle name="Comma 2 9 2 7" xfId="21714" xr:uid="{196C1F70-7BF0-4496-A560-5FF16FFC6032}"/>
    <cellStyle name="Comma 2 9 3" xfId="2730" xr:uid="{2517F25E-142E-402C-ABA8-ECA79563AC93}"/>
    <cellStyle name="Comma 2 9 3 2" xfId="17330" xr:uid="{1A3ECA21-C691-47DD-ADBA-464D9B987FDE}"/>
    <cellStyle name="Comma 2 9 3 2 2" xfId="53838" xr:uid="{ECE8BE64-EEC2-406E-8CAA-C38FC4EF309B}"/>
    <cellStyle name="Comma 2 9 3 2 3" xfId="35584" xr:uid="{D59E3007-DA73-49B9-BB9D-3C2BFB308024}"/>
    <cellStyle name="Comma 2 9 3 3" xfId="13680" xr:uid="{E6B3CF18-9258-4F21-A196-D093D562F3B4}"/>
    <cellStyle name="Comma 2 9 3 3 2" xfId="50188" xr:uid="{32E0010F-E286-4672-89BA-10973F0C50FE}"/>
    <cellStyle name="Comma 2 9 3 3 3" xfId="31934" xr:uid="{878CBBBA-8CA3-400F-AC2A-133138964798}"/>
    <cellStyle name="Comma 2 9 3 4" xfId="10030" xr:uid="{D89939E0-08BE-4830-9900-F4C524E03192}"/>
    <cellStyle name="Comma 2 9 3 4 2" xfId="46538" xr:uid="{73750E6F-62F6-4414-AA56-82F1DE0F8983}"/>
    <cellStyle name="Comma 2 9 3 4 3" xfId="28284" xr:uid="{E162351C-1215-4060-8134-10F41C45626B}"/>
    <cellStyle name="Comma 2 9 3 5" xfId="6380" xr:uid="{95A396C0-9431-419F-A459-AA323CFBCF1D}"/>
    <cellStyle name="Comma 2 9 3 5 2" xfId="42888" xr:uid="{4D734FC4-6E28-4559-B1A4-37E87880B4D1}"/>
    <cellStyle name="Comma 2 9 3 5 3" xfId="24634" xr:uid="{3F608561-2507-407E-B6F7-7DF006D648DB}"/>
    <cellStyle name="Comma 2 9 3 6" xfId="39238" xr:uid="{DF492D43-EA9B-4A78-AA80-191F9DCC1FFD}"/>
    <cellStyle name="Comma 2 9 3 7" xfId="20984" xr:uid="{7024E51E-BFD1-4EAA-B72D-2FBE43DE917B}"/>
    <cellStyle name="Comma 2 9 4" xfId="2000" xr:uid="{FB2603BA-536B-459F-A14E-9DA9198F188C}"/>
    <cellStyle name="Comma 2 9 4 2" xfId="16600" xr:uid="{C9AA6E85-7349-4FD1-A346-FFB4484B3408}"/>
    <cellStyle name="Comma 2 9 4 2 2" xfId="53108" xr:uid="{AB71BB18-ED72-4CE1-8C2C-2B8BF7865B20}"/>
    <cellStyle name="Comma 2 9 4 2 3" xfId="34854" xr:uid="{46D90844-78DA-4AC0-802D-FCAA6ED53478}"/>
    <cellStyle name="Comma 2 9 4 3" xfId="12950" xr:uid="{3EA46470-C78C-416E-8C30-D9AB6A81CC0E}"/>
    <cellStyle name="Comma 2 9 4 3 2" xfId="49458" xr:uid="{F24C05A7-7834-4B6E-973E-D479FFCACAAC}"/>
    <cellStyle name="Comma 2 9 4 3 3" xfId="31204" xr:uid="{7B624127-82F7-4466-AFBA-9E5557D667D8}"/>
    <cellStyle name="Comma 2 9 4 4" xfId="9300" xr:uid="{A4AB657B-CC93-4CAA-8133-CB002805D291}"/>
    <cellStyle name="Comma 2 9 4 4 2" xfId="45808" xr:uid="{9B2248CE-7349-403B-BD33-6DA0A424986F}"/>
    <cellStyle name="Comma 2 9 4 4 3" xfId="27554" xr:uid="{31CD3F45-9EAD-4ADA-AA57-3D885FEC30C8}"/>
    <cellStyle name="Comma 2 9 4 5" xfId="5650" xr:uid="{8581DEBB-23C1-45A4-B3E7-1D8EFBF9C88D}"/>
    <cellStyle name="Comma 2 9 4 5 2" xfId="42158" xr:uid="{2952B9F5-90C9-47D7-B3E8-3303501E7F91}"/>
    <cellStyle name="Comma 2 9 4 5 3" xfId="23904" xr:uid="{B54B7F78-9046-4102-B644-9F5720B9AAC8}"/>
    <cellStyle name="Comma 2 9 4 6" xfId="38508" xr:uid="{AF563D4D-2E7A-4B7E-B85E-2792FD003B61}"/>
    <cellStyle name="Comma 2 9 4 7" xfId="20254" xr:uid="{1013E254-EC40-42E9-ABE9-012DF225D8D9}"/>
    <cellStyle name="Comma 2 9 5" xfId="1270" xr:uid="{34E3B1EF-F7CE-4B50-ACC0-DB3469034A7E}"/>
    <cellStyle name="Comma 2 9 5 2" xfId="15870" xr:uid="{78D17E7F-E4BE-4B69-B9BB-7A23B9E03AA4}"/>
    <cellStyle name="Comma 2 9 5 2 2" xfId="52378" xr:uid="{24716DB5-7E8C-4A1E-8655-13CEBBF0E8F4}"/>
    <cellStyle name="Comma 2 9 5 2 3" xfId="34124" xr:uid="{9076AE55-E999-4A2E-AB1A-E315F3CFFBD4}"/>
    <cellStyle name="Comma 2 9 5 3" xfId="12220" xr:uid="{4831BB02-88C3-4FBD-B6BD-568E7FBC47F2}"/>
    <cellStyle name="Comma 2 9 5 3 2" xfId="48728" xr:uid="{CE675711-9C79-47CB-AAE3-93F2821C7747}"/>
    <cellStyle name="Comma 2 9 5 3 3" xfId="30474" xr:uid="{ADC701C6-CDB6-4108-ACA5-87D944E4500A}"/>
    <cellStyle name="Comma 2 9 5 4" xfId="8570" xr:uid="{E1E1EF36-552C-454F-8AF6-A7721B728AF3}"/>
    <cellStyle name="Comma 2 9 5 4 2" xfId="45078" xr:uid="{FD98E29B-8B9D-411A-8543-E30821061CDD}"/>
    <cellStyle name="Comma 2 9 5 4 3" xfId="26824" xr:uid="{1EA8F7A5-1A7E-4E2B-B827-2426A84C9E56}"/>
    <cellStyle name="Comma 2 9 5 5" xfId="4920" xr:uid="{CF0AAD48-6A6A-415F-ACDD-5960FF32EED9}"/>
    <cellStyle name="Comma 2 9 5 5 2" xfId="41428" xr:uid="{CBBF4221-0EEA-4B05-93AA-2278AD88C7B7}"/>
    <cellStyle name="Comma 2 9 5 5 3" xfId="23174" xr:uid="{66864F45-B2B2-446B-9D72-0BBA4B0C3029}"/>
    <cellStyle name="Comma 2 9 5 6" xfId="37778" xr:uid="{50883502-C98C-48B8-9826-9F1441A7F632}"/>
    <cellStyle name="Comma 2 9 5 7" xfId="19524" xr:uid="{C2C8634E-517C-4BDD-8AA9-4F363D2E965C}"/>
    <cellStyle name="Comma 2 9 6" xfId="15140" xr:uid="{2004C8F8-D77F-415A-814E-970EF6FB4838}"/>
    <cellStyle name="Comma 2 9 6 2" xfId="51648" xr:uid="{E78676FD-A9D2-4B3B-9286-ACFF614988B9}"/>
    <cellStyle name="Comma 2 9 6 3" xfId="33394" xr:uid="{1811140B-C797-4111-91E4-FD69CC84B3C6}"/>
    <cellStyle name="Comma 2 9 7" xfId="11490" xr:uid="{C81435DD-69B5-45F6-B5F8-D114EE2DBC2D}"/>
    <cellStyle name="Comma 2 9 7 2" xfId="47998" xr:uid="{8482ABC7-5647-4D63-8F52-73A955E1176D}"/>
    <cellStyle name="Comma 2 9 7 3" xfId="29744" xr:uid="{42228500-C907-4B06-9A8C-5E3A05C78ABD}"/>
    <cellStyle name="Comma 2 9 8" xfId="7840" xr:uid="{C0BC2097-A1C7-4AF3-8686-D69D8ECBCF14}"/>
    <cellStyle name="Comma 2 9 8 2" xfId="44348" xr:uid="{FD4742C6-016C-4AE1-BB72-9F62F8936CD7}"/>
    <cellStyle name="Comma 2 9 8 3" xfId="26094" xr:uid="{802DFC52-30AD-46BD-9DAC-3443876942EA}"/>
    <cellStyle name="Comma 2 9 9" xfId="4190" xr:uid="{0CD8AF9B-42FC-4941-A4E1-5DBDD8396A00}"/>
    <cellStyle name="Comma 2 9 9 2" xfId="40698" xr:uid="{1B9962CB-1B1C-4D51-9350-01A2A3FC7A55}"/>
    <cellStyle name="Comma 2 9 9 3" xfId="22444" xr:uid="{9C29486E-A59B-435E-9A50-DFAA384EDD9C}"/>
    <cellStyle name="Comma 20" xfId="539" xr:uid="{56D5A280-5786-4DC1-A921-B388E54F803B}"/>
    <cellStyle name="Comma 20 10" xfId="37047" xr:uid="{AACCDA17-EDC2-476A-9C3F-B92824A3F30B}"/>
    <cellStyle name="Comma 20 11" xfId="18793" xr:uid="{0B9205D9-FF0B-416A-8ECA-4B639214FE69}"/>
    <cellStyle name="Comma 20 2" xfId="3459" xr:uid="{A4548338-59C1-409C-9DD4-BF9A4A1C19D8}"/>
    <cellStyle name="Comma 20 2 2" xfId="18059" xr:uid="{8E7EB3A8-CB89-4B3B-A7F6-1C1FDC0D4417}"/>
    <cellStyle name="Comma 20 2 2 2" xfId="54567" xr:uid="{93C765B8-41E9-4416-B88A-01B2BD1FA98A}"/>
    <cellStyle name="Comma 20 2 2 3" xfId="36313" xr:uid="{29FFABA9-7F50-4064-A3C6-0257528B59B7}"/>
    <cellStyle name="Comma 20 2 3" xfId="14409" xr:uid="{1D57BC85-7410-4FEF-ADD0-FC9DC4A2A87B}"/>
    <cellStyle name="Comma 20 2 3 2" xfId="50917" xr:uid="{DE564813-448E-4580-AC43-C9CC51844FFD}"/>
    <cellStyle name="Comma 20 2 3 3" xfId="32663" xr:uid="{2ED59F0C-06FC-409F-9540-F5555E402087}"/>
    <cellStyle name="Comma 20 2 4" xfId="10759" xr:uid="{A4E43667-9ACC-4D30-B47A-85BCC3853AE2}"/>
    <cellStyle name="Comma 20 2 4 2" xfId="47267" xr:uid="{7C4EA147-F8D7-408A-B36D-450EC666446B}"/>
    <cellStyle name="Comma 20 2 4 3" xfId="29013" xr:uid="{0DC5FEDB-5B24-4DC1-B8A5-5016DC71224A}"/>
    <cellStyle name="Comma 20 2 5" xfId="7109" xr:uid="{09A5EA8B-708C-44EB-ABA4-131859C37E69}"/>
    <cellStyle name="Comma 20 2 5 2" xfId="43617" xr:uid="{BF9CFE93-32FD-4363-861C-83969BA7AFCC}"/>
    <cellStyle name="Comma 20 2 5 3" xfId="25363" xr:uid="{78CE8468-F524-425D-A18F-6A53960AC318}"/>
    <cellStyle name="Comma 20 2 6" xfId="39967" xr:uid="{B0E5EE4E-BA5C-47BA-93BC-BB3EA4011080}"/>
    <cellStyle name="Comma 20 2 7" xfId="21713" xr:uid="{66CAD7EB-4C75-4CA7-9AC1-4371C921A96C}"/>
    <cellStyle name="Comma 20 3" xfId="2729" xr:uid="{F968F22F-5CB3-42C9-8E1C-7DC7B0E85C47}"/>
    <cellStyle name="Comma 20 3 2" xfId="17329" xr:uid="{50B334B8-D219-4454-8A07-508BE77A4405}"/>
    <cellStyle name="Comma 20 3 2 2" xfId="53837" xr:uid="{86BA2D2D-6E9C-4A9E-92B9-11D841D0CB3C}"/>
    <cellStyle name="Comma 20 3 2 3" xfId="35583" xr:uid="{95184E56-E316-49F1-8E0C-C313529452D4}"/>
    <cellStyle name="Comma 20 3 3" xfId="13679" xr:uid="{42D21053-B390-4282-A647-B5AB692B3557}"/>
    <cellStyle name="Comma 20 3 3 2" xfId="50187" xr:uid="{E6B84952-B489-4431-A029-B5AFEC34A2FA}"/>
    <cellStyle name="Comma 20 3 3 3" xfId="31933" xr:uid="{05FC5343-9364-49C3-81BE-1EBB53EDE426}"/>
    <cellStyle name="Comma 20 3 4" xfId="10029" xr:uid="{1D7EABE7-9CC2-4348-AF10-BCAA279F7217}"/>
    <cellStyle name="Comma 20 3 4 2" xfId="46537" xr:uid="{49E13557-E488-442E-920B-F74DEE4BF5B4}"/>
    <cellStyle name="Comma 20 3 4 3" xfId="28283" xr:uid="{F10279EF-19CC-40A1-A877-E9AD44B7A220}"/>
    <cellStyle name="Comma 20 3 5" xfId="6379" xr:uid="{6ED74D6E-C330-4AFD-9973-ADEBE978137A}"/>
    <cellStyle name="Comma 20 3 5 2" xfId="42887" xr:uid="{1ABAA72A-AF2D-48C6-91D4-FC41FAD393F4}"/>
    <cellStyle name="Comma 20 3 5 3" xfId="24633" xr:uid="{AD907441-0C80-4F1E-9E2C-E7A0026363EB}"/>
    <cellStyle name="Comma 20 3 6" xfId="39237" xr:uid="{DD08F288-C72C-4DC0-A7CE-BE604F4A81F6}"/>
    <cellStyle name="Comma 20 3 7" xfId="20983" xr:uid="{ACD1E5C8-EA1C-4C4E-AC30-1157E0246856}"/>
    <cellStyle name="Comma 20 4" xfId="1999" xr:uid="{4372FB5B-B3BD-48F6-88F4-CD5376262C0D}"/>
    <cellStyle name="Comma 20 4 2" xfId="16599" xr:uid="{365D3431-3FAB-4694-9AEE-6F76B23C1251}"/>
    <cellStyle name="Comma 20 4 2 2" xfId="53107" xr:uid="{9D4FAF6B-22C2-42F4-90B5-7492F4F7046E}"/>
    <cellStyle name="Comma 20 4 2 3" xfId="34853" xr:uid="{5D1E7A3C-6604-4B0B-B0B2-849DDBC31C47}"/>
    <cellStyle name="Comma 20 4 3" xfId="12949" xr:uid="{F28E06CE-9641-4523-8DA6-DF8455F11F0E}"/>
    <cellStyle name="Comma 20 4 3 2" xfId="49457" xr:uid="{2BC63F41-B51D-422D-B6EA-5AF2F01C3036}"/>
    <cellStyle name="Comma 20 4 3 3" xfId="31203" xr:uid="{45698921-6126-4438-9B69-1F04E3C6C7A4}"/>
    <cellStyle name="Comma 20 4 4" xfId="9299" xr:uid="{505916E8-9757-4AE5-A137-17E00DFB0CAE}"/>
    <cellStyle name="Comma 20 4 4 2" xfId="45807" xr:uid="{4E76A58D-8137-417A-8599-BA7E3EF0250E}"/>
    <cellStyle name="Comma 20 4 4 3" xfId="27553" xr:uid="{CCA54D9E-8DBA-4698-AE8B-7D09F7354719}"/>
    <cellStyle name="Comma 20 4 5" xfId="5649" xr:uid="{6B5D3CDE-BFA2-4EEB-8403-CA1ED572A587}"/>
    <cellStyle name="Comma 20 4 5 2" xfId="42157" xr:uid="{AAC8FD1C-68BE-4CD9-B026-5A54CE939594}"/>
    <cellStyle name="Comma 20 4 5 3" xfId="23903" xr:uid="{17101B0A-52BC-40D7-9790-C986A5140BB8}"/>
    <cellStyle name="Comma 20 4 6" xfId="38507" xr:uid="{D02BBA16-4830-4749-9AC8-3C1F88FB3A74}"/>
    <cellStyle name="Comma 20 4 7" xfId="20253" xr:uid="{FE001E0F-939A-4539-864B-ACCB3F659C4B}"/>
    <cellStyle name="Comma 20 5" xfId="1269" xr:uid="{E6ABA45F-7A9A-4C85-B4CB-9B46AD62936D}"/>
    <cellStyle name="Comma 20 5 2" xfId="15869" xr:uid="{BF7AB26E-D67C-4335-8351-25D3619FE0D6}"/>
    <cellStyle name="Comma 20 5 2 2" xfId="52377" xr:uid="{5B345B1D-8A67-4738-8B63-57EADF914940}"/>
    <cellStyle name="Comma 20 5 2 3" xfId="34123" xr:uid="{D573F550-B63B-4182-BAC2-CB9799EC33C1}"/>
    <cellStyle name="Comma 20 5 3" xfId="12219" xr:uid="{25FA3739-006B-4799-BCF8-55A21630D54F}"/>
    <cellStyle name="Comma 20 5 3 2" xfId="48727" xr:uid="{C975FCA5-4861-4A9B-8269-ACF8AF1DB613}"/>
    <cellStyle name="Comma 20 5 3 3" xfId="30473" xr:uid="{40CF6704-E736-40E7-A0C8-280835DE29AE}"/>
    <cellStyle name="Comma 20 5 4" xfId="8569" xr:uid="{1AC59A4F-4560-425E-A4C7-DD823DF34538}"/>
    <cellStyle name="Comma 20 5 4 2" xfId="45077" xr:uid="{25198667-1E00-4BDC-821B-3B9AFE44A9D8}"/>
    <cellStyle name="Comma 20 5 4 3" xfId="26823" xr:uid="{B86D9216-2242-421B-8990-3727F8AE971A}"/>
    <cellStyle name="Comma 20 5 5" xfId="4919" xr:uid="{8361F8A9-F387-4AC5-BA46-5F45102CC555}"/>
    <cellStyle name="Comma 20 5 5 2" xfId="41427" xr:uid="{9FF3CAA5-4309-41AB-8836-1B54A21BA420}"/>
    <cellStyle name="Comma 20 5 5 3" xfId="23173" xr:uid="{9C479EDF-721B-4AF4-A273-54EDC767AFA6}"/>
    <cellStyle name="Comma 20 5 6" xfId="37777" xr:uid="{C4FD8C58-4829-4F74-995C-34689DBDF862}"/>
    <cellStyle name="Comma 20 5 7" xfId="19523" xr:uid="{89ABA974-B256-451E-ADBE-B98FC1705A3E}"/>
    <cellStyle name="Comma 20 6" xfId="15139" xr:uid="{23F971F9-3B88-4D0C-A8DA-28B88CEB13B7}"/>
    <cellStyle name="Comma 20 6 2" xfId="51647" xr:uid="{F8BDB635-4CF7-4FF8-9BD8-445581F02D6D}"/>
    <cellStyle name="Comma 20 6 3" xfId="33393" xr:uid="{EFC47D26-BD2B-4C79-ABB3-F3B5C7C6F24C}"/>
    <cellStyle name="Comma 20 7" xfId="11489" xr:uid="{E8CADDBA-1653-437B-9CE1-3D4BFD4B2152}"/>
    <cellStyle name="Comma 20 7 2" xfId="47997" xr:uid="{0F51A172-8F85-40BB-8FBA-4E3408865DCB}"/>
    <cellStyle name="Comma 20 7 3" xfId="29743" xr:uid="{31B6C53A-78E9-42CF-A401-91AF6264EF8C}"/>
    <cellStyle name="Comma 20 8" xfId="7839" xr:uid="{C37A5EF4-7530-4046-B05B-B5B64F60DABB}"/>
    <cellStyle name="Comma 20 8 2" xfId="44347" xr:uid="{ED18C157-A7B4-4D7E-82B5-81F064180248}"/>
    <cellStyle name="Comma 20 8 3" xfId="26093" xr:uid="{531EC183-2D09-4CDB-A01A-0EF0A72CDC48}"/>
    <cellStyle name="Comma 20 9" xfId="4189" xr:uid="{8E94DD21-49F7-4270-8225-D723C75484F1}"/>
    <cellStyle name="Comma 20 9 2" xfId="40697" xr:uid="{E5DF001F-6E26-408F-9831-2C198CF92DC0}"/>
    <cellStyle name="Comma 20 9 3" xfId="22443" xr:uid="{2C53BFF4-7F0F-412D-8322-7EB1E3FBBCC7}"/>
    <cellStyle name="Comma 21" xfId="435" xr:uid="{6103E5E2-AC78-4027-8DCD-A42C905E5A56}"/>
    <cellStyle name="Comma 21 10" xfId="36943" xr:uid="{FD5FAEE0-649E-4860-B068-CFF96917949D}"/>
    <cellStyle name="Comma 21 11" xfId="18689" xr:uid="{09079CCF-54E1-4C11-9598-F9681C72C9E9}"/>
    <cellStyle name="Comma 21 2" xfId="3355" xr:uid="{1F3797B1-F067-4FF8-991C-78E21A0605E0}"/>
    <cellStyle name="Comma 21 2 2" xfId="17955" xr:uid="{90AF0AA2-FBB8-4890-8234-4DAF11847B69}"/>
    <cellStyle name="Comma 21 2 2 2" xfId="54463" xr:uid="{18FEA298-916E-4842-957F-CF72758360B6}"/>
    <cellStyle name="Comma 21 2 2 3" xfId="36209" xr:uid="{6EE5D342-EEE7-454F-A239-A7DC3E23B61A}"/>
    <cellStyle name="Comma 21 2 3" xfId="14305" xr:uid="{8BE33503-547C-40BB-9F28-BBCBF635AE72}"/>
    <cellStyle name="Comma 21 2 3 2" xfId="50813" xr:uid="{9DB202CC-C06D-4748-91AA-68272803BC97}"/>
    <cellStyle name="Comma 21 2 3 3" xfId="32559" xr:uid="{DC1C879A-A50F-4A62-B8BB-CFB555D7013C}"/>
    <cellStyle name="Comma 21 2 4" xfId="10655" xr:uid="{128C4A9E-D391-45B6-914B-C8B2A2A72D6F}"/>
    <cellStyle name="Comma 21 2 4 2" xfId="47163" xr:uid="{68370644-8B02-418E-BCEF-E79A495AAD9D}"/>
    <cellStyle name="Comma 21 2 4 3" xfId="28909" xr:uid="{CD7A6407-0B12-4FCD-9008-B129FA002326}"/>
    <cellStyle name="Comma 21 2 5" xfId="7005" xr:uid="{BEC7FB71-8EF5-4C76-A8F4-B6CD8FD1C7DF}"/>
    <cellStyle name="Comma 21 2 5 2" xfId="43513" xr:uid="{5E567F53-23CA-45AB-A13E-82DD370F4138}"/>
    <cellStyle name="Comma 21 2 5 3" xfId="25259" xr:uid="{B00B4877-4370-410A-A69B-AAC7204A0E2C}"/>
    <cellStyle name="Comma 21 2 6" xfId="39863" xr:uid="{50D0B199-C01F-4918-9E81-85C17CF92BBC}"/>
    <cellStyle name="Comma 21 2 7" xfId="21609" xr:uid="{A89E884B-FD6F-44E4-9EB5-DE5EA58F0A13}"/>
    <cellStyle name="Comma 21 3" xfId="2625" xr:uid="{74055641-3C80-4040-96BB-F07C89813895}"/>
    <cellStyle name="Comma 21 3 2" xfId="17225" xr:uid="{F9A8B64F-06A2-40F3-86DA-2C3E302C3AC0}"/>
    <cellStyle name="Comma 21 3 2 2" xfId="53733" xr:uid="{01517A7B-6D2C-47D4-A579-3A649E6EE56B}"/>
    <cellStyle name="Comma 21 3 2 3" xfId="35479" xr:uid="{1AA1F927-C324-4123-8B77-2C172AC8991D}"/>
    <cellStyle name="Comma 21 3 3" xfId="13575" xr:uid="{060DB3B5-6937-4759-BE9D-36F9CE0C22C9}"/>
    <cellStyle name="Comma 21 3 3 2" xfId="50083" xr:uid="{849844B4-4783-48AE-94D5-7322DF2FA55F}"/>
    <cellStyle name="Comma 21 3 3 3" xfId="31829" xr:uid="{2917AAE3-45E8-451E-A613-F8DFDA044E9F}"/>
    <cellStyle name="Comma 21 3 4" xfId="9925" xr:uid="{E8E4E958-7F4C-4DD6-85AC-5B57E880901E}"/>
    <cellStyle name="Comma 21 3 4 2" xfId="46433" xr:uid="{113398E4-6453-4C7C-B1F2-05ADE9EBAD34}"/>
    <cellStyle name="Comma 21 3 4 3" xfId="28179" xr:uid="{26B34DBB-DBFA-49AD-811A-80BAA318BA2B}"/>
    <cellStyle name="Comma 21 3 5" xfId="6275" xr:uid="{A55DECD8-B6B3-4394-AB2E-720CE8CDF095}"/>
    <cellStyle name="Comma 21 3 5 2" xfId="42783" xr:uid="{A2762319-BF1F-463A-9B58-64490EA7F888}"/>
    <cellStyle name="Comma 21 3 5 3" xfId="24529" xr:uid="{66C2D428-7148-4B36-AE55-C48EE406ADFB}"/>
    <cellStyle name="Comma 21 3 6" xfId="39133" xr:uid="{1D850715-C13E-4C88-B3EC-733DCB0ED2BA}"/>
    <cellStyle name="Comma 21 3 7" xfId="20879" xr:uid="{EE64A2A1-3D46-444B-81E7-8DE26383BB94}"/>
    <cellStyle name="Comma 21 4" xfId="1895" xr:uid="{8DA5ADE1-7247-4CA2-AA8D-BB9DC60D5B4B}"/>
    <cellStyle name="Comma 21 4 2" xfId="16495" xr:uid="{B3CCED1A-6731-49E9-8864-94542F755362}"/>
    <cellStyle name="Comma 21 4 2 2" xfId="53003" xr:uid="{DF59362A-C060-4F0C-A4D9-C275EE9F6A05}"/>
    <cellStyle name="Comma 21 4 2 3" xfId="34749" xr:uid="{04EA0D76-F299-4F4D-8512-26B04BC31D1E}"/>
    <cellStyle name="Comma 21 4 3" xfId="12845" xr:uid="{86094F08-8652-444F-A1BD-255007441B8C}"/>
    <cellStyle name="Comma 21 4 3 2" xfId="49353" xr:uid="{F6309F23-A2BA-46B3-9E20-6CACAFE6F004}"/>
    <cellStyle name="Comma 21 4 3 3" xfId="31099" xr:uid="{6ACC969C-AC08-4EBF-955F-EAC20EF4048C}"/>
    <cellStyle name="Comma 21 4 4" xfId="9195" xr:uid="{F8B167A7-60C6-4796-8580-F3F2AC237459}"/>
    <cellStyle name="Comma 21 4 4 2" xfId="45703" xr:uid="{45C6EFFB-739F-4B68-93E9-E5E62DB70D84}"/>
    <cellStyle name="Comma 21 4 4 3" xfId="27449" xr:uid="{AF3F977D-A967-4364-8D73-970E7E940C3E}"/>
    <cellStyle name="Comma 21 4 5" xfId="5545" xr:uid="{1BD7893B-E711-48FA-9487-C8A72C06831A}"/>
    <cellStyle name="Comma 21 4 5 2" xfId="42053" xr:uid="{50989966-80DD-4053-A698-DC6039622E22}"/>
    <cellStyle name="Comma 21 4 5 3" xfId="23799" xr:uid="{1766E543-2B07-47B8-AE1B-514FC79D0CC7}"/>
    <cellStyle name="Comma 21 4 6" xfId="38403" xr:uid="{E34B7A78-9915-4F17-8B3D-573A05A7C7C2}"/>
    <cellStyle name="Comma 21 4 7" xfId="20149" xr:uid="{B0423BD5-DD7C-4D82-B034-F9145A381674}"/>
    <cellStyle name="Comma 21 5" xfId="1165" xr:uid="{1433F0B8-4386-4040-8C82-C16EB62B276C}"/>
    <cellStyle name="Comma 21 5 2" xfId="15765" xr:uid="{1206F189-361B-4D54-A549-F62A43DD68F5}"/>
    <cellStyle name="Comma 21 5 2 2" xfId="52273" xr:uid="{3B6C593A-B949-4433-863C-2C7E75D8E107}"/>
    <cellStyle name="Comma 21 5 2 3" xfId="34019" xr:uid="{9807E7A4-2B9E-47C4-ABBC-3FCA4E1CD18D}"/>
    <cellStyle name="Comma 21 5 3" xfId="12115" xr:uid="{65E4F10E-2AA7-4BD8-B16D-680AF1FB9CEF}"/>
    <cellStyle name="Comma 21 5 3 2" xfId="48623" xr:uid="{A4118EB5-BCB0-4688-924C-101FC45AC18C}"/>
    <cellStyle name="Comma 21 5 3 3" xfId="30369" xr:uid="{96E69A85-8CF1-4145-B43D-D0E6A4BF9A47}"/>
    <cellStyle name="Comma 21 5 4" xfId="8465" xr:uid="{D312D215-B9C2-4A3F-A5C3-C5EB56B7E453}"/>
    <cellStyle name="Comma 21 5 4 2" xfId="44973" xr:uid="{4835E6DA-718F-4221-9E8F-F2CBAF813F37}"/>
    <cellStyle name="Comma 21 5 4 3" xfId="26719" xr:uid="{65282768-4C71-40EA-91D4-CF249311E79D}"/>
    <cellStyle name="Comma 21 5 5" xfId="4815" xr:uid="{2F2E48BD-AACA-4B52-A9D7-97A56B198C43}"/>
    <cellStyle name="Comma 21 5 5 2" xfId="41323" xr:uid="{EABA2C9A-139B-492E-B883-31D44CFA0FF0}"/>
    <cellStyle name="Comma 21 5 5 3" xfId="23069" xr:uid="{E496AF4B-4323-4E38-B08D-A29EE42DF554}"/>
    <cellStyle name="Comma 21 5 6" xfId="37673" xr:uid="{6EE7C2B1-AF5A-4F8E-A70C-EAC02BC1EBCC}"/>
    <cellStyle name="Comma 21 5 7" xfId="19419" xr:uid="{54D33E40-C09C-41D8-BE3C-BD35A45219BA}"/>
    <cellStyle name="Comma 21 6" xfId="15035" xr:uid="{B4B4F0F0-64B6-4239-AFD0-1BA00A454243}"/>
    <cellStyle name="Comma 21 6 2" xfId="51543" xr:uid="{62DCF2BC-6BBB-423C-957F-98BE8C254409}"/>
    <cellStyle name="Comma 21 6 3" xfId="33289" xr:uid="{5D7B2452-3173-4481-9EF9-2984DB8161C1}"/>
    <cellStyle name="Comma 21 7" xfId="11385" xr:uid="{6AD43597-8EDB-44EB-A135-DA4910BF5574}"/>
    <cellStyle name="Comma 21 7 2" xfId="47893" xr:uid="{704F8430-F684-43C5-818A-729145D82604}"/>
    <cellStyle name="Comma 21 7 3" xfId="29639" xr:uid="{9B495B07-F627-4BAE-A751-735DDEAAAC1D}"/>
    <cellStyle name="Comma 21 8" xfId="7735" xr:uid="{B90A7A8A-C7D8-4B67-BE40-AECA9D2C3FEC}"/>
    <cellStyle name="Comma 21 8 2" xfId="44243" xr:uid="{885B9A26-E252-4CAD-BF3C-EC51DE998511}"/>
    <cellStyle name="Comma 21 8 3" xfId="25989" xr:uid="{5A5283AE-0254-4FFB-89F0-AFAAACD1A47B}"/>
    <cellStyle name="Comma 21 9" xfId="4085" xr:uid="{30CA4B5E-7CB5-4CD1-8BAC-0CC27F82D5CA}"/>
    <cellStyle name="Comma 21 9 2" xfId="40593" xr:uid="{07F3B64E-F0B5-4184-B9B3-3A37D69B9378}"/>
    <cellStyle name="Comma 21 9 3" xfId="22339" xr:uid="{C273BDDE-B26C-4187-BA95-2027595E0B8F}"/>
    <cellStyle name="Comma 22" xfId="331" xr:uid="{EF2CFB43-E15E-4C71-9145-EF8DE8E46CDE}"/>
    <cellStyle name="Comma 22 10" xfId="36839" xr:uid="{5E04F1A7-E01E-42A1-821F-67822BB200BC}"/>
    <cellStyle name="Comma 22 11" xfId="18585" xr:uid="{1680719C-629C-4CB5-8F37-CDD751ADAF4F}"/>
    <cellStyle name="Comma 22 2" xfId="3251" xr:uid="{3A38E269-12CC-404B-9A18-49AA590303F9}"/>
    <cellStyle name="Comma 22 2 2" xfId="17851" xr:uid="{4445EA86-86B6-477B-AF7F-5187C0E9B6BE}"/>
    <cellStyle name="Comma 22 2 2 2" xfId="54359" xr:uid="{5CF2A6DA-7A19-48D8-8E5A-804E2028F493}"/>
    <cellStyle name="Comma 22 2 2 3" xfId="36105" xr:uid="{5ED685E5-B6EB-4DBD-9D06-51FFB7E62596}"/>
    <cellStyle name="Comma 22 2 3" xfId="14201" xr:uid="{B880247B-C077-4D7F-A19A-DEA46334B18B}"/>
    <cellStyle name="Comma 22 2 3 2" xfId="50709" xr:uid="{2D52DE9B-9BFD-49AB-B68B-6E70660A6021}"/>
    <cellStyle name="Comma 22 2 3 3" xfId="32455" xr:uid="{3196380E-F11B-49AB-94E3-0892043B1E8E}"/>
    <cellStyle name="Comma 22 2 4" xfId="10551" xr:uid="{5F875F00-5205-4DB0-B087-E4569CDD3F79}"/>
    <cellStyle name="Comma 22 2 4 2" xfId="47059" xr:uid="{A5E54E47-FC2D-401B-92BF-93496959411D}"/>
    <cellStyle name="Comma 22 2 4 3" xfId="28805" xr:uid="{9E9F9A35-C381-4578-B88E-CEE3DDC3C242}"/>
    <cellStyle name="Comma 22 2 5" xfId="6901" xr:uid="{CBFE4E20-6C9C-4839-B46F-3D0B0BE073D7}"/>
    <cellStyle name="Comma 22 2 5 2" xfId="43409" xr:uid="{3C0BD9C2-D3E5-40A7-8549-F3DF03C73E28}"/>
    <cellStyle name="Comma 22 2 5 3" xfId="25155" xr:uid="{496D4CD3-A286-46B0-9155-4389668C26FC}"/>
    <cellStyle name="Comma 22 2 6" xfId="39759" xr:uid="{7EDD1A31-8CB4-4018-B822-ED564314E8F9}"/>
    <cellStyle name="Comma 22 2 7" xfId="21505" xr:uid="{6DEEDCD8-44E9-4CE2-ADFB-FD66E90BE38D}"/>
    <cellStyle name="Comma 22 3" xfId="2521" xr:uid="{BFB6C2F7-E606-4D25-AEFC-124D090FC151}"/>
    <cellStyle name="Comma 22 3 2" xfId="17121" xr:uid="{B5E522B8-A3DC-4B79-ABED-D7D345390831}"/>
    <cellStyle name="Comma 22 3 2 2" xfId="53629" xr:uid="{3F179E5A-17D6-4882-86FD-6401F629E846}"/>
    <cellStyle name="Comma 22 3 2 3" xfId="35375" xr:uid="{B126A83D-AA9E-4B4C-91BC-12094A6DEC90}"/>
    <cellStyle name="Comma 22 3 3" xfId="13471" xr:uid="{CAF0A83C-CC61-44AF-B8CC-025FC54171BC}"/>
    <cellStyle name="Comma 22 3 3 2" xfId="49979" xr:uid="{213433F5-257A-4D2C-8EC9-619F1DA57F05}"/>
    <cellStyle name="Comma 22 3 3 3" xfId="31725" xr:uid="{C7888CBD-8524-4A4D-9961-54E8277402ED}"/>
    <cellStyle name="Comma 22 3 4" xfId="9821" xr:uid="{BFC744D5-1B35-4609-B38E-756C4E04293D}"/>
    <cellStyle name="Comma 22 3 4 2" xfId="46329" xr:uid="{7B34A6A2-EBEA-483A-8A9D-2C0DEA059022}"/>
    <cellStyle name="Comma 22 3 4 3" xfId="28075" xr:uid="{FE281CB1-4780-4729-9614-C8DB33913C1A}"/>
    <cellStyle name="Comma 22 3 5" xfId="6171" xr:uid="{5ACAF341-2750-463F-8B17-51DEA0657F53}"/>
    <cellStyle name="Comma 22 3 5 2" xfId="42679" xr:uid="{14EB1463-EDCB-4A16-8496-42824F56B4AB}"/>
    <cellStyle name="Comma 22 3 5 3" xfId="24425" xr:uid="{71D92FD0-0C17-4E68-9EB1-190CD6AE0066}"/>
    <cellStyle name="Comma 22 3 6" xfId="39029" xr:uid="{B2F07F0E-F34F-475E-92D3-469C6DB004D3}"/>
    <cellStyle name="Comma 22 3 7" xfId="20775" xr:uid="{ED52361E-A994-4263-B4E6-1780B58E4DC5}"/>
    <cellStyle name="Comma 22 4" xfId="1791" xr:uid="{50F0BE8A-050D-400D-BDB7-C643FC85CF18}"/>
    <cellStyle name="Comma 22 4 2" xfId="16391" xr:uid="{0DEBCCE2-D4C4-4981-B13F-5BE87AC41475}"/>
    <cellStyle name="Comma 22 4 2 2" xfId="52899" xr:uid="{5ECE1495-1F4A-4E0F-8FC0-C38E2A9D3785}"/>
    <cellStyle name="Comma 22 4 2 3" xfId="34645" xr:uid="{668B0F44-1485-4211-8FEC-144621E3E7CF}"/>
    <cellStyle name="Comma 22 4 3" xfId="12741" xr:uid="{5D29C7A0-36F9-42BB-B505-4D5190163D83}"/>
    <cellStyle name="Comma 22 4 3 2" xfId="49249" xr:uid="{7797E98E-9201-4C75-85A4-A3F785021CAD}"/>
    <cellStyle name="Comma 22 4 3 3" xfId="30995" xr:uid="{7BBD9271-2F3D-403D-A005-B1BBC982E7B8}"/>
    <cellStyle name="Comma 22 4 4" xfId="9091" xr:uid="{ABC1F03F-554C-4B8C-A3E4-E95625B1CB3B}"/>
    <cellStyle name="Comma 22 4 4 2" xfId="45599" xr:uid="{A2999E2E-341E-4F65-B017-FACBED6F1153}"/>
    <cellStyle name="Comma 22 4 4 3" xfId="27345" xr:uid="{3A20F462-218A-4E9B-B251-7EAD58F0F04F}"/>
    <cellStyle name="Comma 22 4 5" xfId="5441" xr:uid="{9D6E0DE6-3963-46D3-8FAB-1C9182B71C71}"/>
    <cellStyle name="Comma 22 4 5 2" xfId="41949" xr:uid="{F4B08F97-02EA-46C9-AAC8-01E88A7EF65D}"/>
    <cellStyle name="Comma 22 4 5 3" xfId="23695" xr:uid="{892B6C93-4208-44FA-B05B-8BB8E8958C4A}"/>
    <cellStyle name="Comma 22 4 6" xfId="38299" xr:uid="{560CBD86-78D6-4AA3-94BE-FBE52CC4A32A}"/>
    <cellStyle name="Comma 22 4 7" xfId="20045" xr:uid="{F5523040-028D-4EF3-A047-6A24276541D0}"/>
    <cellStyle name="Comma 22 5" xfId="1061" xr:uid="{55C42004-85A6-4DA1-92D0-81CF62F6E41E}"/>
    <cellStyle name="Comma 22 5 2" xfId="15661" xr:uid="{6A179BCA-95DC-4659-9A41-FFADA34C7B6E}"/>
    <cellStyle name="Comma 22 5 2 2" xfId="52169" xr:uid="{939097DC-2DD4-4887-8090-37CBBE6120BA}"/>
    <cellStyle name="Comma 22 5 2 3" xfId="33915" xr:uid="{D88587E3-0890-4DA9-8F4D-0DDE5554BE77}"/>
    <cellStyle name="Comma 22 5 3" xfId="12011" xr:uid="{BE01274E-34A3-4136-A232-DC6C17FABE54}"/>
    <cellStyle name="Comma 22 5 3 2" xfId="48519" xr:uid="{B704358D-556F-42E9-9522-4EA1E51188EF}"/>
    <cellStyle name="Comma 22 5 3 3" xfId="30265" xr:uid="{A80A2030-44E6-4163-A304-1A9FDEDB6C4A}"/>
    <cellStyle name="Comma 22 5 4" xfId="8361" xr:uid="{8B3E54A5-FBF7-43DB-B8C7-B5E701546755}"/>
    <cellStyle name="Comma 22 5 4 2" xfId="44869" xr:uid="{A0799E91-5A02-40FD-9807-6D0F51E0EE9A}"/>
    <cellStyle name="Comma 22 5 4 3" xfId="26615" xr:uid="{4C751020-4C85-4B4F-A4D8-D0A128EB125A}"/>
    <cellStyle name="Comma 22 5 5" xfId="4711" xr:uid="{5D53DC95-8BB9-4801-A0A3-3CCDDCDFFCE4}"/>
    <cellStyle name="Comma 22 5 5 2" xfId="41219" xr:uid="{D2812B9D-B7B7-4AA8-BA9B-FEE897BA2B61}"/>
    <cellStyle name="Comma 22 5 5 3" xfId="22965" xr:uid="{839C8C66-93E9-40F8-8F8E-9E774346AEDB}"/>
    <cellStyle name="Comma 22 5 6" xfId="37569" xr:uid="{4AD01182-3566-4547-913D-7D6157E4ABB8}"/>
    <cellStyle name="Comma 22 5 7" xfId="19315" xr:uid="{FA25317A-CB9C-4CBB-965A-4941DB7C9667}"/>
    <cellStyle name="Comma 22 6" xfId="14931" xr:uid="{2979A7BC-1F2F-4134-9046-CAF658F052C8}"/>
    <cellStyle name="Comma 22 6 2" xfId="51439" xr:uid="{1F3B4AF7-126E-498B-AE47-7E382002FD69}"/>
    <cellStyle name="Comma 22 6 3" xfId="33185" xr:uid="{A04B7BE9-2445-4E43-A396-19B2BB938E98}"/>
    <cellStyle name="Comma 22 7" xfId="11281" xr:uid="{31B76D83-3B83-4426-96B7-9749CBFDEA4B}"/>
    <cellStyle name="Comma 22 7 2" xfId="47789" xr:uid="{137BE4B1-CFCE-4A2C-B6FC-FFCFBA7277E1}"/>
    <cellStyle name="Comma 22 7 3" xfId="29535" xr:uid="{3F847800-6EF5-4EA5-ABB2-9678F746D997}"/>
    <cellStyle name="Comma 22 8" xfId="7631" xr:uid="{812B702F-5A54-4789-A77B-87EAD5B943CA}"/>
    <cellStyle name="Comma 22 8 2" xfId="44139" xr:uid="{8D1C96A3-AB64-45EF-84D3-07FA6B23287F}"/>
    <cellStyle name="Comma 22 8 3" xfId="25885" xr:uid="{2E900E23-A42D-44E4-8283-D6FA5AB419FB}"/>
    <cellStyle name="Comma 22 9" xfId="3981" xr:uid="{15069F19-46AF-4DA8-9662-14D166E92C9D}"/>
    <cellStyle name="Comma 22 9 2" xfId="40489" xr:uid="{7DC0E26E-5BBE-47B0-9214-2A31D542F8EF}"/>
    <cellStyle name="Comma 22 9 3" xfId="22235" xr:uid="{6F24D9D2-FBD1-4F1E-8894-4C3E289AE81F}"/>
    <cellStyle name="Comma 23" xfId="227" xr:uid="{B897709F-2B1A-4D8C-87A6-ECF0B4DA1D9E}"/>
    <cellStyle name="Comma 23 10" xfId="36735" xr:uid="{0747A4C4-F8C5-4026-B084-DB9B831A47BC}"/>
    <cellStyle name="Comma 23 11" xfId="18481" xr:uid="{E29B6A47-D2A6-4C65-BC65-C00FC3C437C6}"/>
    <cellStyle name="Comma 23 2" xfId="3147" xr:uid="{EC64195B-3E4B-404F-815F-CD0E4424A172}"/>
    <cellStyle name="Comma 23 2 2" xfId="17747" xr:uid="{89895448-5C7A-42EE-8FDC-F5147649A184}"/>
    <cellStyle name="Comma 23 2 2 2" xfId="54255" xr:uid="{66CC4F52-7D63-480B-9876-991842766804}"/>
    <cellStyle name="Comma 23 2 2 3" xfId="36001" xr:uid="{8ADD35A5-79A4-4342-B135-1C71163F1416}"/>
    <cellStyle name="Comma 23 2 3" xfId="14097" xr:uid="{AA014F53-1426-4E91-95AD-443A08C12A59}"/>
    <cellStyle name="Comma 23 2 3 2" xfId="50605" xr:uid="{91652C72-8046-4167-BB96-42646261BCBE}"/>
    <cellStyle name="Comma 23 2 3 3" xfId="32351" xr:uid="{1D817135-15F0-472D-87C0-A0A7B014B8C0}"/>
    <cellStyle name="Comma 23 2 4" xfId="10447" xr:uid="{EA6027D9-89A2-4ABC-92E0-0CF695854D0E}"/>
    <cellStyle name="Comma 23 2 4 2" xfId="46955" xr:uid="{4AD8E14C-80CE-42D8-9407-E128D9DB4B52}"/>
    <cellStyle name="Comma 23 2 4 3" xfId="28701" xr:uid="{52F12587-E518-4831-B7B5-25F1231760E0}"/>
    <cellStyle name="Comma 23 2 5" xfId="6797" xr:uid="{4B19B6BA-E3DD-4257-A3AA-691452CBB610}"/>
    <cellStyle name="Comma 23 2 5 2" xfId="43305" xr:uid="{66F756B4-6A58-43A8-A36C-B2FC9AE1F57B}"/>
    <cellStyle name="Comma 23 2 5 3" xfId="25051" xr:uid="{8171A0EB-4E86-4A9C-84BD-FB64EB0CE07A}"/>
    <cellStyle name="Comma 23 2 6" xfId="39655" xr:uid="{642780B2-8BDA-426F-84E5-B46F3731F6E6}"/>
    <cellStyle name="Comma 23 2 7" xfId="21401" xr:uid="{37E3001F-BDD0-4157-8783-523E2346A576}"/>
    <cellStyle name="Comma 23 3" xfId="2417" xr:uid="{A1EF92CD-0A7B-442E-8B69-0AD3BF04693A}"/>
    <cellStyle name="Comma 23 3 2" xfId="17017" xr:uid="{717E1E8E-D97B-4DCE-9BA4-2FA338ED8C5F}"/>
    <cellStyle name="Comma 23 3 2 2" xfId="53525" xr:uid="{6B73FE86-19EF-418C-BE51-31EC8B8575FA}"/>
    <cellStyle name="Comma 23 3 2 3" xfId="35271" xr:uid="{731C185C-9F88-476A-AEE2-29F9285B5DF8}"/>
    <cellStyle name="Comma 23 3 3" xfId="13367" xr:uid="{B74DD32D-316F-42A0-B4EE-8A9937017214}"/>
    <cellStyle name="Comma 23 3 3 2" xfId="49875" xr:uid="{E47C5A5A-9F44-4213-BE8D-0ABA0CD81EE7}"/>
    <cellStyle name="Comma 23 3 3 3" xfId="31621" xr:uid="{3D581D23-81A4-464D-A87F-1D8890BA05D7}"/>
    <cellStyle name="Comma 23 3 4" xfId="9717" xr:uid="{D40E4333-2A29-4C93-B3E9-F3C35B531CF4}"/>
    <cellStyle name="Comma 23 3 4 2" xfId="46225" xr:uid="{608FEED8-2A13-4B1D-AD5A-13D618F6301E}"/>
    <cellStyle name="Comma 23 3 4 3" xfId="27971" xr:uid="{2E4CC40B-61BE-415C-BC45-91688FCBC897}"/>
    <cellStyle name="Comma 23 3 5" xfId="6067" xr:uid="{FC37DEAF-D8F2-48F5-A85E-9467313E95FB}"/>
    <cellStyle name="Comma 23 3 5 2" xfId="42575" xr:uid="{F66CA509-23FB-44D9-B99E-1A9A763B0894}"/>
    <cellStyle name="Comma 23 3 5 3" xfId="24321" xr:uid="{9CBF6CD5-AAFD-4011-9261-260302CD9A33}"/>
    <cellStyle name="Comma 23 3 6" xfId="38925" xr:uid="{4D136CA6-A36D-48D6-BB88-693012E2E320}"/>
    <cellStyle name="Comma 23 3 7" xfId="20671" xr:uid="{0FDD41F4-AF96-4063-AB1A-92603EF01465}"/>
    <cellStyle name="Comma 23 4" xfId="1687" xr:uid="{7BFFED14-E118-4AC5-87F5-68AD61AE3456}"/>
    <cellStyle name="Comma 23 4 2" xfId="16287" xr:uid="{639CEEDD-E446-4727-8D59-133C29DC2869}"/>
    <cellStyle name="Comma 23 4 2 2" xfId="52795" xr:uid="{53C47104-A2E9-464D-87F8-ABE43B0BCFA8}"/>
    <cellStyle name="Comma 23 4 2 3" xfId="34541" xr:uid="{DCC8C3F8-0BE1-4501-9F5D-1F20BA7E582F}"/>
    <cellStyle name="Comma 23 4 3" xfId="12637" xr:uid="{3604B745-B22E-49FD-95E1-E0BD56281AF8}"/>
    <cellStyle name="Comma 23 4 3 2" xfId="49145" xr:uid="{E88B3EB3-8AFF-4295-9236-37EE33036F3B}"/>
    <cellStyle name="Comma 23 4 3 3" xfId="30891" xr:uid="{6A943ECA-0178-46DB-9615-787B0C15AE57}"/>
    <cellStyle name="Comma 23 4 4" xfId="8987" xr:uid="{62CBD082-B7A0-4F34-9816-816A741F6A85}"/>
    <cellStyle name="Comma 23 4 4 2" xfId="45495" xr:uid="{3F9CB99D-1E82-4521-B596-BDA17747E477}"/>
    <cellStyle name="Comma 23 4 4 3" xfId="27241" xr:uid="{71CE9865-CEBF-470C-9DCC-3F3A9B09C516}"/>
    <cellStyle name="Comma 23 4 5" xfId="5337" xr:uid="{D3F779BA-4D3C-42AA-B00A-E586C7779698}"/>
    <cellStyle name="Comma 23 4 5 2" xfId="41845" xr:uid="{05F1D970-E546-4E0B-87EE-69B518A8DB4D}"/>
    <cellStyle name="Comma 23 4 5 3" xfId="23591" xr:uid="{485BEC8D-C82D-4F35-8A5F-FE1D4D71D5CE}"/>
    <cellStyle name="Comma 23 4 6" xfId="38195" xr:uid="{337D09B3-285B-439D-B45C-E56A11BCC438}"/>
    <cellStyle name="Comma 23 4 7" xfId="19941" xr:uid="{75A21425-ED59-4F76-8376-C2128DC70918}"/>
    <cellStyle name="Comma 23 5" xfId="957" xr:uid="{44864075-0EC4-4971-A988-18DFA4E22A71}"/>
    <cellStyle name="Comma 23 5 2" xfId="15557" xr:uid="{A6F44FB9-56F1-4EBF-B4BB-BBF4905E831A}"/>
    <cellStyle name="Comma 23 5 2 2" xfId="52065" xr:uid="{5EAB7F06-33B3-4C5F-8069-02507567EF20}"/>
    <cellStyle name="Comma 23 5 2 3" xfId="33811" xr:uid="{989BD85C-D30F-4385-9095-BF2B5933F359}"/>
    <cellStyle name="Comma 23 5 3" xfId="11907" xr:uid="{F6EC1D7E-B16A-4C26-A487-BF4E2809313E}"/>
    <cellStyle name="Comma 23 5 3 2" xfId="48415" xr:uid="{8A7F95D8-03C0-4B42-9F24-B6B2E07F8DA2}"/>
    <cellStyle name="Comma 23 5 3 3" xfId="30161" xr:uid="{6CBAAD5B-20F0-45E9-8E75-8A0490797328}"/>
    <cellStyle name="Comma 23 5 4" xfId="8257" xr:uid="{95C37E36-458C-4A69-B2E5-6926A41192C1}"/>
    <cellStyle name="Comma 23 5 4 2" xfId="44765" xr:uid="{87AF9E69-7E88-46DE-9133-4C6943956C8E}"/>
    <cellStyle name="Comma 23 5 4 3" xfId="26511" xr:uid="{12F06734-D935-49C0-B75C-417A3430CDEE}"/>
    <cellStyle name="Comma 23 5 5" xfId="4607" xr:uid="{B0455D40-FBA4-4442-A0D0-5636CC5ADB3F}"/>
    <cellStyle name="Comma 23 5 5 2" xfId="41115" xr:uid="{5E86A03E-D337-4FF0-9A44-A22989ADDB0B}"/>
    <cellStyle name="Comma 23 5 5 3" xfId="22861" xr:uid="{71D421B1-E51E-484C-BFA5-434883694380}"/>
    <cellStyle name="Comma 23 5 6" xfId="37465" xr:uid="{57176008-304B-4178-A473-0F26A59CB07D}"/>
    <cellStyle name="Comma 23 5 7" xfId="19211" xr:uid="{969DBE14-83BF-4F54-8CC4-38DDCE23536D}"/>
    <cellStyle name="Comma 23 6" xfId="14827" xr:uid="{EA3C3F04-21BE-4CD8-9090-79CACEE636C5}"/>
    <cellStyle name="Comma 23 6 2" xfId="51335" xr:uid="{E7EAA9ED-0174-41BE-A96C-2629EAAA009D}"/>
    <cellStyle name="Comma 23 6 3" xfId="33081" xr:uid="{C83EA391-0487-4CAD-B652-ACDDBF17774C}"/>
    <cellStyle name="Comma 23 7" xfId="11177" xr:uid="{706F384D-847C-4B2B-B1BC-87DF48ECC313}"/>
    <cellStyle name="Comma 23 7 2" xfId="47685" xr:uid="{2CC46387-F089-4EEF-B548-DFAAA9BBBB80}"/>
    <cellStyle name="Comma 23 7 3" xfId="29431" xr:uid="{6E6CE4E2-9635-4F53-8497-B66B76F3CA5F}"/>
    <cellStyle name="Comma 23 8" xfId="7527" xr:uid="{D762EA27-A252-4667-97EC-A1A89EA0D0BA}"/>
    <cellStyle name="Comma 23 8 2" xfId="44035" xr:uid="{715B679B-82C6-41D7-936E-0E32E6961A45}"/>
    <cellStyle name="Comma 23 8 3" xfId="25781" xr:uid="{170142CE-0BA9-479D-B57F-001755B966A6}"/>
    <cellStyle name="Comma 23 9" xfId="3877" xr:uid="{45C1DF07-AE8E-476D-840F-B7742CA28430}"/>
    <cellStyle name="Comma 23 9 2" xfId="40385" xr:uid="{147ACD2B-451A-4CFB-97BC-3B6B787333D2}"/>
    <cellStyle name="Comma 23 9 3" xfId="22131" xr:uid="{D4776749-7805-4584-B9DA-07B75982917E}"/>
    <cellStyle name="Comma 24" xfId="123" xr:uid="{E116C6E3-D1AB-4751-A398-F108542810D2}"/>
    <cellStyle name="Comma 24 10" xfId="36631" xr:uid="{E1449A0D-395F-4343-8248-BFDDDC15AD87}"/>
    <cellStyle name="Comma 24 11" xfId="18377" xr:uid="{CDB9130A-5A77-42ED-9ACA-F70DE1E4B512}"/>
    <cellStyle name="Comma 24 2" xfId="3043" xr:uid="{EC07228B-D0F0-4F14-AA37-BF32D22D4D6D}"/>
    <cellStyle name="Comma 24 2 2" xfId="17643" xr:uid="{D03D5483-92DE-4053-A83B-DA12BA8A764C}"/>
    <cellStyle name="Comma 24 2 2 2" xfId="54151" xr:uid="{0CC50667-5A3F-4D61-A596-6C821A2B84A4}"/>
    <cellStyle name="Comma 24 2 2 3" xfId="35897" xr:uid="{7CCA54A2-A343-4184-AD50-D6666C511ACA}"/>
    <cellStyle name="Comma 24 2 3" xfId="13993" xr:uid="{958B4486-A5B5-4C32-BDB5-C6A7FC2CF866}"/>
    <cellStyle name="Comma 24 2 3 2" xfId="50501" xr:uid="{B2CC96FC-370A-4E91-B59C-D1057225B4F4}"/>
    <cellStyle name="Comma 24 2 3 3" xfId="32247" xr:uid="{91063816-CD05-401D-A1BA-4E9ED588881B}"/>
    <cellStyle name="Comma 24 2 4" xfId="10343" xr:uid="{7913FC5F-7604-47D1-BDD7-73FF3730C245}"/>
    <cellStyle name="Comma 24 2 4 2" xfId="46851" xr:uid="{DDAD2AAA-2989-494A-A989-7D2F7699B550}"/>
    <cellStyle name="Comma 24 2 4 3" xfId="28597" xr:uid="{9829826B-2BDF-463B-907A-0643C5F0D006}"/>
    <cellStyle name="Comma 24 2 5" xfId="6693" xr:uid="{CD8C606D-AC33-4BD7-97EB-CE3EBBCA5335}"/>
    <cellStyle name="Comma 24 2 5 2" xfId="43201" xr:uid="{EACDC7DF-443D-4A09-B2C5-FF5786520308}"/>
    <cellStyle name="Comma 24 2 5 3" xfId="24947" xr:uid="{552E20EE-CD81-4060-9418-B625BA6645D1}"/>
    <cellStyle name="Comma 24 2 6" xfId="39551" xr:uid="{0E64A1E3-47B6-44C4-8DA3-3FC8F9791BB8}"/>
    <cellStyle name="Comma 24 2 7" xfId="21297" xr:uid="{AEDBA128-517B-42AB-BE91-ED55D150FFE7}"/>
    <cellStyle name="Comma 24 3" xfId="2313" xr:uid="{5B5EE71E-E370-4A44-AC20-2A668643E2A4}"/>
    <cellStyle name="Comma 24 3 2" xfId="16913" xr:uid="{E4ACDD83-EBD1-4A31-94E6-5DC44062C1C8}"/>
    <cellStyle name="Comma 24 3 2 2" xfId="53421" xr:uid="{48B354A6-B3AE-4FD2-A0AD-007F4437D72E}"/>
    <cellStyle name="Comma 24 3 2 3" xfId="35167" xr:uid="{B4193121-CBCF-48F7-A0AD-BC20B8134615}"/>
    <cellStyle name="Comma 24 3 3" xfId="13263" xr:uid="{688E48FC-B885-4D8E-99C3-2D8A19D0BCAC}"/>
    <cellStyle name="Comma 24 3 3 2" xfId="49771" xr:uid="{6F468E8A-B5DE-4D3C-AE82-BDF88475DDF9}"/>
    <cellStyle name="Comma 24 3 3 3" xfId="31517" xr:uid="{DCC467FE-0832-45F6-B85A-6E294A64D3A9}"/>
    <cellStyle name="Comma 24 3 4" xfId="9613" xr:uid="{0AEB79B2-2FF8-4D08-8FD5-63649C428747}"/>
    <cellStyle name="Comma 24 3 4 2" xfId="46121" xr:uid="{445EDC72-EDF6-4A47-95AE-1FECFF13D1E4}"/>
    <cellStyle name="Comma 24 3 4 3" xfId="27867" xr:uid="{0C3E25DC-87C8-4F12-9D91-C97F1A427DAD}"/>
    <cellStyle name="Comma 24 3 5" xfId="5963" xr:uid="{55778F56-D2AA-4945-9FFF-8BFEFDF3F55C}"/>
    <cellStyle name="Comma 24 3 5 2" xfId="42471" xr:uid="{1965FC58-186E-41EA-9B83-83CA2900E822}"/>
    <cellStyle name="Comma 24 3 5 3" xfId="24217" xr:uid="{190C3FEE-8DBA-45D8-AE5C-0C42042C6540}"/>
    <cellStyle name="Comma 24 3 6" xfId="38821" xr:uid="{D0FF5F4F-95DF-48A6-8791-07D671B1B263}"/>
    <cellStyle name="Comma 24 3 7" xfId="20567" xr:uid="{8A0A73FE-0DA4-43BC-8A8F-2D59764FE9EB}"/>
    <cellStyle name="Comma 24 4" xfId="1583" xr:uid="{BC2B0A82-CA00-445C-A93F-633D51F585B1}"/>
    <cellStyle name="Comma 24 4 2" xfId="16183" xr:uid="{C41DFDC1-26CC-4918-BD88-1F6E6EA57C3C}"/>
    <cellStyle name="Comma 24 4 2 2" xfId="52691" xr:uid="{FBE4297E-7AB7-4AEE-9A5B-F9372C35FDA6}"/>
    <cellStyle name="Comma 24 4 2 3" xfId="34437" xr:uid="{DA07AC93-417C-408E-8B7A-8D71DC7F6AC0}"/>
    <cellStyle name="Comma 24 4 3" xfId="12533" xr:uid="{CD2A7B89-58CC-41CA-ADCF-ED0505036CE4}"/>
    <cellStyle name="Comma 24 4 3 2" xfId="49041" xr:uid="{906662AB-DD63-495C-AEB5-BB327A6B2158}"/>
    <cellStyle name="Comma 24 4 3 3" xfId="30787" xr:uid="{3087FF17-1742-4AD3-8379-5B95CA9155CB}"/>
    <cellStyle name="Comma 24 4 4" xfId="8883" xr:uid="{F070E9D6-5F85-4E78-8C36-C9312F150104}"/>
    <cellStyle name="Comma 24 4 4 2" xfId="45391" xr:uid="{93D88FFB-6C39-40C9-A0CB-689D414FA2A3}"/>
    <cellStyle name="Comma 24 4 4 3" xfId="27137" xr:uid="{8E8DFBAA-5832-4793-8EC9-64A758BB62C5}"/>
    <cellStyle name="Comma 24 4 5" xfId="5233" xr:uid="{FC2AD48A-C5E5-4917-8495-118387F2E9B1}"/>
    <cellStyle name="Comma 24 4 5 2" xfId="41741" xr:uid="{23EC37A4-BCA9-4780-A8A3-3FF1FA91554F}"/>
    <cellStyle name="Comma 24 4 5 3" xfId="23487" xr:uid="{DD5873C3-C887-415A-A15D-17B77CE7F7BD}"/>
    <cellStyle name="Comma 24 4 6" xfId="38091" xr:uid="{AF84548C-8B24-4ECC-9261-51703AFC470F}"/>
    <cellStyle name="Comma 24 4 7" xfId="19837" xr:uid="{EA3C1D65-5779-476B-977A-46C1AEB213F3}"/>
    <cellStyle name="Comma 24 5" xfId="853" xr:uid="{8F0163D7-1093-43F7-A9AB-E554F5CC2984}"/>
    <cellStyle name="Comma 24 5 2" xfId="15453" xr:uid="{63585F0A-3B19-4B92-8367-403556826E39}"/>
    <cellStyle name="Comma 24 5 2 2" xfId="51961" xr:uid="{68F0CA79-B665-4A3E-9936-A1707C055479}"/>
    <cellStyle name="Comma 24 5 2 3" xfId="33707" xr:uid="{8AD54A68-A10B-4FB5-951A-3D0397442F80}"/>
    <cellStyle name="Comma 24 5 3" xfId="11803" xr:uid="{D023B9AC-91C8-4CDC-B359-5DB9997EF224}"/>
    <cellStyle name="Comma 24 5 3 2" xfId="48311" xr:uid="{8E4E30A5-F2D1-4C02-93E1-8710F3FD25C1}"/>
    <cellStyle name="Comma 24 5 3 3" xfId="30057" xr:uid="{7C84F576-59B6-4449-A971-CB08BB589233}"/>
    <cellStyle name="Comma 24 5 4" xfId="8153" xr:uid="{769C05D0-B333-4F5E-B9EC-F6AB38A9FC31}"/>
    <cellStyle name="Comma 24 5 4 2" xfId="44661" xr:uid="{8F0DC79A-EE69-4F59-B500-DC77F1AF9DEC}"/>
    <cellStyle name="Comma 24 5 4 3" xfId="26407" xr:uid="{74400E04-A308-48C8-99B4-82BD8761A2E9}"/>
    <cellStyle name="Comma 24 5 5" xfId="4503" xr:uid="{C6B5501F-3D37-436B-B3F7-ABDBE78A47CD}"/>
    <cellStyle name="Comma 24 5 5 2" xfId="41011" xr:uid="{441405AB-9E8D-44F0-A9D7-01FFB6B5A0D5}"/>
    <cellStyle name="Comma 24 5 5 3" xfId="22757" xr:uid="{2C99779A-DDE6-41F4-964D-945271AFE866}"/>
    <cellStyle name="Comma 24 5 6" xfId="37361" xr:uid="{F3E27156-B7A3-4F5B-B336-DC474D97E331}"/>
    <cellStyle name="Comma 24 5 7" xfId="19107" xr:uid="{7C3B8360-94A2-42CB-8775-12349B8E5517}"/>
    <cellStyle name="Comma 24 6" xfId="14723" xr:uid="{41736738-3DEA-4E04-ACA9-1BFC5E16C6CD}"/>
    <cellStyle name="Comma 24 6 2" xfId="51231" xr:uid="{43BFC721-B645-4352-9F03-9DD7B080C47E}"/>
    <cellStyle name="Comma 24 6 3" xfId="32977" xr:uid="{3921BE09-15B5-4F5A-A7BA-A56430FBEDA4}"/>
    <cellStyle name="Comma 24 7" xfId="11073" xr:uid="{0DAA71B8-EF91-4234-B962-95FB59AB12E4}"/>
    <cellStyle name="Comma 24 7 2" xfId="47581" xr:uid="{29615E28-DA70-4581-892B-C8D8D1107D86}"/>
    <cellStyle name="Comma 24 7 3" xfId="29327" xr:uid="{BF92DB64-CB9A-457C-BDD3-BC087D7B0DAB}"/>
    <cellStyle name="Comma 24 8" xfId="7423" xr:uid="{7BEAD910-22B9-4E71-B94E-4E12B11FF1E8}"/>
    <cellStyle name="Comma 24 8 2" xfId="43931" xr:uid="{58205712-5C89-4091-A12F-E9555D13CEC3}"/>
    <cellStyle name="Comma 24 8 3" xfId="25677" xr:uid="{32AEEF92-FAD8-4FB3-85D5-A12772EE3DB2}"/>
    <cellStyle name="Comma 24 9" xfId="3773" xr:uid="{6E04C875-86C0-43CA-92C0-FFAC322F8EFE}"/>
    <cellStyle name="Comma 24 9 2" xfId="40281" xr:uid="{86B94E82-F64E-4DF0-B5DE-518F10597440}"/>
    <cellStyle name="Comma 24 9 3" xfId="22027" xr:uid="{35F1F5AF-550E-4FAF-BCAE-8B7C9BA3DEB1}"/>
    <cellStyle name="Comma 25" xfId="2939" xr:uid="{DE436C0F-EECB-4240-86FF-9428A0EADA7C}"/>
    <cellStyle name="Comma 25 2" xfId="17539" xr:uid="{36B1F638-EDD6-4A81-9455-DC53B3303D3E}"/>
    <cellStyle name="Comma 25 2 2" xfId="54047" xr:uid="{340BE424-0ED0-4E42-8869-B5D6B5E25842}"/>
    <cellStyle name="Comma 25 2 3" xfId="35793" xr:uid="{22730B00-AD1D-4577-A91D-636258B68E13}"/>
    <cellStyle name="Comma 25 3" xfId="13889" xr:uid="{6E6B129D-BE79-4CCD-BAB4-523F74734DAF}"/>
    <cellStyle name="Comma 25 3 2" xfId="50397" xr:uid="{E251CD0A-67D3-4549-AFA2-56D9299FFA01}"/>
    <cellStyle name="Comma 25 3 3" xfId="32143" xr:uid="{6E5483A2-560E-4483-9433-67216CAFA36A}"/>
    <cellStyle name="Comma 25 4" xfId="10239" xr:uid="{0BAB6A4E-B5F5-4EBA-9BA1-5BF514903EAE}"/>
    <cellStyle name="Comma 25 4 2" xfId="46747" xr:uid="{BEDF1A30-E03E-446C-85B5-DD9CA5341A1C}"/>
    <cellStyle name="Comma 25 4 3" xfId="28493" xr:uid="{771E60EC-E924-4C94-9A51-42974140C160}"/>
    <cellStyle name="Comma 25 5" xfId="6589" xr:uid="{45C45D7D-F563-402F-9E7E-F93565FFECDD}"/>
    <cellStyle name="Comma 25 5 2" xfId="43097" xr:uid="{3C10FB93-6D56-44EA-A528-2AF524770297}"/>
    <cellStyle name="Comma 25 5 3" xfId="24843" xr:uid="{E331252F-1317-4BD3-8CFB-5EF95FD8F148}"/>
    <cellStyle name="Comma 25 6" xfId="39447" xr:uid="{D9F38674-B60F-40DD-B75C-9828C12740B3}"/>
    <cellStyle name="Comma 25 7" xfId="21193" xr:uid="{635B2F9D-33C2-4C7F-A9FA-AE3A9FB664E4}"/>
    <cellStyle name="Comma 26" xfId="2209" xr:uid="{DD4ED1E3-FC13-4A56-82CB-E062FC5D357C}"/>
    <cellStyle name="Comma 26 2" xfId="16809" xr:uid="{3160E6BE-6E6F-48CC-8755-6DB9F3B6ABAE}"/>
    <cellStyle name="Comma 26 2 2" xfId="53317" xr:uid="{6854F134-B7EB-4D29-8B64-466109CDB60B}"/>
    <cellStyle name="Comma 26 2 3" xfId="35063" xr:uid="{ED1802A0-1C8F-4722-BCDE-AC421FD62A39}"/>
    <cellStyle name="Comma 26 3" xfId="13159" xr:uid="{56364035-DA72-40C4-94C7-ABC93DF86AF9}"/>
    <cellStyle name="Comma 26 3 2" xfId="49667" xr:uid="{AB5DCC61-F977-4C09-99BF-E6C2797C8A7F}"/>
    <cellStyle name="Comma 26 3 3" xfId="31413" xr:uid="{E5643604-0A31-4F85-A0D1-F2E4CD4A5517}"/>
    <cellStyle name="Comma 26 4" xfId="9509" xr:uid="{8E4F95DA-0765-4E2F-91FF-113E85BC0161}"/>
    <cellStyle name="Comma 26 4 2" xfId="46017" xr:uid="{7EE5B119-3FDA-46AA-843C-0EA9CAA51B71}"/>
    <cellStyle name="Comma 26 4 3" xfId="27763" xr:uid="{59389AC7-094B-4EF3-A4B0-096FC2322E99}"/>
    <cellStyle name="Comma 26 5" xfId="5859" xr:uid="{CB5E39EB-13BF-4B57-8EC2-CEBB5648247B}"/>
    <cellStyle name="Comma 26 5 2" xfId="42367" xr:uid="{60C23504-F22D-46EE-923A-94594E0FA28C}"/>
    <cellStyle name="Comma 26 5 3" xfId="24113" xr:uid="{8C6FA74D-CEA7-4A56-A304-C4E2C2A840A9}"/>
    <cellStyle name="Comma 26 6" xfId="38717" xr:uid="{EA70D951-7EE9-44A2-82D9-06F7D3444BDD}"/>
    <cellStyle name="Comma 26 7" xfId="20463" xr:uid="{201683A3-9DA7-4188-81A0-4FDE3C4FD5E4}"/>
    <cellStyle name="Comma 27" xfId="1479" xr:uid="{F05B1DE0-6954-4F5B-8EA4-50D9F2C1F35A}"/>
    <cellStyle name="Comma 27 2" xfId="16079" xr:uid="{8EA08212-6985-4F68-B444-54FFA154C0B7}"/>
    <cellStyle name="Comma 27 2 2" xfId="52587" xr:uid="{0822EDC8-9EC9-4DBB-8936-1774AB3A311A}"/>
    <cellStyle name="Comma 27 2 3" xfId="34333" xr:uid="{39F36409-2BF7-45DD-8024-B70E9FDA817C}"/>
    <cellStyle name="Comma 27 3" xfId="12429" xr:uid="{696D8563-9C89-4B56-981B-84519A6389E9}"/>
    <cellStyle name="Comma 27 3 2" xfId="48937" xr:uid="{59320E1F-F405-4B0B-8021-09232B0D6029}"/>
    <cellStyle name="Comma 27 3 3" xfId="30683" xr:uid="{EF490C13-FBA1-42C4-BD25-FACE891830DE}"/>
    <cellStyle name="Comma 27 4" xfId="8779" xr:uid="{92225AD7-C460-48BC-9E09-8F851458844A}"/>
    <cellStyle name="Comma 27 4 2" xfId="45287" xr:uid="{2F5E8F6A-A86F-4E10-A922-7AD489389536}"/>
    <cellStyle name="Comma 27 4 3" xfId="27033" xr:uid="{4EC798D4-D4BD-4F76-B6E4-EDC3EF4CF35F}"/>
    <cellStyle name="Comma 27 5" xfId="5129" xr:uid="{B8907F12-A0FC-4A3B-AFB9-D581067B7B0C}"/>
    <cellStyle name="Comma 27 5 2" xfId="41637" xr:uid="{9E6BDB16-91FB-4F80-8401-756DD0003A0D}"/>
    <cellStyle name="Comma 27 5 3" xfId="23383" xr:uid="{1F0BC7F0-40A6-4919-8FEE-11E8003B4343}"/>
    <cellStyle name="Comma 27 6" xfId="37987" xr:uid="{A771664F-AB21-4F15-9DA4-9490A5FF3808}"/>
    <cellStyle name="Comma 27 7" xfId="19733" xr:uid="{C88A0639-67D0-47CB-8C72-65AE39FC748C}"/>
    <cellStyle name="Comma 28" xfId="749" xr:uid="{99C56F7F-0D83-463E-956E-AA046E27A21C}"/>
    <cellStyle name="Comma 28 2" xfId="15349" xr:uid="{5EF4CF6E-91DB-440F-B5CB-EAD94F007795}"/>
    <cellStyle name="Comma 28 2 2" xfId="51857" xr:uid="{59E8766F-305D-47AF-8318-49FD2A94F632}"/>
    <cellStyle name="Comma 28 2 3" xfId="33603" xr:uid="{38C00BDA-A23A-4D39-967B-09540D47D7CB}"/>
    <cellStyle name="Comma 28 3" xfId="11699" xr:uid="{9CC72309-A205-4621-8D92-84027F967764}"/>
    <cellStyle name="Comma 28 3 2" xfId="48207" xr:uid="{DFA8EDF5-B696-41CB-8479-9EC02229C6DE}"/>
    <cellStyle name="Comma 28 3 3" xfId="29953" xr:uid="{1D2AF8C4-BFAF-4162-A5CB-BA61292838A8}"/>
    <cellStyle name="Comma 28 4" xfId="8049" xr:uid="{EB2B6070-66BE-4729-AAAE-8B15B6F0F5D1}"/>
    <cellStyle name="Comma 28 4 2" xfId="44557" xr:uid="{7958635B-8171-4568-B262-D97777BD56A0}"/>
    <cellStyle name="Comma 28 4 3" xfId="26303" xr:uid="{23174893-CF0B-4B6C-A354-28168B83C2E2}"/>
    <cellStyle name="Comma 28 5" xfId="4399" xr:uid="{AE6E24B3-E0A0-4B0E-9ADF-7665C7D558E6}"/>
    <cellStyle name="Comma 28 5 2" xfId="40907" xr:uid="{6D5F970A-C51C-4B47-AF6F-E4D92D3A7227}"/>
    <cellStyle name="Comma 28 5 3" xfId="22653" xr:uid="{4F5AD0D8-5FB2-44E7-9404-6C393A0E0DEB}"/>
    <cellStyle name="Comma 28 6" xfId="37257" xr:uid="{4656638C-EF97-4BA6-B59E-4BAAF2FC44D5}"/>
    <cellStyle name="Comma 28 7" xfId="19003" xr:uid="{28C373E3-5006-4641-B4E6-5F580057B555}"/>
    <cellStyle name="Comma 29" xfId="18269" xr:uid="{AC420905-90D8-4635-963E-D1706B3CA6D4}"/>
    <cellStyle name="Comma 29 2" xfId="54777" xr:uid="{58A9E922-A6B9-4D0B-BB42-1435A8CAE876}"/>
    <cellStyle name="Comma 29 3" xfId="36523" xr:uid="{5D999BF9-4F08-46EC-8F19-79EB62E55A4E}"/>
    <cellStyle name="Comma 3" xfId="10" xr:uid="{00000000-0005-0000-0000-000009000000}"/>
    <cellStyle name="Comma 3 10" xfId="333" xr:uid="{CFD19FEA-4EE6-4841-9661-30DF7951B86F}"/>
    <cellStyle name="Comma 3 10 10" xfId="36841" xr:uid="{8D95CAF6-2559-4105-8D5E-79F4728ADE93}"/>
    <cellStyle name="Comma 3 10 11" xfId="18587" xr:uid="{0D1A8788-137C-4BD2-986B-E0F2BFE9A6DD}"/>
    <cellStyle name="Comma 3 10 2" xfId="3253" xr:uid="{14B3886D-98BE-447E-94CE-5D59DFB99EDA}"/>
    <cellStyle name="Comma 3 10 2 2" xfId="17853" xr:uid="{56D80071-CD0D-4161-A6C3-4353713316CF}"/>
    <cellStyle name="Comma 3 10 2 2 2" xfId="54361" xr:uid="{95104EC3-0155-4D24-B3F8-C9FED012907F}"/>
    <cellStyle name="Comma 3 10 2 2 3" xfId="36107" xr:uid="{D9B99BCF-0895-458F-A886-475FA556B067}"/>
    <cellStyle name="Comma 3 10 2 3" xfId="14203" xr:uid="{C83E3055-6179-4580-B9F5-9D41761F4F3A}"/>
    <cellStyle name="Comma 3 10 2 3 2" xfId="50711" xr:uid="{9CB9E510-0D6A-4E35-9B84-2659DDD8D138}"/>
    <cellStyle name="Comma 3 10 2 3 3" xfId="32457" xr:uid="{4FE1AE70-8FBB-4369-9A3F-8146EECD4E4A}"/>
    <cellStyle name="Comma 3 10 2 4" xfId="10553" xr:uid="{9FFC6160-3592-4E5E-9DC8-0E8F8F87178B}"/>
    <cellStyle name="Comma 3 10 2 4 2" xfId="47061" xr:uid="{1ACB4DD0-125E-45C4-AA28-28DFC17D227A}"/>
    <cellStyle name="Comma 3 10 2 4 3" xfId="28807" xr:uid="{6B9F8B09-F693-44D5-A511-956DE2B186C7}"/>
    <cellStyle name="Comma 3 10 2 5" xfId="6903" xr:uid="{9B75A7E1-8F26-4613-BDA2-8665B3CB89FB}"/>
    <cellStyle name="Comma 3 10 2 5 2" xfId="43411" xr:uid="{55B4D609-A900-4EBF-A75C-BAE9C5FB19E7}"/>
    <cellStyle name="Comma 3 10 2 5 3" xfId="25157" xr:uid="{64D05380-7DA0-45E8-A8C3-37A76678E66E}"/>
    <cellStyle name="Comma 3 10 2 6" xfId="39761" xr:uid="{7D8517D6-5095-43A3-91A2-AC565C699248}"/>
    <cellStyle name="Comma 3 10 2 7" xfId="21507" xr:uid="{10FA0FBA-93D7-4CE5-BE5F-880FFDBB3E21}"/>
    <cellStyle name="Comma 3 10 3" xfId="2523" xr:uid="{4A6DB7F3-B1A2-434A-B354-09B59D68E1D9}"/>
    <cellStyle name="Comma 3 10 3 2" xfId="17123" xr:uid="{243487D0-2CC6-4820-AAD4-478B4C89F166}"/>
    <cellStyle name="Comma 3 10 3 2 2" xfId="53631" xr:uid="{0F626B74-3E06-40D4-B8F3-A22DF6700DCD}"/>
    <cellStyle name="Comma 3 10 3 2 3" xfId="35377" xr:uid="{FE626124-D612-4248-B11B-C416A6861C01}"/>
    <cellStyle name="Comma 3 10 3 3" xfId="13473" xr:uid="{3A4CC635-FAB4-4D8F-AB35-46B5D4304224}"/>
    <cellStyle name="Comma 3 10 3 3 2" xfId="49981" xr:uid="{8AA89774-B98A-4014-9A86-FF5F72E66EE3}"/>
    <cellStyle name="Comma 3 10 3 3 3" xfId="31727" xr:uid="{6D6644BE-4BD9-49D6-82A9-92B741169981}"/>
    <cellStyle name="Comma 3 10 3 4" xfId="9823" xr:uid="{59440472-0350-45E5-93FC-44CA6890FBEA}"/>
    <cellStyle name="Comma 3 10 3 4 2" xfId="46331" xr:uid="{37E7F79A-47CC-4F95-A0EA-5DE2A8FD18FC}"/>
    <cellStyle name="Comma 3 10 3 4 3" xfId="28077" xr:uid="{8366EAB8-CE35-4235-9598-69355386C9D0}"/>
    <cellStyle name="Comma 3 10 3 5" xfId="6173" xr:uid="{737EFA2F-1B57-402D-90C2-C3C2B53F28F4}"/>
    <cellStyle name="Comma 3 10 3 5 2" xfId="42681" xr:uid="{AF367A34-A639-486F-98AC-295B765331D8}"/>
    <cellStyle name="Comma 3 10 3 5 3" xfId="24427" xr:uid="{D5D6F129-0EE6-4FA2-9C4F-8795B6CB3C9F}"/>
    <cellStyle name="Comma 3 10 3 6" xfId="39031" xr:uid="{CD6A9D6E-35BF-45D2-906F-2D4839ABF9BC}"/>
    <cellStyle name="Comma 3 10 3 7" xfId="20777" xr:uid="{C4736226-60DF-455C-8F37-834B371F4BA1}"/>
    <cellStyle name="Comma 3 10 4" xfId="1793" xr:uid="{2D5C5E45-4F0C-4F8B-A98B-66C6EDBEB2B3}"/>
    <cellStyle name="Comma 3 10 4 2" xfId="16393" xr:uid="{CCBC5768-F772-48D9-A104-0625D03AEFD1}"/>
    <cellStyle name="Comma 3 10 4 2 2" xfId="52901" xr:uid="{1C246B3F-FC61-476A-9E92-82D3FCB42545}"/>
    <cellStyle name="Comma 3 10 4 2 3" xfId="34647" xr:uid="{954544E5-4841-45AE-9E78-00D021DAD874}"/>
    <cellStyle name="Comma 3 10 4 3" xfId="12743" xr:uid="{1180BA4F-B2D6-4BE8-8495-919E5AF9D81B}"/>
    <cellStyle name="Comma 3 10 4 3 2" xfId="49251" xr:uid="{B904CCE5-E253-414C-9460-A720AD691F7B}"/>
    <cellStyle name="Comma 3 10 4 3 3" xfId="30997" xr:uid="{A5C346ED-4AFC-4B00-A142-797E46BAAAF6}"/>
    <cellStyle name="Comma 3 10 4 4" xfId="9093" xr:uid="{929D06F3-9EA7-4900-AE09-4C1C995BC2BC}"/>
    <cellStyle name="Comma 3 10 4 4 2" xfId="45601" xr:uid="{6BB40F29-9366-4B59-B76F-4455E5BA759A}"/>
    <cellStyle name="Comma 3 10 4 4 3" xfId="27347" xr:uid="{A14F8B80-6099-4ED6-83CC-42FCD6C05504}"/>
    <cellStyle name="Comma 3 10 4 5" xfId="5443" xr:uid="{FDC0EA7A-D55C-421A-97E5-7D17A2A550C8}"/>
    <cellStyle name="Comma 3 10 4 5 2" xfId="41951" xr:uid="{77926DBC-D4E5-415C-90DF-4C75C3001C55}"/>
    <cellStyle name="Comma 3 10 4 5 3" xfId="23697" xr:uid="{24210889-77D4-4152-A47A-2E7A6CC0F593}"/>
    <cellStyle name="Comma 3 10 4 6" xfId="38301" xr:uid="{80878597-01A2-40E6-88A3-52EAE838627C}"/>
    <cellStyle name="Comma 3 10 4 7" xfId="20047" xr:uid="{DF288B8B-77D7-472F-88B6-A66D90B09067}"/>
    <cellStyle name="Comma 3 10 5" xfId="1063" xr:uid="{15014BFD-2877-4CEE-9CB1-1D68440FD993}"/>
    <cellStyle name="Comma 3 10 5 2" xfId="15663" xr:uid="{4231C46F-1888-4DCF-9F43-800421D1653F}"/>
    <cellStyle name="Comma 3 10 5 2 2" xfId="52171" xr:uid="{6EA3A36D-CDF0-4E36-8AC8-D124A8343944}"/>
    <cellStyle name="Comma 3 10 5 2 3" xfId="33917" xr:uid="{C5732611-45A0-4703-AFC6-3FCC280A8F43}"/>
    <cellStyle name="Comma 3 10 5 3" xfId="12013" xr:uid="{4F4B7280-1BDA-4DC7-9B1F-F1D4EA151D85}"/>
    <cellStyle name="Comma 3 10 5 3 2" xfId="48521" xr:uid="{7C1BC8E7-15DD-4B65-85E2-0AECF126BCB0}"/>
    <cellStyle name="Comma 3 10 5 3 3" xfId="30267" xr:uid="{35A1A70B-EF17-47B8-BB97-76109140D1E1}"/>
    <cellStyle name="Comma 3 10 5 4" xfId="8363" xr:uid="{D898F458-9806-446B-BD92-73EBF5430FC4}"/>
    <cellStyle name="Comma 3 10 5 4 2" xfId="44871" xr:uid="{6CDE4BB5-1E20-4B21-A79F-432B7BE8700F}"/>
    <cellStyle name="Comma 3 10 5 4 3" xfId="26617" xr:uid="{C90CA371-7A49-49A3-B0B8-C4475FC05AF3}"/>
    <cellStyle name="Comma 3 10 5 5" xfId="4713" xr:uid="{E8A4E53C-B219-4808-A04B-1EA207054FCF}"/>
    <cellStyle name="Comma 3 10 5 5 2" xfId="41221" xr:uid="{09283DFA-EEA1-425F-9779-73B848009720}"/>
    <cellStyle name="Comma 3 10 5 5 3" xfId="22967" xr:uid="{B933D129-773D-4904-8530-2D75ECD214E5}"/>
    <cellStyle name="Comma 3 10 5 6" xfId="37571" xr:uid="{586CCBFC-F648-4EEB-BF28-D73A9220A67A}"/>
    <cellStyle name="Comma 3 10 5 7" xfId="19317" xr:uid="{16EB21D2-796B-4922-A4D2-E3A1402D7747}"/>
    <cellStyle name="Comma 3 10 6" xfId="14933" xr:uid="{FCDA636E-47EA-46D2-A8DD-06E7CF8392F9}"/>
    <cellStyle name="Comma 3 10 6 2" xfId="51441" xr:uid="{039807AD-E572-4829-8FA2-C92680FC9308}"/>
    <cellStyle name="Comma 3 10 6 3" xfId="33187" xr:uid="{83061E62-8BCB-47C2-AEB7-ED692D2EB2C8}"/>
    <cellStyle name="Comma 3 10 7" xfId="11283" xr:uid="{09F935AB-2D9A-4314-8130-D5999390BD06}"/>
    <cellStyle name="Comma 3 10 7 2" xfId="47791" xr:uid="{DF1E0970-2E54-47CB-A8C1-70DA78FEB38A}"/>
    <cellStyle name="Comma 3 10 7 3" xfId="29537" xr:uid="{7607040E-974C-424C-9F8E-C3A3C2935DA9}"/>
    <cellStyle name="Comma 3 10 8" xfId="7633" xr:uid="{3EF0F631-4894-4AC8-BD42-586B9F712D99}"/>
    <cellStyle name="Comma 3 10 8 2" xfId="44141" xr:uid="{A378E92F-1B4D-448E-BF0A-2A8A77521A52}"/>
    <cellStyle name="Comma 3 10 8 3" xfId="25887" xr:uid="{BB7C280B-FBEA-4BB2-A281-957D57D5423B}"/>
    <cellStyle name="Comma 3 10 9" xfId="3983" xr:uid="{883C6F67-C14B-4DF3-ABA7-D0E7C1F06B0C}"/>
    <cellStyle name="Comma 3 10 9 2" xfId="40491" xr:uid="{23BA6FBC-2998-4E62-8D8D-145F5A020E8D}"/>
    <cellStyle name="Comma 3 10 9 3" xfId="22237" xr:uid="{61206BC9-5909-4E3D-9B3B-27689449C899}"/>
    <cellStyle name="Comma 3 11" xfId="229" xr:uid="{ED5015B3-E54C-4E53-8D62-E21B3205B67B}"/>
    <cellStyle name="Comma 3 11 10" xfId="36737" xr:uid="{90F037E5-15F6-4865-A516-5410C759145E}"/>
    <cellStyle name="Comma 3 11 11" xfId="18483" xr:uid="{92C8DF34-51A5-4C9E-A7DF-A39D8EA743F9}"/>
    <cellStyle name="Comma 3 11 2" xfId="3149" xr:uid="{D88C8C08-6728-4953-A401-085BF95755C4}"/>
    <cellStyle name="Comma 3 11 2 2" xfId="17749" xr:uid="{B02407F7-4436-4E7B-9102-4FB2BE798B79}"/>
    <cellStyle name="Comma 3 11 2 2 2" xfId="54257" xr:uid="{EF5BBC36-7107-4682-A625-610459F55049}"/>
    <cellStyle name="Comma 3 11 2 2 3" xfId="36003" xr:uid="{E4F2154D-2FEA-4F6B-BEAE-0113CD2AC55B}"/>
    <cellStyle name="Comma 3 11 2 3" xfId="14099" xr:uid="{DCC2D2D2-715F-4D8E-9132-081371BBEDC8}"/>
    <cellStyle name="Comma 3 11 2 3 2" xfId="50607" xr:uid="{6AFB8067-D4C9-4748-909B-781104A27A7E}"/>
    <cellStyle name="Comma 3 11 2 3 3" xfId="32353" xr:uid="{032E4F53-1BD3-40CC-80F6-C4C50AD7CFB8}"/>
    <cellStyle name="Comma 3 11 2 4" xfId="10449" xr:uid="{4BA2C696-10D0-4141-95E1-3D309F5A8F42}"/>
    <cellStyle name="Comma 3 11 2 4 2" xfId="46957" xr:uid="{A81617E6-805A-4C74-BFE9-AA98E6FBBAF3}"/>
    <cellStyle name="Comma 3 11 2 4 3" xfId="28703" xr:uid="{BB66BA14-D1BE-4C07-8577-A32E138D231B}"/>
    <cellStyle name="Comma 3 11 2 5" xfId="6799" xr:uid="{39CE1EC0-0F04-4FB0-A599-C140D6A73124}"/>
    <cellStyle name="Comma 3 11 2 5 2" xfId="43307" xr:uid="{A1B02AFB-182E-4D46-B2FF-E04B66D0AD8B}"/>
    <cellStyle name="Comma 3 11 2 5 3" xfId="25053" xr:uid="{8608AC86-FCB2-43D6-8B40-E7B87EEC37CA}"/>
    <cellStyle name="Comma 3 11 2 6" xfId="39657" xr:uid="{6C22BB21-BACA-4325-85B7-DF7B604CAEB4}"/>
    <cellStyle name="Comma 3 11 2 7" xfId="21403" xr:uid="{72EDAF6D-6839-43CF-911D-F77C89053D9D}"/>
    <cellStyle name="Comma 3 11 3" xfId="2419" xr:uid="{97F0EA2C-C105-4EDC-8872-CDB6BB8F460C}"/>
    <cellStyle name="Comma 3 11 3 2" xfId="17019" xr:uid="{19FAA2D1-B80F-43B5-A2A7-9CBDD39874C9}"/>
    <cellStyle name="Comma 3 11 3 2 2" xfId="53527" xr:uid="{A05B3B47-D81D-4CC9-9370-4A4B7F918E97}"/>
    <cellStyle name="Comma 3 11 3 2 3" xfId="35273" xr:uid="{178DA4C7-4160-41D2-B6AC-D54BBB81A21A}"/>
    <cellStyle name="Comma 3 11 3 3" xfId="13369" xr:uid="{50AE64A9-25D7-4CC0-948B-7E636DDAF7F1}"/>
    <cellStyle name="Comma 3 11 3 3 2" xfId="49877" xr:uid="{14AF37A7-7924-4A71-8061-3DCEDE440DAB}"/>
    <cellStyle name="Comma 3 11 3 3 3" xfId="31623" xr:uid="{7B2627E6-7966-40F3-A033-7654E8678ADB}"/>
    <cellStyle name="Comma 3 11 3 4" xfId="9719" xr:uid="{80BB11CE-371C-46A3-BA78-825111426C14}"/>
    <cellStyle name="Comma 3 11 3 4 2" xfId="46227" xr:uid="{73224C9A-1D4F-4488-8335-CE531843DC58}"/>
    <cellStyle name="Comma 3 11 3 4 3" xfId="27973" xr:uid="{B47A673F-87D6-4E60-A132-38679DA41B6F}"/>
    <cellStyle name="Comma 3 11 3 5" xfId="6069" xr:uid="{AB469280-C76F-4ACF-B82D-AA68892329B7}"/>
    <cellStyle name="Comma 3 11 3 5 2" xfId="42577" xr:uid="{30CEC405-600E-4635-A91B-C21DD75828CE}"/>
    <cellStyle name="Comma 3 11 3 5 3" xfId="24323" xr:uid="{66BD6024-5A4B-4106-94F0-E5839E19B66B}"/>
    <cellStyle name="Comma 3 11 3 6" xfId="38927" xr:uid="{8B58C6CA-7E12-4A02-A8A8-F9429CE5C1D2}"/>
    <cellStyle name="Comma 3 11 3 7" xfId="20673" xr:uid="{08E25F7F-E2CD-4104-860B-E63A9E6494CF}"/>
    <cellStyle name="Comma 3 11 4" xfId="1689" xr:uid="{87267D94-A8D5-4FC7-B96D-E19086315C32}"/>
    <cellStyle name="Comma 3 11 4 2" xfId="16289" xr:uid="{F9EA3AC3-7CAA-4AAA-8BB3-C7E1BD09F65B}"/>
    <cellStyle name="Comma 3 11 4 2 2" xfId="52797" xr:uid="{FE625C91-8A09-4747-A1F5-1C2E0325652F}"/>
    <cellStyle name="Comma 3 11 4 2 3" xfId="34543" xr:uid="{ACC3ABE5-7071-454E-9E54-4CE4C4660B16}"/>
    <cellStyle name="Comma 3 11 4 3" xfId="12639" xr:uid="{98FF2429-9E05-4FDA-86CC-2A55AD7F8C84}"/>
    <cellStyle name="Comma 3 11 4 3 2" xfId="49147" xr:uid="{4BCD72A9-1A42-4AF5-AE93-A1F89480FB34}"/>
    <cellStyle name="Comma 3 11 4 3 3" xfId="30893" xr:uid="{C8BCDD1F-C2A2-4B4A-8899-A9EC1C59A8D8}"/>
    <cellStyle name="Comma 3 11 4 4" xfId="8989" xr:uid="{BD8A6318-1787-4A73-9507-6D51E7FCA2AA}"/>
    <cellStyle name="Comma 3 11 4 4 2" xfId="45497" xr:uid="{22B5A084-E429-4D20-8C5D-CFE6745481FA}"/>
    <cellStyle name="Comma 3 11 4 4 3" xfId="27243" xr:uid="{CF9CADCA-F74A-4341-A722-8CD20D3A2E86}"/>
    <cellStyle name="Comma 3 11 4 5" xfId="5339" xr:uid="{09AA09AD-B871-4DEF-B7F7-E02EA19E6EAB}"/>
    <cellStyle name="Comma 3 11 4 5 2" xfId="41847" xr:uid="{95F45B9A-C2CF-4D6F-9F7E-39970B926C00}"/>
    <cellStyle name="Comma 3 11 4 5 3" xfId="23593" xr:uid="{12D57A6C-99CF-434E-BDD4-6D4D6711BD74}"/>
    <cellStyle name="Comma 3 11 4 6" xfId="38197" xr:uid="{0902AB27-ACB0-4219-AC4D-FC55A4526345}"/>
    <cellStyle name="Comma 3 11 4 7" xfId="19943" xr:uid="{12CC3997-6C69-44C5-841B-CF5167FD8175}"/>
    <cellStyle name="Comma 3 11 5" xfId="959" xr:uid="{1F39D140-841C-4FC9-B594-8C1AA41AA6B0}"/>
    <cellStyle name="Comma 3 11 5 2" xfId="15559" xr:uid="{4D8D6CDE-EA53-4C1A-9734-48E0935C54A4}"/>
    <cellStyle name="Comma 3 11 5 2 2" xfId="52067" xr:uid="{512DB569-9C76-41DD-B8A1-F94D2856CF0B}"/>
    <cellStyle name="Comma 3 11 5 2 3" xfId="33813" xr:uid="{FD3B3CF0-5157-4815-BC01-F85338795259}"/>
    <cellStyle name="Comma 3 11 5 3" xfId="11909" xr:uid="{D27DCEF7-27A2-4474-AB6C-709146B2D075}"/>
    <cellStyle name="Comma 3 11 5 3 2" xfId="48417" xr:uid="{F361DEC7-0365-423C-B3F2-E6B2702CA988}"/>
    <cellStyle name="Comma 3 11 5 3 3" xfId="30163" xr:uid="{7700AF86-735B-4B4B-B9D4-278139A88B6F}"/>
    <cellStyle name="Comma 3 11 5 4" xfId="8259" xr:uid="{17DCAF76-5590-4512-B39B-21F5FAE8FE5E}"/>
    <cellStyle name="Comma 3 11 5 4 2" xfId="44767" xr:uid="{7B668A24-0B7F-40BA-AE1B-754AB74642D1}"/>
    <cellStyle name="Comma 3 11 5 4 3" xfId="26513" xr:uid="{E172FBA4-EDA3-421E-8758-43628FAD14AA}"/>
    <cellStyle name="Comma 3 11 5 5" xfId="4609" xr:uid="{DF693288-BA52-4AD9-901A-2CA07600B773}"/>
    <cellStyle name="Comma 3 11 5 5 2" xfId="41117" xr:uid="{9434F435-43D2-47DC-AAE1-C4EA926F17D8}"/>
    <cellStyle name="Comma 3 11 5 5 3" xfId="22863" xr:uid="{5DCA9980-ED55-419B-9CF7-2B026EF83A2E}"/>
    <cellStyle name="Comma 3 11 5 6" xfId="37467" xr:uid="{4242F6A7-F205-4ADD-9967-CB85464566DA}"/>
    <cellStyle name="Comma 3 11 5 7" xfId="19213" xr:uid="{B86A9361-4880-4E5B-9943-13BC58FD79E4}"/>
    <cellStyle name="Comma 3 11 6" xfId="14829" xr:uid="{EAE12520-B57D-428D-A5A5-E6386EB01BC9}"/>
    <cellStyle name="Comma 3 11 6 2" xfId="51337" xr:uid="{6C02AC23-DA46-4314-A051-89F435CD30CF}"/>
    <cellStyle name="Comma 3 11 6 3" xfId="33083" xr:uid="{BCA387F9-2F94-4156-A7EE-46FFD1E1587E}"/>
    <cellStyle name="Comma 3 11 7" xfId="11179" xr:uid="{3B817C73-CB92-4599-887D-C0B8343EE41D}"/>
    <cellStyle name="Comma 3 11 7 2" xfId="47687" xr:uid="{B8DADE7A-EBC1-4A78-ADE4-3E402B41889E}"/>
    <cellStyle name="Comma 3 11 7 3" xfId="29433" xr:uid="{FDBEED30-4936-4811-9DDF-7BD93575793C}"/>
    <cellStyle name="Comma 3 11 8" xfId="7529" xr:uid="{8EB26DA8-0BD8-4903-94D7-DD70F60C9819}"/>
    <cellStyle name="Comma 3 11 8 2" xfId="44037" xr:uid="{22B96494-00A9-48FF-BEF4-AD231C7CA1AF}"/>
    <cellStyle name="Comma 3 11 8 3" xfId="25783" xr:uid="{F0FE2A2A-FCCD-4BCE-AA73-98A8C98D4199}"/>
    <cellStyle name="Comma 3 11 9" xfId="3879" xr:uid="{A7A83289-BC7F-43A3-95AE-C9634A2835D1}"/>
    <cellStyle name="Comma 3 11 9 2" xfId="40387" xr:uid="{C33A9E07-46B5-4EE3-96FE-0A4848FF41ED}"/>
    <cellStyle name="Comma 3 11 9 3" xfId="22133" xr:uid="{71C48A94-DC81-4248-963B-ED53214B9BAB}"/>
    <cellStyle name="Comma 3 12" xfId="125" xr:uid="{E560D2DF-2000-42D0-B7D9-07BCE019933F}"/>
    <cellStyle name="Comma 3 12 10" xfId="36633" xr:uid="{62FA01A4-3B15-4157-A7DF-8519D9018A4F}"/>
    <cellStyle name="Comma 3 12 11" xfId="18379" xr:uid="{5A38BAD9-EFA7-45B5-AE4F-DE89DEBD8286}"/>
    <cellStyle name="Comma 3 12 2" xfId="3045" xr:uid="{E12E7E08-05C3-49BD-8263-D4FF68D40E4A}"/>
    <cellStyle name="Comma 3 12 2 2" xfId="17645" xr:uid="{26931849-9327-47C7-90FD-865CE6E4409D}"/>
    <cellStyle name="Comma 3 12 2 2 2" xfId="54153" xr:uid="{5A8D80AA-E7F5-474F-8A58-5AC1A797CFE0}"/>
    <cellStyle name="Comma 3 12 2 2 3" xfId="35899" xr:uid="{DE1AE0B4-F995-4B10-A80D-8F5A4B74D5AB}"/>
    <cellStyle name="Comma 3 12 2 3" xfId="13995" xr:uid="{664AFA3F-BDEE-441B-A078-B9E14659AF85}"/>
    <cellStyle name="Comma 3 12 2 3 2" xfId="50503" xr:uid="{E5FB4DFB-1243-427E-AB2A-34186812B3A2}"/>
    <cellStyle name="Comma 3 12 2 3 3" xfId="32249" xr:uid="{4A9F646B-C83F-4773-B0B6-08B13EAF5167}"/>
    <cellStyle name="Comma 3 12 2 4" xfId="10345" xr:uid="{8E1CA4D0-8542-474D-B3DA-E036C80BF859}"/>
    <cellStyle name="Comma 3 12 2 4 2" xfId="46853" xr:uid="{EAD4A5D6-9BA2-4EF0-813D-ECC2A502429A}"/>
    <cellStyle name="Comma 3 12 2 4 3" xfId="28599" xr:uid="{75331B58-4AD8-4E60-816D-CE6E8BAA0CDB}"/>
    <cellStyle name="Comma 3 12 2 5" xfId="6695" xr:uid="{1D4E0DCD-DA29-4682-92CC-6ED5A1EDF142}"/>
    <cellStyle name="Comma 3 12 2 5 2" xfId="43203" xr:uid="{A2D03BB0-2BF9-4BC5-915A-084DEF6BFE5F}"/>
    <cellStyle name="Comma 3 12 2 5 3" xfId="24949" xr:uid="{08C387AA-665D-429D-A07B-5B75FACE2E2F}"/>
    <cellStyle name="Comma 3 12 2 6" xfId="39553" xr:uid="{32EF8B37-8871-4340-A5ED-52B794D25200}"/>
    <cellStyle name="Comma 3 12 2 7" xfId="21299" xr:uid="{02E493FA-5347-470F-88A4-FB86BE780047}"/>
    <cellStyle name="Comma 3 12 3" xfId="2315" xr:uid="{9947996A-D0F9-4470-98A4-DFD448EAF353}"/>
    <cellStyle name="Comma 3 12 3 2" xfId="16915" xr:uid="{0D0DB644-5DC3-4164-8D43-65A2D60428F1}"/>
    <cellStyle name="Comma 3 12 3 2 2" xfId="53423" xr:uid="{4C5A5E2F-496A-4BE1-82DA-BAFD98DC9C0A}"/>
    <cellStyle name="Comma 3 12 3 2 3" xfId="35169" xr:uid="{B2470054-5B2F-4EC2-A28F-6682AFCEC95A}"/>
    <cellStyle name="Comma 3 12 3 3" xfId="13265" xr:uid="{F0E5E226-5887-43A4-A4AE-2975017A6C52}"/>
    <cellStyle name="Comma 3 12 3 3 2" xfId="49773" xr:uid="{D7F4968B-A771-41EC-90B2-3F622219D116}"/>
    <cellStyle name="Comma 3 12 3 3 3" xfId="31519" xr:uid="{9F8C67D4-AE73-414E-8675-ABDE3E8242A0}"/>
    <cellStyle name="Comma 3 12 3 4" xfId="9615" xr:uid="{9F6192AA-AB14-46C2-8C4C-E9147D77682D}"/>
    <cellStyle name="Comma 3 12 3 4 2" xfId="46123" xr:uid="{4728DEC1-1810-4793-9422-52F0851289AE}"/>
    <cellStyle name="Comma 3 12 3 4 3" xfId="27869" xr:uid="{0B369CD3-55BE-4FF1-94A8-58A83446F25E}"/>
    <cellStyle name="Comma 3 12 3 5" xfId="5965" xr:uid="{A84629E1-0C0A-48F8-B2DD-7F6C891FBB51}"/>
    <cellStyle name="Comma 3 12 3 5 2" xfId="42473" xr:uid="{7F6420D9-2AE7-4EFB-A8A2-89F906006DDF}"/>
    <cellStyle name="Comma 3 12 3 5 3" xfId="24219" xr:uid="{120B575A-228D-460D-ACAB-5B708EFDBB27}"/>
    <cellStyle name="Comma 3 12 3 6" xfId="38823" xr:uid="{E0065AC3-8F28-4F0F-9BAF-31BCC503E35F}"/>
    <cellStyle name="Comma 3 12 3 7" xfId="20569" xr:uid="{3EAF3278-3B53-4BDB-A526-190F767CB15A}"/>
    <cellStyle name="Comma 3 12 4" xfId="1585" xr:uid="{97427880-E296-4FFD-9C1E-4E63C4FDCD20}"/>
    <cellStyle name="Comma 3 12 4 2" xfId="16185" xr:uid="{326FDC77-8A9D-4D11-AA26-7B9DE722C3CB}"/>
    <cellStyle name="Comma 3 12 4 2 2" xfId="52693" xr:uid="{F3F3733B-0677-4DFD-BC75-A95FF63C4D5E}"/>
    <cellStyle name="Comma 3 12 4 2 3" xfId="34439" xr:uid="{9F49BB3E-25A5-46C6-AE95-4335C0FC919F}"/>
    <cellStyle name="Comma 3 12 4 3" xfId="12535" xr:uid="{3EF5F069-EED5-4070-AE46-220651B62294}"/>
    <cellStyle name="Comma 3 12 4 3 2" xfId="49043" xr:uid="{C23A9195-9026-41FA-94CD-F88BFFA72F7D}"/>
    <cellStyle name="Comma 3 12 4 3 3" xfId="30789" xr:uid="{FFB7B77C-AADC-4E67-A8CC-6934E059D6BF}"/>
    <cellStyle name="Comma 3 12 4 4" xfId="8885" xr:uid="{10FBC15F-F3DB-42FA-9501-C878F34F17DA}"/>
    <cellStyle name="Comma 3 12 4 4 2" xfId="45393" xr:uid="{664E0D2C-A384-4AE5-92FC-9E53F5222DB4}"/>
    <cellStyle name="Comma 3 12 4 4 3" xfId="27139" xr:uid="{87F1A905-E385-4580-BFF2-F3A4D2C36A1A}"/>
    <cellStyle name="Comma 3 12 4 5" xfId="5235" xr:uid="{5D2D842D-8B13-479B-8D3F-7A6268662BA3}"/>
    <cellStyle name="Comma 3 12 4 5 2" xfId="41743" xr:uid="{F47521D2-704E-49E3-8045-C31613F66AC2}"/>
    <cellStyle name="Comma 3 12 4 5 3" xfId="23489" xr:uid="{0DAE7C87-F4F1-41EC-B2CE-A8077C11D716}"/>
    <cellStyle name="Comma 3 12 4 6" xfId="38093" xr:uid="{D523D100-3F7C-4152-A762-A2A59606A7DF}"/>
    <cellStyle name="Comma 3 12 4 7" xfId="19839" xr:uid="{C5F4C030-05F6-49BC-8092-5AA440D4ED35}"/>
    <cellStyle name="Comma 3 12 5" xfId="855" xr:uid="{A934CE97-5A68-450F-971C-E0E2C95063B0}"/>
    <cellStyle name="Comma 3 12 5 2" xfId="15455" xr:uid="{40BB6584-FE0F-4D6E-8E1F-FBDA8DA319D2}"/>
    <cellStyle name="Comma 3 12 5 2 2" xfId="51963" xr:uid="{347C9E13-180E-4660-8A2A-726286946EDD}"/>
    <cellStyle name="Comma 3 12 5 2 3" xfId="33709" xr:uid="{833D701C-2463-4071-88E0-3CCF85AF0052}"/>
    <cellStyle name="Comma 3 12 5 3" xfId="11805" xr:uid="{3B9314A3-2487-4A40-8A4C-93D58B053418}"/>
    <cellStyle name="Comma 3 12 5 3 2" xfId="48313" xr:uid="{B74BD838-16EC-4062-B4F8-6361A378A41B}"/>
    <cellStyle name="Comma 3 12 5 3 3" xfId="30059" xr:uid="{C15D2AD9-EB78-405A-88F5-53339D039360}"/>
    <cellStyle name="Comma 3 12 5 4" xfId="8155" xr:uid="{0442AE0D-CB99-476F-AC76-B79EDE4958D3}"/>
    <cellStyle name="Comma 3 12 5 4 2" xfId="44663" xr:uid="{FBBDD1F4-9ECA-4F0D-97E9-D1C90B797D88}"/>
    <cellStyle name="Comma 3 12 5 4 3" xfId="26409" xr:uid="{377DF628-7D0C-430F-A51F-1DDF6654DC87}"/>
    <cellStyle name="Comma 3 12 5 5" xfId="4505" xr:uid="{AE4D71B8-266C-4928-A18B-7F6DB968593F}"/>
    <cellStyle name="Comma 3 12 5 5 2" xfId="41013" xr:uid="{F27EBA77-0E3A-458E-9FDD-D98977AB1697}"/>
    <cellStyle name="Comma 3 12 5 5 3" xfId="22759" xr:uid="{AEBC4E21-2562-4B53-8249-CAD82F3F1388}"/>
    <cellStyle name="Comma 3 12 5 6" xfId="37363" xr:uid="{8DF2DDDB-E69D-468C-A881-6D4315765227}"/>
    <cellStyle name="Comma 3 12 5 7" xfId="19109" xr:uid="{949A5C11-05BB-4053-B2DE-F4817961FB27}"/>
    <cellStyle name="Comma 3 12 6" xfId="14725" xr:uid="{02DEFFB0-ADB8-4900-A1E6-178E24BE491D}"/>
    <cellStyle name="Comma 3 12 6 2" xfId="51233" xr:uid="{5D055F02-FBE0-4398-81FE-59399FE837D5}"/>
    <cellStyle name="Comma 3 12 6 3" xfId="32979" xr:uid="{BCBC81A1-1A93-4A69-A0D4-851F3E7F90B7}"/>
    <cellStyle name="Comma 3 12 7" xfId="11075" xr:uid="{2E678A08-1098-4DCF-8E49-38841D5883C5}"/>
    <cellStyle name="Comma 3 12 7 2" xfId="47583" xr:uid="{5B63D06F-4520-4A42-8169-023DD1BFB970}"/>
    <cellStyle name="Comma 3 12 7 3" xfId="29329" xr:uid="{1DF4615E-D36B-4FC4-993F-AB6AE5CB2B2B}"/>
    <cellStyle name="Comma 3 12 8" xfId="7425" xr:uid="{C1E94800-533D-4F1B-91D2-8BFE570424C2}"/>
    <cellStyle name="Comma 3 12 8 2" xfId="43933" xr:uid="{FF933FA2-72FF-4B08-A75E-AE015DFF9F18}"/>
    <cellStyle name="Comma 3 12 8 3" xfId="25679" xr:uid="{BABA483F-F7E8-43A6-B22D-9A3FF9D90EE1}"/>
    <cellStyle name="Comma 3 12 9" xfId="3775" xr:uid="{2A198742-7775-49F6-A407-5EB5ECA6184A}"/>
    <cellStyle name="Comma 3 12 9 2" xfId="40283" xr:uid="{0C724BCF-B655-43D5-9973-90D4BBF43A39}"/>
    <cellStyle name="Comma 3 12 9 3" xfId="22029" xr:uid="{36599170-0C55-46E5-AEE8-1E32A2100B72}"/>
    <cellStyle name="Comma 3 13" xfId="2941" xr:uid="{C392A1C9-146A-48E5-8188-5D2619749869}"/>
    <cellStyle name="Comma 3 13 2" xfId="17541" xr:uid="{9207358F-38D2-4FCD-A0BC-CB8B173F3ACC}"/>
    <cellStyle name="Comma 3 13 2 2" xfId="54049" xr:uid="{7C4614ED-DD58-478A-A662-E83CB6531318}"/>
    <cellStyle name="Comma 3 13 2 3" xfId="35795" xr:uid="{4EC4351B-6887-4990-BC53-3906E4DC89C4}"/>
    <cellStyle name="Comma 3 13 3" xfId="13891" xr:uid="{6F3F43D3-4A57-4D16-9508-AEBA1007DC8E}"/>
    <cellStyle name="Comma 3 13 3 2" xfId="50399" xr:uid="{8CFF1248-F38C-439C-845D-074ADF7A06FF}"/>
    <cellStyle name="Comma 3 13 3 3" xfId="32145" xr:uid="{39B7913E-C3A7-470B-A5D8-2A935F50B085}"/>
    <cellStyle name="Comma 3 13 4" xfId="10241" xr:uid="{91B1715C-A9FA-40DE-9B40-E86C368ECDF8}"/>
    <cellStyle name="Comma 3 13 4 2" xfId="46749" xr:uid="{63E1A5FF-0AAF-4CDE-8963-CDAEE91942CD}"/>
    <cellStyle name="Comma 3 13 4 3" xfId="28495" xr:uid="{AA133D74-2D55-4001-8438-A37B0DFA777E}"/>
    <cellStyle name="Comma 3 13 5" xfId="6591" xr:uid="{2FA4AA4D-D909-4A1A-8679-4032F14A64CE}"/>
    <cellStyle name="Comma 3 13 5 2" xfId="43099" xr:uid="{52567EE8-F3F9-4BA7-B58E-428686A0A50A}"/>
    <cellStyle name="Comma 3 13 5 3" xfId="24845" xr:uid="{2DAC4741-ADBB-4872-9E9D-186A221D74A9}"/>
    <cellStyle name="Comma 3 13 6" xfId="39449" xr:uid="{46C7617D-9677-4794-BF56-48363ADCD0F8}"/>
    <cellStyle name="Comma 3 13 7" xfId="21195" xr:uid="{B85C85D7-8279-424C-AB2E-740291D42105}"/>
    <cellStyle name="Comma 3 14" xfId="2211" xr:uid="{158C2D16-010C-4215-B79A-4FEB12C91AB7}"/>
    <cellStyle name="Comma 3 14 2" xfId="16811" xr:uid="{75BF2A17-FFC9-4CD4-969C-143EDE0DCBE6}"/>
    <cellStyle name="Comma 3 14 2 2" xfId="53319" xr:uid="{AFBD4286-2682-4FC4-94FB-33112BE3BB27}"/>
    <cellStyle name="Comma 3 14 2 3" xfId="35065" xr:uid="{7EA80D3D-6AD5-447F-BCFD-2786F9047D97}"/>
    <cellStyle name="Comma 3 14 3" xfId="13161" xr:uid="{4DA5A523-ABAA-4E66-B547-AC41F9190A66}"/>
    <cellStyle name="Comma 3 14 3 2" xfId="49669" xr:uid="{07B278C6-6889-4DAE-B3B1-49261804E26E}"/>
    <cellStyle name="Comma 3 14 3 3" xfId="31415" xr:uid="{21815D6E-A729-49BB-8B68-9CB9F5418094}"/>
    <cellStyle name="Comma 3 14 4" xfId="9511" xr:uid="{81ACC973-4892-4599-A6BF-6A58CCC6B9DD}"/>
    <cellStyle name="Comma 3 14 4 2" xfId="46019" xr:uid="{7C3903E0-30F9-4E24-BF44-6568DD00DA81}"/>
    <cellStyle name="Comma 3 14 4 3" xfId="27765" xr:uid="{9CA21018-D44F-4091-9127-27446C5731EC}"/>
    <cellStyle name="Comma 3 14 5" xfId="5861" xr:uid="{EC904E41-7075-45B9-BD6D-0F22E8D3AB43}"/>
    <cellStyle name="Comma 3 14 5 2" xfId="42369" xr:uid="{3849DC53-8C56-4CF6-8861-3CA70E7EDFA2}"/>
    <cellStyle name="Comma 3 14 5 3" xfId="24115" xr:uid="{403EEA2C-F069-454E-A9BE-36C429D86C4F}"/>
    <cellStyle name="Comma 3 14 6" xfId="38719" xr:uid="{5656FE01-AB84-42AB-82A6-A289D72EEE69}"/>
    <cellStyle name="Comma 3 14 7" xfId="20465" xr:uid="{7BA58F39-4DD2-403F-99B5-1B67DAD9B33F}"/>
    <cellStyle name="Comma 3 15" xfId="1481" xr:uid="{ACCD6769-72AA-4ED5-A35A-0047B3191808}"/>
    <cellStyle name="Comma 3 15 2" xfId="16081" xr:uid="{B88A313F-E3FE-40D7-9319-4BB21525D039}"/>
    <cellStyle name="Comma 3 15 2 2" xfId="52589" xr:uid="{E1B5DC23-133E-4740-A866-9DB1F2CFC845}"/>
    <cellStyle name="Comma 3 15 2 3" xfId="34335" xr:uid="{5C6B0B20-561F-448D-A3EC-C8EA941B5971}"/>
    <cellStyle name="Comma 3 15 3" xfId="12431" xr:uid="{03BD17CB-4588-4138-93F4-84FD940CEE76}"/>
    <cellStyle name="Comma 3 15 3 2" xfId="48939" xr:uid="{307C6616-D627-43A0-AFAB-01E5192D1600}"/>
    <cellStyle name="Comma 3 15 3 3" xfId="30685" xr:uid="{71FD5423-92AD-4CBD-B8D7-F6455852ACB2}"/>
    <cellStyle name="Comma 3 15 4" xfId="8781" xr:uid="{C26A20E8-FA0F-41EF-AE98-2DFE4E5C92E7}"/>
    <cellStyle name="Comma 3 15 4 2" xfId="45289" xr:uid="{D5C3988B-A2A4-4700-8FF8-DA8FE5008C68}"/>
    <cellStyle name="Comma 3 15 4 3" xfId="27035" xr:uid="{22486DFC-2001-435E-8806-23E050D746E0}"/>
    <cellStyle name="Comma 3 15 5" xfId="5131" xr:uid="{9F512A76-04DF-46B6-A364-7EA57F9D137B}"/>
    <cellStyle name="Comma 3 15 5 2" xfId="41639" xr:uid="{3761A663-8F91-41BB-A09E-80D07183DA66}"/>
    <cellStyle name="Comma 3 15 5 3" xfId="23385" xr:uid="{DDD2D506-6BF9-43A2-9CB5-9856BC4DC3A2}"/>
    <cellStyle name="Comma 3 15 6" xfId="37989" xr:uid="{1E221322-3984-4FE3-A0FA-BE490ADC0BE7}"/>
    <cellStyle name="Comma 3 15 7" xfId="19735" xr:uid="{07D39200-E3E7-44E1-A8F1-E124E643A160}"/>
    <cellStyle name="Comma 3 16" xfId="751" xr:uid="{B3E9D50B-79F5-4F15-B417-DC4AA0CD03B1}"/>
    <cellStyle name="Comma 3 16 2" xfId="15351" xr:uid="{43A552E6-86AC-4113-ACD8-E2EE4F66176B}"/>
    <cellStyle name="Comma 3 16 2 2" xfId="51859" xr:uid="{3090933A-D074-4A5E-87DE-73E2647E320A}"/>
    <cellStyle name="Comma 3 16 2 3" xfId="33605" xr:uid="{D1B73A83-984F-4C40-B5CC-C6236A5F1074}"/>
    <cellStyle name="Comma 3 16 3" xfId="11701" xr:uid="{45B43B3B-E16A-4C0B-96FD-AF1E7DD0AA78}"/>
    <cellStyle name="Comma 3 16 3 2" xfId="48209" xr:uid="{409684D8-F9CB-4BE5-878C-EBE6D6499C08}"/>
    <cellStyle name="Comma 3 16 3 3" xfId="29955" xr:uid="{B9BE1982-2036-4D94-9F94-09DE1CDC2F01}"/>
    <cellStyle name="Comma 3 16 4" xfId="8051" xr:uid="{A5861717-A1E1-431A-96A7-BABC5842D53E}"/>
    <cellStyle name="Comma 3 16 4 2" xfId="44559" xr:uid="{637000ED-11D2-4774-9254-B521465BB9FF}"/>
    <cellStyle name="Comma 3 16 4 3" xfId="26305" xr:uid="{9BBF9933-EFF1-4D8E-A1A9-F393066BD1C1}"/>
    <cellStyle name="Comma 3 16 5" xfId="4401" xr:uid="{D0DEC829-FC4C-411D-A688-424E241F4431}"/>
    <cellStyle name="Comma 3 16 5 2" xfId="40909" xr:uid="{C3B8CA0B-66A6-4AE7-8A75-C6B6516F176E}"/>
    <cellStyle name="Comma 3 16 5 3" xfId="22655" xr:uid="{B24D12BE-0E14-4980-9D16-FCBA85B662E1}"/>
    <cellStyle name="Comma 3 16 6" xfId="37259" xr:uid="{7AB488E2-6FFA-4BC6-846C-D60FFAD372C3}"/>
    <cellStyle name="Comma 3 16 7" xfId="19005" xr:uid="{5EE6AB1E-25D7-443B-831A-6E01F381ADD9}"/>
    <cellStyle name="Comma 3 17" xfId="14621" xr:uid="{BD1FC4E0-D885-4189-8605-508E02C234A4}"/>
    <cellStyle name="Comma 3 17 2" xfId="51129" xr:uid="{F740E711-CAF5-42B8-8350-19FD217D7BEB}"/>
    <cellStyle name="Comma 3 17 3" xfId="32875" xr:uid="{3E04F621-568F-4D85-A1BE-8387CD17631B}"/>
    <cellStyle name="Comma 3 18" xfId="10971" xr:uid="{37EF0E25-1A4E-4FC5-A5BB-D6D35682425A}"/>
    <cellStyle name="Comma 3 18 2" xfId="47479" xr:uid="{93BB63C8-041E-4FA1-A523-EC08BE324FC6}"/>
    <cellStyle name="Comma 3 18 3" xfId="29225" xr:uid="{828A2CEA-A151-4466-AF3E-C174ECE1DC07}"/>
    <cellStyle name="Comma 3 19" xfId="7321" xr:uid="{13D78620-A64C-4A4F-8C56-3BEF86ED60AB}"/>
    <cellStyle name="Comma 3 19 2" xfId="43829" xr:uid="{B0AF0777-72C5-4BD1-A2C7-40A234DFBB4E}"/>
    <cellStyle name="Comma 3 19 3" xfId="25575" xr:uid="{D38E1FC0-23A2-4171-940D-1CF17611BD61}"/>
    <cellStyle name="Comma 3 2" xfId="13" xr:uid="{00000000-0005-0000-0000-00000A000000}"/>
    <cellStyle name="Comma 3 2 10" xfId="233" xr:uid="{BA01D207-D7A5-4AAB-A545-F2E4B0A1D20E}"/>
    <cellStyle name="Comma 3 2 10 10" xfId="36741" xr:uid="{F0254143-FAF8-44E1-B7EF-51C171DDD29C}"/>
    <cellStyle name="Comma 3 2 10 11" xfId="18487" xr:uid="{B9BEBAC9-83CF-486B-9953-44D088C1036F}"/>
    <cellStyle name="Comma 3 2 10 2" xfId="3153" xr:uid="{A757834F-1C44-42D8-A8FF-FC5490FB2F25}"/>
    <cellStyle name="Comma 3 2 10 2 2" xfId="17753" xr:uid="{25FD0FE3-5954-48C6-B556-903C8F6F304A}"/>
    <cellStyle name="Comma 3 2 10 2 2 2" xfId="54261" xr:uid="{4552778D-F78C-4BA7-AF34-0ADECEB3B0CA}"/>
    <cellStyle name="Comma 3 2 10 2 2 3" xfId="36007" xr:uid="{B6D6B6D3-DC45-4E58-B029-6583D3F77604}"/>
    <cellStyle name="Comma 3 2 10 2 3" xfId="14103" xr:uid="{9F4819C5-01C4-403D-A7B7-9CF7D380CBAC}"/>
    <cellStyle name="Comma 3 2 10 2 3 2" xfId="50611" xr:uid="{835F7892-DDC1-40D3-8D91-F0629826FC62}"/>
    <cellStyle name="Comma 3 2 10 2 3 3" xfId="32357" xr:uid="{05514F07-0AB7-43F3-9C23-CE173466E109}"/>
    <cellStyle name="Comma 3 2 10 2 4" xfId="10453" xr:uid="{9529DA9A-16BE-4075-8082-548853EA092B}"/>
    <cellStyle name="Comma 3 2 10 2 4 2" xfId="46961" xr:uid="{799B0598-2E36-4E17-910E-1A63B176D06F}"/>
    <cellStyle name="Comma 3 2 10 2 4 3" xfId="28707" xr:uid="{43F98826-C80C-4585-AF02-2E44CD713979}"/>
    <cellStyle name="Comma 3 2 10 2 5" xfId="6803" xr:uid="{88DBE474-2251-4449-9F7D-F6D928AFEBBD}"/>
    <cellStyle name="Comma 3 2 10 2 5 2" xfId="43311" xr:uid="{5579795D-B4A0-4746-9BF9-F83AF223C46A}"/>
    <cellStyle name="Comma 3 2 10 2 5 3" xfId="25057" xr:uid="{AC4C5EA5-9FD0-4FEB-9C52-F55B44FA83E6}"/>
    <cellStyle name="Comma 3 2 10 2 6" xfId="39661" xr:uid="{BA57BEFF-7698-4257-B339-08D91A1C3C0A}"/>
    <cellStyle name="Comma 3 2 10 2 7" xfId="21407" xr:uid="{0A604E98-C8F6-49B3-A51F-37CB6CD3010D}"/>
    <cellStyle name="Comma 3 2 10 3" xfId="2423" xr:uid="{26E8B6A6-E3C9-4101-A28B-7E08591F3569}"/>
    <cellStyle name="Comma 3 2 10 3 2" xfId="17023" xr:uid="{689CD717-1658-4F0C-ADBA-8B286B607162}"/>
    <cellStyle name="Comma 3 2 10 3 2 2" xfId="53531" xr:uid="{95C9BB75-E7B6-4FA0-BB79-0782FE25ACAE}"/>
    <cellStyle name="Comma 3 2 10 3 2 3" xfId="35277" xr:uid="{AB65B145-3B8F-4A2B-BEFF-0F374E652B16}"/>
    <cellStyle name="Comma 3 2 10 3 3" xfId="13373" xr:uid="{B57DE579-A500-43E9-B660-5073BE7364AB}"/>
    <cellStyle name="Comma 3 2 10 3 3 2" xfId="49881" xr:uid="{15F4EE21-3FD9-495D-A1E4-B6A625D86B83}"/>
    <cellStyle name="Comma 3 2 10 3 3 3" xfId="31627" xr:uid="{D347A853-AA3D-4283-9943-DDD3AA1E13D1}"/>
    <cellStyle name="Comma 3 2 10 3 4" xfId="9723" xr:uid="{E9CC10CC-6B4C-424D-9619-AA70A65F106E}"/>
    <cellStyle name="Comma 3 2 10 3 4 2" xfId="46231" xr:uid="{F846A416-2262-4C35-A5FD-0BB113C00928}"/>
    <cellStyle name="Comma 3 2 10 3 4 3" xfId="27977" xr:uid="{0CADE8E1-9C11-4F1A-A7CB-3019DB34E0C2}"/>
    <cellStyle name="Comma 3 2 10 3 5" xfId="6073" xr:uid="{1B3C2A82-9617-4079-81F3-967D2FA70DD9}"/>
    <cellStyle name="Comma 3 2 10 3 5 2" xfId="42581" xr:uid="{A98E870C-48F4-409B-8684-08F10769C989}"/>
    <cellStyle name="Comma 3 2 10 3 5 3" xfId="24327" xr:uid="{95824090-03C6-45FF-BD9B-86217EA94A30}"/>
    <cellStyle name="Comma 3 2 10 3 6" xfId="38931" xr:uid="{193C2C65-544E-4C15-A4C4-1A727A1BBC20}"/>
    <cellStyle name="Comma 3 2 10 3 7" xfId="20677" xr:uid="{C9E5FBC6-C3FB-4109-BB0F-9FA9AE842768}"/>
    <cellStyle name="Comma 3 2 10 4" xfId="1693" xr:uid="{63797440-B5AF-4310-B14F-667E0672A80D}"/>
    <cellStyle name="Comma 3 2 10 4 2" xfId="16293" xr:uid="{9B4ABE54-41D2-4128-A05E-2DB75ADE55F0}"/>
    <cellStyle name="Comma 3 2 10 4 2 2" xfId="52801" xr:uid="{E00EB251-3172-4E69-927B-F0C0BA55E2F3}"/>
    <cellStyle name="Comma 3 2 10 4 2 3" xfId="34547" xr:uid="{FCE5F633-AAB7-4D22-9982-97C38956A0A4}"/>
    <cellStyle name="Comma 3 2 10 4 3" xfId="12643" xr:uid="{B54BEB94-7F7A-404E-95F2-9C5873DCCB4F}"/>
    <cellStyle name="Comma 3 2 10 4 3 2" xfId="49151" xr:uid="{1930EE4F-284C-425C-AA7F-9882DF2A26E4}"/>
    <cellStyle name="Comma 3 2 10 4 3 3" xfId="30897" xr:uid="{76D380A3-7FBF-41A2-83E5-A0E5EC34125D}"/>
    <cellStyle name="Comma 3 2 10 4 4" xfId="8993" xr:uid="{4385869B-D689-4F0A-B2E4-113779209FB7}"/>
    <cellStyle name="Comma 3 2 10 4 4 2" xfId="45501" xr:uid="{C06D5D52-9840-4F3D-96C6-78E688555BA9}"/>
    <cellStyle name="Comma 3 2 10 4 4 3" xfId="27247" xr:uid="{E05EE402-E743-480A-95B0-1D5485D3C619}"/>
    <cellStyle name="Comma 3 2 10 4 5" xfId="5343" xr:uid="{1A7041D2-B961-4B07-A1FC-BF0B640B639E}"/>
    <cellStyle name="Comma 3 2 10 4 5 2" xfId="41851" xr:uid="{EC087A88-D35B-4D71-9F77-75ADD6EFC6F3}"/>
    <cellStyle name="Comma 3 2 10 4 5 3" xfId="23597" xr:uid="{4FBD46E2-5F49-4DA7-84EA-8D4B9E1B9E2E}"/>
    <cellStyle name="Comma 3 2 10 4 6" xfId="38201" xr:uid="{34762257-2A5A-4E24-8CD6-D3051774FC02}"/>
    <cellStyle name="Comma 3 2 10 4 7" xfId="19947" xr:uid="{322F63DE-AED3-449D-842F-E4C72EEDEB0C}"/>
    <cellStyle name="Comma 3 2 10 5" xfId="963" xr:uid="{45732D42-EDFA-45AB-9462-83FCF8B705A6}"/>
    <cellStyle name="Comma 3 2 10 5 2" xfId="15563" xr:uid="{0AEA89E3-B046-42E2-858D-96AEDA0246E5}"/>
    <cellStyle name="Comma 3 2 10 5 2 2" xfId="52071" xr:uid="{90BDB437-B8AE-489D-80F2-2E850A3075F0}"/>
    <cellStyle name="Comma 3 2 10 5 2 3" xfId="33817" xr:uid="{3E142501-E1C5-4594-8E98-4C2507FBB6B3}"/>
    <cellStyle name="Comma 3 2 10 5 3" xfId="11913" xr:uid="{2A7B7074-D263-49F7-8523-BED99C5B0292}"/>
    <cellStyle name="Comma 3 2 10 5 3 2" xfId="48421" xr:uid="{8706E90D-558D-46CC-8D30-2D9D64C06D31}"/>
    <cellStyle name="Comma 3 2 10 5 3 3" xfId="30167" xr:uid="{B9DBC4FE-D425-484D-9D45-3CD3A3A284D6}"/>
    <cellStyle name="Comma 3 2 10 5 4" xfId="8263" xr:uid="{352006D8-8DCA-4858-86BB-6C3DFECC6DD5}"/>
    <cellStyle name="Comma 3 2 10 5 4 2" xfId="44771" xr:uid="{1FAB060A-2603-442A-ACDC-F99A0179E89C}"/>
    <cellStyle name="Comma 3 2 10 5 4 3" xfId="26517" xr:uid="{572E7195-D36D-4030-BEB8-D76FDB977BCA}"/>
    <cellStyle name="Comma 3 2 10 5 5" xfId="4613" xr:uid="{2C3ECF61-D6E2-4E69-AB97-6FC71A711AD2}"/>
    <cellStyle name="Comma 3 2 10 5 5 2" xfId="41121" xr:uid="{7CF1FE2C-7E3D-4731-A8E3-B3EA1A8D9BA9}"/>
    <cellStyle name="Comma 3 2 10 5 5 3" xfId="22867" xr:uid="{2156710D-59F9-4503-8B28-0D49671D7EBE}"/>
    <cellStyle name="Comma 3 2 10 5 6" xfId="37471" xr:uid="{E6F0BA66-2479-4E50-8054-446284F14F28}"/>
    <cellStyle name="Comma 3 2 10 5 7" xfId="19217" xr:uid="{A3669E73-ED8A-465C-A902-DB80136D160E}"/>
    <cellStyle name="Comma 3 2 10 6" xfId="14833" xr:uid="{2CC20EE5-2865-426F-AAD3-B29E1EB47872}"/>
    <cellStyle name="Comma 3 2 10 6 2" xfId="51341" xr:uid="{D6AE3158-4139-4699-BC8C-A7D506F2312B}"/>
    <cellStyle name="Comma 3 2 10 6 3" xfId="33087" xr:uid="{7569DDF7-7BF6-4984-A7C2-C64CA6326E8A}"/>
    <cellStyle name="Comma 3 2 10 7" xfId="11183" xr:uid="{8FADA804-02BF-4090-B1AB-16C3504C8CF6}"/>
    <cellStyle name="Comma 3 2 10 7 2" xfId="47691" xr:uid="{5302A80E-6F6D-4C8E-9CC6-BA0279ED2297}"/>
    <cellStyle name="Comma 3 2 10 7 3" xfId="29437" xr:uid="{F4ADB511-CDF5-4B6D-A715-62932DE6DEBA}"/>
    <cellStyle name="Comma 3 2 10 8" xfId="7533" xr:uid="{FBDA3EE1-4038-4D26-AF6E-135582D09834}"/>
    <cellStyle name="Comma 3 2 10 8 2" xfId="44041" xr:uid="{492D423A-1C2B-451C-949B-8AA157F93B44}"/>
    <cellStyle name="Comma 3 2 10 8 3" xfId="25787" xr:uid="{85B1F0D2-BBA6-4E75-8761-F8879E5D67B3}"/>
    <cellStyle name="Comma 3 2 10 9" xfId="3883" xr:uid="{C338093B-5D9F-4E34-8AA6-BB0514232DC0}"/>
    <cellStyle name="Comma 3 2 10 9 2" xfId="40391" xr:uid="{C2528CF1-6831-481B-8408-CD2269715FD1}"/>
    <cellStyle name="Comma 3 2 10 9 3" xfId="22137" xr:uid="{C96E6D18-69D2-4C9E-BA69-7CEFE447CE2A}"/>
    <cellStyle name="Comma 3 2 11" xfId="129" xr:uid="{9E5FA635-49F7-4319-A4F6-8C107354DB4C}"/>
    <cellStyle name="Comma 3 2 11 10" xfId="36637" xr:uid="{20376EF7-8DA9-41F9-B5AB-60B3869A606E}"/>
    <cellStyle name="Comma 3 2 11 11" xfId="18383" xr:uid="{84996DED-37A7-4F78-8388-6105AF0E7FF0}"/>
    <cellStyle name="Comma 3 2 11 2" xfId="3049" xr:uid="{47263D3D-BC88-4643-B3D6-324383E8D826}"/>
    <cellStyle name="Comma 3 2 11 2 2" xfId="17649" xr:uid="{097FE33D-8D84-4F7E-8235-50E9506ACBE0}"/>
    <cellStyle name="Comma 3 2 11 2 2 2" xfId="54157" xr:uid="{9D058B0B-52D9-4316-8526-8C33E321DE4D}"/>
    <cellStyle name="Comma 3 2 11 2 2 3" xfId="35903" xr:uid="{37CC34C4-64CF-4275-9491-37FCA7C41F97}"/>
    <cellStyle name="Comma 3 2 11 2 3" xfId="13999" xr:uid="{71566E67-8EC4-4B17-BBDA-9E70CC281A3D}"/>
    <cellStyle name="Comma 3 2 11 2 3 2" xfId="50507" xr:uid="{D35CAFC9-4E0B-434A-B045-881032760ED1}"/>
    <cellStyle name="Comma 3 2 11 2 3 3" xfId="32253" xr:uid="{B9ABDE1B-FD6F-4925-8D42-91E466A4D362}"/>
    <cellStyle name="Comma 3 2 11 2 4" xfId="10349" xr:uid="{0ECA39B0-F7EE-4F35-B554-EA479D2F2AD7}"/>
    <cellStyle name="Comma 3 2 11 2 4 2" xfId="46857" xr:uid="{E3C1413A-D5D5-4817-AAC1-0F1D0FCA5CEB}"/>
    <cellStyle name="Comma 3 2 11 2 4 3" xfId="28603" xr:uid="{C7068F31-13B3-48B2-873F-9229A9CCE453}"/>
    <cellStyle name="Comma 3 2 11 2 5" xfId="6699" xr:uid="{CDC77308-908C-45A7-BC21-88E9F9572C8D}"/>
    <cellStyle name="Comma 3 2 11 2 5 2" xfId="43207" xr:uid="{0500E038-2E38-48A6-B609-810DCA5318CE}"/>
    <cellStyle name="Comma 3 2 11 2 5 3" xfId="24953" xr:uid="{983D6194-F52F-4C5F-8671-B65FC8CBB8D1}"/>
    <cellStyle name="Comma 3 2 11 2 6" xfId="39557" xr:uid="{50603A8C-B8BD-4420-9E75-46B48DD567E3}"/>
    <cellStyle name="Comma 3 2 11 2 7" xfId="21303" xr:uid="{CCF0D204-452F-4FA9-8B35-E92B5F65F79C}"/>
    <cellStyle name="Comma 3 2 11 3" xfId="2319" xr:uid="{6161E01C-43E3-4097-8FFD-9AD023D052EC}"/>
    <cellStyle name="Comma 3 2 11 3 2" xfId="16919" xr:uid="{75146B67-37CF-47B3-BF51-BF1BD787A97D}"/>
    <cellStyle name="Comma 3 2 11 3 2 2" xfId="53427" xr:uid="{7BFC2448-54D3-49C2-B402-E01FF4B29B53}"/>
    <cellStyle name="Comma 3 2 11 3 2 3" xfId="35173" xr:uid="{7EE34BF5-DE85-48EE-AA8D-ECB28007C072}"/>
    <cellStyle name="Comma 3 2 11 3 3" xfId="13269" xr:uid="{7E329B67-197C-4FDB-B062-F0E8FEA66575}"/>
    <cellStyle name="Comma 3 2 11 3 3 2" xfId="49777" xr:uid="{6C9910F8-5B39-4612-A74A-52DAF1CA6ECF}"/>
    <cellStyle name="Comma 3 2 11 3 3 3" xfId="31523" xr:uid="{DE0AEB66-B211-4244-BDB8-317F0C046955}"/>
    <cellStyle name="Comma 3 2 11 3 4" xfId="9619" xr:uid="{FB838EE2-9E6C-4F11-9046-F6FFDB7C293B}"/>
    <cellStyle name="Comma 3 2 11 3 4 2" xfId="46127" xr:uid="{238963F2-D1E1-4809-AEF4-CCC9F4CFDD94}"/>
    <cellStyle name="Comma 3 2 11 3 4 3" xfId="27873" xr:uid="{8BD7E3AC-5160-4A85-A933-29491AC6E514}"/>
    <cellStyle name="Comma 3 2 11 3 5" xfId="5969" xr:uid="{424F3E9D-9241-4AD3-95BB-6DBA1BB51239}"/>
    <cellStyle name="Comma 3 2 11 3 5 2" xfId="42477" xr:uid="{E06B8031-5CE1-416A-90FD-789071F4EB0F}"/>
    <cellStyle name="Comma 3 2 11 3 5 3" xfId="24223" xr:uid="{134136CE-6286-4066-8A2B-976DF21A0230}"/>
    <cellStyle name="Comma 3 2 11 3 6" xfId="38827" xr:uid="{D39E8D46-E46B-4B3A-AEA4-33D4D77DA596}"/>
    <cellStyle name="Comma 3 2 11 3 7" xfId="20573" xr:uid="{6B6CA292-EE80-418E-8209-E5F10679F221}"/>
    <cellStyle name="Comma 3 2 11 4" xfId="1589" xr:uid="{6948939C-7EB0-4843-978D-775086362F18}"/>
    <cellStyle name="Comma 3 2 11 4 2" xfId="16189" xr:uid="{AE100436-57EC-4CD5-8501-CCAB9716C4E6}"/>
    <cellStyle name="Comma 3 2 11 4 2 2" xfId="52697" xr:uid="{AEB1CF06-7A7C-46FE-84D6-F40589865D86}"/>
    <cellStyle name="Comma 3 2 11 4 2 3" xfId="34443" xr:uid="{7DDB1663-D8BF-4772-BFE7-DD4488412F2A}"/>
    <cellStyle name="Comma 3 2 11 4 3" xfId="12539" xr:uid="{AE1F6481-732D-43A1-A72C-943E2CD8607F}"/>
    <cellStyle name="Comma 3 2 11 4 3 2" xfId="49047" xr:uid="{A239C859-89D8-4703-9775-3874C0A091B3}"/>
    <cellStyle name="Comma 3 2 11 4 3 3" xfId="30793" xr:uid="{2AEA7C51-755A-4C35-8BDE-0FA7BF7C3BF6}"/>
    <cellStyle name="Comma 3 2 11 4 4" xfId="8889" xr:uid="{6A7CB442-03E9-411D-80E0-A6C2F277BA79}"/>
    <cellStyle name="Comma 3 2 11 4 4 2" xfId="45397" xr:uid="{45C83CC0-5ADC-43B1-8628-E6AD353C6A7E}"/>
    <cellStyle name="Comma 3 2 11 4 4 3" xfId="27143" xr:uid="{4455CAC1-294B-4029-9F61-E7AEBD655B2F}"/>
    <cellStyle name="Comma 3 2 11 4 5" xfId="5239" xr:uid="{7707C0B9-B3C8-4DE2-92F0-8C5C162D75FB}"/>
    <cellStyle name="Comma 3 2 11 4 5 2" xfId="41747" xr:uid="{D499E9CF-44ED-4C69-9B29-DC710006FDDA}"/>
    <cellStyle name="Comma 3 2 11 4 5 3" xfId="23493" xr:uid="{BAE55DA1-76E3-43F7-8962-C7547E42BA96}"/>
    <cellStyle name="Comma 3 2 11 4 6" xfId="38097" xr:uid="{D3088407-64DB-4A2E-8162-704B5ED3DB8A}"/>
    <cellStyle name="Comma 3 2 11 4 7" xfId="19843" xr:uid="{21CD4482-B07F-4D5E-A5AB-362C487746EC}"/>
    <cellStyle name="Comma 3 2 11 5" xfId="859" xr:uid="{9F0FACCF-8E67-48D3-9358-4FC45564FE46}"/>
    <cellStyle name="Comma 3 2 11 5 2" xfId="15459" xr:uid="{E257C63E-D852-4E55-9431-4ED45BCD9CA0}"/>
    <cellStyle name="Comma 3 2 11 5 2 2" xfId="51967" xr:uid="{45B9D5E0-27EC-4A4C-8562-DA3874AA0C10}"/>
    <cellStyle name="Comma 3 2 11 5 2 3" xfId="33713" xr:uid="{515E5B3A-DD5D-4755-B13F-7B74C4E24368}"/>
    <cellStyle name="Comma 3 2 11 5 3" xfId="11809" xr:uid="{EAF15AA3-7A5B-495F-8FE4-45FD7B3F9C8B}"/>
    <cellStyle name="Comma 3 2 11 5 3 2" xfId="48317" xr:uid="{51973B78-FB66-4431-BFB8-B7010A689231}"/>
    <cellStyle name="Comma 3 2 11 5 3 3" xfId="30063" xr:uid="{7FF0CFFC-0E2C-4B7D-82DA-1F48E7C4AD6A}"/>
    <cellStyle name="Comma 3 2 11 5 4" xfId="8159" xr:uid="{AE7064BD-1A10-42C5-ACAA-BE9B93FEBCD1}"/>
    <cellStyle name="Comma 3 2 11 5 4 2" xfId="44667" xr:uid="{DFF3B042-2252-4300-85F0-A3176DC00475}"/>
    <cellStyle name="Comma 3 2 11 5 4 3" xfId="26413" xr:uid="{A3AF9A98-5054-48E4-B985-887BBAA30970}"/>
    <cellStyle name="Comma 3 2 11 5 5" xfId="4509" xr:uid="{B9B1727E-33C1-43BA-B0E0-6CDE35AB3760}"/>
    <cellStyle name="Comma 3 2 11 5 5 2" xfId="41017" xr:uid="{1FD6AE8D-414A-4810-B97A-86AAF4ADA97E}"/>
    <cellStyle name="Comma 3 2 11 5 5 3" xfId="22763" xr:uid="{7D6C1828-0A1F-4768-B97D-49BC3A08BAD1}"/>
    <cellStyle name="Comma 3 2 11 5 6" xfId="37367" xr:uid="{FF940702-EB3A-4AAB-AB95-DD70B1BC1169}"/>
    <cellStyle name="Comma 3 2 11 5 7" xfId="19113" xr:uid="{5E99661F-1EA9-4A79-A023-D2A3E6D91FC9}"/>
    <cellStyle name="Comma 3 2 11 6" xfId="14729" xr:uid="{D7CA84EB-3DB3-47C2-827E-AF23C3303356}"/>
    <cellStyle name="Comma 3 2 11 6 2" xfId="51237" xr:uid="{6EEE37FF-50AC-41C5-9692-206560E03AC0}"/>
    <cellStyle name="Comma 3 2 11 6 3" xfId="32983" xr:uid="{FCCB985A-874A-47BC-88F3-EC6571002430}"/>
    <cellStyle name="Comma 3 2 11 7" xfId="11079" xr:uid="{B58FB690-F825-4430-856A-2D7AA1A23576}"/>
    <cellStyle name="Comma 3 2 11 7 2" xfId="47587" xr:uid="{68C5B516-D5A9-492F-90B8-3823F3690829}"/>
    <cellStyle name="Comma 3 2 11 7 3" xfId="29333" xr:uid="{35954BE7-88B7-4787-9778-D127B44DC60A}"/>
    <cellStyle name="Comma 3 2 11 8" xfId="7429" xr:uid="{1A632FAE-DC89-45D1-BDF0-60D0E6FE44BB}"/>
    <cellStyle name="Comma 3 2 11 8 2" xfId="43937" xr:uid="{5D94DED6-5C2D-4E8F-8FC0-B4D31161AF38}"/>
    <cellStyle name="Comma 3 2 11 8 3" xfId="25683" xr:uid="{41A89BBC-BDD2-43FF-B665-BE628CBD44B5}"/>
    <cellStyle name="Comma 3 2 11 9" xfId="3779" xr:uid="{F2777D90-3849-46FC-B888-46F884D80829}"/>
    <cellStyle name="Comma 3 2 11 9 2" xfId="40287" xr:uid="{D5A139D7-B5DB-4D7A-BEE2-F75C4C510F7D}"/>
    <cellStyle name="Comma 3 2 11 9 3" xfId="22033" xr:uid="{1E5B7A1D-A4E5-4176-B82E-179F92944251}"/>
    <cellStyle name="Comma 3 2 12" xfId="2945" xr:uid="{30A6C06F-37BD-45FA-B6C1-EDB28BD52998}"/>
    <cellStyle name="Comma 3 2 12 2" xfId="17545" xr:uid="{84E400E6-7D03-47C0-BBFE-77A5085852F9}"/>
    <cellStyle name="Comma 3 2 12 2 2" xfId="54053" xr:uid="{B0173056-0DE1-4878-8CA1-A09AF4E5CF94}"/>
    <cellStyle name="Comma 3 2 12 2 3" xfId="35799" xr:uid="{65B30F75-2B2C-4752-8BAE-EEADFC52D0E2}"/>
    <cellStyle name="Comma 3 2 12 3" xfId="13895" xr:uid="{A0ED80FF-B83D-42DB-BB6D-8A9905FA4108}"/>
    <cellStyle name="Comma 3 2 12 3 2" xfId="50403" xr:uid="{0107567C-9482-4E94-B7E9-2551F96C369F}"/>
    <cellStyle name="Comma 3 2 12 3 3" xfId="32149" xr:uid="{0865AAC7-9F6F-44D1-80D6-2F595C79844A}"/>
    <cellStyle name="Comma 3 2 12 4" xfId="10245" xr:uid="{66A34207-D449-47D8-B8FC-62DCBB4B4CF0}"/>
    <cellStyle name="Comma 3 2 12 4 2" xfId="46753" xr:uid="{B07A559A-7B01-4EAE-A216-6E080FD82F5B}"/>
    <cellStyle name="Comma 3 2 12 4 3" xfId="28499" xr:uid="{B4CEE27B-0A8C-48DC-8BEC-7BEB7B21FE33}"/>
    <cellStyle name="Comma 3 2 12 5" xfId="6595" xr:uid="{3F13D3D6-65AB-49DF-A571-C3F53B688EBA}"/>
    <cellStyle name="Comma 3 2 12 5 2" xfId="43103" xr:uid="{23E0C04C-C183-4DE9-81CC-5F327C2E00C9}"/>
    <cellStyle name="Comma 3 2 12 5 3" xfId="24849" xr:uid="{8660EF7E-0B1A-4BDA-8F0B-5D5AFD0DD806}"/>
    <cellStyle name="Comma 3 2 12 6" xfId="39453" xr:uid="{5E67F71A-E7ED-4DA4-A2A2-9079BE02E493}"/>
    <cellStyle name="Comma 3 2 12 7" xfId="21199" xr:uid="{9282D12E-5494-4C36-9955-CE6EE5354BBF}"/>
    <cellStyle name="Comma 3 2 13" xfId="2215" xr:uid="{8D34F9EE-5363-4169-B323-D7049EF368E8}"/>
    <cellStyle name="Comma 3 2 13 2" xfId="16815" xr:uid="{AECB456A-93BF-44BE-A6F0-520468808A9A}"/>
    <cellStyle name="Comma 3 2 13 2 2" xfId="53323" xr:uid="{57055128-B3F9-42EE-AEC5-C4EF7CE9E781}"/>
    <cellStyle name="Comma 3 2 13 2 3" xfId="35069" xr:uid="{96FAAAA7-E36D-4028-A9BC-6BD98E9098F4}"/>
    <cellStyle name="Comma 3 2 13 3" xfId="13165" xr:uid="{EB9CBB9F-7621-4750-9812-B07FB05996E8}"/>
    <cellStyle name="Comma 3 2 13 3 2" xfId="49673" xr:uid="{2C794096-DD7E-42B3-91EA-0F06BCF4D25B}"/>
    <cellStyle name="Comma 3 2 13 3 3" xfId="31419" xr:uid="{B930B91D-814C-4380-AB7B-20E04B0E0401}"/>
    <cellStyle name="Comma 3 2 13 4" xfId="9515" xr:uid="{572B274B-A07C-4D8E-8794-A4E452531E53}"/>
    <cellStyle name="Comma 3 2 13 4 2" xfId="46023" xr:uid="{948D5F75-20A8-4343-A204-F10BC1F2341D}"/>
    <cellStyle name="Comma 3 2 13 4 3" xfId="27769" xr:uid="{758176D1-F4C2-45B6-A698-F8B0F00EAA8F}"/>
    <cellStyle name="Comma 3 2 13 5" xfId="5865" xr:uid="{75EC147A-573F-4C4D-8275-42F4F00C2167}"/>
    <cellStyle name="Comma 3 2 13 5 2" xfId="42373" xr:uid="{D9AE6EEE-C575-43B9-9224-D8EC4568D363}"/>
    <cellStyle name="Comma 3 2 13 5 3" xfId="24119" xr:uid="{B2A83E7A-943A-4D80-9CDE-47727035166C}"/>
    <cellStyle name="Comma 3 2 13 6" xfId="38723" xr:uid="{B2008C7A-C398-4B06-B254-812D816A7812}"/>
    <cellStyle name="Comma 3 2 13 7" xfId="20469" xr:uid="{29A03DF7-0037-49D1-9F6D-2CA4ABD4B993}"/>
    <cellStyle name="Comma 3 2 14" xfId="1485" xr:uid="{5942519C-3CD8-47B6-AAED-3A391278FEB2}"/>
    <cellStyle name="Comma 3 2 14 2" xfId="16085" xr:uid="{EE2D179A-FFA6-40EC-A508-C457BD44F4E8}"/>
    <cellStyle name="Comma 3 2 14 2 2" xfId="52593" xr:uid="{D5D9F4F7-762B-404A-898B-C28659AA531E}"/>
    <cellStyle name="Comma 3 2 14 2 3" xfId="34339" xr:uid="{2CCF17FF-A082-4609-B0D8-17F596DAE2A8}"/>
    <cellStyle name="Comma 3 2 14 3" xfId="12435" xr:uid="{0B6AE604-25DD-4101-8354-98CE944E6282}"/>
    <cellStyle name="Comma 3 2 14 3 2" xfId="48943" xr:uid="{6353D9A7-74CB-41AE-B644-A0DFF9AFDD7F}"/>
    <cellStyle name="Comma 3 2 14 3 3" xfId="30689" xr:uid="{822E43E4-4AB8-4EC2-BA19-C37082CE444C}"/>
    <cellStyle name="Comma 3 2 14 4" xfId="8785" xr:uid="{64CED301-C4C4-4B62-A7C2-37E58DEA60A2}"/>
    <cellStyle name="Comma 3 2 14 4 2" xfId="45293" xr:uid="{1964051E-525C-4148-9E2E-37397FDBC50E}"/>
    <cellStyle name="Comma 3 2 14 4 3" xfId="27039" xr:uid="{E93529B6-A2C6-4E64-A695-74D765D6AA18}"/>
    <cellStyle name="Comma 3 2 14 5" xfId="5135" xr:uid="{D75122BB-0CFB-477F-80F6-8AE3B1D407FE}"/>
    <cellStyle name="Comma 3 2 14 5 2" xfId="41643" xr:uid="{3112F496-EC7C-4C5B-8E3C-CF8430090E90}"/>
    <cellStyle name="Comma 3 2 14 5 3" xfId="23389" xr:uid="{F0897C8A-2606-4943-99F7-5EF1D01A1902}"/>
    <cellStyle name="Comma 3 2 14 6" xfId="37993" xr:uid="{05341552-08DF-45B3-82A0-8A2C10CE2017}"/>
    <cellStyle name="Comma 3 2 14 7" xfId="19739" xr:uid="{C36F4802-8F6C-4E40-A634-F1FE652A8A90}"/>
    <cellStyle name="Comma 3 2 15" xfId="755" xr:uid="{400BE70D-AC60-4AA7-A7C0-BDBCF9E7E856}"/>
    <cellStyle name="Comma 3 2 15 2" xfId="15355" xr:uid="{AF2E23A7-6755-419E-B842-6D6A6CEA1E82}"/>
    <cellStyle name="Comma 3 2 15 2 2" xfId="51863" xr:uid="{02A29023-E753-49BD-881B-23059014B2DE}"/>
    <cellStyle name="Comma 3 2 15 2 3" xfId="33609" xr:uid="{56E4A7C6-8BB9-46D2-84B8-E4B08335F7E1}"/>
    <cellStyle name="Comma 3 2 15 3" xfId="11705" xr:uid="{700AF1F3-9F0B-41A0-97F0-D88A4899296B}"/>
    <cellStyle name="Comma 3 2 15 3 2" xfId="48213" xr:uid="{658113B1-E8F8-4671-BAC7-527EE053C8A6}"/>
    <cellStyle name="Comma 3 2 15 3 3" xfId="29959" xr:uid="{5B1A0E80-27D8-416C-B6A0-97FA4252255B}"/>
    <cellStyle name="Comma 3 2 15 4" xfId="8055" xr:uid="{8EB0EA75-0867-4ABB-AA29-CBBD44E0806C}"/>
    <cellStyle name="Comma 3 2 15 4 2" xfId="44563" xr:uid="{F2543F4A-A5B8-4F7F-80D0-B5F5DFBD7CB1}"/>
    <cellStyle name="Comma 3 2 15 4 3" xfId="26309" xr:uid="{6B14C920-8A3C-414F-8B23-61698E5DF455}"/>
    <cellStyle name="Comma 3 2 15 5" xfId="4405" xr:uid="{23352387-F2B8-4BAA-9724-377291DDB52F}"/>
    <cellStyle name="Comma 3 2 15 5 2" xfId="40913" xr:uid="{2B42D7C1-95F2-4460-B668-E01B8A9EFE88}"/>
    <cellStyle name="Comma 3 2 15 5 3" xfId="22659" xr:uid="{27BAB7A1-49FF-4CA9-A235-AD4FC3C46190}"/>
    <cellStyle name="Comma 3 2 15 6" xfId="37263" xr:uid="{921FB6DD-1274-4142-AA77-5F7C7DA0E48B}"/>
    <cellStyle name="Comma 3 2 15 7" xfId="19009" xr:uid="{8850FDDF-9004-4715-A58D-46CFA70C7471}"/>
    <cellStyle name="Comma 3 2 16" xfId="14625" xr:uid="{19C862CC-35C5-4D76-AB17-BFCA15E90FFD}"/>
    <cellStyle name="Comma 3 2 16 2" xfId="51133" xr:uid="{20D980FB-E91D-4834-A56A-91D14B0773F9}"/>
    <cellStyle name="Comma 3 2 16 3" xfId="32879" xr:uid="{AEF8EF13-B681-4904-BBE8-8096E1BDDD85}"/>
    <cellStyle name="Comma 3 2 17" xfId="10975" xr:uid="{4C102A9E-B207-4F98-8EEC-3B06BC1DBD93}"/>
    <cellStyle name="Comma 3 2 17 2" xfId="47483" xr:uid="{2B890AC5-54B1-41F7-9B16-553D03746A23}"/>
    <cellStyle name="Comma 3 2 17 3" xfId="29229" xr:uid="{268291D9-9FC0-498B-9698-0F83A92428E1}"/>
    <cellStyle name="Comma 3 2 18" xfId="7325" xr:uid="{BCFD669C-BE8F-494A-9427-F59EE23D0F90}"/>
    <cellStyle name="Comma 3 2 18 2" xfId="43833" xr:uid="{FEC24496-B200-45D2-BD34-5E9B6083FB58}"/>
    <cellStyle name="Comma 3 2 18 3" xfId="25579" xr:uid="{0C3A3FEA-BEDE-4855-BA50-D4AAD5F25088}"/>
    <cellStyle name="Comma 3 2 19" xfId="3675" xr:uid="{D52F01D7-1E52-438F-902E-01D2DD5A78B3}"/>
    <cellStyle name="Comma 3 2 19 2" xfId="40183" xr:uid="{8B2CC79E-21F2-40E9-B8F2-34B5DAE2A1E3}"/>
    <cellStyle name="Comma 3 2 19 3" xfId="21929" xr:uid="{E416A4B4-E1F2-488D-855F-4750A06E34C1}"/>
    <cellStyle name="Comma 3 2 2" xfId="21" xr:uid="{00000000-0005-0000-0000-00000B000000}"/>
    <cellStyle name="Comma 3 2 2 10" xfId="137" xr:uid="{E5B8CD2C-65C1-42D7-8ACF-DB01938D7954}"/>
    <cellStyle name="Comma 3 2 2 10 10" xfId="36645" xr:uid="{679C56EF-0841-439E-99BB-826D76F681EB}"/>
    <cellStyle name="Comma 3 2 2 10 11" xfId="18391" xr:uid="{B2C2FC59-FFFF-47BF-B25E-A415E4AED0A6}"/>
    <cellStyle name="Comma 3 2 2 10 2" xfId="3057" xr:uid="{CA752685-1BF5-4F43-8186-8ECB27B675E1}"/>
    <cellStyle name="Comma 3 2 2 10 2 2" xfId="17657" xr:uid="{C5A1046A-CA06-40E6-8187-3FA6909E1C86}"/>
    <cellStyle name="Comma 3 2 2 10 2 2 2" xfId="54165" xr:uid="{744FE20A-FE7D-4B1A-B1AA-D9E9EF649E5F}"/>
    <cellStyle name="Comma 3 2 2 10 2 2 3" xfId="35911" xr:uid="{53BF4472-E004-4E9D-B5AF-66BF9C27032C}"/>
    <cellStyle name="Comma 3 2 2 10 2 3" xfId="14007" xr:uid="{E663FDE1-0A0C-4247-BDC9-46CF5F62881D}"/>
    <cellStyle name="Comma 3 2 2 10 2 3 2" xfId="50515" xr:uid="{665662B1-EB46-4027-892E-4A2847256B36}"/>
    <cellStyle name="Comma 3 2 2 10 2 3 3" xfId="32261" xr:uid="{198DCC6E-5F60-47D8-8C80-A20214E3D57F}"/>
    <cellStyle name="Comma 3 2 2 10 2 4" xfId="10357" xr:uid="{1CDAE0E2-7A44-4466-9D62-30043234F48A}"/>
    <cellStyle name="Comma 3 2 2 10 2 4 2" xfId="46865" xr:uid="{6C012DF4-8CF8-4C24-BC9A-87DFB69804A5}"/>
    <cellStyle name="Comma 3 2 2 10 2 4 3" xfId="28611" xr:uid="{07CEA9E1-91F9-4B0B-8155-1113CFDFA8D4}"/>
    <cellStyle name="Comma 3 2 2 10 2 5" xfId="6707" xr:uid="{34876E98-F55C-4AA9-9CFE-1039F81583F7}"/>
    <cellStyle name="Comma 3 2 2 10 2 5 2" xfId="43215" xr:uid="{38DA1910-AFFD-4058-9059-131EED019E1F}"/>
    <cellStyle name="Comma 3 2 2 10 2 5 3" xfId="24961" xr:uid="{BF3FCDF9-FD26-46FC-8DD0-F1FAE41C5480}"/>
    <cellStyle name="Comma 3 2 2 10 2 6" xfId="39565" xr:uid="{BE5006B4-B53D-41D1-9321-2A08BBEFC325}"/>
    <cellStyle name="Comma 3 2 2 10 2 7" xfId="21311" xr:uid="{52448B67-5E8A-464E-93BA-4C71FC15E784}"/>
    <cellStyle name="Comma 3 2 2 10 3" xfId="2327" xr:uid="{11543D34-0524-4427-A80F-95D325F65B8D}"/>
    <cellStyle name="Comma 3 2 2 10 3 2" xfId="16927" xr:uid="{212D91B7-AB2D-41D7-AE43-F683AEC87A02}"/>
    <cellStyle name="Comma 3 2 2 10 3 2 2" xfId="53435" xr:uid="{ADF7FA96-DDBC-4193-844E-705390DC316D}"/>
    <cellStyle name="Comma 3 2 2 10 3 2 3" xfId="35181" xr:uid="{9647BFBB-BF70-48CE-8A21-73B92666D7FC}"/>
    <cellStyle name="Comma 3 2 2 10 3 3" xfId="13277" xr:uid="{CBA0C033-4B87-4F65-AC55-97CAFBFCD6AE}"/>
    <cellStyle name="Comma 3 2 2 10 3 3 2" xfId="49785" xr:uid="{0B97C371-C831-4FE3-8358-96FF28BF143A}"/>
    <cellStyle name="Comma 3 2 2 10 3 3 3" xfId="31531" xr:uid="{F1027639-ACC5-4D14-B5FB-7B41287125AD}"/>
    <cellStyle name="Comma 3 2 2 10 3 4" xfId="9627" xr:uid="{BE3F1291-2B8A-4890-9586-8A20A4E20620}"/>
    <cellStyle name="Comma 3 2 2 10 3 4 2" xfId="46135" xr:uid="{7B05CCA7-761F-4381-BA53-F42BB007CFD9}"/>
    <cellStyle name="Comma 3 2 2 10 3 4 3" xfId="27881" xr:uid="{DBC93D62-B206-4A1E-8A10-BAB49600FCD4}"/>
    <cellStyle name="Comma 3 2 2 10 3 5" xfId="5977" xr:uid="{383FE1F6-FCD1-4ADC-BA13-3D1B5A3B7E29}"/>
    <cellStyle name="Comma 3 2 2 10 3 5 2" xfId="42485" xr:uid="{79423ECB-8628-4F92-812D-8C57050C7B95}"/>
    <cellStyle name="Comma 3 2 2 10 3 5 3" xfId="24231" xr:uid="{6515074B-B0B0-4C02-BEA7-51588DC27E2F}"/>
    <cellStyle name="Comma 3 2 2 10 3 6" xfId="38835" xr:uid="{BD3289EE-B140-4A79-B5FD-AD9EF9AE37C8}"/>
    <cellStyle name="Comma 3 2 2 10 3 7" xfId="20581" xr:uid="{22F80784-503D-4F2B-9014-A04217A5CF3D}"/>
    <cellStyle name="Comma 3 2 2 10 4" xfId="1597" xr:uid="{89A558AC-C8D6-4BBA-843C-4CA6F148E45E}"/>
    <cellStyle name="Comma 3 2 2 10 4 2" xfId="16197" xr:uid="{B2B01089-D3D5-4B47-B925-9A9535439D5F}"/>
    <cellStyle name="Comma 3 2 2 10 4 2 2" xfId="52705" xr:uid="{83A643EB-CE0D-4B4D-B3A7-9371D6A78001}"/>
    <cellStyle name="Comma 3 2 2 10 4 2 3" xfId="34451" xr:uid="{D2F2A23F-80EA-47A5-934E-B75B258447A6}"/>
    <cellStyle name="Comma 3 2 2 10 4 3" xfId="12547" xr:uid="{0CB6F245-A7B0-4EE2-8C3A-0EDF5DB9640A}"/>
    <cellStyle name="Comma 3 2 2 10 4 3 2" xfId="49055" xr:uid="{830F416D-C03E-4BC8-AB4A-280D1F27F1E5}"/>
    <cellStyle name="Comma 3 2 2 10 4 3 3" xfId="30801" xr:uid="{6EA35CB1-6AC3-484B-B98A-D2920E23D740}"/>
    <cellStyle name="Comma 3 2 2 10 4 4" xfId="8897" xr:uid="{05EC9764-B565-4F4A-B175-774153D15355}"/>
    <cellStyle name="Comma 3 2 2 10 4 4 2" xfId="45405" xr:uid="{332EEB66-9672-40E3-AC0E-E59A3BCEB484}"/>
    <cellStyle name="Comma 3 2 2 10 4 4 3" xfId="27151" xr:uid="{E2CF4BD3-3E20-4AAD-B9E2-D14B28511248}"/>
    <cellStyle name="Comma 3 2 2 10 4 5" xfId="5247" xr:uid="{F0555B80-4342-4995-A60A-103862550678}"/>
    <cellStyle name="Comma 3 2 2 10 4 5 2" xfId="41755" xr:uid="{DC269BEA-BA6E-4E89-B8D9-2C3905EB9F69}"/>
    <cellStyle name="Comma 3 2 2 10 4 5 3" xfId="23501" xr:uid="{553BA3D5-1F21-4481-8671-035841E1621F}"/>
    <cellStyle name="Comma 3 2 2 10 4 6" xfId="38105" xr:uid="{F8343BFE-27DF-403E-86CE-3E2D73BCA27B}"/>
    <cellStyle name="Comma 3 2 2 10 4 7" xfId="19851" xr:uid="{581E4ACA-BC23-4933-90F9-5741CF2D6F7A}"/>
    <cellStyle name="Comma 3 2 2 10 5" xfId="867" xr:uid="{98468678-CC44-491C-A882-F68895F5EBE7}"/>
    <cellStyle name="Comma 3 2 2 10 5 2" xfId="15467" xr:uid="{E07998C1-5E77-4308-B5D8-A5A93B1074D8}"/>
    <cellStyle name="Comma 3 2 2 10 5 2 2" xfId="51975" xr:uid="{15BF0D1E-C0C4-4FE5-8E50-767B2C3F9E5F}"/>
    <cellStyle name="Comma 3 2 2 10 5 2 3" xfId="33721" xr:uid="{EF7AB0B5-8DB6-4818-AAB8-D69A09F5F77C}"/>
    <cellStyle name="Comma 3 2 2 10 5 3" xfId="11817" xr:uid="{5B6E243C-3648-4423-872B-94DE1AE86378}"/>
    <cellStyle name="Comma 3 2 2 10 5 3 2" xfId="48325" xr:uid="{015396A7-072F-41A7-8232-CEE7A7CFB4E0}"/>
    <cellStyle name="Comma 3 2 2 10 5 3 3" xfId="30071" xr:uid="{191ED81E-FB76-42FA-A06B-3726FC72AE8F}"/>
    <cellStyle name="Comma 3 2 2 10 5 4" xfId="8167" xr:uid="{B2ABFC61-1D76-47B6-A92D-111A628D35D0}"/>
    <cellStyle name="Comma 3 2 2 10 5 4 2" xfId="44675" xr:uid="{CCD01234-753B-47B0-B3BD-00EDB33A2EE2}"/>
    <cellStyle name="Comma 3 2 2 10 5 4 3" xfId="26421" xr:uid="{57854F9E-5D49-4501-A47F-1E91B3B321B7}"/>
    <cellStyle name="Comma 3 2 2 10 5 5" xfId="4517" xr:uid="{97CCBC22-4FBB-4482-9A04-65885BEE685F}"/>
    <cellStyle name="Comma 3 2 2 10 5 5 2" xfId="41025" xr:uid="{E9B6ACE8-E3FD-4796-B0EB-316B2C807538}"/>
    <cellStyle name="Comma 3 2 2 10 5 5 3" xfId="22771" xr:uid="{4599E9A2-ED00-4417-B824-72F0989CBAEE}"/>
    <cellStyle name="Comma 3 2 2 10 5 6" xfId="37375" xr:uid="{849CD75A-6294-4367-B5E3-1C9FDB73D298}"/>
    <cellStyle name="Comma 3 2 2 10 5 7" xfId="19121" xr:uid="{3F8E009B-DD76-494D-AF0F-42EC4258981B}"/>
    <cellStyle name="Comma 3 2 2 10 6" xfId="14737" xr:uid="{17BE604F-3628-4455-9DF8-05BB5D6DB953}"/>
    <cellStyle name="Comma 3 2 2 10 6 2" xfId="51245" xr:uid="{5D269E89-95B5-4B20-A0E6-5924F223FA73}"/>
    <cellStyle name="Comma 3 2 2 10 6 3" xfId="32991" xr:uid="{9DCE9199-F643-48E2-92B6-15C89C21EF86}"/>
    <cellStyle name="Comma 3 2 2 10 7" xfId="11087" xr:uid="{6C8BB22B-8EE2-4181-8F24-F25D1367CB70}"/>
    <cellStyle name="Comma 3 2 2 10 7 2" xfId="47595" xr:uid="{DD4233C2-9C0E-45D3-8E6D-5AC9AA431909}"/>
    <cellStyle name="Comma 3 2 2 10 7 3" xfId="29341" xr:uid="{66C6554B-7659-4D97-B0B7-AED393A8C943}"/>
    <cellStyle name="Comma 3 2 2 10 8" xfId="7437" xr:uid="{B8461E81-085F-4451-9E42-49542F1A3956}"/>
    <cellStyle name="Comma 3 2 2 10 8 2" xfId="43945" xr:uid="{BCF4F9C8-C168-4DA8-B707-4A9BE67A2408}"/>
    <cellStyle name="Comma 3 2 2 10 8 3" xfId="25691" xr:uid="{F5925642-FD68-4DFF-958C-623D2628124B}"/>
    <cellStyle name="Comma 3 2 2 10 9" xfId="3787" xr:uid="{D71C185F-DE35-46DF-99A4-0FC4203431E8}"/>
    <cellStyle name="Comma 3 2 2 10 9 2" xfId="40295" xr:uid="{1F02C500-EB87-428A-A52A-1BC16F415823}"/>
    <cellStyle name="Comma 3 2 2 10 9 3" xfId="22041" xr:uid="{4A016A06-8BDA-48A8-A8FD-8BA4FAADF04A}"/>
    <cellStyle name="Comma 3 2 2 11" xfId="2953" xr:uid="{B4C6EB95-8311-4890-9409-FFC2E3468C40}"/>
    <cellStyle name="Comma 3 2 2 11 2" xfId="17553" xr:uid="{08482866-319B-46BD-BB78-A682488FCDD2}"/>
    <cellStyle name="Comma 3 2 2 11 2 2" xfId="54061" xr:uid="{C58A9079-6EA1-4CF2-BEC6-31E68F2643B1}"/>
    <cellStyle name="Comma 3 2 2 11 2 3" xfId="35807" xr:uid="{266A8A4A-5563-48B7-8242-1985690628BF}"/>
    <cellStyle name="Comma 3 2 2 11 3" xfId="13903" xr:uid="{6EA4C44D-2B3A-4CFF-8F43-49E64125CCD0}"/>
    <cellStyle name="Comma 3 2 2 11 3 2" xfId="50411" xr:uid="{91EBA0C5-EE11-40C5-A8CD-B8E44AC9331A}"/>
    <cellStyle name="Comma 3 2 2 11 3 3" xfId="32157" xr:uid="{86DC8556-F6B4-42A6-A4C1-1858E483F9D9}"/>
    <cellStyle name="Comma 3 2 2 11 4" xfId="10253" xr:uid="{1C10F4BF-291A-4349-BFE4-7D8423BE239C}"/>
    <cellStyle name="Comma 3 2 2 11 4 2" xfId="46761" xr:uid="{6F532AB8-55BC-4796-9E17-FCAEC76FA975}"/>
    <cellStyle name="Comma 3 2 2 11 4 3" xfId="28507" xr:uid="{EFCF5285-F287-4785-B754-BB51914584F6}"/>
    <cellStyle name="Comma 3 2 2 11 5" xfId="6603" xr:uid="{40FC0B72-01FE-4CBB-B66D-83618399FA1C}"/>
    <cellStyle name="Comma 3 2 2 11 5 2" xfId="43111" xr:uid="{7F2639CD-E6E9-4E5A-8B87-68A73C90C6D9}"/>
    <cellStyle name="Comma 3 2 2 11 5 3" xfId="24857" xr:uid="{435CDC35-377A-4724-A76C-CF7BD0F1BE04}"/>
    <cellStyle name="Comma 3 2 2 11 6" xfId="39461" xr:uid="{85E70A36-7BA2-4D6F-9EB4-CB2EB558B4EA}"/>
    <cellStyle name="Comma 3 2 2 11 7" xfId="21207" xr:uid="{71F57958-E109-4E34-85EF-A4F2886B9463}"/>
    <cellStyle name="Comma 3 2 2 12" xfId="2223" xr:uid="{D1C3850B-4DF1-4F6F-8ED9-ED426273E037}"/>
    <cellStyle name="Comma 3 2 2 12 2" xfId="16823" xr:uid="{07299EE7-DEE9-476F-85CC-80C9243F0C6D}"/>
    <cellStyle name="Comma 3 2 2 12 2 2" xfId="53331" xr:uid="{0C001AB8-D3AC-47B2-9E10-726D3B25AE7D}"/>
    <cellStyle name="Comma 3 2 2 12 2 3" xfId="35077" xr:uid="{6C035C96-CEE2-4FA2-89B8-71A10A3147D2}"/>
    <cellStyle name="Comma 3 2 2 12 3" xfId="13173" xr:uid="{E56862BE-96AE-4181-9A86-E0C0E67DF7D8}"/>
    <cellStyle name="Comma 3 2 2 12 3 2" xfId="49681" xr:uid="{AC03E509-4FBD-4E93-9BD9-CA5E65648BC5}"/>
    <cellStyle name="Comma 3 2 2 12 3 3" xfId="31427" xr:uid="{F24472D6-75B1-4154-A2CC-187D61945BA7}"/>
    <cellStyle name="Comma 3 2 2 12 4" xfId="9523" xr:uid="{34C3A1A4-2303-466D-BD01-69FA8A608ABC}"/>
    <cellStyle name="Comma 3 2 2 12 4 2" xfId="46031" xr:uid="{7597D87D-C265-4FF7-8ADE-1BED3E80B976}"/>
    <cellStyle name="Comma 3 2 2 12 4 3" xfId="27777" xr:uid="{025F5214-B6A3-4733-AC3C-27965EBB6C9B}"/>
    <cellStyle name="Comma 3 2 2 12 5" xfId="5873" xr:uid="{FC277691-5064-423A-B60D-3C50E5375268}"/>
    <cellStyle name="Comma 3 2 2 12 5 2" xfId="42381" xr:uid="{0EEE3E2B-9F74-4AC2-B9FE-0A5430EB7F19}"/>
    <cellStyle name="Comma 3 2 2 12 5 3" xfId="24127" xr:uid="{066D3E5D-0B2A-486C-A508-F47A4ED5AA58}"/>
    <cellStyle name="Comma 3 2 2 12 6" xfId="38731" xr:uid="{281E23DD-27FD-4030-8FE8-36691A8C40CA}"/>
    <cellStyle name="Comma 3 2 2 12 7" xfId="20477" xr:uid="{A67DF8EE-7CBC-407A-B1CC-01B7BA18A76A}"/>
    <cellStyle name="Comma 3 2 2 13" xfId="1493" xr:uid="{58F983CF-03B9-4CF6-8C15-3B25A8F7CD7E}"/>
    <cellStyle name="Comma 3 2 2 13 2" xfId="16093" xr:uid="{3C066C24-4B04-4204-873E-35BACF4837E1}"/>
    <cellStyle name="Comma 3 2 2 13 2 2" xfId="52601" xr:uid="{16837FE0-3156-46BB-9A51-540025C7513F}"/>
    <cellStyle name="Comma 3 2 2 13 2 3" xfId="34347" xr:uid="{94E36C11-B744-4524-8CC0-36409BD14BA6}"/>
    <cellStyle name="Comma 3 2 2 13 3" xfId="12443" xr:uid="{6DF686A1-F068-4AE4-A462-413EF1583D97}"/>
    <cellStyle name="Comma 3 2 2 13 3 2" xfId="48951" xr:uid="{93134A9D-26CC-44B7-AC29-4DC4AE538F24}"/>
    <cellStyle name="Comma 3 2 2 13 3 3" xfId="30697" xr:uid="{D07588AB-5754-4088-9A55-C678B61FAD62}"/>
    <cellStyle name="Comma 3 2 2 13 4" xfId="8793" xr:uid="{95D46CC1-5F45-48E2-9AEB-AF7B094DB189}"/>
    <cellStyle name="Comma 3 2 2 13 4 2" xfId="45301" xr:uid="{8A5B4498-0E90-4992-A2A1-3DB4E4C01169}"/>
    <cellStyle name="Comma 3 2 2 13 4 3" xfId="27047" xr:uid="{7093B915-B04A-4209-9E25-2EEE9B5B58D0}"/>
    <cellStyle name="Comma 3 2 2 13 5" xfId="5143" xr:uid="{383B99BD-49F5-48CD-9B61-BC3A1FEECAFB}"/>
    <cellStyle name="Comma 3 2 2 13 5 2" xfId="41651" xr:uid="{D7E30EA4-A79B-4347-B2C6-3A597C88C455}"/>
    <cellStyle name="Comma 3 2 2 13 5 3" xfId="23397" xr:uid="{E0BB424A-B3DA-402E-81A7-363B478B44B6}"/>
    <cellStyle name="Comma 3 2 2 13 6" xfId="38001" xr:uid="{1E5D2C7F-F7E4-4B96-9DB4-EE4B73527F98}"/>
    <cellStyle name="Comma 3 2 2 13 7" xfId="19747" xr:uid="{EAA9800A-A748-4760-968C-E73BE951FF02}"/>
    <cellStyle name="Comma 3 2 2 14" xfId="763" xr:uid="{4D383077-0F23-4CF6-8220-8F4E68FBE616}"/>
    <cellStyle name="Comma 3 2 2 14 2" xfId="15363" xr:uid="{A6328DD0-B965-4204-98EA-2F66BFFE74CB}"/>
    <cellStyle name="Comma 3 2 2 14 2 2" xfId="51871" xr:uid="{334A0D1B-F6C5-4126-89F7-38EA0B4DA981}"/>
    <cellStyle name="Comma 3 2 2 14 2 3" xfId="33617" xr:uid="{072E4BE2-C461-4B1A-976E-9AB1DEB0F453}"/>
    <cellStyle name="Comma 3 2 2 14 3" xfId="11713" xr:uid="{11F5094E-DB75-4D36-B173-8586658216B5}"/>
    <cellStyle name="Comma 3 2 2 14 3 2" xfId="48221" xr:uid="{FDCE701D-371B-4E1E-AE31-8D73AFAEE553}"/>
    <cellStyle name="Comma 3 2 2 14 3 3" xfId="29967" xr:uid="{8C3D3BE6-7B57-4DC7-886C-8F0E75E08093}"/>
    <cellStyle name="Comma 3 2 2 14 4" xfId="8063" xr:uid="{4E8DACB4-E836-4609-BADB-E76A2BB58AF4}"/>
    <cellStyle name="Comma 3 2 2 14 4 2" xfId="44571" xr:uid="{7D7A7902-46C9-437A-BE05-C49CF29306EE}"/>
    <cellStyle name="Comma 3 2 2 14 4 3" xfId="26317" xr:uid="{25EA9C13-A53F-4D9F-B253-C92023E179CA}"/>
    <cellStyle name="Comma 3 2 2 14 5" xfId="4413" xr:uid="{392DDD86-B58C-4D3F-B29F-6C3B4AFAA38E}"/>
    <cellStyle name="Comma 3 2 2 14 5 2" xfId="40921" xr:uid="{6F767250-4D02-4073-BB21-8C24B4F565F0}"/>
    <cellStyle name="Comma 3 2 2 14 5 3" xfId="22667" xr:uid="{0C9ECFE2-B136-478A-87FB-68A7E6911AFB}"/>
    <cellStyle name="Comma 3 2 2 14 6" xfId="37271" xr:uid="{49B4B8CB-4045-4FB7-8FAD-BA45131BE1E6}"/>
    <cellStyle name="Comma 3 2 2 14 7" xfId="19017" xr:uid="{E98B78DD-B10D-4365-BD6F-3E33C7190F48}"/>
    <cellStyle name="Comma 3 2 2 15" xfId="14633" xr:uid="{5C4FBACF-10D1-4E87-91EF-AC0AB3F73ED2}"/>
    <cellStyle name="Comma 3 2 2 15 2" xfId="51141" xr:uid="{714FD60E-D03D-46EF-A56E-D461D761B8EF}"/>
    <cellStyle name="Comma 3 2 2 15 3" xfId="32887" xr:uid="{383C0C52-99DF-4C50-AE2E-398D58B027D5}"/>
    <cellStyle name="Comma 3 2 2 16" xfId="10983" xr:uid="{2F714233-E1BF-4FA5-BC50-08079F2A9EA5}"/>
    <cellStyle name="Comma 3 2 2 16 2" xfId="47491" xr:uid="{F56F3862-0A42-4422-ACE9-43F41CE9C99C}"/>
    <cellStyle name="Comma 3 2 2 16 3" xfId="29237" xr:uid="{83F592B6-5CFE-4A74-A780-CD9DC1C5F685}"/>
    <cellStyle name="Comma 3 2 2 17" xfId="7333" xr:uid="{01DD8219-E729-4D81-8AA2-B931CD86B8C3}"/>
    <cellStyle name="Comma 3 2 2 17 2" xfId="43841" xr:uid="{79F58C2F-9262-448C-8F6F-B574D92537E8}"/>
    <cellStyle name="Comma 3 2 2 17 3" xfId="25587" xr:uid="{C5E3E746-5B63-4CBF-AD7D-61298FC7CC46}"/>
    <cellStyle name="Comma 3 2 2 18" xfId="3683" xr:uid="{B792DCFE-363B-402B-B8B9-FB2A00E78700}"/>
    <cellStyle name="Comma 3 2 2 18 2" xfId="40191" xr:uid="{7091E5B7-71CF-4BEF-A7E5-65A8D987C1DC}"/>
    <cellStyle name="Comma 3 2 2 18 3" xfId="21937" xr:uid="{25BEB41C-701C-42F5-B5D6-378E8C08908D}"/>
    <cellStyle name="Comma 3 2 2 19" xfId="36541" xr:uid="{D396EBE5-3327-4CD1-8784-0EDBC6599107}"/>
    <cellStyle name="Comma 3 2 2 2" xfId="40" xr:uid="{C24A1170-4E92-4EAB-95B8-AE124DFD3C4C}"/>
    <cellStyle name="Comma 3 2 2 2 10" xfId="2969" xr:uid="{B511F7EA-034D-4E3A-B79D-F0879D240D15}"/>
    <cellStyle name="Comma 3 2 2 2 10 2" xfId="17569" xr:uid="{446E6A18-C382-4568-8F62-DB568F5BFDDE}"/>
    <cellStyle name="Comma 3 2 2 2 10 2 2" xfId="54077" xr:uid="{26C49CE9-ACAD-4F16-BDF9-E0AA45059F5B}"/>
    <cellStyle name="Comma 3 2 2 2 10 2 3" xfId="35823" xr:uid="{1F751C13-BD8C-4F55-9409-5526AB3CEF40}"/>
    <cellStyle name="Comma 3 2 2 2 10 3" xfId="13919" xr:uid="{B9996B6E-F19C-4495-9261-38B2528B5D42}"/>
    <cellStyle name="Comma 3 2 2 2 10 3 2" xfId="50427" xr:uid="{7EC302B0-595C-436A-804B-5530909CC6D9}"/>
    <cellStyle name="Comma 3 2 2 2 10 3 3" xfId="32173" xr:uid="{E09EC08C-913A-46BB-93C3-D24584EBC0B7}"/>
    <cellStyle name="Comma 3 2 2 2 10 4" xfId="10269" xr:uid="{2C660879-77EC-4605-A3C4-E74BFCD1432B}"/>
    <cellStyle name="Comma 3 2 2 2 10 4 2" xfId="46777" xr:uid="{E87A3EDD-BBF7-4B26-AA41-339389789A3B}"/>
    <cellStyle name="Comma 3 2 2 2 10 4 3" xfId="28523" xr:uid="{0A781466-269A-46FD-9B07-E33DB57307EA}"/>
    <cellStyle name="Comma 3 2 2 2 10 5" xfId="6619" xr:uid="{9FEF71CC-D67A-4FFE-B5BB-AEF05255AEB4}"/>
    <cellStyle name="Comma 3 2 2 2 10 5 2" xfId="43127" xr:uid="{A874FE4F-B569-4B89-848D-446FE825E174}"/>
    <cellStyle name="Comma 3 2 2 2 10 5 3" xfId="24873" xr:uid="{7DF2C19D-F0B0-46CC-A321-BBC0CBC6FB07}"/>
    <cellStyle name="Comma 3 2 2 2 10 6" xfId="39477" xr:uid="{35DD4884-ABBB-4C7F-B5EA-4DE89BCFCFE9}"/>
    <cellStyle name="Comma 3 2 2 2 10 7" xfId="21223" xr:uid="{7AF616B6-80AE-41DD-8461-8667B333EE60}"/>
    <cellStyle name="Comma 3 2 2 2 11" xfId="2239" xr:uid="{0EE62D87-073E-4281-8461-CEDAD0E6FB12}"/>
    <cellStyle name="Comma 3 2 2 2 11 2" xfId="16839" xr:uid="{23ABDC0C-51C9-4869-93B9-3B9A6BA78ABA}"/>
    <cellStyle name="Comma 3 2 2 2 11 2 2" xfId="53347" xr:uid="{F7A08936-58CB-494A-BD3D-273985EDDBC5}"/>
    <cellStyle name="Comma 3 2 2 2 11 2 3" xfId="35093" xr:uid="{91987ED8-30C6-4BD2-8044-90037442700F}"/>
    <cellStyle name="Comma 3 2 2 2 11 3" xfId="13189" xr:uid="{83FDD1B5-81FC-456F-AEB6-2039BB431144}"/>
    <cellStyle name="Comma 3 2 2 2 11 3 2" xfId="49697" xr:uid="{852B05F5-A3A7-4037-B125-C021AB0B7845}"/>
    <cellStyle name="Comma 3 2 2 2 11 3 3" xfId="31443" xr:uid="{0DCD01D8-71F9-434A-9E6A-9C2318E1EA82}"/>
    <cellStyle name="Comma 3 2 2 2 11 4" xfId="9539" xr:uid="{3E4D1834-5287-4870-8880-030157E268CF}"/>
    <cellStyle name="Comma 3 2 2 2 11 4 2" xfId="46047" xr:uid="{397B5053-9F58-427F-B140-EAAD93AACD2A}"/>
    <cellStyle name="Comma 3 2 2 2 11 4 3" xfId="27793" xr:uid="{36E35DDC-8BF6-4DA2-ADC9-77A1D2065B5C}"/>
    <cellStyle name="Comma 3 2 2 2 11 5" xfId="5889" xr:uid="{E44FC114-7BC1-4C7E-90D9-3B3646A29492}"/>
    <cellStyle name="Comma 3 2 2 2 11 5 2" xfId="42397" xr:uid="{83A99777-EDF0-4B09-B392-F8597BFBF482}"/>
    <cellStyle name="Comma 3 2 2 2 11 5 3" xfId="24143" xr:uid="{ADAD8C93-3982-4210-91F2-EA947D0EDE20}"/>
    <cellStyle name="Comma 3 2 2 2 11 6" xfId="38747" xr:uid="{765C1C0D-FE21-4A16-AE9E-75DE48892C29}"/>
    <cellStyle name="Comma 3 2 2 2 11 7" xfId="20493" xr:uid="{8F7F3FC3-984A-4E00-9CB8-FDD1C362656D}"/>
    <cellStyle name="Comma 3 2 2 2 12" xfId="1509" xr:uid="{6EDA9595-C749-42CB-B14E-80AA4CCDAFC6}"/>
    <cellStyle name="Comma 3 2 2 2 12 2" xfId="16109" xr:uid="{D3C71C6C-5D76-42DB-AE45-9AD63F76FB3E}"/>
    <cellStyle name="Comma 3 2 2 2 12 2 2" xfId="52617" xr:uid="{F5760F55-AD90-4FA1-9FFE-8020C45BE016}"/>
    <cellStyle name="Comma 3 2 2 2 12 2 3" xfId="34363" xr:uid="{CDE081B3-DF96-430E-AFFC-7222BF68F808}"/>
    <cellStyle name="Comma 3 2 2 2 12 3" xfId="12459" xr:uid="{38F04FCD-FA36-4A35-AD8E-4F35A4A71EBC}"/>
    <cellStyle name="Comma 3 2 2 2 12 3 2" xfId="48967" xr:uid="{692C821E-1371-4D18-9D5E-C2BE5913744B}"/>
    <cellStyle name="Comma 3 2 2 2 12 3 3" xfId="30713" xr:uid="{A59E821C-1263-449B-B9F2-0D623F8897A9}"/>
    <cellStyle name="Comma 3 2 2 2 12 4" xfId="8809" xr:uid="{C9E54ED2-E9F7-4E0A-82E0-C019D4D0F588}"/>
    <cellStyle name="Comma 3 2 2 2 12 4 2" xfId="45317" xr:uid="{6A791424-D3C7-4386-8617-0EF2120482F7}"/>
    <cellStyle name="Comma 3 2 2 2 12 4 3" xfId="27063" xr:uid="{66960CAA-4009-4DED-9602-456100C6DA91}"/>
    <cellStyle name="Comma 3 2 2 2 12 5" xfId="5159" xr:uid="{296A0BCB-C67D-4EFA-A0B5-16AF60B47493}"/>
    <cellStyle name="Comma 3 2 2 2 12 5 2" xfId="41667" xr:uid="{F8EFBD87-1D3A-4AE0-B498-C4DFADCAA2DC}"/>
    <cellStyle name="Comma 3 2 2 2 12 5 3" xfId="23413" xr:uid="{095F3FEF-D19C-4A16-BDE7-168D09C932C9}"/>
    <cellStyle name="Comma 3 2 2 2 12 6" xfId="38017" xr:uid="{DD410757-85CA-4300-B03A-77015F8B93C7}"/>
    <cellStyle name="Comma 3 2 2 2 12 7" xfId="19763" xr:uid="{330D6ECF-B195-41A3-8C5C-472B8DA78C36}"/>
    <cellStyle name="Comma 3 2 2 2 13" xfId="779" xr:uid="{5A8B8D7E-27E3-488E-B8CB-5D87D727957A}"/>
    <cellStyle name="Comma 3 2 2 2 13 2" xfId="15379" xr:uid="{6E7927AF-3D0F-470F-BF1C-5FC14F4A24BB}"/>
    <cellStyle name="Comma 3 2 2 2 13 2 2" xfId="51887" xr:uid="{32B00AE3-7C1F-4AD5-A36C-65B8AE3A764D}"/>
    <cellStyle name="Comma 3 2 2 2 13 2 3" xfId="33633" xr:uid="{C0CD5693-DDCE-41E9-81B9-3C6C86042162}"/>
    <cellStyle name="Comma 3 2 2 2 13 3" xfId="11729" xr:uid="{544A8DB4-FB83-4DF7-936D-E67100D2DE0E}"/>
    <cellStyle name="Comma 3 2 2 2 13 3 2" xfId="48237" xr:uid="{E274ABD9-F3D6-45DF-BF67-9B09A638731E}"/>
    <cellStyle name="Comma 3 2 2 2 13 3 3" xfId="29983" xr:uid="{6CD2F481-1892-4F6A-BD4A-D5A8D9C3C3B6}"/>
    <cellStyle name="Comma 3 2 2 2 13 4" xfId="8079" xr:uid="{2B53E7BB-E2B9-4D5C-B352-BA7146F3CBDE}"/>
    <cellStyle name="Comma 3 2 2 2 13 4 2" xfId="44587" xr:uid="{890EFE25-53FC-4633-B06B-CA4563CEE03F}"/>
    <cellStyle name="Comma 3 2 2 2 13 4 3" xfId="26333" xr:uid="{008FDAEF-068A-4175-9332-FF2C68829F29}"/>
    <cellStyle name="Comma 3 2 2 2 13 5" xfId="4429" xr:uid="{EDF88E1B-0A0C-4B77-B5FD-56F78A82EEA3}"/>
    <cellStyle name="Comma 3 2 2 2 13 5 2" xfId="40937" xr:uid="{4145393C-CC2E-4226-A486-B08662C52FAA}"/>
    <cellStyle name="Comma 3 2 2 2 13 5 3" xfId="22683" xr:uid="{CE1EF7A8-46EA-4FF6-81F1-02EC49881DB6}"/>
    <cellStyle name="Comma 3 2 2 2 13 6" xfId="37287" xr:uid="{453B8569-DB93-4147-8137-D56D2AE3FE53}"/>
    <cellStyle name="Comma 3 2 2 2 13 7" xfId="19033" xr:uid="{D0B815A4-1203-49C8-9DB0-9B7BE93113D3}"/>
    <cellStyle name="Comma 3 2 2 2 14" xfId="14649" xr:uid="{B0C83412-994C-4B4E-9077-0E89C3D374B7}"/>
    <cellStyle name="Comma 3 2 2 2 14 2" xfId="51157" xr:uid="{78D2FDE1-5D6D-4058-823A-DEC2B307D473}"/>
    <cellStyle name="Comma 3 2 2 2 14 3" xfId="32903" xr:uid="{2D6E9DD7-7E5F-417D-8CE1-8E4D368468BA}"/>
    <cellStyle name="Comma 3 2 2 2 15" xfId="10999" xr:uid="{8FB31808-AC39-4C0A-B05D-EFCEB4CC4D61}"/>
    <cellStyle name="Comma 3 2 2 2 15 2" xfId="47507" xr:uid="{CD783E2D-A7F9-4FED-AC57-1B7DA213CFF6}"/>
    <cellStyle name="Comma 3 2 2 2 15 3" xfId="29253" xr:uid="{7DE48E55-91D2-4916-BE23-E2F19900B3A7}"/>
    <cellStyle name="Comma 3 2 2 2 16" xfId="7349" xr:uid="{8C49EBAE-B17F-4FEE-9DA1-D75437804F33}"/>
    <cellStyle name="Comma 3 2 2 2 16 2" xfId="43857" xr:uid="{5493BE4D-14F6-4D42-BA04-44E096B74D45}"/>
    <cellStyle name="Comma 3 2 2 2 16 3" xfId="25603" xr:uid="{0905B315-1893-48EB-8A4A-B8FA1AD6EF60}"/>
    <cellStyle name="Comma 3 2 2 2 17" xfId="3699" xr:uid="{F3DE5696-B6AB-4445-B66D-D9DAC84BEAC4}"/>
    <cellStyle name="Comma 3 2 2 2 17 2" xfId="40207" xr:uid="{FE376289-F2D9-48DC-B291-E1D7189A5AD6}"/>
    <cellStyle name="Comma 3 2 2 2 17 3" xfId="21953" xr:uid="{3C22E479-C985-4A4B-A1D5-F28A592C6A02}"/>
    <cellStyle name="Comma 3 2 2 2 18" xfId="36557" xr:uid="{4FC60B09-AF6A-4548-A74F-25713557B11D}"/>
    <cellStyle name="Comma 3 2 2 2 19" xfId="18303" xr:uid="{BE0C12CD-FA75-4158-A30C-228F11793A55}"/>
    <cellStyle name="Comma 3 2 2 2 2" xfId="114" xr:uid="{7546B089-4067-4F3A-94BE-DC9F99871193}"/>
    <cellStyle name="Comma 3 2 2 2 2 10" xfId="1573" xr:uid="{206FCA30-BA86-4169-A640-695A8E47DD7F}"/>
    <cellStyle name="Comma 3 2 2 2 2 10 2" xfId="16173" xr:uid="{08C4CFC3-A8E4-4CD2-AE1C-680AD031FCAA}"/>
    <cellStyle name="Comma 3 2 2 2 2 10 2 2" xfId="52681" xr:uid="{6691E29B-9AF6-4F99-8ABE-A589850E6F54}"/>
    <cellStyle name="Comma 3 2 2 2 2 10 2 3" xfId="34427" xr:uid="{57EEDCA1-40CD-4CD9-96DB-817FD3B09437}"/>
    <cellStyle name="Comma 3 2 2 2 2 10 3" xfId="12523" xr:uid="{FCF4A305-905D-48C6-A494-1A9F812C2E51}"/>
    <cellStyle name="Comma 3 2 2 2 2 10 3 2" xfId="49031" xr:uid="{598A4FB9-89A7-47B1-A9CD-B0C342ADC1D2}"/>
    <cellStyle name="Comma 3 2 2 2 2 10 3 3" xfId="30777" xr:uid="{E3302942-31CD-44A2-AEAB-84396F7DE7EF}"/>
    <cellStyle name="Comma 3 2 2 2 2 10 4" xfId="8873" xr:uid="{603508DC-AD80-4D70-97D7-EF46018E3656}"/>
    <cellStyle name="Comma 3 2 2 2 2 10 4 2" xfId="45381" xr:uid="{8AED523D-61F7-469A-8652-EBCBD82DF366}"/>
    <cellStyle name="Comma 3 2 2 2 2 10 4 3" xfId="27127" xr:uid="{39375038-962A-4DAC-8CE1-67AED5397C97}"/>
    <cellStyle name="Comma 3 2 2 2 2 10 5" xfId="5223" xr:uid="{C171F91E-8B02-4A50-9CBE-4DE3EC9566E6}"/>
    <cellStyle name="Comma 3 2 2 2 2 10 5 2" xfId="41731" xr:uid="{D235A9A3-E524-4708-A3DE-4742FCFBCEBD}"/>
    <cellStyle name="Comma 3 2 2 2 2 10 5 3" xfId="23477" xr:uid="{D127D48E-0125-4B2A-A7A0-E8FC7CD4D96C}"/>
    <cellStyle name="Comma 3 2 2 2 2 10 6" xfId="38081" xr:uid="{69756266-FFBB-4B41-8B5F-A67FDC0DF6F7}"/>
    <cellStyle name="Comma 3 2 2 2 2 10 7" xfId="19827" xr:uid="{12F541A5-E50A-43D4-AF5D-8E5DA490A9C8}"/>
    <cellStyle name="Comma 3 2 2 2 2 11" xfId="843" xr:uid="{8EB410C6-1943-499F-84B8-F44336171D68}"/>
    <cellStyle name="Comma 3 2 2 2 2 11 2" xfId="15443" xr:uid="{BA6C0BD7-D83F-4EFC-B6E8-5D9FCFFC7405}"/>
    <cellStyle name="Comma 3 2 2 2 2 11 2 2" xfId="51951" xr:uid="{EC7FB669-713E-4AF7-AC75-8B92C07E46A3}"/>
    <cellStyle name="Comma 3 2 2 2 2 11 2 3" xfId="33697" xr:uid="{C4A042E9-C21D-42C5-8631-273B0AA90827}"/>
    <cellStyle name="Comma 3 2 2 2 2 11 3" xfId="11793" xr:uid="{8AF53BD3-2AFE-4892-9997-69C63BBD8E0E}"/>
    <cellStyle name="Comma 3 2 2 2 2 11 3 2" xfId="48301" xr:uid="{7284B376-3AC6-4073-9F78-FAF492B1BCE1}"/>
    <cellStyle name="Comma 3 2 2 2 2 11 3 3" xfId="30047" xr:uid="{B8286F0B-F06F-4251-B337-46FCA1CC4D95}"/>
    <cellStyle name="Comma 3 2 2 2 2 11 4" xfId="8143" xr:uid="{31AD789F-3287-4905-993C-695533B7E59E}"/>
    <cellStyle name="Comma 3 2 2 2 2 11 4 2" xfId="44651" xr:uid="{95247A9E-643A-42A4-B192-901C14A3C364}"/>
    <cellStyle name="Comma 3 2 2 2 2 11 4 3" xfId="26397" xr:uid="{B1369A97-10D1-4CB6-AE84-E27F42C86ED2}"/>
    <cellStyle name="Comma 3 2 2 2 2 11 5" xfId="4493" xr:uid="{9D5413B9-4573-4160-A854-6FBDD61B0D13}"/>
    <cellStyle name="Comma 3 2 2 2 2 11 5 2" xfId="41001" xr:uid="{AB7A9990-9FF8-48BF-A1A1-28F939C24B38}"/>
    <cellStyle name="Comma 3 2 2 2 2 11 5 3" xfId="22747" xr:uid="{73628ACC-BE85-4036-92C6-A9645F519511}"/>
    <cellStyle name="Comma 3 2 2 2 2 11 6" xfId="37351" xr:uid="{56507AA9-B174-4369-8AFA-7E962A5DB71D}"/>
    <cellStyle name="Comma 3 2 2 2 2 11 7" xfId="19097" xr:uid="{EA2E9A5C-3377-485F-A89D-717B6F111083}"/>
    <cellStyle name="Comma 3 2 2 2 2 12" xfId="14713" xr:uid="{83B26B4F-A8D0-458E-8190-FAB71AB19E79}"/>
    <cellStyle name="Comma 3 2 2 2 2 12 2" xfId="51221" xr:uid="{0646B6EE-5120-44FD-BA0F-6137B3591101}"/>
    <cellStyle name="Comma 3 2 2 2 2 12 3" xfId="32967" xr:uid="{96B00A90-17E5-4F2A-A357-95C67CA93C5C}"/>
    <cellStyle name="Comma 3 2 2 2 2 13" xfId="11063" xr:uid="{65B57632-740E-4C84-8719-4801C2450FBC}"/>
    <cellStyle name="Comma 3 2 2 2 2 13 2" xfId="47571" xr:uid="{65152E78-8298-4621-8905-B061FD82F14D}"/>
    <cellStyle name="Comma 3 2 2 2 2 13 3" xfId="29317" xr:uid="{38B202AD-EF81-49E2-A78B-2709E9DE6A66}"/>
    <cellStyle name="Comma 3 2 2 2 2 14" xfId="7413" xr:uid="{3FEC1CD7-59F2-4A5C-B85E-CB4FCF203FA8}"/>
    <cellStyle name="Comma 3 2 2 2 2 14 2" xfId="43921" xr:uid="{3845CF4E-D41A-48CC-9834-B137CF2E33EA}"/>
    <cellStyle name="Comma 3 2 2 2 2 14 3" xfId="25667" xr:uid="{14C35397-8787-4653-9F3D-2C0FB6427702}"/>
    <cellStyle name="Comma 3 2 2 2 2 15" xfId="3763" xr:uid="{BF70684B-2D1A-461F-A265-F74DB1B1AC12}"/>
    <cellStyle name="Comma 3 2 2 2 2 15 2" xfId="40271" xr:uid="{EBE0E0AF-3842-4E9D-A894-1F7EE1B91D39}"/>
    <cellStyle name="Comma 3 2 2 2 2 15 3" xfId="22017" xr:uid="{A0024557-E178-46FF-BB2C-992C10D9A333}"/>
    <cellStyle name="Comma 3 2 2 2 2 16" xfId="36621" xr:uid="{19407438-2785-4F02-9263-E627675FA7B6}"/>
    <cellStyle name="Comma 3 2 2 2 2 17" xfId="18367" xr:uid="{8FDFEB4A-D273-4798-9E8C-0D2F41914B3C}"/>
    <cellStyle name="Comma 3 2 2 2 2 2" xfId="737" xr:uid="{4A555A34-AEB8-47C0-838D-53B07850ED98}"/>
    <cellStyle name="Comma 3 2 2 2 2 2 10" xfId="37245" xr:uid="{B1465148-F6EB-4D97-A351-F00CFB60B451}"/>
    <cellStyle name="Comma 3 2 2 2 2 2 11" xfId="18991" xr:uid="{EEEB0B55-5186-49BF-AED4-890ADFCB33C4}"/>
    <cellStyle name="Comma 3 2 2 2 2 2 2" xfId="3657" xr:uid="{661F51FB-2882-40E2-A929-746C4374B1A5}"/>
    <cellStyle name="Comma 3 2 2 2 2 2 2 2" xfId="18257" xr:uid="{50862FCD-45EC-4536-AB77-DE3920464200}"/>
    <cellStyle name="Comma 3 2 2 2 2 2 2 2 2" xfId="54765" xr:uid="{6697D86F-1BA8-43F9-BA22-62F20C527386}"/>
    <cellStyle name="Comma 3 2 2 2 2 2 2 2 3" xfId="36511" xr:uid="{D05561B7-727F-4C24-AFFA-FC2818DD2B1F}"/>
    <cellStyle name="Comma 3 2 2 2 2 2 2 3" xfId="14607" xr:uid="{19A6D437-F3C8-4824-86BC-DA8AB4604A5F}"/>
    <cellStyle name="Comma 3 2 2 2 2 2 2 3 2" xfId="51115" xr:uid="{A96E124D-0118-45F1-AF70-0BE796A1448F}"/>
    <cellStyle name="Comma 3 2 2 2 2 2 2 3 3" xfId="32861" xr:uid="{BDA635A4-1B16-4A10-A868-18D01BFB4AF6}"/>
    <cellStyle name="Comma 3 2 2 2 2 2 2 4" xfId="10957" xr:uid="{130C202A-3144-418C-BB2A-C59B5E66F19E}"/>
    <cellStyle name="Comma 3 2 2 2 2 2 2 4 2" xfId="47465" xr:uid="{8CD80412-62F7-4622-824E-A79E18376DE4}"/>
    <cellStyle name="Comma 3 2 2 2 2 2 2 4 3" xfId="29211" xr:uid="{04A8F6B9-41C8-4972-9D22-53CD3F7AAC79}"/>
    <cellStyle name="Comma 3 2 2 2 2 2 2 5" xfId="7307" xr:uid="{7344B341-6435-451A-A503-C27656C643D7}"/>
    <cellStyle name="Comma 3 2 2 2 2 2 2 5 2" xfId="43815" xr:uid="{7375874C-D311-4CDA-98F2-817760AE4735}"/>
    <cellStyle name="Comma 3 2 2 2 2 2 2 5 3" xfId="25561" xr:uid="{B7647627-53E5-4768-AA99-E65EAF11FA0E}"/>
    <cellStyle name="Comma 3 2 2 2 2 2 2 6" xfId="40165" xr:uid="{D8F7B389-AA53-4E44-94FF-85EB3D9EEFC5}"/>
    <cellStyle name="Comma 3 2 2 2 2 2 2 7" xfId="21911" xr:uid="{9F442526-2BA5-4DC4-A127-130CC8A80ED3}"/>
    <cellStyle name="Comma 3 2 2 2 2 2 3" xfId="2927" xr:uid="{359DA54A-9FD0-4C34-9949-723DE333518B}"/>
    <cellStyle name="Comma 3 2 2 2 2 2 3 2" xfId="17527" xr:uid="{1A3283EF-D749-463A-AB20-5214963973D0}"/>
    <cellStyle name="Comma 3 2 2 2 2 2 3 2 2" xfId="54035" xr:uid="{AC144545-217B-494D-82E4-F2B28D9F598B}"/>
    <cellStyle name="Comma 3 2 2 2 2 2 3 2 3" xfId="35781" xr:uid="{64B94E69-4A18-429F-AE9F-2677E0FD57EE}"/>
    <cellStyle name="Comma 3 2 2 2 2 2 3 3" xfId="13877" xr:uid="{8579B6EE-8E89-4A3A-A1BB-407992E4BAEE}"/>
    <cellStyle name="Comma 3 2 2 2 2 2 3 3 2" xfId="50385" xr:uid="{6782D95C-296E-4F97-BD53-10DE85BAF061}"/>
    <cellStyle name="Comma 3 2 2 2 2 2 3 3 3" xfId="32131" xr:uid="{B5692107-8AE6-4B1A-B832-EB735E8FF679}"/>
    <cellStyle name="Comma 3 2 2 2 2 2 3 4" xfId="10227" xr:uid="{1AE1DC74-2331-4E53-9092-69A98587E9F3}"/>
    <cellStyle name="Comma 3 2 2 2 2 2 3 4 2" xfId="46735" xr:uid="{498D52EC-84B8-43FB-99F3-3D6EA175F41D}"/>
    <cellStyle name="Comma 3 2 2 2 2 2 3 4 3" xfId="28481" xr:uid="{EE165393-10EC-46B1-AB2D-23530FF9AF99}"/>
    <cellStyle name="Comma 3 2 2 2 2 2 3 5" xfId="6577" xr:uid="{3515F216-AEF9-461A-A4E2-9E328EDA0E5E}"/>
    <cellStyle name="Comma 3 2 2 2 2 2 3 5 2" xfId="43085" xr:uid="{3BD57A06-8926-44F7-9642-A23826E6AB61}"/>
    <cellStyle name="Comma 3 2 2 2 2 2 3 5 3" xfId="24831" xr:uid="{D8BD7C0B-6BA1-4860-BF5C-052F71D0A24B}"/>
    <cellStyle name="Comma 3 2 2 2 2 2 3 6" xfId="39435" xr:uid="{4258CDDE-8E4E-4E57-9826-F9DA7F47E587}"/>
    <cellStyle name="Comma 3 2 2 2 2 2 3 7" xfId="21181" xr:uid="{8DAE6438-8B7B-4188-8D8D-674958A0F823}"/>
    <cellStyle name="Comma 3 2 2 2 2 2 4" xfId="2197" xr:uid="{C13DF5E7-B9B6-4479-A6A3-2AECA0210112}"/>
    <cellStyle name="Comma 3 2 2 2 2 2 4 2" xfId="16797" xr:uid="{D785095A-EE51-4FC9-9F5A-C59895089EA3}"/>
    <cellStyle name="Comma 3 2 2 2 2 2 4 2 2" xfId="53305" xr:uid="{A3ABD863-BE97-46A0-9E2A-008106EC4627}"/>
    <cellStyle name="Comma 3 2 2 2 2 2 4 2 3" xfId="35051" xr:uid="{1A3131AE-E1DE-4076-B3E9-4681C712F7AA}"/>
    <cellStyle name="Comma 3 2 2 2 2 2 4 3" xfId="13147" xr:uid="{AD79AEDF-D7C6-4E2B-90EF-EB862CDDD1D2}"/>
    <cellStyle name="Comma 3 2 2 2 2 2 4 3 2" xfId="49655" xr:uid="{89344B46-18E4-4857-A230-670A0A6B13EA}"/>
    <cellStyle name="Comma 3 2 2 2 2 2 4 3 3" xfId="31401" xr:uid="{2C9C8A69-464C-450E-9959-48A8832EB3A4}"/>
    <cellStyle name="Comma 3 2 2 2 2 2 4 4" xfId="9497" xr:uid="{CEDE651E-7A31-4598-839F-9E200E65870D}"/>
    <cellStyle name="Comma 3 2 2 2 2 2 4 4 2" xfId="46005" xr:uid="{EC26EFE2-60A9-444F-80FB-AD5738759F4D}"/>
    <cellStyle name="Comma 3 2 2 2 2 2 4 4 3" xfId="27751" xr:uid="{11D9C763-4FEA-4C56-A582-35CF1B447F23}"/>
    <cellStyle name="Comma 3 2 2 2 2 2 4 5" xfId="5847" xr:uid="{EA30C13F-9882-4CC0-ADFA-78CB28A85316}"/>
    <cellStyle name="Comma 3 2 2 2 2 2 4 5 2" xfId="42355" xr:uid="{C10B6387-46F8-428C-B30D-018D54483C51}"/>
    <cellStyle name="Comma 3 2 2 2 2 2 4 5 3" xfId="24101" xr:uid="{4344466B-1584-4D69-A669-321F147A7404}"/>
    <cellStyle name="Comma 3 2 2 2 2 2 4 6" xfId="38705" xr:uid="{398C06DA-07C6-4CA9-AA09-2D76309DEED8}"/>
    <cellStyle name="Comma 3 2 2 2 2 2 4 7" xfId="20451" xr:uid="{87868447-3A02-4463-AD20-B847C740A30C}"/>
    <cellStyle name="Comma 3 2 2 2 2 2 5" xfId="1467" xr:uid="{26A5B0BA-EB1E-4447-9A0D-D913B72BF384}"/>
    <cellStyle name="Comma 3 2 2 2 2 2 5 2" xfId="16067" xr:uid="{E71F7D68-2F9B-4990-8490-260E109DE5B1}"/>
    <cellStyle name="Comma 3 2 2 2 2 2 5 2 2" xfId="52575" xr:uid="{8B256665-C18D-4ACF-87B1-9B4F76ED7A84}"/>
    <cellStyle name="Comma 3 2 2 2 2 2 5 2 3" xfId="34321" xr:uid="{E0A17974-A280-46DC-80D2-99A9170B2561}"/>
    <cellStyle name="Comma 3 2 2 2 2 2 5 3" xfId="12417" xr:uid="{C343DB47-BD23-4469-B87C-06E8F9E98225}"/>
    <cellStyle name="Comma 3 2 2 2 2 2 5 3 2" xfId="48925" xr:uid="{60E22D7B-0C66-46E8-8674-FEBE01F2B6BE}"/>
    <cellStyle name="Comma 3 2 2 2 2 2 5 3 3" xfId="30671" xr:uid="{F984F8FF-323A-4ED8-B466-10566948507D}"/>
    <cellStyle name="Comma 3 2 2 2 2 2 5 4" xfId="8767" xr:uid="{05477AB6-78EE-42F4-B6C2-25ACF571CE14}"/>
    <cellStyle name="Comma 3 2 2 2 2 2 5 4 2" xfId="45275" xr:uid="{C06BAD3E-CC10-4A92-99C1-3A76FF16C48D}"/>
    <cellStyle name="Comma 3 2 2 2 2 2 5 4 3" xfId="27021" xr:uid="{AB1323DE-41D8-43D6-8121-3187D61026E5}"/>
    <cellStyle name="Comma 3 2 2 2 2 2 5 5" xfId="5117" xr:uid="{741C51D4-60EE-4CA6-A014-02B2E741AED9}"/>
    <cellStyle name="Comma 3 2 2 2 2 2 5 5 2" xfId="41625" xr:uid="{2615C8CB-0094-4859-8B85-3003FBF35625}"/>
    <cellStyle name="Comma 3 2 2 2 2 2 5 5 3" xfId="23371" xr:uid="{A193E2B4-F443-463D-86E8-028D59AEF3F8}"/>
    <cellStyle name="Comma 3 2 2 2 2 2 5 6" xfId="37975" xr:uid="{DA68C979-FA02-48B7-B7DE-75443D963633}"/>
    <cellStyle name="Comma 3 2 2 2 2 2 5 7" xfId="19721" xr:uid="{B25CAF00-2D64-4511-A771-86870AE42807}"/>
    <cellStyle name="Comma 3 2 2 2 2 2 6" xfId="15337" xr:uid="{4A60A8F1-4491-4170-B77B-BD0D41442B47}"/>
    <cellStyle name="Comma 3 2 2 2 2 2 6 2" xfId="51845" xr:uid="{AF91D138-57E1-4967-B6D7-FD72DE621D2F}"/>
    <cellStyle name="Comma 3 2 2 2 2 2 6 3" xfId="33591" xr:uid="{9C4214CA-ECCC-4A88-B702-1FD5DE19F2C8}"/>
    <cellStyle name="Comma 3 2 2 2 2 2 7" xfId="11687" xr:uid="{C61CA03D-65B0-4B80-A911-AC4C5017C3F8}"/>
    <cellStyle name="Comma 3 2 2 2 2 2 7 2" xfId="48195" xr:uid="{00AF6F0F-8399-4B59-AB90-8899B27A41E1}"/>
    <cellStyle name="Comma 3 2 2 2 2 2 7 3" xfId="29941" xr:uid="{452CF229-2375-4F8C-B26E-9899775F002C}"/>
    <cellStyle name="Comma 3 2 2 2 2 2 8" xfId="8037" xr:uid="{B12655AE-440F-4E79-BE90-FB9208C476BF}"/>
    <cellStyle name="Comma 3 2 2 2 2 2 8 2" xfId="44545" xr:uid="{EB40C23A-8EC7-439C-B30B-C162EE49B04E}"/>
    <cellStyle name="Comma 3 2 2 2 2 2 8 3" xfId="26291" xr:uid="{878C1CD2-C058-4717-BC6A-62302657CC9B}"/>
    <cellStyle name="Comma 3 2 2 2 2 2 9" xfId="4387" xr:uid="{7365CFB1-6C97-46B9-A7DC-18565A7103A7}"/>
    <cellStyle name="Comma 3 2 2 2 2 2 9 2" xfId="40895" xr:uid="{BA243134-A3CC-47F3-8B8A-6FAD73BC490D}"/>
    <cellStyle name="Comma 3 2 2 2 2 2 9 3" xfId="22641" xr:uid="{D19D4D5A-672B-4B90-89B9-372D10893E1B}"/>
    <cellStyle name="Comma 3 2 2 2 2 3" xfId="633" xr:uid="{CE00CF42-62FA-4377-93FC-6CF49D8059B4}"/>
    <cellStyle name="Comma 3 2 2 2 2 3 10" xfId="37141" xr:uid="{E8BFCCA4-8A21-48CD-9420-E2728C8FEAC1}"/>
    <cellStyle name="Comma 3 2 2 2 2 3 11" xfId="18887" xr:uid="{29C85234-03BF-4ECC-8F28-5B7FD13C8637}"/>
    <cellStyle name="Comma 3 2 2 2 2 3 2" xfId="3553" xr:uid="{124DA823-0533-4FFB-96AE-BA4D22ADBAA6}"/>
    <cellStyle name="Comma 3 2 2 2 2 3 2 2" xfId="18153" xr:uid="{FF0879A6-C263-4B47-A800-5B11B1317F52}"/>
    <cellStyle name="Comma 3 2 2 2 2 3 2 2 2" xfId="54661" xr:uid="{1577653B-B763-43D0-B99A-5FEF26D32515}"/>
    <cellStyle name="Comma 3 2 2 2 2 3 2 2 3" xfId="36407" xr:uid="{E62A3E16-37EB-4756-AE3F-179260E12564}"/>
    <cellStyle name="Comma 3 2 2 2 2 3 2 3" xfId="14503" xr:uid="{9831871C-CC45-4508-B104-0CB4C93918A1}"/>
    <cellStyle name="Comma 3 2 2 2 2 3 2 3 2" xfId="51011" xr:uid="{F5A5B610-A853-4192-A202-1DB02107DD6A}"/>
    <cellStyle name="Comma 3 2 2 2 2 3 2 3 3" xfId="32757" xr:uid="{5CF950F5-E700-47DF-94A4-F70F2A16C41C}"/>
    <cellStyle name="Comma 3 2 2 2 2 3 2 4" xfId="10853" xr:uid="{8FA0D3C5-30A9-4B75-876D-2CEC059DFCCA}"/>
    <cellStyle name="Comma 3 2 2 2 2 3 2 4 2" xfId="47361" xr:uid="{95DCB322-67EF-41CA-9385-AA974E0BE91B}"/>
    <cellStyle name="Comma 3 2 2 2 2 3 2 4 3" xfId="29107" xr:uid="{C8D3D109-0ACA-4FD3-926B-847354E99B4C}"/>
    <cellStyle name="Comma 3 2 2 2 2 3 2 5" xfId="7203" xr:uid="{1F9F5435-FD8C-4C91-81E8-5E07E7669C5C}"/>
    <cellStyle name="Comma 3 2 2 2 2 3 2 5 2" xfId="43711" xr:uid="{DE167642-F09F-4A1C-A7A9-DF253EE4CBC1}"/>
    <cellStyle name="Comma 3 2 2 2 2 3 2 5 3" xfId="25457" xr:uid="{4266E481-28C4-4ADB-8F5C-DD381EC80F2F}"/>
    <cellStyle name="Comma 3 2 2 2 2 3 2 6" xfId="40061" xr:uid="{521E8E07-48EE-4B9A-924D-C70CA77B615A}"/>
    <cellStyle name="Comma 3 2 2 2 2 3 2 7" xfId="21807" xr:uid="{9F382061-E3B5-446D-8A9E-FA2E3CB9B9D1}"/>
    <cellStyle name="Comma 3 2 2 2 2 3 3" xfId="2823" xr:uid="{138B7200-1F86-4192-85EA-00BB70117DF2}"/>
    <cellStyle name="Comma 3 2 2 2 2 3 3 2" xfId="17423" xr:uid="{E22CC344-5E02-4596-AE6A-1CD321962990}"/>
    <cellStyle name="Comma 3 2 2 2 2 3 3 2 2" xfId="53931" xr:uid="{05013ECF-4E66-431F-A61B-F39344A38D3E}"/>
    <cellStyle name="Comma 3 2 2 2 2 3 3 2 3" xfId="35677" xr:uid="{0A41B075-56FF-4873-BF11-1EC2A93EA257}"/>
    <cellStyle name="Comma 3 2 2 2 2 3 3 3" xfId="13773" xr:uid="{42165066-3340-40C8-8FDE-688E6AA3CEBC}"/>
    <cellStyle name="Comma 3 2 2 2 2 3 3 3 2" xfId="50281" xr:uid="{4C02D570-1AEE-4F27-8C65-D1A4991596A7}"/>
    <cellStyle name="Comma 3 2 2 2 2 3 3 3 3" xfId="32027" xr:uid="{B948CB82-D5CD-475D-AF75-CCA8A8FA5E00}"/>
    <cellStyle name="Comma 3 2 2 2 2 3 3 4" xfId="10123" xr:uid="{BD63450B-D891-4934-95CB-F86B129B880C}"/>
    <cellStyle name="Comma 3 2 2 2 2 3 3 4 2" xfId="46631" xr:uid="{8B6F47FE-5065-429F-92B3-8DEF20CACE14}"/>
    <cellStyle name="Comma 3 2 2 2 2 3 3 4 3" xfId="28377" xr:uid="{1B3F71DF-AAE9-475D-A182-3E4AC1B75C0B}"/>
    <cellStyle name="Comma 3 2 2 2 2 3 3 5" xfId="6473" xr:uid="{6DE78A7B-5098-47EA-B9EC-0C7423F6BD5F}"/>
    <cellStyle name="Comma 3 2 2 2 2 3 3 5 2" xfId="42981" xr:uid="{F04FDA33-40E8-4BA2-86F4-7777CD8FEE7A}"/>
    <cellStyle name="Comma 3 2 2 2 2 3 3 5 3" xfId="24727" xr:uid="{796FE617-4317-4D42-99A6-9C72850F154A}"/>
    <cellStyle name="Comma 3 2 2 2 2 3 3 6" xfId="39331" xr:uid="{8C331617-8604-46AA-8D3D-9C77B0F2CFBD}"/>
    <cellStyle name="Comma 3 2 2 2 2 3 3 7" xfId="21077" xr:uid="{70791EEB-B1CE-43A2-95D5-B74E0B257181}"/>
    <cellStyle name="Comma 3 2 2 2 2 3 4" xfId="2093" xr:uid="{5327880C-D0EB-440F-ADC3-53C532740DDB}"/>
    <cellStyle name="Comma 3 2 2 2 2 3 4 2" xfId="16693" xr:uid="{96943D94-1797-4BED-AC13-2A5A4D1367A2}"/>
    <cellStyle name="Comma 3 2 2 2 2 3 4 2 2" xfId="53201" xr:uid="{2EAFEEA1-7CE5-4AE8-83B4-C3F6AE32D86B}"/>
    <cellStyle name="Comma 3 2 2 2 2 3 4 2 3" xfId="34947" xr:uid="{40CD9238-04C2-4A3E-AFF5-3B634833F3AA}"/>
    <cellStyle name="Comma 3 2 2 2 2 3 4 3" xfId="13043" xr:uid="{CBE7C402-CF03-41D2-B6F9-CBB2A432D5B3}"/>
    <cellStyle name="Comma 3 2 2 2 2 3 4 3 2" xfId="49551" xr:uid="{A713D46C-C8C5-4228-93D4-C1D4F5CA9CE3}"/>
    <cellStyle name="Comma 3 2 2 2 2 3 4 3 3" xfId="31297" xr:uid="{B5ED66B1-5739-40C7-A4B9-335E2B973702}"/>
    <cellStyle name="Comma 3 2 2 2 2 3 4 4" xfId="9393" xr:uid="{5950C29F-150C-4E78-B221-FBE536A7CB7E}"/>
    <cellStyle name="Comma 3 2 2 2 2 3 4 4 2" xfId="45901" xr:uid="{28CBC9BC-6C7E-4B4A-B717-8FCE6AA5A3CA}"/>
    <cellStyle name="Comma 3 2 2 2 2 3 4 4 3" xfId="27647" xr:uid="{31871E96-A86D-4FC1-85AE-CBD5303FA0C7}"/>
    <cellStyle name="Comma 3 2 2 2 2 3 4 5" xfId="5743" xr:uid="{F01F0DEF-389B-4FA5-8FB2-6894EAE7549B}"/>
    <cellStyle name="Comma 3 2 2 2 2 3 4 5 2" xfId="42251" xr:uid="{91F1495E-E097-4E65-B078-660B2B82A6ED}"/>
    <cellStyle name="Comma 3 2 2 2 2 3 4 5 3" xfId="23997" xr:uid="{AAD3F6D0-A871-4AD8-8923-E5A8F2B4018D}"/>
    <cellStyle name="Comma 3 2 2 2 2 3 4 6" xfId="38601" xr:uid="{EB944F56-9A94-48F6-8DA0-54923D9E514C}"/>
    <cellStyle name="Comma 3 2 2 2 2 3 4 7" xfId="20347" xr:uid="{03A4D902-7CDE-45AB-B488-13CBEE2A021F}"/>
    <cellStyle name="Comma 3 2 2 2 2 3 5" xfId="1363" xr:uid="{152E5EB0-4103-4E81-A115-415ACA46BBE0}"/>
    <cellStyle name="Comma 3 2 2 2 2 3 5 2" xfId="15963" xr:uid="{414A2E38-7C46-4370-B96E-FF0452D0A28E}"/>
    <cellStyle name="Comma 3 2 2 2 2 3 5 2 2" xfId="52471" xr:uid="{B233D2DD-825D-49DB-BB7E-5A70CCE67499}"/>
    <cellStyle name="Comma 3 2 2 2 2 3 5 2 3" xfId="34217" xr:uid="{3745AAEB-7C8F-4545-B62A-DCA093C858F5}"/>
    <cellStyle name="Comma 3 2 2 2 2 3 5 3" xfId="12313" xr:uid="{D80A4F32-C3EC-4EA0-A39B-E50E4BB47BBC}"/>
    <cellStyle name="Comma 3 2 2 2 2 3 5 3 2" xfId="48821" xr:uid="{D8471E44-2C11-4197-AD3B-F2A4A8213D46}"/>
    <cellStyle name="Comma 3 2 2 2 2 3 5 3 3" xfId="30567" xr:uid="{0E9B8874-5096-4262-B2BE-DBC99D944AE6}"/>
    <cellStyle name="Comma 3 2 2 2 2 3 5 4" xfId="8663" xr:uid="{E0CB5C94-9652-42C3-B009-0025FA8A92CD}"/>
    <cellStyle name="Comma 3 2 2 2 2 3 5 4 2" xfId="45171" xr:uid="{D25E46FD-629F-4407-ABA4-01E46A2F547B}"/>
    <cellStyle name="Comma 3 2 2 2 2 3 5 4 3" xfId="26917" xr:uid="{5B3402E2-831D-43CF-ACFB-7C4C895882F6}"/>
    <cellStyle name="Comma 3 2 2 2 2 3 5 5" xfId="5013" xr:uid="{893869DD-7A42-4017-A32E-D746CDB89BC6}"/>
    <cellStyle name="Comma 3 2 2 2 2 3 5 5 2" xfId="41521" xr:uid="{161E714D-CB9C-4F47-A353-641E50E59211}"/>
    <cellStyle name="Comma 3 2 2 2 2 3 5 5 3" xfId="23267" xr:uid="{DBF1020C-959A-468E-A2E0-2D3D7E9BAE1A}"/>
    <cellStyle name="Comma 3 2 2 2 2 3 5 6" xfId="37871" xr:uid="{B1355EAC-E703-4942-9DC4-39AE3E58104A}"/>
    <cellStyle name="Comma 3 2 2 2 2 3 5 7" xfId="19617" xr:uid="{334EC0B1-F5C6-47C9-8BFF-20674C611973}"/>
    <cellStyle name="Comma 3 2 2 2 2 3 6" xfId="15233" xr:uid="{A2EA6FBF-285B-4270-B4AB-5C20C24444BD}"/>
    <cellStyle name="Comma 3 2 2 2 2 3 6 2" xfId="51741" xr:uid="{ABB271CF-9CA4-4008-A3A8-5B6BBFEEC9E4}"/>
    <cellStyle name="Comma 3 2 2 2 2 3 6 3" xfId="33487" xr:uid="{DC9A4064-D5B6-4379-86DF-E0F074669292}"/>
    <cellStyle name="Comma 3 2 2 2 2 3 7" xfId="11583" xr:uid="{B376B1A1-D227-4691-BBC3-D06A948CBE02}"/>
    <cellStyle name="Comma 3 2 2 2 2 3 7 2" xfId="48091" xr:uid="{69D47D86-41EB-410A-B43E-D76541158C20}"/>
    <cellStyle name="Comma 3 2 2 2 2 3 7 3" xfId="29837" xr:uid="{ED62533B-4E63-49EC-96E4-CEECF5CA2112}"/>
    <cellStyle name="Comma 3 2 2 2 2 3 8" xfId="7933" xr:uid="{5D322CA3-53AB-47B4-B54C-F3037D832542}"/>
    <cellStyle name="Comma 3 2 2 2 2 3 8 2" xfId="44441" xr:uid="{8C2F5C1B-03F8-4E62-A2C7-09B1D6681F3E}"/>
    <cellStyle name="Comma 3 2 2 2 2 3 8 3" xfId="26187" xr:uid="{86D24C03-60B8-4814-A999-73E35B0FEF50}"/>
    <cellStyle name="Comma 3 2 2 2 2 3 9" xfId="4283" xr:uid="{096AFADA-1A2F-4469-BDD5-565E6BCD5D84}"/>
    <cellStyle name="Comma 3 2 2 2 2 3 9 2" xfId="40791" xr:uid="{41592890-645C-402D-8F47-9CCCD36F8C57}"/>
    <cellStyle name="Comma 3 2 2 2 2 3 9 3" xfId="22537" xr:uid="{9F0A1962-9107-4FF8-B71B-2F305DC2EA14}"/>
    <cellStyle name="Comma 3 2 2 2 2 4" xfId="529" xr:uid="{05DCC7BB-7FA5-48E0-8E09-4B22B313355D}"/>
    <cellStyle name="Comma 3 2 2 2 2 4 10" xfId="37037" xr:uid="{F6C232C4-8414-4DFA-9CDD-34124DFB10CB}"/>
    <cellStyle name="Comma 3 2 2 2 2 4 11" xfId="18783" xr:uid="{B1FB02F1-EB7F-4260-B692-FB8D70570B27}"/>
    <cellStyle name="Comma 3 2 2 2 2 4 2" xfId="3449" xr:uid="{21A93BD3-857B-4906-A1C9-29F484A900A9}"/>
    <cellStyle name="Comma 3 2 2 2 2 4 2 2" xfId="18049" xr:uid="{797B079B-29F9-4025-A5F1-0F14383495BD}"/>
    <cellStyle name="Comma 3 2 2 2 2 4 2 2 2" xfId="54557" xr:uid="{D2F3ACA6-A421-4E22-A9BD-AF7D2EE5A5D9}"/>
    <cellStyle name="Comma 3 2 2 2 2 4 2 2 3" xfId="36303" xr:uid="{AC771AA8-0D6B-4E04-81C4-515CB66392BB}"/>
    <cellStyle name="Comma 3 2 2 2 2 4 2 3" xfId="14399" xr:uid="{F7F96037-D7D0-4124-B39A-2E8AA2942CB2}"/>
    <cellStyle name="Comma 3 2 2 2 2 4 2 3 2" xfId="50907" xr:uid="{87EBDA16-AD25-4786-91B9-65561361B795}"/>
    <cellStyle name="Comma 3 2 2 2 2 4 2 3 3" xfId="32653" xr:uid="{2C9B086E-33AD-494E-AA1B-C0BECA32C0F6}"/>
    <cellStyle name="Comma 3 2 2 2 2 4 2 4" xfId="10749" xr:uid="{2073ECBC-9CF6-4D3C-8359-BDE2DAB31900}"/>
    <cellStyle name="Comma 3 2 2 2 2 4 2 4 2" xfId="47257" xr:uid="{3B35839A-90C0-460C-8199-BC9778094DAD}"/>
    <cellStyle name="Comma 3 2 2 2 2 4 2 4 3" xfId="29003" xr:uid="{2F8EA050-3D72-4C20-8900-77AD4D5E6440}"/>
    <cellStyle name="Comma 3 2 2 2 2 4 2 5" xfId="7099" xr:uid="{344DCCFA-232D-438B-934F-4AAB6D726DB3}"/>
    <cellStyle name="Comma 3 2 2 2 2 4 2 5 2" xfId="43607" xr:uid="{D670E778-A508-40A7-898B-BB67D75F4426}"/>
    <cellStyle name="Comma 3 2 2 2 2 4 2 5 3" xfId="25353" xr:uid="{1EBA3C24-64F3-45FC-8392-E22E0C079792}"/>
    <cellStyle name="Comma 3 2 2 2 2 4 2 6" xfId="39957" xr:uid="{32914B4B-93EA-4EDF-B91F-B4DEBA172AA5}"/>
    <cellStyle name="Comma 3 2 2 2 2 4 2 7" xfId="21703" xr:uid="{DCE460BC-AECF-48FE-BDFA-27BEA2F1E2D6}"/>
    <cellStyle name="Comma 3 2 2 2 2 4 3" xfId="2719" xr:uid="{7D50C6BF-6C8E-44C7-A012-A05A1A80E6B5}"/>
    <cellStyle name="Comma 3 2 2 2 2 4 3 2" xfId="17319" xr:uid="{C5FAB810-95B3-451F-8B25-FE177A740288}"/>
    <cellStyle name="Comma 3 2 2 2 2 4 3 2 2" xfId="53827" xr:uid="{C28A8BDB-5A1D-4C0F-9765-3FB6A2B8C2B1}"/>
    <cellStyle name="Comma 3 2 2 2 2 4 3 2 3" xfId="35573" xr:uid="{F3ABF5A2-AB94-46D6-8441-1C18E7001B40}"/>
    <cellStyle name="Comma 3 2 2 2 2 4 3 3" xfId="13669" xr:uid="{96FC90B4-C72D-4BCF-8471-B62B9CFD9A81}"/>
    <cellStyle name="Comma 3 2 2 2 2 4 3 3 2" xfId="50177" xr:uid="{B15D5BD3-798A-4584-8740-23923E1D0F59}"/>
    <cellStyle name="Comma 3 2 2 2 2 4 3 3 3" xfId="31923" xr:uid="{65DD5460-50B8-4EB2-A9BB-F4181A8030D7}"/>
    <cellStyle name="Comma 3 2 2 2 2 4 3 4" xfId="10019" xr:uid="{79BFA211-D1B2-47B3-A2BA-3747D8854728}"/>
    <cellStyle name="Comma 3 2 2 2 2 4 3 4 2" xfId="46527" xr:uid="{7E36C59B-43C5-48A1-B5E9-6EDF4BD1922F}"/>
    <cellStyle name="Comma 3 2 2 2 2 4 3 4 3" xfId="28273" xr:uid="{BE88EF6D-B889-4F1F-9912-FE07232C139C}"/>
    <cellStyle name="Comma 3 2 2 2 2 4 3 5" xfId="6369" xr:uid="{D04F8B32-03BE-46A7-B307-464637BFFF26}"/>
    <cellStyle name="Comma 3 2 2 2 2 4 3 5 2" xfId="42877" xr:uid="{C1B3960C-30C6-4CFA-9E34-966FAD4F0F1B}"/>
    <cellStyle name="Comma 3 2 2 2 2 4 3 5 3" xfId="24623" xr:uid="{1438D8EF-67D6-4BE6-96EF-C2809BE3C13C}"/>
    <cellStyle name="Comma 3 2 2 2 2 4 3 6" xfId="39227" xr:uid="{E72F2F4C-455B-4AA0-BDA9-D6EC31EA7E08}"/>
    <cellStyle name="Comma 3 2 2 2 2 4 3 7" xfId="20973" xr:uid="{BA33F84D-648B-4515-B594-EAD333A6C359}"/>
    <cellStyle name="Comma 3 2 2 2 2 4 4" xfId="1989" xr:uid="{ECEB0C19-00E2-4043-8165-23796C44FC4A}"/>
    <cellStyle name="Comma 3 2 2 2 2 4 4 2" xfId="16589" xr:uid="{4E9E1FAA-2857-4E19-A5B4-BCB28AAC7A10}"/>
    <cellStyle name="Comma 3 2 2 2 2 4 4 2 2" xfId="53097" xr:uid="{A9C3FFBA-5C9E-4707-9AE0-421672C4D173}"/>
    <cellStyle name="Comma 3 2 2 2 2 4 4 2 3" xfId="34843" xr:uid="{FD8068E6-0F69-450C-80A4-F8B4AF3BFA93}"/>
    <cellStyle name="Comma 3 2 2 2 2 4 4 3" xfId="12939" xr:uid="{63FAB729-FB7C-425F-B985-2199E4109F0E}"/>
    <cellStyle name="Comma 3 2 2 2 2 4 4 3 2" xfId="49447" xr:uid="{F2AF69E8-1124-4D7D-8B21-6863F308C4F3}"/>
    <cellStyle name="Comma 3 2 2 2 2 4 4 3 3" xfId="31193" xr:uid="{56253C15-0CCD-434D-BE28-D3A50FD1ED09}"/>
    <cellStyle name="Comma 3 2 2 2 2 4 4 4" xfId="9289" xr:uid="{E5D3639E-33A8-480A-8B90-C40750881ED3}"/>
    <cellStyle name="Comma 3 2 2 2 2 4 4 4 2" xfId="45797" xr:uid="{F5C2F654-5CEF-48F4-9B9F-1166BE5D0554}"/>
    <cellStyle name="Comma 3 2 2 2 2 4 4 4 3" xfId="27543" xr:uid="{3719E717-48BB-464C-9654-20624830612B}"/>
    <cellStyle name="Comma 3 2 2 2 2 4 4 5" xfId="5639" xr:uid="{347CFB8D-7044-4B2A-BD73-7D118F0EE2F5}"/>
    <cellStyle name="Comma 3 2 2 2 2 4 4 5 2" xfId="42147" xr:uid="{AD464F27-6CFC-4C23-B5A0-3459659A9E06}"/>
    <cellStyle name="Comma 3 2 2 2 2 4 4 5 3" xfId="23893" xr:uid="{4711422C-EC73-43B9-B613-3BA0BF023ADE}"/>
    <cellStyle name="Comma 3 2 2 2 2 4 4 6" xfId="38497" xr:uid="{5DB6261F-6879-4F74-B777-9017D2C4E2E6}"/>
    <cellStyle name="Comma 3 2 2 2 2 4 4 7" xfId="20243" xr:uid="{C8F25E29-3D2C-47BE-8A23-8B7737CC9965}"/>
    <cellStyle name="Comma 3 2 2 2 2 4 5" xfId="1259" xr:uid="{E80B2AF4-363B-4B08-B845-0AF9E720F94E}"/>
    <cellStyle name="Comma 3 2 2 2 2 4 5 2" xfId="15859" xr:uid="{148FFB9D-9A46-482C-AACF-CF6A95453DE8}"/>
    <cellStyle name="Comma 3 2 2 2 2 4 5 2 2" xfId="52367" xr:uid="{2397D2FB-89A6-4B76-B3D2-4BF6686C3576}"/>
    <cellStyle name="Comma 3 2 2 2 2 4 5 2 3" xfId="34113" xr:uid="{DA3AEC70-DCF5-4134-8639-4F907EC49AEB}"/>
    <cellStyle name="Comma 3 2 2 2 2 4 5 3" xfId="12209" xr:uid="{1F905D36-D265-4520-978C-E4DA7C78B45B}"/>
    <cellStyle name="Comma 3 2 2 2 2 4 5 3 2" xfId="48717" xr:uid="{14A82765-D652-4871-AA70-47AF83BB00F5}"/>
    <cellStyle name="Comma 3 2 2 2 2 4 5 3 3" xfId="30463" xr:uid="{EC66DEAE-C349-4D10-9B9C-D708079FFFFF}"/>
    <cellStyle name="Comma 3 2 2 2 2 4 5 4" xfId="8559" xr:uid="{0B31F3CB-3ED3-467E-9214-E70AC692150D}"/>
    <cellStyle name="Comma 3 2 2 2 2 4 5 4 2" xfId="45067" xr:uid="{D5C8C527-13AA-4205-B13C-349CCC4C1231}"/>
    <cellStyle name="Comma 3 2 2 2 2 4 5 4 3" xfId="26813" xr:uid="{58A4068A-D4E8-4C7E-9774-A09ED44ABAD3}"/>
    <cellStyle name="Comma 3 2 2 2 2 4 5 5" xfId="4909" xr:uid="{DEB22F8D-9C10-4339-B48E-F6C081B27159}"/>
    <cellStyle name="Comma 3 2 2 2 2 4 5 5 2" xfId="41417" xr:uid="{2E0CAC1A-3AAA-4FA7-BE9C-6C63603BA949}"/>
    <cellStyle name="Comma 3 2 2 2 2 4 5 5 3" xfId="23163" xr:uid="{88F452D4-7DBB-4960-8F90-7CB23E564709}"/>
    <cellStyle name="Comma 3 2 2 2 2 4 5 6" xfId="37767" xr:uid="{E85AC371-EA8D-46BB-8CC5-D04EBF5BE20E}"/>
    <cellStyle name="Comma 3 2 2 2 2 4 5 7" xfId="19513" xr:uid="{D18C435A-2CE3-4BD0-AB76-6360B6AD1724}"/>
    <cellStyle name="Comma 3 2 2 2 2 4 6" xfId="15129" xr:uid="{6AC87D1C-7AFE-4622-B5B6-D018D4F25672}"/>
    <cellStyle name="Comma 3 2 2 2 2 4 6 2" xfId="51637" xr:uid="{3A7804D4-FA42-494C-AEAB-F4ADABBB6F45}"/>
    <cellStyle name="Comma 3 2 2 2 2 4 6 3" xfId="33383" xr:uid="{4D0C251D-25DE-4882-9A1D-24258C0B12B8}"/>
    <cellStyle name="Comma 3 2 2 2 2 4 7" xfId="11479" xr:uid="{00657D62-8C75-4F24-BAFB-DA9998EBF338}"/>
    <cellStyle name="Comma 3 2 2 2 2 4 7 2" xfId="47987" xr:uid="{AD706841-ECEB-4773-AE76-ED5C364F7E9D}"/>
    <cellStyle name="Comma 3 2 2 2 2 4 7 3" xfId="29733" xr:uid="{772D4012-2089-4E4C-AC84-66269BD1336A}"/>
    <cellStyle name="Comma 3 2 2 2 2 4 8" xfId="7829" xr:uid="{AD56D726-6E8C-49D6-97BD-4D5F4F382A26}"/>
    <cellStyle name="Comma 3 2 2 2 2 4 8 2" xfId="44337" xr:uid="{2EFF9DE0-89A1-4AC0-8116-905D08CF8871}"/>
    <cellStyle name="Comma 3 2 2 2 2 4 8 3" xfId="26083" xr:uid="{8415D2DD-AD6C-4423-B8E8-617247D7E790}"/>
    <cellStyle name="Comma 3 2 2 2 2 4 9" xfId="4179" xr:uid="{869B9DC2-D2A8-4847-9D00-E7D70D0D3282}"/>
    <cellStyle name="Comma 3 2 2 2 2 4 9 2" xfId="40687" xr:uid="{CEDC143D-5CED-49A9-9A0D-9AB94A05757C}"/>
    <cellStyle name="Comma 3 2 2 2 2 4 9 3" xfId="22433" xr:uid="{E1B58F4B-8172-419F-A255-0726F386A392}"/>
    <cellStyle name="Comma 3 2 2 2 2 5" xfId="425" xr:uid="{F4BA58AD-5EE9-46AB-9F68-0D0955C3F2EE}"/>
    <cellStyle name="Comma 3 2 2 2 2 5 10" xfId="36933" xr:uid="{94B40BBC-6CD2-4FCD-A506-5B282BB1E599}"/>
    <cellStyle name="Comma 3 2 2 2 2 5 11" xfId="18679" xr:uid="{63E09E6C-C821-43F7-8E03-750C89BD9891}"/>
    <cellStyle name="Comma 3 2 2 2 2 5 2" xfId="3345" xr:uid="{276A7293-8F47-45C9-8CD5-DA2F84BC1715}"/>
    <cellStyle name="Comma 3 2 2 2 2 5 2 2" xfId="17945" xr:uid="{6461E54C-4B61-44E0-B3C8-D2266D6A753D}"/>
    <cellStyle name="Comma 3 2 2 2 2 5 2 2 2" xfId="54453" xr:uid="{1A30BD50-E74E-4CF5-8587-60C69D99D25E}"/>
    <cellStyle name="Comma 3 2 2 2 2 5 2 2 3" xfId="36199" xr:uid="{D7C364D7-68D2-4576-8BAA-D034A2325D16}"/>
    <cellStyle name="Comma 3 2 2 2 2 5 2 3" xfId="14295" xr:uid="{0ADBFA29-508E-4144-A595-D308E3FC7F57}"/>
    <cellStyle name="Comma 3 2 2 2 2 5 2 3 2" xfId="50803" xr:uid="{BB7FAA0A-B77E-4A5F-AAC9-1F1CB0BB4CE5}"/>
    <cellStyle name="Comma 3 2 2 2 2 5 2 3 3" xfId="32549" xr:uid="{8074B760-7D5D-4D2D-A36D-57CB3C3DDB12}"/>
    <cellStyle name="Comma 3 2 2 2 2 5 2 4" xfId="10645" xr:uid="{98747E38-3E70-42BA-98E3-764B9CEDD9E3}"/>
    <cellStyle name="Comma 3 2 2 2 2 5 2 4 2" xfId="47153" xr:uid="{A68BBA74-38D7-4FDF-8C8F-AB8FA991AFC7}"/>
    <cellStyle name="Comma 3 2 2 2 2 5 2 4 3" xfId="28899" xr:uid="{D92A106C-B5C4-46FC-AAC2-14F0FA1036DC}"/>
    <cellStyle name="Comma 3 2 2 2 2 5 2 5" xfId="6995" xr:uid="{576F9593-BD66-48DF-83F5-C9101797169B}"/>
    <cellStyle name="Comma 3 2 2 2 2 5 2 5 2" xfId="43503" xr:uid="{DD81FE92-3BB2-4FA6-AF4D-84909774A6E9}"/>
    <cellStyle name="Comma 3 2 2 2 2 5 2 5 3" xfId="25249" xr:uid="{4DD5C2E5-796B-4C04-85B5-38D80C569BC9}"/>
    <cellStyle name="Comma 3 2 2 2 2 5 2 6" xfId="39853" xr:uid="{688C27FA-99D0-4AE7-8412-F6055CCEEAD7}"/>
    <cellStyle name="Comma 3 2 2 2 2 5 2 7" xfId="21599" xr:uid="{0E7C041A-75CC-4EB3-963B-3D91A8E196DF}"/>
    <cellStyle name="Comma 3 2 2 2 2 5 3" xfId="2615" xr:uid="{34565BDE-6CE2-44D6-BA65-27EAE61AB510}"/>
    <cellStyle name="Comma 3 2 2 2 2 5 3 2" xfId="17215" xr:uid="{C9965A9C-DCBA-47AB-9E06-7DC5491B841D}"/>
    <cellStyle name="Comma 3 2 2 2 2 5 3 2 2" xfId="53723" xr:uid="{0D96B04D-D48B-4525-A06C-4D216102F7F0}"/>
    <cellStyle name="Comma 3 2 2 2 2 5 3 2 3" xfId="35469" xr:uid="{7F0FA000-0967-4904-85B9-061FA09C8BBF}"/>
    <cellStyle name="Comma 3 2 2 2 2 5 3 3" xfId="13565" xr:uid="{55893A83-B560-4E9A-9B50-6A038047CAA9}"/>
    <cellStyle name="Comma 3 2 2 2 2 5 3 3 2" xfId="50073" xr:uid="{443359D3-D1F8-46B4-A9FE-1D18AB681462}"/>
    <cellStyle name="Comma 3 2 2 2 2 5 3 3 3" xfId="31819" xr:uid="{E449482A-BCCF-4BDB-9344-CE97B4DC5C0B}"/>
    <cellStyle name="Comma 3 2 2 2 2 5 3 4" xfId="9915" xr:uid="{C96E0D73-6750-46C5-94FE-CB288CA27FBC}"/>
    <cellStyle name="Comma 3 2 2 2 2 5 3 4 2" xfId="46423" xr:uid="{75291662-A30E-433A-878A-212D1E07214A}"/>
    <cellStyle name="Comma 3 2 2 2 2 5 3 4 3" xfId="28169" xr:uid="{895630A4-A634-48A3-A6E1-C8C61620F3C0}"/>
    <cellStyle name="Comma 3 2 2 2 2 5 3 5" xfId="6265" xr:uid="{5AC2ED35-DD49-422E-846F-79CCEC9E92D4}"/>
    <cellStyle name="Comma 3 2 2 2 2 5 3 5 2" xfId="42773" xr:uid="{D35D3F10-3FF5-4262-8D5E-9AC46B938AA0}"/>
    <cellStyle name="Comma 3 2 2 2 2 5 3 5 3" xfId="24519" xr:uid="{BD9C25F3-15D2-40B0-980F-A84458271D04}"/>
    <cellStyle name="Comma 3 2 2 2 2 5 3 6" xfId="39123" xr:uid="{730A44E3-A5A6-4C0F-A77D-CBA6DA4B6BF6}"/>
    <cellStyle name="Comma 3 2 2 2 2 5 3 7" xfId="20869" xr:uid="{3B7CA59D-256F-418C-AE3E-50D47B2DF9E6}"/>
    <cellStyle name="Comma 3 2 2 2 2 5 4" xfId="1885" xr:uid="{1F0F2199-682F-430A-9A70-2AD500E6FE85}"/>
    <cellStyle name="Comma 3 2 2 2 2 5 4 2" xfId="16485" xr:uid="{1411C8C6-E33E-4B40-8421-B681F1BF614B}"/>
    <cellStyle name="Comma 3 2 2 2 2 5 4 2 2" xfId="52993" xr:uid="{37A5D06F-D230-4197-8DD0-C13ADE61EF2F}"/>
    <cellStyle name="Comma 3 2 2 2 2 5 4 2 3" xfId="34739" xr:uid="{61079B6B-5D91-46B8-8D79-4FE5D9B843F3}"/>
    <cellStyle name="Comma 3 2 2 2 2 5 4 3" xfId="12835" xr:uid="{7FCF552E-A60A-4F31-BDAC-96C17FBE84F9}"/>
    <cellStyle name="Comma 3 2 2 2 2 5 4 3 2" xfId="49343" xr:uid="{EA8F0F78-C943-4E93-9639-293E0998DB96}"/>
    <cellStyle name="Comma 3 2 2 2 2 5 4 3 3" xfId="31089" xr:uid="{2ECF2705-3360-43D2-873B-C02E90CBAA41}"/>
    <cellStyle name="Comma 3 2 2 2 2 5 4 4" xfId="9185" xr:uid="{9A7D8F58-21AC-4265-BCFF-3D53BE04FEC3}"/>
    <cellStyle name="Comma 3 2 2 2 2 5 4 4 2" xfId="45693" xr:uid="{267FF1D8-54F7-44B5-A4D2-177B2FCAAC32}"/>
    <cellStyle name="Comma 3 2 2 2 2 5 4 4 3" xfId="27439" xr:uid="{6796A7F8-1295-42E5-96F1-47814648897C}"/>
    <cellStyle name="Comma 3 2 2 2 2 5 4 5" xfId="5535" xr:uid="{73996443-C774-4C35-A7C4-B69D8406BC85}"/>
    <cellStyle name="Comma 3 2 2 2 2 5 4 5 2" xfId="42043" xr:uid="{D8DEC923-41EB-4B4C-9C15-77FFBB26F753}"/>
    <cellStyle name="Comma 3 2 2 2 2 5 4 5 3" xfId="23789" xr:uid="{F5F37FEA-0481-47A3-96BC-8F62E05C3D7C}"/>
    <cellStyle name="Comma 3 2 2 2 2 5 4 6" xfId="38393" xr:uid="{673E3B28-0E35-4DEC-AB4E-C044F84BEB5D}"/>
    <cellStyle name="Comma 3 2 2 2 2 5 4 7" xfId="20139" xr:uid="{DEBF03F8-5DAA-4DAB-80B0-011E9594E2BD}"/>
    <cellStyle name="Comma 3 2 2 2 2 5 5" xfId="1155" xr:uid="{5ABBB6BA-C4A1-40CD-A594-CF654473BEC3}"/>
    <cellStyle name="Comma 3 2 2 2 2 5 5 2" xfId="15755" xr:uid="{E517B917-F602-4598-A38C-239E189B7C9C}"/>
    <cellStyle name="Comma 3 2 2 2 2 5 5 2 2" xfId="52263" xr:uid="{5A034DDA-123E-4D57-A4F1-EDCC21DC76E2}"/>
    <cellStyle name="Comma 3 2 2 2 2 5 5 2 3" xfId="34009" xr:uid="{0FFC289E-CD98-495D-9B73-86DB06BE2138}"/>
    <cellStyle name="Comma 3 2 2 2 2 5 5 3" xfId="12105" xr:uid="{55EE21A9-44F8-42D6-848B-4BA8FC4EF5A4}"/>
    <cellStyle name="Comma 3 2 2 2 2 5 5 3 2" xfId="48613" xr:uid="{B49C8567-D382-4725-9798-F9D5EE2166D9}"/>
    <cellStyle name="Comma 3 2 2 2 2 5 5 3 3" xfId="30359" xr:uid="{A3CAB7D4-6BF8-4D3F-9DC9-B05279163D67}"/>
    <cellStyle name="Comma 3 2 2 2 2 5 5 4" xfId="8455" xr:uid="{50A35765-5A9B-480A-99BB-7ADDA0514150}"/>
    <cellStyle name="Comma 3 2 2 2 2 5 5 4 2" xfId="44963" xr:uid="{14BAAA01-6F89-41E3-81FC-F894EB09758F}"/>
    <cellStyle name="Comma 3 2 2 2 2 5 5 4 3" xfId="26709" xr:uid="{30875304-ED2F-479F-AD91-F5E6915AEB42}"/>
    <cellStyle name="Comma 3 2 2 2 2 5 5 5" xfId="4805" xr:uid="{3BAEF241-1BA3-4C98-B774-FDB0FFA85E90}"/>
    <cellStyle name="Comma 3 2 2 2 2 5 5 5 2" xfId="41313" xr:uid="{A744D595-E407-4BCB-BF90-46547E7A5210}"/>
    <cellStyle name="Comma 3 2 2 2 2 5 5 5 3" xfId="23059" xr:uid="{87B96187-7C1D-4F8C-9230-6A6501CC9DD7}"/>
    <cellStyle name="Comma 3 2 2 2 2 5 5 6" xfId="37663" xr:uid="{780C4DD9-6B7B-4324-AC66-52F022FDC2E8}"/>
    <cellStyle name="Comma 3 2 2 2 2 5 5 7" xfId="19409" xr:uid="{7D52837B-22A1-4199-8B55-52AB06BE804C}"/>
    <cellStyle name="Comma 3 2 2 2 2 5 6" xfId="15025" xr:uid="{02A24C46-A7D5-4F58-BAFC-076202F4182A}"/>
    <cellStyle name="Comma 3 2 2 2 2 5 6 2" xfId="51533" xr:uid="{2A424AD2-ABA3-41B5-87DC-3F65934CB62E}"/>
    <cellStyle name="Comma 3 2 2 2 2 5 6 3" xfId="33279" xr:uid="{D17798F9-1A6F-4B8E-93AB-1BD2C1306D5E}"/>
    <cellStyle name="Comma 3 2 2 2 2 5 7" xfId="11375" xr:uid="{BD6377EE-EBF4-4648-B2D8-B584F72EB9B0}"/>
    <cellStyle name="Comma 3 2 2 2 2 5 7 2" xfId="47883" xr:uid="{023C4BDC-2098-4B22-B082-AEDDC392126B}"/>
    <cellStyle name="Comma 3 2 2 2 2 5 7 3" xfId="29629" xr:uid="{220DB015-83C5-4972-982E-BF80E3ADB94B}"/>
    <cellStyle name="Comma 3 2 2 2 2 5 8" xfId="7725" xr:uid="{0054C832-AA7B-42B4-AC06-129D2380A36D}"/>
    <cellStyle name="Comma 3 2 2 2 2 5 8 2" xfId="44233" xr:uid="{9F9C1A98-E947-402E-B53F-13232A9A4E2A}"/>
    <cellStyle name="Comma 3 2 2 2 2 5 8 3" xfId="25979" xr:uid="{76B74757-9541-4BEB-8E5B-648ED9D54631}"/>
    <cellStyle name="Comma 3 2 2 2 2 5 9" xfId="4075" xr:uid="{89D95C0B-E547-41A1-B9D6-2F941D71AC38}"/>
    <cellStyle name="Comma 3 2 2 2 2 5 9 2" xfId="40583" xr:uid="{1FAAE2D5-11E8-4D8A-BAAB-CE23A9E99938}"/>
    <cellStyle name="Comma 3 2 2 2 2 5 9 3" xfId="22329" xr:uid="{C8265DDA-8E44-4017-8E42-EA9538BF3E6A}"/>
    <cellStyle name="Comma 3 2 2 2 2 6" xfId="321" xr:uid="{31437180-D83F-443D-AF00-F72B4EB4BA34}"/>
    <cellStyle name="Comma 3 2 2 2 2 6 10" xfId="36829" xr:uid="{B859394A-2F5D-4AE6-B54D-A3EE2EFDD8FF}"/>
    <cellStyle name="Comma 3 2 2 2 2 6 11" xfId="18575" xr:uid="{ED657C88-698C-452B-A2FF-00C54A5B3932}"/>
    <cellStyle name="Comma 3 2 2 2 2 6 2" xfId="3241" xr:uid="{15A61D7A-9E1E-4421-85AA-C37774C431B8}"/>
    <cellStyle name="Comma 3 2 2 2 2 6 2 2" xfId="17841" xr:uid="{4075D1C7-F81A-4782-BCD3-0382A832167C}"/>
    <cellStyle name="Comma 3 2 2 2 2 6 2 2 2" xfId="54349" xr:uid="{4B0E03FC-A05D-47FD-B51D-0EEA32A59D11}"/>
    <cellStyle name="Comma 3 2 2 2 2 6 2 2 3" xfId="36095" xr:uid="{313E1326-5F06-4AB0-B903-8C570100F1FA}"/>
    <cellStyle name="Comma 3 2 2 2 2 6 2 3" xfId="14191" xr:uid="{395246B0-6ABF-40D8-9BD4-9CE48E9F8A48}"/>
    <cellStyle name="Comma 3 2 2 2 2 6 2 3 2" xfId="50699" xr:uid="{5A95F628-1663-4C4D-89AF-EEE16A4DB2FB}"/>
    <cellStyle name="Comma 3 2 2 2 2 6 2 3 3" xfId="32445" xr:uid="{9EF19034-0A28-4488-A606-DA88A547314E}"/>
    <cellStyle name="Comma 3 2 2 2 2 6 2 4" xfId="10541" xr:uid="{F0FB65C4-321F-4675-8C02-E6AF430D74C8}"/>
    <cellStyle name="Comma 3 2 2 2 2 6 2 4 2" xfId="47049" xr:uid="{B083BBF8-459C-4300-A6D8-B60CDABFFE8A}"/>
    <cellStyle name="Comma 3 2 2 2 2 6 2 4 3" xfId="28795" xr:uid="{3E4B91CD-9D29-4F98-AEA7-A066BDB27555}"/>
    <cellStyle name="Comma 3 2 2 2 2 6 2 5" xfId="6891" xr:uid="{F49B4A0B-F897-4246-AA85-6AC3BFEBC6F2}"/>
    <cellStyle name="Comma 3 2 2 2 2 6 2 5 2" xfId="43399" xr:uid="{9E188C76-6D3C-4A0A-8194-F4AAD0C285B4}"/>
    <cellStyle name="Comma 3 2 2 2 2 6 2 5 3" xfId="25145" xr:uid="{69990766-9D1C-4ADA-BAD8-419ECFAD8D82}"/>
    <cellStyle name="Comma 3 2 2 2 2 6 2 6" xfId="39749" xr:uid="{3A14D328-B313-4323-978E-EA0F173612C6}"/>
    <cellStyle name="Comma 3 2 2 2 2 6 2 7" xfId="21495" xr:uid="{DC0A153A-C93E-47CE-AB0D-5164483E005A}"/>
    <cellStyle name="Comma 3 2 2 2 2 6 3" xfId="2511" xr:uid="{DD4DDC8F-842A-4A2A-A5E0-92897863CB08}"/>
    <cellStyle name="Comma 3 2 2 2 2 6 3 2" xfId="17111" xr:uid="{D30DC8C1-60E4-4638-8561-DA44ABDCE7ED}"/>
    <cellStyle name="Comma 3 2 2 2 2 6 3 2 2" xfId="53619" xr:uid="{61ADA161-F497-48FE-8141-74686C9F7750}"/>
    <cellStyle name="Comma 3 2 2 2 2 6 3 2 3" xfId="35365" xr:uid="{58F19E19-C30E-4D6A-9E1E-7400FC3AB977}"/>
    <cellStyle name="Comma 3 2 2 2 2 6 3 3" xfId="13461" xr:uid="{1BBE8E65-1930-424B-986E-4D1B3D170D4F}"/>
    <cellStyle name="Comma 3 2 2 2 2 6 3 3 2" xfId="49969" xr:uid="{79A1F2F6-57B5-44C5-B5FF-D94278255001}"/>
    <cellStyle name="Comma 3 2 2 2 2 6 3 3 3" xfId="31715" xr:uid="{CA53AEB2-5DBB-4D0E-95C4-9215E9384551}"/>
    <cellStyle name="Comma 3 2 2 2 2 6 3 4" xfId="9811" xr:uid="{1236840C-2237-4508-AC06-BAA8B020E9A7}"/>
    <cellStyle name="Comma 3 2 2 2 2 6 3 4 2" xfId="46319" xr:uid="{B30ECBE8-54AC-43D7-99C1-197EE27AE0A9}"/>
    <cellStyle name="Comma 3 2 2 2 2 6 3 4 3" xfId="28065" xr:uid="{B5C5168F-AE23-4133-8028-56059ADA69F4}"/>
    <cellStyle name="Comma 3 2 2 2 2 6 3 5" xfId="6161" xr:uid="{DB3AD1D7-6925-4E68-99D0-E0414781DFDF}"/>
    <cellStyle name="Comma 3 2 2 2 2 6 3 5 2" xfId="42669" xr:uid="{2D90B87E-01CC-4518-99BD-7485D414C872}"/>
    <cellStyle name="Comma 3 2 2 2 2 6 3 5 3" xfId="24415" xr:uid="{70095070-6D47-4412-A065-D563D4E61EF8}"/>
    <cellStyle name="Comma 3 2 2 2 2 6 3 6" xfId="39019" xr:uid="{720C24D1-49F9-4F87-BBAF-1DD130BB78C3}"/>
    <cellStyle name="Comma 3 2 2 2 2 6 3 7" xfId="20765" xr:uid="{3931ACAD-E609-43F3-8360-E9D464E1658F}"/>
    <cellStyle name="Comma 3 2 2 2 2 6 4" xfId="1781" xr:uid="{135C49B3-51C8-4D1A-BBC4-5DD60728DB7A}"/>
    <cellStyle name="Comma 3 2 2 2 2 6 4 2" xfId="16381" xr:uid="{DBD00A47-9D44-4734-B8FA-D88A603118A0}"/>
    <cellStyle name="Comma 3 2 2 2 2 6 4 2 2" xfId="52889" xr:uid="{F3B4FDDC-A92C-4977-9503-1695D95B77AD}"/>
    <cellStyle name="Comma 3 2 2 2 2 6 4 2 3" xfId="34635" xr:uid="{DDE90F31-21D8-4B8A-BA91-916C6A95F922}"/>
    <cellStyle name="Comma 3 2 2 2 2 6 4 3" xfId="12731" xr:uid="{4EE241CD-486A-40DC-AAB6-0906B76132B6}"/>
    <cellStyle name="Comma 3 2 2 2 2 6 4 3 2" xfId="49239" xr:uid="{988C6551-B0FA-418E-A8A1-BF5E07F7C5F2}"/>
    <cellStyle name="Comma 3 2 2 2 2 6 4 3 3" xfId="30985" xr:uid="{E0F6B5B2-239A-4E62-B3B2-E677BBF16814}"/>
    <cellStyle name="Comma 3 2 2 2 2 6 4 4" xfId="9081" xr:uid="{C239B9D4-24C9-4A67-A458-AB600082533A}"/>
    <cellStyle name="Comma 3 2 2 2 2 6 4 4 2" xfId="45589" xr:uid="{B28AB489-7C46-4ABE-9E5B-5DD8AAF8E774}"/>
    <cellStyle name="Comma 3 2 2 2 2 6 4 4 3" xfId="27335" xr:uid="{DD2D8C38-E1B0-4680-B596-1210C1927D80}"/>
    <cellStyle name="Comma 3 2 2 2 2 6 4 5" xfId="5431" xr:uid="{C90808AD-A096-4FCA-8B8C-0019533CBFAB}"/>
    <cellStyle name="Comma 3 2 2 2 2 6 4 5 2" xfId="41939" xr:uid="{BFD25201-B220-4ADE-8A67-7B4D5F6D4A3B}"/>
    <cellStyle name="Comma 3 2 2 2 2 6 4 5 3" xfId="23685" xr:uid="{2C178049-DE96-4121-B366-A6FCB2C9130C}"/>
    <cellStyle name="Comma 3 2 2 2 2 6 4 6" xfId="38289" xr:uid="{D4CBB31C-DBE0-4480-9358-971FCB8BEB6B}"/>
    <cellStyle name="Comma 3 2 2 2 2 6 4 7" xfId="20035" xr:uid="{43E4DF55-4E91-4E8B-9000-E356F53B6675}"/>
    <cellStyle name="Comma 3 2 2 2 2 6 5" xfId="1051" xr:uid="{14F876CD-7ABB-4023-8CB2-1DEA89681EE7}"/>
    <cellStyle name="Comma 3 2 2 2 2 6 5 2" xfId="15651" xr:uid="{46252BD6-AA25-4C4D-AD7B-CF755026BA44}"/>
    <cellStyle name="Comma 3 2 2 2 2 6 5 2 2" xfId="52159" xr:uid="{41311AFD-4C71-435C-A0F5-484A1D3961D1}"/>
    <cellStyle name="Comma 3 2 2 2 2 6 5 2 3" xfId="33905" xr:uid="{33B74DC2-63FA-4142-9022-B1E34A627A4C}"/>
    <cellStyle name="Comma 3 2 2 2 2 6 5 3" xfId="12001" xr:uid="{353F51C8-785E-4434-B2D0-48CFE0C0E290}"/>
    <cellStyle name="Comma 3 2 2 2 2 6 5 3 2" xfId="48509" xr:uid="{E7308594-0E99-4D46-8A5B-09305492BC5D}"/>
    <cellStyle name="Comma 3 2 2 2 2 6 5 3 3" xfId="30255" xr:uid="{99BD6CF1-B3D8-4E09-A477-774BFFBC6231}"/>
    <cellStyle name="Comma 3 2 2 2 2 6 5 4" xfId="8351" xr:uid="{255D4D10-E757-4630-B9FF-09BFD37631C7}"/>
    <cellStyle name="Comma 3 2 2 2 2 6 5 4 2" xfId="44859" xr:uid="{B0B387A1-3752-48B3-AB56-0C44385E547D}"/>
    <cellStyle name="Comma 3 2 2 2 2 6 5 4 3" xfId="26605" xr:uid="{9114288C-8F1C-4DCA-B408-B4F16E735B82}"/>
    <cellStyle name="Comma 3 2 2 2 2 6 5 5" xfId="4701" xr:uid="{0A90942D-0E18-45B3-81DC-F112787F2152}"/>
    <cellStyle name="Comma 3 2 2 2 2 6 5 5 2" xfId="41209" xr:uid="{C1A4CB71-A716-4BCF-86D0-7E48B999ACD0}"/>
    <cellStyle name="Comma 3 2 2 2 2 6 5 5 3" xfId="22955" xr:uid="{80E898DB-A1E7-41FA-B733-F9ED7C70D445}"/>
    <cellStyle name="Comma 3 2 2 2 2 6 5 6" xfId="37559" xr:uid="{349FAC09-187A-4B8A-A138-3757DF67888A}"/>
    <cellStyle name="Comma 3 2 2 2 2 6 5 7" xfId="19305" xr:uid="{50F39C0C-E243-44D7-B40B-7F90ABC3D9F5}"/>
    <cellStyle name="Comma 3 2 2 2 2 6 6" xfId="14921" xr:uid="{089DAE14-7ADE-402B-8014-8AB038F05D4A}"/>
    <cellStyle name="Comma 3 2 2 2 2 6 6 2" xfId="51429" xr:uid="{51D7B5D3-13BD-40DA-9D1C-F60238440775}"/>
    <cellStyle name="Comma 3 2 2 2 2 6 6 3" xfId="33175" xr:uid="{7D09EA49-03CA-4157-BD1F-46C7208BACCB}"/>
    <cellStyle name="Comma 3 2 2 2 2 6 7" xfId="11271" xr:uid="{15E34ADD-9848-4A58-A350-AD89033AF52B}"/>
    <cellStyle name="Comma 3 2 2 2 2 6 7 2" xfId="47779" xr:uid="{B0B43AA9-DFFA-4349-80AF-2FBA4ECEBA3B}"/>
    <cellStyle name="Comma 3 2 2 2 2 6 7 3" xfId="29525" xr:uid="{D34320A3-3D6C-4123-B732-476285E3046F}"/>
    <cellStyle name="Comma 3 2 2 2 2 6 8" xfId="7621" xr:uid="{EF0A5D4B-6A15-4C12-8B5E-E14BD5AE9CF0}"/>
    <cellStyle name="Comma 3 2 2 2 2 6 8 2" xfId="44129" xr:uid="{EB76AFE3-6495-4365-96AB-DA64BA9DF276}"/>
    <cellStyle name="Comma 3 2 2 2 2 6 8 3" xfId="25875" xr:uid="{DF3E73F5-0C0B-468A-9008-EB3520475EB3}"/>
    <cellStyle name="Comma 3 2 2 2 2 6 9" xfId="3971" xr:uid="{72230ECF-5B6B-4D2C-A944-875A366F17AF}"/>
    <cellStyle name="Comma 3 2 2 2 2 6 9 2" xfId="40479" xr:uid="{14423FC6-FE74-4D50-B4F6-B5BF93A4F849}"/>
    <cellStyle name="Comma 3 2 2 2 2 6 9 3" xfId="22225" xr:uid="{F90806C2-A18D-4958-8881-51C8DB9B7AE5}"/>
    <cellStyle name="Comma 3 2 2 2 2 7" xfId="217" xr:uid="{0B8DE6DF-7136-42D4-BBDE-7356A17C0871}"/>
    <cellStyle name="Comma 3 2 2 2 2 7 10" xfId="36725" xr:uid="{B302870B-B2D2-41ED-81DD-A18BE5482B9B}"/>
    <cellStyle name="Comma 3 2 2 2 2 7 11" xfId="18471" xr:uid="{30BCAF7C-2554-4DD5-8838-656E57D77F18}"/>
    <cellStyle name="Comma 3 2 2 2 2 7 2" xfId="3137" xr:uid="{794CBE22-F35C-4BA9-8E95-3941D670D66F}"/>
    <cellStyle name="Comma 3 2 2 2 2 7 2 2" xfId="17737" xr:uid="{73FE8B68-EB0F-4904-B10E-B10D337EC2EA}"/>
    <cellStyle name="Comma 3 2 2 2 2 7 2 2 2" xfId="54245" xr:uid="{D169EC80-DD17-407F-A1AF-F637037120EC}"/>
    <cellStyle name="Comma 3 2 2 2 2 7 2 2 3" xfId="35991" xr:uid="{11F15812-05CA-4363-B11F-5105F9443A54}"/>
    <cellStyle name="Comma 3 2 2 2 2 7 2 3" xfId="14087" xr:uid="{43F48BBC-A4F9-45A1-B426-0D48C30C5B60}"/>
    <cellStyle name="Comma 3 2 2 2 2 7 2 3 2" xfId="50595" xr:uid="{E08D10D1-CFA1-404F-9DB3-0C1AA0467D6F}"/>
    <cellStyle name="Comma 3 2 2 2 2 7 2 3 3" xfId="32341" xr:uid="{2823E570-1613-4A0F-BB20-BA9CE957DAB7}"/>
    <cellStyle name="Comma 3 2 2 2 2 7 2 4" xfId="10437" xr:uid="{3C50876B-EE1D-4714-80F7-D148CCA6DEA7}"/>
    <cellStyle name="Comma 3 2 2 2 2 7 2 4 2" xfId="46945" xr:uid="{A891C020-C101-42CC-AEC3-2B0205E6A378}"/>
    <cellStyle name="Comma 3 2 2 2 2 7 2 4 3" xfId="28691" xr:uid="{E42FDC7A-9DD7-4AEC-BB19-A88A9606A507}"/>
    <cellStyle name="Comma 3 2 2 2 2 7 2 5" xfId="6787" xr:uid="{47482FB2-36A5-48AE-BA66-D3F21F0EBEA7}"/>
    <cellStyle name="Comma 3 2 2 2 2 7 2 5 2" xfId="43295" xr:uid="{E3B325B4-001E-434B-8439-98068A68B25E}"/>
    <cellStyle name="Comma 3 2 2 2 2 7 2 5 3" xfId="25041" xr:uid="{2A128236-316F-4527-A3D2-AD957B2B55BE}"/>
    <cellStyle name="Comma 3 2 2 2 2 7 2 6" xfId="39645" xr:uid="{C62A4576-EE75-41E1-8445-4C97B310A8BC}"/>
    <cellStyle name="Comma 3 2 2 2 2 7 2 7" xfId="21391" xr:uid="{3F188C58-082C-4014-820F-762DE58B6194}"/>
    <cellStyle name="Comma 3 2 2 2 2 7 3" xfId="2407" xr:uid="{4E567CF4-A668-4AA5-AF4C-294598ADE63F}"/>
    <cellStyle name="Comma 3 2 2 2 2 7 3 2" xfId="17007" xr:uid="{FFF95CA9-D3DA-412E-B9A0-FFF2965F9E15}"/>
    <cellStyle name="Comma 3 2 2 2 2 7 3 2 2" xfId="53515" xr:uid="{36D76056-90D6-41ED-82E9-1D223967E9FA}"/>
    <cellStyle name="Comma 3 2 2 2 2 7 3 2 3" xfId="35261" xr:uid="{0DBD991C-DBA1-414B-B41C-5927CC8E1B5C}"/>
    <cellStyle name="Comma 3 2 2 2 2 7 3 3" xfId="13357" xr:uid="{043D9D7A-F60F-42C1-AFBE-F5684F8F3965}"/>
    <cellStyle name="Comma 3 2 2 2 2 7 3 3 2" xfId="49865" xr:uid="{8E0285E2-F783-4A16-800E-61F1368B6B23}"/>
    <cellStyle name="Comma 3 2 2 2 2 7 3 3 3" xfId="31611" xr:uid="{E758EC98-F3D3-4CAF-8DEB-6BEAB9210586}"/>
    <cellStyle name="Comma 3 2 2 2 2 7 3 4" xfId="9707" xr:uid="{448BF74F-1B40-4EBC-8DEF-1F44DE1501F1}"/>
    <cellStyle name="Comma 3 2 2 2 2 7 3 4 2" xfId="46215" xr:uid="{FF2AE2B5-D0C8-43DC-95C1-B4035B6A7082}"/>
    <cellStyle name="Comma 3 2 2 2 2 7 3 4 3" xfId="27961" xr:uid="{AE66A2DC-3983-4169-BDAF-5357080175BF}"/>
    <cellStyle name="Comma 3 2 2 2 2 7 3 5" xfId="6057" xr:uid="{13CF7698-182A-432E-BE61-D254B8469C35}"/>
    <cellStyle name="Comma 3 2 2 2 2 7 3 5 2" xfId="42565" xr:uid="{D179536C-9991-4148-976D-5337BDC887AC}"/>
    <cellStyle name="Comma 3 2 2 2 2 7 3 5 3" xfId="24311" xr:uid="{7ABB9303-9E05-48AC-8DFF-E3CACF2C1521}"/>
    <cellStyle name="Comma 3 2 2 2 2 7 3 6" xfId="38915" xr:uid="{DCB15947-A936-43C3-BD1F-C9D7DA3EC95B}"/>
    <cellStyle name="Comma 3 2 2 2 2 7 3 7" xfId="20661" xr:uid="{916CA7BB-10CB-4E0D-A3E9-8F8EBBB8C87E}"/>
    <cellStyle name="Comma 3 2 2 2 2 7 4" xfId="1677" xr:uid="{383F6D72-E350-475B-AE49-FAAA148AC204}"/>
    <cellStyle name="Comma 3 2 2 2 2 7 4 2" xfId="16277" xr:uid="{2C59FFAD-CA2B-442E-AE41-A6811DE2E956}"/>
    <cellStyle name="Comma 3 2 2 2 2 7 4 2 2" xfId="52785" xr:uid="{C31E8FAF-EC24-40B5-9C0B-8A35EFF89945}"/>
    <cellStyle name="Comma 3 2 2 2 2 7 4 2 3" xfId="34531" xr:uid="{104DBDE2-D75B-418D-AD57-D308530D0D0C}"/>
    <cellStyle name="Comma 3 2 2 2 2 7 4 3" xfId="12627" xr:uid="{61D397AC-11C3-4641-AA21-6332115898CA}"/>
    <cellStyle name="Comma 3 2 2 2 2 7 4 3 2" xfId="49135" xr:uid="{7B0A40FA-C997-4A09-AA14-28EF648DEA7F}"/>
    <cellStyle name="Comma 3 2 2 2 2 7 4 3 3" xfId="30881" xr:uid="{785CDA98-7216-4710-95E5-EA3AF47525BD}"/>
    <cellStyle name="Comma 3 2 2 2 2 7 4 4" xfId="8977" xr:uid="{510AD572-F1C3-4FC8-BD60-4C53A5A3BBFA}"/>
    <cellStyle name="Comma 3 2 2 2 2 7 4 4 2" xfId="45485" xr:uid="{5E3BDF2C-B51B-40ED-A286-888CFD35941F}"/>
    <cellStyle name="Comma 3 2 2 2 2 7 4 4 3" xfId="27231" xr:uid="{70116733-5AAA-4D41-BDED-982DB4C00469}"/>
    <cellStyle name="Comma 3 2 2 2 2 7 4 5" xfId="5327" xr:uid="{3A1E777D-9BA1-412E-B81C-7CCC41D5F009}"/>
    <cellStyle name="Comma 3 2 2 2 2 7 4 5 2" xfId="41835" xr:uid="{743D83C1-7DF4-4D9C-B94B-BC510987E646}"/>
    <cellStyle name="Comma 3 2 2 2 2 7 4 5 3" xfId="23581" xr:uid="{D9C12DF2-0EDA-42F9-8207-2ED45EB35DD8}"/>
    <cellStyle name="Comma 3 2 2 2 2 7 4 6" xfId="38185" xr:uid="{128B15D7-37A4-493D-AB28-32766FC147F5}"/>
    <cellStyle name="Comma 3 2 2 2 2 7 4 7" xfId="19931" xr:uid="{710508F3-D9DA-4D17-AA42-B02D1F8F36DA}"/>
    <cellStyle name="Comma 3 2 2 2 2 7 5" xfId="947" xr:uid="{83533E7D-8014-49A0-ABCA-CF5BAC5DF3CD}"/>
    <cellStyle name="Comma 3 2 2 2 2 7 5 2" xfId="15547" xr:uid="{60EDA5EA-0642-4DAF-A394-EFEC0A2B7F11}"/>
    <cellStyle name="Comma 3 2 2 2 2 7 5 2 2" xfId="52055" xr:uid="{658DA74C-BB6C-44F4-A757-75217278047E}"/>
    <cellStyle name="Comma 3 2 2 2 2 7 5 2 3" xfId="33801" xr:uid="{8C7ECDA5-1616-4BEA-A0CC-A74E300FDD48}"/>
    <cellStyle name="Comma 3 2 2 2 2 7 5 3" xfId="11897" xr:uid="{EF34A92A-E550-48AD-B853-D9A6B6A00D27}"/>
    <cellStyle name="Comma 3 2 2 2 2 7 5 3 2" xfId="48405" xr:uid="{9E8D7594-C991-41D2-A4B5-C38C1D8ED3A0}"/>
    <cellStyle name="Comma 3 2 2 2 2 7 5 3 3" xfId="30151" xr:uid="{AB1A9AC0-C633-42AF-80E6-482C7D38B430}"/>
    <cellStyle name="Comma 3 2 2 2 2 7 5 4" xfId="8247" xr:uid="{D8019BA5-1EEC-49B4-B108-C6EB6724FE74}"/>
    <cellStyle name="Comma 3 2 2 2 2 7 5 4 2" xfId="44755" xr:uid="{B98D9008-7BBA-446A-9243-909157C9D6CF}"/>
    <cellStyle name="Comma 3 2 2 2 2 7 5 4 3" xfId="26501" xr:uid="{88F2A068-3D66-41AE-9968-73D108FA7B9C}"/>
    <cellStyle name="Comma 3 2 2 2 2 7 5 5" xfId="4597" xr:uid="{2062641C-EF71-4309-B7BF-0A10291E8A05}"/>
    <cellStyle name="Comma 3 2 2 2 2 7 5 5 2" xfId="41105" xr:uid="{97CE6264-05F9-48E0-9837-28792E57E233}"/>
    <cellStyle name="Comma 3 2 2 2 2 7 5 5 3" xfId="22851" xr:uid="{6DEB3286-1720-4C4C-B733-C40A6EE4B61F}"/>
    <cellStyle name="Comma 3 2 2 2 2 7 5 6" xfId="37455" xr:uid="{30154536-A01B-46C5-9F64-4A4B576B1BF6}"/>
    <cellStyle name="Comma 3 2 2 2 2 7 5 7" xfId="19201" xr:uid="{9EF72292-19DE-4551-93F8-343DD2157A79}"/>
    <cellStyle name="Comma 3 2 2 2 2 7 6" xfId="14817" xr:uid="{3F047ECD-9168-40FE-A349-8ACCFF8EAEDE}"/>
    <cellStyle name="Comma 3 2 2 2 2 7 6 2" xfId="51325" xr:uid="{325C9364-355A-4562-9341-020317608BA1}"/>
    <cellStyle name="Comma 3 2 2 2 2 7 6 3" xfId="33071" xr:uid="{B849DA4F-D3BC-4687-B3CD-99AE0E7ADFDF}"/>
    <cellStyle name="Comma 3 2 2 2 2 7 7" xfId="11167" xr:uid="{64B728D1-AD13-496A-96E6-8511CC511EEC}"/>
    <cellStyle name="Comma 3 2 2 2 2 7 7 2" xfId="47675" xr:uid="{72AE4094-9D12-46EC-85DE-EF3AE7932C4E}"/>
    <cellStyle name="Comma 3 2 2 2 2 7 7 3" xfId="29421" xr:uid="{36A559E2-771F-4296-8D2A-A5DCFDC3C001}"/>
    <cellStyle name="Comma 3 2 2 2 2 7 8" xfId="7517" xr:uid="{97255743-92C0-42AF-B832-4EA8CBF72DCC}"/>
    <cellStyle name="Comma 3 2 2 2 2 7 8 2" xfId="44025" xr:uid="{E039D97B-4C99-4F56-9DAF-6FE5D3E98942}"/>
    <cellStyle name="Comma 3 2 2 2 2 7 8 3" xfId="25771" xr:uid="{18E0BA64-3D44-4E4D-B69C-D32156A2E93D}"/>
    <cellStyle name="Comma 3 2 2 2 2 7 9" xfId="3867" xr:uid="{4D898397-8B44-4617-B0B3-B8AFBA61868E}"/>
    <cellStyle name="Comma 3 2 2 2 2 7 9 2" xfId="40375" xr:uid="{DC9F6244-B633-48DB-A31A-B96978B920B4}"/>
    <cellStyle name="Comma 3 2 2 2 2 7 9 3" xfId="22121" xr:uid="{B27AE887-1B0D-43B0-B6D5-D66F7E4ACC1E}"/>
    <cellStyle name="Comma 3 2 2 2 2 8" xfId="3033" xr:uid="{FC306EF1-F483-416A-9E83-D2D787FFBF7E}"/>
    <cellStyle name="Comma 3 2 2 2 2 8 2" xfId="17633" xr:uid="{975225CE-7114-4D27-8FED-F00D96CD4949}"/>
    <cellStyle name="Comma 3 2 2 2 2 8 2 2" xfId="54141" xr:uid="{ED098BEA-45CE-4B73-9987-9AC178B958BF}"/>
    <cellStyle name="Comma 3 2 2 2 2 8 2 3" xfId="35887" xr:uid="{19B6C4EA-721B-4076-8C77-D0869CB37E10}"/>
    <cellStyle name="Comma 3 2 2 2 2 8 3" xfId="13983" xr:uid="{D0144164-9BD4-440F-B9F5-BB4AB3013587}"/>
    <cellStyle name="Comma 3 2 2 2 2 8 3 2" xfId="50491" xr:uid="{E218C295-FF8D-4C82-9877-38DC420DF19F}"/>
    <cellStyle name="Comma 3 2 2 2 2 8 3 3" xfId="32237" xr:uid="{79E95FBA-5FC9-4E00-A7BE-CCEC8804F5BB}"/>
    <cellStyle name="Comma 3 2 2 2 2 8 4" xfId="10333" xr:uid="{8C8FB2A0-029A-4381-A137-8075CF8165C7}"/>
    <cellStyle name="Comma 3 2 2 2 2 8 4 2" xfId="46841" xr:uid="{7EE134AF-1A42-4B95-B4FF-819CC518FABD}"/>
    <cellStyle name="Comma 3 2 2 2 2 8 4 3" xfId="28587" xr:uid="{032EF74D-7FCA-46D3-81FF-B71C29A79FE6}"/>
    <cellStyle name="Comma 3 2 2 2 2 8 5" xfId="6683" xr:uid="{62CDF529-F38E-481E-A906-646B2FC00EF7}"/>
    <cellStyle name="Comma 3 2 2 2 2 8 5 2" xfId="43191" xr:uid="{AD862D5C-1795-45BA-B37F-1CC2D780C682}"/>
    <cellStyle name="Comma 3 2 2 2 2 8 5 3" xfId="24937" xr:uid="{D99B9F86-AA37-4FD7-9BF4-855F0E34278C}"/>
    <cellStyle name="Comma 3 2 2 2 2 8 6" xfId="39541" xr:uid="{8763F823-4204-4976-8DB1-476291C3E5EF}"/>
    <cellStyle name="Comma 3 2 2 2 2 8 7" xfId="21287" xr:uid="{5EDB0BB2-B3CC-4FE7-BFA4-C8A1E5A65172}"/>
    <cellStyle name="Comma 3 2 2 2 2 9" xfId="2303" xr:uid="{47FC8A4D-1BDF-41A4-972B-745D75B3CD87}"/>
    <cellStyle name="Comma 3 2 2 2 2 9 2" xfId="16903" xr:uid="{437D58D4-D66A-439C-BFB5-7FB8738C9168}"/>
    <cellStyle name="Comma 3 2 2 2 2 9 2 2" xfId="53411" xr:uid="{CEDA0FEE-C063-426F-AE6B-79C73DD98FD2}"/>
    <cellStyle name="Comma 3 2 2 2 2 9 2 3" xfId="35157" xr:uid="{752CAF2A-6669-4B7C-984B-1E3423A5E170}"/>
    <cellStyle name="Comma 3 2 2 2 2 9 3" xfId="13253" xr:uid="{8E1E0D2B-936B-4365-A91D-91A4CEBAFF60}"/>
    <cellStyle name="Comma 3 2 2 2 2 9 3 2" xfId="49761" xr:uid="{9D279AFC-10D0-4077-92D8-AF1CA673045D}"/>
    <cellStyle name="Comma 3 2 2 2 2 9 3 3" xfId="31507" xr:uid="{01C3277A-B16F-46E9-9FCB-D88902CE7C19}"/>
    <cellStyle name="Comma 3 2 2 2 2 9 4" xfId="9603" xr:uid="{DC345495-6A43-4BC9-8B21-DF7590A7099C}"/>
    <cellStyle name="Comma 3 2 2 2 2 9 4 2" xfId="46111" xr:uid="{36B098C6-E7FC-466B-925B-03D7CEB3F140}"/>
    <cellStyle name="Comma 3 2 2 2 2 9 4 3" xfId="27857" xr:uid="{55566E70-B48F-4F7A-AD4C-FE31DB661892}"/>
    <cellStyle name="Comma 3 2 2 2 2 9 5" xfId="5953" xr:uid="{F1A3C737-84E6-4818-A366-1D9498180653}"/>
    <cellStyle name="Comma 3 2 2 2 2 9 5 2" xfId="42461" xr:uid="{DC453837-3B1D-4D90-BEA6-9806921DC16D}"/>
    <cellStyle name="Comma 3 2 2 2 2 9 5 3" xfId="24207" xr:uid="{F4B8BFF3-EFD9-43F7-9645-21883A4BFC61}"/>
    <cellStyle name="Comma 3 2 2 2 2 9 6" xfId="38811" xr:uid="{FC0643E5-5767-49CE-909C-D2E757B36B2E}"/>
    <cellStyle name="Comma 3 2 2 2 2 9 7" xfId="20557" xr:uid="{60CBC2F4-311B-4D89-8EF1-11985D5B96F3}"/>
    <cellStyle name="Comma 3 2 2 2 3" xfId="78" xr:uid="{3A264645-F8A9-4ED6-A80D-4C4391EA28F5}"/>
    <cellStyle name="Comma 3 2 2 2 3 10" xfId="1541" xr:uid="{3C448768-F9EA-4A0F-98B2-97669EC1E45D}"/>
    <cellStyle name="Comma 3 2 2 2 3 10 2" xfId="16141" xr:uid="{E57AEAC6-1412-4D36-9B00-BDB6A7ADCCE1}"/>
    <cellStyle name="Comma 3 2 2 2 3 10 2 2" xfId="52649" xr:uid="{F77DEFF8-931B-4FBD-AE51-D3E0C32AFCF6}"/>
    <cellStyle name="Comma 3 2 2 2 3 10 2 3" xfId="34395" xr:uid="{8349C004-6571-4306-AD59-0B29EB0D9055}"/>
    <cellStyle name="Comma 3 2 2 2 3 10 3" xfId="12491" xr:uid="{78D01800-EFB0-4E8B-85A7-4AC5970E1346}"/>
    <cellStyle name="Comma 3 2 2 2 3 10 3 2" xfId="48999" xr:uid="{36435446-426E-46EA-870C-FFF2BAEA4C50}"/>
    <cellStyle name="Comma 3 2 2 2 3 10 3 3" xfId="30745" xr:uid="{548203AD-3097-428F-B045-576750901915}"/>
    <cellStyle name="Comma 3 2 2 2 3 10 4" xfId="8841" xr:uid="{4283FCF4-F633-46AA-8FCD-609B4149E649}"/>
    <cellStyle name="Comma 3 2 2 2 3 10 4 2" xfId="45349" xr:uid="{6DD8DD4B-5B88-4C37-B33D-288CC7439120}"/>
    <cellStyle name="Comma 3 2 2 2 3 10 4 3" xfId="27095" xr:uid="{F6DB54CC-7A1D-4459-9904-4F863683B102}"/>
    <cellStyle name="Comma 3 2 2 2 3 10 5" xfId="5191" xr:uid="{49B4B11E-F8D3-4811-BEBE-011FE7317E93}"/>
    <cellStyle name="Comma 3 2 2 2 3 10 5 2" xfId="41699" xr:uid="{7996205C-4E01-4459-B4EA-1FC30B702665}"/>
    <cellStyle name="Comma 3 2 2 2 3 10 5 3" xfId="23445" xr:uid="{4B2EAAE5-359F-4433-95C5-11A57DD272BE}"/>
    <cellStyle name="Comma 3 2 2 2 3 10 6" xfId="38049" xr:uid="{35F683A6-24FB-436A-919B-EF20CAE9DE1E}"/>
    <cellStyle name="Comma 3 2 2 2 3 10 7" xfId="19795" xr:uid="{6A2DE534-D448-4470-8A6D-ECEDF51CC039}"/>
    <cellStyle name="Comma 3 2 2 2 3 11" xfId="811" xr:uid="{B792258F-D2FF-40B3-A37C-19285E7B4034}"/>
    <cellStyle name="Comma 3 2 2 2 3 11 2" xfId="15411" xr:uid="{5DE63CF8-662A-4E1A-8F51-91A6E44ED727}"/>
    <cellStyle name="Comma 3 2 2 2 3 11 2 2" xfId="51919" xr:uid="{BA6F4C28-A204-4269-AD9E-2AAA2C50E639}"/>
    <cellStyle name="Comma 3 2 2 2 3 11 2 3" xfId="33665" xr:uid="{C7C7B722-9528-4EEC-A7DD-C7F9AC29FA25}"/>
    <cellStyle name="Comma 3 2 2 2 3 11 3" xfId="11761" xr:uid="{744ACAC8-4D3C-4A1F-A70C-0403A0C25A2E}"/>
    <cellStyle name="Comma 3 2 2 2 3 11 3 2" xfId="48269" xr:uid="{63F3B96F-9CB2-4797-A751-3875A3045826}"/>
    <cellStyle name="Comma 3 2 2 2 3 11 3 3" xfId="30015" xr:uid="{C6C68B4E-8CFA-4D9F-94CE-0F093592BD11}"/>
    <cellStyle name="Comma 3 2 2 2 3 11 4" xfId="8111" xr:uid="{B3528049-B88C-43F6-A146-886D16256156}"/>
    <cellStyle name="Comma 3 2 2 2 3 11 4 2" xfId="44619" xr:uid="{DF74279D-C978-4DD0-9EF4-FC52821A03BE}"/>
    <cellStyle name="Comma 3 2 2 2 3 11 4 3" xfId="26365" xr:uid="{DCBF3FC8-DF3D-4B45-862B-739DC1470A11}"/>
    <cellStyle name="Comma 3 2 2 2 3 11 5" xfId="4461" xr:uid="{082EE94F-DC62-4550-A156-457AC2AA9A03}"/>
    <cellStyle name="Comma 3 2 2 2 3 11 5 2" xfId="40969" xr:uid="{0F886F3A-A1D5-4229-8B8E-925D86B8D92C}"/>
    <cellStyle name="Comma 3 2 2 2 3 11 5 3" xfId="22715" xr:uid="{9A6D4AC1-455C-45C3-8157-5CCC3524DBDF}"/>
    <cellStyle name="Comma 3 2 2 2 3 11 6" xfId="37319" xr:uid="{F111BD17-5936-434B-A0D2-FC2C10453557}"/>
    <cellStyle name="Comma 3 2 2 2 3 11 7" xfId="19065" xr:uid="{233A1803-339F-4862-8032-023CF1E2B0FB}"/>
    <cellStyle name="Comma 3 2 2 2 3 12" xfId="14681" xr:uid="{FA07F32B-295A-4F30-8510-5F569B626DD8}"/>
    <cellStyle name="Comma 3 2 2 2 3 12 2" xfId="51189" xr:uid="{DF0D8DEF-6838-46EE-917D-DBD664132870}"/>
    <cellStyle name="Comma 3 2 2 2 3 12 3" xfId="32935" xr:uid="{6875AA6C-EAEF-4FB3-B5B6-1A6C97C663D0}"/>
    <cellStyle name="Comma 3 2 2 2 3 13" xfId="11031" xr:uid="{83FF6E39-4CD3-4CD2-96A4-B24D1BF1AB64}"/>
    <cellStyle name="Comma 3 2 2 2 3 13 2" xfId="47539" xr:uid="{99383722-D6E8-4BB1-8E33-210CC6F470C7}"/>
    <cellStyle name="Comma 3 2 2 2 3 13 3" xfId="29285" xr:uid="{38451E85-767A-44FF-B396-B3C2BA4AE29F}"/>
    <cellStyle name="Comma 3 2 2 2 3 14" xfId="7381" xr:uid="{714B4D22-B974-4570-9B3F-4F0F868FF1FA}"/>
    <cellStyle name="Comma 3 2 2 2 3 14 2" xfId="43889" xr:uid="{9C6D6C05-070C-4F6D-ABFC-239F28E75CC6}"/>
    <cellStyle name="Comma 3 2 2 2 3 14 3" xfId="25635" xr:uid="{A0509EEF-BE41-4871-B4AD-EF0DF6CC13D9}"/>
    <cellStyle name="Comma 3 2 2 2 3 15" xfId="3731" xr:uid="{58D03F62-BFCA-40B8-A373-E7A943BAB88E}"/>
    <cellStyle name="Comma 3 2 2 2 3 15 2" xfId="40239" xr:uid="{10588012-C478-4B54-80FE-68EA3FB1B8D6}"/>
    <cellStyle name="Comma 3 2 2 2 3 15 3" xfId="21985" xr:uid="{5E98BF05-C5B7-4A2B-9168-0335D898E6F3}"/>
    <cellStyle name="Comma 3 2 2 2 3 16" xfId="36589" xr:uid="{C14EAE1E-BE6B-4783-9F6A-B96D41554209}"/>
    <cellStyle name="Comma 3 2 2 2 3 17" xfId="18335" xr:uid="{4B1A57ED-09F7-48F3-A105-16C94FB6D32B}"/>
    <cellStyle name="Comma 3 2 2 2 3 2" xfId="705" xr:uid="{79ED13B2-52F2-49A3-B4F1-F38C2F2FB8F4}"/>
    <cellStyle name="Comma 3 2 2 2 3 2 10" xfId="37213" xr:uid="{93DD6EDE-6AAC-4EE5-8642-D6817A3C9189}"/>
    <cellStyle name="Comma 3 2 2 2 3 2 11" xfId="18959" xr:uid="{E7221AFA-E5A9-4A35-BCF4-B91E9E90C1CE}"/>
    <cellStyle name="Comma 3 2 2 2 3 2 2" xfId="3625" xr:uid="{E909F364-8FC8-4E4A-9799-F4C094F141CD}"/>
    <cellStyle name="Comma 3 2 2 2 3 2 2 2" xfId="18225" xr:uid="{043359E8-1D10-493F-AB74-848A4B57F48E}"/>
    <cellStyle name="Comma 3 2 2 2 3 2 2 2 2" xfId="54733" xr:uid="{03788777-546A-4256-B615-963430E63150}"/>
    <cellStyle name="Comma 3 2 2 2 3 2 2 2 3" xfId="36479" xr:uid="{345E4602-5DC0-46A5-88F0-A3CE9F41434E}"/>
    <cellStyle name="Comma 3 2 2 2 3 2 2 3" xfId="14575" xr:uid="{B706D41B-BD24-4D95-9557-60877DE27B20}"/>
    <cellStyle name="Comma 3 2 2 2 3 2 2 3 2" xfId="51083" xr:uid="{87FA378B-64FF-4D2A-9686-B8994DFA6349}"/>
    <cellStyle name="Comma 3 2 2 2 3 2 2 3 3" xfId="32829" xr:uid="{A9CF59E5-A2FB-456D-AFF1-20B1920E373D}"/>
    <cellStyle name="Comma 3 2 2 2 3 2 2 4" xfId="10925" xr:uid="{43A010A3-E9EF-40B8-BDC5-76296729DFFD}"/>
    <cellStyle name="Comma 3 2 2 2 3 2 2 4 2" xfId="47433" xr:uid="{A0E4B147-AEA4-4CEE-A530-723A996C7234}"/>
    <cellStyle name="Comma 3 2 2 2 3 2 2 4 3" xfId="29179" xr:uid="{3558C773-A115-4012-AAA3-7CB514CBB7C2}"/>
    <cellStyle name="Comma 3 2 2 2 3 2 2 5" xfId="7275" xr:uid="{598BBEE1-7856-4BE7-B954-BDCCBEFD3ED5}"/>
    <cellStyle name="Comma 3 2 2 2 3 2 2 5 2" xfId="43783" xr:uid="{F9403237-BD60-4EA7-B669-C12207878650}"/>
    <cellStyle name="Comma 3 2 2 2 3 2 2 5 3" xfId="25529" xr:uid="{1B17C040-2357-4B21-9D77-A26DE654D8FF}"/>
    <cellStyle name="Comma 3 2 2 2 3 2 2 6" xfId="40133" xr:uid="{D50CC4A9-8A5B-4259-906D-28816E95687B}"/>
    <cellStyle name="Comma 3 2 2 2 3 2 2 7" xfId="21879" xr:uid="{F97CF761-2904-40A6-BF43-0955279C945B}"/>
    <cellStyle name="Comma 3 2 2 2 3 2 3" xfId="2895" xr:uid="{65732B1A-9AAB-4BBA-BDC8-1B67EEB9201E}"/>
    <cellStyle name="Comma 3 2 2 2 3 2 3 2" xfId="17495" xr:uid="{BF7FA77A-357A-4B59-B6D1-AA5A50B0190E}"/>
    <cellStyle name="Comma 3 2 2 2 3 2 3 2 2" xfId="54003" xr:uid="{B0F379EF-9154-4D25-AC21-C3C6BCC1BE08}"/>
    <cellStyle name="Comma 3 2 2 2 3 2 3 2 3" xfId="35749" xr:uid="{BD782E85-14CA-4753-B9B3-C64990423D96}"/>
    <cellStyle name="Comma 3 2 2 2 3 2 3 3" xfId="13845" xr:uid="{1758BD63-E342-4F66-B980-99F3434C4CED}"/>
    <cellStyle name="Comma 3 2 2 2 3 2 3 3 2" xfId="50353" xr:uid="{E482A4F9-813E-4103-9572-57E8037C16E2}"/>
    <cellStyle name="Comma 3 2 2 2 3 2 3 3 3" xfId="32099" xr:uid="{34D67D44-3DBB-465E-9244-EB15B0CBD024}"/>
    <cellStyle name="Comma 3 2 2 2 3 2 3 4" xfId="10195" xr:uid="{5248B89A-0D0F-4B4F-AC15-E877A3126D95}"/>
    <cellStyle name="Comma 3 2 2 2 3 2 3 4 2" xfId="46703" xr:uid="{252EBE53-628D-45B6-A6FD-CC50E9226202}"/>
    <cellStyle name="Comma 3 2 2 2 3 2 3 4 3" xfId="28449" xr:uid="{79749120-276E-425B-A2E4-F6EFA4171431}"/>
    <cellStyle name="Comma 3 2 2 2 3 2 3 5" xfId="6545" xr:uid="{994D9EA7-1BF6-4971-882B-306399A4DB5B}"/>
    <cellStyle name="Comma 3 2 2 2 3 2 3 5 2" xfId="43053" xr:uid="{DF04F2E6-AD98-4C36-8B84-3E902840541E}"/>
    <cellStyle name="Comma 3 2 2 2 3 2 3 5 3" xfId="24799" xr:uid="{0D3B7711-A30F-49A8-9EAC-264964832A87}"/>
    <cellStyle name="Comma 3 2 2 2 3 2 3 6" xfId="39403" xr:uid="{82B3048E-70AF-47F1-ACA9-8F7C680862D7}"/>
    <cellStyle name="Comma 3 2 2 2 3 2 3 7" xfId="21149" xr:uid="{3724C2E9-B42F-458C-A980-4C0D2AEE2246}"/>
    <cellStyle name="Comma 3 2 2 2 3 2 4" xfId="2165" xr:uid="{40591BA2-86AE-4B65-A8C3-7288EDE211C7}"/>
    <cellStyle name="Comma 3 2 2 2 3 2 4 2" xfId="16765" xr:uid="{5174081A-EA0B-40B1-A5A0-C7A378A27E53}"/>
    <cellStyle name="Comma 3 2 2 2 3 2 4 2 2" xfId="53273" xr:uid="{EFAE37B7-F43D-45E2-9FE8-09466EC21BBC}"/>
    <cellStyle name="Comma 3 2 2 2 3 2 4 2 3" xfId="35019" xr:uid="{1142C587-4B69-4599-B4C1-F6FCD782DBE2}"/>
    <cellStyle name="Comma 3 2 2 2 3 2 4 3" xfId="13115" xr:uid="{E06D3A5A-AAC7-4078-B5AE-344DFD3E4513}"/>
    <cellStyle name="Comma 3 2 2 2 3 2 4 3 2" xfId="49623" xr:uid="{05E434ED-ED00-4A64-9DA7-1B64741400EB}"/>
    <cellStyle name="Comma 3 2 2 2 3 2 4 3 3" xfId="31369" xr:uid="{579646E9-9871-4DF9-B8C8-122C548D76D3}"/>
    <cellStyle name="Comma 3 2 2 2 3 2 4 4" xfId="9465" xr:uid="{4FCFC329-2718-44EA-AB48-E2814A004F1A}"/>
    <cellStyle name="Comma 3 2 2 2 3 2 4 4 2" xfId="45973" xr:uid="{380992DE-5DB3-483D-BEBA-29CA36D67705}"/>
    <cellStyle name="Comma 3 2 2 2 3 2 4 4 3" xfId="27719" xr:uid="{0B9EC61B-4C98-4DBE-8DCE-47395E7793FD}"/>
    <cellStyle name="Comma 3 2 2 2 3 2 4 5" xfId="5815" xr:uid="{BF1DDE6E-9AC3-4F21-A35F-797BB253111F}"/>
    <cellStyle name="Comma 3 2 2 2 3 2 4 5 2" xfId="42323" xr:uid="{5901F7CB-E9B8-4805-919A-FCB2A375EEE6}"/>
    <cellStyle name="Comma 3 2 2 2 3 2 4 5 3" xfId="24069" xr:uid="{7566C417-6348-4F2D-80F0-E2BC31124FE7}"/>
    <cellStyle name="Comma 3 2 2 2 3 2 4 6" xfId="38673" xr:uid="{08C3EEF2-BB23-431F-96FC-9E79CAD802D4}"/>
    <cellStyle name="Comma 3 2 2 2 3 2 4 7" xfId="20419" xr:uid="{B6818D46-097D-4819-85C9-997A4AE53135}"/>
    <cellStyle name="Comma 3 2 2 2 3 2 5" xfId="1435" xr:uid="{1E828DF0-DEDA-4425-BE30-2D4FB49E87A9}"/>
    <cellStyle name="Comma 3 2 2 2 3 2 5 2" xfId="16035" xr:uid="{328AA6D1-E1AB-47F2-85B3-7936BB5766B5}"/>
    <cellStyle name="Comma 3 2 2 2 3 2 5 2 2" xfId="52543" xr:uid="{82E71D11-380A-4E9A-A7D9-DF9DA23AC9AE}"/>
    <cellStyle name="Comma 3 2 2 2 3 2 5 2 3" xfId="34289" xr:uid="{AD388D6D-7B04-424C-9BF1-776C3E20E62B}"/>
    <cellStyle name="Comma 3 2 2 2 3 2 5 3" xfId="12385" xr:uid="{529EC2AD-8465-4C41-938D-8B95C782A877}"/>
    <cellStyle name="Comma 3 2 2 2 3 2 5 3 2" xfId="48893" xr:uid="{4396309B-A4B8-4EB2-A2C9-7B48B408907C}"/>
    <cellStyle name="Comma 3 2 2 2 3 2 5 3 3" xfId="30639" xr:uid="{1E41B56D-4B76-4463-B457-07B9350D3B40}"/>
    <cellStyle name="Comma 3 2 2 2 3 2 5 4" xfId="8735" xr:uid="{0C736343-EC32-47F4-A964-9770A7C393E8}"/>
    <cellStyle name="Comma 3 2 2 2 3 2 5 4 2" xfId="45243" xr:uid="{97C11501-4F78-4F9E-8FC0-F72D52A4C014}"/>
    <cellStyle name="Comma 3 2 2 2 3 2 5 4 3" xfId="26989" xr:uid="{7D9E2DE6-7DDF-4BC9-8D89-DC6800CAED74}"/>
    <cellStyle name="Comma 3 2 2 2 3 2 5 5" xfId="5085" xr:uid="{C6956198-1CC1-4696-ADB5-AA37A3F8A8E6}"/>
    <cellStyle name="Comma 3 2 2 2 3 2 5 5 2" xfId="41593" xr:uid="{D1B30A5C-F86D-4D94-9A4C-921DEBA3638D}"/>
    <cellStyle name="Comma 3 2 2 2 3 2 5 5 3" xfId="23339" xr:uid="{345E37C0-8355-4A13-B286-D85657296D89}"/>
    <cellStyle name="Comma 3 2 2 2 3 2 5 6" xfId="37943" xr:uid="{288C8E4A-B6F4-4212-8910-3091DCCE8AFF}"/>
    <cellStyle name="Comma 3 2 2 2 3 2 5 7" xfId="19689" xr:uid="{35C98AB5-2653-490E-B489-84AF840E59C1}"/>
    <cellStyle name="Comma 3 2 2 2 3 2 6" xfId="15305" xr:uid="{DCD422AC-424C-4AEF-958F-70BBFA0DF550}"/>
    <cellStyle name="Comma 3 2 2 2 3 2 6 2" xfId="51813" xr:uid="{411C48C0-6067-49F2-9999-044AC62EBF89}"/>
    <cellStyle name="Comma 3 2 2 2 3 2 6 3" xfId="33559" xr:uid="{CB13524A-FC70-43C5-A77E-E0755ABBC7E6}"/>
    <cellStyle name="Comma 3 2 2 2 3 2 7" xfId="11655" xr:uid="{C45C2E8B-5690-420E-9E18-CDF991E7891B}"/>
    <cellStyle name="Comma 3 2 2 2 3 2 7 2" xfId="48163" xr:uid="{486D976C-F399-4693-B2BD-9ED0DB885049}"/>
    <cellStyle name="Comma 3 2 2 2 3 2 7 3" xfId="29909" xr:uid="{5C9B6E8B-EC2C-42AE-8695-6FE2FB0F9AE0}"/>
    <cellStyle name="Comma 3 2 2 2 3 2 8" xfId="8005" xr:uid="{04D631BA-3AD5-4865-83A6-C56F7C412663}"/>
    <cellStyle name="Comma 3 2 2 2 3 2 8 2" xfId="44513" xr:uid="{8E5A57AF-5A8B-4E6B-9A85-85D0C2FB6647}"/>
    <cellStyle name="Comma 3 2 2 2 3 2 8 3" xfId="26259" xr:uid="{35C08B4E-01EA-4F95-86AD-EEFC8A4331EF}"/>
    <cellStyle name="Comma 3 2 2 2 3 2 9" xfId="4355" xr:uid="{9F2EBC83-47EC-4F63-803E-E878295C12B9}"/>
    <cellStyle name="Comma 3 2 2 2 3 2 9 2" xfId="40863" xr:uid="{2367D629-459D-41A0-B3FB-B7C14B60BE4E}"/>
    <cellStyle name="Comma 3 2 2 2 3 2 9 3" xfId="22609" xr:uid="{538AFAFC-28FD-4B79-A757-5127EE14B7F9}"/>
    <cellStyle name="Comma 3 2 2 2 3 3" xfId="601" xr:uid="{C08EDB46-B9A6-4184-BFE9-713AFEC99702}"/>
    <cellStyle name="Comma 3 2 2 2 3 3 10" xfId="37109" xr:uid="{6D98166D-9301-4EEA-92FE-030649C271F9}"/>
    <cellStyle name="Comma 3 2 2 2 3 3 11" xfId="18855" xr:uid="{C3DA5A59-959C-4196-92A3-8D8074013868}"/>
    <cellStyle name="Comma 3 2 2 2 3 3 2" xfId="3521" xr:uid="{0DDB3DC3-3AC9-4CE1-909C-EAA1483EF6C0}"/>
    <cellStyle name="Comma 3 2 2 2 3 3 2 2" xfId="18121" xr:uid="{68BEB7AE-09D1-423D-9B68-94ED428CBE42}"/>
    <cellStyle name="Comma 3 2 2 2 3 3 2 2 2" xfId="54629" xr:uid="{85E33E73-C42E-40F5-9BFA-D1F9BC05CFEB}"/>
    <cellStyle name="Comma 3 2 2 2 3 3 2 2 3" xfId="36375" xr:uid="{71D7B3CA-C610-4FD6-95C6-3E9EF958DDDE}"/>
    <cellStyle name="Comma 3 2 2 2 3 3 2 3" xfId="14471" xr:uid="{C5881E35-8B09-4B5D-933C-14C23C412347}"/>
    <cellStyle name="Comma 3 2 2 2 3 3 2 3 2" xfId="50979" xr:uid="{7FD42580-CD4D-4368-BFD2-09A61CFE8F73}"/>
    <cellStyle name="Comma 3 2 2 2 3 3 2 3 3" xfId="32725" xr:uid="{6AFBFADC-8642-4A04-BE60-D2E632312242}"/>
    <cellStyle name="Comma 3 2 2 2 3 3 2 4" xfId="10821" xr:uid="{E2F3657F-F345-4626-B120-B33D017286AE}"/>
    <cellStyle name="Comma 3 2 2 2 3 3 2 4 2" xfId="47329" xr:uid="{B0F05136-CF08-4839-8692-2FB7EAD8078C}"/>
    <cellStyle name="Comma 3 2 2 2 3 3 2 4 3" xfId="29075" xr:uid="{1B0776E2-34E2-4C98-BAFF-1C19D7EF64D9}"/>
    <cellStyle name="Comma 3 2 2 2 3 3 2 5" xfId="7171" xr:uid="{229E20FE-E6F7-4EDB-B466-9CB578AF74C3}"/>
    <cellStyle name="Comma 3 2 2 2 3 3 2 5 2" xfId="43679" xr:uid="{F1731C3B-EDE5-44BB-A9E5-1B42050B9385}"/>
    <cellStyle name="Comma 3 2 2 2 3 3 2 5 3" xfId="25425" xr:uid="{AF7170DD-D487-4563-B635-D93566777491}"/>
    <cellStyle name="Comma 3 2 2 2 3 3 2 6" xfId="40029" xr:uid="{34971D0E-2CDF-463E-B5E4-F83BEF2F6487}"/>
    <cellStyle name="Comma 3 2 2 2 3 3 2 7" xfId="21775" xr:uid="{F4413606-9DB5-48ED-8413-D7BAB37C7F34}"/>
    <cellStyle name="Comma 3 2 2 2 3 3 3" xfId="2791" xr:uid="{9C019D46-64AD-473C-88B7-57E62B0FB8A0}"/>
    <cellStyle name="Comma 3 2 2 2 3 3 3 2" xfId="17391" xr:uid="{B3623576-55D0-404B-B693-8E4DB0755D61}"/>
    <cellStyle name="Comma 3 2 2 2 3 3 3 2 2" xfId="53899" xr:uid="{5B4BC187-9D51-4401-AE9B-96F718C3CBFB}"/>
    <cellStyle name="Comma 3 2 2 2 3 3 3 2 3" xfId="35645" xr:uid="{27E90128-09EE-43A0-950F-DE3493B3C813}"/>
    <cellStyle name="Comma 3 2 2 2 3 3 3 3" xfId="13741" xr:uid="{6F82606F-9049-4D89-9D83-59C6888BFB58}"/>
    <cellStyle name="Comma 3 2 2 2 3 3 3 3 2" xfId="50249" xr:uid="{442D86A7-AF1A-4ECE-AF13-CCC9A4AAA5AB}"/>
    <cellStyle name="Comma 3 2 2 2 3 3 3 3 3" xfId="31995" xr:uid="{AF52FAF8-6545-420B-824A-D02070A2FAF8}"/>
    <cellStyle name="Comma 3 2 2 2 3 3 3 4" xfId="10091" xr:uid="{F5B2EB41-ED4D-46DB-AB39-51DE7797F574}"/>
    <cellStyle name="Comma 3 2 2 2 3 3 3 4 2" xfId="46599" xr:uid="{922E08AB-06A3-4611-BA34-20299D067FC8}"/>
    <cellStyle name="Comma 3 2 2 2 3 3 3 4 3" xfId="28345" xr:uid="{27BB8D06-A48B-4F82-A385-7AA2CD9C30B8}"/>
    <cellStyle name="Comma 3 2 2 2 3 3 3 5" xfId="6441" xr:uid="{F54C4E2B-62CB-4211-A823-8B24F5FD2FC7}"/>
    <cellStyle name="Comma 3 2 2 2 3 3 3 5 2" xfId="42949" xr:uid="{9062B70D-7954-4B26-9EB1-1AED341A47C6}"/>
    <cellStyle name="Comma 3 2 2 2 3 3 3 5 3" xfId="24695" xr:uid="{3512ADE0-975C-4C21-9396-F3F0A1081022}"/>
    <cellStyle name="Comma 3 2 2 2 3 3 3 6" xfId="39299" xr:uid="{AB087206-C291-4855-9748-BB6B0F9915F0}"/>
    <cellStyle name="Comma 3 2 2 2 3 3 3 7" xfId="21045" xr:uid="{33DA31CF-AD64-4326-BAAA-1D1AAFBE8D57}"/>
    <cellStyle name="Comma 3 2 2 2 3 3 4" xfId="2061" xr:uid="{3FED7A66-7DC7-47E9-99A1-47C8DE4D1685}"/>
    <cellStyle name="Comma 3 2 2 2 3 3 4 2" xfId="16661" xr:uid="{7311CCED-19A4-48FA-A041-3BAD8522C2E2}"/>
    <cellStyle name="Comma 3 2 2 2 3 3 4 2 2" xfId="53169" xr:uid="{F88CE547-9B75-40DA-A11F-6426DF950F29}"/>
    <cellStyle name="Comma 3 2 2 2 3 3 4 2 3" xfId="34915" xr:uid="{E368342D-0E1B-4608-999B-2984BBBD42FE}"/>
    <cellStyle name="Comma 3 2 2 2 3 3 4 3" xfId="13011" xr:uid="{86DBABFD-8B2A-4D53-8D5E-7DAA8AD3DACD}"/>
    <cellStyle name="Comma 3 2 2 2 3 3 4 3 2" xfId="49519" xr:uid="{D1AF6A27-D37E-451A-B40F-C0B203163B79}"/>
    <cellStyle name="Comma 3 2 2 2 3 3 4 3 3" xfId="31265" xr:uid="{35B32517-9008-450E-8D1E-B699B36E4ADE}"/>
    <cellStyle name="Comma 3 2 2 2 3 3 4 4" xfId="9361" xr:uid="{4712C18D-8E00-45B8-B81B-DE89228DCEC9}"/>
    <cellStyle name="Comma 3 2 2 2 3 3 4 4 2" xfId="45869" xr:uid="{CBEC31E5-2852-4B77-96BC-94326EB580DF}"/>
    <cellStyle name="Comma 3 2 2 2 3 3 4 4 3" xfId="27615" xr:uid="{308D9238-3C4B-4435-BC0A-EFA5AB95C7DC}"/>
    <cellStyle name="Comma 3 2 2 2 3 3 4 5" xfId="5711" xr:uid="{44384F04-E89E-4831-8392-C62810D39122}"/>
    <cellStyle name="Comma 3 2 2 2 3 3 4 5 2" xfId="42219" xr:uid="{054869C7-661F-4351-92AE-80F6D3756E27}"/>
    <cellStyle name="Comma 3 2 2 2 3 3 4 5 3" xfId="23965" xr:uid="{8EB098BD-0C1B-43D8-9EBB-A1E24EEF4E77}"/>
    <cellStyle name="Comma 3 2 2 2 3 3 4 6" xfId="38569" xr:uid="{9F1E86EA-313D-4E54-9C4E-E397ACA844FA}"/>
    <cellStyle name="Comma 3 2 2 2 3 3 4 7" xfId="20315" xr:uid="{D820891F-ABCD-4570-9C2B-5BCB03A9B49E}"/>
    <cellStyle name="Comma 3 2 2 2 3 3 5" xfId="1331" xr:uid="{CD442BF6-9188-4B6B-9B5D-B0DA809B754B}"/>
    <cellStyle name="Comma 3 2 2 2 3 3 5 2" xfId="15931" xr:uid="{136FFAF1-F515-42E7-B26C-F7D28CA29145}"/>
    <cellStyle name="Comma 3 2 2 2 3 3 5 2 2" xfId="52439" xr:uid="{E9F83414-6344-47BB-AC88-C82AFF27A8F0}"/>
    <cellStyle name="Comma 3 2 2 2 3 3 5 2 3" xfId="34185" xr:uid="{1E5B3A56-F77C-41BA-BE48-EAC81355B0E0}"/>
    <cellStyle name="Comma 3 2 2 2 3 3 5 3" xfId="12281" xr:uid="{E9EBA6FF-F240-41B6-A73A-EE046D3316EC}"/>
    <cellStyle name="Comma 3 2 2 2 3 3 5 3 2" xfId="48789" xr:uid="{8A6898F2-B07C-4635-BFEA-6E23357A56BF}"/>
    <cellStyle name="Comma 3 2 2 2 3 3 5 3 3" xfId="30535" xr:uid="{563711CC-3314-4136-B960-3E377BF8D36A}"/>
    <cellStyle name="Comma 3 2 2 2 3 3 5 4" xfId="8631" xr:uid="{69256397-9B8A-4D4A-B662-4D9A02C26F65}"/>
    <cellStyle name="Comma 3 2 2 2 3 3 5 4 2" xfId="45139" xr:uid="{82D5EE3F-F14C-4551-BDA5-C6AB8C18DB0C}"/>
    <cellStyle name="Comma 3 2 2 2 3 3 5 4 3" xfId="26885" xr:uid="{1CD51052-0D24-43C1-A208-99DE50E9B202}"/>
    <cellStyle name="Comma 3 2 2 2 3 3 5 5" xfId="4981" xr:uid="{5CAB4B3F-8499-430B-BB32-29C3478680AE}"/>
    <cellStyle name="Comma 3 2 2 2 3 3 5 5 2" xfId="41489" xr:uid="{BDBF6F57-91A8-4E02-9878-24F3C5577B83}"/>
    <cellStyle name="Comma 3 2 2 2 3 3 5 5 3" xfId="23235" xr:uid="{CACF96CA-E807-43E7-979C-5CE60530066C}"/>
    <cellStyle name="Comma 3 2 2 2 3 3 5 6" xfId="37839" xr:uid="{2378EC3A-4ED3-42AC-8062-76031493912E}"/>
    <cellStyle name="Comma 3 2 2 2 3 3 5 7" xfId="19585" xr:uid="{8D457AB0-BDF2-4B2F-B282-7315D8950D53}"/>
    <cellStyle name="Comma 3 2 2 2 3 3 6" xfId="15201" xr:uid="{52D32C1B-7D2A-437C-8D77-39EE48EDFDD9}"/>
    <cellStyle name="Comma 3 2 2 2 3 3 6 2" xfId="51709" xr:uid="{C31B9B44-A481-4FD4-8B9A-F4F0725AAABA}"/>
    <cellStyle name="Comma 3 2 2 2 3 3 6 3" xfId="33455" xr:uid="{01A291EF-CF8A-4836-811E-137FF964BE3A}"/>
    <cellStyle name="Comma 3 2 2 2 3 3 7" xfId="11551" xr:uid="{7B1FF92D-2229-4A33-BE96-2FDBBC8E936A}"/>
    <cellStyle name="Comma 3 2 2 2 3 3 7 2" xfId="48059" xr:uid="{CF8EAA36-35F4-488C-A303-31FD3A9694D5}"/>
    <cellStyle name="Comma 3 2 2 2 3 3 7 3" xfId="29805" xr:uid="{55D350F7-175B-42B0-9EFE-967AB66C1673}"/>
    <cellStyle name="Comma 3 2 2 2 3 3 8" xfId="7901" xr:uid="{3360575F-45AB-43A9-AA49-19C5ABA186A0}"/>
    <cellStyle name="Comma 3 2 2 2 3 3 8 2" xfId="44409" xr:uid="{52ABD523-3E3B-408E-8AE6-A3ABCB0FDAED}"/>
    <cellStyle name="Comma 3 2 2 2 3 3 8 3" xfId="26155" xr:uid="{469E57DA-3F75-4BFE-B0E0-22DE4D209F23}"/>
    <cellStyle name="Comma 3 2 2 2 3 3 9" xfId="4251" xr:uid="{127CA4B4-9C64-45FF-A2FD-29EAE3F80AB5}"/>
    <cellStyle name="Comma 3 2 2 2 3 3 9 2" xfId="40759" xr:uid="{7CCD44AA-9CFC-4DBF-A524-8B05A58A20E0}"/>
    <cellStyle name="Comma 3 2 2 2 3 3 9 3" xfId="22505" xr:uid="{D0833550-2266-414A-83EE-1B9C039B8643}"/>
    <cellStyle name="Comma 3 2 2 2 3 4" xfId="497" xr:uid="{C8147988-D046-4723-990D-C175A52A28F9}"/>
    <cellStyle name="Comma 3 2 2 2 3 4 10" xfId="37005" xr:uid="{107F411D-4747-4CFD-9B37-2301E5FF3E5D}"/>
    <cellStyle name="Comma 3 2 2 2 3 4 11" xfId="18751" xr:uid="{A49F8897-D676-4285-B4F9-C387774C9D91}"/>
    <cellStyle name="Comma 3 2 2 2 3 4 2" xfId="3417" xr:uid="{2096C3A7-8A2A-4FD4-8677-44FAFEBCB37F}"/>
    <cellStyle name="Comma 3 2 2 2 3 4 2 2" xfId="18017" xr:uid="{E2063FAE-3C8C-42C6-B582-E719E8067FF0}"/>
    <cellStyle name="Comma 3 2 2 2 3 4 2 2 2" xfId="54525" xr:uid="{C123AC9B-79A2-43B4-AD81-760BC1F29445}"/>
    <cellStyle name="Comma 3 2 2 2 3 4 2 2 3" xfId="36271" xr:uid="{BC6BD50F-B3CA-41C4-AB34-A3FB76896B8B}"/>
    <cellStyle name="Comma 3 2 2 2 3 4 2 3" xfId="14367" xr:uid="{639823FA-89F1-455C-9AFA-A569DD20D1B5}"/>
    <cellStyle name="Comma 3 2 2 2 3 4 2 3 2" xfId="50875" xr:uid="{5F37DFE7-96B7-4294-8E2D-76E6DEB14451}"/>
    <cellStyle name="Comma 3 2 2 2 3 4 2 3 3" xfId="32621" xr:uid="{4CA6DAE8-ED4F-45C4-A6EE-827CD38E7082}"/>
    <cellStyle name="Comma 3 2 2 2 3 4 2 4" xfId="10717" xr:uid="{DC4212DC-CC72-4A09-89DC-5B29D5FE49BD}"/>
    <cellStyle name="Comma 3 2 2 2 3 4 2 4 2" xfId="47225" xr:uid="{C81D87FC-980E-4561-BFD6-FDF91A898B7F}"/>
    <cellStyle name="Comma 3 2 2 2 3 4 2 4 3" xfId="28971" xr:uid="{F3B13966-E745-463E-A9BD-7D232A0C0F5C}"/>
    <cellStyle name="Comma 3 2 2 2 3 4 2 5" xfId="7067" xr:uid="{66B634F0-6B42-4006-BBC2-56336F812B9D}"/>
    <cellStyle name="Comma 3 2 2 2 3 4 2 5 2" xfId="43575" xr:uid="{4A01C870-78AB-4370-B569-C32B7E353654}"/>
    <cellStyle name="Comma 3 2 2 2 3 4 2 5 3" xfId="25321" xr:uid="{BB5C07CD-82D1-4C6A-AAB1-5876B7D7B680}"/>
    <cellStyle name="Comma 3 2 2 2 3 4 2 6" xfId="39925" xr:uid="{9AC9CB11-F201-4180-ACE3-13D5FD8BA922}"/>
    <cellStyle name="Comma 3 2 2 2 3 4 2 7" xfId="21671" xr:uid="{B254557F-73DE-4B63-8D98-F4DA1C216E69}"/>
    <cellStyle name="Comma 3 2 2 2 3 4 3" xfId="2687" xr:uid="{37796BB0-8CBE-4B17-BC1E-0A8837D9AAF6}"/>
    <cellStyle name="Comma 3 2 2 2 3 4 3 2" xfId="17287" xr:uid="{AA01FA80-786A-40AC-9B85-33F7853892DB}"/>
    <cellStyle name="Comma 3 2 2 2 3 4 3 2 2" xfId="53795" xr:uid="{C27EAC9F-88A5-48A2-A93C-2095E6872EC6}"/>
    <cellStyle name="Comma 3 2 2 2 3 4 3 2 3" xfId="35541" xr:uid="{4D885EC7-9C0D-436E-8BFF-F24A69AD9446}"/>
    <cellStyle name="Comma 3 2 2 2 3 4 3 3" xfId="13637" xr:uid="{986DBAB2-FAD6-4307-A38A-F7343A4EDC3D}"/>
    <cellStyle name="Comma 3 2 2 2 3 4 3 3 2" xfId="50145" xr:uid="{37574A43-6609-4151-B845-DD8F1CBE5ED8}"/>
    <cellStyle name="Comma 3 2 2 2 3 4 3 3 3" xfId="31891" xr:uid="{4802BCEC-1752-4DEC-98DF-9162940BF80B}"/>
    <cellStyle name="Comma 3 2 2 2 3 4 3 4" xfId="9987" xr:uid="{7D6787FC-7DD6-429C-BC9D-4D4093329AFF}"/>
    <cellStyle name="Comma 3 2 2 2 3 4 3 4 2" xfId="46495" xr:uid="{F70D19DB-D35B-437D-8415-6A1645858A3A}"/>
    <cellStyle name="Comma 3 2 2 2 3 4 3 4 3" xfId="28241" xr:uid="{B50920FA-6065-432C-91A4-BE9B948A28DA}"/>
    <cellStyle name="Comma 3 2 2 2 3 4 3 5" xfId="6337" xr:uid="{1C62EE91-35AF-4AF8-9DF6-C2806B630B96}"/>
    <cellStyle name="Comma 3 2 2 2 3 4 3 5 2" xfId="42845" xr:uid="{7E8F8391-E8AA-4F6E-ABCE-7D4AD5752CC0}"/>
    <cellStyle name="Comma 3 2 2 2 3 4 3 5 3" xfId="24591" xr:uid="{5D663052-7078-41EB-AEAD-4F3182D5FB4F}"/>
    <cellStyle name="Comma 3 2 2 2 3 4 3 6" xfId="39195" xr:uid="{F28405F2-D930-4FF7-8954-D4657B63B5DE}"/>
    <cellStyle name="Comma 3 2 2 2 3 4 3 7" xfId="20941" xr:uid="{BD49E9F6-94B3-4420-8350-3608EBADD0B8}"/>
    <cellStyle name="Comma 3 2 2 2 3 4 4" xfId="1957" xr:uid="{195CBAF5-8635-44D9-9B57-13247F06DC5F}"/>
    <cellStyle name="Comma 3 2 2 2 3 4 4 2" xfId="16557" xr:uid="{5402E1A2-81DB-46C3-BF0A-82AB634B09B3}"/>
    <cellStyle name="Comma 3 2 2 2 3 4 4 2 2" xfId="53065" xr:uid="{7D95C9E0-9D51-45F2-AAEB-84E94E1ECBDD}"/>
    <cellStyle name="Comma 3 2 2 2 3 4 4 2 3" xfId="34811" xr:uid="{D99DBC23-9B91-44FC-BAC4-F66787D3331B}"/>
    <cellStyle name="Comma 3 2 2 2 3 4 4 3" xfId="12907" xr:uid="{F08B0C90-E44D-4E8D-9644-CF387AA2B426}"/>
    <cellStyle name="Comma 3 2 2 2 3 4 4 3 2" xfId="49415" xr:uid="{79944DF1-8213-4C37-BD2C-DBB0D8B031E4}"/>
    <cellStyle name="Comma 3 2 2 2 3 4 4 3 3" xfId="31161" xr:uid="{92FC62B1-9DB7-462A-B3D9-3C8C28C49409}"/>
    <cellStyle name="Comma 3 2 2 2 3 4 4 4" xfId="9257" xr:uid="{DE87FCE2-775E-4A9D-AAAC-9B1B5077ED42}"/>
    <cellStyle name="Comma 3 2 2 2 3 4 4 4 2" xfId="45765" xr:uid="{EDB57CB1-F0CB-47FC-BA91-15A8BF0498F6}"/>
    <cellStyle name="Comma 3 2 2 2 3 4 4 4 3" xfId="27511" xr:uid="{0B27CD05-D1C1-468C-BD13-7A7F87FF6192}"/>
    <cellStyle name="Comma 3 2 2 2 3 4 4 5" xfId="5607" xr:uid="{F180EB3D-1357-43B7-A2C1-382F6EB7F00F}"/>
    <cellStyle name="Comma 3 2 2 2 3 4 4 5 2" xfId="42115" xr:uid="{854D1323-BA17-48AF-A907-7FA386A963D7}"/>
    <cellStyle name="Comma 3 2 2 2 3 4 4 5 3" xfId="23861" xr:uid="{1332D8CB-D0E1-4F95-824D-25C78F4702E7}"/>
    <cellStyle name="Comma 3 2 2 2 3 4 4 6" xfId="38465" xr:uid="{5EAA8CAF-9F32-496F-BBA6-986D404E6FA6}"/>
    <cellStyle name="Comma 3 2 2 2 3 4 4 7" xfId="20211" xr:uid="{D4C0CEBF-9720-4F5B-8E4F-B3378D0A42AA}"/>
    <cellStyle name="Comma 3 2 2 2 3 4 5" xfId="1227" xr:uid="{E4A4A350-CF66-4EE3-9A1A-051B1D36D491}"/>
    <cellStyle name="Comma 3 2 2 2 3 4 5 2" xfId="15827" xr:uid="{462BAC34-4557-42AF-AC29-3A299445221D}"/>
    <cellStyle name="Comma 3 2 2 2 3 4 5 2 2" xfId="52335" xr:uid="{0B8A9F64-5221-48C7-80B0-6060A31467BE}"/>
    <cellStyle name="Comma 3 2 2 2 3 4 5 2 3" xfId="34081" xr:uid="{8A379E2B-19FF-408E-B3C1-C42FC2AEA183}"/>
    <cellStyle name="Comma 3 2 2 2 3 4 5 3" xfId="12177" xr:uid="{127860B6-0BDD-422C-B254-4276DAD08809}"/>
    <cellStyle name="Comma 3 2 2 2 3 4 5 3 2" xfId="48685" xr:uid="{3C88F78D-8EE4-43C4-A9E3-16E26D31D6FF}"/>
    <cellStyle name="Comma 3 2 2 2 3 4 5 3 3" xfId="30431" xr:uid="{0C9FA771-87C6-4589-A1C7-DC2D0FE18FC9}"/>
    <cellStyle name="Comma 3 2 2 2 3 4 5 4" xfId="8527" xr:uid="{DA3C1C81-E61B-40A2-A7D5-080826D6EF95}"/>
    <cellStyle name="Comma 3 2 2 2 3 4 5 4 2" xfId="45035" xr:uid="{0E173766-9FD9-435F-9471-95F35DF6DF06}"/>
    <cellStyle name="Comma 3 2 2 2 3 4 5 4 3" xfId="26781" xr:uid="{7D219C79-A78A-4D89-94B3-B16D565B00AE}"/>
    <cellStyle name="Comma 3 2 2 2 3 4 5 5" xfId="4877" xr:uid="{215AF42B-5813-4818-A07B-756003852EC0}"/>
    <cellStyle name="Comma 3 2 2 2 3 4 5 5 2" xfId="41385" xr:uid="{C2631D23-F59A-4EE9-8AFC-53ADF4C66061}"/>
    <cellStyle name="Comma 3 2 2 2 3 4 5 5 3" xfId="23131" xr:uid="{38BBE85A-CB38-49C9-BAAD-ED8EF50F6196}"/>
    <cellStyle name="Comma 3 2 2 2 3 4 5 6" xfId="37735" xr:uid="{71285748-C140-4E4B-8E4A-312349BD3E60}"/>
    <cellStyle name="Comma 3 2 2 2 3 4 5 7" xfId="19481" xr:uid="{C31513A7-3359-4BB5-814E-21B8F2B629DD}"/>
    <cellStyle name="Comma 3 2 2 2 3 4 6" xfId="15097" xr:uid="{22F04044-1353-4F7F-A55E-A92C20FE6A13}"/>
    <cellStyle name="Comma 3 2 2 2 3 4 6 2" xfId="51605" xr:uid="{BBB75EF4-88A2-482C-A795-06DEB3B21E6D}"/>
    <cellStyle name="Comma 3 2 2 2 3 4 6 3" xfId="33351" xr:uid="{0D4E1D7E-3FEC-4855-81CF-2CB59913FFF5}"/>
    <cellStyle name="Comma 3 2 2 2 3 4 7" xfId="11447" xr:uid="{1FE142E6-B16B-40E7-8792-1E6822085269}"/>
    <cellStyle name="Comma 3 2 2 2 3 4 7 2" xfId="47955" xr:uid="{EEACF5A7-8F7E-4484-84DB-836BCFA51C49}"/>
    <cellStyle name="Comma 3 2 2 2 3 4 7 3" xfId="29701" xr:uid="{C7CF4494-B309-4C50-A3B6-1C77308D838F}"/>
    <cellStyle name="Comma 3 2 2 2 3 4 8" xfId="7797" xr:uid="{83F3B242-6DFC-4577-8CA2-6E43556FD4F4}"/>
    <cellStyle name="Comma 3 2 2 2 3 4 8 2" xfId="44305" xr:uid="{D501D93F-8FA6-4EC7-97C5-84D88DAEC14B}"/>
    <cellStyle name="Comma 3 2 2 2 3 4 8 3" xfId="26051" xr:uid="{78C223C6-7CFD-40D8-9FF0-12B70D264AD4}"/>
    <cellStyle name="Comma 3 2 2 2 3 4 9" xfId="4147" xr:uid="{72C23D6D-2267-495F-981A-29A5C352C5D2}"/>
    <cellStyle name="Comma 3 2 2 2 3 4 9 2" xfId="40655" xr:uid="{ADF7925D-C333-468D-82E1-E9F5370B6523}"/>
    <cellStyle name="Comma 3 2 2 2 3 4 9 3" xfId="22401" xr:uid="{A706FC0F-F52A-46E1-BFD9-B7858BF7C997}"/>
    <cellStyle name="Comma 3 2 2 2 3 5" xfId="393" xr:uid="{0180E089-CFF0-432B-916A-CBAE50BE9BC4}"/>
    <cellStyle name="Comma 3 2 2 2 3 5 10" xfId="36901" xr:uid="{E0B86530-95AD-4A91-BDE0-76CADC21AB0A}"/>
    <cellStyle name="Comma 3 2 2 2 3 5 11" xfId="18647" xr:uid="{8A43D492-39A8-42D4-B2ED-6D45E8D271BC}"/>
    <cellStyle name="Comma 3 2 2 2 3 5 2" xfId="3313" xr:uid="{06BC42FC-B529-425C-A055-CF5CA6038282}"/>
    <cellStyle name="Comma 3 2 2 2 3 5 2 2" xfId="17913" xr:uid="{F388C427-716D-476A-AC2F-8682E6C374FD}"/>
    <cellStyle name="Comma 3 2 2 2 3 5 2 2 2" xfId="54421" xr:uid="{71097BA6-3DE1-4758-9C6A-CD76FBD90386}"/>
    <cellStyle name="Comma 3 2 2 2 3 5 2 2 3" xfId="36167" xr:uid="{F2C7B44F-EC60-4C0B-A8F7-77C0352F8B06}"/>
    <cellStyle name="Comma 3 2 2 2 3 5 2 3" xfId="14263" xr:uid="{0C721BBA-95CF-40AE-A922-C32CEE0FD095}"/>
    <cellStyle name="Comma 3 2 2 2 3 5 2 3 2" xfId="50771" xr:uid="{9C988DBE-07D7-468B-930F-672F3E851B10}"/>
    <cellStyle name="Comma 3 2 2 2 3 5 2 3 3" xfId="32517" xr:uid="{2A1F6EB9-B073-4804-A21F-8DAEF0AF107D}"/>
    <cellStyle name="Comma 3 2 2 2 3 5 2 4" xfId="10613" xr:uid="{CFBBBC2A-6DA4-4C8E-8C0F-AE9399102733}"/>
    <cellStyle name="Comma 3 2 2 2 3 5 2 4 2" xfId="47121" xr:uid="{D60837EF-D6CC-4DDC-B611-485FB9BE7783}"/>
    <cellStyle name="Comma 3 2 2 2 3 5 2 4 3" xfId="28867" xr:uid="{4D8A2BBA-67D1-4704-A753-90E86A26A020}"/>
    <cellStyle name="Comma 3 2 2 2 3 5 2 5" xfId="6963" xr:uid="{A8C2D211-6B30-47C7-A18E-36C62E33B163}"/>
    <cellStyle name="Comma 3 2 2 2 3 5 2 5 2" xfId="43471" xr:uid="{47CB1844-3F81-4337-9E7C-85FCD630ACA9}"/>
    <cellStyle name="Comma 3 2 2 2 3 5 2 5 3" xfId="25217" xr:uid="{9F8333CE-719D-45A8-B5B5-91A62242F2E7}"/>
    <cellStyle name="Comma 3 2 2 2 3 5 2 6" xfId="39821" xr:uid="{A99B4D3C-1ADB-4F91-B44D-447FF30F9828}"/>
    <cellStyle name="Comma 3 2 2 2 3 5 2 7" xfId="21567" xr:uid="{6FFC3F11-C391-4786-A034-AEE1E32A6E36}"/>
    <cellStyle name="Comma 3 2 2 2 3 5 3" xfId="2583" xr:uid="{7B7D8646-E2A2-4AE4-A845-F0630403CC70}"/>
    <cellStyle name="Comma 3 2 2 2 3 5 3 2" xfId="17183" xr:uid="{8BD20DB6-8146-4305-9982-2E8C4B3FD942}"/>
    <cellStyle name="Comma 3 2 2 2 3 5 3 2 2" xfId="53691" xr:uid="{029D6466-29FC-4B7B-8DAE-854F8753E2A7}"/>
    <cellStyle name="Comma 3 2 2 2 3 5 3 2 3" xfId="35437" xr:uid="{1A4EF205-A613-476F-92B3-5B54D01B276B}"/>
    <cellStyle name="Comma 3 2 2 2 3 5 3 3" xfId="13533" xr:uid="{794CD216-6EC1-4669-B591-B446DD646A1D}"/>
    <cellStyle name="Comma 3 2 2 2 3 5 3 3 2" xfId="50041" xr:uid="{AA2C25CF-5A32-48CF-81D1-0BFEC7440F36}"/>
    <cellStyle name="Comma 3 2 2 2 3 5 3 3 3" xfId="31787" xr:uid="{439224DF-4473-4F49-AD6D-8013994DF64B}"/>
    <cellStyle name="Comma 3 2 2 2 3 5 3 4" xfId="9883" xr:uid="{1D5EA001-5F41-4E9D-83BC-F9D99E68FF50}"/>
    <cellStyle name="Comma 3 2 2 2 3 5 3 4 2" xfId="46391" xr:uid="{F79C0B2E-6D59-43F7-98C1-3ABFAABF9C84}"/>
    <cellStyle name="Comma 3 2 2 2 3 5 3 4 3" xfId="28137" xr:uid="{E578395E-07C7-4397-8745-435997F875DF}"/>
    <cellStyle name="Comma 3 2 2 2 3 5 3 5" xfId="6233" xr:uid="{B89C7F2C-9EA4-411E-81CC-5A95F9BADC91}"/>
    <cellStyle name="Comma 3 2 2 2 3 5 3 5 2" xfId="42741" xr:uid="{68FB1022-522B-4633-9DEB-E58408C97392}"/>
    <cellStyle name="Comma 3 2 2 2 3 5 3 5 3" xfId="24487" xr:uid="{F0BB8A0A-D9CC-471E-B744-F51F66A27D49}"/>
    <cellStyle name="Comma 3 2 2 2 3 5 3 6" xfId="39091" xr:uid="{F77D9484-7A42-4602-8292-6AA52613B81C}"/>
    <cellStyle name="Comma 3 2 2 2 3 5 3 7" xfId="20837" xr:uid="{0F69A54B-91AF-45A1-88C1-7BBE7F855767}"/>
    <cellStyle name="Comma 3 2 2 2 3 5 4" xfId="1853" xr:uid="{42670073-8366-4A15-A7AD-28CE4A39D775}"/>
    <cellStyle name="Comma 3 2 2 2 3 5 4 2" xfId="16453" xr:uid="{F4CC0FEF-4C7A-4236-8980-BF589BC6AB0E}"/>
    <cellStyle name="Comma 3 2 2 2 3 5 4 2 2" xfId="52961" xr:uid="{9DF444EF-42BB-432B-8C2C-937ADBE59F32}"/>
    <cellStyle name="Comma 3 2 2 2 3 5 4 2 3" xfId="34707" xr:uid="{F5338DA5-7F7A-49E8-92B3-1F0C8D085503}"/>
    <cellStyle name="Comma 3 2 2 2 3 5 4 3" xfId="12803" xr:uid="{3D191A88-0C1F-4F8E-9D92-339AAB2D2771}"/>
    <cellStyle name="Comma 3 2 2 2 3 5 4 3 2" xfId="49311" xr:uid="{032D38E2-36AA-4098-85E4-DA29B1E25A70}"/>
    <cellStyle name="Comma 3 2 2 2 3 5 4 3 3" xfId="31057" xr:uid="{5FFD2DB7-D49D-4F4E-BA5E-ED12198D7E5D}"/>
    <cellStyle name="Comma 3 2 2 2 3 5 4 4" xfId="9153" xr:uid="{94D0147C-9781-45C7-9808-468868FBC19E}"/>
    <cellStyle name="Comma 3 2 2 2 3 5 4 4 2" xfId="45661" xr:uid="{E77470BD-62F7-415F-9895-A9AF2F3F9F3F}"/>
    <cellStyle name="Comma 3 2 2 2 3 5 4 4 3" xfId="27407" xr:uid="{B197478C-A9D7-4AFA-A029-1ABC835A7DE8}"/>
    <cellStyle name="Comma 3 2 2 2 3 5 4 5" xfId="5503" xr:uid="{1990F78E-A22C-4086-8D34-21AD67A455A4}"/>
    <cellStyle name="Comma 3 2 2 2 3 5 4 5 2" xfId="42011" xr:uid="{01303C9E-844E-4748-8206-0CCCD0C66A15}"/>
    <cellStyle name="Comma 3 2 2 2 3 5 4 5 3" xfId="23757" xr:uid="{729D4F81-0040-4068-B871-213EAE05C2FE}"/>
    <cellStyle name="Comma 3 2 2 2 3 5 4 6" xfId="38361" xr:uid="{F836AD4F-6A60-4895-A964-DC579B464819}"/>
    <cellStyle name="Comma 3 2 2 2 3 5 4 7" xfId="20107" xr:uid="{6D95E0AE-D5B9-4BD7-856D-28931BF3DC98}"/>
    <cellStyle name="Comma 3 2 2 2 3 5 5" xfId="1123" xr:uid="{DC11F0A6-0428-498C-B6BE-E8934A410F4D}"/>
    <cellStyle name="Comma 3 2 2 2 3 5 5 2" xfId="15723" xr:uid="{5B6AD7FD-ED7A-4A8E-89F3-76F1615A2E89}"/>
    <cellStyle name="Comma 3 2 2 2 3 5 5 2 2" xfId="52231" xr:uid="{6F7CFD79-C7A9-46D7-85C2-6F1DE03EC547}"/>
    <cellStyle name="Comma 3 2 2 2 3 5 5 2 3" xfId="33977" xr:uid="{9B9B9A53-8A55-4014-9977-2DEFB6346E67}"/>
    <cellStyle name="Comma 3 2 2 2 3 5 5 3" xfId="12073" xr:uid="{52C6B919-1AF4-4D8D-B3A5-61A2FC8D2E74}"/>
    <cellStyle name="Comma 3 2 2 2 3 5 5 3 2" xfId="48581" xr:uid="{F553333B-30E4-43E4-91EA-1281CA44584A}"/>
    <cellStyle name="Comma 3 2 2 2 3 5 5 3 3" xfId="30327" xr:uid="{0E1B5A18-D1F2-44ED-9DC1-B4D38CA729C4}"/>
    <cellStyle name="Comma 3 2 2 2 3 5 5 4" xfId="8423" xr:uid="{B9EB1541-E441-49CB-BB90-6368D1AFA3B3}"/>
    <cellStyle name="Comma 3 2 2 2 3 5 5 4 2" xfId="44931" xr:uid="{C7D76251-0237-4A27-A874-3564E2FAC0B4}"/>
    <cellStyle name="Comma 3 2 2 2 3 5 5 4 3" xfId="26677" xr:uid="{EB7EE0D8-AE73-441B-A780-43AAD7C8BCF5}"/>
    <cellStyle name="Comma 3 2 2 2 3 5 5 5" xfId="4773" xr:uid="{1C3D2F35-8123-495E-96E6-844FD0A4A2E6}"/>
    <cellStyle name="Comma 3 2 2 2 3 5 5 5 2" xfId="41281" xr:uid="{B2234295-5FF7-4BFF-BD8A-2CE2D31392F9}"/>
    <cellStyle name="Comma 3 2 2 2 3 5 5 5 3" xfId="23027" xr:uid="{C52E15F7-0298-4FA4-89E2-2571AF4EB04C}"/>
    <cellStyle name="Comma 3 2 2 2 3 5 5 6" xfId="37631" xr:uid="{DF0216B3-2BDF-4F1B-A63F-BBFFB77DF40C}"/>
    <cellStyle name="Comma 3 2 2 2 3 5 5 7" xfId="19377" xr:uid="{73EAB38B-3383-44CC-A178-4BF6AC65A09B}"/>
    <cellStyle name="Comma 3 2 2 2 3 5 6" xfId="14993" xr:uid="{BAB44E66-DE8E-4566-A86E-8F2BFB8ECD52}"/>
    <cellStyle name="Comma 3 2 2 2 3 5 6 2" xfId="51501" xr:uid="{92AE9DE2-5AEF-496B-8911-03C98497F62C}"/>
    <cellStyle name="Comma 3 2 2 2 3 5 6 3" xfId="33247" xr:uid="{DD5DD90F-FB25-4B32-A1CD-C2C72B0E7926}"/>
    <cellStyle name="Comma 3 2 2 2 3 5 7" xfId="11343" xr:uid="{B5CAA100-D3A1-470D-9447-55AA9B021919}"/>
    <cellStyle name="Comma 3 2 2 2 3 5 7 2" xfId="47851" xr:uid="{337912C7-3EEB-47C4-9654-E2FFAAAC0A01}"/>
    <cellStyle name="Comma 3 2 2 2 3 5 7 3" xfId="29597" xr:uid="{02218DC6-2D0F-4097-BEF9-2FAA339B5EF6}"/>
    <cellStyle name="Comma 3 2 2 2 3 5 8" xfId="7693" xr:uid="{3C00462E-FB2B-48BA-A326-E901372EF26A}"/>
    <cellStyle name="Comma 3 2 2 2 3 5 8 2" xfId="44201" xr:uid="{E426DAB9-A2DD-40E8-819C-55D18FC093BD}"/>
    <cellStyle name="Comma 3 2 2 2 3 5 8 3" xfId="25947" xr:uid="{74FAE87A-1BD6-49FE-B92D-4AA931BB75CA}"/>
    <cellStyle name="Comma 3 2 2 2 3 5 9" xfId="4043" xr:uid="{26B5770D-4D71-4A62-8A17-2689BC3B9727}"/>
    <cellStyle name="Comma 3 2 2 2 3 5 9 2" xfId="40551" xr:uid="{60809933-2E21-48CD-900D-F13665200B31}"/>
    <cellStyle name="Comma 3 2 2 2 3 5 9 3" xfId="22297" xr:uid="{E13C9288-DD2A-4C6C-945D-C5B399DDBC49}"/>
    <cellStyle name="Comma 3 2 2 2 3 6" xfId="289" xr:uid="{3795B3BB-6330-43E4-B353-27979728A641}"/>
    <cellStyle name="Comma 3 2 2 2 3 6 10" xfId="36797" xr:uid="{E22B1ECE-790B-495B-99BF-0EE964E3785F}"/>
    <cellStyle name="Comma 3 2 2 2 3 6 11" xfId="18543" xr:uid="{62AE6AA1-5C9D-4474-9A27-19FEE6ADE332}"/>
    <cellStyle name="Comma 3 2 2 2 3 6 2" xfId="3209" xr:uid="{6212199A-DCB3-492D-A442-5491A9876566}"/>
    <cellStyle name="Comma 3 2 2 2 3 6 2 2" xfId="17809" xr:uid="{2D48B00A-6085-45D8-81F2-1603E19F0A2A}"/>
    <cellStyle name="Comma 3 2 2 2 3 6 2 2 2" xfId="54317" xr:uid="{F5E8DD25-58A4-4329-9B6A-8734CC0EBAB5}"/>
    <cellStyle name="Comma 3 2 2 2 3 6 2 2 3" xfId="36063" xr:uid="{FF3A21D3-ABFB-49F9-A497-1711BC9365B1}"/>
    <cellStyle name="Comma 3 2 2 2 3 6 2 3" xfId="14159" xr:uid="{3F896998-9DC7-4CD6-ADDA-354F5D3D15BF}"/>
    <cellStyle name="Comma 3 2 2 2 3 6 2 3 2" xfId="50667" xr:uid="{BD57BF6D-DFBD-498C-9A53-31B80208AE71}"/>
    <cellStyle name="Comma 3 2 2 2 3 6 2 3 3" xfId="32413" xr:uid="{479802D7-9F6F-49D9-BEC1-EC9F7530B14C}"/>
    <cellStyle name="Comma 3 2 2 2 3 6 2 4" xfId="10509" xr:uid="{84928282-0E4B-4C38-9183-6F4D84A40F9B}"/>
    <cellStyle name="Comma 3 2 2 2 3 6 2 4 2" xfId="47017" xr:uid="{4D44D723-3BA6-4945-BD02-6AFED92D91CA}"/>
    <cellStyle name="Comma 3 2 2 2 3 6 2 4 3" xfId="28763" xr:uid="{02B358C0-9F96-4231-97DE-02557D814880}"/>
    <cellStyle name="Comma 3 2 2 2 3 6 2 5" xfId="6859" xr:uid="{1E543758-2963-4ED0-AA4A-C66EF309D5C9}"/>
    <cellStyle name="Comma 3 2 2 2 3 6 2 5 2" xfId="43367" xr:uid="{3E5A3826-FF7E-4B2A-851E-B7013AC0EB14}"/>
    <cellStyle name="Comma 3 2 2 2 3 6 2 5 3" xfId="25113" xr:uid="{15489BBB-6A9B-4DB6-AFEC-835853ED0053}"/>
    <cellStyle name="Comma 3 2 2 2 3 6 2 6" xfId="39717" xr:uid="{A8A12BA9-0DEE-4C04-8A77-1E088454C763}"/>
    <cellStyle name="Comma 3 2 2 2 3 6 2 7" xfId="21463" xr:uid="{AF38A9EE-42BD-4D85-8833-010FD029B67A}"/>
    <cellStyle name="Comma 3 2 2 2 3 6 3" xfId="2479" xr:uid="{B7370CB1-BD53-47B9-95C7-F5EE554BBC55}"/>
    <cellStyle name="Comma 3 2 2 2 3 6 3 2" xfId="17079" xr:uid="{6519F174-884C-4436-8DF7-CCDB7D701B0A}"/>
    <cellStyle name="Comma 3 2 2 2 3 6 3 2 2" xfId="53587" xr:uid="{E0FEC1C8-3275-4CB4-AE79-111DCF9D22B8}"/>
    <cellStyle name="Comma 3 2 2 2 3 6 3 2 3" xfId="35333" xr:uid="{585F96A2-1A69-46F5-A190-5148373B9FA1}"/>
    <cellStyle name="Comma 3 2 2 2 3 6 3 3" xfId="13429" xr:uid="{0EA6787B-D881-4CDA-BBC3-1AC332C6E258}"/>
    <cellStyle name="Comma 3 2 2 2 3 6 3 3 2" xfId="49937" xr:uid="{2C090EC0-6136-40DE-841D-7E227130E7E3}"/>
    <cellStyle name="Comma 3 2 2 2 3 6 3 3 3" xfId="31683" xr:uid="{2B66535B-3EB3-4CF6-88A7-3CD0D5B67832}"/>
    <cellStyle name="Comma 3 2 2 2 3 6 3 4" xfId="9779" xr:uid="{B7A27492-9E0E-4BF7-92FE-ADDD7A8D7291}"/>
    <cellStyle name="Comma 3 2 2 2 3 6 3 4 2" xfId="46287" xr:uid="{E447411A-4EB9-4D21-8F8C-128FEF6CFD9C}"/>
    <cellStyle name="Comma 3 2 2 2 3 6 3 4 3" xfId="28033" xr:uid="{EC1FC13A-A474-4BC9-841B-53D7A40966A7}"/>
    <cellStyle name="Comma 3 2 2 2 3 6 3 5" xfId="6129" xr:uid="{C430EBA8-6E1D-483F-A3BE-E3983A56A749}"/>
    <cellStyle name="Comma 3 2 2 2 3 6 3 5 2" xfId="42637" xr:uid="{70636B22-B90B-4557-9202-B237311030A7}"/>
    <cellStyle name="Comma 3 2 2 2 3 6 3 5 3" xfId="24383" xr:uid="{CB8D4CB0-DBF3-4CB6-B4AD-CB342E038F09}"/>
    <cellStyle name="Comma 3 2 2 2 3 6 3 6" xfId="38987" xr:uid="{EF22F05D-6FB3-4A5F-B665-CA7E49EA0B35}"/>
    <cellStyle name="Comma 3 2 2 2 3 6 3 7" xfId="20733" xr:uid="{8B9CCA4C-F61F-4E9C-9620-783FA2FB94BC}"/>
    <cellStyle name="Comma 3 2 2 2 3 6 4" xfId="1749" xr:uid="{F1FE980B-DEB7-4212-8D6F-2EF581D4D0C8}"/>
    <cellStyle name="Comma 3 2 2 2 3 6 4 2" xfId="16349" xr:uid="{6BAA3B67-2064-45E3-BF64-7684285680D8}"/>
    <cellStyle name="Comma 3 2 2 2 3 6 4 2 2" xfId="52857" xr:uid="{176799B9-C6E7-4071-AD85-225BB2357DF2}"/>
    <cellStyle name="Comma 3 2 2 2 3 6 4 2 3" xfId="34603" xr:uid="{C7779F36-7C17-41B3-8906-D760619FA32B}"/>
    <cellStyle name="Comma 3 2 2 2 3 6 4 3" xfId="12699" xr:uid="{CB9DFA96-371E-49DD-87D6-014FB114588C}"/>
    <cellStyle name="Comma 3 2 2 2 3 6 4 3 2" xfId="49207" xr:uid="{24392215-89C9-4C30-AC7C-E4DDFBE74F03}"/>
    <cellStyle name="Comma 3 2 2 2 3 6 4 3 3" xfId="30953" xr:uid="{DE7B5D6E-1E8B-49C8-B453-E93200B2B84C}"/>
    <cellStyle name="Comma 3 2 2 2 3 6 4 4" xfId="9049" xr:uid="{63E8DC9C-1FB6-44AF-8F6A-A77D5F19FBE9}"/>
    <cellStyle name="Comma 3 2 2 2 3 6 4 4 2" xfId="45557" xr:uid="{94CB8A09-0503-4027-8924-666AB02CCE58}"/>
    <cellStyle name="Comma 3 2 2 2 3 6 4 4 3" xfId="27303" xr:uid="{833CB208-47BE-453F-82C9-7D91A333244C}"/>
    <cellStyle name="Comma 3 2 2 2 3 6 4 5" xfId="5399" xr:uid="{2D023B91-4032-4B7A-BB82-6E5916074680}"/>
    <cellStyle name="Comma 3 2 2 2 3 6 4 5 2" xfId="41907" xr:uid="{A7F1B0A7-FCE6-4A52-9D9B-7BA510F7306D}"/>
    <cellStyle name="Comma 3 2 2 2 3 6 4 5 3" xfId="23653" xr:uid="{7E81F71D-BC2B-472B-B2CA-D821E61EF478}"/>
    <cellStyle name="Comma 3 2 2 2 3 6 4 6" xfId="38257" xr:uid="{02C990FB-5F02-4758-BDF7-E68E7E1DFED3}"/>
    <cellStyle name="Comma 3 2 2 2 3 6 4 7" xfId="20003" xr:uid="{9B094DBC-B4C3-4417-B280-1D641DA023D5}"/>
    <cellStyle name="Comma 3 2 2 2 3 6 5" xfId="1019" xr:uid="{1D9C97C4-E968-4BB6-AAE9-4397AA3D8392}"/>
    <cellStyle name="Comma 3 2 2 2 3 6 5 2" xfId="15619" xr:uid="{815A9A81-8A85-44FF-83DA-966BB161AAAF}"/>
    <cellStyle name="Comma 3 2 2 2 3 6 5 2 2" xfId="52127" xr:uid="{EAE26442-B4C5-444C-9F10-5FBAD979587B}"/>
    <cellStyle name="Comma 3 2 2 2 3 6 5 2 3" xfId="33873" xr:uid="{552DACD2-44F7-484A-A374-ACD769578E4F}"/>
    <cellStyle name="Comma 3 2 2 2 3 6 5 3" xfId="11969" xr:uid="{9FDFF0A7-8DA1-4A25-B80F-C456088EDDCC}"/>
    <cellStyle name="Comma 3 2 2 2 3 6 5 3 2" xfId="48477" xr:uid="{F4780470-5299-4E45-8672-649C4AF8A207}"/>
    <cellStyle name="Comma 3 2 2 2 3 6 5 3 3" xfId="30223" xr:uid="{60211647-A2B7-40E8-A1BF-09493A102C02}"/>
    <cellStyle name="Comma 3 2 2 2 3 6 5 4" xfId="8319" xr:uid="{546668F5-41B9-451D-9AB7-427008FB1ECB}"/>
    <cellStyle name="Comma 3 2 2 2 3 6 5 4 2" xfId="44827" xr:uid="{05CD5659-501C-4FDD-BB9F-C924734E88F6}"/>
    <cellStyle name="Comma 3 2 2 2 3 6 5 4 3" xfId="26573" xr:uid="{9F99F4E5-BFA8-46C7-AD15-27B223273BDF}"/>
    <cellStyle name="Comma 3 2 2 2 3 6 5 5" xfId="4669" xr:uid="{D6FE974B-8CE4-4BF7-ADBE-7742D373B37C}"/>
    <cellStyle name="Comma 3 2 2 2 3 6 5 5 2" xfId="41177" xr:uid="{64E593A8-BC21-4E22-95D7-CD3C1EE67573}"/>
    <cellStyle name="Comma 3 2 2 2 3 6 5 5 3" xfId="22923" xr:uid="{37743953-3573-45C4-AB5D-4E58D009DA73}"/>
    <cellStyle name="Comma 3 2 2 2 3 6 5 6" xfId="37527" xr:uid="{D7648ABA-FD17-4D7A-B482-F89B1CE60A21}"/>
    <cellStyle name="Comma 3 2 2 2 3 6 5 7" xfId="19273" xr:uid="{876CEDE5-8D43-4205-B125-D79DC1BA25B6}"/>
    <cellStyle name="Comma 3 2 2 2 3 6 6" xfId="14889" xr:uid="{470FFADD-3044-421F-B128-5CE746B8CE3E}"/>
    <cellStyle name="Comma 3 2 2 2 3 6 6 2" xfId="51397" xr:uid="{EE09B513-715D-4586-A635-6D161B6C7692}"/>
    <cellStyle name="Comma 3 2 2 2 3 6 6 3" xfId="33143" xr:uid="{23FAF832-24F4-4419-9407-674224654980}"/>
    <cellStyle name="Comma 3 2 2 2 3 6 7" xfId="11239" xr:uid="{5DDC44B4-FC0A-4548-B590-1BF6B5DC1908}"/>
    <cellStyle name="Comma 3 2 2 2 3 6 7 2" xfId="47747" xr:uid="{21203055-69D0-4F34-AE99-86D60FEA6F97}"/>
    <cellStyle name="Comma 3 2 2 2 3 6 7 3" xfId="29493" xr:uid="{BDA3C524-14D0-48F2-8C97-150EA5056F53}"/>
    <cellStyle name="Comma 3 2 2 2 3 6 8" xfId="7589" xr:uid="{85DC5365-DB77-4366-B993-27D645571F84}"/>
    <cellStyle name="Comma 3 2 2 2 3 6 8 2" xfId="44097" xr:uid="{148EB2B8-AFF8-4C46-88C2-C26926F94753}"/>
    <cellStyle name="Comma 3 2 2 2 3 6 8 3" xfId="25843" xr:uid="{202615F9-B1A9-4502-A61A-96407E52840E}"/>
    <cellStyle name="Comma 3 2 2 2 3 6 9" xfId="3939" xr:uid="{E28A52BD-B2FD-4437-BAAE-B46C600C79C2}"/>
    <cellStyle name="Comma 3 2 2 2 3 6 9 2" xfId="40447" xr:uid="{27EAAE45-4241-4ABA-BD92-47F00DE401CE}"/>
    <cellStyle name="Comma 3 2 2 2 3 6 9 3" xfId="22193" xr:uid="{6CBC3909-B24B-490D-B5C5-79C0AF17674F}"/>
    <cellStyle name="Comma 3 2 2 2 3 7" xfId="185" xr:uid="{CDA262EC-9DA3-4CB8-8B3B-0BC5DC806B5B}"/>
    <cellStyle name="Comma 3 2 2 2 3 7 10" xfId="36693" xr:uid="{B1D9DB94-A117-4403-9AD7-0D5BE6E749B6}"/>
    <cellStyle name="Comma 3 2 2 2 3 7 11" xfId="18439" xr:uid="{D7173C07-A3C6-46E2-9550-787BC466D5AC}"/>
    <cellStyle name="Comma 3 2 2 2 3 7 2" xfId="3105" xr:uid="{A4DFBD23-C1D4-4D6E-9E40-F7B9A4EF6FFE}"/>
    <cellStyle name="Comma 3 2 2 2 3 7 2 2" xfId="17705" xr:uid="{BB36FFFB-7FD7-4049-BF6E-B8D6C89E29F6}"/>
    <cellStyle name="Comma 3 2 2 2 3 7 2 2 2" xfId="54213" xr:uid="{A1A6CD66-251B-4EEF-8A50-9FC6D865CDD7}"/>
    <cellStyle name="Comma 3 2 2 2 3 7 2 2 3" xfId="35959" xr:uid="{8E271F2C-C813-487B-8711-051FBB767F46}"/>
    <cellStyle name="Comma 3 2 2 2 3 7 2 3" xfId="14055" xr:uid="{006DBC5B-AC7D-4851-82E5-3FA0D32F30FC}"/>
    <cellStyle name="Comma 3 2 2 2 3 7 2 3 2" xfId="50563" xr:uid="{AD1248D3-B5A9-47FF-AD6F-86D89FCA4934}"/>
    <cellStyle name="Comma 3 2 2 2 3 7 2 3 3" xfId="32309" xr:uid="{3F74FC35-4DB0-4806-B860-17BE2404D27B}"/>
    <cellStyle name="Comma 3 2 2 2 3 7 2 4" xfId="10405" xr:uid="{3490CAD3-7FC3-4437-8AAA-5C8E46F54C1B}"/>
    <cellStyle name="Comma 3 2 2 2 3 7 2 4 2" xfId="46913" xr:uid="{0F88318C-E3E9-4312-ADBC-480A5EFA3A66}"/>
    <cellStyle name="Comma 3 2 2 2 3 7 2 4 3" xfId="28659" xr:uid="{9AA8B596-CF5B-4913-B371-518112E938ED}"/>
    <cellStyle name="Comma 3 2 2 2 3 7 2 5" xfId="6755" xr:uid="{321C0DC0-0D75-4F38-9081-B1B6780B283B}"/>
    <cellStyle name="Comma 3 2 2 2 3 7 2 5 2" xfId="43263" xr:uid="{E4426FDB-63A3-40DB-BDE3-441F6F47A334}"/>
    <cellStyle name="Comma 3 2 2 2 3 7 2 5 3" xfId="25009" xr:uid="{BCEDD63F-EC1F-4A44-B0FD-66DC44D317B5}"/>
    <cellStyle name="Comma 3 2 2 2 3 7 2 6" xfId="39613" xr:uid="{29F57779-8217-430C-9EE8-3244505A4F11}"/>
    <cellStyle name="Comma 3 2 2 2 3 7 2 7" xfId="21359" xr:uid="{FB1D00AE-8066-4112-8A87-F69232DA4B6A}"/>
    <cellStyle name="Comma 3 2 2 2 3 7 3" xfId="2375" xr:uid="{9463A140-3B49-4484-B8B4-E0C990827FDC}"/>
    <cellStyle name="Comma 3 2 2 2 3 7 3 2" xfId="16975" xr:uid="{1086D0B0-6E28-48EE-8DCB-CB574E9B8054}"/>
    <cellStyle name="Comma 3 2 2 2 3 7 3 2 2" xfId="53483" xr:uid="{C0CDBC0E-4F9A-4FD7-8925-86AAD4227C80}"/>
    <cellStyle name="Comma 3 2 2 2 3 7 3 2 3" xfId="35229" xr:uid="{D671681C-92DD-4CD1-B0E4-E51F467516F8}"/>
    <cellStyle name="Comma 3 2 2 2 3 7 3 3" xfId="13325" xr:uid="{F82187F6-48DD-4AC6-BE4F-65C6F228859C}"/>
    <cellStyle name="Comma 3 2 2 2 3 7 3 3 2" xfId="49833" xr:uid="{F89BB804-0F48-4EFC-BC22-DD2AD081A19D}"/>
    <cellStyle name="Comma 3 2 2 2 3 7 3 3 3" xfId="31579" xr:uid="{19D9C634-3DED-498D-81CF-9C1346D5EB94}"/>
    <cellStyle name="Comma 3 2 2 2 3 7 3 4" xfId="9675" xr:uid="{F3CAF473-C024-4B0B-93DE-D9B6775634D5}"/>
    <cellStyle name="Comma 3 2 2 2 3 7 3 4 2" xfId="46183" xr:uid="{F884B837-2075-4950-9C21-E0D7C10C9C93}"/>
    <cellStyle name="Comma 3 2 2 2 3 7 3 4 3" xfId="27929" xr:uid="{3D328888-5792-478E-98EA-F1E147B13983}"/>
    <cellStyle name="Comma 3 2 2 2 3 7 3 5" xfId="6025" xr:uid="{F5698256-268C-4C51-AD7A-458ACE0D8E25}"/>
    <cellStyle name="Comma 3 2 2 2 3 7 3 5 2" xfId="42533" xr:uid="{1019B9C5-11D8-4E84-A39B-5965A29AD815}"/>
    <cellStyle name="Comma 3 2 2 2 3 7 3 5 3" xfId="24279" xr:uid="{31FE1B2B-3F81-40FA-89CB-832BFC2AF805}"/>
    <cellStyle name="Comma 3 2 2 2 3 7 3 6" xfId="38883" xr:uid="{DF52F908-8875-432C-B13D-286B70E62AE2}"/>
    <cellStyle name="Comma 3 2 2 2 3 7 3 7" xfId="20629" xr:uid="{F66FF4F7-C1BA-4D81-B342-8E247E62B2C5}"/>
    <cellStyle name="Comma 3 2 2 2 3 7 4" xfId="1645" xr:uid="{E8316022-880C-4C40-8BA2-B116D598E2C0}"/>
    <cellStyle name="Comma 3 2 2 2 3 7 4 2" xfId="16245" xr:uid="{26B44F61-A85A-4DC9-836E-3B807436B31F}"/>
    <cellStyle name="Comma 3 2 2 2 3 7 4 2 2" xfId="52753" xr:uid="{7BC9CA7D-65D6-4E89-8DE0-7E9FEDE7A7E1}"/>
    <cellStyle name="Comma 3 2 2 2 3 7 4 2 3" xfId="34499" xr:uid="{BD2E300F-7019-4876-8A13-A73B40B028BF}"/>
    <cellStyle name="Comma 3 2 2 2 3 7 4 3" xfId="12595" xr:uid="{16E30646-4CA4-4466-A18F-AE1048C5EDF0}"/>
    <cellStyle name="Comma 3 2 2 2 3 7 4 3 2" xfId="49103" xr:uid="{1D9C52CB-06F1-430F-A881-54DF84E4FD80}"/>
    <cellStyle name="Comma 3 2 2 2 3 7 4 3 3" xfId="30849" xr:uid="{7BFC5B34-4205-448D-91B4-230F160C4BA5}"/>
    <cellStyle name="Comma 3 2 2 2 3 7 4 4" xfId="8945" xr:uid="{50A6A3A5-B202-452F-B355-D6E89A1F63F6}"/>
    <cellStyle name="Comma 3 2 2 2 3 7 4 4 2" xfId="45453" xr:uid="{EADE7CDD-2C11-46B1-89D5-F48691EE5291}"/>
    <cellStyle name="Comma 3 2 2 2 3 7 4 4 3" xfId="27199" xr:uid="{E61D52FE-7113-4B89-ACED-B3CEA09BBDE9}"/>
    <cellStyle name="Comma 3 2 2 2 3 7 4 5" xfId="5295" xr:uid="{327B2F3A-2241-40E1-B927-31A6806C3871}"/>
    <cellStyle name="Comma 3 2 2 2 3 7 4 5 2" xfId="41803" xr:uid="{102EDF38-E412-4386-B267-D292EF18BF77}"/>
    <cellStyle name="Comma 3 2 2 2 3 7 4 5 3" xfId="23549" xr:uid="{7DD1763F-C81E-46FF-B792-7F091294E6B3}"/>
    <cellStyle name="Comma 3 2 2 2 3 7 4 6" xfId="38153" xr:uid="{791637B9-783E-4AA3-B2FA-53E817E46A18}"/>
    <cellStyle name="Comma 3 2 2 2 3 7 4 7" xfId="19899" xr:uid="{ED79EDF2-AF85-4EEC-9327-7392B1B326D6}"/>
    <cellStyle name="Comma 3 2 2 2 3 7 5" xfId="915" xr:uid="{B48DC26E-BEBC-4F28-A0D3-01B22A3B9293}"/>
    <cellStyle name="Comma 3 2 2 2 3 7 5 2" xfId="15515" xr:uid="{E15F9043-3DD1-4733-A8C4-D620A686DD18}"/>
    <cellStyle name="Comma 3 2 2 2 3 7 5 2 2" xfId="52023" xr:uid="{56E0609A-77CA-4999-AFDD-29428D4095BB}"/>
    <cellStyle name="Comma 3 2 2 2 3 7 5 2 3" xfId="33769" xr:uid="{12047B3F-10D1-446E-8965-F338B8707484}"/>
    <cellStyle name="Comma 3 2 2 2 3 7 5 3" xfId="11865" xr:uid="{BAE565FC-B4AE-4280-B440-093E3F6BA9A3}"/>
    <cellStyle name="Comma 3 2 2 2 3 7 5 3 2" xfId="48373" xr:uid="{41A9C690-16B2-4231-829B-1DB921690AED}"/>
    <cellStyle name="Comma 3 2 2 2 3 7 5 3 3" xfId="30119" xr:uid="{B30CCBBA-802E-4D76-8EA1-19857670D538}"/>
    <cellStyle name="Comma 3 2 2 2 3 7 5 4" xfId="8215" xr:uid="{4C363407-FD3F-4EE6-BD3B-D9CFBBE57F6C}"/>
    <cellStyle name="Comma 3 2 2 2 3 7 5 4 2" xfId="44723" xr:uid="{BC9F27C9-A342-418D-A776-C0B050D4F5A4}"/>
    <cellStyle name="Comma 3 2 2 2 3 7 5 4 3" xfId="26469" xr:uid="{B4814CBC-C834-4DBD-B344-8E3007876974}"/>
    <cellStyle name="Comma 3 2 2 2 3 7 5 5" xfId="4565" xr:uid="{3BAC321D-75A7-4643-A7D6-6A8368D6729B}"/>
    <cellStyle name="Comma 3 2 2 2 3 7 5 5 2" xfId="41073" xr:uid="{6F87E7D9-0D86-448C-9890-B0E706FBF08C}"/>
    <cellStyle name="Comma 3 2 2 2 3 7 5 5 3" xfId="22819" xr:uid="{DC58FCAF-D7B4-4A16-B30D-1C0FEC874AA9}"/>
    <cellStyle name="Comma 3 2 2 2 3 7 5 6" xfId="37423" xr:uid="{CF03BB5D-BD4E-4619-9FFE-651AA4DAAE94}"/>
    <cellStyle name="Comma 3 2 2 2 3 7 5 7" xfId="19169" xr:uid="{FD21EF07-6B9E-4050-882D-DD3CB66BEC00}"/>
    <cellStyle name="Comma 3 2 2 2 3 7 6" xfId="14785" xr:uid="{0A469103-6053-40EB-B626-9B79FE53F743}"/>
    <cellStyle name="Comma 3 2 2 2 3 7 6 2" xfId="51293" xr:uid="{CFFD2E41-D387-409C-9408-3100550189C8}"/>
    <cellStyle name="Comma 3 2 2 2 3 7 6 3" xfId="33039" xr:uid="{6771D369-69A9-4953-9ECA-232C72F859E5}"/>
    <cellStyle name="Comma 3 2 2 2 3 7 7" xfId="11135" xr:uid="{5B7DC510-598D-4EBF-8EEE-DB3F8763D620}"/>
    <cellStyle name="Comma 3 2 2 2 3 7 7 2" xfId="47643" xr:uid="{8C0F55F5-1DE6-454B-B096-3A7E17098ED8}"/>
    <cellStyle name="Comma 3 2 2 2 3 7 7 3" xfId="29389" xr:uid="{964D0021-5990-41F5-9240-3846EE699B60}"/>
    <cellStyle name="Comma 3 2 2 2 3 7 8" xfId="7485" xr:uid="{A869129D-2191-45BC-B1A0-0FCE0B8125D7}"/>
    <cellStyle name="Comma 3 2 2 2 3 7 8 2" xfId="43993" xr:uid="{640A59C4-B9C2-46DD-A621-F8092D682CAE}"/>
    <cellStyle name="Comma 3 2 2 2 3 7 8 3" xfId="25739" xr:uid="{2BBFD84E-ED37-40A4-B457-570FA521A14C}"/>
    <cellStyle name="Comma 3 2 2 2 3 7 9" xfId="3835" xr:uid="{F4A9848B-0977-4C41-A0C9-056CB03540B3}"/>
    <cellStyle name="Comma 3 2 2 2 3 7 9 2" xfId="40343" xr:uid="{DB0FAFA7-F982-4192-B6E9-264B6C026F2B}"/>
    <cellStyle name="Comma 3 2 2 2 3 7 9 3" xfId="22089" xr:uid="{7927A3F5-69D5-4848-B50B-B4A9AF3D6D26}"/>
    <cellStyle name="Comma 3 2 2 2 3 8" xfId="3001" xr:uid="{F09C97C7-1F4B-4634-A531-89C183908109}"/>
    <cellStyle name="Comma 3 2 2 2 3 8 2" xfId="17601" xr:uid="{997058AC-1568-4289-B9A1-E18314065743}"/>
    <cellStyle name="Comma 3 2 2 2 3 8 2 2" xfId="54109" xr:uid="{A183BC74-46A0-4FF8-9CD1-3A8D8DEF1DF1}"/>
    <cellStyle name="Comma 3 2 2 2 3 8 2 3" xfId="35855" xr:uid="{5939C408-59D1-432D-8F54-1501EC855F36}"/>
    <cellStyle name="Comma 3 2 2 2 3 8 3" xfId="13951" xr:uid="{00E342EC-F2B6-45CB-9B01-25220641DD72}"/>
    <cellStyle name="Comma 3 2 2 2 3 8 3 2" xfId="50459" xr:uid="{2E601305-E23D-420F-A72E-667D1ED6BF6F}"/>
    <cellStyle name="Comma 3 2 2 2 3 8 3 3" xfId="32205" xr:uid="{3D43DB7E-A085-452D-87BA-62704984D722}"/>
    <cellStyle name="Comma 3 2 2 2 3 8 4" xfId="10301" xr:uid="{02330C3B-D6E5-42EB-9315-D7C0B6CBC1C5}"/>
    <cellStyle name="Comma 3 2 2 2 3 8 4 2" xfId="46809" xr:uid="{48AD351C-3D72-4FD2-877E-2604D845B3B2}"/>
    <cellStyle name="Comma 3 2 2 2 3 8 4 3" xfId="28555" xr:uid="{2006799E-1F5B-4326-BD00-C37763B965DE}"/>
    <cellStyle name="Comma 3 2 2 2 3 8 5" xfId="6651" xr:uid="{45270506-938C-4113-BCA7-D4C28E3D00C2}"/>
    <cellStyle name="Comma 3 2 2 2 3 8 5 2" xfId="43159" xr:uid="{8848F6AA-13FD-46A1-A60F-43198332C09B}"/>
    <cellStyle name="Comma 3 2 2 2 3 8 5 3" xfId="24905" xr:uid="{AF289091-0D44-4AD6-9ADD-B4A585AA87D8}"/>
    <cellStyle name="Comma 3 2 2 2 3 8 6" xfId="39509" xr:uid="{8003D5E9-19D4-4D0E-A993-C2F26C3A89A6}"/>
    <cellStyle name="Comma 3 2 2 2 3 8 7" xfId="21255" xr:uid="{4C8D8388-CCBC-4281-8A9E-A5CCAA19974F}"/>
    <cellStyle name="Comma 3 2 2 2 3 9" xfId="2271" xr:uid="{084DE1AD-35DD-4834-887F-7E78AF320DC9}"/>
    <cellStyle name="Comma 3 2 2 2 3 9 2" xfId="16871" xr:uid="{F4854E23-7215-46A5-B42D-7D77ED02A538}"/>
    <cellStyle name="Comma 3 2 2 2 3 9 2 2" xfId="53379" xr:uid="{F1649B8A-1105-444E-90B7-4D61E350509B}"/>
    <cellStyle name="Comma 3 2 2 2 3 9 2 3" xfId="35125" xr:uid="{D385A7E2-B677-4151-8E0E-32A1157002FF}"/>
    <cellStyle name="Comma 3 2 2 2 3 9 3" xfId="13221" xr:uid="{E85DB0E6-D119-4546-916C-D4F84B94259A}"/>
    <cellStyle name="Comma 3 2 2 2 3 9 3 2" xfId="49729" xr:uid="{47BB02E5-05EC-402F-B05D-3424AE3C0610}"/>
    <cellStyle name="Comma 3 2 2 2 3 9 3 3" xfId="31475" xr:uid="{68E0BED6-5683-4C2D-AFD1-91BCED711A5B}"/>
    <cellStyle name="Comma 3 2 2 2 3 9 4" xfId="9571" xr:uid="{5E57A7BC-03B3-4B8B-ADEE-98080D6CCB9B}"/>
    <cellStyle name="Comma 3 2 2 2 3 9 4 2" xfId="46079" xr:uid="{89D2F494-687D-400F-9715-099F2A306BC5}"/>
    <cellStyle name="Comma 3 2 2 2 3 9 4 3" xfId="27825" xr:uid="{FB0FEF88-DF32-45DE-B9EC-059941644505}"/>
    <cellStyle name="Comma 3 2 2 2 3 9 5" xfId="5921" xr:uid="{A5119655-BB38-494B-AE9F-2065C705EA5A}"/>
    <cellStyle name="Comma 3 2 2 2 3 9 5 2" xfId="42429" xr:uid="{51B74310-C2A7-40FD-BB7F-FEBD3EAE9CD3}"/>
    <cellStyle name="Comma 3 2 2 2 3 9 5 3" xfId="24175" xr:uid="{C6BA7B10-A896-465F-BD1F-63063FC45342}"/>
    <cellStyle name="Comma 3 2 2 2 3 9 6" xfId="38779" xr:uid="{AD0CD1B9-AAA2-4D15-88B1-CC1DE2918765}"/>
    <cellStyle name="Comma 3 2 2 2 3 9 7" xfId="20525" xr:uid="{7329B684-0FD2-4A2B-97F0-3407DC4A6B55}"/>
    <cellStyle name="Comma 3 2 2 2 4" xfId="673" xr:uid="{E08CA98B-5B43-4D67-84B1-6AA3AC0BD8B6}"/>
    <cellStyle name="Comma 3 2 2 2 4 10" xfId="37181" xr:uid="{C874D16E-8E54-457E-95DB-9377FB70583C}"/>
    <cellStyle name="Comma 3 2 2 2 4 11" xfId="18927" xr:uid="{81F38A63-8DE8-4C98-AF12-B9228F2BE7A1}"/>
    <cellStyle name="Comma 3 2 2 2 4 2" xfId="3593" xr:uid="{A20177F3-D703-4420-893C-A024A64A2DC5}"/>
    <cellStyle name="Comma 3 2 2 2 4 2 2" xfId="18193" xr:uid="{1F50E842-24F4-429E-9151-37980B21BA29}"/>
    <cellStyle name="Comma 3 2 2 2 4 2 2 2" xfId="54701" xr:uid="{49C8A51A-2E3E-4CB0-870E-EB21BCA1DF59}"/>
    <cellStyle name="Comma 3 2 2 2 4 2 2 3" xfId="36447" xr:uid="{61EBD727-FF7D-499E-80CB-02C2444B8F07}"/>
    <cellStyle name="Comma 3 2 2 2 4 2 3" xfId="14543" xr:uid="{5D99EEED-34A2-4F11-8F86-A9F01E00C770}"/>
    <cellStyle name="Comma 3 2 2 2 4 2 3 2" xfId="51051" xr:uid="{2725BF16-329A-478B-99FD-CC27BE09E89F}"/>
    <cellStyle name="Comma 3 2 2 2 4 2 3 3" xfId="32797" xr:uid="{F10ED572-608E-4627-865A-2CF5D51579DD}"/>
    <cellStyle name="Comma 3 2 2 2 4 2 4" xfId="10893" xr:uid="{15DEA3E9-2928-4989-94D4-2EFDC406A204}"/>
    <cellStyle name="Comma 3 2 2 2 4 2 4 2" xfId="47401" xr:uid="{1AA8D546-814E-4A9B-B5CC-35F5B4C72491}"/>
    <cellStyle name="Comma 3 2 2 2 4 2 4 3" xfId="29147" xr:uid="{859E5FAB-6519-4724-8589-D439C3AADE6E}"/>
    <cellStyle name="Comma 3 2 2 2 4 2 5" xfId="7243" xr:uid="{62C7AECF-379F-486E-8A7D-FAA6F40DC18B}"/>
    <cellStyle name="Comma 3 2 2 2 4 2 5 2" xfId="43751" xr:uid="{BF11B428-F4D3-4106-93B3-04C0B4B7EE72}"/>
    <cellStyle name="Comma 3 2 2 2 4 2 5 3" xfId="25497" xr:uid="{9CBBEBCA-7CC0-4EF6-AE77-7AA46BFD7EDF}"/>
    <cellStyle name="Comma 3 2 2 2 4 2 6" xfId="40101" xr:uid="{F939659F-9A24-4E18-9BC8-911DF2DD9ADF}"/>
    <cellStyle name="Comma 3 2 2 2 4 2 7" xfId="21847" xr:uid="{4A2D1A5A-2C39-4F72-AAC0-2563310CE2F4}"/>
    <cellStyle name="Comma 3 2 2 2 4 3" xfId="2863" xr:uid="{210626B5-DAFA-4917-85C8-407B042A5259}"/>
    <cellStyle name="Comma 3 2 2 2 4 3 2" xfId="17463" xr:uid="{5873A8D9-C19F-43EA-9B77-9809A1CA9CAA}"/>
    <cellStyle name="Comma 3 2 2 2 4 3 2 2" xfId="53971" xr:uid="{EA7B0F91-3783-4697-8153-BCF25EFCCEC9}"/>
    <cellStyle name="Comma 3 2 2 2 4 3 2 3" xfId="35717" xr:uid="{F09726D8-B7DD-4018-A878-FBD430A6904E}"/>
    <cellStyle name="Comma 3 2 2 2 4 3 3" xfId="13813" xr:uid="{B136A49B-642A-458C-9E2C-D793AFC20497}"/>
    <cellStyle name="Comma 3 2 2 2 4 3 3 2" xfId="50321" xr:uid="{5A8FA69D-81EA-4F81-ACD7-F8E54389F730}"/>
    <cellStyle name="Comma 3 2 2 2 4 3 3 3" xfId="32067" xr:uid="{7E005801-5F85-4F44-8BB3-0D51E35472AA}"/>
    <cellStyle name="Comma 3 2 2 2 4 3 4" xfId="10163" xr:uid="{C5E9F493-956E-46C5-AD3D-1126B9B311CC}"/>
    <cellStyle name="Comma 3 2 2 2 4 3 4 2" xfId="46671" xr:uid="{F6B59EEC-6422-49F8-A561-58E9C25D9FFD}"/>
    <cellStyle name="Comma 3 2 2 2 4 3 4 3" xfId="28417" xr:uid="{631EA5F1-2D10-41F6-A305-BDC62A93841B}"/>
    <cellStyle name="Comma 3 2 2 2 4 3 5" xfId="6513" xr:uid="{A781696F-872A-46DF-B6B5-392633218D37}"/>
    <cellStyle name="Comma 3 2 2 2 4 3 5 2" xfId="43021" xr:uid="{40D739FE-3FC5-487A-B65F-DF5D55427D8B}"/>
    <cellStyle name="Comma 3 2 2 2 4 3 5 3" xfId="24767" xr:uid="{34022FBC-4AD2-47C9-91D7-B3A2EE275343}"/>
    <cellStyle name="Comma 3 2 2 2 4 3 6" xfId="39371" xr:uid="{607D699F-22A1-40DF-8D2F-4FE5A0005BE5}"/>
    <cellStyle name="Comma 3 2 2 2 4 3 7" xfId="21117" xr:uid="{B3D9B9AD-CCF7-4936-84FD-86453F76A1B6}"/>
    <cellStyle name="Comma 3 2 2 2 4 4" xfId="2133" xr:uid="{FCD76834-96DD-47E5-BBCA-F9318093FBB2}"/>
    <cellStyle name="Comma 3 2 2 2 4 4 2" xfId="16733" xr:uid="{53AAED92-4554-4EC1-86D6-648A00727D7B}"/>
    <cellStyle name="Comma 3 2 2 2 4 4 2 2" xfId="53241" xr:uid="{C26DF134-572E-4669-88E1-3D7B947BC9B8}"/>
    <cellStyle name="Comma 3 2 2 2 4 4 2 3" xfId="34987" xr:uid="{FFBB5401-1E59-4329-AE41-A09F0B841327}"/>
    <cellStyle name="Comma 3 2 2 2 4 4 3" xfId="13083" xr:uid="{A0535679-11AD-4644-B2F9-32E435E49533}"/>
    <cellStyle name="Comma 3 2 2 2 4 4 3 2" xfId="49591" xr:uid="{1F364076-0BDA-4DE0-B97E-53EAE6574457}"/>
    <cellStyle name="Comma 3 2 2 2 4 4 3 3" xfId="31337" xr:uid="{A46EDFE1-860E-44C1-8BC9-10817256370D}"/>
    <cellStyle name="Comma 3 2 2 2 4 4 4" xfId="9433" xr:uid="{4385F351-478E-4AD0-A79A-0ED4D16059D3}"/>
    <cellStyle name="Comma 3 2 2 2 4 4 4 2" xfId="45941" xr:uid="{EAA1DA20-06BE-4B78-88CA-E85139B9543E}"/>
    <cellStyle name="Comma 3 2 2 2 4 4 4 3" xfId="27687" xr:uid="{2F731777-684B-4069-8288-57250C86B6B2}"/>
    <cellStyle name="Comma 3 2 2 2 4 4 5" xfId="5783" xr:uid="{CA3EAE9B-F117-47CB-9A3C-F58BBF113F18}"/>
    <cellStyle name="Comma 3 2 2 2 4 4 5 2" xfId="42291" xr:uid="{29B73233-4A85-4179-9EF9-DA720302A041}"/>
    <cellStyle name="Comma 3 2 2 2 4 4 5 3" xfId="24037" xr:uid="{AAA36840-9A33-462D-86BA-50C8252034F2}"/>
    <cellStyle name="Comma 3 2 2 2 4 4 6" xfId="38641" xr:uid="{83D8EA9B-47A9-4838-BE95-A964C939FE19}"/>
    <cellStyle name="Comma 3 2 2 2 4 4 7" xfId="20387" xr:uid="{25589278-AA93-45AD-B1C2-9C99377685C5}"/>
    <cellStyle name="Comma 3 2 2 2 4 5" xfId="1403" xr:uid="{60EB7E41-0D13-44CE-9C6A-593C31C1D90F}"/>
    <cellStyle name="Comma 3 2 2 2 4 5 2" xfId="16003" xr:uid="{6721AF83-805E-47CE-8701-7AB77F523534}"/>
    <cellStyle name="Comma 3 2 2 2 4 5 2 2" xfId="52511" xr:uid="{15F0F810-27A9-4342-BB03-5FD508AA3B72}"/>
    <cellStyle name="Comma 3 2 2 2 4 5 2 3" xfId="34257" xr:uid="{99826E1D-367A-4EE1-A41C-FD32B1F8C835}"/>
    <cellStyle name="Comma 3 2 2 2 4 5 3" xfId="12353" xr:uid="{05FF763B-C1BE-434C-B594-D8223BC33CB0}"/>
    <cellStyle name="Comma 3 2 2 2 4 5 3 2" xfId="48861" xr:uid="{2EAB148C-CF90-4EE6-A80F-3DDF69AD2BA5}"/>
    <cellStyle name="Comma 3 2 2 2 4 5 3 3" xfId="30607" xr:uid="{52B7BE6E-5DFD-42F3-8AC6-9E4CEC2A9540}"/>
    <cellStyle name="Comma 3 2 2 2 4 5 4" xfId="8703" xr:uid="{0654DA01-8D05-4C53-958B-C710832534CF}"/>
    <cellStyle name="Comma 3 2 2 2 4 5 4 2" xfId="45211" xr:uid="{E4A20828-BF04-4DE4-8834-056289EE743E}"/>
    <cellStyle name="Comma 3 2 2 2 4 5 4 3" xfId="26957" xr:uid="{5365A36C-8088-49D9-8D7C-595C327DD4AD}"/>
    <cellStyle name="Comma 3 2 2 2 4 5 5" xfId="5053" xr:uid="{104032B7-F9DE-4F6F-9F95-79ED7CF9CCE1}"/>
    <cellStyle name="Comma 3 2 2 2 4 5 5 2" xfId="41561" xr:uid="{DA464AFE-4FEE-4BD8-AA10-83F36C8D4DF4}"/>
    <cellStyle name="Comma 3 2 2 2 4 5 5 3" xfId="23307" xr:uid="{263FB4AC-B47A-41AA-BA26-F1B9D914FF1A}"/>
    <cellStyle name="Comma 3 2 2 2 4 5 6" xfId="37911" xr:uid="{F32AF811-F15A-49CC-A104-536379782929}"/>
    <cellStyle name="Comma 3 2 2 2 4 5 7" xfId="19657" xr:uid="{1A8AB701-3418-4BBC-8541-5C26F697289A}"/>
    <cellStyle name="Comma 3 2 2 2 4 6" xfId="15273" xr:uid="{6BD914C8-913C-441A-9B9C-BC6A506D97CD}"/>
    <cellStyle name="Comma 3 2 2 2 4 6 2" xfId="51781" xr:uid="{18564EE4-6F5F-4A3A-95CD-E4FA2E5B914F}"/>
    <cellStyle name="Comma 3 2 2 2 4 6 3" xfId="33527" xr:uid="{546A6BCD-2C18-415A-ACAA-131E30037909}"/>
    <cellStyle name="Comma 3 2 2 2 4 7" xfId="11623" xr:uid="{F51D5EF1-DAEE-426D-981D-3F8D2552E303}"/>
    <cellStyle name="Comma 3 2 2 2 4 7 2" xfId="48131" xr:uid="{6EBDA2CA-B811-4EF7-ACA2-DA63AC240E2F}"/>
    <cellStyle name="Comma 3 2 2 2 4 7 3" xfId="29877" xr:uid="{7C82A1AC-F4B0-48EC-9583-A40EC1876B77}"/>
    <cellStyle name="Comma 3 2 2 2 4 8" xfId="7973" xr:uid="{2AB5FFCF-0D2B-48A8-B80F-AA6CA91085A4}"/>
    <cellStyle name="Comma 3 2 2 2 4 8 2" xfId="44481" xr:uid="{DFEDFA96-EF18-4ED4-AFE0-B6ED6E236479}"/>
    <cellStyle name="Comma 3 2 2 2 4 8 3" xfId="26227" xr:uid="{A454DC8D-E6FF-44E5-9D1A-D5ABEE9D1FDF}"/>
    <cellStyle name="Comma 3 2 2 2 4 9" xfId="4323" xr:uid="{6CC5FAFB-4C3D-4907-BDA0-784FB26DC336}"/>
    <cellStyle name="Comma 3 2 2 2 4 9 2" xfId="40831" xr:uid="{0759CC44-141A-45AC-828A-3B85593F3719}"/>
    <cellStyle name="Comma 3 2 2 2 4 9 3" xfId="22577" xr:uid="{87838044-05D6-43B5-8961-22E7D2593E73}"/>
    <cellStyle name="Comma 3 2 2 2 5" xfId="569" xr:uid="{6F551D89-A9B8-4A83-90AB-B0BBEA4484DE}"/>
    <cellStyle name="Comma 3 2 2 2 5 10" xfId="37077" xr:uid="{A979A24F-6C19-4744-B96E-717CA7B522BA}"/>
    <cellStyle name="Comma 3 2 2 2 5 11" xfId="18823" xr:uid="{93BB2AA2-DD5B-464D-BB06-BA77AAFAF7B3}"/>
    <cellStyle name="Comma 3 2 2 2 5 2" xfId="3489" xr:uid="{2D8DCD2D-E408-4954-81B9-F048727EC6A4}"/>
    <cellStyle name="Comma 3 2 2 2 5 2 2" xfId="18089" xr:uid="{73736426-49D4-491D-97EB-157CC8C5A1BD}"/>
    <cellStyle name="Comma 3 2 2 2 5 2 2 2" xfId="54597" xr:uid="{56C7D5B9-B6AF-4D75-8BDF-EFB432EEBC8F}"/>
    <cellStyle name="Comma 3 2 2 2 5 2 2 3" xfId="36343" xr:uid="{CD5DC7AF-4E54-42E0-B33A-B6E843333BB6}"/>
    <cellStyle name="Comma 3 2 2 2 5 2 3" xfId="14439" xr:uid="{778BCFEF-274B-4EEC-A28C-1691295F3D02}"/>
    <cellStyle name="Comma 3 2 2 2 5 2 3 2" xfId="50947" xr:uid="{25602406-7A04-4F96-9566-64DC4472625F}"/>
    <cellStyle name="Comma 3 2 2 2 5 2 3 3" xfId="32693" xr:uid="{F416F541-C6EA-472E-A16E-418573512B5B}"/>
    <cellStyle name="Comma 3 2 2 2 5 2 4" xfId="10789" xr:uid="{9A36E213-A86B-4BB0-AEF4-FEC84FB0B6B5}"/>
    <cellStyle name="Comma 3 2 2 2 5 2 4 2" xfId="47297" xr:uid="{49D8D651-944F-4357-B56A-60B0089EC53F}"/>
    <cellStyle name="Comma 3 2 2 2 5 2 4 3" xfId="29043" xr:uid="{CA9FC303-2034-420F-AE1C-F82D856554EC}"/>
    <cellStyle name="Comma 3 2 2 2 5 2 5" xfId="7139" xr:uid="{E530A78F-8069-4DB8-8147-A23B4ED26BE7}"/>
    <cellStyle name="Comma 3 2 2 2 5 2 5 2" xfId="43647" xr:uid="{E04558C5-1369-4613-AA76-8912B59F19A9}"/>
    <cellStyle name="Comma 3 2 2 2 5 2 5 3" xfId="25393" xr:uid="{FA4764B4-5725-41E0-88C3-E856C8D18B8C}"/>
    <cellStyle name="Comma 3 2 2 2 5 2 6" xfId="39997" xr:uid="{94183F42-E2DB-4F38-AB4B-8AB69688D8C0}"/>
    <cellStyle name="Comma 3 2 2 2 5 2 7" xfId="21743" xr:uid="{DCC201F1-0BC5-4426-A806-FD2A913105D3}"/>
    <cellStyle name="Comma 3 2 2 2 5 3" xfId="2759" xr:uid="{29DE40DB-8967-4961-ADF0-8B4754EA35BE}"/>
    <cellStyle name="Comma 3 2 2 2 5 3 2" xfId="17359" xr:uid="{E56B1CCF-CA8D-4C99-89EE-0C08636B5FE8}"/>
    <cellStyle name="Comma 3 2 2 2 5 3 2 2" xfId="53867" xr:uid="{032D149E-FA8E-4974-AC58-FDFCB81F67AC}"/>
    <cellStyle name="Comma 3 2 2 2 5 3 2 3" xfId="35613" xr:uid="{327F0D81-5580-4089-AFC6-C822BBAB19D5}"/>
    <cellStyle name="Comma 3 2 2 2 5 3 3" xfId="13709" xr:uid="{339CF623-E6D4-4658-AE7A-6052BF27B308}"/>
    <cellStyle name="Comma 3 2 2 2 5 3 3 2" xfId="50217" xr:uid="{E0F085FD-CDA9-46B2-A926-F4661C2FF742}"/>
    <cellStyle name="Comma 3 2 2 2 5 3 3 3" xfId="31963" xr:uid="{0E45C50B-1726-4702-9C39-5F054C8283D7}"/>
    <cellStyle name="Comma 3 2 2 2 5 3 4" xfId="10059" xr:uid="{422F7FAA-B697-4D03-8F90-EF6BE4D6BBC3}"/>
    <cellStyle name="Comma 3 2 2 2 5 3 4 2" xfId="46567" xr:uid="{C71BDEAB-88BE-4EF7-965D-2F4FD6C55884}"/>
    <cellStyle name="Comma 3 2 2 2 5 3 4 3" xfId="28313" xr:uid="{C59A2CEB-E340-43C5-B851-9AAD00DECD16}"/>
    <cellStyle name="Comma 3 2 2 2 5 3 5" xfId="6409" xr:uid="{28F9C07E-C466-4351-A6AD-EF9F04216C2D}"/>
    <cellStyle name="Comma 3 2 2 2 5 3 5 2" xfId="42917" xr:uid="{79DA1502-A28B-4E80-9650-C3CA4B568889}"/>
    <cellStyle name="Comma 3 2 2 2 5 3 5 3" xfId="24663" xr:uid="{D9FDB622-105C-418B-9F7C-7F73516CB6DA}"/>
    <cellStyle name="Comma 3 2 2 2 5 3 6" xfId="39267" xr:uid="{C47D2780-FD34-4C4A-BB36-CAFA7D7A67E4}"/>
    <cellStyle name="Comma 3 2 2 2 5 3 7" xfId="21013" xr:uid="{5741E95F-34EE-4C3C-ACC3-8F3BC19A37A3}"/>
    <cellStyle name="Comma 3 2 2 2 5 4" xfId="2029" xr:uid="{BC00E5A3-EC5A-4A7C-AEAB-34999E0F041B}"/>
    <cellStyle name="Comma 3 2 2 2 5 4 2" xfId="16629" xr:uid="{4EC342A5-C2E3-4F7D-985F-7637C98E2EE9}"/>
    <cellStyle name="Comma 3 2 2 2 5 4 2 2" xfId="53137" xr:uid="{80BCB022-BFE2-4D32-886B-DFCF0C9A0453}"/>
    <cellStyle name="Comma 3 2 2 2 5 4 2 3" xfId="34883" xr:uid="{FEA1FB62-1EC3-4DFB-A31A-6D97A2F5161D}"/>
    <cellStyle name="Comma 3 2 2 2 5 4 3" xfId="12979" xr:uid="{0D020F4C-52F4-4485-A1C0-E6B5A9D10E95}"/>
    <cellStyle name="Comma 3 2 2 2 5 4 3 2" xfId="49487" xr:uid="{3AACCDA8-70BF-4D05-98C3-4D7C4FF5357F}"/>
    <cellStyle name="Comma 3 2 2 2 5 4 3 3" xfId="31233" xr:uid="{6FBD44C7-6D2F-4D7D-8C24-A6D6A523D145}"/>
    <cellStyle name="Comma 3 2 2 2 5 4 4" xfId="9329" xr:uid="{5009C16C-C428-436C-987E-9F64C9A56A56}"/>
    <cellStyle name="Comma 3 2 2 2 5 4 4 2" xfId="45837" xr:uid="{4F610F93-D899-4CF1-BAB1-9D78080BFF82}"/>
    <cellStyle name="Comma 3 2 2 2 5 4 4 3" xfId="27583" xr:uid="{A1720039-29B8-4743-A157-DDF97A2874E4}"/>
    <cellStyle name="Comma 3 2 2 2 5 4 5" xfId="5679" xr:uid="{0755C7A2-4A53-4E48-9696-44DE4A042A34}"/>
    <cellStyle name="Comma 3 2 2 2 5 4 5 2" xfId="42187" xr:uid="{BCC81B8D-76A5-4170-B82B-DE87B477B725}"/>
    <cellStyle name="Comma 3 2 2 2 5 4 5 3" xfId="23933" xr:uid="{EC05DADD-AAB6-496D-B5AF-E4694A128D41}"/>
    <cellStyle name="Comma 3 2 2 2 5 4 6" xfId="38537" xr:uid="{F96F46AD-E402-49BA-BE5D-212ED4FB8CF4}"/>
    <cellStyle name="Comma 3 2 2 2 5 4 7" xfId="20283" xr:uid="{D2A5C02E-7E56-407C-98FF-B5CEDDC69EEC}"/>
    <cellStyle name="Comma 3 2 2 2 5 5" xfId="1299" xr:uid="{4F9297C0-1589-4D60-8533-4BE9B7420239}"/>
    <cellStyle name="Comma 3 2 2 2 5 5 2" xfId="15899" xr:uid="{6E01FBD2-937B-4ABA-85D4-3525E9590969}"/>
    <cellStyle name="Comma 3 2 2 2 5 5 2 2" xfId="52407" xr:uid="{42322315-46E9-41D8-ACE8-F3562B5C66F5}"/>
    <cellStyle name="Comma 3 2 2 2 5 5 2 3" xfId="34153" xr:uid="{DF17F7FA-C786-47BA-8C80-682884F76DB3}"/>
    <cellStyle name="Comma 3 2 2 2 5 5 3" xfId="12249" xr:uid="{B856ABF7-CCC0-4C93-9F75-CC67EA9874DB}"/>
    <cellStyle name="Comma 3 2 2 2 5 5 3 2" xfId="48757" xr:uid="{3BE5257C-7D2C-4FEE-B201-8AB5053B9FA4}"/>
    <cellStyle name="Comma 3 2 2 2 5 5 3 3" xfId="30503" xr:uid="{983DB0AE-8740-48AD-9D10-8D7A95B63C88}"/>
    <cellStyle name="Comma 3 2 2 2 5 5 4" xfId="8599" xr:uid="{63E3C420-A26B-4EC0-82E5-3DBD0B528C55}"/>
    <cellStyle name="Comma 3 2 2 2 5 5 4 2" xfId="45107" xr:uid="{3C066CA5-57F4-4EBD-8E0F-CAEE938BD0CF}"/>
    <cellStyle name="Comma 3 2 2 2 5 5 4 3" xfId="26853" xr:uid="{6ECD0DE7-E89D-439B-93B8-24E5BF4F1B5A}"/>
    <cellStyle name="Comma 3 2 2 2 5 5 5" xfId="4949" xr:uid="{D6E0F3A3-C904-4430-88F8-982F54206ED7}"/>
    <cellStyle name="Comma 3 2 2 2 5 5 5 2" xfId="41457" xr:uid="{BCB310C2-94E2-4F3D-B598-67267D8F000E}"/>
    <cellStyle name="Comma 3 2 2 2 5 5 5 3" xfId="23203" xr:uid="{46983C3C-C3E4-481C-8E5F-B212AC4170D0}"/>
    <cellStyle name="Comma 3 2 2 2 5 5 6" xfId="37807" xr:uid="{78ED44BE-DD20-4F58-8EF3-8C18C70A23DE}"/>
    <cellStyle name="Comma 3 2 2 2 5 5 7" xfId="19553" xr:uid="{A6EDFB60-3F23-489A-89BE-7E5F99E7C138}"/>
    <cellStyle name="Comma 3 2 2 2 5 6" xfId="15169" xr:uid="{98B76094-DE00-4265-9708-C9868E7C6CE0}"/>
    <cellStyle name="Comma 3 2 2 2 5 6 2" xfId="51677" xr:uid="{A5B255CC-92EF-4C82-9745-1595D7EAFE35}"/>
    <cellStyle name="Comma 3 2 2 2 5 6 3" xfId="33423" xr:uid="{C47421D8-34CD-40F8-9493-5D6CE54B8113}"/>
    <cellStyle name="Comma 3 2 2 2 5 7" xfId="11519" xr:uid="{441A261E-C84A-4154-93FA-E76C94BFE97F}"/>
    <cellStyle name="Comma 3 2 2 2 5 7 2" xfId="48027" xr:uid="{6BEBF35A-33EC-4DA6-87CA-8703670C3D31}"/>
    <cellStyle name="Comma 3 2 2 2 5 7 3" xfId="29773" xr:uid="{DF9444E9-33EE-4A4B-88DF-2C70A42FD6DD}"/>
    <cellStyle name="Comma 3 2 2 2 5 8" xfId="7869" xr:uid="{5092C9F8-F5CA-4F77-ACAA-070054EC7A98}"/>
    <cellStyle name="Comma 3 2 2 2 5 8 2" xfId="44377" xr:uid="{C3F88AF8-5C35-4969-8EB7-946F5A79DEB3}"/>
    <cellStyle name="Comma 3 2 2 2 5 8 3" xfId="26123" xr:uid="{F72DC898-8BF4-4D0E-BCF9-A4E2E54DBFB2}"/>
    <cellStyle name="Comma 3 2 2 2 5 9" xfId="4219" xr:uid="{449658CA-D586-46B6-8822-42E7F29342B9}"/>
    <cellStyle name="Comma 3 2 2 2 5 9 2" xfId="40727" xr:uid="{2FDECF40-AB99-4474-8526-82953763ADD3}"/>
    <cellStyle name="Comma 3 2 2 2 5 9 3" xfId="22473" xr:uid="{2FA1BFED-495B-40DA-ABB2-60DCEE6C8494}"/>
    <cellStyle name="Comma 3 2 2 2 6" xfId="465" xr:uid="{BCD4DD68-3BDA-41A9-A394-AF62FDCC9C86}"/>
    <cellStyle name="Comma 3 2 2 2 6 10" xfId="36973" xr:uid="{BE0D87F9-52A5-46AA-955C-662A784AF594}"/>
    <cellStyle name="Comma 3 2 2 2 6 11" xfId="18719" xr:uid="{7F0A87F2-42B2-4B7A-AC7A-CEDF058912BC}"/>
    <cellStyle name="Comma 3 2 2 2 6 2" xfId="3385" xr:uid="{3FCB57AD-ACA2-45EB-A46B-A034597B1C7D}"/>
    <cellStyle name="Comma 3 2 2 2 6 2 2" xfId="17985" xr:uid="{F21710F2-22B4-41D8-ACD0-736A7898FC40}"/>
    <cellStyle name="Comma 3 2 2 2 6 2 2 2" xfId="54493" xr:uid="{8F4BCC5B-2F86-4041-AC89-640C73890C57}"/>
    <cellStyle name="Comma 3 2 2 2 6 2 2 3" xfId="36239" xr:uid="{DF45ECEB-E00F-44DE-85BD-153A81F01AD6}"/>
    <cellStyle name="Comma 3 2 2 2 6 2 3" xfId="14335" xr:uid="{C301EB64-1FCF-4D50-B7BA-8BAF251089C6}"/>
    <cellStyle name="Comma 3 2 2 2 6 2 3 2" xfId="50843" xr:uid="{C3E8D32C-A4D1-43F6-B393-F517B8E7EBB2}"/>
    <cellStyle name="Comma 3 2 2 2 6 2 3 3" xfId="32589" xr:uid="{8764C77F-71D7-45CF-8393-3AC2BCB1D3A7}"/>
    <cellStyle name="Comma 3 2 2 2 6 2 4" xfId="10685" xr:uid="{E09B6FFE-08C2-4376-A61E-0E103F38F72D}"/>
    <cellStyle name="Comma 3 2 2 2 6 2 4 2" xfId="47193" xr:uid="{1BCAF23D-8ACC-4814-8656-E98C978E50EF}"/>
    <cellStyle name="Comma 3 2 2 2 6 2 4 3" xfId="28939" xr:uid="{7868CACB-0C63-4655-B39D-86F8BED219BD}"/>
    <cellStyle name="Comma 3 2 2 2 6 2 5" xfId="7035" xr:uid="{C652F424-0971-4B85-8FD6-822A78D0BBDD}"/>
    <cellStyle name="Comma 3 2 2 2 6 2 5 2" xfId="43543" xr:uid="{CE211712-1F0A-4030-8807-F26799123C0A}"/>
    <cellStyle name="Comma 3 2 2 2 6 2 5 3" xfId="25289" xr:uid="{0E75ABC5-2CF6-401B-9595-37BFC241AADA}"/>
    <cellStyle name="Comma 3 2 2 2 6 2 6" xfId="39893" xr:uid="{70281AEE-C466-4BC4-88A6-BC24E76C6B6F}"/>
    <cellStyle name="Comma 3 2 2 2 6 2 7" xfId="21639" xr:uid="{881C767C-1A12-4011-8911-E6DE13600A2C}"/>
    <cellStyle name="Comma 3 2 2 2 6 3" xfId="2655" xr:uid="{F4BB56A4-588B-4117-A53D-0454BC7FCF26}"/>
    <cellStyle name="Comma 3 2 2 2 6 3 2" xfId="17255" xr:uid="{87C1E4D5-2FD7-4696-B0C0-8D2303A058B8}"/>
    <cellStyle name="Comma 3 2 2 2 6 3 2 2" xfId="53763" xr:uid="{76C8738C-0F2A-4235-940C-6581F8B30DA4}"/>
    <cellStyle name="Comma 3 2 2 2 6 3 2 3" xfId="35509" xr:uid="{00D2860A-3AE8-4E0A-AA5D-671059979EBB}"/>
    <cellStyle name="Comma 3 2 2 2 6 3 3" xfId="13605" xr:uid="{63A86EB8-9E49-48A0-BBC5-2941C67D4DDC}"/>
    <cellStyle name="Comma 3 2 2 2 6 3 3 2" xfId="50113" xr:uid="{3C3231FD-FE20-4FA6-80BC-FD8523ADC138}"/>
    <cellStyle name="Comma 3 2 2 2 6 3 3 3" xfId="31859" xr:uid="{0E9B93AD-C17B-41D6-8F3B-DDBC58B94E88}"/>
    <cellStyle name="Comma 3 2 2 2 6 3 4" xfId="9955" xr:uid="{AF7318B1-2385-4023-B68F-A015D544C3E9}"/>
    <cellStyle name="Comma 3 2 2 2 6 3 4 2" xfId="46463" xr:uid="{453ED25C-9BFB-43D6-9642-C7BF9643B3BF}"/>
    <cellStyle name="Comma 3 2 2 2 6 3 4 3" xfId="28209" xr:uid="{ED4956DF-07E6-499E-820B-9DC0999E6194}"/>
    <cellStyle name="Comma 3 2 2 2 6 3 5" xfId="6305" xr:uid="{67CFD1F4-3ABF-4AB5-BA84-3F8B1C421B01}"/>
    <cellStyle name="Comma 3 2 2 2 6 3 5 2" xfId="42813" xr:uid="{A830FEAA-3833-4EEE-AF83-80F0F580C62F}"/>
    <cellStyle name="Comma 3 2 2 2 6 3 5 3" xfId="24559" xr:uid="{BA3999FA-CA35-4846-980C-61711F1D718A}"/>
    <cellStyle name="Comma 3 2 2 2 6 3 6" xfId="39163" xr:uid="{8EBF4B7E-C28F-46FC-9923-C054D7B1F294}"/>
    <cellStyle name="Comma 3 2 2 2 6 3 7" xfId="20909" xr:uid="{429A7701-1108-4818-9436-67945985CA68}"/>
    <cellStyle name="Comma 3 2 2 2 6 4" xfId="1925" xr:uid="{08FC6503-FAD8-4E2D-90B9-975DC109B2B1}"/>
    <cellStyle name="Comma 3 2 2 2 6 4 2" xfId="16525" xr:uid="{5EE6B6A8-CA87-44E6-85EF-5B33D0991976}"/>
    <cellStyle name="Comma 3 2 2 2 6 4 2 2" xfId="53033" xr:uid="{01AA9E63-AEB0-4943-9DAF-CE584475BE26}"/>
    <cellStyle name="Comma 3 2 2 2 6 4 2 3" xfId="34779" xr:uid="{1A7D3B7B-E563-4704-A9B5-76CDEECE754A}"/>
    <cellStyle name="Comma 3 2 2 2 6 4 3" xfId="12875" xr:uid="{6D75FA7E-7EE4-42FD-BAF4-77503ABE9CE2}"/>
    <cellStyle name="Comma 3 2 2 2 6 4 3 2" xfId="49383" xr:uid="{8DCD6E79-F0DC-46C5-85A7-E9809896368E}"/>
    <cellStyle name="Comma 3 2 2 2 6 4 3 3" xfId="31129" xr:uid="{C2EF6B04-E6F6-42BC-B6B5-C6C055A5FD7C}"/>
    <cellStyle name="Comma 3 2 2 2 6 4 4" xfId="9225" xr:uid="{5BC6BFEF-0E85-4AE5-9410-021E20A60A17}"/>
    <cellStyle name="Comma 3 2 2 2 6 4 4 2" xfId="45733" xr:uid="{8419CC73-3DFB-45FD-ABE8-A13AA5A86FBF}"/>
    <cellStyle name="Comma 3 2 2 2 6 4 4 3" xfId="27479" xr:uid="{C6C7E320-AC73-42A4-B4EA-D0283957D2ED}"/>
    <cellStyle name="Comma 3 2 2 2 6 4 5" xfId="5575" xr:uid="{910C9FB1-097D-45E5-8BD6-8A39ECBF7BCC}"/>
    <cellStyle name="Comma 3 2 2 2 6 4 5 2" xfId="42083" xr:uid="{CA51C881-BAA2-4512-932C-66D9BF90960A}"/>
    <cellStyle name="Comma 3 2 2 2 6 4 5 3" xfId="23829" xr:uid="{134E6F71-E6DC-4772-A1E3-765FC3C49FD6}"/>
    <cellStyle name="Comma 3 2 2 2 6 4 6" xfId="38433" xr:uid="{647C47E3-CC3A-4639-8390-8457F301597A}"/>
    <cellStyle name="Comma 3 2 2 2 6 4 7" xfId="20179" xr:uid="{B66BEE0A-B013-47F5-8C98-87B0662E684E}"/>
    <cellStyle name="Comma 3 2 2 2 6 5" xfId="1195" xr:uid="{C37BFA8B-96BA-4116-B6DB-A87B76792449}"/>
    <cellStyle name="Comma 3 2 2 2 6 5 2" xfId="15795" xr:uid="{F3D2CD9B-F685-4A72-A493-8A3B3C792FEF}"/>
    <cellStyle name="Comma 3 2 2 2 6 5 2 2" xfId="52303" xr:uid="{01AB5C99-26A3-4902-A2F3-74520055195F}"/>
    <cellStyle name="Comma 3 2 2 2 6 5 2 3" xfId="34049" xr:uid="{D4457795-6186-4DF6-9AED-658532B136C8}"/>
    <cellStyle name="Comma 3 2 2 2 6 5 3" xfId="12145" xr:uid="{95A6A354-5CD0-4C90-8673-14EAB380DFDE}"/>
    <cellStyle name="Comma 3 2 2 2 6 5 3 2" xfId="48653" xr:uid="{D4818D11-F80B-4C17-9C44-49904724ECA3}"/>
    <cellStyle name="Comma 3 2 2 2 6 5 3 3" xfId="30399" xr:uid="{9C79BF22-4028-40EA-BDAA-2B00BEC6B2F8}"/>
    <cellStyle name="Comma 3 2 2 2 6 5 4" xfId="8495" xr:uid="{D1F94FB6-7838-4197-87A9-C4B7925D1470}"/>
    <cellStyle name="Comma 3 2 2 2 6 5 4 2" xfId="45003" xr:uid="{7AD42B7F-0BDC-44EE-8C94-895674D03E48}"/>
    <cellStyle name="Comma 3 2 2 2 6 5 4 3" xfId="26749" xr:uid="{7995CA2F-1451-47DC-AFF1-A5B6BCA0B3C0}"/>
    <cellStyle name="Comma 3 2 2 2 6 5 5" xfId="4845" xr:uid="{B0518A50-52B6-4C09-951C-F33FD4122ADF}"/>
    <cellStyle name="Comma 3 2 2 2 6 5 5 2" xfId="41353" xr:uid="{52268D77-32FE-444D-BBDF-D511AB7D0E77}"/>
    <cellStyle name="Comma 3 2 2 2 6 5 5 3" xfId="23099" xr:uid="{F9B66F1C-FABB-40C8-A7FA-4A7F00741FC4}"/>
    <cellStyle name="Comma 3 2 2 2 6 5 6" xfId="37703" xr:uid="{6E57C169-D388-42D6-83FF-71242F8CE40D}"/>
    <cellStyle name="Comma 3 2 2 2 6 5 7" xfId="19449" xr:uid="{F1419CB5-8D07-44BB-A3AD-0541BBA9A7A2}"/>
    <cellStyle name="Comma 3 2 2 2 6 6" xfId="15065" xr:uid="{D1425E09-79E6-4CA9-B431-763472472075}"/>
    <cellStyle name="Comma 3 2 2 2 6 6 2" xfId="51573" xr:uid="{D54850B1-FD00-41E1-ACB9-1619133AA322}"/>
    <cellStyle name="Comma 3 2 2 2 6 6 3" xfId="33319" xr:uid="{8C12A182-F262-48EA-81D7-C3134D1D7F0D}"/>
    <cellStyle name="Comma 3 2 2 2 6 7" xfId="11415" xr:uid="{D18B8D80-DD38-43ED-A486-D948FD16EB74}"/>
    <cellStyle name="Comma 3 2 2 2 6 7 2" xfId="47923" xr:uid="{4A0812AA-DAD3-4B39-9F93-C35CB6C285D8}"/>
    <cellStyle name="Comma 3 2 2 2 6 7 3" xfId="29669" xr:uid="{1C83E07F-866B-4981-80B9-43DC4A80EFD8}"/>
    <cellStyle name="Comma 3 2 2 2 6 8" xfId="7765" xr:uid="{D36CE1BF-E6ED-4DD9-AC7F-C370130545EC}"/>
    <cellStyle name="Comma 3 2 2 2 6 8 2" xfId="44273" xr:uid="{3BDC6FE9-0591-40AC-97CC-E1BADB45BE4D}"/>
    <cellStyle name="Comma 3 2 2 2 6 8 3" xfId="26019" xr:uid="{67AFB0C3-DBB9-404E-9172-FA0914508281}"/>
    <cellStyle name="Comma 3 2 2 2 6 9" xfId="4115" xr:uid="{72F8329D-3A9E-4F68-A69C-47379B681E82}"/>
    <cellStyle name="Comma 3 2 2 2 6 9 2" xfId="40623" xr:uid="{AC14C7F5-B1EC-4C42-AB13-E9DED55EC352}"/>
    <cellStyle name="Comma 3 2 2 2 6 9 3" xfId="22369" xr:uid="{9690C3D2-8843-4B69-B31C-F8D1A55C3FED}"/>
    <cellStyle name="Comma 3 2 2 2 7" xfId="361" xr:uid="{179E5E77-6639-4E6F-AEB8-8A1E5FEB698D}"/>
    <cellStyle name="Comma 3 2 2 2 7 10" xfId="36869" xr:uid="{093BD150-CA5A-4B27-AD7C-67E6CE138B0E}"/>
    <cellStyle name="Comma 3 2 2 2 7 11" xfId="18615" xr:uid="{4A53E640-F29B-442D-899F-2D3D7FE4E259}"/>
    <cellStyle name="Comma 3 2 2 2 7 2" xfId="3281" xr:uid="{02A56EC6-3457-42CC-8658-4A2282F85A4A}"/>
    <cellStyle name="Comma 3 2 2 2 7 2 2" xfId="17881" xr:uid="{F6942129-38DA-4426-9905-0FACB0F4AF77}"/>
    <cellStyle name="Comma 3 2 2 2 7 2 2 2" xfId="54389" xr:uid="{979B11D9-8653-477B-AC7E-44E9C1D93D34}"/>
    <cellStyle name="Comma 3 2 2 2 7 2 2 3" xfId="36135" xr:uid="{ED1D7D1A-9177-4928-93F0-F62E30F45DD6}"/>
    <cellStyle name="Comma 3 2 2 2 7 2 3" xfId="14231" xr:uid="{ED3BAC99-67AD-4476-9F9F-7C7F77D27E26}"/>
    <cellStyle name="Comma 3 2 2 2 7 2 3 2" xfId="50739" xr:uid="{F4125972-F451-4853-B30E-714D028D2667}"/>
    <cellStyle name="Comma 3 2 2 2 7 2 3 3" xfId="32485" xr:uid="{1EC96484-D116-4A8D-AF38-45909041470D}"/>
    <cellStyle name="Comma 3 2 2 2 7 2 4" xfId="10581" xr:uid="{5076C536-5477-4BA0-AA2F-59A4A7A2C4B6}"/>
    <cellStyle name="Comma 3 2 2 2 7 2 4 2" xfId="47089" xr:uid="{234BC798-4FA2-42E1-8DE5-A62B40A43933}"/>
    <cellStyle name="Comma 3 2 2 2 7 2 4 3" xfId="28835" xr:uid="{09F7FB0E-C8BD-43EE-AD7C-954514DCA32E}"/>
    <cellStyle name="Comma 3 2 2 2 7 2 5" xfId="6931" xr:uid="{9B6D1B46-93C4-403A-8281-ECC4A240DCA0}"/>
    <cellStyle name="Comma 3 2 2 2 7 2 5 2" xfId="43439" xr:uid="{10CAFB87-31C4-4ECD-A878-ADE85B0E84BB}"/>
    <cellStyle name="Comma 3 2 2 2 7 2 5 3" xfId="25185" xr:uid="{B1C75BA4-CE07-4809-B93D-2C11152C31F5}"/>
    <cellStyle name="Comma 3 2 2 2 7 2 6" xfId="39789" xr:uid="{8B972B76-AB8E-4A64-A5A5-032C3406C24C}"/>
    <cellStyle name="Comma 3 2 2 2 7 2 7" xfId="21535" xr:uid="{E38606E8-F7F3-4B33-81A9-0B323B3E015F}"/>
    <cellStyle name="Comma 3 2 2 2 7 3" xfId="2551" xr:uid="{4270FD4B-5BF5-428E-937B-57B58B6FEC99}"/>
    <cellStyle name="Comma 3 2 2 2 7 3 2" xfId="17151" xr:uid="{1E28FD86-28AE-4BD9-8EFF-EB59687085AD}"/>
    <cellStyle name="Comma 3 2 2 2 7 3 2 2" xfId="53659" xr:uid="{23E45785-E4E5-4125-A228-84C68D039D48}"/>
    <cellStyle name="Comma 3 2 2 2 7 3 2 3" xfId="35405" xr:uid="{6B342251-6862-4FE6-8775-32D246A1AE96}"/>
    <cellStyle name="Comma 3 2 2 2 7 3 3" xfId="13501" xr:uid="{A63B2BA4-DA6A-4E12-A2BB-46ECC9F79FA8}"/>
    <cellStyle name="Comma 3 2 2 2 7 3 3 2" xfId="50009" xr:uid="{D67BE570-C547-432B-8427-F4A98B29B6D6}"/>
    <cellStyle name="Comma 3 2 2 2 7 3 3 3" xfId="31755" xr:uid="{E77D95F6-B5EB-4B90-AD6E-7C9239F2938F}"/>
    <cellStyle name="Comma 3 2 2 2 7 3 4" xfId="9851" xr:uid="{5CCC1BE0-A861-4E76-A87B-82ED595570AA}"/>
    <cellStyle name="Comma 3 2 2 2 7 3 4 2" xfId="46359" xr:uid="{ACB9882D-8B42-4C54-A31B-BEF48F2ACD3B}"/>
    <cellStyle name="Comma 3 2 2 2 7 3 4 3" xfId="28105" xr:uid="{26E4B7A6-6C3D-4FC6-AFD2-F4BF1CC8C735}"/>
    <cellStyle name="Comma 3 2 2 2 7 3 5" xfId="6201" xr:uid="{14FAB51A-E770-4286-8D5B-C06617121A54}"/>
    <cellStyle name="Comma 3 2 2 2 7 3 5 2" xfId="42709" xr:uid="{40327823-20B8-4AED-9C95-23C0FCFA8E6B}"/>
    <cellStyle name="Comma 3 2 2 2 7 3 5 3" xfId="24455" xr:uid="{91CC9C95-88F6-4E5D-920B-D7B20A467602}"/>
    <cellStyle name="Comma 3 2 2 2 7 3 6" xfId="39059" xr:uid="{8210E7EF-122E-4467-8833-6B88F7D873C2}"/>
    <cellStyle name="Comma 3 2 2 2 7 3 7" xfId="20805" xr:uid="{EA1761B9-2F84-45F2-9D64-EE78279A5F0A}"/>
    <cellStyle name="Comma 3 2 2 2 7 4" xfId="1821" xr:uid="{CCF9EEFE-084B-4330-AD0A-6C0F53B5CD3B}"/>
    <cellStyle name="Comma 3 2 2 2 7 4 2" xfId="16421" xr:uid="{8BFB85CC-6F40-4F79-BD93-EB6B7E408320}"/>
    <cellStyle name="Comma 3 2 2 2 7 4 2 2" xfId="52929" xr:uid="{3FFADCFC-24F7-421A-9BC1-9A22097EB5E1}"/>
    <cellStyle name="Comma 3 2 2 2 7 4 2 3" xfId="34675" xr:uid="{036DEFE4-F045-4ACA-B171-E7BD46275831}"/>
    <cellStyle name="Comma 3 2 2 2 7 4 3" xfId="12771" xr:uid="{6DAFDA46-66CE-459B-9476-C7123975FC01}"/>
    <cellStyle name="Comma 3 2 2 2 7 4 3 2" xfId="49279" xr:uid="{A23A933F-C5A7-4CB7-948B-3B05351AC447}"/>
    <cellStyle name="Comma 3 2 2 2 7 4 3 3" xfId="31025" xr:uid="{C3EC9551-A5EF-43D9-8873-CA69C1AD1E3A}"/>
    <cellStyle name="Comma 3 2 2 2 7 4 4" xfId="9121" xr:uid="{48C9D5CB-6562-4AB1-9835-BB781E293CC8}"/>
    <cellStyle name="Comma 3 2 2 2 7 4 4 2" xfId="45629" xr:uid="{892519AA-1C2B-4F53-A1E0-4A63E947F281}"/>
    <cellStyle name="Comma 3 2 2 2 7 4 4 3" xfId="27375" xr:uid="{454B5804-CCAD-4D7A-9829-E4EDE85E227E}"/>
    <cellStyle name="Comma 3 2 2 2 7 4 5" xfId="5471" xr:uid="{B6B69029-1276-4C57-B6F5-D5CA2F317743}"/>
    <cellStyle name="Comma 3 2 2 2 7 4 5 2" xfId="41979" xr:uid="{C5FCDC56-29D8-4B6F-8A2D-1B016630A444}"/>
    <cellStyle name="Comma 3 2 2 2 7 4 5 3" xfId="23725" xr:uid="{DB371151-EA60-4B35-B0E1-E6318A6CFB7E}"/>
    <cellStyle name="Comma 3 2 2 2 7 4 6" xfId="38329" xr:uid="{007B30ED-83E9-4BC3-A41D-4B520E1065D3}"/>
    <cellStyle name="Comma 3 2 2 2 7 4 7" xfId="20075" xr:uid="{FEFF1434-54DF-435A-9FF4-DAD8614B8DDA}"/>
    <cellStyle name="Comma 3 2 2 2 7 5" xfId="1091" xr:uid="{18AA7C6A-3D3C-4254-B931-F6706CE29D7B}"/>
    <cellStyle name="Comma 3 2 2 2 7 5 2" xfId="15691" xr:uid="{9EDB9CDA-E9F6-4E53-8A4C-809969FEAF2D}"/>
    <cellStyle name="Comma 3 2 2 2 7 5 2 2" xfId="52199" xr:uid="{7AA78ABC-CDC3-4C44-842D-806440A815FE}"/>
    <cellStyle name="Comma 3 2 2 2 7 5 2 3" xfId="33945" xr:uid="{E0D99EE3-D261-4573-8FA0-5EB0CC2A2271}"/>
    <cellStyle name="Comma 3 2 2 2 7 5 3" xfId="12041" xr:uid="{D87EA70C-534C-4E64-B108-DE16146E32A3}"/>
    <cellStyle name="Comma 3 2 2 2 7 5 3 2" xfId="48549" xr:uid="{9035D5AF-A932-47BE-B210-85C228BEACF3}"/>
    <cellStyle name="Comma 3 2 2 2 7 5 3 3" xfId="30295" xr:uid="{1DD6355A-191D-4F46-B703-26065188835D}"/>
    <cellStyle name="Comma 3 2 2 2 7 5 4" xfId="8391" xr:uid="{63609E2D-1532-44BB-A0FC-B931174B0069}"/>
    <cellStyle name="Comma 3 2 2 2 7 5 4 2" xfId="44899" xr:uid="{F2C76963-D7BD-492D-86C7-23D60B921E06}"/>
    <cellStyle name="Comma 3 2 2 2 7 5 4 3" xfId="26645" xr:uid="{4E150126-E96B-4595-ABCE-04EE4B2BE885}"/>
    <cellStyle name="Comma 3 2 2 2 7 5 5" xfId="4741" xr:uid="{C8BD5288-B001-497F-BA2A-ACA04A4FF36A}"/>
    <cellStyle name="Comma 3 2 2 2 7 5 5 2" xfId="41249" xr:uid="{B205F2DC-BD5D-4BA7-A408-081CBC5B6582}"/>
    <cellStyle name="Comma 3 2 2 2 7 5 5 3" xfId="22995" xr:uid="{BD46BEE9-BBF3-453C-9503-4AD60C7C32D6}"/>
    <cellStyle name="Comma 3 2 2 2 7 5 6" xfId="37599" xr:uid="{64BF4A3A-A7C6-4428-A9AF-70B7B592BCD3}"/>
    <cellStyle name="Comma 3 2 2 2 7 5 7" xfId="19345" xr:uid="{2C2E64E3-544B-415A-B5DB-A60C79B0DC09}"/>
    <cellStyle name="Comma 3 2 2 2 7 6" xfId="14961" xr:uid="{9874F617-5788-4F56-92C2-5AB34F8425CC}"/>
    <cellStyle name="Comma 3 2 2 2 7 6 2" xfId="51469" xr:uid="{4C3E9570-97FF-47CE-ABD6-79E02D97989F}"/>
    <cellStyle name="Comma 3 2 2 2 7 6 3" xfId="33215" xr:uid="{3F02690D-50F6-403B-AF3F-32F7BDB014E7}"/>
    <cellStyle name="Comma 3 2 2 2 7 7" xfId="11311" xr:uid="{6B4B7867-9532-4594-84E2-6BDFBFD78698}"/>
    <cellStyle name="Comma 3 2 2 2 7 7 2" xfId="47819" xr:uid="{6391FD54-C7A0-42D5-8F49-C4E688482B88}"/>
    <cellStyle name="Comma 3 2 2 2 7 7 3" xfId="29565" xr:uid="{272BBAF4-8100-4745-951F-26B8C7131DE4}"/>
    <cellStyle name="Comma 3 2 2 2 7 8" xfId="7661" xr:uid="{DE89C977-0CB3-4D34-B8D1-5E35CA26EED3}"/>
    <cellStyle name="Comma 3 2 2 2 7 8 2" xfId="44169" xr:uid="{EF0D905F-797B-47AC-9DEE-C0DECC33A5D4}"/>
    <cellStyle name="Comma 3 2 2 2 7 8 3" xfId="25915" xr:uid="{EEB0AEDE-7B01-442B-9BBF-A2891E3983A4}"/>
    <cellStyle name="Comma 3 2 2 2 7 9" xfId="4011" xr:uid="{6EB577FB-352C-46EF-8AB0-4FBD75123937}"/>
    <cellStyle name="Comma 3 2 2 2 7 9 2" xfId="40519" xr:uid="{B247C465-D14D-449B-B71C-79CCE9448F34}"/>
    <cellStyle name="Comma 3 2 2 2 7 9 3" xfId="22265" xr:uid="{474AB922-80DC-4187-8E18-50A3767157B6}"/>
    <cellStyle name="Comma 3 2 2 2 8" xfId="257" xr:uid="{91177116-20A7-4FC6-AEBF-04BCE7D4A26A}"/>
    <cellStyle name="Comma 3 2 2 2 8 10" xfId="36765" xr:uid="{28B3CF10-8B3F-43F5-9773-BAC1A2D3D556}"/>
    <cellStyle name="Comma 3 2 2 2 8 11" xfId="18511" xr:uid="{7FEAEA73-1B6C-47C3-82CC-DFB80E767366}"/>
    <cellStyle name="Comma 3 2 2 2 8 2" xfId="3177" xr:uid="{21431D3F-BA92-4FF6-BD98-4469AF64EA91}"/>
    <cellStyle name="Comma 3 2 2 2 8 2 2" xfId="17777" xr:uid="{C78184BE-08B6-4956-B015-64B5CA630A38}"/>
    <cellStyle name="Comma 3 2 2 2 8 2 2 2" xfId="54285" xr:uid="{3D526866-B679-4725-9CAD-E3755FEDCC4C}"/>
    <cellStyle name="Comma 3 2 2 2 8 2 2 3" xfId="36031" xr:uid="{4C59459B-0519-4390-93EF-1AD4CE3C0F0E}"/>
    <cellStyle name="Comma 3 2 2 2 8 2 3" xfId="14127" xr:uid="{14F3D371-4FF5-4CFD-93BE-9803476B5D49}"/>
    <cellStyle name="Comma 3 2 2 2 8 2 3 2" xfId="50635" xr:uid="{6DA1DB10-519F-4C5F-A688-C1304E8BB0F8}"/>
    <cellStyle name="Comma 3 2 2 2 8 2 3 3" xfId="32381" xr:uid="{06B4D266-C1D5-4CF2-BD8C-55D7010D1C2D}"/>
    <cellStyle name="Comma 3 2 2 2 8 2 4" xfId="10477" xr:uid="{06554C9F-D7B6-4C8A-9DAE-D48AF0708EBF}"/>
    <cellStyle name="Comma 3 2 2 2 8 2 4 2" xfId="46985" xr:uid="{FE1732B1-BA28-4F12-9D44-EC968CC07EB5}"/>
    <cellStyle name="Comma 3 2 2 2 8 2 4 3" xfId="28731" xr:uid="{51B7F466-15C7-44D0-9125-1F23E697347F}"/>
    <cellStyle name="Comma 3 2 2 2 8 2 5" xfId="6827" xr:uid="{2D3A33CA-46BE-4931-8EF6-A639A8E6C13A}"/>
    <cellStyle name="Comma 3 2 2 2 8 2 5 2" xfId="43335" xr:uid="{404A1210-D954-4074-8438-DB5C8DD6FDD6}"/>
    <cellStyle name="Comma 3 2 2 2 8 2 5 3" xfId="25081" xr:uid="{A1A204F0-2DAF-4F63-B530-1BF16832557D}"/>
    <cellStyle name="Comma 3 2 2 2 8 2 6" xfId="39685" xr:uid="{F031EA77-C712-4023-A2FE-9E864BF2987F}"/>
    <cellStyle name="Comma 3 2 2 2 8 2 7" xfId="21431" xr:uid="{91F8FF09-84C1-4460-A3DD-98B33EAA129D}"/>
    <cellStyle name="Comma 3 2 2 2 8 3" xfId="2447" xr:uid="{2B968798-63FE-4283-B501-2077B50BD508}"/>
    <cellStyle name="Comma 3 2 2 2 8 3 2" xfId="17047" xr:uid="{93E39CBE-9EC1-454B-B9B4-7523A35D6CA7}"/>
    <cellStyle name="Comma 3 2 2 2 8 3 2 2" xfId="53555" xr:uid="{91EA9271-8B49-4100-9353-8A2EB74A2ACF}"/>
    <cellStyle name="Comma 3 2 2 2 8 3 2 3" xfId="35301" xr:uid="{694B2F73-64D5-407D-AD53-F28458B3A583}"/>
    <cellStyle name="Comma 3 2 2 2 8 3 3" xfId="13397" xr:uid="{EDFB3FC3-D7DA-4D06-8B03-A729BEC424BF}"/>
    <cellStyle name="Comma 3 2 2 2 8 3 3 2" xfId="49905" xr:uid="{80F91C60-8130-480D-8D24-C102AF6199F9}"/>
    <cellStyle name="Comma 3 2 2 2 8 3 3 3" xfId="31651" xr:uid="{3C6D3C79-34FC-4DD6-89F0-E54B0F0C66E9}"/>
    <cellStyle name="Comma 3 2 2 2 8 3 4" xfId="9747" xr:uid="{7B811A6B-0D22-46FE-AF96-D9B405439C5E}"/>
    <cellStyle name="Comma 3 2 2 2 8 3 4 2" xfId="46255" xr:uid="{407CE376-08E3-420A-8C20-EC45054E8437}"/>
    <cellStyle name="Comma 3 2 2 2 8 3 4 3" xfId="28001" xr:uid="{6548A7B3-F9DA-4E30-9703-E480137D3897}"/>
    <cellStyle name="Comma 3 2 2 2 8 3 5" xfId="6097" xr:uid="{3BA68F70-7704-4477-A1DD-6D440EE4C0A8}"/>
    <cellStyle name="Comma 3 2 2 2 8 3 5 2" xfId="42605" xr:uid="{0FDC2490-7ABD-4D78-B5F5-477E82ADC41C}"/>
    <cellStyle name="Comma 3 2 2 2 8 3 5 3" xfId="24351" xr:uid="{0482FDAB-8919-4D44-A3CA-FC90D925DAE0}"/>
    <cellStyle name="Comma 3 2 2 2 8 3 6" xfId="38955" xr:uid="{45D26F7C-FBD2-4378-A7BD-A1A7E31A5A9E}"/>
    <cellStyle name="Comma 3 2 2 2 8 3 7" xfId="20701" xr:uid="{C8398216-1607-4BD2-BD19-8C815A187EDD}"/>
    <cellStyle name="Comma 3 2 2 2 8 4" xfId="1717" xr:uid="{E9A55425-89BD-4478-987A-6C6B80865D41}"/>
    <cellStyle name="Comma 3 2 2 2 8 4 2" xfId="16317" xr:uid="{8D1585B7-C329-439F-862C-63412D8933FB}"/>
    <cellStyle name="Comma 3 2 2 2 8 4 2 2" xfId="52825" xr:uid="{E9856B4D-981D-49A5-BB46-E38B1B2FB015}"/>
    <cellStyle name="Comma 3 2 2 2 8 4 2 3" xfId="34571" xr:uid="{BD1984CF-47EE-48EE-B695-E39404711E75}"/>
    <cellStyle name="Comma 3 2 2 2 8 4 3" xfId="12667" xr:uid="{4202B5D4-FCCC-486C-9561-B823DDADF23D}"/>
    <cellStyle name="Comma 3 2 2 2 8 4 3 2" xfId="49175" xr:uid="{DF7418BF-F256-435F-8109-ACD7F5C744D2}"/>
    <cellStyle name="Comma 3 2 2 2 8 4 3 3" xfId="30921" xr:uid="{08A26A88-6F09-4EC7-A111-16D3D7EB3E71}"/>
    <cellStyle name="Comma 3 2 2 2 8 4 4" xfId="9017" xr:uid="{4E3CE33E-B755-4397-A71F-30D4789F1380}"/>
    <cellStyle name="Comma 3 2 2 2 8 4 4 2" xfId="45525" xr:uid="{DEDBD19F-4FB5-425C-A2F2-656192E4D91B}"/>
    <cellStyle name="Comma 3 2 2 2 8 4 4 3" xfId="27271" xr:uid="{3A340C2B-CDA1-4891-944E-0B84A809B3E2}"/>
    <cellStyle name="Comma 3 2 2 2 8 4 5" xfId="5367" xr:uid="{3346DD85-65EE-4400-9DB5-FE78252214B2}"/>
    <cellStyle name="Comma 3 2 2 2 8 4 5 2" xfId="41875" xr:uid="{43C776C7-A3B0-4477-B7ED-5A48F07B87AD}"/>
    <cellStyle name="Comma 3 2 2 2 8 4 5 3" xfId="23621" xr:uid="{9061A7AD-A274-4C43-9B79-9F3D122F7CBB}"/>
    <cellStyle name="Comma 3 2 2 2 8 4 6" xfId="38225" xr:uid="{1BCC3063-1E56-45EC-8E62-4AFFC43623B5}"/>
    <cellStyle name="Comma 3 2 2 2 8 4 7" xfId="19971" xr:uid="{42C78A72-F655-4BD6-826B-964194D1D8BB}"/>
    <cellStyle name="Comma 3 2 2 2 8 5" xfId="987" xr:uid="{DA706FA8-31BD-48C7-AA33-ADA0DC49D1A9}"/>
    <cellStyle name="Comma 3 2 2 2 8 5 2" xfId="15587" xr:uid="{3A6AD89B-60B3-4339-ADF0-CDEC2BBAB8A2}"/>
    <cellStyle name="Comma 3 2 2 2 8 5 2 2" xfId="52095" xr:uid="{D05E58D2-5AD3-411D-92B1-C1AC5095F18B}"/>
    <cellStyle name="Comma 3 2 2 2 8 5 2 3" xfId="33841" xr:uid="{1EA3B9E0-1796-4380-B947-6B893C45B949}"/>
    <cellStyle name="Comma 3 2 2 2 8 5 3" xfId="11937" xr:uid="{4BE63BCE-0C9C-4086-92EB-A82B0D117F41}"/>
    <cellStyle name="Comma 3 2 2 2 8 5 3 2" xfId="48445" xr:uid="{EAB71217-3590-4FAC-88BA-FB4DE686E0A0}"/>
    <cellStyle name="Comma 3 2 2 2 8 5 3 3" xfId="30191" xr:uid="{2C88470C-DE28-40B6-BCF4-89D16D0A37FB}"/>
    <cellStyle name="Comma 3 2 2 2 8 5 4" xfId="8287" xr:uid="{EF34E0DF-419A-4E52-9BC6-47A946F28FD8}"/>
    <cellStyle name="Comma 3 2 2 2 8 5 4 2" xfId="44795" xr:uid="{F4EF3ECB-F9DE-460D-BFAF-CE14361BB55D}"/>
    <cellStyle name="Comma 3 2 2 2 8 5 4 3" xfId="26541" xr:uid="{EA6B3D11-4CD0-4F62-A972-370302072977}"/>
    <cellStyle name="Comma 3 2 2 2 8 5 5" xfId="4637" xr:uid="{D8316DF2-C392-446B-A049-A0BBABB15014}"/>
    <cellStyle name="Comma 3 2 2 2 8 5 5 2" xfId="41145" xr:uid="{EBA37A41-B092-4DBD-BA79-7DB167E1862A}"/>
    <cellStyle name="Comma 3 2 2 2 8 5 5 3" xfId="22891" xr:uid="{A70B74B5-AB6D-4F22-A47A-FC946854CC4E}"/>
    <cellStyle name="Comma 3 2 2 2 8 5 6" xfId="37495" xr:uid="{23166F6C-EE78-4928-8F59-A85EC59DC0B6}"/>
    <cellStyle name="Comma 3 2 2 2 8 5 7" xfId="19241" xr:uid="{A741E079-0AE1-4264-969E-5951AE09A00D}"/>
    <cellStyle name="Comma 3 2 2 2 8 6" xfId="14857" xr:uid="{7C1CA4D5-0C24-4802-89D0-2A9C8A57AA2A}"/>
    <cellStyle name="Comma 3 2 2 2 8 6 2" xfId="51365" xr:uid="{6748E5D9-73F0-43C5-8A7D-AE77D9312544}"/>
    <cellStyle name="Comma 3 2 2 2 8 6 3" xfId="33111" xr:uid="{9A7D87B6-3CCD-48A0-90E9-31336B3F2302}"/>
    <cellStyle name="Comma 3 2 2 2 8 7" xfId="11207" xr:uid="{9AB57429-A75F-4B6B-99EC-B8A26E086640}"/>
    <cellStyle name="Comma 3 2 2 2 8 7 2" xfId="47715" xr:uid="{F6FE6658-1725-4789-844F-366F7600CCF5}"/>
    <cellStyle name="Comma 3 2 2 2 8 7 3" xfId="29461" xr:uid="{0E880231-8A27-4643-A9D8-AAAF6AE927E5}"/>
    <cellStyle name="Comma 3 2 2 2 8 8" xfId="7557" xr:uid="{22B2BB7E-7FCF-4227-872D-B862D5466B11}"/>
    <cellStyle name="Comma 3 2 2 2 8 8 2" xfId="44065" xr:uid="{4B9BBDF9-7CDB-4507-8C42-50C08E0ED717}"/>
    <cellStyle name="Comma 3 2 2 2 8 8 3" xfId="25811" xr:uid="{819F02A0-BD84-4B11-8EFF-072CD3EE3CD3}"/>
    <cellStyle name="Comma 3 2 2 2 8 9" xfId="3907" xr:uid="{A3C887DA-D2AE-4665-9AA8-7CFC91888DC2}"/>
    <cellStyle name="Comma 3 2 2 2 8 9 2" xfId="40415" xr:uid="{283F4AFE-0DDE-4EC9-9DFD-61DE4BBE4125}"/>
    <cellStyle name="Comma 3 2 2 2 8 9 3" xfId="22161" xr:uid="{2A1788F8-CCA6-46DF-A25F-A1A563E8A976}"/>
    <cellStyle name="Comma 3 2 2 2 9" xfId="153" xr:uid="{AD2191BA-3499-4AA3-9A4E-AAE43E912C4B}"/>
    <cellStyle name="Comma 3 2 2 2 9 10" xfId="36661" xr:uid="{9A2FC13C-B8F7-4D59-AED8-8AF9C539ECEB}"/>
    <cellStyle name="Comma 3 2 2 2 9 11" xfId="18407" xr:uid="{A44D2F5C-BCBA-4CAE-8AB8-336C37C971A8}"/>
    <cellStyle name="Comma 3 2 2 2 9 2" xfId="3073" xr:uid="{E69CF32B-CACA-4A44-BA05-EDC11299F8EB}"/>
    <cellStyle name="Comma 3 2 2 2 9 2 2" xfId="17673" xr:uid="{92B3072C-7C4B-4971-B18E-D2457CF5B73C}"/>
    <cellStyle name="Comma 3 2 2 2 9 2 2 2" xfId="54181" xr:uid="{4A02B0D7-43E0-4FBD-91B9-4E099D313D20}"/>
    <cellStyle name="Comma 3 2 2 2 9 2 2 3" xfId="35927" xr:uid="{2AE2AF27-1B36-46AE-8BFE-9056311E2DFB}"/>
    <cellStyle name="Comma 3 2 2 2 9 2 3" xfId="14023" xr:uid="{7F049011-51AB-4B32-937A-7C49067A50CC}"/>
    <cellStyle name="Comma 3 2 2 2 9 2 3 2" xfId="50531" xr:uid="{87BC68B8-6D2A-48A1-AA26-A12D3DE66AF4}"/>
    <cellStyle name="Comma 3 2 2 2 9 2 3 3" xfId="32277" xr:uid="{EA653F1C-0C52-40AD-8412-AD3AA1F3D94B}"/>
    <cellStyle name="Comma 3 2 2 2 9 2 4" xfId="10373" xr:uid="{A6D0D609-2A73-438B-9A4C-0932CF0EF354}"/>
    <cellStyle name="Comma 3 2 2 2 9 2 4 2" xfId="46881" xr:uid="{52CFD512-EA7E-4890-A1C1-EDB0ACAC67F2}"/>
    <cellStyle name="Comma 3 2 2 2 9 2 4 3" xfId="28627" xr:uid="{7DB2EEC3-531F-43B3-B579-B50D41301411}"/>
    <cellStyle name="Comma 3 2 2 2 9 2 5" xfId="6723" xr:uid="{8A0E4F91-0519-49E0-887D-B1655BF3C2B0}"/>
    <cellStyle name="Comma 3 2 2 2 9 2 5 2" xfId="43231" xr:uid="{F3BEA0DC-958A-4A92-B67B-FBBF8E9240BC}"/>
    <cellStyle name="Comma 3 2 2 2 9 2 5 3" xfId="24977" xr:uid="{AE3EC30B-6136-4E66-BEE6-6B21FF5491A1}"/>
    <cellStyle name="Comma 3 2 2 2 9 2 6" xfId="39581" xr:uid="{05BAED05-7695-42DF-9C71-CE5FB72ECB38}"/>
    <cellStyle name="Comma 3 2 2 2 9 2 7" xfId="21327" xr:uid="{7BCD3EB5-D99C-4B3F-BB3F-578613C1AB48}"/>
    <cellStyle name="Comma 3 2 2 2 9 3" xfId="2343" xr:uid="{A4A631D7-2362-46A8-B2F9-C2D9FEC365A1}"/>
    <cellStyle name="Comma 3 2 2 2 9 3 2" xfId="16943" xr:uid="{CEC2E96F-7934-486E-85FB-3F908ABED7CD}"/>
    <cellStyle name="Comma 3 2 2 2 9 3 2 2" xfId="53451" xr:uid="{6BD36759-BA79-46F2-B097-975530B09F7F}"/>
    <cellStyle name="Comma 3 2 2 2 9 3 2 3" xfId="35197" xr:uid="{C94FE0F1-1CE5-4045-950B-46EDA5A7AD1A}"/>
    <cellStyle name="Comma 3 2 2 2 9 3 3" xfId="13293" xr:uid="{CB3D51CD-4069-4008-B89A-CE24FCA85C21}"/>
    <cellStyle name="Comma 3 2 2 2 9 3 3 2" xfId="49801" xr:uid="{72EB4B26-452E-436A-B485-D038A5B2B0C4}"/>
    <cellStyle name="Comma 3 2 2 2 9 3 3 3" xfId="31547" xr:uid="{E3AAD891-1C28-44E2-A7AD-311A969B74B1}"/>
    <cellStyle name="Comma 3 2 2 2 9 3 4" xfId="9643" xr:uid="{D2C9587A-0688-4A0E-8776-6182FF3EC6DC}"/>
    <cellStyle name="Comma 3 2 2 2 9 3 4 2" xfId="46151" xr:uid="{6910E098-00E7-45FD-9A69-95DA18F98C02}"/>
    <cellStyle name="Comma 3 2 2 2 9 3 4 3" xfId="27897" xr:uid="{AD2D85AD-7E4F-43FD-B103-EE2E4EAE81D8}"/>
    <cellStyle name="Comma 3 2 2 2 9 3 5" xfId="5993" xr:uid="{3DF7B0A5-10D1-4584-AEA2-5C790A196E35}"/>
    <cellStyle name="Comma 3 2 2 2 9 3 5 2" xfId="42501" xr:uid="{243B3259-A12D-46B7-A713-145DA1A1F530}"/>
    <cellStyle name="Comma 3 2 2 2 9 3 5 3" xfId="24247" xr:uid="{5F5B0015-5451-47B6-A0C3-7A36128F8C15}"/>
    <cellStyle name="Comma 3 2 2 2 9 3 6" xfId="38851" xr:uid="{513A76F6-8DF3-489B-B187-0CCA69B3ADEE}"/>
    <cellStyle name="Comma 3 2 2 2 9 3 7" xfId="20597" xr:uid="{40F412F6-2043-4909-AF8F-D973DBEF77B5}"/>
    <cellStyle name="Comma 3 2 2 2 9 4" xfId="1613" xr:uid="{5F5FE0F2-63FB-4344-A256-1E9495BF43E9}"/>
    <cellStyle name="Comma 3 2 2 2 9 4 2" xfId="16213" xr:uid="{B95B2E8D-5A2F-4B0A-B974-A9B205E6DBC6}"/>
    <cellStyle name="Comma 3 2 2 2 9 4 2 2" xfId="52721" xr:uid="{02412D05-A429-46FF-8355-E1EC0066981F}"/>
    <cellStyle name="Comma 3 2 2 2 9 4 2 3" xfId="34467" xr:uid="{89D3FDBF-07A5-4C37-B07D-EA1B041B380F}"/>
    <cellStyle name="Comma 3 2 2 2 9 4 3" xfId="12563" xr:uid="{F049EC5D-2EE3-4417-95D5-DC8611F34A51}"/>
    <cellStyle name="Comma 3 2 2 2 9 4 3 2" xfId="49071" xr:uid="{4A224776-080E-4683-9CFB-8D1BA2CCC5AD}"/>
    <cellStyle name="Comma 3 2 2 2 9 4 3 3" xfId="30817" xr:uid="{B463F54E-A41A-49D2-A006-496967293967}"/>
    <cellStyle name="Comma 3 2 2 2 9 4 4" xfId="8913" xr:uid="{BC375D69-BF56-4CE5-9124-459AA022C60E}"/>
    <cellStyle name="Comma 3 2 2 2 9 4 4 2" xfId="45421" xr:uid="{F4A91087-E23F-4012-B098-132FE2C0DADB}"/>
    <cellStyle name="Comma 3 2 2 2 9 4 4 3" xfId="27167" xr:uid="{A301CDA6-1727-4ACF-B821-622519C167F2}"/>
    <cellStyle name="Comma 3 2 2 2 9 4 5" xfId="5263" xr:uid="{47D686B3-CFA2-4F1F-ACB6-EBAD8A20551E}"/>
    <cellStyle name="Comma 3 2 2 2 9 4 5 2" xfId="41771" xr:uid="{41389FC0-B01E-40FF-B550-A87C25872CC1}"/>
    <cellStyle name="Comma 3 2 2 2 9 4 5 3" xfId="23517" xr:uid="{DDA822B2-9315-4855-BF56-9BA2F52A91C5}"/>
    <cellStyle name="Comma 3 2 2 2 9 4 6" xfId="38121" xr:uid="{FE0970B8-A910-49CC-8CED-C7364B84C41D}"/>
    <cellStyle name="Comma 3 2 2 2 9 4 7" xfId="19867" xr:uid="{DFAA5E81-5E61-4C0A-8D4F-B5182EFB80CD}"/>
    <cellStyle name="Comma 3 2 2 2 9 5" xfId="883" xr:uid="{21A6B0C6-6ACF-4059-AFCE-8B12553373D8}"/>
    <cellStyle name="Comma 3 2 2 2 9 5 2" xfId="15483" xr:uid="{5C15A27B-5814-48BC-8A45-ED2C24504DA8}"/>
    <cellStyle name="Comma 3 2 2 2 9 5 2 2" xfId="51991" xr:uid="{70D537AA-248B-4F36-99F9-2BEA4836E62A}"/>
    <cellStyle name="Comma 3 2 2 2 9 5 2 3" xfId="33737" xr:uid="{6B4561FA-B163-40BC-9681-434DAC14A44A}"/>
    <cellStyle name="Comma 3 2 2 2 9 5 3" xfId="11833" xr:uid="{11F86BD7-9457-4F52-AEFF-6398E2EB941A}"/>
    <cellStyle name="Comma 3 2 2 2 9 5 3 2" xfId="48341" xr:uid="{EC1F569E-86D0-4C96-86E3-8BEF177AF7F3}"/>
    <cellStyle name="Comma 3 2 2 2 9 5 3 3" xfId="30087" xr:uid="{62D76B27-540B-460D-B235-3CBB50D9E57E}"/>
    <cellStyle name="Comma 3 2 2 2 9 5 4" xfId="8183" xr:uid="{F676BB70-99C7-4BF8-952E-5BE793D58186}"/>
    <cellStyle name="Comma 3 2 2 2 9 5 4 2" xfId="44691" xr:uid="{44A1E0CE-CB5C-44EB-BD39-7E645E02D0A3}"/>
    <cellStyle name="Comma 3 2 2 2 9 5 4 3" xfId="26437" xr:uid="{759CB9C9-A0E1-4E14-AFA3-403D7B68F412}"/>
    <cellStyle name="Comma 3 2 2 2 9 5 5" xfId="4533" xr:uid="{F6464AA4-E6DF-4265-987A-0F14A657471D}"/>
    <cellStyle name="Comma 3 2 2 2 9 5 5 2" xfId="41041" xr:uid="{19C3751D-BA6A-4E9A-9B93-D5856144D630}"/>
    <cellStyle name="Comma 3 2 2 2 9 5 5 3" xfId="22787" xr:uid="{B2FEBB2E-5277-49A8-A3B9-E08257854B49}"/>
    <cellStyle name="Comma 3 2 2 2 9 5 6" xfId="37391" xr:uid="{6A1DAA8E-72BA-4147-B661-DCB245393C1D}"/>
    <cellStyle name="Comma 3 2 2 2 9 5 7" xfId="19137" xr:uid="{19BDD330-E495-4383-BF7C-C654696C254E}"/>
    <cellStyle name="Comma 3 2 2 2 9 6" xfId="14753" xr:uid="{A3347711-46F8-4374-801D-72360D621BD0}"/>
    <cellStyle name="Comma 3 2 2 2 9 6 2" xfId="51261" xr:uid="{24FB1A3A-7050-4EF4-BF9E-E32596EB7263}"/>
    <cellStyle name="Comma 3 2 2 2 9 6 3" xfId="33007" xr:uid="{475A2EB6-EAE1-4763-8EA4-CA55BB84B914}"/>
    <cellStyle name="Comma 3 2 2 2 9 7" xfId="11103" xr:uid="{810E6B5A-061D-4B3C-B3B1-3D3AF7979352}"/>
    <cellStyle name="Comma 3 2 2 2 9 7 2" xfId="47611" xr:uid="{7981619E-E589-44C2-8FEA-882EDF4AF851}"/>
    <cellStyle name="Comma 3 2 2 2 9 7 3" xfId="29357" xr:uid="{86BBE78D-2688-42A1-8B55-E8CBDF1046BA}"/>
    <cellStyle name="Comma 3 2 2 2 9 8" xfId="7453" xr:uid="{C0F02FB3-4917-4D9D-BA0B-A67F2842F7EF}"/>
    <cellStyle name="Comma 3 2 2 2 9 8 2" xfId="43961" xr:uid="{6BFC0102-A6F2-4954-B5A2-0CF0228CAA50}"/>
    <cellStyle name="Comma 3 2 2 2 9 8 3" xfId="25707" xr:uid="{0B8E7E4C-9015-4389-AE2F-695B683622F2}"/>
    <cellStyle name="Comma 3 2 2 2 9 9" xfId="3803" xr:uid="{61FA67E4-4697-4100-90B9-1C50365F3D10}"/>
    <cellStyle name="Comma 3 2 2 2 9 9 2" xfId="40311" xr:uid="{EE1FF4DB-901C-4CDD-A783-D3CC1EDBE6E8}"/>
    <cellStyle name="Comma 3 2 2 2 9 9 3" xfId="22057" xr:uid="{51D8BD1B-F6A5-4F34-A72E-079426C8F436}"/>
    <cellStyle name="Comma 3 2 2 20" xfId="18287" xr:uid="{12540FB0-1A29-41F6-A878-0B520EE4D8A2}"/>
    <cellStyle name="Comma 3 2 2 3" xfId="97" xr:uid="{D5034020-2D30-403E-9CE3-3D151D0E4F57}"/>
    <cellStyle name="Comma 3 2 2 3 10" xfId="1557" xr:uid="{567AAF10-58B1-4821-8AD8-539989998919}"/>
    <cellStyle name="Comma 3 2 2 3 10 2" xfId="16157" xr:uid="{7A42161D-2A9B-4A8D-B0C0-28324C584414}"/>
    <cellStyle name="Comma 3 2 2 3 10 2 2" xfId="52665" xr:uid="{76C7A5D1-AFEC-4D57-8C3C-1B9D106B41B4}"/>
    <cellStyle name="Comma 3 2 2 3 10 2 3" xfId="34411" xr:uid="{26CF7CCA-BB3B-4BA8-AAD2-42806189ED06}"/>
    <cellStyle name="Comma 3 2 2 3 10 3" xfId="12507" xr:uid="{EAC7C05C-3D8F-4D07-8B9C-DC6C0AC12C0F}"/>
    <cellStyle name="Comma 3 2 2 3 10 3 2" xfId="49015" xr:uid="{A3C82049-3DE3-41A0-9905-FFC998E6A1EE}"/>
    <cellStyle name="Comma 3 2 2 3 10 3 3" xfId="30761" xr:uid="{A52FA382-EE36-42DD-A139-B555676AD146}"/>
    <cellStyle name="Comma 3 2 2 3 10 4" xfId="8857" xr:uid="{3DAAB9F3-EB35-49BD-8EAC-BA8161CAD33C}"/>
    <cellStyle name="Comma 3 2 2 3 10 4 2" xfId="45365" xr:uid="{0B7FD3FE-CBDF-4C3F-AD36-179CE0BF53AC}"/>
    <cellStyle name="Comma 3 2 2 3 10 4 3" xfId="27111" xr:uid="{E0F37B52-0298-434B-A3CB-5FC6EDCDD372}"/>
    <cellStyle name="Comma 3 2 2 3 10 5" xfId="5207" xr:uid="{0871858C-57DC-4046-BEC1-6E82ADD190CB}"/>
    <cellStyle name="Comma 3 2 2 3 10 5 2" xfId="41715" xr:uid="{80FCF716-9B58-42FE-BB74-234E2F7EC2C3}"/>
    <cellStyle name="Comma 3 2 2 3 10 5 3" xfId="23461" xr:uid="{BC24FC19-A360-4838-B04E-6FD8C14B72F3}"/>
    <cellStyle name="Comma 3 2 2 3 10 6" xfId="38065" xr:uid="{D1385A88-8F44-461B-87D7-2A2DD32765A0}"/>
    <cellStyle name="Comma 3 2 2 3 10 7" xfId="19811" xr:uid="{C81A26A3-B965-408A-B3FE-79AD1D262E6B}"/>
    <cellStyle name="Comma 3 2 2 3 11" xfId="827" xr:uid="{4B4A208E-D04D-4BA3-B00C-39197009BF60}"/>
    <cellStyle name="Comma 3 2 2 3 11 2" xfId="15427" xr:uid="{B2E14D79-3169-4F56-B521-FBF62F97262F}"/>
    <cellStyle name="Comma 3 2 2 3 11 2 2" xfId="51935" xr:uid="{F104CA66-6CC1-4841-B367-B7A1C77525CE}"/>
    <cellStyle name="Comma 3 2 2 3 11 2 3" xfId="33681" xr:uid="{04132CED-E4FF-47BC-BEE0-080677667418}"/>
    <cellStyle name="Comma 3 2 2 3 11 3" xfId="11777" xr:uid="{E38182B0-0FA9-4982-9EB3-5F9A5305402D}"/>
    <cellStyle name="Comma 3 2 2 3 11 3 2" xfId="48285" xr:uid="{D9891F81-32C9-401A-BEAF-F603D5EF1337}"/>
    <cellStyle name="Comma 3 2 2 3 11 3 3" xfId="30031" xr:uid="{03019727-4CD9-4850-91C4-A2249F10E32D}"/>
    <cellStyle name="Comma 3 2 2 3 11 4" xfId="8127" xr:uid="{64B987E1-4969-480F-A16B-9D9076629BB5}"/>
    <cellStyle name="Comma 3 2 2 3 11 4 2" xfId="44635" xr:uid="{2C41AB8E-B01B-4276-A116-9D39578DA809}"/>
    <cellStyle name="Comma 3 2 2 3 11 4 3" xfId="26381" xr:uid="{1C6287B8-4AA5-4D99-A5EA-8D175E673B09}"/>
    <cellStyle name="Comma 3 2 2 3 11 5" xfId="4477" xr:uid="{A89C5727-0769-4773-BC3C-C37E8CE3E9CA}"/>
    <cellStyle name="Comma 3 2 2 3 11 5 2" xfId="40985" xr:uid="{679DCE3C-2BB7-49F4-870A-8F25569E0C51}"/>
    <cellStyle name="Comma 3 2 2 3 11 5 3" xfId="22731" xr:uid="{FEF27DFA-089A-42B7-9A59-F02F6420D9CD}"/>
    <cellStyle name="Comma 3 2 2 3 11 6" xfId="37335" xr:uid="{DD7F1597-17CF-4232-9A6D-6A898C1BCFCA}"/>
    <cellStyle name="Comma 3 2 2 3 11 7" xfId="19081" xr:uid="{56A143DD-EB0E-4A0B-A74B-B4C361E49096}"/>
    <cellStyle name="Comma 3 2 2 3 12" xfId="14697" xr:uid="{C3132698-8714-446E-AED6-46A67F3DC739}"/>
    <cellStyle name="Comma 3 2 2 3 12 2" xfId="51205" xr:uid="{A39C15D1-2458-4441-A0C2-9E11236F408F}"/>
    <cellStyle name="Comma 3 2 2 3 12 3" xfId="32951" xr:uid="{C960F0F0-F97E-4E00-B968-3D2F10D7635E}"/>
    <cellStyle name="Comma 3 2 2 3 13" xfId="11047" xr:uid="{973B1076-6275-4F75-A452-756D5320D189}"/>
    <cellStyle name="Comma 3 2 2 3 13 2" xfId="47555" xr:uid="{9F8F91DA-3464-4048-A61E-FC85B22D3E74}"/>
    <cellStyle name="Comma 3 2 2 3 13 3" xfId="29301" xr:uid="{28CBA3E5-9100-476F-9D67-A287D0508CAF}"/>
    <cellStyle name="Comma 3 2 2 3 14" xfId="7397" xr:uid="{7CBF5A1B-EDD9-4155-A0C9-55D42F488A9A}"/>
    <cellStyle name="Comma 3 2 2 3 14 2" xfId="43905" xr:uid="{F4D7E439-7EF4-4DCD-80FE-8F3528319679}"/>
    <cellStyle name="Comma 3 2 2 3 14 3" xfId="25651" xr:uid="{36858104-D06E-4766-95FB-9C9CC93500FE}"/>
    <cellStyle name="Comma 3 2 2 3 15" xfId="3747" xr:uid="{726C1DAD-281A-4008-BA90-87B2B1B9724B}"/>
    <cellStyle name="Comma 3 2 2 3 15 2" xfId="40255" xr:uid="{6464A027-3FA4-47BF-8596-78AD8520EA7F}"/>
    <cellStyle name="Comma 3 2 2 3 15 3" xfId="22001" xr:uid="{4E7648DD-F614-424F-AFF1-B710006443FE}"/>
    <cellStyle name="Comma 3 2 2 3 16" xfId="36605" xr:uid="{E358B44F-1FEB-44CE-8BD5-80721463FAE7}"/>
    <cellStyle name="Comma 3 2 2 3 17" xfId="18351" xr:uid="{E964F729-1F5E-4EC4-99B8-5B322725C033}"/>
    <cellStyle name="Comma 3 2 2 3 2" xfId="721" xr:uid="{84E3B9C0-A1C1-4164-BF79-9E9ADC50148F}"/>
    <cellStyle name="Comma 3 2 2 3 2 10" xfId="37229" xr:uid="{065341EF-2875-46CE-978F-2D7F1BBEEA96}"/>
    <cellStyle name="Comma 3 2 2 3 2 11" xfId="18975" xr:uid="{72122E35-0B78-4A21-9153-A199933FB688}"/>
    <cellStyle name="Comma 3 2 2 3 2 2" xfId="3641" xr:uid="{F20213A3-B1F7-4D9E-9877-2AF8479796CB}"/>
    <cellStyle name="Comma 3 2 2 3 2 2 2" xfId="18241" xr:uid="{B5B07E57-17BD-4DDC-9CD1-0655381376CB}"/>
    <cellStyle name="Comma 3 2 2 3 2 2 2 2" xfId="54749" xr:uid="{1B7DDE27-E296-48D4-B01D-EC6068D101C3}"/>
    <cellStyle name="Comma 3 2 2 3 2 2 2 3" xfId="36495" xr:uid="{48F69450-6153-4E2A-B51F-EC598DBE6A6C}"/>
    <cellStyle name="Comma 3 2 2 3 2 2 3" xfId="14591" xr:uid="{3F58C251-C4CF-497E-BA7C-64CA4FDEF0A5}"/>
    <cellStyle name="Comma 3 2 2 3 2 2 3 2" xfId="51099" xr:uid="{37C6C9C9-0A74-4624-8F0A-144F1F66D59C}"/>
    <cellStyle name="Comma 3 2 2 3 2 2 3 3" xfId="32845" xr:uid="{158D415C-5B0D-4608-9B70-5361A4550E5D}"/>
    <cellStyle name="Comma 3 2 2 3 2 2 4" xfId="10941" xr:uid="{7AC401F3-723F-452E-9F1D-3CDAB94F5ADB}"/>
    <cellStyle name="Comma 3 2 2 3 2 2 4 2" xfId="47449" xr:uid="{4D905E83-F637-43BC-88ED-D431D4FFAFF9}"/>
    <cellStyle name="Comma 3 2 2 3 2 2 4 3" xfId="29195" xr:uid="{DC2D634D-DC5C-4EAC-915D-276EA679A4CA}"/>
    <cellStyle name="Comma 3 2 2 3 2 2 5" xfId="7291" xr:uid="{EBA0E772-9C29-490C-A1F2-FB672114637E}"/>
    <cellStyle name="Comma 3 2 2 3 2 2 5 2" xfId="43799" xr:uid="{371FA996-1D39-46B5-93E7-4EF543A9CAF4}"/>
    <cellStyle name="Comma 3 2 2 3 2 2 5 3" xfId="25545" xr:uid="{0A84C736-D405-4B9E-990F-C6A99E731F64}"/>
    <cellStyle name="Comma 3 2 2 3 2 2 6" xfId="40149" xr:uid="{09F7A815-06F1-4154-883B-51D387A2EB9B}"/>
    <cellStyle name="Comma 3 2 2 3 2 2 7" xfId="21895" xr:uid="{19766C50-2D9B-4AE9-A778-82F2766563BB}"/>
    <cellStyle name="Comma 3 2 2 3 2 3" xfId="2911" xr:uid="{6D4BA66F-C463-426E-AF59-B6E815D080BF}"/>
    <cellStyle name="Comma 3 2 2 3 2 3 2" xfId="17511" xr:uid="{B742EB12-E6A7-4105-A5B2-52E77605858E}"/>
    <cellStyle name="Comma 3 2 2 3 2 3 2 2" xfId="54019" xr:uid="{A180A00B-073C-4A91-8FDE-FAD69A2BC5DB}"/>
    <cellStyle name="Comma 3 2 2 3 2 3 2 3" xfId="35765" xr:uid="{409A7513-11B5-4CC7-A95D-03E3833E07B4}"/>
    <cellStyle name="Comma 3 2 2 3 2 3 3" xfId="13861" xr:uid="{80B20294-1BE9-4FE0-B6D6-590E088F1C3B}"/>
    <cellStyle name="Comma 3 2 2 3 2 3 3 2" xfId="50369" xr:uid="{E9154C2A-2C5B-45EA-AF8A-9B3F432CD8BB}"/>
    <cellStyle name="Comma 3 2 2 3 2 3 3 3" xfId="32115" xr:uid="{05604302-D9F4-461C-89C4-4D4C9C25C583}"/>
    <cellStyle name="Comma 3 2 2 3 2 3 4" xfId="10211" xr:uid="{749DEAC5-3880-4A91-ABFB-ACB57811FE5A}"/>
    <cellStyle name="Comma 3 2 2 3 2 3 4 2" xfId="46719" xr:uid="{BE3FA5BB-7D1D-41A4-9394-03439D0A285D}"/>
    <cellStyle name="Comma 3 2 2 3 2 3 4 3" xfId="28465" xr:uid="{7567C4BE-1938-465F-A860-3D12369A02CA}"/>
    <cellStyle name="Comma 3 2 2 3 2 3 5" xfId="6561" xr:uid="{575961A3-2044-4687-904B-3F74B5057710}"/>
    <cellStyle name="Comma 3 2 2 3 2 3 5 2" xfId="43069" xr:uid="{BB657729-FC83-473E-AAB4-8E6A8CC3F624}"/>
    <cellStyle name="Comma 3 2 2 3 2 3 5 3" xfId="24815" xr:uid="{70C14F1A-E346-40B4-93FE-928DA365F651}"/>
    <cellStyle name="Comma 3 2 2 3 2 3 6" xfId="39419" xr:uid="{12716BDA-8DAD-4DA4-9247-202FE4EFEDE8}"/>
    <cellStyle name="Comma 3 2 2 3 2 3 7" xfId="21165" xr:uid="{4EF19750-D028-4E5B-91E5-9F5D3486C031}"/>
    <cellStyle name="Comma 3 2 2 3 2 4" xfId="2181" xr:uid="{BF05E539-279D-41F8-86D0-EFA0197541F5}"/>
    <cellStyle name="Comma 3 2 2 3 2 4 2" xfId="16781" xr:uid="{2D6A8356-ECFA-4B39-B470-938D84A78544}"/>
    <cellStyle name="Comma 3 2 2 3 2 4 2 2" xfId="53289" xr:uid="{6EFAC39E-A902-4A24-AA08-D3C366409A45}"/>
    <cellStyle name="Comma 3 2 2 3 2 4 2 3" xfId="35035" xr:uid="{DCBD7253-4303-467E-9205-BC0714A90F1C}"/>
    <cellStyle name="Comma 3 2 2 3 2 4 3" xfId="13131" xr:uid="{AF934930-60DE-4051-B255-2E78DAEE3BF6}"/>
    <cellStyle name="Comma 3 2 2 3 2 4 3 2" xfId="49639" xr:uid="{C7408737-39C0-47F1-963C-5EA3BCDF7695}"/>
    <cellStyle name="Comma 3 2 2 3 2 4 3 3" xfId="31385" xr:uid="{8ABFC33E-3491-457D-81BB-32DFDD414246}"/>
    <cellStyle name="Comma 3 2 2 3 2 4 4" xfId="9481" xr:uid="{28594801-4181-4922-80BA-1436A38DA390}"/>
    <cellStyle name="Comma 3 2 2 3 2 4 4 2" xfId="45989" xr:uid="{2F0F62CF-3258-4B21-AE0C-115B7BAAE9A8}"/>
    <cellStyle name="Comma 3 2 2 3 2 4 4 3" xfId="27735" xr:uid="{E554FBEC-4E79-4521-AAC2-6CADA38B5E50}"/>
    <cellStyle name="Comma 3 2 2 3 2 4 5" xfId="5831" xr:uid="{0374E563-C8D6-4399-BFDB-D1B86379BE64}"/>
    <cellStyle name="Comma 3 2 2 3 2 4 5 2" xfId="42339" xr:uid="{8A5D9C15-2041-470E-B8CE-9AF89F0A76DC}"/>
    <cellStyle name="Comma 3 2 2 3 2 4 5 3" xfId="24085" xr:uid="{277FCE2E-0EEF-4EA4-85B1-61D4E320817F}"/>
    <cellStyle name="Comma 3 2 2 3 2 4 6" xfId="38689" xr:uid="{4798B815-468B-4907-87ED-EB4E1A68A7D9}"/>
    <cellStyle name="Comma 3 2 2 3 2 4 7" xfId="20435" xr:uid="{BBAD8C92-112A-471C-939C-1DBB87BDD5A1}"/>
    <cellStyle name="Comma 3 2 2 3 2 5" xfId="1451" xr:uid="{12A3B491-AEF7-4288-8727-9575E8D77E00}"/>
    <cellStyle name="Comma 3 2 2 3 2 5 2" xfId="16051" xr:uid="{A0CF4C6E-7F3B-42C5-ADA0-A5F450702D18}"/>
    <cellStyle name="Comma 3 2 2 3 2 5 2 2" xfId="52559" xr:uid="{E17C5C39-AE1A-4439-8A5B-B21CB24A8AF7}"/>
    <cellStyle name="Comma 3 2 2 3 2 5 2 3" xfId="34305" xr:uid="{1F05FEC4-3C03-474E-BA76-8E752F6C513D}"/>
    <cellStyle name="Comma 3 2 2 3 2 5 3" xfId="12401" xr:uid="{9142F5AF-15E7-4D36-8690-F91216ACF662}"/>
    <cellStyle name="Comma 3 2 2 3 2 5 3 2" xfId="48909" xr:uid="{8BBE0196-0799-4B72-A6ED-56E415F59C83}"/>
    <cellStyle name="Comma 3 2 2 3 2 5 3 3" xfId="30655" xr:uid="{7285519C-1DCB-4500-BFD1-706FCF9E8553}"/>
    <cellStyle name="Comma 3 2 2 3 2 5 4" xfId="8751" xr:uid="{3B6302C5-2AAA-4E7B-91EB-E48026C84222}"/>
    <cellStyle name="Comma 3 2 2 3 2 5 4 2" xfId="45259" xr:uid="{618B8F6A-B8E6-4CC1-BBDA-623D569E4511}"/>
    <cellStyle name="Comma 3 2 2 3 2 5 4 3" xfId="27005" xr:uid="{6EF1D558-4FCF-42C4-AF10-F2149A53079A}"/>
    <cellStyle name="Comma 3 2 2 3 2 5 5" xfId="5101" xr:uid="{0DED6015-9F65-4728-A8B7-549E4A7F9E8C}"/>
    <cellStyle name="Comma 3 2 2 3 2 5 5 2" xfId="41609" xr:uid="{C63BF0BF-73AA-458B-97E2-7BC94F4AB52B}"/>
    <cellStyle name="Comma 3 2 2 3 2 5 5 3" xfId="23355" xr:uid="{DFEA37FE-5A70-421D-B792-CBBCB1D79F0D}"/>
    <cellStyle name="Comma 3 2 2 3 2 5 6" xfId="37959" xr:uid="{FAE5E329-E5C0-4CCB-8D4D-E1A44D4507CD}"/>
    <cellStyle name="Comma 3 2 2 3 2 5 7" xfId="19705" xr:uid="{E5DA0AAD-9D18-4F63-A3B0-C5C458ED4EE8}"/>
    <cellStyle name="Comma 3 2 2 3 2 6" xfId="15321" xr:uid="{B070DF28-7E43-4087-903F-7DE2A6F45A62}"/>
    <cellStyle name="Comma 3 2 2 3 2 6 2" xfId="51829" xr:uid="{271F3244-609C-49D1-B044-9EE8A7CE634E}"/>
    <cellStyle name="Comma 3 2 2 3 2 6 3" xfId="33575" xr:uid="{B3067A2C-204A-436A-AD60-48920A708881}"/>
    <cellStyle name="Comma 3 2 2 3 2 7" xfId="11671" xr:uid="{0259179B-C244-4C08-BF6C-D36FF42AC081}"/>
    <cellStyle name="Comma 3 2 2 3 2 7 2" xfId="48179" xr:uid="{88883D56-A688-4584-9FDA-18A3E9EC73B2}"/>
    <cellStyle name="Comma 3 2 2 3 2 7 3" xfId="29925" xr:uid="{4C05C3EF-7543-4AC0-B6F8-78B6982016C9}"/>
    <cellStyle name="Comma 3 2 2 3 2 8" xfId="8021" xr:uid="{A41EBE6E-173B-44FF-B602-D3E428C5B59A}"/>
    <cellStyle name="Comma 3 2 2 3 2 8 2" xfId="44529" xr:uid="{440BD734-47E1-45BB-A3F2-E6196C1D40B6}"/>
    <cellStyle name="Comma 3 2 2 3 2 8 3" xfId="26275" xr:uid="{0BB768E1-443B-4E2A-97CA-91B2B9A5BD48}"/>
    <cellStyle name="Comma 3 2 2 3 2 9" xfId="4371" xr:uid="{FB8AB3E0-98B1-495F-B68E-CBAE79A78F25}"/>
    <cellStyle name="Comma 3 2 2 3 2 9 2" xfId="40879" xr:uid="{997F7CEC-FEFA-457F-9B31-86A502582BC6}"/>
    <cellStyle name="Comma 3 2 2 3 2 9 3" xfId="22625" xr:uid="{8ECC42BE-44BB-4F54-89DE-FC94547A3D2E}"/>
    <cellStyle name="Comma 3 2 2 3 3" xfId="617" xr:uid="{AA6A0BD1-1545-41B8-8DCB-1060E4B34153}"/>
    <cellStyle name="Comma 3 2 2 3 3 10" xfId="37125" xr:uid="{5917C9F0-84F5-4B2C-86DC-1D6833B86DD7}"/>
    <cellStyle name="Comma 3 2 2 3 3 11" xfId="18871" xr:uid="{9ED76152-6886-40B6-BC89-59FCEB333424}"/>
    <cellStyle name="Comma 3 2 2 3 3 2" xfId="3537" xr:uid="{33E34476-0B07-41CD-8FC7-2D936DBC6CA9}"/>
    <cellStyle name="Comma 3 2 2 3 3 2 2" xfId="18137" xr:uid="{FFA7A845-E481-4656-8ABF-A1706ED24B94}"/>
    <cellStyle name="Comma 3 2 2 3 3 2 2 2" xfId="54645" xr:uid="{069EF59B-12A8-41EE-B6CD-3C352ECFD991}"/>
    <cellStyle name="Comma 3 2 2 3 3 2 2 3" xfId="36391" xr:uid="{BDD72D4E-F8AC-4311-B50C-5E95A48934C0}"/>
    <cellStyle name="Comma 3 2 2 3 3 2 3" xfId="14487" xr:uid="{379DF47A-9F30-471F-9134-BD6CF22175D6}"/>
    <cellStyle name="Comma 3 2 2 3 3 2 3 2" xfId="50995" xr:uid="{42A2B640-EAFA-4A02-ACF3-10AB02937DC3}"/>
    <cellStyle name="Comma 3 2 2 3 3 2 3 3" xfId="32741" xr:uid="{E2D79F72-10D1-4D12-B90B-C7C015257A73}"/>
    <cellStyle name="Comma 3 2 2 3 3 2 4" xfId="10837" xr:uid="{19E5863C-77AC-48DF-A078-4D2730276696}"/>
    <cellStyle name="Comma 3 2 2 3 3 2 4 2" xfId="47345" xr:uid="{537DA4F9-3A44-41EA-A563-906BBF7A2B36}"/>
    <cellStyle name="Comma 3 2 2 3 3 2 4 3" xfId="29091" xr:uid="{6D29E6D2-CCC2-45DA-A804-79AE2466182D}"/>
    <cellStyle name="Comma 3 2 2 3 3 2 5" xfId="7187" xr:uid="{F3223C93-0E4A-4643-B6D7-E7F36882ABDE}"/>
    <cellStyle name="Comma 3 2 2 3 3 2 5 2" xfId="43695" xr:uid="{E10F7E1D-7474-46FC-A9BC-D7ECC81E4650}"/>
    <cellStyle name="Comma 3 2 2 3 3 2 5 3" xfId="25441" xr:uid="{779735AE-DDE8-4F0B-9521-8429A224E932}"/>
    <cellStyle name="Comma 3 2 2 3 3 2 6" xfId="40045" xr:uid="{088AAD16-A5AB-4DC1-99AC-6B69B538FA40}"/>
    <cellStyle name="Comma 3 2 2 3 3 2 7" xfId="21791" xr:uid="{BD73584C-AAC1-4B3C-BBD6-101E49469611}"/>
    <cellStyle name="Comma 3 2 2 3 3 3" xfId="2807" xr:uid="{49AE8596-05B5-4F22-B539-E958E2992DCB}"/>
    <cellStyle name="Comma 3 2 2 3 3 3 2" xfId="17407" xr:uid="{11597F56-0978-4478-8E83-0B9454B3E592}"/>
    <cellStyle name="Comma 3 2 2 3 3 3 2 2" xfId="53915" xr:uid="{E2E5DBA0-E461-4F5E-BE17-762A1DF3A38C}"/>
    <cellStyle name="Comma 3 2 2 3 3 3 2 3" xfId="35661" xr:uid="{C26D2495-92B4-4704-98D8-306248B6BA1F}"/>
    <cellStyle name="Comma 3 2 2 3 3 3 3" xfId="13757" xr:uid="{1002F3C3-A171-4B72-B6F5-2EF4D0BCCDB0}"/>
    <cellStyle name="Comma 3 2 2 3 3 3 3 2" xfId="50265" xr:uid="{F719E969-D9F5-4F77-ACE4-A87682E7859B}"/>
    <cellStyle name="Comma 3 2 2 3 3 3 3 3" xfId="32011" xr:uid="{F339236A-0DED-40AA-BEAF-145F3DFB2D03}"/>
    <cellStyle name="Comma 3 2 2 3 3 3 4" xfId="10107" xr:uid="{CDE422B2-7D20-4016-AF2C-2191CA8A553C}"/>
    <cellStyle name="Comma 3 2 2 3 3 3 4 2" xfId="46615" xr:uid="{BE7B0511-59F0-4A4D-8A40-E72D5ABCA229}"/>
    <cellStyle name="Comma 3 2 2 3 3 3 4 3" xfId="28361" xr:uid="{6C02A337-700E-4C7B-BF1C-AEC7150E5848}"/>
    <cellStyle name="Comma 3 2 2 3 3 3 5" xfId="6457" xr:uid="{64C5DBB8-A5B5-4A97-B1E5-22837E76FA82}"/>
    <cellStyle name="Comma 3 2 2 3 3 3 5 2" xfId="42965" xr:uid="{FBF7456B-3982-4C7F-94B5-2AB130EB361D}"/>
    <cellStyle name="Comma 3 2 2 3 3 3 5 3" xfId="24711" xr:uid="{7E0BDEA7-6DF9-4D89-9D3D-72DFC7389C22}"/>
    <cellStyle name="Comma 3 2 2 3 3 3 6" xfId="39315" xr:uid="{54480E0B-C3C3-479E-8CB5-559B68B60D3D}"/>
    <cellStyle name="Comma 3 2 2 3 3 3 7" xfId="21061" xr:uid="{92C6C812-2E69-4A0C-BF0C-CD957AB0E228}"/>
    <cellStyle name="Comma 3 2 2 3 3 4" xfId="2077" xr:uid="{B59CF752-70E6-4C4A-9B89-BF8893C9A4CF}"/>
    <cellStyle name="Comma 3 2 2 3 3 4 2" xfId="16677" xr:uid="{EC21CC8C-2DBB-4BAC-A603-468DE6CB6018}"/>
    <cellStyle name="Comma 3 2 2 3 3 4 2 2" xfId="53185" xr:uid="{A4A536AE-DC1B-4209-B37A-27D58567AF84}"/>
    <cellStyle name="Comma 3 2 2 3 3 4 2 3" xfId="34931" xr:uid="{FB555F50-B667-4125-8CE8-5C380F8139D0}"/>
    <cellStyle name="Comma 3 2 2 3 3 4 3" xfId="13027" xr:uid="{1125F5A4-935A-46B2-B76E-ED9F4152D384}"/>
    <cellStyle name="Comma 3 2 2 3 3 4 3 2" xfId="49535" xr:uid="{32CBC4D4-093C-4683-9B65-F6F00BE9D779}"/>
    <cellStyle name="Comma 3 2 2 3 3 4 3 3" xfId="31281" xr:uid="{ADB13722-3570-469C-A013-662020420EF7}"/>
    <cellStyle name="Comma 3 2 2 3 3 4 4" xfId="9377" xr:uid="{532014CD-809A-4ABC-8FEF-2CA8396C5F8A}"/>
    <cellStyle name="Comma 3 2 2 3 3 4 4 2" xfId="45885" xr:uid="{17CE54BF-2BF9-4F17-B34D-D90BC19E5E52}"/>
    <cellStyle name="Comma 3 2 2 3 3 4 4 3" xfId="27631" xr:uid="{234C30C2-F16D-4396-9D0F-A6A28CC42D20}"/>
    <cellStyle name="Comma 3 2 2 3 3 4 5" xfId="5727" xr:uid="{877672D3-DE07-44FC-BFD7-FD86D77C2605}"/>
    <cellStyle name="Comma 3 2 2 3 3 4 5 2" xfId="42235" xr:uid="{A5873958-C849-488B-A69E-BF9091AABEFE}"/>
    <cellStyle name="Comma 3 2 2 3 3 4 5 3" xfId="23981" xr:uid="{FC7CFFDD-ACD8-4C4E-9251-0B6ADEA80073}"/>
    <cellStyle name="Comma 3 2 2 3 3 4 6" xfId="38585" xr:uid="{CD3B6D68-EEDA-4B8F-A78D-86AE3055744E}"/>
    <cellStyle name="Comma 3 2 2 3 3 4 7" xfId="20331" xr:uid="{FE9C9D14-0873-4D66-A3E9-A519890E4178}"/>
    <cellStyle name="Comma 3 2 2 3 3 5" xfId="1347" xr:uid="{1F5A686A-898A-400F-9EC6-B7E138AC5073}"/>
    <cellStyle name="Comma 3 2 2 3 3 5 2" xfId="15947" xr:uid="{D4C6A151-E507-45D4-92E2-A257C20978D3}"/>
    <cellStyle name="Comma 3 2 2 3 3 5 2 2" xfId="52455" xr:uid="{3725F35A-322C-4C6B-BEEA-13C318639868}"/>
    <cellStyle name="Comma 3 2 2 3 3 5 2 3" xfId="34201" xr:uid="{F24A7ED6-94B2-45F2-A212-898CEBBE3929}"/>
    <cellStyle name="Comma 3 2 2 3 3 5 3" xfId="12297" xr:uid="{8BF7B4DF-AB0E-4D9E-AACC-29E0F4871772}"/>
    <cellStyle name="Comma 3 2 2 3 3 5 3 2" xfId="48805" xr:uid="{F1B3EEC4-2515-4E8F-894D-95FB375358DB}"/>
    <cellStyle name="Comma 3 2 2 3 3 5 3 3" xfId="30551" xr:uid="{6986B469-9F38-4393-8BC7-484826104504}"/>
    <cellStyle name="Comma 3 2 2 3 3 5 4" xfId="8647" xr:uid="{FC399CCA-1E3F-4634-92E1-79C50FB2FAC9}"/>
    <cellStyle name="Comma 3 2 2 3 3 5 4 2" xfId="45155" xr:uid="{17690C6E-5DCE-4CD4-91D5-FB68FB0386DE}"/>
    <cellStyle name="Comma 3 2 2 3 3 5 4 3" xfId="26901" xr:uid="{59491315-77FB-4C95-801F-59EBC4485A53}"/>
    <cellStyle name="Comma 3 2 2 3 3 5 5" xfId="4997" xr:uid="{0CC89193-0298-4E43-8CEF-4396233E062D}"/>
    <cellStyle name="Comma 3 2 2 3 3 5 5 2" xfId="41505" xr:uid="{F8E4C1A7-3126-41F8-A656-1F5744A1DBAF}"/>
    <cellStyle name="Comma 3 2 2 3 3 5 5 3" xfId="23251" xr:uid="{2739A87F-8D7C-422B-8EA5-704B3B8ABB84}"/>
    <cellStyle name="Comma 3 2 2 3 3 5 6" xfId="37855" xr:uid="{72B5A165-C013-4D16-924B-72DC21335BD7}"/>
    <cellStyle name="Comma 3 2 2 3 3 5 7" xfId="19601" xr:uid="{5450F0E2-8DB2-495C-97C7-A11574198C8A}"/>
    <cellStyle name="Comma 3 2 2 3 3 6" xfId="15217" xr:uid="{6B2176AB-324D-4A43-9380-300144D5322E}"/>
    <cellStyle name="Comma 3 2 2 3 3 6 2" xfId="51725" xr:uid="{41352D6E-F358-4AFF-92EB-2370B0D5AD77}"/>
    <cellStyle name="Comma 3 2 2 3 3 6 3" xfId="33471" xr:uid="{AD3012FB-C33D-411A-BAB7-B20E4AF911AA}"/>
    <cellStyle name="Comma 3 2 2 3 3 7" xfId="11567" xr:uid="{8947D040-7C31-4B49-8999-5EFA84F2FF1B}"/>
    <cellStyle name="Comma 3 2 2 3 3 7 2" xfId="48075" xr:uid="{E8C87FF6-3A37-4723-9954-85B80836D1BE}"/>
    <cellStyle name="Comma 3 2 2 3 3 7 3" xfId="29821" xr:uid="{D56F8100-81CA-425E-84B9-4ECA2C446E1A}"/>
    <cellStyle name="Comma 3 2 2 3 3 8" xfId="7917" xr:uid="{5BC8F817-7E95-4616-AC75-893B9AA3351B}"/>
    <cellStyle name="Comma 3 2 2 3 3 8 2" xfId="44425" xr:uid="{110DFC82-ABEA-4448-9423-08BC5BE340E5}"/>
    <cellStyle name="Comma 3 2 2 3 3 8 3" xfId="26171" xr:uid="{FD8950D9-0C3D-41BC-8A66-A51ABE46D0EC}"/>
    <cellStyle name="Comma 3 2 2 3 3 9" xfId="4267" xr:uid="{B1351EB7-F63E-49B0-82DB-9F86059D852E}"/>
    <cellStyle name="Comma 3 2 2 3 3 9 2" xfId="40775" xr:uid="{BAC333D9-5830-480A-98EA-0950BD66E518}"/>
    <cellStyle name="Comma 3 2 2 3 3 9 3" xfId="22521" xr:uid="{A63A12BB-B2EE-4186-8714-31DF138C0066}"/>
    <cellStyle name="Comma 3 2 2 3 4" xfId="513" xr:uid="{36E1B069-7B1A-4F9D-B29B-9E28F472225B}"/>
    <cellStyle name="Comma 3 2 2 3 4 10" xfId="37021" xr:uid="{FCB432E6-BA93-49E5-B706-E7C5B45F3167}"/>
    <cellStyle name="Comma 3 2 2 3 4 11" xfId="18767" xr:uid="{96774ADE-2385-440A-97C4-355126025E68}"/>
    <cellStyle name="Comma 3 2 2 3 4 2" xfId="3433" xr:uid="{18605089-BBCE-4938-A3D1-20B4A46A6C14}"/>
    <cellStyle name="Comma 3 2 2 3 4 2 2" xfId="18033" xr:uid="{B7B8DBC2-4908-4CB7-AE9D-2EF10C7A0C62}"/>
    <cellStyle name="Comma 3 2 2 3 4 2 2 2" xfId="54541" xr:uid="{D50276E1-6CD6-4688-8B25-FB208DF74098}"/>
    <cellStyle name="Comma 3 2 2 3 4 2 2 3" xfId="36287" xr:uid="{5AF2A6B5-43BD-4E0B-B167-8BC56587475A}"/>
    <cellStyle name="Comma 3 2 2 3 4 2 3" xfId="14383" xr:uid="{194DEC54-854D-4577-89EC-4287F507B6B1}"/>
    <cellStyle name="Comma 3 2 2 3 4 2 3 2" xfId="50891" xr:uid="{9BFCBAE2-89C3-49B2-B3F6-29170A1AD4D0}"/>
    <cellStyle name="Comma 3 2 2 3 4 2 3 3" xfId="32637" xr:uid="{CE6CAD0A-8966-4439-B2DC-5735791E89F8}"/>
    <cellStyle name="Comma 3 2 2 3 4 2 4" xfId="10733" xr:uid="{3CB195A4-E6A8-4043-94DD-0318CD93C291}"/>
    <cellStyle name="Comma 3 2 2 3 4 2 4 2" xfId="47241" xr:uid="{17C9323A-80C6-4C92-8883-8A22C472BD57}"/>
    <cellStyle name="Comma 3 2 2 3 4 2 4 3" xfId="28987" xr:uid="{6D00DBFA-9180-40A4-A039-75A502B8454C}"/>
    <cellStyle name="Comma 3 2 2 3 4 2 5" xfId="7083" xr:uid="{CBD2E7DF-1544-438F-BD8D-A1CF41977578}"/>
    <cellStyle name="Comma 3 2 2 3 4 2 5 2" xfId="43591" xr:uid="{25EC343F-63F2-4D84-A541-37A393EA9565}"/>
    <cellStyle name="Comma 3 2 2 3 4 2 5 3" xfId="25337" xr:uid="{92C287B3-278F-4838-9DD2-875E0D6F7F65}"/>
    <cellStyle name="Comma 3 2 2 3 4 2 6" xfId="39941" xr:uid="{F593104B-0972-4A0F-B341-35D30E564A9C}"/>
    <cellStyle name="Comma 3 2 2 3 4 2 7" xfId="21687" xr:uid="{3A8F343F-6FE4-449D-81CB-2E00D3A370C8}"/>
    <cellStyle name="Comma 3 2 2 3 4 3" xfId="2703" xr:uid="{97716070-BD50-435A-BAA3-AE57DEFC5B9E}"/>
    <cellStyle name="Comma 3 2 2 3 4 3 2" xfId="17303" xr:uid="{9EFD2F3D-A60A-4A4B-99B0-969EB1BC7CFC}"/>
    <cellStyle name="Comma 3 2 2 3 4 3 2 2" xfId="53811" xr:uid="{84501C1E-0ECA-478E-BF56-A1CE18DC6FBD}"/>
    <cellStyle name="Comma 3 2 2 3 4 3 2 3" xfId="35557" xr:uid="{F7F58DA1-432A-444C-97F6-A774507A66F1}"/>
    <cellStyle name="Comma 3 2 2 3 4 3 3" xfId="13653" xr:uid="{F56F5A0D-AFA0-4994-90EF-1AE8DBC913FA}"/>
    <cellStyle name="Comma 3 2 2 3 4 3 3 2" xfId="50161" xr:uid="{E51F2D4C-8A05-4980-B0EB-BB06CB98A73F}"/>
    <cellStyle name="Comma 3 2 2 3 4 3 3 3" xfId="31907" xr:uid="{3B1DE284-BA46-4153-B3AD-B7F4BA96101E}"/>
    <cellStyle name="Comma 3 2 2 3 4 3 4" xfId="10003" xr:uid="{97F9EC93-1732-44EE-B748-BC401B52E4FB}"/>
    <cellStyle name="Comma 3 2 2 3 4 3 4 2" xfId="46511" xr:uid="{7C59009A-77E4-4519-98A6-F170139E6324}"/>
    <cellStyle name="Comma 3 2 2 3 4 3 4 3" xfId="28257" xr:uid="{3DF3587A-10C7-45AD-B886-C0F6C4E2CF8D}"/>
    <cellStyle name="Comma 3 2 2 3 4 3 5" xfId="6353" xr:uid="{61529E4D-BBE1-4753-A2A1-D5F221AD864B}"/>
    <cellStyle name="Comma 3 2 2 3 4 3 5 2" xfId="42861" xr:uid="{9D243754-D0DF-4BD7-85CA-6CDDB8E5A2DA}"/>
    <cellStyle name="Comma 3 2 2 3 4 3 5 3" xfId="24607" xr:uid="{A349FA4C-4406-4C9C-B587-0A3B001B6E63}"/>
    <cellStyle name="Comma 3 2 2 3 4 3 6" xfId="39211" xr:uid="{D5D1F715-F4EB-4DDC-BB6C-D336ACB85433}"/>
    <cellStyle name="Comma 3 2 2 3 4 3 7" xfId="20957" xr:uid="{BB579878-C738-48E7-A91B-2F2904DB6F65}"/>
    <cellStyle name="Comma 3 2 2 3 4 4" xfId="1973" xr:uid="{4F2D8D12-5A10-4395-9624-C0734C4C868A}"/>
    <cellStyle name="Comma 3 2 2 3 4 4 2" xfId="16573" xr:uid="{B359277D-5FF8-439B-BF54-39374075DFF3}"/>
    <cellStyle name="Comma 3 2 2 3 4 4 2 2" xfId="53081" xr:uid="{C019B2ED-33EA-46A8-9C3D-178810651F62}"/>
    <cellStyle name="Comma 3 2 2 3 4 4 2 3" xfId="34827" xr:uid="{8B5C317D-91B7-4BA4-9009-ED6432885D9C}"/>
    <cellStyle name="Comma 3 2 2 3 4 4 3" xfId="12923" xr:uid="{FAA11528-47B8-4F97-9A21-316B92559212}"/>
    <cellStyle name="Comma 3 2 2 3 4 4 3 2" xfId="49431" xr:uid="{6A5CE39A-DD1A-4434-9F4F-BB5797BADE96}"/>
    <cellStyle name="Comma 3 2 2 3 4 4 3 3" xfId="31177" xr:uid="{4B22C964-5AA9-4F83-80CD-89E87A39908F}"/>
    <cellStyle name="Comma 3 2 2 3 4 4 4" xfId="9273" xr:uid="{4FC8D9A8-BC01-408E-B905-FA5BC9E9DB83}"/>
    <cellStyle name="Comma 3 2 2 3 4 4 4 2" xfId="45781" xr:uid="{36DBB518-DBD8-4887-BB1A-4597E1AA8716}"/>
    <cellStyle name="Comma 3 2 2 3 4 4 4 3" xfId="27527" xr:uid="{12BB87A5-EE18-46F7-9D55-B9DC5A75DAB4}"/>
    <cellStyle name="Comma 3 2 2 3 4 4 5" xfId="5623" xr:uid="{1476B18E-7B29-407E-8020-DD84F262F5D6}"/>
    <cellStyle name="Comma 3 2 2 3 4 4 5 2" xfId="42131" xr:uid="{010ACEB0-D3CF-4C03-B3C2-20AEEA1FF9B1}"/>
    <cellStyle name="Comma 3 2 2 3 4 4 5 3" xfId="23877" xr:uid="{018823F3-B04C-4442-9D01-6D40113702B7}"/>
    <cellStyle name="Comma 3 2 2 3 4 4 6" xfId="38481" xr:uid="{428A4F5B-E934-4CF5-943C-B2101862F88D}"/>
    <cellStyle name="Comma 3 2 2 3 4 4 7" xfId="20227" xr:uid="{099D8809-DF40-40EE-AA55-3143F1BCCFF4}"/>
    <cellStyle name="Comma 3 2 2 3 4 5" xfId="1243" xr:uid="{A475A329-1AE1-450F-A240-C65EAA52E436}"/>
    <cellStyle name="Comma 3 2 2 3 4 5 2" xfId="15843" xr:uid="{89CDFAC5-680F-43EE-AFBF-F849537DF110}"/>
    <cellStyle name="Comma 3 2 2 3 4 5 2 2" xfId="52351" xr:uid="{3DA6928C-2171-4B41-9434-04A155F5EF12}"/>
    <cellStyle name="Comma 3 2 2 3 4 5 2 3" xfId="34097" xr:uid="{56865FEE-CE49-43A0-9468-F234BE302BDA}"/>
    <cellStyle name="Comma 3 2 2 3 4 5 3" xfId="12193" xr:uid="{D9A37F55-8097-41A2-A4AB-3F91DC588E35}"/>
    <cellStyle name="Comma 3 2 2 3 4 5 3 2" xfId="48701" xr:uid="{BDA61EBC-3C1C-46F6-BAC8-6E31752388CB}"/>
    <cellStyle name="Comma 3 2 2 3 4 5 3 3" xfId="30447" xr:uid="{EB081D76-52E9-41C5-AC04-F7773C139DBC}"/>
    <cellStyle name="Comma 3 2 2 3 4 5 4" xfId="8543" xr:uid="{2F9E8184-D879-48A5-82A4-230BF11E6DDF}"/>
    <cellStyle name="Comma 3 2 2 3 4 5 4 2" xfId="45051" xr:uid="{4A8C9B40-C1C7-43C2-AC72-AE1CE005715C}"/>
    <cellStyle name="Comma 3 2 2 3 4 5 4 3" xfId="26797" xr:uid="{CB77922B-FF7A-4B3F-86ED-13E0C2DBFB2F}"/>
    <cellStyle name="Comma 3 2 2 3 4 5 5" xfId="4893" xr:uid="{7558FB6C-DD94-441A-A839-7E16C859D9B3}"/>
    <cellStyle name="Comma 3 2 2 3 4 5 5 2" xfId="41401" xr:uid="{486CA99A-865F-4283-9B40-484C85FB7E41}"/>
    <cellStyle name="Comma 3 2 2 3 4 5 5 3" xfId="23147" xr:uid="{0364B3B1-D667-49AD-9258-CFC67909181B}"/>
    <cellStyle name="Comma 3 2 2 3 4 5 6" xfId="37751" xr:uid="{1838A938-5F3C-4A7C-B2B9-B563DA2FB058}"/>
    <cellStyle name="Comma 3 2 2 3 4 5 7" xfId="19497" xr:uid="{866B42C3-3ADB-4B8D-887A-C158F68CFDD3}"/>
    <cellStyle name="Comma 3 2 2 3 4 6" xfId="15113" xr:uid="{43418630-89FB-41EC-8FE2-AD0A39CBC61E}"/>
    <cellStyle name="Comma 3 2 2 3 4 6 2" xfId="51621" xr:uid="{60E7053D-2869-47BF-B407-24C360B0E4CF}"/>
    <cellStyle name="Comma 3 2 2 3 4 6 3" xfId="33367" xr:uid="{B422A118-88F6-4DF0-A9B5-9BE511A765C1}"/>
    <cellStyle name="Comma 3 2 2 3 4 7" xfId="11463" xr:uid="{0A2FC736-E1FD-4E8F-8260-F27798DEE277}"/>
    <cellStyle name="Comma 3 2 2 3 4 7 2" xfId="47971" xr:uid="{58BB75A6-1091-4E4C-A88E-E14C513551F7}"/>
    <cellStyle name="Comma 3 2 2 3 4 7 3" xfId="29717" xr:uid="{606B48EF-7626-40B9-911D-93A2D6523AB4}"/>
    <cellStyle name="Comma 3 2 2 3 4 8" xfId="7813" xr:uid="{F894737B-C9DF-421F-A03D-F25B2EE4F2F2}"/>
    <cellStyle name="Comma 3 2 2 3 4 8 2" xfId="44321" xr:uid="{74F88268-E147-450E-8659-F88392596EDE}"/>
    <cellStyle name="Comma 3 2 2 3 4 8 3" xfId="26067" xr:uid="{D4E5DD8A-07F5-42EE-A702-CBBDC92C3B0A}"/>
    <cellStyle name="Comma 3 2 2 3 4 9" xfId="4163" xr:uid="{5970DE75-4C9D-46F5-9639-98032F1E1DFE}"/>
    <cellStyle name="Comma 3 2 2 3 4 9 2" xfId="40671" xr:uid="{04621979-263F-4051-A33F-6B945D7D632B}"/>
    <cellStyle name="Comma 3 2 2 3 4 9 3" xfId="22417" xr:uid="{E47D5941-F9AB-47D7-B744-AAA83FC80FE3}"/>
    <cellStyle name="Comma 3 2 2 3 5" xfId="409" xr:uid="{8C739FBC-CB49-472F-9579-1B1310EE53A9}"/>
    <cellStyle name="Comma 3 2 2 3 5 10" xfId="36917" xr:uid="{7375A799-415E-468A-8E00-80093631D7EB}"/>
    <cellStyle name="Comma 3 2 2 3 5 11" xfId="18663" xr:uid="{D885CAE5-5CEB-468B-A623-13D9C421817C}"/>
    <cellStyle name="Comma 3 2 2 3 5 2" xfId="3329" xr:uid="{E01CD2E3-0434-4F11-82E0-EBD0A426994B}"/>
    <cellStyle name="Comma 3 2 2 3 5 2 2" xfId="17929" xr:uid="{749853EF-F758-4A4E-8086-10376344BC79}"/>
    <cellStyle name="Comma 3 2 2 3 5 2 2 2" xfId="54437" xr:uid="{C5B509EC-7828-408F-8C4D-BE2E230B51BC}"/>
    <cellStyle name="Comma 3 2 2 3 5 2 2 3" xfId="36183" xr:uid="{2AC92083-B264-4281-B065-78E40F53035E}"/>
    <cellStyle name="Comma 3 2 2 3 5 2 3" xfId="14279" xr:uid="{C119D332-A65F-406E-A5D0-7E8E8CCBE169}"/>
    <cellStyle name="Comma 3 2 2 3 5 2 3 2" xfId="50787" xr:uid="{C44E4EA6-DFC0-43AC-AA9E-55B9AFFD1B58}"/>
    <cellStyle name="Comma 3 2 2 3 5 2 3 3" xfId="32533" xr:uid="{B7428873-F5CC-4A59-9DBB-AA4F36CC6092}"/>
    <cellStyle name="Comma 3 2 2 3 5 2 4" xfId="10629" xr:uid="{B580E18F-437B-4F97-991E-91D73277B689}"/>
    <cellStyle name="Comma 3 2 2 3 5 2 4 2" xfId="47137" xr:uid="{98546A4C-117B-4293-8764-43EDC5336C6F}"/>
    <cellStyle name="Comma 3 2 2 3 5 2 4 3" xfId="28883" xr:uid="{20EED7FD-4289-4865-AD5E-B058EFAB0721}"/>
    <cellStyle name="Comma 3 2 2 3 5 2 5" xfId="6979" xr:uid="{DBB99243-014E-423D-A28A-45F5290DB6D7}"/>
    <cellStyle name="Comma 3 2 2 3 5 2 5 2" xfId="43487" xr:uid="{CDE630E7-299B-4446-A35A-B8BC9E1D2E3B}"/>
    <cellStyle name="Comma 3 2 2 3 5 2 5 3" xfId="25233" xr:uid="{3705CBAA-A520-4938-A10A-E569ADD54537}"/>
    <cellStyle name="Comma 3 2 2 3 5 2 6" xfId="39837" xr:uid="{4CDF341C-D711-4057-894E-77E32CA2D584}"/>
    <cellStyle name="Comma 3 2 2 3 5 2 7" xfId="21583" xr:uid="{3338B519-0D15-4EC0-B2FE-2EB08C7A762D}"/>
    <cellStyle name="Comma 3 2 2 3 5 3" xfId="2599" xr:uid="{BB111E3A-C99F-4B6C-9036-766ADE0E8721}"/>
    <cellStyle name="Comma 3 2 2 3 5 3 2" xfId="17199" xr:uid="{4D66D0AC-DD2C-4E2C-9304-F5E707DE2AF6}"/>
    <cellStyle name="Comma 3 2 2 3 5 3 2 2" xfId="53707" xr:uid="{22CB70CA-032F-4219-881B-9503AFB0846F}"/>
    <cellStyle name="Comma 3 2 2 3 5 3 2 3" xfId="35453" xr:uid="{7018A32E-6914-48E8-9FE3-43D5FC990E0A}"/>
    <cellStyle name="Comma 3 2 2 3 5 3 3" xfId="13549" xr:uid="{88258949-B053-493E-A5C9-FD54EE984EE6}"/>
    <cellStyle name="Comma 3 2 2 3 5 3 3 2" xfId="50057" xr:uid="{89CA2F6D-4D3B-4B2E-ADF9-8D47235507A5}"/>
    <cellStyle name="Comma 3 2 2 3 5 3 3 3" xfId="31803" xr:uid="{474F70D6-16D9-41A0-9133-6BBC0200E116}"/>
    <cellStyle name="Comma 3 2 2 3 5 3 4" xfId="9899" xr:uid="{65A9BF32-9851-4ECB-AB16-C998E1AF5432}"/>
    <cellStyle name="Comma 3 2 2 3 5 3 4 2" xfId="46407" xr:uid="{03298FB3-D5CD-4B32-B116-1713DC8DE606}"/>
    <cellStyle name="Comma 3 2 2 3 5 3 4 3" xfId="28153" xr:uid="{9FAD9536-8965-4FF2-B54E-66465F28F639}"/>
    <cellStyle name="Comma 3 2 2 3 5 3 5" xfId="6249" xr:uid="{B088F0FE-BC5B-42F5-A034-2DB8F00AC623}"/>
    <cellStyle name="Comma 3 2 2 3 5 3 5 2" xfId="42757" xr:uid="{B6F9FA49-F294-441A-B824-F6DCF1A71807}"/>
    <cellStyle name="Comma 3 2 2 3 5 3 5 3" xfId="24503" xr:uid="{D23FA905-5DB4-40ED-9E73-0993F974DAB0}"/>
    <cellStyle name="Comma 3 2 2 3 5 3 6" xfId="39107" xr:uid="{2E0E7687-3C57-4277-BD21-4CE1BC8EE670}"/>
    <cellStyle name="Comma 3 2 2 3 5 3 7" xfId="20853" xr:uid="{9D0285AC-80BB-47AD-BF07-12BC2C685915}"/>
    <cellStyle name="Comma 3 2 2 3 5 4" xfId="1869" xr:uid="{04E35C98-6DFF-4B6E-AEEC-47FFF3AF0A59}"/>
    <cellStyle name="Comma 3 2 2 3 5 4 2" xfId="16469" xr:uid="{815882C4-5792-42C8-BDEC-DA1654E66F3F}"/>
    <cellStyle name="Comma 3 2 2 3 5 4 2 2" xfId="52977" xr:uid="{5BA9DF1A-6B43-46D7-913F-A6D3451CC157}"/>
    <cellStyle name="Comma 3 2 2 3 5 4 2 3" xfId="34723" xr:uid="{85435A27-DD88-415A-AD06-640C261FD338}"/>
    <cellStyle name="Comma 3 2 2 3 5 4 3" xfId="12819" xr:uid="{4D3B99B5-2607-43CD-A79E-A9E6F8F43129}"/>
    <cellStyle name="Comma 3 2 2 3 5 4 3 2" xfId="49327" xr:uid="{A0FCA90C-7077-4515-A611-21DC944F6124}"/>
    <cellStyle name="Comma 3 2 2 3 5 4 3 3" xfId="31073" xr:uid="{FBBD1E95-87E0-4DFA-BC32-A21D37785321}"/>
    <cellStyle name="Comma 3 2 2 3 5 4 4" xfId="9169" xr:uid="{CBD1AAE5-4A94-4A31-B703-E483CC774121}"/>
    <cellStyle name="Comma 3 2 2 3 5 4 4 2" xfId="45677" xr:uid="{12D1A3F3-9CE5-4DF3-8626-D48B56A601AA}"/>
    <cellStyle name="Comma 3 2 2 3 5 4 4 3" xfId="27423" xr:uid="{D08FAD21-A2F8-4D35-9AE9-E0F354EFF5A5}"/>
    <cellStyle name="Comma 3 2 2 3 5 4 5" xfId="5519" xr:uid="{D6339F5E-30B9-4A7F-BE97-AAAC4BB6594E}"/>
    <cellStyle name="Comma 3 2 2 3 5 4 5 2" xfId="42027" xr:uid="{A97FA435-9EF4-4489-8C8A-98116592FFA0}"/>
    <cellStyle name="Comma 3 2 2 3 5 4 5 3" xfId="23773" xr:uid="{1D5B9753-81B9-493B-8551-F215A9643FDC}"/>
    <cellStyle name="Comma 3 2 2 3 5 4 6" xfId="38377" xr:uid="{52E476FB-349F-497E-9406-FD1D5190951F}"/>
    <cellStyle name="Comma 3 2 2 3 5 4 7" xfId="20123" xr:uid="{4A6A0930-2886-49E0-B822-FDDFE444457D}"/>
    <cellStyle name="Comma 3 2 2 3 5 5" xfId="1139" xr:uid="{13CDD9C1-CAC8-4B63-89D7-9E5552FA73CF}"/>
    <cellStyle name="Comma 3 2 2 3 5 5 2" xfId="15739" xr:uid="{F5AE3A64-E1C9-432A-8E21-8613D23B6EE0}"/>
    <cellStyle name="Comma 3 2 2 3 5 5 2 2" xfId="52247" xr:uid="{0682AEA3-0AF3-4D9C-A3C1-6CCD37B3645D}"/>
    <cellStyle name="Comma 3 2 2 3 5 5 2 3" xfId="33993" xr:uid="{1905C6A1-6B35-4256-8F70-C63B50641351}"/>
    <cellStyle name="Comma 3 2 2 3 5 5 3" xfId="12089" xr:uid="{F2C5466A-F31A-4E6D-9A5A-6D9FBD6A1A33}"/>
    <cellStyle name="Comma 3 2 2 3 5 5 3 2" xfId="48597" xr:uid="{5088D061-8F0A-4E0F-B91B-46838D41F2D6}"/>
    <cellStyle name="Comma 3 2 2 3 5 5 3 3" xfId="30343" xr:uid="{ADD692CF-8895-4455-B311-2510BEBBBAA9}"/>
    <cellStyle name="Comma 3 2 2 3 5 5 4" xfId="8439" xr:uid="{59DBFFF1-054C-4AEA-B201-E0D88219C475}"/>
    <cellStyle name="Comma 3 2 2 3 5 5 4 2" xfId="44947" xr:uid="{02F58DD3-46B4-4735-84B0-9D1C7D909915}"/>
    <cellStyle name="Comma 3 2 2 3 5 5 4 3" xfId="26693" xr:uid="{5EAEE82B-FB93-43EA-BC24-1CC0900F92BD}"/>
    <cellStyle name="Comma 3 2 2 3 5 5 5" xfId="4789" xr:uid="{AD957DF3-33A4-430F-BB6F-BF4C71B7225F}"/>
    <cellStyle name="Comma 3 2 2 3 5 5 5 2" xfId="41297" xr:uid="{95F4EEDC-BC18-4B86-9E29-49916FE4E6C3}"/>
    <cellStyle name="Comma 3 2 2 3 5 5 5 3" xfId="23043" xr:uid="{60DA2A06-77C7-49A9-9F02-089314BCD726}"/>
    <cellStyle name="Comma 3 2 2 3 5 5 6" xfId="37647" xr:uid="{661FD562-D249-4B79-92CA-EB97F2B515D7}"/>
    <cellStyle name="Comma 3 2 2 3 5 5 7" xfId="19393" xr:uid="{110D375A-B5D2-4493-84E1-57C95E7C17C4}"/>
    <cellStyle name="Comma 3 2 2 3 5 6" xfId="15009" xr:uid="{208B00AD-2BBE-4808-A0EB-791972AD6A77}"/>
    <cellStyle name="Comma 3 2 2 3 5 6 2" xfId="51517" xr:uid="{0290937D-FAA5-4549-B08D-E42E87A4217E}"/>
    <cellStyle name="Comma 3 2 2 3 5 6 3" xfId="33263" xr:uid="{BA54ABA4-1632-4A47-B0BA-AF80E3DA8C03}"/>
    <cellStyle name="Comma 3 2 2 3 5 7" xfId="11359" xr:uid="{DC005C6D-EA06-4DBA-85AC-C4C9FD2380F4}"/>
    <cellStyle name="Comma 3 2 2 3 5 7 2" xfId="47867" xr:uid="{3C201C82-B05A-490B-866F-E319A806ED9D}"/>
    <cellStyle name="Comma 3 2 2 3 5 7 3" xfId="29613" xr:uid="{7FD368F2-A286-4F8B-821D-FF3832D32975}"/>
    <cellStyle name="Comma 3 2 2 3 5 8" xfId="7709" xr:uid="{94FC7F29-469B-4D8A-9165-0B3985841E4B}"/>
    <cellStyle name="Comma 3 2 2 3 5 8 2" xfId="44217" xr:uid="{D08DB733-4F00-47BE-A0E5-A6433E46579C}"/>
    <cellStyle name="Comma 3 2 2 3 5 8 3" xfId="25963" xr:uid="{0DD67022-9369-4652-8EA5-21AF8C14EA95}"/>
    <cellStyle name="Comma 3 2 2 3 5 9" xfId="4059" xr:uid="{84271603-AB39-4CCB-87AA-CE41E58E1E80}"/>
    <cellStyle name="Comma 3 2 2 3 5 9 2" xfId="40567" xr:uid="{13B25F7D-888D-41F6-8343-4154C5CF8458}"/>
    <cellStyle name="Comma 3 2 2 3 5 9 3" xfId="22313" xr:uid="{B15FEF6D-E4CF-4EE6-84C4-F094BC871A64}"/>
    <cellStyle name="Comma 3 2 2 3 6" xfId="305" xr:uid="{930A55CC-C607-4DE0-9A80-9C6D752CBFFD}"/>
    <cellStyle name="Comma 3 2 2 3 6 10" xfId="36813" xr:uid="{2DEE90CF-A516-4A8B-A7B6-DCBF5B977FC2}"/>
    <cellStyle name="Comma 3 2 2 3 6 11" xfId="18559" xr:uid="{3C8BF800-CFF7-4AAD-8902-F2F10CB8D981}"/>
    <cellStyle name="Comma 3 2 2 3 6 2" xfId="3225" xr:uid="{5D4A6129-3115-4C2F-9D7A-1AF12B291613}"/>
    <cellStyle name="Comma 3 2 2 3 6 2 2" xfId="17825" xr:uid="{2C6F403C-29F9-4D21-A8F3-22BC11CA036C}"/>
    <cellStyle name="Comma 3 2 2 3 6 2 2 2" xfId="54333" xr:uid="{71D8AD4C-F5B4-4263-A503-E38F60C4D621}"/>
    <cellStyle name="Comma 3 2 2 3 6 2 2 3" xfId="36079" xr:uid="{8555D48A-3208-41E4-995A-628B5937B890}"/>
    <cellStyle name="Comma 3 2 2 3 6 2 3" xfId="14175" xr:uid="{1F0A8F22-F61E-4143-B77E-CB9A5964EF9C}"/>
    <cellStyle name="Comma 3 2 2 3 6 2 3 2" xfId="50683" xr:uid="{8A5B9378-BE82-4570-8E4C-8CF041FC0CE2}"/>
    <cellStyle name="Comma 3 2 2 3 6 2 3 3" xfId="32429" xr:uid="{038D12A7-C9F8-49A4-9A6E-BF40C33C7368}"/>
    <cellStyle name="Comma 3 2 2 3 6 2 4" xfId="10525" xr:uid="{5E5D15EE-725B-431D-BD55-608A6918DC9B}"/>
    <cellStyle name="Comma 3 2 2 3 6 2 4 2" xfId="47033" xr:uid="{17D70059-EBA4-4A53-B1D5-B6D53D30505F}"/>
    <cellStyle name="Comma 3 2 2 3 6 2 4 3" xfId="28779" xr:uid="{03D8C478-0088-4AA8-8D00-766B219E5631}"/>
    <cellStyle name="Comma 3 2 2 3 6 2 5" xfId="6875" xr:uid="{F53CF985-77C0-4DD7-82CC-11773871B5AE}"/>
    <cellStyle name="Comma 3 2 2 3 6 2 5 2" xfId="43383" xr:uid="{4C32CB66-7403-4CD3-AC95-B0A0F84449E8}"/>
    <cellStyle name="Comma 3 2 2 3 6 2 5 3" xfId="25129" xr:uid="{19689BA1-94F9-4B36-AD39-3995F2AA0B83}"/>
    <cellStyle name="Comma 3 2 2 3 6 2 6" xfId="39733" xr:uid="{75CA720A-E93D-4E80-AD05-365E6DF8FCA9}"/>
    <cellStyle name="Comma 3 2 2 3 6 2 7" xfId="21479" xr:uid="{F27C6564-1A2C-422E-A3B0-891F0DD7E8B6}"/>
    <cellStyle name="Comma 3 2 2 3 6 3" xfId="2495" xr:uid="{E00DC71A-1BF5-4CF4-AD51-24AE47E2860B}"/>
    <cellStyle name="Comma 3 2 2 3 6 3 2" xfId="17095" xr:uid="{CC9AB955-CCFD-4FE8-9C61-F9BD287A4353}"/>
    <cellStyle name="Comma 3 2 2 3 6 3 2 2" xfId="53603" xr:uid="{1888BF62-AFEE-4A53-A06F-57F1F330977D}"/>
    <cellStyle name="Comma 3 2 2 3 6 3 2 3" xfId="35349" xr:uid="{7DB3E29B-C320-499E-A887-B8DED396B215}"/>
    <cellStyle name="Comma 3 2 2 3 6 3 3" xfId="13445" xr:uid="{46236E41-AA84-445F-B345-938728FD0089}"/>
    <cellStyle name="Comma 3 2 2 3 6 3 3 2" xfId="49953" xr:uid="{671D2B05-B5C5-466A-8A06-3F5E658FD159}"/>
    <cellStyle name="Comma 3 2 2 3 6 3 3 3" xfId="31699" xr:uid="{6CA53ED3-E153-41E6-A0B3-04C689EC21C8}"/>
    <cellStyle name="Comma 3 2 2 3 6 3 4" xfId="9795" xr:uid="{9E1AC858-8FFF-461C-AA3C-E0390B168B86}"/>
    <cellStyle name="Comma 3 2 2 3 6 3 4 2" xfId="46303" xr:uid="{540CE629-984C-44F2-9B5B-71594A64F02C}"/>
    <cellStyle name="Comma 3 2 2 3 6 3 4 3" xfId="28049" xr:uid="{DA7F7578-8FD2-42B7-9C90-9D8E86652E98}"/>
    <cellStyle name="Comma 3 2 2 3 6 3 5" xfId="6145" xr:uid="{A1E6D8B3-DD0B-48A4-A73A-54961FB5505F}"/>
    <cellStyle name="Comma 3 2 2 3 6 3 5 2" xfId="42653" xr:uid="{002CFEC4-C189-45E2-8907-C2E06C086208}"/>
    <cellStyle name="Comma 3 2 2 3 6 3 5 3" xfId="24399" xr:uid="{CB9903AF-D0D4-45D2-B15B-E5B2790B0519}"/>
    <cellStyle name="Comma 3 2 2 3 6 3 6" xfId="39003" xr:uid="{3B6BC5E9-3535-416D-A06B-4E9316AABEE9}"/>
    <cellStyle name="Comma 3 2 2 3 6 3 7" xfId="20749" xr:uid="{2071CEC5-921F-4BE9-826A-3CBD4F280F1D}"/>
    <cellStyle name="Comma 3 2 2 3 6 4" xfId="1765" xr:uid="{3B73F104-62B4-483A-99B1-025CD294F655}"/>
    <cellStyle name="Comma 3 2 2 3 6 4 2" xfId="16365" xr:uid="{17965BEF-011C-4974-B1FF-E70944463AD7}"/>
    <cellStyle name="Comma 3 2 2 3 6 4 2 2" xfId="52873" xr:uid="{3BE39152-1B0E-4506-BA1D-0ACD4168A2C0}"/>
    <cellStyle name="Comma 3 2 2 3 6 4 2 3" xfId="34619" xr:uid="{3B004EE6-50CF-42CC-9089-76AFA51EA394}"/>
    <cellStyle name="Comma 3 2 2 3 6 4 3" xfId="12715" xr:uid="{9B74159F-7E7B-4EA9-B893-868FF8A9EADF}"/>
    <cellStyle name="Comma 3 2 2 3 6 4 3 2" xfId="49223" xr:uid="{5B484B8D-7EDC-4B75-867F-1E3CCB26DF61}"/>
    <cellStyle name="Comma 3 2 2 3 6 4 3 3" xfId="30969" xr:uid="{E4C62C5B-6E85-45A5-8DD0-B144A0B65B7A}"/>
    <cellStyle name="Comma 3 2 2 3 6 4 4" xfId="9065" xr:uid="{EF758FD9-43E1-4553-90AA-C8216C5E57C1}"/>
    <cellStyle name="Comma 3 2 2 3 6 4 4 2" xfId="45573" xr:uid="{DBBDD510-4ADD-4FD1-AD62-3A5D9949248A}"/>
    <cellStyle name="Comma 3 2 2 3 6 4 4 3" xfId="27319" xr:uid="{E29BC834-4FC3-475B-BF01-8262D519B36E}"/>
    <cellStyle name="Comma 3 2 2 3 6 4 5" xfId="5415" xr:uid="{AEEC8BE1-8EEF-4742-9A26-8C393129EC2E}"/>
    <cellStyle name="Comma 3 2 2 3 6 4 5 2" xfId="41923" xr:uid="{C7AC6048-4FED-4CAE-9263-85381A996B62}"/>
    <cellStyle name="Comma 3 2 2 3 6 4 5 3" xfId="23669" xr:uid="{91E823BA-4CD4-418B-90F5-47A1AC6FFD26}"/>
    <cellStyle name="Comma 3 2 2 3 6 4 6" xfId="38273" xr:uid="{F16DCDE7-5583-4077-A56C-0830B9BDB830}"/>
    <cellStyle name="Comma 3 2 2 3 6 4 7" xfId="20019" xr:uid="{4B664D48-E6FE-4E41-9863-71676E5842E4}"/>
    <cellStyle name="Comma 3 2 2 3 6 5" xfId="1035" xr:uid="{26187943-476A-4317-8AA2-662A782DD4CC}"/>
    <cellStyle name="Comma 3 2 2 3 6 5 2" xfId="15635" xr:uid="{055D8BE0-2675-4AE9-BBEE-B99BDCE1033D}"/>
    <cellStyle name="Comma 3 2 2 3 6 5 2 2" xfId="52143" xr:uid="{9645303A-9C07-43D7-AEE5-108EAAA53BAE}"/>
    <cellStyle name="Comma 3 2 2 3 6 5 2 3" xfId="33889" xr:uid="{575751D6-FCD6-43E4-9E97-50E150E88E2A}"/>
    <cellStyle name="Comma 3 2 2 3 6 5 3" xfId="11985" xr:uid="{22978161-85CB-4BE2-9FD7-89C21FF77F37}"/>
    <cellStyle name="Comma 3 2 2 3 6 5 3 2" xfId="48493" xr:uid="{F4987F14-3364-498E-BC50-EC31174D465E}"/>
    <cellStyle name="Comma 3 2 2 3 6 5 3 3" xfId="30239" xr:uid="{6B766A49-B86B-400B-8F9A-1F85B6359DC2}"/>
    <cellStyle name="Comma 3 2 2 3 6 5 4" xfId="8335" xr:uid="{6C03AA1E-4698-4C8A-9373-2302B2F32EB8}"/>
    <cellStyle name="Comma 3 2 2 3 6 5 4 2" xfId="44843" xr:uid="{E3707495-CAFC-49A5-932E-DD5D19BCA3C5}"/>
    <cellStyle name="Comma 3 2 2 3 6 5 4 3" xfId="26589" xr:uid="{5A09680D-0FC4-4009-89D7-F78BDAB0C2E1}"/>
    <cellStyle name="Comma 3 2 2 3 6 5 5" xfId="4685" xr:uid="{77B267D5-4216-45AB-9673-E873A89CD25B}"/>
    <cellStyle name="Comma 3 2 2 3 6 5 5 2" xfId="41193" xr:uid="{44F0B007-9DA0-417F-BE2E-561736632321}"/>
    <cellStyle name="Comma 3 2 2 3 6 5 5 3" xfId="22939" xr:uid="{C69F1641-D4AC-4F03-B2A4-BBF2C11FB07F}"/>
    <cellStyle name="Comma 3 2 2 3 6 5 6" xfId="37543" xr:uid="{983DAD0B-0FBE-4417-A68E-387D29B58B3B}"/>
    <cellStyle name="Comma 3 2 2 3 6 5 7" xfId="19289" xr:uid="{9FE0D1C9-2B0C-4377-B58B-246ED18C4108}"/>
    <cellStyle name="Comma 3 2 2 3 6 6" xfId="14905" xr:uid="{1FC34DAB-03D6-4E63-915F-8AF9DB521C52}"/>
    <cellStyle name="Comma 3 2 2 3 6 6 2" xfId="51413" xr:uid="{791A46DD-B155-4B25-9A96-74ABA7C509AC}"/>
    <cellStyle name="Comma 3 2 2 3 6 6 3" xfId="33159" xr:uid="{732C0445-87F6-4FE4-83DE-1E906D718D87}"/>
    <cellStyle name="Comma 3 2 2 3 6 7" xfId="11255" xr:uid="{8D125631-4031-411E-A648-50A7558F545A}"/>
    <cellStyle name="Comma 3 2 2 3 6 7 2" xfId="47763" xr:uid="{4D2718FD-E639-4DAC-B7C2-FB309FE40B4C}"/>
    <cellStyle name="Comma 3 2 2 3 6 7 3" xfId="29509" xr:uid="{1E090871-A4C2-41A2-81EE-D8A1827E3FAF}"/>
    <cellStyle name="Comma 3 2 2 3 6 8" xfId="7605" xr:uid="{A1B6952A-405B-427D-BAEC-905E8CB0763F}"/>
    <cellStyle name="Comma 3 2 2 3 6 8 2" xfId="44113" xr:uid="{5F2002DA-E577-4FFB-A0C0-86905717C10D}"/>
    <cellStyle name="Comma 3 2 2 3 6 8 3" xfId="25859" xr:uid="{7708AE46-930A-47C4-82F0-DE3547569852}"/>
    <cellStyle name="Comma 3 2 2 3 6 9" xfId="3955" xr:uid="{414DCE2A-E223-4189-B862-4D684D64078A}"/>
    <cellStyle name="Comma 3 2 2 3 6 9 2" xfId="40463" xr:uid="{F970589F-8B3D-4278-A561-29B017DEEDED}"/>
    <cellStyle name="Comma 3 2 2 3 6 9 3" xfId="22209" xr:uid="{60D8CE61-8398-4DEE-BA49-DB4040BF42AE}"/>
    <cellStyle name="Comma 3 2 2 3 7" xfId="201" xr:uid="{1E49BAD3-B831-4567-8685-B5E0B4521399}"/>
    <cellStyle name="Comma 3 2 2 3 7 10" xfId="36709" xr:uid="{E9C5C535-B4E9-443A-A21E-1F5C207C22BD}"/>
    <cellStyle name="Comma 3 2 2 3 7 11" xfId="18455" xr:uid="{D8AD51CA-59A8-4C92-BCB1-2A89E7D46152}"/>
    <cellStyle name="Comma 3 2 2 3 7 2" xfId="3121" xr:uid="{CF59D770-8875-40FD-BB58-080F0704FE16}"/>
    <cellStyle name="Comma 3 2 2 3 7 2 2" xfId="17721" xr:uid="{E8B7D5CF-7484-4158-BE00-0AA2F6A02789}"/>
    <cellStyle name="Comma 3 2 2 3 7 2 2 2" xfId="54229" xr:uid="{BC0A5338-1FA6-4674-8F39-577D56CD9DD7}"/>
    <cellStyle name="Comma 3 2 2 3 7 2 2 3" xfId="35975" xr:uid="{FDBA4D5F-DC18-45B5-889F-BE21AB0A8874}"/>
    <cellStyle name="Comma 3 2 2 3 7 2 3" xfId="14071" xr:uid="{E4FD67B5-74DD-462C-AA51-2A3131B7B2CF}"/>
    <cellStyle name="Comma 3 2 2 3 7 2 3 2" xfId="50579" xr:uid="{29DB8530-51B0-4DC5-831C-36FE0B4F5409}"/>
    <cellStyle name="Comma 3 2 2 3 7 2 3 3" xfId="32325" xr:uid="{054CFEDD-44A4-4C97-9C74-78BFEB933E28}"/>
    <cellStyle name="Comma 3 2 2 3 7 2 4" xfId="10421" xr:uid="{D8608BF0-DD0D-4DCD-8A5E-676FB54EBCD7}"/>
    <cellStyle name="Comma 3 2 2 3 7 2 4 2" xfId="46929" xr:uid="{EA6791B4-6107-4A60-A55A-15B151A8526D}"/>
    <cellStyle name="Comma 3 2 2 3 7 2 4 3" xfId="28675" xr:uid="{E9410B05-0E4D-4DA9-BC8E-7EF79683C145}"/>
    <cellStyle name="Comma 3 2 2 3 7 2 5" xfId="6771" xr:uid="{101520D5-B9C6-467D-92D7-6538698AB3AB}"/>
    <cellStyle name="Comma 3 2 2 3 7 2 5 2" xfId="43279" xr:uid="{F37B9C9F-F301-4FFC-AFEA-92110343AAEC}"/>
    <cellStyle name="Comma 3 2 2 3 7 2 5 3" xfId="25025" xr:uid="{3EA911EB-CB87-4155-9D1D-A5D2C6FD36E7}"/>
    <cellStyle name="Comma 3 2 2 3 7 2 6" xfId="39629" xr:uid="{7DF880CD-F742-47EB-9B54-1FC86E338150}"/>
    <cellStyle name="Comma 3 2 2 3 7 2 7" xfId="21375" xr:uid="{C73113F7-0220-492A-AF07-9028BFFED52C}"/>
    <cellStyle name="Comma 3 2 2 3 7 3" xfId="2391" xr:uid="{459C26BC-6BFC-472F-929D-E9302545DB00}"/>
    <cellStyle name="Comma 3 2 2 3 7 3 2" xfId="16991" xr:uid="{F314FEF0-D288-4A98-81AB-6A492787B268}"/>
    <cellStyle name="Comma 3 2 2 3 7 3 2 2" xfId="53499" xr:uid="{322A22B5-17E8-4E08-846F-B65791BDFB99}"/>
    <cellStyle name="Comma 3 2 2 3 7 3 2 3" xfId="35245" xr:uid="{6E176B9F-4DB6-47E0-871E-C15732CF0322}"/>
    <cellStyle name="Comma 3 2 2 3 7 3 3" xfId="13341" xr:uid="{3176C58F-7315-4BFF-B7F5-27B21FD62B6B}"/>
    <cellStyle name="Comma 3 2 2 3 7 3 3 2" xfId="49849" xr:uid="{232C35D9-1AD1-44A3-83B7-ACE1FFAF7E9A}"/>
    <cellStyle name="Comma 3 2 2 3 7 3 3 3" xfId="31595" xr:uid="{E5157C22-30DE-47A9-A77E-D88B76C24B61}"/>
    <cellStyle name="Comma 3 2 2 3 7 3 4" xfId="9691" xr:uid="{A6DD140C-05E9-4BCC-A253-CB05E03490E7}"/>
    <cellStyle name="Comma 3 2 2 3 7 3 4 2" xfId="46199" xr:uid="{3783CA95-1C60-4ACE-A8BA-9F22565248A0}"/>
    <cellStyle name="Comma 3 2 2 3 7 3 4 3" xfId="27945" xr:uid="{A8D29DE1-F087-4BDF-9A14-A01B4ECA7DE7}"/>
    <cellStyle name="Comma 3 2 2 3 7 3 5" xfId="6041" xr:uid="{15DA0B6D-1FCF-4890-8A19-4B6FB6B324E6}"/>
    <cellStyle name="Comma 3 2 2 3 7 3 5 2" xfId="42549" xr:uid="{936700E9-6D97-4A51-A26E-E93EA6FABA59}"/>
    <cellStyle name="Comma 3 2 2 3 7 3 5 3" xfId="24295" xr:uid="{AED3EBAF-EE0C-4921-A203-500042B2455F}"/>
    <cellStyle name="Comma 3 2 2 3 7 3 6" xfId="38899" xr:uid="{64A6C0BF-18A3-4705-A894-C1DAF977C72E}"/>
    <cellStyle name="Comma 3 2 2 3 7 3 7" xfId="20645" xr:uid="{8794358C-9A3C-4EF2-9E2E-749AC543E51C}"/>
    <cellStyle name="Comma 3 2 2 3 7 4" xfId="1661" xr:uid="{29004EB4-48DC-471C-B250-58F1AF7C2363}"/>
    <cellStyle name="Comma 3 2 2 3 7 4 2" xfId="16261" xr:uid="{E0020CCC-C6CF-4CEA-9397-A78B53F8D58C}"/>
    <cellStyle name="Comma 3 2 2 3 7 4 2 2" xfId="52769" xr:uid="{AEF5778B-AA38-4C5D-93C3-884D0A8F526A}"/>
    <cellStyle name="Comma 3 2 2 3 7 4 2 3" xfId="34515" xr:uid="{F96443C0-8951-4788-9612-549D43313306}"/>
    <cellStyle name="Comma 3 2 2 3 7 4 3" xfId="12611" xr:uid="{8711FE6A-5DB4-46A4-A2B7-B01D06839F3F}"/>
    <cellStyle name="Comma 3 2 2 3 7 4 3 2" xfId="49119" xr:uid="{660B17E4-DB96-4548-A75F-749A7E1C938E}"/>
    <cellStyle name="Comma 3 2 2 3 7 4 3 3" xfId="30865" xr:uid="{9FE31A03-3DCA-4B0D-94B6-461BAADCC5E7}"/>
    <cellStyle name="Comma 3 2 2 3 7 4 4" xfId="8961" xr:uid="{B58123E6-805F-42AE-9239-E6A4E9AFF1C1}"/>
    <cellStyle name="Comma 3 2 2 3 7 4 4 2" xfId="45469" xr:uid="{47A237FD-E5F0-4421-A44E-E49EF76E1057}"/>
    <cellStyle name="Comma 3 2 2 3 7 4 4 3" xfId="27215" xr:uid="{AF082F68-3B20-4D9E-B966-DC77D9053821}"/>
    <cellStyle name="Comma 3 2 2 3 7 4 5" xfId="5311" xr:uid="{93A260DC-F833-406A-9886-8403C28D3AE1}"/>
    <cellStyle name="Comma 3 2 2 3 7 4 5 2" xfId="41819" xr:uid="{F575F618-BEA9-4C72-ACA9-DFAB03D03DC6}"/>
    <cellStyle name="Comma 3 2 2 3 7 4 5 3" xfId="23565" xr:uid="{2941B111-0B19-46FB-9119-B3A2B8CB19E9}"/>
    <cellStyle name="Comma 3 2 2 3 7 4 6" xfId="38169" xr:uid="{45603D7D-C9B7-4FCA-A849-733A006A0241}"/>
    <cellStyle name="Comma 3 2 2 3 7 4 7" xfId="19915" xr:uid="{45B30E7A-479E-4C6A-9917-BDB3F50662F9}"/>
    <cellStyle name="Comma 3 2 2 3 7 5" xfId="931" xr:uid="{D13F1B5F-C793-439E-998E-B932B3B05A58}"/>
    <cellStyle name="Comma 3 2 2 3 7 5 2" xfId="15531" xr:uid="{2FE12119-EA1F-4A72-950A-091CEDF2D002}"/>
    <cellStyle name="Comma 3 2 2 3 7 5 2 2" xfId="52039" xr:uid="{FD1777E8-FFD7-426D-BD2C-126977866902}"/>
    <cellStyle name="Comma 3 2 2 3 7 5 2 3" xfId="33785" xr:uid="{D2960546-15C1-442A-ADC0-2F2CE4143160}"/>
    <cellStyle name="Comma 3 2 2 3 7 5 3" xfId="11881" xr:uid="{555F4BDF-96A5-457D-AE0E-7D406DA1C0A9}"/>
    <cellStyle name="Comma 3 2 2 3 7 5 3 2" xfId="48389" xr:uid="{CD098F46-C1B2-4591-83C4-5429A555B592}"/>
    <cellStyle name="Comma 3 2 2 3 7 5 3 3" xfId="30135" xr:uid="{FDC90011-89D1-4976-82A0-5E68749FF0AF}"/>
    <cellStyle name="Comma 3 2 2 3 7 5 4" xfId="8231" xr:uid="{8AF5A794-CA5D-4C42-94AD-049B99D5FD81}"/>
    <cellStyle name="Comma 3 2 2 3 7 5 4 2" xfId="44739" xr:uid="{B5C7C332-594B-4CA1-A74E-1F5694A51EC7}"/>
    <cellStyle name="Comma 3 2 2 3 7 5 4 3" xfId="26485" xr:uid="{1203495C-4A9F-4895-9D48-9AE9D8F840D7}"/>
    <cellStyle name="Comma 3 2 2 3 7 5 5" xfId="4581" xr:uid="{B73DC2EF-1AE9-4821-9FED-4D2C81415957}"/>
    <cellStyle name="Comma 3 2 2 3 7 5 5 2" xfId="41089" xr:uid="{0F53679C-2F0A-4C21-83F3-56F471695BBC}"/>
    <cellStyle name="Comma 3 2 2 3 7 5 5 3" xfId="22835" xr:uid="{FBFF9095-4EED-46D4-A153-DFDBD81625B9}"/>
    <cellStyle name="Comma 3 2 2 3 7 5 6" xfId="37439" xr:uid="{F4AF406B-D15D-4F85-A0F3-75F059ECF223}"/>
    <cellStyle name="Comma 3 2 2 3 7 5 7" xfId="19185" xr:uid="{9A946858-800A-4D53-8EF0-F852C04C3A55}"/>
    <cellStyle name="Comma 3 2 2 3 7 6" xfId="14801" xr:uid="{05BE1A08-66FA-42F8-9471-0CBA79043AAB}"/>
    <cellStyle name="Comma 3 2 2 3 7 6 2" xfId="51309" xr:uid="{0B303A60-E5F7-464C-9B72-9FC0400AF624}"/>
    <cellStyle name="Comma 3 2 2 3 7 6 3" xfId="33055" xr:uid="{D026E2B1-C370-4696-9507-3C7EB537CC24}"/>
    <cellStyle name="Comma 3 2 2 3 7 7" xfId="11151" xr:uid="{73427F19-C916-4769-8697-A2A44AAE72C8}"/>
    <cellStyle name="Comma 3 2 2 3 7 7 2" xfId="47659" xr:uid="{E615EC4A-C26A-46E3-AFA6-32285D669550}"/>
    <cellStyle name="Comma 3 2 2 3 7 7 3" xfId="29405" xr:uid="{BD5EB10B-C18E-4B5F-93EF-C4EC95ED579E}"/>
    <cellStyle name="Comma 3 2 2 3 7 8" xfId="7501" xr:uid="{13A3218D-0A0A-45B6-847B-D1290CCAEFE4}"/>
    <cellStyle name="Comma 3 2 2 3 7 8 2" xfId="44009" xr:uid="{51EF3072-4A48-4BC8-94BB-C038D69F7AAB}"/>
    <cellStyle name="Comma 3 2 2 3 7 8 3" xfId="25755" xr:uid="{A965A0CB-5FAC-48D5-8247-38FCE57F608D}"/>
    <cellStyle name="Comma 3 2 2 3 7 9" xfId="3851" xr:uid="{F17BA97D-73F8-401F-A7B7-E55E4E794566}"/>
    <cellStyle name="Comma 3 2 2 3 7 9 2" xfId="40359" xr:uid="{2EC9E1F7-424A-4312-99F8-9AA83EF3CCD7}"/>
    <cellStyle name="Comma 3 2 2 3 7 9 3" xfId="22105" xr:uid="{042E4F39-FC79-4FEB-A04C-8FA5B857E27E}"/>
    <cellStyle name="Comma 3 2 2 3 8" xfId="3017" xr:uid="{7BBBA55D-E08C-46E3-98A4-873D88815522}"/>
    <cellStyle name="Comma 3 2 2 3 8 2" xfId="17617" xr:uid="{B8A1C41C-9627-4C87-B7DE-D1B5C3A68CAD}"/>
    <cellStyle name="Comma 3 2 2 3 8 2 2" xfId="54125" xr:uid="{AC28C76C-A712-4F7F-B525-CE708B0D34DF}"/>
    <cellStyle name="Comma 3 2 2 3 8 2 3" xfId="35871" xr:uid="{E4F9A07E-385D-4091-AF09-6798CBF60EC7}"/>
    <cellStyle name="Comma 3 2 2 3 8 3" xfId="13967" xr:uid="{E490E0E3-49CB-4100-9517-DC79B5F2CEF4}"/>
    <cellStyle name="Comma 3 2 2 3 8 3 2" xfId="50475" xr:uid="{229F4E78-4CEA-4B41-A9E6-2AFCCE9453D0}"/>
    <cellStyle name="Comma 3 2 2 3 8 3 3" xfId="32221" xr:uid="{09B42B21-0605-4CBC-8DB2-6BF0DF1139E8}"/>
    <cellStyle name="Comma 3 2 2 3 8 4" xfId="10317" xr:uid="{68C68D18-1405-4033-9D5B-5FF1D78EFCF5}"/>
    <cellStyle name="Comma 3 2 2 3 8 4 2" xfId="46825" xr:uid="{28871333-26C1-4592-AD78-B225612D19C5}"/>
    <cellStyle name="Comma 3 2 2 3 8 4 3" xfId="28571" xr:uid="{DF1D9598-B787-4183-9587-E6DA9901C10D}"/>
    <cellStyle name="Comma 3 2 2 3 8 5" xfId="6667" xr:uid="{8E367624-162E-4839-8DE3-19EDCD0D6BE3}"/>
    <cellStyle name="Comma 3 2 2 3 8 5 2" xfId="43175" xr:uid="{AC564A96-8EFB-48FD-86A0-59144CE13650}"/>
    <cellStyle name="Comma 3 2 2 3 8 5 3" xfId="24921" xr:uid="{F95AEE19-26E9-4C3B-9F0E-5B2FD81E00A6}"/>
    <cellStyle name="Comma 3 2 2 3 8 6" xfId="39525" xr:uid="{D8162961-AF33-4C02-B368-EC23E389A4B7}"/>
    <cellStyle name="Comma 3 2 2 3 8 7" xfId="21271" xr:uid="{09F801E4-6E66-41AB-95F0-AAB350D7FB81}"/>
    <cellStyle name="Comma 3 2 2 3 9" xfId="2287" xr:uid="{27C85A1F-9C9E-478C-B91F-BB074596CCFB}"/>
    <cellStyle name="Comma 3 2 2 3 9 2" xfId="16887" xr:uid="{EB349741-A1BE-495A-819C-7C24BC477508}"/>
    <cellStyle name="Comma 3 2 2 3 9 2 2" xfId="53395" xr:uid="{7C9C7928-D788-48F9-B42F-BA4F2DBEB677}"/>
    <cellStyle name="Comma 3 2 2 3 9 2 3" xfId="35141" xr:uid="{A9E3EE42-D1D1-4051-8A1B-66A2445A9FC6}"/>
    <cellStyle name="Comma 3 2 2 3 9 3" xfId="13237" xr:uid="{E38C1322-60C4-4A40-9422-228DAEF6F430}"/>
    <cellStyle name="Comma 3 2 2 3 9 3 2" xfId="49745" xr:uid="{9B00FDA4-F6FF-4A21-ABAB-FEE6DF7E94FD}"/>
    <cellStyle name="Comma 3 2 2 3 9 3 3" xfId="31491" xr:uid="{2C4D81EC-4933-4924-AC4F-7C5901580529}"/>
    <cellStyle name="Comma 3 2 2 3 9 4" xfId="9587" xr:uid="{C3693D97-FB3F-4FFF-821A-BAD13247D740}"/>
    <cellStyle name="Comma 3 2 2 3 9 4 2" xfId="46095" xr:uid="{A1B19944-6ACF-4F39-984A-59C82BA9AA1C}"/>
    <cellStyle name="Comma 3 2 2 3 9 4 3" xfId="27841" xr:uid="{0936FA25-380A-4315-B92A-47F096731066}"/>
    <cellStyle name="Comma 3 2 2 3 9 5" xfId="5937" xr:uid="{44E33969-7056-46D1-A559-5117E2DD3132}"/>
    <cellStyle name="Comma 3 2 2 3 9 5 2" xfId="42445" xr:uid="{57B0EA37-E221-4678-91A4-1407E5283EE0}"/>
    <cellStyle name="Comma 3 2 2 3 9 5 3" xfId="24191" xr:uid="{7F032766-4E93-4BB1-9944-A2CF59C56624}"/>
    <cellStyle name="Comma 3 2 2 3 9 6" xfId="38795" xr:uid="{C1F8B66F-88A9-4F23-8EDE-00F5E5411CDE}"/>
    <cellStyle name="Comma 3 2 2 3 9 7" xfId="20541" xr:uid="{6DE7F01A-AF29-4312-94C7-E239EF5ADC06}"/>
    <cellStyle name="Comma 3 2 2 4" xfId="59" xr:uid="{DA3B4002-3AF1-420B-8CC2-9E5B7820D853}"/>
    <cellStyle name="Comma 3 2 2 4 10" xfId="1525" xr:uid="{C1A5815F-BC5F-4211-B1B8-D50F386D0DC2}"/>
    <cellStyle name="Comma 3 2 2 4 10 2" xfId="16125" xr:uid="{CF325E45-5894-445B-9D0B-CE7650904AAA}"/>
    <cellStyle name="Comma 3 2 2 4 10 2 2" xfId="52633" xr:uid="{B1DF43F5-6575-42D2-8EAE-22D86D5397B9}"/>
    <cellStyle name="Comma 3 2 2 4 10 2 3" xfId="34379" xr:uid="{D76AEB67-4129-4E71-A514-4B5C3CCE5756}"/>
    <cellStyle name="Comma 3 2 2 4 10 3" xfId="12475" xr:uid="{FC805799-237D-43B4-B72F-A5A9C8A6B1E7}"/>
    <cellStyle name="Comma 3 2 2 4 10 3 2" xfId="48983" xr:uid="{8CC56355-39E4-4263-98ED-BA890F1C53C3}"/>
    <cellStyle name="Comma 3 2 2 4 10 3 3" xfId="30729" xr:uid="{6EF3E586-760A-441C-AA2E-4F9509C53E7F}"/>
    <cellStyle name="Comma 3 2 2 4 10 4" xfId="8825" xr:uid="{D1D89773-9167-49B1-80C3-16B108897BF0}"/>
    <cellStyle name="Comma 3 2 2 4 10 4 2" xfId="45333" xr:uid="{3C6C1E82-C78A-4E4A-8BB8-EECABF696A79}"/>
    <cellStyle name="Comma 3 2 2 4 10 4 3" xfId="27079" xr:uid="{FAB8026F-B172-446D-B315-3AB6AD9F9089}"/>
    <cellStyle name="Comma 3 2 2 4 10 5" xfId="5175" xr:uid="{8520788C-8495-4615-AF53-5B3CDC9A3D27}"/>
    <cellStyle name="Comma 3 2 2 4 10 5 2" xfId="41683" xr:uid="{D7AFE197-CA8A-40DC-9060-6B15ADD4388A}"/>
    <cellStyle name="Comma 3 2 2 4 10 5 3" xfId="23429" xr:uid="{F6B67D70-87F4-46D4-A7A9-4E77FEFC1CDE}"/>
    <cellStyle name="Comma 3 2 2 4 10 6" xfId="38033" xr:uid="{B66CDBF1-4E77-414B-BDD1-641336CF0E59}"/>
    <cellStyle name="Comma 3 2 2 4 10 7" xfId="19779" xr:uid="{CB2DB79F-FF51-4842-BAE5-5545BBB72B80}"/>
    <cellStyle name="Comma 3 2 2 4 11" xfId="795" xr:uid="{6BCF3D00-4833-448F-8C8E-4DAE88D12D6C}"/>
    <cellStyle name="Comma 3 2 2 4 11 2" xfId="15395" xr:uid="{9CD08633-511F-4533-A437-D15506C5290C}"/>
    <cellStyle name="Comma 3 2 2 4 11 2 2" xfId="51903" xr:uid="{FC4D7CE1-0C61-4CB4-9543-70B5755C1A14}"/>
    <cellStyle name="Comma 3 2 2 4 11 2 3" xfId="33649" xr:uid="{E3E3B5B9-3195-4CA4-8143-24BC5C7BF5E4}"/>
    <cellStyle name="Comma 3 2 2 4 11 3" xfId="11745" xr:uid="{D0579F1B-15E2-4AD2-86E2-F7157FD3A608}"/>
    <cellStyle name="Comma 3 2 2 4 11 3 2" xfId="48253" xr:uid="{87784258-4880-4E1F-B6B9-433EA206B295}"/>
    <cellStyle name="Comma 3 2 2 4 11 3 3" xfId="29999" xr:uid="{8ECE4BDB-C558-41F0-8A02-1ED4DA3B9C64}"/>
    <cellStyle name="Comma 3 2 2 4 11 4" xfId="8095" xr:uid="{8A4BA9F7-2103-4900-89EB-FE1C4538E5D9}"/>
    <cellStyle name="Comma 3 2 2 4 11 4 2" xfId="44603" xr:uid="{4A61EFAC-0D94-4746-A711-B7DA8B6651DE}"/>
    <cellStyle name="Comma 3 2 2 4 11 4 3" xfId="26349" xr:uid="{3CE576E4-405E-4D09-A422-0E3FE7495446}"/>
    <cellStyle name="Comma 3 2 2 4 11 5" xfId="4445" xr:uid="{EA7353C2-1646-477B-932D-21B1784837DF}"/>
    <cellStyle name="Comma 3 2 2 4 11 5 2" xfId="40953" xr:uid="{BDE94C5B-A699-4906-8E0F-B8FC4ADB2566}"/>
    <cellStyle name="Comma 3 2 2 4 11 5 3" xfId="22699" xr:uid="{1349D8D8-523C-4A63-9F4C-0C7D6C9F91B5}"/>
    <cellStyle name="Comma 3 2 2 4 11 6" xfId="37303" xr:uid="{5BEA2006-E156-450A-BF21-C5160C1B9F1A}"/>
    <cellStyle name="Comma 3 2 2 4 11 7" xfId="19049" xr:uid="{F724754B-452A-4399-A4AD-F7276EC2777F}"/>
    <cellStyle name="Comma 3 2 2 4 12" xfId="14665" xr:uid="{EFD0A904-E7F1-4004-B95F-3511D78974AA}"/>
    <cellStyle name="Comma 3 2 2 4 12 2" xfId="51173" xr:uid="{AD92D66D-1BEA-4A68-BA2C-7B9D853BAEFC}"/>
    <cellStyle name="Comma 3 2 2 4 12 3" xfId="32919" xr:uid="{E23F46B9-DA3E-4781-8B04-D1A5EE2A3AC3}"/>
    <cellStyle name="Comma 3 2 2 4 13" xfId="11015" xr:uid="{A6228D81-9857-48F1-9617-E94832A59619}"/>
    <cellStyle name="Comma 3 2 2 4 13 2" xfId="47523" xr:uid="{DF85898D-4918-4DC2-BA81-8469FAB5642D}"/>
    <cellStyle name="Comma 3 2 2 4 13 3" xfId="29269" xr:uid="{6403CBDB-B593-4463-887C-A8B06D63E7B9}"/>
    <cellStyle name="Comma 3 2 2 4 14" xfId="7365" xr:uid="{6057445E-AACF-4AF7-B621-8845B0775F92}"/>
    <cellStyle name="Comma 3 2 2 4 14 2" xfId="43873" xr:uid="{045141E8-F575-446B-88E0-ADD1C6C081CE}"/>
    <cellStyle name="Comma 3 2 2 4 14 3" xfId="25619" xr:uid="{60ADB6E4-1047-428B-9B46-15D8AB353EEF}"/>
    <cellStyle name="Comma 3 2 2 4 15" xfId="3715" xr:uid="{BF18A8CB-CC6F-4828-A2D2-BC36C426EED5}"/>
    <cellStyle name="Comma 3 2 2 4 15 2" xfId="40223" xr:uid="{0982F10B-670A-4AD9-8EEA-C06DEC52088E}"/>
    <cellStyle name="Comma 3 2 2 4 15 3" xfId="21969" xr:uid="{EF7CE5A3-8088-47A7-868D-9E349C3B8881}"/>
    <cellStyle name="Comma 3 2 2 4 16" xfId="36573" xr:uid="{F4C66299-EA54-402C-9203-A93B3CC07C90}"/>
    <cellStyle name="Comma 3 2 2 4 17" xfId="18319" xr:uid="{91E1C5E8-4684-42B5-9BC9-ED2A9D7802CD}"/>
    <cellStyle name="Comma 3 2 2 4 2" xfId="689" xr:uid="{EDCAB46E-36DF-4F75-B63C-BF1668C7EDB7}"/>
    <cellStyle name="Comma 3 2 2 4 2 10" xfId="37197" xr:uid="{C18A72C6-355C-471C-A0AC-5DA860B04DBF}"/>
    <cellStyle name="Comma 3 2 2 4 2 11" xfId="18943" xr:uid="{21994D01-789C-4D22-97CC-61C150408929}"/>
    <cellStyle name="Comma 3 2 2 4 2 2" xfId="3609" xr:uid="{DEFC486D-ED02-42A0-9CBF-7FE45D6C4922}"/>
    <cellStyle name="Comma 3 2 2 4 2 2 2" xfId="18209" xr:uid="{BEC11228-2FD1-44DF-A674-A857328F5444}"/>
    <cellStyle name="Comma 3 2 2 4 2 2 2 2" xfId="54717" xr:uid="{4456E12E-0279-40F5-98E9-4E87A7837979}"/>
    <cellStyle name="Comma 3 2 2 4 2 2 2 3" xfId="36463" xr:uid="{F85348C2-E546-476F-8C47-8426479BFB44}"/>
    <cellStyle name="Comma 3 2 2 4 2 2 3" xfId="14559" xr:uid="{F3ECA860-DE75-4223-ACF0-F9FA97A86F38}"/>
    <cellStyle name="Comma 3 2 2 4 2 2 3 2" xfId="51067" xr:uid="{92DDF5E5-33B8-46CF-BD14-3A6F3B2BA4E6}"/>
    <cellStyle name="Comma 3 2 2 4 2 2 3 3" xfId="32813" xr:uid="{02C298AD-091E-44E8-8CA8-1F56FD2876BA}"/>
    <cellStyle name="Comma 3 2 2 4 2 2 4" xfId="10909" xr:uid="{E0E1033B-D054-4A35-952B-A82A8CC23EB7}"/>
    <cellStyle name="Comma 3 2 2 4 2 2 4 2" xfId="47417" xr:uid="{30F4A3E7-8EDB-4C8D-81E9-3F1214F041A2}"/>
    <cellStyle name="Comma 3 2 2 4 2 2 4 3" xfId="29163" xr:uid="{170FCC31-D883-45E3-B061-9CB34E19DFFD}"/>
    <cellStyle name="Comma 3 2 2 4 2 2 5" xfId="7259" xr:uid="{369B0402-A9EB-45CC-9F10-0C40DB7EEB17}"/>
    <cellStyle name="Comma 3 2 2 4 2 2 5 2" xfId="43767" xr:uid="{6740F391-8727-45DC-B831-5AC92F005F49}"/>
    <cellStyle name="Comma 3 2 2 4 2 2 5 3" xfId="25513" xr:uid="{52947D11-35A3-4EED-9CA6-70B5F01278CF}"/>
    <cellStyle name="Comma 3 2 2 4 2 2 6" xfId="40117" xr:uid="{8618C458-EF26-4857-905C-723C7B4FB5B6}"/>
    <cellStyle name="Comma 3 2 2 4 2 2 7" xfId="21863" xr:uid="{3DF3FAF3-F45A-4CFF-8366-6FAF3CB729BD}"/>
    <cellStyle name="Comma 3 2 2 4 2 3" xfId="2879" xr:uid="{EAA13A86-2C10-4824-A4B4-B9CB70B68E57}"/>
    <cellStyle name="Comma 3 2 2 4 2 3 2" xfId="17479" xr:uid="{AD3515A1-162F-4E58-9E75-AF60EAB91C09}"/>
    <cellStyle name="Comma 3 2 2 4 2 3 2 2" xfId="53987" xr:uid="{177DB922-AC5F-495A-9018-24FB3AA87E74}"/>
    <cellStyle name="Comma 3 2 2 4 2 3 2 3" xfId="35733" xr:uid="{F4639CD3-E7B7-4B9C-9A75-70DD38A9EF17}"/>
    <cellStyle name="Comma 3 2 2 4 2 3 3" xfId="13829" xr:uid="{28871500-F690-4ECD-8587-5FDC54347ECE}"/>
    <cellStyle name="Comma 3 2 2 4 2 3 3 2" xfId="50337" xr:uid="{50709AB3-483E-4249-9ADC-8DEAF2C7A77E}"/>
    <cellStyle name="Comma 3 2 2 4 2 3 3 3" xfId="32083" xr:uid="{533C03AF-C39D-4C61-BC23-7EA54C16DF53}"/>
    <cellStyle name="Comma 3 2 2 4 2 3 4" xfId="10179" xr:uid="{2EC85049-2371-4488-BEA9-15B349867626}"/>
    <cellStyle name="Comma 3 2 2 4 2 3 4 2" xfId="46687" xr:uid="{37160322-F9C0-4A3E-B8F1-FE7EFA2AD5BD}"/>
    <cellStyle name="Comma 3 2 2 4 2 3 4 3" xfId="28433" xr:uid="{E4DDA719-A86D-4BFF-93CD-62EA095E3494}"/>
    <cellStyle name="Comma 3 2 2 4 2 3 5" xfId="6529" xr:uid="{33F50FF2-ED85-42EF-A9A8-C3C9E3E017A1}"/>
    <cellStyle name="Comma 3 2 2 4 2 3 5 2" xfId="43037" xr:uid="{FCE0992F-DE84-4F00-BD3D-F75CFD907752}"/>
    <cellStyle name="Comma 3 2 2 4 2 3 5 3" xfId="24783" xr:uid="{2D3A834B-7D5B-4FEA-BEF3-9AC44A6BE065}"/>
    <cellStyle name="Comma 3 2 2 4 2 3 6" xfId="39387" xr:uid="{669EB55A-557A-4901-9BF2-FD5A5DA7F6EE}"/>
    <cellStyle name="Comma 3 2 2 4 2 3 7" xfId="21133" xr:uid="{B6636F24-2A0D-4FC8-925A-CFE43A1C1EF4}"/>
    <cellStyle name="Comma 3 2 2 4 2 4" xfId="2149" xr:uid="{F5356595-A014-4A7A-85A9-01D96C87C061}"/>
    <cellStyle name="Comma 3 2 2 4 2 4 2" xfId="16749" xr:uid="{72F2A90B-AF48-438A-B858-E7382A8F9589}"/>
    <cellStyle name="Comma 3 2 2 4 2 4 2 2" xfId="53257" xr:uid="{DAC9DE83-21BA-4FDB-8896-3004D30D3020}"/>
    <cellStyle name="Comma 3 2 2 4 2 4 2 3" xfId="35003" xr:uid="{8C3236E9-F868-405B-B857-1A2C80E59FB1}"/>
    <cellStyle name="Comma 3 2 2 4 2 4 3" xfId="13099" xr:uid="{1D4B957D-2098-456C-9A94-B67FD3417465}"/>
    <cellStyle name="Comma 3 2 2 4 2 4 3 2" xfId="49607" xr:uid="{2478D21E-9DD8-4344-9DEF-440706B15EF1}"/>
    <cellStyle name="Comma 3 2 2 4 2 4 3 3" xfId="31353" xr:uid="{132CEB8C-65AD-497F-8805-3BCF2CC42580}"/>
    <cellStyle name="Comma 3 2 2 4 2 4 4" xfId="9449" xr:uid="{91155131-B41A-44C1-A2FF-501497F5851D}"/>
    <cellStyle name="Comma 3 2 2 4 2 4 4 2" xfId="45957" xr:uid="{42884A67-E800-45BD-954B-E58FC43DB71D}"/>
    <cellStyle name="Comma 3 2 2 4 2 4 4 3" xfId="27703" xr:uid="{FFED2ABB-FA88-457F-A7A6-4BFEE15CCA62}"/>
    <cellStyle name="Comma 3 2 2 4 2 4 5" xfId="5799" xr:uid="{DF60566E-BA37-4013-B4D1-3BB5FBFC2810}"/>
    <cellStyle name="Comma 3 2 2 4 2 4 5 2" xfId="42307" xr:uid="{B253D698-7E6C-4FBA-BDDF-DCC5404BC284}"/>
    <cellStyle name="Comma 3 2 2 4 2 4 5 3" xfId="24053" xr:uid="{29C6C55C-8CF1-46D6-9DC9-DAB9EDB92D09}"/>
    <cellStyle name="Comma 3 2 2 4 2 4 6" xfId="38657" xr:uid="{A4F291B0-2E20-45E3-BC9D-279EDAB66216}"/>
    <cellStyle name="Comma 3 2 2 4 2 4 7" xfId="20403" xr:uid="{577080A7-4881-4447-8BB7-46A74F4C6CA9}"/>
    <cellStyle name="Comma 3 2 2 4 2 5" xfId="1419" xr:uid="{3843B1CB-3057-4AF0-B7DE-FA82AB7106A1}"/>
    <cellStyle name="Comma 3 2 2 4 2 5 2" xfId="16019" xr:uid="{14AC7C5C-A29C-412D-8CBB-98726C4133E9}"/>
    <cellStyle name="Comma 3 2 2 4 2 5 2 2" xfId="52527" xr:uid="{263D5A00-112D-466A-8F41-F3C989F9EE9B}"/>
    <cellStyle name="Comma 3 2 2 4 2 5 2 3" xfId="34273" xr:uid="{7EFDF996-D32C-4585-B70E-0ED3B5A34F45}"/>
    <cellStyle name="Comma 3 2 2 4 2 5 3" xfId="12369" xr:uid="{2458F303-6F28-4299-B8EF-F3DC16B19E89}"/>
    <cellStyle name="Comma 3 2 2 4 2 5 3 2" xfId="48877" xr:uid="{66D8BF2F-000A-4835-99D0-A1E8078605B5}"/>
    <cellStyle name="Comma 3 2 2 4 2 5 3 3" xfId="30623" xr:uid="{FB09964F-5178-405D-AF75-E17D1655179A}"/>
    <cellStyle name="Comma 3 2 2 4 2 5 4" xfId="8719" xr:uid="{69D70BDE-52D5-4684-BD46-0E4A68516712}"/>
    <cellStyle name="Comma 3 2 2 4 2 5 4 2" xfId="45227" xr:uid="{0B25F5DC-353A-4A7E-9AB7-E01DE1EE7255}"/>
    <cellStyle name="Comma 3 2 2 4 2 5 4 3" xfId="26973" xr:uid="{18A34A72-3BD0-4CAA-A0A3-1204DD643D8F}"/>
    <cellStyle name="Comma 3 2 2 4 2 5 5" xfId="5069" xr:uid="{910BB676-33DB-4175-A398-71363A931307}"/>
    <cellStyle name="Comma 3 2 2 4 2 5 5 2" xfId="41577" xr:uid="{B89711BF-60D4-48A3-8F1E-AFEE05CE057B}"/>
    <cellStyle name="Comma 3 2 2 4 2 5 5 3" xfId="23323" xr:uid="{BCC47BCB-528F-4F33-882C-F9A6A730814F}"/>
    <cellStyle name="Comma 3 2 2 4 2 5 6" xfId="37927" xr:uid="{8286951E-364A-43A8-BB34-698D68BF92E4}"/>
    <cellStyle name="Comma 3 2 2 4 2 5 7" xfId="19673" xr:uid="{47FC0163-095C-43B3-929B-5691F215D8FD}"/>
    <cellStyle name="Comma 3 2 2 4 2 6" xfId="15289" xr:uid="{BF53B48C-FC2A-4BA2-993E-BF1E0C1E6309}"/>
    <cellStyle name="Comma 3 2 2 4 2 6 2" xfId="51797" xr:uid="{A7E973EF-8FA5-400F-AE0C-1E1438601FBC}"/>
    <cellStyle name="Comma 3 2 2 4 2 6 3" xfId="33543" xr:uid="{33CAF7ED-DA87-4C58-9813-13F1F38FEAF6}"/>
    <cellStyle name="Comma 3 2 2 4 2 7" xfId="11639" xr:uid="{3266A9D7-6835-4D47-918C-E3533A32C7EA}"/>
    <cellStyle name="Comma 3 2 2 4 2 7 2" xfId="48147" xr:uid="{36259A05-252B-4D2B-BBAC-BEEB328057A0}"/>
    <cellStyle name="Comma 3 2 2 4 2 7 3" xfId="29893" xr:uid="{80749838-63D8-4821-899C-66A106138EAC}"/>
    <cellStyle name="Comma 3 2 2 4 2 8" xfId="7989" xr:uid="{0CE390B9-3733-4773-8D56-2DDE9CAAA731}"/>
    <cellStyle name="Comma 3 2 2 4 2 8 2" xfId="44497" xr:uid="{0F8BD95E-DF2A-4035-B150-06D740FA1F9F}"/>
    <cellStyle name="Comma 3 2 2 4 2 8 3" xfId="26243" xr:uid="{088C12C9-01DB-4A98-8AC7-87011C153EC1}"/>
    <cellStyle name="Comma 3 2 2 4 2 9" xfId="4339" xr:uid="{D94E7367-8576-4170-9D5C-715C97C6D459}"/>
    <cellStyle name="Comma 3 2 2 4 2 9 2" xfId="40847" xr:uid="{C087C788-0C3D-486C-B531-74B4C1A1435D}"/>
    <cellStyle name="Comma 3 2 2 4 2 9 3" xfId="22593" xr:uid="{E37537DF-CD5E-45A4-BA16-C95AAB86BF51}"/>
    <cellStyle name="Comma 3 2 2 4 3" xfId="585" xr:uid="{C699EC04-F34D-4B59-BED1-7EAFA82EC0B0}"/>
    <cellStyle name="Comma 3 2 2 4 3 10" xfId="37093" xr:uid="{D0C00123-CE3F-49E3-84E8-6661C0B9EACD}"/>
    <cellStyle name="Comma 3 2 2 4 3 11" xfId="18839" xr:uid="{40A81F6D-FFC7-456E-A410-2CCE0D36BEA0}"/>
    <cellStyle name="Comma 3 2 2 4 3 2" xfId="3505" xr:uid="{6DA7545B-F520-40DE-9A8A-E7C5CC0FCB07}"/>
    <cellStyle name="Comma 3 2 2 4 3 2 2" xfId="18105" xr:uid="{658BD85D-6B1A-44EE-998F-5A7DDEA30B34}"/>
    <cellStyle name="Comma 3 2 2 4 3 2 2 2" xfId="54613" xr:uid="{056AB14D-F894-4842-AA5A-92C32B3F355D}"/>
    <cellStyle name="Comma 3 2 2 4 3 2 2 3" xfId="36359" xr:uid="{3FC49AE1-7427-4818-A75B-82F5BA1AD103}"/>
    <cellStyle name="Comma 3 2 2 4 3 2 3" xfId="14455" xr:uid="{93B9D12C-346A-4BDE-988C-0D127120F391}"/>
    <cellStyle name="Comma 3 2 2 4 3 2 3 2" xfId="50963" xr:uid="{6A70C095-FF7D-4B15-9FE9-6E60110B5E60}"/>
    <cellStyle name="Comma 3 2 2 4 3 2 3 3" xfId="32709" xr:uid="{494121D5-1B72-42CD-90B7-BF4F64B6BCD7}"/>
    <cellStyle name="Comma 3 2 2 4 3 2 4" xfId="10805" xr:uid="{F858AD80-B105-4B6D-9A81-A43893A8C91B}"/>
    <cellStyle name="Comma 3 2 2 4 3 2 4 2" xfId="47313" xr:uid="{D8019DFA-B95E-4D40-9E27-2AB02769178B}"/>
    <cellStyle name="Comma 3 2 2 4 3 2 4 3" xfId="29059" xr:uid="{05C3874C-4BE8-46BD-9B5D-7D2F0062C123}"/>
    <cellStyle name="Comma 3 2 2 4 3 2 5" xfId="7155" xr:uid="{E0F90C3E-72A3-4940-96FA-CC7E88C8ADCA}"/>
    <cellStyle name="Comma 3 2 2 4 3 2 5 2" xfId="43663" xr:uid="{A569B5D7-F21F-4B93-B0E9-20AA32EF9A26}"/>
    <cellStyle name="Comma 3 2 2 4 3 2 5 3" xfId="25409" xr:uid="{B5F0A0B9-7119-4990-AA7C-D3CA2A27888C}"/>
    <cellStyle name="Comma 3 2 2 4 3 2 6" xfId="40013" xr:uid="{E00AEC46-DF0C-4EAE-816B-8F99522CAB99}"/>
    <cellStyle name="Comma 3 2 2 4 3 2 7" xfId="21759" xr:uid="{592B899A-5BEB-4C53-A8D3-A81C81E91324}"/>
    <cellStyle name="Comma 3 2 2 4 3 3" xfId="2775" xr:uid="{77762A23-62E7-4FF0-ABB3-49ECDF4E7A86}"/>
    <cellStyle name="Comma 3 2 2 4 3 3 2" xfId="17375" xr:uid="{FD634F0D-2DB0-4A29-A928-2757C67C1708}"/>
    <cellStyle name="Comma 3 2 2 4 3 3 2 2" xfId="53883" xr:uid="{F03372E5-BF92-4560-8114-E22BEA3E6AB1}"/>
    <cellStyle name="Comma 3 2 2 4 3 3 2 3" xfId="35629" xr:uid="{F2CCD09A-9EF1-4625-992A-4F11FE57B01F}"/>
    <cellStyle name="Comma 3 2 2 4 3 3 3" xfId="13725" xr:uid="{4673B2E3-1F21-48CF-95E8-5F02F39308CA}"/>
    <cellStyle name="Comma 3 2 2 4 3 3 3 2" xfId="50233" xr:uid="{13A906F3-7573-4C45-BC9E-70FB7DD254C7}"/>
    <cellStyle name="Comma 3 2 2 4 3 3 3 3" xfId="31979" xr:uid="{E6FCB849-3CEE-4C18-9E3B-A08A37DA2144}"/>
    <cellStyle name="Comma 3 2 2 4 3 3 4" xfId="10075" xr:uid="{AA13A739-7DF8-4DDA-8279-86FCB30DB127}"/>
    <cellStyle name="Comma 3 2 2 4 3 3 4 2" xfId="46583" xr:uid="{DB5F7860-B243-42F8-8529-44A9EAC2693C}"/>
    <cellStyle name="Comma 3 2 2 4 3 3 4 3" xfId="28329" xr:uid="{22409E2E-F55B-4771-91BC-DCF5A432569C}"/>
    <cellStyle name="Comma 3 2 2 4 3 3 5" xfId="6425" xr:uid="{D5316F01-F427-42EF-AC75-2F81101869F4}"/>
    <cellStyle name="Comma 3 2 2 4 3 3 5 2" xfId="42933" xr:uid="{C77BECD4-B587-4C99-BC49-886065EFCCC6}"/>
    <cellStyle name="Comma 3 2 2 4 3 3 5 3" xfId="24679" xr:uid="{7C667DF7-B41C-4B0B-8C4B-620800BEDEB9}"/>
    <cellStyle name="Comma 3 2 2 4 3 3 6" xfId="39283" xr:uid="{B9D3F91B-48A3-4C68-9CDA-F8F82BC48B6C}"/>
    <cellStyle name="Comma 3 2 2 4 3 3 7" xfId="21029" xr:uid="{A9AB6EB7-AEF0-4984-8637-59C6D2A99BC3}"/>
    <cellStyle name="Comma 3 2 2 4 3 4" xfId="2045" xr:uid="{94673F6A-AA5E-457D-A502-FD776F453347}"/>
    <cellStyle name="Comma 3 2 2 4 3 4 2" xfId="16645" xr:uid="{829E74F1-C346-4804-8D91-E2C0E6BB0623}"/>
    <cellStyle name="Comma 3 2 2 4 3 4 2 2" xfId="53153" xr:uid="{4D45D290-24F6-4862-AE81-454DEDE04E75}"/>
    <cellStyle name="Comma 3 2 2 4 3 4 2 3" xfId="34899" xr:uid="{92D0F3FE-DA1A-45D4-9DD9-7214E84236A8}"/>
    <cellStyle name="Comma 3 2 2 4 3 4 3" xfId="12995" xr:uid="{531FD2A3-73FC-427C-9FED-528E9AB9382A}"/>
    <cellStyle name="Comma 3 2 2 4 3 4 3 2" xfId="49503" xr:uid="{D287C804-8818-4AB2-BC6E-B283777D0446}"/>
    <cellStyle name="Comma 3 2 2 4 3 4 3 3" xfId="31249" xr:uid="{B02762CA-EE33-4DD8-BE4D-CE839D1935D5}"/>
    <cellStyle name="Comma 3 2 2 4 3 4 4" xfId="9345" xr:uid="{05737617-FF18-4584-AA67-0022D9A8F13D}"/>
    <cellStyle name="Comma 3 2 2 4 3 4 4 2" xfId="45853" xr:uid="{5A9CC3DE-8DD6-4E9B-BFF8-B2E9DFA88B10}"/>
    <cellStyle name="Comma 3 2 2 4 3 4 4 3" xfId="27599" xr:uid="{2479E821-85DF-40D6-88B5-F9AE5CFF0826}"/>
    <cellStyle name="Comma 3 2 2 4 3 4 5" xfId="5695" xr:uid="{E31A868E-4C4E-4D6F-83FD-68A6FF5BC61C}"/>
    <cellStyle name="Comma 3 2 2 4 3 4 5 2" xfId="42203" xr:uid="{E11FDC69-576B-42F8-9895-891745F79627}"/>
    <cellStyle name="Comma 3 2 2 4 3 4 5 3" xfId="23949" xr:uid="{F8973327-ECB0-441A-943D-F4DB3E309BB9}"/>
    <cellStyle name="Comma 3 2 2 4 3 4 6" xfId="38553" xr:uid="{F19FFF5A-A5BF-4079-BAF0-1B04C9C2FDD1}"/>
    <cellStyle name="Comma 3 2 2 4 3 4 7" xfId="20299" xr:uid="{0D3252DA-6857-4A0B-A8D5-357449F6880C}"/>
    <cellStyle name="Comma 3 2 2 4 3 5" xfId="1315" xr:uid="{53E53AE5-958B-49CE-BEA7-FA7750CACA4E}"/>
    <cellStyle name="Comma 3 2 2 4 3 5 2" xfId="15915" xr:uid="{70BFFF5B-D3B0-4443-A0D8-199BB14A4044}"/>
    <cellStyle name="Comma 3 2 2 4 3 5 2 2" xfId="52423" xr:uid="{EA21D056-3EB7-4323-8088-9DD4ED17483E}"/>
    <cellStyle name="Comma 3 2 2 4 3 5 2 3" xfId="34169" xr:uid="{FB191CEC-EBE9-4EF9-9BCF-A4DBCFA4062B}"/>
    <cellStyle name="Comma 3 2 2 4 3 5 3" xfId="12265" xr:uid="{4B707D2F-BA1E-4029-A38A-DADF77B32A63}"/>
    <cellStyle name="Comma 3 2 2 4 3 5 3 2" xfId="48773" xr:uid="{3AB46751-CA7F-4FA9-A869-C8B6F5A21BFA}"/>
    <cellStyle name="Comma 3 2 2 4 3 5 3 3" xfId="30519" xr:uid="{1FFBBCB0-56EA-467B-BA44-42AFB6EE41D7}"/>
    <cellStyle name="Comma 3 2 2 4 3 5 4" xfId="8615" xr:uid="{5D8304EF-893A-4878-9814-974C555A559B}"/>
    <cellStyle name="Comma 3 2 2 4 3 5 4 2" xfId="45123" xr:uid="{B865FB1A-2CB4-4EB3-9205-027DBA361493}"/>
    <cellStyle name="Comma 3 2 2 4 3 5 4 3" xfId="26869" xr:uid="{E8B2D22B-3089-4196-BEA2-D1B8D3956887}"/>
    <cellStyle name="Comma 3 2 2 4 3 5 5" xfId="4965" xr:uid="{0BC32D0E-DCF1-421F-989A-B68A52E5FD18}"/>
    <cellStyle name="Comma 3 2 2 4 3 5 5 2" xfId="41473" xr:uid="{242A5201-EBF1-4BD5-8471-B4173B4781CB}"/>
    <cellStyle name="Comma 3 2 2 4 3 5 5 3" xfId="23219" xr:uid="{E482B864-F8EE-40BE-9FE0-E1135CE8987B}"/>
    <cellStyle name="Comma 3 2 2 4 3 5 6" xfId="37823" xr:uid="{ACD0D7ED-1DE5-4E00-B24E-D3489A569A76}"/>
    <cellStyle name="Comma 3 2 2 4 3 5 7" xfId="19569" xr:uid="{8C84E37E-23CB-460F-B73E-24DD5ECDAA76}"/>
    <cellStyle name="Comma 3 2 2 4 3 6" xfId="15185" xr:uid="{F1E72C90-5990-4DCA-B579-B30E1F74B601}"/>
    <cellStyle name="Comma 3 2 2 4 3 6 2" xfId="51693" xr:uid="{5F514B31-798B-4A77-8F25-8FF04A976C8B}"/>
    <cellStyle name="Comma 3 2 2 4 3 6 3" xfId="33439" xr:uid="{5AE80F50-4FAE-43B6-9F42-9C8A40B360B4}"/>
    <cellStyle name="Comma 3 2 2 4 3 7" xfId="11535" xr:uid="{42951DAD-5F93-443E-9B46-948CDA9B795A}"/>
    <cellStyle name="Comma 3 2 2 4 3 7 2" xfId="48043" xr:uid="{876D0A36-21A4-4F14-9AC2-646E0A7E0BCA}"/>
    <cellStyle name="Comma 3 2 2 4 3 7 3" xfId="29789" xr:uid="{3E6DF309-A9D8-4963-91FA-62A131C0F552}"/>
    <cellStyle name="Comma 3 2 2 4 3 8" xfId="7885" xr:uid="{90C4D983-4AF2-42DF-81AB-9E7AA6ABD236}"/>
    <cellStyle name="Comma 3 2 2 4 3 8 2" xfId="44393" xr:uid="{45D96B09-E214-4071-9025-8A62B0210702}"/>
    <cellStyle name="Comma 3 2 2 4 3 8 3" xfId="26139" xr:uid="{2FE420B6-CED9-4BA4-BD21-211F2FA64621}"/>
    <cellStyle name="Comma 3 2 2 4 3 9" xfId="4235" xr:uid="{758E388A-B170-478A-967E-E09393037C6D}"/>
    <cellStyle name="Comma 3 2 2 4 3 9 2" xfId="40743" xr:uid="{3EC8B3C4-2451-471C-A348-46D7CB903E70}"/>
    <cellStyle name="Comma 3 2 2 4 3 9 3" xfId="22489" xr:uid="{27C219B4-43BD-4663-9BCD-6BCDAA7DED22}"/>
    <cellStyle name="Comma 3 2 2 4 4" xfId="481" xr:uid="{742D1EA7-94C6-4454-B3C8-B0A11C09627D}"/>
    <cellStyle name="Comma 3 2 2 4 4 10" xfId="36989" xr:uid="{C518EA20-2AC1-4011-9359-775B20074555}"/>
    <cellStyle name="Comma 3 2 2 4 4 11" xfId="18735" xr:uid="{08D80499-B982-47EF-A24B-73A9A3D29B8E}"/>
    <cellStyle name="Comma 3 2 2 4 4 2" xfId="3401" xr:uid="{1CA82C86-9011-44C4-A7AB-2C777AEA7E77}"/>
    <cellStyle name="Comma 3 2 2 4 4 2 2" xfId="18001" xr:uid="{B9F021FB-072E-4890-A09F-57B8DCC61CED}"/>
    <cellStyle name="Comma 3 2 2 4 4 2 2 2" xfId="54509" xr:uid="{F82D23B3-07FD-480A-B81A-7AEF847697AF}"/>
    <cellStyle name="Comma 3 2 2 4 4 2 2 3" xfId="36255" xr:uid="{19E76078-E291-4314-9AEC-6E49C2ED7E2B}"/>
    <cellStyle name="Comma 3 2 2 4 4 2 3" xfId="14351" xr:uid="{6F586A95-00C9-45B9-8EF7-1927F87E774F}"/>
    <cellStyle name="Comma 3 2 2 4 4 2 3 2" xfId="50859" xr:uid="{9D10D341-0CFD-4F3D-8F78-A609103BDCB7}"/>
    <cellStyle name="Comma 3 2 2 4 4 2 3 3" xfId="32605" xr:uid="{DD3B48FA-83C0-4CD6-9B89-5841CCAB1E26}"/>
    <cellStyle name="Comma 3 2 2 4 4 2 4" xfId="10701" xr:uid="{A6BF3D15-B5B3-4E78-B9DE-3FA70C8A41EE}"/>
    <cellStyle name="Comma 3 2 2 4 4 2 4 2" xfId="47209" xr:uid="{8F59BD5E-BD0E-47F9-B07B-FB10590944B8}"/>
    <cellStyle name="Comma 3 2 2 4 4 2 4 3" xfId="28955" xr:uid="{2BA6F738-A374-4EB9-B388-EFF49C88CAB9}"/>
    <cellStyle name="Comma 3 2 2 4 4 2 5" xfId="7051" xr:uid="{F0C47BF1-27D0-4EED-B341-5E4D70382621}"/>
    <cellStyle name="Comma 3 2 2 4 4 2 5 2" xfId="43559" xr:uid="{749151E1-6286-4442-A2AE-AEC7EF0B4810}"/>
    <cellStyle name="Comma 3 2 2 4 4 2 5 3" xfId="25305" xr:uid="{4228F74E-27BA-44F9-8FF2-5AAFC7DDC22C}"/>
    <cellStyle name="Comma 3 2 2 4 4 2 6" xfId="39909" xr:uid="{5594560C-87D4-4AC0-B9D0-07B7D6523B1D}"/>
    <cellStyle name="Comma 3 2 2 4 4 2 7" xfId="21655" xr:uid="{F424A098-EA7F-4B29-8B8C-1E8FFDF26BAF}"/>
    <cellStyle name="Comma 3 2 2 4 4 3" xfId="2671" xr:uid="{E3468399-3189-4BAC-8C01-0424C596C51D}"/>
    <cellStyle name="Comma 3 2 2 4 4 3 2" xfId="17271" xr:uid="{31CA0B14-2F0A-4F55-BB5E-CF9DE45525CE}"/>
    <cellStyle name="Comma 3 2 2 4 4 3 2 2" xfId="53779" xr:uid="{2A1D0E38-B446-45E7-BF03-85CFC828007F}"/>
    <cellStyle name="Comma 3 2 2 4 4 3 2 3" xfId="35525" xr:uid="{BE4985EB-5AEE-459E-B12E-F451505A7750}"/>
    <cellStyle name="Comma 3 2 2 4 4 3 3" xfId="13621" xr:uid="{ACC67C19-64D1-4A05-B729-23EC25A9F865}"/>
    <cellStyle name="Comma 3 2 2 4 4 3 3 2" xfId="50129" xr:uid="{9004BF31-D2FE-4422-B449-6B453DD589E5}"/>
    <cellStyle name="Comma 3 2 2 4 4 3 3 3" xfId="31875" xr:uid="{06C7C93F-981B-4AEC-9071-E0EBAFDBF5D9}"/>
    <cellStyle name="Comma 3 2 2 4 4 3 4" xfId="9971" xr:uid="{9C12EE76-0CCD-499F-AD4E-92B5961EE755}"/>
    <cellStyle name="Comma 3 2 2 4 4 3 4 2" xfId="46479" xr:uid="{95C5D037-CD9D-4ECB-832D-619F67321191}"/>
    <cellStyle name="Comma 3 2 2 4 4 3 4 3" xfId="28225" xr:uid="{144B7390-2CAB-4F8D-8238-F9FB885C63FE}"/>
    <cellStyle name="Comma 3 2 2 4 4 3 5" xfId="6321" xr:uid="{8D401126-EC71-42AB-BBDA-CC50B88C1D11}"/>
    <cellStyle name="Comma 3 2 2 4 4 3 5 2" xfId="42829" xr:uid="{2BF2D3F2-77C7-4098-ADD2-33B74F7668AE}"/>
    <cellStyle name="Comma 3 2 2 4 4 3 5 3" xfId="24575" xr:uid="{46810821-08A8-400E-B597-ED235D8CAF92}"/>
    <cellStyle name="Comma 3 2 2 4 4 3 6" xfId="39179" xr:uid="{BD3B6CDF-65D4-43D3-B00A-A0282DB598CB}"/>
    <cellStyle name="Comma 3 2 2 4 4 3 7" xfId="20925" xr:uid="{2A8E1361-EFB5-403F-BA8A-281ED968EC06}"/>
    <cellStyle name="Comma 3 2 2 4 4 4" xfId="1941" xr:uid="{96A9CE26-B3BF-4040-8897-13C95EC84182}"/>
    <cellStyle name="Comma 3 2 2 4 4 4 2" xfId="16541" xr:uid="{B37E34E4-01F2-48F8-80E0-4AD02E096913}"/>
    <cellStyle name="Comma 3 2 2 4 4 4 2 2" xfId="53049" xr:uid="{9875A693-043E-407F-AEEC-E4D7F3D0A983}"/>
    <cellStyle name="Comma 3 2 2 4 4 4 2 3" xfId="34795" xr:uid="{93C3A4DF-39D6-485D-9FCD-5A96F4FE8657}"/>
    <cellStyle name="Comma 3 2 2 4 4 4 3" xfId="12891" xr:uid="{41A5B921-5D15-4601-A3DC-EEDD0460CD58}"/>
    <cellStyle name="Comma 3 2 2 4 4 4 3 2" xfId="49399" xr:uid="{458CD627-EA17-475B-BD13-2B4524E346BD}"/>
    <cellStyle name="Comma 3 2 2 4 4 4 3 3" xfId="31145" xr:uid="{14ADDB25-D249-40CA-9094-7F3E721C7B03}"/>
    <cellStyle name="Comma 3 2 2 4 4 4 4" xfId="9241" xr:uid="{3D3A399A-52AA-4639-B2DB-F5629B63F204}"/>
    <cellStyle name="Comma 3 2 2 4 4 4 4 2" xfId="45749" xr:uid="{89A94FB2-FFBD-433F-84C3-65815AFE0517}"/>
    <cellStyle name="Comma 3 2 2 4 4 4 4 3" xfId="27495" xr:uid="{2618DD79-8FF0-443E-AC6F-5BFD35A72053}"/>
    <cellStyle name="Comma 3 2 2 4 4 4 5" xfId="5591" xr:uid="{30959681-F78B-41DE-969C-F4822D0B3EDB}"/>
    <cellStyle name="Comma 3 2 2 4 4 4 5 2" xfId="42099" xr:uid="{65AAB016-CA59-4A22-BEBC-8667741719BA}"/>
    <cellStyle name="Comma 3 2 2 4 4 4 5 3" xfId="23845" xr:uid="{7FE7EE63-E8ED-473B-B043-53AE3199EC22}"/>
    <cellStyle name="Comma 3 2 2 4 4 4 6" xfId="38449" xr:uid="{916E8092-048E-47A8-8DB7-FE8036C8CE6D}"/>
    <cellStyle name="Comma 3 2 2 4 4 4 7" xfId="20195" xr:uid="{BBD20CEF-0932-403C-A82C-BF06BEFD4AF2}"/>
    <cellStyle name="Comma 3 2 2 4 4 5" xfId="1211" xr:uid="{D38C82ED-91E0-4D25-B57E-6DBAC72A724A}"/>
    <cellStyle name="Comma 3 2 2 4 4 5 2" xfId="15811" xr:uid="{89E346EF-BC0F-478D-B555-4F11E729CB64}"/>
    <cellStyle name="Comma 3 2 2 4 4 5 2 2" xfId="52319" xr:uid="{03B5DA99-6ECD-43FF-90D1-8F87216413C3}"/>
    <cellStyle name="Comma 3 2 2 4 4 5 2 3" xfId="34065" xr:uid="{40D17FB5-3A21-48F2-8926-85C4251E2BEE}"/>
    <cellStyle name="Comma 3 2 2 4 4 5 3" xfId="12161" xr:uid="{0BCBFD31-8CDB-4944-89AF-8A1E628E6E9A}"/>
    <cellStyle name="Comma 3 2 2 4 4 5 3 2" xfId="48669" xr:uid="{0E4CF6CC-22B5-4E12-8DDD-246FECBC513D}"/>
    <cellStyle name="Comma 3 2 2 4 4 5 3 3" xfId="30415" xr:uid="{C480D862-D12E-4C42-B895-5E145CF77D3D}"/>
    <cellStyle name="Comma 3 2 2 4 4 5 4" xfId="8511" xr:uid="{73B61BF5-24AA-4713-8BF3-C18E327DDFCB}"/>
    <cellStyle name="Comma 3 2 2 4 4 5 4 2" xfId="45019" xr:uid="{AFF88309-4BFE-4D35-8382-F3D1F9C2C337}"/>
    <cellStyle name="Comma 3 2 2 4 4 5 4 3" xfId="26765" xr:uid="{36E39E20-84FA-40B4-AE64-7670658AE76F}"/>
    <cellStyle name="Comma 3 2 2 4 4 5 5" xfId="4861" xr:uid="{D58A197D-3258-4AD4-8048-74E47F6C3A43}"/>
    <cellStyle name="Comma 3 2 2 4 4 5 5 2" xfId="41369" xr:uid="{4F9C3CA6-58CA-4B6D-A49A-3D98EB9DB9E6}"/>
    <cellStyle name="Comma 3 2 2 4 4 5 5 3" xfId="23115" xr:uid="{E50207F8-F772-4130-A6D7-5C7836F1A79C}"/>
    <cellStyle name="Comma 3 2 2 4 4 5 6" xfId="37719" xr:uid="{CF7B5DD0-AB12-4135-A682-1D06C948596E}"/>
    <cellStyle name="Comma 3 2 2 4 4 5 7" xfId="19465" xr:uid="{6F7FFB8E-9A77-44EA-81DD-9735A20A32D0}"/>
    <cellStyle name="Comma 3 2 2 4 4 6" xfId="15081" xr:uid="{AC1E9BB3-40F1-4E78-95C3-592416868494}"/>
    <cellStyle name="Comma 3 2 2 4 4 6 2" xfId="51589" xr:uid="{B95F9B4C-8884-48FF-AF35-6795DE37FDE8}"/>
    <cellStyle name="Comma 3 2 2 4 4 6 3" xfId="33335" xr:uid="{B6D7F802-D994-45AD-B2CD-A2D8F45BE84C}"/>
    <cellStyle name="Comma 3 2 2 4 4 7" xfId="11431" xr:uid="{413ACDC9-A817-4983-A4D1-5B755CAFE569}"/>
    <cellStyle name="Comma 3 2 2 4 4 7 2" xfId="47939" xr:uid="{706632D2-F660-45E5-A518-CCB6A3102593}"/>
    <cellStyle name="Comma 3 2 2 4 4 7 3" xfId="29685" xr:uid="{F9FFCEF7-1CCD-4F19-AB47-CD61A51B4AE8}"/>
    <cellStyle name="Comma 3 2 2 4 4 8" xfId="7781" xr:uid="{FEFC19A7-09E3-427E-8034-A214F9C9B3BD}"/>
    <cellStyle name="Comma 3 2 2 4 4 8 2" xfId="44289" xr:uid="{8FADD2EE-0714-4B74-A854-38F4D4E1FC22}"/>
    <cellStyle name="Comma 3 2 2 4 4 8 3" xfId="26035" xr:uid="{A70F1444-D9C2-439E-B5F8-E2DBB37C505F}"/>
    <cellStyle name="Comma 3 2 2 4 4 9" xfId="4131" xr:uid="{0CDE34D3-6180-4678-99ED-71314C571710}"/>
    <cellStyle name="Comma 3 2 2 4 4 9 2" xfId="40639" xr:uid="{47DB1D9B-4EAB-4CFF-976A-81E02B45CBD7}"/>
    <cellStyle name="Comma 3 2 2 4 4 9 3" xfId="22385" xr:uid="{88A70066-E828-49F6-AB61-7D5930BBA34B}"/>
    <cellStyle name="Comma 3 2 2 4 5" xfId="377" xr:uid="{1B2AC13A-B89C-4AF0-83AE-B0CC3DF0EF4C}"/>
    <cellStyle name="Comma 3 2 2 4 5 10" xfId="36885" xr:uid="{143A0314-F486-410D-94AA-999CF10A81CC}"/>
    <cellStyle name="Comma 3 2 2 4 5 11" xfId="18631" xr:uid="{2E4D18AA-617C-42FF-B92C-2DC07C5DA39D}"/>
    <cellStyle name="Comma 3 2 2 4 5 2" xfId="3297" xr:uid="{5A798CAB-8D57-46BF-8A1C-E3EF892C0424}"/>
    <cellStyle name="Comma 3 2 2 4 5 2 2" xfId="17897" xr:uid="{32D92580-9E2A-405A-A2E4-9DE059DEEBA9}"/>
    <cellStyle name="Comma 3 2 2 4 5 2 2 2" xfId="54405" xr:uid="{01CBC3BE-E994-4355-A342-02669CA6629D}"/>
    <cellStyle name="Comma 3 2 2 4 5 2 2 3" xfId="36151" xr:uid="{8EB993B2-7431-4708-A448-89C8B9490416}"/>
    <cellStyle name="Comma 3 2 2 4 5 2 3" xfId="14247" xr:uid="{AE3F4BCF-6215-41CD-9602-E2F1DC039311}"/>
    <cellStyle name="Comma 3 2 2 4 5 2 3 2" xfId="50755" xr:uid="{92BC03CB-A8A2-4534-98DC-8354306196F9}"/>
    <cellStyle name="Comma 3 2 2 4 5 2 3 3" xfId="32501" xr:uid="{6BEE9686-5905-4260-B9BC-8E3352DA9E70}"/>
    <cellStyle name="Comma 3 2 2 4 5 2 4" xfId="10597" xr:uid="{93A43814-CAE6-4C3E-8A36-DAE69167D06A}"/>
    <cellStyle name="Comma 3 2 2 4 5 2 4 2" xfId="47105" xr:uid="{C59AC0D6-A188-4693-9128-AA180DEC8BF2}"/>
    <cellStyle name="Comma 3 2 2 4 5 2 4 3" xfId="28851" xr:uid="{D2C2CFFA-452A-4FB3-B841-45F91D013E3C}"/>
    <cellStyle name="Comma 3 2 2 4 5 2 5" xfId="6947" xr:uid="{34E517CC-7BB3-4DF6-A080-C7AA959CB27D}"/>
    <cellStyle name="Comma 3 2 2 4 5 2 5 2" xfId="43455" xr:uid="{790C1A9E-B337-4B0D-B83C-635BE209123F}"/>
    <cellStyle name="Comma 3 2 2 4 5 2 5 3" xfId="25201" xr:uid="{B016038E-5033-4290-9F14-651D3BFEF396}"/>
    <cellStyle name="Comma 3 2 2 4 5 2 6" xfId="39805" xr:uid="{ED73267F-9D67-4D4D-857E-8C7291D2FBA7}"/>
    <cellStyle name="Comma 3 2 2 4 5 2 7" xfId="21551" xr:uid="{26E81804-FD29-4D2D-B5AE-FD3EF434CFFD}"/>
    <cellStyle name="Comma 3 2 2 4 5 3" xfId="2567" xr:uid="{3AF7D647-A86E-42BE-AC6D-25BC3FE32BF9}"/>
    <cellStyle name="Comma 3 2 2 4 5 3 2" xfId="17167" xr:uid="{28CFB933-52F3-48EF-AE9E-CAC321B8F768}"/>
    <cellStyle name="Comma 3 2 2 4 5 3 2 2" xfId="53675" xr:uid="{83F89064-3DF1-4985-8291-D171219CCFFD}"/>
    <cellStyle name="Comma 3 2 2 4 5 3 2 3" xfId="35421" xr:uid="{45E0F827-23BF-4F4B-8FC3-079B9A12B3B0}"/>
    <cellStyle name="Comma 3 2 2 4 5 3 3" xfId="13517" xr:uid="{4EC26986-6D1A-4E8F-82DD-FB39F5AC6679}"/>
    <cellStyle name="Comma 3 2 2 4 5 3 3 2" xfId="50025" xr:uid="{5B7FB5F4-9856-486C-8AF3-4FB7D8FA33BB}"/>
    <cellStyle name="Comma 3 2 2 4 5 3 3 3" xfId="31771" xr:uid="{DFBF4ADD-1BF6-4807-BA03-95CC3178840A}"/>
    <cellStyle name="Comma 3 2 2 4 5 3 4" xfId="9867" xr:uid="{9D5788BF-0536-4FE4-BB56-46DBD8B417F3}"/>
    <cellStyle name="Comma 3 2 2 4 5 3 4 2" xfId="46375" xr:uid="{64BB6D32-3CED-459F-9E24-0C1FDEF546E1}"/>
    <cellStyle name="Comma 3 2 2 4 5 3 4 3" xfId="28121" xr:uid="{03E952D3-72E9-43F9-B05C-FA8A527082A1}"/>
    <cellStyle name="Comma 3 2 2 4 5 3 5" xfId="6217" xr:uid="{28AD6BF7-1199-4547-ACAE-C844FD2DACB4}"/>
    <cellStyle name="Comma 3 2 2 4 5 3 5 2" xfId="42725" xr:uid="{BBE13FA5-79DA-4B37-892A-3020F256F07E}"/>
    <cellStyle name="Comma 3 2 2 4 5 3 5 3" xfId="24471" xr:uid="{21E8CECE-913D-46FE-BC3F-F88FF279271E}"/>
    <cellStyle name="Comma 3 2 2 4 5 3 6" xfId="39075" xr:uid="{2E079FE6-772A-40D8-9695-DE2DE9905E44}"/>
    <cellStyle name="Comma 3 2 2 4 5 3 7" xfId="20821" xr:uid="{9B81C81B-BDFB-4FCD-93F7-7B089F65F97C}"/>
    <cellStyle name="Comma 3 2 2 4 5 4" xfId="1837" xr:uid="{9C697364-F0C4-4805-9978-7CCA170CA22B}"/>
    <cellStyle name="Comma 3 2 2 4 5 4 2" xfId="16437" xr:uid="{AD8A2F78-1ED0-4721-836F-15E6C88CAA42}"/>
    <cellStyle name="Comma 3 2 2 4 5 4 2 2" xfId="52945" xr:uid="{4C90A0D9-F333-4F18-AA9C-4E14E08DE057}"/>
    <cellStyle name="Comma 3 2 2 4 5 4 2 3" xfId="34691" xr:uid="{9F6EAF56-38E8-462D-88FC-CD7DE458B651}"/>
    <cellStyle name="Comma 3 2 2 4 5 4 3" xfId="12787" xr:uid="{B4ADABD5-4599-4DE4-9DBD-66322E82E137}"/>
    <cellStyle name="Comma 3 2 2 4 5 4 3 2" xfId="49295" xr:uid="{7EF0D0F2-2612-45DF-85AF-B34581B9998C}"/>
    <cellStyle name="Comma 3 2 2 4 5 4 3 3" xfId="31041" xr:uid="{F6F420BF-78C4-4046-BDFA-A68AD5F4396F}"/>
    <cellStyle name="Comma 3 2 2 4 5 4 4" xfId="9137" xr:uid="{0AFD1F28-27B4-4211-AE11-4F592FE5EC7D}"/>
    <cellStyle name="Comma 3 2 2 4 5 4 4 2" xfId="45645" xr:uid="{D843B82F-7D8F-4449-998F-01FABFC13301}"/>
    <cellStyle name="Comma 3 2 2 4 5 4 4 3" xfId="27391" xr:uid="{8DF99294-43A3-4C76-B5AD-D86029F57A60}"/>
    <cellStyle name="Comma 3 2 2 4 5 4 5" xfId="5487" xr:uid="{26EE816A-FCCB-4654-9153-173E2D64AE5C}"/>
    <cellStyle name="Comma 3 2 2 4 5 4 5 2" xfId="41995" xr:uid="{8AEDA1E8-575A-4643-B3AA-206139DBAF5B}"/>
    <cellStyle name="Comma 3 2 2 4 5 4 5 3" xfId="23741" xr:uid="{7BCC560A-11AF-43E0-ACB4-44D15E7806B1}"/>
    <cellStyle name="Comma 3 2 2 4 5 4 6" xfId="38345" xr:uid="{62E6094D-9233-4B51-BBAC-09C1EB05847F}"/>
    <cellStyle name="Comma 3 2 2 4 5 4 7" xfId="20091" xr:uid="{46A320AC-4A1C-445C-A8E6-E07CC92C168B}"/>
    <cellStyle name="Comma 3 2 2 4 5 5" xfId="1107" xr:uid="{6DE5E54D-88E5-4547-9AD7-002A4F0AE82F}"/>
    <cellStyle name="Comma 3 2 2 4 5 5 2" xfId="15707" xr:uid="{1E4BE5C4-192C-4005-9CE0-272E766B5CE1}"/>
    <cellStyle name="Comma 3 2 2 4 5 5 2 2" xfId="52215" xr:uid="{A53E84F5-48E3-4DBD-9B7D-FA0CF150CB0E}"/>
    <cellStyle name="Comma 3 2 2 4 5 5 2 3" xfId="33961" xr:uid="{50369F70-5C1B-46E3-BD87-B49D0FEA1965}"/>
    <cellStyle name="Comma 3 2 2 4 5 5 3" xfId="12057" xr:uid="{3F38DED3-F477-4F53-974F-BA4D0DECA341}"/>
    <cellStyle name="Comma 3 2 2 4 5 5 3 2" xfId="48565" xr:uid="{FD0AF3DF-A02C-409F-8E7F-96BF31E86C13}"/>
    <cellStyle name="Comma 3 2 2 4 5 5 3 3" xfId="30311" xr:uid="{5DB79037-8692-474F-8442-B13C4EDC442F}"/>
    <cellStyle name="Comma 3 2 2 4 5 5 4" xfId="8407" xr:uid="{6E6A45A5-D50C-466A-A146-70BF99680F4E}"/>
    <cellStyle name="Comma 3 2 2 4 5 5 4 2" xfId="44915" xr:uid="{DB108FEB-C271-4B14-8E0F-30587EAB4369}"/>
    <cellStyle name="Comma 3 2 2 4 5 5 4 3" xfId="26661" xr:uid="{9E52BE1A-75C5-435A-876B-CFED56C4AE77}"/>
    <cellStyle name="Comma 3 2 2 4 5 5 5" xfId="4757" xr:uid="{07CC659D-F7D7-4C37-83AA-8DEF10249F09}"/>
    <cellStyle name="Comma 3 2 2 4 5 5 5 2" xfId="41265" xr:uid="{A8C79D9C-C623-41A9-ACC5-FCFB0B69F755}"/>
    <cellStyle name="Comma 3 2 2 4 5 5 5 3" xfId="23011" xr:uid="{CE1B3AA7-F985-4B0C-83A2-F4781A2B5A76}"/>
    <cellStyle name="Comma 3 2 2 4 5 5 6" xfId="37615" xr:uid="{344EC58D-8594-4928-8651-FD7DB646853F}"/>
    <cellStyle name="Comma 3 2 2 4 5 5 7" xfId="19361" xr:uid="{F01321F0-911B-4BD6-8918-608FEB79B4D6}"/>
    <cellStyle name="Comma 3 2 2 4 5 6" xfId="14977" xr:uid="{3D6C67E1-3E24-4BC1-92FE-64DEC96F0D5D}"/>
    <cellStyle name="Comma 3 2 2 4 5 6 2" xfId="51485" xr:uid="{7095A80E-B0ED-45F3-9ADD-72FBCF4A6D97}"/>
    <cellStyle name="Comma 3 2 2 4 5 6 3" xfId="33231" xr:uid="{89D968F0-0682-48B0-B89C-1191CC3652C1}"/>
    <cellStyle name="Comma 3 2 2 4 5 7" xfId="11327" xr:uid="{AE17BC33-CF3B-4B41-952A-11FB0725629F}"/>
    <cellStyle name="Comma 3 2 2 4 5 7 2" xfId="47835" xr:uid="{8DE2678A-DCA6-43C1-BC23-5522CCF3C201}"/>
    <cellStyle name="Comma 3 2 2 4 5 7 3" xfId="29581" xr:uid="{52220BBA-259F-4099-862F-BCA6D55CCCCD}"/>
    <cellStyle name="Comma 3 2 2 4 5 8" xfId="7677" xr:uid="{6CDB76E9-B499-4DBD-8255-F58460C4CB04}"/>
    <cellStyle name="Comma 3 2 2 4 5 8 2" xfId="44185" xr:uid="{164F18F7-6BAD-474D-87D2-1C24D3193DD4}"/>
    <cellStyle name="Comma 3 2 2 4 5 8 3" xfId="25931" xr:uid="{03AD790D-5317-4310-9169-5E4BD746568D}"/>
    <cellStyle name="Comma 3 2 2 4 5 9" xfId="4027" xr:uid="{1DC7F8A6-1624-4419-A650-E6CA0124622B}"/>
    <cellStyle name="Comma 3 2 2 4 5 9 2" xfId="40535" xr:uid="{3C065C89-7BA2-41B5-A8BE-08A0D92B841D}"/>
    <cellStyle name="Comma 3 2 2 4 5 9 3" xfId="22281" xr:uid="{D85FA18C-F1D1-4A2E-9E15-8CF8322EBFE9}"/>
    <cellStyle name="Comma 3 2 2 4 6" xfId="273" xr:uid="{AAF6D1E9-F786-4CDD-ACC7-D492BBD93055}"/>
    <cellStyle name="Comma 3 2 2 4 6 10" xfId="36781" xr:uid="{D030A9A1-A317-4D85-AB09-690F1C2EFD4B}"/>
    <cellStyle name="Comma 3 2 2 4 6 11" xfId="18527" xr:uid="{A65E660B-4ECA-4E46-B6F7-194F305A7D43}"/>
    <cellStyle name="Comma 3 2 2 4 6 2" xfId="3193" xr:uid="{DE13ADA8-15A9-434E-8FB9-E09B1C7C89A7}"/>
    <cellStyle name="Comma 3 2 2 4 6 2 2" xfId="17793" xr:uid="{FE7044CB-9993-42A8-900E-DD0A4E479A5C}"/>
    <cellStyle name="Comma 3 2 2 4 6 2 2 2" xfId="54301" xr:uid="{D6579BE2-AE1A-4991-BFF0-B41D1ADB8896}"/>
    <cellStyle name="Comma 3 2 2 4 6 2 2 3" xfId="36047" xr:uid="{45CB811A-0A77-485C-AA56-68AC2EF30645}"/>
    <cellStyle name="Comma 3 2 2 4 6 2 3" xfId="14143" xr:uid="{B88C86E9-80DA-4430-8029-0579B51FAC22}"/>
    <cellStyle name="Comma 3 2 2 4 6 2 3 2" xfId="50651" xr:uid="{C8A0A894-07A1-4228-A62A-F52FFA865B4B}"/>
    <cellStyle name="Comma 3 2 2 4 6 2 3 3" xfId="32397" xr:uid="{E20B9267-4E9A-42E8-B3F2-D7D65F76FE29}"/>
    <cellStyle name="Comma 3 2 2 4 6 2 4" xfId="10493" xr:uid="{77E421E2-B73C-4637-938E-6081D9AEA2A5}"/>
    <cellStyle name="Comma 3 2 2 4 6 2 4 2" xfId="47001" xr:uid="{4978548F-BCF4-445D-B4E3-E909D6F49D31}"/>
    <cellStyle name="Comma 3 2 2 4 6 2 4 3" xfId="28747" xr:uid="{D5103B14-81A7-4E9D-B860-169783D5084E}"/>
    <cellStyle name="Comma 3 2 2 4 6 2 5" xfId="6843" xr:uid="{F2D3D22B-A076-416F-9F47-B7549979A817}"/>
    <cellStyle name="Comma 3 2 2 4 6 2 5 2" xfId="43351" xr:uid="{31100194-626D-4E56-969C-F9AE4D1BEA7C}"/>
    <cellStyle name="Comma 3 2 2 4 6 2 5 3" xfId="25097" xr:uid="{1A95F12A-590E-482E-8199-098AFF6A2450}"/>
    <cellStyle name="Comma 3 2 2 4 6 2 6" xfId="39701" xr:uid="{DA75576C-98E0-4F9E-9500-A51703596AEB}"/>
    <cellStyle name="Comma 3 2 2 4 6 2 7" xfId="21447" xr:uid="{23D582A8-9F2E-40B3-8551-F52F687AF9E9}"/>
    <cellStyle name="Comma 3 2 2 4 6 3" xfId="2463" xr:uid="{1293B76B-1BFC-4043-9C46-A389D2BAB08A}"/>
    <cellStyle name="Comma 3 2 2 4 6 3 2" xfId="17063" xr:uid="{03819E78-CB3B-45D3-AEAB-C34624C49066}"/>
    <cellStyle name="Comma 3 2 2 4 6 3 2 2" xfId="53571" xr:uid="{EFAC26F8-AD24-4CE9-B4CA-15292A8E8ABC}"/>
    <cellStyle name="Comma 3 2 2 4 6 3 2 3" xfId="35317" xr:uid="{05892369-DCF3-4611-8FE6-68B84A904277}"/>
    <cellStyle name="Comma 3 2 2 4 6 3 3" xfId="13413" xr:uid="{73F4D80E-1B46-4F35-9467-AAE11E467F09}"/>
    <cellStyle name="Comma 3 2 2 4 6 3 3 2" xfId="49921" xr:uid="{294691F6-CEEC-4D15-A8B2-B4122226A1D1}"/>
    <cellStyle name="Comma 3 2 2 4 6 3 3 3" xfId="31667" xr:uid="{37C89473-6E6F-4229-8F33-48B285FA62BD}"/>
    <cellStyle name="Comma 3 2 2 4 6 3 4" xfId="9763" xr:uid="{4A88FB1F-4DE9-44FE-9DC4-792B2956B3B0}"/>
    <cellStyle name="Comma 3 2 2 4 6 3 4 2" xfId="46271" xr:uid="{431AD351-F910-40D4-BF3C-70E98DD8D8B5}"/>
    <cellStyle name="Comma 3 2 2 4 6 3 4 3" xfId="28017" xr:uid="{9A17601D-A218-4D2C-8403-CA0404C8FE41}"/>
    <cellStyle name="Comma 3 2 2 4 6 3 5" xfId="6113" xr:uid="{4C0DBD7A-B7D5-411D-A3E8-E315F5181E3E}"/>
    <cellStyle name="Comma 3 2 2 4 6 3 5 2" xfId="42621" xr:uid="{FDD5B6BE-E87F-405B-A781-625DF6E2DCC3}"/>
    <cellStyle name="Comma 3 2 2 4 6 3 5 3" xfId="24367" xr:uid="{6CC368C8-FA7D-47FA-A70F-82E427B7ECC0}"/>
    <cellStyle name="Comma 3 2 2 4 6 3 6" xfId="38971" xr:uid="{F91440C3-8B88-474B-9DA2-393419E743EB}"/>
    <cellStyle name="Comma 3 2 2 4 6 3 7" xfId="20717" xr:uid="{B00FB110-26E9-424E-855D-3993803420D6}"/>
    <cellStyle name="Comma 3 2 2 4 6 4" xfId="1733" xr:uid="{608DA950-0C14-4F3D-9FAA-07BBB6BD7824}"/>
    <cellStyle name="Comma 3 2 2 4 6 4 2" xfId="16333" xr:uid="{BBC9F172-C39E-4934-B17F-E359493E2F68}"/>
    <cellStyle name="Comma 3 2 2 4 6 4 2 2" xfId="52841" xr:uid="{14C919FB-C278-4BBC-A90C-A373434982E2}"/>
    <cellStyle name="Comma 3 2 2 4 6 4 2 3" xfId="34587" xr:uid="{A6D836A5-80AE-4123-9CF7-0DD43EB5862F}"/>
    <cellStyle name="Comma 3 2 2 4 6 4 3" xfId="12683" xr:uid="{71FED2F3-3D3B-4219-B259-015236F22760}"/>
    <cellStyle name="Comma 3 2 2 4 6 4 3 2" xfId="49191" xr:uid="{508CDE48-92E5-432F-BDE1-FC35AD069CE6}"/>
    <cellStyle name="Comma 3 2 2 4 6 4 3 3" xfId="30937" xr:uid="{FC5A7AA8-FD7D-4398-ABE3-724D8F32E33A}"/>
    <cellStyle name="Comma 3 2 2 4 6 4 4" xfId="9033" xr:uid="{19815F2A-6020-4371-AA4B-A36EEAEA13C9}"/>
    <cellStyle name="Comma 3 2 2 4 6 4 4 2" xfId="45541" xr:uid="{ED9BC54E-AC3F-47AF-8DA2-9918078E5D77}"/>
    <cellStyle name="Comma 3 2 2 4 6 4 4 3" xfId="27287" xr:uid="{96F87C3C-1AFB-4DAA-B5E5-041166F371F1}"/>
    <cellStyle name="Comma 3 2 2 4 6 4 5" xfId="5383" xr:uid="{32315567-7B2A-420B-9C41-65789970DE3A}"/>
    <cellStyle name="Comma 3 2 2 4 6 4 5 2" xfId="41891" xr:uid="{EC06B826-F072-4DA8-BB2A-E77FD6E9BF5E}"/>
    <cellStyle name="Comma 3 2 2 4 6 4 5 3" xfId="23637" xr:uid="{6F8A1EA6-3146-4AE8-BD86-FF770493786C}"/>
    <cellStyle name="Comma 3 2 2 4 6 4 6" xfId="38241" xr:uid="{D683BB16-A2B2-417D-961C-EDB9A177CC39}"/>
    <cellStyle name="Comma 3 2 2 4 6 4 7" xfId="19987" xr:uid="{05381573-168F-470F-8F0D-032DDB2CE78F}"/>
    <cellStyle name="Comma 3 2 2 4 6 5" xfId="1003" xr:uid="{886B2F4E-94AD-4042-944D-9F8E1DADDD2D}"/>
    <cellStyle name="Comma 3 2 2 4 6 5 2" xfId="15603" xr:uid="{30E3215D-E071-4B1C-B1F4-3145CEC37F8D}"/>
    <cellStyle name="Comma 3 2 2 4 6 5 2 2" xfId="52111" xr:uid="{4D782E2F-5F3C-4F7E-A391-5E7E5C7B6854}"/>
    <cellStyle name="Comma 3 2 2 4 6 5 2 3" xfId="33857" xr:uid="{69C11127-492C-4B8C-AEDA-A126BDDA1E54}"/>
    <cellStyle name="Comma 3 2 2 4 6 5 3" xfId="11953" xr:uid="{19676990-D398-4297-9973-60BA5200B368}"/>
    <cellStyle name="Comma 3 2 2 4 6 5 3 2" xfId="48461" xr:uid="{FB37766F-A75A-454A-BDEC-046FE222DC30}"/>
    <cellStyle name="Comma 3 2 2 4 6 5 3 3" xfId="30207" xr:uid="{F8B2EEF6-D8E7-4EFA-AEFB-BA34F00B69BA}"/>
    <cellStyle name="Comma 3 2 2 4 6 5 4" xfId="8303" xr:uid="{BCFE4D85-BF7F-49A9-827A-8DFB986DFEE0}"/>
    <cellStyle name="Comma 3 2 2 4 6 5 4 2" xfId="44811" xr:uid="{ADAAB076-E983-4F8A-9599-237C53AB05E2}"/>
    <cellStyle name="Comma 3 2 2 4 6 5 4 3" xfId="26557" xr:uid="{FBDA1F0D-1C42-40A4-B3C9-48E5DCD2F515}"/>
    <cellStyle name="Comma 3 2 2 4 6 5 5" xfId="4653" xr:uid="{00AC7174-2B28-4CE8-91E9-62C50DB01BE4}"/>
    <cellStyle name="Comma 3 2 2 4 6 5 5 2" xfId="41161" xr:uid="{2D1CBEC5-2875-485E-ABBA-B3CDD5F1F10F}"/>
    <cellStyle name="Comma 3 2 2 4 6 5 5 3" xfId="22907" xr:uid="{F7AAF8E0-51E8-4187-9EB8-F8D795113989}"/>
    <cellStyle name="Comma 3 2 2 4 6 5 6" xfId="37511" xr:uid="{807E24B0-295A-4C87-9BE4-523E068B7B0A}"/>
    <cellStyle name="Comma 3 2 2 4 6 5 7" xfId="19257" xr:uid="{5E4D0742-99D7-4B08-9C14-443E469308B0}"/>
    <cellStyle name="Comma 3 2 2 4 6 6" xfId="14873" xr:uid="{E49D6040-C11A-434B-8040-5088F31EE1BB}"/>
    <cellStyle name="Comma 3 2 2 4 6 6 2" xfId="51381" xr:uid="{F5B33F42-DDEA-49D5-B880-B7581AED2683}"/>
    <cellStyle name="Comma 3 2 2 4 6 6 3" xfId="33127" xr:uid="{9254FB22-3CC4-4D19-8581-B88B533715B3}"/>
    <cellStyle name="Comma 3 2 2 4 6 7" xfId="11223" xr:uid="{538871E0-AB74-445E-AFA6-AA9BCE5CE10D}"/>
    <cellStyle name="Comma 3 2 2 4 6 7 2" xfId="47731" xr:uid="{866B5DDD-32F6-4F3D-AB5B-D015D37A75D2}"/>
    <cellStyle name="Comma 3 2 2 4 6 7 3" xfId="29477" xr:uid="{4988EF69-AE2F-45C0-81AE-CFF1DC5B9775}"/>
    <cellStyle name="Comma 3 2 2 4 6 8" xfId="7573" xr:uid="{992DDA86-A6B9-4CBE-AE0F-CE3F8E7B7E0E}"/>
    <cellStyle name="Comma 3 2 2 4 6 8 2" xfId="44081" xr:uid="{C9A27169-4A63-4C9B-8DA8-AE55E7D9FB75}"/>
    <cellStyle name="Comma 3 2 2 4 6 8 3" xfId="25827" xr:uid="{B3EA7705-0E0A-4A5D-A084-EE924B7E3929}"/>
    <cellStyle name="Comma 3 2 2 4 6 9" xfId="3923" xr:uid="{711FCE56-C7DC-40FF-B722-9C6D056C0B5F}"/>
    <cellStyle name="Comma 3 2 2 4 6 9 2" xfId="40431" xr:uid="{F844C329-1D4A-4B09-A8BD-2A1EE39384EA}"/>
    <cellStyle name="Comma 3 2 2 4 6 9 3" xfId="22177" xr:uid="{11B90445-C081-4A4C-9495-4577DCB80CD6}"/>
    <cellStyle name="Comma 3 2 2 4 7" xfId="169" xr:uid="{EE8FD7E0-D4D4-44E4-8C29-C2D0C696A3E2}"/>
    <cellStyle name="Comma 3 2 2 4 7 10" xfId="36677" xr:uid="{C6435B92-3792-421D-9426-418BD0BDC5CF}"/>
    <cellStyle name="Comma 3 2 2 4 7 11" xfId="18423" xr:uid="{81018BB8-3B40-458B-B423-B47C071119EC}"/>
    <cellStyle name="Comma 3 2 2 4 7 2" xfId="3089" xr:uid="{7003CE12-4EB4-4FA2-866D-1BECC71C14FE}"/>
    <cellStyle name="Comma 3 2 2 4 7 2 2" xfId="17689" xr:uid="{A2DA6E11-68B3-4244-BCC4-D0035DC25EAF}"/>
    <cellStyle name="Comma 3 2 2 4 7 2 2 2" xfId="54197" xr:uid="{0E7430B7-31A5-45B6-9539-30D44DAD1B5B}"/>
    <cellStyle name="Comma 3 2 2 4 7 2 2 3" xfId="35943" xr:uid="{FF95376F-94FC-4FF1-8362-ABA398C082C1}"/>
    <cellStyle name="Comma 3 2 2 4 7 2 3" xfId="14039" xr:uid="{216DAC17-EB17-4C3B-BD6D-3AA800744FC0}"/>
    <cellStyle name="Comma 3 2 2 4 7 2 3 2" xfId="50547" xr:uid="{7D302A94-9A84-4700-9300-136600B9DE9A}"/>
    <cellStyle name="Comma 3 2 2 4 7 2 3 3" xfId="32293" xr:uid="{78B567F0-A0A9-4DA9-B585-87BF6C77AA53}"/>
    <cellStyle name="Comma 3 2 2 4 7 2 4" xfId="10389" xr:uid="{48EDDB9A-B1DB-42F4-A939-EFAE1B724ECE}"/>
    <cellStyle name="Comma 3 2 2 4 7 2 4 2" xfId="46897" xr:uid="{56377336-440E-41D8-8EAF-EB1CE1C9E71A}"/>
    <cellStyle name="Comma 3 2 2 4 7 2 4 3" xfId="28643" xr:uid="{BE4EBEA0-5759-4307-8EB2-FDEE9D5FCAF6}"/>
    <cellStyle name="Comma 3 2 2 4 7 2 5" xfId="6739" xr:uid="{DF35CE0C-8326-4762-87CC-7057EC1EC9BC}"/>
    <cellStyle name="Comma 3 2 2 4 7 2 5 2" xfId="43247" xr:uid="{552E7C6F-BF96-487E-A082-3EF00A924968}"/>
    <cellStyle name="Comma 3 2 2 4 7 2 5 3" xfId="24993" xr:uid="{B809AB37-DABC-4BE4-B02B-F0BBD1556D73}"/>
    <cellStyle name="Comma 3 2 2 4 7 2 6" xfId="39597" xr:uid="{08F1E8FE-5081-4A8A-8991-FDDBCE2A7EA4}"/>
    <cellStyle name="Comma 3 2 2 4 7 2 7" xfId="21343" xr:uid="{D021E32B-4FEB-4D9D-8079-83719FC63577}"/>
    <cellStyle name="Comma 3 2 2 4 7 3" xfId="2359" xr:uid="{76EBE096-6110-4F3D-A3B7-2D9DF05E2BB8}"/>
    <cellStyle name="Comma 3 2 2 4 7 3 2" xfId="16959" xr:uid="{546D6E14-A0A1-4656-B83E-4C62D835E5FA}"/>
    <cellStyle name="Comma 3 2 2 4 7 3 2 2" xfId="53467" xr:uid="{883C2710-51C3-423C-836F-16BD2AF96984}"/>
    <cellStyle name="Comma 3 2 2 4 7 3 2 3" xfId="35213" xr:uid="{C376EAC6-E0B1-49C6-9890-1CC17723772C}"/>
    <cellStyle name="Comma 3 2 2 4 7 3 3" xfId="13309" xr:uid="{1AD0B2D6-B0BD-4A31-BBBE-F99921F638AC}"/>
    <cellStyle name="Comma 3 2 2 4 7 3 3 2" xfId="49817" xr:uid="{C6ACC026-6894-4742-9C7B-6CC7F8A5D7B1}"/>
    <cellStyle name="Comma 3 2 2 4 7 3 3 3" xfId="31563" xr:uid="{E8B02128-A8A7-4976-837F-27BE8169304E}"/>
    <cellStyle name="Comma 3 2 2 4 7 3 4" xfId="9659" xr:uid="{18282150-4CF4-4012-BDCE-DF90266104AC}"/>
    <cellStyle name="Comma 3 2 2 4 7 3 4 2" xfId="46167" xr:uid="{A4047453-C326-49B8-B4A0-0CDF8BF0168E}"/>
    <cellStyle name="Comma 3 2 2 4 7 3 4 3" xfId="27913" xr:uid="{53C00415-2AD4-4A5C-9A5E-4831CC15534D}"/>
    <cellStyle name="Comma 3 2 2 4 7 3 5" xfId="6009" xr:uid="{CD71B93F-459A-4E47-BC6D-E651BC339674}"/>
    <cellStyle name="Comma 3 2 2 4 7 3 5 2" xfId="42517" xr:uid="{2D859488-524F-4295-84AA-C9E0C1ED85EF}"/>
    <cellStyle name="Comma 3 2 2 4 7 3 5 3" xfId="24263" xr:uid="{BD400C5F-4D31-49E9-A054-DD2EAE20DA7E}"/>
    <cellStyle name="Comma 3 2 2 4 7 3 6" xfId="38867" xr:uid="{CA4503BB-4BA6-4BD1-8100-8C71419ADD4A}"/>
    <cellStyle name="Comma 3 2 2 4 7 3 7" xfId="20613" xr:uid="{0F9E87BA-3013-466E-9DC9-1546E129B373}"/>
    <cellStyle name="Comma 3 2 2 4 7 4" xfId="1629" xr:uid="{8E6D9761-1F85-4B30-8AF4-7F2E64FCDA5D}"/>
    <cellStyle name="Comma 3 2 2 4 7 4 2" xfId="16229" xr:uid="{D3AD4C6A-3CE8-4A14-A16D-B7CCCC97FF8B}"/>
    <cellStyle name="Comma 3 2 2 4 7 4 2 2" xfId="52737" xr:uid="{6DE9F5E1-8938-4647-978F-2B991B38569B}"/>
    <cellStyle name="Comma 3 2 2 4 7 4 2 3" xfId="34483" xr:uid="{EEBC703C-C770-4084-9539-5067FB9D18F7}"/>
    <cellStyle name="Comma 3 2 2 4 7 4 3" xfId="12579" xr:uid="{07CE41DE-745A-4FEE-B734-8FE978080F71}"/>
    <cellStyle name="Comma 3 2 2 4 7 4 3 2" xfId="49087" xr:uid="{3CB4693D-AC7E-406C-9F90-FDC5CFA3751F}"/>
    <cellStyle name="Comma 3 2 2 4 7 4 3 3" xfId="30833" xr:uid="{F1BBBD7A-AA2D-4735-A65D-FDCF4570B258}"/>
    <cellStyle name="Comma 3 2 2 4 7 4 4" xfId="8929" xr:uid="{4C3FE65A-8EB0-469D-9E95-1FF5D0D3FCBD}"/>
    <cellStyle name="Comma 3 2 2 4 7 4 4 2" xfId="45437" xr:uid="{CF7E4521-5E84-4D7E-B57F-EA95286EC7CE}"/>
    <cellStyle name="Comma 3 2 2 4 7 4 4 3" xfId="27183" xr:uid="{5F57038B-7D17-47ED-8089-B503B3B6FF3E}"/>
    <cellStyle name="Comma 3 2 2 4 7 4 5" xfId="5279" xr:uid="{43CD47F8-FAAC-4A1C-914A-1E33C7F26018}"/>
    <cellStyle name="Comma 3 2 2 4 7 4 5 2" xfId="41787" xr:uid="{B8089F2C-DA3D-4F04-98E9-B1ECCB16189B}"/>
    <cellStyle name="Comma 3 2 2 4 7 4 5 3" xfId="23533" xr:uid="{F092BAC6-5FAB-4602-8529-2D583845E00B}"/>
    <cellStyle name="Comma 3 2 2 4 7 4 6" xfId="38137" xr:uid="{13964FB8-ADD7-47B9-BC37-177E3AC22C8B}"/>
    <cellStyle name="Comma 3 2 2 4 7 4 7" xfId="19883" xr:uid="{FB38ED82-BAFA-4F56-B5C1-4E167893DC4F}"/>
    <cellStyle name="Comma 3 2 2 4 7 5" xfId="899" xr:uid="{EBE2E431-F8F4-4395-BA98-87AE2ADE7335}"/>
    <cellStyle name="Comma 3 2 2 4 7 5 2" xfId="15499" xr:uid="{DBF602A9-972F-45C1-BDF4-9F5C3AA09C85}"/>
    <cellStyle name="Comma 3 2 2 4 7 5 2 2" xfId="52007" xr:uid="{42E4D5C1-E446-4D69-8475-5CD8AD1AA520}"/>
    <cellStyle name="Comma 3 2 2 4 7 5 2 3" xfId="33753" xr:uid="{54C0075B-2CA6-42BF-B8C0-CF7ED5810F32}"/>
    <cellStyle name="Comma 3 2 2 4 7 5 3" xfId="11849" xr:uid="{60B4AE0D-C227-4945-9E88-4F6788493E4F}"/>
    <cellStyle name="Comma 3 2 2 4 7 5 3 2" xfId="48357" xr:uid="{1C4433F4-DECA-496C-9FCA-DA2C50D01551}"/>
    <cellStyle name="Comma 3 2 2 4 7 5 3 3" xfId="30103" xr:uid="{AA1D3D49-3463-456E-8380-54D74C5FE4BA}"/>
    <cellStyle name="Comma 3 2 2 4 7 5 4" xfId="8199" xr:uid="{B8135CFB-2BAF-4C65-BFB3-B3E6757CA0ED}"/>
    <cellStyle name="Comma 3 2 2 4 7 5 4 2" xfId="44707" xr:uid="{053F0812-F309-4835-A44D-DD1D0E9A36CE}"/>
    <cellStyle name="Comma 3 2 2 4 7 5 4 3" xfId="26453" xr:uid="{D5FE10C5-4C27-4323-A958-E9C16E6A129B}"/>
    <cellStyle name="Comma 3 2 2 4 7 5 5" xfId="4549" xr:uid="{55B9C09D-28FB-4DF7-B5E0-0A57012DBEDA}"/>
    <cellStyle name="Comma 3 2 2 4 7 5 5 2" xfId="41057" xr:uid="{34E24719-D94E-4EDA-91DB-DADA7229908B}"/>
    <cellStyle name="Comma 3 2 2 4 7 5 5 3" xfId="22803" xr:uid="{A93B1B7C-2089-4AED-ABD1-3D0D16AC4B3B}"/>
    <cellStyle name="Comma 3 2 2 4 7 5 6" xfId="37407" xr:uid="{1C842BBF-FD79-420C-9F60-E2ED21CF3A57}"/>
    <cellStyle name="Comma 3 2 2 4 7 5 7" xfId="19153" xr:uid="{454ABD71-0AAB-499A-8B21-FFD16FA380C9}"/>
    <cellStyle name="Comma 3 2 2 4 7 6" xfId="14769" xr:uid="{3780841F-09D6-46E6-8E32-0978ED9DCB84}"/>
    <cellStyle name="Comma 3 2 2 4 7 6 2" xfId="51277" xr:uid="{4D3B2AA9-19D0-47E1-8FF8-6EC634EF1E95}"/>
    <cellStyle name="Comma 3 2 2 4 7 6 3" xfId="33023" xr:uid="{39315906-FA48-4009-99D8-20BAD0A89C7E}"/>
    <cellStyle name="Comma 3 2 2 4 7 7" xfId="11119" xr:uid="{40873A10-2144-4CD5-BDA4-147FA2A468B7}"/>
    <cellStyle name="Comma 3 2 2 4 7 7 2" xfId="47627" xr:uid="{B922E95B-D4C9-4AD8-8A22-948292DE0C61}"/>
    <cellStyle name="Comma 3 2 2 4 7 7 3" xfId="29373" xr:uid="{EDE8AD6B-9EF9-4EA1-9F89-22E554D4214D}"/>
    <cellStyle name="Comma 3 2 2 4 7 8" xfId="7469" xr:uid="{1DCDF9D9-3F5D-4D62-B203-5F6AB9A556A8}"/>
    <cellStyle name="Comma 3 2 2 4 7 8 2" xfId="43977" xr:uid="{36BCE7ED-D73B-48CA-BFC0-8B1F17AE55A2}"/>
    <cellStyle name="Comma 3 2 2 4 7 8 3" xfId="25723" xr:uid="{F9CE25F4-5A17-4623-BF28-02FE90E40541}"/>
    <cellStyle name="Comma 3 2 2 4 7 9" xfId="3819" xr:uid="{8C0E7FA3-7C6D-450E-96BF-C51BDA44733B}"/>
    <cellStyle name="Comma 3 2 2 4 7 9 2" xfId="40327" xr:uid="{F25032CE-22E8-47FF-BF1F-F8B2431DEF91}"/>
    <cellStyle name="Comma 3 2 2 4 7 9 3" xfId="22073" xr:uid="{2B85E39E-E734-459A-BEC3-95523DEE5602}"/>
    <cellStyle name="Comma 3 2 2 4 8" xfId="2985" xr:uid="{969BDEED-C660-433B-A864-94F3DFAB1D8A}"/>
    <cellStyle name="Comma 3 2 2 4 8 2" xfId="17585" xr:uid="{9A6B4A87-01E3-43BD-B15E-74B4A786CF23}"/>
    <cellStyle name="Comma 3 2 2 4 8 2 2" xfId="54093" xr:uid="{974F431B-C654-43EA-8212-61192B6D0878}"/>
    <cellStyle name="Comma 3 2 2 4 8 2 3" xfId="35839" xr:uid="{2E360C85-59B4-4764-AFD6-A4EE5AE2047B}"/>
    <cellStyle name="Comma 3 2 2 4 8 3" xfId="13935" xr:uid="{75B60A86-9A78-43B9-A14F-0BA14E58D73C}"/>
    <cellStyle name="Comma 3 2 2 4 8 3 2" xfId="50443" xr:uid="{9C6DE371-6184-49BB-8029-CE6DDE677E8D}"/>
    <cellStyle name="Comma 3 2 2 4 8 3 3" xfId="32189" xr:uid="{8C97722C-FBF2-4C3D-BE52-2316E5B1BAE6}"/>
    <cellStyle name="Comma 3 2 2 4 8 4" xfId="10285" xr:uid="{96BB832D-8451-4500-937B-E44E0BC3D92F}"/>
    <cellStyle name="Comma 3 2 2 4 8 4 2" xfId="46793" xr:uid="{FB6387D4-BD27-44B7-8B1D-66687AC1BACE}"/>
    <cellStyle name="Comma 3 2 2 4 8 4 3" xfId="28539" xr:uid="{F1F04CD2-A858-4184-A900-423CAD7185F2}"/>
    <cellStyle name="Comma 3 2 2 4 8 5" xfId="6635" xr:uid="{A5109CBC-F30A-4C82-ADFD-DE8FC1FAF46D}"/>
    <cellStyle name="Comma 3 2 2 4 8 5 2" xfId="43143" xr:uid="{F591B534-F40D-414B-A118-1CE97607D779}"/>
    <cellStyle name="Comma 3 2 2 4 8 5 3" xfId="24889" xr:uid="{0E6495CD-0144-4FFA-A71F-9D4B746528B5}"/>
    <cellStyle name="Comma 3 2 2 4 8 6" xfId="39493" xr:uid="{91EC50E8-50F5-46E8-85C6-526FEA253B79}"/>
    <cellStyle name="Comma 3 2 2 4 8 7" xfId="21239" xr:uid="{17F9ACED-7CB3-462C-B4C1-65E3B5FB619A}"/>
    <cellStyle name="Comma 3 2 2 4 9" xfId="2255" xr:uid="{40D11272-C931-4B03-8C33-5FBA59A30A74}"/>
    <cellStyle name="Comma 3 2 2 4 9 2" xfId="16855" xr:uid="{8EB5E742-5DB7-48FB-AB30-23661534359A}"/>
    <cellStyle name="Comma 3 2 2 4 9 2 2" xfId="53363" xr:uid="{115FD806-803B-4DCE-B7CE-F3D742210494}"/>
    <cellStyle name="Comma 3 2 2 4 9 2 3" xfId="35109" xr:uid="{E3D078D5-7B3A-453A-8A09-D406EF5DA228}"/>
    <cellStyle name="Comma 3 2 2 4 9 3" xfId="13205" xr:uid="{62B51D03-9920-4DBC-979E-13B355592A15}"/>
    <cellStyle name="Comma 3 2 2 4 9 3 2" xfId="49713" xr:uid="{D321988F-A535-4F5B-A347-9F61B5E98A18}"/>
    <cellStyle name="Comma 3 2 2 4 9 3 3" xfId="31459" xr:uid="{F003541E-1AF4-42B3-A632-57838A541879}"/>
    <cellStyle name="Comma 3 2 2 4 9 4" xfId="9555" xr:uid="{BBCD7DF4-2995-4571-B894-B20CAC83090E}"/>
    <cellStyle name="Comma 3 2 2 4 9 4 2" xfId="46063" xr:uid="{930D98C2-6CCA-45A1-97B4-3BEC26C40490}"/>
    <cellStyle name="Comma 3 2 2 4 9 4 3" xfId="27809" xr:uid="{F0699503-9729-488F-8A46-1B5FAD47444D}"/>
    <cellStyle name="Comma 3 2 2 4 9 5" xfId="5905" xr:uid="{BD3C5E05-B8AA-4AE4-A697-F8BBA930B42C}"/>
    <cellStyle name="Comma 3 2 2 4 9 5 2" xfId="42413" xr:uid="{F1B1B4B3-D2E7-428F-8F78-7D7DAC5C6B1D}"/>
    <cellStyle name="Comma 3 2 2 4 9 5 3" xfId="24159" xr:uid="{902672BF-8081-431A-B1F4-2FDD16088961}"/>
    <cellStyle name="Comma 3 2 2 4 9 6" xfId="38763" xr:uid="{CFAC3CBD-BDD4-4969-8099-97C24D640EB1}"/>
    <cellStyle name="Comma 3 2 2 4 9 7" xfId="20509" xr:uid="{89EA8AD7-889E-4A43-97F7-996A815FB96D}"/>
    <cellStyle name="Comma 3 2 2 5" xfId="657" xr:uid="{82B3119C-47E7-491C-85BF-AE30BF3D4360}"/>
    <cellStyle name="Comma 3 2 2 5 10" xfId="37165" xr:uid="{135198A4-850A-42CD-B400-4A5AAA1C3197}"/>
    <cellStyle name="Comma 3 2 2 5 11" xfId="18911" xr:uid="{F5479BD5-0A7C-4564-879F-3E3C1F91EE19}"/>
    <cellStyle name="Comma 3 2 2 5 2" xfId="3577" xr:uid="{AFED4D41-003B-493D-88C3-CE2D0FF62FA8}"/>
    <cellStyle name="Comma 3 2 2 5 2 2" xfId="18177" xr:uid="{FEB0305F-B4FC-4BC7-8045-48E0C3889021}"/>
    <cellStyle name="Comma 3 2 2 5 2 2 2" xfId="54685" xr:uid="{91FB600B-B89B-4C6A-9C2E-F7F70A8FE2E0}"/>
    <cellStyle name="Comma 3 2 2 5 2 2 3" xfId="36431" xr:uid="{79611437-DD0E-4834-9B0E-F47822D70219}"/>
    <cellStyle name="Comma 3 2 2 5 2 3" xfId="14527" xr:uid="{7E996D75-EC82-4B6A-846F-B8CCDCB06258}"/>
    <cellStyle name="Comma 3 2 2 5 2 3 2" xfId="51035" xr:uid="{B7D9AA47-DF20-4103-BB4E-51049473E6EC}"/>
    <cellStyle name="Comma 3 2 2 5 2 3 3" xfId="32781" xr:uid="{FB730DFD-EB1E-482D-92BC-E4D3F1476BE1}"/>
    <cellStyle name="Comma 3 2 2 5 2 4" xfId="10877" xr:uid="{DE2D391C-5CE0-4CD7-9CD0-064E6B419401}"/>
    <cellStyle name="Comma 3 2 2 5 2 4 2" xfId="47385" xr:uid="{C8A0FF2E-8BE9-4E95-8720-2F2E484F4EA7}"/>
    <cellStyle name="Comma 3 2 2 5 2 4 3" xfId="29131" xr:uid="{4215BF3F-2AFD-49F2-BB9A-88CB9B67BBDB}"/>
    <cellStyle name="Comma 3 2 2 5 2 5" xfId="7227" xr:uid="{A06B18CB-9618-4600-9F9F-C06F186C6D23}"/>
    <cellStyle name="Comma 3 2 2 5 2 5 2" xfId="43735" xr:uid="{89BD49E4-264B-43C2-9EEE-9ECA6A26927D}"/>
    <cellStyle name="Comma 3 2 2 5 2 5 3" xfId="25481" xr:uid="{E6BC2444-B409-4B13-8804-50518EE239C8}"/>
    <cellStyle name="Comma 3 2 2 5 2 6" xfId="40085" xr:uid="{56406A80-AF56-451D-AF5B-DE44CDD5E4E9}"/>
    <cellStyle name="Comma 3 2 2 5 2 7" xfId="21831" xr:uid="{797F1535-4767-45E6-8047-48984F5D21A5}"/>
    <cellStyle name="Comma 3 2 2 5 3" xfId="2847" xr:uid="{EDAA9889-9947-481A-BBA6-34BC907C1F28}"/>
    <cellStyle name="Comma 3 2 2 5 3 2" xfId="17447" xr:uid="{8837639D-073C-4EDE-B256-87FB3DF231E4}"/>
    <cellStyle name="Comma 3 2 2 5 3 2 2" xfId="53955" xr:uid="{A320E16A-64D0-489D-A8D8-C169F213FA06}"/>
    <cellStyle name="Comma 3 2 2 5 3 2 3" xfId="35701" xr:uid="{43CE4420-CB75-4D15-8178-7742F90CD401}"/>
    <cellStyle name="Comma 3 2 2 5 3 3" xfId="13797" xr:uid="{9A7E40B9-52B1-4D81-BCD0-0BBBEBD10F38}"/>
    <cellStyle name="Comma 3 2 2 5 3 3 2" xfId="50305" xr:uid="{DE99FEEE-2E01-4A3E-A57F-00E32F5D6C8B}"/>
    <cellStyle name="Comma 3 2 2 5 3 3 3" xfId="32051" xr:uid="{BD50F05A-FF90-4242-ACED-C3F9486142F5}"/>
    <cellStyle name="Comma 3 2 2 5 3 4" xfId="10147" xr:uid="{6C73070A-F600-4D00-B0F8-84BCE2F60C18}"/>
    <cellStyle name="Comma 3 2 2 5 3 4 2" xfId="46655" xr:uid="{2DFD0260-0454-4A25-9BA3-3F2EEA3DB389}"/>
    <cellStyle name="Comma 3 2 2 5 3 4 3" xfId="28401" xr:uid="{6BF108F5-59E3-4B1C-8663-51841FD4D3BC}"/>
    <cellStyle name="Comma 3 2 2 5 3 5" xfId="6497" xr:uid="{A1E26EA8-AC07-411E-BBAB-09F60D1F7062}"/>
    <cellStyle name="Comma 3 2 2 5 3 5 2" xfId="43005" xr:uid="{14E2FD15-0E6D-4A3C-9DDC-8F25AC9F927C}"/>
    <cellStyle name="Comma 3 2 2 5 3 5 3" xfId="24751" xr:uid="{C4444489-E94F-4252-A528-81E0456AF1B9}"/>
    <cellStyle name="Comma 3 2 2 5 3 6" xfId="39355" xr:uid="{C18A578F-94C2-4C0F-B760-AB2F7BDB7820}"/>
    <cellStyle name="Comma 3 2 2 5 3 7" xfId="21101" xr:uid="{1A550484-E6EB-4E4E-BD6A-6E15068734D7}"/>
    <cellStyle name="Comma 3 2 2 5 4" xfId="2117" xr:uid="{D2352F1E-CD4D-443F-B10F-3643F6D2C387}"/>
    <cellStyle name="Comma 3 2 2 5 4 2" xfId="16717" xr:uid="{D3EBE246-CCF6-402C-954C-681162D2289E}"/>
    <cellStyle name="Comma 3 2 2 5 4 2 2" xfId="53225" xr:uid="{408BCE59-7E79-46A8-B2F7-80F23262D4DE}"/>
    <cellStyle name="Comma 3 2 2 5 4 2 3" xfId="34971" xr:uid="{C718DFCA-F47E-4760-AAF6-15DA5F1CAAAE}"/>
    <cellStyle name="Comma 3 2 2 5 4 3" xfId="13067" xr:uid="{9537DC3D-B989-4EF9-82FA-CF326A9EA0E9}"/>
    <cellStyle name="Comma 3 2 2 5 4 3 2" xfId="49575" xr:uid="{165C3F88-5F5C-4B0B-B9C7-22C0B6CBCE04}"/>
    <cellStyle name="Comma 3 2 2 5 4 3 3" xfId="31321" xr:uid="{D3615195-FBCD-4D0D-BD49-726567EA2923}"/>
    <cellStyle name="Comma 3 2 2 5 4 4" xfId="9417" xr:uid="{2817D84B-77F0-4113-BCCA-0E6ACD82A3F3}"/>
    <cellStyle name="Comma 3 2 2 5 4 4 2" xfId="45925" xr:uid="{2C918DDD-2E2A-4F88-AC61-D68DEC9C0422}"/>
    <cellStyle name="Comma 3 2 2 5 4 4 3" xfId="27671" xr:uid="{1127F344-5BB6-4920-87E8-AAE9C3D57795}"/>
    <cellStyle name="Comma 3 2 2 5 4 5" xfId="5767" xr:uid="{BA23E892-533A-470A-9ACE-67EBC679FDA4}"/>
    <cellStyle name="Comma 3 2 2 5 4 5 2" xfId="42275" xr:uid="{8B3CEA03-8492-4584-98BE-12CF564B0C0E}"/>
    <cellStyle name="Comma 3 2 2 5 4 5 3" xfId="24021" xr:uid="{D12FCBFA-8BBC-4105-BCBB-49574594EA46}"/>
    <cellStyle name="Comma 3 2 2 5 4 6" xfId="38625" xr:uid="{E03BC168-1C00-46F1-AFAE-EB00A7698BDD}"/>
    <cellStyle name="Comma 3 2 2 5 4 7" xfId="20371" xr:uid="{59D012DD-5923-4FDF-96D3-45969B6A9B8D}"/>
    <cellStyle name="Comma 3 2 2 5 5" xfId="1387" xr:uid="{37F3271D-CCA6-4603-B4A4-05ADD0DFDE81}"/>
    <cellStyle name="Comma 3 2 2 5 5 2" xfId="15987" xr:uid="{8D1F365B-18A7-40BB-9E78-6E0C2D19038F}"/>
    <cellStyle name="Comma 3 2 2 5 5 2 2" xfId="52495" xr:uid="{BF54EACC-988B-4027-BA3B-A2334AB5F51A}"/>
    <cellStyle name="Comma 3 2 2 5 5 2 3" xfId="34241" xr:uid="{281BA309-61D9-4386-A30D-18A9A8A0642D}"/>
    <cellStyle name="Comma 3 2 2 5 5 3" xfId="12337" xr:uid="{A3996976-7731-4539-9289-45EC84304ADD}"/>
    <cellStyle name="Comma 3 2 2 5 5 3 2" xfId="48845" xr:uid="{2536E015-D229-4C59-A823-4C992E66F7F4}"/>
    <cellStyle name="Comma 3 2 2 5 5 3 3" xfId="30591" xr:uid="{852A67BD-F1CE-4D60-9444-B39D7E2D0270}"/>
    <cellStyle name="Comma 3 2 2 5 5 4" xfId="8687" xr:uid="{801F3DF4-67CA-40EC-979A-822DCE14816F}"/>
    <cellStyle name="Comma 3 2 2 5 5 4 2" xfId="45195" xr:uid="{A72E968F-4F36-4A08-8FBD-4EF71CC6782B}"/>
    <cellStyle name="Comma 3 2 2 5 5 4 3" xfId="26941" xr:uid="{59260A9F-F4A9-4977-888D-ABFD47A9A1F9}"/>
    <cellStyle name="Comma 3 2 2 5 5 5" xfId="5037" xr:uid="{68C8378B-DEA5-45EA-A7AC-AC6F74A90E5F}"/>
    <cellStyle name="Comma 3 2 2 5 5 5 2" xfId="41545" xr:uid="{14916C1D-38A2-4857-85EC-F49BBDBBA3AA}"/>
    <cellStyle name="Comma 3 2 2 5 5 5 3" xfId="23291" xr:uid="{86BBB322-9ADC-4B91-A171-B6AB70181988}"/>
    <cellStyle name="Comma 3 2 2 5 5 6" xfId="37895" xr:uid="{C4B2A95B-D4B2-4E7D-973F-EC4E984F8DBC}"/>
    <cellStyle name="Comma 3 2 2 5 5 7" xfId="19641" xr:uid="{8C91FF26-B4A5-4F5F-9274-4DDEF31CEAEA}"/>
    <cellStyle name="Comma 3 2 2 5 6" xfId="15257" xr:uid="{2EA79189-3DB9-43B8-9EAB-F3B1CB1F6387}"/>
    <cellStyle name="Comma 3 2 2 5 6 2" xfId="51765" xr:uid="{0BF1F908-452C-4338-B786-E34F8C9D57B9}"/>
    <cellStyle name="Comma 3 2 2 5 6 3" xfId="33511" xr:uid="{068EB17A-ABE9-44BB-A3A9-0D42109BD3EB}"/>
    <cellStyle name="Comma 3 2 2 5 7" xfId="11607" xr:uid="{BC8337DB-7DF2-4A98-9672-D3FFE8D7086E}"/>
    <cellStyle name="Comma 3 2 2 5 7 2" xfId="48115" xr:uid="{603FC20F-2C9C-4CBF-A6F5-92A8BD2B958E}"/>
    <cellStyle name="Comma 3 2 2 5 7 3" xfId="29861" xr:uid="{402C315D-8249-4791-8E7C-C9CF3070AD0C}"/>
    <cellStyle name="Comma 3 2 2 5 8" xfId="7957" xr:uid="{4EB7260C-4871-4C4A-A6CA-36D3B050CDA1}"/>
    <cellStyle name="Comma 3 2 2 5 8 2" xfId="44465" xr:uid="{ED8443BF-45D1-48D4-B9F8-7BD39698D6CE}"/>
    <cellStyle name="Comma 3 2 2 5 8 3" xfId="26211" xr:uid="{FC5E9D71-283A-418A-8BEE-110733BEABB3}"/>
    <cellStyle name="Comma 3 2 2 5 9" xfId="4307" xr:uid="{1B5321ED-275E-4D68-97B1-4E517D503EC5}"/>
    <cellStyle name="Comma 3 2 2 5 9 2" xfId="40815" xr:uid="{E72717BD-F662-4458-B982-3381B7D4951E}"/>
    <cellStyle name="Comma 3 2 2 5 9 3" xfId="22561" xr:uid="{083C543C-C69D-4DC3-A55B-43CDC0DF5741}"/>
    <cellStyle name="Comma 3 2 2 6" xfId="553" xr:uid="{FD692444-A6CA-46AB-8B10-B26261B4D419}"/>
    <cellStyle name="Comma 3 2 2 6 10" xfId="37061" xr:uid="{49F2CEE3-7B2E-419A-B6E7-CE87581E868A}"/>
    <cellStyle name="Comma 3 2 2 6 11" xfId="18807" xr:uid="{123A9122-A26C-4502-B580-A4AB5320E62B}"/>
    <cellStyle name="Comma 3 2 2 6 2" xfId="3473" xr:uid="{124C836D-D832-4764-8731-676F3C612A82}"/>
    <cellStyle name="Comma 3 2 2 6 2 2" xfId="18073" xr:uid="{48BA282F-3E2C-40DE-B686-6396FB7D2A6B}"/>
    <cellStyle name="Comma 3 2 2 6 2 2 2" xfId="54581" xr:uid="{5AF3F4E0-28CB-40F2-85F8-13F7FB12CF90}"/>
    <cellStyle name="Comma 3 2 2 6 2 2 3" xfId="36327" xr:uid="{92A2D9D1-173A-4FE0-93FA-21AEA477D1CE}"/>
    <cellStyle name="Comma 3 2 2 6 2 3" xfId="14423" xr:uid="{B3376F6F-3DE8-459A-8D7F-33E7346809F2}"/>
    <cellStyle name="Comma 3 2 2 6 2 3 2" xfId="50931" xr:uid="{30764745-B628-4756-B000-24C1C54F53CD}"/>
    <cellStyle name="Comma 3 2 2 6 2 3 3" xfId="32677" xr:uid="{07666986-0FA8-48E1-87B8-56B39D20B7E5}"/>
    <cellStyle name="Comma 3 2 2 6 2 4" xfId="10773" xr:uid="{25A4256A-ABCE-4340-8535-DD491D5D6D9A}"/>
    <cellStyle name="Comma 3 2 2 6 2 4 2" xfId="47281" xr:uid="{56E16DD6-8CDA-497E-A6D5-7AF96B388EEB}"/>
    <cellStyle name="Comma 3 2 2 6 2 4 3" xfId="29027" xr:uid="{CF5443E4-9761-4F99-95AB-013E6966AF81}"/>
    <cellStyle name="Comma 3 2 2 6 2 5" xfId="7123" xr:uid="{F9D8540C-BA5D-4DE0-B662-81C4ECB5F636}"/>
    <cellStyle name="Comma 3 2 2 6 2 5 2" xfId="43631" xr:uid="{9FDD91C0-8A04-41A0-B99E-2E8A71FAF7A7}"/>
    <cellStyle name="Comma 3 2 2 6 2 5 3" xfId="25377" xr:uid="{2AE53515-BCB9-4918-A39A-7AE23FCABB61}"/>
    <cellStyle name="Comma 3 2 2 6 2 6" xfId="39981" xr:uid="{AB48D86E-7777-4C57-B2C8-CF192F35A575}"/>
    <cellStyle name="Comma 3 2 2 6 2 7" xfId="21727" xr:uid="{69455BAE-AE98-4FC0-8355-4266D55F6190}"/>
    <cellStyle name="Comma 3 2 2 6 3" xfId="2743" xr:uid="{FB63CF61-8B49-4FDF-B252-6A6D4F037A8D}"/>
    <cellStyle name="Comma 3 2 2 6 3 2" xfId="17343" xr:uid="{FDA1E22F-4D6D-4DF6-9931-59F163C9B716}"/>
    <cellStyle name="Comma 3 2 2 6 3 2 2" xfId="53851" xr:uid="{A220DC1B-28F1-4939-B069-7D6365D22E44}"/>
    <cellStyle name="Comma 3 2 2 6 3 2 3" xfId="35597" xr:uid="{C520D3A6-323E-4D9B-A62B-0CCBA5EE13F9}"/>
    <cellStyle name="Comma 3 2 2 6 3 3" xfId="13693" xr:uid="{4C4990B0-5473-4AFA-989E-EDD7A366DBE2}"/>
    <cellStyle name="Comma 3 2 2 6 3 3 2" xfId="50201" xr:uid="{73A5CC95-C703-4E88-95D9-2BA3756DC050}"/>
    <cellStyle name="Comma 3 2 2 6 3 3 3" xfId="31947" xr:uid="{AF628366-39D5-4271-9A59-5F9A55565D89}"/>
    <cellStyle name="Comma 3 2 2 6 3 4" xfId="10043" xr:uid="{E067B8C5-C772-4FB3-A68E-64054CC113D1}"/>
    <cellStyle name="Comma 3 2 2 6 3 4 2" xfId="46551" xr:uid="{058DACD4-84EF-4290-B3C5-86F29C06D8C9}"/>
    <cellStyle name="Comma 3 2 2 6 3 4 3" xfId="28297" xr:uid="{B58A7CBB-C21B-4F02-BAAB-DA1B8F2BC02D}"/>
    <cellStyle name="Comma 3 2 2 6 3 5" xfId="6393" xr:uid="{375070AC-7B68-4A51-ACA6-667228F65546}"/>
    <cellStyle name="Comma 3 2 2 6 3 5 2" xfId="42901" xr:uid="{4AABA057-5AC1-41D7-887F-1CBB0A57327A}"/>
    <cellStyle name="Comma 3 2 2 6 3 5 3" xfId="24647" xr:uid="{683B898F-29F7-42B9-9464-B5179D10DD94}"/>
    <cellStyle name="Comma 3 2 2 6 3 6" xfId="39251" xr:uid="{46332B34-323B-4606-9DE4-7B2FDBEEE25E}"/>
    <cellStyle name="Comma 3 2 2 6 3 7" xfId="20997" xr:uid="{8B76CCE0-B9F3-4269-B7E1-4FCA65D95D77}"/>
    <cellStyle name="Comma 3 2 2 6 4" xfId="2013" xr:uid="{1DC956E8-569A-41A6-81DC-20E89AF7FFAC}"/>
    <cellStyle name="Comma 3 2 2 6 4 2" xfId="16613" xr:uid="{26666358-6BFC-4E2B-B185-858DDA74C39A}"/>
    <cellStyle name="Comma 3 2 2 6 4 2 2" xfId="53121" xr:uid="{27172493-9AF0-48EE-9517-45098B5E0871}"/>
    <cellStyle name="Comma 3 2 2 6 4 2 3" xfId="34867" xr:uid="{60C3BC6C-E298-4CFB-8309-6ABC990522E0}"/>
    <cellStyle name="Comma 3 2 2 6 4 3" xfId="12963" xr:uid="{BB199A4E-B2E3-4B79-922E-B702D15B0C0A}"/>
    <cellStyle name="Comma 3 2 2 6 4 3 2" xfId="49471" xr:uid="{C32E4A80-B2F0-4F55-A676-63DD2A9947B6}"/>
    <cellStyle name="Comma 3 2 2 6 4 3 3" xfId="31217" xr:uid="{6D6B4239-A92F-475F-A8BC-88BF6D876FDA}"/>
    <cellStyle name="Comma 3 2 2 6 4 4" xfId="9313" xr:uid="{64F980D8-6738-4FAA-B734-07E89DE25356}"/>
    <cellStyle name="Comma 3 2 2 6 4 4 2" xfId="45821" xr:uid="{B28D564B-AFFD-4295-99B4-EEACD21E6D79}"/>
    <cellStyle name="Comma 3 2 2 6 4 4 3" xfId="27567" xr:uid="{D180CBBF-54C4-4ED4-84F3-5F19DFE5DBD1}"/>
    <cellStyle name="Comma 3 2 2 6 4 5" xfId="5663" xr:uid="{B55F59CA-7B7E-4B76-BD7A-2C69D2726402}"/>
    <cellStyle name="Comma 3 2 2 6 4 5 2" xfId="42171" xr:uid="{85C7FEB5-2B76-4905-9752-94345DA67CA4}"/>
    <cellStyle name="Comma 3 2 2 6 4 5 3" xfId="23917" xr:uid="{B1558C58-A970-4394-99F7-38B310FB28C0}"/>
    <cellStyle name="Comma 3 2 2 6 4 6" xfId="38521" xr:uid="{EBDA28A2-3609-4D53-BEC8-784BA1293421}"/>
    <cellStyle name="Comma 3 2 2 6 4 7" xfId="20267" xr:uid="{8A934570-6DA3-45E1-B866-A5F21EB91481}"/>
    <cellStyle name="Comma 3 2 2 6 5" xfId="1283" xr:uid="{0CB4F15E-353C-4746-BD5E-EEAC9768598C}"/>
    <cellStyle name="Comma 3 2 2 6 5 2" xfId="15883" xr:uid="{E728D9D6-F698-49CA-B43C-EAC6C7806B65}"/>
    <cellStyle name="Comma 3 2 2 6 5 2 2" xfId="52391" xr:uid="{6221483D-6EB8-45B7-9350-8107EE635135}"/>
    <cellStyle name="Comma 3 2 2 6 5 2 3" xfId="34137" xr:uid="{4356BED3-9E86-40BF-BF77-889073EA9C73}"/>
    <cellStyle name="Comma 3 2 2 6 5 3" xfId="12233" xr:uid="{C285016F-99E2-4C8F-9BAB-2ECDBE268831}"/>
    <cellStyle name="Comma 3 2 2 6 5 3 2" xfId="48741" xr:uid="{B39910EC-9EA0-4294-87DE-CCE14AF01A10}"/>
    <cellStyle name="Comma 3 2 2 6 5 3 3" xfId="30487" xr:uid="{D0A4DD4B-4EA7-4F65-B41C-935A714F8D02}"/>
    <cellStyle name="Comma 3 2 2 6 5 4" xfId="8583" xr:uid="{FCB8FD40-2D9A-4023-965B-16717A9A3632}"/>
    <cellStyle name="Comma 3 2 2 6 5 4 2" xfId="45091" xr:uid="{6F138A5D-0603-4EDC-BB9B-5CA3B97DC976}"/>
    <cellStyle name="Comma 3 2 2 6 5 4 3" xfId="26837" xr:uid="{BA4FB8D4-EE60-414E-A698-367B921C77A5}"/>
    <cellStyle name="Comma 3 2 2 6 5 5" xfId="4933" xr:uid="{A3C61B91-CE63-432F-B727-0411951F3234}"/>
    <cellStyle name="Comma 3 2 2 6 5 5 2" xfId="41441" xr:uid="{AC6EF51B-A299-424E-9030-A4E0723FBCC5}"/>
    <cellStyle name="Comma 3 2 2 6 5 5 3" xfId="23187" xr:uid="{1BDC5CAB-4EC8-4180-BF7F-FCBA25AB5581}"/>
    <cellStyle name="Comma 3 2 2 6 5 6" xfId="37791" xr:uid="{879FE183-3D20-4C5B-B6F5-5CF8298E176F}"/>
    <cellStyle name="Comma 3 2 2 6 5 7" xfId="19537" xr:uid="{DC126A65-F064-4835-9E58-47DAF74DF076}"/>
    <cellStyle name="Comma 3 2 2 6 6" xfId="15153" xr:uid="{BC62A612-D72A-43BF-A62A-E396A58E825C}"/>
    <cellStyle name="Comma 3 2 2 6 6 2" xfId="51661" xr:uid="{D7C92EA1-2204-4669-A756-F0141CEBAAE7}"/>
    <cellStyle name="Comma 3 2 2 6 6 3" xfId="33407" xr:uid="{F36761DE-90BB-4324-99A5-61FD2AE670A7}"/>
    <cellStyle name="Comma 3 2 2 6 7" xfId="11503" xr:uid="{C0EF6FAA-C573-48A4-9312-19654277546B}"/>
    <cellStyle name="Comma 3 2 2 6 7 2" xfId="48011" xr:uid="{10AB5BBF-A6AC-4A04-9AF2-E590B8EFE56D}"/>
    <cellStyle name="Comma 3 2 2 6 7 3" xfId="29757" xr:uid="{B2480196-1747-4E85-9514-FF5DF8C798A1}"/>
    <cellStyle name="Comma 3 2 2 6 8" xfId="7853" xr:uid="{7356DF50-0BD4-416B-A4C0-122E6D2D6BB1}"/>
    <cellStyle name="Comma 3 2 2 6 8 2" xfId="44361" xr:uid="{C5FE0636-E69C-448C-BFF7-C94E6AA672C3}"/>
    <cellStyle name="Comma 3 2 2 6 8 3" xfId="26107" xr:uid="{A8EB3A46-C039-4D37-B748-B10976F14975}"/>
    <cellStyle name="Comma 3 2 2 6 9" xfId="4203" xr:uid="{947DBAFF-F916-468C-A7B8-5270B65E74BD}"/>
    <cellStyle name="Comma 3 2 2 6 9 2" xfId="40711" xr:uid="{E9261600-243A-4B9C-851D-F7A0F7C7277A}"/>
    <cellStyle name="Comma 3 2 2 6 9 3" xfId="22457" xr:uid="{D7374F5E-D3CC-449B-A087-4B8E75CF7B2F}"/>
    <cellStyle name="Comma 3 2 2 7" xfId="449" xr:uid="{A624EAF5-C992-46A0-99AD-DCDFC2904378}"/>
    <cellStyle name="Comma 3 2 2 7 10" xfId="36957" xr:uid="{1BE6666E-CD3B-465B-A544-1E53C718DB34}"/>
    <cellStyle name="Comma 3 2 2 7 11" xfId="18703" xr:uid="{B2B0AFC7-3526-45A4-990F-621CA1BD7F4F}"/>
    <cellStyle name="Comma 3 2 2 7 2" xfId="3369" xr:uid="{EAC57062-C7AA-43CB-B3F6-30AEF3A7AD26}"/>
    <cellStyle name="Comma 3 2 2 7 2 2" xfId="17969" xr:uid="{416F4216-AC5A-4552-B117-8213B6519766}"/>
    <cellStyle name="Comma 3 2 2 7 2 2 2" xfId="54477" xr:uid="{EEA8802B-EAEA-4839-8DE1-F2599D04E600}"/>
    <cellStyle name="Comma 3 2 2 7 2 2 3" xfId="36223" xr:uid="{B3470B17-EBBA-404A-8369-BE2A9A0E0231}"/>
    <cellStyle name="Comma 3 2 2 7 2 3" xfId="14319" xr:uid="{30F504EE-1ABA-4983-B299-54FEAA853D72}"/>
    <cellStyle name="Comma 3 2 2 7 2 3 2" xfId="50827" xr:uid="{C3D52D12-9D37-4181-8E27-BC3FD773F32E}"/>
    <cellStyle name="Comma 3 2 2 7 2 3 3" xfId="32573" xr:uid="{140DB72E-7C33-42A4-9242-48C53939E3A5}"/>
    <cellStyle name="Comma 3 2 2 7 2 4" xfId="10669" xr:uid="{ACCAAAD3-F42A-4F5B-9BB1-C08850957E8D}"/>
    <cellStyle name="Comma 3 2 2 7 2 4 2" xfId="47177" xr:uid="{809C7F5C-A5BC-41BB-A62F-4B2285EC6A89}"/>
    <cellStyle name="Comma 3 2 2 7 2 4 3" xfId="28923" xr:uid="{2CA7F1A9-378F-4560-A4D4-36278835C2A1}"/>
    <cellStyle name="Comma 3 2 2 7 2 5" xfId="7019" xr:uid="{32F1CBCD-0B74-40CB-BFAA-5675EF070AEE}"/>
    <cellStyle name="Comma 3 2 2 7 2 5 2" xfId="43527" xr:uid="{6DD11BA1-5345-4BCF-9C65-3684BEF5B110}"/>
    <cellStyle name="Comma 3 2 2 7 2 5 3" xfId="25273" xr:uid="{99593303-1823-49B9-87AC-FA37177638D0}"/>
    <cellStyle name="Comma 3 2 2 7 2 6" xfId="39877" xr:uid="{6382EE18-0A6A-4F5C-90CB-2B79C945F77D}"/>
    <cellStyle name="Comma 3 2 2 7 2 7" xfId="21623" xr:uid="{53C11A50-56DF-47F4-94AF-1EA5C03731F4}"/>
    <cellStyle name="Comma 3 2 2 7 3" xfId="2639" xr:uid="{B0D80301-1429-4EC4-81DB-F43D71E3BD02}"/>
    <cellStyle name="Comma 3 2 2 7 3 2" xfId="17239" xr:uid="{5D9A4A5A-2299-4ED6-97D4-CBC816AC56AC}"/>
    <cellStyle name="Comma 3 2 2 7 3 2 2" xfId="53747" xr:uid="{F59FECBE-7C61-44E7-AB59-B3308D9C4CA6}"/>
    <cellStyle name="Comma 3 2 2 7 3 2 3" xfId="35493" xr:uid="{CF964F5F-E39F-4814-A6EC-83D6968A1D71}"/>
    <cellStyle name="Comma 3 2 2 7 3 3" xfId="13589" xr:uid="{F20C5590-6B38-418B-B5DD-82AC43726823}"/>
    <cellStyle name="Comma 3 2 2 7 3 3 2" xfId="50097" xr:uid="{17F24933-1B18-421D-B27E-D2F843330EFF}"/>
    <cellStyle name="Comma 3 2 2 7 3 3 3" xfId="31843" xr:uid="{6B922805-D143-407F-AB98-AAC396B5EEAB}"/>
    <cellStyle name="Comma 3 2 2 7 3 4" xfId="9939" xr:uid="{47A7DF11-30A8-41C1-87D8-BB66E0D468F8}"/>
    <cellStyle name="Comma 3 2 2 7 3 4 2" xfId="46447" xr:uid="{FA4C6947-1E02-4BFE-BD81-717CB5E78370}"/>
    <cellStyle name="Comma 3 2 2 7 3 4 3" xfId="28193" xr:uid="{3A4180C5-81F4-4217-9FD8-07863F13903C}"/>
    <cellStyle name="Comma 3 2 2 7 3 5" xfId="6289" xr:uid="{47BE11B6-6F17-4385-AB7F-D4F92EBDD0BF}"/>
    <cellStyle name="Comma 3 2 2 7 3 5 2" xfId="42797" xr:uid="{540A7720-05DD-4EA3-838E-241F53283B28}"/>
    <cellStyle name="Comma 3 2 2 7 3 5 3" xfId="24543" xr:uid="{50E06B55-E562-48FF-BCAB-8C93CD315597}"/>
    <cellStyle name="Comma 3 2 2 7 3 6" xfId="39147" xr:uid="{1F6E358B-B31E-4040-8820-E682B81A9752}"/>
    <cellStyle name="Comma 3 2 2 7 3 7" xfId="20893" xr:uid="{CE5A62D5-21BF-428C-82A8-6E495649030E}"/>
    <cellStyle name="Comma 3 2 2 7 4" xfId="1909" xr:uid="{98B27CD6-9FBF-4B3F-92B3-02AE4E666199}"/>
    <cellStyle name="Comma 3 2 2 7 4 2" xfId="16509" xr:uid="{4AA5CFB2-8641-44B2-90F8-92F7BFD240E7}"/>
    <cellStyle name="Comma 3 2 2 7 4 2 2" xfId="53017" xr:uid="{F85687F5-E866-46D4-8483-7CABE272945D}"/>
    <cellStyle name="Comma 3 2 2 7 4 2 3" xfId="34763" xr:uid="{9BB0F0E3-B128-437C-A5E9-0CA415C802B3}"/>
    <cellStyle name="Comma 3 2 2 7 4 3" xfId="12859" xr:uid="{86A351CB-E39A-4284-A501-E58900DA9907}"/>
    <cellStyle name="Comma 3 2 2 7 4 3 2" xfId="49367" xr:uid="{8BAA6247-CE02-489E-A696-33E6385F0A9F}"/>
    <cellStyle name="Comma 3 2 2 7 4 3 3" xfId="31113" xr:uid="{5EC21859-F8A5-4A1C-9025-3B14BEC9CB59}"/>
    <cellStyle name="Comma 3 2 2 7 4 4" xfId="9209" xr:uid="{DB40DEAD-708B-431D-BB08-625AEB2D8290}"/>
    <cellStyle name="Comma 3 2 2 7 4 4 2" xfId="45717" xr:uid="{4973E5F1-7482-48F9-BC99-682DAF1B7937}"/>
    <cellStyle name="Comma 3 2 2 7 4 4 3" xfId="27463" xr:uid="{D801C661-1E56-4C9B-8E91-4BEAE23E4AD1}"/>
    <cellStyle name="Comma 3 2 2 7 4 5" xfId="5559" xr:uid="{7D2DF4DC-025D-47C5-866A-4811209F9838}"/>
    <cellStyle name="Comma 3 2 2 7 4 5 2" xfId="42067" xr:uid="{EECB5650-3821-4B0D-819D-4AD1EE5B6A50}"/>
    <cellStyle name="Comma 3 2 2 7 4 5 3" xfId="23813" xr:uid="{593A9066-3F97-4BCC-B1E8-73A4C3F899ED}"/>
    <cellStyle name="Comma 3 2 2 7 4 6" xfId="38417" xr:uid="{86D21E21-7461-42BC-908B-D7A4A1D375F9}"/>
    <cellStyle name="Comma 3 2 2 7 4 7" xfId="20163" xr:uid="{5598D8CB-CBEC-4C35-A04F-C3E040D69699}"/>
    <cellStyle name="Comma 3 2 2 7 5" xfId="1179" xr:uid="{C1015D62-BBA3-4E05-B968-3280E0799720}"/>
    <cellStyle name="Comma 3 2 2 7 5 2" xfId="15779" xr:uid="{4525DDBD-D9C5-4A18-8D1C-B97D8F9A0BCD}"/>
    <cellStyle name="Comma 3 2 2 7 5 2 2" xfId="52287" xr:uid="{BD294917-823E-4BF7-9253-ABD7067565C4}"/>
    <cellStyle name="Comma 3 2 2 7 5 2 3" xfId="34033" xr:uid="{63E38CFD-876B-45B2-9780-A029827F43E3}"/>
    <cellStyle name="Comma 3 2 2 7 5 3" xfId="12129" xr:uid="{420C07D1-96D9-4382-8548-3078AFE261D8}"/>
    <cellStyle name="Comma 3 2 2 7 5 3 2" xfId="48637" xr:uid="{1370A796-9D0D-42BF-A399-4C9FDEF81A15}"/>
    <cellStyle name="Comma 3 2 2 7 5 3 3" xfId="30383" xr:uid="{200C46DD-418A-418F-A355-5C8643B364C8}"/>
    <cellStyle name="Comma 3 2 2 7 5 4" xfId="8479" xr:uid="{6104AB9E-E642-4F69-A092-DB80E502980E}"/>
    <cellStyle name="Comma 3 2 2 7 5 4 2" xfId="44987" xr:uid="{A2C5CCCA-DFE1-441A-919F-F56FC0346AF4}"/>
    <cellStyle name="Comma 3 2 2 7 5 4 3" xfId="26733" xr:uid="{64349A25-7DC5-4785-BDDA-E5CF3F029394}"/>
    <cellStyle name="Comma 3 2 2 7 5 5" xfId="4829" xr:uid="{D728EBEB-4A42-4708-9E30-E19D07496A7E}"/>
    <cellStyle name="Comma 3 2 2 7 5 5 2" xfId="41337" xr:uid="{59BC8998-DB52-4FBA-B320-3052326BB0DF}"/>
    <cellStyle name="Comma 3 2 2 7 5 5 3" xfId="23083" xr:uid="{F5A047F3-B7F0-412D-869D-293966DF2BDF}"/>
    <cellStyle name="Comma 3 2 2 7 5 6" xfId="37687" xr:uid="{406508D4-96B8-4241-8B12-FD3F6A13AEF6}"/>
    <cellStyle name="Comma 3 2 2 7 5 7" xfId="19433" xr:uid="{B1FC23FC-AE3A-4F78-B709-3FACF5C255A5}"/>
    <cellStyle name="Comma 3 2 2 7 6" xfId="15049" xr:uid="{7C89524A-1566-410F-9631-554F7921A638}"/>
    <cellStyle name="Comma 3 2 2 7 6 2" xfId="51557" xr:uid="{DCE23A18-4E0F-4032-8D57-D657C56AC3B3}"/>
    <cellStyle name="Comma 3 2 2 7 6 3" xfId="33303" xr:uid="{CEDA0617-67B3-45C9-845F-11012E035441}"/>
    <cellStyle name="Comma 3 2 2 7 7" xfId="11399" xr:uid="{C0C0050D-7707-4926-AB50-D0EF26F8FC0A}"/>
    <cellStyle name="Comma 3 2 2 7 7 2" xfId="47907" xr:uid="{A9FF61EC-C59A-45E9-B3F6-876D30B7BF16}"/>
    <cellStyle name="Comma 3 2 2 7 7 3" xfId="29653" xr:uid="{9D2C3A3D-DF33-4E9B-9AC0-D79E65C4476F}"/>
    <cellStyle name="Comma 3 2 2 7 8" xfId="7749" xr:uid="{A7434E49-A1C4-4CA3-93E9-F4587B5E3773}"/>
    <cellStyle name="Comma 3 2 2 7 8 2" xfId="44257" xr:uid="{E14BBD36-2894-4C47-A3E3-EA9E57F53C6B}"/>
    <cellStyle name="Comma 3 2 2 7 8 3" xfId="26003" xr:uid="{ECDCE2FC-94A5-4407-AED0-0C8726423437}"/>
    <cellStyle name="Comma 3 2 2 7 9" xfId="4099" xr:uid="{2EF3927C-22FC-43DA-9135-F145483B3B9B}"/>
    <cellStyle name="Comma 3 2 2 7 9 2" xfId="40607" xr:uid="{8C2B2574-9E01-44D0-B14D-8DFCEAFD6349}"/>
    <cellStyle name="Comma 3 2 2 7 9 3" xfId="22353" xr:uid="{D2AEBB61-2276-4C96-8D93-D256B995A529}"/>
    <cellStyle name="Comma 3 2 2 8" xfId="345" xr:uid="{0E0447AF-14B6-4EB9-9BF7-EB441AA98432}"/>
    <cellStyle name="Comma 3 2 2 8 10" xfId="36853" xr:uid="{F8F4D352-B04A-4BB8-ADB0-645503B3DB98}"/>
    <cellStyle name="Comma 3 2 2 8 11" xfId="18599" xr:uid="{160EDC7C-0439-4705-9732-8EF42A31282A}"/>
    <cellStyle name="Comma 3 2 2 8 2" xfId="3265" xr:uid="{A03111CB-8F00-4078-B4DE-D1C664F8899D}"/>
    <cellStyle name="Comma 3 2 2 8 2 2" xfId="17865" xr:uid="{2849A532-262E-4D47-9A0C-1E59D162EB7F}"/>
    <cellStyle name="Comma 3 2 2 8 2 2 2" xfId="54373" xr:uid="{D2FBD149-AF52-4E57-A7F1-7D9018C1D592}"/>
    <cellStyle name="Comma 3 2 2 8 2 2 3" xfId="36119" xr:uid="{AABC19D0-B3E9-4536-B67A-1DC8B961F05B}"/>
    <cellStyle name="Comma 3 2 2 8 2 3" xfId="14215" xr:uid="{581D8C31-7068-41C4-AC9A-1BFE8F4AEF02}"/>
    <cellStyle name="Comma 3 2 2 8 2 3 2" xfId="50723" xr:uid="{84339F03-2986-4AEE-BD5B-04FC0D8D30CC}"/>
    <cellStyle name="Comma 3 2 2 8 2 3 3" xfId="32469" xr:uid="{99E2644A-3A5C-4A03-93FC-6F36F4367C57}"/>
    <cellStyle name="Comma 3 2 2 8 2 4" xfId="10565" xr:uid="{93079DFF-7F12-4ECE-9154-C8946B78314A}"/>
    <cellStyle name="Comma 3 2 2 8 2 4 2" xfId="47073" xr:uid="{988FFE75-244E-4A55-8D27-091CC54FE38C}"/>
    <cellStyle name="Comma 3 2 2 8 2 4 3" xfId="28819" xr:uid="{B79EDC08-6628-4186-86FF-3EC977A4C7E3}"/>
    <cellStyle name="Comma 3 2 2 8 2 5" xfId="6915" xr:uid="{9AE6D5AE-8082-4ACE-A6B1-97F70A18ABF7}"/>
    <cellStyle name="Comma 3 2 2 8 2 5 2" xfId="43423" xr:uid="{6089C914-0B4C-42ED-9FE2-75150C37DB54}"/>
    <cellStyle name="Comma 3 2 2 8 2 5 3" xfId="25169" xr:uid="{3731905C-7A67-4C98-85B5-FCE577606250}"/>
    <cellStyle name="Comma 3 2 2 8 2 6" xfId="39773" xr:uid="{B26EB165-3AB5-42B4-8A05-DC7C44F7D7EE}"/>
    <cellStyle name="Comma 3 2 2 8 2 7" xfId="21519" xr:uid="{E50363E8-B8AF-4C91-8A5B-4E752836672C}"/>
    <cellStyle name="Comma 3 2 2 8 3" xfId="2535" xr:uid="{8D555D60-13C7-4540-AB59-5B542B480856}"/>
    <cellStyle name="Comma 3 2 2 8 3 2" xfId="17135" xr:uid="{695DCF5E-E1AB-4728-A33F-55C2759AF621}"/>
    <cellStyle name="Comma 3 2 2 8 3 2 2" xfId="53643" xr:uid="{82952E6C-19FD-48DD-978A-7CC9A67CDE10}"/>
    <cellStyle name="Comma 3 2 2 8 3 2 3" xfId="35389" xr:uid="{8CFCE46B-2F6D-49CE-9CC6-203ACD49A56D}"/>
    <cellStyle name="Comma 3 2 2 8 3 3" xfId="13485" xr:uid="{85C98CFD-4214-4ADD-A518-369F5D4BBDE1}"/>
    <cellStyle name="Comma 3 2 2 8 3 3 2" xfId="49993" xr:uid="{A83B6CD5-9A08-4B0E-BD80-B52F9282A97D}"/>
    <cellStyle name="Comma 3 2 2 8 3 3 3" xfId="31739" xr:uid="{7DD9CC44-A706-44A4-B281-5222FF1E117D}"/>
    <cellStyle name="Comma 3 2 2 8 3 4" xfId="9835" xr:uid="{D4919A50-4EDD-4355-8C19-00BE5A02DC97}"/>
    <cellStyle name="Comma 3 2 2 8 3 4 2" xfId="46343" xr:uid="{3554B61F-1F64-42EC-BF61-5C2C0CFF7F80}"/>
    <cellStyle name="Comma 3 2 2 8 3 4 3" xfId="28089" xr:uid="{F727E452-C8AC-4F1F-A444-DBF338C17734}"/>
    <cellStyle name="Comma 3 2 2 8 3 5" xfId="6185" xr:uid="{428C3C16-41B1-4851-B909-EC79AC4AD3B7}"/>
    <cellStyle name="Comma 3 2 2 8 3 5 2" xfId="42693" xr:uid="{F0D1CEE1-9B31-4AD3-A48B-4039F426E208}"/>
    <cellStyle name="Comma 3 2 2 8 3 5 3" xfId="24439" xr:uid="{ABC06FD2-DFC0-4E92-98F5-8AEB5E1B4F2B}"/>
    <cellStyle name="Comma 3 2 2 8 3 6" xfId="39043" xr:uid="{6A17E575-253B-472A-BE50-8B2CD3463662}"/>
    <cellStyle name="Comma 3 2 2 8 3 7" xfId="20789" xr:uid="{67AB88FC-69CA-444E-93DE-6BD193FD7719}"/>
    <cellStyle name="Comma 3 2 2 8 4" xfId="1805" xr:uid="{6D3126FD-24E9-4743-B4E8-3AC325E0835C}"/>
    <cellStyle name="Comma 3 2 2 8 4 2" xfId="16405" xr:uid="{37903F50-2066-4E6B-B6E4-FC1EA8FAE302}"/>
    <cellStyle name="Comma 3 2 2 8 4 2 2" xfId="52913" xr:uid="{45A7A0F3-7FEB-40FF-8043-2E562840685A}"/>
    <cellStyle name="Comma 3 2 2 8 4 2 3" xfId="34659" xr:uid="{4F42DDDD-A2DC-4182-8C79-AE6433E644AE}"/>
    <cellStyle name="Comma 3 2 2 8 4 3" xfId="12755" xr:uid="{84C396CF-9EF7-4098-89E6-65DF7F229AEA}"/>
    <cellStyle name="Comma 3 2 2 8 4 3 2" xfId="49263" xr:uid="{16E12A92-69B0-4FBF-9619-DBC0A3B83130}"/>
    <cellStyle name="Comma 3 2 2 8 4 3 3" xfId="31009" xr:uid="{85133E3A-2E1A-4D30-9326-BCF83FA41EDF}"/>
    <cellStyle name="Comma 3 2 2 8 4 4" xfId="9105" xr:uid="{E43263C8-27A9-4B57-9E69-219FDE58875E}"/>
    <cellStyle name="Comma 3 2 2 8 4 4 2" xfId="45613" xr:uid="{C8A96041-3EA6-4A87-963D-E4D81901B88B}"/>
    <cellStyle name="Comma 3 2 2 8 4 4 3" xfId="27359" xr:uid="{7CFEB78C-46BE-4707-962A-7BDC69951DA7}"/>
    <cellStyle name="Comma 3 2 2 8 4 5" xfId="5455" xr:uid="{2370A82B-A6BA-4D85-8A7E-15CFD31806C7}"/>
    <cellStyle name="Comma 3 2 2 8 4 5 2" xfId="41963" xr:uid="{3ADE768B-A534-4537-9413-65C0FEF19FB1}"/>
    <cellStyle name="Comma 3 2 2 8 4 5 3" xfId="23709" xr:uid="{665F535A-680F-4483-B58D-189810451AA6}"/>
    <cellStyle name="Comma 3 2 2 8 4 6" xfId="38313" xr:uid="{0E60792B-6980-418E-84A4-BE19FD71F78C}"/>
    <cellStyle name="Comma 3 2 2 8 4 7" xfId="20059" xr:uid="{7833F625-D412-44F3-A1E1-C2DF5FC233BC}"/>
    <cellStyle name="Comma 3 2 2 8 5" xfId="1075" xr:uid="{9EE8DBFF-B65A-4976-97F5-C9C1925D5758}"/>
    <cellStyle name="Comma 3 2 2 8 5 2" xfId="15675" xr:uid="{8D38E6E0-6712-4247-BB51-1626AC308EC1}"/>
    <cellStyle name="Comma 3 2 2 8 5 2 2" xfId="52183" xr:uid="{39AE37EE-F72E-4CDA-8A86-445054C5A278}"/>
    <cellStyle name="Comma 3 2 2 8 5 2 3" xfId="33929" xr:uid="{FEB508F6-C0FA-4EC3-84F3-967B21A3C180}"/>
    <cellStyle name="Comma 3 2 2 8 5 3" xfId="12025" xr:uid="{0ABF9C3E-F613-4812-8719-160E9FDC88D4}"/>
    <cellStyle name="Comma 3 2 2 8 5 3 2" xfId="48533" xr:uid="{9D228EB0-2482-4B28-97A1-F11D9DA811F4}"/>
    <cellStyle name="Comma 3 2 2 8 5 3 3" xfId="30279" xr:uid="{D60FC5A1-6A26-4AA9-80A6-321A6801C191}"/>
    <cellStyle name="Comma 3 2 2 8 5 4" xfId="8375" xr:uid="{349E0CA0-2602-45F6-9D16-F48BDD786498}"/>
    <cellStyle name="Comma 3 2 2 8 5 4 2" xfId="44883" xr:uid="{CB47EB6E-9E75-45DC-A651-D64630D9D3DD}"/>
    <cellStyle name="Comma 3 2 2 8 5 4 3" xfId="26629" xr:uid="{36BD7344-214B-4EFD-9EFD-EBEBCEA68031}"/>
    <cellStyle name="Comma 3 2 2 8 5 5" xfId="4725" xr:uid="{B317D0DE-852B-4466-AC50-B8C314CE8998}"/>
    <cellStyle name="Comma 3 2 2 8 5 5 2" xfId="41233" xr:uid="{A9D1CDEF-0132-4B5D-9DCD-FDED34F58AFD}"/>
    <cellStyle name="Comma 3 2 2 8 5 5 3" xfId="22979" xr:uid="{01886FB3-0FFA-4E8B-875A-5CC3F1E0CC37}"/>
    <cellStyle name="Comma 3 2 2 8 5 6" xfId="37583" xr:uid="{BB211317-A539-409B-8A1B-E9AF0166D5BC}"/>
    <cellStyle name="Comma 3 2 2 8 5 7" xfId="19329" xr:uid="{43C0D8A2-6E95-4C71-AA1C-A3A6FDFD80A0}"/>
    <cellStyle name="Comma 3 2 2 8 6" xfId="14945" xr:uid="{FBE92D64-3218-4450-AD12-CA63271B18E1}"/>
    <cellStyle name="Comma 3 2 2 8 6 2" xfId="51453" xr:uid="{0045C45E-B681-4293-A35A-A93B00141FFE}"/>
    <cellStyle name="Comma 3 2 2 8 6 3" xfId="33199" xr:uid="{53DC31FF-1178-49F4-AED0-22FD0A045E41}"/>
    <cellStyle name="Comma 3 2 2 8 7" xfId="11295" xr:uid="{CFE6B52C-F1CE-4DE6-BE84-8618D50F5C14}"/>
    <cellStyle name="Comma 3 2 2 8 7 2" xfId="47803" xr:uid="{7C5ECFCE-E340-4BFE-BF2E-BB42DAB465D1}"/>
    <cellStyle name="Comma 3 2 2 8 7 3" xfId="29549" xr:uid="{216EBDB9-3735-403E-8596-F846F6F22F61}"/>
    <cellStyle name="Comma 3 2 2 8 8" xfId="7645" xr:uid="{5684EB7B-DA42-44F2-940C-03798F0D7097}"/>
    <cellStyle name="Comma 3 2 2 8 8 2" xfId="44153" xr:uid="{659DD568-710D-48D5-92FB-59BAE1C2DBF0}"/>
    <cellStyle name="Comma 3 2 2 8 8 3" xfId="25899" xr:uid="{BF97B0CB-49B1-4994-B0FB-8861E8D9C843}"/>
    <cellStyle name="Comma 3 2 2 8 9" xfId="3995" xr:uid="{86D38F75-1893-4FCA-89E1-18090390033B}"/>
    <cellStyle name="Comma 3 2 2 8 9 2" xfId="40503" xr:uid="{42B0090F-E285-4C19-8622-4A403A705F40}"/>
    <cellStyle name="Comma 3 2 2 8 9 3" xfId="22249" xr:uid="{E7D84A20-9CF0-4A9B-8E4E-32336511B431}"/>
    <cellStyle name="Comma 3 2 2 9" xfId="241" xr:uid="{5F1CB069-8C95-433F-AAD4-6503C9003B2A}"/>
    <cellStyle name="Comma 3 2 2 9 10" xfId="36749" xr:uid="{129A2144-5129-43ED-B542-167F08CD04A6}"/>
    <cellStyle name="Comma 3 2 2 9 11" xfId="18495" xr:uid="{3A534DA3-5E33-4AC4-B883-4EAA987DD55F}"/>
    <cellStyle name="Comma 3 2 2 9 2" xfId="3161" xr:uid="{BCAC6534-2BAD-4479-BAE2-1DAC11947589}"/>
    <cellStyle name="Comma 3 2 2 9 2 2" xfId="17761" xr:uid="{EEC8CDE0-7DE5-415F-B4D0-42F64DD25F2B}"/>
    <cellStyle name="Comma 3 2 2 9 2 2 2" xfId="54269" xr:uid="{79CB1732-6DA7-4315-A3D5-1CA7DC61E9B5}"/>
    <cellStyle name="Comma 3 2 2 9 2 2 3" xfId="36015" xr:uid="{A5D1507E-CD32-4E15-B327-3C6F900D2945}"/>
    <cellStyle name="Comma 3 2 2 9 2 3" xfId="14111" xr:uid="{269A26DD-4937-4A78-8847-708C73F85FCC}"/>
    <cellStyle name="Comma 3 2 2 9 2 3 2" xfId="50619" xr:uid="{7C2F1263-FB13-41D4-8E24-C6061F9CB124}"/>
    <cellStyle name="Comma 3 2 2 9 2 3 3" xfId="32365" xr:uid="{8AE50AAB-7AE9-4D68-B8D8-04CF607433C7}"/>
    <cellStyle name="Comma 3 2 2 9 2 4" xfId="10461" xr:uid="{4ACF86EE-AE7C-4722-9455-5E4D55056281}"/>
    <cellStyle name="Comma 3 2 2 9 2 4 2" xfId="46969" xr:uid="{398F6A4D-58A1-4EFC-939E-9EA42E2C8CB4}"/>
    <cellStyle name="Comma 3 2 2 9 2 4 3" xfId="28715" xr:uid="{EBBE36E4-A382-4FA8-850E-36391440F89F}"/>
    <cellStyle name="Comma 3 2 2 9 2 5" xfId="6811" xr:uid="{B8B21202-5F78-4622-B887-8E1DF51E55AF}"/>
    <cellStyle name="Comma 3 2 2 9 2 5 2" xfId="43319" xr:uid="{F10E321A-7283-4279-B97D-71EB14EB9F55}"/>
    <cellStyle name="Comma 3 2 2 9 2 5 3" xfId="25065" xr:uid="{AC0112FE-5BE7-49B2-925A-1C604C50B606}"/>
    <cellStyle name="Comma 3 2 2 9 2 6" xfId="39669" xr:uid="{E063B919-99C2-4997-A828-4B210824123C}"/>
    <cellStyle name="Comma 3 2 2 9 2 7" xfId="21415" xr:uid="{254AC7A0-267A-4B7B-966C-E1EE6654E268}"/>
    <cellStyle name="Comma 3 2 2 9 3" xfId="2431" xr:uid="{791FE4FE-247A-4C43-B113-27BA49E69C99}"/>
    <cellStyle name="Comma 3 2 2 9 3 2" xfId="17031" xr:uid="{DFC1A8D4-F7A9-4BBD-853A-84B593108EA5}"/>
    <cellStyle name="Comma 3 2 2 9 3 2 2" xfId="53539" xr:uid="{2D334364-D467-439B-9602-781913C88A83}"/>
    <cellStyle name="Comma 3 2 2 9 3 2 3" xfId="35285" xr:uid="{D223591C-6271-482B-889F-D3736E1B3FCC}"/>
    <cellStyle name="Comma 3 2 2 9 3 3" xfId="13381" xr:uid="{83BECD17-0237-4380-8789-09C23F90B07D}"/>
    <cellStyle name="Comma 3 2 2 9 3 3 2" xfId="49889" xr:uid="{602C4016-8838-4D5B-9B04-EC3B842B2FB9}"/>
    <cellStyle name="Comma 3 2 2 9 3 3 3" xfId="31635" xr:uid="{6769C2AF-4991-458A-98A8-CF98AC7E9352}"/>
    <cellStyle name="Comma 3 2 2 9 3 4" xfId="9731" xr:uid="{88701DD3-059D-4929-9D29-ACC6A6B6D7FF}"/>
    <cellStyle name="Comma 3 2 2 9 3 4 2" xfId="46239" xr:uid="{6C8E1B9E-3C9F-49C2-8F81-D21787DF9C4A}"/>
    <cellStyle name="Comma 3 2 2 9 3 4 3" xfId="27985" xr:uid="{F5D108B7-2031-4C22-88FE-F3DBE8B986C4}"/>
    <cellStyle name="Comma 3 2 2 9 3 5" xfId="6081" xr:uid="{EA325CA3-0332-44B1-AF0F-D51942BDAF67}"/>
    <cellStyle name="Comma 3 2 2 9 3 5 2" xfId="42589" xr:uid="{E76D488E-8260-4E44-B416-7F980600B7DA}"/>
    <cellStyle name="Comma 3 2 2 9 3 5 3" xfId="24335" xr:uid="{120477CC-C698-4E4C-A264-2CC0345430DA}"/>
    <cellStyle name="Comma 3 2 2 9 3 6" xfId="38939" xr:uid="{4BD4CE58-5D8C-4172-8187-C52AF15657C5}"/>
    <cellStyle name="Comma 3 2 2 9 3 7" xfId="20685" xr:uid="{D672B32A-F039-4DC9-9620-D62F2D0F30A3}"/>
    <cellStyle name="Comma 3 2 2 9 4" xfId="1701" xr:uid="{0EC54BD8-74FC-4DB0-85FA-D988CFA81912}"/>
    <cellStyle name="Comma 3 2 2 9 4 2" xfId="16301" xr:uid="{77659ABD-8CD2-4D99-8FC2-8451C08A8C9A}"/>
    <cellStyle name="Comma 3 2 2 9 4 2 2" xfId="52809" xr:uid="{3563E40B-8506-4858-BCCE-04FEEB525075}"/>
    <cellStyle name="Comma 3 2 2 9 4 2 3" xfId="34555" xr:uid="{6858DEA2-B77A-4BD1-ABAA-510AC34A42E6}"/>
    <cellStyle name="Comma 3 2 2 9 4 3" xfId="12651" xr:uid="{492032DA-B5D9-4463-B04F-89263BD22AD7}"/>
    <cellStyle name="Comma 3 2 2 9 4 3 2" xfId="49159" xr:uid="{42AEE530-C6CD-47AD-B89F-58B24265ECF5}"/>
    <cellStyle name="Comma 3 2 2 9 4 3 3" xfId="30905" xr:uid="{4BA08FE9-53D4-4D2F-B77B-4366592A7B04}"/>
    <cellStyle name="Comma 3 2 2 9 4 4" xfId="9001" xr:uid="{E5BE8519-E774-4F12-92BA-6D56FA9D4345}"/>
    <cellStyle name="Comma 3 2 2 9 4 4 2" xfId="45509" xr:uid="{E53F7E0A-0A5C-4854-A800-DF3E78543A10}"/>
    <cellStyle name="Comma 3 2 2 9 4 4 3" xfId="27255" xr:uid="{1D2828F9-2533-42C6-AA0E-45E9D2C3BB4C}"/>
    <cellStyle name="Comma 3 2 2 9 4 5" xfId="5351" xr:uid="{EB493602-E188-467B-B03C-703AF9068AF6}"/>
    <cellStyle name="Comma 3 2 2 9 4 5 2" xfId="41859" xr:uid="{F532773F-647A-4500-A36A-E7851505A36A}"/>
    <cellStyle name="Comma 3 2 2 9 4 5 3" xfId="23605" xr:uid="{BA5993CF-1B09-4FBB-8120-D856A5DCD95C}"/>
    <cellStyle name="Comma 3 2 2 9 4 6" xfId="38209" xr:uid="{337B9A05-8A04-4BF4-9A8D-265374CA4B7F}"/>
    <cellStyle name="Comma 3 2 2 9 4 7" xfId="19955" xr:uid="{2FC22669-5918-4F5C-B2CB-DB6D98332468}"/>
    <cellStyle name="Comma 3 2 2 9 5" xfId="971" xr:uid="{64D34B94-1DA3-4A26-BE51-5B8E39F12007}"/>
    <cellStyle name="Comma 3 2 2 9 5 2" xfId="15571" xr:uid="{7A55D790-E795-4BA5-B316-0850C423FE50}"/>
    <cellStyle name="Comma 3 2 2 9 5 2 2" xfId="52079" xr:uid="{4F4B35B4-7425-4DDF-896C-A80AB02A9952}"/>
    <cellStyle name="Comma 3 2 2 9 5 2 3" xfId="33825" xr:uid="{CB443074-2C59-4BC2-8E31-6CA83B7E9CD5}"/>
    <cellStyle name="Comma 3 2 2 9 5 3" xfId="11921" xr:uid="{5AE47614-0C99-4BCE-8856-5A182CC07DAE}"/>
    <cellStyle name="Comma 3 2 2 9 5 3 2" xfId="48429" xr:uid="{F5AC7E8F-D17E-4F2F-B90D-BA3FA0FE9D43}"/>
    <cellStyle name="Comma 3 2 2 9 5 3 3" xfId="30175" xr:uid="{2048FCC0-2520-4499-B9F8-AB2BF441A58C}"/>
    <cellStyle name="Comma 3 2 2 9 5 4" xfId="8271" xr:uid="{1F7D6CEA-08CC-4678-A5CB-43BAAD4C27AD}"/>
    <cellStyle name="Comma 3 2 2 9 5 4 2" xfId="44779" xr:uid="{7DDFB583-FE83-4557-ABFC-2F2A09150B37}"/>
    <cellStyle name="Comma 3 2 2 9 5 4 3" xfId="26525" xr:uid="{5054462F-26FA-4D75-8BC8-FD9E13B6E114}"/>
    <cellStyle name="Comma 3 2 2 9 5 5" xfId="4621" xr:uid="{3E2D350F-8AB7-400B-8AEA-EB625CB917FD}"/>
    <cellStyle name="Comma 3 2 2 9 5 5 2" xfId="41129" xr:uid="{B638EB09-4F34-43E5-B215-450817E33417}"/>
    <cellStyle name="Comma 3 2 2 9 5 5 3" xfId="22875" xr:uid="{409F3AEC-89CA-448D-8D1F-748F4AEEF565}"/>
    <cellStyle name="Comma 3 2 2 9 5 6" xfId="37479" xr:uid="{3179E3DA-B989-426C-B20C-836F2E91F0B7}"/>
    <cellStyle name="Comma 3 2 2 9 5 7" xfId="19225" xr:uid="{7C80D0A1-B065-4759-B1C3-E13C681DDF14}"/>
    <cellStyle name="Comma 3 2 2 9 6" xfId="14841" xr:uid="{F1D17FAD-2D11-4DB1-B349-05100BFCF1E5}"/>
    <cellStyle name="Comma 3 2 2 9 6 2" xfId="51349" xr:uid="{483DAA92-6226-4950-A0EE-AA60C5886976}"/>
    <cellStyle name="Comma 3 2 2 9 6 3" xfId="33095" xr:uid="{050B2AF9-5200-4CCA-9EC6-13A08747BD0A}"/>
    <cellStyle name="Comma 3 2 2 9 7" xfId="11191" xr:uid="{3BD04EA9-ABF3-4917-8FB2-EA2130A9507B}"/>
    <cellStyle name="Comma 3 2 2 9 7 2" xfId="47699" xr:uid="{3B3EBE06-9063-43B1-A06A-5C8571561F57}"/>
    <cellStyle name="Comma 3 2 2 9 7 3" xfId="29445" xr:uid="{17D171AD-F82B-4F76-9984-A68197864057}"/>
    <cellStyle name="Comma 3 2 2 9 8" xfId="7541" xr:uid="{7B69CB9D-F500-48F2-B8D1-91B582F45B9C}"/>
    <cellStyle name="Comma 3 2 2 9 8 2" xfId="44049" xr:uid="{B7FFCC0E-078D-4371-BC6A-DB3EB590F0AA}"/>
    <cellStyle name="Comma 3 2 2 9 8 3" xfId="25795" xr:uid="{FCFD339E-DA28-46A3-A82C-A253105E5462}"/>
    <cellStyle name="Comma 3 2 2 9 9" xfId="3891" xr:uid="{7DD19A65-0606-4703-B9EA-68C3D26FF332}"/>
    <cellStyle name="Comma 3 2 2 9 9 2" xfId="40399" xr:uid="{CEB88B04-FB2F-4ECA-873B-A0F1C8F1C3BB}"/>
    <cellStyle name="Comma 3 2 2 9 9 3" xfId="22145" xr:uid="{DB5D8133-D59D-49BA-BBD8-E63953C728E2}"/>
    <cellStyle name="Comma 3 2 20" xfId="36533" xr:uid="{B8856D47-36DA-4EF4-9601-F2DB0815D614}"/>
    <cellStyle name="Comma 3 2 21" xfId="18279" xr:uid="{4A868CFD-3E58-4D4E-97FB-C75AC5964578}"/>
    <cellStyle name="Comma 3 2 3" xfId="32" xr:uid="{6811DC41-C7A1-44BE-8783-0E4E1C91645C}"/>
    <cellStyle name="Comma 3 2 3 10" xfId="2961" xr:uid="{01114426-716C-447E-8E2C-391FAAC47891}"/>
    <cellStyle name="Comma 3 2 3 10 2" xfId="17561" xr:uid="{669DD08E-A036-47A9-9F3D-D5E53AC10139}"/>
    <cellStyle name="Comma 3 2 3 10 2 2" xfId="54069" xr:uid="{72E8026B-D098-43AE-A065-9F823DE71D3C}"/>
    <cellStyle name="Comma 3 2 3 10 2 3" xfId="35815" xr:uid="{F318A687-F5C0-4D99-A9FB-33CD990353A4}"/>
    <cellStyle name="Comma 3 2 3 10 3" xfId="13911" xr:uid="{0C9DC709-F1CC-44D8-8F11-DC7217D1FF64}"/>
    <cellStyle name="Comma 3 2 3 10 3 2" xfId="50419" xr:uid="{6EFFCE82-0800-4C28-919E-8DCE2038E6A8}"/>
    <cellStyle name="Comma 3 2 3 10 3 3" xfId="32165" xr:uid="{BBF1078D-0CCD-4788-93A5-C1E968EFE990}"/>
    <cellStyle name="Comma 3 2 3 10 4" xfId="10261" xr:uid="{938619B9-BCDD-428C-BAD6-5AD3C44ECDCF}"/>
    <cellStyle name="Comma 3 2 3 10 4 2" xfId="46769" xr:uid="{5B7196C1-58FF-47E8-8472-3AC78A8CF5E1}"/>
    <cellStyle name="Comma 3 2 3 10 4 3" xfId="28515" xr:uid="{5BDFB87E-D1E3-49BF-8880-1F623AEE83AA}"/>
    <cellStyle name="Comma 3 2 3 10 5" xfId="6611" xr:uid="{0836D69F-BF1F-44DC-91F5-56EB30720C8A}"/>
    <cellStyle name="Comma 3 2 3 10 5 2" xfId="43119" xr:uid="{57FA422A-7B3E-4371-8491-4509200392F5}"/>
    <cellStyle name="Comma 3 2 3 10 5 3" xfId="24865" xr:uid="{E62CE339-5ACB-4759-9C1D-A3F358C6A31D}"/>
    <cellStyle name="Comma 3 2 3 10 6" xfId="39469" xr:uid="{427A4680-A36C-4AB6-9CA8-A97A4C8064B1}"/>
    <cellStyle name="Comma 3 2 3 10 7" xfId="21215" xr:uid="{7F0B2E05-1F46-4574-84FF-98863DA15905}"/>
    <cellStyle name="Comma 3 2 3 11" xfId="2231" xr:uid="{F9EA3479-8AB0-490B-AD26-FEDC45BB90D2}"/>
    <cellStyle name="Comma 3 2 3 11 2" xfId="16831" xr:uid="{5C1EFA25-F205-4FF5-A85C-8E3925A97CD5}"/>
    <cellStyle name="Comma 3 2 3 11 2 2" xfId="53339" xr:uid="{2ADEE297-31EB-44E3-BC97-B6D5ED5005A1}"/>
    <cellStyle name="Comma 3 2 3 11 2 3" xfId="35085" xr:uid="{CF11A75F-0294-4618-B29B-C5ACD512F6F5}"/>
    <cellStyle name="Comma 3 2 3 11 3" xfId="13181" xr:uid="{7854CADA-CB8D-4420-AE64-B4BE106CEDE8}"/>
    <cellStyle name="Comma 3 2 3 11 3 2" xfId="49689" xr:uid="{B2874B39-86CC-4D52-9EDD-724648668C47}"/>
    <cellStyle name="Comma 3 2 3 11 3 3" xfId="31435" xr:uid="{161C15B8-6893-4D8F-AACA-AE098ED695DD}"/>
    <cellStyle name="Comma 3 2 3 11 4" xfId="9531" xr:uid="{C596F6CD-9E19-4B89-BA8C-AB59959C8F3F}"/>
    <cellStyle name="Comma 3 2 3 11 4 2" xfId="46039" xr:uid="{38D7C83E-FB3C-49A8-A0D2-50D4FC76D918}"/>
    <cellStyle name="Comma 3 2 3 11 4 3" xfId="27785" xr:uid="{1BD002F3-3BB1-49D8-A6FC-B13AE911013F}"/>
    <cellStyle name="Comma 3 2 3 11 5" xfId="5881" xr:uid="{893660E5-C636-4950-A46F-5C1CDD3AAF68}"/>
    <cellStyle name="Comma 3 2 3 11 5 2" xfId="42389" xr:uid="{5C06F5BC-1908-4B67-8106-CDA4CBE8DCD6}"/>
    <cellStyle name="Comma 3 2 3 11 5 3" xfId="24135" xr:uid="{184E729D-68A6-4C5F-8F34-C16F4B7D1E85}"/>
    <cellStyle name="Comma 3 2 3 11 6" xfId="38739" xr:uid="{E6B16C46-D9A6-4912-967F-055202A331FE}"/>
    <cellStyle name="Comma 3 2 3 11 7" xfId="20485" xr:uid="{9847CFE9-CD66-4A24-9425-CA4CA5CB31A8}"/>
    <cellStyle name="Comma 3 2 3 12" xfId="1501" xr:uid="{4AC08B10-07AB-45A3-98EF-25FCE10FBA1D}"/>
    <cellStyle name="Comma 3 2 3 12 2" xfId="16101" xr:uid="{D68509F5-43C7-4CB2-BE73-36C065273624}"/>
    <cellStyle name="Comma 3 2 3 12 2 2" xfId="52609" xr:uid="{58589BFC-A283-46C8-BEB7-1FC9A4CA61B3}"/>
    <cellStyle name="Comma 3 2 3 12 2 3" xfId="34355" xr:uid="{F88E7EEA-40E6-4787-A7EB-A3C3958315F3}"/>
    <cellStyle name="Comma 3 2 3 12 3" xfId="12451" xr:uid="{C56D8F96-5F48-4258-AC95-2D7978B09163}"/>
    <cellStyle name="Comma 3 2 3 12 3 2" xfId="48959" xr:uid="{9F6BDFE4-4613-47EB-9AEF-667F7BE4E71D}"/>
    <cellStyle name="Comma 3 2 3 12 3 3" xfId="30705" xr:uid="{A15997D5-CC0C-4B87-9CD1-FE1D1404DF4A}"/>
    <cellStyle name="Comma 3 2 3 12 4" xfId="8801" xr:uid="{BB0C37F2-0247-42C5-9A9C-19627C764DAF}"/>
    <cellStyle name="Comma 3 2 3 12 4 2" xfId="45309" xr:uid="{C07D2233-E553-4351-ADA5-39441F80454D}"/>
    <cellStyle name="Comma 3 2 3 12 4 3" xfId="27055" xr:uid="{F1522530-8081-4916-A513-2A5968DF7ED3}"/>
    <cellStyle name="Comma 3 2 3 12 5" xfId="5151" xr:uid="{20771419-8186-431B-B3E4-9F4AE443FD9A}"/>
    <cellStyle name="Comma 3 2 3 12 5 2" xfId="41659" xr:uid="{01DDA110-9283-4AE5-A3C9-DF1BED72FEA6}"/>
    <cellStyle name="Comma 3 2 3 12 5 3" xfId="23405" xr:uid="{5796A6E1-32C1-4960-838E-F7A2C5A0EB81}"/>
    <cellStyle name="Comma 3 2 3 12 6" xfId="38009" xr:uid="{8BAD8CE2-F6E5-4701-AFA3-F3E1848BDFDC}"/>
    <cellStyle name="Comma 3 2 3 12 7" xfId="19755" xr:uid="{AE2F25D0-17E3-498B-B7F0-827637C16E4C}"/>
    <cellStyle name="Comma 3 2 3 13" xfId="771" xr:uid="{043F9BD3-9CC0-4C97-81B4-E32A01EBBD57}"/>
    <cellStyle name="Comma 3 2 3 13 2" xfId="15371" xr:uid="{9F2D6B4A-AD7C-49E7-B80A-BBC724178B19}"/>
    <cellStyle name="Comma 3 2 3 13 2 2" xfId="51879" xr:uid="{06CF1340-D4F2-4DAD-AE39-1EDFFF23577D}"/>
    <cellStyle name="Comma 3 2 3 13 2 3" xfId="33625" xr:uid="{5D015258-8E2A-48CC-9E26-580F059C5918}"/>
    <cellStyle name="Comma 3 2 3 13 3" xfId="11721" xr:uid="{D694059F-B04D-4BD2-845B-BED37DD4299E}"/>
    <cellStyle name="Comma 3 2 3 13 3 2" xfId="48229" xr:uid="{E4E43163-63DA-4A65-BDCA-7D921980CC99}"/>
    <cellStyle name="Comma 3 2 3 13 3 3" xfId="29975" xr:uid="{7A8C433A-597D-4738-BB9A-AA72C9D3D86E}"/>
    <cellStyle name="Comma 3 2 3 13 4" xfId="8071" xr:uid="{D750A4B8-CE91-47E1-A083-6D94BBC5417C}"/>
    <cellStyle name="Comma 3 2 3 13 4 2" xfId="44579" xr:uid="{B68C9546-1293-40D0-A302-5E2B5BA6E17A}"/>
    <cellStyle name="Comma 3 2 3 13 4 3" xfId="26325" xr:uid="{322E8B7A-71D0-4AA6-8577-D969BD738A9B}"/>
    <cellStyle name="Comma 3 2 3 13 5" xfId="4421" xr:uid="{9CBAD6B8-D8AA-419F-A673-984F06C900C1}"/>
    <cellStyle name="Comma 3 2 3 13 5 2" xfId="40929" xr:uid="{12597DB0-C019-4EAD-AF61-A61B0F3B2B7C}"/>
    <cellStyle name="Comma 3 2 3 13 5 3" xfId="22675" xr:uid="{41D286A0-8C52-4271-803B-7250024950AC}"/>
    <cellStyle name="Comma 3 2 3 13 6" xfId="37279" xr:uid="{5CDFC692-9EEC-47E3-87E6-2FA1E872C5F7}"/>
    <cellStyle name="Comma 3 2 3 13 7" xfId="19025" xr:uid="{8A066A41-AC65-46A6-8E63-122026A3CE16}"/>
    <cellStyle name="Comma 3 2 3 14" xfId="14641" xr:uid="{FF6DC1F0-BC3D-496E-B5BF-0629265E5979}"/>
    <cellStyle name="Comma 3 2 3 14 2" xfId="51149" xr:uid="{760033B7-E856-487E-80C5-12362A0429B1}"/>
    <cellStyle name="Comma 3 2 3 14 3" xfId="32895" xr:uid="{0C00BEBB-E5C9-4325-83DB-9308BF788ECA}"/>
    <cellStyle name="Comma 3 2 3 15" xfId="10991" xr:uid="{C606503D-70B9-4A6D-A294-8E1C8E5F5B2A}"/>
    <cellStyle name="Comma 3 2 3 15 2" xfId="47499" xr:uid="{4574AB50-5E06-47C9-B112-E18CFE09163D}"/>
    <cellStyle name="Comma 3 2 3 15 3" xfId="29245" xr:uid="{5B20875B-E05A-4303-9961-D4C095470B4D}"/>
    <cellStyle name="Comma 3 2 3 16" xfId="7341" xr:uid="{CA2F5486-7D6B-42FD-AC80-0710FBB122D4}"/>
    <cellStyle name="Comma 3 2 3 16 2" xfId="43849" xr:uid="{4F7149FE-EACA-4A8C-B98A-98950D96C33F}"/>
    <cellStyle name="Comma 3 2 3 16 3" xfId="25595" xr:uid="{CE986ADD-F88B-426C-B952-845F724C0B6D}"/>
    <cellStyle name="Comma 3 2 3 17" xfId="3691" xr:uid="{FBCB05A2-EBF8-4FC1-BAF1-BDDC0B5E79DA}"/>
    <cellStyle name="Comma 3 2 3 17 2" xfId="40199" xr:uid="{C982227E-72BD-4DD1-992B-E62ADAC0483A}"/>
    <cellStyle name="Comma 3 2 3 17 3" xfId="21945" xr:uid="{B2351399-16B6-4C0E-BD57-5B7D2A45DF28}"/>
    <cellStyle name="Comma 3 2 3 18" xfId="36549" xr:uid="{D77A1DD1-DC4F-41EB-A263-6E0B299873D9}"/>
    <cellStyle name="Comma 3 2 3 19" xfId="18295" xr:uid="{4A15A65E-075A-4C47-BEF3-93BA4E323DA5}"/>
    <cellStyle name="Comma 3 2 3 2" xfId="106" xr:uid="{0B36F1AC-9414-4543-A3D5-5F2659F8D0CD}"/>
    <cellStyle name="Comma 3 2 3 2 10" xfId="1565" xr:uid="{0602EDBF-98D9-4B63-BE1D-BEDE570D9124}"/>
    <cellStyle name="Comma 3 2 3 2 10 2" xfId="16165" xr:uid="{2DE4AD12-578A-40D7-9468-04B08F12CB93}"/>
    <cellStyle name="Comma 3 2 3 2 10 2 2" xfId="52673" xr:uid="{ECB44264-BEFA-43C2-A261-9CF7C6905387}"/>
    <cellStyle name="Comma 3 2 3 2 10 2 3" xfId="34419" xr:uid="{A7A3CCC2-922A-421F-B1C1-31654F691C48}"/>
    <cellStyle name="Comma 3 2 3 2 10 3" xfId="12515" xr:uid="{C4DFC368-9180-4D15-973D-3BEDE39A144E}"/>
    <cellStyle name="Comma 3 2 3 2 10 3 2" xfId="49023" xr:uid="{830C644A-AC18-4F36-9184-2A3B3D819CE1}"/>
    <cellStyle name="Comma 3 2 3 2 10 3 3" xfId="30769" xr:uid="{4369CC03-3A7B-449B-8E0B-C5F8CD314A1D}"/>
    <cellStyle name="Comma 3 2 3 2 10 4" xfId="8865" xr:uid="{1F499CCB-1711-494C-9855-23DD79AF3EA4}"/>
    <cellStyle name="Comma 3 2 3 2 10 4 2" xfId="45373" xr:uid="{291F1903-E37D-4B64-85A2-26B7F6592833}"/>
    <cellStyle name="Comma 3 2 3 2 10 4 3" xfId="27119" xr:uid="{C622B2B6-5BAF-4485-BB1F-282F719D6751}"/>
    <cellStyle name="Comma 3 2 3 2 10 5" xfId="5215" xr:uid="{98D6085A-F758-42DC-929A-3D67C0E8CAFC}"/>
    <cellStyle name="Comma 3 2 3 2 10 5 2" xfId="41723" xr:uid="{B07BF02C-2FCC-42BF-8A25-293156DF6973}"/>
    <cellStyle name="Comma 3 2 3 2 10 5 3" xfId="23469" xr:uid="{68658B3A-C7A7-4670-A989-7486869ECB43}"/>
    <cellStyle name="Comma 3 2 3 2 10 6" xfId="38073" xr:uid="{32033B75-F89F-4FE6-ABC7-2A331B2449CB}"/>
    <cellStyle name="Comma 3 2 3 2 10 7" xfId="19819" xr:uid="{4742BFE3-F718-4752-B713-EB403C27AF15}"/>
    <cellStyle name="Comma 3 2 3 2 11" xfId="835" xr:uid="{70AA9F53-A2ED-4478-9F45-7DDA6B528245}"/>
    <cellStyle name="Comma 3 2 3 2 11 2" xfId="15435" xr:uid="{EABE9C77-CA7F-48CB-90EE-276DE885574F}"/>
    <cellStyle name="Comma 3 2 3 2 11 2 2" xfId="51943" xr:uid="{3F245924-53B2-4752-96C9-9D2EDFD0A7C3}"/>
    <cellStyle name="Comma 3 2 3 2 11 2 3" xfId="33689" xr:uid="{97E99E72-269D-48FA-B8C1-F82FE067DD0B}"/>
    <cellStyle name="Comma 3 2 3 2 11 3" xfId="11785" xr:uid="{F6D921BA-15E2-4B64-916D-E6FA2AF1DFA2}"/>
    <cellStyle name="Comma 3 2 3 2 11 3 2" xfId="48293" xr:uid="{8059A4F9-9FB5-418E-BAFB-5906AF8F4670}"/>
    <cellStyle name="Comma 3 2 3 2 11 3 3" xfId="30039" xr:uid="{987AE03E-2F59-425D-8E87-BD81FB3B05C1}"/>
    <cellStyle name="Comma 3 2 3 2 11 4" xfId="8135" xr:uid="{277A52AA-BFDA-48A0-BB8D-22412113B380}"/>
    <cellStyle name="Comma 3 2 3 2 11 4 2" xfId="44643" xr:uid="{FE3EED6D-74E3-4F11-BB31-AA0C3E18E51E}"/>
    <cellStyle name="Comma 3 2 3 2 11 4 3" xfId="26389" xr:uid="{6586CB7C-10BB-430C-824C-114EF587753F}"/>
    <cellStyle name="Comma 3 2 3 2 11 5" xfId="4485" xr:uid="{C470B6DF-0C34-46DC-A292-5C05D0137A8B}"/>
    <cellStyle name="Comma 3 2 3 2 11 5 2" xfId="40993" xr:uid="{1B0FF5C1-6E2F-44C3-ABBE-A9479847FE90}"/>
    <cellStyle name="Comma 3 2 3 2 11 5 3" xfId="22739" xr:uid="{F1DB9CD3-AB2A-44AF-A9AB-C75A54612901}"/>
    <cellStyle name="Comma 3 2 3 2 11 6" xfId="37343" xr:uid="{0DFB70B9-2885-4215-B10F-27F9908B6ED7}"/>
    <cellStyle name="Comma 3 2 3 2 11 7" xfId="19089" xr:uid="{5A88C31A-A30A-4DBB-BABE-449EA8EC839F}"/>
    <cellStyle name="Comma 3 2 3 2 12" xfId="14705" xr:uid="{343CCAFA-0EBF-461E-A0FC-DB9A19AB2787}"/>
    <cellStyle name="Comma 3 2 3 2 12 2" xfId="51213" xr:uid="{7CCA5410-9FBA-41E6-BE56-7D24294E6E4C}"/>
    <cellStyle name="Comma 3 2 3 2 12 3" xfId="32959" xr:uid="{5A0E0057-6028-41DF-B602-926FAE200925}"/>
    <cellStyle name="Comma 3 2 3 2 13" xfId="11055" xr:uid="{831992F1-28FE-4F23-BB38-EB9E19A69C26}"/>
    <cellStyle name="Comma 3 2 3 2 13 2" xfId="47563" xr:uid="{695FF353-3342-4A5C-B1D3-351C2E806289}"/>
    <cellStyle name="Comma 3 2 3 2 13 3" xfId="29309" xr:uid="{4DE500D8-4FA2-4870-8E67-8D71EEBBFA81}"/>
    <cellStyle name="Comma 3 2 3 2 14" xfId="7405" xr:uid="{3E5EB26B-DDDB-4F2A-939B-B65E955996DF}"/>
    <cellStyle name="Comma 3 2 3 2 14 2" xfId="43913" xr:uid="{117C8BB7-BB09-498A-9BDB-6B3FE79BFE5D}"/>
    <cellStyle name="Comma 3 2 3 2 14 3" xfId="25659" xr:uid="{930D772A-6017-4DBB-90F6-9F161293DC62}"/>
    <cellStyle name="Comma 3 2 3 2 15" xfId="3755" xr:uid="{5A27BA35-5333-4225-B40B-BA520ADE54AC}"/>
    <cellStyle name="Comma 3 2 3 2 15 2" xfId="40263" xr:uid="{DA42C0D5-6ED1-4CFF-ADA8-8E3C2CB41697}"/>
    <cellStyle name="Comma 3 2 3 2 15 3" xfId="22009" xr:uid="{BC29B490-5E03-4DD9-8237-D937DE981F1C}"/>
    <cellStyle name="Comma 3 2 3 2 16" xfId="36613" xr:uid="{1D9E5391-E625-4298-A453-691C8E24D8D8}"/>
    <cellStyle name="Comma 3 2 3 2 17" xfId="18359" xr:uid="{F9124672-E3A6-48B2-9667-CDB12DE2E82E}"/>
    <cellStyle name="Comma 3 2 3 2 2" xfId="729" xr:uid="{3EFD96F0-3562-4B8B-B0B5-906E020F3709}"/>
    <cellStyle name="Comma 3 2 3 2 2 10" xfId="37237" xr:uid="{964F85C9-DA21-47CA-8B7A-0B7AACB3632D}"/>
    <cellStyle name="Comma 3 2 3 2 2 11" xfId="18983" xr:uid="{96399188-F5CB-4F03-89DF-52A0FD12C821}"/>
    <cellStyle name="Comma 3 2 3 2 2 2" xfId="3649" xr:uid="{7E4DE841-08D4-4B5A-BAED-78369B03C8EB}"/>
    <cellStyle name="Comma 3 2 3 2 2 2 2" xfId="18249" xr:uid="{C0BF3DF3-77D3-4F01-A111-232B5E8266FB}"/>
    <cellStyle name="Comma 3 2 3 2 2 2 2 2" xfId="54757" xr:uid="{A8FF0EA0-29BA-4842-B44D-10E559EC1F65}"/>
    <cellStyle name="Comma 3 2 3 2 2 2 2 3" xfId="36503" xr:uid="{7244E8DF-A2CD-45C1-8C53-748C55F20BB4}"/>
    <cellStyle name="Comma 3 2 3 2 2 2 3" xfId="14599" xr:uid="{F4CCA5D6-379D-4C02-A86D-ED5ECFD71F21}"/>
    <cellStyle name="Comma 3 2 3 2 2 2 3 2" xfId="51107" xr:uid="{1F4F0DBC-2DEB-4BB3-AAB2-C9E710D73B30}"/>
    <cellStyle name="Comma 3 2 3 2 2 2 3 3" xfId="32853" xr:uid="{40D38B0D-705F-4267-A9C6-802E3AE8626E}"/>
    <cellStyle name="Comma 3 2 3 2 2 2 4" xfId="10949" xr:uid="{EBB4D0E3-BCC6-43F8-B141-CA60D70CE363}"/>
    <cellStyle name="Comma 3 2 3 2 2 2 4 2" xfId="47457" xr:uid="{A1DDC109-DF8F-4A5A-90EA-5BA7F70889AD}"/>
    <cellStyle name="Comma 3 2 3 2 2 2 4 3" xfId="29203" xr:uid="{A9C4F0FB-DADC-48CD-BE57-0E76647EFE35}"/>
    <cellStyle name="Comma 3 2 3 2 2 2 5" xfId="7299" xr:uid="{DDFDDFA2-BFD2-49EE-A72F-BFAC210F1AA0}"/>
    <cellStyle name="Comma 3 2 3 2 2 2 5 2" xfId="43807" xr:uid="{F8CA1497-15DB-4573-9E2C-D2C857ADA04C}"/>
    <cellStyle name="Comma 3 2 3 2 2 2 5 3" xfId="25553" xr:uid="{DBFD51DC-45C8-484A-AA28-06FF76BEC2FE}"/>
    <cellStyle name="Comma 3 2 3 2 2 2 6" xfId="40157" xr:uid="{0D30C05C-13BF-491F-8D9D-A6F99F325780}"/>
    <cellStyle name="Comma 3 2 3 2 2 2 7" xfId="21903" xr:uid="{B76DC8A2-C1AB-4F53-A054-6926A3940AD5}"/>
    <cellStyle name="Comma 3 2 3 2 2 3" xfId="2919" xr:uid="{2A8D06FB-A61A-4C7B-BED7-6CCB835012A0}"/>
    <cellStyle name="Comma 3 2 3 2 2 3 2" xfId="17519" xr:uid="{48D69C68-2138-4295-B4AF-A7858430C99F}"/>
    <cellStyle name="Comma 3 2 3 2 2 3 2 2" xfId="54027" xr:uid="{4F0E2876-2749-40EF-A829-0FCFE31D01F3}"/>
    <cellStyle name="Comma 3 2 3 2 2 3 2 3" xfId="35773" xr:uid="{C359FEFE-78D9-4FE0-9CF5-F5333078F983}"/>
    <cellStyle name="Comma 3 2 3 2 2 3 3" xfId="13869" xr:uid="{271BAF10-B2DA-4654-844D-C360F3C63052}"/>
    <cellStyle name="Comma 3 2 3 2 2 3 3 2" xfId="50377" xr:uid="{2AA5DE3C-E813-4AEF-90EB-D955B6166EC8}"/>
    <cellStyle name="Comma 3 2 3 2 2 3 3 3" xfId="32123" xr:uid="{2D54AE4E-497F-4E98-8302-297099C9C64E}"/>
    <cellStyle name="Comma 3 2 3 2 2 3 4" xfId="10219" xr:uid="{8F2FC783-FCA3-4AEF-87D9-14C624544AB5}"/>
    <cellStyle name="Comma 3 2 3 2 2 3 4 2" xfId="46727" xr:uid="{527B3636-B9D9-4DE0-845A-2155CCB1DC5E}"/>
    <cellStyle name="Comma 3 2 3 2 2 3 4 3" xfId="28473" xr:uid="{07EE7BBC-BCDA-49E5-9166-86E7AB269301}"/>
    <cellStyle name="Comma 3 2 3 2 2 3 5" xfId="6569" xr:uid="{66876406-DB5C-41F5-8913-2C6D6C5F3837}"/>
    <cellStyle name="Comma 3 2 3 2 2 3 5 2" xfId="43077" xr:uid="{65D153AF-58CB-49D5-B39F-3BD89EF97F54}"/>
    <cellStyle name="Comma 3 2 3 2 2 3 5 3" xfId="24823" xr:uid="{0D950812-D200-4E3A-B97F-D6808C3D9469}"/>
    <cellStyle name="Comma 3 2 3 2 2 3 6" xfId="39427" xr:uid="{B7BF8520-8E7B-4EC5-BEA2-4E6A86C26983}"/>
    <cellStyle name="Comma 3 2 3 2 2 3 7" xfId="21173" xr:uid="{3D254C78-4DD6-42DD-B6AA-EAF94EB70314}"/>
    <cellStyle name="Comma 3 2 3 2 2 4" xfId="2189" xr:uid="{6A424C63-48F1-45BB-ABE3-664854AA90AE}"/>
    <cellStyle name="Comma 3 2 3 2 2 4 2" xfId="16789" xr:uid="{32CC4C1C-9D37-42CA-B925-0CC00EBEC587}"/>
    <cellStyle name="Comma 3 2 3 2 2 4 2 2" xfId="53297" xr:uid="{2D5A49F5-15B0-47C0-819B-362784CF4CC0}"/>
    <cellStyle name="Comma 3 2 3 2 2 4 2 3" xfId="35043" xr:uid="{E36F5B23-E34C-467E-8777-0873419C66E3}"/>
    <cellStyle name="Comma 3 2 3 2 2 4 3" xfId="13139" xr:uid="{4D8E91BE-7DEA-4721-A857-033B4A35C437}"/>
    <cellStyle name="Comma 3 2 3 2 2 4 3 2" xfId="49647" xr:uid="{B011B65D-2D9C-4936-87AC-EDBAF185B396}"/>
    <cellStyle name="Comma 3 2 3 2 2 4 3 3" xfId="31393" xr:uid="{DCF64A42-62E9-4DFC-927F-8A18511AE371}"/>
    <cellStyle name="Comma 3 2 3 2 2 4 4" xfId="9489" xr:uid="{F3FBBA79-FF11-4F6B-AE0C-F322BCA47028}"/>
    <cellStyle name="Comma 3 2 3 2 2 4 4 2" xfId="45997" xr:uid="{D72050AC-2E15-41A5-BFA4-8336AA5FE7C0}"/>
    <cellStyle name="Comma 3 2 3 2 2 4 4 3" xfId="27743" xr:uid="{EE714404-55BA-44A1-AB17-E0FF238A7F15}"/>
    <cellStyle name="Comma 3 2 3 2 2 4 5" xfId="5839" xr:uid="{DAF6CE66-85E0-4EC5-9009-22AA18CB78AB}"/>
    <cellStyle name="Comma 3 2 3 2 2 4 5 2" xfId="42347" xr:uid="{382EABE6-48E6-4B16-9625-1AE44DB70A77}"/>
    <cellStyle name="Comma 3 2 3 2 2 4 5 3" xfId="24093" xr:uid="{31808DB8-8F9A-4110-904D-B7C402DD82B2}"/>
    <cellStyle name="Comma 3 2 3 2 2 4 6" xfId="38697" xr:uid="{A1D01884-36BB-4B8D-9FB0-A4DCEC1C7ED0}"/>
    <cellStyle name="Comma 3 2 3 2 2 4 7" xfId="20443" xr:uid="{DDC4453F-9026-4519-B4F9-F5152727B657}"/>
    <cellStyle name="Comma 3 2 3 2 2 5" xfId="1459" xr:uid="{03260000-C255-44BD-A4FC-8A35146929CD}"/>
    <cellStyle name="Comma 3 2 3 2 2 5 2" xfId="16059" xr:uid="{089BEFE0-2349-471E-8E6E-F2887EC19334}"/>
    <cellStyle name="Comma 3 2 3 2 2 5 2 2" xfId="52567" xr:uid="{E5727426-415F-42D6-9127-DBC3E755193C}"/>
    <cellStyle name="Comma 3 2 3 2 2 5 2 3" xfId="34313" xr:uid="{D328244A-6943-4DC4-9DCC-B73C69443F42}"/>
    <cellStyle name="Comma 3 2 3 2 2 5 3" xfId="12409" xr:uid="{8966F382-6976-4946-988B-C8FF1FA9AEEF}"/>
    <cellStyle name="Comma 3 2 3 2 2 5 3 2" xfId="48917" xr:uid="{CD761904-4837-4D59-8E1E-F2F087DEE543}"/>
    <cellStyle name="Comma 3 2 3 2 2 5 3 3" xfId="30663" xr:uid="{1205BF96-C378-4EE4-9A23-EBDD822E944D}"/>
    <cellStyle name="Comma 3 2 3 2 2 5 4" xfId="8759" xr:uid="{19DA7857-F4E0-490D-AAF8-560AB4A786F2}"/>
    <cellStyle name="Comma 3 2 3 2 2 5 4 2" xfId="45267" xr:uid="{89370470-2C5B-41EF-82D1-F0120DA6CE79}"/>
    <cellStyle name="Comma 3 2 3 2 2 5 4 3" xfId="27013" xr:uid="{E313C3F9-E09F-44BC-950E-D09BFDEAC180}"/>
    <cellStyle name="Comma 3 2 3 2 2 5 5" xfId="5109" xr:uid="{FC814319-A429-4EFA-A58B-BE9F817B35FB}"/>
    <cellStyle name="Comma 3 2 3 2 2 5 5 2" xfId="41617" xr:uid="{954C032D-D7E2-48A3-9079-C8DC2E6542F5}"/>
    <cellStyle name="Comma 3 2 3 2 2 5 5 3" xfId="23363" xr:uid="{F0642154-4877-4188-BEBD-9CD4C95D2BD8}"/>
    <cellStyle name="Comma 3 2 3 2 2 5 6" xfId="37967" xr:uid="{7309B18F-4236-4496-8D0F-EDC90DACCFB2}"/>
    <cellStyle name="Comma 3 2 3 2 2 5 7" xfId="19713" xr:uid="{5406A17F-F161-400F-A637-E79CF0119582}"/>
    <cellStyle name="Comma 3 2 3 2 2 6" xfId="15329" xr:uid="{A4925D45-E878-4652-BC29-003E4F4D4841}"/>
    <cellStyle name="Comma 3 2 3 2 2 6 2" xfId="51837" xr:uid="{C8AC4153-AD63-48CB-AF63-FDB93CE96913}"/>
    <cellStyle name="Comma 3 2 3 2 2 6 3" xfId="33583" xr:uid="{286CC36C-D921-4C3E-BAFC-846805EB2F72}"/>
    <cellStyle name="Comma 3 2 3 2 2 7" xfId="11679" xr:uid="{B32972F7-8CFB-4C56-B39B-3E1335977923}"/>
    <cellStyle name="Comma 3 2 3 2 2 7 2" xfId="48187" xr:uid="{33CD8F68-25FA-4FE6-820B-FFEF7D9873CA}"/>
    <cellStyle name="Comma 3 2 3 2 2 7 3" xfId="29933" xr:uid="{AF95881C-32F7-40FF-8A02-8D9327F30E99}"/>
    <cellStyle name="Comma 3 2 3 2 2 8" xfId="8029" xr:uid="{060B4DBA-9501-4E3B-ADD2-40A7526E1ACC}"/>
    <cellStyle name="Comma 3 2 3 2 2 8 2" xfId="44537" xr:uid="{ECE47F77-656A-413F-93A1-13391FF18346}"/>
    <cellStyle name="Comma 3 2 3 2 2 8 3" xfId="26283" xr:uid="{B6FD238B-44A9-4DCC-B3EF-8B424D3A61CB}"/>
    <cellStyle name="Comma 3 2 3 2 2 9" xfId="4379" xr:uid="{758A6EB3-83F8-4FCC-9965-92B3E0DC9FDF}"/>
    <cellStyle name="Comma 3 2 3 2 2 9 2" xfId="40887" xr:uid="{3834D4C8-9143-4884-97B9-2972A08876E1}"/>
    <cellStyle name="Comma 3 2 3 2 2 9 3" xfId="22633" xr:uid="{F9676198-F093-40F0-AA67-CBFA244030EE}"/>
    <cellStyle name="Comma 3 2 3 2 3" xfId="625" xr:uid="{A475102C-FC81-49DD-A029-F5337C098082}"/>
    <cellStyle name="Comma 3 2 3 2 3 10" xfId="37133" xr:uid="{85851618-9662-4BC1-BFF7-425398DC133F}"/>
    <cellStyle name="Comma 3 2 3 2 3 11" xfId="18879" xr:uid="{612E0A80-F738-4C36-BD7B-B2A91ECDA9D4}"/>
    <cellStyle name="Comma 3 2 3 2 3 2" xfId="3545" xr:uid="{4D99731B-3178-4249-9F4A-DF0EDEBDA938}"/>
    <cellStyle name="Comma 3 2 3 2 3 2 2" xfId="18145" xr:uid="{7DF33DED-BD44-4D69-B0C2-A7501BC349A2}"/>
    <cellStyle name="Comma 3 2 3 2 3 2 2 2" xfId="54653" xr:uid="{6E8E00EC-53EF-4163-A12F-6FDD28A7F9ED}"/>
    <cellStyle name="Comma 3 2 3 2 3 2 2 3" xfId="36399" xr:uid="{2C843A5A-91BC-43B1-8D0F-12CA007D5062}"/>
    <cellStyle name="Comma 3 2 3 2 3 2 3" xfId="14495" xr:uid="{6D685A62-64B3-4148-ABA3-1889141C7C26}"/>
    <cellStyle name="Comma 3 2 3 2 3 2 3 2" xfId="51003" xr:uid="{90F790E8-EADE-45AD-8CBC-607070394643}"/>
    <cellStyle name="Comma 3 2 3 2 3 2 3 3" xfId="32749" xr:uid="{82C22501-A9BF-48BB-8337-005E6E6ABCE0}"/>
    <cellStyle name="Comma 3 2 3 2 3 2 4" xfId="10845" xr:uid="{3BEC7EA5-0468-4BC6-AA2A-2297255A4B85}"/>
    <cellStyle name="Comma 3 2 3 2 3 2 4 2" xfId="47353" xr:uid="{85504421-03AE-4A15-B5C8-39062A76AC13}"/>
    <cellStyle name="Comma 3 2 3 2 3 2 4 3" xfId="29099" xr:uid="{A3463A1E-D87A-4DAC-B2D0-916F5DA9887B}"/>
    <cellStyle name="Comma 3 2 3 2 3 2 5" xfId="7195" xr:uid="{9C97F1C3-489D-4A3B-A20C-53C643FF808E}"/>
    <cellStyle name="Comma 3 2 3 2 3 2 5 2" xfId="43703" xr:uid="{22D08E7D-A479-492E-BDE8-C1D925F28FD6}"/>
    <cellStyle name="Comma 3 2 3 2 3 2 5 3" xfId="25449" xr:uid="{E4091A07-D0E7-4EB0-AB36-1AA4BBC21D3E}"/>
    <cellStyle name="Comma 3 2 3 2 3 2 6" xfId="40053" xr:uid="{B4E533C6-E83F-4C25-AC29-B07778DA4034}"/>
    <cellStyle name="Comma 3 2 3 2 3 2 7" xfId="21799" xr:uid="{B3B892F9-8CF9-4B28-AF50-CDBE597B23EA}"/>
    <cellStyle name="Comma 3 2 3 2 3 3" xfId="2815" xr:uid="{963775F7-0D6C-4C5B-931E-AE592CE2539A}"/>
    <cellStyle name="Comma 3 2 3 2 3 3 2" xfId="17415" xr:uid="{06A0EE68-E5D1-469F-B5F6-CC0AA615070E}"/>
    <cellStyle name="Comma 3 2 3 2 3 3 2 2" xfId="53923" xr:uid="{A33BF1E7-A8F4-4EEF-8F8C-853B7FFC1FD8}"/>
    <cellStyle name="Comma 3 2 3 2 3 3 2 3" xfId="35669" xr:uid="{A3304114-DBCF-4366-812F-1269225B8774}"/>
    <cellStyle name="Comma 3 2 3 2 3 3 3" xfId="13765" xr:uid="{3889AE8C-4A6B-49B9-9384-57F16845F978}"/>
    <cellStyle name="Comma 3 2 3 2 3 3 3 2" xfId="50273" xr:uid="{F8E7E4DF-15FA-4706-8E94-02BF703DAA62}"/>
    <cellStyle name="Comma 3 2 3 2 3 3 3 3" xfId="32019" xr:uid="{34F1C37A-7BF0-4F87-BE1D-924DB541B2FC}"/>
    <cellStyle name="Comma 3 2 3 2 3 3 4" xfId="10115" xr:uid="{6E413916-6A52-492D-9402-1D14FB3A2C27}"/>
    <cellStyle name="Comma 3 2 3 2 3 3 4 2" xfId="46623" xr:uid="{3DC9FC03-7C27-4262-B5AA-FFA23640DC41}"/>
    <cellStyle name="Comma 3 2 3 2 3 3 4 3" xfId="28369" xr:uid="{97104E6F-F13A-4F14-9B05-B4B27B4CA06F}"/>
    <cellStyle name="Comma 3 2 3 2 3 3 5" xfId="6465" xr:uid="{48284D90-A064-471D-B973-5E38A7FD822A}"/>
    <cellStyle name="Comma 3 2 3 2 3 3 5 2" xfId="42973" xr:uid="{2292BED3-B405-48A7-B110-610904BB8CBB}"/>
    <cellStyle name="Comma 3 2 3 2 3 3 5 3" xfId="24719" xr:uid="{38EF1E2D-136B-4CE6-A282-FC4DB2C12C36}"/>
    <cellStyle name="Comma 3 2 3 2 3 3 6" xfId="39323" xr:uid="{15925169-202D-401E-8CE8-A605BD8485D9}"/>
    <cellStyle name="Comma 3 2 3 2 3 3 7" xfId="21069" xr:uid="{700D335F-4310-4C76-A89A-F6735519FE03}"/>
    <cellStyle name="Comma 3 2 3 2 3 4" xfId="2085" xr:uid="{085EE1FB-3A63-474A-9EC8-9951B912B70F}"/>
    <cellStyle name="Comma 3 2 3 2 3 4 2" xfId="16685" xr:uid="{9D3BA9C1-DED3-405D-B281-9B7CBFAE99CB}"/>
    <cellStyle name="Comma 3 2 3 2 3 4 2 2" xfId="53193" xr:uid="{68004F77-84F7-4DF2-8848-4EFD84C10978}"/>
    <cellStyle name="Comma 3 2 3 2 3 4 2 3" xfId="34939" xr:uid="{D3A85BF6-0054-4C1B-8E04-E53ABBEC12D9}"/>
    <cellStyle name="Comma 3 2 3 2 3 4 3" xfId="13035" xr:uid="{822419FD-68EB-480B-B749-9AAFF7F70DEC}"/>
    <cellStyle name="Comma 3 2 3 2 3 4 3 2" xfId="49543" xr:uid="{FFDC3CC4-2F02-4C3E-9249-79D1CB9840F9}"/>
    <cellStyle name="Comma 3 2 3 2 3 4 3 3" xfId="31289" xr:uid="{99E43157-F832-43BB-B873-AE8013D53028}"/>
    <cellStyle name="Comma 3 2 3 2 3 4 4" xfId="9385" xr:uid="{604FF8A0-D951-430E-B232-CE71F3389D1C}"/>
    <cellStyle name="Comma 3 2 3 2 3 4 4 2" xfId="45893" xr:uid="{5A011917-E938-410C-9D73-64C6B892E5D6}"/>
    <cellStyle name="Comma 3 2 3 2 3 4 4 3" xfId="27639" xr:uid="{B6562B33-1448-48D2-A563-561B0F6E5008}"/>
    <cellStyle name="Comma 3 2 3 2 3 4 5" xfId="5735" xr:uid="{4E706417-7DE0-4AEE-B999-80DAE2BC1DA5}"/>
    <cellStyle name="Comma 3 2 3 2 3 4 5 2" xfId="42243" xr:uid="{5C6015A7-B37A-4DED-8C8E-C6CA014D0A16}"/>
    <cellStyle name="Comma 3 2 3 2 3 4 5 3" xfId="23989" xr:uid="{F692372D-20FD-4175-A749-68DA62AD128B}"/>
    <cellStyle name="Comma 3 2 3 2 3 4 6" xfId="38593" xr:uid="{64CDA25D-98E1-4C96-9BE6-2460ED2AAED6}"/>
    <cellStyle name="Comma 3 2 3 2 3 4 7" xfId="20339" xr:uid="{4E87F7BD-1E84-46B7-A8A8-B295C98D448E}"/>
    <cellStyle name="Comma 3 2 3 2 3 5" xfId="1355" xr:uid="{CE92D904-7B56-4D50-AEAE-0FC01061C4EC}"/>
    <cellStyle name="Comma 3 2 3 2 3 5 2" xfId="15955" xr:uid="{F63A46C7-0614-492D-8343-8715CD4C25A2}"/>
    <cellStyle name="Comma 3 2 3 2 3 5 2 2" xfId="52463" xr:uid="{B7D6F5B4-2310-4CC6-9605-4532B4AC5F8A}"/>
    <cellStyle name="Comma 3 2 3 2 3 5 2 3" xfId="34209" xr:uid="{5204A3B3-F806-4E5D-82AA-6EE28F904607}"/>
    <cellStyle name="Comma 3 2 3 2 3 5 3" xfId="12305" xr:uid="{08448C93-5A96-4A1B-B51C-C21711D88EC8}"/>
    <cellStyle name="Comma 3 2 3 2 3 5 3 2" xfId="48813" xr:uid="{BB607622-D941-4BE8-9741-EA9078CA624D}"/>
    <cellStyle name="Comma 3 2 3 2 3 5 3 3" xfId="30559" xr:uid="{C6776A4E-2DEC-41B9-983D-653F89297F61}"/>
    <cellStyle name="Comma 3 2 3 2 3 5 4" xfId="8655" xr:uid="{4AF1562F-9E03-4229-8AAC-3697C24BF4AA}"/>
    <cellStyle name="Comma 3 2 3 2 3 5 4 2" xfId="45163" xr:uid="{644C2981-EC5C-4B93-95E8-A13B141A744F}"/>
    <cellStyle name="Comma 3 2 3 2 3 5 4 3" xfId="26909" xr:uid="{9215FEB7-C124-4282-A1EE-DD2173916D1E}"/>
    <cellStyle name="Comma 3 2 3 2 3 5 5" xfId="5005" xr:uid="{2C87AE54-344C-4B4D-A5CD-F64E4F5E7D84}"/>
    <cellStyle name="Comma 3 2 3 2 3 5 5 2" xfId="41513" xr:uid="{A2A1457F-45EA-49FA-B391-B07471BEB0B1}"/>
    <cellStyle name="Comma 3 2 3 2 3 5 5 3" xfId="23259" xr:uid="{E53B9333-A63A-4318-96F5-91DA6A1F53E0}"/>
    <cellStyle name="Comma 3 2 3 2 3 5 6" xfId="37863" xr:uid="{2DB000BC-C526-4D00-8BE7-3BEB5E726B27}"/>
    <cellStyle name="Comma 3 2 3 2 3 5 7" xfId="19609" xr:uid="{3BD001B5-FA1E-4108-8D45-AAA5A985920F}"/>
    <cellStyle name="Comma 3 2 3 2 3 6" xfId="15225" xr:uid="{A813A9C3-33B2-45D7-8CCD-8A6FF2B9022A}"/>
    <cellStyle name="Comma 3 2 3 2 3 6 2" xfId="51733" xr:uid="{57304CAA-B36E-4F05-9927-0E4785A44E62}"/>
    <cellStyle name="Comma 3 2 3 2 3 6 3" xfId="33479" xr:uid="{062011D4-8A88-4E28-9514-E9E7A7880CE3}"/>
    <cellStyle name="Comma 3 2 3 2 3 7" xfId="11575" xr:uid="{5E801C02-C2AC-437F-9317-E97F069BF6F3}"/>
    <cellStyle name="Comma 3 2 3 2 3 7 2" xfId="48083" xr:uid="{DFD04878-D918-453D-8CFB-C703A65BE397}"/>
    <cellStyle name="Comma 3 2 3 2 3 7 3" xfId="29829" xr:uid="{F393D8EE-A379-4CA0-85AB-DDAB5A3DA995}"/>
    <cellStyle name="Comma 3 2 3 2 3 8" xfId="7925" xr:uid="{C8BE48D5-11FD-4A8C-AECD-05B82FC99159}"/>
    <cellStyle name="Comma 3 2 3 2 3 8 2" xfId="44433" xr:uid="{5DB8FEE1-C0A5-4C1C-8C25-E0500F242B42}"/>
    <cellStyle name="Comma 3 2 3 2 3 8 3" xfId="26179" xr:uid="{9C3F2B43-2E05-4797-90BE-F53C6D74DEA4}"/>
    <cellStyle name="Comma 3 2 3 2 3 9" xfId="4275" xr:uid="{5A41FEEE-365A-41D8-9A36-6A933D701E11}"/>
    <cellStyle name="Comma 3 2 3 2 3 9 2" xfId="40783" xr:uid="{D06EFC19-BE9E-4BE9-B5BA-EDCBD3103227}"/>
    <cellStyle name="Comma 3 2 3 2 3 9 3" xfId="22529" xr:uid="{1FA8A6A7-B853-4B20-9559-F27D0CAB9AFF}"/>
    <cellStyle name="Comma 3 2 3 2 4" xfId="521" xr:uid="{D1DC2B35-F5BF-49B5-AB62-B60432B28F27}"/>
    <cellStyle name="Comma 3 2 3 2 4 10" xfId="37029" xr:uid="{4EFA5D3F-7F17-4A6C-A06E-4CA94A5BD986}"/>
    <cellStyle name="Comma 3 2 3 2 4 11" xfId="18775" xr:uid="{B46C6888-4C76-4C4A-BD97-683B21EF8A45}"/>
    <cellStyle name="Comma 3 2 3 2 4 2" xfId="3441" xr:uid="{B76C37FA-97FE-4FED-BCD8-D50D445337A3}"/>
    <cellStyle name="Comma 3 2 3 2 4 2 2" xfId="18041" xr:uid="{1D238F7D-BB2B-4F79-A20A-5CA1CE05C816}"/>
    <cellStyle name="Comma 3 2 3 2 4 2 2 2" xfId="54549" xr:uid="{F1F3138F-7B02-4FBD-B954-EF84D8A8450F}"/>
    <cellStyle name="Comma 3 2 3 2 4 2 2 3" xfId="36295" xr:uid="{A6EDD6C5-5860-4D45-A049-65F61081B70B}"/>
    <cellStyle name="Comma 3 2 3 2 4 2 3" xfId="14391" xr:uid="{4799E92A-02C2-4C59-9B59-11745E285D19}"/>
    <cellStyle name="Comma 3 2 3 2 4 2 3 2" xfId="50899" xr:uid="{42E46FFD-02A7-4F5A-9C41-87C2B933A000}"/>
    <cellStyle name="Comma 3 2 3 2 4 2 3 3" xfId="32645" xr:uid="{5DF91837-F3A5-44F2-B4EE-5079A943C3AD}"/>
    <cellStyle name="Comma 3 2 3 2 4 2 4" xfId="10741" xr:uid="{09DDEF75-EFBB-44AD-A3EA-EF8901B998C1}"/>
    <cellStyle name="Comma 3 2 3 2 4 2 4 2" xfId="47249" xr:uid="{690D2CBB-3A2A-4935-93F7-B9A30CA73E4A}"/>
    <cellStyle name="Comma 3 2 3 2 4 2 4 3" xfId="28995" xr:uid="{52308D35-DDF5-4025-8E4A-FFB566887449}"/>
    <cellStyle name="Comma 3 2 3 2 4 2 5" xfId="7091" xr:uid="{5CE848E9-923A-4E70-90E0-4A24A589644B}"/>
    <cellStyle name="Comma 3 2 3 2 4 2 5 2" xfId="43599" xr:uid="{6D0CB682-388D-4473-AFBE-CB362FE76EFD}"/>
    <cellStyle name="Comma 3 2 3 2 4 2 5 3" xfId="25345" xr:uid="{B0D97D1B-110D-4B34-9271-FEB2E5EAF602}"/>
    <cellStyle name="Comma 3 2 3 2 4 2 6" xfId="39949" xr:uid="{93BB09CA-A093-4AFB-99DD-99719E2D617F}"/>
    <cellStyle name="Comma 3 2 3 2 4 2 7" xfId="21695" xr:uid="{F8CA5329-4EE7-403C-ADB2-A13681F3F2C5}"/>
    <cellStyle name="Comma 3 2 3 2 4 3" xfId="2711" xr:uid="{7BA5A3C9-5B84-408E-AFF5-2192C64973AB}"/>
    <cellStyle name="Comma 3 2 3 2 4 3 2" xfId="17311" xr:uid="{49DEA3BC-7BCB-4C74-B5F5-533E33210783}"/>
    <cellStyle name="Comma 3 2 3 2 4 3 2 2" xfId="53819" xr:uid="{4EA8CC67-5AF6-4A29-836F-01E388DAD4E3}"/>
    <cellStyle name="Comma 3 2 3 2 4 3 2 3" xfId="35565" xr:uid="{BCF9AE19-CE4C-4BBF-864D-8A5C24D8E9AA}"/>
    <cellStyle name="Comma 3 2 3 2 4 3 3" xfId="13661" xr:uid="{5479B15D-C41E-44B1-9746-BCCD208C929A}"/>
    <cellStyle name="Comma 3 2 3 2 4 3 3 2" xfId="50169" xr:uid="{B6077774-4398-4063-A9E4-0EF297CA69B3}"/>
    <cellStyle name="Comma 3 2 3 2 4 3 3 3" xfId="31915" xr:uid="{297CA281-325B-4CE5-8979-3A6063115242}"/>
    <cellStyle name="Comma 3 2 3 2 4 3 4" xfId="10011" xr:uid="{7709E349-75E6-4C8E-8458-854CAC9A621D}"/>
    <cellStyle name="Comma 3 2 3 2 4 3 4 2" xfId="46519" xr:uid="{C8426B7F-50DA-42BE-B787-A0A5C3149EAB}"/>
    <cellStyle name="Comma 3 2 3 2 4 3 4 3" xfId="28265" xr:uid="{C4E58E9F-F2CF-46AC-A585-F7C4A692FE2B}"/>
    <cellStyle name="Comma 3 2 3 2 4 3 5" xfId="6361" xr:uid="{C1296A64-8107-4DFE-BECA-DE53ED736A65}"/>
    <cellStyle name="Comma 3 2 3 2 4 3 5 2" xfId="42869" xr:uid="{EA198459-8061-4F7A-8418-5957794418AD}"/>
    <cellStyle name="Comma 3 2 3 2 4 3 5 3" xfId="24615" xr:uid="{09D77FDC-9909-47C3-9297-9DDDB1959F4E}"/>
    <cellStyle name="Comma 3 2 3 2 4 3 6" xfId="39219" xr:uid="{B5F67282-D7BF-46D1-B29A-5DD7C2618FD6}"/>
    <cellStyle name="Comma 3 2 3 2 4 3 7" xfId="20965" xr:uid="{8A703F76-5FF4-4FFB-8C10-C2223C7FC282}"/>
    <cellStyle name="Comma 3 2 3 2 4 4" xfId="1981" xr:uid="{2DDE7499-ED97-470C-BE02-ABA98E65044D}"/>
    <cellStyle name="Comma 3 2 3 2 4 4 2" xfId="16581" xr:uid="{92BDE08B-CEA5-45F6-B417-870E38E6B091}"/>
    <cellStyle name="Comma 3 2 3 2 4 4 2 2" xfId="53089" xr:uid="{51E00FDA-B298-478E-A967-A52174D49C52}"/>
    <cellStyle name="Comma 3 2 3 2 4 4 2 3" xfId="34835" xr:uid="{1994AE19-A168-43FC-BBAC-0F3FD8F9A70D}"/>
    <cellStyle name="Comma 3 2 3 2 4 4 3" xfId="12931" xr:uid="{4FB3A259-4BF5-47B6-BF33-08B883E45508}"/>
    <cellStyle name="Comma 3 2 3 2 4 4 3 2" xfId="49439" xr:uid="{32014283-FD78-475E-BA10-FDFAD008725D}"/>
    <cellStyle name="Comma 3 2 3 2 4 4 3 3" xfId="31185" xr:uid="{7CFB347A-5508-46B8-8FCE-66615B8C040B}"/>
    <cellStyle name="Comma 3 2 3 2 4 4 4" xfId="9281" xr:uid="{250710CB-07B8-4052-9248-A669619BCCAA}"/>
    <cellStyle name="Comma 3 2 3 2 4 4 4 2" xfId="45789" xr:uid="{032DA75C-0660-4FD0-911F-96363779D4D5}"/>
    <cellStyle name="Comma 3 2 3 2 4 4 4 3" xfId="27535" xr:uid="{C74B31E2-6E25-48D1-A06A-3F3697731964}"/>
    <cellStyle name="Comma 3 2 3 2 4 4 5" xfId="5631" xr:uid="{A5DFC83F-51C0-44AE-9A8E-EE61A669F3EF}"/>
    <cellStyle name="Comma 3 2 3 2 4 4 5 2" xfId="42139" xr:uid="{77E09CF3-0369-469E-9512-5F7D589FEFE7}"/>
    <cellStyle name="Comma 3 2 3 2 4 4 5 3" xfId="23885" xr:uid="{AA384AB2-1F69-4EE0-A38C-ED41FD2854B8}"/>
    <cellStyle name="Comma 3 2 3 2 4 4 6" xfId="38489" xr:uid="{063CDF79-032D-43CE-AD69-DC52C48AFC63}"/>
    <cellStyle name="Comma 3 2 3 2 4 4 7" xfId="20235" xr:uid="{A2C28A66-764B-413F-AE36-0BDA8B93B131}"/>
    <cellStyle name="Comma 3 2 3 2 4 5" xfId="1251" xr:uid="{416FD414-7D3D-4323-9F4F-7D33FC15CAC8}"/>
    <cellStyle name="Comma 3 2 3 2 4 5 2" xfId="15851" xr:uid="{4AE3D283-F1A9-4EAC-9B78-AEFF8EABA3E8}"/>
    <cellStyle name="Comma 3 2 3 2 4 5 2 2" xfId="52359" xr:uid="{1E86AD8B-4839-4EFC-B58F-16351D435092}"/>
    <cellStyle name="Comma 3 2 3 2 4 5 2 3" xfId="34105" xr:uid="{BF480399-6424-4972-9D13-1C5DE25F4A9D}"/>
    <cellStyle name="Comma 3 2 3 2 4 5 3" xfId="12201" xr:uid="{724C8866-2C65-40ED-A56C-28BF091186AE}"/>
    <cellStyle name="Comma 3 2 3 2 4 5 3 2" xfId="48709" xr:uid="{3F56916D-3171-40AF-B2BD-29516D8324C2}"/>
    <cellStyle name="Comma 3 2 3 2 4 5 3 3" xfId="30455" xr:uid="{6E4D83D1-37FB-47BC-9DC8-825DAEA9E745}"/>
    <cellStyle name="Comma 3 2 3 2 4 5 4" xfId="8551" xr:uid="{76A09A2B-73E6-47A0-8449-0947C8F60C5D}"/>
    <cellStyle name="Comma 3 2 3 2 4 5 4 2" xfId="45059" xr:uid="{F515C4D4-B003-4C26-AD09-12737ECD3BFE}"/>
    <cellStyle name="Comma 3 2 3 2 4 5 4 3" xfId="26805" xr:uid="{DF48308C-ACB0-44E3-9063-1D4B580044B8}"/>
    <cellStyle name="Comma 3 2 3 2 4 5 5" xfId="4901" xr:uid="{B8DE66B6-A00C-4E0E-A883-9E988D407493}"/>
    <cellStyle name="Comma 3 2 3 2 4 5 5 2" xfId="41409" xr:uid="{7B5C61E3-66E4-40FE-92B0-D169EFE59533}"/>
    <cellStyle name="Comma 3 2 3 2 4 5 5 3" xfId="23155" xr:uid="{7C555B7C-4CBD-4B99-95E6-B615700AD2A5}"/>
    <cellStyle name="Comma 3 2 3 2 4 5 6" xfId="37759" xr:uid="{0CE080F8-140D-45A4-8D84-60EE3823552B}"/>
    <cellStyle name="Comma 3 2 3 2 4 5 7" xfId="19505" xr:uid="{B38E4D62-3269-4113-9B32-3966C5B1FC6C}"/>
    <cellStyle name="Comma 3 2 3 2 4 6" xfId="15121" xr:uid="{A632C84C-E47A-4EC8-927A-EDAE08BF9693}"/>
    <cellStyle name="Comma 3 2 3 2 4 6 2" xfId="51629" xr:uid="{9CFF3CBD-CF3D-4808-831F-0BC676E7B033}"/>
    <cellStyle name="Comma 3 2 3 2 4 6 3" xfId="33375" xr:uid="{B4BBA08C-A309-4F9E-8287-0F7B1C633C67}"/>
    <cellStyle name="Comma 3 2 3 2 4 7" xfId="11471" xr:uid="{BF9D1B84-D423-4F34-9D08-DC83BA123C94}"/>
    <cellStyle name="Comma 3 2 3 2 4 7 2" xfId="47979" xr:uid="{9D846481-845C-4456-A59E-F39821111619}"/>
    <cellStyle name="Comma 3 2 3 2 4 7 3" xfId="29725" xr:uid="{C270E511-2C96-4403-B566-D8842D1AA458}"/>
    <cellStyle name="Comma 3 2 3 2 4 8" xfId="7821" xr:uid="{DD2EB137-1EB6-46BE-B71A-5BD8548A55CC}"/>
    <cellStyle name="Comma 3 2 3 2 4 8 2" xfId="44329" xr:uid="{FF186A58-17E4-4A03-9DA6-045BDE03FB22}"/>
    <cellStyle name="Comma 3 2 3 2 4 8 3" xfId="26075" xr:uid="{AAE4895E-6F27-4585-85F4-44A560F2A3ED}"/>
    <cellStyle name="Comma 3 2 3 2 4 9" xfId="4171" xr:uid="{A1DED1F8-D957-4FCC-AC31-F09C85D2BCC1}"/>
    <cellStyle name="Comma 3 2 3 2 4 9 2" xfId="40679" xr:uid="{9EFBFF54-BE9D-423A-A0C1-2768D084C4D0}"/>
    <cellStyle name="Comma 3 2 3 2 4 9 3" xfId="22425" xr:uid="{E6FF1EAB-B7D9-4A5E-9DD3-4D14972AE3D7}"/>
    <cellStyle name="Comma 3 2 3 2 5" xfId="417" xr:uid="{64CE6818-579B-4BC4-894A-7F5B2AD8067C}"/>
    <cellStyle name="Comma 3 2 3 2 5 10" xfId="36925" xr:uid="{7AB52178-65B6-4AE0-99AB-30C22FF40AB8}"/>
    <cellStyle name="Comma 3 2 3 2 5 11" xfId="18671" xr:uid="{F0166037-67ED-42BA-9E96-2CA78785E71F}"/>
    <cellStyle name="Comma 3 2 3 2 5 2" xfId="3337" xr:uid="{E28578E8-FC21-4CF2-9546-9FAF3B991A60}"/>
    <cellStyle name="Comma 3 2 3 2 5 2 2" xfId="17937" xr:uid="{9D4068C5-71FB-4CD1-B9FF-3D4ADE63F853}"/>
    <cellStyle name="Comma 3 2 3 2 5 2 2 2" xfId="54445" xr:uid="{7CCAB447-1870-47D9-AB91-E396C5380616}"/>
    <cellStyle name="Comma 3 2 3 2 5 2 2 3" xfId="36191" xr:uid="{4E78B1F3-6F47-4CF2-8479-E88D4584A15E}"/>
    <cellStyle name="Comma 3 2 3 2 5 2 3" xfId="14287" xr:uid="{A8829F93-4BA5-4262-982F-3F239E7A955D}"/>
    <cellStyle name="Comma 3 2 3 2 5 2 3 2" xfId="50795" xr:uid="{91CCD715-7572-49F8-A40C-163599EE636D}"/>
    <cellStyle name="Comma 3 2 3 2 5 2 3 3" xfId="32541" xr:uid="{8359BE34-C70E-464A-B017-6EBB93521052}"/>
    <cellStyle name="Comma 3 2 3 2 5 2 4" xfId="10637" xr:uid="{1FF9AA47-60D1-4711-8A58-1ACB1FB103D3}"/>
    <cellStyle name="Comma 3 2 3 2 5 2 4 2" xfId="47145" xr:uid="{B97F9EB9-2175-435E-9FC3-6E6BA271CCA5}"/>
    <cellStyle name="Comma 3 2 3 2 5 2 4 3" xfId="28891" xr:uid="{05082356-1050-4399-B900-338CB191809A}"/>
    <cellStyle name="Comma 3 2 3 2 5 2 5" xfId="6987" xr:uid="{670C1A4A-853A-4EFF-A8B1-9742D31E5245}"/>
    <cellStyle name="Comma 3 2 3 2 5 2 5 2" xfId="43495" xr:uid="{EB13AAFE-F467-4BBA-B875-E138E42A14C6}"/>
    <cellStyle name="Comma 3 2 3 2 5 2 5 3" xfId="25241" xr:uid="{1A9C6FD4-37C0-45DD-AE82-1AA4DA150B64}"/>
    <cellStyle name="Comma 3 2 3 2 5 2 6" xfId="39845" xr:uid="{BEDA7977-ED79-42A7-8B04-AB6C8EBDE500}"/>
    <cellStyle name="Comma 3 2 3 2 5 2 7" xfId="21591" xr:uid="{EEC38765-BD4B-4A9E-B812-07739A24A273}"/>
    <cellStyle name="Comma 3 2 3 2 5 3" xfId="2607" xr:uid="{F5B7C593-4190-423A-8CC2-D65795BFDD02}"/>
    <cellStyle name="Comma 3 2 3 2 5 3 2" xfId="17207" xr:uid="{2A7706A6-D63D-437E-988B-AA40F5E763DF}"/>
    <cellStyle name="Comma 3 2 3 2 5 3 2 2" xfId="53715" xr:uid="{D41E320A-2346-4F92-9320-DF14AD4AC4BF}"/>
    <cellStyle name="Comma 3 2 3 2 5 3 2 3" xfId="35461" xr:uid="{D94BC36E-A611-4A19-B1EA-5490D3C05196}"/>
    <cellStyle name="Comma 3 2 3 2 5 3 3" xfId="13557" xr:uid="{F03A0E53-5216-4F61-8629-5058897529D7}"/>
    <cellStyle name="Comma 3 2 3 2 5 3 3 2" xfId="50065" xr:uid="{12604CD4-EC70-4545-86DB-D9740C00E166}"/>
    <cellStyle name="Comma 3 2 3 2 5 3 3 3" xfId="31811" xr:uid="{9665A985-2217-48BD-B91C-0D1BA784F40F}"/>
    <cellStyle name="Comma 3 2 3 2 5 3 4" xfId="9907" xr:uid="{B872800C-0BF4-4CFF-B7D5-95567ED7A77A}"/>
    <cellStyle name="Comma 3 2 3 2 5 3 4 2" xfId="46415" xr:uid="{A335FC2D-54E6-4D4C-9678-237612351B98}"/>
    <cellStyle name="Comma 3 2 3 2 5 3 4 3" xfId="28161" xr:uid="{9E696801-46D8-4669-94D4-62AD14AEAC6C}"/>
    <cellStyle name="Comma 3 2 3 2 5 3 5" xfId="6257" xr:uid="{664B542E-ACC5-46B8-9934-EA8FE00D1490}"/>
    <cellStyle name="Comma 3 2 3 2 5 3 5 2" xfId="42765" xr:uid="{AA8CD208-7497-4D37-80A7-1179926066A1}"/>
    <cellStyle name="Comma 3 2 3 2 5 3 5 3" xfId="24511" xr:uid="{EE0BAC2C-5A5E-4147-A31A-42FF77DE6DAC}"/>
    <cellStyle name="Comma 3 2 3 2 5 3 6" xfId="39115" xr:uid="{30B11C89-0721-4F3A-AA83-51B398EE15D6}"/>
    <cellStyle name="Comma 3 2 3 2 5 3 7" xfId="20861" xr:uid="{CCC2DBD9-5425-41B2-9B46-79886488FFF8}"/>
    <cellStyle name="Comma 3 2 3 2 5 4" xfId="1877" xr:uid="{8AC3FF6D-CFE2-4316-9696-D18A78A728D7}"/>
    <cellStyle name="Comma 3 2 3 2 5 4 2" xfId="16477" xr:uid="{7B175B68-59DD-4AAE-90F2-B55A49F6334D}"/>
    <cellStyle name="Comma 3 2 3 2 5 4 2 2" xfId="52985" xr:uid="{DE1E4777-1224-4F36-8877-7F50AA2651A0}"/>
    <cellStyle name="Comma 3 2 3 2 5 4 2 3" xfId="34731" xr:uid="{175C9A89-D866-4DBD-B425-9460C6385F2E}"/>
    <cellStyle name="Comma 3 2 3 2 5 4 3" xfId="12827" xr:uid="{2F518009-D3E9-47B1-9C0E-67F1069EF540}"/>
    <cellStyle name="Comma 3 2 3 2 5 4 3 2" xfId="49335" xr:uid="{44971A70-9119-46F5-8397-F267A52A7EFA}"/>
    <cellStyle name="Comma 3 2 3 2 5 4 3 3" xfId="31081" xr:uid="{E9D0AF08-67D9-4626-876A-044DBF878C09}"/>
    <cellStyle name="Comma 3 2 3 2 5 4 4" xfId="9177" xr:uid="{ECC87747-B34B-4180-9A4F-85DFC36D9FB4}"/>
    <cellStyle name="Comma 3 2 3 2 5 4 4 2" xfId="45685" xr:uid="{634E0C0F-4941-4AF2-ACC1-501E528F22D3}"/>
    <cellStyle name="Comma 3 2 3 2 5 4 4 3" xfId="27431" xr:uid="{52E9E2B2-4DA8-4335-B266-F14C239C76E0}"/>
    <cellStyle name="Comma 3 2 3 2 5 4 5" xfId="5527" xr:uid="{11FC38F3-D7D7-4A67-8C7A-7B20D29CC573}"/>
    <cellStyle name="Comma 3 2 3 2 5 4 5 2" xfId="42035" xr:uid="{A86F108A-725E-4719-B32D-917897D070FD}"/>
    <cellStyle name="Comma 3 2 3 2 5 4 5 3" xfId="23781" xr:uid="{1D0818C9-AB4A-42AC-A132-512D62C6E80E}"/>
    <cellStyle name="Comma 3 2 3 2 5 4 6" xfId="38385" xr:uid="{DBDD06BA-7446-4865-80DC-BFB7D9D60454}"/>
    <cellStyle name="Comma 3 2 3 2 5 4 7" xfId="20131" xr:uid="{AAB67478-E294-49AC-8572-B2AD1EECF60F}"/>
    <cellStyle name="Comma 3 2 3 2 5 5" xfId="1147" xr:uid="{77A82714-FA02-45EF-A7F3-705E5A4B9FEF}"/>
    <cellStyle name="Comma 3 2 3 2 5 5 2" xfId="15747" xr:uid="{E805CF7D-D88C-4689-B81D-C8EC2774BA39}"/>
    <cellStyle name="Comma 3 2 3 2 5 5 2 2" xfId="52255" xr:uid="{67A8BA42-5880-48CE-BB38-C45E0E5C1FC2}"/>
    <cellStyle name="Comma 3 2 3 2 5 5 2 3" xfId="34001" xr:uid="{95239FCA-E132-4EB9-A5AC-78122FFB3FCC}"/>
    <cellStyle name="Comma 3 2 3 2 5 5 3" xfId="12097" xr:uid="{01F1EF40-ADF9-4220-99C0-541D899A2919}"/>
    <cellStyle name="Comma 3 2 3 2 5 5 3 2" xfId="48605" xr:uid="{FDE4E6AF-4466-4AC1-99F2-39FCB5B648CE}"/>
    <cellStyle name="Comma 3 2 3 2 5 5 3 3" xfId="30351" xr:uid="{F63134BF-D03E-4FAB-8282-AC561B916A96}"/>
    <cellStyle name="Comma 3 2 3 2 5 5 4" xfId="8447" xr:uid="{FE621F06-5216-4E8B-83F4-A49E4D53E021}"/>
    <cellStyle name="Comma 3 2 3 2 5 5 4 2" xfId="44955" xr:uid="{9ED3D974-A0EB-4A14-82E3-769A08A9FA56}"/>
    <cellStyle name="Comma 3 2 3 2 5 5 4 3" xfId="26701" xr:uid="{3BD91115-0797-45DA-B115-D4AA02BBAFC1}"/>
    <cellStyle name="Comma 3 2 3 2 5 5 5" xfId="4797" xr:uid="{ADFC7795-B371-4833-9842-8AAA8A8C42C6}"/>
    <cellStyle name="Comma 3 2 3 2 5 5 5 2" xfId="41305" xr:uid="{945E77FD-72B2-4A93-980E-1C6809B62350}"/>
    <cellStyle name="Comma 3 2 3 2 5 5 5 3" xfId="23051" xr:uid="{50F6B306-9306-44F8-A2D1-4AF91AB545A9}"/>
    <cellStyle name="Comma 3 2 3 2 5 5 6" xfId="37655" xr:uid="{62232249-793E-4AD6-AE62-7FA4577F8BEA}"/>
    <cellStyle name="Comma 3 2 3 2 5 5 7" xfId="19401" xr:uid="{2AB43436-B8D3-40B5-9DC7-FC54BBF6EDAD}"/>
    <cellStyle name="Comma 3 2 3 2 5 6" xfId="15017" xr:uid="{C627DEE6-AAA5-4631-8D6D-E6091E5F4978}"/>
    <cellStyle name="Comma 3 2 3 2 5 6 2" xfId="51525" xr:uid="{8548C026-46D4-46A0-9429-B4838A277F7F}"/>
    <cellStyle name="Comma 3 2 3 2 5 6 3" xfId="33271" xr:uid="{DD319C4C-F5D4-4C96-9068-102D9E19FE1B}"/>
    <cellStyle name="Comma 3 2 3 2 5 7" xfId="11367" xr:uid="{723A9659-0743-4415-8C52-518DFD8F29D7}"/>
    <cellStyle name="Comma 3 2 3 2 5 7 2" xfId="47875" xr:uid="{5BFB39B5-3ACC-4ED2-9FC9-C83771CFB88A}"/>
    <cellStyle name="Comma 3 2 3 2 5 7 3" xfId="29621" xr:uid="{A149BEED-8AC2-44CD-B613-99C088492084}"/>
    <cellStyle name="Comma 3 2 3 2 5 8" xfId="7717" xr:uid="{CF7B20BB-A34C-4657-8AA7-CC99B84CD69D}"/>
    <cellStyle name="Comma 3 2 3 2 5 8 2" xfId="44225" xr:uid="{A866BE8F-4C60-4413-B00D-1D1DDC550329}"/>
    <cellStyle name="Comma 3 2 3 2 5 8 3" xfId="25971" xr:uid="{D8CC84DC-5BB8-4F80-A6BC-388C55565377}"/>
    <cellStyle name="Comma 3 2 3 2 5 9" xfId="4067" xr:uid="{104F0D43-BAE9-40F5-9537-84B3306D980C}"/>
    <cellStyle name="Comma 3 2 3 2 5 9 2" xfId="40575" xr:uid="{DF9020DB-FA0D-4974-998E-18C045A48891}"/>
    <cellStyle name="Comma 3 2 3 2 5 9 3" xfId="22321" xr:uid="{021FCB99-BFAB-4B57-BB4D-3F54DA589ADE}"/>
    <cellStyle name="Comma 3 2 3 2 6" xfId="313" xr:uid="{6896317D-2E41-41E9-9ECB-86882F7C6AA6}"/>
    <cellStyle name="Comma 3 2 3 2 6 10" xfId="36821" xr:uid="{3780EFBD-627C-417B-810D-E8BDD9206FB7}"/>
    <cellStyle name="Comma 3 2 3 2 6 11" xfId="18567" xr:uid="{454C4E56-49FA-4F6E-ACD6-5AF15CC81DD3}"/>
    <cellStyle name="Comma 3 2 3 2 6 2" xfId="3233" xr:uid="{A5DB191B-17F9-4A09-B0C0-7F2E6563009C}"/>
    <cellStyle name="Comma 3 2 3 2 6 2 2" xfId="17833" xr:uid="{7F0BE62A-A7B2-4D81-A7BC-8D44F80DFA3D}"/>
    <cellStyle name="Comma 3 2 3 2 6 2 2 2" xfId="54341" xr:uid="{A10F47DA-9E68-44CC-BE7F-3DA160CDCAB4}"/>
    <cellStyle name="Comma 3 2 3 2 6 2 2 3" xfId="36087" xr:uid="{8E9CAA8F-028C-4BD4-A73C-1B0EF7EC1C7C}"/>
    <cellStyle name="Comma 3 2 3 2 6 2 3" xfId="14183" xr:uid="{684868E0-2EC3-456C-B786-C8FE5EB95C5F}"/>
    <cellStyle name="Comma 3 2 3 2 6 2 3 2" xfId="50691" xr:uid="{1E778129-3CA8-489B-B2F7-12CC27D73390}"/>
    <cellStyle name="Comma 3 2 3 2 6 2 3 3" xfId="32437" xr:uid="{26C07C26-97E0-4E96-B753-E53D26437FF4}"/>
    <cellStyle name="Comma 3 2 3 2 6 2 4" xfId="10533" xr:uid="{EBE5E0A2-61FB-45A7-9B6B-4EF6E0A10CA8}"/>
    <cellStyle name="Comma 3 2 3 2 6 2 4 2" xfId="47041" xr:uid="{20964776-A001-4E0C-AECA-8586EBE394DB}"/>
    <cellStyle name="Comma 3 2 3 2 6 2 4 3" xfId="28787" xr:uid="{A413B7B6-2EC8-4B0C-9E69-A4555787D302}"/>
    <cellStyle name="Comma 3 2 3 2 6 2 5" xfId="6883" xr:uid="{73DA7488-01B5-4D85-AD78-E4504ED26324}"/>
    <cellStyle name="Comma 3 2 3 2 6 2 5 2" xfId="43391" xr:uid="{D7D22BA9-DD0E-4DA9-A9D3-BBE138F55EB2}"/>
    <cellStyle name="Comma 3 2 3 2 6 2 5 3" xfId="25137" xr:uid="{5F46114B-9AA7-45DF-8BC1-945316908B7A}"/>
    <cellStyle name="Comma 3 2 3 2 6 2 6" xfId="39741" xr:uid="{25B43255-1BC4-4CEA-894C-D10D144E32B4}"/>
    <cellStyle name="Comma 3 2 3 2 6 2 7" xfId="21487" xr:uid="{FE4E25D5-F13F-411D-B5E5-7F23E20E0CE6}"/>
    <cellStyle name="Comma 3 2 3 2 6 3" xfId="2503" xr:uid="{04487828-C473-4424-97BD-6A10325BD7B9}"/>
    <cellStyle name="Comma 3 2 3 2 6 3 2" xfId="17103" xr:uid="{D55E2756-DE8D-4B43-A9AC-C77E3AF050EE}"/>
    <cellStyle name="Comma 3 2 3 2 6 3 2 2" xfId="53611" xr:uid="{92497C34-CCE4-41BB-9E0D-E03902941B3E}"/>
    <cellStyle name="Comma 3 2 3 2 6 3 2 3" xfId="35357" xr:uid="{57780638-CE9B-4CC1-99B8-24D84FA1BCA8}"/>
    <cellStyle name="Comma 3 2 3 2 6 3 3" xfId="13453" xr:uid="{A48B62C7-6A0E-4A78-AF72-24D926904DCD}"/>
    <cellStyle name="Comma 3 2 3 2 6 3 3 2" xfId="49961" xr:uid="{3B7CE313-32A3-492C-993F-FF7E56CACE05}"/>
    <cellStyle name="Comma 3 2 3 2 6 3 3 3" xfId="31707" xr:uid="{9CDBA9EE-3BA0-4C41-AF66-B79D5D10ACC2}"/>
    <cellStyle name="Comma 3 2 3 2 6 3 4" xfId="9803" xr:uid="{90ED45B4-2D35-495E-853B-B2A063A93DB8}"/>
    <cellStyle name="Comma 3 2 3 2 6 3 4 2" xfId="46311" xr:uid="{61A33EF2-49D3-4379-8245-611AD3B35157}"/>
    <cellStyle name="Comma 3 2 3 2 6 3 4 3" xfId="28057" xr:uid="{4F44E219-AAF9-4EA0-AC69-F3F9007A8192}"/>
    <cellStyle name="Comma 3 2 3 2 6 3 5" xfId="6153" xr:uid="{D89016F9-8A88-44F0-8777-E47BDEBB7F01}"/>
    <cellStyle name="Comma 3 2 3 2 6 3 5 2" xfId="42661" xr:uid="{FBBB1EDE-FB9D-44CA-9457-5F09140DEC0B}"/>
    <cellStyle name="Comma 3 2 3 2 6 3 5 3" xfId="24407" xr:uid="{06AB618C-7FCF-493A-8671-7EB19F6329C7}"/>
    <cellStyle name="Comma 3 2 3 2 6 3 6" xfId="39011" xr:uid="{3100F3E5-BB59-4036-904F-A4D11568991D}"/>
    <cellStyle name="Comma 3 2 3 2 6 3 7" xfId="20757" xr:uid="{691B8121-FB6B-4230-A21D-9AFC08D151EC}"/>
    <cellStyle name="Comma 3 2 3 2 6 4" xfId="1773" xr:uid="{19E56475-54D6-4797-AD9C-AD344916F4BE}"/>
    <cellStyle name="Comma 3 2 3 2 6 4 2" xfId="16373" xr:uid="{E8138BBC-E8E3-46B8-8EA1-9746129B0BE5}"/>
    <cellStyle name="Comma 3 2 3 2 6 4 2 2" xfId="52881" xr:uid="{D147582A-BAED-4799-834F-D6B5FB50332E}"/>
    <cellStyle name="Comma 3 2 3 2 6 4 2 3" xfId="34627" xr:uid="{FF86496A-7F1B-4B67-BA76-5FCAB92F7E46}"/>
    <cellStyle name="Comma 3 2 3 2 6 4 3" xfId="12723" xr:uid="{05FB5BB3-6A58-4C74-88E2-FADB5C186D52}"/>
    <cellStyle name="Comma 3 2 3 2 6 4 3 2" xfId="49231" xr:uid="{BC3DFACE-3007-4CD1-901E-A8E9AFA8729D}"/>
    <cellStyle name="Comma 3 2 3 2 6 4 3 3" xfId="30977" xr:uid="{3F662C93-821C-4CED-87A9-E57CC9BFABB2}"/>
    <cellStyle name="Comma 3 2 3 2 6 4 4" xfId="9073" xr:uid="{4412C4E7-3644-45AB-98BE-1B6FA5859A4F}"/>
    <cellStyle name="Comma 3 2 3 2 6 4 4 2" xfId="45581" xr:uid="{329481D4-DA37-46C2-B363-172911D2B535}"/>
    <cellStyle name="Comma 3 2 3 2 6 4 4 3" xfId="27327" xr:uid="{A1F068F3-2D5A-43C9-B010-17B02B18010D}"/>
    <cellStyle name="Comma 3 2 3 2 6 4 5" xfId="5423" xr:uid="{9EB7702A-4492-4A0C-840B-D3CE26FB164C}"/>
    <cellStyle name="Comma 3 2 3 2 6 4 5 2" xfId="41931" xr:uid="{40655777-F60B-419A-9BC1-F8CEDD6DFBC6}"/>
    <cellStyle name="Comma 3 2 3 2 6 4 5 3" xfId="23677" xr:uid="{932BF584-2CAD-4CDD-A96E-88FF3253A165}"/>
    <cellStyle name="Comma 3 2 3 2 6 4 6" xfId="38281" xr:uid="{1203EF7F-78C8-43DC-A239-7755FE032CFD}"/>
    <cellStyle name="Comma 3 2 3 2 6 4 7" xfId="20027" xr:uid="{BDCB6EF5-0BD0-41CC-88ED-93BE38D94E8C}"/>
    <cellStyle name="Comma 3 2 3 2 6 5" xfId="1043" xr:uid="{2463B50B-AE89-41B3-93D4-079629A823B5}"/>
    <cellStyle name="Comma 3 2 3 2 6 5 2" xfId="15643" xr:uid="{8469E063-5853-42B1-B362-04E9136A20BB}"/>
    <cellStyle name="Comma 3 2 3 2 6 5 2 2" xfId="52151" xr:uid="{E75958AA-6B4D-402B-8334-F2B23A6ED2CB}"/>
    <cellStyle name="Comma 3 2 3 2 6 5 2 3" xfId="33897" xr:uid="{6C6B0FD0-9AE4-49B6-B5B5-9151B76538AE}"/>
    <cellStyle name="Comma 3 2 3 2 6 5 3" xfId="11993" xr:uid="{B62B0830-3766-4407-85F5-5C806BD40194}"/>
    <cellStyle name="Comma 3 2 3 2 6 5 3 2" xfId="48501" xr:uid="{9E8326CD-F406-422F-B5A8-AA799116F2DC}"/>
    <cellStyle name="Comma 3 2 3 2 6 5 3 3" xfId="30247" xr:uid="{5EC56FB7-F513-4E25-A4BA-CA842CBD5E11}"/>
    <cellStyle name="Comma 3 2 3 2 6 5 4" xfId="8343" xr:uid="{AFEA3CAF-A072-41E0-A610-05CA49E75107}"/>
    <cellStyle name="Comma 3 2 3 2 6 5 4 2" xfId="44851" xr:uid="{8B9C73D7-D858-4CC1-97AA-5D220F2B07CF}"/>
    <cellStyle name="Comma 3 2 3 2 6 5 4 3" xfId="26597" xr:uid="{9FE49D0E-1819-41B2-A436-E647CF6BF988}"/>
    <cellStyle name="Comma 3 2 3 2 6 5 5" xfId="4693" xr:uid="{3FE07967-AED5-4421-999B-03FB2C9C8A7D}"/>
    <cellStyle name="Comma 3 2 3 2 6 5 5 2" xfId="41201" xr:uid="{CCDB99D8-7F70-46EF-8073-F8CE1D99EEEF}"/>
    <cellStyle name="Comma 3 2 3 2 6 5 5 3" xfId="22947" xr:uid="{D2456814-73E4-47D6-ACE8-9753CD0AAA10}"/>
    <cellStyle name="Comma 3 2 3 2 6 5 6" xfId="37551" xr:uid="{7158FC18-46A9-4757-BA41-552A4431A30B}"/>
    <cellStyle name="Comma 3 2 3 2 6 5 7" xfId="19297" xr:uid="{A628CA3B-C695-4DF6-938E-491D13C8DA1B}"/>
    <cellStyle name="Comma 3 2 3 2 6 6" xfId="14913" xr:uid="{B398AA50-3EBE-4135-AA61-3938AEA76175}"/>
    <cellStyle name="Comma 3 2 3 2 6 6 2" xfId="51421" xr:uid="{5C6C37F3-5635-4422-BFC8-4B75BF0486B7}"/>
    <cellStyle name="Comma 3 2 3 2 6 6 3" xfId="33167" xr:uid="{05F5D3B6-0ACF-4073-AE1B-D0861C2D4617}"/>
    <cellStyle name="Comma 3 2 3 2 6 7" xfId="11263" xr:uid="{E4E49EEF-D9BC-47AD-B7F2-F0D989D77E36}"/>
    <cellStyle name="Comma 3 2 3 2 6 7 2" xfId="47771" xr:uid="{808E2261-F887-4FED-B570-9E7701F10422}"/>
    <cellStyle name="Comma 3 2 3 2 6 7 3" xfId="29517" xr:uid="{50F67D7F-F51B-4E2B-AC55-5399190509BA}"/>
    <cellStyle name="Comma 3 2 3 2 6 8" xfId="7613" xr:uid="{F80A6243-7FFB-4CDC-AB1F-F949E5DFF045}"/>
    <cellStyle name="Comma 3 2 3 2 6 8 2" xfId="44121" xr:uid="{F1687EDF-47E4-469C-8EB7-95B9DD6EF42A}"/>
    <cellStyle name="Comma 3 2 3 2 6 8 3" xfId="25867" xr:uid="{9759F405-16DB-4D2F-B371-F3F8E3AE5B94}"/>
    <cellStyle name="Comma 3 2 3 2 6 9" xfId="3963" xr:uid="{48CCD8E6-E563-4D0D-A399-8A42CBECE674}"/>
    <cellStyle name="Comma 3 2 3 2 6 9 2" xfId="40471" xr:uid="{10D6A8C2-7F01-4136-ACFD-7BBDD80229EB}"/>
    <cellStyle name="Comma 3 2 3 2 6 9 3" xfId="22217" xr:uid="{BFE4E550-9BED-4BC4-8096-B42492FFD710}"/>
    <cellStyle name="Comma 3 2 3 2 7" xfId="209" xr:uid="{DA4B3752-3BDA-4BA8-A721-90D3689B2452}"/>
    <cellStyle name="Comma 3 2 3 2 7 10" xfId="36717" xr:uid="{F56A2B2C-91B7-4C08-A9FF-6DE0040ECBF3}"/>
    <cellStyle name="Comma 3 2 3 2 7 11" xfId="18463" xr:uid="{37756C76-C4CF-4561-BFFD-AE61AFE68385}"/>
    <cellStyle name="Comma 3 2 3 2 7 2" xfId="3129" xr:uid="{481739A4-1C5B-4870-921F-DC41399C9AF6}"/>
    <cellStyle name="Comma 3 2 3 2 7 2 2" xfId="17729" xr:uid="{2E5F11C2-666C-4B64-9FD6-DA1795FF4457}"/>
    <cellStyle name="Comma 3 2 3 2 7 2 2 2" xfId="54237" xr:uid="{A187CE69-444F-4F87-97F5-48B45D11405D}"/>
    <cellStyle name="Comma 3 2 3 2 7 2 2 3" xfId="35983" xr:uid="{560EF7EE-AF59-4CD5-AEDB-E8D0EA3B9448}"/>
    <cellStyle name="Comma 3 2 3 2 7 2 3" xfId="14079" xr:uid="{4E5BE9E0-4643-4FDD-84A7-15DDB044E897}"/>
    <cellStyle name="Comma 3 2 3 2 7 2 3 2" xfId="50587" xr:uid="{1503E0F4-6D82-433B-A926-02AF6585EAE8}"/>
    <cellStyle name="Comma 3 2 3 2 7 2 3 3" xfId="32333" xr:uid="{DE4C0349-48D6-4803-8D14-7B6DD91C1758}"/>
    <cellStyle name="Comma 3 2 3 2 7 2 4" xfId="10429" xr:uid="{A25265C6-6BF6-48AD-8A33-A30F083B9C17}"/>
    <cellStyle name="Comma 3 2 3 2 7 2 4 2" xfId="46937" xr:uid="{2DF39002-0D36-447D-8F4F-9B8672BB56B9}"/>
    <cellStyle name="Comma 3 2 3 2 7 2 4 3" xfId="28683" xr:uid="{D77DAFCC-A86D-4513-87C5-8137791E0741}"/>
    <cellStyle name="Comma 3 2 3 2 7 2 5" xfId="6779" xr:uid="{74DDADF0-146E-4CFE-9D65-DE293D9C3C6C}"/>
    <cellStyle name="Comma 3 2 3 2 7 2 5 2" xfId="43287" xr:uid="{57001316-B7F6-4AAA-BF29-CAEDB2CCFF1C}"/>
    <cellStyle name="Comma 3 2 3 2 7 2 5 3" xfId="25033" xr:uid="{F98ED0BF-BCF5-4E1D-8420-14D705419992}"/>
    <cellStyle name="Comma 3 2 3 2 7 2 6" xfId="39637" xr:uid="{F8B26D2E-D84C-421A-84B3-2B06C80DC6A0}"/>
    <cellStyle name="Comma 3 2 3 2 7 2 7" xfId="21383" xr:uid="{207A41AD-F239-4034-8BA0-F3396AA22C3C}"/>
    <cellStyle name="Comma 3 2 3 2 7 3" xfId="2399" xr:uid="{DB0F8DFE-8B98-4913-8552-9F7630E53FBC}"/>
    <cellStyle name="Comma 3 2 3 2 7 3 2" xfId="16999" xr:uid="{9F770048-9D20-4B34-8CEF-2AB6F22ADB69}"/>
    <cellStyle name="Comma 3 2 3 2 7 3 2 2" xfId="53507" xr:uid="{90D042C3-0BD5-4D02-B7CD-74885FFA0F7A}"/>
    <cellStyle name="Comma 3 2 3 2 7 3 2 3" xfId="35253" xr:uid="{AD207A2B-9FF4-444E-B380-B599249F9F54}"/>
    <cellStyle name="Comma 3 2 3 2 7 3 3" xfId="13349" xr:uid="{A4AB516F-F8C5-4E3C-BDD1-1F185A758030}"/>
    <cellStyle name="Comma 3 2 3 2 7 3 3 2" xfId="49857" xr:uid="{8B4B113A-CEB8-493A-BC0E-11B1D64368E7}"/>
    <cellStyle name="Comma 3 2 3 2 7 3 3 3" xfId="31603" xr:uid="{BA942A6B-2E93-4AD3-A79A-8412DD4D7FC8}"/>
    <cellStyle name="Comma 3 2 3 2 7 3 4" xfId="9699" xr:uid="{09D4F6ED-18ED-48CA-B987-FF295EDD3383}"/>
    <cellStyle name="Comma 3 2 3 2 7 3 4 2" xfId="46207" xr:uid="{E10A08BD-80F5-443B-BFF4-41D2CC1F4DC3}"/>
    <cellStyle name="Comma 3 2 3 2 7 3 4 3" xfId="27953" xr:uid="{4D17CF1B-13E1-4B47-BCA8-D475FF596EE1}"/>
    <cellStyle name="Comma 3 2 3 2 7 3 5" xfId="6049" xr:uid="{14B26B99-E7E6-4016-9385-8F479D3AAA1D}"/>
    <cellStyle name="Comma 3 2 3 2 7 3 5 2" xfId="42557" xr:uid="{1885B7BE-3EF6-41F3-A588-BEF25F2159EC}"/>
    <cellStyle name="Comma 3 2 3 2 7 3 5 3" xfId="24303" xr:uid="{2CEF97CD-08B3-4EC0-BB7C-D4A87410D7FD}"/>
    <cellStyle name="Comma 3 2 3 2 7 3 6" xfId="38907" xr:uid="{27ECF0C1-054B-4A36-9C78-E209526ACFD4}"/>
    <cellStyle name="Comma 3 2 3 2 7 3 7" xfId="20653" xr:uid="{C75EB644-5961-4107-BF9B-51B4640EBE2E}"/>
    <cellStyle name="Comma 3 2 3 2 7 4" xfId="1669" xr:uid="{4AD459C4-A62A-4F40-8C6F-84C92B1C5191}"/>
    <cellStyle name="Comma 3 2 3 2 7 4 2" xfId="16269" xr:uid="{265FDA41-156E-419C-94E1-52CCFF466799}"/>
    <cellStyle name="Comma 3 2 3 2 7 4 2 2" xfId="52777" xr:uid="{347A7EF0-75C0-4591-B101-35E79B23AF90}"/>
    <cellStyle name="Comma 3 2 3 2 7 4 2 3" xfId="34523" xr:uid="{CD72EC9F-4655-42A6-847F-E529B8049877}"/>
    <cellStyle name="Comma 3 2 3 2 7 4 3" xfId="12619" xr:uid="{B85D0438-026F-43CB-9A41-3DD76B60EF76}"/>
    <cellStyle name="Comma 3 2 3 2 7 4 3 2" xfId="49127" xr:uid="{CDF47323-B594-4974-A7CC-AE1831C08D0F}"/>
    <cellStyle name="Comma 3 2 3 2 7 4 3 3" xfId="30873" xr:uid="{BC428071-96DA-45DE-9530-187990AC2A80}"/>
    <cellStyle name="Comma 3 2 3 2 7 4 4" xfId="8969" xr:uid="{D8976727-0EFE-485B-A98E-6D2C15160543}"/>
    <cellStyle name="Comma 3 2 3 2 7 4 4 2" xfId="45477" xr:uid="{967DE0A3-A958-465C-B7ED-1FC891A7C593}"/>
    <cellStyle name="Comma 3 2 3 2 7 4 4 3" xfId="27223" xr:uid="{F319C5A2-C75A-4DDA-A484-E214EA7171D3}"/>
    <cellStyle name="Comma 3 2 3 2 7 4 5" xfId="5319" xr:uid="{D6168BD9-9105-4644-A0CB-B21B2D5A9114}"/>
    <cellStyle name="Comma 3 2 3 2 7 4 5 2" xfId="41827" xr:uid="{96CF23A9-BEFB-4FD0-B6E6-EA83C1E9C942}"/>
    <cellStyle name="Comma 3 2 3 2 7 4 5 3" xfId="23573" xr:uid="{19FB9618-B272-49E2-A37A-753BA047358C}"/>
    <cellStyle name="Comma 3 2 3 2 7 4 6" xfId="38177" xr:uid="{963E3144-3741-4BC0-A0C7-DAD54B09565B}"/>
    <cellStyle name="Comma 3 2 3 2 7 4 7" xfId="19923" xr:uid="{53882447-B9DB-4CC4-A089-BF82C2E6D51B}"/>
    <cellStyle name="Comma 3 2 3 2 7 5" xfId="939" xr:uid="{D6DDD187-474C-456B-A18E-A5F8913092D5}"/>
    <cellStyle name="Comma 3 2 3 2 7 5 2" xfId="15539" xr:uid="{BE988790-F498-4D11-BEF8-503971A323DE}"/>
    <cellStyle name="Comma 3 2 3 2 7 5 2 2" xfId="52047" xr:uid="{25137768-48E4-4041-9261-997A6A90FE19}"/>
    <cellStyle name="Comma 3 2 3 2 7 5 2 3" xfId="33793" xr:uid="{DE2D8949-2306-4C50-9DD9-E46D191DF8E0}"/>
    <cellStyle name="Comma 3 2 3 2 7 5 3" xfId="11889" xr:uid="{174FCA0C-F60A-450F-B48F-80615DEE9DD7}"/>
    <cellStyle name="Comma 3 2 3 2 7 5 3 2" xfId="48397" xr:uid="{3F2E31F7-B855-42E8-B426-CB4918E40FDA}"/>
    <cellStyle name="Comma 3 2 3 2 7 5 3 3" xfId="30143" xr:uid="{4464C1D6-9922-4753-A17C-EDA350AD3978}"/>
    <cellStyle name="Comma 3 2 3 2 7 5 4" xfId="8239" xr:uid="{0EBF22FA-FA45-40A9-A23D-ED10A8BC215B}"/>
    <cellStyle name="Comma 3 2 3 2 7 5 4 2" xfId="44747" xr:uid="{160574A9-7D17-4DD1-AC59-D68B29AD8836}"/>
    <cellStyle name="Comma 3 2 3 2 7 5 4 3" xfId="26493" xr:uid="{5028C8E1-9902-4071-AAB1-D5137CD63D47}"/>
    <cellStyle name="Comma 3 2 3 2 7 5 5" xfId="4589" xr:uid="{04970BFB-F80E-48CB-9684-0C6F95CA72B8}"/>
    <cellStyle name="Comma 3 2 3 2 7 5 5 2" xfId="41097" xr:uid="{5E20FAB8-D645-49C6-B227-DD30F9F6D342}"/>
    <cellStyle name="Comma 3 2 3 2 7 5 5 3" xfId="22843" xr:uid="{111825B0-7C47-4A2F-B4E9-8D8C540D5BCE}"/>
    <cellStyle name="Comma 3 2 3 2 7 5 6" xfId="37447" xr:uid="{FD71BF8B-C415-49AC-9351-974BD6ECAAC6}"/>
    <cellStyle name="Comma 3 2 3 2 7 5 7" xfId="19193" xr:uid="{284795F7-E65E-415B-A449-3F0BE649FAC8}"/>
    <cellStyle name="Comma 3 2 3 2 7 6" xfId="14809" xr:uid="{01D1CAB5-7FFD-4222-9FBC-2793B3CC9DA4}"/>
    <cellStyle name="Comma 3 2 3 2 7 6 2" xfId="51317" xr:uid="{403DDF0C-AAF1-44D0-A7F0-4FC6EEFB23F9}"/>
    <cellStyle name="Comma 3 2 3 2 7 6 3" xfId="33063" xr:uid="{5E4F0F25-5478-4CB1-BED0-66216C51A4B3}"/>
    <cellStyle name="Comma 3 2 3 2 7 7" xfId="11159" xr:uid="{17ABC040-A250-4600-A76E-2CFB245AADDE}"/>
    <cellStyle name="Comma 3 2 3 2 7 7 2" xfId="47667" xr:uid="{D923DD11-C374-43CF-B021-C65508B2A194}"/>
    <cellStyle name="Comma 3 2 3 2 7 7 3" xfId="29413" xr:uid="{E6FBF855-4A2A-410F-8DE5-22A682D72809}"/>
    <cellStyle name="Comma 3 2 3 2 7 8" xfId="7509" xr:uid="{330A4AFD-E23F-498A-87F0-1FF60620E774}"/>
    <cellStyle name="Comma 3 2 3 2 7 8 2" xfId="44017" xr:uid="{6A67A372-8CC2-48BF-B5DB-9FE152D1BE25}"/>
    <cellStyle name="Comma 3 2 3 2 7 8 3" xfId="25763" xr:uid="{64DEE219-B124-455D-94D9-EF1B6D708823}"/>
    <cellStyle name="Comma 3 2 3 2 7 9" xfId="3859" xr:uid="{3E028613-A7DA-4B5F-A9DA-43C2AB6D0E9F}"/>
    <cellStyle name="Comma 3 2 3 2 7 9 2" xfId="40367" xr:uid="{70888F05-A9BE-46D5-BA41-0EA829C11319}"/>
    <cellStyle name="Comma 3 2 3 2 7 9 3" xfId="22113" xr:uid="{CAABEDD4-80BB-4D84-AD51-7EF79B1026A3}"/>
    <cellStyle name="Comma 3 2 3 2 8" xfId="3025" xr:uid="{244CB5C6-EDC8-4C63-93BB-AA0CE1E2781F}"/>
    <cellStyle name="Comma 3 2 3 2 8 2" xfId="17625" xr:uid="{5549A702-B153-4F52-BC19-F87D440177AE}"/>
    <cellStyle name="Comma 3 2 3 2 8 2 2" xfId="54133" xr:uid="{3F15E728-6D1D-49FF-A2BD-952D2DC85D4C}"/>
    <cellStyle name="Comma 3 2 3 2 8 2 3" xfId="35879" xr:uid="{0BBC722F-9FB5-485D-915A-69B82915507C}"/>
    <cellStyle name="Comma 3 2 3 2 8 3" xfId="13975" xr:uid="{2D7DA679-E544-45DA-8076-28FA2B714B93}"/>
    <cellStyle name="Comma 3 2 3 2 8 3 2" xfId="50483" xr:uid="{F89CBF77-218B-4384-89B1-93C3EDC804AC}"/>
    <cellStyle name="Comma 3 2 3 2 8 3 3" xfId="32229" xr:uid="{D07B435D-0FEA-43B9-9244-BF4EBBFEE553}"/>
    <cellStyle name="Comma 3 2 3 2 8 4" xfId="10325" xr:uid="{E00A320E-7994-454E-8381-13B9F862B67A}"/>
    <cellStyle name="Comma 3 2 3 2 8 4 2" xfId="46833" xr:uid="{D56B4608-4AD1-45CC-91B1-E404F62DB95E}"/>
    <cellStyle name="Comma 3 2 3 2 8 4 3" xfId="28579" xr:uid="{1B1EA455-DD89-4D8B-9DFD-B3CD612BE3F4}"/>
    <cellStyle name="Comma 3 2 3 2 8 5" xfId="6675" xr:uid="{AC84291A-FFDA-497C-B717-B10414E39A87}"/>
    <cellStyle name="Comma 3 2 3 2 8 5 2" xfId="43183" xr:uid="{DCAEE650-57AB-448C-BE8A-90EAB8288421}"/>
    <cellStyle name="Comma 3 2 3 2 8 5 3" xfId="24929" xr:uid="{83A3877E-0EC1-42F2-8183-5B6D0737B708}"/>
    <cellStyle name="Comma 3 2 3 2 8 6" xfId="39533" xr:uid="{B1579D86-4BEB-48B6-B889-54D7390C9252}"/>
    <cellStyle name="Comma 3 2 3 2 8 7" xfId="21279" xr:uid="{4DB8C375-E42B-4725-93D8-CAFFD649B292}"/>
    <cellStyle name="Comma 3 2 3 2 9" xfId="2295" xr:uid="{204D8434-D744-4F84-8970-EED7286AC7E5}"/>
    <cellStyle name="Comma 3 2 3 2 9 2" xfId="16895" xr:uid="{5EAEDEE3-9E30-46B7-B741-807E7B39DF2B}"/>
    <cellStyle name="Comma 3 2 3 2 9 2 2" xfId="53403" xr:uid="{F2DC2D39-ADAD-4342-8E04-F1A1B0B0D17B}"/>
    <cellStyle name="Comma 3 2 3 2 9 2 3" xfId="35149" xr:uid="{DF889B3D-35E7-4CAD-B136-5F5A3D08CA25}"/>
    <cellStyle name="Comma 3 2 3 2 9 3" xfId="13245" xr:uid="{B02AF339-B5AA-49B2-9ECC-DFEA489928B6}"/>
    <cellStyle name="Comma 3 2 3 2 9 3 2" xfId="49753" xr:uid="{27570F80-1DEA-4AFB-860C-B1D571EC504F}"/>
    <cellStyle name="Comma 3 2 3 2 9 3 3" xfId="31499" xr:uid="{5E1F0200-900E-47D4-82FA-E41CDD201A08}"/>
    <cellStyle name="Comma 3 2 3 2 9 4" xfId="9595" xr:uid="{0783FA5A-9D83-4651-A2F2-78109C1B22C7}"/>
    <cellStyle name="Comma 3 2 3 2 9 4 2" xfId="46103" xr:uid="{E0FC43F8-92F6-40CF-AF68-1668671478AA}"/>
    <cellStyle name="Comma 3 2 3 2 9 4 3" xfId="27849" xr:uid="{1BAA5525-592E-4995-97D4-2741109699AA}"/>
    <cellStyle name="Comma 3 2 3 2 9 5" xfId="5945" xr:uid="{F615A5D7-DDD4-4D77-A231-C876125B0700}"/>
    <cellStyle name="Comma 3 2 3 2 9 5 2" xfId="42453" xr:uid="{B0434784-AC4D-462A-8FBF-4FABD4CC18BE}"/>
    <cellStyle name="Comma 3 2 3 2 9 5 3" xfId="24199" xr:uid="{0AB444A4-0F6C-41F9-91E4-F83041C2D1AF}"/>
    <cellStyle name="Comma 3 2 3 2 9 6" xfId="38803" xr:uid="{A0074D52-EC3E-4321-BDDA-C31F428E72B0}"/>
    <cellStyle name="Comma 3 2 3 2 9 7" xfId="20549" xr:uid="{A9F76BD3-3D8F-4634-A9DC-CACCCFDAB8E0}"/>
    <cellStyle name="Comma 3 2 3 3" xfId="70" xr:uid="{DD308E28-C210-44A4-973D-3DAC739437E2}"/>
    <cellStyle name="Comma 3 2 3 3 10" xfId="1533" xr:uid="{1B95AF8F-E9F2-40A6-B9CC-4566303ECF9F}"/>
    <cellStyle name="Comma 3 2 3 3 10 2" xfId="16133" xr:uid="{700247E1-4B60-4E39-9836-5FCCF74FA7FB}"/>
    <cellStyle name="Comma 3 2 3 3 10 2 2" xfId="52641" xr:uid="{84B29E46-B077-4108-B008-8A3F81FF2157}"/>
    <cellStyle name="Comma 3 2 3 3 10 2 3" xfId="34387" xr:uid="{785AE00C-D66B-4A19-8731-74F477F33888}"/>
    <cellStyle name="Comma 3 2 3 3 10 3" xfId="12483" xr:uid="{A4395DF0-38E6-4D41-BB57-7C5DDB81A150}"/>
    <cellStyle name="Comma 3 2 3 3 10 3 2" xfId="48991" xr:uid="{E636FB7C-0018-48CE-A208-573FDE6676D4}"/>
    <cellStyle name="Comma 3 2 3 3 10 3 3" xfId="30737" xr:uid="{D93B4070-9580-4DAD-9D94-8BFEA3B4A26A}"/>
    <cellStyle name="Comma 3 2 3 3 10 4" xfId="8833" xr:uid="{37090909-E4DC-4F90-ACAF-C03BAD819C25}"/>
    <cellStyle name="Comma 3 2 3 3 10 4 2" xfId="45341" xr:uid="{46D0E3D1-0E36-4BFC-8C1E-CEAE196F072F}"/>
    <cellStyle name="Comma 3 2 3 3 10 4 3" xfId="27087" xr:uid="{76A97CBA-9232-4063-8B7F-F1D7C7B627E6}"/>
    <cellStyle name="Comma 3 2 3 3 10 5" xfId="5183" xr:uid="{BBF1CE7D-089A-4281-B323-88650F519B5A}"/>
    <cellStyle name="Comma 3 2 3 3 10 5 2" xfId="41691" xr:uid="{6BA12E6F-B993-4CDA-9D2A-196D75C809D1}"/>
    <cellStyle name="Comma 3 2 3 3 10 5 3" xfId="23437" xr:uid="{16CFA52B-F6C2-46FB-BC97-99C8ABAD9F9F}"/>
    <cellStyle name="Comma 3 2 3 3 10 6" xfId="38041" xr:uid="{097FF25A-54A8-45AB-948D-D9D17EF0C183}"/>
    <cellStyle name="Comma 3 2 3 3 10 7" xfId="19787" xr:uid="{08D23B58-6DA9-4808-B6B6-B134B3CC5490}"/>
    <cellStyle name="Comma 3 2 3 3 11" xfId="803" xr:uid="{F454C21E-6408-453C-A32F-97EC954D81D7}"/>
    <cellStyle name="Comma 3 2 3 3 11 2" xfId="15403" xr:uid="{149331C8-56DC-4E9E-B3BF-3AF78A7BDDE9}"/>
    <cellStyle name="Comma 3 2 3 3 11 2 2" xfId="51911" xr:uid="{AECFBB2C-7FC0-4574-B19D-D53575144148}"/>
    <cellStyle name="Comma 3 2 3 3 11 2 3" xfId="33657" xr:uid="{5BFFAE2F-5356-4C5D-8471-64F2459C24D8}"/>
    <cellStyle name="Comma 3 2 3 3 11 3" xfId="11753" xr:uid="{9AED63A4-F91D-44E1-8088-A503A6AD3B98}"/>
    <cellStyle name="Comma 3 2 3 3 11 3 2" xfId="48261" xr:uid="{BB984CA5-0B06-4772-8EC0-8D71D43BB8EC}"/>
    <cellStyle name="Comma 3 2 3 3 11 3 3" xfId="30007" xr:uid="{4EF6F1E5-4D73-4E10-B04F-3DCE889462DA}"/>
    <cellStyle name="Comma 3 2 3 3 11 4" xfId="8103" xr:uid="{B885D7FB-0EE7-4051-8992-46366AF11A05}"/>
    <cellStyle name="Comma 3 2 3 3 11 4 2" xfId="44611" xr:uid="{5F8469F5-3750-4DFE-8A98-0E8280562CBA}"/>
    <cellStyle name="Comma 3 2 3 3 11 4 3" xfId="26357" xr:uid="{55D7E9E2-87D4-401B-ACCB-25C44A39D985}"/>
    <cellStyle name="Comma 3 2 3 3 11 5" xfId="4453" xr:uid="{CE23CD2E-AC08-40E2-A525-3A547ACB73BC}"/>
    <cellStyle name="Comma 3 2 3 3 11 5 2" xfId="40961" xr:uid="{EF6097B8-1D51-409A-90DF-E3F4B9247ADA}"/>
    <cellStyle name="Comma 3 2 3 3 11 5 3" xfId="22707" xr:uid="{D37B2CFD-66F8-44FA-A407-021E506D2387}"/>
    <cellStyle name="Comma 3 2 3 3 11 6" xfId="37311" xr:uid="{0379B41F-7A20-4D31-BCA9-99BD423DE2B9}"/>
    <cellStyle name="Comma 3 2 3 3 11 7" xfId="19057" xr:uid="{45A3F93E-8E9A-4E76-BFC3-916ACB4CA2DD}"/>
    <cellStyle name="Comma 3 2 3 3 12" xfId="14673" xr:uid="{22D8243A-1D32-49FB-A60B-7C6495698D34}"/>
    <cellStyle name="Comma 3 2 3 3 12 2" xfId="51181" xr:uid="{5D25734A-8511-4AD6-B87A-946FDB9A803B}"/>
    <cellStyle name="Comma 3 2 3 3 12 3" xfId="32927" xr:uid="{A71FC607-B5BD-441A-B15E-C9E0D3EC581A}"/>
    <cellStyle name="Comma 3 2 3 3 13" xfId="11023" xr:uid="{46C26A8C-ED6A-480F-A0F7-F8E4D9643D18}"/>
    <cellStyle name="Comma 3 2 3 3 13 2" xfId="47531" xr:uid="{AF5F442F-CF42-463A-A59B-19757D6F20B3}"/>
    <cellStyle name="Comma 3 2 3 3 13 3" xfId="29277" xr:uid="{95FD338F-6A25-455A-BF9C-CE4C4FF1347C}"/>
    <cellStyle name="Comma 3 2 3 3 14" xfId="7373" xr:uid="{E30E078E-1FD8-411A-9E83-21201FBE45A5}"/>
    <cellStyle name="Comma 3 2 3 3 14 2" xfId="43881" xr:uid="{19644F08-ADBC-4025-AC4E-03A339EE3F09}"/>
    <cellStyle name="Comma 3 2 3 3 14 3" xfId="25627" xr:uid="{52C4D20F-012B-48C8-86B5-DFD607AFDDF8}"/>
    <cellStyle name="Comma 3 2 3 3 15" xfId="3723" xr:uid="{E29612E7-A597-4A82-BCCA-C7DA42736C51}"/>
    <cellStyle name="Comma 3 2 3 3 15 2" xfId="40231" xr:uid="{BE620F2F-155D-4165-B28A-0099AB494417}"/>
    <cellStyle name="Comma 3 2 3 3 15 3" xfId="21977" xr:uid="{1A4550AA-2D3D-4070-952F-5804E8FC57CD}"/>
    <cellStyle name="Comma 3 2 3 3 16" xfId="36581" xr:uid="{326D298A-E9D6-4A9B-9365-C77BFDACE400}"/>
    <cellStyle name="Comma 3 2 3 3 17" xfId="18327" xr:uid="{EB02C818-9F0E-4C64-8D46-0C7BA397F7B0}"/>
    <cellStyle name="Comma 3 2 3 3 2" xfId="697" xr:uid="{C9DB23DE-F131-4ADE-BD64-3F2E2886A128}"/>
    <cellStyle name="Comma 3 2 3 3 2 10" xfId="37205" xr:uid="{A4769005-BCA0-4AC4-9D3E-7CD404B66C42}"/>
    <cellStyle name="Comma 3 2 3 3 2 11" xfId="18951" xr:uid="{23F5CC33-FAA9-4522-BD94-4BD6D83AAB06}"/>
    <cellStyle name="Comma 3 2 3 3 2 2" xfId="3617" xr:uid="{8BE5F001-66A3-42DA-8105-4489C841E2CC}"/>
    <cellStyle name="Comma 3 2 3 3 2 2 2" xfId="18217" xr:uid="{82DF1457-BC16-456F-8C33-8C7EF6D469DA}"/>
    <cellStyle name="Comma 3 2 3 3 2 2 2 2" xfId="54725" xr:uid="{847C8CE5-5138-4F59-AB02-D2FE92D1C3E7}"/>
    <cellStyle name="Comma 3 2 3 3 2 2 2 3" xfId="36471" xr:uid="{8C906E5E-0F69-43A5-8A74-1FC28FD9A2F6}"/>
    <cellStyle name="Comma 3 2 3 3 2 2 3" xfId="14567" xr:uid="{B4362F1A-F04F-4ABB-9A73-21C75E092B75}"/>
    <cellStyle name="Comma 3 2 3 3 2 2 3 2" xfId="51075" xr:uid="{7F05CCAB-669D-49AE-9F96-FC063FEF3028}"/>
    <cellStyle name="Comma 3 2 3 3 2 2 3 3" xfId="32821" xr:uid="{104BE89B-92BB-4C82-BA46-C68176307768}"/>
    <cellStyle name="Comma 3 2 3 3 2 2 4" xfId="10917" xr:uid="{DC6C1527-1009-4849-ACD0-09CA2284313F}"/>
    <cellStyle name="Comma 3 2 3 3 2 2 4 2" xfId="47425" xr:uid="{9C64A735-6046-429F-9BF0-24770FD001A1}"/>
    <cellStyle name="Comma 3 2 3 3 2 2 4 3" xfId="29171" xr:uid="{B3E12463-972D-4D6F-973D-68FBE172BB17}"/>
    <cellStyle name="Comma 3 2 3 3 2 2 5" xfId="7267" xr:uid="{6979A184-BA42-4D8C-81A9-F402703AB9BF}"/>
    <cellStyle name="Comma 3 2 3 3 2 2 5 2" xfId="43775" xr:uid="{A4D519AE-3B58-4777-A2A3-247AF70B623D}"/>
    <cellStyle name="Comma 3 2 3 3 2 2 5 3" xfId="25521" xr:uid="{F80EF15D-B138-45A6-99D2-01B851D12020}"/>
    <cellStyle name="Comma 3 2 3 3 2 2 6" xfId="40125" xr:uid="{C3D62983-757C-43EF-98DB-2D09D377619D}"/>
    <cellStyle name="Comma 3 2 3 3 2 2 7" xfId="21871" xr:uid="{F52FF60B-7B37-4625-A486-746A1F75487F}"/>
    <cellStyle name="Comma 3 2 3 3 2 3" xfId="2887" xr:uid="{5FCB1812-AFFD-4310-9CC0-9E38740C4206}"/>
    <cellStyle name="Comma 3 2 3 3 2 3 2" xfId="17487" xr:uid="{AE902448-DA56-46CF-9BCC-04DE0F7F4C73}"/>
    <cellStyle name="Comma 3 2 3 3 2 3 2 2" xfId="53995" xr:uid="{FBFD7B2A-3350-4AE5-86BF-49FFBFAB72DB}"/>
    <cellStyle name="Comma 3 2 3 3 2 3 2 3" xfId="35741" xr:uid="{7014D16C-0DE7-45BF-B7C3-A16E9E4680A1}"/>
    <cellStyle name="Comma 3 2 3 3 2 3 3" xfId="13837" xr:uid="{008BA85A-7697-43CE-9950-8F03FCE8B055}"/>
    <cellStyle name="Comma 3 2 3 3 2 3 3 2" xfId="50345" xr:uid="{444895B3-6A4B-4855-A62F-49AB439DE597}"/>
    <cellStyle name="Comma 3 2 3 3 2 3 3 3" xfId="32091" xr:uid="{20AE8820-6ECA-446F-AE66-CF60ED007E97}"/>
    <cellStyle name="Comma 3 2 3 3 2 3 4" xfId="10187" xr:uid="{C2B4A208-E61C-47D6-BB14-AD89F777C54A}"/>
    <cellStyle name="Comma 3 2 3 3 2 3 4 2" xfId="46695" xr:uid="{D043F47E-E06C-4A0B-8CB0-8B85C273560D}"/>
    <cellStyle name="Comma 3 2 3 3 2 3 4 3" xfId="28441" xr:uid="{3A9E0D3B-6DA8-4987-9C7A-4BC63D4744F1}"/>
    <cellStyle name="Comma 3 2 3 3 2 3 5" xfId="6537" xr:uid="{8A84C50E-167F-4D28-A75F-C9B7980F9B96}"/>
    <cellStyle name="Comma 3 2 3 3 2 3 5 2" xfId="43045" xr:uid="{C761283B-FE61-4BD5-8541-755DD936C88F}"/>
    <cellStyle name="Comma 3 2 3 3 2 3 5 3" xfId="24791" xr:uid="{FE807CB2-66AA-47B4-9BAE-0658B484C652}"/>
    <cellStyle name="Comma 3 2 3 3 2 3 6" xfId="39395" xr:uid="{7E22E3B8-F873-4EF9-A69C-ABFCA1D77765}"/>
    <cellStyle name="Comma 3 2 3 3 2 3 7" xfId="21141" xr:uid="{01B50877-4435-4E98-90ED-7EF0126089B4}"/>
    <cellStyle name="Comma 3 2 3 3 2 4" xfId="2157" xr:uid="{0918C2CD-8D0A-41DC-AB02-DFD01AB00480}"/>
    <cellStyle name="Comma 3 2 3 3 2 4 2" xfId="16757" xr:uid="{EE5A98CA-9CB1-4629-9BF7-0D19E0EB0261}"/>
    <cellStyle name="Comma 3 2 3 3 2 4 2 2" xfId="53265" xr:uid="{E9D2C36E-12F0-4DCF-AA6C-87809854EDEE}"/>
    <cellStyle name="Comma 3 2 3 3 2 4 2 3" xfId="35011" xr:uid="{679FDC47-1409-4FB9-B5AE-446D293C78E2}"/>
    <cellStyle name="Comma 3 2 3 3 2 4 3" xfId="13107" xr:uid="{C3B366EB-CF14-4368-97F1-0397D8B28FE1}"/>
    <cellStyle name="Comma 3 2 3 3 2 4 3 2" xfId="49615" xr:uid="{425071EC-8BB0-4165-A175-6712D8B75454}"/>
    <cellStyle name="Comma 3 2 3 3 2 4 3 3" xfId="31361" xr:uid="{39E1FCF7-53B8-4929-B368-5D32F86E7346}"/>
    <cellStyle name="Comma 3 2 3 3 2 4 4" xfId="9457" xr:uid="{2203CACA-056D-4752-8739-33B8EE49D311}"/>
    <cellStyle name="Comma 3 2 3 3 2 4 4 2" xfId="45965" xr:uid="{5E5B168E-E6C6-4476-8FEA-053899A469F9}"/>
    <cellStyle name="Comma 3 2 3 3 2 4 4 3" xfId="27711" xr:uid="{9B72600B-CD32-433F-889A-5D4F3D5E045D}"/>
    <cellStyle name="Comma 3 2 3 3 2 4 5" xfId="5807" xr:uid="{EE18588F-3C7E-4D64-9DB3-372242BE10DB}"/>
    <cellStyle name="Comma 3 2 3 3 2 4 5 2" xfId="42315" xr:uid="{FA5C65DA-3701-4301-8E1D-4249E045B130}"/>
    <cellStyle name="Comma 3 2 3 3 2 4 5 3" xfId="24061" xr:uid="{DCBCA37E-0EB3-40A1-B953-862DB661141D}"/>
    <cellStyle name="Comma 3 2 3 3 2 4 6" xfId="38665" xr:uid="{95E5AD9B-4D45-426D-8471-C8D04BFBD3B3}"/>
    <cellStyle name="Comma 3 2 3 3 2 4 7" xfId="20411" xr:uid="{11883960-4BCF-473E-8A13-C8A6AB3089AA}"/>
    <cellStyle name="Comma 3 2 3 3 2 5" xfId="1427" xr:uid="{6147F6AD-FE49-42FD-896B-AF7E48297249}"/>
    <cellStyle name="Comma 3 2 3 3 2 5 2" xfId="16027" xr:uid="{215116F7-FED0-4E9B-BADC-6F6A59558091}"/>
    <cellStyle name="Comma 3 2 3 3 2 5 2 2" xfId="52535" xr:uid="{C803B551-E4B7-4094-9EED-57B62714F1FB}"/>
    <cellStyle name="Comma 3 2 3 3 2 5 2 3" xfId="34281" xr:uid="{12E3E5CA-54F3-481E-BB17-4A8A5AB04B5E}"/>
    <cellStyle name="Comma 3 2 3 3 2 5 3" xfId="12377" xr:uid="{BB9FD429-C570-4643-9CD4-57BC8D9BA4EF}"/>
    <cellStyle name="Comma 3 2 3 3 2 5 3 2" xfId="48885" xr:uid="{9CA446BB-C9E9-4BD6-8FF4-ACBB4A63387C}"/>
    <cellStyle name="Comma 3 2 3 3 2 5 3 3" xfId="30631" xr:uid="{CA535F40-6938-439C-A760-4F2EF0E34E71}"/>
    <cellStyle name="Comma 3 2 3 3 2 5 4" xfId="8727" xr:uid="{57E00F53-2A7B-42C2-B355-D7D4BFC1D024}"/>
    <cellStyle name="Comma 3 2 3 3 2 5 4 2" xfId="45235" xr:uid="{ED970EFB-2ED7-4AC8-A795-21ACAB554D73}"/>
    <cellStyle name="Comma 3 2 3 3 2 5 4 3" xfId="26981" xr:uid="{01F9BCB4-10E3-486C-9B4D-67981B3FDB0D}"/>
    <cellStyle name="Comma 3 2 3 3 2 5 5" xfId="5077" xr:uid="{B78858E8-6B7C-4B55-A7DC-317F138981B8}"/>
    <cellStyle name="Comma 3 2 3 3 2 5 5 2" xfId="41585" xr:uid="{DDA1225B-EE28-4A95-A214-7734E472EE77}"/>
    <cellStyle name="Comma 3 2 3 3 2 5 5 3" xfId="23331" xr:uid="{452DEC61-F090-4B9B-BF13-61E51158164D}"/>
    <cellStyle name="Comma 3 2 3 3 2 5 6" xfId="37935" xr:uid="{D91EA751-1A4B-4F1A-BBBE-09B8CBB95810}"/>
    <cellStyle name="Comma 3 2 3 3 2 5 7" xfId="19681" xr:uid="{1D225668-190A-4969-8C6B-FA44FCE80C68}"/>
    <cellStyle name="Comma 3 2 3 3 2 6" xfId="15297" xr:uid="{20C96AC7-BB44-4BA0-856C-1377B17D3574}"/>
    <cellStyle name="Comma 3 2 3 3 2 6 2" xfId="51805" xr:uid="{7FFDC6DF-4956-42AD-A9F5-F79C373AA81D}"/>
    <cellStyle name="Comma 3 2 3 3 2 6 3" xfId="33551" xr:uid="{6EAA8A5D-78E0-4D0E-8718-D61A08117168}"/>
    <cellStyle name="Comma 3 2 3 3 2 7" xfId="11647" xr:uid="{73AE7611-45D5-4753-BE6C-734A0D318D2D}"/>
    <cellStyle name="Comma 3 2 3 3 2 7 2" xfId="48155" xr:uid="{75C9D32F-2782-4A5C-8834-E9EAC469BD8B}"/>
    <cellStyle name="Comma 3 2 3 3 2 7 3" xfId="29901" xr:uid="{79516F7C-831D-436E-B864-7EE23CD591BA}"/>
    <cellStyle name="Comma 3 2 3 3 2 8" xfId="7997" xr:uid="{DE3F3CDE-F2D7-43AF-9C41-3D1DFA9A99FF}"/>
    <cellStyle name="Comma 3 2 3 3 2 8 2" xfId="44505" xr:uid="{48A044EA-A565-454C-B194-DC4E0B0791E9}"/>
    <cellStyle name="Comma 3 2 3 3 2 8 3" xfId="26251" xr:uid="{D936B711-12F5-4B4D-81EC-828DA337CF8B}"/>
    <cellStyle name="Comma 3 2 3 3 2 9" xfId="4347" xr:uid="{C467A827-459A-45BD-942B-CC0B265C4543}"/>
    <cellStyle name="Comma 3 2 3 3 2 9 2" xfId="40855" xr:uid="{B9DD57D1-4A6E-42C9-B1CC-8831C200DCC0}"/>
    <cellStyle name="Comma 3 2 3 3 2 9 3" xfId="22601" xr:uid="{46B55CA6-21BA-4AB8-A52A-D8630DBAF25B}"/>
    <cellStyle name="Comma 3 2 3 3 3" xfId="593" xr:uid="{73374014-2E62-4886-B681-2069D7B625A3}"/>
    <cellStyle name="Comma 3 2 3 3 3 10" xfId="37101" xr:uid="{8011E52E-B3EB-4ED3-AE3E-D08828410D4A}"/>
    <cellStyle name="Comma 3 2 3 3 3 11" xfId="18847" xr:uid="{FFA65753-7F1D-47D8-A150-68D6D386F46F}"/>
    <cellStyle name="Comma 3 2 3 3 3 2" xfId="3513" xr:uid="{6178FF76-63C0-4787-8DC1-D298D6F2730D}"/>
    <cellStyle name="Comma 3 2 3 3 3 2 2" xfId="18113" xr:uid="{74A69C64-5199-44BA-B41C-C61551FBFE04}"/>
    <cellStyle name="Comma 3 2 3 3 3 2 2 2" xfId="54621" xr:uid="{70A75127-2A6C-4218-B4CE-F1415CB6FA5E}"/>
    <cellStyle name="Comma 3 2 3 3 3 2 2 3" xfId="36367" xr:uid="{A5F33EEF-9EED-4309-AC5D-6D2AE6470B13}"/>
    <cellStyle name="Comma 3 2 3 3 3 2 3" xfId="14463" xr:uid="{3489A0EE-BEE5-4D46-8D86-02F25FB0CD3F}"/>
    <cellStyle name="Comma 3 2 3 3 3 2 3 2" xfId="50971" xr:uid="{EDB403A2-BCA8-48B5-8783-8739F95D96FD}"/>
    <cellStyle name="Comma 3 2 3 3 3 2 3 3" xfId="32717" xr:uid="{F5547C01-04D7-4AF4-9A97-11733A65D0D1}"/>
    <cellStyle name="Comma 3 2 3 3 3 2 4" xfId="10813" xr:uid="{F5631A43-C0F5-4C02-8937-BF568F029687}"/>
    <cellStyle name="Comma 3 2 3 3 3 2 4 2" xfId="47321" xr:uid="{AD41F569-2D8F-4123-8438-63C1E407E281}"/>
    <cellStyle name="Comma 3 2 3 3 3 2 4 3" xfId="29067" xr:uid="{AEA66A56-74E5-4F69-967C-0127BBDFD7D2}"/>
    <cellStyle name="Comma 3 2 3 3 3 2 5" xfId="7163" xr:uid="{FA3CE8A4-3807-4190-964A-C04DF2050A58}"/>
    <cellStyle name="Comma 3 2 3 3 3 2 5 2" xfId="43671" xr:uid="{E34B7044-916F-41AA-B5DF-B39AE93656EF}"/>
    <cellStyle name="Comma 3 2 3 3 3 2 5 3" xfId="25417" xr:uid="{86864E44-DA3A-464E-A7CA-69FC6A6ACDB3}"/>
    <cellStyle name="Comma 3 2 3 3 3 2 6" xfId="40021" xr:uid="{879448FE-CB9E-4B64-A17F-3D002CCF6382}"/>
    <cellStyle name="Comma 3 2 3 3 3 2 7" xfId="21767" xr:uid="{41D7BF48-F314-4B8C-9AFF-1C1A51583830}"/>
    <cellStyle name="Comma 3 2 3 3 3 3" xfId="2783" xr:uid="{F7C64567-68A9-45DD-BA27-BE07C3B71CFB}"/>
    <cellStyle name="Comma 3 2 3 3 3 3 2" xfId="17383" xr:uid="{07620CA8-9250-44A4-A168-08B121E3033D}"/>
    <cellStyle name="Comma 3 2 3 3 3 3 2 2" xfId="53891" xr:uid="{D8EB82F0-F2DA-4B40-8955-27F662A812D5}"/>
    <cellStyle name="Comma 3 2 3 3 3 3 2 3" xfId="35637" xr:uid="{B0327E5D-0817-4EB6-AC89-1D4916E95236}"/>
    <cellStyle name="Comma 3 2 3 3 3 3 3" xfId="13733" xr:uid="{78259AB5-8F2E-45AF-90CA-C3585FE5CB6E}"/>
    <cellStyle name="Comma 3 2 3 3 3 3 3 2" xfId="50241" xr:uid="{1B49E1B5-0902-4980-A7E7-D2B9D7FAC731}"/>
    <cellStyle name="Comma 3 2 3 3 3 3 3 3" xfId="31987" xr:uid="{C174081C-C297-4FC1-9584-C90A61D604DE}"/>
    <cellStyle name="Comma 3 2 3 3 3 3 4" xfId="10083" xr:uid="{4AFD8382-EA84-4858-81CE-5AA58534CA60}"/>
    <cellStyle name="Comma 3 2 3 3 3 3 4 2" xfId="46591" xr:uid="{7483D353-E058-4E4E-9F2B-C17C2E9B4CF6}"/>
    <cellStyle name="Comma 3 2 3 3 3 3 4 3" xfId="28337" xr:uid="{56C03E1A-150B-47D3-87A2-9FBF4B1B13DD}"/>
    <cellStyle name="Comma 3 2 3 3 3 3 5" xfId="6433" xr:uid="{2F32FD71-C7C9-4A32-9260-F2FCDA469AB0}"/>
    <cellStyle name="Comma 3 2 3 3 3 3 5 2" xfId="42941" xr:uid="{B4ABA239-7559-49EA-B6B0-6D90670C228D}"/>
    <cellStyle name="Comma 3 2 3 3 3 3 5 3" xfId="24687" xr:uid="{97ACD3AE-7BD0-4106-B5E3-A30ABECDFEDF}"/>
    <cellStyle name="Comma 3 2 3 3 3 3 6" xfId="39291" xr:uid="{5751930A-2E1D-459F-AB34-E30087E4057C}"/>
    <cellStyle name="Comma 3 2 3 3 3 3 7" xfId="21037" xr:uid="{AB80E633-11B8-4B1A-8BBF-39D375A2E763}"/>
    <cellStyle name="Comma 3 2 3 3 3 4" xfId="2053" xr:uid="{533FE4DF-7BA6-4846-9296-AB05F2A7A14B}"/>
    <cellStyle name="Comma 3 2 3 3 3 4 2" xfId="16653" xr:uid="{FF9B0CC7-1710-4940-AB5A-16F804ADC856}"/>
    <cellStyle name="Comma 3 2 3 3 3 4 2 2" xfId="53161" xr:uid="{0F9AA6DE-EDE3-45C0-8DD2-DEF305FAAF97}"/>
    <cellStyle name="Comma 3 2 3 3 3 4 2 3" xfId="34907" xr:uid="{1AB3B265-BC92-4692-82AB-3A8B68285C1A}"/>
    <cellStyle name="Comma 3 2 3 3 3 4 3" xfId="13003" xr:uid="{A1E6A354-1D72-41AB-9E5C-E809C75AF267}"/>
    <cellStyle name="Comma 3 2 3 3 3 4 3 2" xfId="49511" xr:uid="{58C385E8-6EAD-48D1-9B58-6DFCEA00D15E}"/>
    <cellStyle name="Comma 3 2 3 3 3 4 3 3" xfId="31257" xr:uid="{803C0DB4-93B2-4DF9-879E-1879887FF5AA}"/>
    <cellStyle name="Comma 3 2 3 3 3 4 4" xfId="9353" xr:uid="{06874EA5-B5D3-417E-8E4F-B7CC7CF68A9D}"/>
    <cellStyle name="Comma 3 2 3 3 3 4 4 2" xfId="45861" xr:uid="{E11C0A30-21BB-45D3-B3CA-84E7EC1E66E3}"/>
    <cellStyle name="Comma 3 2 3 3 3 4 4 3" xfId="27607" xr:uid="{8871E90E-439B-4284-8FC0-EDAA9EF9CFB2}"/>
    <cellStyle name="Comma 3 2 3 3 3 4 5" xfId="5703" xr:uid="{B65605E8-36CB-4145-B9C1-6A16BA962C91}"/>
    <cellStyle name="Comma 3 2 3 3 3 4 5 2" xfId="42211" xr:uid="{AC23E2F0-D311-4A2C-B5F5-D518CB39EB75}"/>
    <cellStyle name="Comma 3 2 3 3 3 4 5 3" xfId="23957" xr:uid="{351DDBD8-B479-4F9E-BFFF-E12AA82EBE54}"/>
    <cellStyle name="Comma 3 2 3 3 3 4 6" xfId="38561" xr:uid="{834439FE-E15A-4DE5-9B48-896F4A1BB4BE}"/>
    <cellStyle name="Comma 3 2 3 3 3 4 7" xfId="20307" xr:uid="{54E1D42D-425C-487D-ABBF-D835D294D5B1}"/>
    <cellStyle name="Comma 3 2 3 3 3 5" xfId="1323" xr:uid="{03DC8CD5-84D6-42B6-9EBB-3B8777520FC4}"/>
    <cellStyle name="Comma 3 2 3 3 3 5 2" xfId="15923" xr:uid="{AB6461FC-0787-4052-A845-5A49A9457845}"/>
    <cellStyle name="Comma 3 2 3 3 3 5 2 2" xfId="52431" xr:uid="{BC312EC4-2273-4B37-A1C2-3ACA9E95CDA0}"/>
    <cellStyle name="Comma 3 2 3 3 3 5 2 3" xfId="34177" xr:uid="{A9B2DD80-C13E-4551-B434-C4FD6161F038}"/>
    <cellStyle name="Comma 3 2 3 3 3 5 3" xfId="12273" xr:uid="{22ABB588-8A24-4F75-A4C0-BBDC1A8DC9EA}"/>
    <cellStyle name="Comma 3 2 3 3 3 5 3 2" xfId="48781" xr:uid="{1F926F4B-06DD-403B-9114-696256EDE092}"/>
    <cellStyle name="Comma 3 2 3 3 3 5 3 3" xfId="30527" xr:uid="{4114AD81-8175-45B5-A521-FCF64201AC17}"/>
    <cellStyle name="Comma 3 2 3 3 3 5 4" xfId="8623" xr:uid="{78BB3E34-4540-433A-A940-14EB3978CF08}"/>
    <cellStyle name="Comma 3 2 3 3 3 5 4 2" xfId="45131" xr:uid="{F2B0C1C8-5E23-4AA6-A02E-00070E0162AD}"/>
    <cellStyle name="Comma 3 2 3 3 3 5 4 3" xfId="26877" xr:uid="{58C57040-40F0-4749-943B-0DE61D69E73D}"/>
    <cellStyle name="Comma 3 2 3 3 3 5 5" xfId="4973" xr:uid="{18CEA443-A83C-4B5C-A120-533DDEEBFDB1}"/>
    <cellStyle name="Comma 3 2 3 3 3 5 5 2" xfId="41481" xr:uid="{7F21D06C-4CA1-4FA4-A1E3-7E4991EEFFFA}"/>
    <cellStyle name="Comma 3 2 3 3 3 5 5 3" xfId="23227" xr:uid="{570E647F-3150-41C6-A298-A94AC63D4E1F}"/>
    <cellStyle name="Comma 3 2 3 3 3 5 6" xfId="37831" xr:uid="{B42A7607-A95F-43EE-B21E-6D93F165CDC0}"/>
    <cellStyle name="Comma 3 2 3 3 3 5 7" xfId="19577" xr:uid="{97DA7553-D64B-4CC9-972D-75B3BFB0F834}"/>
    <cellStyle name="Comma 3 2 3 3 3 6" xfId="15193" xr:uid="{24785854-E061-4610-95F3-3A17B6946F09}"/>
    <cellStyle name="Comma 3 2 3 3 3 6 2" xfId="51701" xr:uid="{A7E27B2B-1749-48B1-9CF7-3AE9C098BAF5}"/>
    <cellStyle name="Comma 3 2 3 3 3 6 3" xfId="33447" xr:uid="{7BD30015-6A7E-45ED-9595-C91B9607DBA7}"/>
    <cellStyle name="Comma 3 2 3 3 3 7" xfId="11543" xr:uid="{628A0E30-01A6-4469-8ABB-3E8CD2AF8578}"/>
    <cellStyle name="Comma 3 2 3 3 3 7 2" xfId="48051" xr:uid="{5B647576-3E5C-40CA-9656-E5941AB65827}"/>
    <cellStyle name="Comma 3 2 3 3 3 7 3" xfId="29797" xr:uid="{AF5E57E5-6374-4B83-B395-A39FA66BE3CC}"/>
    <cellStyle name="Comma 3 2 3 3 3 8" xfId="7893" xr:uid="{3E0E2C7A-4BA9-4DAA-84F4-203A0E2652A3}"/>
    <cellStyle name="Comma 3 2 3 3 3 8 2" xfId="44401" xr:uid="{6B4089A5-DF1F-425C-8F88-38D73B23B7AA}"/>
    <cellStyle name="Comma 3 2 3 3 3 8 3" xfId="26147" xr:uid="{F41D8C35-E54A-4063-A227-6FA085735977}"/>
    <cellStyle name="Comma 3 2 3 3 3 9" xfId="4243" xr:uid="{FB3B7F6C-847B-4285-B55A-9B1794290C23}"/>
    <cellStyle name="Comma 3 2 3 3 3 9 2" xfId="40751" xr:uid="{02E7E359-3B7D-44A9-8601-655607084857}"/>
    <cellStyle name="Comma 3 2 3 3 3 9 3" xfId="22497" xr:uid="{D3724F8D-784C-48F3-BE9F-48A4DDE8D987}"/>
    <cellStyle name="Comma 3 2 3 3 4" xfId="489" xr:uid="{07A4F4D3-A28B-4C68-8B72-D3C3A54FD061}"/>
    <cellStyle name="Comma 3 2 3 3 4 10" xfId="36997" xr:uid="{D5F793B2-C763-40D4-AD3E-68F62ABC62BF}"/>
    <cellStyle name="Comma 3 2 3 3 4 11" xfId="18743" xr:uid="{78BE9E80-90E5-43D5-AAA0-3E6BD4AC092B}"/>
    <cellStyle name="Comma 3 2 3 3 4 2" xfId="3409" xr:uid="{47247E2D-7143-4403-B5DE-6CF469ECFD98}"/>
    <cellStyle name="Comma 3 2 3 3 4 2 2" xfId="18009" xr:uid="{DC83BAB6-1919-4B01-95D9-74DFA1562BE7}"/>
    <cellStyle name="Comma 3 2 3 3 4 2 2 2" xfId="54517" xr:uid="{71F7DD80-C861-4D4D-B06E-C0632E8B7743}"/>
    <cellStyle name="Comma 3 2 3 3 4 2 2 3" xfId="36263" xr:uid="{CC027CA7-EBB0-4F5C-B607-EA7F1730E1FF}"/>
    <cellStyle name="Comma 3 2 3 3 4 2 3" xfId="14359" xr:uid="{C08C88FD-7431-414B-A9CE-364E2B0FDE5A}"/>
    <cellStyle name="Comma 3 2 3 3 4 2 3 2" xfId="50867" xr:uid="{B1E0E8D3-D24F-4B42-B5A5-C89D0A622B07}"/>
    <cellStyle name="Comma 3 2 3 3 4 2 3 3" xfId="32613" xr:uid="{4F8C3B94-4457-4E8C-911D-61A4E73AD28D}"/>
    <cellStyle name="Comma 3 2 3 3 4 2 4" xfId="10709" xr:uid="{C1797259-8A23-4B8E-9F40-66AA6329AF83}"/>
    <cellStyle name="Comma 3 2 3 3 4 2 4 2" xfId="47217" xr:uid="{8AEE20FA-F1AC-4F5A-9134-D50E79A4E806}"/>
    <cellStyle name="Comma 3 2 3 3 4 2 4 3" xfId="28963" xr:uid="{401381B1-3251-4607-A8D2-24A2FF9F3CE2}"/>
    <cellStyle name="Comma 3 2 3 3 4 2 5" xfId="7059" xr:uid="{90A79023-FB9A-4E53-BADB-821958F6D061}"/>
    <cellStyle name="Comma 3 2 3 3 4 2 5 2" xfId="43567" xr:uid="{4738A7A1-4013-4060-BF86-1C46AAC8D47F}"/>
    <cellStyle name="Comma 3 2 3 3 4 2 5 3" xfId="25313" xr:uid="{193509B9-7329-49C6-A5C3-7298E5F1C800}"/>
    <cellStyle name="Comma 3 2 3 3 4 2 6" xfId="39917" xr:uid="{A0D13D8F-5114-488E-AD96-53D1ACAD04FE}"/>
    <cellStyle name="Comma 3 2 3 3 4 2 7" xfId="21663" xr:uid="{E2AB950C-BE8C-4CA7-89E1-E3AE431B39B3}"/>
    <cellStyle name="Comma 3 2 3 3 4 3" xfId="2679" xr:uid="{45622288-9521-4498-A8CA-7BB544AC511E}"/>
    <cellStyle name="Comma 3 2 3 3 4 3 2" xfId="17279" xr:uid="{3C51F758-03AF-4012-8506-84B63C6960B2}"/>
    <cellStyle name="Comma 3 2 3 3 4 3 2 2" xfId="53787" xr:uid="{5473F2AF-48B1-4EFE-B70B-C61895E21875}"/>
    <cellStyle name="Comma 3 2 3 3 4 3 2 3" xfId="35533" xr:uid="{171143CD-A850-4EAA-82AB-3A05E3280FA4}"/>
    <cellStyle name="Comma 3 2 3 3 4 3 3" xfId="13629" xr:uid="{CC1FADF9-AF9C-4C68-A144-58FE7B1F6E43}"/>
    <cellStyle name="Comma 3 2 3 3 4 3 3 2" xfId="50137" xr:uid="{31908C75-9444-4B94-8ECC-6C22528AED7F}"/>
    <cellStyle name="Comma 3 2 3 3 4 3 3 3" xfId="31883" xr:uid="{59EE9EB6-6912-4E79-83EE-FDD4FCF82A8D}"/>
    <cellStyle name="Comma 3 2 3 3 4 3 4" xfId="9979" xr:uid="{853F56AF-3482-4F2A-B08E-86E768614D50}"/>
    <cellStyle name="Comma 3 2 3 3 4 3 4 2" xfId="46487" xr:uid="{8368583B-14D7-4B83-9589-3752BF2883BD}"/>
    <cellStyle name="Comma 3 2 3 3 4 3 4 3" xfId="28233" xr:uid="{B3C0BA25-FFC3-42A8-BBF9-AFA3911B7CCA}"/>
    <cellStyle name="Comma 3 2 3 3 4 3 5" xfId="6329" xr:uid="{F278C269-C0BA-43D4-A3CB-7F3B0CEB3297}"/>
    <cellStyle name="Comma 3 2 3 3 4 3 5 2" xfId="42837" xr:uid="{5EE6448A-1489-48B2-B9CD-69F0FAF1E5B4}"/>
    <cellStyle name="Comma 3 2 3 3 4 3 5 3" xfId="24583" xr:uid="{19B97C60-A84A-46BA-9AB9-AA240DC8C6A9}"/>
    <cellStyle name="Comma 3 2 3 3 4 3 6" xfId="39187" xr:uid="{86F5BABE-1BC9-40A8-9C5F-7695F924BDAF}"/>
    <cellStyle name="Comma 3 2 3 3 4 3 7" xfId="20933" xr:uid="{7BB572F9-5438-4204-BEF5-C215520D293A}"/>
    <cellStyle name="Comma 3 2 3 3 4 4" xfId="1949" xr:uid="{80BFC6E7-1AFF-45B0-B01F-ACA37163FEE8}"/>
    <cellStyle name="Comma 3 2 3 3 4 4 2" xfId="16549" xr:uid="{6C01722E-5D88-4812-8446-334ACF09DD17}"/>
    <cellStyle name="Comma 3 2 3 3 4 4 2 2" xfId="53057" xr:uid="{8C18103D-5A75-4B15-A023-DB9B5ADED076}"/>
    <cellStyle name="Comma 3 2 3 3 4 4 2 3" xfId="34803" xr:uid="{DD155A13-314B-411F-ACAD-068E3A46A255}"/>
    <cellStyle name="Comma 3 2 3 3 4 4 3" xfId="12899" xr:uid="{BFC23E0E-975C-46AE-8520-7F367C213B0D}"/>
    <cellStyle name="Comma 3 2 3 3 4 4 3 2" xfId="49407" xr:uid="{8FDA7FF8-CC52-4DC7-ABDE-0203B505D629}"/>
    <cellStyle name="Comma 3 2 3 3 4 4 3 3" xfId="31153" xr:uid="{F1B10C2C-88DE-48E3-BEA8-85C77F79A726}"/>
    <cellStyle name="Comma 3 2 3 3 4 4 4" xfId="9249" xr:uid="{8B1778F7-2A36-48CE-ACE8-3020A6EFFBDC}"/>
    <cellStyle name="Comma 3 2 3 3 4 4 4 2" xfId="45757" xr:uid="{54FEFA35-7B5B-4B2A-A943-FD8CD488FB6E}"/>
    <cellStyle name="Comma 3 2 3 3 4 4 4 3" xfId="27503" xr:uid="{F2318511-C352-47C7-BC7D-EC965006CF94}"/>
    <cellStyle name="Comma 3 2 3 3 4 4 5" xfId="5599" xr:uid="{29CF5FA6-EA36-4F78-B60E-73DA1492E6CE}"/>
    <cellStyle name="Comma 3 2 3 3 4 4 5 2" xfId="42107" xr:uid="{37A02EED-F296-4593-97BA-E4B640C3625D}"/>
    <cellStyle name="Comma 3 2 3 3 4 4 5 3" xfId="23853" xr:uid="{5C90526F-3287-47F2-9CB0-7BBB768E5F0D}"/>
    <cellStyle name="Comma 3 2 3 3 4 4 6" xfId="38457" xr:uid="{70F31B3A-AA6B-4BDE-9C80-0E568771DA11}"/>
    <cellStyle name="Comma 3 2 3 3 4 4 7" xfId="20203" xr:uid="{2F2871C4-2B14-452F-9DF1-FCDFD38B32AA}"/>
    <cellStyle name="Comma 3 2 3 3 4 5" xfId="1219" xr:uid="{2D529361-9923-44DE-A908-363E0CE0C42C}"/>
    <cellStyle name="Comma 3 2 3 3 4 5 2" xfId="15819" xr:uid="{7B6BEA47-0059-44AF-BF34-3F623BF20E2B}"/>
    <cellStyle name="Comma 3 2 3 3 4 5 2 2" xfId="52327" xr:uid="{8A9B0D15-1D32-49E6-9669-50B531A81F2C}"/>
    <cellStyle name="Comma 3 2 3 3 4 5 2 3" xfId="34073" xr:uid="{EC2BB21A-2B02-4040-A252-9A2D734CE810}"/>
    <cellStyle name="Comma 3 2 3 3 4 5 3" xfId="12169" xr:uid="{7817139D-31B7-4C4A-AD35-62F0DFCB5D65}"/>
    <cellStyle name="Comma 3 2 3 3 4 5 3 2" xfId="48677" xr:uid="{4B36CEB7-B79F-483B-B50F-D2EB7E27206D}"/>
    <cellStyle name="Comma 3 2 3 3 4 5 3 3" xfId="30423" xr:uid="{B79CC394-9B93-4E88-BAA3-72EC0139C163}"/>
    <cellStyle name="Comma 3 2 3 3 4 5 4" xfId="8519" xr:uid="{CAA2A1D4-755D-4ED7-B7E5-F9B3BDB27606}"/>
    <cellStyle name="Comma 3 2 3 3 4 5 4 2" xfId="45027" xr:uid="{6FD8647A-4063-468A-AF2D-B6E5C590719F}"/>
    <cellStyle name="Comma 3 2 3 3 4 5 4 3" xfId="26773" xr:uid="{6F52B849-0F13-4E18-AB31-8D4AF2312DF9}"/>
    <cellStyle name="Comma 3 2 3 3 4 5 5" xfId="4869" xr:uid="{BCFDE659-9077-4860-9286-D892232A4F75}"/>
    <cellStyle name="Comma 3 2 3 3 4 5 5 2" xfId="41377" xr:uid="{74E04FCB-5FD4-456A-B3E5-55BAB8F001B8}"/>
    <cellStyle name="Comma 3 2 3 3 4 5 5 3" xfId="23123" xr:uid="{B2D9B52B-6B95-4F2E-AAF9-9244A158BC99}"/>
    <cellStyle name="Comma 3 2 3 3 4 5 6" xfId="37727" xr:uid="{B1EE311F-799E-411C-ABBA-ADE2C3F84801}"/>
    <cellStyle name="Comma 3 2 3 3 4 5 7" xfId="19473" xr:uid="{3040C69F-75BC-461C-91C2-E78595985346}"/>
    <cellStyle name="Comma 3 2 3 3 4 6" xfId="15089" xr:uid="{8D04F264-8CE8-4D6B-A13B-5E7756BBA5E2}"/>
    <cellStyle name="Comma 3 2 3 3 4 6 2" xfId="51597" xr:uid="{319504F2-7A8C-406A-930F-FDF7959E27AC}"/>
    <cellStyle name="Comma 3 2 3 3 4 6 3" xfId="33343" xr:uid="{0A8755AB-7207-4E52-BDBF-74CE3B475A81}"/>
    <cellStyle name="Comma 3 2 3 3 4 7" xfId="11439" xr:uid="{6D645B73-F066-4393-8632-2B79ADEC6882}"/>
    <cellStyle name="Comma 3 2 3 3 4 7 2" xfId="47947" xr:uid="{9565B350-2D88-429F-8D76-595FCF9EAE80}"/>
    <cellStyle name="Comma 3 2 3 3 4 7 3" xfId="29693" xr:uid="{74444F09-55C3-45E2-A655-5017040FE5B7}"/>
    <cellStyle name="Comma 3 2 3 3 4 8" xfId="7789" xr:uid="{1BD33B0C-465B-4E99-9B56-DA87C895A65E}"/>
    <cellStyle name="Comma 3 2 3 3 4 8 2" xfId="44297" xr:uid="{9E2F813C-4195-47B1-943F-0587752D4C0E}"/>
    <cellStyle name="Comma 3 2 3 3 4 8 3" xfId="26043" xr:uid="{CF426037-F798-43E5-ADA7-493FBDF33156}"/>
    <cellStyle name="Comma 3 2 3 3 4 9" xfId="4139" xr:uid="{0E4737EE-5BD5-42DA-AFAE-0FD618C7EBA0}"/>
    <cellStyle name="Comma 3 2 3 3 4 9 2" xfId="40647" xr:uid="{8D4353DB-11CE-4C51-8312-87B2789442FE}"/>
    <cellStyle name="Comma 3 2 3 3 4 9 3" xfId="22393" xr:uid="{03A10401-BF4A-4E9E-9CC3-B174BFDCB8F6}"/>
    <cellStyle name="Comma 3 2 3 3 5" xfId="385" xr:uid="{3799ED47-D4CA-41CE-8E76-FB46527F9567}"/>
    <cellStyle name="Comma 3 2 3 3 5 10" xfId="36893" xr:uid="{4D87F350-D03F-4776-ABB4-258B1BCF0A61}"/>
    <cellStyle name="Comma 3 2 3 3 5 11" xfId="18639" xr:uid="{B7CD2B12-3D9D-4F35-A535-2D9DCADFF142}"/>
    <cellStyle name="Comma 3 2 3 3 5 2" xfId="3305" xr:uid="{E2E032F0-3215-4549-86E1-694B3F343509}"/>
    <cellStyle name="Comma 3 2 3 3 5 2 2" xfId="17905" xr:uid="{AA06AAED-76D9-46CA-88B8-CC498832DAA2}"/>
    <cellStyle name="Comma 3 2 3 3 5 2 2 2" xfId="54413" xr:uid="{23E0F6B4-2312-45D5-B2BC-5EBE091378FA}"/>
    <cellStyle name="Comma 3 2 3 3 5 2 2 3" xfId="36159" xr:uid="{AB8C82DE-31C6-4F06-8091-AEBDE8C4249A}"/>
    <cellStyle name="Comma 3 2 3 3 5 2 3" xfId="14255" xr:uid="{38C8AD69-AC29-4A47-B0F8-ED29838DD908}"/>
    <cellStyle name="Comma 3 2 3 3 5 2 3 2" xfId="50763" xr:uid="{BCA0E2CB-439C-4CC1-BD0E-B0876C599CA1}"/>
    <cellStyle name="Comma 3 2 3 3 5 2 3 3" xfId="32509" xr:uid="{18D9D4C3-15AB-4620-ACBA-2CC17E6F6D91}"/>
    <cellStyle name="Comma 3 2 3 3 5 2 4" xfId="10605" xr:uid="{EAAFD8B7-7607-4946-8087-B76FFFD5C84A}"/>
    <cellStyle name="Comma 3 2 3 3 5 2 4 2" xfId="47113" xr:uid="{99588B76-0F08-49FC-8498-D30FC506DD50}"/>
    <cellStyle name="Comma 3 2 3 3 5 2 4 3" xfId="28859" xr:uid="{EE8DD8C3-B7DE-4FBB-8763-60AB45407F04}"/>
    <cellStyle name="Comma 3 2 3 3 5 2 5" xfId="6955" xr:uid="{A44CED16-FFD2-4AF4-86E0-C7859B43BD35}"/>
    <cellStyle name="Comma 3 2 3 3 5 2 5 2" xfId="43463" xr:uid="{9D36994F-35FC-477F-BFE9-49AE5897A77D}"/>
    <cellStyle name="Comma 3 2 3 3 5 2 5 3" xfId="25209" xr:uid="{FD0337D7-DE96-479F-89E4-D43957909608}"/>
    <cellStyle name="Comma 3 2 3 3 5 2 6" xfId="39813" xr:uid="{E3C17735-C94C-4A74-B90C-51D4256DD686}"/>
    <cellStyle name="Comma 3 2 3 3 5 2 7" xfId="21559" xr:uid="{D81695C2-4D97-43A9-A355-C868D15CDD96}"/>
    <cellStyle name="Comma 3 2 3 3 5 3" xfId="2575" xr:uid="{04B7F7E0-471F-4DD2-B924-872E7913E862}"/>
    <cellStyle name="Comma 3 2 3 3 5 3 2" xfId="17175" xr:uid="{7C453CD4-F92D-440E-8288-36A49BBA312D}"/>
    <cellStyle name="Comma 3 2 3 3 5 3 2 2" xfId="53683" xr:uid="{00B7C7E1-F6E0-4A10-93EE-62490F1E7871}"/>
    <cellStyle name="Comma 3 2 3 3 5 3 2 3" xfId="35429" xr:uid="{039D5334-D35E-4288-B18A-5854593C75DD}"/>
    <cellStyle name="Comma 3 2 3 3 5 3 3" xfId="13525" xr:uid="{E45497B7-7049-4ED2-AFF1-D6F86C0996AB}"/>
    <cellStyle name="Comma 3 2 3 3 5 3 3 2" xfId="50033" xr:uid="{B852BB11-8B05-4D69-9CCD-FCF0637715ED}"/>
    <cellStyle name="Comma 3 2 3 3 5 3 3 3" xfId="31779" xr:uid="{4B6F1E4A-1D68-43F1-A0C4-1B93CC84CF1A}"/>
    <cellStyle name="Comma 3 2 3 3 5 3 4" xfId="9875" xr:uid="{8BA7ED52-9BED-457C-BA2D-89F406F84338}"/>
    <cellStyle name="Comma 3 2 3 3 5 3 4 2" xfId="46383" xr:uid="{4697F745-8C7E-4F55-BB85-8DE19BE52C12}"/>
    <cellStyle name="Comma 3 2 3 3 5 3 4 3" xfId="28129" xr:uid="{A696D646-8CD8-47F1-94F5-70C92BCDD7E8}"/>
    <cellStyle name="Comma 3 2 3 3 5 3 5" xfId="6225" xr:uid="{68608DEE-255E-4814-B0F3-A6CAB83BF4BE}"/>
    <cellStyle name="Comma 3 2 3 3 5 3 5 2" xfId="42733" xr:uid="{AAC75D81-EC3F-4328-9B38-855EED7BEBF2}"/>
    <cellStyle name="Comma 3 2 3 3 5 3 5 3" xfId="24479" xr:uid="{E495798D-6EED-4C1B-8C65-D72F9F3FFA90}"/>
    <cellStyle name="Comma 3 2 3 3 5 3 6" xfId="39083" xr:uid="{F0017FE3-61D2-485E-82AD-13852341A21C}"/>
    <cellStyle name="Comma 3 2 3 3 5 3 7" xfId="20829" xr:uid="{D704D70F-E708-4165-B6D8-D4194B9BA10F}"/>
    <cellStyle name="Comma 3 2 3 3 5 4" xfId="1845" xr:uid="{11F7290C-214D-4C22-B4BB-3D09910E1D0D}"/>
    <cellStyle name="Comma 3 2 3 3 5 4 2" xfId="16445" xr:uid="{F854971F-F904-4D11-A618-7B75D7501B08}"/>
    <cellStyle name="Comma 3 2 3 3 5 4 2 2" xfId="52953" xr:uid="{2199C6F1-E679-486F-B4C8-C01EAE58735A}"/>
    <cellStyle name="Comma 3 2 3 3 5 4 2 3" xfId="34699" xr:uid="{7A289AC6-34E1-47EC-9CA0-6510F1D0BB51}"/>
    <cellStyle name="Comma 3 2 3 3 5 4 3" xfId="12795" xr:uid="{B21E9404-ACD6-4596-946F-42E565EBE200}"/>
    <cellStyle name="Comma 3 2 3 3 5 4 3 2" xfId="49303" xr:uid="{D9F4541C-EA9E-4B2E-B3F2-FE745F78CBCA}"/>
    <cellStyle name="Comma 3 2 3 3 5 4 3 3" xfId="31049" xr:uid="{A5A1B1F4-DACB-4E68-A817-2046F75238DA}"/>
    <cellStyle name="Comma 3 2 3 3 5 4 4" xfId="9145" xr:uid="{CDDCC35E-08C1-4826-9985-5CC4A65EE0CD}"/>
    <cellStyle name="Comma 3 2 3 3 5 4 4 2" xfId="45653" xr:uid="{6D3A0E11-EFCC-4122-916E-6CFD5ECC1C42}"/>
    <cellStyle name="Comma 3 2 3 3 5 4 4 3" xfId="27399" xr:uid="{3010059D-890F-46DB-845A-1083B83C5CDB}"/>
    <cellStyle name="Comma 3 2 3 3 5 4 5" xfId="5495" xr:uid="{9A3726B8-B020-48FD-9CAE-6F83BDED7C5C}"/>
    <cellStyle name="Comma 3 2 3 3 5 4 5 2" xfId="42003" xr:uid="{366E371C-AF7D-45A5-A88C-B35D6AD12A4D}"/>
    <cellStyle name="Comma 3 2 3 3 5 4 5 3" xfId="23749" xr:uid="{932F6D09-6C7B-417E-B4A7-F86DE5AA50B1}"/>
    <cellStyle name="Comma 3 2 3 3 5 4 6" xfId="38353" xr:uid="{924043A2-27A5-42F3-B42C-EAD11F3087AD}"/>
    <cellStyle name="Comma 3 2 3 3 5 4 7" xfId="20099" xr:uid="{FD341034-ABCB-4487-9896-702C28171477}"/>
    <cellStyle name="Comma 3 2 3 3 5 5" xfId="1115" xr:uid="{E6B6F460-C871-4002-853E-9EDD5212E391}"/>
    <cellStyle name="Comma 3 2 3 3 5 5 2" xfId="15715" xr:uid="{081B281F-EBFE-4566-8AEB-8188B7FB07E3}"/>
    <cellStyle name="Comma 3 2 3 3 5 5 2 2" xfId="52223" xr:uid="{D976B9C4-40A0-4920-AFD0-20E869ABF49C}"/>
    <cellStyle name="Comma 3 2 3 3 5 5 2 3" xfId="33969" xr:uid="{0963B31E-1C04-460F-B2F1-F8E21A121D9F}"/>
    <cellStyle name="Comma 3 2 3 3 5 5 3" xfId="12065" xr:uid="{11C69F89-D36A-47F8-B3DE-36AAA2256B93}"/>
    <cellStyle name="Comma 3 2 3 3 5 5 3 2" xfId="48573" xr:uid="{92F8E50A-7510-4E0F-B493-73E942E81AC0}"/>
    <cellStyle name="Comma 3 2 3 3 5 5 3 3" xfId="30319" xr:uid="{848308F1-14DF-4E4F-A9E5-E40372EC054A}"/>
    <cellStyle name="Comma 3 2 3 3 5 5 4" xfId="8415" xr:uid="{07483D45-B974-4910-8529-11A1737CBCF9}"/>
    <cellStyle name="Comma 3 2 3 3 5 5 4 2" xfId="44923" xr:uid="{B2B27E72-0EC4-4DE5-94FB-1E7D0604B935}"/>
    <cellStyle name="Comma 3 2 3 3 5 5 4 3" xfId="26669" xr:uid="{DEA1F5E1-9CE8-444B-BE69-893C76A0A6ED}"/>
    <cellStyle name="Comma 3 2 3 3 5 5 5" xfId="4765" xr:uid="{298A3F03-D377-4116-B89E-4E95BCEA8D97}"/>
    <cellStyle name="Comma 3 2 3 3 5 5 5 2" xfId="41273" xr:uid="{BDCEEF7E-640E-48E2-BA1F-88D5D5A1261D}"/>
    <cellStyle name="Comma 3 2 3 3 5 5 5 3" xfId="23019" xr:uid="{30678C41-3BCD-449F-A721-CC3DDAB5B6AD}"/>
    <cellStyle name="Comma 3 2 3 3 5 5 6" xfId="37623" xr:uid="{17015DD3-B5DD-4F3E-93FB-CEC070D23B67}"/>
    <cellStyle name="Comma 3 2 3 3 5 5 7" xfId="19369" xr:uid="{19946F71-297C-42E6-B54B-5E3D980DD527}"/>
    <cellStyle name="Comma 3 2 3 3 5 6" xfId="14985" xr:uid="{8C133F91-A588-481C-A68D-59A0D2763AA4}"/>
    <cellStyle name="Comma 3 2 3 3 5 6 2" xfId="51493" xr:uid="{5B912816-D600-4569-875D-FFBFA4DC1962}"/>
    <cellStyle name="Comma 3 2 3 3 5 6 3" xfId="33239" xr:uid="{838BD0D1-4348-468C-B8A5-B3B66D41DC57}"/>
    <cellStyle name="Comma 3 2 3 3 5 7" xfId="11335" xr:uid="{04054189-977F-41AB-9BAC-7054F5268674}"/>
    <cellStyle name="Comma 3 2 3 3 5 7 2" xfId="47843" xr:uid="{4C05B9A4-F358-4668-A860-BFA2923E9AE2}"/>
    <cellStyle name="Comma 3 2 3 3 5 7 3" xfId="29589" xr:uid="{FA2D7725-D6DA-4F6E-AEB0-A9EA5CB39935}"/>
    <cellStyle name="Comma 3 2 3 3 5 8" xfId="7685" xr:uid="{FAFCF662-AF64-4005-9244-3AAF19DA53CF}"/>
    <cellStyle name="Comma 3 2 3 3 5 8 2" xfId="44193" xr:uid="{EA1951DA-6206-4EDA-A005-1E44FAC4C765}"/>
    <cellStyle name="Comma 3 2 3 3 5 8 3" xfId="25939" xr:uid="{350FA11F-1B66-4519-8C5A-971D454B75C5}"/>
    <cellStyle name="Comma 3 2 3 3 5 9" xfId="4035" xr:uid="{14093B21-6E5A-4EF3-9A7E-53C01B8D1EE1}"/>
    <cellStyle name="Comma 3 2 3 3 5 9 2" xfId="40543" xr:uid="{4E548AC6-0119-4495-AEB9-537A770284E8}"/>
    <cellStyle name="Comma 3 2 3 3 5 9 3" xfId="22289" xr:uid="{4AA27EA7-1786-4DC3-8FE1-1E10A93A8584}"/>
    <cellStyle name="Comma 3 2 3 3 6" xfId="281" xr:uid="{D4DF79E9-A8DC-4D93-88E2-50E4819D6B22}"/>
    <cellStyle name="Comma 3 2 3 3 6 10" xfId="36789" xr:uid="{9088CA33-1D2E-4C3B-AEAF-96AB8F245EDD}"/>
    <cellStyle name="Comma 3 2 3 3 6 11" xfId="18535" xr:uid="{103466A9-6EC9-4B7E-82C5-69CC054B10EA}"/>
    <cellStyle name="Comma 3 2 3 3 6 2" xfId="3201" xr:uid="{4CD2F073-F718-4026-9239-686B08703330}"/>
    <cellStyle name="Comma 3 2 3 3 6 2 2" xfId="17801" xr:uid="{CF055347-0A5E-4F1D-9995-709CDBDE7641}"/>
    <cellStyle name="Comma 3 2 3 3 6 2 2 2" xfId="54309" xr:uid="{7E07876C-15E6-454C-BC0D-F6277E100ACA}"/>
    <cellStyle name="Comma 3 2 3 3 6 2 2 3" xfId="36055" xr:uid="{13C6A528-3777-41B7-A0D8-B14EC72AB358}"/>
    <cellStyle name="Comma 3 2 3 3 6 2 3" xfId="14151" xr:uid="{A9D8CA89-8053-4643-8868-C76C4FA5F00F}"/>
    <cellStyle name="Comma 3 2 3 3 6 2 3 2" xfId="50659" xr:uid="{2ACEFBF0-DEE2-4064-98DD-7A63356B384D}"/>
    <cellStyle name="Comma 3 2 3 3 6 2 3 3" xfId="32405" xr:uid="{37F56E67-0B51-4D36-9208-19E5AB685954}"/>
    <cellStyle name="Comma 3 2 3 3 6 2 4" xfId="10501" xr:uid="{F369610B-A17B-45A6-BFFB-6AF1021F5BF0}"/>
    <cellStyle name="Comma 3 2 3 3 6 2 4 2" xfId="47009" xr:uid="{51CC1DD7-A3BB-470F-A1DA-48F2B53CDA8D}"/>
    <cellStyle name="Comma 3 2 3 3 6 2 4 3" xfId="28755" xr:uid="{A689BF31-2D83-4BCB-8628-07AD8D5163B7}"/>
    <cellStyle name="Comma 3 2 3 3 6 2 5" xfId="6851" xr:uid="{EE89DA0F-0323-4191-90E7-3D97EDE09416}"/>
    <cellStyle name="Comma 3 2 3 3 6 2 5 2" xfId="43359" xr:uid="{6F402131-A875-45BE-8D8E-101C5971AF3C}"/>
    <cellStyle name="Comma 3 2 3 3 6 2 5 3" xfId="25105" xr:uid="{DAAFF569-C903-4313-8EC0-9F75FAE21A39}"/>
    <cellStyle name="Comma 3 2 3 3 6 2 6" xfId="39709" xr:uid="{1D3179C8-4DFB-4B15-A567-60A33B670DFC}"/>
    <cellStyle name="Comma 3 2 3 3 6 2 7" xfId="21455" xr:uid="{387BE1E4-700A-45E1-BCF6-3EE089FC283C}"/>
    <cellStyle name="Comma 3 2 3 3 6 3" xfId="2471" xr:uid="{EDCAAEA8-656F-494D-B36F-49BEE2B45C48}"/>
    <cellStyle name="Comma 3 2 3 3 6 3 2" xfId="17071" xr:uid="{351CB68E-0128-4222-8BE9-4329348E6C9F}"/>
    <cellStyle name="Comma 3 2 3 3 6 3 2 2" xfId="53579" xr:uid="{33E21A9B-DB83-49F5-B1EF-6589E0FE6399}"/>
    <cellStyle name="Comma 3 2 3 3 6 3 2 3" xfId="35325" xr:uid="{642FA0FA-94B2-4501-9584-3E1897F847D7}"/>
    <cellStyle name="Comma 3 2 3 3 6 3 3" xfId="13421" xr:uid="{C08818C2-9F07-4FD8-9AE7-7CC6A624D29F}"/>
    <cellStyle name="Comma 3 2 3 3 6 3 3 2" xfId="49929" xr:uid="{E9D7A00D-EF9B-4B9B-9004-C90B37652B6A}"/>
    <cellStyle name="Comma 3 2 3 3 6 3 3 3" xfId="31675" xr:uid="{A20C6458-3579-42AB-B649-B17D9F1C4616}"/>
    <cellStyle name="Comma 3 2 3 3 6 3 4" xfId="9771" xr:uid="{20CE6752-75F5-4364-B45A-4E142E47AE65}"/>
    <cellStyle name="Comma 3 2 3 3 6 3 4 2" xfId="46279" xr:uid="{8F08E40B-524C-4E71-9391-93AB4481C1C5}"/>
    <cellStyle name="Comma 3 2 3 3 6 3 4 3" xfId="28025" xr:uid="{0B745306-498D-4FBF-82BE-771B2A5A1E67}"/>
    <cellStyle name="Comma 3 2 3 3 6 3 5" xfId="6121" xr:uid="{7F04E7C1-0FAE-4978-87E6-2B0B4A08E6D9}"/>
    <cellStyle name="Comma 3 2 3 3 6 3 5 2" xfId="42629" xr:uid="{198ED5CB-14BA-4C75-9A48-476B9DCF2368}"/>
    <cellStyle name="Comma 3 2 3 3 6 3 5 3" xfId="24375" xr:uid="{AC7CC20C-309C-4560-84A5-F4828A7FBE72}"/>
    <cellStyle name="Comma 3 2 3 3 6 3 6" xfId="38979" xr:uid="{9AE28AE4-7ECD-4422-BBDC-B91055FFEB0D}"/>
    <cellStyle name="Comma 3 2 3 3 6 3 7" xfId="20725" xr:uid="{80CDFE39-1734-4CCA-93EC-A58337B32C45}"/>
    <cellStyle name="Comma 3 2 3 3 6 4" xfId="1741" xr:uid="{E6DE8BB5-4B57-4294-9232-20D1EEFE3670}"/>
    <cellStyle name="Comma 3 2 3 3 6 4 2" xfId="16341" xr:uid="{5A2CAC4B-FEE7-4360-B809-15B0BFBC8172}"/>
    <cellStyle name="Comma 3 2 3 3 6 4 2 2" xfId="52849" xr:uid="{A88FDBD9-10DE-4E6C-9A4F-2891273A7590}"/>
    <cellStyle name="Comma 3 2 3 3 6 4 2 3" xfId="34595" xr:uid="{587F8892-CD57-470A-92B4-D4CD7596532B}"/>
    <cellStyle name="Comma 3 2 3 3 6 4 3" xfId="12691" xr:uid="{E2D13D54-8D89-4FD9-A909-38307DCBC85D}"/>
    <cellStyle name="Comma 3 2 3 3 6 4 3 2" xfId="49199" xr:uid="{D9BEF5EF-630E-4659-8696-B2C2C45ABFC3}"/>
    <cellStyle name="Comma 3 2 3 3 6 4 3 3" xfId="30945" xr:uid="{7D7CF488-8154-4569-9335-35CFBA2567BC}"/>
    <cellStyle name="Comma 3 2 3 3 6 4 4" xfId="9041" xr:uid="{4F20960E-E6DC-4B44-A146-6E3176806281}"/>
    <cellStyle name="Comma 3 2 3 3 6 4 4 2" xfId="45549" xr:uid="{B6FE9987-EDEE-48BC-B84A-041F9AE33E19}"/>
    <cellStyle name="Comma 3 2 3 3 6 4 4 3" xfId="27295" xr:uid="{C8C9F6F2-5330-4C90-BA3D-994A9072F04F}"/>
    <cellStyle name="Comma 3 2 3 3 6 4 5" xfId="5391" xr:uid="{3E7302D9-77F0-4EC1-9BC9-7712462D2953}"/>
    <cellStyle name="Comma 3 2 3 3 6 4 5 2" xfId="41899" xr:uid="{08D1705B-C7D1-46BF-8446-56BAC1C8B0DA}"/>
    <cellStyle name="Comma 3 2 3 3 6 4 5 3" xfId="23645" xr:uid="{BD7CB69C-89E3-433F-BBC7-99E7226BFB83}"/>
    <cellStyle name="Comma 3 2 3 3 6 4 6" xfId="38249" xr:uid="{18CDBABD-CEFB-4FBC-9847-676C8B467AB9}"/>
    <cellStyle name="Comma 3 2 3 3 6 4 7" xfId="19995" xr:uid="{E3CA70BC-E084-45C7-B841-3F8146EE738F}"/>
    <cellStyle name="Comma 3 2 3 3 6 5" xfId="1011" xr:uid="{DC2C9DA3-B071-453D-A7CB-33523D861265}"/>
    <cellStyle name="Comma 3 2 3 3 6 5 2" xfId="15611" xr:uid="{6CBF9A9E-BD58-42BA-9110-E9FC1EEB2266}"/>
    <cellStyle name="Comma 3 2 3 3 6 5 2 2" xfId="52119" xr:uid="{A111AAE7-67ED-42C5-BBE6-3C94CF438107}"/>
    <cellStyle name="Comma 3 2 3 3 6 5 2 3" xfId="33865" xr:uid="{B5EDAE12-B286-4945-972A-FEF6688E4B3E}"/>
    <cellStyle name="Comma 3 2 3 3 6 5 3" xfId="11961" xr:uid="{A4DC6D08-B59E-41B7-A83A-EE78293E70E3}"/>
    <cellStyle name="Comma 3 2 3 3 6 5 3 2" xfId="48469" xr:uid="{89AABD0A-F3B5-4F67-B21B-B6C18077DA86}"/>
    <cellStyle name="Comma 3 2 3 3 6 5 3 3" xfId="30215" xr:uid="{E8626706-F366-40AD-932F-7B821D489BD2}"/>
    <cellStyle name="Comma 3 2 3 3 6 5 4" xfId="8311" xr:uid="{8EB47E9E-C53F-4CF2-B478-B9BB4AFBCF18}"/>
    <cellStyle name="Comma 3 2 3 3 6 5 4 2" xfId="44819" xr:uid="{D3F629A7-E92F-4809-83A9-E019F1C97B83}"/>
    <cellStyle name="Comma 3 2 3 3 6 5 4 3" xfId="26565" xr:uid="{29A4C958-7637-44D8-B88C-A58BE61235B8}"/>
    <cellStyle name="Comma 3 2 3 3 6 5 5" xfId="4661" xr:uid="{B3DDB6DB-213A-4877-880E-FA90DA39A265}"/>
    <cellStyle name="Comma 3 2 3 3 6 5 5 2" xfId="41169" xr:uid="{3CA00D1E-A8CA-4CBB-BFF3-9089A4879436}"/>
    <cellStyle name="Comma 3 2 3 3 6 5 5 3" xfId="22915" xr:uid="{21C2CF41-8502-4DB1-9C7C-924DD4AFE097}"/>
    <cellStyle name="Comma 3 2 3 3 6 5 6" xfId="37519" xr:uid="{DE5ECEDB-0804-4563-A38F-97CADE9379AE}"/>
    <cellStyle name="Comma 3 2 3 3 6 5 7" xfId="19265" xr:uid="{71C6D4EB-723F-4D90-98EC-1DAA87AD06D1}"/>
    <cellStyle name="Comma 3 2 3 3 6 6" xfId="14881" xr:uid="{612ECF7B-0AC0-47F2-9653-A86C6FF58EC8}"/>
    <cellStyle name="Comma 3 2 3 3 6 6 2" xfId="51389" xr:uid="{2307BFB3-CECD-42E1-9CA5-7F88DA19022B}"/>
    <cellStyle name="Comma 3 2 3 3 6 6 3" xfId="33135" xr:uid="{C1F06783-47EC-4CE2-BFD5-9B1A34C5BC72}"/>
    <cellStyle name="Comma 3 2 3 3 6 7" xfId="11231" xr:uid="{5C635EE2-8975-4102-AFCB-FA41895B02F6}"/>
    <cellStyle name="Comma 3 2 3 3 6 7 2" xfId="47739" xr:uid="{13DEC201-0FD7-4D17-9B2E-819D36C656A0}"/>
    <cellStyle name="Comma 3 2 3 3 6 7 3" xfId="29485" xr:uid="{066BE620-69A6-4A45-86C6-F949534C759A}"/>
    <cellStyle name="Comma 3 2 3 3 6 8" xfId="7581" xr:uid="{7A576B13-159C-4752-AFB5-6DA30DA08A61}"/>
    <cellStyle name="Comma 3 2 3 3 6 8 2" xfId="44089" xr:uid="{66B68062-1883-4162-8744-59F0FE7E31E8}"/>
    <cellStyle name="Comma 3 2 3 3 6 8 3" xfId="25835" xr:uid="{347EDA3D-CCDB-42BC-93EE-B28844992411}"/>
    <cellStyle name="Comma 3 2 3 3 6 9" xfId="3931" xr:uid="{47E25A8E-5EE6-4EC6-9024-777880F25B8F}"/>
    <cellStyle name="Comma 3 2 3 3 6 9 2" xfId="40439" xr:uid="{03C398E2-8E67-4DCB-B3F4-5E9C5C433396}"/>
    <cellStyle name="Comma 3 2 3 3 6 9 3" xfId="22185" xr:uid="{3B67723A-AC2A-4E1B-A60B-08BB4CCC6681}"/>
    <cellStyle name="Comma 3 2 3 3 7" xfId="177" xr:uid="{06A4882F-DA72-4639-856C-1F9036F41F01}"/>
    <cellStyle name="Comma 3 2 3 3 7 10" xfId="36685" xr:uid="{5F874D62-3A85-4D7E-8B78-E3481C69B1FC}"/>
    <cellStyle name="Comma 3 2 3 3 7 11" xfId="18431" xr:uid="{A1951150-136E-4731-BF54-2DEC73639665}"/>
    <cellStyle name="Comma 3 2 3 3 7 2" xfId="3097" xr:uid="{0FD0F064-AA17-4563-8049-6935D0198E34}"/>
    <cellStyle name="Comma 3 2 3 3 7 2 2" xfId="17697" xr:uid="{7EFDCE0B-90F3-4C39-9ED6-7220A0348F60}"/>
    <cellStyle name="Comma 3 2 3 3 7 2 2 2" xfId="54205" xr:uid="{96B0EB23-470A-4D3A-8D41-53AB9F5C359D}"/>
    <cellStyle name="Comma 3 2 3 3 7 2 2 3" xfId="35951" xr:uid="{D2ABAD91-F155-4947-A15A-DAF2F07B2007}"/>
    <cellStyle name="Comma 3 2 3 3 7 2 3" xfId="14047" xr:uid="{48DEE531-C133-4B0E-B0A7-28D0A75BAAE1}"/>
    <cellStyle name="Comma 3 2 3 3 7 2 3 2" xfId="50555" xr:uid="{319720E8-B5A3-44E9-9682-23F012CB55C6}"/>
    <cellStyle name="Comma 3 2 3 3 7 2 3 3" xfId="32301" xr:uid="{1BC85272-C0D4-4BE0-B0D5-262CFE0B9159}"/>
    <cellStyle name="Comma 3 2 3 3 7 2 4" xfId="10397" xr:uid="{F17F0BE9-4951-4687-94BA-909B72D15792}"/>
    <cellStyle name="Comma 3 2 3 3 7 2 4 2" xfId="46905" xr:uid="{04F751C7-87CB-42E6-8E79-137335AFA906}"/>
    <cellStyle name="Comma 3 2 3 3 7 2 4 3" xfId="28651" xr:uid="{62CD3D84-B214-4481-8141-B113597404C4}"/>
    <cellStyle name="Comma 3 2 3 3 7 2 5" xfId="6747" xr:uid="{DB97869F-C38D-4610-9B52-BE92185EB47F}"/>
    <cellStyle name="Comma 3 2 3 3 7 2 5 2" xfId="43255" xr:uid="{7991BB46-3860-4F9B-A533-90B086081745}"/>
    <cellStyle name="Comma 3 2 3 3 7 2 5 3" xfId="25001" xr:uid="{6CF80D48-A65A-43CE-B521-C5D6C09CA55E}"/>
    <cellStyle name="Comma 3 2 3 3 7 2 6" xfId="39605" xr:uid="{FFA5DF43-CF5E-43F7-8FC7-4D19CFE43952}"/>
    <cellStyle name="Comma 3 2 3 3 7 2 7" xfId="21351" xr:uid="{C00450C2-FA16-4C31-8019-7C8FBFAECF49}"/>
    <cellStyle name="Comma 3 2 3 3 7 3" xfId="2367" xr:uid="{5AF73676-AF92-4205-8F25-45D861A95C56}"/>
    <cellStyle name="Comma 3 2 3 3 7 3 2" xfId="16967" xr:uid="{9E52DC43-ADBF-4D64-9EB8-E1C08043D2BA}"/>
    <cellStyle name="Comma 3 2 3 3 7 3 2 2" xfId="53475" xr:uid="{2355A1C2-47CB-4897-A817-6FB133A1D808}"/>
    <cellStyle name="Comma 3 2 3 3 7 3 2 3" xfId="35221" xr:uid="{4DB0B880-CD4B-4B58-9242-A00B90AE5CB8}"/>
    <cellStyle name="Comma 3 2 3 3 7 3 3" xfId="13317" xr:uid="{8702E016-EE1C-42AB-B9D4-0139F9207AE3}"/>
    <cellStyle name="Comma 3 2 3 3 7 3 3 2" xfId="49825" xr:uid="{03553CCA-595E-4767-B3A8-F25B84B65ECB}"/>
    <cellStyle name="Comma 3 2 3 3 7 3 3 3" xfId="31571" xr:uid="{67881A1B-E0DF-4E38-8EA0-A58CF5B65D59}"/>
    <cellStyle name="Comma 3 2 3 3 7 3 4" xfId="9667" xr:uid="{5D575CF6-2C47-482F-A1E1-2AED76F7C924}"/>
    <cellStyle name="Comma 3 2 3 3 7 3 4 2" xfId="46175" xr:uid="{601FF9D6-EC1E-4384-8B77-4304FA9E6EE9}"/>
    <cellStyle name="Comma 3 2 3 3 7 3 4 3" xfId="27921" xr:uid="{9D6A43FC-50B3-4945-8EAC-719CD3E50E56}"/>
    <cellStyle name="Comma 3 2 3 3 7 3 5" xfId="6017" xr:uid="{CB5B95F5-42D7-41EA-823C-36799C567FCF}"/>
    <cellStyle name="Comma 3 2 3 3 7 3 5 2" xfId="42525" xr:uid="{C64F5B6F-01F5-47E4-9C7D-92B05BE4D03F}"/>
    <cellStyle name="Comma 3 2 3 3 7 3 5 3" xfId="24271" xr:uid="{36AD5A5E-93F7-43A2-8230-1FD9494F76F0}"/>
    <cellStyle name="Comma 3 2 3 3 7 3 6" xfId="38875" xr:uid="{ACBE9C81-2C50-412D-8E9C-990F231800FF}"/>
    <cellStyle name="Comma 3 2 3 3 7 3 7" xfId="20621" xr:uid="{31F95872-36DD-4C8A-8F30-D77D2B517045}"/>
    <cellStyle name="Comma 3 2 3 3 7 4" xfId="1637" xr:uid="{4DC2AABC-67E7-4FA9-B8C3-0509BC847C6B}"/>
    <cellStyle name="Comma 3 2 3 3 7 4 2" xfId="16237" xr:uid="{FA35C413-1B93-46CF-9D96-9DD09861DD69}"/>
    <cellStyle name="Comma 3 2 3 3 7 4 2 2" xfId="52745" xr:uid="{484E9F1D-DA1F-490F-9F70-6672D0DAA45D}"/>
    <cellStyle name="Comma 3 2 3 3 7 4 2 3" xfId="34491" xr:uid="{EDB86E45-98FA-4366-BCE7-37AF0CE343FD}"/>
    <cellStyle name="Comma 3 2 3 3 7 4 3" xfId="12587" xr:uid="{700D0644-662C-4F72-B945-EB9BCCA367CD}"/>
    <cellStyle name="Comma 3 2 3 3 7 4 3 2" xfId="49095" xr:uid="{ACB93F37-4C48-4D31-B048-806F8C85DD76}"/>
    <cellStyle name="Comma 3 2 3 3 7 4 3 3" xfId="30841" xr:uid="{7BA7A5D5-3093-47D4-8468-9DCFA42B96C3}"/>
    <cellStyle name="Comma 3 2 3 3 7 4 4" xfId="8937" xr:uid="{DAC44625-C3FD-41BA-BB66-DB1E977CE928}"/>
    <cellStyle name="Comma 3 2 3 3 7 4 4 2" xfId="45445" xr:uid="{6D2165E5-C44D-45CE-9D4B-BCC8B808B05E}"/>
    <cellStyle name="Comma 3 2 3 3 7 4 4 3" xfId="27191" xr:uid="{2BC66AEF-25E6-4D99-A08E-630E8765A33E}"/>
    <cellStyle name="Comma 3 2 3 3 7 4 5" xfId="5287" xr:uid="{3EA05C99-4417-41A3-A9BF-83DAA9529C54}"/>
    <cellStyle name="Comma 3 2 3 3 7 4 5 2" xfId="41795" xr:uid="{D4EBAABF-BF8C-454D-8BA2-1064927B8948}"/>
    <cellStyle name="Comma 3 2 3 3 7 4 5 3" xfId="23541" xr:uid="{C994B19D-A304-4DC2-816C-67704F01F660}"/>
    <cellStyle name="Comma 3 2 3 3 7 4 6" xfId="38145" xr:uid="{C17BAD7F-D4A5-49ED-9958-333C01FFF762}"/>
    <cellStyle name="Comma 3 2 3 3 7 4 7" xfId="19891" xr:uid="{7681F6F1-7490-44BF-8244-906C39DDF832}"/>
    <cellStyle name="Comma 3 2 3 3 7 5" xfId="907" xr:uid="{D881239E-31DE-49AF-97C7-13ED51FB4696}"/>
    <cellStyle name="Comma 3 2 3 3 7 5 2" xfId="15507" xr:uid="{EF0AB202-89D9-49E0-9A84-C93794C6324B}"/>
    <cellStyle name="Comma 3 2 3 3 7 5 2 2" xfId="52015" xr:uid="{BDCF20FA-613B-4045-AD27-4681106D6542}"/>
    <cellStyle name="Comma 3 2 3 3 7 5 2 3" xfId="33761" xr:uid="{6F59A40E-F6C5-4F8F-B73A-2EF2A259A117}"/>
    <cellStyle name="Comma 3 2 3 3 7 5 3" xfId="11857" xr:uid="{D15505E9-02A3-406F-9186-DFDDC2693A63}"/>
    <cellStyle name="Comma 3 2 3 3 7 5 3 2" xfId="48365" xr:uid="{5C71A005-014A-437F-8B69-3968E838C1FD}"/>
    <cellStyle name="Comma 3 2 3 3 7 5 3 3" xfId="30111" xr:uid="{200FF35B-D591-4DB2-BD3C-E0287FED264E}"/>
    <cellStyle name="Comma 3 2 3 3 7 5 4" xfId="8207" xr:uid="{53A81FA0-04D4-4F74-BB77-1B627E147C1D}"/>
    <cellStyle name="Comma 3 2 3 3 7 5 4 2" xfId="44715" xr:uid="{6E20A29C-D8A6-45AD-9285-4C63562CE376}"/>
    <cellStyle name="Comma 3 2 3 3 7 5 4 3" xfId="26461" xr:uid="{2065E4B7-6433-40E0-A39E-5706EA537A6F}"/>
    <cellStyle name="Comma 3 2 3 3 7 5 5" xfId="4557" xr:uid="{53025EEF-5F5F-42D7-971C-8C3B757B1DD5}"/>
    <cellStyle name="Comma 3 2 3 3 7 5 5 2" xfId="41065" xr:uid="{F24B7DB9-885C-4408-8FAC-E3E6316835BD}"/>
    <cellStyle name="Comma 3 2 3 3 7 5 5 3" xfId="22811" xr:uid="{EB0CEB06-2788-4AE9-9930-65ED79380FFA}"/>
    <cellStyle name="Comma 3 2 3 3 7 5 6" xfId="37415" xr:uid="{849B86AD-62A1-4D73-A11A-086E311A8D15}"/>
    <cellStyle name="Comma 3 2 3 3 7 5 7" xfId="19161" xr:uid="{3151E13E-AE3B-43DA-8B05-6D75E0C0D9D8}"/>
    <cellStyle name="Comma 3 2 3 3 7 6" xfId="14777" xr:uid="{1FA18066-3DFF-4A3B-9F2F-6FCB476AE321}"/>
    <cellStyle name="Comma 3 2 3 3 7 6 2" xfId="51285" xr:uid="{0F8DA320-177E-434D-80E7-6B87CE86CA46}"/>
    <cellStyle name="Comma 3 2 3 3 7 6 3" xfId="33031" xr:uid="{95FC26A2-5556-4B94-99FB-60A0A4059635}"/>
    <cellStyle name="Comma 3 2 3 3 7 7" xfId="11127" xr:uid="{6641FCE8-BC6E-4785-B54C-3C856C130F72}"/>
    <cellStyle name="Comma 3 2 3 3 7 7 2" xfId="47635" xr:uid="{D6CA5AC5-852F-4D19-A1DA-76F2632E92CC}"/>
    <cellStyle name="Comma 3 2 3 3 7 7 3" xfId="29381" xr:uid="{E1A5FA2D-2469-41B9-B42F-5EAE302AC1B2}"/>
    <cellStyle name="Comma 3 2 3 3 7 8" xfId="7477" xr:uid="{12A7D703-8E8A-47C6-A4C6-8AF960CDD209}"/>
    <cellStyle name="Comma 3 2 3 3 7 8 2" xfId="43985" xr:uid="{5EFD966B-AD2B-42CD-9883-2595DE6AC254}"/>
    <cellStyle name="Comma 3 2 3 3 7 8 3" xfId="25731" xr:uid="{DD4BCC19-46C2-4D2B-93E0-17A3CA5AE9E1}"/>
    <cellStyle name="Comma 3 2 3 3 7 9" xfId="3827" xr:uid="{3F0C1A29-B3E6-4EF8-A8CB-3EE836320CF4}"/>
    <cellStyle name="Comma 3 2 3 3 7 9 2" xfId="40335" xr:uid="{8B5E0BDD-1813-4804-B55F-FCA13F6922EB}"/>
    <cellStyle name="Comma 3 2 3 3 7 9 3" xfId="22081" xr:uid="{FF99966E-B4B2-41F4-B9AE-731C06ED624C}"/>
    <cellStyle name="Comma 3 2 3 3 8" xfId="2993" xr:uid="{D3DB1110-C51F-4F63-96DB-0F20C7CDD652}"/>
    <cellStyle name="Comma 3 2 3 3 8 2" xfId="17593" xr:uid="{A2397C5C-A3A7-4370-99BB-4276BF383559}"/>
    <cellStyle name="Comma 3 2 3 3 8 2 2" xfId="54101" xr:uid="{456DAC49-12A9-48CE-98C6-5D22A38C47F5}"/>
    <cellStyle name="Comma 3 2 3 3 8 2 3" xfId="35847" xr:uid="{42911444-F65D-4ACC-8241-0B85433FBEE9}"/>
    <cellStyle name="Comma 3 2 3 3 8 3" xfId="13943" xr:uid="{21FA4363-11D8-4033-928F-E865BAF32FB9}"/>
    <cellStyle name="Comma 3 2 3 3 8 3 2" xfId="50451" xr:uid="{4001CE39-D797-4D0F-BC55-B808CCA5AB7E}"/>
    <cellStyle name="Comma 3 2 3 3 8 3 3" xfId="32197" xr:uid="{31410FB3-0157-4C3C-BBB6-C8EE7EFCAB51}"/>
    <cellStyle name="Comma 3 2 3 3 8 4" xfId="10293" xr:uid="{D2D85361-AD4A-42EB-9AF4-CA7C07E68B7B}"/>
    <cellStyle name="Comma 3 2 3 3 8 4 2" xfId="46801" xr:uid="{EDC50CA1-3D81-43E4-8420-57B97576ED58}"/>
    <cellStyle name="Comma 3 2 3 3 8 4 3" xfId="28547" xr:uid="{4F1A7D02-FF65-41EE-BBE4-FC2FAD4DF5EF}"/>
    <cellStyle name="Comma 3 2 3 3 8 5" xfId="6643" xr:uid="{9D8145F2-13A9-4CD0-978A-47563B79023F}"/>
    <cellStyle name="Comma 3 2 3 3 8 5 2" xfId="43151" xr:uid="{C060C9D1-8316-4AF1-A082-4B129641E757}"/>
    <cellStyle name="Comma 3 2 3 3 8 5 3" xfId="24897" xr:uid="{079E905E-2EE0-4BA1-AB98-4E03FCE6CCE0}"/>
    <cellStyle name="Comma 3 2 3 3 8 6" xfId="39501" xr:uid="{E5EA4862-52DD-4367-8958-8941F117DE44}"/>
    <cellStyle name="Comma 3 2 3 3 8 7" xfId="21247" xr:uid="{8478634A-BFBE-4248-9182-A58E5314E53E}"/>
    <cellStyle name="Comma 3 2 3 3 9" xfId="2263" xr:uid="{C8AAC9F4-DC05-4F68-8DC1-337A2755628C}"/>
    <cellStyle name="Comma 3 2 3 3 9 2" xfId="16863" xr:uid="{28572D72-ACDE-46AF-8905-06FD61B280C5}"/>
    <cellStyle name="Comma 3 2 3 3 9 2 2" xfId="53371" xr:uid="{5B338AB4-7F76-49A0-91FC-FC2E5CA797F2}"/>
    <cellStyle name="Comma 3 2 3 3 9 2 3" xfId="35117" xr:uid="{70A56E60-8F19-4747-98C4-9085F7EEE14A}"/>
    <cellStyle name="Comma 3 2 3 3 9 3" xfId="13213" xr:uid="{1C1F1594-94A8-49B3-ACA8-30CA6F03D08E}"/>
    <cellStyle name="Comma 3 2 3 3 9 3 2" xfId="49721" xr:uid="{F26CD4FF-321B-4329-A8FF-AE367D702FE5}"/>
    <cellStyle name="Comma 3 2 3 3 9 3 3" xfId="31467" xr:uid="{1140B67B-E9BF-44FF-9A95-69AB2950CD9A}"/>
    <cellStyle name="Comma 3 2 3 3 9 4" xfId="9563" xr:uid="{1074D39B-5592-4359-82F7-D04455F17074}"/>
    <cellStyle name="Comma 3 2 3 3 9 4 2" xfId="46071" xr:uid="{192F6BD5-5F06-4308-BB3C-41FBD552FD69}"/>
    <cellStyle name="Comma 3 2 3 3 9 4 3" xfId="27817" xr:uid="{07294E56-4AF2-4003-B9D2-4D87EAE392D4}"/>
    <cellStyle name="Comma 3 2 3 3 9 5" xfId="5913" xr:uid="{E5EAAB5F-2158-42DB-8602-846BA18EF394}"/>
    <cellStyle name="Comma 3 2 3 3 9 5 2" xfId="42421" xr:uid="{D98D931A-3375-4761-BD97-79C3250EF50C}"/>
    <cellStyle name="Comma 3 2 3 3 9 5 3" xfId="24167" xr:uid="{92754983-D493-418C-B3D1-B2E927C63BEA}"/>
    <cellStyle name="Comma 3 2 3 3 9 6" xfId="38771" xr:uid="{95B36901-1AA5-4E18-BA7C-26DE316A52F0}"/>
    <cellStyle name="Comma 3 2 3 3 9 7" xfId="20517" xr:uid="{F2989479-1E9B-40DE-914D-822914451CD4}"/>
    <cellStyle name="Comma 3 2 3 4" xfId="665" xr:uid="{2F7B913B-5D6B-45F1-9F82-E349B1AFFC30}"/>
    <cellStyle name="Comma 3 2 3 4 10" xfId="37173" xr:uid="{7FD85F30-6B13-4624-9724-40D8BC202EE3}"/>
    <cellStyle name="Comma 3 2 3 4 11" xfId="18919" xr:uid="{12F51C9F-2A6E-4A13-A3BE-21A8CDFF1699}"/>
    <cellStyle name="Comma 3 2 3 4 2" xfId="3585" xr:uid="{E5BF4B53-8283-4EBD-B9BB-13835A4E8B6C}"/>
    <cellStyle name="Comma 3 2 3 4 2 2" xfId="18185" xr:uid="{C0B27403-816A-449C-BCBB-ACB47226A0D8}"/>
    <cellStyle name="Comma 3 2 3 4 2 2 2" xfId="54693" xr:uid="{4FBC6C9A-072D-41A1-B046-20A64AF1D530}"/>
    <cellStyle name="Comma 3 2 3 4 2 2 3" xfId="36439" xr:uid="{BE3FB499-2678-4572-AAB1-8B2310FF1BE8}"/>
    <cellStyle name="Comma 3 2 3 4 2 3" xfId="14535" xr:uid="{619C1184-0AF8-4C24-821F-2CCE8CD7C5D0}"/>
    <cellStyle name="Comma 3 2 3 4 2 3 2" xfId="51043" xr:uid="{9CCED666-3E83-43AD-80F3-C6106870C2CB}"/>
    <cellStyle name="Comma 3 2 3 4 2 3 3" xfId="32789" xr:uid="{EEAD8AEE-63CC-4CB5-968E-919560438956}"/>
    <cellStyle name="Comma 3 2 3 4 2 4" xfId="10885" xr:uid="{9B9C112C-B99A-4F2F-A540-DA840392613B}"/>
    <cellStyle name="Comma 3 2 3 4 2 4 2" xfId="47393" xr:uid="{9E7E2CBA-DEDE-4D5F-A821-B84649B96CD5}"/>
    <cellStyle name="Comma 3 2 3 4 2 4 3" xfId="29139" xr:uid="{01FF33A8-A6BF-4BB9-9C70-2E51AC536E93}"/>
    <cellStyle name="Comma 3 2 3 4 2 5" xfId="7235" xr:uid="{39687CCB-E7EF-4ED9-862C-91E5F5629194}"/>
    <cellStyle name="Comma 3 2 3 4 2 5 2" xfId="43743" xr:uid="{26FEAF57-6A3E-4D5A-BD7B-E7965A97B162}"/>
    <cellStyle name="Comma 3 2 3 4 2 5 3" xfId="25489" xr:uid="{EBC8D7E6-F3F6-4783-9825-369D00A4C5EA}"/>
    <cellStyle name="Comma 3 2 3 4 2 6" xfId="40093" xr:uid="{E035135D-B5D6-4BC8-995A-ED3758A43B44}"/>
    <cellStyle name="Comma 3 2 3 4 2 7" xfId="21839" xr:uid="{1F9E7076-60CE-46BF-8DBE-34F08DA9D807}"/>
    <cellStyle name="Comma 3 2 3 4 3" xfId="2855" xr:uid="{54619F00-2541-47F6-BFBF-BB204C93498B}"/>
    <cellStyle name="Comma 3 2 3 4 3 2" xfId="17455" xr:uid="{2F0ECD26-C34D-401C-B8CC-285E0F15472E}"/>
    <cellStyle name="Comma 3 2 3 4 3 2 2" xfId="53963" xr:uid="{05F794F9-BE00-44DD-BBF3-9B1039AC7247}"/>
    <cellStyle name="Comma 3 2 3 4 3 2 3" xfId="35709" xr:uid="{C12AA21B-4BD2-4262-8C0B-04783321825C}"/>
    <cellStyle name="Comma 3 2 3 4 3 3" xfId="13805" xr:uid="{1618A458-81E4-4D72-B5DD-EB4A899608DA}"/>
    <cellStyle name="Comma 3 2 3 4 3 3 2" xfId="50313" xr:uid="{BB0F2494-9499-4FE7-AD8D-CA0D406B5ED9}"/>
    <cellStyle name="Comma 3 2 3 4 3 3 3" xfId="32059" xr:uid="{A3663912-846D-4877-9E00-94CAAA44D4AF}"/>
    <cellStyle name="Comma 3 2 3 4 3 4" xfId="10155" xr:uid="{DA13758B-47E7-44EC-91DA-59F0DA5185A7}"/>
    <cellStyle name="Comma 3 2 3 4 3 4 2" xfId="46663" xr:uid="{26B9E23C-0CBD-43C8-81FF-C0F088480000}"/>
    <cellStyle name="Comma 3 2 3 4 3 4 3" xfId="28409" xr:uid="{66F95B41-40F5-4111-A4CD-65A88798A2F3}"/>
    <cellStyle name="Comma 3 2 3 4 3 5" xfId="6505" xr:uid="{AE6F091D-E86B-4A53-8555-C7E1B753DEE8}"/>
    <cellStyle name="Comma 3 2 3 4 3 5 2" xfId="43013" xr:uid="{FFE7C8F0-E7D9-440A-BF58-1FA528E5FCD9}"/>
    <cellStyle name="Comma 3 2 3 4 3 5 3" xfId="24759" xr:uid="{BC8471E1-F86A-401D-8245-EE75FFA5198E}"/>
    <cellStyle name="Comma 3 2 3 4 3 6" xfId="39363" xr:uid="{E3C8FE79-562E-4018-8010-5F6E1DA63369}"/>
    <cellStyle name="Comma 3 2 3 4 3 7" xfId="21109" xr:uid="{4318BAD4-1238-4BD9-B94C-0486F4BFBB04}"/>
    <cellStyle name="Comma 3 2 3 4 4" xfId="2125" xr:uid="{789FE764-6F6A-4994-9B72-5533DFFD0EE2}"/>
    <cellStyle name="Comma 3 2 3 4 4 2" xfId="16725" xr:uid="{5CCC3C2C-6E75-4E7B-94D6-564F0F6553ED}"/>
    <cellStyle name="Comma 3 2 3 4 4 2 2" xfId="53233" xr:uid="{50E56E1A-0C2E-4A25-BE4D-356DB91B73CF}"/>
    <cellStyle name="Comma 3 2 3 4 4 2 3" xfId="34979" xr:uid="{CE761993-EE51-4AEE-A97F-56A365BF50CA}"/>
    <cellStyle name="Comma 3 2 3 4 4 3" xfId="13075" xr:uid="{5122C6D7-31F6-446D-A3F6-042DE4C4AE4B}"/>
    <cellStyle name="Comma 3 2 3 4 4 3 2" xfId="49583" xr:uid="{4560BBBA-AFAC-4C08-B1FD-CE2CD2CD14BB}"/>
    <cellStyle name="Comma 3 2 3 4 4 3 3" xfId="31329" xr:uid="{25C4ED57-5E9C-4E18-88D9-0219DB2C3B13}"/>
    <cellStyle name="Comma 3 2 3 4 4 4" xfId="9425" xr:uid="{0710F1FE-8494-47B2-8069-83483CFE8FF0}"/>
    <cellStyle name="Comma 3 2 3 4 4 4 2" xfId="45933" xr:uid="{62FF8232-FFEF-4AC6-AAD7-E0A99CFC3CA1}"/>
    <cellStyle name="Comma 3 2 3 4 4 4 3" xfId="27679" xr:uid="{F67C5995-0E8C-4D68-A549-EADC75CCC3A9}"/>
    <cellStyle name="Comma 3 2 3 4 4 5" xfId="5775" xr:uid="{12F9552B-1890-4342-9247-BABAB7AE7F00}"/>
    <cellStyle name="Comma 3 2 3 4 4 5 2" xfId="42283" xr:uid="{94E74931-0628-4CED-B186-DF89A0E56A0C}"/>
    <cellStyle name="Comma 3 2 3 4 4 5 3" xfId="24029" xr:uid="{574BBCFB-EDB9-4078-8172-DFD43EA329C5}"/>
    <cellStyle name="Comma 3 2 3 4 4 6" xfId="38633" xr:uid="{B8CD9E64-85C6-41C2-B73C-7B8272246ACE}"/>
    <cellStyle name="Comma 3 2 3 4 4 7" xfId="20379" xr:uid="{53FB04C5-AB16-4C5F-948D-71E62EFF24BA}"/>
    <cellStyle name="Comma 3 2 3 4 5" xfId="1395" xr:uid="{1927F720-92C6-4D3E-B656-1074B0741ADD}"/>
    <cellStyle name="Comma 3 2 3 4 5 2" xfId="15995" xr:uid="{80C00037-DA68-4013-BEF8-F8A639E086F0}"/>
    <cellStyle name="Comma 3 2 3 4 5 2 2" xfId="52503" xr:uid="{A2D89B9D-2749-49FE-AF49-8806159DFCE3}"/>
    <cellStyle name="Comma 3 2 3 4 5 2 3" xfId="34249" xr:uid="{6F842655-813B-4F23-AAD6-48C1707FE5F1}"/>
    <cellStyle name="Comma 3 2 3 4 5 3" xfId="12345" xr:uid="{D93012A0-CABD-4EE7-962A-D2D4CE0C0B0E}"/>
    <cellStyle name="Comma 3 2 3 4 5 3 2" xfId="48853" xr:uid="{15592334-73D3-4C9E-8531-73732B4753D1}"/>
    <cellStyle name="Comma 3 2 3 4 5 3 3" xfId="30599" xr:uid="{1D82FC63-D1F4-4CE4-947F-F47D4E67EDB7}"/>
    <cellStyle name="Comma 3 2 3 4 5 4" xfId="8695" xr:uid="{45696B13-74E3-4FF6-BFFF-69EA7C3F6AC1}"/>
    <cellStyle name="Comma 3 2 3 4 5 4 2" xfId="45203" xr:uid="{C40F60E8-4E74-4CC0-907A-1608898C8C51}"/>
    <cellStyle name="Comma 3 2 3 4 5 4 3" xfId="26949" xr:uid="{8C3ED985-83E7-4418-B7E2-23D5B29890A8}"/>
    <cellStyle name="Comma 3 2 3 4 5 5" xfId="5045" xr:uid="{288E79EA-B9B3-459B-8F40-84A498365F67}"/>
    <cellStyle name="Comma 3 2 3 4 5 5 2" xfId="41553" xr:uid="{51C26760-2F82-4C98-862E-9272F863B54F}"/>
    <cellStyle name="Comma 3 2 3 4 5 5 3" xfId="23299" xr:uid="{29E9AB42-B91A-4E51-8127-B99F3AD645B4}"/>
    <cellStyle name="Comma 3 2 3 4 5 6" xfId="37903" xr:uid="{7BB388DC-0F31-4257-A485-B1AEA624AB41}"/>
    <cellStyle name="Comma 3 2 3 4 5 7" xfId="19649" xr:uid="{95AEA159-2D7E-40D5-ABDF-0D2BB6688409}"/>
    <cellStyle name="Comma 3 2 3 4 6" xfId="15265" xr:uid="{BF09E6C4-4A9B-4E38-8DA2-7E20BA2452BA}"/>
    <cellStyle name="Comma 3 2 3 4 6 2" xfId="51773" xr:uid="{7834FDF5-13EA-4B18-8502-5AE56699B89B}"/>
    <cellStyle name="Comma 3 2 3 4 6 3" xfId="33519" xr:uid="{0BA9E2ED-9FB2-4B86-BA17-240E92156944}"/>
    <cellStyle name="Comma 3 2 3 4 7" xfId="11615" xr:uid="{CC413A63-269B-4066-B926-E05B6B5A2064}"/>
    <cellStyle name="Comma 3 2 3 4 7 2" xfId="48123" xr:uid="{CBE36A2E-D9C7-4195-A2C8-0A88FF7CF082}"/>
    <cellStyle name="Comma 3 2 3 4 7 3" xfId="29869" xr:uid="{D6975FB4-00B4-440F-9F52-66FE9C510192}"/>
    <cellStyle name="Comma 3 2 3 4 8" xfId="7965" xr:uid="{5F2AFF10-2612-4FD6-91B8-91B16248C24C}"/>
    <cellStyle name="Comma 3 2 3 4 8 2" xfId="44473" xr:uid="{10D39FC2-9F21-412C-9A84-E4501BB8905D}"/>
    <cellStyle name="Comma 3 2 3 4 8 3" xfId="26219" xr:uid="{63DFE406-75BA-4439-85F4-7E54CE1E3954}"/>
    <cellStyle name="Comma 3 2 3 4 9" xfId="4315" xr:uid="{9D2EAC6E-F69A-4D28-8C2C-09DDE69579A3}"/>
    <cellStyle name="Comma 3 2 3 4 9 2" xfId="40823" xr:uid="{F75958D6-C0B2-4AD8-9CC1-13260BBED488}"/>
    <cellStyle name="Comma 3 2 3 4 9 3" xfId="22569" xr:uid="{F0C55135-F894-441D-8733-22C1A06B599F}"/>
    <cellStyle name="Comma 3 2 3 5" xfId="561" xr:uid="{2095C159-C49E-4619-A2C1-C3DAFE23A64E}"/>
    <cellStyle name="Comma 3 2 3 5 10" xfId="37069" xr:uid="{E80E50C9-A113-474E-BF7A-91B4A5BCF7A6}"/>
    <cellStyle name="Comma 3 2 3 5 11" xfId="18815" xr:uid="{7D196715-AEB5-4D29-BE34-DC28B9183560}"/>
    <cellStyle name="Comma 3 2 3 5 2" xfId="3481" xr:uid="{2B857B31-D41F-4B82-BDF1-8A911A5E2761}"/>
    <cellStyle name="Comma 3 2 3 5 2 2" xfId="18081" xr:uid="{BB10C6ED-31B0-400C-83F8-B837437B041C}"/>
    <cellStyle name="Comma 3 2 3 5 2 2 2" xfId="54589" xr:uid="{1DB33CC2-842F-45C7-9E5E-069F6AA34A45}"/>
    <cellStyle name="Comma 3 2 3 5 2 2 3" xfId="36335" xr:uid="{D1CCF0ED-98B6-4469-82DC-A2EBAAB76450}"/>
    <cellStyle name="Comma 3 2 3 5 2 3" xfId="14431" xr:uid="{D675F55A-89F3-4F87-9852-2BC3712EE403}"/>
    <cellStyle name="Comma 3 2 3 5 2 3 2" xfId="50939" xr:uid="{EB832B61-FB17-46A1-B7CC-80FFF0A8E38B}"/>
    <cellStyle name="Comma 3 2 3 5 2 3 3" xfId="32685" xr:uid="{6EF97C2D-5EAD-49DE-981D-C64219FC6901}"/>
    <cellStyle name="Comma 3 2 3 5 2 4" xfId="10781" xr:uid="{765431AF-CFCE-4842-8DDB-A5258DA00DE1}"/>
    <cellStyle name="Comma 3 2 3 5 2 4 2" xfId="47289" xr:uid="{E703DE4D-A8A5-4F57-9AC9-D57781AE5B5A}"/>
    <cellStyle name="Comma 3 2 3 5 2 4 3" xfId="29035" xr:uid="{DFF3B87B-40B9-4F75-9A71-E4E1EB001091}"/>
    <cellStyle name="Comma 3 2 3 5 2 5" xfId="7131" xr:uid="{7F73DC45-D660-49F3-8595-29F6B5BBF0C0}"/>
    <cellStyle name="Comma 3 2 3 5 2 5 2" xfId="43639" xr:uid="{9D89A10D-9302-466C-B4EF-40BFB0CFC52E}"/>
    <cellStyle name="Comma 3 2 3 5 2 5 3" xfId="25385" xr:uid="{813B6F17-2561-4397-B3E7-F1F2C6CD60DE}"/>
    <cellStyle name="Comma 3 2 3 5 2 6" xfId="39989" xr:uid="{A12B6292-0DDC-4CFA-8C20-033A4D51395F}"/>
    <cellStyle name="Comma 3 2 3 5 2 7" xfId="21735" xr:uid="{CB376BF2-3513-4FB8-8A84-F09D9EA4A6CA}"/>
    <cellStyle name="Comma 3 2 3 5 3" xfId="2751" xr:uid="{744B1134-088C-4A6C-B253-825325556934}"/>
    <cellStyle name="Comma 3 2 3 5 3 2" xfId="17351" xr:uid="{813CE062-0B38-4E6C-8F5F-B797BE1A2BAA}"/>
    <cellStyle name="Comma 3 2 3 5 3 2 2" xfId="53859" xr:uid="{DEF2255C-B933-49E4-97AC-B0734838FC73}"/>
    <cellStyle name="Comma 3 2 3 5 3 2 3" xfId="35605" xr:uid="{B25CD879-7E38-431C-B49B-1FCD046B1D13}"/>
    <cellStyle name="Comma 3 2 3 5 3 3" xfId="13701" xr:uid="{5F8284E2-75DE-4A76-990B-F9B7A042F38C}"/>
    <cellStyle name="Comma 3 2 3 5 3 3 2" xfId="50209" xr:uid="{43574F79-5B4E-4068-A0D1-81F7B2E065A2}"/>
    <cellStyle name="Comma 3 2 3 5 3 3 3" xfId="31955" xr:uid="{B1719341-A2A0-4356-9817-626A788EAE4E}"/>
    <cellStyle name="Comma 3 2 3 5 3 4" xfId="10051" xr:uid="{C5DF9E64-0453-49F1-94D9-EBF9AF368109}"/>
    <cellStyle name="Comma 3 2 3 5 3 4 2" xfId="46559" xr:uid="{17906523-9CEB-49CB-87D1-7877CCAD7056}"/>
    <cellStyle name="Comma 3 2 3 5 3 4 3" xfId="28305" xr:uid="{9C955634-9679-4BF4-A2AB-299D1751E40F}"/>
    <cellStyle name="Comma 3 2 3 5 3 5" xfId="6401" xr:uid="{60943B3A-785B-4A8D-A60B-BCABE876A022}"/>
    <cellStyle name="Comma 3 2 3 5 3 5 2" xfId="42909" xr:uid="{031CE5E4-387C-4C72-AE0F-C18F0F4E908B}"/>
    <cellStyle name="Comma 3 2 3 5 3 5 3" xfId="24655" xr:uid="{C8FE18E5-480C-48B9-B07B-D4E424821C17}"/>
    <cellStyle name="Comma 3 2 3 5 3 6" xfId="39259" xr:uid="{236E5710-425A-401B-B659-EC7F0B7E9D2B}"/>
    <cellStyle name="Comma 3 2 3 5 3 7" xfId="21005" xr:uid="{D401CEE7-3728-4904-9380-9839E0367858}"/>
    <cellStyle name="Comma 3 2 3 5 4" xfId="2021" xr:uid="{3DC6572D-65B0-4597-9FB7-2EE3CAA93E81}"/>
    <cellStyle name="Comma 3 2 3 5 4 2" xfId="16621" xr:uid="{CD9ADF37-9DDA-4280-BD6B-E87129D19DBF}"/>
    <cellStyle name="Comma 3 2 3 5 4 2 2" xfId="53129" xr:uid="{4FD98057-D7B1-43B7-B8F2-6ADFB3C334EE}"/>
    <cellStyle name="Comma 3 2 3 5 4 2 3" xfId="34875" xr:uid="{7349D08B-DF95-490E-A11C-E515149A3C0A}"/>
    <cellStyle name="Comma 3 2 3 5 4 3" xfId="12971" xr:uid="{57FB4968-6A21-4D04-AA38-DACB824B2CB6}"/>
    <cellStyle name="Comma 3 2 3 5 4 3 2" xfId="49479" xr:uid="{3CCB8B8E-E8CE-43B8-BCAF-4D2F36B3AAE4}"/>
    <cellStyle name="Comma 3 2 3 5 4 3 3" xfId="31225" xr:uid="{018664D6-FCD1-4C26-8FA7-1FEEC3F3A971}"/>
    <cellStyle name="Comma 3 2 3 5 4 4" xfId="9321" xr:uid="{22E74C5A-5FCC-432F-9EEC-CC2F24D6FE16}"/>
    <cellStyle name="Comma 3 2 3 5 4 4 2" xfId="45829" xr:uid="{4CCA4952-C00C-412D-93C1-E99E60586F82}"/>
    <cellStyle name="Comma 3 2 3 5 4 4 3" xfId="27575" xr:uid="{336F8856-D261-443C-8DEE-795246CFD594}"/>
    <cellStyle name="Comma 3 2 3 5 4 5" xfId="5671" xr:uid="{9B81211C-5CC1-4884-83F0-F4901E6B159B}"/>
    <cellStyle name="Comma 3 2 3 5 4 5 2" xfId="42179" xr:uid="{D218EAE1-8AEF-4B7E-A799-B5A20264DDDB}"/>
    <cellStyle name="Comma 3 2 3 5 4 5 3" xfId="23925" xr:uid="{E9BA1BD1-C579-4C19-B72B-3B68CEDCADCA}"/>
    <cellStyle name="Comma 3 2 3 5 4 6" xfId="38529" xr:uid="{FD8B98CC-2B2E-46F4-99C8-3FBA6013D1DC}"/>
    <cellStyle name="Comma 3 2 3 5 4 7" xfId="20275" xr:uid="{665E7FF1-258D-4FCF-9723-F5E8269A7D77}"/>
    <cellStyle name="Comma 3 2 3 5 5" xfId="1291" xr:uid="{83195497-AA75-4B9C-856A-1745CA9CE8F6}"/>
    <cellStyle name="Comma 3 2 3 5 5 2" xfId="15891" xr:uid="{BE0E9BEC-EED5-4E0B-9F37-F6811B6C63E0}"/>
    <cellStyle name="Comma 3 2 3 5 5 2 2" xfId="52399" xr:uid="{5C428122-8DD2-41B7-9359-1249CB1AB1EC}"/>
    <cellStyle name="Comma 3 2 3 5 5 2 3" xfId="34145" xr:uid="{66A0D00A-DAB0-4DE6-9625-93FAFCCF8477}"/>
    <cellStyle name="Comma 3 2 3 5 5 3" xfId="12241" xr:uid="{A148D1F9-B8B6-4251-8F90-C728D3A91396}"/>
    <cellStyle name="Comma 3 2 3 5 5 3 2" xfId="48749" xr:uid="{102B5F4A-5449-4EAF-A647-0C23E984BF7B}"/>
    <cellStyle name="Comma 3 2 3 5 5 3 3" xfId="30495" xr:uid="{75C7992E-632C-4E45-9DD8-18B4C58A755C}"/>
    <cellStyle name="Comma 3 2 3 5 5 4" xfId="8591" xr:uid="{74DE4FED-3FF8-4789-9D87-6F452D9A4608}"/>
    <cellStyle name="Comma 3 2 3 5 5 4 2" xfId="45099" xr:uid="{291C12E8-7922-4C2E-8B20-EAF5EEF564B5}"/>
    <cellStyle name="Comma 3 2 3 5 5 4 3" xfId="26845" xr:uid="{482562CB-D38C-4F00-ADB2-8C5F4F2C1A77}"/>
    <cellStyle name="Comma 3 2 3 5 5 5" xfId="4941" xr:uid="{1B064E51-141D-4D84-BB11-B0C29EC89D49}"/>
    <cellStyle name="Comma 3 2 3 5 5 5 2" xfId="41449" xr:uid="{0C3918B8-C733-4703-8929-FAAA893F5ED0}"/>
    <cellStyle name="Comma 3 2 3 5 5 5 3" xfId="23195" xr:uid="{E80EC09F-5D66-431D-91F4-CBEC6A4131D4}"/>
    <cellStyle name="Comma 3 2 3 5 5 6" xfId="37799" xr:uid="{39EBAC65-CFB2-4187-80A5-27EBD8AEE3AA}"/>
    <cellStyle name="Comma 3 2 3 5 5 7" xfId="19545" xr:uid="{33664D2A-D86D-4ACC-95D2-1811E7D936EE}"/>
    <cellStyle name="Comma 3 2 3 5 6" xfId="15161" xr:uid="{5438E577-8C91-4417-8971-1C993DF7CE4A}"/>
    <cellStyle name="Comma 3 2 3 5 6 2" xfId="51669" xr:uid="{680FDC73-103E-4ED8-9B80-FB2FCAF0FB18}"/>
    <cellStyle name="Comma 3 2 3 5 6 3" xfId="33415" xr:uid="{0AF96D68-D682-4050-860D-B1A977681586}"/>
    <cellStyle name="Comma 3 2 3 5 7" xfId="11511" xr:uid="{111EC79C-E573-4A72-98C7-72A612230EA2}"/>
    <cellStyle name="Comma 3 2 3 5 7 2" xfId="48019" xr:uid="{88612DBE-DC25-4CCA-A792-4A7335D2404B}"/>
    <cellStyle name="Comma 3 2 3 5 7 3" xfId="29765" xr:uid="{631930CA-CD57-416D-B91A-60DCD0B1DAD3}"/>
    <cellStyle name="Comma 3 2 3 5 8" xfId="7861" xr:uid="{D9A71C01-94D8-4D63-9EC6-F2026CD81F77}"/>
    <cellStyle name="Comma 3 2 3 5 8 2" xfId="44369" xr:uid="{746DD887-6C7B-40DA-AF26-CF4FB72DCD69}"/>
    <cellStyle name="Comma 3 2 3 5 8 3" xfId="26115" xr:uid="{F82AF712-50B1-4125-B02F-6570532C5193}"/>
    <cellStyle name="Comma 3 2 3 5 9" xfId="4211" xr:uid="{647FE738-1DCD-44A7-87FF-883348E39F42}"/>
    <cellStyle name="Comma 3 2 3 5 9 2" xfId="40719" xr:uid="{01ABF7ED-6011-429A-B4AB-78A8E244C614}"/>
    <cellStyle name="Comma 3 2 3 5 9 3" xfId="22465" xr:uid="{1504B72D-60BE-4F57-997E-13E665EA755D}"/>
    <cellStyle name="Comma 3 2 3 6" xfId="457" xr:uid="{0E31D2A3-2398-41E8-85B4-86299FE5E0ED}"/>
    <cellStyle name="Comma 3 2 3 6 10" xfId="36965" xr:uid="{AC9135C1-A1F3-4BCA-8647-E3C860A435D0}"/>
    <cellStyle name="Comma 3 2 3 6 11" xfId="18711" xr:uid="{BB767361-D884-40C4-90BA-90A3602F48E3}"/>
    <cellStyle name="Comma 3 2 3 6 2" xfId="3377" xr:uid="{DA1A215B-6C77-4242-B3BE-FA28D0CCA3AC}"/>
    <cellStyle name="Comma 3 2 3 6 2 2" xfId="17977" xr:uid="{1047777E-3E59-473C-AF5A-48B751E96A45}"/>
    <cellStyle name="Comma 3 2 3 6 2 2 2" xfId="54485" xr:uid="{3FE860A5-A5EE-499B-AA50-539DB25D655D}"/>
    <cellStyle name="Comma 3 2 3 6 2 2 3" xfId="36231" xr:uid="{00711E8D-EEDC-4663-9D2D-99C9FEB72785}"/>
    <cellStyle name="Comma 3 2 3 6 2 3" xfId="14327" xr:uid="{4059FA7B-53CF-4A39-80B0-E99B163E2B4D}"/>
    <cellStyle name="Comma 3 2 3 6 2 3 2" xfId="50835" xr:uid="{BA6307F9-FCA0-436E-9806-E80FB87E4161}"/>
    <cellStyle name="Comma 3 2 3 6 2 3 3" xfId="32581" xr:uid="{A6BE9433-F1A9-48CD-8888-C941E7071C36}"/>
    <cellStyle name="Comma 3 2 3 6 2 4" xfId="10677" xr:uid="{59445067-8FB8-424B-B334-4D648FA898B2}"/>
    <cellStyle name="Comma 3 2 3 6 2 4 2" xfId="47185" xr:uid="{F43431C7-A5C9-451C-B084-C5F9BDEA0934}"/>
    <cellStyle name="Comma 3 2 3 6 2 4 3" xfId="28931" xr:uid="{C6AB1E23-8567-4491-8213-7AF52C552031}"/>
    <cellStyle name="Comma 3 2 3 6 2 5" xfId="7027" xr:uid="{352E80DC-19C1-4AEC-B1EC-B31798ABF8F0}"/>
    <cellStyle name="Comma 3 2 3 6 2 5 2" xfId="43535" xr:uid="{68063864-4E62-45BA-938C-F12BCFF378FC}"/>
    <cellStyle name="Comma 3 2 3 6 2 5 3" xfId="25281" xr:uid="{6AFD4958-4488-447D-92ED-1CD5A4B0C45D}"/>
    <cellStyle name="Comma 3 2 3 6 2 6" xfId="39885" xr:uid="{E35C1850-689C-4676-B116-85D15F1FA558}"/>
    <cellStyle name="Comma 3 2 3 6 2 7" xfId="21631" xr:uid="{4940AB14-9655-4052-AA3A-7E91F6D12C67}"/>
    <cellStyle name="Comma 3 2 3 6 3" xfId="2647" xr:uid="{2501E991-445B-4849-B29D-822D46D1801D}"/>
    <cellStyle name="Comma 3 2 3 6 3 2" xfId="17247" xr:uid="{9A97DBC9-5F9C-45E3-8A88-20CEE6C25C88}"/>
    <cellStyle name="Comma 3 2 3 6 3 2 2" xfId="53755" xr:uid="{AD25A620-93D9-44B7-803F-1C5A926B3166}"/>
    <cellStyle name="Comma 3 2 3 6 3 2 3" xfId="35501" xr:uid="{A9115322-5AE8-439A-9517-57871B1E8C50}"/>
    <cellStyle name="Comma 3 2 3 6 3 3" xfId="13597" xr:uid="{853FAD07-088D-497C-A14B-D49B2B75532C}"/>
    <cellStyle name="Comma 3 2 3 6 3 3 2" xfId="50105" xr:uid="{8D7C15A1-1F92-4E3B-8C22-95E6E1368296}"/>
    <cellStyle name="Comma 3 2 3 6 3 3 3" xfId="31851" xr:uid="{D3D1FD6F-0E8C-41C6-8C59-2631114E5F1D}"/>
    <cellStyle name="Comma 3 2 3 6 3 4" xfId="9947" xr:uid="{89E57983-46E4-4E28-9891-C6A934ED3045}"/>
    <cellStyle name="Comma 3 2 3 6 3 4 2" xfId="46455" xr:uid="{2103F6E2-E38E-4D22-A32E-390B2E77419C}"/>
    <cellStyle name="Comma 3 2 3 6 3 4 3" xfId="28201" xr:uid="{13BB767E-A26D-4DDD-A7D5-7B8E00BD003A}"/>
    <cellStyle name="Comma 3 2 3 6 3 5" xfId="6297" xr:uid="{7D1BA74F-B266-4758-B20D-BAB86009C4D4}"/>
    <cellStyle name="Comma 3 2 3 6 3 5 2" xfId="42805" xr:uid="{1B26FA1B-626B-42DE-B2F0-FBD5BA91C037}"/>
    <cellStyle name="Comma 3 2 3 6 3 5 3" xfId="24551" xr:uid="{D7A89711-6E4F-41A8-AD35-B874BDA3FBD2}"/>
    <cellStyle name="Comma 3 2 3 6 3 6" xfId="39155" xr:uid="{55B794DB-DC1D-4938-A201-690876A074D8}"/>
    <cellStyle name="Comma 3 2 3 6 3 7" xfId="20901" xr:uid="{4615BB59-53E8-4C5E-A595-A6137E20BDCF}"/>
    <cellStyle name="Comma 3 2 3 6 4" xfId="1917" xr:uid="{6642C395-0468-4391-B350-C41ED1862D99}"/>
    <cellStyle name="Comma 3 2 3 6 4 2" xfId="16517" xr:uid="{3F77C950-9362-4DB1-8F77-079FDAE309C8}"/>
    <cellStyle name="Comma 3 2 3 6 4 2 2" xfId="53025" xr:uid="{C5AD6E35-2BCB-42B3-98CC-640EE3D22196}"/>
    <cellStyle name="Comma 3 2 3 6 4 2 3" xfId="34771" xr:uid="{E42D81B3-59AB-4B19-B47E-63C56B404A68}"/>
    <cellStyle name="Comma 3 2 3 6 4 3" xfId="12867" xr:uid="{6B11B10D-3832-4192-A876-EA777D885835}"/>
    <cellStyle name="Comma 3 2 3 6 4 3 2" xfId="49375" xr:uid="{1C2A1797-39C9-4645-A78B-82AD58266565}"/>
    <cellStyle name="Comma 3 2 3 6 4 3 3" xfId="31121" xr:uid="{D042A35B-4C04-450E-A256-1ABFB44712B5}"/>
    <cellStyle name="Comma 3 2 3 6 4 4" xfId="9217" xr:uid="{91D53C07-7702-4252-AE12-89F937D405FB}"/>
    <cellStyle name="Comma 3 2 3 6 4 4 2" xfId="45725" xr:uid="{F64500AD-6805-4E2A-AD88-6B07953107C7}"/>
    <cellStyle name="Comma 3 2 3 6 4 4 3" xfId="27471" xr:uid="{EA2D6155-2564-40D0-B042-7F20229C56E4}"/>
    <cellStyle name="Comma 3 2 3 6 4 5" xfId="5567" xr:uid="{688131AB-E18C-4CA0-A523-D15AD62CA7E2}"/>
    <cellStyle name="Comma 3 2 3 6 4 5 2" xfId="42075" xr:uid="{5E986987-F01D-4E00-A98E-9D4450A90B5C}"/>
    <cellStyle name="Comma 3 2 3 6 4 5 3" xfId="23821" xr:uid="{B2886E6F-9105-49DD-805E-308C00591BE1}"/>
    <cellStyle name="Comma 3 2 3 6 4 6" xfId="38425" xr:uid="{503BCEC6-4F19-4D34-B7CD-A3F437D0A226}"/>
    <cellStyle name="Comma 3 2 3 6 4 7" xfId="20171" xr:uid="{C297D533-6D1F-40D1-BE22-EDE530CE0C8C}"/>
    <cellStyle name="Comma 3 2 3 6 5" xfId="1187" xr:uid="{2B629E82-5AEC-457A-9E31-415A56288C46}"/>
    <cellStyle name="Comma 3 2 3 6 5 2" xfId="15787" xr:uid="{31A2806F-D549-4EFC-A6FF-8BDEE0E5CD44}"/>
    <cellStyle name="Comma 3 2 3 6 5 2 2" xfId="52295" xr:uid="{530CEE58-BB9C-4D71-AB94-2997D097B726}"/>
    <cellStyle name="Comma 3 2 3 6 5 2 3" xfId="34041" xr:uid="{338F0BE5-C7C0-460A-9F21-E292C920A65C}"/>
    <cellStyle name="Comma 3 2 3 6 5 3" xfId="12137" xr:uid="{7B0E178C-D0C5-41D7-B81B-83B6BB7B1D59}"/>
    <cellStyle name="Comma 3 2 3 6 5 3 2" xfId="48645" xr:uid="{D03A012D-E75B-4DE7-8365-5D6FB1A112B3}"/>
    <cellStyle name="Comma 3 2 3 6 5 3 3" xfId="30391" xr:uid="{3394E1F6-7AFC-465A-9EAD-BC097929517E}"/>
    <cellStyle name="Comma 3 2 3 6 5 4" xfId="8487" xr:uid="{B290B7A1-D9BE-49B4-8F88-6CB8493EE9E8}"/>
    <cellStyle name="Comma 3 2 3 6 5 4 2" xfId="44995" xr:uid="{8190A842-4E61-4314-BC9E-EABA323E42AF}"/>
    <cellStyle name="Comma 3 2 3 6 5 4 3" xfId="26741" xr:uid="{A388636E-72E2-4483-9F4A-C288D50E3400}"/>
    <cellStyle name="Comma 3 2 3 6 5 5" xfId="4837" xr:uid="{DE575317-4B6D-4CFE-A851-3B391A99B97E}"/>
    <cellStyle name="Comma 3 2 3 6 5 5 2" xfId="41345" xr:uid="{A2DB7B99-253D-441D-B1A0-B300800875AB}"/>
    <cellStyle name="Comma 3 2 3 6 5 5 3" xfId="23091" xr:uid="{D2EFCA7C-F576-4FD2-936B-576668A9A0FF}"/>
    <cellStyle name="Comma 3 2 3 6 5 6" xfId="37695" xr:uid="{4650F155-D5A2-4087-88C1-5B1586B45711}"/>
    <cellStyle name="Comma 3 2 3 6 5 7" xfId="19441" xr:uid="{EA0CCFBB-FC25-4560-9209-F9A8F85BFB9D}"/>
    <cellStyle name="Comma 3 2 3 6 6" xfId="15057" xr:uid="{133D74DC-5320-4D45-857F-FCF32CFBAF84}"/>
    <cellStyle name="Comma 3 2 3 6 6 2" xfId="51565" xr:uid="{91090BC5-91FA-473A-B497-B00FE1EF78A8}"/>
    <cellStyle name="Comma 3 2 3 6 6 3" xfId="33311" xr:uid="{B0D55614-F627-4D7E-85F1-5530DEAD5CDA}"/>
    <cellStyle name="Comma 3 2 3 6 7" xfId="11407" xr:uid="{6D8B8E50-7A94-46AA-BA8B-543CC48DBCBB}"/>
    <cellStyle name="Comma 3 2 3 6 7 2" xfId="47915" xr:uid="{AB50E11B-E045-42D1-B5EA-89B186DE5131}"/>
    <cellStyle name="Comma 3 2 3 6 7 3" xfId="29661" xr:uid="{06B96644-1B11-4816-8CC7-F7B024F428AB}"/>
    <cellStyle name="Comma 3 2 3 6 8" xfId="7757" xr:uid="{F571E637-ABF1-4246-B5C7-F6684EF67842}"/>
    <cellStyle name="Comma 3 2 3 6 8 2" xfId="44265" xr:uid="{5BD442D2-EBEF-4FD6-8554-F18E78E5BCCE}"/>
    <cellStyle name="Comma 3 2 3 6 8 3" xfId="26011" xr:uid="{1BC522F4-4BD4-4D3F-A971-0F5495643CCE}"/>
    <cellStyle name="Comma 3 2 3 6 9" xfId="4107" xr:uid="{C257A2C0-4582-44BF-B901-9C770564AD42}"/>
    <cellStyle name="Comma 3 2 3 6 9 2" xfId="40615" xr:uid="{B44770CD-AC57-4795-8DFA-4DAFCBA1D1C3}"/>
    <cellStyle name="Comma 3 2 3 6 9 3" xfId="22361" xr:uid="{79640241-DCB0-48BF-B4E3-67571937A577}"/>
    <cellStyle name="Comma 3 2 3 7" xfId="353" xr:uid="{EB57467B-53A6-4278-8B4A-05FDABC9C61E}"/>
    <cellStyle name="Comma 3 2 3 7 10" xfId="36861" xr:uid="{057C2A7B-13AB-4BF0-B241-64A17510EA81}"/>
    <cellStyle name="Comma 3 2 3 7 11" xfId="18607" xr:uid="{66898AE7-D485-497C-8509-4288A616B56C}"/>
    <cellStyle name="Comma 3 2 3 7 2" xfId="3273" xr:uid="{307D1232-F449-48E4-B4DA-8C25C5ACF153}"/>
    <cellStyle name="Comma 3 2 3 7 2 2" xfId="17873" xr:uid="{E160E056-4FCC-449F-8447-BEB4086B8E29}"/>
    <cellStyle name="Comma 3 2 3 7 2 2 2" xfId="54381" xr:uid="{00B2DACD-62DE-4D64-B05A-0CBE68F4C9FA}"/>
    <cellStyle name="Comma 3 2 3 7 2 2 3" xfId="36127" xr:uid="{21231F2C-4B97-41C3-BFA8-6864F1835AE8}"/>
    <cellStyle name="Comma 3 2 3 7 2 3" xfId="14223" xr:uid="{2DC8E289-09E8-4B53-BD33-909601F8E2BD}"/>
    <cellStyle name="Comma 3 2 3 7 2 3 2" xfId="50731" xr:uid="{6E815E45-AABF-4FC8-9956-02BCCE42B7A1}"/>
    <cellStyle name="Comma 3 2 3 7 2 3 3" xfId="32477" xr:uid="{D210A085-DD0B-47F0-BFCC-BFFF7016E182}"/>
    <cellStyle name="Comma 3 2 3 7 2 4" xfId="10573" xr:uid="{93F9C5C0-88F7-4120-B23F-CE38A5BD66E9}"/>
    <cellStyle name="Comma 3 2 3 7 2 4 2" xfId="47081" xr:uid="{AF321AD1-F057-4E05-8A72-C91C4C6EA490}"/>
    <cellStyle name="Comma 3 2 3 7 2 4 3" xfId="28827" xr:uid="{0FFE4348-3B8B-4F20-A9B6-ABB061A95E3E}"/>
    <cellStyle name="Comma 3 2 3 7 2 5" xfId="6923" xr:uid="{06E62E32-FC8D-4E6F-BAC5-F0B794F8A88B}"/>
    <cellStyle name="Comma 3 2 3 7 2 5 2" xfId="43431" xr:uid="{9E88FD3F-1763-4461-A77E-9179052423AA}"/>
    <cellStyle name="Comma 3 2 3 7 2 5 3" xfId="25177" xr:uid="{AF419CF0-FA92-4218-AC69-E7E58C5B0DD9}"/>
    <cellStyle name="Comma 3 2 3 7 2 6" xfId="39781" xr:uid="{8EC257C5-8D87-4972-9BED-ACD75D09BC72}"/>
    <cellStyle name="Comma 3 2 3 7 2 7" xfId="21527" xr:uid="{8925595F-D5CF-44D4-8176-D4A253BB39A1}"/>
    <cellStyle name="Comma 3 2 3 7 3" xfId="2543" xr:uid="{217A29D8-720B-443E-846C-5378F4191D8B}"/>
    <cellStyle name="Comma 3 2 3 7 3 2" xfId="17143" xr:uid="{188FFCD7-EAD7-42CB-91AE-DAE88C336BDB}"/>
    <cellStyle name="Comma 3 2 3 7 3 2 2" xfId="53651" xr:uid="{6C69CD72-87F4-4EA6-BAB6-48616F2F173B}"/>
    <cellStyle name="Comma 3 2 3 7 3 2 3" xfId="35397" xr:uid="{B09FBE81-A11C-4A25-B2BC-9EE9D149A851}"/>
    <cellStyle name="Comma 3 2 3 7 3 3" xfId="13493" xr:uid="{D1625D7F-9F29-4BED-BBFA-E5DC48E85A49}"/>
    <cellStyle name="Comma 3 2 3 7 3 3 2" xfId="50001" xr:uid="{2C46A60E-A711-409B-89D1-98500684DE13}"/>
    <cellStyle name="Comma 3 2 3 7 3 3 3" xfId="31747" xr:uid="{BE78C66C-2029-4D9D-AEBE-B115285F4E6F}"/>
    <cellStyle name="Comma 3 2 3 7 3 4" xfId="9843" xr:uid="{8144290C-15E7-4F24-A89A-EA504B07C524}"/>
    <cellStyle name="Comma 3 2 3 7 3 4 2" xfId="46351" xr:uid="{942E2CD6-9AC7-4777-8815-F20BC98371E3}"/>
    <cellStyle name="Comma 3 2 3 7 3 4 3" xfId="28097" xr:uid="{8CF2B0BE-4BE5-4D85-8F63-691D10D3B051}"/>
    <cellStyle name="Comma 3 2 3 7 3 5" xfId="6193" xr:uid="{A3811004-4E3C-4660-BECA-DB3EA10D36A9}"/>
    <cellStyle name="Comma 3 2 3 7 3 5 2" xfId="42701" xr:uid="{EBA50E20-5A5D-487D-81D5-7F895D3B9C24}"/>
    <cellStyle name="Comma 3 2 3 7 3 5 3" xfId="24447" xr:uid="{A3A0FF70-8E2C-4557-81E9-14F605EC7E06}"/>
    <cellStyle name="Comma 3 2 3 7 3 6" xfId="39051" xr:uid="{03B8532C-6A7A-4950-945E-4601CFFF6AEB}"/>
    <cellStyle name="Comma 3 2 3 7 3 7" xfId="20797" xr:uid="{3D570C25-ABC0-4C20-864C-E2A5625B9EDA}"/>
    <cellStyle name="Comma 3 2 3 7 4" xfId="1813" xr:uid="{2CE95433-1997-4C7F-9E97-99FA26323552}"/>
    <cellStyle name="Comma 3 2 3 7 4 2" xfId="16413" xr:uid="{659F24C3-64C5-4C74-A5E4-D813B11D6DC4}"/>
    <cellStyle name="Comma 3 2 3 7 4 2 2" xfId="52921" xr:uid="{561E6A5C-0FDA-42BC-A821-AF57C60251F2}"/>
    <cellStyle name="Comma 3 2 3 7 4 2 3" xfId="34667" xr:uid="{598B1017-45A5-418D-9ED9-BA5B43EF9485}"/>
    <cellStyle name="Comma 3 2 3 7 4 3" xfId="12763" xr:uid="{6E861476-44CE-4B63-B0E5-77300D505C34}"/>
    <cellStyle name="Comma 3 2 3 7 4 3 2" xfId="49271" xr:uid="{A2B2CA66-B151-48DF-944A-10F7474CBBBD}"/>
    <cellStyle name="Comma 3 2 3 7 4 3 3" xfId="31017" xr:uid="{759EBDD3-72D2-4AFE-AE8F-716A94C0897E}"/>
    <cellStyle name="Comma 3 2 3 7 4 4" xfId="9113" xr:uid="{9D22A657-82D6-4DBE-9BDB-729D6AD092CC}"/>
    <cellStyle name="Comma 3 2 3 7 4 4 2" xfId="45621" xr:uid="{B87C094B-05D8-484B-B455-A05E8984A880}"/>
    <cellStyle name="Comma 3 2 3 7 4 4 3" xfId="27367" xr:uid="{710125C3-B874-4C6F-9CAF-81865478CFA2}"/>
    <cellStyle name="Comma 3 2 3 7 4 5" xfId="5463" xr:uid="{65D49138-DA13-4B9B-A2B3-4E0C9D80D71E}"/>
    <cellStyle name="Comma 3 2 3 7 4 5 2" xfId="41971" xr:uid="{7B615DBD-456A-4E15-B8BF-F66C3CCAF919}"/>
    <cellStyle name="Comma 3 2 3 7 4 5 3" xfId="23717" xr:uid="{8BB4DF39-70DC-4704-A0B9-DE8C59B250D5}"/>
    <cellStyle name="Comma 3 2 3 7 4 6" xfId="38321" xr:uid="{E1CE02A3-EC75-4FCD-BD69-B201DB3F2F7A}"/>
    <cellStyle name="Comma 3 2 3 7 4 7" xfId="20067" xr:uid="{B1FF2892-D4D1-4F3E-93A0-08733558B0AB}"/>
    <cellStyle name="Comma 3 2 3 7 5" xfId="1083" xr:uid="{F5B6028D-1DB2-4D65-AE5D-4E52559227CA}"/>
    <cellStyle name="Comma 3 2 3 7 5 2" xfId="15683" xr:uid="{5F4DC5FB-4FB6-4299-A333-C814A2D4A947}"/>
    <cellStyle name="Comma 3 2 3 7 5 2 2" xfId="52191" xr:uid="{3C48350E-A3E4-4BCE-9539-BB9562B1274A}"/>
    <cellStyle name="Comma 3 2 3 7 5 2 3" xfId="33937" xr:uid="{86AE5FBB-55AC-44D0-8120-FC9E88BC4A70}"/>
    <cellStyle name="Comma 3 2 3 7 5 3" xfId="12033" xr:uid="{7F62CC73-A3D4-4FAD-BBB9-79C25057FEF8}"/>
    <cellStyle name="Comma 3 2 3 7 5 3 2" xfId="48541" xr:uid="{8F6034CE-03C1-4512-A3B1-C631970D8763}"/>
    <cellStyle name="Comma 3 2 3 7 5 3 3" xfId="30287" xr:uid="{73211863-7805-4A7B-AEA7-9D1ED1D85D85}"/>
    <cellStyle name="Comma 3 2 3 7 5 4" xfId="8383" xr:uid="{E4D325DB-1EB2-49A8-8303-A984B38AB001}"/>
    <cellStyle name="Comma 3 2 3 7 5 4 2" xfId="44891" xr:uid="{A86ECC6F-BC07-4298-87A0-D33142B8F92F}"/>
    <cellStyle name="Comma 3 2 3 7 5 4 3" xfId="26637" xr:uid="{919C9D00-8FA0-4E97-9A0B-0B8F810DE76E}"/>
    <cellStyle name="Comma 3 2 3 7 5 5" xfId="4733" xr:uid="{08F4C103-25C5-4BE5-A8F3-BCD804A5A820}"/>
    <cellStyle name="Comma 3 2 3 7 5 5 2" xfId="41241" xr:uid="{EA0CC41B-5859-49FC-A29D-2D45C9DA5F6C}"/>
    <cellStyle name="Comma 3 2 3 7 5 5 3" xfId="22987" xr:uid="{C2C8E6F2-236F-48E4-8DC2-782F8DC202FE}"/>
    <cellStyle name="Comma 3 2 3 7 5 6" xfId="37591" xr:uid="{CF9D7DA6-0CD5-41D0-952B-41F592427EAA}"/>
    <cellStyle name="Comma 3 2 3 7 5 7" xfId="19337" xr:uid="{FD69BD52-412D-42BC-8E44-A5F9738FABAD}"/>
    <cellStyle name="Comma 3 2 3 7 6" xfId="14953" xr:uid="{6F62E05A-337A-4436-958D-355261A5EB6F}"/>
    <cellStyle name="Comma 3 2 3 7 6 2" xfId="51461" xr:uid="{3CD0FE80-91B5-43CC-A509-F4134603B9E6}"/>
    <cellStyle name="Comma 3 2 3 7 6 3" xfId="33207" xr:uid="{4FF701F6-9AD7-40B5-9C3F-43356AD06CEB}"/>
    <cellStyle name="Comma 3 2 3 7 7" xfId="11303" xr:uid="{C5849AC4-E79D-450F-9580-A2EDAC375257}"/>
    <cellStyle name="Comma 3 2 3 7 7 2" xfId="47811" xr:uid="{ACCA6081-BA83-4542-A37C-F839108CE45B}"/>
    <cellStyle name="Comma 3 2 3 7 7 3" xfId="29557" xr:uid="{80BC608D-F398-4639-B555-685D77C82F0A}"/>
    <cellStyle name="Comma 3 2 3 7 8" xfId="7653" xr:uid="{4F34B02C-84FB-45B1-9527-0CD6D980FF96}"/>
    <cellStyle name="Comma 3 2 3 7 8 2" xfId="44161" xr:uid="{C4D795D3-9905-4D5B-9D0B-C8A16F5B5B99}"/>
    <cellStyle name="Comma 3 2 3 7 8 3" xfId="25907" xr:uid="{93635DCA-9FB1-4F63-9B70-89CF0A45914B}"/>
    <cellStyle name="Comma 3 2 3 7 9" xfId="4003" xr:uid="{C25CBFD3-A095-4C63-BFCB-DFA5D93E8BA3}"/>
    <cellStyle name="Comma 3 2 3 7 9 2" xfId="40511" xr:uid="{1D90EAA8-9790-43A1-9B18-58E3958C1E4F}"/>
    <cellStyle name="Comma 3 2 3 7 9 3" xfId="22257" xr:uid="{DAA9FD47-00B8-4408-A540-E346EA98E1D2}"/>
    <cellStyle name="Comma 3 2 3 8" xfId="249" xr:uid="{866BF00E-5578-4A35-B662-1D00D14CFB04}"/>
    <cellStyle name="Comma 3 2 3 8 10" xfId="36757" xr:uid="{7F1F2B3E-0B62-49FD-91AA-1EE5F6F65497}"/>
    <cellStyle name="Comma 3 2 3 8 11" xfId="18503" xr:uid="{1A276995-74D4-429B-9429-92E9DB92E989}"/>
    <cellStyle name="Comma 3 2 3 8 2" xfId="3169" xr:uid="{F01B3BEA-BB9E-4F44-96D3-521D5F25FBE3}"/>
    <cellStyle name="Comma 3 2 3 8 2 2" xfId="17769" xr:uid="{86BCF1F3-A12A-4DBE-A03F-CB3E8D65E0E7}"/>
    <cellStyle name="Comma 3 2 3 8 2 2 2" xfId="54277" xr:uid="{187DD44E-DC9F-4882-9BC2-856B309D99BA}"/>
    <cellStyle name="Comma 3 2 3 8 2 2 3" xfId="36023" xr:uid="{7DBA907D-12AB-4689-8DA1-DA3B517FF48C}"/>
    <cellStyle name="Comma 3 2 3 8 2 3" xfId="14119" xr:uid="{4A20257E-1271-4B50-830B-34A8EBC720CA}"/>
    <cellStyle name="Comma 3 2 3 8 2 3 2" xfId="50627" xr:uid="{2DBF15CF-AF32-486B-B183-1B01E278FDC6}"/>
    <cellStyle name="Comma 3 2 3 8 2 3 3" xfId="32373" xr:uid="{2C9306B0-7A80-4766-9641-DEA9100ABEB9}"/>
    <cellStyle name="Comma 3 2 3 8 2 4" xfId="10469" xr:uid="{7CFEF414-7661-46CA-B392-7B8B0041960D}"/>
    <cellStyle name="Comma 3 2 3 8 2 4 2" xfId="46977" xr:uid="{41C4892C-983F-401C-97F5-9A04FC5CAC51}"/>
    <cellStyle name="Comma 3 2 3 8 2 4 3" xfId="28723" xr:uid="{65BE774A-DDCA-4FD2-B9C4-3F9565AC6613}"/>
    <cellStyle name="Comma 3 2 3 8 2 5" xfId="6819" xr:uid="{49DE51CA-A004-44E0-AA42-1F6A7372585F}"/>
    <cellStyle name="Comma 3 2 3 8 2 5 2" xfId="43327" xr:uid="{1F98E432-3F03-43E1-8B4B-B678878BE70E}"/>
    <cellStyle name="Comma 3 2 3 8 2 5 3" xfId="25073" xr:uid="{75EDA857-E07D-41B9-A07D-EACEA93BE0BF}"/>
    <cellStyle name="Comma 3 2 3 8 2 6" xfId="39677" xr:uid="{13CF81F6-431E-4C7F-AD21-1F11A604CF35}"/>
    <cellStyle name="Comma 3 2 3 8 2 7" xfId="21423" xr:uid="{023C41A9-79F4-4CAC-90AA-CE23ABEF9144}"/>
    <cellStyle name="Comma 3 2 3 8 3" xfId="2439" xr:uid="{4FB15BC3-37B6-4AB0-A851-89BD76D4D246}"/>
    <cellStyle name="Comma 3 2 3 8 3 2" xfId="17039" xr:uid="{CE0E5043-31E6-4511-848A-B97DA90BA5B3}"/>
    <cellStyle name="Comma 3 2 3 8 3 2 2" xfId="53547" xr:uid="{01439948-EDE0-40C9-AD24-9817DC58F9BE}"/>
    <cellStyle name="Comma 3 2 3 8 3 2 3" xfId="35293" xr:uid="{28BDA9C3-F508-4720-8552-07E54AE97B49}"/>
    <cellStyle name="Comma 3 2 3 8 3 3" xfId="13389" xr:uid="{72157D34-89FD-4366-AC3F-47929BFCECF5}"/>
    <cellStyle name="Comma 3 2 3 8 3 3 2" xfId="49897" xr:uid="{B9C80A86-1728-41C6-BA54-BCBACC466270}"/>
    <cellStyle name="Comma 3 2 3 8 3 3 3" xfId="31643" xr:uid="{FD9156D2-BE9E-42B1-8A2A-88445AA24281}"/>
    <cellStyle name="Comma 3 2 3 8 3 4" xfId="9739" xr:uid="{9BBDC059-405B-42B8-9D5E-179E1651CF86}"/>
    <cellStyle name="Comma 3 2 3 8 3 4 2" xfId="46247" xr:uid="{FF8293E8-1DD0-4DDF-B651-CFED300CDF8C}"/>
    <cellStyle name="Comma 3 2 3 8 3 4 3" xfId="27993" xr:uid="{9D38D5D5-89E0-42D5-9495-B7DF4CA11DA7}"/>
    <cellStyle name="Comma 3 2 3 8 3 5" xfId="6089" xr:uid="{EAAD41DC-AAC0-4700-B90A-BA6430485663}"/>
    <cellStyle name="Comma 3 2 3 8 3 5 2" xfId="42597" xr:uid="{D71124D5-B98A-4A0B-857F-CBA16DF15178}"/>
    <cellStyle name="Comma 3 2 3 8 3 5 3" xfId="24343" xr:uid="{1299D78A-E3AF-4BD8-A71D-4CBD3A485687}"/>
    <cellStyle name="Comma 3 2 3 8 3 6" xfId="38947" xr:uid="{C8948628-BF43-4760-8157-EE167A710F4F}"/>
    <cellStyle name="Comma 3 2 3 8 3 7" xfId="20693" xr:uid="{EDBCF39A-EDB0-4713-AC70-50945A1F74D4}"/>
    <cellStyle name="Comma 3 2 3 8 4" xfId="1709" xr:uid="{E6C4400B-3D48-46C2-8CEF-843B9AC06E01}"/>
    <cellStyle name="Comma 3 2 3 8 4 2" xfId="16309" xr:uid="{647869CF-53D9-45D6-A235-17E97C15029F}"/>
    <cellStyle name="Comma 3 2 3 8 4 2 2" xfId="52817" xr:uid="{F9975D41-09CE-4DBB-BA32-3A6F68D3D8F2}"/>
    <cellStyle name="Comma 3 2 3 8 4 2 3" xfId="34563" xr:uid="{06932D31-1273-4A8D-8AC6-A5FC69C5B9CD}"/>
    <cellStyle name="Comma 3 2 3 8 4 3" xfId="12659" xr:uid="{CCDD7FE5-DE6B-4C17-878B-D58980C2D1DA}"/>
    <cellStyle name="Comma 3 2 3 8 4 3 2" xfId="49167" xr:uid="{48DA8587-66ED-4A64-9E5B-19D40F639D00}"/>
    <cellStyle name="Comma 3 2 3 8 4 3 3" xfId="30913" xr:uid="{7BFF47CA-0AD7-477A-B300-3D04FA2CC0B3}"/>
    <cellStyle name="Comma 3 2 3 8 4 4" xfId="9009" xr:uid="{EEFE43BB-0A1B-407F-8C9D-3078478400ED}"/>
    <cellStyle name="Comma 3 2 3 8 4 4 2" xfId="45517" xr:uid="{C9D005A4-8124-42A1-A299-439836CE248F}"/>
    <cellStyle name="Comma 3 2 3 8 4 4 3" xfId="27263" xr:uid="{C49D7A52-7D86-4BCF-BFFD-9F072E307A04}"/>
    <cellStyle name="Comma 3 2 3 8 4 5" xfId="5359" xr:uid="{0C6ED2D5-25FB-435F-9747-A33152E798CB}"/>
    <cellStyle name="Comma 3 2 3 8 4 5 2" xfId="41867" xr:uid="{F08CF27F-1CB7-442A-8DC1-4FD1B2CA296B}"/>
    <cellStyle name="Comma 3 2 3 8 4 5 3" xfId="23613" xr:uid="{BEE8A371-11CB-429D-AAEC-22D9CF2E735C}"/>
    <cellStyle name="Comma 3 2 3 8 4 6" xfId="38217" xr:uid="{8566C13C-1514-4F53-AE0A-B6064C9805BE}"/>
    <cellStyle name="Comma 3 2 3 8 4 7" xfId="19963" xr:uid="{68950F79-CCC0-4DF6-9BF3-55B4F2CCF5FD}"/>
    <cellStyle name="Comma 3 2 3 8 5" xfId="979" xr:uid="{B859636C-4361-4113-8BAB-AD3888344091}"/>
    <cellStyle name="Comma 3 2 3 8 5 2" xfId="15579" xr:uid="{DDB48108-53BE-4875-A991-DF758E14AB93}"/>
    <cellStyle name="Comma 3 2 3 8 5 2 2" xfId="52087" xr:uid="{08F7870E-54E9-41A2-A69E-17095F2EE9CB}"/>
    <cellStyle name="Comma 3 2 3 8 5 2 3" xfId="33833" xr:uid="{DC8EAF39-5390-47A5-823A-007155164EA0}"/>
    <cellStyle name="Comma 3 2 3 8 5 3" xfId="11929" xr:uid="{F84B53D3-5649-4A96-9AAD-21EBC693D1DB}"/>
    <cellStyle name="Comma 3 2 3 8 5 3 2" xfId="48437" xr:uid="{25CE8F62-F351-49BF-A948-A0B0E28E5485}"/>
    <cellStyle name="Comma 3 2 3 8 5 3 3" xfId="30183" xr:uid="{48F692DB-B903-4826-8F2A-EDCEB750304B}"/>
    <cellStyle name="Comma 3 2 3 8 5 4" xfId="8279" xr:uid="{863DD94B-1468-4DE7-9B65-ADD933A1E441}"/>
    <cellStyle name="Comma 3 2 3 8 5 4 2" xfId="44787" xr:uid="{210EA673-2B7F-4C77-A608-A0F1FC6F6446}"/>
    <cellStyle name="Comma 3 2 3 8 5 4 3" xfId="26533" xr:uid="{7B7DEBCA-1F84-4121-A912-87835C5EA84B}"/>
    <cellStyle name="Comma 3 2 3 8 5 5" xfId="4629" xr:uid="{85FBC1FF-71E7-4110-BC6C-4D9F6D19EA76}"/>
    <cellStyle name="Comma 3 2 3 8 5 5 2" xfId="41137" xr:uid="{0ABB995C-48A4-4A20-A69B-6A5C250CE5D9}"/>
    <cellStyle name="Comma 3 2 3 8 5 5 3" xfId="22883" xr:uid="{52458B56-6D12-4C24-B6B0-EE713C4E9818}"/>
    <cellStyle name="Comma 3 2 3 8 5 6" xfId="37487" xr:uid="{3CA48224-DB13-408E-A479-379EB667BAD6}"/>
    <cellStyle name="Comma 3 2 3 8 5 7" xfId="19233" xr:uid="{20FA39E1-5FD6-4C5A-A324-BD7733A6CBF3}"/>
    <cellStyle name="Comma 3 2 3 8 6" xfId="14849" xr:uid="{3E51D515-0673-4AAD-9590-E2AF824A3650}"/>
    <cellStyle name="Comma 3 2 3 8 6 2" xfId="51357" xr:uid="{6E9B6F08-D55D-4E47-BBD2-826359322E77}"/>
    <cellStyle name="Comma 3 2 3 8 6 3" xfId="33103" xr:uid="{13FE4693-9572-465E-9833-6F8FB83626D9}"/>
    <cellStyle name="Comma 3 2 3 8 7" xfId="11199" xr:uid="{327E7F69-37FB-4A67-993C-C44944A42C84}"/>
    <cellStyle name="Comma 3 2 3 8 7 2" xfId="47707" xr:uid="{DDB6833C-6ECA-4652-8BE3-9EF3695AF595}"/>
    <cellStyle name="Comma 3 2 3 8 7 3" xfId="29453" xr:uid="{08B95332-6377-484A-B52C-B1D0B752EEB6}"/>
    <cellStyle name="Comma 3 2 3 8 8" xfId="7549" xr:uid="{4B6C409A-4620-49F0-9CD7-F2719FCC4133}"/>
    <cellStyle name="Comma 3 2 3 8 8 2" xfId="44057" xr:uid="{9CA9762A-6E58-4A79-86BB-33A0BC05F038}"/>
    <cellStyle name="Comma 3 2 3 8 8 3" xfId="25803" xr:uid="{E4ADE084-B746-4BBB-9BC0-CC29AA6B0B30}"/>
    <cellStyle name="Comma 3 2 3 8 9" xfId="3899" xr:uid="{D2F2F4C9-528A-4E9E-871A-00EE0415F13F}"/>
    <cellStyle name="Comma 3 2 3 8 9 2" xfId="40407" xr:uid="{EEABEAAA-4BFE-44FF-BDE2-D7DED1B79DAD}"/>
    <cellStyle name="Comma 3 2 3 8 9 3" xfId="22153" xr:uid="{C8673DAC-276A-4D11-B366-D258B1F6858A}"/>
    <cellStyle name="Comma 3 2 3 9" xfId="145" xr:uid="{9A00425D-91C8-4B35-AF66-E1A1C136528A}"/>
    <cellStyle name="Comma 3 2 3 9 10" xfId="36653" xr:uid="{EBDC31D2-7E4F-4B93-AA1E-4993C98F201C}"/>
    <cellStyle name="Comma 3 2 3 9 11" xfId="18399" xr:uid="{D4D04391-580F-4E59-98F4-3D86EA5FB4EE}"/>
    <cellStyle name="Comma 3 2 3 9 2" xfId="3065" xr:uid="{CA56EBDA-0A47-4293-9417-9D473B27CA89}"/>
    <cellStyle name="Comma 3 2 3 9 2 2" xfId="17665" xr:uid="{2B02ED10-2892-41B5-9D39-6D5257A942F5}"/>
    <cellStyle name="Comma 3 2 3 9 2 2 2" xfId="54173" xr:uid="{5C930C47-6175-4556-BF07-5FDB90E61C76}"/>
    <cellStyle name="Comma 3 2 3 9 2 2 3" xfId="35919" xr:uid="{537E396A-455C-4DC0-8D39-AEDB49CC1674}"/>
    <cellStyle name="Comma 3 2 3 9 2 3" xfId="14015" xr:uid="{1BFB5BC4-1D8A-401B-AFC9-78B1E99C5333}"/>
    <cellStyle name="Comma 3 2 3 9 2 3 2" xfId="50523" xr:uid="{B7AD30DB-1631-4E10-97FD-38B210BB83F8}"/>
    <cellStyle name="Comma 3 2 3 9 2 3 3" xfId="32269" xr:uid="{DCAE649B-8A96-462A-8671-79A91D9A4237}"/>
    <cellStyle name="Comma 3 2 3 9 2 4" xfId="10365" xr:uid="{0197D6AF-30AA-4486-97E4-9E366D5EBA9C}"/>
    <cellStyle name="Comma 3 2 3 9 2 4 2" xfId="46873" xr:uid="{97EF8F11-21B3-4B82-95F9-D49BA834A9CE}"/>
    <cellStyle name="Comma 3 2 3 9 2 4 3" xfId="28619" xr:uid="{3BD1B1EA-98CD-451C-B60D-4191A0A14B7E}"/>
    <cellStyle name="Comma 3 2 3 9 2 5" xfId="6715" xr:uid="{6A013D25-A36B-4FFD-8AF1-8C97A50EEFEA}"/>
    <cellStyle name="Comma 3 2 3 9 2 5 2" xfId="43223" xr:uid="{EE826EDC-D448-4BDC-8E2A-9FB1DCFB861A}"/>
    <cellStyle name="Comma 3 2 3 9 2 5 3" xfId="24969" xr:uid="{A2B257AB-3EB0-4382-8A67-A94177B89D66}"/>
    <cellStyle name="Comma 3 2 3 9 2 6" xfId="39573" xr:uid="{111030EF-904C-4756-B39B-B762665DC2EC}"/>
    <cellStyle name="Comma 3 2 3 9 2 7" xfId="21319" xr:uid="{D379A0D4-B204-4961-8597-B64D74198C1C}"/>
    <cellStyle name="Comma 3 2 3 9 3" xfId="2335" xr:uid="{9BCE729D-FB91-4E14-8DAB-22DF2238B947}"/>
    <cellStyle name="Comma 3 2 3 9 3 2" xfId="16935" xr:uid="{918FE828-119D-490E-8BC0-2874CCC9A294}"/>
    <cellStyle name="Comma 3 2 3 9 3 2 2" xfId="53443" xr:uid="{ED86E29F-AFD1-4ECB-8E46-FDDE483DF5B6}"/>
    <cellStyle name="Comma 3 2 3 9 3 2 3" xfId="35189" xr:uid="{C39FC8F2-A2AD-49A0-9575-1BD22914DF6F}"/>
    <cellStyle name="Comma 3 2 3 9 3 3" xfId="13285" xr:uid="{00CBD233-134C-41D4-B6E3-5DBE183D4AC6}"/>
    <cellStyle name="Comma 3 2 3 9 3 3 2" xfId="49793" xr:uid="{788C1755-BA94-409B-967F-8FD8BF7F7D4B}"/>
    <cellStyle name="Comma 3 2 3 9 3 3 3" xfId="31539" xr:uid="{E3C3A49E-2CE3-4C60-BAB2-E30ED8B4C0A5}"/>
    <cellStyle name="Comma 3 2 3 9 3 4" xfId="9635" xr:uid="{7D93E30F-0DE4-40D0-946B-7D748EDE2486}"/>
    <cellStyle name="Comma 3 2 3 9 3 4 2" xfId="46143" xr:uid="{5B205E5E-301E-4837-B733-2CB1366A4FB1}"/>
    <cellStyle name="Comma 3 2 3 9 3 4 3" xfId="27889" xr:uid="{D8169459-FDDF-4703-9CFC-FBE66D7660E0}"/>
    <cellStyle name="Comma 3 2 3 9 3 5" xfId="5985" xr:uid="{CAC3A433-94AF-4204-942C-23024DFD8C8C}"/>
    <cellStyle name="Comma 3 2 3 9 3 5 2" xfId="42493" xr:uid="{1DF81908-75D5-4B98-B22C-25616FE0AFC1}"/>
    <cellStyle name="Comma 3 2 3 9 3 5 3" xfId="24239" xr:uid="{FEA12863-EE11-4AF4-B438-950258FBF291}"/>
    <cellStyle name="Comma 3 2 3 9 3 6" xfId="38843" xr:uid="{839BA6E7-A192-4BD7-AC54-F6C74E518827}"/>
    <cellStyle name="Comma 3 2 3 9 3 7" xfId="20589" xr:uid="{8B3EE8E3-563D-43DF-B810-E058EBC83ACB}"/>
    <cellStyle name="Comma 3 2 3 9 4" xfId="1605" xr:uid="{5B66E4AC-09C8-4FFC-8C9A-C3C81895C8EC}"/>
    <cellStyle name="Comma 3 2 3 9 4 2" xfId="16205" xr:uid="{931AE3B3-CDBB-49AF-BCFA-6B1936C066D4}"/>
    <cellStyle name="Comma 3 2 3 9 4 2 2" xfId="52713" xr:uid="{4C483E08-04D5-4567-8E64-D5755C257079}"/>
    <cellStyle name="Comma 3 2 3 9 4 2 3" xfId="34459" xr:uid="{7868692B-1A30-4124-9BAA-3B87FECE261D}"/>
    <cellStyle name="Comma 3 2 3 9 4 3" xfId="12555" xr:uid="{C5E20189-DDE7-434A-BEEF-6ACF21B3860B}"/>
    <cellStyle name="Comma 3 2 3 9 4 3 2" xfId="49063" xr:uid="{37FBF4ED-867E-4919-A5F9-B654B4AC2480}"/>
    <cellStyle name="Comma 3 2 3 9 4 3 3" xfId="30809" xr:uid="{40197700-8A66-40FB-861F-B93F6F904937}"/>
    <cellStyle name="Comma 3 2 3 9 4 4" xfId="8905" xr:uid="{CAE06821-D45C-4DC1-9BE4-D79FAC3C3F6C}"/>
    <cellStyle name="Comma 3 2 3 9 4 4 2" xfId="45413" xr:uid="{E497FC8E-3D39-4D33-AEE5-B25DDCAE1CCD}"/>
    <cellStyle name="Comma 3 2 3 9 4 4 3" xfId="27159" xr:uid="{9120E0FE-BE1B-4D7C-A206-03A88D82E876}"/>
    <cellStyle name="Comma 3 2 3 9 4 5" xfId="5255" xr:uid="{C86320B7-73A3-4657-B160-B1968FD3DF72}"/>
    <cellStyle name="Comma 3 2 3 9 4 5 2" xfId="41763" xr:uid="{CC199311-8718-4ACA-96DC-780A5FD63A0B}"/>
    <cellStyle name="Comma 3 2 3 9 4 5 3" xfId="23509" xr:uid="{F8898652-048D-415B-A746-094A467DA648}"/>
    <cellStyle name="Comma 3 2 3 9 4 6" xfId="38113" xr:uid="{EB2BCA0F-5D91-4A75-A8BB-D72A9198518A}"/>
    <cellStyle name="Comma 3 2 3 9 4 7" xfId="19859" xr:uid="{7EDF06BE-B3A9-40C1-AF48-CF4027A439A2}"/>
    <cellStyle name="Comma 3 2 3 9 5" xfId="875" xr:uid="{D492018A-55AF-4BEA-A0C7-5AE800F1EBBD}"/>
    <cellStyle name="Comma 3 2 3 9 5 2" xfId="15475" xr:uid="{EEAEC712-58FD-45EF-A4A2-42DA56771DDB}"/>
    <cellStyle name="Comma 3 2 3 9 5 2 2" xfId="51983" xr:uid="{8411065C-3D08-405C-9F5E-7DCD73928B18}"/>
    <cellStyle name="Comma 3 2 3 9 5 2 3" xfId="33729" xr:uid="{0FCC7C33-CDAD-4B08-A399-84D84EF536B6}"/>
    <cellStyle name="Comma 3 2 3 9 5 3" xfId="11825" xr:uid="{0E1CA05F-AAF6-433E-9F25-DD1EAA7DBC93}"/>
    <cellStyle name="Comma 3 2 3 9 5 3 2" xfId="48333" xr:uid="{214ADA3A-F1A5-4E21-95DE-287D3459842C}"/>
    <cellStyle name="Comma 3 2 3 9 5 3 3" xfId="30079" xr:uid="{86FE925B-EDB5-491B-A6D7-778DAEB53BDC}"/>
    <cellStyle name="Comma 3 2 3 9 5 4" xfId="8175" xr:uid="{6AAA416D-3A98-461E-85F8-4B7D257E1073}"/>
    <cellStyle name="Comma 3 2 3 9 5 4 2" xfId="44683" xr:uid="{B98C11E1-6516-49D4-B78A-BE6596F13F20}"/>
    <cellStyle name="Comma 3 2 3 9 5 4 3" xfId="26429" xr:uid="{DD96D481-2572-4E34-A9A8-6244C56DD8B3}"/>
    <cellStyle name="Comma 3 2 3 9 5 5" xfId="4525" xr:uid="{7CAABAF4-AEB0-4710-9742-94263A152401}"/>
    <cellStyle name="Comma 3 2 3 9 5 5 2" xfId="41033" xr:uid="{0A1313E2-4C26-45D2-984C-FC2527D161C9}"/>
    <cellStyle name="Comma 3 2 3 9 5 5 3" xfId="22779" xr:uid="{0E3A88F0-80AC-4113-8E12-2AB22FFCCE28}"/>
    <cellStyle name="Comma 3 2 3 9 5 6" xfId="37383" xr:uid="{0ADE167B-1324-4CDB-9D3B-725E7B4FD947}"/>
    <cellStyle name="Comma 3 2 3 9 5 7" xfId="19129" xr:uid="{BF27A841-B88D-4259-93B3-ABE549C49618}"/>
    <cellStyle name="Comma 3 2 3 9 6" xfId="14745" xr:uid="{7C5A4CD9-665A-4841-8BB5-0E0AA607E407}"/>
    <cellStyle name="Comma 3 2 3 9 6 2" xfId="51253" xr:uid="{0631EFCE-98E0-45CF-B762-8718084A5105}"/>
    <cellStyle name="Comma 3 2 3 9 6 3" xfId="32999" xr:uid="{32904B2F-55DC-43A8-AD60-A668F3FD8572}"/>
    <cellStyle name="Comma 3 2 3 9 7" xfId="11095" xr:uid="{B2769FF2-643C-4C95-8F40-99F067D68E4E}"/>
    <cellStyle name="Comma 3 2 3 9 7 2" xfId="47603" xr:uid="{82C6A1EF-1EC8-4DEA-83E0-0E42AD263E5B}"/>
    <cellStyle name="Comma 3 2 3 9 7 3" xfId="29349" xr:uid="{D94BDA2F-AF6A-499A-8C40-D81E21240F22}"/>
    <cellStyle name="Comma 3 2 3 9 8" xfId="7445" xr:uid="{83A5A5AA-7C17-406A-A83B-2DE310634707}"/>
    <cellStyle name="Comma 3 2 3 9 8 2" xfId="43953" xr:uid="{490C6819-6FAF-4BB1-8945-362515C612D3}"/>
    <cellStyle name="Comma 3 2 3 9 8 3" xfId="25699" xr:uid="{3F34CBCF-A17B-4A47-9CFB-84DA1508ACD4}"/>
    <cellStyle name="Comma 3 2 3 9 9" xfId="3795" xr:uid="{299F0C02-EFF2-435A-AF1A-53647C0195DD}"/>
    <cellStyle name="Comma 3 2 3 9 9 2" xfId="40303" xr:uid="{00303C1A-E09D-4988-8DC6-4042A559204A}"/>
    <cellStyle name="Comma 3 2 3 9 9 3" xfId="22049" xr:uid="{41168740-9252-43CC-9B2A-75644689992F}"/>
    <cellStyle name="Comma 3 2 4" xfId="89" xr:uid="{38ADCBAA-0867-488A-BC4F-13FDB2442118}"/>
    <cellStyle name="Comma 3 2 4 10" xfId="1549" xr:uid="{1A445A8F-CED3-485E-82EA-A010D13A98EB}"/>
    <cellStyle name="Comma 3 2 4 10 2" xfId="16149" xr:uid="{7FB361CB-B894-4A42-B469-3E3F5DD1D82C}"/>
    <cellStyle name="Comma 3 2 4 10 2 2" xfId="52657" xr:uid="{58497324-D3FC-44A5-836D-98C99E7ECC7D}"/>
    <cellStyle name="Comma 3 2 4 10 2 3" xfId="34403" xr:uid="{BCE3DE60-B6EB-4E3B-ACB3-1DF0F2E3096B}"/>
    <cellStyle name="Comma 3 2 4 10 3" xfId="12499" xr:uid="{1B464AD1-974C-46F3-845A-5DC6F2B1036D}"/>
    <cellStyle name="Comma 3 2 4 10 3 2" xfId="49007" xr:uid="{FCC6D035-B8D1-4A0D-B2CE-3AC6176F6BEF}"/>
    <cellStyle name="Comma 3 2 4 10 3 3" xfId="30753" xr:uid="{B4C6F6C9-B2C1-4FF7-B6A1-94D57EFE3686}"/>
    <cellStyle name="Comma 3 2 4 10 4" xfId="8849" xr:uid="{904AE109-8778-4CC7-B3A8-D3B333CD1166}"/>
    <cellStyle name="Comma 3 2 4 10 4 2" xfId="45357" xr:uid="{5FD98155-8728-4546-976C-15E40A65F4A6}"/>
    <cellStyle name="Comma 3 2 4 10 4 3" xfId="27103" xr:uid="{7B358233-DC4B-4EC8-B814-E3EF78C10485}"/>
    <cellStyle name="Comma 3 2 4 10 5" xfId="5199" xr:uid="{956348F7-64A7-45C2-A8FF-90A5E25090A4}"/>
    <cellStyle name="Comma 3 2 4 10 5 2" xfId="41707" xr:uid="{1148567E-3072-483B-9A90-181632F6AA28}"/>
    <cellStyle name="Comma 3 2 4 10 5 3" xfId="23453" xr:uid="{6626E4E4-F4BD-4693-A5F1-76C456B75EC3}"/>
    <cellStyle name="Comma 3 2 4 10 6" xfId="38057" xr:uid="{BA52A53F-A519-41B6-9A1B-CCFD9A5FCDF9}"/>
    <cellStyle name="Comma 3 2 4 10 7" xfId="19803" xr:uid="{E6BDF0B7-C82D-4B3E-8C39-4D16008F5EA1}"/>
    <cellStyle name="Comma 3 2 4 11" xfId="819" xr:uid="{5CBC3484-4EAF-4C6A-931C-04C97F766614}"/>
    <cellStyle name="Comma 3 2 4 11 2" xfId="15419" xr:uid="{7ED9EC3A-6504-4B80-B4C6-6F2C384ED958}"/>
    <cellStyle name="Comma 3 2 4 11 2 2" xfId="51927" xr:uid="{B5497DB4-06BA-4C35-9C92-56BF4F026E28}"/>
    <cellStyle name="Comma 3 2 4 11 2 3" xfId="33673" xr:uid="{814121D5-F6BC-4FD6-93EC-EB0EB3B5DB7F}"/>
    <cellStyle name="Comma 3 2 4 11 3" xfId="11769" xr:uid="{E470FD55-6D0A-4331-AAFA-5391993C380E}"/>
    <cellStyle name="Comma 3 2 4 11 3 2" xfId="48277" xr:uid="{17877D14-0975-4D00-A2E3-5541DAA8BDA5}"/>
    <cellStyle name="Comma 3 2 4 11 3 3" xfId="30023" xr:uid="{88273C50-E640-402E-99D9-AAE240194ADC}"/>
    <cellStyle name="Comma 3 2 4 11 4" xfId="8119" xr:uid="{88F2EB35-489F-4403-9DC2-587462C57D36}"/>
    <cellStyle name="Comma 3 2 4 11 4 2" xfId="44627" xr:uid="{F75E0691-D241-4B9D-92D9-0C174560B212}"/>
    <cellStyle name="Comma 3 2 4 11 4 3" xfId="26373" xr:uid="{9D3594B7-C4FC-42AA-A6BF-B142BFFF8016}"/>
    <cellStyle name="Comma 3 2 4 11 5" xfId="4469" xr:uid="{1B28A6DE-D169-4D30-BDB2-85B437F638EA}"/>
    <cellStyle name="Comma 3 2 4 11 5 2" xfId="40977" xr:uid="{2CB0F0C2-40E8-4190-A3D5-44248FEA62B9}"/>
    <cellStyle name="Comma 3 2 4 11 5 3" xfId="22723" xr:uid="{48475D4E-7A07-4254-A1C2-9ACD9BDA49D7}"/>
    <cellStyle name="Comma 3 2 4 11 6" xfId="37327" xr:uid="{F6E29F32-442E-4C24-A67B-FBD14E2B2826}"/>
    <cellStyle name="Comma 3 2 4 11 7" xfId="19073" xr:uid="{72DBF0F3-4361-4DA2-850F-EC2C9E8F2FC2}"/>
    <cellStyle name="Comma 3 2 4 12" xfId="14689" xr:uid="{2C83AD24-BA93-47E7-9C39-27F73E9E2C76}"/>
    <cellStyle name="Comma 3 2 4 12 2" xfId="51197" xr:uid="{6086D895-4611-4824-BFD3-ED0D730D09E0}"/>
    <cellStyle name="Comma 3 2 4 12 3" xfId="32943" xr:uid="{C6769EBE-2A27-4620-B36D-07F576EAFBD5}"/>
    <cellStyle name="Comma 3 2 4 13" xfId="11039" xr:uid="{DDBA4C30-FA75-4F11-A265-80F0B8C2DA28}"/>
    <cellStyle name="Comma 3 2 4 13 2" xfId="47547" xr:uid="{01707FC7-5B29-48BA-9F6A-616BC66B52A6}"/>
    <cellStyle name="Comma 3 2 4 13 3" xfId="29293" xr:uid="{1413DF6F-F72F-4EC2-B5F2-4DA873B48D24}"/>
    <cellStyle name="Comma 3 2 4 14" xfId="7389" xr:uid="{F733F702-E86A-430C-89BB-3876AFE2991F}"/>
    <cellStyle name="Comma 3 2 4 14 2" xfId="43897" xr:uid="{38E6093B-7E94-4349-A4C9-C6EDAEE0D423}"/>
    <cellStyle name="Comma 3 2 4 14 3" xfId="25643" xr:uid="{B7F30C92-E53C-48B8-95C2-4D6448772FB6}"/>
    <cellStyle name="Comma 3 2 4 15" xfId="3739" xr:uid="{69134253-8807-4FC8-BCE1-F38AD4D27B7B}"/>
    <cellStyle name="Comma 3 2 4 15 2" xfId="40247" xr:uid="{FFC7DFD8-3F58-4ECF-A3AB-A78AA9976B94}"/>
    <cellStyle name="Comma 3 2 4 15 3" xfId="21993" xr:uid="{735EC81B-965D-4FFC-8635-B0C638AEB06F}"/>
    <cellStyle name="Comma 3 2 4 16" xfId="36597" xr:uid="{A8C2BFCD-8581-4700-8F6A-7DF5F07C1704}"/>
    <cellStyle name="Comma 3 2 4 17" xfId="18343" xr:uid="{30FC1D93-1014-4313-8CAE-65120E3AE0AA}"/>
    <cellStyle name="Comma 3 2 4 2" xfId="713" xr:uid="{71617481-6E45-44C6-836F-BD50FE59D9D5}"/>
    <cellStyle name="Comma 3 2 4 2 10" xfId="37221" xr:uid="{96402AB4-1289-4435-8347-807D289D2FFB}"/>
    <cellStyle name="Comma 3 2 4 2 11" xfId="18967" xr:uid="{EBB75C41-6DD9-4779-95C1-FCCC1E4968A9}"/>
    <cellStyle name="Comma 3 2 4 2 2" xfId="3633" xr:uid="{BCEF7CB3-C0B9-431C-AB0B-C5EABDF3E837}"/>
    <cellStyle name="Comma 3 2 4 2 2 2" xfId="18233" xr:uid="{BF30A422-AD3E-4783-A5B4-CE308C79F8B6}"/>
    <cellStyle name="Comma 3 2 4 2 2 2 2" xfId="54741" xr:uid="{419941A7-485B-452F-A195-B94C5D9755D8}"/>
    <cellStyle name="Comma 3 2 4 2 2 2 3" xfId="36487" xr:uid="{7D6E6C4B-F597-4E89-B951-62329948ABAE}"/>
    <cellStyle name="Comma 3 2 4 2 2 3" xfId="14583" xr:uid="{4C0A569E-E4F3-4FE9-A574-EFF4E38F5215}"/>
    <cellStyle name="Comma 3 2 4 2 2 3 2" xfId="51091" xr:uid="{9DAD3309-3B85-46B0-A6F0-79FDCF1E07F4}"/>
    <cellStyle name="Comma 3 2 4 2 2 3 3" xfId="32837" xr:uid="{235DA3DE-182E-43FC-ADBC-12009FCB16A9}"/>
    <cellStyle name="Comma 3 2 4 2 2 4" xfId="10933" xr:uid="{0A14A71B-5D8A-4C0D-B128-96F2AD33EEA0}"/>
    <cellStyle name="Comma 3 2 4 2 2 4 2" xfId="47441" xr:uid="{83CA4088-5FCA-40CD-A7A6-B15A922B0090}"/>
    <cellStyle name="Comma 3 2 4 2 2 4 3" xfId="29187" xr:uid="{04258401-776B-48B0-B7CC-02B83710B6DD}"/>
    <cellStyle name="Comma 3 2 4 2 2 5" xfId="7283" xr:uid="{A1824257-EB0F-489C-81BF-B6BB31D3A123}"/>
    <cellStyle name="Comma 3 2 4 2 2 5 2" xfId="43791" xr:uid="{F03A45AF-9AB1-48B6-8576-23604314D79A}"/>
    <cellStyle name="Comma 3 2 4 2 2 5 3" xfId="25537" xr:uid="{4698B326-1651-40E1-AAA3-2980FD95DE9B}"/>
    <cellStyle name="Comma 3 2 4 2 2 6" xfId="40141" xr:uid="{6DAFEC84-A324-436B-AE7D-64B593AB349C}"/>
    <cellStyle name="Comma 3 2 4 2 2 7" xfId="21887" xr:uid="{94F2BBB5-9ED0-4FD9-B0A8-429D458B8870}"/>
    <cellStyle name="Comma 3 2 4 2 3" xfId="2903" xr:uid="{A832C035-FC02-4501-8D0E-01B8AFF32C40}"/>
    <cellStyle name="Comma 3 2 4 2 3 2" xfId="17503" xr:uid="{FE9868DD-8CD1-4111-83C4-F57F51D47760}"/>
    <cellStyle name="Comma 3 2 4 2 3 2 2" xfId="54011" xr:uid="{4A9E0152-CA3C-4652-954A-F1EA6D684DD2}"/>
    <cellStyle name="Comma 3 2 4 2 3 2 3" xfId="35757" xr:uid="{4D5501E2-146D-4526-A7D7-250BFCBEA97F}"/>
    <cellStyle name="Comma 3 2 4 2 3 3" xfId="13853" xr:uid="{3A8BCD90-F466-4E4C-ADEE-B44BC2B1F310}"/>
    <cellStyle name="Comma 3 2 4 2 3 3 2" xfId="50361" xr:uid="{159FD6B3-9D21-4511-BFE1-F8DCF26B1B47}"/>
    <cellStyle name="Comma 3 2 4 2 3 3 3" xfId="32107" xr:uid="{4183531F-19AD-4BB7-95CD-410B48457A94}"/>
    <cellStyle name="Comma 3 2 4 2 3 4" xfId="10203" xr:uid="{BF1ABA20-9B53-41C6-A0C6-6222571CAE63}"/>
    <cellStyle name="Comma 3 2 4 2 3 4 2" xfId="46711" xr:uid="{1849FDF7-6A16-4B32-A9F4-B33A380624E3}"/>
    <cellStyle name="Comma 3 2 4 2 3 4 3" xfId="28457" xr:uid="{F2EB3937-6076-40CC-8CDC-E13D71219F5B}"/>
    <cellStyle name="Comma 3 2 4 2 3 5" xfId="6553" xr:uid="{1A12C78B-1FC7-44D7-857B-00715957C688}"/>
    <cellStyle name="Comma 3 2 4 2 3 5 2" xfId="43061" xr:uid="{BCBD3263-3E39-4033-96C9-5CC56DF3A3BD}"/>
    <cellStyle name="Comma 3 2 4 2 3 5 3" xfId="24807" xr:uid="{369E8EF5-D656-475A-88C1-D61267F277E4}"/>
    <cellStyle name="Comma 3 2 4 2 3 6" xfId="39411" xr:uid="{81360BE6-F549-4694-87F7-3FAD81824501}"/>
    <cellStyle name="Comma 3 2 4 2 3 7" xfId="21157" xr:uid="{86E279DA-E3A5-4B70-BAF6-0AFEF7A86752}"/>
    <cellStyle name="Comma 3 2 4 2 4" xfId="2173" xr:uid="{3F3C7A0D-C909-46D8-B6B8-BC11A88BE4A3}"/>
    <cellStyle name="Comma 3 2 4 2 4 2" xfId="16773" xr:uid="{B1497F84-27CA-41A2-8564-A7A1889D6EBC}"/>
    <cellStyle name="Comma 3 2 4 2 4 2 2" xfId="53281" xr:uid="{FC6A7088-C4FA-4122-A3EF-C64C2C123ECF}"/>
    <cellStyle name="Comma 3 2 4 2 4 2 3" xfId="35027" xr:uid="{813EC23B-5093-4D78-BA3E-757478FB2266}"/>
    <cellStyle name="Comma 3 2 4 2 4 3" xfId="13123" xr:uid="{7FA6A93B-739F-494E-96BE-96D34AB9D78C}"/>
    <cellStyle name="Comma 3 2 4 2 4 3 2" xfId="49631" xr:uid="{E09373E6-4E2E-4AAC-AB10-8CFA337AA465}"/>
    <cellStyle name="Comma 3 2 4 2 4 3 3" xfId="31377" xr:uid="{D47FC2C5-E6BC-4BD6-AFCF-225D38880144}"/>
    <cellStyle name="Comma 3 2 4 2 4 4" xfId="9473" xr:uid="{A8588D77-341C-4477-8D02-6352A457ABFB}"/>
    <cellStyle name="Comma 3 2 4 2 4 4 2" xfId="45981" xr:uid="{5818F336-A65C-4894-AF4E-2C9FA1779670}"/>
    <cellStyle name="Comma 3 2 4 2 4 4 3" xfId="27727" xr:uid="{08F1CCD4-0A77-445B-A4EF-B0A8011B715C}"/>
    <cellStyle name="Comma 3 2 4 2 4 5" xfId="5823" xr:uid="{79CEB705-DDFF-4766-BBE1-39A1512436E6}"/>
    <cellStyle name="Comma 3 2 4 2 4 5 2" xfId="42331" xr:uid="{9EA4F7CE-3ACE-4DEC-95D9-DD9568499E92}"/>
    <cellStyle name="Comma 3 2 4 2 4 5 3" xfId="24077" xr:uid="{514D5BC1-03F0-4D04-94FE-C20DC9CB19E0}"/>
    <cellStyle name="Comma 3 2 4 2 4 6" xfId="38681" xr:uid="{76538301-B77B-470E-9051-9F5818ACF911}"/>
    <cellStyle name="Comma 3 2 4 2 4 7" xfId="20427" xr:uid="{82258714-8835-4007-9547-59362FB07914}"/>
    <cellStyle name="Comma 3 2 4 2 5" xfId="1443" xr:uid="{5D642D37-4ADA-4D5C-8CA7-C7D09E8FD9BF}"/>
    <cellStyle name="Comma 3 2 4 2 5 2" xfId="16043" xr:uid="{60C813AE-4F28-4B21-A94C-2C9F01D3A206}"/>
    <cellStyle name="Comma 3 2 4 2 5 2 2" xfId="52551" xr:uid="{9DB69602-FC48-4787-806E-590EA66FBBCD}"/>
    <cellStyle name="Comma 3 2 4 2 5 2 3" xfId="34297" xr:uid="{E5316F61-BFDC-4205-9C1B-09256295A5DE}"/>
    <cellStyle name="Comma 3 2 4 2 5 3" xfId="12393" xr:uid="{39E03C83-77CE-4B38-864F-4387FF7F53EA}"/>
    <cellStyle name="Comma 3 2 4 2 5 3 2" xfId="48901" xr:uid="{DA517C74-21E2-45B4-BF90-99E2E90A3A73}"/>
    <cellStyle name="Comma 3 2 4 2 5 3 3" xfId="30647" xr:uid="{68DEAA2F-7CCC-49C6-9EBF-1B659249D577}"/>
    <cellStyle name="Comma 3 2 4 2 5 4" xfId="8743" xr:uid="{4E4D4901-317D-476B-867D-95752980574F}"/>
    <cellStyle name="Comma 3 2 4 2 5 4 2" xfId="45251" xr:uid="{2E1A28B1-60D2-45DF-8C5E-B6AC4D2CB335}"/>
    <cellStyle name="Comma 3 2 4 2 5 4 3" xfId="26997" xr:uid="{36F34FCA-E5C5-4399-8E73-D9B73C67E51D}"/>
    <cellStyle name="Comma 3 2 4 2 5 5" xfId="5093" xr:uid="{A728D664-E53D-4BFB-AF69-A19C1C165CBD}"/>
    <cellStyle name="Comma 3 2 4 2 5 5 2" xfId="41601" xr:uid="{4C4E5853-AD08-49A0-9099-990B34413C90}"/>
    <cellStyle name="Comma 3 2 4 2 5 5 3" xfId="23347" xr:uid="{9E2842B2-FB83-443B-816C-B480F01CC247}"/>
    <cellStyle name="Comma 3 2 4 2 5 6" xfId="37951" xr:uid="{31525807-0069-42F2-8132-40A230938DC7}"/>
    <cellStyle name="Comma 3 2 4 2 5 7" xfId="19697" xr:uid="{26092442-5A04-4B8D-9FA4-16C0EBF11276}"/>
    <cellStyle name="Comma 3 2 4 2 6" xfId="15313" xr:uid="{3566053B-086F-4725-8690-2225A72EC49B}"/>
    <cellStyle name="Comma 3 2 4 2 6 2" xfId="51821" xr:uid="{C828440A-BEAD-46D7-8504-E84BD7C087C0}"/>
    <cellStyle name="Comma 3 2 4 2 6 3" xfId="33567" xr:uid="{DB9746CE-2EE6-4626-9942-D06F1F248CB3}"/>
    <cellStyle name="Comma 3 2 4 2 7" xfId="11663" xr:uid="{436C7D3C-BD25-4CA3-9FE4-D772B1534560}"/>
    <cellStyle name="Comma 3 2 4 2 7 2" xfId="48171" xr:uid="{C5D1BB01-7719-4803-A278-30A265CD3ED1}"/>
    <cellStyle name="Comma 3 2 4 2 7 3" xfId="29917" xr:uid="{0E61C9E9-C650-4384-8F47-8E422F8DAA7F}"/>
    <cellStyle name="Comma 3 2 4 2 8" xfId="8013" xr:uid="{3D5CFBD2-0DF7-4A18-BB3B-4FD37EC30945}"/>
    <cellStyle name="Comma 3 2 4 2 8 2" xfId="44521" xr:uid="{08EEB5B6-7FF1-4D16-A3A8-D3E5B7F80CD0}"/>
    <cellStyle name="Comma 3 2 4 2 8 3" xfId="26267" xr:uid="{4F002859-146F-43B7-A987-27BAC8479242}"/>
    <cellStyle name="Comma 3 2 4 2 9" xfId="4363" xr:uid="{53D1447D-CCDC-4368-9FC2-1A373E6ADBF7}"/>
    <cellStyle name="Comma 3 2 4 2 9 2" xfId="40871" xr:uid="{B73D363C-FB81-42C5-AF1D-A3A3FB35B352}"/>
    <cellStyle name="Comma 3 2 4 2 9 3" xfId="22617" xr:uid="{0ECDF81C-A5FD-41E8-95D5-9C8188A44B22}"/>
    <cellStyle name="Comma 3 2 4 3" xfId="609" xr:uid="{931F5C6D-49A8-45CD-8E69-35A9E2DD83B9}"/>
    <cellStyle name="Comma 3 2 4 3 10" xfId="37117" xr:uid="{BFA19D57-09FA-47B2-AE72-538F3A0334B9}"/>
    <cellStyle name="Comma 3 2 4 3 11" xfId="18863" xr:uid="{EF19CE76-F3C9-43AA-8168-4DCE740B1A7D}"/>
    <cellStyle name="Comma 3 2 4 3 2" xfId="3529" xr:uid="{114AF972-66B8-4013-9395-1DDDA996C307}"/>
    <cellStyle name="Comma 3 2 4 3 2 2" xfId="18129" xr:uid="{4E1FFF73-60F2-4CFA-B6D5-536D86DB5DD6}"/>
    <cellStyle name="Comma 3 2 4 3 2 2 2" xfId="54637" xr:uid="{3961CE87-37FB-48BD-BAAB-C90A67E1AF00}"/>
    <cellStyle name="Comma 3 2 4 3 2 2 3" xfId="36383" xr:uid="{DC90FDB2-D24E-4FFB-BA14-D34EA5F77D9F}"/>
    <cellStyle name="Comma 3 2 4 3 2 3" xfId="14479" xr:uid="{D01B32C3-C71A-4045-A385-6F58D82E2A28}"/>
    <cellStyle name="Comma 3 2 4 3 2 3 2" xfId="50987" xr:uid="{76EA748D-3132-4BED-B276-89F6FC9BBCF2}"/>
    <cellStyle name="Comma 3 2 4 3 2 3 3" xfId="32733" xr:uid="{8F2B97FF-D70B-4A06-BA07-6E783B438546}"/>
    <cellStyle name="Comma 3 2 4 3 2 4" xfId="10829" xr:uid="{80DB1345-811C-4126-B4BC-1492CE01419D}"/>
    <cellStyle name="Comma 3 2 4 3 2 4 2" xfId="47337" xr:uid="{D442CC7B-AD97-4C8B-A003-234F4D9BE328}"/>
    <cellStyle name="Comma 3 2 4 3 2 4 3" xfId="29083" xr:uid="{4D2B2BA5-5BD6-4337-93CF-94CA5D4C96C0}"/>
    <cellStyle name="Comma 3 2 4 3 2 5" xfId="7179" xr:uid="{D92AB17F-DD4B-45B7-B2B2-BD821A06C7E5}"/>
    <cellStyle name="Comma 3 2 4 3 2 5 2" xfId="43687" xr:uid="{8D4E3469-57AC-4F3F-849B-35BEBBD72A16}"/>
    <cellStyle name="Comma 3 2 4 3 2 5 3" xfId="25433" xr:uid="{634BDD33-3350-43FE-9A87-FBB14BB68C94}"/>
    <cellStyle name="Comma 3 2 4 3 2 6" xfId="40037" xr:uid="{346F6D1F-8787-4598-A3C9-E2270E7FB6D9}"/>
    <cellStyle name="Comma 3 2 4 3 2 7" xfId="21783" xr:uid="{211C17E5-54FA-4162-8328-4406677AD431}"/>
    <cellStyle name="Comma 3 2 4 3 3" xfId="2799" xr:uid="{236F9B84-3D77-49BC-91E9-9529ED676D27}"/>
    <cellStyle name="Comma 3 2 4 3 3 2" xfId="17399" xr:uid="{287396CC-9D74-4250-8533-5A576135010E}"/>
    <cellStyle name="Comma 3 2 4 3 3 2 2" xfId="53907" xr:uid="{4CEEE4DB-120C-48B8-A39D-9EC81A8971A9}"/>
    <cellStyle name="Comma 3 2 4 3 3 2 3" xfId="35653" xr:uid="{FCC6C5E5-D2F9-4EA7-918A-8DE21319944D}"/>
    <cellStyle name="Comma 3 2 4 3 3 3" xfId="13749" xr:uid="{317D4715-86B7-4093-9E21-11480B8C1F20}"/>
    <cellStyle name="Comma 3 2 4 3 3 3 2" xfId="50257" xr:uid="{67B5FB15-A43B-46CD-A534-878DB5EEB6AB}"/>
    <cellStyle name="Comma 3 2 4 3 3 3 3" xfId="32003" xr:uid="{7DE23933-33FC-4AD1-887E-D843A00E2650}"/>
    <cellStyle name="Comma 3 2 4 3 3 4" xfId="10099" xr:uid="{2E446C3B-4731-4FBB-A617-850BD988866B}"/>
    <cellStyle name="Comma 3 2 4 3 3 4 2" xfId="46607" xr:uid="{969BDFDA-31BC-4C04-9818-389FE9989184}"/>
    <cellStyle name="Comma 3 2 4 3 3 4 3" xfId="28353" xr:uid="{1C9C485B-CB0E-4AF5-97AC-8A8D094CF7E6}"/>
    <cellStyle name="Comma 3 2 4 3 3 5" xfId="6449" xr:uid="{653F751E-CC2F-47B8-B4D0-A7CF5A482909}"/>
    <cellStyle name="Comma 3 2 4 3 3 5 2" xfId="42957" xr:uid="{67D0EB83-2B46-4C5B-B685-3C49D7B1FA12}"/>
    <cellStyle name="Comma 3 2 4 3 3 5 3" xfId="24703" xr:uid="{098C7960-371A-44C8-8252-991E9FC11F30}"/>
    <cellStyle name="Comma 3 2 4 3 3 6" xfId="39307" xr:uid="{DFE14C73-CAC5-4327-A54D-85F826432464}"/>
    <cellStyle name="Comma 3 2 4 3 3 7" xfId="21053" xr:uid="{C699E7D4-420D-4B1A-9B77-2EEBF92E5489}"/>
    <cellStyle name="Comma 3 2 4 3 4" xfId="2069" xr:uid="{5896C2F3-24AB-4917-ABD3-04679FAB1365}"/>
    <cellStyle name="Comma 3 2 4 3 4 2" xfId="16669" xr:uid="{27394BAC-0B7B-48CA-9846-D9481EC7EBED}"/>
    <cellStyle name="Comma 3 2 4 3 4 2 2" xfId="53177" xr:uid="{977BE50B-57D4-4719-BB08-3EFD1A5784FC}"/>
    <cellStyle name="Comma 3 2 4 3 4 2 3" xfId="34923" xr:uid="{6A968EA2-CF26-4AAA-BBD0-1C567BD2CC03}"/>
    <cellStyle name="Comma 3 2 4 3 4 3" xfId="13019" xr:uid="{0B9C3FD9-522B-4046-A5DC-9236667EF676}"/>
    <cellStyle name="Comma 3 2 4 3 4 3 2" xfId="49527" xr:uid="{FCA9562A-EAC2-41BD-BBB8-62CF8011327F}"/>
    <cellStyle name="Comma 3 2 4 3 4 3 3" xfId="31273" xr:uid="{4C7A5A9F-AE1D-4003-9B92-D0A950A8CCAA}"/>
    <cellStyle name="Comma 3 2 4 3 4 4" xfId="9369" xr:uid="{8784A10A-4B5A-4EBC-A7DD-3DE788CE99CF}"/>
    <cellStyle name="Comma 3 2 4 3 4 4 2" xfId="45877" xr:uid="{475AC16C-BC0A-4842-8F48-43C4641F9FAF}"/>
    <cellStyle name="Comma 3 2 4 3 4 4 3" xfId="27623" xr:uid="{DC4D904C-0CC6-4375-9944-421C803C5618}"/>
    <cellStyle name="Comma 3 2 4 3 4 5" xfId="5719" xr:uid="{A55DB4A8-EC29-4400-8076-5B9FB8150B07}"/>
    <cellStyle name="Comma 3 2 4 3 4 5 2" xfId="42227" xr:uid="{509C0025-4725-4E6C-B637-DDDDAB5D18DF}"/>
    <cellStyle name="Comma 3 2 4 3 4 5 3" xfId="23973" xr:uid="{06B20ED7-D34D-4304-BCEE-2F4365B870B9}"/>
    <cellStyle name="Comma 3 2 4 3 4 6" xfId="38577" xr:uid="{7A22BB6C-D9B3-4ACB-9620-022B7D4A1AC1}"/>
    <cellStyle name="Comma 3 2 4 3 4 7" xfId="20323" xr:uid="{3FAE7C43-500A-49E4-83EE-7CFC2C17A82C}"/>
    <cellStyle name="Comma 3 2 4 3 5" xfId="1339" xr:uid="{AC6DEB0F-7468-452F-81AD-10BE1B210693}"/>
    <cellStyle name="Comma 3 2 4 3 5 2" xfId="15939" xr:uid="{FAE28472-D19B-4CC3-A4F8-5A140ADDC6FC}"/>
    <cellStyle name="Comma 3 2 4 3 5 2 2" xfId="52447" xr:uid="{8972F95C-8F5F-44B1-850E-880ED3D200B5}"/>
    <cellStyle name="Comma 3 2 4 3 5 2 3" xfId="34193" xr:uid="{C19C5767-1280-4BB2-9921-1425C068BABD}"/>
    <cellStyle name="Comma 3 2 4 3 5 3" xfId="12289" xr:uid="{CE650299-642F-4C2F-AA77-E222AEDB5484}"/>
    <cellStyle name="Comma 3 2 4 3 5 3 2" xfId="48797" xr:uid="{F43F2684-CD38-442B-AB0F-95ABF61ED291}"/>
    <cellStyle name="Comma 3 2 4 3 5 3 3" xfId="30543" xr:uid="{D99BAA2F-8C9F-43DB-8C33-321E8329A817}"/>
    <cellStyle name="Comma 3 2 4 3 5 4" xfId="8639" xr:uid="{A0BE9B37-038F-42EA-B7F1-767EFAE37070}"/>
    <cellStyle name="Comma 3 2 4 3 5 4 2" xfId="45147" xr:uid="{0E32F31C-68FE-4441-8BC8-C1F53F7A410A}"/>
    <cellStyle name="Comma 3 2 4 3 5 4 3" xfId="26893" xr:uid="{C863E884-A773-4F90-BC01-CCBA7C0F01AA}"/>
    <cellStyle name="Comma 3 2 4 3 5 5" xfId="4989" xr:uid="{1181142C-3351-484C-BACF-210035DF3EFC}"/>
    <cellStyle name="Comma 3 2 4 3 5 5 2" xfId="41497" xr:uid="{3F7719E8-06BF-42B8-B484-3F4EE18B5E73}"/>
    <cellStyle name="Comma 3 2 4 3 5 5 3" xfId="23243" xr:uid="{512580F6-67EE-4E8F-BB4D-5991930733D3}"/>
    <cellStyle name="Comma 3 2 4 3 5 6" xfId="37847" xr:uid="{4779EEED-491D-4A96-AB3E-7364E75123E0}"/>
    <cellStyle name="Comma 3 2 4 3 5 7" xfId="19593" xr:uid="{3F4A002E-77C7-48C0-AF74-807AD119D6C7}"/>
    <cellStyle name="Comma 3 2 4 3 6" xfId="15209" xr:uid="{479588BE-6002-4DF6-A222-1B83C4ECC6AC}"/>
    <cellStyle name="Comma 3 2 4 3 6 2" xfId="51717" xr:uid="{68C5610E-D290-4F2A-9741-C8738826F18D}"/>
    <cellStyle name="Comma 3 2 4 3 6 3" xfId="33463" xr:uid="{42C169CE-D475-4193-8DEA-90D1E0D9678F}"/>
    <cellStyle name="Comma 3 2 4 3 7" xfId="11559" xr:uid="{7DE07AD0-3C4A-42C8-B9BB-40240E880466}"/>
    <cellStyle name="Comma 3 2 4 3 7 2" xfId="48067" xr:uid="{30A27E4B-82C1-4C33-B83A-2678F78A1241}"/>
    <cellStyle name="Comma 3 2 4 3 7 3" xfId="29813" xr:uid="{8512EF11-AD3C-4427-91CF-178D847C6A0B}"/>
    <cellStyle name="Comma 3 2 4 3 8" xfId="7909" xr:uid="{110B66EB-B088-4EF6-A3A7-76B5AB9546EF}"/>
    <cellStyle name="Comma 3 2 4 3 8 2" xfId="44417" xr:uid="{FFD1E2BC-98DD-45E0-85FE-DED8BA513AAE}"/>
    <cellStyle name="Comma 3 2 4 3 8 3" xfId="26163" xr:uid="{D077AF50-0C01-470E-98EB-5F7CF4B9557B}"/>
    <cellStyle name="Comma 3 2 4 3 9" xfId="4259" xr:uid="{92DCE66B-F25B-465C-B039-D1F69794C4DE}"/>
    <cellStyle name="Comma 3 2 4 3 9 2" xfId="40767" xr:uid="{EBEBDA26-B7DF-48F1-8A27-1CF0488741F5}"/>
    <cellStyle name="Comma 3 2 4 3 9 3" xfId="22513" xr:uid="{1029F398-44F0-4163-8A37-24D8B08B95C8}"/>
    <cellStyle name="Comma 3 2 4 4" xfId="505" xr:uid="{8409FEC7-9907-4BA0-B028-708DD18B56A4}"/>
    <cellStyle name="Comma 3 2 4 4 10" xfId="37013" xr:uid="{966A8E01-CF15-4C0B-9BA0-5CC484F2BB06}"/>
    <cellStyle name="Comma 3 2 4 4 11" xfId="18759" xr:uid="{F1E33F4D-E98C-4BCA-87EE-AA3176E4D053}"/>
    <cellStyle name="Comma 3 2 4 4 2" xfId="3425" xr:uid="{EDF4AD40-5EC4-4BB0-AFC7-316E1D57F512}"/>
    <cellStyle name="Comma 3 2 4 4 2 2" xfId="18025" xr:uid="{A9B99A16-F8F0-4AC7-9881-89BC97D276EC}"/>
    <cellStyle name="Comma 3 2 4 4 2 2 2" xfId="54533" xr:uid="{FA4971E2-54CA-49F3-83CE-CDB5073F07F6}"/>
    <cellStyle name="Comma 3 2 4 4 2 2 3" xfId="36279" xr:uid="{3207D7C2-4EFD-4637-848D-BAB858344E12}"/>
    <cellStyle name="Comma 3 2 4 4 2 3" xfId="14375" xr:uid="{870DC792-C72D-4B98-A9F2-A180395CA5F0}"/>
    <cellStyle name="Comma 3 2 4 4 2 3 2" xfId="50883" xr:uid="{DF33CF47-7BBE-4EE1-9CE7-E04AB8DAC367}"/>
    <cellStyle name="Comma 3 2 4 4 2 3 3" xfId="32629" xr:uid="{C0594093-B17A-4742-AD41-FA6DA4693CCD}"/>
    <cellStyle name="Comma 3 2 4 4 2 4" xfId="10725" xr:uid="{DFDC5150-E56F-4419-9D9A-70BFE8A750BC}"/>
    <cellStyle name="Comma 3 2 4 4 2 4 2" xfId="47233" xr:uid="{A8AF5805-261D-4C84-9535-74B0E73A3590}"/>
    <cellStyle name="Comma 3 2 4 4 2 4 3" xfId="28979" xr:uid="{4DE461DE-6AF2-4573-9324-2B15BA1F009E}"/>
    <cellStyle name="Comma 3 2 4 4 2 5" xfId="7075" xr:uid="{E725DC9E-1DE7-4919-AB56-9C0868F7BEB8}"/>
    <cellStyle name="Comma 3 2 4 4 2 5 2" xfId="43583" xr:uid="{54F44A48-1819-47C8-8ABF-8ADEAB5B2F85}"/>
    <cellStyle name="Comma 3 2 4 4 2 5 3" xfId="25329" xr:uid="{68295E11-1534-460E-946B-11D30F3CF757}"/>
    <cellStyle name="Comma 3 2 4 4 2 6" xfId="39933" xr:uid="{16605166-E324-4AEA-8BAF-976F36CB9E2A}"/>
    <cellStyle name="Comma 3 2 4 4 2 7" xfId="21679" xr:uid="{DFC0D8CC-A812-4FDE-923F-DF07C988E117}"/>
    <cellStyle name="Comma 3 2 4 4 3" xfId="2695" xr:uid="{8B67A3DD-9405-46C5-A329-BBDAF4C19328}"/>
    <cellStyle name="Comma 3 2 4 4 3 2" xfId="17295" xr:uid="{D3211A40-1FB4-415C-B992-F774AFF07579}"/>
    <cellStyle name="Comma 3 2 4 4 3 2 2" xfId="53803" xr:uid="{3D33F8BC-3637-4B2B-A56B-86E9257D2B0F}"/>
    <cellStyle name="Comma 3 2 4 4 3 2 3" xfId="35549" xr:uid="{4785F2AA-A197-41EB-AFF8-18DBCF55FDEB}"/>
    <cellStyle name="Comma 3 2 4 4 3 3" xfId="13645" xr:uid="{647AEEB7-5DD0-4EA1-8809-59128872BDFC}"/>
    <cellStyle name="Comma 3 2 4 4 3 3 2" xfId="50153" xr:uid="{85719E84-D4DC-4F12-A8CA-6FBAEF5BC18F}"/>
    <cellStyle name="Comma 3 2 4 4 3 3 3" xfId="31899" xr:uid="{033E929E-1F0C-4A70-8D9C-72D2AEF54B3A}"/>
    <cellStyle name="Comma 3 2 4 4 3 4" xfId="9995" xr:uid="{AFD8D9AB-E55B-4862-9A85-38F6FE87A35F}"/>
    <cellStyle name="Comma 3 2 4 4 3 4 2" xfId="46503" xr:uid="{5C4150FE-D2AA-4C05-B5D5-4194DCE5060C}"/>
    <cellStyle name="Comma 3 2 4 4 3 4 3" xfId="28249" xr:uid="{16EA26D7-AD38-4B92-A6AF-B964AF90CBF7}"/>
    <cellStyle name="Comma 3 2 4 4 3 5" xfId="6345" xr:uid="{11CA6923-F8F6-4518-BBBF-8429B9098CD9}"/>
    <cellStyle name="Comma 3 2 4 4 3 5 2" xfId="42853" xr:uid="{F252B51A-9389-4364-A7E8-73E38D86DED6}"/>
    <cellStyle name="Comma 3 2 4 4 3 5 3" xfId="24599" xr:uid="{6FF4858F-2D63-4076-A16E-AFF9F4E96928}"/>
    <cellStyle name="Comma 3 2 4 4 3 6" xfId="39203" xr:uid="{9745FA2F-AA4D-42DE-85D5-FFEDC7586D94}"/>
    <cellStyle name="Comma 3 2 4 4 3 7" xfId="20949" xr:uid="{949770BE-B091-4218-9A85-AF92F49D2613}"/>
    <cellStyle name="Comma 3 2 4 4 4" xfId="1965" xr:uid="{C23F17B9-3AE2-443F-A235-F42A5698A039}"/>
    <cellStyle name="Comma 3 2 4 4 4 2" xfId="16565" xr:uid="{FA51FE38-C7CD-42C9-972D-3D4D4ECCCE81}"/>
    <cellStyle name="Comma 3 2 4 4 4 2 2" xfId="53073" xr:uid="{1DB7F288-2959-4D42-9A8C-2ECA90A55F0D}"/>
    <cellStyle name="Comma 3 2 4 4 4 2 3" xfId="34819" xr:uid="{8C3FF78F-326C-4C4D-AE32-538C694A2E39}"/>
    <cellStyle name="Comma 3 2 4 4 4 3" xfId="12915" xr:uid="{0F5566C3-2409-486A-A0C9-0E780FC35903}"/>
    <cellStyle name="Comma 3 2 4 4 4 3 2" xfId="49423" xr:uid="{4A790065-649F-484B-81E3-FE8842B7D60A}"/>
    <cellStyle name="Comma 3 2 4 4 4 3 3" xfId="31169" xr:uid="{D40FC8DA-746D-4A88-A7A6-BDD7834F0B66}"/>
    <cellStyle name="Comma 3 2 4 4 4 4" xfId="9265" xr:uid="{71F3A026-E6EC-47C3-8927-05B755CD34BA}"/>
    <cellStyle name="Comma 3 2 4 4 4 4 2" xfId="45773" xr:uid="{CDFCE157-F961-4280-814F-14F274D15B29}"/>
    <cellStyle name="Comma 3 2 4 4 4 4 3" xfId="27519" xr:uid="{36357CD6-0367-4E49-BF30-35E2279BE083}"/>
    <cellStyle name="Comma 3 2 4 4 4 5" xfId="5615" xr:uid="{CB58F3FF-0C33-435A-AF99-CB207B28054E}"/>
    <cellStyle name="Comma 3 2 4 4 4 5 2" xfId="42123" xr:uid="{E12DF04D-17F2-496B-A18E-6B9F9E9608C4}"/>
    <cellStyle name="Comma 3 2 4 4 4 5 3" xfId="23869" xr:uid="{F88E9A6B-E30A-4D34-97D1-216D54175B6F}"/>
    <cellStyle name="Comma 3 2 4 4 4 6" xfId="38473" xr:uid="{D373A9DE-3CE9-4E10-9B10-32393956A36B}"/>
    <cellStyle name="Comma 3 2 4 4 4 7" xfId="20219" xr:uid="{C1E1EC97-514F-4A0E-8A55-82695BF76E79}"/>
    <cellStyle name="Comma 3 2 4 4 5" xfId="1235" xr:uid="{F98B6A02-0099-49F3-A13A-44C0A8F860BF}"/>
    <cellStyle name="Comma 3 2 4 4 5 2" xfId="15835" xr:uid="{7EB06633-E7AE-44A5-8FC4-00E96FFA1DFA}"/>
    <cellStyle name="Comma 3 2 4 4 5 2 2" xfId="52343" xr:uid="{43E60EB9-E30A-4380-B306-8311C2C12ECD}"/>
    <cellStyle name="Comma 3 2 4 4 5 2 3" xfId="34089" xr:uid="{9F2C4F40-4713-4D1E-B130-11AEE03C5B66}"/>
    <cellStyle name="Comma 3 2 4 4 5 3" xfId="12185" xr:uid="{D3EC2166-9477-493C-BA53-F201C917CB53}"/>
    <cellStyle name="Comma 3 2 4 4 5 3 2" xfId="48693" xr:uid="{41769DA1-6B1E-4062-B588-B866F13CA435}"/>
    <cellStyle name="Comma 3 2 4 4 5 3 3" xfId="30439" xr:uid="{AADBAD82-4670-4B7A-8B35-9403254F2331}"/>
    <cellStyle name="Comma 3 2 4 4 5 4" xfId="8535" xr:uid="{DE8DAE3B-3DCE-4DBD-9CB8-1870524E9D00}"/>
    <cellStyle name="Comma 3 2 4 4 5 4 2" xfId="45043" xr:uid="{7BAAF9DF-F486-4DC6-A45D-5CEC010487CF}"/>
    <cellStyle name="Comma 3 2 4 4 5 4 3" xfId="26789" xr:uid="{FEFEFD46-B912-44AD-8E72-EF316E0A8DC1}"/>
    <cellStyle name="Comma 3 2 4 4 5 5" xfId="4885" xr:uid="{362E56C6-D079-4442-976F-17FAB120E5EA}"/>
    <cellStyle name="Comma 3 2 4 4 5 5 2" xfId="41393" xr:uid="{08353AB2-E007-4A14-ABE3-FB78B855AE38}"/>
    <cellStyle name="Comma 3 2 4 4 5 5 3" xfId="23139" xr:uid="{3D008A90-4973-4D00-9BF5-B71FE36141F3}"/>
    <cellStyle name="Comma 3 2 4 4 5 6" xfId="37743" xr:uid="{FC3959AA-0D5A-42AB-93C8-67091C964653}"/>
    <cellStyle name="Comma 3 2 4 4 5 7" xfId="19489" xr:uid="{FF4D2D2F-7BA1-4B7A-AB03-F69318A1DD36}"/>
    <cellStyle name="Comma 3 2 4 4 6" xfId="15105" xr:uid="{E2416294-CEEF-4411-A29C-87C06FA289AE}"/>
    <cellStyle name="Comma 3 2 4 4 6 2" xfId="51613" xr:uid="{B012B1C9-4935-4A15-B2F6-02CD9322C404}"/>
    <cellStyle name="Comma 3 2 4 4 6 3" xfId="33359" xr:uid="{2878D115-6E60-4BE8-8AB8-1CB8E490FE91}"/>
    <cellStyle name="Comma 3 2 4 4 7" xfId="11455" xr:uid="{29ED37E4-58D0-45F1-8008-B74ACE5E7EA2}"/>
    <cellStyle name="Comma 3 2 4 4 7 2" xfId="47963" xr:uid="{B1DFC3A2-14CE-4980-90DD-A26FB74E2A55}"/>
    <cellStyle name="Comma 3 2 4 4 7 3" xfId="29709" xr:uid="{3A4DF298-089C-458C-86FE-03B0257D8E36}"/>
    <cellStyle name="Comma 3 2 4 4 8" xfId="7805" xr:uid="{9982820D-E216-454F-8A6D-4B24725FAC3B}"/>
    <cellStyle name="Comma 3 2 4 4 8 2" xfId="44313" xr:uid="{D42D89AD-404F-4E6F-9D52-D418659AFC80}"/>
    <cellStyle name="Comma 3 2 4 4 8 3" xfId="26059" xr:uid="{A4A65616-7FCC-4A58-ABDA-CF5ADD6E8880}"/>
    <cellStyle name="Comma 3 2 4 4 9" xfId="4155" xr:uid="{7D249A03-BCFF-4C9A-B2EE-BB6C05A35C04}"/>
    <cellStyle name="Comma 3 2 4 4 9 2" xfId="40663" xr:uid="{BE80769A-B52B-4BD6-8674-9A56FA45EB42}"/>
    <cellStyle name="Comma 3 2 4 4 9 3" xfId="22409" xr:uid="{33A9F750-8821-47A0-9CCB-2F535B3BFD84}"/>
    <cellStyle name="Comma 3 2 4 5" xfId="401" xr:uid="{AFB7F76B-D503-451E-94EA-665D3AE69C7B}"/>
    <cellStyle name="Comma 3 2 4 5 10" xfId="36909" xr:uid="{7F34867D-71B1-4922-8F24-3F836A50305B}"/>
    <cellStyle name="Comma 3 2 4 5 11" xfId="18655" xr:uid="{7065524C-59F9-471E-986E-A6010C7E0A52}"/>
    <cellStyle name="Comma 3 2 4 5 2" xfId="3321" xr:uid="{42CEA180-4B1E-4CEE-B0B2-1305E60BCCE7}"/>
    <cellStyle name="Comma 3 2 4 5 2 2" xfId="17921" xr:uid="{BBBD756C-9685-4A1D-A78F-E3F6A7DAC8CC}"/>
    <cellStyle name="Comma 3 2 4 5 2 2 2" xfId="54429" xr:uid="{1A506DD4-24B7-4079-B737-E4199BD065B9}"/>
    <cellStyle name="Comma 3 2 4 5 2 2 3" xfId="36175" xr:uid="{89E363E5-CB9D-4F42-9AD7-64EF5A424DA9}"/>
    <cellStyle name="Comma 3 2 4 5 2 3" xfId="14271" xr:uid="{78836D79-7A40-423B-8BF1-143E2C49D666}"/>
    <cellStyle name="Comma 3 2 4 5 2 3 2" xfId="50779" xr:uid="{68A4EC91-224C-4760-B7E1-28F3174CDDB0}"/>
    <cellStyle name="Comma 3 2 4 5 2 3 3" xfId="32525" xr:uid="{F6D0F7EE-755A-4AB8-8EA6-6E669F031F22}"/>
    <cellStyle name="Comma 3 2 4 5 2 4" xfId="10621" xr:uid="{7C356D97-3BC2-4294-9DE2-BE51D72D0CC0}"/>
    <cellStyle name="Comma 3 2 4 5 2 4 2" xfId="47129" xr:uid="{6E662391-9814-4188-B518-8A494744B726}"/>
    <cellStyle name="Comma 3 2 4 5 2 4 3" xfId="28875" xr:uid="{81AF189C-921D-480F-8688-530FBC42708F}"/>
    <cellStyle name="Comma 3 2 4 5 2 5" xfId="6971" xr:uid="{61529536-6E45-4F00-BC36-62A1A02BF24C}"/>
    <cellStyle name="Comma 3 2 4 5 2 5 2" xfId="43479" xr:uid="{6CD08DEC-0A89-4D96-9324-117B02911259}"/>
    <cellStyle name="Comma 3 2 4 5 2 5 3" xfId="25225" xr:uid="{C031CA39-EC56-4A92-99B3-936163C3C5CC}"/>
    <cellStyle name="Comma 3 2 4 5 2 6" xfId="39829" xr:uid="{C05339EE-0EA7-4A77-9F38-7E52928231D0}"/>
    <cellStyle name="Comma 3 2 4 5 2 7" xfId="21575" xr:uid="{14B65007-2458-43C7-A20C-72333FA0E69D}"/>
    <cellStyle name="Comma 3 2 4 5 3" xfId="2591" xr:uid="{85293437-B73B-4D85-A73E-4514DA7DC95A}"/>
    <cellStyle name="Comma 3 2 4 5 3 2" xfId="17191" xr:uid="{749B10C1-ECDA-41D0-93A0-7898F0D374E8}"/>
    <cellStyle name="Comma 3 2 4 5 3 2 2" xfId="53699" xr:uid="{FD1147F3-EB70-4167-B6C1-740BAF9CD922}"/>
    <cellStyle name="Comma 3 2 4 5 3 2 3" xfId="35445" xr:uid="{0411B355-00CC-4246-857A-4DB7381F8F60}"/>
    <cellStyle name="Comma 3 2 4 5 3 3" xfId="13541" xr:uid="{72121C28-0686-40F6-9187-B866B3D2288B}"/>
    <cellStyle name="Comma 3 2 4 5 3 3 2" xfId="50049" xr:uid="{4D891B84-ABF4-4226-8F29-31ABE791694E}"/>
    <cellStyle name="Comma 3 2 4 5 3 3 3" xfId="31795" xr:uid="{D3627FC4-F56C-4A7E-8F3A-CC7E67C65F69}"/>
    <cellStyle name="Comma 3 2 4 5 3 4" xfId="9891" xr:uid="{4756A4B0-F4AF-4F8E-9C97-99C868FBF803}"/>
    <cellStyle name="Comma 3 2 4 5 3 4 2" xfId="46399" xr:uid="{6618A2BB-DB7B-4672-8E1D-07C47495BA29}"/>
    <cellStyle name="Comma 3 2 4 5 3 4 3" xfId="28145" xr:uid="{FE6DB743-44F5-41F6-A820-5767AA8483CF}"/>
    <cellStyle name="Comma 3 2 4 5 3 5" xfId="6241" xr:uid="{74748AFB-5BA9-4092-95D4-FAE6D676B165}"/>
    <cellStyle name="Comma 3 2 4 5 3 5 2" xfId="42749" xr:uid="{20F45B92-43A2-4509-8C18-A55EAF3DD566}"/>
    <cellStyle name="Comma 3 2 4 5 3 5 3" xfId="24495" xr:uid="{ED495A6F-070C-4462-B023-4648A20B861F}"/>
    <cellStyle name="Comma 3 2 4 5 3 6" xfId="39099" xr:uid="{91C10E27-31AF-46F9-99C6-D1323D7E9050}"/>
    <cellStyle name="Comma 3 2 4 5 3 7" xfId="20845" xr:uid="{60D4BF40-834B-4E74-91AD-4EBE4EED313A}"/>
    <cellStyle name="Comma 3 2 4 5 4" xfId="1861" xr:uid="{45F08568-A188-45E3-8F57-83E39D3153D6}"/>
    <cellStyle name="Comma 3 2 4 5 4 2" xfId="16461" xr:uid="{C674AE1C-DE1C-4BDB-8231-C1BD77DFA710}"/>
    <cellStyle name="Comma 3 2 4 5 4 2 2" xfId="52969" xr:uid="{9C864BF1-01B4-40B9-8F1A-4B9C5963F43D}"/>
    <cellStyle name="Comma 3 2 4 5 4 2 3" xfId="34715" xr:uid="{0494B925-89DF-48AF-9479-38A77D9E604D}"/>
    <cellStyle name="Comma 3 2 4 5 4 3" xfId="12811" xr:uid="{BEACFF91-BDEF-4977-9AF4-2DD1061A59E5}"/>
    <cellStyle name="Comma 3 2 4 5 4 3 2" xfId="49319" xr:uid="{B82730E7-3C49-4368-A28B-5D25EA9C821F}"/>
    <cellStyle name="Comma 3 2 4 5 4 3 3" xfId="31065" xr:uid="{70C4EA71-F196-46D6-A87B-D9F5DC725F75}"/>
    <cellStyle name="Comma 3 2 4 5 4 4" xfId="9161" xr:uid="{9B1E4351-2AE7-400F-BB18-44D6B5B3475B}"/>
    <cellStyle name="Comma 3 2 4 5 4 4 2" xfId="45669" xr:uid="{5F6C4404-A7CA-4070-A366-EF8903FDF43F}"/>
    <cellStyle name="Comma 3 2 4 5 4 4 3" xfId="27415" xr:uid="{EDC63500-1F19-478E-840C-370D07EA23B5}"/>
    <cellStyle name="Comma 3 2 4 5 4 5" xfId="5511" xr:uid="{BB4C2083-632A-4984-8453-52ED5091D4EE}"/>
    <cellStyle name="Comma 3 2 4 5 4 5 2" xfId="42019" xr:uid="{D15CEB18-50F1-416A-AFFE-3DFB08E03A52}"/>
    <cellStyle name="Comma 3 2 4 5 4 5 3" xfId="23765" xr:uid="{05A53B84-5EE0-40ED-9753-8659DE60364C}"/>
    <cellStyle name="Comma 3 2 4 5 4 6" xfId="38369" xr:uid="{D6614FB3-2257-422D-A918-EF3B7D3F2150}"/>
    <cellStyle name="Comma 3 2 4 5 4 7" xfId="20115" xr:uid="{0A612A8D-196A-4EC7-B898-FA4B2E0DD7D1}"/>
    <cellStyle name="Comma 3 2 4 5 5" xfId="1131" xr:uid="{FACF6F01-FE38-4BA3-9F38-124A0477928B}"/>
    <cellStyle name="Comma 3 2 4 5 5 2" xfId="15731" xr:uid="{AD1F22AB-1304-4FE7-B9D4-92B846B55813}"/>
    <cellStyle name="Comma 3 2 4 5 5 2 2" xfId="52239" xr:uid="{6819A918-239C-4F3C-B749-971994DC1B97}"/>
    <cellStyle name="Comma 3 2 4 5 5 2 3" xfId="33985" xr:uid="{76FED27C-2C2D-4851-A25C-99918F6450F1}"/>
    <cellStyle name="Comma 3 2 4 5 5 3" xfId="12081" xr:uid="{0F5F7238-2C14-4B5E-A661-A1611810A0D5}"/>
    <cellStyle name="Comma 3 2 4 5 5 3 2" xfId="48589" xr:uid="{071299F5-183C-418E-AA9A-E1A82E6462A9}"/>
    <cellStyle name="Comma 3 2 4 5 5 3 3" xfId="30335" xr:uid="{38B15929-73C3-4DD7-B98A-D46EAB96BCDF}"/>
    <cellStyle name="Comma 3 2 4 5 5 4" xfId="8431" xr:uid="{FBAD4626-51FF-46E5-A3A4-FCA45A3A8FC9}"/>
    <cellStyle name="Comma 3 2 4 5 5 4 2" xfId="44939" xr:uid="{9845BE19-2F86-40E6-B1A2-A6B75004896C}"/>
    <cellStyle name="Comma 3 2 4 5 5 4 3" xfId="26685" xr:uid="{97A1BB34-C4A1-44D6-BB2E-26C8991B994D}"/>
    <cellStyle name="Comma 3 2 4 5 5 5" xfId="4781" xr:uid="{AE2F5C5B-3101-4BCE-A58F-999998D4C419}"/>
    <cellStyle name="Comma 3 2 4 5 5 5 2" xfId="41289" xr:uid="{42E0D1DA-FB3B-450D-BACB-9C77E1C58FC2}"/>
    <cellStyle name="Comma 3 2 4 5 5 5 3" xfId="23035" xr:uid="{A6F103F6-F4EA-432A-AE6B-D9A6528FCBCF}"/>
    <cellStyle name="Comma 3 2 4 5 5 6" xfId="37639" xr:uid="{3C706A19-AFBB-403C-9190-DC985136E0AE}"/>
    <cellStyle name="Comma 3 2 4 5 5 7" xfId="19385" xr:uid="{E48EA170-1F05-43F0-A7CE-F91E0A86D47C}"/>
    <cellStyle name="Comma 3 2 4 5 6" xfId="15001" xr:uid="{7BD121D5-432A-4CC5-AA86-B09080A85096}"/>
    <cellStyle name="Comma 3 2 4 5 6 2" xfId="51509" xr:uid="{35D0070A-34ED-402A-993E-7A92AEBCF096}"/>
    <cellStyle name="Comma 3 2 4 5 6 3" xfId="33255" xr:uid="{93298A8E-FF90-4823-A994-402C44909DFF}"/>
    <cellStyle name="Comma 3 2 4 5 7" xfId="11351" xr:uid="{5985B922-E8A7-4381-964F-8F66F8AD97B1}"/>
    <cellStyle name="Comma 3 2 4 5 7 2" xfId="47859" xr:uid="{0EBC0B30-C780-4C57-AD58-6244D8891FD9}"/>
    <cellStyle name="Comma 3 2 4 5 7 3" xfId="29605" xr:uid="{916D6755-F5B3-4A20-BA81-E1FA75CDF300}"/>
    <cellStyle name="Comma 3 2 4 5 8" xfId="7701" xr:uid="{EA412EB2-A968-4F5C-ACB1-FC450136BD28}"/>
    <cellStyle name="Comma 3 2 4 5 8 2" xfId="44209" xr:uid="{11719999-50FC-47E5-8FD5-FA812A524029}"/>
    <cellStyle name="Comma 3 2 4 5 8 3" xfId="25955" xr:uid="{A049E459-A83D-49FD-8BDD-C95B5582E3F0}"/>
    <cellStyle name="Comma 3 2 4 5 9" xfId="4051" xr:uid="{55510D72-7909-444E-B911-4C0BD567D6F1}"/>
    <cellStyle name="Comma 3 2 4 5 9 2" xfId="40559" xr:uid="{0EB465BC-32CF-48C2-8F96-B678EC264336}"/>
    <cellStyle name="Comma 3 2 4 5 9 3" xfId="22305" xr:uid="{E9FBFA05-B019-4BB8-ABC6-4A0C84544DC8}"/>
    <cellStyle name="Comma 3 2 4 6" xfId="297" xr:uid="{A093B09D-B202-4BE9-A40C-4ED389704FDF}"/>
    <cellStyle name="Comma 3 2 4 6 10" xfId="36805" xr:uid="{4E88CB94-D4BF-45DF-902E-FA883A82D582}"/>
    <cellStyle name="Comma 3 2 4 6 11" xfId="18551" xr:uid="{CD58BFBB-ECA6-4996-B281-73AAE60CB5AA}"/>
    <cellStyle name="Comma 3 2 4 6 2" xfId="3217" xr:uid="{4C29A1F5-FF83-461E-AA69-A6C33D87BDCA}"/>
    <cellStyle name="Comma 3 2 4 6 2 2" xfId="17817" xr:uid="{08E3CFAC-A439-4A30-8861-A8D18C7ED490}"/>
    <cellStyle name="Comma 3 2 4 6 2 2 2" xfId="54325" xr:uid="{7DD83A7A-964F-41C9-A87D-441096E8B9F7}"/>
    <cellStyle name="Comma 3 2 4 6 2 2 3" xfId="36071" xr:uid="{C7DDBA87-AB73-4F13-892F-79E4238C6116}"/>
    <cellStyle name="Comma 3 2 4 6 2 3" xfId="14167" xr:uid="{22B85338-A47C-4E0D-AFE3-D87CAA4FEB76}"/>
    <cellStyle name="Comma 3 2 4 6 2 3 2" xfId="50675" xr:uid="{C7F9C57C-71CA-4F52-BDD7-0E9944F6561D}"/>
    <cellStyle name="Comma 3 2 4 6 2 3 3" xfId="32421" xr:uid="{C0A5AEDB-CDE2-4954-9883-897A7E60CC42}"/>
    <cellStyle name="Comma 3 2 4 6 2 4" xfId="10517" xr:uid="{B0B28F2C-2668-4B2A-AD11-A5E793EEEAD2}"/>
    <cellStyle name="Comma 3 2 4 6 2 4 2" xfId="47025" xr:uid="{503A6AB9-9269-48EA-BFDA-0E7A144BE497}"/>
    <cellStyle name="Comma 3 2 4 6 2 4 3" xfId="28771" xr:uid="{9DCFA7A9-A997-4847-8623-E761DDF31D34}"/>
    <cellStyle name="Comma 3 2 4 6 2 5" xfId="6867" xr:uid="{BADB89A8-9636-40A4-A4EA-6BD62E902F41}"/>
    <cellStyle name="Comma 3 2 4 6 2 5 2" xfId="43375" xr:uid="{09335DEE-3171-4741-9EE5-0168972CC957}"/>
    <cellStyle name="Comma 3 2 4 6 2 5 3" xfId="25121" xr:uid="{FE5DCB34-5F45-4379-914A-DE60A9F5A464}"/>
    <cellStyle name="Comma 3 2 4 6 2 6" xfId="39725" xr:uid="{A6C67CD8-9F6E-4235-A4DB-439806950B7C}"/>
    <cellStyle name="Comma 3 2 4 6 2 7" xfId="21471" xr:uid="{52383AD3-BA94-42FF-A616-9993433996B7}"/>
    <cellStyle name="Comma 3 2 4 6 3" xfId="2487" xr:uid="{849AD962-AC19-45FF-BEC9-477DD7048197}"/>
    <cellStyle name="Comma 3 2 4 6 3 2" xfId="17087" xr:uid="{CFDE5A6F-6B41-4855-8B33-BBB10E9B439B}"/>
    <cellStyle name="Comma 3 2 4 6 3 2 2" xfId="53595" xr:uid="{F451B2D4-E959-4EA7-B99B-F6BA8E9DCFFC}"/>
    <cellStyle name="Comma 3 2 4 6 3 2 3" xfId="35341" xr:uid="{904B7333-AC02-4C3C-8C32-DF87B42E2304}"/>
    <cellStyle name="Comma 3 2 4 6 3 3" xfId="13437" xr:uid="{E9BB2462-AF2F-4E10-9C88-C512CF43F259}"/>
    <cellStyle name="Comma 3 2 4 6 3 3 2" xfId="49945" xr:uid="{820D898D-7568-4AE2-A64D-F8F63D125395}"/>
    <cellStyle name="Comma 3 2 4 6 3 3 3" xfId="31691" xr:uid="{1DF3C20D-DCE7-41BC-9FD5-C362512BC1AC}"/>
    <cellStyle name="Comma 3 2 4 6 3 4" xfId="9787" xr:uid="{A79F52EF-A38D-41C7-8D6E-4E89AF7BB564}"/>
    <cellStyle name="Comma 3 2 4 6 3 4 2" xfId="46295" xr:uid="{7C6F7D0D-8369-4E27-B8DB-6A28D5C05C1C}"/>
    <cellStyle name="Comma 3 2 4 6 3 4 3" xfId="28041" xr:uid="{3EB8A575-B024-4547-8946-A7DE1891ABB9}"/>
    <cellStyle name="Comma 3 2 4 6 3 5" xfId="6137" xr:uid="{008A7AFA-5E77-4FAE-8EA6-A33014553BA9}"/>
    <cellStyle name="Comma 3 2 4 6 3 5 2" xfId="42645" xr:uid="{BFA9C8D0-D1C9-4C6E-A17D-CD34C3D5A30A}"/>
    <cellStyle name="Comma 3 2 4 6 3 5 3" xfId="24391" xr:uid="{22DF2B9F-9F8A-4BD2-8E67-39A9AE1ECA43}"/>
    <cellStyle name="Comma 3 2 4 6 3 6" xfId="38995" xr:uid="{21E02737-5707-48DF-9488-FAB098FE911E}"/>
    <cellStyle name="Comma 3 2 4 6 3 7" xfId="20741" xr:uid="{2A05671C-2874-42CA-8C79-DA59119DB91C}"/>
    <cellStyle name="Comma 3 2 4 6 4" xfId="1757" xr:uid="{77926049-49B5-45D9-A749-E0A0AD9F2BF5}"/>
    <cellStyle name="Comma 3 2 4 6 4 2" xfId="16357" xr:uid="{9850A426-AF4E-41C6-B8B1-45BDA0BB1585}"/>
    <cellStyle name="Comma 3 2 4 6 4 2 2" xfId="52865" xr:uid="{9997FD6E-7AE9-47E5-95A5-35DEB281BBFA}"/>
    <cellStyle name="Comma 3 2 4 6 4 2 3" xfId="34611" xr:uid="{CD5A7C8E-9325-410E-A8A0-FC132A311872}"/>
    <cellStyle name="Comma 3 2 4 6 4 3" xfId="12707" xr:uid="{FEF7ACFB-F16F-4675-821F-B7EBD770647E}"/>
    <cellStyle name="Comma 3 2 4 6 4 3 2" xfId="49215" xr:uid="{1870A5DE-EB20-49FC-B014-704144C6A663}"/>
    <cellStyle name="Comma 3 2 4 6 4 3 3" xfId="30961" xr:uid="{A2A398B1-E9D7-4DA5-BDD3-67F46C30310F}"/>
    <cellStyle name="Comma 3 2 4 6 4 4" xfId="9057" xr:uid="{167A934E-493D-462B-B82C-0C4C9BC3BC04}"/>
    <cellStyle name="Comma 3 2 4 6 4 4 2" xfId="45565" xr:uid="{7C8BA5C1-4E88-4714-9703-11B77A0CCDA3}"/>
    <cellStyle name="Comma 3 2 4 6 4 4 3" xfId="27311" xr:uid="{8F8F2D07-CB00-487A-8CB2-680D6CA53356}"/>
    <cellStyle name="Comma 3 2 4 6 4 5" xfId="5407" xr:uid="{2447C4DA-4F5A-459A-A285-B40DD74C0A4D}"/>
    <cellStyle name="Comma 3 2 4 6 4 5 2" xfId="41915" xr:uid="{BE7AEE32-4543-4563-8A53-1BFDC85099BB}"/>
    <cellStyle name="Comma 3 2 4 6 4 5 3" xfId="23661" xr:uid="{C2CA68A1-80D0-4C28-AD69-9B750B16FC0D}"/>
    <cellStyle name="Comma 3 2 4 6 4 6" xfId="38265" xr:uid="{AB48EC58-F529-4048-ACF5-ACEF5994B2DB}"/>
    <cellStyle name="Comma 3 2 4 6 4 7" xfId="20011" xr:uid="{9D3BF849-B48F-4D2F-BE43-7C90E03BA669}"/>
    <cellStyle name="Comma 3 2 4 6 5" xfId="1027" xr:uid="{3B9FB459-9FBA-4828-A4E9-05B877325964}"/>
    <cellStyle name="Comma 3 2 4 6 5 2" xfId="15627" xr:uid="{4AA3E4A9-E318-40BE-81CC-F2EDB12EEC33}"/>
    <cellStyle name="Comma 3 2 4 6 5 2 2" xfId="52135" xr:uid="{7E912873-D3B9-4B52-BDC3-1190A70D4E3B}"/>
    <cellStyle name="Comma 3 2 4 6 5 2 3" xfId="33881" xr:uid="{92FDE087-DE7B-4AD9-8BE0-8E584655E157}"/>
    <cellStyle name="Comma 3 2 4 6 5 3" xfId="11977" xr:uid="{DD535371-BE9A-460B-B581-AE599A262586}"/>
    <cellStyle name="Comma 3 2 4 6 5 3 2" xfId="48485" xr:uid="{5B5238D4-88D5-4647-82A7-DD1D47A69AA9}"/>
    <cellStyle name="Comma 3 2 4 6 5 3 3" xfId="30231" xr:uid="{4CBEE700-AD5F-4DBC-99A8-567CB890F4CF}"/>
    <cellStyle name="Comma 3 2 4 6 5 4" xfId="8327" xr:uid="{932B2626-301A-4350-8962-CCC66071571C}"/>
    <cellStyle name="Comma 3 2 4 6 5 4 2" xfId="44835" xr:uid="{3259B113-222D-4310-AEF2-C8CF38BF6039}"/>
    <cellStyle name="Comma 3 2 4 6 5 4 3" xfId="26581" xr:uid="{7817AD33-AD82-47B7-8EE4-DAD33AE460C4}"/>
    <cellStyle name="Comma 3 2 4 6 5 5" xfId="4677" xr:uid="{D6741340-8DF4-49FC-9220-00857FF52FA9}"/>
    <cellStyle name="Comma 3 2 4 6 5 5 2" xfId="41185" xr:uid="{22CCC0F5-5EB5-4BD9-9906-38882799B9A8}"/>
    <cellStyle name="Comma 3 2 4 6 5 5 3" xfId="22931" xr:uid="{378A562D-4EF8-4719-8D0E-A26DAAF86186}"/>
    <cellStyle name="Comma 3 2 4 6 5 6" xfId="37535" xr:uid="{4A9487FC-F8EA-471E-8B18-30A2CECECEDB}"/>
    <cellStyle name="Comma 3 2 4 6 5 7" xfId="19281" xr:uid="{6C6517BF-07FA-4EAD-BE06-B2CA0BF3CAFE}"/>
    <cellStyle name="Comma 3 2 4 6 6" xfId="14897" xr:uid="{F8B7FCC0-1002-4683-A1D2-6A884B925D4C}"/>
    <cellStyle name="Comma 3 2 4 6 6 2" xfId="51405" xr:uid="{2216F8D0-CDD8-4CF7-A4F3-7BAA7C929B90}"/>
    <cellStyle name="Comma 3 2 4 6 6 3" xfId="33151" xr:uid="{F1FCB15F-B800-47F6-8DF1-F8249D9CA13F}"/>
    <cellStyle name="Comma 3 2 4 6 7" xfId="11247" xr:uid="{B4A196B3-40B3-4FBC-85F6-9BD3F1C792DB}"/>
    <cellStyle name="Comma 3 2 4 6 7 2" xfId="47755" xr:uid="{C33AD17D-70C8-4150-A2B9-C2133C3414B6}"/>
    <cellStyle name="Comma 3 2 4 6 7 3" xfId="29501" xr:uid="{893DFF6C-1AFA-4E11-BDE5-75A5CB034B8C}"/>
    <cellStyle name="Comma 3 2 4 6 8" xfId="7597" xr:uid="{B628A0F9-0B33-4DB8-8869-D1CC8CCE6538}"/>
    <cellStyle name="Comma 3 2 4 6 8 2" xfId="44105" xr:uid="{60B0BC1E-7C79-4932-B825-03A043A3A5F3}"/>
    <cellStyle name="Comma 3 2 4 6 8 3" xfId="25851" xr:uid="{F5399B7E-4914-49F9-A703-E6B86403819A}"/>
    <cellStyle name="Comma 3 2 4 6 9" xfId="3947" xr:uid="{5B6E2C34-DEE1-48AB-8CEB-F46DE8258544}"/>
    <cellStyle name="Comma 3 2 4 6 9 2" xfId="40455" xr:uid="{8AEC97D0-F8C9-4B28-BF61-0FF635EEBAF2}"/>
    <cellStyle name="Comma 3 2 4 6 9 3" xfId="22201" xr:uid="{71334791-DAA0-4035-8A05-9BF55B5A3570}"/>
    <cellStyle name="Comma 3 2 4 7" xfId="193" xr:uid="{38B950C5-3468-4596-BDCB-E43284FD3922}"/>
    <cellStyle name="Comma 3 2 4 7 10" xfId="36701" xr:uid="{3C86B4F1-91E7-4971-A2C7-405BC076E751}"/>
    <cellStyle name="Comma 3 2 4 7 11" xfId="18447" xr:uid="{3E43BA39-E95D-4F6B-85DC-4FB66DB78480}"/>
    <cellStyle name="Comma 3 2 4 7 2" xfId="3113" xr:uid="{F38C17AF-4AB0-4BC4-8598-5692EB65F64E}"/>
    <cellStyle name="Comma 3 2 4 7 2 2" xfId="17713" xr:uid="{EC97C194-101A-424B-B9DD-C3CA4320CDCC}"/>
    <cellStyle name="Comma 3 2 4 7 2 2 2" xfId="54221" xr:uid="{13ADAE24-79C6-40F5-8A49-C1452CA7F584}"/>
    <cellStyle name="Comma 3 2 4 7 2 2 3" xfId="35967" xr:uid="{C4E99BF3-A003-4AA0-B69C-AB696C3BC111}"/>
    <cellStyle name="Comma 3 2 4 7 2 3" xfId="14063" xr:uid="{C04E43B1-D15A-4426-9052-AF1BE13DF309}"/>
    <cellStyle name="Comma 3 2 4 7 2 3 2" xfId="50571" xr:uid="{EC06676C-2DB1-4ED2-BE18-8441A298B73C}"/>
    <cellStyle name="Comma 3 2 4 7 2 3 3" xfId="32317" xr:uid="{BBB43EC4-4683-4CE5-A5FA-E11A02852298}"/>
    <cellStyle name="Comma 3 2 4 7 2 4" xfId="10413" xr:uid="{65CFD81B-71D7-4B95-AFC2-625FE801D02A}"/>
    <cellStyle name="Comma 3 2 4 7 2 4 2" xfId="46921" xr:uid="{EE44BC54-06BB-465E-81AE-76A9E7DB7580}"/>
    <cellStyle name="Comma 3 2 4 7 2 4 3" xfId="28667" xr:uid="{291D5980-174A-41E5-8115-1B86F642E026}"/>
    <cellStyle name="Comma 3 2 4 7 2 5" xfId="6763" xr:uid="{40672913-89C9-42CC-AF57-0262AD5020D9}"/>
    <cellStyle name="Comma 3 2 4 7 2 5 2" xfId="43271" xr:uid="{3AAAC2B0-BE1A-445F-88BA-3FC2DDDA8D69}"/>
    <cellStyle name="Comma 3 2 4 7 2 5 3" xfId="25017" xr:uid="{783220CA-B6E2-40F4-937F-F2AA8410B071}"/>
    <cellStyle name="Comma 3 2 4 7 2 6" xfId="39621" xr:uid="{E5422368-3D8B-4832-8AC4-71E4D18EFED7}"/>
    <cellStyle name="Comma 3 2 4 7 2 7" xfId="21367" xr:uid="{78BA5EC3-C615-4F81-9D73-A1D97FB79DFE}"/>
    <cellStyle name="Comma 3 2 4 7 3" xfId="2383" xr:uid="{9091D8EF-CF14-4A94-BD36-C47651DBCCEF}"/>
    <cellStyle name="Comma 3 2 4 7 3 2" xfId="16983" xr:uid="{5E40A1F2-E044-4830-8C3C-92C1E25DF678}"/>
    <cellStyle name="Comma 3 2 4 7 3 2 2" xfId="53491" xr:uid="{EA02C978-5A13-485D-AC88-FF2D71C287F2}"/>
    <cellStyle name="Comma 3 2 4 7 3 2 3" xfId="35237" xr:uid="{C5E2BA52-407F-45D1-8E40-0E377985B843}"/>
    <cellStyle name="Comma 3 2 4 7 3 3" xfId="13333" xr:uid="{EB3C827B-5D4B-4C06-8AEB-41126A2E469B}"/>
    <cellStyle name="Comma 3 2 4 7 3 3 2" xfId="49841" xr:uid="{A152CACE-DBA1-4422-93FB-2593CBBFD3E0}"/>
    <cellStyle name="Comma 3 2 4 7 3 3 3" xfId="31587" xr:uid="{1835697A-97FD-4FEC-BF67-DEFFF0A8ABA1}"/>
    <cellStyle name="Comma 3 2 4 7 3 4" xfId="9683" xr:uid="{8892DC6F-0378-4B3F-B502-3872EE2C69D9}"/>
    <cellStyle name="Comma 3 2 4 7 3 4 2" xfId="46191" xr:uid="{8316E22C-57B6-4053-86AB-9B192BC8EA46}"/>
    <cellStyle name="Comma 3 2 4 7 3 4 3" xfId="27937" xr:uid="{F27AB7C5-CF72-4180-9A3F-52AC7EA50EB9}"/>
    <cellStyle name="Comma 3 2 4 7 3 5" xfId="6033" xr:uid="{D91A1B9A-F4D5-4D1D-A363-B3F3C1356BF2}"/>
    <cellStyle name="Comma 3 2 4 7 3 5 2" xfId="42541" xr:uid="{97F4BF89-DC44-440A-B721-50483F69C069}"/>
    <cellStyle name="Comma 3 2 4 7 3 5 3" xfId="24287" xr:uid="{62EF88C5-4F68-4A87-A0D6-D06F94A77D03}"/>
    <cellStyle name="Comma 3 2 4 7 3 6" xfId="38891" xr:uid="{1D351F15-6CF1-41D4-A281-7744EC41C1A5}"/>
    <cellStyle name="Comma 3 2 4 7 3 7" xfId="20637" xr:uid="{69E16CD2-66AE-4D0B-B95A-15EE19033B7B}"/>
    <cellStyle name="Comma 3 2 4 7 4" xfId="1653" xr:uid="{9BC4EB20-CA0D-4C42-BA82-3A91379BD9C2}"/>
    <cellStyle name="Comma 3 2 4 7 4 2" xfId="16253" xr:uid="{51FD5030-89EC-497B-A290-5AE94AAFC3C5}"/>
    <cellStyle name="Comma 3 2 4 7 4 2 2" xfId="52761" xr:uid="{4110FEFE-DFCB-4DE7-8689-ABDC61D032F7}"/>
    <cellStyle name="Comma 3 2 4 7 4 2 3" xfId="34507" xr:uid="{73F70435-D778-4C6D-98EB-9150C1316210}"/>
    <cellStyle name="Comma 3 2 4 7 4 3" xfId="12603" xr:uid="{CF7A65D0-35C4-4C3E-961C-FF24A38BFA50}"/>
    <cellStyle name="Comma 3 2 4 7 4 3 2" xfId="49111" xr:uid="{0AB8CED5-5971-4124-B176-68EC51D21F38}"/>
    <cellStyle name="Comma 3 2 4 7 4 3 3" xfId="30857" xr:uid="{DC880EC4-95D2-4808-8CEC-16336AB16A97}"/>
    <cellStyle name="Comma 3 2 4 7 4 4" xfId="8953" xr:uid="{755ABCD9-4DFB-4CA8-B2AA-4DB92CDB0A48}"/>
    <cellStyle name="Comma 3 2 4 7 4 4 2" xfId="45461" xr:uid="{602B4B6B-62BF-4577-9007-E96FA92F304A}"/>
    <cellStyle name="Comma 3 2 4 7 4 4 3" xfId="27207" xr:uid="{3E56D069-4AD3-463D-9B25-B72B41F262E3}"/>
    <cellStyle name="Comma 3 2 4 7 4 5" xfId="5303" xr:uid="{3D4858F3-78AB-4F36-A0AC-0DFB936DC165}"/>
    <cellStyle name="Comma 3 2 4 7 4 5 2" xfId="41811" xr:uid="{6DBDD242-1718-4DE0-9E57-0262EB062CEB}"/>
    <cellStyle name="Comma 3 2 4 7 4 5 3" xfId="23557" xr:uid="{FEB93422-0863-4D24-A2E5-0DA1F50749DB}"/>
    <cellStyle name="Comma 3 2 4 7 4 6" xfId="38161" xr:uid="{7BDCA206-F564-4231-8D44-ADEDF2EB1782}"/>
    <cellStyle name="Comma 3 2 4 7 4 7" xfId="19907" xr:uid="{541A8FE9-E402-432E-B78D-B19251AF46D4}"/>
    <cellStyle name="Comma 3 2 4 7 5" xfId="923" xr:uid="{46F8DA3B-24E3-4BAC-B4C1-7382D5949454}"/>
    <cellStyle name="Comma 3 2 4 7 5 2" xfId="15523" xr:uid="{8DB070BF-7693-4246-9885-33C4B7C74E9F}"/>
    <cellStyle name="Comma 3 2 4 7 5 2 2" xfId="52031" xr:uid="{06DBBE62-697C-4E31-9839-CB3CC05089FB}"/>
    <cellStyle name="Comma 3 2 4 7 5 2 3" xfId="33777" xr:uid="{DBFE5EE1-7F35-422E-B366-40571E5408A9}"/>
    <cellStyle name="Comma 3 2 4 7 5 3" xfId="11873" xr:uid="{1BA73340-7830-4DBE-AB4D-B413A3BC30D2}"/>
    <cellStyle name="Comma 3 2 4 7 5 3 2" xfId="48381" xr:uid="{F56F306F-8ABB-465E-8C77-AA930D6DFAE3}"/>
    <cellStyle name="Comma 3 2 4 7 5 3 3" xfId="30127" xr:uid="{173D453F-E27A-4B1E-9288-76D2F1D539A8}"/>
    <cellStyle name="Comma 3 2 4 7 5 4" xfId="8223" xr:uid="{E5FAB1A4-E745-4A02-9EDE-44AEAE9752C3}"/>
    <cellStyle name="Comma 3 2 4 7 5 4 2" xfId="44731" xr:uid="{28C07575-9FE2-4F2E-820E-C54A36420B7D}"/>
    <cellStyle name="Comma 3 2 4 7 5 4 3" xfId="26477" xr:uid="{F0FF9D29-0553-4029-ACDC-5DF17C5F1A04}"/>
    <cellStyle name="Comma 3 2 4 7 5 5" xfId="4573" xr:uid="{4BDD4D70-C6C7-48B1-A8A3-D4B45DF8F3DC}"/>
    <cellStyle name="Comma 3 2 4 7 5 5 2" xfId="41081" xr:uid="{DEA03378-8B12-4FB5-9AB2-99ABC050B1DE}"/>
    <cellStyle name="Comma 3 2 4 7 5 5 3" xfId="22827" xr:uid="{08DC998E-8BE6-4005-9763-F219AA40172A}"/>
    <cellStyle name="Comma 3 2 4 7 5 6" xfId="37431" xr:uid="{232FE342-3DF9-4BF0-AEE5-79BDBF44F6C5}"/>
    <cellStyle name="Comma 3 2 4 7 5 7" xfId="19177" xr:uid="{809D41F8-26CC-4451-B899-7CA6B57C2BA9}"/>
    <cellStyle name="Comma 3 2 4 7 6" xfId="14793" xr:uid="{1D69AB9B-DA66-404A-B48E-93A2D6007A4F}"/>
    <cellStyle name="Comma 3 2 4 7 6 2" xfId="51301" xr:uid="{7EA8CE29-2D3A-4A57-93F8-ECF5D0A017B5}"/>
    <cellStyle name="Comma 3 2 4 7 6 3" xfId="33047" xr:uid="{0CA0987E-C621-4F0A-AA3C-368825B04DE3}"/>
    <cellStyle name="Comma 3 2 4 7 7" xfId="11143" xr:uid="{ABAA0ECA-CB5E-423E-925B-FFD4C53BD129}"/>
    <cellStyle name="Comma 3 2 4 7 7 2" xfId="47651" xr:uid="{1CEF1134-70B5-4238-ABB1-2A10DA89CE7E}"/>
    <cellStyle name="Comma 3 2 4 7 7 3" xfId="29397" xr:uid="{CE90B19C-1C48-4706-8DE9-E16EF487D009}"/>
    <cellStyle name="Comma 3 2 4 7 8" xfId="7493" xr:uid="{08943FCD-A373-4D35-946A-1D503BFB3AA2}"/>
    <cellStyle name="Comma 3 2 4 7 8 2" xfId="44001" xr:uid="{385FD69F-33BA-4CDD-BC1A-85A54C292AD6}"/>
    <cellStyle name="Comma 3 2 4 7 8 3" xfId="25747" xr:uid="{29D381DF-B37A-426E-85D8-5EACAAEB6B1D}"/>
    <cellStyle name="Comma 3 2 4 7 9" xfId="3843" xr:uid="{74B3C369-FC82-46DF-A248-91158E448729}"/>
    <cellStyle name="Comma 3 2 4 7 9 2" xfId="40351" xr:uid="{15A37827-3BD9-4A7B-A7A0-C2AE2FE439C7}"/>
    <cellStyle name="Comma 3 2 4 7 9 3" xfId="22097" xr:uid="{DEB47994-B590-40A8-AAE2-00013624D87F}"/>
    <cellStyle name="Comma 3 2 4 8" xfId="3009" xr:uid="{88B2D788-716A-45D8-A25D-3628EDDD87D7}"/>
    <cellStyle name="Comma 3 2 4 8 2" xfId="17609" xr:uid="{59DD9714-0288-46F1-BD06-A03E7CF534A3}"/>
    <cellStyle name="Comma 3 2 4 8 2 2" xfId="54117" xr:uid="{D7A0DD00-C696-49E6-AB95-19F437F14143}"/>
    <cellStyle name="Comma 3 2 4 8 2 3" xfId="35863" xr:uid="{A9800F6F-EF89-43F0-A7AE-2ACA9F2A14A0}"/>
    <cellStyle name="Comma 3 2 4 8 3" xfId="13959" xr:uid="{F29195A3-43F0-4BD2-8A6B-7D731EDCC0DE}"/>
    <cellStyle name="Comma 3 2 4 8 3 2" xfId="50467" xr:uid="{D1F07063-0C67-46C8-AD59-565140520471}"/>
    <cellStyle name="Comma 3 2 4 8 3 3" xfId="32213" xr:uid="{BC86F240-75A0-4007-B96D-49FEB1F65A14}"/>
    <cellStyle name="Comma 3 2 4 8 4" xfId="10309" xr:uid="{A46E2DB9-7495-4FA4-8C6D-09EB4AA8CC5F}"/>
    <cellStyle name="Comma 3 2 4 8 4 2" xfId="46817" xr:uid="{2C81EE01-0649-4B1B-ACFB-948A86C718C3}"/>
    <cellStyle name="Comma 3 2 4 8 4 3" xfId="28563" xr:uid="{EB361712-7307-41C9-8F40-0193785A29E8}"/>
    <cellStyle name="Comma 3 2 4 8 5" xfId="6659" xr:uid="{373C2740-1F70-452D-A230-E6CFBD63D598}"/>
    <cellStyle name="Comma 3 2 4 8 5 2" xfId="43167" xr:uid="{C0D24D38-3A61-43E1-BD2B-736228810F31}"/>
    <cellStyle name="Comma 3 2 4 8 5 3" xfId="24913" xr:uid="{EF147900-082C-4317-A89E-DF8DF87530B3}"/>
    <cellStyle name="Comma 3 2 4 8 6" xfId="39517" xr:uid="{AC503678-05B5-468A-A745-3D34FA06B8EB}"/>
    <cellStyle name="Comma 3 2 4 8 7" xfId="21263" xr:uid="{362780C6-3835-41D8-B918-227A81B8F5A6}"/>
    <cellStyle name="Comma 3 2 4 9" xfId="2279" xr:uid="{9819BAFB-A042-4C00-8621-F33256A85BBD}"/>
    <cellStyle name="Comma 3 2 4 9 2" xfId="16879" xr:uid="{97B54D9A-E3A3-4BE8-AC7D-2FED11E80336}"/>
    <cellStyle name="Comma 3 2 4 9 2 2" xfId="53387" xr:uid="{7BBDC3C5-0B3D-449A-A4C4-8663E641E991}"/>
    <cellStyle name="Comma 3 2 4 9 2 3" xfId="35133" xr:uid="{2F6AFFE1-8633-4CBD-971F-2FAE5B501887}"/>
    <cellStyle name="Comma 3 2 4 9 3" xfId="13229" xr:uid="{F436A505-1F5C-4A15-ABD2-394CDB337D46}"/>
    <cellStyle name="Comma 3 2 4 9 3 2" xfId="49737" xr:uid="{D4B13177-61F2-439F-AB3C-A0C4F91588B4}"/>
    <cellStyle name="Comma 3 2 4 9 3 3" xfId="31483" xr:uid="{D4CEAB46-D2E7-4A09-908D-174075E1DD13}"/>
    <cellStyle name="Comma 3 2 4 9 4" xfId="9579" xr:uid="{2CF91DAD-E676-4EB2-8A3A-E5897466EB82}"/>
    <cellStyle name="Comma 3 2 4 9 4 2" xfId="46087" xr:uid="{855D576D-A8D4-4CCE-9A85-56761184EF2D}"/>
    <cellStyle name="Comma 3 2 4 9 4 3" xfId="27833" xr:uid="{64057CA7-58BB-4445-B3C7-35CDE8273F87}"/>
    <cellStyle name="Comma 3 2 4 9 5" xfId="5929" xr:uid="{659ED4BF-DFF5-42CA-9497-5E2549B942F1}"/>
    <cellStyle name="Comma 3 2 4 9 5 2" xfId="42437" xr:uid="{CDD1EA70-F8C4-41F0-B614-ED41B3E69AE3}"/>
    <cellStyle name="Comma 3 2 4 9 5 3" xfId="24183" xr:uid="{3F4CC39F-E3FC-4B3C-957E-06293F7068BB}"/>
    <cellStyle name="Comma 3 2 4 9 6" xfId="38787" xr:uid="{1AFA59EB-DACD-4578-8F26-512F3B10071B}"/>
    <cellStyle name="Comma 3 2 4 9 7" xfId="20533" xr:uid="{76E414AD-3C31-4AED-BE67-BD20EA3BEDFE}"/>
    <cellStyle name="Comma 3 2 5" xfId="51" xr:uid="{9C80EEAF-5E7D-48AC-8307-47C9386CD5CB}"/>
    <cellStyle name="Comma 3 2 5 10" xfId="1517" xr:uid="{52188505-6D68-4C76-8AF1-FF8C51C168BA}"/>
    <cellStyle name="Comma 3 2 5 10 2" xfId="16117" xr:uid="{50D4619B-B966-47A2-9B80-6D680C3BC8BD}"/>
    <cellStyle name="Comma 3 2 5 10 2 2" xfId="52625" xr:uid="{4C4C2B5F-042F-46EF-8F90-983616A5910D}"/>
    <cellStyle name="Comma 3 2 5 10 2 3" xfId="34371" xr:uid="{82EC0E31-71B6-4600-99ED-2EE460BE4DC8}"/>
    <cellStyle name="Comma 3 2 5 10 3" xfId="12467" xr:uid="{95E515AC-CBD4-4DEF-B147-65443AE8275F}"/>
    <cellStyle name="Comma 3 2 5 10 3 2" xfId="48975" xr:uid="{61B36F32-4563-4B8A-A83B-F3F1FBCCF97D}"/>
    <cellStyle name="Comma 3 2 5 10 3 3" xfId="30721" xr:uid="{EDF99A8B-3722-4A1F-A90C-566509E8B68D}"/>
    <cellStyle name="Comma 3 2 5 10 4" xfId="8817" xr:uid="{C172C58E-205C-41F4-AD3F-CD523D242633}"/>
    <cellStyle name="Comma 3 2 5 10 4 2" xfId="45325" xr:uid="{2926019B-AFF2-4358-80DD-6DDE2AE484D2}"/>
    <cellStyle name="Comma 3 2 5 10 4 3" xfId="27071" xr:uid="{5455F625-76EF-4850-9C30-F27A30A4F019}"/>
    <cellStyle name="Comma 3 2 5 10 5" xfId="5167" xr:uid="{77FBE644-F036-4496-B627-B198FC7C869C}"/>
    <cellStyle name="Comma 3 2 5 10 5 2" xfId="41675" xr:uid="{39EB884B-6B80-49A6-9D04-969533317ACB}"/>
    <cellStyle name="Comma 3 2 5 10 5 3" xfId="23421" xr:uid="{FBF97084-9385-4230-AC02-8CEFA06D11AE}"/>
    <cellStyle name="Comma 3 2 5 10 6" xfId="38025" xr:uid="{DAC89F0D-FA7C-4FCF-A1EC-B7F069E93345}"/>
    <cellStyle name="Comma 3 2 5 10 7" xfId="19771" xr:uid="{0FDC067B-FFAD-4061-99E7-0597635F32E0}"/>
    <cellStyle name="Comma 3 2 5 11" xfId="787" xr:uid="{E14F7765-FB44-479A-8326-EFAA686CCD35}"/>
    <cellStyle name="Comma 3 2 5 11 2" xfId="15387" xr:uid="{BDF07E9A-8587-4A7C-AD4D-44290ABAC0D9}"/>
    <cellStyle name="Comma 3 2 5 11 2 2" xfId="51895" xr:uid="{3E829AE6-C69C-40C9-AB30-9C78533CEA6C}"/>
    <cellStyle name="Comma 3 2 5 11 2 3" xfId="33641" xr:uid="{4D080C5A-DA48-4D35-A65F-A073376233DE}"/>
    <cellStyle name="Comma 3 2 5 11 3" xfId="11737" xr:uid="{40A52AB4-237B-4BB5-A3BC-19CA9D6B48F9}"/>
    <cellStyle name="Comma 3 2 5 11 3 2" xfId="48245" xr:uid="{27236531-4C24-44D3-A207-279B2AFD0DE7}"/>
    <cellStyle name="Comma 3 2 5 11 3 3" xfId="29991" xr:uid="{7237CFEF-95E3-42B8-946B-EC3D325AB779}"/>
    <cellStyle name="Comma 3 2 5 11 4" xfId="8087" xr:uid="{A5308DFE-0A69-45B4-B7BA-62548044FEB0}"/>
    <cellStyle name="Comma 3 2 5 11 4 2" xfId="44595" xr:uid="{179E6CDB-BC1A-4F9D-8D21-52D3A81913F3}"/>
    <cellStyle name="Comma 3 2 5 11 4 3" xfId="26341" xr:uid="{109A3C97-5715-4484-89B0-CC43BA3D3E7D}"/>
    <cellStyle name="Comma 3 2 5 11 5" xfId="4437" xr:uid="{E7DE904A-B993-43C9-8D67-8541B43776B0}"/>
    <cellStyle name="Comma 3 2 5 11 5 2" xfId="40945" xr:uid="{ED5B877C-E54A-4033-A0C6-F7CF511AB2A1}"/>
    <cellStyle name="Comma 3 2 5 11 5 3" xfId="22691" xr:uid="{B4BF94C7-8BC8-4FFC-AC15-165E1D86524C}"/>
    <cellStyle name="Comma 3 2 5 11 6" xfId="37295" xr:uid="{36147B1F-6B73-42C7-8C0E-22337E37349F}"/>
    <cellStyle name="Comma 3 2 5 11 7" xfId="19041" xr:uid="{5E996715-60CA-48C0-8B9F-12079F8771BD}"/>
    <cellStyle name="Comma 3 2 5 12" xfId="14657" xr:uid="{FB8A599D-E619-4358-8679-5DB5DCDA5E36}"/>
    <cellStyle name="Comma 3 2 5 12 2" xfId="51165" xr:uid="{2DA6DBA1-7A28-47F1-97CF-131DB3D3E639}"/>
    <cellStyle name="Comma 3 2 5 12 3" xfId="32911" xr:uid="{117A51B9-B68F-4284-A02F-0F6B7D4404AE}"/>
    <cellStyle name="Comma 3 2 5 13" xfId="11007" xr:uid="{95110E1A-2FC9-4BA4-8D34-F1210FBD7E30}"/>
    <cellStyle name="Comma 3 2 5 13 2" xfId="47515" xr:uid="{2E27AE03-77D5-4B2D-AAA0-55FFC67ED895}"/>
    <cellStyle name="Comma 3 2 5 13 3" xfId="29261" xr:uid="{20CDA54D-CA2F-4485-8007-371BD8BCA6ED}"/>
    <cellStyle name="Comma 3 2 5 14" xfId="7357" xr:uid="{8345D33A-BA71-46D3-B909-BFA754100071}"/>
    <cellStyle name="Comma 3 2 5 14 2" xfId="43865" xr:uid="{DCC4771A-3C6B-40C5-9CE9-06BCEC435502}"/>
    <cellStyle name="Comma 3 2 5 14 3" xfId="25611" xr:uid="{E3350D4A-24B9-4F75-98E9-87258C43E0C9}"/>
    <cellStyle name="Comma 3 2 5 15" xfId="3707" xr:uid="{FBA31CE7-8A6F-4D66-BE78-A257D4A08800}"/>
    <cellStyle name="Comma 3 2 5 15 2" xfId="40215" xr:uid="{E58A7982-8A3B-4D7E-900F-126521B86FFB}"/>
    <cellStyle name="Comma 3 2 5 15 3" xfId="21961" xr:uid="{B6BD1225-1639-4939-A3F5-E4941C34428D}"/>
    <cellStyle name="Comma 3 2 5 16" xfId="36565" xr:uid="{34F6AD0A-AF53-4541-811A-B28BA2BC1446}"/>
    <cellStyle name="Comma 3 2 5 17" xfId="18311" xr:uid="{F5D78D15-92AE-4756-B347-55B1A506113D}"/>
    <cellStyle name="Comma 3 2 5 2" xfId="681" xr:uid="{FA9CCEF8-8B44-4777-8489-EE78C4572543}"/>
    <cellStyle name="Comma 3 2 5 2 10" xfId="37189" xr:uid="{6262C285-33CD-4671-9FB7-7F1708E3D64D}"/>
    <cellStyle name="Comma 3 2 5 2 11" xfId="18935" xr:uid="{765E8D37-305E-4F50-BEF4-0816D711B4B6}"/>
    <cellStyle name="Comma 3 2 5 2 2" xfId="3601" xr:uid="{80414743-3361-4D82-B19B-6CC914D282EB}"/>
    <cellStyle name="Comma 3 2 5 2 2 2" xfId="18201" xr:uid="{8AB01384-A1FB-42CB-A1E7-75159394B768}"/>
    <cellStyle name="Comma 3 2 5 2 2 2 2" xfId="54709" xr:uid="{85EF4E8A-0B7D-4C79-ADA2-B40E80FCA14C}"/>
    <cellStyle name="Comma 3 2 5 2 2 2 3" xfId="36455" xr:uid="{494C34B3-32A8-47F0-8EC8-D852ED044D2D}"/>
    <cellStyle name="Comma 3 2 5 2 2 3" xfId="14551" xr:uid="{3468E776-0C1E-4C80-9A63-2530902B39B2}"/>
    <cellStyle name="Comma 3 2 5 2 2 3 2" xfId="51059" xr:uid="{1ED1FCA4-629C-4ECF-9919-1D4573DC0AC2}"/>
    <cellStyle name="Comma 3 2 5 2 2 3 3" xfId="32805" xr:uid="{493F1AFC-F29D-4716-969C-ECE027C63134}"/>
    <cellStyle name="Comma 3 2 5 2 2 4" xfId="10901" xr:uid="{892D8CDA-729E-44B1-915E-1A8B4708C10A}"/>
    <cellStyle name="Comma 3 2 5 2 2 4 2" xfId="47409" xr:uid="{09AC22F3-11A8-4224-A995-41CD6FA52AD5}"/>
    <cellStyle name="Comma 3 2 5 2 2 4 3" xfId="29155" xr:uid="{B5ADCB9B-C546-4ED2-934B-247CD5E82BC4}"/>
    <cellStyle name="Comma 3 2 5 2 2 5" xfId="7251" xr:uid="{7BD3DC65-CB9F-4EFB-8794-90D0835B4893}"/>
    <cellStyle name="Comma 3 2 5 2 2 5 2" xfId="43759" xr:uid="{CD7AC14F-0E62-4E70-BFEA-9B2F5C19239B}"/>
    <cellStyle name="Comma 3 2 5 2 2 5 3" xfId="25505" xr:uid="{F3EF9011-8418-4E54-A46A-782F1F5A50E6}"/>
    <cellStyle name="Comma 3 2 5 2 2 6" xfId="40109" xr:uid="{3FEFE5D3-4542-48D5-A1CA-481E5F2E7E68}"/>
    <cellStyle name="Comma 3 2 5 2 2 7" xfId="21855" xr:uid="{7D52C9C9-7D2A-4144-A835-7C6ED54D263E}"/>
    <cellStyle name="Comma 3 2 5 2 3" xfId="2871" xr:uid="{39CFB965-60A5-47EB-9068-D4C74E2872A7}"/>
    <cellStyle name="Comma 3 2 5 2 3 2" xfId="17471" xr:uid="{BE03A8D9-B80E-4BE5-99C8-9DBD443FFF91}"/>
    <cellStyle name="Comma 3 2 5 2 3 2 2" xfId="53979" xr:uid="{E5F1634D-91CB-4583-9F2A-D75202A57397}"/>
    <cellStyle name="Comma 3 2 5 2 3 2 3" xfId="35725" xr:uid="{60DCE185-5F43-4623-8D30-7861FC39BD58}"/>
    <cellStyle name="Comma 3 2 5 2 3 3" xfId="13821" xr:uid="{7EAE52C4-F673-4CF4-8BBA-AD4901ACDF7A}"/>
    <cellStyle name="Comma 3 2 5 2 3 3 2" xfId="50329" xr:uid="{68882FF9-4141-44BE-B420-42F14C4777EF}"/>
    <cellStyle name="Comma 3 2 5 2 3 3 3" xfId="32075" xr:uid="{5452437C-5C5F-418C-8AA0-C2C31AB81F4F}"/>
    <cellStyle name="Comma 3 2 5 2 3 4" xfId="10171" xr:uid="{FC6BAA99-C430-49C7-AF8A-466C36A6BFA7}"/>
    <cellStyle name="Comma 3 2 5 2 3 4 2" xfId="46679" xr:uid="{16DB5247-91ED-4296-9E4D-E1BC2EB7E7D0}"/>
    <cellStyle name="Comma 3 2 5 2 3 4 3" xfId="28425" xr:uid="{992EA19C-13BB-46C2-AB25-0E13DDC9BE37}"/>
    <cellStyle name="Comma 3 2 5 2 3 5" xfId="6521" xr:uid="{0F7636BA-7399-4CFF-AA95-AB84D1A18D9F}"/>
    <cellStyle name="Comma 3 2 5 2 3 5 2" xfId="43029" xr:uid="{2ABEE275-BC7F-46D8-ACA6-E3F7DF19C089}"/>
    <cellStyle name="Comma 3 2 5 2 3 5 3" xfId="24775" xr:uid="{C9DCCA45-CB23-404C-8E2D-BB2BC3987DB5}"/>
    <cellStyle name="Comma 3 2 5 2 3 6" xfId="39379" xr:uid="{3F1ED63E-E70A-43B1-B3F0-F2A7441128B6}"/>
    <cellStyle name="Comma 3 2 5 2 3 7" xfId="21125" xr:uid="{42555BA5-F5BA-465B-AB24-A1628388F974}"/>
    <cellStyle name="Comma 3 2 5 2 4" xfId="2141" xr:uid="{6C44324D-4D5C-44C2-9D47-35D3BE438C54}"/>
    <cellStyle name="Comma 3 2 5 2 4 2" xfId="16741" xr:uid="{2D098C57-F48A-4FAC-82B1-BA3683B0EDD3}"/>
    <cellStyle name="Comma 3 2 5 2 4 2 2" xfId="53249" xr:uid="{31B3BB59-9D13-4F84-AE89-72513CEC3AB3}"/>
    <cellStyle name="Comma 3 2 5 2 4 2 3" xfId="34995" xr:uid="{11105202-C997-4E2C-8729-2F9B2CCB9C05}"/>
    <cellStyle name="Comma 3 2 5 2 4 3" xfId="13091" xr:uid="{D9C64814-2C9E-4EBB-9850-B7E32D61DF9B}"/>
    <cellStyle name="Comma 3 2 5 2 4 3 2" xfId="49599" xr:uid="{892E0FAB-FB8D-41CD-8AF2-4DAA6CF0AC7E}"/>
    <cellStyle name="Comma 3 2 5 2 4 3 3" xfId="31345" xr:uid="{903E4A58-D682-4FFC-9B6C-2954A05F724F}"/>
    <cellStyle name="Comma 3 2 5 2 4 4" xfId="9441" xr:uid="{FFABB14D-B061-4383-9B6C-32754F93659D}"/>
    <cellStyle name="Comma 3 2 5 2 4 4 2" xfId="45949" xr:uid="{1F2188BB-6445-4984-B2B5-D5F0FF7DDD37}"/>
    <cellStyle name="Comma 3 2 5 2 4 4 3" xfId="27695" xr:uid="{F37EF03D-1C87-427F-BC2A-86983E2A4C5E}"/>
    <cellStyle name="Comma 3 2 5 2 4 5" xfId="5791" xr:uid="{7A116E8E-0AE7-4370-AF67-B2A1412CBFAA}"/>
    <cellStyle name="Comma 3 2 5 2 4 5 2" xfId="42299" xr:uid="{CE250E6C-CBD5-42E7-A012-DF0CED8B6EFA}"/>
    <cellStyle name="Comma 3 2 5 2 4 5 3" xfId="24045" xr:uid="{647D2E8F-0012-4A43-94DB-4822CCCFFAC9}"/>
    <cellStyle name="Comma 3 2 5 2 4 6" xfId="38649" xr:uid="{E557E5FF-14C4-48AC-9B80-06AB373B48D8}"/>
    <cellStyle name="Comma 3 2 5 2 4 7" xfId="20395" xr:uid="{7FF60BC4-FB2F-4E11-9896-E41B705EE799}"/>
    <cellStyle name="Comma 3 2 5 2 5" xfId="1411" xr:uid="{C77A2834-0E49-4AD3-B76E-0911FBB04376}"/>
    <cellStyle name="Comma 3 2 5 2 5 2" xfId="16011" xr:uid="{A877327E-823D-433A-BEA9-D6CDCB7594EF}"/>
    <cellStyle name="Comma 3 2 5 2 5 2 2" xfId="52519" xr:uid="{DEB12CCE-5B88-47CA-A639-4A7B5424506E}"/>
    <cellStyle name="Comma 3 2 5 2 5 2 3" xfId="34265" xr:uid="{A7CDA0B5-D8B9-4B51-BDC6-B2CC4548EA26}"/>
    <cellStyle name="Comma 3 2 5 2 5 3" xfId="12361" xr:uid="{F1B6F8EA-B88E-4920-93AC-5439B64075AB}"/>
    <cellStyle name="Comma 3 2 5 2 5 3 2" xfId="48869" xr:uid="{8220CDD7-8539-461F-B991-908DDF884B4A}"/>
    <cellStyle name="Comma 3 2 5 2 5 3 3" xfId="30615" xr:uid="{AF2650A5-4B76-47F6-9FDF-BADF126FF978}"/>
    <cellStyle name="Comma 3 2 5 2 5 4" xfId="8711" xr:uid="{8D31C1F0-F2F6-4E73-B245-1DAFB3156DAD}"/>
    <cellStyle name="Comma 3 2 5 2 5 4 2" xfId="45219" xr:uid="{B2B3025B-2319-4AC1-8D0B-31C91D00BB11}"/>
    <cellStyle name="Comma 3 2 5 2 5 4 3" xfId="26965" xr:uid="{797B83D7-A469-4CD7-B479-659A1CC89E59}"/>
    <cellStyle name="Comma 3 2 5 2 5 5" xfId="5061" xr:uid="{FFC224FA-47BD-453A-A8D7-F2E96132664F}"/>
    <cellStyle name="Comma 3 2 5 2 5 5 2" xfId="41569" xr:uid="{A16778C0-A11D-49FB-9F4A-8A60032DA639}"/>
    <cellStyle name="Comma 3 2 5 2 5 5 3" xfId="23315" xr:uid="{DEF43671-72BB-4677-A909-BBDA828C0968}"/>
    <cellStyle name="Comma 3 2 5 2 5 6" xfId="37919" xr:uid="{DFF5A95F-9FA8-4D3A-A7AE-E776274220ED}"/>
    <cellStyle name="Comma 3 2 5 2 5 7" xfId="19665" xr:uid="{036DE9F8-A9B3-46A5-9C3C-DC18BA6BC35D}"/>
    <cellStyle name="Comma 3 2 5 2 6" xfId="15281" xr:uid="{55270909-15C1-43B5-916D-41F52AD46595}"/>
    <cellStyle name="Comma 3 2 5 2 6 2" xfId="51789" xr:uid="{4C38A175-60B3-4EEE-9FF5-A0DEE75018B8}"/>
    <cellStyle name="Comma 3 2 5 2 6 3" xfId="33535" xr:uid="{0EB69D11-70F5-4EE9-B521-E588AE69C007}"/>
    <cellStyle name="Comma 3 2 5 2 7" xfId="11631" xr:uid="{88A47B34-AFE6-4C01-9CDC-59CFA8BB198F}"/>
    <cellStyle name="Comma 3 2 5 2 7 2" xfId="48139" xr:uid="{BC5FD5D9-49DF-4DCE-A025-63169E0250F6}"/>
    <cellStyle name="Comma 3 2 5 2 7 3" xfId="29885" xr:uid="{8955836D-318B-42BD-8DF6-6F2E524548CF}"/>
    <cellStyle name="Comma 3 2 5 2 8" xfId="7981" xr:uid="{344B5ADB-96EC-4DCD-998D-928D18145EC8}"/>
    <cellStyle name="Comma 3 2 5 2 8 2" xfId="44489" xr:uid="{8E759521-1CB2-457E-A05A-6381CB8742A8}"/>
    <cellStyle name="Comma 3 2 5 2 8 3" xfId="26235" xr:uid="{70E28EB9-6666-48C1-BAE6-997E54E44C00}"/>
    <cellStyle name="Comma 3 2 5 2 9" xfId="4331" xr:uid="{12B272D6-7F9A-4155-88CF-1502DD29B34E}"/>
    <cellStyle name="Comma 3 2 5 2 9 2" xfId="40839" xr:uid="{7F1C5E4B-32E4-49CE-9F5D-67F2604E2EF4}"/>
    <cellStyle name="Comma 3 2 5 2 9 3" xfId="22585" xr:uid="{D2310EA6-9675-4EA6-9389-0F4C0CBDB6C4}"/>
    <cellStyle name="Comma 3 2 5 3" xfId="577" xr:uid="{FD79ECCB-542E-45EB-A2CC-01B499C23598}"/>
    <cellStyle name="Comma 3 2 5 3 10" xfId="37085" xr:uid="{A510FA5E-C392-4DF7-9FE6-AC460EEAE1BD}"/>
    <cellStyle name="Comma 3 2 5 3 11" xfId="18831" xr:uid="{B967DFB3-DC8E-4819-A602-1155EA8B3762}"/>
    <cellStyle name="Comma 3 2 5 3 2" xfId="3497" xr:uid="{CDB0CE71-F160-4113-9637-6027FBDC7B55}"/>
    <cellStyle name="Comma 3 2 5 3 2 2" xfId="18097" xr:uid="{A665841E-7ACC-4828-B027-ACDB7AFC9AF3}"/>
    <cellStyle name="Comma 3 2 5 3 2 2 2" xfId="54605" xr:uid="{20410725-E05A-4185-9227-9ED650C96F69}"/>
    <cellStyle name="Comma 3 2 5 3 2 2 3" xfId="36351" xr:uid="{F7DF39AF-427B-4DEB-9A75-E7F713A6B5D7}"/>
    <cellStyle name="Comma 3 2 5 3 2 3" xfId="14447" xr:uid="{D3F444C1-0552-4569-AC87-37E37284095A}"/>
    <cellStyle name="Comma 3 2 5 3 2 3 2" xfId="50955" xr:uid="{A7380CE2-5044-4454-A766-1D9BC47E74B7}"/>
    <cellStyle name="Comma 3 2 5 3 2 3 3" xfId="32701" xr:uid="{06FD9866-92F3-4C1F-B4EA-DBACCEA9E72E}"/>
    <cellStyle name="Comma 3 2 5 3 2 4" xfId="10797" xr:uid="{821A8E3A-DA85-44D8-8FA9-80C2C8DD9E8C}"/>
    <cellStyle name="Comma 3 2 5 3 2 4 2" xfId="47305" xr:uid="{D7AB1A9D-0C21-42F5-96C4-3A7069C59783}"/>
    <cellStyle name="Comma 3 2 5 3 2 4 3" xfId="29051" xr:uid="{DCA6EDFE-B40F-46FB-828D-10A5621682E1}"/>
    <cellStyle name="Comma 3 2 5 3 2 5" xfId="7147" xr:uid="{1A34AEE0-3C80-4289-B600-23FF6DACFA35}"/>
    <cellStyle name="Comma 3 2 5 3 2 5 2" xfId="43655" xr:uid="{B443E659-8E54-4249-A39B-F4113EC3AB93}"/>
    <cellStyle name="Comma 3 2 5 3 2 5 3" xfId="25401" xr:uid="{EB615ED6-D297-4E50-B4C6-A0FE947079BD}"/>
    <cellStyle name="Comma 3 2 5 3 2 6" xfId="40005" xr:uid="{2BA15654-39BF-4D3B-B8C2-9C54B39957E3}"/>
    <cellStyle name="Comma 3 2 5 3 2 7" xfId="21751" xr:uid="{49D18765-3CEB-45E4-AFCE-B73D77EF7AC1}"/>
    <cellStyle name="Comma 3 2 5 3 3" xfId="2767" xr:uid="{02DF9327-30D5-4FC7-9420-818D3443E19F}"/>
    <cellStyle name="Comma 3 2 5 3 3 2" xfId="17367" xr:uid="{9EA1F9E1-008D-4BE2-A322-CCE21E39AC52}"/>
    <cellStyle name="Comma 3 2 5 3 3 2 2" xfId="53875" xr:uid="{86F2FF56-411F-4F2E-B875-D218B1CCE81E}"/>
    <cellStyle name="Comma 3 2 5 3 3 2 3" xfId="35621" xr:uid="{90DAD5C5-8BB1-4162-94E6-4DBCCB6D2B58}"/>
    <cellStyle name="Comma 3 2 5 3 3 3" xfId="13717" xr:uid="{B671758D-2E0A-4EA6-B4CD-BE46234A91E0}"/>
    <cellStyle name="Comma 3 2 5 3 3 3 2" xfId="50225" xr:uid="{C2F06089-9601-4EBD-AB2E-F8994284B1E3}"/>
    <cellStyle name="Comma 3 2 5 3 3 3 3" xfId="31971" xr:uid="{4AB2B2CB-1E92-4F68-B62E-B791BAF9BC6B}"/>
    <cellStyle name="Comma 3 2 5 3 3 4" xfId="10067" xr:uid="{892A963D-3E04-46D3-9469-F3B258719830}"/>
    <cellStyle name="Comma 3 2 5 3 3 4 2" xfId="46575" xr:uid="{2665651B-3C6C-499A-9CB8-6B07A8DAA82F}"/>
    <cellStyle name="Comma 3 2 5 3 3 4 3" xfId="28321" xr:uid="{8469A758-606B-4779-AAC8-F6A5B242FCBF}"/>
    <cellStyle name="Comma 3 2 5 3 3 5" xfId="6417" xr:uid="{8B540D6D-E119-4654-8AC5-141C5455F65A}"/>
    <cellStyle name="Comma 3 2 5 3 3 5 2" xfId="42925" xr:uid="{CBA04D8C-3A52-46FB-B008-797767B2C813}"/>
    <cellStyle name="Comma 3 2 5 3 3 5 3" xfId="24671" xr:uid="{A6C6DC1F-1BD9-4129-9B70-A1196B2B4F6A}"/>
    <cellStyle name="Comma 3 2 5 3 3 6" xfId="39275" xr:uid="{8CE746C8-E45C-4A02-8955-086645E471B4}"/>
    <cellStyle name="Comma 3 2 5 3 3 7" xfId="21021" xr:uid="{5D4F3EAB-65CE-4D04-9319-1D935458EC62}"/>
    <cellStyle name="Comma 3 2 5 3 4" xfId="2037" xr:uid="{63A60EDF-A8E0-438A-BB69-4F66E5E17892}"/>
    <cellStyle name="Comma 3 2 5 3 4 2" xfId="16637" xr:uid="{35B19B83-8F5C-4DBF-AE97-452F03489FE9}"/>
    <cellStyle name="Comma 3 2 5 3 4 2 2" xfId="53145" xr:uid="{2A384C41-C8F9-4DF0-AA4C-20E8BD770369}"/>
    <cellStyle name="Comma 3 2 5 3 4 2 3" xfId="34891" xr:uid="{58457E2B-8BA1-457A-BD0E-6566A60A3457}"/>
    <cellStyle name="Comma 3 2 5 3 4 3" xfId="12987" xr:uid="{6FACC8AB-ED97-4A5E-8138-25B43830A1CE}"/>
    <cellStyle name="Comma 3 2 5 3 4 3 2" xfId="49495" xr:uid="{C2BDA2C4-0257-4EEF-ACA4-AB4446B1E930}"/>
    <cellStyle name="Comma 3 2 5 3 4 3 3" xfId="31241" xr:uid="{A627827F-3633-4746-95C6-77381E13338B}"/>
    <cellStyle name="Comma 3 2 5 3 4 4" xfId="9337" xr:uid="{E93AAFE0-2BA0-46DC-8E3E-382121FE17CE}"/>
    <cellStyle name="Comma 3 2 5 3 4 4 2" xfId="45845" xr:uid="{DEBEE068-100B-43B3-92B2-9A086CDAF97D}"/>
    <cellStyle name="Comma 3 2 5 3 4 4 3" xfId="27591" xr:uid="{04CB3283-8A38-4D47-AE65-EE49BCF70893}"/>
    <cellStyle name="Comma 3 2 5 3 4 5" xfId="5687" xr:uid="{E8D35554-0050-4A2F-AC9F-B8857CCED554}"/>
    <cellStyle name="Comma 3 2 5 3 4 5 2" xfId="42195" xr:uid="{936F7A77-5BF2-496E-BDCE-F67AE319CA30}"/>
    <cellStyle name="Comma 3 2 5 3 4 5 3" xfId="23941" xr:uid="{4AB38416-CABE-49D1-9D46-94CF97001940}"/>
    <cellStyle name="Comma 3 2 5 3 4 6" xfId="38545" xr:uid="{6A7747C6-19E1-4E97-A976-B1201B6ABD3E}"/>
    <cellStyle name="Comma 3 2 5 3 4 7" xfId="20291" xr:uid="{51B4325B-07BC-4939-A41F-5B38031E353A}"/>
    <cellStyle name="Comma 3 2 5 3 5" xfId="1307" xr:uid="{7F91CEA4-93FE-41A7-84E7-72C4FB925B83}"/>
    <cellStyle name="Comma 3 2 5 3 5 2" xfId="15907" xr:uid="{1C8B0B02-CA65-4723-ADEA-E9E0DF6C490C}"/>
    <cellStyle name="Comma 3 2 5 3 5 2 2" xfId="52415" xr:uid="{4DB7402C-F7EC-48F4-A4EF-435EE3554578}"/>
    <cellStyle name="Comma 3 2 5 3 5 2 3" xfId="34161" xr:uid="{D357377C-C0BF-4962-8A6B-67BDCA077E5D}"/>
    <cellStyle name="Comma 3 2 5 3 5 3" xfId="12257" xr:uid="{6FE3C0B2-6D31-4118-9D81-00CEB68E185F}"/>
    <cellStyle name="Comma 3 2 5 3 5 3 2" xfId="48765" xr:uid="{45DC4180-496E-42FF-BF51-D08ABA6BC9B4}"/>
    <cellStyle name="Comma 3 2 5 3 5 3 3" xfId="30511" xr:uid="{FE0EFC88-EAB7-4CEF-8CA9-89F104D70A85}"/>
    <cellStyle name="Comma 3 2 5 3 5 4" xfId="8607" xr:uid="{C575C3CE-43FA-434F-B266-1B9F3624D89C}"/>
    <cellStyle name="Comma 3 2 5 3 5 4 2" xfId="45115" xr:uid="{3DF16042-1AE5-44CF-9156-96EC41895DB6}"/>
    <cellStyle name="Comma 3 2 5 3 5 4 3" xfId="26861" xr:uid="{E7C2CFDB-8E47-44A8-AADE-3A2FE29C2A19}"/>
    <cellStyle name="Comma 3 2 5 3 5 5" xfId="4957" xr:uid="{869AAD63-BA90-4C48-AADB-4A5965731AF3}"/>
    <cellStyle name="Comma 3 2 5 3 5 5 2" xfId="41465" xr:uid="{206B1BAA-43CE-4369-BBB0-1613FA2B8004}"/>
    <cellStyle name="Comma 3 2 5 3 5 5 3" xfId="23211" xr:uid="{F3302BA1-C280-4A39-A8D0-240B51F75D9B}"/>
    <cellStyle name="Comma 3 2 5 3 5 6" xfId="37815" xr:uid="{7350AC22-377C-4DF4-BA55-B3FEA17BCBA6}"/>
    <cellStyle name="Comma 3 2 5 3 5 7" xfId="19561" xr:uid="{67AEB07A-0C0C-4A87-BE0F-6471BB43195E}"/>
    <cellStyle name="Comma 3 2 5 3 6" xfId="15177" xr:uid="{95447DE7-515F-4240-AC11-802714B55858}"/>
    <cellStyle name="Comma 3 2 5 3 6 2" xfId="51685" xr:uid="{E53E2F98-4E6E-4A04-A281-C6D415684624}"/>
    <cellStyle name="Comma 3 2 5 3 6 3" xfId="33431" xr:uid="{7CCD7F4A-E3D2-47DF-958B-91DD4E07B7DD}"/>
    <cellStyle name="Comma 3 2 5 3 7" xfId="11527" xr:uid="{834CDF58-2513-469F-AF30-1893DBF6B335}"/>
    <cellStyle name="Comma 3 2 5 3 7 2" xfId="48035" xr:uid="{693D6BAD-7060-4AF5-8CDB-9F98E70F118B}"/>
    <cellStyle name="Comma 3 2 5 3 7 3" xfId="29781" xr:uid="{05B6BA1D-0D1F-459F-B97D-DF935CABDC51}"/>
    <cellStyle name="Comma 3 2 5 3 8" xfId="7877" xr:uid="{25854B09-23A3-4853-A6E3-895640F772C5}"/>
    <cellStyle name="Comma 3 2 5 3 8 2" xfId="44385" xr:uid="{CA71A292-B0C8-4F5B-9298-8899C365B2F9}"/>
    <cellStyle name="Comma 3 2 5 3 8 3" xfId="26131" xr:uid="{110E8638-1AC2-4009-8AC1-CC44F5694CCB}"/>
    <cellStyle name="Comma 3 2 5 3 9" xfId="4227" xr:uid="{0FA04889-4DD2-46B6-A1C9-060AA4AA11E2}"/>
    <cellStyle name="Comma 3 2 5 3 9 2" xfId="40735" xr:uid="{19F79660-105A-4A26-883A-FE3DA20E4213}"/>
    <cellStyle name="Comma 3 2 5 3 9 3" xfId="22481" xr:uid="{BB312BE7-12F5-4C1B-A577-9894DDD7618F}"/>
    <cellStyle name="Comma 3 2 5 4" xfId="473" xr:uid="{06B29143-42CC-4E42-B6DC-BBC29176A816}"/>
    <cellStyle name="Comma 3 2 5 4 10" xfId="36981" xr:uid="{4ED3ECB3-D1FA-4D88-B1AF-5F19FBFB77F5}"/>
    <cellStyle name="Comma 3 2 5 4 11" xfId="18727" xr:uid="{A5BD7FE4-E8E8-49FE-85A3-F59F21675262}"/>
    <cellStyle name="Comma 3 2 5 4 2" xfId="3393" xr:uid="{2FFEF6F9-95F5-41BC-A0A2-A4385696D21E}"/>
    <cellStyle name="Comma 3 2 5 4 2 2" xfId="17993" xr:uid="{04F6E3F8-3040-42B0-8B58-F5C8C8135BAB}"/>
    <cellStyle name="Comma 3 2 5 4 2 2 2" xfId="54501" xr:uid="{477F1F5E-AF1B-48DA-B04E-2B9B386EB0D0}"/>
    <cellStyle name="Comma 3 2 5 4 2 2 3" xfId="36247" xr:uid="{61FDFA8E-B01C-4705-978E-88E2F764157B}"/>
    <cellStyle name="Comma 3 2 5 4 2 3" xfId="14343" xr:uid="{6FA9C951-B4BD-4BAB-8F71-CAF7CA828380}"/>
    <cellStyle name="Comma 3 2 5 4 2 3 2" xfId="50851" xr:uid="{8773D7E4-904E-4FED-B56B-754F1613FC6D}"/>
    <cellStyle name="Comma 3 2 5 4 2 3 3" xfId="32597" xr:uid="{03911BAD-FD9E-4BE1-A8A5-4568525716EF}"/>
    <cellStyle name="Comma 3 2 5 4 2 4" xfId="10693" xr:uid="{021A01BC-75E7-4F38-BC7D-9329D511CE19}"/>
    <cellStyle name="Comma 3 2 5 4 2 4 2" xfId="47201" xr:uid="{95362679-CA1A-471A-A1B1-5E587FD24408}"/>
    <cellStyle name="Comma 3 2 5 4 2 4 3" xfId="28947" xr:uid="{1AF10ABF-978D-4958-B2B9-6DC3F3039D06}"/>
    <cellStyle name="Comma 3 2 5 4 2 5" xfId="7043" xr:uid="{57619FF3-5ADF-4CC0-B7A6-A5C6F8579839}"/>
    <cellStyle name="Comma 3 2 5 4 2 5 2" xfId="43551" xr:uid="{58DE0865-DE2D-4B6C-A2F1-AFF952E4904C}"/>
    <cellStyle name="Comma 3 2 5 4 2 5 3" xfId="25297" xr:uid="{3D6420CA-674A-4582-AAC2-9AB4F75FC499}"/>
    <cellStyle name="Comma 3 2 5 4 2 6" xfId="39901" xr:uid="{A5BC1F21-DB85-4D74-A77A-2B5CF372370A}"/>
    <cellStyle name="Comma 3 2 5 4 2 7" xfId="21647" xr:uid="{91262B37-65BB-4B53-8A32-958B486B1D81}"/>
    <cellStyle name="Comma 3 2 5 4 3" xfId="2663" xr:uid="{31BBB633-D589-469A-AE21-C72DA3E88266}"/>
    <cellStyle name="Comma 3 2 5 4 3 2" xfId="17263" xr:uid="{D0917A02-E972-44FE-9E95-19C7E86C4897}"/>
    <cellStyle name="Comma 3 2 5 4 3 2 2" xfId="53771" xr:uid="{E53A9C8B-55B5-4990-ACA4-2948D7FA3E73}"/>
    <cellStyle name="Comma 3 2 5 4 3 2 3" xfId="35517" xr:uid="{41C2F094-41D1-47BF-8D61-A1433D0942D3}"/>
    <cellStyle name="Comma 3 2 5 4 3 3" xfId="13613" xr:uid="{814B1CF3-7990-4BAC-AE1C-304CC1FAEDB8}"/>
    <cellStyle name="Comma 3 2 5 4 3 3 2" xfId="50121" xr:uid="{4DE7557F-9E31-47DF-A1FE-BAAA1210BB1F}"/>
    <cellStyle name="Comma 3 2 5 4 3 3 3" xfId="31867" xr:uid="{78D324A6-35F5-46DD-B340-9C5022AC73A1}"/>
    <cellStyle name="Comma 3 2 5 4 3 4" xfId="9963" xr:uid="{80287D2A-2A30-4AD6-9623-5841118EEB86}"/>
    <cellStyle name="Comma 3 2 5 4 3 4 2" xfId="46471" xr:uid="{14536CC5-AC89-44A1-B3CF-A61F913475C9}"/>
    <cellStyle name="Comma 3 2 5 4 3 4 3" xfId="28217" xr:uid="{7D567B2A-2BE1-4046-B54F-4F5A6D4B5BD8}"/>
    <cellStyle name="Comma 3 2 5 4 3 5" xfId="6313" xr:uid="{80425BA5-AD29-437E-BC0F-784808FB93D9}"/>
    <cellStyle name="Comma 3 2 5 4 3 5 2" xfId="42821" xr:uid="{7762A5FD-B139-46E5-BEA8-56DF234A18D3}"/>
    <cellStyle name="Comma 3 2 5 4 3 5 3" xfId="24567" xr:uid="{9960D1B5-0679-4220-9823-CCCB78CBFEAC}"/>
    <cellStyle name="Comma 3 2 5 4 3 6" xfId="39171" xr:uid="{7A06FC25-253B-46AE-B6AA-D18341A4060B}"/>
    <cellStyle name="Comma 3 2 5 4 3 7" xfId="20917" xr:uid="{9ECDE484-FBBB-429C-97FA-E37B7590C21A}"/>
    <cellStyle name="Comma 3 2 5 4 4" xfId="1933" xr:uid="{C86ED298-1DEE-4416-BCE1-13C8326516EC}"/>
    <cellStyle name="Comma 3 2 5 4 4 2" xfId="16533" xr:uid="{7B028374-7359-42AA-A723-CB45F2165E57}"/>
    <cellStyle name="Comma 3 2 5 4 4 2 2" xfId="53041" xr:uid="{99C32722-0A1D-4E8E-8093-8C4922756034}"/>
    <cellStyle name="Comma 3 2 5 4 4 2 3" xfId="34787" xr:uid="{604ABFD3-AAEE-43E4-BC49-11C37D6EC2DC}"/>
    <cellStyle name="Comma 3 2 5 4 4 3" xfId="12883" xr:uid="{DAF0102A-4853-464C-8E54-596C7A7861E1}"/>
    <cellStyle name="Comma 3 2 5 4 4 3 2" xfId="49391" xr:uid="{1EF6EC4F-F6C8-4067-827A-B9D1722971F6}"/>
    <cellStyle name="Comma 3 2 5 4 4 3 3" xfId="31137" xr:uid="{4CD301D3-BDC4-4F6D-981C-111B6676CE50}"/>
    <cellStyle name="Comma 3 2 5 4 4 4" xfId="9233" xr:uid="{4F0B25BF-D155-4819-AF21-3B06B68AB085}"/>
    <cellStyle name="Comma 3 2 5 4 4 4 2" xfId="45741" xr:uid="{769CFCF4-FC56-400D-89C9-947B65FC0FCF}"/>
    <cellStyle name="Comma 3 2 5 4 4 4 3" xfId="27487" xr:uid="{03F1EFD0-9298-4100-88C0-77E7948C21D7}"/>
    <cellStyle name="Comma 3 2 5 4 4 5" xfId="5583" xr:uid="{9F284F2A-50C5-4E63-8ACE-196B140400A0}"/>
    <cellStyle name="Comma 3 2 5 4 4 5 2" xfId="42091" xr:uid="{A61EE8D3-629B-4438-B66A-D31DA20B1B87}"/>
    <cellStyle name="Comma 3 2 5 4 4 5 3" xfId="23837" xr:uid="{35E87462-2C5C-4337-9E22-936529962DE0}"/>
    <cellStyle name="Comma 3 2 5 4 4 6" xfId="38441" xr:uid="{E9C08E66-C1FD-4A9D-9497-325E207B4889}"/>
    <cellStyle name="Comma 3 2 5 4 4 7" xfId="20187" xr:uid="{E5090F91-41C4-49CF-B2B8-C93322154B7D}"/>
    <cellStyle name="Comma 3 2 5 4 5" xfId="1203" xr:uid="{C8E292F9-F45B-47D2-AF5E-E56086C40D25}"/>
    <cellStyle name="Comma 3 2 5 4 5 2" xfId="15803" xr:uid="{D711EA81-6C05-47CC-8682-3EDB1F6C5971}"/>
    <cellStyle name="Comma 3 2 5 4 5 2 2" xfId="52311" xr:uid="{0DF28470-64DC-472F-8F37-DFF999758C5D}"/>
    <cellStyle name="Comma 3 2 5 4 5 2 3" xfId="34057" xr:uid="{2B004E09-F992-4100-A472-E07390BEE758}"/>
    <cellStyle name="Comma 3 2 5 4 5 3" xfId="12153" xr:uid="{721E3BB3-57C5-4F81-9B99-73C6C99D950F}"/>
    <cellStyle name="Comma 3 2 5 4 5 3 2" xfId="48661" xr:uid="{5A2886BB-E081-435A-838F-90C86F6696EA}"/>
    <cellStyle name="Comma 3 2 5 4 5 3 3" xfId="30407" xr:uid="{42DE39D2-1FC7-4B70-90A9-8FA7D5699635}"/>
    <cellStyle name="Comma 3 2 5 4 5 4" xfId="8503" xr:uid="{F58F163A-3BC6-4920-88C1-4BCAF21727EC}"/>
    <cellStyle name="Comma 3 2 5 4 5 4 2" xfId="45011" xr:uid="{83C54694-D521-436B-9497-1BC77DAB72C4}"/>
    <cellStyle name="Comma 3 2 5 4 5 4 3" xfId="26757" xr:uid="{78D0270C-96F5-4AF3-81B9-E7FB34212CA6}"/>
    <cellStyle name="Comma 3 2 5 4 5 5" xfId="4853" xr:uid="{6138368A-85A2-424E-B927-A223F80CDF67}"/>
    <cellStyle name="Comma 3 2 5 4 5 5 2" xfId="41361" xr:uid="{0C65D7CB-6AB9-41C9-9727-F4F2DA59913E}"/>
    <cellStyle name="Comma 3 2 5 4 5 5 3" xfId="23107" xr:uid="{83A26DB7-D618-421E-B498-A78BFC14C0C4}"/>
    <cellStyle name="Comma 3 2 5 4 5 6" xfId="37711" xr:uid="{D59C1F41-07D8-46ED-AFA4-8B563EB8CC72}"/>
    <cellStyle name="Comma 3 2 5 4 5 7" xfId="19457" xr:uid="{6704A34D-BB49-472E-8D9E-CCDCA9266817}"/>
    <cellStyle name="Comma 3 2 5 4 6" xfId="15073" xr:uid="{EBB4BB4C-BA2A-4E12-AA72-C6748B6741BA}"/>
    <cellStyle name="Comma 3 2 5 4 6 2" xfId="51581" xr:uid="{5A81DFA1-B988-4334-A9B2-620335FD3518}"/>
    <cellStyle name="Comma 3 2 5 4 6 3" xfId="33327" xr:uid="{30068853-2F40-481B-A56C-0F8442D302D5}"/>
    <cellStyle name="Comma 3 2 5 4 7" xfId="11423" xr:uid="{1C3065A0-E547-4970-BB9D-5A10E9D5403B}"/>
    <cellStyle name="Comma 3 2 5 4 7 2" xfId="47931" xr:uid="{D0C22D54-0E92-469E-8681-B8DCE6CE9D92}"/>
    <cellStyle name="Comma 3 2 5 4 7 3" xfId="29677" xr:uid="{1EFAA0EA-3751-4F2A-923C-78413BD4C7DA}"/>
    <cellStyle name="Comma 3 2 5 4 8" xfId="7773" xr:uid="{68C16B20-2B3A-492F-AD4F-0DDF3155F47B}"/>
    <cellStyle name="Comma 3 2 5 4 8 2" xfId="44281" xr:uid="{EB407A44-A3CB-482D-A466-63C2B18E0462}"/>
    <cellStyle name="Comma 3 2 5 4 8 3" xfId="26027" xr:uid="{F00FB2A4-78D2-428C-A759-7BC70D38F393}"/>
    <cellStyle name="Comma 3 2 5 4 9" xfId="4123" xr:uid="{56E68330-6C21-4977-A687-E6364434A8D6}"/>
    <cellStyle name="Comma 3 2 5 4 9 2" xfId="40631" xr:uid="{080E8DAC-39FD-4568-AF4C-7C5D49C915FC}"/>
    <cellStyle name="Comma 3 2 5 4 9 3" xfId="22377" xr:uid="{4ADB0D94-6A9F-4C09-8778-FDAB04D78E9E}"/>
    <cellStyle name="Comma 3 2 5 5" xfId="369" xr:uid="{C15C0CDF-F544-464A-8186-23167D079213}"/>
    <cellStyle name="Comma 3 2 5 5 10" xfId="36877" xr:uid="{61FB80CC-7940-4D40-A501-90B6BE004C72}"/>
    <cellStyle name="Comma 3 2 5 5 11" xfId="18623" xr:uid="{2C1F7C33-81B1-48BE-AEF9-86CB9D272C04}"/>
    <cellStyle name="Comma 3 2 5 5 2" xfId="3289" xr:uid="{271A9547-D65E-43CB-9731-F47CFD00111B}"/>
    <cellStyle name="Comma 3 2 5 5 2 2" xfId="17889" xr:uid="{58BFAEA6-854F-4ADC-97BB-1F1ECBCB21ED}"/>
    <cellStyle name="Comma 3 2 5 5 2 2 2" xfId="54397" xr:uid="{032407A1-61BA-4456-B860-B1FB23E0EC76}"/>
    <cellStyle name="Comma 3 2 5 5 2 2 3" xfId="36143" xr:uid="{AABEE5D7-1347-41C2-A909-7CCE3797D16B}"/>
    <cellStyle name="Comma 3 2 5 5 2 3" xfId="14239" xr:uid="{345C52A1-833A-4913-BCA8-2EF568A1C8DE}"/>
    <cellStyle name="Comma 3 2 5 5 2 3 2" xfId="50747" xr:uid="{24EBC2B0-BC4F-442C-8F50-715DE66CD65F}"/>
    <cellStyle name="Comma 3 2 5 5 2 3 3" xfId="32493" xr:uid="{BAD9DB1C-2C4C-4AA3-99CC-9FDED887A1E4}"/>
    <cellStyle name="Comma 3 2 5 5 2 4" xfId="10589" xr:uid="{F742D638-4741-4EAB-8611-9B42C0E00ED1}"/>
    <cellStyle name="Comma 3 2 5 5 2 4 2" xfId="47097" xr:uid="{5E22D81D-62EE-4C0F-ACCB-41ABADD4B8C9}"/>
    <cellStyle name="Comma 3 2 5 5 2 4 3" xfId="28843" xr:uid="{155389E7-34CA-4E91-A8B2-AF94D254B3E0}"/>
    <cellStyle name="Comma 3 2 5 5 2 5" xfId="6939" xr:uid="{5327E49A-95C7-46FC-852C-DBBF51F831B6}"/>
    <cellStyle name="Comma 3 2 5 5 2 5 2" xfId="43447" xr:uid="{81AF9828-335A-416A-A875-0C3A05DC767A}"/>
    <cellStyle name="Comma 3 2 5 5 2 5 3" xfId="25193" xr:uid="{C7AE85CF-E905-49C9-9602-77335002C0B7}"/>
    <cellStyle name="Comma 3 2 5 5 2 6" xfId="39797" xr:uid="{189F4B68-9BA0-487E-9D3B-AD8617CFF95B}"/>
    <cellStyle name="Comma 3 2 5 5 2 7" xfId="21543" xr:uid="{BAFE7131-2DD8-4A74-A9F8-F8CC23DFDE88}"/>
    <cellStyle name="Comma 3 2 5 5 3" xfId="2559" xr:uid="{5362733F-0332-4734-9C4A-EEF37FD30894}"/>
    <cellStyle name="Comma 3 2 5 5 3 2" xfId="17159" xr:uid="{3AF49877-11EF-4D9A-8238-F2A2D50AF442}"/>
    <cellStyle name="Comma 3 2 5 5 3 2 2" xfId="53667" xr:uid="{4F3CF00E-4FC4-4CCB-82C7-5561945A0B98}"/>
    <cellStyle name="Comma 3 2 5 5 3 2 3" xfId="35413" xr:uid="{462DF200-1B47-4E45-A8A6-0D693644AFD3}"/>
    <cellStyle name="Comma 3 2 5 5 3 3" xfId="13509" xr:uid="{0EE5DE61-C575-4D6F-85C2-F54142A3234C}"/>
    <cellStyle name="Comma 3 2 5 5 3 3 2" xfId="50017" xr:uid="{F87AD8E5-A0B8-4B8C-9B3E-40D45D52A229}"/>
    <cellStyle name="Comma 3 2 5 5 3 3 3" xfId="31763" xr:uid="{7B008716-FC3F-4804-AADD-9B972D5BC015}"/>
    <cellStyle name="Comma 3 2 5 5 3 4" xfId="9859" xr:uid="{4BC95042-0271-452C-9807-DB6B2C9F6CDB}"/>
    <cellStyle name="Comma 3 2 5 5 3 4 2" xfId="46367" xr:uid="{A0262361-6DC1-45CF-8F2B-51D2745774B0}"/>
    <cellStyle name="Comma 3 2 5 5 3 4 3" xfId="28113" xr:uid="{1BAE53D0-D658-4AE2-AA23-581F4EB93A07}"/>
    <cellStyle name="Comma 3 2 5 5 3 5" xfId="6209" xr:uid="{6C6B6907-7009-4E2F-95BD-6F1E20601A62}"/>
    <cellStyle name="Comma 3 2 5 5 3 5 2" xfId="42717" xr:uid="{E9BC0F9E-B803-49BD-88C4-707E6CFF584E}"/>
    <cellStyle name="Comma 3 2 5 5 3 5 3" xfId="24463" xr:uid="{0E84DA8B-9452-4F09-BD67-78030EB5D71C}"/>
    <cellStyle name="Comma 3 2 5 5 3 6" xfId="39067" xr:uid="{38679D6A-232C-4089-9EFF-8DB91D2C4B3D}"/>
    <cellStyle name="Comma 3 2 5 5 3 7" xfId="20813" xr:uid="{A19E2643-1F4C-4600-9B47-88DFEE269C02}"/>
    <cellStyle name="Comma 3 2 5 5 4" xfId="1829" xr:uid="{52F0DFB2-78BE-4ED1-AEE0-0E4430FD2CE9}"/>
    <cellStyle name="Comma 3 2 5 5 4 2" xfId="16429" xr:uid="{656B3535-A3E8-4CE3-ACB7-BBA3E51ED8DD}"/>
    <cellStyle name="Comma 3 2 5 5 4 2 2" xfId="52937" xr:uid="{CE3F8362-E55F-4D00-886E-17B27578EE88}"/>
    <cellStyle name="Comma 3 2 5 5 4 2 3" xfId="34683" xr:uid="{BE59922C-F264-4BBF-80F8-E1F057597ECE}"/>
    <cellStyle name="Comma 3 2 5 5 4 3" xfId="12779" xr:uid="{DAAE0238-E800-4F52-830A-68F0ED76CAF7}"/>
    <cellStyle name="Comma 3 2 5 5 4 3 2" xfId="49287" xr:uid="{9802C908-803B-4CA9-ADFD-6DA90DEA0F63}"/>
    <cellStyle name="Comma 3 2 5 5 4 3 3" xfId="31033" xr:uid="{AC1C968B-30DD-4825-90C3-A79B125B98C9}"/>
    <cellStyle name="Comma 3 2 5 5 4 4" xfId="9129" xr:uid="{39479808-8EEC-45BE-BFEA-8D27C9AC43AD}"/>
    <cellStyle name="Comma 3 2 5 5 4 4 2" xfId="45637" xr:uid="{28708A7F-5510-422A-96C8-731FA28151EB}"/>
    <cellStyle name="Comma 3 2 5 5 4 4 3" xfId="27383" xr:uid="{1C069373-E0CF-48F6-B1BD-FEDFC01B4704}"/>
    <cellStyle name="Comma 3 2 5 5 4 5" xfId="5479" xr:uid="{AD40FC45-7D23-4C9E-A0CF-556522966A7C}"/>
    <cellStyle name="Comma 3 2 5 5 4 5 2" xfId="41987" xr:uid="{2737500F-242E-47D8-8EE9-E16890321121}"/>
    <cellStyle name="Comma 3 2 5 5 4 5 3" xfId="23733" xr:uid="{7C2D02CE-512C-404C-AEFD-ACA9B3E3DD3B}"/>
    <cellStyle name="Comma 3 2 5 5 4 6" xfId="38337" xr:uid="{9460E1E4-D528-4D02-9842-D160DE91659F}"/>
    <cellStyle name="Comma 3 2 5 5 4 7" xfId="20083" xr:uid="{6FF87882-2B6A-4B74-9D07-5B5179732471}"/>
    <cellStyle name="Comma 3 2 5 5 5" xfId="1099" xr:uid="{8E4CB677-81E6-4A90-9773-AD61C6850BC3}"/>
    <cellStyle name="Comma 3 2 5 5 5 2" xfId="15699" xr:uid="{51BE7F52-7EB3-4233-882E-180EFFD20F7D}"/>
    <cellStyle name="Comma 3 2 5 5 5 2 2" xfId="52207" xr:uid="{0DB13D77-1A35-4EDD-BAB4-021CD7791DE9}"/>
    <cellStyle name="Comma 3 2 5 5 5 2 3" xfId="33953" xr:uid="{A9EF783C-B776-4724-96F0-97DE1D1484D5}"/>
    <cellStyle name="Comma 3 2 5 5 5 3" xfId="12049" xr:uid="{9EED2AC4-3B86-4B0C-969A-EFBBC5ECDBCC}"/>
    <cellStyle name="Comma 3 2 5 5 5 3 2" xfId="48557" xr:uid="{8BD4C311-10AE-43A3-99E8-A2255CBC4110}"/>
    <cellStyle name="Comma 3 2 5 5 5 3 3" xfId="30303" xr:uid="{F661F6B7-0407-4AD6-B187-67412ACE6DF1}"/>
    <cellStyle name="Comma 3 2 5 5 5 4" xfId="8399" xr:uid="{78EFDA51-754C-4BE6-90FA-7E39BC574169}"/>
    <cellStyle name="Comma 3 2 5 5 5 4 2" xfId="44907" xr:uid="{EDAC087E-31A2-49DA-8F1C-CBA89FB0460F}"/>
    <cellStyle name="Comma 3 2 5 5 5 4 3" xfId="26653" xr:uid="{F3C98A6C-B37E-4B76-BF07-8109B0379AEA}"/>
    <cellStyle name="Comma 3 2 5 5 5 5" xfId="4749" xr:uid="{16CE536C-7AFA-499B-947E-3079EC68A3BC}"/>
    <cellStyle name="Comma 3 2 5 5 5 5 2" xfId="41257" xr:uid="{997EB3B5-17D6-4A0D-92B9-5CD1BE570431}"/>
    <cellStyle name="Comma 3 2 5 5 5 5 3" xfId="23003" xr:uid="{F69A36E7-A91D-4347-8B68-2EA7519F56DF}"/>
    <cellStyle name="Comma 3 2 5 5 5 6" xfId="37607" xr:uid="{780B753B-9F80-442E-837E-9414651B35D6}"/>
    <cellStyle name="Comma 3 2 5 5 5 7" xfId="19353" xr:uid="{B1FC4FC7-FAE9-4405-B9A8-54D63509E9BD}"/>
    <cellStyle name="Comma 3 2 5 5 6" xfId="14969" xr:uid="{737058FD-4A7A-477A-81AD-714151FE942E}"/>
    <cellStyle name="Comma 3 2 5 5 6 2" xfId="51477" xr:uid="{35114641-0C44-4F06-A201-9FF2B9A97EB9}"/>
    <cellStyle name="Comma 3 2 5 5 6 3" xfId="33223" xr:uid="{9CE75014-C3CD-4D80-96AA-BA38ECA1FC87}"/>
    <cellStyle name="Comma 3 2 5 5 7" xfId="11319" xr:uid="{9A14CE18-B57E-4DA9-811F-763D1BB899E7}"/>
    <cellStyle name="Comma 3 2 5 5 7 2" xfId="47827" xr:uid="{0C3F6669-F627-48D3-84D4-1181A1623C49}"/>
    <cellStyle name="Comma 3 2 5 5 7 3" xfId="29573" xr:uid="{637D73D4-A4ED-4865-B2E4-F219EC7C6F64}"/>
    <cellStyle name="Comma 3 2 5 5 8" xfId="7669" xr:uid="{0B1913B5-18CC-4E65-872E-86414082A3FC}"/>
    <cellStyle name="Comma 3 2 5 5 8 2" xfId="44177" xr:uid="{E07555AE-3F52-4294-A5DD-CDB2E6B2C387}"/>
    <cellStyle name="Comma 3 2 5 5 8 3" xfId="25923" xr:uid="{1A3993D0-3C89-4424-A4F0-D5D6539A7142}"/>
    <cellStyle name="Comma 3 2 5 5 9" xfId="4019" xr:uid="{2F13E541-4557-4E52-9E81-EF57294A6900}"/>
    <cellStyle name="Comma 3 2 5 5 9 2" xfId="40527" xr:uid="{79198D5F-7CFD-48EA-8060-3136D686C68C}"/>
    <cellStyle name="Comma 3 2 5 5 9 3" xfId="22273" xr:uid="{17284152-57D8-4226-B3B8-4141D1F4AB25}"/>
    <cellStyle name="Comma 3 2 5 6" xfId="265" xr:uid="{540AAF65-906B-47AC-81F3-97AA68B08C0F}"/>
    <cellStyle name="Comma 3 2 5 6 10" xfId="36773" xr:uid="{E98B0C21-491E-41AD-B1D6-E6444A07FD93}"/>
    <cellStyle name="Comma 3 2 5 6 11" xfId="18519" xr:uid="{74414EC3-8BC4-4114-801F-0944EA9E4713}"/>
    <cellStyle name="Comma 3 2 5 6 2" xfId="3185" xr:uid="{1D81392B-7D62-4CCF-BF9F-C31938A013BF}"/>
    <cellStyle name="Comma 3 2 5 6 2 2" xfId="17785" xr:uid="{E35581B5-639D-46DA-9D18-F0BC89283983}"/>
    <cellStyle name="Comma 3 2 5 6 2 2 2" xfId="54293" xr:uid="{D5782709-6188-4481-AAA1-A20AA9ADBE98}"/>
    <cellStyle name="Comma 3 2 5 6 2 2 3" xfId="36039" xr:uid="{0D346ED9-C7E2-4556-8495-BD423328E05C}"/>
    <cellStyle name="Comma 3 2 5 6 2 3" xfId="14135" xr:uid="{E43B4FBD-ED57-4E90-A01F-7C7E90776280}"/>
    <cellStyle name="Comma 3 2 5 6 2 3 2" xfId="50643" xr:uid="{1A974939-DF64-4D2E-B7D8-04503121EEDD}"/>
    <cellStyle name="Comma 3 2 5 6 2 3 3" xfId="32389" xr:uid="{41EF7EF8-3202-4C5D-A4AA-F768AADAE219}"/>
    <cellStyle name="Comma 3 2 5 6 2 4" xfId="10485" xr:uid="{3907368F-7C4B-4946-8D3A-EE92E60EA5FC}"/>
    <cellStyle name="Comma 3 2 5 6 2 4 2" xfId="46993" xr:uid="{96F3DED6-C7E7-4DDF-B19C-FBC298B3CB6B}"/>
    <cellStyle name="Comma 3 2 5 6 2 4 3" xfId="28739" xr:uid="{E98EE731-CE16-48CE-8186-5A7485B8F8C8}"/>
    <cellStyle name="Comma 3 2 5 6 2 5" xfId="6835" xr:uid="{B0243E29-737B-4B16-9B6F-6887E6BEEA8C}"/>
    <cellStyle name="Comma 3 2 5 6 2 5 2" xfId="43343" xr:uid="{D5375455-3930-4C09-98AC-3C12572DEB19}"/>
    <cellStyle name="Comma 3 2 5 6 2 5 3" xfId="25089" xr:uid="{0F88E900-A3D8-4436-A49F-1FD24E799E68}"/>
    <cellStyle name="Comma 3 2 5 6 2 6" xfId="39693" xr:uid="{8D211E48-ED07-4AF3-A861-906F77706635}"/>
    <cellStyle name="Comma 3 2 5 6 2 7" xfId="21439" xr:uid="{640444E2-4744-4458-A75D-63AE6CABE781}"/>
    <cellStyle name="Comma 3 2 5 6 3" xfId="2455" xr:uid="{65F73A9F-A596-4E0C-87D9-A9BA54790E4A}"/>
    <cellStyle name="Comma 3 2 5 6 3 2" xfId="17055" xr:uid="{619883ED-ECD5-4562-9E51-581D5463116B}"/>
    <cellStyle name="Comma 3 2 5 6 3 2 2" xfId="53563" xr:uid="{6F34CDA1-BDCE-4172-BC99-C1C5BA2387D1}"/>
    <cellStyle name="Comma 3 2 5 6 3 2 3" xfId="35309" xr:uid="{E52BC769-3B4B-435C-9BE8-62AD2730BCB2}"/>
    <cellStyle name="Comma 3 2 5 6 3 3" xfId="13405" xr:uid="{F462E705-04A6-4ED5-86F3-F3EC9BDDB6CC}"/>
    <cellStyle name="Comma 3 2 5 6 3 3 2" xfId="49913" xr:uid="{F60D0C8C-F2E7-4EAC-8105-FA31A8A3489B}"/>
    <cellStyle name="Comma 3 2 5 6 3 3 3" xfId="31659" xr:uid="{D1EF8B21-E674-45EE-AD66-FE993B82594C}"/>
    <cellStyle name="Comma 3 2 5 6 3 4" xfId="9755" xr:uid="{AD7256A3-602C-4FC0-A4AE-71296F0C48D3}"/>
    <cellStyle name="Comma 3 2 5 6 3 4 2" xfId="46263" xr:uid="{D46EE799-CE05-4F60-96BC-D9F2735434C5}"/>
    <cellStyle name="Comma 3 2 5 6 3 4 3" xfId="28009" xr:uid="{77BBEA6A-249F-45B3-BEFD-AEA330D3D033}"/>
    <cellStyle name="Comma 3 2 5 6 3 5" xfId="6105" xr:uid="{E8586399-7456-46AD-8A39-90B9A61DDF8C}"/>
    <cellStyle name="Comma 3 2 5 6 3 5 2" xfId="42613" xr:uid="{BFF78BCB-D85E-4604-BA03-905DEA06EDF5}"/>
    <cellStyle name="Comma 3 2 5 6 3 5 3" xfId="24359" xr:uid="{64065B36-5923-4EB5-BB2A-E392E2217540}"/>
    <cellStyle name="Comma 3 2 5 6 3 6" xfId="38963" xr:uid="{DA36AFC9-203D-40EF-B393-DB5B5C973DDC}"/>
    <cellStyle name="Comma 3 2 5 6 3 7" xfId="20709" xr:uid="{BC72F5D6-9F12-4652-8DCC-4C390B674239}"/>
    <cellStyle name="Comma 3 2 5 6 4" xfId="1725" xr:uid="{C9F95848-2A29-424D-9882-166AAFB74294}"/>
    <cellStyle name="Comma 3 2 5 6 4 2" xfId="16325" xr:uid="{6224BC00-9F77-4F54-8285-74A68C640956}"/>
    <cellStyle name="Comma 3 2 5 6 4 2 2" xfId="52833" xr:uid="{61F1631C-D941-4700-B625-6DD364CD2533}"/>
    <cellStyle name="Comma 3 2 5 6 4 2 3" xfId="34579" xr:uid="{BF1AF036-5441-4E61-80D5-1030AEA6BCE1}"/>
    <cellStyle name="Comma 3 2 5 6 4 3" xfId="12675" xr:uid="{B1F1EBD3-CEC9-42A8-85CA-DF62F5FD6F1C}"/>
    <cellStyle name="Comma 3 2 5 6 4 3 2" xfId="49183" xr:uid="{E8F767D9-BCDC-4468-B75C-73E636B46BA2}"/>
    <cellStyle name="Comma 3 2 5 6 4 3 3" xfId="30929" xr:uid="{BA4A41F3-3041-48F6-957D-FC2023A87E3D}"/>
    <cellStyle name="Comma 3 2 5 6 4 4" xfId="9025" xr:uid="{D7341A32-B3D4-4D16-801C-63D7ACB46BD0}"/>
    <cellStyle name="Comma 3 2 5 6 4 4 2" xfId="45533" xr:uid="{D195239A-1013-492B-8670-B156927CED74}"/>
    <cellStyle name="Comma 3 2 5 6 4 4 3" xfId="27279" xr:uid="{E429076E-18E2-461F-A78A-83D0CFA3DB23}"/>
    <cellStyle name="Comma 3 2 5 6 4 5" xfId="5375" xr:uid="{0C5426C3-912B-4C1C-BD0B-DFF7A4166E61}"/>
    <cellStyle name="Comma 3 2 5 6 4 5 2" xfId="41883" xr:uid="{8F5FD141-8E4E-4F1E-A280-3CB2F7B92A9A}"/>
    <cellStyle name="Comma 3 2 5 6 4 5 3" xfId="23629" xr:uid="{48E2002E-093F-4963-9555-632F11B7D39D}"/>
    <cellStyle name="Comma 3 2 5 6 4 6" xfId="38233" xr:uid="{EAED063C-7C81-41CD-979C-03CDDBB58945}"/>
    <cellStyle name="Comma 3 2 5 6 4 7" xfId="19979" xr:uid="{DC6E2BAB-AA10-41A6-AE81-61B06D911613}"/>
    <cellStyle name="Comma 3 2 5 6 5" xfId="995" xr:uid="{BE38C007-5F7E-4B06-905C-A08DB4223FE7}"/>
    <cellStyle name="Comma 3 2 5 6 5 2" xfId="15595" xr:uid="{D7040EA5-9459-46DD-A201-D041F9FD0EDD}"/>
    <cellStyle name="Comma 3 2 5 6 5 2 2" xfId="52103" xr:uid="{600F94DF-3031-4845-87D8-8B2941974A0C}"/>
    <cellStyle name="Comma 3 2 5 6 5 2 3" xfId="33849" xr:uid="{4291B5CD-2DFE-4A77-8C2B-C72EB10DBC79}"/>
    <cellStyle name="Comma 3 2 5 6 5 3" xfId="11945" xr:uid="{A40F6984-E9BB-43EC-BA67-289ACE79EC82}"/>
    <cellStyle name="Comma 3 2 5 6 5 3 2" xfId="48453" xr:uid="{3843CBFD-3DB4-404D-9CF1-341BB347D9D3}"/>
    <cellStyle name="Comma 3 2 5 6 5 3 3" xfId="30199" xr:uid="{C94FBB29-A0CD-43F6-9F49-AB4715B9556A}"/>
    <cellStyle name="Comma 3 2 5 6 5 4" xfId="8295" xr:uid="{DD99EBD8-F9F5-4007-BDA2-E4DCB35CCB45}"/>
    <cellStyle name="Comma 3 2 5 6 5 4 2" xfId="44803" xr:uid="{65A139DC-F864-47DD-BD4C-7BFF2AFE3169}"/>
    <cellStyle name="Comma 3 2 5 6 5 4 3" xfId="26549" xr:uid="{7DD366E5-9B97-479B-BE55-7008A69D0F28}"/>
    <cellStyle name="Comma 3 2 5 6 5 5" xfId="4645" xr:uid="{1D7F1718-F81D-481A-88B0-7FE5C5AC096C}"/>
    <cellStyle name="Comma 3 2 5 6 5 5 2" xfId="41153" xr:uid="{213E3D53-A12B-4A76-A9E8-7FF129B94170}"/>
    <cellStyle name="Comma 3 2 5 6 5 5 3" xfId="22899" xr:uid="{BEF3B758-08F8-44D5-9BC3-E8738744CFDF}"/>
    <cellStyle name="Comma 3 2 5 6 5 6" xfId="37503" xr:uid="{09B13AF7-3631-48F7-A3A6-B32294AB7B03}"/>
    <cellStyle name="Comma 3 2 5 6 5 7" xfId="19249" xr:uid="{4B25A4C8-0094-42FF-BC90-B2189D50C4E2}"/>
    <cellStyle name="Comma 3 2 5 6 6" xfId="14865" xr:uid="{D5E8CACF-1FB3-42A7-8020-649E44D4F856}"/>
    <cellStyle name="Comma 3 2 5 6 6 2" xfId="51373" xr:uid="{7E5DEEEC-20E6-4C76-8B5B-4D24EFBF33BB}"/>
    <cellStyle name="Comma 3 2 5 6 6 3" xfId="33119" xr:uid="{D6020352-0C36-4BE4-8912-EDBCA6C906B0}"/>
    <cellStyle name="Comma 3 2 5 6 7" xfId="11215" xr:uid="{0673BDA2-37C1-4C87-84D9-967323042C6D}"/>
    <cellStyle name="Comma 3 2 5 6 7 2" xfId="47723" xr:uid="{742DA2C0-776B-4C49-96E1-56E0AC1CD405}"/>
    <cellStyle name="Comma 3 2 5 6 7 3" xfId="29469" xr:uid="{586EFB71-542B-4054-B1BA-04AF1BCC06E9}"/>
    <cellStyle name="Comma 3 2 5 6 8" xfId="7565" xr:uid="{4FA937D6-99BE-4099-9B2A-4270D8E4020F}"/>
    <cellStyle name="Comma 3 2 5 6 8 2" xfId="44073" xr:uid="{F56CD7BE-0280-4886-960E-4FCEBFBEC1DC}"/>
    <cellStyle name="Comma 3 2 5 6 8 3" xfId="25819" xr:uid="{BC6F0663-697E-4105-A84C-7DFA9F7D94BF}"/>
    <cellStyle name="Comma 3 2 5 6 9" xfId="3915" xr:uid="{0B165D08-B21E-41B9-A130-55F85C63DCD4}"/>
    <cellStyle name="Comma 3 2 5 6 9 2" xfId="40423" xr:uid="{796821FE-40B7-4E5F-91DB-4C922F4C7B31}"/>
    <cellStyle name="Comma 3 2 5 6 9 3" xfId="22169" xr:uid="{E9436048-A501-48D2-9C37-7FBD3B81155B}"/>
    <cellStyle name="Comma 3 2 5 7" xfId="161" xr:uid="{52EC34BC-5564-4101-87E7-ADC4DD76D49C}"/>
    <cellStyle name="Comma 3 2 5 7 10" xfId="36669" xr:uid="{D45A1B77-02EA-4574-8ACF-6947A01F60E2}"/>
    <cellStyle name="Comma 3 2 5 7 11" xfId="18415" xr:uid="{B87F5C4C-0B1C-426C-8688-991A3DBBDE06}"/>
    <cellStyle name="Comma 3 2 5 7 2" xfId="3081" xr:uid="{D31F9397-0A45-42B2-8EAF-7D0076E2C9D8}"/>
    <cellStyle name="Comma 3 2 5 7 2 2" xfId="17681" xr:uid="{CBA47322-89C1-460E-9B16-6689AF277638}"/>
    <cellStyle name="Comma 3 2 5 7 2 2 2" xfId="54189" xr:uid="{A6FD80B8-FF94-4A43-B8E9-8D458202D829}"/>
    <cellStyle name="Comma 3 2 5 7 2 2 3" xfId="35935" xr:uid="{A54AB669-4F57-4BBF-8E38-B04D2F908B31}"/>
    <cellStyle name="Comma 3 2 5 7 2 3" xfId="14031" xr:uid="{1F43AFF4-0A7A-4A4F-8459-208CC3DEDC1E}"/>
    <cellStyle name="Comma 3 2 5 7 2 3 2" xfId="50539" xr:uid="{C1C49185-8816-4385-AA51-B41E771E5E67}"/>
    <cellStyle name="Comma 3 2 5 7 2 3 3" xfId="32285" xr:uid="{1D9F589D-699C-4889-A7D6-667DAB486315}"/>
    <cellStyle name="Comma 3 2 5 7 2 4" xfId="10381" xr:uid="{ED2322CF-D7D5-4595-B78B-440085B1E563}"/>
    <cellStyle name="Comma 3 2 5 7 2 4 2" xfId="46889" xr:uid="{FBC60898-CCF1-4D40-800F-CDCD3147A893}"/>
    <cellStyle name="Comma 3 2 5 7 2 4 3" xfId="28635" xr:uid="{B4BEE4D2-AF2B-4BCF-A6CC-FC1964A4E78F}"/>
    <cellStyle name="Comma 3 2 5 7 2 5" xfId="6731" xr:uid="{A974A327-586C-4FC1-99FC-CFD231DEF826}"/>
    <cellStyle name="Comma 3 2 5 7 2 5 2" xfId="43239" xr:uid="{9B703780-8AD2-48F4-B880-AA91231565BB}"/>
    <cellStyle name="Comma 3 2 5 7 2 5 3" xfId="24985" xr:uid="{684267E9-C1DE-4868-A34F-D9CBE9A35C01}"/>
    <cellStyle name="Comma 3 2 5 7 2 6" xfId="39589" xr:uid="{FC2C7C44-51A3-4CD6-B183-164CEC69AFA4}"/>
    <cellStyle name="Comma 3 2 5 7 2 7" xfId="21335" xr:uid="{A7B9C5FD-8238-462C-8D97-C123A456C77A}"/>
    <cellStyle name="Comma 3 2 5 7 3" xfId="2351" xr:uid="{4A49F4A9-4218-4AF1-9B52-08DD622AE45B}"/>
    <cellStyle name="Comma 3 2 5 7 3 2" xfId="16951" xr:uid="{F76807AE-C3F3-4374-8FF4-2B3F2E44CD3A}"/>
    <cellStyle name="Comma 3 2 5 7 3 2 2" xfId="53459" xr:uid="{D46AEAB1-6D64-453C-B828-6D235F100B21}"/>
    <cellStyle name="Comma 3 2 5 7 3 2 3" xfId="35205" xr:uid="{2AF14E21-3127-417A-9D71-B4E723F5F18F}"/>
    <cellStyle name="Comma 3 2 5 7 3 3" xfId="13301" xr:uid="{F20924DA-8CCC-4F99-9366-1F2F0ADCEEAB}"/>
    <cellStyle name="Comma 3 2 5 7 3 3 2" xfId="49809" xr:uid="{0999E12D-01AA-46E4-BC41-0A7155E0F5ED}"/>
    <cellStyle name="Comma 3 2 5 7 3 3 3" xfId="31555" xr:uid="{221D4D34-AE7E-421A-8FE1-BF3E03C12ECE}"/>
    <cellStyle name="Comma 3 2 5 7 3 4" xfId="9651" xr:uid="{2375C3FE-980E-4EFA-A816-27D8AC6CCA5A}"/>
    <cellStyle name="Comma 3 2 5 7 3 4 2" xfId="46159" xr:uid="{372DAA8F-7670-4A87-B170-3D9B87260AF4}"/>
    <cellStyle name="Comma 3 2 5 7 3 4 3" xfId="27905" xr:uid="{B642EF25-6875-4415-BF7C-E88E3C7B9321}"/>
    <cellStyle name="Comma 3 2 5 7 3 5" xfId="6001" xr:uid="{334A96DF-AC2F-408D-AD91-A793778A03A4}"/>
    <cellStyle name="Comma 3 2 5 7 3 5 2" xfId="42509" xr:uid="{78AF7E15-D382-41BE-963E-1B1A293BFECD}"/>
    <cellStyle name="Comma 3 2 5 7 3 5 3" xfId="24255" xr:uid="{E17210CA-677B-46B5-8618-BC0D71D4D401}"/>
    <cellStyle name="Comma 3 2 5 7 3 6" xfId="38859" xr:uid="{298A71F3-608E-4907-9510-2887CC7B5B88}"/>
    <cellStyle name="Comma 3 2 5 7 3 7" xfId="20605" xr:uid="{A2A6359D-C10C-41B2-905E-9B7A389B46A8}"/>
    <cellStyle name="Comma 3 2 5 7 4" xfId="1621" xr:uid="{D5B70580-D78A-4FBE-812B-EA985CCF0537}"/>
    <cellStyle name="Comma 3 2 5 7 4 2" xfId="16221" xr:uid="{7B7C2A5D-9039-42A3-85F8-13789B815F41}"/>
    <cellStyle name="Comma 3 2 5 7 4 2 2" xfId="52729" xr:uid="{786A747C-8C83-46EE-B897-786C7D1A0740}"/>
    <cellStyle name="Comma 3 2 5 7 4 2 3" xfId="34475" xr:uid="{EE506BB5-B7AA-4F2E-BFBE-897B88646707}"/>
    <cellStyle name="Comma 3 2 5 7 4 3" xfId="12571" xr:uid="{66794130-BAD5-490C-8A40-9AED41EEE7BC}"/>
    <cellStyle name="Comma 3 2 5 7 4 3 2" xfId="49079" xr:uid="{090E7DBA-8222-4BBA-8EE2-4D133205664D}"/>
    <cellStyle name="Comma 3 2 5 7 4 3 3" xfId="30825" xr:uid="{F6421945-06FF-4117-8C6A-943185D03E77}"/>
    <cellStyle name="Comma 3 2 5 7 4 4" xfId="8921" xr:uid="{B945180B-0EBD-4E07-A6BD-70B43B2A8C02}"/>
    <cellStyle name="Comma 3 2 5 7 4 4 2" xfId="45429" xr:uid="{B01CEC60-2B8A-4A05-BE2B-90192517F3E0}"/>
    <cellStyle name="Comma 3 2 5 7 4 4 3" xfId="27175" xr:uid="{EEFB6C36-20BE-48D0-8A69-9EA812EFAD60}"/>
    <cellStyle name="Comma 3 2 5 7 4 5" xfId="5271" xr:uid="{ABBE7383-7504-48DF-8EA7-1EB80F435D29}"/>
    <cellStyle name="Comma 3 2 5 7 4 5 2" xfId="41779" xr:uid="{4E827246-675F-4AC3-A315-94A62B2262BB}"/>
    <cellStyle name="Comma 3 2 5 7 4 5 3" xfId="23525" xr:uid="{FC3CE863-1E1C-41E4-B5A9-802C18BA91A5}"/>
    <cellStyle name="Comma 3 2 5 7 4 6" xfId="38129" xr:uid="{76493703-174D-4448-969D-24ADAF8EB68D}"/>
    <cellStyle name="Comma 3 2 5 7 4 7" xfId="19875" xr:uid="{C5443570-9163-4423-A461-7447B1B72F6E}"/>
    <cellStyle name="Comma 3 2 5 7 5" xfId="891" xr:uid="{91862DC8-62D0-4711-8351-88D549D62BC3}"/>
    <cellStyle name="Comma 3 2 5 7 5 2" xfId="15491" xr:uid="{46A67F62-7EA2-49F7-983F-62C68B97A93D}"/>
    <cellStyle name="Comma 3 2 5 7 5 2 2" xfId="51999" xr:uid="{59A012A3-02FC-4AB9-BA92-59877D204F2B}"/>
    <cellStyle name="Comma 3 2 5 7 5 2 3" xfId="33745" xr:uid="{C26CD19F-DE69-4D77-8792-9DC93935DFA2}"/>
    <cellStyle name="Comma 3 2 5 7 5 3" xfId="11841" xr:uid="{016D867B-35D5-4054-9F3D-F06EFD79D484}"/>
    <cellStyle name="Comma 3 2 5 7 5 3 2" xfId="48349" xr:uid="{A53748BB-3903-4E7A-83B4-AB3C58CD8CFA}"/>
    <cellStyle name="Comma 3 2 5 7 5 3 3" xfId="30095" xr:uid="{3BAD2DCD-00A1-43B8-8AAA-F954DC0784E3}"/>
    <cellStyle name="Comma 3 2 5 7 5 4" xfId="8191" xr:uid="{8A282C69-F622-4800-8493-43B65C5D0B65}"/>
    <cellStyle name="Comma 3 2 5 7 5 4 2" xfId="44699" xr:uid="{0C46F208-A102-4F92-A29B-4EA69E1EF486}"/>
    <cellStyle name="Comma 3 2 5 7 5 4 3" xfId="26445" xr:uid="{30DA7840-2812-4DA8-8F02-51A7DA2AB34D}"/>
    <cellStyle name="Comma 3 2 5 7 5 5" xfId="4541" xr:uid="{74FE622C-7A68-4CF7-BFB7-8B12AA8032C4}"/>
    <cellStyle name="Comma 3 2 5 7 5 5 2" xfId="41049" xr:uid="{342F7B45-290B-4903-A6D6-0CE85E7293B1}"/>
    <cellStyle name="Comma 3 2 5 7 5 5 3" xfId="22795" xr:uid="{F07C21B8-DEEE-4AFF-AE0C-3C6E6BBF882E}"/>
    <cellStyle name="Comma 3 2 5 7 5 6" xfId="37399" xr:uid="{2D3E2590-E0F5-470F-B4F1-A3E3ED8A769C}"/>
    <cellStyle name="Comma 3 2 5 7 5 7" xfId="19145" xr:uid="{62B30A56-C484-4B37-B075-FC6FFEFEA8CD}"/>
    <cellStyle name="Comma 3 2 5 7 6" xfId="14761" xr:uid="{70474FA3-7F61-40A8-A076-9679E16224CE}"/>
    <cellStyle name="Comma 3 2 5 7 6 2" xfId="51269" xr:uid="{7B347A61-70A8-4E09-8439-D852C4A5F1AA}"/>
    <cellStyle name="Comma 3 2 5 7 6 3" xfId="33015" xr:uid="{1A36C0A2-F7F8-42AA-8F90-701066FFC2E2}"/>
    <cellStyle name="Comma 3 2 5 7 7" xfId="11111" xr:uid="{78D9973B-3BA3-4A52-9AB7-DF37934E702A}"/>
    <cellStyle name="Comma 3 2 5 7 7 2" xfId="47619" xr:uid="{6225C81B-084A-450E-A79F-5173066B48BF}"/>
    <cellStyle name="Comma 3 2 5 7 7 3" xfId="29365" xr:uid="{E49A6DA9-CAF4-4D99-B7AF-1703F8159F89}"/>
    <cellStyle name="Comma 3 2 5 7 8" xfId="7461" xr:uid="{A50B3781-2B06-462F-AE1F-18A9D3CC842E}"/>
    <cellStyle name="Comma 3 2 5 7 8 2" xfId="43969" xr:uid="{8311DA4F-4FF0-4FA8-BED6-BCB663CDFCC2}"/>
    <cellStyle name="Comma 3 2 5 7 8 3" xfId="25715" xr:uid="{F003E7AF-DE4C-42D7-8104-CD918CBFA78E}"/>
    <cellStyle name="Comma 3 2 5 7 9" xfId="3811" xr:uid="{78D81427-70BB-43C9-BBDA-C3C62830F4CF}"/>
    <cellStyle name="Comma 3 2 5 7 9 2" xfId="40319" xr:uid="{513B180F-C704-440A-9874-6A4E1EB1B8A6}"/>
    <cellStyle name="Comma 3 2 5 7 9 3" xfId="22065" xr:uid="{B3A58B69-BD3B-4996-8E20-00F034E51CF6}"/>
    <cellStyle name="Comma 3 2 5 8" xfId="2977" xr:uid="{DCFC1326-356A-461D-A663-65F4C75B1643}"/>
    <cellStyle name="Comma 3 2 5 8 2" xfId="17577" xr:uid="{896347BF-0664-49BD-A71F-52D5E967BF4F}"/>
    <cellStyle name="Comma 3 2 5 8 2 2" xfId="54085" xr:uid="{D9073815-BFFD-44D0-9103-F99C9D38D855}"/>
    <cellStyle name="Comma 3 2 5 8 2 3" xfId="35831" xr:uid="{226CAC96-751E-4264-8D41-F991704D01CA}"/>
    <cellStyle name="Comma 3 2 5 8 3" xfId="13927" xr:uid="{D4006A1A-941A-41C3-B1F5-70D96257EBF2}"/>
    <cellStyle name="Comma 3 2 5 8 3 2" xfId="50435" xr:uid="{57B3F00B-F20A-410E-B793-C01FFDE38B49}"/>
    <cellStyle name="Comma 3 2 5 8 3 3" xfId="32181" xr:uid="{22ECC4E5-A469-4CB6-8C57-8FC272DA4245}"/>
    <cellStyle name="Comma 3 2 5 8 4" xfId="10277" xr:uid="{FB3D1542-EEDC-4DE9-A356-882C6BFEC92B}"/>
    <cellStyle name="Comma 3 2 5 8 4 2" xfId="46785" xr:uid="{58256DC8-B082-4633-A2C4-E41B0D6B46EA}"/>
    <cellStyle name="Comma 3 2 5 8 4 3" xfId="28531" xr:uid="{8DDD506A-309F-4315-A22B-747384D69302}"/>
    <cellStyle name="Comma 3 2 5 8 5" xfId="6627" xr:uid="{FADA23A0-FA6D-4E6A-A44F-ECC55A8669F7}"/>
    <cellStyle name="Comma 3 2 5 8 5 2" xfId="43135" xr:uid="{E8B9FB7E-974B-4E06-BD92-E73435330FC4}"/>
    <cellStyle name="Comma 3 2 5 8 5 3" xfId="24881" xr:uid="{38C9CEB0-604E-4256-B4D3-BEFE3670AB9D}"/>
    <cellStyle name="Comma 3 2 5 8 6" xfId="39485" xr:uid="{3843A5DB-0B4B-460D-AA72-1AE49D9DD168}"/>
    <cellStyle name="Comma 3 2 5 8 7" xfId="21231" xr:uid="{D2DAADD3-2FD6-41DD-881C-5DADB8B86EC5}"/>
    <cellStyle name="Comma 3 2 5 9" xfId="2247" xr:uid="{773FFA8A-F5DE-487F-9434-985F85CA164C}"/>
    <cellStyle name="Comma 3 2 5 9 2" xfId="16847" xr:uid="{01FB0CE7-57A1-4973-B32B-B81F119B8586}"/>
    <cellStyle name="Comma 3 2 5 9 2 2" xfId="53355" xr:uid="{90F7E8AB-DA86-426F-8E8A-BC3419A9F227}"/>
    <cellStyle name="Comma 3 2 5 9 2 3" xfId="35101" xr:uid="{D3D0E703-B0DF-4255-BFAA-F6011F88E13D}"/>
    <cellStyle name="Comma 3 2 5 9 3" xfId="13197" xr:uid="{24E9D829-02C8-4242-A448-B4DCC96FD042}"/>
    <cellStyle name="Comma 3 2 5 9 3 2" xfId="49705" xr:uid="{3C26AFEE-366B-4754-AB8B-C3BF5900ED4C}"/>
    <cellStyle name="Comma 3 2 5 9 3 3" xfId="31451" xr:uid="{74C86085-7F8D-4094-8898-FDA0339D463E}"/>
    <cellStyle name="Comma 3 2 5 9 4" xfId="9547" xr:uid="{452CB96C-972F-4241-9758-BA686965E179}"/>
    <cellStyle name="Comma 3 2 5 9 4 2" xfId="46055" xr:uid="{AA849F25-6136-4A82-B503-F0EB75792313}"/>
    <cellStyle name="Comma 3 2 5 9 4 3" xfId="27801" xr:uid="{D9BB8A14-9359-42B6-98D7-B83E14359305}"/>
    <cellStyle name="Comma 3 2 5 9 5" xfId="5897" xr:uid="{AC2C6522-F3FC-4992-852C-2C0926DEB7F0}"/>
    <cellStyle name="Comma 3 2 5 9 5 2" xfId="42405" xr:uid="{DA5863EE-EDED-4282-AFBB-800988AA7E16}"/>
    <cellStyle name="Comma 3 2 5 9 5 3" xfId="24151" xr:uid="{076C30BA-D82D-4D86-82DA-B8B93941E604}"/>
    <cellStyle name="Comma 3 2 5 9 6" xfId="38755" xr:uid="{28DD8046-607F-49F8-99EE-C9AE04D1AFD5}"/>
    <cellStyle name="Comma 3 2 5 9 7" xfId="20501" xr:uid="{80443EF6-001A-463B-9260-B48A1D44E1CB}"/>
    <cellStyle name="Comma 3 2 6" xfId="649" xr:uid="{8D3896AF-525A-4340-960F-E3B7A1851320}"/>
    <cellStyle name="Comma 3 2 6 10" xfId="37157" xr:uid="{B62F9108-BC35-464E-B4D6-9CE7BAB4522A}"/>
    <cellStyle name="Comma 3 2 6 11" xfId="18903" xr:uid="{F1BB9101-2310-493C-B1AF-1DFBF4BC7F80}"/>
    <cellStyle name="Comma 3 2 6 2" xfId="3569" xr:uid="{9C4E8A76-AB25-492B-8631-6EFF74BF2FA3}"/>
    <cellStyle name="Comma 3 2 6 2 2" xfId="18169" xr:uid="{B4632D59-B98E-417B-9C81-A593886BAEA7}"/>
    <cellStyle name="Comma 3 2 6 2 2 2" xfId="54677" xr:uid="{2CCA857B-647D-4A3E-B4B7-95141010FFAA}"/>
    <cellStyle name="Comma 3 2 6 2 2 3" xfId="36423" xr:uid="{4BC188A8-036C-45A5-9A4B-D132305CBC9A}"/>
    <cellStyle name="Comma 3 2 6 2 3" xfId="14519" xr:uid="{1647ED10-F1F3-43B9-92CE-AE102263D253}"/>
    <cellStyle name="Comma 3 2 6 2 3 2" xfId="51027" xr:uid="{96E77FD4-32F8-445C-826C-4ED85815A175}"/>
    <cellStyle name="Comma 3 2 6 2 3 3" xfId="32773" xr:uid="{8425D4E0-0B37-4F84-8390-F0318D035054}"/>
    <cellStyle name="Comma 3 2 6 2 4" xfId="10869" xr:uid="{603DED5D-C7F0-4D65-B5D5-C89DD5203C09}"/>
    <cellStyle name="Comma 3 2 6 2 4 2" xfId="47377" xr:uid="{D402914E-4137-4396-8F29-7650E3E7A33C}"/>
    <cellStyle name="Comma 3 2 6 2 4 3" xfId="29123" xr:uid="{4E7BE1B2-F428-4C05-B9A5-CA5D9BF2A844}"/>
    <cellStyle name="Comma 3 2 6 2 5" xfId="7219" xr:uid="{3B52FE04-076D-441A-9BC9-EB48268E59DF}"/>
    <cellStyle name="Comma 3 2 6 2 5 2" xfId="43727" xr:uid="{6AB936D8-0C47-4582-A286-7CB9E52F3F73}"/>
    <cellStyle name="Comma 3 2 6 2 5 3" xfId="25473" xr:uid="{661E2B3D-5B28-4B83-9FBE-31914C348A7D}"/>
    <cellStyle name="Comma 3 2 6 2 6" xfId="40077" xr:uid="{0EC9694C-9994-4801-A3A0-ABA0AFD74983}"/>
    <cellStyle name="Comma 3 2 6 2 7" xfId="21823" xr:uid="{FAB9771B-941F-4188-96A6-9C7F725473D5}"/>
    <cellStyle name="Comma 3 2 6 3" xfId="2839" xr:uid="{5D95138D-A189-4558-8515-F2CE4D37004D}"/>
    <cellStyle name="Comma 3 2 6 3 2" xfId="17439" xr:uid="{3CC0CB50-943C-4DB3-AD5F-A1061017273F}"/>
    <cellStyle name="Comma 3 2 6 3 2 2" xfId="53947" xr:uid="{1C2AFF50-81C4-4274-8E1A-52D20F421CA5}"/>
    <cellStyle name="Comma 3 2 6 3 2 3" xfId="35693" xr:uid="{3E1936B7-F074-47E7-917C-72FE54999104}"/>
    <cellStyle name="Comma 3 2 6 3 3" xfId="13789" xr:uid="{442451AB-80D4-45D6-8695-2490FCFCBFB5}"/>
    <cellStyle name="Comma 3 2 6 3 3 2" xfId="50297" xr:uid="{FA114BF0-3228-475F-83AC-54DEA924C071}"/>
    <cellStyle name="Comma 3 2 6 3 3 3" xfId="32043" xr:uid="{EE63AA1D-A8FE-4752-A118-D94B7FEAD94C}"/>
    <cellStyle name="Comma 3 2 6 3 4" xfId="10139" xr:uid="{365E7A75-B846-40DF-9E30-F6F2E51B2D9F}"/>
    <cellStyle name="Comma 3 2 6 3 4 2" xfId="46647" xr:uid="{DED84FE0-714E-442E-8D34-E73230400DB9}"/>
    <cellStyle name="Comma 3 2 6 3 4 3" xfId="28393" xr:uid="{422B7C88-9925-46A4-A4F6-213BC8992A5A}"/>
    <cellStyle name="Comma 3 2 6 3 5" xfId="6489" xr:uid="{A9A773A8-2E18-4178-9800-2D2E221968D2}"/>
    <cellStyle name="Comma 3 2 6 3 5 2" xfId="42997" xr:uid="{AAA304B9-0162-4EBF-A9E0-47641ADB54C6}"/>
    <cellStyle name="Comma 3 2 6 3 5 3" xfId="24743" xr:uid="{1E52E57A-A17A-48DA-AD31-3945702F12E2}"/>
    <cellStyle name="Comma 3 2 6 3 6" xfId="39347" xr:uid="{430B1CBA-40AD-40A1-A536-70DECE396FD8}"/>
    <cellStyle name="Comma 3 2 6 3 7" xfId="21093" xr:uid="{5AFD761A-0A7C-4D79-8667-44D53F9ABDD2}"/>
    <cellStyle name="Comma 3 2 6 4" xfId="2109" xr:uid="{900E4D40-5CA7-4F21-9435-E4A07F87603E}"/>
    <cellStyle name="Comma 3 2 6 4 2" xfId="16709" xr:uid="{848A9E04-767B-4853-B427-D3F897C0AFF0}"/>
    <cellStyle name="Comma 3 2 6 4 2 2" xfId="53217" xr:uid="{DAFFEC37-5D76-47EA-88D4-FC3E9C459B1E}"/>
    <cellStyle name="Comma 3 2 6 4 2 3" xfId="34963" xr:uid="{1A5D3866-863F-443C-95B0-EBEF43F2ED75}"/>
    <cellStyle name="Comma 3 2 6 4 3" xfId="13059" xr:uid="{3508631B-2A6C-40ED-B937-B480C017BA6D}"/>
    <cellStyle name="Comma 3 2 6 4 3 2" xfId="49567" xr:uid="{E29EB20C-56A9-4D27-BCBF-3E3BE20934D9}"/>
    <cellStyle name="Comma 3 2 6 4 3 3" xfId="31313" xr:uid="{FAB3946F-923F-4D1B-A18D-900795A7CA52}"/>
    <cellStyle name="Comma 3 2 6 4 4" xfId="9409" xr:uid="{44DFEAD6-1CBF-4E2C-8A9E-E947186FCD62}"/>
    <cellStyle name="Comma 3 2 6 4 4 2" xfId="45917" xr:uid="{B74AB9B7-D993-46AA-A38B-312C9A45AA24}"/>
    <cellStyle name="Comma 3 2 6 4 4 3" xfId="27663" xr:uid="{F0422E33-A0ED-4A76-B058-C38FC023CF03}"/>
    <cellStyle name="Comma 3 2 6 4 5" xfId="5759" xr:uid="{ECC9DC04-D3CA-476A-BEA9-E47ADD12ABA7}"/>
    <cellStyle name="Comma 3 2 6 4 5 2" xfId="42267" xr:uid="{F37D6FD2-1185-4A24-8AE6-F777EB24A718}"/>
    <cellStyle name="Comma 3 2 6 4 5 3" xfId="24013" xr:uid="{C288B18D-799D-4578-B277-A186A361B15C}"/>
    <cellStyle name="Comma 3 2 6 4 6" xfId="38617" xr:uid="{04270454-FE0E-47D2-8619-A34D2CE5E5FC}"/>
    <cellStyle name="Comma 3 2 6 4 7" xfId="20363" xr:uid="{5F093E37-AB51-4449-B6F5-F1179946C942}"/>
    <cellStyle name="Comma 3 2 6 5" xfId="1379" xr:uid="{471D97CD-1A34-45E6-868B-E75E1F7A7113}"/>
    <cellStyle name="Comma 3 2 6 5 2" xfId="15979" xr:uid="{5438A128-1AC3-4E61-BC84-EF856B47718B}"/>
    <cellStyle name="Comma 3 2 6 5 2 2" xfId="52487" xr:uid="{41D92F58-DCC3-4477-A231-7C55A87911D5}"/>
    <cellStyle name="Comma 3 2 6 5 2 3" xfId="34233" xr:uid="{FCAA8533-3D72-4D11-8E3C-0695DA88BC53}"/>
    <cellStyle name="Comma 3 2 6 5 3" xfId="12329" xr:uid="{40546B4F-EE32-47CD-9840-2A7063647E28}"/>
    <cellStyle name="Comma 3 2 6 5 3 2" xfId="48837" xr:uid="{95D96F83-2363-4523-A8A0-BAAC34E143FF}"/>
    <cellStyle name="Comma 3 2 6 5 3 3" xfId="30583" xr:uid="{11D7CCAF-110A-4B1D-830E-0DD6BCA3746D}"/>
    <cellStyle name="Comma 3 2 6 5 4" xfId="8679" xr:uid="{81C9740E-F681-44F5-9C07-F096DA24A1AE}"/>
    <cellStyle name="Comma 3 2 6 5 4 2" xfId="45187" xr:uid="{BC56553A-C6DC-42E4-B71D-5D5FAD6025E9}"/>
    <cellStyle name="Comma 3 2 6 5 4 3" xfId="26933" xr:uid="{263A36F1-78F1-4236-8D15-271B98DAA76D}"/>
    <cellStyle name="Comma 3 2 6 5 5" xfId="5029" xr:uid="{306F90A9-7A02-4C40-86FE-697711AD22DB}"/>
    <cellStyle name="Comma 3 2 6 5 5 2" xfId="41537" xr:uid="{EE11C8FB-E2E7-4AC1-AF3E-6786CBCE2052}"/>
    <cellStyle name="Comma 3 2 6 5 5 3" xfId="23283" xr:uid="{18A0522D-F95B-412B-A08E-BB94794E8541}"/>
    <cellStyle name="Comma 3 2 6 5 6" xfId="37887" xr:uid="{FB5323B6-C7F6-4153-9D31-6ABC8E3755FE}"/>
    <cellStyle name="Comma 3 2 6 5 7" xfId="19633" xr:uid="{7D93A1B7-C40B-4F31-9991-B53DF31766EE}"/>
    <cellStyle name="Comma 3 2 6 6" xfId="15249" xr:uid="{B7562DD6-CC7B-4C34-AA92-26641654D323}"/>
    <cellStyle name="Comma 3 2 6 6 2" xfId="51757" xr:uid="{F557BD46-09BB-43E1-ABD9-A2CEE24FAC2B}"/>
    <cellStyle name="Comma 3 2 6 6 3" xfId="33503" xr:uid="{99450854-9C27-4164-A046-A3C6F38C158A}"/>
    <cellStyle name="Comma 3 2 6 7" xfId="11599" xr:uid="{9C28A82A-8FC8-4DA1-AFC8-1CCAFE63B1B1}"/>
    <cellStyle name="Comma 3 2 6 7 2" xfId="48107" xr:uid="{1CB952BE-86C7-4851-A036-B0B5C15E5C0B}"/>
    <cellStyle name="Comma 3 2 6 7 3" xfId="29853" xr:uid="{5AD41EF5-5BE0-4F48-B40D-896306032E89}"/>
    <cellStyle name="Comma 3 2 6 8" xfId="7949" xr:uid="{ADDEC70C-4D86-4C5A-8BBC-80277CAF8531}"/>
    <cellStyle name="Comma 3 2 6 8 2" xfId="44457" xr:uid="{8D965322-3801-43CA-8C81-50335AC2D933}"/>
    <cellStyle name="Comma 3 2 6 8 3" xfId="26203" xr:uid="{1A12EFD9-9B20-4555-A5B9-52E090D38F2E}"/>
    <cellStyle name="Comma 3 2 6 9" xfId="4299" xr:uid="{77931DA1-E061-4749-906C-DDF3429EAE21}"/>
    <cellStyle name="Comma 3 2 6 9 2" xfId="40807" xr:uid="{7D5A3476-F7F6-4500-9403-6E3CE4532D5D}"/>
    <cellStyle name="Comma 3 2 6 9 3" xfId="22553" xr:uid="{E2DD58D3-C620-4F6A-8B99-260ACE2FA692}"/>
    <cellStyle name="Comma 3 2 7" xfId="545" xr:uid="{68BB7F5F-DF29-4156-B88A-3395FFEC3DD6}"/>
    <cellStyle name="Comma 3 2 7 10" xfId="37053" xr:uid="{571F6149-6125-450F-99E7-75133868E4D0}"/>
    <cellStyle name="Comma 3 2 7 11" xfId="18799" xr:uid="{20222767-3C54-4333-B78B-73D7D749EB40}"/>
    <cellStyle name="Comma 3 2 7 2" xfId="3465" xr:uid="{DB75DF70-AC25-4A6A-A4AA-4E42EE08E0F3}"/>
    <cellStyle name="Comma 3 2 7 2 2" xfId="18065" xr:uid="{FC9B83B7-C1CB-4AE0-B8F7-021D16A29CA9}"/>
    <cellStyle name="Comma 3 2 7 2 2 2" xfId="54573" xr:uid="{E1E7A0D3-20DC-4D1A-9154-6EAFF5075AA4}"/>
    <cellStyle name="Comma 3 2 7 2 2 3" xfId="36319" xr:uid="{D7A0046F-2D13-49B1-AF75-6D06299F4BCD}"/>
    <cellStyle name="Comma 3 2 7 2 3" xfId="14415" xr:uid="{D33C558A-98C4-4449-B23F-B637E33D79D9}"/>
    <cellStyle name="Comma 3 2 7 2 3 2" xfId="50923" xr:uid="{FEE241C8-DFC4-48B0-BF77-4A70C5D75349}"/>
    <cellStyle name="Comma 3 2 7 2 3 3" xfId="32669" xr:uid="{BC80EDEC-581B-4ED4-A73F-08CBB2A536C7}"/>
    <cellStyle name="Comma 3 2 7 2 4" xfId="10765" xr:uid="{911793DA-D125-4537-9B87-DBEC45F78D68}"/>
    <cellStyle name="Comma 3 2 7 2 4 2" xfId="47273" xr:uid="{1737921B-84A3-458B-AA60-9FAD2121352B}"/>
    <cellStyle name="Comma 3 2 7 2 4 3" xfId="29019" xr:uid="{871F92B6-7C2A-4066-B922-A68ACC2E94DC}"/>
    <cellStyle name="Comma 3 2 7 2 5" xfId="7115" xr:uid="{D3D7D08A-A287-4F50-98A0-FB0C492CE0FB}"/>
    <cellStyle name="Comma 3 2 7 2 5 2" xfId="43623" xr:uid="{E3D5483B-76F1-475C-A2CF-0CD626D68E16}"/>
    <cellStyle name="Comma 3 2 7 2 5 3" xfId="25369" xr:uid="{AABBB896-6121-4E9B-80A1-B6B9EC3749F6}"/>
    <cellStyle name="Comma 3 2 7 2 6" xfId="39973" xr:uid="{E39D1FCF-2063-4A2D-A98F-14E71CF11886}"/>
    <cellStyle name="Comma 3 2 7 2 7" xfId="21719" xr:uid="{4AEA87A8-A270-447F-A934-7A70761C3BD8}"/>
    <cellStyle name="Comma 3 2 7 3" xfId="2735" xr:uid="{7B70ADD2-946B-4E6A-80B5-131EDDFF779A}"/>
    <cellStyle name="Comma 3 2 7 3 2" xfId="17335" xr:uid="{6870642D-6A6A-431B-8783-E601FD3E319A}"/>
    <cellStyle name="Comma 3 2 7 3 2 2" xfId="53843" xr:uid="{71D7A330-8CF8-416A-B6B3-85336CF9111C}"/>
    <cellStyle name="Comma 3 2 7 3 2 3" xfId="35589" xr:uid="{D2CE4117-71F1-411A-A225-0AE040C04F52}"/>
    <cellStyle name="Comma 3 2 7 3 3" xfId="13685" xr:uid="{F8796BDB-25C8-4982-B874-F73F7D1BED44}"/>
    <cellStyle name="Comma 3 2 7 3 3 2" xfId="50193" xr:uid="{1FB58A39-657F-4FD8-A857-182000C1CA44}"/>
    <cellStyle name="Comma 3 2 7 3 3 3" xfId="31939" xr:uid="{E622B489-1DE8-4D3F-8E51-EFD075D6522E}"/>
    <cellStyle name="Comma 3 2 7 3 4" xfId="10035" xr:uid="{E8248DF0-F5A7-4294-B8F3-FF5115B830AC}"/>
    <cellStyle name="Comma 3 2 7 3 4 2" xfId="46543" xr:uid="{4D921DDF-61A6-4CC9-B1AA-9C43ECF0BD15}"/>
    <cellStyle name="Comma 3 2 7 3 4 3" xfId="28289" xr:uid="{7BF16A15-1DD0-4DAF-BEF7-161924931692}"/>
    <cellStyle name="Comma 3 2 7 3 5" xfId="6385" xr:uid="{A399E7D0-28EE-4559-9C23-38926CA9BA09}"/>
    <cellStyle name="Comma 3 2 7 3 5 2" xfId="42893" xr:uid="{E459D3CA-3711-4461-87D6-BEE8C6374657}"/>
    <cellStyle name="Comma 3 2 7 3 5 3" xfId="24639" xr:uid="{A2072DDD-D879-43D7-A279-B2DA127D8AAC}"/>
    <cellStyle name="Comma 3 2 7 3 6" xfId="39243" xr:uid="{FF0C599C-D3A2-4D9B-A6C8-8447749A2C1B}"/>
    <cellStyle name="Comma 3 2 7 3 7" xfId="20989" xr:uid="{D094888E-80CD-45D5-8053-9B70A6521A71}"/>
    <cellStyle name="Comma 3 2 7 4" xfId="2005" xr:uid="{68F5BCC6-64F6-4B1E-B9F8-3095E4DA7B2A}"/>
    <cellStyle name="Comma 3 2 7 4 2" xfId="16605" xr:uid="{DC9CE511-F55B-48ED-B14A-DBC870B98B12}"/>
    <cellStyle name="Comma 3 2 7 4 2 2" xfId="53113" xr:uid="{5A49C7EC-1D95-467B-AB61-88EF8077F3CC}"/>
    <cellStyle name="Comma 3 2 7 4 2 3" xfId="34859" xr:uid="{1979F8E5-1549-42A2-A780-D75327B46AC4}"/>
    <cellStyle name="Comma 3 2 7 4 3" xfId="12955" xr:uid="{E628C090-8572-4DB7-B57B-D9E0A1D24776}"/>
    <cellStyle name="Comma 3 2 7 4 3 2" xfId="49463" xr:uid="{AD1E6A92-C305-4605-8329-4B535A699881}"/>
    <cellStyle name="Comma 3 2 7 4 3 3" xfId="31209" xr:uid="{A9115080-2381-44AA-B2F5-2FE618738FD8}"/>
    <cellStyle name="Comma 3 2 7 4 4" xfId="9305" xr:uid="{DC8E0DC1-F2E9-4AEE-BBE1-47ABD95F39EA}"/>
    <cellStyle name="Comma 3 2 7 4 4 2" xfId="45813" xr:uid="{4AFA5A2A-5805-4C3C-876F-E1E929E22B3C}"/>
    <cellStyle name="Comma 3 2 7 4 4 3" xfId="27559" xr:uid="{39CA2CB4-B854-438C-A289-06AA695E4A87}"/>
    <cellStyle name="Comma 3 2 7 4 5" xfId="5655" xr:uid="{B5EF5F5A-D902-4CA4-8712-37AB0907ACF3}"/>
    <cellStyle name="Comma 3 2 7 4 5 2" xfId="42163" xr:uid="{6AF6E2AB-7FA7-4DD7-8A22-AEF9BF76EAF6}"/>
    <cellStyle name="Comma 3 2 7 4 5 3" xfId="23909" xr:uid="{8D5D7D4D-FFB5-4C6F-85CE-980A3DE990FE}"/>
    <cellStyle name="Comma 3 2 7 4 6" xfId="38513" xr:uid="{19E12957-6F58-4EBF-B6D5-5C2BB142B3C1}"/>
    <cellStyle name="Comma 3 2 7 4 7" xfId="20259" xr:uid="{242847B4-F80E-4ED2-974A-1AD4D3D59C00}"/>
    <cellStyle name="Comma 3 2 7 5" xfId="1275" xr:uid="{6C2106E4-AD51-45AD-9AE9-D47E5C179CC7}"/>
    <cellStyle name="Comma 3 2 7 5 2" xfId="15875" xr:uid="{93C32654-2362-42C8-9E98-0991BB539431}"/>
    <cellStyle name="Comma 3 2 7 5 2 2" xfId="52383" xr:uid="{2F8A45B8-F486-4BB5-9B92-72FA1353D867}"/>
    <cellStyle name="Comma 3 2 7 5 2 3" xfId="34129" xr:uid="{AD13255F-E941-42B0-A384-08D5B8878AD1}"/>
    <cellStyle name="Comma 3 2 7 5 3" xfId="12225" xr:uid="{5447E032-5A04-4665-AC26-DF6D844A42C2}"/>
    <cellStyle name="Comma 3 2 7 5 3 2" xfId="48733" xr:uid="{881BD278-0BC5-4C54-A2E4-2A176DAD906C}"/>
    <cellStyle name="Comma 3 2 7 5 3 3" xfId="30479" xr:uid="{432FD086-551A-4F65-AE38-01AD5386A4DD}"/>
    <cellStyle name="Comma 3 2 7 5 4" xfId="8575" xr:uid="{9D487543-A782-48E2-B970-BBE8E7792B05}"/>
    <cellStyle name="Comma 3 2 7 5 4 2" xfId="45083" xr:uid="{B5972212-FDDE-410C-892F-F3EE9C479B41}"/>
    <cellStyle name="Comma 3 2 7 5 4 3" xfId="26829" xr:uid="{92D3CA87-F621-4010-96ED-D7762A53A6A4}"/>
    <cellStyle name="Comma 3 2 7 5 5" xfId="4925" xr:uid="{4408AE51-3E07-4C72-9744-A9B7BCF0B29F}"/>
    <cellStyle name="Comma 3 2 7 5 5 2" xfId="41433" xr:uid="{A7D3A50F-1E62-4433-8B93-D55C59D8EDC9}"/>
    <cellStyle name="Comma 3 2 7 5 5 3" xfId="23179" xr:uid="{7487DD56-2BB8-4E2B-8468-56DEEE9DB171}"/>
    <cellStyle name="Comma 3 2 7 5 6" xfId="37783" xr:uid="{7B6A0E60-EA64-42C1-A817-FFB0F4090BE3}"/>
    <cellStyle name="Comma 3 2 7 5 7" xfId="19529" xr:uid="{8AF5AC0F-F12E-41FE-AFCF-7F09E372672B}"/>
    <cellStyle name="Comma 3 2 7 6" xfId="15145" xr:uid="{21A62346-08CD-4598-A2C4-57A6AE428D2D}"/>
    <cellStyle name="Comma 3 2 7 6 2" xfId="51653" xr:uid="{A2805FB6-E7B7-4E77-BCFF-51DC206FD716}"/>
    <cellStyle name="Comma 3 2 7 6 3" xfId="33399" xr:uid="{A09EC598-E72D-49AE-92C6-ED20141932D0}"/>
    <cellStyle name="Comma 3 2 7 7" xfId="11495" xr:uid="{29D86096-820D-4C3B-9688-4CB89F8FCB26}"/>
    <cellStyle name="Comma 3 2 7 7 2" xfId="48003" xr:uid="{6CBD1C07-6E0E-4332-8FCE-A851B04E1E81}"/>
    <cellStyle name="Comma 3 2 7 7 3" xfId="29749" xr:uid="{099E1BEB-2E95-47F5-AF2D-57C48647EBBA}"/>
    <cellStyle name="Comma 3 2 7 8" xfId="7845" xr:uid="{6EDE9A1B-FF86-4FC3-A37B-9D184ECAC096}"/>
    <cellStyle name="Comma 3 2 7 8 2" xfId="44353" xr:uid="{7B96B0AB-2D13-4067-B4BC-92EF8EF53A3D}"/>
    <cellStyle name="Comma 3 2 7 8 3" xfId="26099" xr:uid="{F34E9711-26DB-4ED9-A623-8BC95C433DAF}"/>
    <cellStyle name="Comma 3 2 7 9" xfId="4195" xr:uid="{03D456A3-7718-405A-A7B1-4A7BC0D0F660}"/>
    <cellStyle name="Comma 3 2 7 9 2" xfId="40703" xr:uid="{7CE0B1D1-A07B-4BF5-8473-AA2F47B874F6}"/>
    <cellStyle name="Comma 3 2 7 9 3" xfId="22449" xr:uid="{9C8D2F9E-A38F-4923-A0EB-91989478D133}"/>
    <cellStyle name="Comma 3 2 8" xfId="441" xr:uid="{29037674-706E-460A-A2AC-B4DB20F98312}"/>
    <cellStyle name="Comma 3 2 8 10" xfId="36949" xr:uid="{37866F24-A213-40F7-A4A2-4887D2D88A03}"/>
    <cellStyle name="Comma 3 2 8 11" xfId="18695" xr:uid="{380BCE7A-E14D-4DA5-A4E9-2734CAD303DC}"/>
    <cellStyle name="Comma 3 2 8 2" xfId="3361" xr:uid="{DB178604-B5BB-4701-9172-B00B133B8022}"/>
    <cellStyle name="Comma 3 2 8 2 2" xfId="17961" xr:uid="{51028476-0F5A-4B47-9313-4C638AB07AC3}"/>
    <cellStyle name="Comma 3 2 8 2 2 2" xfId="54469" xr:uid="{37AEC669-913C-48D5-B596-95CBF3CD2425}"/>
    <cellStyle name="Comma 3 2 8 2 2 3" xfId="36215" xr:uid="{5148116E-4130-4577-BA02-0E186083422B}"/>
    <cellStyle name="Comma 3 2 8 2 3" xfId="14311" xr:uid="{473F6589-E52E-4449-9587-DFFFEBB3FC84}"/>
    <cellStyle name="Comma 3 2 8 2 3 2" xfId="50819" xr:uid="{EE7B6C91-EEFF-42B5-8A65-B3564B4BB689}"/>
    <cellStyle name="Comma 3 2 8 2 3 3" xfId="32565" xr:uid="{6F7D9CE9-31D0-4574-8AA7-5DDCD261B978}"/>
    <cellStyle name="Comma 3 2 8 2 4" xfId="10661" xr:uid="{F5B75A91-4AE5-4352-BCF8-DC3B0C939B6B}"/>
    <cellStyle name="Comma 3 2 8 2 4 2" xfId="47169" xr:uid="{6F0F951C-1B67-425F-A234-7C13A85C18F5}"/>
    <cellStyle name="Comma 3 2 8 2 4 3" xfId="28915" xr:uid="{07E302CB-BC63-47C4-A198-4D662669B40A}"/>
    <cellStyle name="Comma 3 2 8 2 5" xfId="7011" xr:uid="{ECACA4E5-4867-45BB-9260-D20AC3AB7337}"/>
    <cellStyle name="Comma 3 2 8 2 5 2" xfId="43519" xr:uid="{A504D206-B4F9-4661-892D-E92D08671BD7}"/>
    <cellStyle name="Comma 3 2 8 2 5 3" xfId="25265" xr:uid="{00A4ADAC-982E-4228-8164-D5722E7B3CE4}"/>
    <cellStyle name="Comma 3 2 8 2 6" xfId="39869" xr:uid="{2CC291A5-1596-4E98-B85F-D39FF62C7FB4}"/>
    <cellStyle name="Comma 3 2 8 2 7" xfId="21615" xr:uid="{8764B7E7-1F62-411C-94BB-377AD55091A0}"/>
    <cellStyle name="Comma 3 2 8 3" xfId="2631" xr:uid="{3D2AE1DA-FB49-41DC-B844-9705BF111680}"/>
    <cellStyle name="Comma 3 2 8 3 2" xfId="17231" xr:uid="{2B090F20-4B7B-4BD9-8D8F-CD43E7ABAD6B}"/>
    <cellStyle name="Comma 3 2 8 3 2 2" xfId="53739" xr:uid="{427D3DF5-E099-462A-9E8E-C8CAC6D1CC37}"/>
    <cellStyle name="Comma 3 2 8 3 2 3" xfId="35485" xr:uid="{513CA5EC-F166-451C-BF33-943D1234EC31}"/>
    <cellStyle name="Comma 3 2 8 3 3" xfId="13581" xr:uid="{73DF12C9-7776-4214-A8D8-321926AB720D}"/>
    <cellStyle name="Comma 3 2 8 3 3 2" xfId="50089" xr:uid="{BBF1B7FA-6510-433E-BDD5-8957013E5C28}"/>
    <cellStyle name="Comma 3 2 8 3 3 3" xfId="31835" xr:uid="{E690815A-4FA4-436D-ACEA-F39065C85EA2}"/>
    <cellStyle name="Comma 3 2 8 3 4" xfId="9931" xr:uid="{044B6B04-174A-485F-BAB2-BC435FBB4F28}"/>
    <cellStyle name="Comma 3 2 8 3 4 2" xfId="46439" xr:uid="{137C7981-F3A4-4A1D-B599-C377327F7EDE}"/>
    <cellStyle name="Comma 3 2 8 3 4 3" xfId="28185" xr:uid="{A904B252-CE39-486A-B9BA-D7094B34F94F}"/>
    <cellStyle name="Comma 3 2 8 3 5" xfId="6281" xr:uid="{D74A51F6-0273-4D57-B210-15D30B5B1459}"/>
    <cellStyle name="Comma 3 2 8 3 5 2" xfId="42789" xr:uid="{0AD8A5B4-2890-45CD-BC78-A443F83C9AB4}"/>
    <cellStyle name="Comma 3 2 8 3 5 3" xfId="24535" xr:uid="{B1E83BFE-9C8C-4532-BDE0-CD1273005AE3}"/>
    <cellStyle name="Comma 3 2 8 3 6" xfId="39139" xr:uid="{EF12D086-AA52-4DD2-8409-68EFE70BD9F8}"/>
    <cellStyle name="Comma 3 2 8 3 7" xfId="20885" xr:uid="{C49DE61F-2F79-43F8-A9F6-A2999B3D5B3A}"/>
    <cellStyle name="Comma 3 2 8 4" xfId="1901" xr:uid="{4C267E80-F309-4EA2-83BA-088669A78B66}"/>
    <cellStyle name="Comma 3 2 8 4 2" xfId="16501" xr:uid="{E48770BC-1006-44FC-9C1E-9DB93C00653F}"/>
    <cellStyle name="Comma 3 2 8 4 2 2" xfId="53009" xr:uid="{A66AE050-DBF1-4EB1-B052-10D69A13B4B3}"/>
    <cellStyle name="Comma 3 2 8 4 2 3" xfId="34755" xr:uid="{3D7403FD-5D8D-4954-B7AB-85133123F0A7}"/>
    <cellStyle name="Comma 3 2 8 4 3" xfId="12851" xr:uid="{396215E6-89A4-4AF5-9909-670C1C80567F}"/>
    <cellStyle name="Comma 3 2 8 4 3 2" xfId="49359" xr:uid="{374FC79B-BFEC-438B-A7C0-5D0117E3C94D}"/>
    <cellStyle name="Comma 3 2 8 4 3 3" xfId="31105" xr:uid="{CE3D9C3A-55E5-49C6-A894-45A9AB8E5736}"/>
    <cellStyle name="Comma 3 2 8 4 4" xfId="9201" xr:uid="{F25209BC-FAEB-4EF5-AEBD-99234C4E836C}"/>
    <cellStyle name="Comma 3 2 8 4 4 2" xfId="45709" xr:uid="{1AFE838A-200E-400F-A5D1-95FAEB9D763E}"/>
    <cellStyle name="Comma 3 2 8 4 4 3" xfId="27455" xr:uid="{AAFB1733-D1CF-458F-9041-11FA7E18728B}"/>
    <cellStyle name="Comma 3 2 8 4 5" xfId="5551" xr:uid="{B2F53F19-5531-4809-BD25-5E5D73646144}"/>
    <cellStyle name="Comma 3 2 8 4 5 2" xfId="42059" xr:uid="{F63ADB31-872B-44E5-B148-BCB0E29369F7}"/>
    <cellStyle name="Comma 3 2 8 4 5 3" xfId="23805" xr:uid="{D2D12028-79BB-4ACB-8C3B-65106B9C202D}"/>
    <cellStyle name="Comma 3 2 8 4 6" xfId="38409" xr:uid="{2487922B-313D-4901-8818-D1388F1A96F4}"/>
    <cellStyle name="Comma 3 2 8 4 7" xfId="20155" xr:uid="{4CC55294-BFAF-4FF7-BFCC-0DEB788B63D6}"/>
    <cellStyle name="Comma 3 2 8 5" xfId="1171" xr:uid="{149AD635-8940-427C-BF6E-ED348D7388E3}"/>
    <cellStyle name="Comma 3 2 8 5 2" xfId="15771" xr:uid="{2827899E-88AE-44B1-9969-EF05D1D92B30}"/>
    <cellStyle name="Comma 3 2 8 5 2 2" xfId="52279" xr:uid="{865B67BB-52E7-4E2F-9F11-770B83698F8C}"/>
    <cellStyle name="Comma 3 2 8 5 2 3" xfId="34025" xr:uid="{F3F9FC5B-0D00-4953-B120-6423CDC371E5}"/>
    <cellStyle name="Comma 3 2 8 5 3" xfId="12121" xr:uid="{69B407B3-AEF6-45CB-8D7A-3A710A5506F9}"/>
    <cellStyle name="Comma 3 2 8 5 3 2" xfId="48629" xr:uid="{64E4CEFC-4B46-4E8D-B013-982115AD0A2F}"/>
    <cellStyle name="Comma 3 2 8 5 3 3" xfId="30375" xr:uid="{C35BF625-3A6F-4F50-A7DD-716F933F496E}"/>
    <cellStyle name="Comma 3 2 8 5 4" xfId="8471" xr:uid="{CB700AD4-EB2B-4664-BB8E-2773CAEC00B2}"/>
    <cellStyle name="Comma 3 2 8 5 4 2" xfId="44979" xr:uid="{7F8BABCD-EB29-439D-9C1B-5D230946F614}"/>
    <cellStyle name="Comma 3 2 8 5 4 3" xfId="26725" xr:uid="{05E83168-917B-4C5B-821B-CFECD29139DD}"/>
    <cellStyle name="Comma 3 2 8 5 5" xfId="4821" xr:uid="{02612B3D-F744-496C-AB45-C91CDF9F47D6}"/>
    <cellStyle name="Comma 3 2 8 5 5 2" xfId="41329" xr:uid="{6BD878F0-730E-4C8B-9BC6-1077322CB16C}"/>
    <cellStyle name="Comma 3 2 8 5 5 3" xfId="23075" xr:uid="{E63F23DC-CDE6-4E09-8080-9ACDC450D20A}"/>
    <cellStyle name="Comma 3 2 8 5 6" xfId="37679" xr:uid="{8E419144-EF16-4E5F-8B73-371439301DF0}"/>
    <cellStyle name="Comma 3 2 8 5 7" xfId="19425" xr:uid="{6D465BDB-F29F-4323-AC00-826BFE1A1AD6}"/>
    <cellStyle name="Comma 3 2 8 6" xfId="15041" xr:uid="{14CD7A08-21C4-484D-B719-7A52D9DBAA89}"/>
    <cellStyle name="Comma 3 2 8 6 2" xfId="51549" xr:uid="{4F7AF0DF-238C-40F5-A96A-AD8EFC94B569}"/>
    <cellStyle name="Comma 3 2 8 6 3" xfId="33295" xr:uid="{0BEF64F1-7CF9-45B9-87EF-0F801E1067DF}"/>
    <cellStyle name="Comma 3 2 8 7" xfId="11391" xr:uid="{3F5C5793-F804-49CD-97EE-364CEB18001B}"/>
    <cellStyle name="Comma 3 2 8 7 2" xfId="47899" xr:uid="{EF03A499-6886-4A97-B02A-82BF1D56412B}"/>
    <cellStyle name="Comma 3 2 8 7 3" xfId="29645" xr:uid="{F3642F49-959F-49AA-8680-177C93D75899}"/>
    <cellStyle name="Comma 3 2 8 8" xfId="7741" xr:uid="{CBFE64D0-C9D2-4BFC-A719-B09F7FBA8474}"/>
    <cellStyle name="Comma 3 2 8 8 2" xfId="44249" xr:uid="{B2B23455-94D9-4FAD-B08E-9B8023698E55}"/>
    <cellStyle name="Comma 3 2 8 8 3" xfId="25995" xr:uid="{8F78BE4E-15E4-42CE-99D5-06B3F4C84E6A}"/>
    <cellStyle name="Comma 3 2 8 9" xfId="4091" xr:uid="{4F3542F4-740B-483E-BF6B-58DD2744F435}"/>
    <cellStyle name="Comma 3 2 8 9 2" xfId="40599" xr:uid="{7DEB3C11-519E-430F-9709-0D65109902C3}"/>
    <cellStyle name="Comma 3 2 8 9 3" xfId="22345" xr:uid="{25AD3B5D-09ED-4424-BA06-044D01F417DA}"/>
    <cellStyle name="Comma 3 2 9" xfId="337" xr:uid="{01D9786A-9322-4774-9B8E-D424DE34F116}"/>
    <cellStyle name="Comma 3 2 9 10" xfId="36845" xr:uid="{39D3743A-7C2A-4588-B0EA-476761B870D0}"/>
    <cellStyle name="Comma 3 2 9 11" xfId="18591" xr:uid="{24CD666F-9258-459E-9D83-C0FB758594D7}"/>
    <cellStyle name="Comma 3 2 9 2" xfId="3257" xr:uid="{C7C25DCF-BBF8-4520-B12C-782AF198F7C0}"/>
    <cellStyle name="Comma 3 2 9 2 2" xfId="17857" xr:uid="{F7B6F006-B171-4E7E-B33E-0DAA97A95604}"/>
    <cellStyle name="Comma 3 2 9 2 2 2" xfId="54365" xr:uid="{3738F88A-791A-43B2-88BE-A3977802D222}"/>
    <cellStyle name="Comma 3 2 9 2 2 3" xfId="36111" xr:uid="{A3A08106-437A-4D92-BA6B-79A802FB450A}"/>
    <cellStyle name="Comma 3 2 9 2 3" xfId="14207" xr:uid="{DDC23C76-EEA0-49BC-81D8-304848497DBE}"/>
    <cellStyle name="Comma 3 2 9 2 3 2" xfId="50715" xr:uid="{ED0D8ABD-8F54-410F-BB8F-4A8035B7032F}"/>
    <cellStyle name="Comma 3 2 9 2 3 3" xfId="32461" xr:uid="{ECCDE886-B08A-44BC-A955-0AB638E304FB}"/>
    <cellStyle name="Comma 3 2 9 2 4" xfId="10557" xr:uid="{5A71DA18-D92A-4E01-A6F7-548915762CB3}"/>
    <cellStyle name="Comma 3 2 9 2 4 2" xfId="47065" xr:uid="{8B1A5D4D-D343-42D7-8B59-8DD28AC1F949}"/>
    <cellStyle name="Comma 3 2 9 2 4 3" xfId="28811" xr:uid="{B3FD7383-7B71-4720-A0FB-EEC7B57F2053}"/>
    <cellStyle name="Comma 3 2 9 2 5" xfId="6907" xr:uid="{BD050F56-273F-48F2-985C-976928908B9A}"/>
    <cellStyle name="Comma 3 2 9 2 5 2" xfId="43415" xr:uid="{61F2F07C-A002-4235-A7F0-468FD01607CB}"/>
    <cellStyle name="Comma 3 2 9 2 5 3" xfId="25161" xr:uid="{E8F9AFBC-EBB0-454A-BE6B-9D6341B8EE92}"/>
    <cellStyle name="Comma 3 2 9 2 6" xfId="39765" xr:uid="{584E7470-57FA-4888-945A-75FD6FF1E2BC}"/>
    <cellStyle name="Comma 3 2 9 2 7" xfId="21511" xr:uid="{A1B6D0A9-0EE7-4472-B8BC-9892E426F0CE}"/>
    <cellStyle name="Comma 3 2 9 3" xfId="2527" xr:uid="{DD73C05D-FE6F-4AC7-A929-CC7EF040362D}"/>
    <cellStyle name="Comma 3 2 9 3 2" xfId="17127" xr:uid="{F4FE8E78-A698-439B-AAAD-3D984FA28DB7}"/>
    <cellStyle name="Comma 3 2 9 3 2 2" xfId="53635" xr:uid="{62AB27FB-0930-4910-904D-9980559CED1F}"/>
    <cellStyle name="Comma 3 2 9 3 2 3" xfId="35381" xr:uid="{9AEDD47F-93C9-42BC-AC9C-02F5B2793AF9}"/>
    <cellStyle name="Comma 3 2 9 3 3" xfId="13477" xr:uid="{30744D98-E9E2-4BEE-86EA-19E21D034D76}"/>
    <cellStyle name="Comma 3 2 9 3 3 2" xfId="49985" xr:uid="{F8D95661-1B1D-4FD6-B5E5-176D348DF9A7}"/>
    <cellStyle name="Comma 3 2 9 3 3 3" xfId="31731" xr:uid="{06D281FF-5734-4001-A689-70BA5C673AAD}"/>
    <cellStyle name="Comma 3 2 9 3 4" xfId="9827" xr:uid="{A93ED834-23F2-4F2A-84A7-D68682FCF9E2}"/>
    <cellStyle name="Comma 3 2 9 3 4 2" xfId="46335" xr:uid="{0DAE761F-4CDF-4B53-8FA8-ACE2E1BB7EDC}"/>
    <cellStyle name="Comma 3 2 9 3 4 3" xfId="28081" xr:uid="{864AC919-14BB-4F18-834C-47905476E7AC}"/>
    <cellStyle name="Comma 3 2 9 3 5" xfId="6177" xr:uid="{F4DE4B1A-BC27-4B2D-96E7-E87ECFC3AA97}"/>
    <cellStyle name="Comma 3 2 9 3 5 2" xfId="42685" xr:uid="{A86CAC8B-E114-484C-A04C-8652202D2672}"/>
    <cellStyle name="Comma 3 2 9 3 5 3" xfId="24431" xr:uid="{A57E0F5F-F0FA-4CD9-A616-5F63AA83AD76}"/>
    <cellStyle name="Comma 3 2 9 3 6" xfId="39035" xr:uid="{FE9C5A0C-4D69-4275-8D45-0575012DBC57}"/>
    <cellStyle name="Comma 3 2 9 3 7" xfId="20781" xr:uid="{0C1074C8-3A77-41B6-B333-4D2047D62E62}"/>
    <cellStyle name="Comma 3 2 9 4" xfId="1797" xr:uid="{E339EC0D-D7A5-43FF-BCBD-CF2A9F95156A}"/>
    <cellStyle name="Comma 3 2 9 4 2" xfId="16397" xr:uid="{980A677D-8A33-4336-A0A0-EBBED21C0E3D}"/>
    <cellStyle name="Comma 3 2 9 4 2 2" xfId="52905" xr:uid="{F39EE8D5-C184-42B8-AB61-028F0BB4C954}"/>
    <cellStyle name="Comma 3 2 9 4 2 3" xfId="34651" xr:uid="{4B639C5F-2927-4CE9-8C7A-0E65187D5800}"/>
    <cellStyle name="Comma 3 2 9 4 3" xfId="12747" xr:uid="{49C9AEE0-C718-4EC2-B3FA-A16D29B6850C}"/>
    <cellStyle name="Comma 3 2 9 4 3 2" xfId="49255" xr:uid="{5C187BE0-536D-462A-8AFD-C884733717BA}"/>
    <cellStyle name="Comma 3 2 9 4 3 3" xfId="31001" xr:uid="{FE7CF64D-7C6D-4CBA-AACD-71E56BEFCC26}"/>
    <cellStyle name="Comma 3 2 9 4 4" xfId="9097" xr:uid="{68DD8A4D-5CB7-4DB3-8711-4D2AA4C34C8F}"/>
    <cellStyle name="Comma 3 2 9 4 4 2" xfId="45605" xr:uid="{F7B717C5-D3A2-4F0C-BD09-B908085B14A2}"/>
    <cellStyle name="Comma 3 2 9 4 4 3" xfId="27351" xr:uid="{7BC6D8AD-655F-4D22-92CA-FCBF0E88253B}"/>
    <cellStyle name="Comma 3 2 9 4 5" xfId="5447" xr:uid="{27F9E7D2-0554-49EC-AABB-8619CD1BFF65}"/>
    <cellStyle name="Comma 3 2 9 4 5 2" xfId="41955" xr:uid="{FDB20815-E125-4629-851D-4483EBFA80B9}"/>
    <cellStyle name="Comma 3 2 9 4 5 3" xfId="23701" xr:uid="{702686CC-978D-43E3-A73E-D1DF138ABA95}"/>
    <cellStyle name="Comma 3 2 9 4 6" xfId="38305" xr:uid="{89905611-792D-4740-A460-07B73331149F}"/>
    <cellStyle name="Comma 3 2 9 4 7" xfId="20051" xr:uid="{2E623B49-0F00-4909-A48E-6BE3328EAAD0}"/>
    <cellStyle name="Comma 3 2 9 5" xfId="1067" xr:uid="{91A3E523-61B3-48B0-8571-6267F666CDA1}"/>
    <cellStyle name="Comma 3 2 9 5 2" xfId="15667" xr:uid="{CD798625-4130-43E4-9742-9DCC744F760C}"/>
    <cellStyle name="Comma 3 2 9 5 2 2" xfId="52175" xr:uid="{02BB66E0-4FC9-452B-B14D-1245DBCB27C3}"/>
    <cellStyle name="Comma 3 2 9 5 2 3" xfId="33921" xr:uid="{2F24A2D7-7139-4BEB-A61F-DBF845818C63}"/>
    <cellStyle name="Comma 3 2 9 5 3" xfId="12017" xr:uid="{1039A399-E90D-41F3-AB7C-F58F3FEE6612}"/>
    <cellStyle name="Comma 3 2 9 5 3 2" xfId="48525" xr:uid="{61819E2B-57EF-4243-8010-1D3DECB5FD37}"/>
    <cellStyle name="Comma 3 2 9 5 3 3" xfId="30271" xr:uid="{7C808AE2-A439-43B7-BEF2-40F6BBB56E5C}"/>
    <cellStyle name="Comma 3 2 9 5 4" xfId="8367" xr:uid="{3C24E368-9B50-486C-A8AB-A88580DBBECE}"/>
    <cellStyle name="Comma 3 2 9 5 4 2" xfId="44875" xr:uid="{FDBF33DD-25E8-4FC1-90AB-F93E2436E4C5}"/>
    <cellStyle name="Comma 3 2 9 5 4 3" xfId="26621" xr:uid="{27FBB9FD-3CED-4BFD-97C5-50EC339F5819}"/>
    <cellStyle name="Comma 3 2 9 5 5" xfId="4717" xr:uid="{B87F7A97-96FD-43AD-A8E7-0F97E45C8D9A}"/>
    <cellStyle name="Comma 3 2 9 5 5 2" xfId="41225" xr:uid="{9FBAE3B4-839E-4579-BC60-E3F2BC5CCF49}"/>
    <cellStyle name="Comma 3 2 9 5 5 3" xfId="22971" xr:uid="{642B75E1-C885-4E27-B420-6C7A6E8323C9}"/>
    <cellStyle name="Comma 3 2 9 5 6" xfId="37575" xr:uid="{373C20F8-6CF6-4039-A1CC-C8B3C218D95D}"/>
    <cellStyle name="Comma 3 2 9 5 7" xfId="19321" xr:uid="{FD8C86A0-E1B4-4FD5-B904-3C2F27813F8A}"/>
    <cellStyle name="Comma 3 2 9 6" xfId="14937" xr:uid="{FC6306BD-F6C1-4F8C-8697-0C60A809EB56}"/>
    <cellStyle name="Comma 3 2 9 6 2" xfId="51445" xr:uid="{59A8E980-1406-41D7-BB19-E429FDEC1F3B}"/>
    <cellStyle name="Comma 3 2 9 6 3" xfId="33191" xr:uid="{FC0196D3-4459-48AA-B4A2-106AF499C258}"/>
    <cellStyle name="Comma 3 2 9 7" xfId="11287" xr:uid="{6B728E57-3D53-47E0-8DD4-DA18EACF8BB9}"/>
    <cellStyle name="Comma 3 2 9 7 2" xfId="47795" xr:uid="{DC7BBB45-E00F-416E-835D-D1DF60134BE0}"/>
    <cellStyle name="Comma 3 2 9 7 3" xfId="29541" xr:uid="{3E228B19-6582-4CB7-92B7-E56174733FD5}"/>
    <cellStyle name="Comma 3 2 9 8" xfId="7637" xr:uid="{FC19DAD9-6590-4A20-A1E3-B96416F113E6}"/>
    <cellStyle name="Comma 3 2 9 8 2" xfId="44145" xr:uid="{8F4ED2DD-9D63-4B3E-BDCE-3B1C8926CA14}"/>
    <cellStyle name="Comma 3 2 9 8 3" xfId="25891" xr:uid="{C52F0887-98C6-40E1-AD1C-CBE4F66EA89D}"/>
    <cellStyle name="Comma 3 2 9 9" xfId="3987" xr:uid="{B61DB1DD-E747-4837-BC9A-381F7D566452}"/>
    <cellStyle name="Comma 3 2 9 9 2" xfId="40495" xr:uid="{DA6A7EDE-C25E-4BB0-BECC-F7BF466FB1AF}"/>
    <cellStyle name="Comma 3 2 9 9 3" xfId="22241" xr:uid="{9317800D-E127-4ECE-9491-9C86B445684B}"/>
    <cellStyle name="Comma 3 20" xfId="3671" xr:uid="{95ED5ECF-E7E0-4782-9C47-71F261534C08}"/>
    <cellStyle name="Comma 3 20 2" xfId="40179" xr:uid="{03C8A128-0E5D-42A0-8416-D60A53E69D2F}"/>
    <cellStyle name="Comma 3 20 3" xfId="21925" xr:uid="{7BFE5B54-883E-4DEB-8193-18FC7B568906}"/>
    <cellStyle name="Comma 3 21" xfId="36529" xr:uid="{C23D6F6F-1A46-410F-A778-012E96ADC608}"/>
    <cellStyle name="Comma 3 22" xfId="18275" xr:uid="{95AFE6C1-1757-4FA0-A255-BD3B1B78107F}"/>
    <cellStyle name="Comma 3 3" xfId="17" xr:uid="{00000000-0005-0000-0000-00000C000000}"/>
    <cellStyle name="Comma 3 3 10" xfId="133" xr:uid="{E5E96FD5-79D7-4A3B-AF46-C5EFB2112EB3}"/>
    <cellStyle name="Comma 3 3 10 10" xfId="36641" xr:uid="{8DE7E2D1-CFA5-4722-AB05-28EE81201258}"/>
    <cellStyle name="Comma 3 3 10 11" xfId="18387" xr:uid="{C8E0A726-F8C1-4EE9-94AB-9BDA19B50B1E}"/>
    <cellStyle name="Comma 3 3 10 2" xfId="3053" xr:uid="{57C32F7E-645C-439C-AC01-A3C32C7C013A}"/>
    <cellStyle name="Comma 3 3 10 2 2" xfId="17653" xr:uid="{F06CB677-DBE5-4E76-9F45-9AE11B549841}"/>
    <cellStyle name="Comma 3 3 10 2 2 2" xfId="54161" xr:uid="{3572A1C8-6A25-4A21-ACF1-936038C53B30}"/>
    <cellStyle name="Comma 3 3 10 2 2 3" xfId="35907" xr:uid="{1567496C-16A8-4235-BB00-21B1376E1927}"/>
    <cellStyle name="Comma 3 3 10 2 3" xfId="14003" xr:uid="{373CD599-6661-4032-81F4-0DB7A71D781D}"/>
    <cellStyle name="Comma 3 3 10 2 3 2" xfId="50511" xr:uid="{28ED4F21-53C5-42CA-A476-00D02871F2D8}"/>
    <cellStyle name="Comma 3 3 10 2 3 3" xfId="32257" xr:uid="{CD4E1CCE-37E0-438A-94BF-54FB3D075A1D}"/>
    <cellStyle name="Comma 3 3 10 2 4" xfId="10353" xr:uid="{6D46374A-DFA1-4A2F-851A-D3A173F48A83}"/>
    <cellStyle name="Comma 3 3 10 2 4 2" xfId="46861" xr:uid="{D8A6A088-8FEC-4C7E-832C-D34FD4558C1C}"/>
    <cellStyle name="Comma 3 3 10 2 4 3" xfId="28607" xr:uid="{94CC0519-89D4-4106-BB1B-F91681E69F63}"/>
    <cellStyle name="Comma 3 3 10 2 5" xfId="6703" xr:uid="{D11B519C-2516-4CCD-B279-89261BD7FB95}"/>
    <cellStyle name="Comma 3 3 10 2 5 2" xfId="43211" xr:uid="{0C9C7D13-8007-4D09-9D47-B1C98B78474B}"/>
    <cellStyle name="Comma 3 3 10 2 5 3" xfId="24957" xr:uid="{D1A874E4-CEBF-4EF5-BC6F-20BB711E3353}"/>
    <cellStyle name="Comma 3 3 10 2 6" xfId="39561" xr:uid="{7B84940A-7A78-4865-B2E3-7671FB32A109}"/>
    <cellStyle name="Comma 3 3 10 2 7" xfId="21307" xr:uid="{4E9425AA-FC2E-4636-A360-F79635CF2D58}"/>
    <cellStyle name="Comma 3 3 10 3" xfId="2323" xr:uid="{8829997F-537C-4D30-A136-A4548A5E36ED}"/>
    <cellStyle name="Comma 3 3 10 3 2" xfId="16923" xr:uid="{B44B2E59-1B60-474D-9F46-D67B6DF3A773}"/>
    <cellStyle name="Comma 3 3 10 3 2 2" xfId="53431" xr:uid="{08821686-84AE-483D-81A3-E89D03C42E88}"/>
    <cellStyle name="Comma 3 3 10 3 2 3" xfId="35177" xr:uid="{CE52ABC5-365A-4BFC-ACEB-FB8EBBD05DE5}"/>
    <cellStyle name="Comma 3 3 10 3 3" xfId="13273" xr:uid="{B544C767-18E9-406D-8EDA-B10CC67A6EDC}"/>
    <cellStyle name="Comma 3 3 10 3 3 2" xfId="49781" xr:uid="{F21A5E50-2BBF-42FB-BB3E-69332891FF46}"/>
    <cellStyle name="Comma 3 3 10 3 3 3" xfId="31527" xr:uid="{5053EE56-18C5-4DA9-A1BF-E4DC1ECD427A}"/>
    <cellStyle name="Comma 3 3 10 3 4" xfId="9623" xr:uid="{4CBD2E91-D498-47D9-87A9-C440B4757E2B}"/>
    <cellStyle name="Comma 3 3 10 3 4 2" xfId="46131" xr:uid="{BC2CF5DB-3B66-47A5-AE05-FCD0D2B1DC48}"/>
    <cellStyle name="Comma 3 3 10 3 4 3" xfId="27877" xr:uid="{44BA2A01-A5F6-4805-B1DB-1EF9106D9A5E}"/>
    <cellStyle name="Comma 3 3 10 3 5" xfId="5973" xr:uid="{1E6E54BA-9AAE-4727-9BCF-318A4E9BB343}"/>
    <cellStyle name="Comma 3 3 10 3 5 2" xfId="42481" xr:uid="{1FD9900C-4F4C-42A0-A613-43B59E67986A}"/>
    <cellStyle name="Comma 3 3 10 3 5 3" xfId="24227" xr:uid="{67646DB8-C156-4C0D-A4D9-204A07FC8DEF}"/>
    <cellStyle name="Comma 3 3 10 3 6" xfId="38831" xr:uid="{0EA96594-3BD8-4A6F-932B-66CB4F282687}"/>
    <cellStyle name="Comma 3 3 10 3 7" xfId="20577" xr:uid="{45885956-E6B8-46F2-8C8B-0A1AE9334142}"/>
    <cellStyle name="Comma 3 3 10 4" xfId="1593" xr:uid="{D1230936-4B84-4C9C-9CAB-0DC9AB93C0BE}"/>
    <cellStyle name="Comma 3 3 10 4 2" xfId="16193" xr:uid="{70D91390-CEEC-42B5-A554-767C6DBA2AD6}"/>
    <cellStyle name="Comma 3 3 10 4 2 2" xfId="52701" xr:uid="{2A405BFB-A2DD-404C-A1C0-9D2EAF42362E}"/>
    <cellStyle name="Comma 3 3 10 4 2 3" xfId="34447" xr:uid="{CCD70878-33CF-4046-A569-0AC55D78CB97}"/>
    <cellStyle name="Comma 3 3 10 4 3" xfId="12543" xr:uid="{CB018A95-63A8-4865-9A41-5BE67988AFDB}"/>
    <cellStyle name="Comma 3 3 10 4 3 2" xfId="49051" xr:uid="{A5ACE4CF-4664-48FB-8BA5-A1F0BA1331C9}"/>
    <cellStyle name="Comma 3 3 10 4 3 3" xfId="30797" xr:uid="{CA3F7678-BE1B-4218-96C0-E22EE50073CF}"/>
    <cellStyle name="Comma 3 3 10 4 4" xfId="8893" xr:uid="{F77C45E3-182F-4FC1-9682-830063AD485C}"/>
    <cellStyle name="Comma 3 3 10 4 4 2" xfId="45401" xr:uid="{0C0E219F-89DD-4F50-B5D7-F26CF7670943}"/>
    <cellStyle name="Comma 3 3 10 4 4 3" xfId="27147" xr:uid="{CC1764B5-B1BA-46FC-A3E4-05DD036DE9BB}"/>
    <cellStyle name="Comma 3 3 10 4 5" xfId="5243" xr:uid="{DDBB783A-D5F2-4ABD-82A5-EB6D6A8EDD86}"/>
    <cellStyle name="Comma 3 3 10 4 5 2" xfId="41751" xr:uid="{C4E78C44-FBA7-4BB1-A015-3B9C9E7E3B03}"/>
    <cellStyle name="Comma 3 3 10 4 5 3" xfId="23497" xr:uid="{CD71CE52-2A32-4F4F-B66C-2A9C56895D3B}"/>
    <cellStyle name="Comma 3 3 10 4 6" xfId="38101" xr:uid="{A6A55917-A5B6-47DD-B323-ECE860A3286A}"/>
    <cellStyle name="Comma 3 3 10 4 7" xfId="19847" xr:uid="{22F7B48A-4B48-45BC-904F-CB2F388F09C3}"/>
    <cellStyle name="Comma 3 3 10 5" xfId="863" xr:uid="{31E6C5EA-6BA2-45BF-8B34-0EA6202D4846}"/>
    <cellStyle name="Comma 3 3 10 5 2" xfId="15463" xr:uid="{0D81AAE0-05F8-4A7F-B47C-E179B6B6967C}"/>
    <cellStyle name="Comma 3 3 10 5 2 2" xfId="51971" xr:uid="{62F1F653-CE66-49B5-8ED1-CA1589BB61F4}"/>
    <cellStyle name="Comma 3 3 10 5 2 3" xfId="33717" xr:uid="{B5975F60-BE2D-4A2C-B9FF-67CB2B583CE6}"/>
    <cellStyle name="Comma 3 3 10 5 3" xfId="11813" xr:uid="{36011FBC-E240-41BD-BB4F-7073AFC05063}"/>
    <cellStyle name="Comma 3 3 10 5 3 2" xfId="48321" xr:uid="{22C104A6-EF02-4669-AFB4-06B08DC91EEC}"/>
    <cellStyle name="Comma 3 3 10 5 3 3" xfId="30067" xr:uid="{C40655C8-38EF-4DCF-9229-46073ADE6082}"/>
    <cellStyle name="Comma 3 3 10 5 4" xfId="8163" xr:uid="{B0193DDC-5D60-4622-9A88-8DC9238303B9}"/>
    <cellStyle name="Comma 3 3 10 5 4 2" xfId="44671" xr:uid="{8F5F3248-DA1A-4791-9328-8389A9161852}"/>
    <cellStyle name="Comma 3 3 10 5 4 3" xfId="26417" xr:uid="{374D7EFF-832A-417A-BFC0-88E7F2784C2C}"/>
    <cellStyle name="Comma 3 3 10 5 5" xfId="4513" xr:uid="{9DA1566F-335F-482E-966A-02A78A020592}"/>
    <cellStyle name="Comma 3 3 10 5 5 2" xfId="41021" xr:uid="{C4192396-8397-476C-A159-A171D98C9EDB}"/>
    <cellStyle name="Comma 3 3 10 5 5 3" xfId="22767" xr:uid="{9BE1F213-2187-49AD-96AD-FCE4502FD448}"/>
    <cellStyle name="Comma 3 3 10 5 6" xfId="37371" xr:uid="{196AF095-34AA-4108-A6EB-FE17702510C8}"/>
    <cellStyle name="Comma 3 3 10 5 7" xfId="19117" xr:uid="{4D02DCD3-A08F-4A03-8812-2D6DC8329239}"/>
    <cellStyle name="Comma 3 3 10 6" xfId="14733" xr:uid="{098DB116-FE7B-4041-91AD-0408DBACAB14}"/>
    <cellStyle name="Comma 3 3 10 6 2" xfId="51241" xr:uid="{AFFF3D40-D5B4-4FDF-85EB-207EB4F58E25}"/>
    <cellStyle name="Comma 3 3 10 6 3" xfId="32987" xr:uid="{7F03D276-B357-448D-9E6F-9F4597BD4F58}"/>
    <cellStyle name="Comma 3 3 10 7" xfId="11083" xr:uid="{C010B70B-2FE4-4180-8824-2BA5A964CE0C}"/>
    <cellStyle name="Comma 3 3 10 7 2" xfId="47591" xr:uid="{52455B22-C6E6-4532-B8C4-1CBCB11D2317}"/>
    <cellStyle name="Comma 3 3 10 7 3" xfId="29337" xr:uid="{757A1A75-A2F5-43AF-A82A-A85177D6582E}"/>
    <cellStyle name="Comma 3 3 10 8" xfId="7433" xr:uid="{9D1F95B6-A9AE-40BA-B900-9026EF962CDB}"/>
    <cellStyle name="Comma 3 3 10 8 2" xfId="43941" xr:uid="{8D79C4DF-5FC2-4BA6-8B0B-BAEDED86E091}"/>
    <cellStyle name="Comma 3 3 10 8 3" xfId="25687" xr:uid="{6377D0B9-1590-41E2-B811-F54CBA964010}"/>
    <cellStyle name="Comma 3 3 10 9" xfId="3783" xr:uid="{F9592107-76DB-4237-9660-C7CA5279A5AA}"/>
    <cellStyle name="Comma 3 3 10 9 2" xfId="40291" xr:uid="{A72E2923-531A-4C98-BE31-D052DFD00B70}"/>
    <cellStyle name="Comma 3 3 10 9 3" xfId="22037" xr:uid="{C2832150-62E6-457F-B694-0FDB79F88C68}"/>
    <cellStyle name="Comma 3 3 11" xfId="2949" xr:uid="{FE1D0D83-1C75-4992-8D1B-902107CFCA7B}"/>
    <cellStyle name="Comma 3 3 11 2" xfId="17549" xr:uid="{CEFB780E-4431-4B0F-A3B0-4F0C290872AD}"/>
    <cellStyle name="Comma 3 3 11 2 2" xfId="54057" xr:uid="{F2C063A3-FC03-4D28-932D-D616A4C2ED55}"/>
    <cellStyle name="Comma 3 3 11 2 3" xfId="35803" xr:uid="{7BB8B470-417F-494E-A693-3E75FE223D13}"/>
    <cellStyle name="Comma 3 3 11 3" xfId="13899" xr:uid="{ED49F221-FF74-4156-B0DF-B776A837DFE4}"/>
    <cellStyle name="Comma 3 3 11 3 2" xfId="50407" xr:uid="{BE4C781F-92BE-4690-A6C3-817183E0F721}"/>
    <cellStyle name="Comma 3 3 11 3 3" xfId="32153" xr:uid="{5A4ACB33-DEEF-47F6-87D9-E63ADF0C90DA}"/>
    <cellStyle name="Comma 3 3 11 4" xfId="10249" xr:uid="{582C244C-6720-442B-8143-8B762B642824}"/>
    <cellStyle name="Comma 3 3 11 4 2" xfId="46757" xr:uid="{6F144ACA-E057-4BDB-9761-9021559F3A2B}"/>
    <cellStyle name="Comma 3 3 11 4 3" xfId="28503" xr:uid="{07D3B81E-6059-42FF-8B97-AC6B130A38C1}"/>
    <cellStyle name="Comma 3 3 11 5" xfId="6599" xr:uid="{00638D5A-7C1B-4E23-A572-2FD254F9EDB2}"/>
    <cellStyle name="Comma 3 3 11 5 2" xfId="43107" xr:uid="{61E09DC2-9553-4383-8978-85234E391FED}"/>
    <cellStyle name="Comma 3 3 11 5 3" xfId="24853" xr:uid="{CFC79876-43C4-4A90-84DE-7D38965C7C5E}"/>
    <cellStyle name="Comma 3 3 11 6" xfId="39457" xr:uid="{D599CA47-8671-4E00-9918-28DCA107DABD}"/>
    <cellStyle name="Comma 3 3 11 7" xfId="21203" xr:uid="{87708E43-6660-42EB-B958-489984F9170B}"/>
    <cellStyle name="Comma 3 3 12" xfId="2219" xr:uid="{FB4A8A7A-E5BA-4B79-8BF8-99A4278B412C}"/>
    <cellStyle name="Comma 3 3 12 2" xfId="16819" xr:uid="{9FF9E292-7708-43E1-8B26-6F14DA28286F}"/>
    <cellStyle name="Comma 3 3 12 2 2" xfId="53327" xr:uid="{A4A4AF9B-8C57-4916-AE29-D04B6C5CA3E2}"/>
    <cellStyle name="Comma 3 3 12 2 3" xfId="35073" xr:uid="{A04F65FF-368E-44A4-A9D1-27D4904F8ED7}"/>
    <cellStyle name="Comma 3 3 12 3" xfId="13169" xr:uid="{E88A5F4E-8118-49FE-A5A7-D82A1F829CDF}"/>
    <cellStyle name="Comma 3 3 12 3 2" xfId="49677" xr:uid="{91D61DDD-1D00-4F60-8E01-843ED308CFAC}"/>
    <cellStyle name="Comma 3 3 12 3 3" xfId="31423" xr:uid="{CFFB9B07-AB42-47E3-8DFA-B443170FB850}"/>
    <cellStyle name="Comma 3 3 12 4" xfId="9519" xr:uid="{EE556186-EFDC-4745-8DAD-CB7B2A8D12A9}"/>
    <cellStyle name="Comma 3 3 12 4 2" xfId="46027" xr:uid="{451A5FFA-D77B-4214-B0A6-DAA7B6E3419E}"/>
    <cellStyle name="Comma 3 3 12 4 3" xfId="27773" xr:uid="{ECF06B48-A4A2-493A-855E-5381316A014C}"/>
    <cellStyle name="Comma 3 3 12 5" xfId="5869" xr:uid="{EA032AB3-2958-4374-9D9B-1F09CFC3A4D2}"/>
    <cellStyle name="Comma 3 3 12 5 2" xfId="42377" xr:uid="{D9CE8F18-CBFC-42FD-847C-549A6189F6E8}"/>
    <cellStyle name="Comma 3 3 12 5 3" xfId="24123" xr:uid="{829E0E6E-E2AE-499F-8107-6F2C864ABAAC}"/>
    <cellStyle name="Comma 3 3 12 6" xfId="38727" xr:uid="{051299AD-5D8E-48DF-8A70-DFB56169D64D}"/>
    <cellStyle name="Comma 3 3 12 7" xfId="20473" xr:uid="{D2481373-F558-40B3-8C04-9B6495CEF0DB}"/>
    <cellStyle name="Comma 3 3 13" xfId="1489" xr:uid="{EEABC63A-26B2-46F5-82D3-E28F11639F3A}"/>
    <cellStyle name="Comma 3 3 13 2" xfId="16089" xr:uid="{019CED52-B5AE-4AB4-B28F-F6B33356955F}"/>
    <cellStyle name="Comma 3 3 13 2 2" xfId="52597" xr:uid="{4B01EC14-ADB3-4870-9A01-22EF403391D0}"/>
    <cellStyle name="Comma 3 3 13 2 3" xfId="34343" xr:uid="{549B0E1E-F190-4148-8DB8-1AE46F6811D4}"/>
    <cellStyle name="Comma 3 3 13 3" xfId="12439" xr:uid="{9119F8BE-759F-4033-B3E3-678C4E56AE06}"/>
    <cellStyle name="Comma 3 3 13 3 2" xfId="48947" xr:uid="{CF3D2734-4F8C-4373-825E-4DDDE1F8D188}"/>
    <cellStyle name="Comma 3 3 13 3 3" xfId="30693" xr:uid="{D1255E09-0562-4868-8385-429242271E80}"/>
    <cellStyle name="Comma 3 3 13 4" xfId="8789" xr:uid="{33CEF450-B59D-4EC7-B482-901CBE04E857}"/>
    <cellStyle name="Comma 3 3 13 4 2" xfId="45297" xr:uid="{1D1A8D29-FA5B-46C1-8182-73163E3C543F}"/>
    <cellStyle name="Comma 3 3 13 4 3" xfId="27043" xr:uid="{8FD2BA3E-9177-4ACB-A469-CD4843BF615D}"/>
    <cellStyle name="Comma 3 3 13 5" xfId="5139" xr:uid="{1F5D5BCA-54E6-4842-8536-646651374272}"/>
    <cellStyle name="Comma 3 3 13 5 2" xfId="41647" xr:uid="{6585A32F-D1F0-4AE0-AB2A-4B80799EB561}"/>
    <cellStyle name="Comma 3 3 13 5 3" xfId="23393" xr:uid="{BBF37BCB-E74B-4E2E-ACF2-4F5FFA52486F}"/>
    <cellStyle name="Comma 3 3 13 6" xfId="37997" xr:uid="{8925AE76-C401-498D-B530-62BE8692C8CC}"/>
    <cellStyle name="Comma 3 3 13 7" xfId="19743" xr:uid="{7F1425CD-5441-436A-B92F-857ED84BB5AA}"/>
    <cellStyle name="Comma 3 3 14" xfId="759" xr:uid="{9E170A47-C1EE-47BD-96AA-7B0A024FE1C6}"/>
    <cellStyle name="Comma 3 3 14 2" xfId="15359" xr:uid="{E08BED73-C3CB-42EE-A3DA-2CFC12368F6D}"/>
    <cellStyle name="Comma 3 3 14 2 2" xfId="51867" xr:uid="{C24D6AA9-32CA-4F93-858E-E40BA810F4CC}"/>
    <cellStyle name="Comma 3 3 14 2 3" xfId="33613" xr:uid="{EFB000FD-29F8-4872-AF1D-0274BCC16F3C}"/>
    <cellStyle name="Comma 3 3 14 3" xfId="11709" xr:uid="{B64BB716-7901-4A6D-9224-1E202E9D8476}"/>
    <cellStyle name="Comma 3 3 14 3 2" xfId="48217" xr:uid="{A6BD6B02-6C70-4A64-9629-0B51E7F927AF}"/>
    <cellStyle name="Comma 3 3 14 3 3" xfId="29963" xr:uid="{CD2634EA-58AC-4262-B19F-464AE156CCE2}"/>
    <cellStyle name="Comma 3 3 14 4" xfId="8059" xr:uid="{5836C66C-E0F8-49E7-AC5D-17BDE883EC73}"/>
    <cellStyle name="Comma 3 3 14 4 2" xfId="44567" xr:uid="{8A8E271F-CBF9-4455-B684-4C9E420523B9}"/>
    <cellStyle name="Comma 3 3 14 4 3" xfId="26313" xr:uid="{FC98BB3E-0F63-43E1-8E8E-B9104A8B7A68}"/>
    <cellStyle name="Comma 3 3 14 5" xfId="4409" xr:uid="{D0E682D5-A59D-4762-A967-FA148BB42331}"/>
    <cellStyle name="Comma 3 3 14 5 2" xfId="40917" xr:uid="{BAC789F3-EDE8-4196-949E-5B99C181173E}"/>
    <cellStyle name="Comma 3 3 14 5 3" xfId="22663" xr:uid="{5F7804F2-BE8C-4803-B189-5039BEB5A773}"/>
    <cellStyle name="Comma 3 3 14 6" xfId="37267" xr:uid="{3FFCF2AD-3F8D-4ADF-A9DB-59E5D2494ADE}"/>
    <cellStyle name="Comma 3 3 14 7" xfId="19013" xr:uid="{4038380D-EA49-4694-BBDE-2FE32E842ED7}"/>
    <cellStyle name="Comma 3 3 15" xfId="14629" xr:uid="{A229BF8B-8775-4E28-883F-FA33F7A0174E}"/>
    <cellStyle name="Comma 3 3 15 2" xfId="51137" xr:uid="{D2B856FE-FEB7-407A-AC5E-08A527750AA2}"/>
    <cellStyle name="Comma 3 3 15 3" xfId="32883" xr:uid="{F8938FD3-D320-4C0F-A037-C42A2FE981A5}"/>
    <cellStyle name="Comma 3 3 16" xfId="10979" xr:uid="{CAE91FEA-0104-467F-8E11-98CB045E9F78}"/>
    <cellStyle name="Comma 3 3 16 2" xfId="47487" xr:uid="{5F182EA1-F403-4D23-BE06-0ABBEC952324}"/>
    <cellStyle name="Comma 3 3 16 3" xfId="29233" xr:uid="{3CD92AB6-90AA-434C-8A7A-44A3929B02BB}"/>
    <cellStyle name="Comma 3 3 17" xfId="7329" xr:uid="{10C2E84E-54AD-4DFE-B18B-00BDF0FADDF2}"/>
    <cellStyle name="Comma 3 3 17 2" xfId="43837" xr:uid="{E5A7DACF-00B1-4E53-AEF9-B962901C9491}"/>
    <cellStyle name="Comma 3 3 17 3" xfId="25583" xr:uid="{42129BA5-A285-4ACA-B277-E8799DAC30EB}"/>
    <cellStyle name="Comma 3 3 18" xfId="3679" xr:uid="{DD63BF33-24FB-40F9-946A-22FA26E17709}"/>
    <cellStyle name="Comma 3 3 18 2" xfId="40187" xr:uid="{64C85713-F851-44E7-BD24-34447B958378}"/>
    <cellStyle name="Comma 3 3 18 3" xfId="21933" xr:uid="{6427AE16-016C-411A-8B67-55367B9FA391}"/>
    <cellStyle name="Comma 3 3 19" xfId="36537" xr:uid="{606F02E4-5F62-47AA-B6A7-D20197813E36}"/>
    <cellStyle name="Comma 3 3 2" xfId="36" xr:uid="{17DAE15E-015C-4DB1-A2F1-9FECBE9A0079}"/>
    <cellStyle name="Comma 3 3 2 10" xfId="2965" xr:uid="{0B828CDF-E990-4FE8-815B-3D8CF6092E0F}"/>
    <cellStyle name="Comma 3 3 2 10 2" xfId="17565" xr:uid="{80345F65-F4E4-4557-AFBB-3C9A9C4DC857}"/>
    <cellStyle name="Comma 3 3 2 10 2 2" xfId="54073" xr:uid="{76A6BDC0-B9F4-482B-B2A1-78DD88D7814A}"/>
    <cellStyle name="Comma 3 3 2 10 2 3" xfId="35819" xr:uid="{B1B30832-E22A-40A7-874C-20CF93928529}"/>
    <cellStyle name="Comma 3 3 2 10 3" xfId="13915" xr:uid="{E6217A53-585C-461B-A7FD-09B978F34071}"/>
    <cellStyle name="Comma 3 3 2 10 3 2" xfId="50423" xr:uid="{197C922F-EF4A-4232-88D1-76229047339C}"/>
    <cellStyle name="Comma 3 3 2 10 3 3" xfId="32169" xr:uid="{1BECC3F2-7433-4B11-81DC-182066C58F88}"/>
    <cellStyle name="Comma 3 3 2 10 4" xfId="10265" xr:uid="{092CC49D-4F3E-414A-A750-63C6C2BA4107}"/>
    <cellStyle name="Comma 3 3 2 10 4 2" xfId="46773" xr:uid="{1D48911D-AEFE-4C7C-AF78-933EC0F0279B}"/>
    <cellStyle name="Comma 3 3 2 10 4 3" xfId="28519" xr:uid="{1553094C-8FC1-470E-80E2-A9839F89AE16}"/>
    <cellStyle name="Comma 3 3 2 10 5" xfId="6615" xr:uid="{4222D1C4-19E7-40F4-990F-19A6735E5D92}"/>
    <cellStyle name="Comma 3 3 2 10 5 2" xfId="43123" xr:uid="{FC989838-24E3-4BB2-A3D0-59D92AA61329}"/>
    <cellStyle name="Comma 3 3 2 10 5 3" xfId="24869" xr:uid="{9F94F297-B083-46B1-B12C-04D74B02424E}"/>
    <cellStyle name="Comma 3 3 2 10 6" xfId="39473" xr:uid="{C18E7DBF-C996-4A3C-A9E3-61BA79C9F3BC}"/>
    <cellStyle name="Comma 3 3 2 10 7" xfId="21219" xr:uid="{DB700721-01DF-4451-8C22-3ACFD0CD4CB2}"/>
    <cellStyle name="Comma 3 3 2 11" xfId="2235" xr:uid="{BD041179-E341-44D4-A8A8-02F019EC9D27}"/>
    <cellStyle name="Comma 3 3 2 11 2" xfId="16835" xr:uid="{55D2A579-03BB-4578-9910-73CEE44C7CF9}"/>
    <cellStyle name="Comma 3 3 2 11 2 2" xfId="53343" xr:uid="{2675D39E-D740-4860-9E86-06EAB11632EE}"/>
    <cellStyle name="Comma 3 3 2 11 2 3" xfId="35089" xr:uid="{B37A1391-6F1A-4102-B7CA-4F22AB098FC4}"/>
    <cellStyle name="Comma 3 3 2 11 3" xfId="13185" xr:uid="{926BD331-5305-4ACF-B0CE-2B7CB0EC6610}"/>
    <cellStyle name="Comma 3 3 2 11 3 2" xfId="49693" xr:uid="{502924F3-7ACD-4807-8D4E-A3496C693322}"/>
    <cellStyle name="Comma 3 3 2 11 3 3" xfId="31439" xr:uid="{388CC749-533C-40BB-8F28-5592E872E43D}"/>
    <cellStyle name="Comma 3 3 2 11 4" xfId="9535" xr:uid="{17243B01-966A-41E6-9C2C-542E7D7EC2EF}"/>
    <cellStyle name="Comma 3 3 2 11 4 2" xfId="46043" xr:uid="{95A8371F-1BB3-48B8-9ED1-20769C1A4CD2}"/>
    <cellStyle name="Comma 3 3 2 11 4 3" xfId="27789" xr:uid="{8D3B7142-BA01-450C-B36A-4CBBDF9A3EE9}"/>
    <cellStyle name="Comma 3 3 2 11 5" xfId="5885" xr:uid="{4B8BEB3F-006B-4A08-86C9-9D81AD9B4427}"/>
    <cellStyle name="Comma 3 3 2 11 5 2" xfId="42393" xr:uid="{52C6ABEC-53DD-490F-AA4B-415AD2DB1CC7}"/>
    <cellStyle name="Comma 3 3 2 11 5 3" xfId="24139" xr:uid="{69E888E3-8589-4691-AE0D-AD8324C72C51}"/>
    <cellStyle name="Comma 3 3 2 11 6" xfId="38743" xr:uid="{52DF97D8-8446-4DEA-8291-7A191C83645C}"/>
    <cellStyle name="Comma 3 3 2 11 7" xfId="20489" xr:uid="{A015C62C-1DCE-4535-95AD-3536713D33CB}"/>
    <cellStyle name="Comma 3 3 2 12" xfId="1505" xr:uid="{2B3ACA6C-57F0-449E-A71B-A86D153F14AD}"/>
    <cellStyle name="Comma 3 3 2 12 2" xfId="16105" xr:uid="{3FB13092-990D-46A7-AB95-F7205F5E214F}"/>
    <cellStyle name="Comma 3 3 2 12 2 2" xfId="52613" xr:uid="{D4E47E6A-0610-47E7-99CC-4AD53A121FBE}"/>
    <cellStyle name="Comma 3 3 2 12 2 3" xfId="34359" xr:uid="{0E077A52-7E73-4A0F-AE61-C30A841F3538}"/>
    <cellStyle name="Comma 3 3 2 12 3" xfId="12455" xr:uid="{D1C35CF7-8FC8-4847-9BAE-795B3D248472}"/>
    <cellStyle name="Comma 3 3 2 12 3 2" xfId="48963" xr:uid="{D18C5059-8919-4FAF-A6B0-165BD3985107}"/>
    <cellStyle name="Comma 3 3 2 12 3 3" xfId="30709" xr:uid="{8B8B9102-4EC8-4FD8-AF43-FBF3305F80AF}"/>
    <cellStyle name="Comma 3 3 2 12 4" xfId="8805" xr:uid="{F03259D1-08BA-4602-B102-A725297219EF}"/>
    <cellStyle name="Comma 3 3 2 12 4 2" xfId="45313" xr:uid="{6D5D9837-FD91-4146-83DD-BCFCF9D76EAF}"/>
    <cellStyle name="Comma 3 3 2 12 4 3" xfId="27059" xr:uid="{48F61C77-1852-4801-8AFD-06FE19FC5CB7}"/>
    <cellStyle name="Comma 3 3 2 12 5" xfId="5155" xr:uid="{40AF9F3E-4168-4B64-8D58-AB549F7A4080}"/>
    <cellStyle name="Comma 3 3 2 12 5 2" xfId="41663" xr:uid="{DAF9F57E-0392-44F8-9C40-EEE8A0D010CF}"/>
    <cellStyle name="Comma 3 3 2 12 5 3" xfId="23409" xr:uid="{62FF4F03-748B-413A-AD4A-B8A3A6BFD1E8}"/>
    <cellStyle name="Comma 3 3 2 12 6" xfId="38013" xr:uid="{B61F09ED-6FEC-4A98-97D6-74E4BDE423ED}"/>
    <cellStyle name="Comma 3 3 2 12 7" xfId="19759" xr:uid="{5F6F9AE1-9185-497E-B7E0-C5141445E034}"/>
    <cellStyle name="Comma 3 3 2 13" xfId="775" xr:uid="{5E0FCD3D-2668-40FD-ABA1-50997B481B16}"/>
    <cellStyle name="Comma 3 3 2 13 2" xfId="15375" xr:uid="{2F0CF6BF-28E4-431F-8E46-3B446A534DB7}"/>
    <cellStyle name="Comma 3 3 2 13 2 2" xfId="51883" xr:uid="{03CFEC8A-42B2-4403-B190-C6FB1DCA9D37}"/>
    <cellStyle name="Comma 3 3 2 13 2 3" xfId="33629" xr:uid="{30D36EE2-403E-44FA-94BB-DC7FED7E5090}"/>
    <cellStyle name="Comma 3 3 2 13 3" xfId="11725" xr:uid="{7197E9B0-53AE-4D1D-ACF8-C8399FAC79E1}"/>
    <cellStyle name="Comma 3 3 2 13 3 2" xfId="48233" xr:uid="{3982D863-683C-49B0-8A21-CA29767C9848}"/>
    <cellStyle name="Comma 3 3 2 13 3 3" xfId="29979" xr:uid="{49B2C712-69F5-428C-8C09-D184B3621910}"/>
    <cellStyle name="Comma 3 3 2 13 4" xfId="8075" xr:uid="{82C48B44-9526-4645-A5DC-002619F79F4E}"/>
    <cellStyle name="Comma 3 3 2 13 4 2" xfId="44583" xr:uid="{E2E30012-18D6-4833-B935-5E06CE9F1054}"/>
    <cellStyle name="Comma 3 3 2 13 4 3" xfId="26329" xr:uid="{C9EF8291-2063-4BDB-8E0F-301C07EEDF36}"/>
    <cellStyle name="Comma 3 3 2 13 5" xfId="4425" xr:uid="{642EDED6-BE52-4274-8D9A-2BCCB59C2697}"/>
    <cellStyle name="Comma 3 3 2 13 5 2" xfId="40933" xr:uid="{FC80AF29-F372-4B52-B238-3F9F10CEFC54}"/>
    <cellStyle name="Comma 3 3 2 13 5 3" xfId="22679" xr:uid="{EC1BBB0F-B16D-40C7-B97D-B2251F33E185}"/>
    <cellStyle name="Comma 3 3 2 13 6" xfId="37283" xr:uid="{6C7EB6DE-AC68-439F-B092-34F21A3CB111}"/>
    <cellStyle name="Comma 3 3 2 13 7" xfId="19029" xr:uid="{75FC0A2B-7564-48CD-AA10-5EFAA11A1692}"/>
    <cellStyle name="Comma 3 3 2 14" xfId="14645" xr:uid="{5148FB2F-1CEA-4CC7-8D04-A9B8CDE2BC44}"/>
    <cellStyle name="Comma 3 3 2 14 2" xfId="51153" xr:uid="{D0B16285-F5A3-4283-BF56-93AD39EAE223}"/>
    <cellStyle name="Comma 3 3 2 14 3" xfId="32899" xr:uid="{6BAAC435-4A1E-4CDC-9304-631BB16836CC}"/>
    <cellStyle name="Comma 3 3 2 15" xfId="10995" xr:uid="{A62EED8F-8410-4218-8FFE-1B362AC528AB}"/>
    <cellStyle name="Comma 3 3 2 15 2" xfId="47503" xr:uid="{392E6B79-C262-4FB0-928A-463B65FEAE43}"/>
    <cellStyle name="Comma 3 3 2 15 3" xfId="29249" xr:uid="{F1C6CBDE-7EE4-4C5A-B712-5CCE01B3839F}"/>
    <cellStyle name="Comma 3 3 2 16" xfId="7345" xr:uid="{01D3352F-14A8-475A-8C1F-E183896A4678}"/>
    <cellStyle name="Comma 3 3 2 16 2" xfId="43853" xr:uid="{F6A2B434-8042-4C9E-B4E8-391099813068}"/>
    <cellStyle name="Comma 3 3 2 16 3" xfId="25599" xr:uid="{5F950634-59FB-424F-9764-157D53B121C1}"/>
    <cellStyle name="Comma 3 3 2 17" xfId="3695" xr:uid="{2AC0EED2-80FE-440F-BD61-3C824C8C10F6}"/>
    <cellStyle name="Comma 3 3 2 17 2" xfId="40203" xr:uid="{41F8915E-62B5-4F67-9BB7-82939C0458CB}"/>
    <cellStyle name="Comma 3 3 2 17 3" xfId="21949" xr:uid="{F3E4934C-2437-41BB-B490-B25EEF42EFDC}"/>
    <cellStyle name="Comma 3 3 2 18" xfId="36553" xr:uid="{DFF9220F-6D78-44F8-9021-6D6ACBD027EB}"/>
    <cellStyle name="Comma 3 3 2 19" xfId="18299" xr:uid="{6B57C284-97A7-430D-9F56-CA19A607D887}"/>
    <cellStyle name="Comma 3 3 2 2" xfId="110" xr:uid="{24C6A83D-49CA-408F-AB88-B9F87CA9BF12}"/>
    <cellStyle name="Comma 3 3 2 2 10" xfId="1569" xr:uid="{ACAF23D2-145C-446F-A4CB-76A41231378F}"/>
    <cellStyle name="Comma 3 3 2 2 10 2" xfId="16169" xr:uid="{5C5C49B7-7596-45B9-B764-FCFA6FB38531}"/>
    <cellStyle name="Comma 3 3 2 2 10 2 2" xfId="52677" xr:uid="{F3B73122-CF9B-4F7F-B684-DE771695DF4A}"/>
    <cellStyle name="Comma 3 3 2 2 10 2 3" xfId="34423" xr:uid="{E3E9E2AF-0B63-4B2F-BA42-15664EDA22F6}"/>
    <cellStyle name="Comma 3 3 2 2 10 3" xfId="12519" xr:uid="{50416F60-522B-4707-BE9B-D35FA1B5A908}"/>
    <cellStyle name="Comma 3 3 2 2 10 3 2" xfId="49027" xr:uid="{087159CF-AB3D-486A-BDA7-10DA8C7E6B8E}"/>
    <cellStyle name="Comma 3 3 2 2 10 3 3" xfId="30773" xr:uid="{1465371C-48B7-4BFF-9BC8-7EE4E7F63362}"/>
    <cellStyle name="Comma 3 3 2 2 10 4" xfId="8869" xr:uid="{59A1EA3B-7526-4F98-9799-050E33C1C803}"/>
    <cellStyle name="Comma 3 3 2 2 10 4 2" xfId="45377" xr:uid="{CA0101BE-12B8-4A17-935E-65D30B024F0D}"/>
    <cellStyle name="Comma 3 3 2 2 10 4 3" xfId="27123" xr:uid="{49579D76-A68B-404E-8B6E-67747E96FBB6}"/>
    <cellStyle name="Comma 3 3 2 2 10 5" xfId="5219" xr:uid="{0F782A5B-AF2E-4707-919D-988DF54F2E49}"/>
    <cellStyle name="Comma 3 3 2 2 10 5 2" xfId="41727" xr:uid="{014C0D10-A433-4C69-AAB6-4844AC2A2EF1}"/>
    <cellStyle name="Comma 3 3 2 2 10 5 3" xfId="23473" xr:uid="{7CA03B1C-20DB-4C5A-B8A9-2CF54205A97B}"/>
    <cellStyle name="Comma 3 3 2 2 10 6" xfId="38077" xr:uid="{2ED647AF-AA7E-49B8-88A5-BD0CB54D37FB}"/>
    <cellStyle name="Comma 3 3 2 2 10 7" xfId="19823" xr:uid="{C450C8C3-FC6F-4C76-96CA-53C645255DFF}"/>
    <cellStyle name="Comma 3 3 2 2 11" xfId="839" xr:uid="{3BB06FA5-2CE6-43C3-AA89-FD115C8DB2AF}"/>
    <cellStyle name="Comma 3 3 2 2 11 2" xfId="15439" xr:uid="{6E8F5F2E-E8DF-4BCF-B1CD-7E15A3A61B59}"/>
    <cellStyle name="Comma 3 3 2 2 11 2 2" xfId="51947" xr:uid="{63CD2D6B-4057-4667-A1F6-6EE7308DFB36}"/>
    <cellStyle name="Comma 3 3 2 2 11 2 3" xfId="33693" xr:uid="{5F2BAD80-D928-4D11-BB2D-43932B17D9A8}"/>
    <cellStyle name="Comma 3 3 2 2 11 3" xfId="11789" xr:uid="{E1BFB770-D43A-4EFF-9D35-C8A035DCBC85}"/>
    <cellStyle name="Comma 3 3 2 2 11 3 2" xfId="48297" xr:uid="{4BAFE9FF-F7FA-42C5-9402-0338A4C01296}"/>
    <cellStyle name="Comma 3 3 2 2 11 3 3" xfId="30043" xr:uid="{5890F94D-7E91-4AC1-9530-196EC31F39B9}"/>
    <cellStyle name="Comma 3 3 2 2 11 4" xfId="8139" xr:uid="{7A0273FC-9DEB-4EF5-AF9D-7ECF8F824755}"/>
    <cellStyle name="Comma 3 3 2 2 11 4 2" xfId="44647" xr:uid="{783ACF33-9B73-4F85-9D37-2BB3D6A7AAFF}"/>
    <cellStyle name="Comma 3 3 2 2 11 4 3" xfId="26393" xr:uid="{F93E5182-EE6B-4EA3-AE59-3B9D109B3CA5}"/>
    <cellStyle name="Comma 3 3 2 2 11 5" xfId="4489" xr:uid="{E2DAA8C5-2ED9-4B48-A753-BEB56FE0DFC7}"/>
    <cellStyle name="Comma 3 3 2 2 11 5 2" xfId="40997" xr:uid="{617F4D55-390E-43E0-8B03-8626C9687D42}"/>
    <cellStyle name="Comma 3 3 2 2 11 5 3" xfId="22743" xr:uid="{1C44D33A-B7D8-45B6-9FE6-90F50FB68FC8}"/>
    <cellStyle name="Comma 3 3 2 2 11 6" xfId="37347" xr:uid="{ED5C1CD8-BCA9-43A7-9F9D-663705CE9541}"/>
    <cellStyle name="Comma 3 3 2 2 11 7" xfId="19093" xr:uid="{A18720BA-ED11-420B-9B52-39A6C1A08172}"/>
    <cellStyle name="Comma 3 3 2 2 12" xfId="14709" xr:uid="{39D62378-AE68-4233-9B7C-1020E2E96B59}"/>
    <cellStyle name="Comma 3 3 2 2 12 2" xfId="51217" xr:uid="{8270552D-54C4-4B52-BEEF-DDD532E61C17}"/>
    <cellStyle name="Comma 3 3 2 2 12 3" xfId="32963" xr:uid="{2E35035A-7646-4CFB-BAE8-0F47BBD6503F}"/>
    <cellStyle name="Comma 3 3 2 2 13" xfId="11059" xr:uid="{5B594B9A-E46F-437D-A18B-EB734E35B050}"/>
    <cellStyle name="Comma 3 3 2 2 13 2" xfId="47567" xr:uid="{E4F7A975-DA34-45AD-8D01-E7AF33C17D0D}"/>
    <cellStyle name="Comma 3 3 2 2 13 3" xfId="29313" xr:uid="{70476629-46F1-4775-9732-84FBF0BBA722}"/>
    <cellStyle name="Comma 3 3 2 2 14" xfId="7409" xr:uid="{8C0FFCA9-3DB0-4A74-BC55-C88024BA956F}"/>
    <cellStyle name="Comma 3 3 2 2 14 2" xfId="43917" xr:uid="{9B60C76D-7E0D-4FF1-B256-9E8EA3069A06}"/>
    <cellStyle name="Comma 3 3 2 2 14 3" xfId="25663" xr:uid="{C212AA8F-C774-499A-9ACE-291DD0B05BD9}"/>
    <cellStyle name="Comma 3 3 2 2 15" xfId="3759" xr:uid="{5ED3EE22-1203-4FAB-8FEB-D89550911FF7}"/>
    <cellStyle name="Comma 3 3 2 2 15 2" xfId="40267" xr:uid="{5AA9F2FD-9FA6-4BC2-A16C-11228512AB4E}"/>
    <cellStyle name="Comma 3 3 2 2 15 3" xfId="22013" xr:uid="{49E57D93-24E6-4026-BB8A-A69068D4D8EF}"/>
    <cellStyle name="Comma 3 3 2 2 16" xfId="36617" xr:uid="{284B6B05-9BAC-491C-9C89-AC853EC1AC86}"/>
    <cellStyle name="Comma 3 3 2 2 17" xfId="18363" xr:uid="{55156E88-B42E-464D-9674-A86EA7856FDB}"/>
    <cellStyle name="Comma 3 3 2 2 2" xfId="733" xr:uid="{EE5C4151-772E-4B6F-BBFC-1CC7236DB4DB}"/>
    <cellStyle name="Comma 3 3 2 2 2 10" xfId="37241" xr:uid="{AC0DEF27-8DBD-4A6C-A027-C9592BC97289}"/>
    <cellStyle name="Comma 3 3 2 2 2 11" xfId="18987" xr:uid="{0308B77C-296F-4697-A9BE-B179684047A8}"/>
    <cellStyle name="Comma 3 3 2 2 2 2" xfId="3653" xr:uid="{AD9BCD47-6DDD-4C80-B521-77DC531AEDF6}"/>
    <cellStyle name="Comma 3 3 2 2 2 2 2" xfId="18253" xr:uid="{5AA694E6-A116-46CC-A093-54658712179F}"/>
    <cellStyle name="Comma 3 3 2 2 2 2 2 2" xfId="54761" xr:uid="{46911DBB-B8BD-44E0-92EC-22EF16C94671}"/>
    <cellStyle name="Comma 3 3 2 2 2 2 2 3" xfId="36507" xr:uid="{013A792C-881C-4C68-A83F-6ECF22A9A73F}"/>
    <cellStyle name="Comma 3 3 2 2 2 2 3" xfId="14603" xr:uid="{47ABDDE5-64D2-45C0-9C2A-C1EC8944507D}"/>
    <cellStyle name="Comma 3 3 2 2 2 2 3 2" xfId="51111" xr:uid="{15715EAC-86E2-49FD-A1C3-AC6E11C00022}"/>
    <cellStyle name="Comma 3 3 2 2 2 2 3 3" xfId="32857" xr:uid="{652ECDE3-4D3A-46A0-86DC-7148C0A225CC}"/>
    <cellStyle name="Comma 3 3 2 2 2 2 4" xfId="10953" xr:uid="{ADCE44F4-79F4-4FAA-AECB-D123C44A67B2}"/>
    <cellStyle name="Comma 3 3 2 2 2 2 4 2" xfId="47461" xr:uid="{1381877A-73AD-46DE-BB00-C32B89A7AB0E}"/>
    <cellStyle name="Comma 3 3 2 2 2 2 4 3" xfId="29207" xr:uid="{17BD660C-35CE-4121-B18C-8D32AA82D85C}"/>
    <cellStyle name="Comma 3 3 2 2 2 2 5" xfId="7303" xr:uid="{BC4DF5CC-37CA-4446-A0EC-A5AD130E31CC}"/>
    <cellStyle name="Comma 3 3 2 2 2 2 5 2" xfId="43811" xr:uid="{44BADE53-E93E-4D09-B8F9-63564E31CAA3}"/>
    <cellStyle name="Comma 3 3 2 2 2 2 5 3" xfId="25557" xr:uid="{BDDB75E9-3EED-409A-8202-4400011E93CA}"/>
    <cellStyle name="Comma 3 3 2 2 2 2 6" xfId="40161" xr:uid="{B94FB44A-4167-4B2C-9638-C978C8EEBF26}"/>
    <cellStyle name="Comma 3 3 2 2 2 2 7" xfId="21907" xr:uid="{CB3F2934-3E42-4384-8B15-08CD2BBE8AB2}"/>
    <cellStyle name="Comma 3 3 2 2 2 3" xfId="2923" xr:uid="{AB722B94-34D1-4790-8707-55C646F43AE7}"/>
    <cellStyle name="Comma 3 3 2 2 2 3 2" xfId="17523" xr:uid="{DD8A65BC-6074-4B99-91CD-7A6D506D934B}"/>
    <cellStyle name="Comma 3 3 2 2 2 3 2 2" xfId="54031" xr:uid="{64F3F6AF-DACA-4A40-AB86-AEEC94D03B31}"/>
    <cellStyle name="Comma 3 3 2 2 2 3 2 3" xfId="35777" xr:uid="{EE0C6117-6483-440D-A2A5-CE133910AB9E}"/>
    <cellStyle name="Comma 3 3 2 2 2 3 3" xfId="13873" xr:uid="{2D8C73FB-F4CF-442E-AF79-C6B93565026C}"/>
    <cellStyle name="Comma 3 3 2 2 2 3 3 2" xfId="50381" xr:uid="{77ECE464-6781-46E0-A3C1-E6484BD68135}"/>
    <cellStyle name="Comma 3 3 2 2 2 3 3 3" xfId="32127" xr:uid="{324C9AA6-2A7E-4A54-95B8-9AC0CA5DB4D6}"/>
    <cellStyle name="Comma 3 3 2 2 2 3 4" xfId="10223" xr:uid="{84389A01-CB2F-433A-AFE0-0B019AC3C672}"/>
    <cellStyle name="Comma 3 3 2 2 2 3 4 2" xfId="46731" xr:uid="{B4DDAABA-E7DA-4CE7-AC97-1DB7FA7CFFD8}"/>
    <cellStyle name="Comma 3 3 2 2 2 3 4 3" xfId="28477" xr:uid="{1E47FCDC-02BD-435E-8493-DAE7C4394340}"/>
    <cellStyle name="Comma 3 3 2 2 2 3 5" xfId="6573" xr:uid="{77B28A06-9DE8-4BF7-AB8D-42E108AAEFFC}"/>
    <cellStyle name="Comma 3 3 2 2 2 3 5 2" xfId="43081" xr:uid="{32F93012-3D82-4370-87B0-93E4D4FDF799}"/>
    <cellStyle name="Comma 3 3 2 2 2 3 5 3" xfId="24827" xr:uid="{F77F647C-744D-4EB1-8904-217555AA81D3}"/>
    <cellStyle name="Comma 3 3 2 2 2 3 6" xfId="39431" xr:uid="{2398490D-67F5-4D5F-AFD9-93C369432FFF}"/>
    <cellStyle name="Comma 3 3 2 2 2 3 7" xfId="21177" xr:uid="{30A6D323-02E0-45E2-B326-FB6FD4BCEB73}"/>
    <cellStyle name="Comma 3 3 2 2 2 4" xfId="2193" xr:uid="{1611E440-4899-4251-B347-22E7550E26E0}"/>
    <cellStyle name="Comma 3 3 2 2 2 4 2" xfId="16793" xr:uid="{A9D89166-9ECD-4BF4-A1E8-C35DF38AA025}"/>
    <cellStyle name="Comma 3 3 2 2 2 4 2 2" xfId="53301" xr:uid="{C539BB7A-03FF-462D-89F6-57B807330E07}"/>
    <cellStyle name="Comma 3 3 2 2 2 4 2 3" xfId="35047" xr:uid="{1E1C92B2-4533-493F-B7A0-7CA6E40FB9F1}"/>
    <cellStyle name="Comma 3 3 2 2 2 4 3" xfId="13143" xr:uid="{2E485761-2283-4DF3-8D0B-9AEBEBCC21F1}"/>
    <cellStyle name="Comma 3 3 2 2 2 4 3 2" xfId="49651" xr:uid="{A804EC65-93F8-4903-983C-B14FC97F9447}"/>
    <cellStyle name="Comma 3 3 2 2 2 4 3 3" xfId="31397" xr:uid="{FDCA4516-8805-4536-A935-042D27405C32}"/>
    <cellStyle name="Comma 3 3 2 2 2 4 4" xfId="9493" xr:uid="{683FF447-63A4-4CA3-A5B7-EA5DD7D19501}"/>
    <cellStyle name="Comma 3 3 2 2 2 4 4 2" xfId="46001" xr:uid="{A9FD11DD-060C-44EF-8B60-5B95B928C6F2}"/>
    <cellStyle name="Comma 3 3 2 2 2 4 4 3" xfId="27747" xr:uid="{94CF1070-9657-4308-B8EC-A710F542AE4E}"/>
    <cellStyle name="Comma 3 3 2 2 2 4 5" xfId="5843" xr:uid="{34EC6671-8F39-4560-AA40-D660BCE61273}"/>
    <cellStyle name="Comma 3 3 2 2 2 4 5 2" xfId="42351" xr:uid="{4CA87A0D-6577-44E5-B12E-F22B8E37E670}"/>
    <cellStyle name="Comma 3 3 2 2 2 4 5 3" xfId="24097" xr:uid="{369FAE0D-09A0-4F09-A038-ED76DFC53F43}"/>
    <cellStyle name="Comma 3 3 2 2 2 4 6" xfId="38701" xr:uid="{7547A9BD-168A-4914-B352-37CAC4F1D523}"/>
    <cellStyle name="Comma 3 3 2 2 2 4 7" xfId="20447" xr:uid="{86252755-FEF8-41E1-BACA-0C4E08AF2E4E}"/>
    <cellStyle name="Comma 3 3 2 2 2 5" xfId="1463" xr:uid="{A26488E7-8145-4477-88E4-BBC10C3EF8ED}"/>
    <cellStyle name="Comma 3 3 2 2 2 5 2" xfId="16063" xr:uid="{742D1AC8-930A-43A8-AA11-8B013324B25F}"/>
    <cellStyle name="Comma 3 3 2 2 2 5 2 2" xfId="52571" xr:uid="{19802A00-AE3D-43C2-90D7-5A4BE16624C9}"/>
    <cellStyle name="Comma 3 3 2 2 2 5 2 3" xfId="34317" xr:uid="{6CFD46C8-6ED9-4067-9DFC-ACC479078842}"/>
    <cellStyle name="Comma 3 3 2 2 2 5 3" xfId="12413" xr:uid="{31BBB5D0-ACD7-4FE6-87F1-EB4D29395ADB}"/>
    <cellStyle name="Comma 3 3 2 2 2 5 3 2" xfId="48921" xr:uid="{9AECAA0C-86AD-4D14-AEF1-863828C04E3D}"/>
    <cellStyle name="Comma 3 3 2 2 2 5 3 3" xfId="30667" xr:uid="{6090AA5E-7E4E-4E58-A246-C46823CF41BA}"/>
    <cellStyle name="Comma 3 3 2 2 2 5 4" xfId="8763" xr:uid="{CD8360F1-A648-4AD9-A7CB-223E757674D3}"/>
    <cellStyle name="Comma 3 3 2 2 2 5 4 2" xfId="45271" xr:uid="{BDAF24A2-0F15-48AB-BAA8-1199032E1E9E}"/>
    <cellStyle name="Comma 3 3 2 2 2 5 4 3" xfId="27017" xr:uid="{4472BEE0-C219-4077-84B7-34982465AC2F}"/>
    <cellStyle name="Comma 3 3 2 2 2 5 5" xfId="5113" xr:uid="{D921A689-8999-4522-8444-C478B5F417C6}"/>
    <cellStyle name="Comma 3 3 2 2 2 5 5 2" xfId="41621" xr:uid="{636FE64F-18D8-4B85-9E8F-B00C56DF257E}"/>
    <cellStyle name="Comma 3 3 2 2 2 5 5 3" xfId="23367" xr:uid="{7A291724-8664-4CE2-89B4-DD04A064E680}"/>
    <cellStyle name="Comma 3 3 2 2 2 5 6" xfId="37971" xr:uid="{26A9F047-6294-4526-98AD-CCB62C52E055}"/>
    <cellStyle name="Comma 3 3 2 2 2 5 7" xfId="19717" xr:uid="{16992D63-27CD-4D6A-8C81-3FBF884BC3AD}"/>
    <cellStyle name="Comma 3 3 2 2 2 6" xfId="15333" xr:uid="{D84EE552-4781-4B49-8747-33F105C0A97B}"/>
    <cellStyle name="Comma 3 3 2 2 2 6 2" xfId="51841" xr:uid="{62C53EC2-67F4-4E52-A1CA-F9039E93B4FC}"/>
    <cellStyle name="Comma 3 3 2 2 2 6 3" xfId="33587" xr:uid="{654E7A10-71B5-4AAF-A460-40E8CF0E994C}"/>
    <cellStyle name="Comma 3 3 2 2 2 7" xfId="11683" xr:uid="{E11C2477-9956-4A7B-9358-128D0791687B}"/>
    <cellStyle name="Comma 3 3 2 2 2 7 2" xfId="48191" xr:uid="{F1141269-508C-42BC-89F2-593537CAD0A2}"/>
    <cellStyle name="Comma 3 3 2 2 2 7 3" xfId="29937" xr:uid="{723E0FE7-EED1-4211-98A0-222DF87E6C25}"/>
    <cellStyle name="Comma 3 3 2 2 2 8" xfId="8033" xr:uid="{62A256D2-81C0-4122-814F-42E854CA1D06}"/>
    <cellStyle name="Comma 3 3 2 2 2 8 2" xfId="44541" xr:uid="{6AC961EB-CA51-4A6D-9EB7-C19C21AE7DC7}"/>
    <cellStyle name="Comma 3 3 2 2 2 8 3" xfId="26287" xr:uid="{959E0D64-BCB5-424A-93B7-5DE84AAA793C}"/>
    <cellStyle name="Comma 3 3 2 2 2 9" xfId="4383" xr:uid="{5B86D9E4-06F1-41B1-A276-F907B6044ADF}"/>
    <cellStyle name="Comma 3 3 2 2 2 9 2" xfId="40891" xr:uid="{B6034248-0B02-4E7F-A2B4-570E43AFD80C}"/>
    <cellStyle name="Comma 3 3 2 2 2 9 3" xfId="22637" xr:uid="{F6504102-224B-417C-9F7D-9C1E6B499F94}"/>
    <cellStyle name="Comma 3 3 2 2 3" xfId="629" xr:uid="{C5ECC914-D6AF-44A5-AB42-F4AE3EF09DA8}"/>
    <cellStyle name="Comma 3 3 2 2 3 10" xfId="37137" xr:uid="{615931F0-549A-4D14-BA9F-33300600ADA5}"/>
    <cellStyle name="Comma 3 3 2 2 3 11" xfId="18883" xr:uid="{7828154A-0A83-4453-A93D-4A8CCB6DF65C}"/>
    <cellStyle name="Comma 3 3 2 2 3 2" xfId="3549" xr:uid="{F182AD61-05AB-4ACC-AFAB-581F4996687D}"/>
    <cellStyle name="Comma 3 3 2 2 3 2 2" xfId="18149" xr:uid="{70FDF99C-3D11-4A1D-86DD-782AC88C7FB8}"/>
    <cellStyle name="Comma 3 3 2 2 3 2 2 2" xfId="54657" xr:uid="{409BEF60-C2DD-4CF6-9385-196E74778F58}"/>
    <cellStyle name="Comma 3 3 2 2 3 2 2 3" xfId="36403" xr:uid="{48BC87B9-2512-44E6-AAC4-97A41A5778D5}"/>
    <cellStyle name="Comma 3 3 2 2 3 2 3" xfId="14499" xr:uid="{8FFF5EF7-C008-4CAE-90CF-A7DAD961A7F1}"/>
    <cellStyle name="Comma 3 3 2 2 3 2 3 2" xfId="51007" xr:uid="{2094812E-23A2-4BEF-9206-08D90F5258FC}"/>
    <cellStyle name="Comma 3 3 2 2 3 2 3 3" xfId="32753" xr:uid="{4287D4D8-DCE7-40DF-B531-F4D279A1D27B}"/>
    <cellStyle name="Comma 3 3 2 2 3 2 4" xfId="10849" xr:uid="{44E074E8-8051-4C05-AE44-C059755010B8}"/>
    <cellStyle name="Comma 3 3 2 2 3 2 4 2" xfId="47357" xr:uid="{89C94D34-4FCB-4EFE-91FE-20B05780F187}"/>
    <cellStyle name="Comma 3 3 2 2 3 2 4 3" xfId="29103" xr:uid="{5056D817-C2A9-4832-9D77-0F0C338AAF4A}"/>
    <cellStyle name="Comma 3 3 2 2 3 2 5" xfId="7199" xr:uid="{C7555CFF-9D89-44CA-AADF-D0DEFB90872C}"/>
    <cellStyle name="Comma 3 3 2 2 3 2 5 2" xfId="43707" xr:uid="{F5ED0A73-CE57-4AE2-BB40-9EF2B1CBBBEC}"/>
    <cellStyle name="Comma 3 3 2 2 3 2 5 3" xfId="25453" xr:uid="{6C54A411-445E-4968-892E-99F4792A8B28}"/>
    <cellStyle name="Comma 3 3 2 2 3 2 6" xfId="40057" xr:uid="{47CE4B67-ACB2-4DF7-AF61-AD8FD88207B2}"/>
    <cellStyle name="Comma 3 3 2 2 3 2 7" xfId="21803" xr:uid="{F8F668B4-E10F-4B7A-9E2A-70ECB9F08DF5}"/>
    <cellStyle name="Comma 3 3 2 2 3 3" xfId="2819" xr:uid="{AB59E203-1FF1-49A9-9E7D-CD0D8DB6084F}"/>
    <cellStyle name="Comma 3 3 2 2 3 3 2" xfId="17419" xr:uid="{3915A55E-DB24-4E40-8A47-0BDCA9D2723B}"/>
    <cellStyle name="Comma 3 3 2 2 3 3 2 2" xfId="53927" xr:uid="{51EDEF4F-D8D2-4AAB-A3EF-55922903C815}"/>
    <cellStyle name="Comma 3 3 2 2 3 3 2 3" xfId="35673" xr:uid="{DCCC5BE6-2822-4A44-9D86-728C44EB50B0}"/>
    <cellStyle name="Comma 3 3 2 2 3 3 3" xfId="13769" xr:uid="{01B8B53C-0519-445C-981A-36B3EF605BE1}"/>
    <cellStyle name="Comma 3 3 2 2 3 3 3 2" xfId="50277" xr:uid="{29C4BFE4-C48E-411D-90FA-3DDE4E8CAF1D}"/>
    <cellStyle name="Comma 3 3 2 2 3 3 3 3" xfId="32023" xr:uid="{8B9A81D3-77A9-4B78-BBD3-A2ABB66ED1D5}"/>
    <cellStyle name="Comma 3 3 2 2 3 3 4" xfId="10119" xr:uid="{AF8CFCF0-38DD-4C7D-A610-5198407D5ACD}"/>
    <cellStyle name="Comma 3 3 2 2 3 3 4 2" xfId="46627" xr:uid="{676418E6-C51E-4C48-8E24-27710F5A53B1}"/>
    <cellStyle name="Comma 3 3 2 2 3 3 4 3" xfId="28373" xr:uid="{2445DDF6-C815-4F89-9458-231513128571}"/>
    <cellStyle name="Comma 3 3 2 2 3 3 5" xfId="6469" xr:uid="{22D6B6AD-5961-4291-A8A7-0B6EBA3961E2}"/>
    <cellStyle name="Comma 3 3 2 2 3 3 5 2" xfId="42977" xr:uid="{02006A79-E132-4E88-94AA-13E0532A8886}"/>
    <cellStyle name="Comma 3 3 2 2 3 3 5 3" xfId="24723" xr:uid="{5CA01A34-CAF0-4A59-8F4A-95B901120BBE}"/>
    <cellStyle name="Comma 3 3 2 2 3 3 6" xfId="39327" xr:uid="{BEDF015C-2A9B-4B12-BE43-44BEBF3D69DC}"/>
    <cellStyle name="Comma 3 3 2 2 3 3 7" xfId="21073" xr:uid="{6B427DCD-167C-4E94-B7E2-083AD28D8B81}"/>
    <cellStyle name="Comma 3 3 2 2 3 4" xfId="2089" xr:uid="{5481B947-5A94-466E-8555-90858E1FD972}"/>
    <cellStyle name="Comma 3 3 2 2 3 4 2" xfId="16689" xr:uid="{20C899B8-737A-420F-B44D-52AAD6F5118A}"/>
    <cellStyle name="Comma 3 3 2 2 3 4 2 2" xfId="53197" xr:uid="{922614EA-4D8E-4139-AE62-628C11661311}"/>
    <cellStyle name="Comma 3 3 2 2 3 4 2 3" xfId="34943" xr:uid="{734D9DBA-4358-417A-A3F3-F705B2DA7989}"/>
    <cellStyle name="Comma 3 3 2 2 3 4 3" xfId="13039" xr:uid="{E819F6BE-A867-4B5B-9CAB-64C97C7574B0}"/>
    <cellStyle name="Comma 3 3 2 2 3 4 3 2" xfId="49547" xr:uid="{1FAD03E0-A9C7-409F-BE9B-84057C64D4C5}"/>
    <cellStyle name="Comma 3 3 2 2 3 4 3 3" xfId="31293" xr:uid="{49E31FA2-7E67-4EC8-828D-F86B10BDF58D}"/>
    <cellStyle name="Comma 3 3 2 2 3 4 4" xfId="9389" xr:uid="{2C1B6DBC-DE4B-41FA-9B8B-135C657B5E2F}"/>
    <cellStyle name="Comma 3 3 2 2 3 4 4 2" xfId="45897" xr:uid="{8FD70514-9FF9-4FA6-9A25-EED0126034AA}"/>
    <cellStyle name="Comma 3 3 2 2 3 4 4 3" xfId="27643" xr:uid="{B3C5AD73-0724-4089-9C2F-10FE522F86C1}"/>
    <cellStyle name="Comma 3 3 2 2 3 4 5" xfId="5739" xr:uid="{EBC7854A-5847-4B7D-B2D1-66BC7C41BEB7}"/>
    <cellStyle name="Comma 3 3 2 2 3 4 5 2" xfId="42247" xr:uid="{63D3AECB-5A76-4982-8F7B-F2D9A50A01F5}"/>
    <cellStyle name="Comma 3 3 2 2 3 4 5 3" xfId="23993" xr:uid="{C6F88C28-2961-4AC0-A254-29D32C0664D0}"/>
    <cellStyle name="Comma 3 3 2 2 3 4 6" xfId="38597" xr:uid="{D00CA339-AEE5-4DD2-AA71-7208C38CB1D9}"/>
    <cellStyle name="Comma 3 3 2 2 3 4 7" xfId="20343" xr:uid="{B04CE844-BC42-48FE-AFFA-6CE63980F8A1}"/>
    <cellStyle name="Comma 3 3 2 2 3 5" xfId="1359" xr:uid="{31CBBCA7-2B3C-4FCD-8EF5-F9F9E7F7CB83}"/>
    <cellStyle name="Comma 3 3 2 2 3 5 2" xfId="15959" xr:uid="{70AAA9B7-9345-4A95-9977-2460BF1D4FC9}"/>
    <cellStyle name="Comma 3 3 2 2 3 5 2 2" xfId="52467" xr:uid="{221EB9D3-B125-46AC-B3FB-F3074676B8CA}"/>
    <cellStyle name="Comma 3 3 2 2 3 5 2 3" xfId="34213" xr:uid="{89961266-EA3F-46EE-8922-C048CFA4301E}"/>
    <cellStyle name="Comma 3 3 2 2 3 5 3" xfId="12309" xr:uid="{184B4527-9919-41DC-831B-7E4DD32C745C}"/>
    <cellStyle name="Comma 3 3 2 2 3 5 3 2" xfId="48817" xr:uid="{82C174FD-5764-47CA-ABDF-AF9FBD51CCED}"/>
    <cellStyle name="Comma 3 3 2 2 3 5 3 3" xfId="30563" xr:uid="{B945B6D8-38D6-416B-BB8E-D51E6482DED0}"/>
    <cellStyle name="Comma 3 3 2 2 3 5 4" xfId="8659" xr:uid="{124E7555-243A-4F24-A5CF-44B1B543262E}"/>
    <cellStyle name="Comma 3 3 2 2 3 5 4 2" xfId="45167" xr:uid="{B3E7B9AF-CA5E-453A-90BB-DAF25AEDEF83}"/>
    <cellStyle name="Comma 3 3 2 2 3 5 4 3" xfId="26913" xr:uid="{6A61213C-D6B8-4412-BE0B-467CE1A35DD8}"/>
    <cellStyle name="Comma 3 3 2 2 3 5 5" xfId="5009" xr:uid="{4058C35F-0512-4CCA-AF7C-723A801EB1E1}"/>
    <cellStyle name="Comma 3 3 2 2 3 5 5 2" xfId="41517" xr:uid="{A14CE88B-D78B-4205-892A-6FA83E536D67}"/>
    <cellStyle name="Comma 3 3 2 2 3 5 5 3" xfId="23263" xr:uid="{70FBAFEB-596E-4DE7-B177-A391E0B0BCE8}"/>
    <cellStyle name="Comma 3 3 2 2 3 5 6" xfId="37867" xr:uid="{BC154A52-79FC-4E33-9D86-9FDA27320EEE}"/>
    <cellStyle name="Comma 3 3 2 2 3 5 7" xfId="19613" xr:uid="{7029442B-DCDC-4ABA-A4CA-0CAC5925A498}"/>
    <cellStyle name="Comma 3 3 2 2 3 6" xfId="15229" xr:uid="{3E4151A7-AD19-4B91-B359-AD1EE1C9384E}"/>
    <cellStyle name="Comma 3 3 2 2 3 6 2" xfId="51737" xr:uid="{E84701CD-7110-4BC7-9FAF-8D6029D4C23C}"/>
    <cellStyle name="Comma 3 3 2 2 3 6 3" xfId="33483" xr:uid="{73FDCD4C-8355-45C0-813D-F149174E0D10}"/>
    <cellStyle name="Comma 3 3 2 2 3 7" xfId="11579" xr:uid="{EC88B618-1B90-4405-AD30-2BAEFA3A87E6}"/>
    <cellStyle name="Comma 3 3 2 2 3 7 2" xfId="48087" xr:uid="{D172E785-0F3B-4130-83D6-DCD7923E8749}"/>
    <cellStyle name="Comma 3 3 2 2 3 7 3" xfId="29833" xr:uid="{B29E9A0B-A1B1-4DCA-94D9-080188DD3C9D}"/>
    <cellStyle name="Comma 3 3 2 2 3 8" xfId="7929" xr:uid="{1235CE02-550C-469A-8C18-79584C38270B}"/>
    <cellStyle name="Comma 3 3 2 2 3 8 2" xfId="44437" xr:uid="{0768E1FE-D46F-4FD2-8DC7-F7E9C55EE07A}"/>
    <cellStyle name="Comma 3 3 2 2 3 8 3" xfId="26183" xr:uid="{B1F5D3F6-B5B8-46C9-AE82-FD44E0B4B50C}"/>
    <cellStyle name="Comma 3 3 2 2 3 9" xfId="4279" xr:uid="{19BC5B48-D3A1-4772-B6AC-3516C3F9D1CD}"/>
    <cellStyle name="Comma 3 3 2 2 3 9 2" xfId="40787" xr:uid="{1BB0E20A-72F8-4413-AD38-8A71C02EFA07}"/>
    <cellStyle name="Comma 3 3 2 2 3 9 3" xfId="22533" xr:uid="{D3D1AF25-569C-452D-ABD4-D0E547130CC2}"/>
    <cellStyle name="Comma 3 3 2 2 4" xfId="525" xr:uid="{10D3EB24-5800-4E35-B6BB-9AB4FAD1068A}"/>
    <cellStyle name="Comma 3 3 2 2 4 10" xfId="37033" xr:uid="{B185B11C-76FF-4379-95B5-C71B002B5597}"/>
    <cellStyle name="Comma 3 3 2 2 4 11" xfId="18779" xr:uid="{009E14ED-C43C-4F51-B0FE-C43ACABA4D98}"/>
    <cellStyle name="Comma 3 3 2 2 4 2" xfId="3445" xr:uid="{C0D1D22D-F725-4CE9-9ABA-3D43E5F46E86}"/>
    <cellStyle name="Comma 3 3 2 2 4 2 2" xfId="18045" xr:uid="{601BE1CA-8D2D-42EC-9E3C-4F067AA151E8}"/>
    <cellStyle name="Comma 3 3 2 2 4 2 2 2" xfId="54553" xr:uid="{7AF7B1F2-01DE-4760-8CEE-EFAF572D4E63}"/>
    <cellStyle name="Comma 3 3 2 2 4 2 2 3" xfId="36299" xr:uid="{6D7149B8-CA8A-48F2-93DD-426029817B97}"/>
    <cellStyle name="Comma 3 3 2 2 4 2 3" xfId="14395" xr:uid="{C9D10519-5AF2-4CEF-9A23-DE835D8F26FB}"/>
    <cellStyle name="Comma 3 3 2 2 4 2 3 2" xfId="50903" xr:uid="{E18D93F8-AF19-4BE7-BC74-620207DF7ED7}"/>
    <cellStyle name="Comma 3 3 2 2 4 2 3 3" xfId="32649" xr:uid="{F3F2BC03-52E4-4D61-B917-07EC5E02F8D4}"/>
    <cellStyle name="Comma 3 3 2 2 4 2 4" xfId="10745" xr:uid="{D5A22DA0-7B15-42EA-9691-BCBEE61A64A3}"/>
    <cellStyle name="Comma 3 3 2 2 4 2 4 2" xfId="47253" xr:uid="{C57503A0-D41E-4F02-A016-D4275E1D3BA9}"/>
    <cellStyle name="Comma 3 3 2 2 4 2 4 3" xfId="28999" xr:uid="{81C0E0D8-DAC2-407B-8198-7F87172C5B2E}"/>
    <cellStyle name="Comma 3 3 2 2 4 2 5" xfId="7095" xr:uid="{EEB78792-A273-42AC-ABC2-4DD35A1F8CDF}"/>
    <cellStyle name="Comma 3 3 2 2 4 2 5 2" xfId="43603" xr:uid="{280C3666-4D27-466B-A30C-EEA6BF0C61E2}"/>
    <cellStyle name="Comma 3 3 2 2 4 2 5 3" xfId="25349" xr:uid="{163C4BC8-7AFB-4C8F-BCD1-26AB6A528200}"/>
    <cellStyle name="Comma 3 3 2 2 4 2 6" xfId="39953" xr:uid="{7220E6CB-4229-4150-A8E5-7565B835D41F}"/>
    <cellStyle name="Comma 3 3 2 2 4 2 7" xfId="21699" xr:uid="{38A23355-E72C-4FB2-A7AE-8DD2FA2A6CCE}"/>
    <cellStyle name="Comma 3 3 2 2 4 3" xfId="2715" xr:uid="{41CF066D-89C3-4D88-BBBD-556A9002AC70}"/>
    <cellStyle name="Comma 3 3 2 2 4 3 2" xfId="17315" xr:uid="{3109E32D-ADDD-4507-BEFD-64073191C729}"/>
    <cellStyle name="Comma 3 3 2 2 4 3 2 2" xfId="53823" xr:uid="{5FBD5F91-86A1-491D-9436-DC3C44F11B51}"/>
    <cellStyle name="Comma 3 3 2 2 4 3 2 3" xfId="35569" xr:uid="{E257E86D-4638-4BCC-B3AE-449C899F5292}"/>
    <cellStyle name="Comma 3 3 2 2 4 3 3" xfId="13665" xr:uid="{C0B1B995-C615-4ACA-B0EA-D6B8D7DD6375}"/>
    <cellStyle name="Comma 3 3 2 2 4 3 3 2" xfId="50173" xr:uid="{9A9493FA-50E9-4009-BC0F-23B880466818}"/>
    <cellStyle name="Comma 3 3 2 2 4 3 3 3" xfId="31919" xr:uid="{F8A42C54-FFC3-49FF-9268-2458D369CF05}"/>
    <cellStyle name="Comma 3 3 2 2 4 3 4" xfId="10015" xr:uid="{4928BEE0-1D17-4757-8F16-8FEA7F494CF9}"/>
    <cellStyle name="Comma 3 3 2 2 4 3 4 2" xfId="46523" xr:uid="{BAD4EE0A-B53F-479A-920F-10204C72E3A4}"/>
    <cellStyle name="Comma 3 3 2 2 4 3 4 3" xfId="28269" xr:uid="{154AED84-B221-4005-8B9B-A3D34BFE2A2A}"/>
    <cellStyle name="Comma 3 3 2 2 4 3 5" xfId="6365" xr:uid="{DAEA079B-16F2-44B7-B18A-C277869BDDE5}"/>
    <cellStyle name="Comma 3 3 2 2 4 3 5 2" xfId="42873" xr:uid="{A3829703-062E-4262-846D-7EDE9B50A7E4}"/>
    <cellStyle name="Comma 3 3 2 2 4 3 5 3" xfId="24619" xr:uid="{AE57C4AB-B89F-43B1-B1AA-701F0816D563}"/>
    <cellStyle name="Comma 3 3 2 2 4 3 6" xfId="39223" xr:uid="{04AB7F1E-C505-4482-A358-7ED3E8001A73}"/>
    <cellStyle name="Comma 3 3 2 2 4 3 7" xfId="20969" xr:uid="{9E9BDA04-7C75-4E62-A026-6D25017B9152}"/>
    <cellStyle name="Comma 3 3 2 2 4 4" xfId="1985" xr:uid="{D969175C-56C1-4088-A881-B165CB756F98}"/>
    <cellStyle name="Comma 3 3 2 2 4 4 2" xfId="16585" xr:uid="{9D17AFE4-6DBB-4101-9BEB-B96B325D9C18}"/>
    <cellStyle name="Comma 3 3 2 2 4 4 2 2" xfId="53093" xr:uid="{1446B61F-9F8C-441C-AC56-A7C3585ABE80}"/>
    <cellStyle name="Comma 3 3 2 2 4 4 2 3" xfId="34839" xr:uid="{E73E2C16-A057-4E88-BB04-E8A4B2337F37}"/>
    <cellStyle name="Comma 3 3 2 2 4 4 3" xfId="12935" xr:uid="{39F310B1-3C26-43A3-8B6A-A2D3F32A5916}"/>
    <cellStyle name="Comma 3 3 2 2 4 4 3 2" xfId="49443" xr:uid="{0459D9E6-1C71-4743-9088-FDA9076FAC32}"/>
    <cellStyle name="Comma 3 3 2 2 4 4 3 3" xfId="31189" xr:uid="{D5645F7C-2BB7-4332-8EB8-9B423B1C1FDA}"/>
    <cellStyle name="Comma 3 3 2 2 4 4 4" xfId="9285" xr:uid="{7F6EFF5C-545B-4017-9794-E618B74D5F3E}"/>
    <cellStyle name="Comma 3 3 2 2 4 4 4 2" xfId="45793" xr:uid="{CA1E14B7-1B46-4312-BDA8-3DDE90E36454}"/>
    <cellStyle name="Comma 3 3 2 2 4 4 4 3" xfId="27539" xr:uid="{9CA72460-3654-46E1-920B-8BB3070D2E88}"/>
    <cellStyle name="Comma 3 3 2 2 4 4 5" xfId="5635" xr:uid="{C864F6D2-E94B-4B0F-9182-1D881D361913}"/>
    <cellStyle name="Comma 3 3 2 2 4 4 5 2" xfId="42143" xr:uid="{2393DFC2-29AC-4629-ADFE-3BF0889D246F}"/>
    <cellStyle name="Comma 3 3 2 2 4 4 5 3" xfId="23889" xr:uid="{79F262C9-BF5E-4F8A-8A43-82231CA68AD2}"/>
    <cellStyle name="Comma 3 3 2 2 4 4 6" xfId="38493" xr:uid="{E2E7F457-EF7B-41F8-A622-EDFDF47B5CE4}"/>
    <cellStyle name="Comma 3 3 2 2 4 4 7" xfId="20239" xr:uid="{9E7942CA-2F11-4B57-8125-6C8BAAFDC8AC}"/>
    <cellStyle name="Comma 3 3 2 2 4 5" xfId="1255" xr:uid="{36CF5E5F-6343-4593-BF6F-59C359277708}"/>
    <cellStyle name="Comma 3 3 2 2 4 5 2" xfId="15855" xr:uid="{FFDDAEB3-A59E-4064-A3A8-16CC855F1374}"/>
    <cellStyle name="Comma 3 3 2 2 4 5 2 2" xfId="52363" xr:uid="{41F364E7-08BA-4056-B975-1FDAE9D7C41C}"/>
    <cellStyle name="Comma 3 3 2 2 4 5 2 3" xfId="34109" xr:uid="{98323648-9204-4D36-B9A9-C44CDF0D166A}"/>
    <cellStyle name="Comma 3 3 2 2 4 5 3" xfId="12205" xr:uid="{C40A29ED-0DC3-4C5C-AA90-AF4312C93384}"/>
    <cellStyle name="Comma 3 3 2 2 4 5 3 2" xfId="48713" xr:uid="{CEEDD88B-C051-4998-8F6E-15EC6D29DA74}"/>
    <cellStyle name="Comma 3 3 2 2 4 5 3 3" xfId="30459" xr:uid="{505B054A-75E5-4AC9-93C1-E7D415344F4E}"/>
    <cellStyle name="Comma 3 3 2 2 4 5 4" xfId="8555" xr:uid="{47582D26-55E7-45DD-A0C9-03ECFE149CCA}"/>
    <cellStyle name="Comma 3 3 2 2 4 5 4 2" xfId="45063" xr:uid="{9D282F97-0EAD-40DD-A1B2-B2D54E902D80}"/>
    <cellStyle name="Comma 3 3 2 2 4 5 4 3" xfId="26809" xr:uid="{A64BDA31-A5D2-43AC-BBBA-0E170205926D}"/>
    <cellStyle name="Comma 3 3 2 2 4 5 5" xfId="4905" xr:uid="{63875957-450A-462A-9C19-29AABC6588E5}"/>
    <cellStyle name="Comma 3 3 2 2 4 5 5 2" xfId="41413" xr:uid="{4C254D6E-957A-4698-A5D1-8896C22F61D2}"/>
    <cellStyle name="Comma 3 3 2 2 4 5 5 3" xfId="23159" xr:uid="{B1CB1355-7694-40E1-A7FA-2FE56DD31932}"/>
    <cellStyle name="Comma 3 3 2 2 4 5 6" xfId="37763" xr:uid="{A86A6F62-FBF9-48DC-BA55-53D4019BC5DB}"/>
    <cellStyle name="Comma 3 3 2 2 4 5 7" xfId="19509" xr:uid="{05096143-4A44-417E-8B4E-53911D7E011A}"/>
    <cellStyle name="Comma 3 3 2 2 4 6" xfId="15125" xr:uid="{14FE24EF-63C7-4E36-BB89-F51D2F5DE4ED}"/>
    <cellStyle name="Comma 3 3 2 2 4 6 2" xfId="51633" xr:uid="{91058B40-AE5C-4753-A91A-6C049D872DD2}"/>
    <cellStyle name="Comma 3 3 2 2 4 6 3" xfId="33379" xr:uid="{2FA98BA4-A0DC-4A93-A7F7-13818B5EC1AC}"/>
    <cellStyle name="Comma 3 3 2 2 4 7" xfId="11475" xr:uid="{6CE0A613-0154-4EC2-9586-0AFC8C07F81F}"/>
    <cellStyle name="Comma 3 3 2 2 4 7 2" xfId="47983" xr:uid="{AF0A27CB-621F-4465-A7D8-C604817FCA62}"/>
    <cellStyle name="Comma 3 3 2 2 4 7 3" xfId="29729" xr:uid="{E6D21B8A-0A22-441F-B7A2-3269DFACE00C}"/>
    <cellStyle name="Comma 3 3 2 2 4 8" xfId="7825" xr:uid="{CDFB9916-3DC3-4874-B461-D5DE41D3488E}"/>
    <cellStyle name="Comma 3 3 2 2 4 8 2" xfId="44333" xr:uid="{2108C378-6161-423D-8299-3B647FEB7076}"/>
    <cellStyle name="Comma 3 3 2 2 4 8 3" xfId="26079" xr:uid="{1C2E95AA-F5BD-4C7F-9AB8-91F2986A65AD}"/>
    <cellStyle name="Comma 3 3 2 2 4 9" xfId="4175" xr:uid="{CF9B336E-1B42-4EEA-8976-90900F0047AE}"/>
    <cellStyle name="Comma 3 3 2 2 4 9 2" xfId="40683" xr:uid="{6EB9E597-AD5B-4ADC-8420-67D52E70A3B2}"/>
    <cellStyle name="Comma 3 3 2 2 4 9 3" xfId="22429" xr:uid="{4AB743F6-C318-4ED0-B5A4-BFD501960C41}"/>
    <cellStyle name="Comma 3 3 2 2 5" xfId="421" xr:uid="{EB47C2D6-FC99-4F3C-A3A9-C932D467341E}"/>
    <cellStyle name="Comma 3 3 2 2 5 10" xfId="36929" xr:uid="{03034F84-3FBA-4435-BA56-5763FEC6FCC6}"/>
    <cellStyle name="Comma 3 3 2 2 5 11" xfId="18675" xr:uid="{EE4F4B4C-C6CC-474B-8CE2-8BC7A9A5C5B4}"/>
    <cellStyle name="Comma 3 3 2 2 5 2" xfId="3341" xr:uid="{24F6191A-CD36-4250-A32D-A2F69997358E}"/>
    <cellStyle name="Comma 3 3 2 2 5 2 2" xfId="17941" xr:uid="{80BA4D19-955F-4572-A4D8-F40C94842399}"/>
    <cellStyle name="Comma 3 3 2 2 5 2 2 2" xfId="54449" xr:uid="{628EE62A-770E-4C3D-9BD1-A2CA0668E7EF}"/>
    <cellStyle name="Comma 3 3 2 2 5 2 2 3" xfId="36195" xr:uid="{A883C3B9-7C25-40D7-A913-EEB6C5178D28}"/>
    <cellStyle name="Comma 3 3 2 2 5 2 3" xfId="14291" xr:uid="{EC454BD5-C692-4E96-A24D-D40A3D00FA13}"/>
    <cellStyle name="Comma 3 3 2 2 5 2 3 2" xfId="50799" xr:uid="{4801080E-7B44-408C-BBBB-9A3560A183CD}"/>
    <cellStyle name="Comma 3 3 2 2 5 2 3 3" xfId="32545" xr:uid="{CFC057F7-BDE5-4B59-93D2-D6F83ADFB21E}"/>
    <cellStyle name="Comma 3 3 2 2 5 2 4" xfId="10641" xr:uid="{14D8D321-8AF3-4683-B272-A750F87FCC9B}"/>
    <cellStyle name="Comma 3 3 2 2 5 2 4 2" xfId="47149" xr:uid="{AFBBA6EA-3940-439B-80BB-4B41860FB73D}"/>
    <cellStyle name="Comma 3 3 2 2 5 2 4 3" xfId="28895" xr:uid="{4DD39A7A-C251-4CE0-A2EB-DB425F26238D}"/>
    <cellStyle name="Comma 3 3 2 2 5 2 5" xfId="6991" xr:uid="{6F1A9E73-CCDC-4C63-ADF3-37DAB8DDE584}"/>
    <cellStyle name="Comma 3 3 2 2 5 2 5 2" xfId="43499" xr:uid="{CECFBF42-9222-4754-9F4A-FF3EA6EC6892}"/>
    <cellStyle name="Comma 3 3 2 2 5 2 5 3" xfId="25245" xr:uid="{179C857F-5480-4EA4-ACE0-86560E73B7F3}"/>
    <cellStyle name="Comma 3 3 2 2 5 2 6" xfId="39849" xr:uid="{1C1E54E4-FE19-4544-9BF3-D0100DA473F6}"/>
    <cellStyle name="Comma 3 3 2 2 5 2 7" xfId="21595" xr:uid="{052C427D-8D89-487D-9E29-C236B04E2B69}"/>
    <cellStyle name="Comma 3 3 2 2 5 3" xfId="2611" xr:uid="{AB11A7D8-DCD7-4F22-BF68-793CCE6A1EB2}"/>
    <cellStyle name="Comma 3 3 2 2 5 3 2" xfId="17211" xr:uid="{9A3A5678-877A-4365-8E12-C0F5391B29B8}"/>
    <cellStyle name="Comma 3 3 2 2 5 3 2 2" xfId="53719" xr:uid="{6965BD15-EFF3-4F84-86B4-774A1886123C}"/>
    <cellStyle name="Comma 3 3 2 2 5 3 2 3" xfId="35465" xr:uid="{4498DB1B-0377-4199-BD0F-4E78A4BB79D6}"/>
    <cellStyle name="Comma 3 3 2 2 5 3 3" xfId="13561" xr:uid="{78B0B0A1-5357-4E22-8DB9-914FF3D2AB7A}"/>
    <cellStyle name="Comma 3 3 2 2 5 3 3 2" xfId="50069" xr:uid="{0C621D42-3307-402D-BFE4-46A9F20C22A5}"/>
    <cellStyle name="Comma 3 3 2 2 5 3 3 3" xfId="31815" xr:uid="{08697519-22D6-4B9A-A975-578C20054A49}"/>
    <cellStyle name="Comma 3 3 2 2 5 3 4" xfId="9911" xr:uid="{516F62B4-2A24-430C-9AF2-A54B34760F7B}"/>
    <cellStyle name="Comma 3 3 2 2 5 3 4 2" xfId="46419" xr:uid="{2F9566F3-1C3C-4307-9179-B7B6B4058CB7}"/>
    <cellStyle name="Comma 3 3 2 2 5 3 4 3" xfId="28165" xr:uid="{1DE8C77F-842C-4E81-A448-8E971015285F}"/>
    <cellStyle name="Comma 3 3 2 2 5 3 5" xfId="6261" xr:uid="{D8FD8EE5-6F82-45C5-80E0-E9E70D8819A6}"/>
    <cellStyle name="Comma 3 3 2 2 5 3 5 2" xfId="42769" xr:uid="{8D25A53C-F176-4F10-8761-FEA7D87C3406}"/>
    <cellStyle name="Comma 3 3 2 2 5 3 5 3" xfId="24515" xr:uid="{494563F3-938E-4973-939F-4A6D755A965A}"/>
    <cellStyle name="Comma 3 3 2 2 5 3 6" xfId="39119" xr:uid="{650F6139-EA1F-46C5-BBDC-D8A479313971}"/>
    <cellStyle name="Comma 3 3 2 2 5 3 7" xfId="20865" xr:uid="{07876FDB-E6DE-4FC3-83F3-0D8FE1468230}"/>
    <cellStyle name="Comma 3 3 2 2 5 4" xfId="1881" xr:uid="{37AAE9FC-F259-464D-A525-56C6B868D68E}"/>
    <cellStyle name="Comma 3 3 2 2 5 4 2" xfId="16481" xr:uid="{DF8F4E72-D7A0-4939-BFDF-B190AFA1B887}"/>
    <cellStyle name="Comma 3 3 2 2 5 4 2 2" xfId="52989" xr:uid="{B45AC135-5086-40DB-971F-1C4070842D7A}"/>
    <cellStyle name="Comma 3 3 2 2 5 4 2 3" xfId="34735" xr:uid="{B19589DC-08E2-4BD4-9CCD-196B20FB7E4B}"/>
    <cellStyle name="Comma 3 3 2 2 5 4 3" xfId="12831" xr:uid="{205F9833-7631-4608-A7C4-DFB1EEB42EE5}"/>
    <cellStyle name="Comma 3 3 2 2 5 4 3 2" xfId="49339" xr:uid="{7335ABD6-DC24-4213-9831-CC7A13DA0231}"/>
    <cellStyle name="Comma 3 3 2 2 5 4 3 3" xfId="31085" xr:uid="{6BCCB58F-4C88-4017-B71E-0AE0613EC4AA}"/>
    <cellStyle name="Comma 3 3 2 2 5 4 4" xfId="9181" xr:uid="{A22B932B-DB68-4150-A509-D5F4B49D360F}"/>
    <cellStyle name="Comma 3 3 2 2 5 4 4 2" xfId="45689" xr:uid="{22EB72EB-BAF0-49FA-9A00-E4AB32D60D82}"/>
    <cellStyle name="Comma 3 3 2 2 5 4 4 3" xfId="27435" xr:uid="{50825786-6821-4B4F-9571-DF23AE873302}"/>
    <cellStyle name="Comma 3 3 2 2 5 4 5" xfId="5531" xr:uid="{ABAFDFDD-4F47-43AC-9A88-3B11E88D4A25}"/>
    <cellStyle name="Comma 3 3 2 2 5 4 5 2" xfId="42039" xr:uid="{5F056651-DE6A-40DF-A9BC-CC52423892FC}"/>
    <cellStyle name="Comma 3 3 2 2 5 4 5 3" xfId="23785" xr:uid="{C0453B56-15D6-490D-B191-C8CB2DA614E1}"/>
    <cellStyle name="Comma 3 3 2 2 5 4 6" xfId="38389" xr:uid="{B58A0F28-B74F-4955-AF95-798D6669D78B}"/>
    <cellStyle name="Comma 3 3 2 2 5 4 7" xfId="20135" xr:uid="{115849D9-01BE-458F-8B3F-1078C55ACC0A}"/>
    <cellStyle name="Comma 3 3 2 2 5 5" xfId="1151" xr:uid="{D88E2667-629F-4BCB-8FEE-201DC5A6C316}"/>
    <cellStyle name="Comma 3 3 2 2 5 5 2" xfId="15751" xr:uid="{7131C8C3-805F-4EE1-9F62-AD865F218240}"/>
    <cellStyle name="Comma 3 3 2 2 5 5 2 2" xfId="52259" xr:uid="{307B6832-0487-4D84-897C-4141A043A936}"/>
    <cellStyle name="Comma 3 3 2 2 5 5 2 3" xfId="34005" xr:uid="{0FA537DB-DF15-4FDB-B1A1-0B5F9521CC73}"/>
    <cellStyle name="Comma 3 3 2 2 5 5 3" xfId="12101" xr:uid="{E98E408E-42FC-42E6-930F-041A05FE53B0}"/>
    <cellStyle name="Comma 3 3 2 2 5 5 3 2" xfId="48609" xr:uid="{D0F7107B-088C-43B2-8839-E06C77221727}"/>
    <cellStyle name="Comma 3 3 2 2 5 5 3 3" xfId="30355" xr:uid="{12E18F32-47EA-4493-B845-42E026995BBA}"/>
    <cellStyle name="Comma 3 3 2 2 5 5 4" xfId="8451" xr:uid="{B3F2895E-766B-4B63-9286-810DB6258AA6}"/>
    <cellStyle name="Comma 3 3 2 2 5 5 4 2" xfId="44959" xr:uid="{D284DA8C-50A7-4A97-B8E6-C4CB2E2548F9}"/>
    <cellStyle name="Comma 3 3 2 2 5 5 4 3" xfId="26705" xr:uid="{14EF5DC3-9A1B-4DAA-949A-EBA6C747753C}"/>
    <cellStyle name="Comma 3 3 2 2 5 5 5" xfId="4801" xr:uid="{06B1C1E9-01C8-468B-B66B-6F796DE2B27B}"/>
    <cellStyle name="Comma 3 3 2 2 5 5 5 2" xfId="41309" xr:uid="{0826CD0A-9BB1-4C69-BA3F-04AB57532039}"/>
    <cellStyle name="Comma 3 3 2 2 5 5 5 3" xfId="23055" xr:uid="{9E993BEE-BB16-4354-8A6E-FE6AC1F960C9}"/>
    <cellStyle name="Comma 3 3 2 2 5 5 6" xfId="37659" xr:uid="{4F588899-A2DF-4A6E-968E-9F9DECDBB3A8}"/>
    <cellStyle name="Comma 3 3 2 2 5 5 7" xfId="19405" xr:uid="{B94139A0-5AAB-496A-9D1D-705A2730A018}"/>
    <cellStyle name="Comma 3 3 2 2 5 6" xfId="15021" xr:uid="{BC797060-5048-4124-83BE-790E5341AC1B}"/>
    <cellStyle name="Comma 3 3 2 2 5 6 2" xfId="51529" xr:uid="{1A9FB9DC-3D09-4489-A72C-B974F37895B8}"/>
    <cellStyle name="Comma 3 3 2 2 5 6 3" xfId="33275" xr:uid="{19A223DC-1E2F-4A82-93BA-4A885A1E38F0}"/>
    <cellStyle name="Comma 3 3 2 2 5 7" xfId="11371" xr:uid="{281EADAF-2347-4AC8-8E92-240CE2D4CF87}"/>
    <cellStyle name="Comma 3 3 2 2 5 7 2" xfId="47879" xr:uid="{9802B360-FDFC-4B63-A51A-A162F028457E}"/>
    <cellStyle name="Comma 3 3 2 2 5 7 3" xfId="29625" xr:uid="{73FD6539-C184-440F-B3E0-0C4919806AC5}"/>
    <cellStyle name="Comma 3 3 2 2 5 8" xfId="7721" xr:uid="{4A0C3298-CD5F-49E6-AF53-B5B135FE0C9A}"/>
    <cellStyle name="Comma 3 3 2 2 5 8 2" xfId="44229" xr:uid="{6E403FFA-99B4-462F-A794-5E4416893FE6}"/>
    <cellStyle name="Comma 3 3 2 2 5 8 3" xfId="25975" xr:uid="{85A0BBDE-3439-457A-ABDE-99C591E8AED6}"/>
    <cellStyle name="Comma 3 3 2 2 5 9" xfId="4071" xr:uid="{6A03166F-1919-469A-9A26-573C4120F2E1}"/>
    <cellStyle name="Comma 3 3 2 2 5 9 2" xfId="40579" xr:uid="{E83394F7-AADD-4781-8A6C-81711A99E483}"/>
    <cellStyle name="Comma 3 3 2 2 5 9 3" xfId="22325" xr:uid="{942CB1D3-A887-44DC-9D1D-38FEEBB41078}"/>
    <cellStyle name="Comma 3 3 2 2 6" xfId="317" xr:uid="{0F477F9A-CB8C-4881-A823-2AC5E31DA382}"/>
    <cellStyle name="Comma 3 3 2 2 6 10" xfId="36825" xr:uid="{09A36AD0-6EC0-44F1-98A8-B7B260747E23}"/>
    <cellStyle name="Comma 3 3 2 2 6 11" xfId="18571" xr:uid="{1CDBFEA6-9086-4DFC-A17D-4F3FF9060183}"/>
    <cellStyle name="Comma 3 3 2 2 6 2" xfId="3237" xr:uid="{052ADC79-A880-4E68-9CEB-51F88469F071}"/>
    <cellStyle name="Comma 3 3 2 2 6 2 2" xfId="17837" xr:uid="{DD040F08-10A7-4CC8-B6D2-35C3759E5424}"/>
    <cellStyle name="Comma 3 3 2 2 6 2 2 2" xfId="54345" xr:uid="{749873A8-14C4-4CE1-B600-B9236D81CB6F}"/>
    <cellStyle name="Comma 3 3 2 2 6 2 2 3" xfId="36091" xr:uid="{74AD3E57-8ED4-4537-9627-763725F117EE}"/>
    <cellStyle name="Comma 3 3 2 2 6 2 3" xfId="14187" xr:uid="{DDA2FA89-2C83-4B7B-A3AF-26CDA1DED95E}"/>
    <cellStyle name="Comma 3 3 2 2 6 2 3 2" xfId="50695" xr:uid="{8ED7F3EA-B87C-4490-9329-35211ACAE9C5}"/>
    <cellStyle name="Comma 3 3 2 2 6 2 3 3" xfId="32441" xr:uid="{7B13FD9E-3984-40E9-A051-2DE4AA82C89E}"/>
    <cellStyle name="Comma 3 3 2 2 6 2 4" xfId="10537" xr:uid="{C3DC3036-9798-447A-86CA-3EB6D716C5BB}"/>
    <cellStyle name="Comma 3 3 2 2 6 2 4 2" xfId="47045" xr:uid="{7365FFDD-F11A-4D0A-8B87-443275C43D46}"/>
    <cellStyle name="Comma 3 3 2 2 6 2 4 3" xfId="28791" xr:uid="{13CB4F4E-6B2D-42FA-9B26-9C13F3E2D80D}"/>
    <cellStyle name="Comma 3 3 2 2 6 2 5" xfId="6887" xr:uid="{4231F961-5813-4454-9146-FF2A7EAC645C}"/>
    <cellStyle name="Comma 3 3 2 2 6 2 5 2" xfId="43395" xr:uid="{A49058A1-4661-4F86-96E2-977584F527E1}"/>
    <cellStyle name="Comma 3 3 2 2 6 2 5 3" xfId="25141" xr:uid="{30D0DA16-3A2F-4568-BEB0-5380C2D5A204}"/>
    <cellStyle name="Comma 3 3 2 2 6 2 6" xfId="39745" xr:uid="{9DEFD63C-3128-4D18-8846-F674F9E32D04}"/>
    <cellStyle name="Comma 3 3 2 2 6 2 7" xfId="21491" xr:uid="{EFB7864C-9954-4600-BC62-B6AA559631C6}"/>
    <cellStyle name="Comma 3 3 2 2 6 3" xfId="2507" xr:uid="{013747DC-BB06-4C93-A549-C42FC324B899}"/>
    <cellStyle name="Comma 3 3 2 2 6 3 2" xfId="17107" xr:uid="{DDAA150B-7ED8-4572-B33A-83C69F1FD120}"/>
    <cellStyle name="Comma 3 3 2 2 6 3 2 2" xfId="53615" xr:uid="{8EB635FA-71DE-4397-9B2B-2F13E81C4760}"/>
    <cellStyle name="Comma 3 3 2 2 6 3 2 3" xfId="35361" xr:uid="{BD218633-848B-401D-BC7F-84C30224CB7B}"/>
    <cellStyle name="Comma 3 3 2 2 6 3 3" xfId="13457" xr:uid="{4C79B703-9983-43F0-AE3C-92761C1CB064}"/>
    <cellStyle name="Comma 3 3 2 2 6 3 3 2" xfId="49965" xr:uid="{0A1F217D-1EB5-43FD-BF7D-021C600A6E91}"/>
    <cellStyle name="Comma 3 3 2 2 6 3 3 3" xfId="31711" xr:uid="{2EA42D02-3BBD-45A3-85F0-A7F77A2C661F}"/>
    <cellStyle name="Comma 3 3 2 2 6 3 4" xfId="9807" xr:uid="{DF1599B2-8EC4-488D-9B77-E58E5F4B0BE6}"/>
    <cellStyle name="Comma 3 3 2 2 6 3 4 2" xfId="46315" xr:uid="{DBB3556A-C778-432A-9D8A-ADFBE626A791}"/>
    <cellStyle name="Comma 3 3 2 2 6 3 4 3" xfId="28061" xr:uid="{2607A258-DF2C-41CD-B72E-0DC9832E06E1}"/>
    <cellStyle name="Comma 3 3 2 2 6 3 5" xfId="6157" xr:uid="{E18F8A30-1710-41F4-985B-F8FA8AF4F302}"/>
    <cellStyle name="Comma 3 3 2 2 6 3 5 2" xfId="42665" xr:uid="{5DD73D1A-AA86-4F43-A1CB-C9AC1D8D2EDD}"/>
    <cellStyle name="Comma 3 3 2 2 6 3 5 3" xfId="24411" xr:uid="{32D454FB-5B76-4253-BD6F-4FDB8D10F753}"/>
    <cellStyle name="Comma 3 3 2 2 6 3 6" xfId="39015" xr:uid="{E7D40599-75AD-41B0-ACEE-B872212C6842}"/>
    <cellStyle name="Comma 3 3 2 2 6 3 7" xfId="20761" xr:uid="{4A8B3DDB-F295-4626-8C5A-B652FAAAEF2D}"/>
    <cellStyle name="Comma 3 3 2 2 6 4" xfId="1777" xr:uid="{99324A61-CC41-4673-893E-C45FDB38272C}"/>
    <cellStyle name="Comma 3 3 2 2 6 4 2" xfId="16377" xr:uid="{6427C2F9-ED4D-44A8-9788-538CF901CEEF}"/>
    <cellStyle name="Comma 3 3 2 2 6 4 2 2" xfId="52885" xr:uid="{655C6606-80DA-4D8D-ACA1-E3B2B69C4AA7}"/>
    <cellStyle name="Comma 3 3 2 2 6 4 2 3" xfId="34631" xr:uid="{AA00E2AE-1090-43A8-B4AE-55EA21132C8D}"/>
    <cellStyle name="Comma 3 3 2 2 6 4 3" xfId="12727" xr:uid="{2152B56D-A441-4A1B-8018-46F63323A200}"/>
    <cellStyle name="Comma 3 3 2 2 6 4 3 2" xfId="49235" xr:uid="{4FC1BB09-2778-4964-9F9B-FCE7BB2EA62D}"/>
    <cellStyle name="Comma 3 3 2 2 6 4 3 3" xfId="30981" xr:uid="{8648C385-9672-437F-AFE2-92D9822C5DA6}"/>
    <cellStyle name="Comma 3 3 2 2 6 4 4" xfId="9077" xr:uid="{5477EA83-758D-4CE1-89E9-3DD45C7D8C4F}"/>
    <cellStyle name="Comma 3 3 2 2 6 4 4 2" xfId="45585" xr:uid="{9CA747ED-E214-455E-B643-919F204B0889}"/>
    <cellStyle name="Comma 3 3 2 2 6 4 4 3" xfId="27331" xr:uid="{D5A64E09-3F95-4C17-AB04-F61E3A6A8BE3}"/>
    <cellStyle name="Comma 3 3 2 2 6 4 5" xfId="5427" xr:uid="{81014BED-9735-4A9C-A87D-EEA62CA0F460}"/>
    <cellStyle name="Comma 3 3 2 2 6 4 5 2" xfId="41935" xr:uid="{FB3D3B27-8272-4E44-B0A5-B5F70EAEBE1C}"/>
    <cellStyle name="Comma 3 3 2 2 6 4 5 3" xfId="23681" xr:uid="{7F441FCB-B32B-45B3-8DA5-1BF58AD61479}"/>
    <cellStyle name="Comma 3 3 2 2 6 4 6" xfId="38285" xr:uid="{EBDDD320-6D7B-4D2F-9242-E701F5321997}"/>
    <cellStyle name="Comma 3 3 2 2 6 4 7" xfId="20031" xr:uid="{6FD9F778-8347-4B24-B1B0-E623C86A3E4E}"/>
    <cellStyle name="Comma 3 3 2 2 6 5" xfId="1047" xr:uid="{C44A3616-5F45-461A-98D6-B258A59AEF33}"/>
    <cellStyle name="Comma 3 3 2 2 6 5 2" xfId="15647" xr:uid="{90D28AC4-ED3F-4FA9-A6BA-5FB762F2B8DA}"/>
    <cellStyle name="Comma 3 3 2 2 6 5 2 2" xfId="52155" xr:uid="{C290E9D1-F864-48BD-83FD-143D4B418D57}"/>
    <cellStyle name="Comma 3 3 2 2 6 5 2 3" xfId="33901" xr:uid="{1D2BDBDB-8BCA-4CFD-8CB0-42F31B110259}"/>
    <cellStyle name="Comma 3 3 2 2 6 5 3" xfId="11997" xr:uid="{2E714405-6053-4960-B4AB-A2394D133190}"/>
    <cellStyle name="Comma 3 3 2 2 6 5 3 2" xfId="48505" xr:uid="{4E375B27-52D0-4DF4-B94F-D797E8490102}"/>
    <cellStyle name="Comma 3 3 2 2 6 5 3 3" xfId="30251" xr:uid="{E04A7D14-D51B-4FC1-9008-1D1F9436764F}"/>
    <cellStyle name="Comma 3 3 2 2 6 5 4" xfId="8347" xr:uid="{8CE46F6C-32E5-4A4F-9ACA-F862E990529E}"/>
    <cellStyle name="Comma 3 3 2 2 6 5 4 2" xfId="44855" xr:uid="{F31349F5-DE6B-4CF9-A500-734A27F3CF1A}"/>
    <cellStyle name="Comma 3 3 2 2 6 5 4 3" xfId="26601" xr:uid="{4B34F9C9-B7DE-4007-BF8B-34D9B10EA5C8}"/>
    <cellStyle name="Comma 3 3 2 2 6 5 5" xfId="4697" xr:uid="{A6B781EC-1660-4F4E-9B1E-12401D3FC7F9}"/>
    <cellStyle name="Comma 3 3 2 2 6 5 5 2" xfId="41205" xr:uid="{F97194B8-530D-4283-8238-A9C721B5B537}"/>
    <cellStyle name="Comma 3 3 2 2 6 5 5 3" xfId="22951" xr:uid="{5C2E57B0-A94C-4DDD-8859-D63B4448646B}"/>
    <cellStyle name="Comma 3 3 2 2 6 5 6" xfId="37555" xr:uid="{77FA4C05-D3BA-4C83-9EC4-15C331A0BE0F}"/>
    <cellStyle name="Comma 3 3 2 2 6 5 7" xfId="19301" xr:uid="{5206DF49-D7A9-43E6-86C6-A2371976E02E}"/>
    <cellStyle name="Comma 3 3 2 2 6 6" xfId="14917" xr:uid="{A245C420-FB30-4B2A-B3F8-0803A2FBE75B}"/>
    <cellStyle name="Comma 3 3 2 2 6 6 2" xfId="51425" xr:uid="{84A1A160-329E-453D-8699-F7F1F6E2E12B}"/>
    <cellStyle name="Comma 3 3 2 2 6 6 3" xfId="33171" xr:uid="{FA13A877-698F-4DC6-B7F1-3D1B6A3AE267}"/>
    <cellStyle name="Comma 3 3 2 2 6 7" xfId="11267" xr:uid="{13EE7D13-F426-47A0-909F-619EE77E7CF9}"/>
    <cellStyle name="Comma 3 3 2 2 6 7 2" xfId="47775" xr:uid="{FABA4D87-99F0-4A6C-9950-FCA412CB76DB}"/>
    <cellStyle name="Comma 3 3 2 2 6 7 3" xfId="29521" xr:uid="{9ECE00DA-BFC2-40BC-AB44-29C3176018E8}"/>
    <cellStyle name="Comma 3 3 2 2 6 8" xfId="7617" xr:uid="{3DB83BE5-4810-4839-B895-ABF529F4364A}"/>
    <cellStyle name="Comma 3 3 2 2 6 8 2" xfId="44125" xr:uid="{FE8DABB1-869E-4BAD-A250-5F15289AA7B0}"/>
    <cellStyle name="Comma 3 3 2 2 6 8 3" xfId="25871" xr:uid="{A2E3CA1D-5874-4363-B1EA-141D27257A3B}"/>
    <cellStyle name="Comma 3 3 2 2 6 9" xfId="3967" xr:uid="{0F7CB1E9-F6E6-4C5A-BF44-59C4F7E3FD1F}"/>
    <cellStyle name="Comma 3 3 2 2 6 9 2" xfId="40475" xr:uid="{FB052EDF-9654-4672-AC7D-EA237DE7E8D9}"/>
    <cellStyle name="Comma 3 3 2 2 6 9 3" xfId="22221" xr:uid="{423994EE-F044-410B-932B-B967EA5A8E0E}"/>
    <cellStyle name="Comma 3 3 2 2 7" xfId="213" xr:uid="{9997BA51-B740-4E16-859E-8C706C8B02F7}"/>
    <cellStyle name="Comma 3 3 2 2 7 10" xfId="36721" xr:uid="{6FEB205E-71BF-4AD8-AE46-FBC8C7E96312}"/>
    <cellStyle name="Comma 3 3 2 2 7 11" xfId="18467" xr:uid="{DF975B07-B24C-4D8C-A2F4-12A2AD5684CB}"/>
    <cellStyle name="Comma 3 3 2 2 7 2" xfId="3133" xr:uid="{69AC2987-6131-4F30-8C73-FD43A16A59B0}"/>
    <cellStyle name="Comma 3 3 2 2 7 2 2" xfId="17733" xr:uid="{F8BEB6F1-27E1-4314-AAE1-77EF16D37BB4}"/>
    <cellStyle name="Comma 3 3 2 2 7 2 2 2" xfId="54241" xr:uid="{EF754C98-57CE-47EB-8634-F251EA9840EF}"/>
    <cellStyle name="Comma 3 3 2 2 7 2 2 3" xfId="35987" xr:uid="{22BE3CE8-A2BF-4141-86E2-2DE8C75FE0D2}"/>
    <cellStyle name="Comma 3 3 2 2 7 2 3" xfId="14083" xr:uid="{215349AD-A1DC-425C-B4E1-487AAE673CB2}"/>
    <cellStyle name="Comma 3 3 2 2 7 2 3 2" xfId="50591" xr:uid="{AC16DC52-BEFC-4BE9-89CC-2842B1B84105}"/>
    <cellStyle name="Comma 3 3 2 2 7 2 3 3" xfId="32337" xr:uid="{EF098DAC-E682-4E7F-9061-D96BF232DC1E}"/>
    <cellStyle name="Comma 3 3 2 2 7 2 4" xfId="10433" xr:uid="{5839B9AD-3817-44FE-8790-B431F6E886AA}"/>
    <cellStyle name="Comma 3 3 2 2 7 2 4 2" xfId="46941" xr:uid="{532A66AB-EBC4-4139-BF26-114661E0BBD3}"/>
    <cellStyle name="Comma 3 3 2 2 7 2 4 3" xfId="28687" xr:uid="{C90E08BE-0541-4EE0-9FF8-BC474F22005A}"/>
    <cellStyle name="Comma 3 3 2 2 7 2 5" xfId="6783" xr:uid="{8D902DAC-581B-4E08-AB1E-B188FE7A46FD}"/>
    <cellStyle name="Comma 3 3 2 2 7 2 5 2" xfId="43291" xr:uid="{1B2915CE-CAC3-4183-9562-6D2A9944A542}"/>
    <cellStyle name="Comma 3 3 2 2 7 2 5 3" xfId="25037" xr:uid="{1702EAEC-DABE-4FD5-B00E-540826BBF59F}"/>
    <cellStyle name="Comma 3 3 2 2 7 2 6" xfId="39641" xr:uid="{CF916D8E-0856-4EC7-B230-4A826F77DC02}"/>
    <cellStyle name="Comma 3 3 2 2 7 2 7" xfId="21387" xr:uid="{C0784726-FC84-45AC-AEA1-4F04F4CECD01}"/>
    <cellStyle name="Comma 3 3 2 2 7 3" xfId="2403" xr:uid="{7437AEB5-7AD3-4411-A538-BB86CB27445F}"/>
    <cellStyle name="Comma 3 3 2 2 7 3 2" xfId="17003" xr:uid="{A1BF88F4-9B6D-4FA3-92F8-93C1F42C9AE0}"/>
    <cellStyle name="Comma 3 3 2 2 7 3 2 2" xfId="53511" xr:uid="{8BC81706-E98D-444C-A7C7-626196988232}"/>
    <cellStyle name="Comma 3 3 2 2 7 3 2 3" xfId="35257" xr:uid="{3960B545-1B08-4B13-A0A6-187A3C1917B5}"/>
    <cellStyle name="Comma 3 3 2 2 7 3 3" xfId="13353" xr:uid="{DF5840F5-F998-42BC-99D8-764BE3A8A7E4}"/>
    <cellStyle name="Comma 3 3 2 2 7 3 3 2" xfId="49861" xr:uid="{18ED5852-4490-4244-B7DA-2ADAB5C2166E}"/>
    <cellStyle name="Comma 3 3 2 2 7 3 3 3" xfId="31607" xr:uid="{BAFDBC0A-A304-42CE-B3D3-8975BB1ABC6C}"/>
    <cellStyle name="Comma 3 3 2 2 7 3 4" xfId="9703" xr:uid="{9458D38D-75FF-4FA0-B70C-978BD98366CE}"/>
    <cellStyle name="Comma 3 3 2 2 7 3 4 2" xfId="46211" xr:uid="{8AB61EC4-CD99-4CAC-A6FA-8057CE663CD2}"/>
    <cellStyle name="Comma 3 3 2 2 7 3 4 3" xfId="27957" xr:uid="{BFBBBB23-0CF6-41DE-AB8F-48131B420360}"/>
    <cellStyle name="Comma 3 3 2 2 7 3 5" xfId="6053" xr:uid="{56CF0C95-7BBA-4B50-A540-EE37BA2C37EC}"/>
    <cellStyle name="Comma 3 3 2 2 7 3 5 2" xfId="42561" xr:uid="{DDA438EC-8665-40F6-8FBF-7537911A9836}"/>
    <cellStyle name="Comma 3 3 2 2 7 3 5 3" xfId="24307" xr:uid="{5DB38E75-C6FE-4B89-9BBB-BCE764153493}"/>
    <cellStyle name="Comma 3 3 2 2 7 3 6" xfId="38911" xr:uid="{38DCC950-5984-4C2F-ACDA-C245F761C2DD}"/>
    <cellStyle name="Comma 3 3 2 2 7 3 7" xfId="20657" xr:uid="{7C80CF3D-661A-46A1-984D-1257C0EAD97B}"/>
    <cellStyle name="Comma 3 3 2 2 7 4" xfId="1673" xr:uid="{93A32C3C-44CF-475A-B80D-7EBA31466E6D}"/>
    <cellStyle name="Comma 3 3 2 2 7 4 2" xfId="16273" xr:uid="{4BACAA34-D5E8-453E-A584-C3E77C105738}"/>
    <cellStyle name="Comma 3 3 2 2 7 4 2 2" xfId="52781" xr:uid="{0D232248-E342-4152-AE20-64BAA1FC7C56}"/>
    <cellStyle name="Comma 3 3 2 2 7 4 2 3" xfId="34527" xr:uid="{B4287533-8FD2-4363-A044-11D7B91A7148}"/>
    <cellStyle name="Comma 3 3 2 2 7 4 3" xfId="12623" xr:uid="{8D0D6CF5-AE56-44D1-B764-EA121254DFF4}"/>
    <cellStyle name="Comma 3 3 2 2 7 4 3 2" xfId="49131" xr:uid="{5C681384-1459-4B75-BDDC-8236733C0547}"/>
    <cellStyle name="Comma 3 3 2 2 7 4 3 3" xfId="30877" xr:uid="{91C6791A-AC10-4A09-B1B1-7A85747A9B65}"/>
    <cellStyle name="Comma 3 3 2 2 7 4 4" xfId="8973" xr:uid="{A52BE5B0-BFA5-472D-987B-701AF7A0DAF0}"/>
    <cellStyle name="Comma 3 3 2 2 7 4 4 2" xfId="45481" xr:uid="{53B6C49A-1E49-449D-AB2A-43EA32483A82}"/>
    <cellStyle name="Comma 3 3 2 2 7 4 4 3" xfId="27227" xr:uid="{EAF40BA9-FD09-4E4C-8E5A-7557577C5B89}"/>
    <cellStyle name="Comma 3 3 2 2 7 4 5" xfId="5323" xr:uid="{33AF1D49-0BE9-4725-ABF4-97C7633C895F}"/>
    <cellStyle name="Comma 3 3 2 2 7 4 5 2" xfId="41831" xr:uid="{2E901B56-7C26-4187-8749-2A601C1F4E72}"/>
    <cellStyle name="Comma 3 3 2 2 7 4 5 3" xfId="23577" xr:uid="{D736F246-336E-485A-A83F-82EF5DEC793F}"/>
    <cellStyle name="Comma 3 3 2 2 7 4 6" xfId="38181" xr:uid="{27D8BEB2-E13D-4B87-8F28-983248B8BEAA}"/>
    <cellStyle name="Comma 3 3 2 2 7 4 7" xfId="19927" xr:uid="{45D8DB7C-F051-4C87-86B6-29A691260DDF}"/>
    <cellStyle name="Comma 3 3 2 2 7 5" xfId="943" xr:uid="{2977AA91-FB1F-40BD-AB23-8D165B8AA5F7}"/>
    <cellStyle name="Comma 3 3 2 2 7 5 2" xfId="15543" xr:uid="{5030EB48-A47C-4DE4-9E64-3A40EEB10394}"/>
    <cellStyle name="Comma 3 3 2 2 7 5 2 2" xfId="52051" xr:uid="{12CC6601-32AD-4E52-A1F9-A7FF80F6BEAF}"/>
    <cellStyle name="Comma 3 3 2 2 7 5 2 3" xfId="33797" xr:uid="{1744807E-2A90-442A-A922-93A7784CAA67}"/>
    <cellStyle name="Comma 3 3 2 2 7 5 3" xfId="11893" xr:uid="{3663AB62-E84D-46F7-A24D-B787C94121E9}"/>
    <cellStyle name="Comma 3 3 2 2 7 5 3 2" xfId="48401" xr:uid="{9EC30A97-2377-46DE-A46F-9E64BFBB9161}"/>
    <cellStyle name="Comma 3 3 2 2 7 5 3 3" xfId="30147" xr:uid="{5027BCBD-5A63-45AE-BC55-6E9D416B81ED}"/>
    <cellStyle name="Comma 3 3 2 2 7 5 4" xfId="8243" xr:uid="{8BCD9FEC-09CC-4293-90C6-7F2F9655FC78}"/>
    <cellStyle name="Comma 3 3 2 2 7 5 4 2" xfId="44751" xr:uid="{E1AD901A-B67A-49FE-B788-CB173072DDFE}"/>
    <cellStyle name="Comma 3 3 2 2 7 5 4 3" xfId="26497" xr:uid="{A3E47FF7-3211-49A5-9710-64BEDA83ABB2}"/>
    <cellStyle name="Comma 3 3 2 2 7 5 5" xfId="4593" xr:uid="{232D241C-52C2-4802-97EA-DC829682BB42}"/>
    <cellStyle name="Comma 3 3 2 2 7 5 5 2" xfId="41101" xr:uid="{5031DB94-6E35-49FA-8619-22AC5E504CBD}"/>
    <cellStyle name="Comma 3 3 2 2 7 5 5 3" xfId="22847" xr:uid="{48AE4CE0-388D-475C-AAE1-531F3DC302EC}"/>
    <cellStyle name="Comma 3 3 2 2 7 5 6" xfId="37451" xr:uid="{A33E1B08-F169-48AE-A482-9264383D2B49}"/>
    <cellStyle name="Comma 3 3 2 2 7 5 7" xfId="19197" xr:uid="{3638AE0E-1AD1-49A1-901A-10EF414C07AA}"/>
    <cellStyle name="Comma 3 3 2 2 7 6" xfId="14813" xr:uid="{55B8A3E5-BB71-4927-B210-CE57248E3931}"/>
    <cellStyle name="Comma 3 3 2 2 7 6 2" xfId="51321" xr:uid="{DEC61057-4C76-4BD6-A920-F24979BA6133}"/>
    <cellStyle name="Comma 3 3 2 2 7 6 3" xfId="33067" xr:uid="{C6659B1C-F43B-4FBA-9B35-46EDECC4A705}"/>
    <cellStyle name="Comma 3 3 2 2 7 7" xfId="11163" xr:uid="{9416F7AE-5BBD-4B04-BC29-BE33952360B7}"/>
    <cellStyle name="Comma 3 3 2 2 7 7 2" xfId="47671" xr:uid="{CFA42C0E-1855-45B6-98D9-0941AF31476F}"/>
    <cellStyle name="Comma 3 3 2 2 7 7 3" xfId="29417" xr:uid="{C1434E0E-0D95-44B8-B5DF-AAD47CEEE540}"/>
    <cellStyle name="Comma 3 3 2 2 7 8" xfId="7513" xr:uid="{ACC62496-6D48-48F9-9577-06B718D6B784}"/>
    <cellStyle name="Comma 3 3 2 2 7 8 2" xfId="44021" xr:uid="{3DDE45E9-8990-483D-A395-3686C91683D6}"/>
    <cellStyle name="Comma 3 3 2 2 7 8 3" xfId="25767" xr:uid="{B59DE186-A67B-4A03-84F2-A12C27556D55}"/>
    <cellStyle name="Comma 3 3 2 2 7 9" xfId="3863" xr:uid="{F7E9F6E7-C08C-4BEF-A390-DA9815FCB479}"/>
    <cellStyle name="Comma 3 3 2 2 7 9 2" xfId="40371" xr:uid="{B86C2F98-1E64-4903-B21E-B64E4798D852}"/>
    <cellStyle name="Comma 3 3 2 2 7 9 3" xfId="22117" xr:uid="{0779E92D-5018-45A7-99AE-EA820492BE70}"/>
    <cellStyle name="Comma 3 3 2 2 8" xfId="3029" xr:uid="{10C159E7-ED9C-4866-B7C1-6CC719A7F345}"/>
    <cellStyle name="Comma 3 3 2 2 8 2" xfId="17629" xr:uid="{8B5D4B24-1AE3-4DC6-8ED0-7AD9356CEA01}"/>
    <cellStyle name="Comma 3 3 2 2 8 2 2" xfId="54137" xr:uid="{D9DB3743-FBD4-497C-A200-CEABE36C05D1}"/>
    <cellStyle name="Comma 3 3 2 2 8 2 3" xfId="35883" xr:uid="{594800A6-89A3-41A0-BD90-02931366FAF3}"/>
    <cellStyle name="Comma 3 3 2 2 8 3" xfId="13979" xr:uid="{EACEB526-AD74-470A-94F3-89789F8D6D0D}"/>
    <cellStyle name="Comma 3 3 2 2 8 3 2" xfId="50487" xr:uid="{75CDE340-DCFF-4C23-8798-2B0406453F9F}"/>
    <cellStyle name="Comma 3 3 2 2 8 3 3" xfId="32233" xr:uid="{BDCC0A5D-8CD9-4373-B380-9C48388129B2}"/>
    <cellStyle name="Comma 3 3 2 2 8 4" xfId="10329" xr:uid="{C3982DFB-6E52-4236-B3F4-21A6E8C264D3}"/>
    <cellStyle name="Comma 3 3 2 2 8 4 2" xfId="46837" xr:uid="{55BA9FEA-1E14-49A1-B499-6AB2EAF20249}"/>
    <cellStyle name="Comma 3 3 2 2 8 4 3" xfId="28583" xr:uid="{05C8E160-0291-4E57-B435-45C2D5ACAE59}"/>
    <cellStyle name="Comma 3 3 2 2 8 5" xfId="6679" xr:uid="{BEFE5A30-C441-4CAC-BB65-A4C01F19A881}"/>
    <cellStyle name="Comma 3 3 2 2 8 5 2" xfId="43187" xr:uid="{8E2EA6A5-87DF-4F9D-9E37-5B60B5A65F08}"/>
    <cellStyle name="Comma 3 3 2 2 8 5 3" xfId="24933" xr:uid="{4D3D793E-911F-4DC9-9B16-976A9CCE3EB3}"/>
    <cellStyle name="Comma 3 3 2 2 8 6" xfId="39537" xr:uid="{E76C5229-94FD-4CFB-8792-1767E86A5223}"/>
    <cellStyle name="Comma 3 3 2 2 8 7" xfId="21283" xr:uid="{1D540962-8A41-4C6D-85E5-E09C6B58AEBE}"/>
    <cellStyle name="Comma 3 3 2 2 9" xfId="2299" xr:uid="{9FC365F2-44B2-430F-AB4D-BA14542C999B}"/>
    <cellStyle name="Comma 3 3 2 2 9 2" xfId="16899" xr:uid="{9136D8A3-99D3-4BF2-9214-D4FC3D2030BB}"/>
    <cellStyle name="Comma 3 3 2 2 9 2 2" xfId="53407" xr:uid="{88C2D379-23A4-4AE8-894B-1C2DFC943520}"/>
    <cellStyle name="Comma 3 3 2 2 9 2 3" xfId="35153" xr:uid="{049B1A07-F68F-4924-A7C1-1B409DF9EF04}"/>
    <cellStyle name="Comma 3 3 2 2 9 3" xfId="13249" xr:uid="{AA483D35-A36E-4A7E-BB37-C10A4C1D4CF8}"/>
    <cellStyle name="Comma 3 3 2 2 9 3 2" xfId="49757" xr:uid="{2B56E288-E5EA-4BBA-9615-F233C02AD2DA}"/>
    <cellStyle name="Comma 3 3 2 2 9 3 3" xfId="31503" xr:uid="{235B4C48-4F74-46E0-A135-1157A6C23B23}"/>
    <cellStyle name="Comma 3 3 2 2 9 4" xfId="9599" xr:uid="{EDFE30F1-396C-4896-9C3F-83BF58BFDBE9}"/>
    <cellStyle name="Comma 3 3 2 2 9 4 2" xfId="46107" xr:uid="{86D4DD2E-6B59-4576-B694-DCCE9DCEF3A6}"/>
    <cellStyle name="Comma 3 3 2 2 9 4 3" xfId="27853" xr:uid="{98B63CD6-350B-4B63-9436-03733063F727}"/>
    <cellStyle name="Comma 3 3 2 2 9 5" xfId="5949" xr:uid="{B6E1CFB0-8F4C-496D-9E2C-74BFBA934245}"/>
    <cellStyle name="Comma 3 3 2 2 9 5 2" xfId="42457" xr:uid="{8DB7EB73-350B-426E-8338-1E4691E27AFC}"/>
    <cellStyle name="Comma 3 3 2 2 9 5 3" xfId="24203" xr:uid="{A85B4C78-7426-4370-9964-EA743D032E4D}"/>
    <cellStyle name="Comma 3 3 2 2 9 6" xfId="38807" xr:uid="{606BB014-33D7-478F-9364-0B76BC674A6B}"/>
    <cellStyle name="Comma 3 3 2 2 9 7" xfId="20553" xr:uid="{FE01E7F0-07A3-4FF6-9DBF-DD132348E54C}"/>
    <cellStyle name="Comma 3 3 2 3" xfId="74" xr:uid="{C6A1C185-946E-4368-B627-0EC1D30561D1}"/>
    <cellStyle name="Comma 3 3 2 3 10" xfId="1537" xr:uid="{C5566073-3DAC-4B68-8958-552C8DEE5735}"/>
    <cellStyle name="Comma 3 3 2 3 10 2" xfId="16137" xr:uid="{057A3F64-B5B4-49B8-8369-55B3D2F171CD}"/>
    <cellStyle name="Comma 3 3 2 3 10 2 2" xfId="52645" xr:uid="{C9F82905-3F65-482F-9712-82DDE5CEB81A}"/>
    <cellStyle name="Comma 3 3 2 3 10 2 3" xfId="34391" xr:uid="{1A5A9F6E-7AAD-4CD6-B3CE-641FFA0ABFEE}"/>
    <cellStyle name="Comma 3 3 2 3 10 3" xfId="12487" xr:uid="{4B523922-70F0-410C-90D3-8692C8D6F60F}"/>
    <cellStyle name="Comma 3 3 2 3 10 3 2" xfId="48995" xr:uid="{C173C2F8-690F-406A-A6AD-5D685E3C638B}"/>
    <cellStyle name="Comma 3 3 2 3 10 3 3" xfId="30741" xr:uid="{ACE7476B-C7E5-42B5-B01E-A8A02AE9F2C3}"/>
    <cellStyle name="Comma 3 3 2 3 10 4" xfId="8837" xr:uid="{C2C85181-F225-4F05-9FFE-4A18D67D88D3}"/>
    <cellStyle name="Comma 3 3 2 3 10 4 2" xfId="45345" xr:uid="{EA90F731-FFE5-45A8-9021-62D6740D61F7}"/>
    <cellStyle name="Comma 3 3 2 3 10 4 3" xfId="27091" xr:uid="{A385B68C-BDF6-4E18-8515-2FD9C1A1CA41}"/>
    <cellStyle name="Comma 3 3 2 3 10 5" xfId="5187" xr:uid="{356370F8-58E6-455D-9B37-BADADEFC5F1C}"/>
    <cellStyle name="Comma 3 3 2 3 10 5 2" xfId="41695" xr:uid="{9F1BF124-261E-4EC9-B32A-DDD9E3F9C6D6}"/>
    <cellStyle name="Comma 3 3 2 3 10 5 3" xfId="23441" xr:uid="{0665DB11-5BC2-4B04-9FD2-7260C8BF9B9B}"/>
    <cellStyle name="Comma 3 3 2 3 10 6" xfId="38045" xr:uid="{DC9945A9-D0B6-48A3-9204-03165AFF4CF7}"/>
    <cellStyle name="Comma 3 3 2 3 10 7" xfId="19791" xr:uid="{3CBAAEED-0F4B-49C8-B989-3D8955D9FFB5}"/>
    <cellStyle name="Comma 3 3 2 3 11" xfId="807" xr:uid="{71A1D774-6565-4177-A4EC-78BC1532FCF2}"/>
    <cellStyle name="Comma 3 3 2 3 11 2" xfId="15407" xr:uid="{F29F34F1-456E-4F91-9D8D-D0E7E22FF521}"/>
    <cellStyle name="Comma 3 3 2 3 11 2 2" xfId="51915" xr:uid="{D0206441-2D96-4399-8D55-23606AA1D4EC}"/>
    <cellStyle name="Comma 3 3 2 3 11 2 3" xfId="33661" xr:uid="{7DF57590-AF9A-448E-B0BA-B9925EE2B677}"/>
    <cellStyle name="Comma 3 3 2 3 11 3" xfId="11757" xr:uid="{D2E8CFE4-180A-48FC-BE45-6965B5083CB2}"/>
    <cellStyle name="Comma 3 3 2 3 11 3 2" xfId="48265" xr:uid="{C4FAFB3F-AEAA-4FAD-B952-37631BF41459}"/>
    <cellStyle name="Comma 3 3 2 3 11 3 3" xfId="30011" xr:uid="{1E6D1816-9A20-4BB5-AAA4-F3998CFB53AD}"/>
    <cellStyle name="Comma 3 3 2 3 11 4" xfId="8107" xr:uid="{9A55594D-CF2C-4E91-9387-EC4512E37C8C}"/>
    <cellStyle name="Comma 3 3 2 3 11 4 2" xfId="44615" xr:uid="{421299E6-EAAB-4A2D-BB68-EDF9C84E05B8}"/>
    <cellStyle name="Comma 3 3 2 3 11 4 3" xfId="26361" xr:uid="{6AE7DF6A-FAA5-4ECE-A679-7E3134E6D3BC}"/>
    <cellStyle name="Comma 3 3 2 3 11 5" xfId="4457" xr:uid="{CDADD343-310B-4009-9769-1BA8FD5F8621}"/>
    <cellStyle name="Comma 3 3 2 3 11 5 2" xfId="40965" xr:uid="{32697543-0AF3-4A31-B5E7-AE322A069723}"/>
    <cellStyle name="Comma 3 3 2 3 11 5 3" xfId="22711" xr:uid="{E5425DF9-4891-4442-9462-D3334FDE0157}"/>
    <cellStyle name="Comma 3 3 2 3 11 6" xfId="37315" xr:uid="{8EA7C485-FC87-4D96-879E-F0E7E988775D}"/>
    <cellStyle name="Comma 3 3 2 3 11 7" xfId="19061" xr:uid="{D2290375-B330-4974-90DA-7AFB81213D74}"/>
    <cellStyle name="Comma 3 3 2 3 12" xfId="14677" xr:uid="{7CEC5D50-3BE6-43D7-BA2C-1B7458E94C1A}"/>
    <cellStyle name="Comma 3 3 2 3 12 2" xfId="51185" xr:uid="{EC75749E-6584-44B6-8AEC-8688D67371D8}"/>
    <cellStyle name="Comma 3 3 2 3 12 3" xfId="32931" xr:uid="{A51C68FF-AFB7-4831-A44B-4DE772337BF0}"/>
    <cellStyle name="Comma 3 3 2 3 13" xfId="11027" xr:uid="{0ACE6C79-4DA9-4669-8593-39677DB58403}"/>
    <cellStyle name="Comma 3 3 2 3 13 2" xfId="47535" xr:uid="{DF38F608-DBC1-4E1D-828B-D854B9DA3A37}"/>
    <cellStyle name="Comma 3 3 2 3 13 3" xfId="29281" xr:uid="{C29D8A6A-87BF-4AD2-A4C6-6D91399C787E}"/>
    <cellStyle name="Comma 3 3 2 3 14" xfId="7377" xr:uid="{F7251FB2-4E61-4678-934B-B1A2523631E3}"/>
    <cellStyle name="Comma 3 3 2 3 14 2" xfId="43885" xr:uid="{C8631FD2-BE97-4C57-8452-2BE70BED2557}"/>
    <cellStyle name="Comma 3 3 2 3 14 3" xfId="25631" xr:uid="{65893ABB-4463-4973-ACA1-8AB9116532FF}"/>
    <cellStyle name="Comma 3 3 2 3 15" xfId="3727" xr:uid="{2006501E-5457-4B18-AC54-2374C32DC531}"/>
    <cellStyle name="Comma 3 3 2 3 15 2" xfId="40235" xr:uid="{7DAE0232-19A5-4DA8-BC0F-8DBAE95AE55A}"/>
    <cellStyle name="Comma 3 3 2 3 15 3" xfId="21981" xr:uid="{E089AC18-C841-4A48-881C-994147753EF2}"/>
    <cellStyle name="Comma 3 3 2 3 16" xfId="36585" xr:uid="{E494EECF-8346-4E1C-85D2-2A80AC6C809E}"/>
    <cellStyle name="Comma 3 3 2 3 17" xfId="18331" xr:uid="{489B2F5B-621B-43D8-9793-A83FB2B3C963}"/>
    <cellStyle name="Comma 3 3 2 3 2" xfId="701" xr:uid="{672563B6-0E4B-4628-94FD-61FAE2FD20C2}"/>
    <cellStyle name="Comma 3 3 2 3 2 10" xfId="37209" xr:uid="{83149D6D-A26B-4C30-972A-C162AC349F26}"/>
    <cellStyle name="Comma 3 3 2 3 2 11" xfId="18955" xr:uid="{6A375C9E-8264-471F-934E-EE3B1FB939B1}"/>
    <cellStyle name="Comma 3 3 2 3 2 2" xfId="3621" xr:uid="{F21CD468-9EB4-4BBE-8E26-DE301261A969}"/>
    <cellStyle name="Comma 3 3 2 3 2 2 2" xfId="18221" xr:uid="{20AAA6C1-575A-4251-A952-35B87E758EE5}"/>
    <cellStyle name="Comma 3 3 2 3 2 2 2 2" xfId="54729" xr:uid="{E4AB5925-6AE6-4F70-B537-432E1ABFF96E}"/>
    <cellStyle name="Comma 3 3 2 3 2 2 2 3" xfId="36475" xr:uid="{AFDDDA24-ADEF-4809-B959-FB7A7BB3BEC3}"/>
    <cellStyle name="Comma 3 3 2 3 2 2 3" xfId="14571" xr:uid="{300964A8-E2B3-4AA0-9897-67F752220A58}"/>
    <cellStyle name="Comma 3 3 2 3 2 2 3 2" xfId="51079" xr:uid="{2B573759-BA19-49E5-90B3-47C031D8C4E7}"/>
    <cellStyle name="Comma 3 3 2 3 2 2 3 3" xfId="32825" xr:uid="{6D3EF551-3EE3-41B7-93D5-DB1AFC102071}"/>
    <cellStyle name="Comma 3 3 2 3 2 2 4" xfId="10921" xr:uid="{C299E061-3BDD-4130-B7D8-1C919B89EFE3}"/>
    <cellStyle name="Comma 3 3 2 3 2 2 4 2" xfId="47429" xr:uid="{AFDCBC71-B1C6-491B-90D8-56618FC1480A}"/>
    <cellStyle name="Comma 3 3 2 3 2 2 4 3" xfId="29175" xr:uid="{BCFC9FB3-DF13-4A9B-898B-4A2631461D86}"/>
    <cellStyle name="Comma 3 3 2 3 2 2 5" xfId="7271" xr:uid="{63D8C155-8CA2-47D2-9589-443B7E4CFABD}"/>
    <cellStyle name="Comma 3 3 2 3 2 2 5 2" xfId="43779" xr:uid="{3B03BF2B-56EC-4CEE-A6C8-0DB24CF4469D}"/>
    <cellStyle name="Comma 3 3 2 3 2 2 5 3" xfId="25525" xr:uid="{E8650F96-17A1-47EB-AE3C-57E2E3DDE7A5}"/>
    <cellStyle name="Comma 3 3 2 3 2 2 6" xfId="40129" xr:uid="{8CF59C0F-B465-420E-BB33-E45698B1BF71}"/>
    <cellStyle name="Comma 3 3 2 3 2 2 7" xfId="21875" xr:uid="{15D02D91-D4FE-4D3B-83FD-C918A505CA47}"/>
    <cellStyle name="Comma 3 3 2 3 2 3" xfId="2891" xr:uid="{57133D5C-11DA-4064-96A7-CE7101B0F91C}"/>
    <cellStyle name="Comma 3 3 2 3 2 3 2" xfId="17491" xr:uid="{D229F071-7D43-4158-A582-D44E3AA156A3}"/>
    <cellStyle name="Comma 3 3 2 3 2 3 2 2" xfId="53999" xr:uid="{73B23FF7-F7F3-4CB8-9029-277067F1884A}"/>
    <cellStyle name="Comma 3 3 2 3 2 3 2 3" xfId="35745" xr:uid="{A16CFD4E-B04F-4E21-8330-3B7BB8996497}"/>
    <cellStyle name="Comma 3 3 2 3 2 3 3" xfId="13841" xr:uid="{46387AF8-A81B-44CD-994E-44727C7AE455}"/>
    <cellStyle name="Comma 3 3 2 3 2 3 3 2" xfId="50349" xr:uid="{B8E6D063-D2D6-480D-8B66-8BE44021BB78}"/>
    <cellStyle name="Comma 3 3 2 3 2 3 3 3" xfId="32095" xr:uid="{4103452C-D0E7-47F6-B405-E61F853946C5}"/>
    <cellStyle name="Comma 3 3 2 3 2 3 4" xfId="10191" xr:uid="{A71D38D9-0DDB-435C-8248-93DB23378429}"/>
    <cellStyle name="Comma 3 3 2 3 2 3 4 2" xfId="46699" xr:uid="{254CD656-E15C-4546-A128-7D7EDF16BC10}"/>
    <cellStyle name="Comma 3 3 2 3 2 3 4 3" xfId="28445" xr:uid="{328C4624-09D7-468C-9640-BF2202812B0F}"/>
    <cellStyle name="Comma 3 3 2 3 2 3 5" xfId="6541" xr:uid="{6797F6AE-D864-4B1B-8A40-85D498B771E6}"/>
    <cellStyle name="Comma 3 3 2 3 2 3 5 2" xfId="43049" xr:uid="{E8A01A4E-5053-4F3C-A128-D3E334568EB7}"/>
    <cellStyle name="Comma 3 3 2 3 2 3 5 3" xfId="24795" xr:uid="{C5FBC065-28CD-40D9-916B-F5286EA98CD9}"/>
    <cellStyle name="Comma 3 3 2 3 2 3 6" xfId="39399" xr:uid="{985C9BF1-7107-4686-BCF4-ED99DB4580E3}"/>
    <cellStyle name="Comma 3 3 2 3 2 3 7" xfId="21145" xr:uid="{F6941CB5-8901-42E3-989D-123B91A467F5}"/>
    <cellStyle name="Comma 3 3 2 3 2 4" xfId="2161" xr:uid="{1096ABC2-3316-4D8A-BDA2-69F4B72D49B3}"/>
    <cellStyle name="Comma 3 3 2 3 2 4 2" xfId="16761" xr:uid="{AEE13A83-BB27-4FD0-9638-557C28AEF3B7}"/>
    <cellStyle name="Comma 3 3 2 3 2 4 2 2" xfId="53269" xr:uid="{985F4BAB-FC37-4338-A2A1-141831DA2DFC}"/>
    <cellStyle name="Comma 3 3 2 3 2 4 2 3" xfId="35015" xr:uid="{3D0E5885-FD99-4329-8D61-54695CD2E353}"/>
    <cellStyle name="Comma 3 3 2 3 2 4 3" xfId="13111" xr:uid="{8F5E09CF-D023-4002-AF6B-4B21E9BD878B}"/>
    <cellStyle name="Comma 3 3 2 3 2 4 3 2" xfId="49619" xr:uid="{8357C302-6148-4FA7-96B8-43C1CA53F825}"/>
    <cellStyle name="Comma 3 3 2 3 2 4 3 3" xfId="31365" xr:uid="{0235D4B1-E6B3-474E-84D4-BC3ABCCCBB2B}"/>
    <cellStyle name="Comma 3 3 2 3 2 4 4" xfId="9461" xr:uid="{B4323E00-D83A-4BE1-A2A7-C67B547FE66D}"/>
    <cellStyle name="Comma 3 3 2 3 2 4 4 2" xfId="45969" xr:uid="{6C27EB05-2B66-4C24-B3D3-E8AB2FD1B029}"/>
    <cellStyle name="Comma 3 3 2 3 2 4 4 3" xfId="27715" xr:uid="{D8B99989-0CFF-493D-9877-F8E94012E68B}"/>
    <cellStyle name="Comma 3 3 2 3 2 4 5" xfId="5811" xr:uid="{34539C73-1D9A-40D4-8095-D550253C4BD1}"/>
    <cellStyle name="Comma 3 3 2 3 2 4 5 2" xfId="42319" xr:uid="{7FC98F3F-CC2D-4B23-BB5A-B56FF60EE394}"/>
    <cellStyle name="Comma 3 3 2 3 2 4 5 3" xfId="24065" xr:uid="{CC2AF797-6A76-40D7-8213-DB6BA425D497}"/>
    <cellStyle name="Comma 3 3 2 3 2 4 6" xfId="38669" xr:uid="{26D38FFF-DAB9-40D4-A352-EF95A4E57D17}"/>
    <cellStyle name="Comma 3 3 2 3 2 4 7" xfId="20415" xr:uid="{2F3BFB70-5A37-4FEC-BEE5-AD1F97BF57ED}"/>
    <cellStyle name="Comma 3 3 2 3 2 5" xfId="1431" xr:uid="{E8A6955C-4A13-4ABF-8668-0CAAD291FBD7}"/>
    <cellStyle name="Comma 3 3 2 3 2 5 2" xfId="16031" xr:uid="{CBC32365-9602-4FD7-B04A-BC65E4130C3A}"/>
    <cellStyle name="Comma 3 3 2 3 2 5 2 2" xfId="52539" xr:uid="{9E326944-48F8-4497-8166-93A5A264F3CA}"/>
    <cellStyle name="Comma 3 3 2 3 2 5 2 3" xfId="34285" xr:uid="{5A809826-A1C1-4BAC-814A-A0CD298862B9}"/>
    <cellStyle name="Comma 3 3 2 3 2 5 3" xfId="12381" xr:uid="{6363E448-A145-4BEB-B488-53851F18008F}"/>
    <cellStyle name="Comma 3 3 2 3 2 5 3 2" xfId="48889" xr:uid="{F73A90C7-1FBA-4E96-81A8-BA23A03465F9}"/>
    <cellStyle name="Comma 3 3 2 3 2 5 3 3" xfId="30635" xr:uid="{60381FAD-C5C4-43B6-9CD0-3BF1F63589DD}"/>
    <cellStyle name="Comma 3 3 2 3 2 5 4" xfId="8731" xr:uid="{A9C867A6-4D01-4481-8C30-614BF06EB629}"/>
    <cellStyle name="Comma 3 3 2 3 2 5 4 2" xfId="45239" xr:uid="{549DA298-2BF3-485F-8E84-6CD337D7B016}"/>
    <cellStyle name="Comma 3 3 2 3 2 5 4 3" xfId="26985" xr:uid="{3A284BFF-6503-42A0-BD6F-63271E3A6498}"/>
    <cellStyle name="Comma 3 3 2 3 2 5 5" xfId="5081" xr:uid="{B1C6EC02-BBEE-42A6-90A4-8678CB7A8055}"/>
    <cellStyle name="Comma 3 3 2 3 2 5 5 2" xfId="41589" xr:uid="{6AE277EC-F848-4480-B25D-3BBA81AFC8F5}"/>
    <cellStyle name="Comma 3 3 2 3 2 5 5 3" xfId="23335" xr:uid="{DF9437E2-6E30-447F-B60D-F3FF37D54E89}"/>
    <cellStyle name="Comma 3 3 2 3 2 5 6" xfId="37939" xr:uid="{CC1187DC-0F2C-401B-89F4-9BBDE338FEB1}"/>
    <cellStyle name="Comma 3 3 2 3 2 5 7" xfId="19685" xr:uid="{5D20FC94-DBBA-4261-86DA-97C11A9D2956}"/>
    <cellStyle name="Comma 3 3 2 3 2 6" xfId="15301" xr:uid="{72AE803C-4697-4D6A-B882-990C25CA6AF6}"/>
    <cellStyle name="Comma 3 3 2 3 2 6 2" xfId="51809" xr:uid="{748029CA-0E06-4342-A793-689FCBB688BB}"/>
    <cellStyle name="Comma 3 3 2 3 2 6 3" xfId="33555" xr:uid="{951A1542-EE5E-4F69-A464-81705EF3102C}"/>
    <cellStyle name="Comma 3 3 2 3 2 7" xfId="11651" xr:uid="{21B9FAB0-E40D-4B42-88FF-8566B5EDCF4C}"/>
    <cellStyle name="Comma 3 3 2 3 2 7 2" xfId="48159" xr:uid="{18118962-81C0-42DD-BE0E-A05F13DDEFAA}"/>
    <cellStyle name="Comma 3 3 2 3 2 7 3" xfId="29905" xr:uid="{5CC033D9-C157-4D68-97B4-9F6FE59CCC08}"/>
    <cellStyle name="Comma 3 3 2 3 2 8" xfId="8001" xr:uid="{2DE77D2A-0D7E-4439-A775-FA93C5CBF1AB}"/>
    <cellStyle name="Comma 3 3 2 3 2 8 2" xfId="44509" xr:uid="{838BB4D5-607B-4A1F-912E-C7B026B0D023}"/>
    <cellStyle name="Comma 3 3 2 3 2 8 3" xfId="26255" xr:uid="{7FDB0765-BBEA-4AAD-A0D5-2195BDB4885A}"/>
    <cellStyle name="Comma 3 3 2 3 2 9" xfId="4351" xr:uid="{35430D58-952D-4ABC-BBC3-728DE26F661E}"/>
    <cellStyle name="Comma 3 3 2 3 2 9 2" xfId="40859" xr:uid="{C123B926-FD1F-4207-97B9-79B59C4B6D95}"/>
    <cellStyle name="Comma 3 3 2 3 2 9 3" xfId="22605" xr:uid="{3D159D13-BA50-4967-B4B6-CF8632B442E9}"/>
    <cellStyle name="Comma 3 3 2 3 3" xfId="597" xr:uid="{AF95A77F-6C89-4A1B-8EBC-0E7F54841C99}"/>
    <cellStyle name="Comma 3 3 2 3 3 10" xfId="37105" xr:uid="{806FF6A8-4120-48D7-9CFA-64CA54DDB199}"/>
    <cellStyle name="Comma 3 3 2 3 3 11" xfId="18851" xr:uid="{3CBCF078-6170-44C5-B69B-885A9C40B13B}"/>
    <cellStyle name="Comma 3 3 2 3 3 2" xfId="3517" xr:uid="{73A9A052-E70F-4168-9DFB-FB9D698CB24B}"/>
    <cellStyle name="Comma 3 3 2 3 3 2 2" xfId="18117" xr:uid="{8955CA76-2062-44A6-981B-EAAC44CAD5EC}"/>
    <cellStyle name="Comma 3 3 2 3 3 2 2 2" xfId="54625" xr:uid="{95E70C96-5966-48BD-91AC-1DEE7BDBE5D2}"/>
    <cellStyle name="Comma 3 3 2 3 3 2 2 3" xfId="36371" xr:uid="{7F4E8282-DD16-4698-97B7-CA2A525343B9}"/>
    <cellStyle name="Comma 3 3 2 3 3 2 3" xfId="14467" xr:uid="{0FD5386D-ADD2-4195-9FEE-791FCD06D61F}"/>
    <cellStyle name="Comma 3 3 2 3 3 2 3 2" xfId="50975" xr:uid="{8BBC6578-C008-41E7-8021-37760966431A}"/>
    <cellStyle name="Comma 3 3 2 3 3 2 3 3" xfId="32721" xr:uid="{C5BCE1CB-3B0A-4D3B-9D49-6D12D1C83C50}"/>
    <cellStyle name="Comma 3 3 2 3 3 2 4" xfId="10817" xr:uid="{FE240EEC-668F-4B4C-878D-521050A7BE55}"/>
    <cellStyle name="Comma 3 3 2 3 3 2 4 2" xfId="47325" xr:uid="{311E2CB7-BF97-4DCA-A5E5-05A9E7F6C145}"/>
    <cellStyle name="Comma 3 3 2 3 3 2 4 3" xfId="29071" xr:uid="{3E8D6939-927F-4034-82C2-39D7DA7AD454}"/>
    <cellStyle name="Comma 3 3 2 3 3 2 5" xfId="7167" xr:uid="{89CB786B-7E2A-4E57-81B8-D5567C2A31E6}"/>
    <cellStyle name="Comma 3 3 2 3 3 2 5 2" xfId="43675" xr:uid="{C08F3C57-7BAD-4B0E-93E1-C26AA56EE4D6}"/>
    <cellStyle name="Comma 3 3 2 3 3 2 5 3" xfId="25421" xr:uid="{0EA944D0-BF02-49D1-B1E5-8CA2C566714E}"/>
    <cellStyle name="Comma 3 3 2 3 3 2 6" xfId="40025" xr:uid="{D454AD17-C501-4E7B-BACF-9342B96EC72E}"/>
    <cellStyle name="Comma 3 3 2 3 3 2 7" xfId="21771" xr:uid="{E7B7D5E7-1B81-4266-8766-9E7323BAF1B8}"/>
    <cellStyle name="Comma 3 3 2 3 3 3" xfId="2787" xr:uid="{9B334C9E-3CCF-4A4A-80AA-BC95DC08C19B}"/>
    <cellStyle name="Comma 3 3 2 3 3 3 2" xfId="17387" xr:uid="{6ABA04E7-4B13-4545-9E35-335D1C80A608}"/>
    <cellStyle name="Comma 3 3 2 3 3 3 2 2" xfId="53895" xr:uid="{B048CFE5-FE4C-4D26-A253-0C6578468A73}"/>
    <cellStyle name="Comma 3 3 2 3 3 3 2 3" xfId="35641" xr:uid="{F3516B50-8A8C-4E25-9560-CA0B90804A13}"/>
    <cellStyle name="Comma 3 3 2 3 3 3 3" xfId="13737" xr:uid="{BB65D4E7-EA81-42C0-9D18-E0AAC77D84D3}"/>
    <cellStyle name="Comma 3 3 2 3 3 3 3 2" xfId="50245" xr:uid="{AB9BA269-3947-433D-9691-28A107A42414}"/>
    <cellStyle name="Comma 3 3 2 3 3 3 3 3" xfId="31991" xr:uid="{396C26BF-9BE2-487D-AB29-C2E59992C9BD}"/>
    <cellStyle name="Comma 3 3 2 3 3 3 4" xfId="10087" xr:uid="{99849765-48C1-4C57-8DE6-E39212481325}"/>
    <cellStyle name="Comma 3 3 2 3 3 3 4 2" xfId="46595" xr:uid="{C240EF10-59BE-4460-9308-EF6DCD80080E}"/>
    <cellStyle name="Comma 3 3 2 3 3 3 4 3" xfId="28341" xr:uid="{186024A1-1671-440C-9846-CF1C2F43CD26}"/>
    <cellStyle name="Comma 3 3 2 3 3 3 5" xfId="6437" xr:uid="{FB71A619-1341-42D6-9671-3BA71D0FAAA4}"/>
    <cellStyle name="Comma 3 3 2 3 3 3 5 2" xfId="42945" xr:uid="{CD80EE81-AAE7-4FD5-88E4-66774D6CCA55}"/>
    <cellStyle name="Comma 3 3 2 3 3 3 5 3" xfId="24691" xr:uid="{D7848AE8-3A94-4C6D-AA8C-AB6AA4A7D650}"/>
    <cellStyle name="Comma 3 3 2 3 3 3 6" xfId="39295" xr:uid="{52577792-F150-45A7-80D0-A3936466849F}"/>
    <cellStyle name="Comma 3 3 2 3 3 3 7" xfId="21041" xr:uid="{C40CE3F3-568C-438D-9F49-24B907E7F475}"/>
    <cellStyle name="Comma 3 3 2 3 3 4" xfId="2057" xr:uid="{B208242E-F230-47A2-8634-850BA14C8F68}"/>
    <cellStyle name="Comma 3 3 2 3 3 4 2" xfId="16657" xr:uid="{8DEF287E-D2B8-4760-A485-6467C10F3258}"/>
    <cellStyle name="Comma 3 3 2 3 3 4 2 2" xfId="53165" xr:uid="{84A2B1D4-731E-4B52-B465-CC5F72C100EA}"/>
    <cellStyle name="Comma 3 3 2 3 3 4 2 3" xfId="34911" xr:uid="{63167810-1D1A-4956-B48C-9924511BD8C2}"/>
    <cellStyle name="Comma 3 3 2 3 3 4 3" xfId="13007" xr:uid="{DC605D53-D21A-4247-9205-F96D297986A2}"/>
    <cellStyle name="Comma 3 3 2 3 3 4 3 2" xfId="49515" xr:uid="{2FD2F509-4B2B-4CB0-96C1-78D12AA9D6D3}"/>
    <cellStyle name="Comma 3 3 2 3 3 4 3 3" xfId="31261" xr:uid="{54714D46-F491-4F75-8860-63EBCA5FF41E}"/>
    <cellStyle name="Comma 3 3 2 3 3 4 4" xfId="9357" xr:uid="{AFEBAD7B-DEE2-4E90-9B5E-524D23040059}"/>
    <cellStyle name="Comma 3 3 2 3 3 4 4 2" xfId="45865" xr:uid="{CBCBD998-E6E8-4216-AD68-D517F1614B07}"/>
    <cellStyle name="Comma 3 3 2 3 3 4 4 3" xfId="27611" xr:uid="{EC1EC83B-F77A-4632-AE86-6ABF2CAC21FC}"/>
    <cellStyle name="Comma 3 3 2 3 3 4 5" xfId="5707" xr:uid="{27176743-4C6F-4746-9059-DBE8379A4C38}"/>
    <cellStyle name="Comma 3 3 2 3 3 4 5 2" xfId="42215" xr:uid="{9016BC1F-D52F-486A-8DD0-1AEE59ECE9BD}"/>
    <cellStyle name="Comma 3 3 2 3 3 4 5 3" xfId="23961" xr:uid="{93DAF97D-59BA-4E76-97BD-254660A49B02}"/>
    <cellStyle name="Comma 3 3 2 3 3 4 6" xfId="38565" xr:uid="{9BF45C98-1B46-4969-ADAD-A7AF1A819AAB}"/>
    <cellStyle name="Comma 3 3 2 3 3 4 7" xfId="20311" xr:uid="{60CADB96-7778-40F4-B45E-57365CA4A7BF}"/>
    <cellStyle name="Comma 3 3 2 3 3 5" xfId="1327" xr:uid="{53F54527-FB3F-4F5E-91D3-90F7AABDA2B7}"/>
    <cellStyle name="Comma 3 3 2 3 3 5 2" xfId="15927" xr:uid="{5D2D40F4-AAEE-4245-83BD-D358F3558BCC}"/>
    <cellStyle name="Comma 3 3 2 3 3 5 2 2" xfId="52435" xr:uid="{CFB5A0B1-D62D-4993-821B-E22DE2C3265F}"/>
    <cellStyle name="Comma 3 3 2 3 3 5 2 3" xfId="34181" xr:uid="{6700FC38-AF39-429A-82BE-7B2F31604265}"/>
    <cellStyle name="Comma 3 3 2 3 3 5 3" xfId="12277" xr:uid="{53B8CA1B-BD74-4F24-B5B9-FCD5D155AF46}"/>
    <cellStyle name="Comma 3 3 2 3 3 5 3 2" xfId="48785" xr:uid="{484EFCF0-00DF-4507-A800-F39F1157C697}"/>
    <cellStyle name="Comma 3 3 2 3 3 5 3 3" xfId="30531" xr:uid="{12FC960E-6A74-45C0-94AB-D81280EB4FDC}"/>
    <cellStyle name="Comma 3 3 2 3 3 5 4" xfId="8627" xr:uid="{1B1465AE-F7E3-4835-9588-CD5FA932C8FB}"/>
    <cellStyle name="Comma 3 3 2 3 3 5 4 2" xfId="45135" xr:uid="{0CAE766D-3592-4040-996F-1124ABDEC5C4}"/>
    <cellStyle name="Comma 3 3 2 3 3 5 4 3" xfId="26881" xr:uid="{F14391F4-7A42-45D0-9B0B-680563286FF6}"/>
    <cellStyle name="Comma 3 3 2 3 3 5 5" xfId="4977" xr:uid="{9FD9CC4B-BA53-41AC-91A6-AAC84762E0E6}"/>
    <cellStyle name="Comma 3 3 2 3 3 5 5 2" xfId="41485" xr:uid="{D1AC6916-AEF1-48F8-8D62-76D94E31D5F8}"/>
    <cellStyle name="Comma 3 3 2 3 3 5 5 3" xfId="23231" xr:uid="{831CFAF5-E2D0-46AF-BC89-32A4D539C4D3}"/>
    <cellStyle name="Comma 3 3 2 3 3 5 6" xfId="37835" xr:uid="{56BEA964-35EE-4CC2-9735-D48C1E413713}"/>
    <cellStyle name="Comma 3 3 2 3 3 5 7" xfId="19581" xr:uid="{DC0C8564-B4DF-4FF7-BE66-7274ED686C41}"/>
    <cellStyle name="Comma 3 3 2 3 3 6" xfId="15197" xr:uid="{60E73A44-D141-4A2B-B103-9C24998AD5FC}"/>
    <cellStyle name="Comma 3 3 2 3 3 6 2" xfId="51705" xr:uid="{25F35FD7-3510-4E01-8BBC-CA360F724201}"/>
    <cellStyle name="Comma 3 3 2 3 3 6 3" xfId="33451" xr:uid="{DEA7DDE0-1ACA-46CD-9796-22073A7A938D}"/>
    <cellStyle name="Comma 3 3 2 3 3 7" xfId="11547" xr:uid="{E1A401B0-7409-4121-B0B6-7B6688C9EB5F}"/>
    <cellStyle name="Comma 3 3 2 3 3 7 2" xfId="48055" xr:uid="{5BD87621-EE24-4BE9-967B-2232901B0C49}"/>
    <cellStyle name="Comma 3 3 2 3 3 7 3" xfId="29801" xr:uid="{DF4458D2-3E31-416A-A9F5-9FAE768DDA79}"/>
    <cellStyle name="Comma 3 3 2 3 3 8" xfId="7897" xr:uid="{DEF9D99A-13F0-446D-93FB-25714D6295B2}"/>
    <cellStyle name="Comma 3 3 2 3 3 8 2" xfId="44405" xr:uid="{48D84950-EEB0-4C0A-B31E-64536595F1DA}"/>
    <cellStyle name="Comma 3 3 2 3 3 8 3" xfId="26151" xr:uid="{59B696FE-16FA-487A-82C2-9DFDF5A89A9C}"/>
    <cellStyle name="Comma 3 3 2 3 3 9" xfId="4247" xr:uid="{38FDE22E-60EC-4673-97EC-A1F1752A375B}"/>
    <cellStyle name="Comma 3 3 2 3 3 9 2" xfId="40755" xr:uid="{93D5394E-13E0-4162-82DC-5E413551490C}"/>
    <cellStyle name="Comma 3 3 2 3 3 9 3" xfId="22501" xr:uid="{97DD191F-C720-486B-8836-B673041DA4B1}"/>
    <cellStyle name="Comma 3 3 2 3 4" xfId="493" xr:uid="{BF01E939-F646-45D5-B8DF-159781B1AA7A}"/>
    <cellStyle name="Comma 3 3 2 3 4 10" xfId="37001" xr:uid="{17737CF9-E022-45B0-AB77-C194387D167A}"/>
    <cellStyle name="Comma 3 3 2 3 4 11" xfId="18747" xr:uid="{04212EAD-700B-4265-9DAB-E1977C8DA207}"/>
    <cellStyle name="Comma 3 3 2 3 4 2" xfId="3413" xr:uid="{5FD3E767-1E0A-4E97-B580-CBA77E789997}"/>
    <cellStyle name="Comma 3 3 2 3 4 2 2" xfId="18013" xr:uid="{C763A5F2-FD97-491F-A710-53AF267CBCAF}"/>
    <cellStyle name="Comma 3 3 2 3 4 2 2 2" xfId="54521" xr:uid="{52AC4EA3-A582-492D-8E0D-7232624A5765}"/>
    <cellStyle name="Comma 3 3 2 3 4 2 2 3" xfId="36267" xr:uid="{7B58ACBA-E960-44A6-A35D-7B9DE61028B3}"/>
    <cellStyle name="Comma 3 3 2 3 4 2 3" xfId="14363" xr:uid="{C72B6642-26DD-4A79-8D59-A56D6C978D2F}"/>
    <cellStyle name="Comma 3 3 2 3 4 2 3 2" xfId="50871" xr:uid="{C31A912E-7167-4594-B2A2-90B8046B653F}"/>
    <cellStyle name="Comma 3 3 2 3 4 2 3 3" xfId="32617" xr:uid="{25283CED-8F90-4CDC-A618-120A7365341F}"/>
    <cellStyle name="Comma 3 3 2 3 4 2 4" xfId="10713" xr:uid="{093B6FA4-988C-46E0-ACE5-476E3D4A857E}"/>
    <cellStyle name="Comma 3 3 2 3 4 2 4 2" xfId="47221" xr:uid="{64FC811A-D561-4B7C-BFF3-DC1CA67FF58B}"/>
    <cellStyle name="Comma 3 3 2 3 4 2 4 3" xfId="28967" xr:uid="{1D0E27B1-9F9B-42A4-969F-430CF0689F0F}"/>
    <cellStyle name="Comma 3 3 2 3 4 2 5" xfId="7063" xr:uid="{99D00B7F-A745-489F-8369-0D8FAF75D10A}"/>
    <cellStyle name="Comma 3 3 2 3 4 2 5 2" xfId="43571" xr:uid="{7B9F628C-5B8B-4FDA-9C9B-9C4C2A960E08}"/>
    <cellStyle name="Comma 3 3 2 3 4 2 5 3" xfId="25317" xr:uid="{C2E19382-6F45-4448-9ED7-3A9F2DF494C6}"/>
    <cellStyle name="Comma 3 3 2 3 4 2 6" xfId="39921" xr:uid="{7EB1CDA3-3A6A-448D-AA30-95EBED45B1E7}"/>
    <cellStyle name="Comma 3 3 2 3 4 2 7" xfId="21667" xr:uid="{27D1F04C-5322-4059-B3A2-870EBE81B6FC}"/>
    <cellStyle name="Comma 3 3 2 3 4 3" xfId="2683" xr:uid="{542A9F4D-7017-4190-8867-7806AEBF578F}"/>
    <cellStyle name="Comma 3 3 2 3 4 3 2" xfId="17283" xr:uid="{DA30A3BE-8B92-43FB-B5AD-9F1A35C2AF97}"/>
    <cellStyle name="Comma 3 3 2 3 4 3 2 2" xfId="53791" xr:uid="{7DE6F22E-96E4-44CF-B0DD-77E65366D9C1}"/>
    <cellStyle name="Comma 3 3 2 3 4 3 2 3" xfId="35537" xr:uid="{E7EC6154-1D0C-4C3D-BE15-C4AF0B9759C5}"/>
    <cellStyle name="Comma 3 3 2 3 4 3 3" xfId="13633" xr:uid="{6E425A49-7B9A-49DB-8480-E0E26FC47B35}"/>
    <cellStyle name="Comma 3 3 2 3 4 3 3 2" xfId="50141" xr:uid="{4605F4E4-33E3-4E78-911F-03DAEB30169C}"/>
    <cellStyle name="Comma 3 3 2 3 4 3 3 3" xfId="31887" xr:uid="{BEA29D34-5750-46D4-B85A-011CFF436999}"/>
    <cellStyle name="Comma 3 3 2 3 4 3 4" xfId="9983" xr:uid="{D48AB0EA-333B-4499-95E3-B1F37CB2D0B2}"/>
    <cellStyle name="Comma 3 3 2 3 4 3 4 2" xfId="46491" xr:uid="{158CFD33-CBD4-4538-A67A-916446857809}"/>
    <cellStyle name="Comma 3 3 2 3 4 3 4 3" xfId="28237" xr:uid="{21AB3A78-1B29-4786-B017-A794BA790FF9}"/>
    <cellStyle name="Comma 3 3 2 3 4 3 5" xfId="6333" xr:uid="{80040CBF-139C-4FB4-8A1A-8F03AF6D5FE0}"/>
    <cellStyle name="Comma 3 3 2 3 4 3 5 2" xfId="42841" xr:uid="{3623EAAA-D8B0-47B5-B567-41C9425A89BA}"/>
    <cellStyle name="Comma 3 3 2 3 4 3 5 3" xfId="24587" xr:uid="{F588B246-A546-4F71-BF53-52AD5BA408DA}"/>
    <cellStyle name="Comma 3 3 2 3 4 3 6" xfId="39191" xr:uid="{96BBD8C3-6EFF-45BA-8192-C0B1C0EE765D}"/>
    <cellStyle name="Comma 3 3 2 3 4 3 7" xfId="20937" xr:uid="{BCCECEAB-743C-42F6-B153-A99F18011C39}"/>
    <cellStyle name="Comma 3 3 2 3 4 4" xfId="1953" xr:uid="{181CF190-8A67-461C-9424-AB12837E9C86}"/>
    <cellStyle name="Comma 3 3 2 3 4 4 2" xfId="16553" xr:uid="{85C0713E-A4D0-44CB-B276-5B8BC0D1AE57}"/>
    <cellStyle name="Comma 3 3 2 3 4 4 2 2" xfId="53061" xr:uid="{2A3AD12A-EE6D-4F63-AABB-0BA08DE471A5}"/>
    <cellStyle name="Comma 3 3 2 3 4 4 2 3" xfId="34807" xr:uid="{0BA87E1B-5417-460E-8903-3D7EDFAF9C2C}"/>
    <cellStyle name="Comma 3 3 2 3 4 4 3" xfId="12903" xr:uid="{4478026A-F57E-4C78-963F-ABA67111C7FF}"/>
    <cellStyle name="Comma 3 3 2 3 4 4 3 2" xfId="49411" xr:uid="{9FF7BBDA-1C4E-4052-9FCA-E5FF4AF75042}"/>
    <cellStyle name="Comma 3 3 2 3 4 4 3 3" xfId="31157" xr:uid="{D1C7B5D8-79EA-4C82-AF21-BBEC929E3DF7}"/>
    <cellStyle name="Comma 3 3 2 3 4 4 4" xfId="9253" xr:uid="{A517D196-151E-484D-8B22-A7B64438D08F}"/>
    <cellStyle name="Comma 3 3 2 3 4 4 4 2" xfId="45761" xr:uid="{09595715-2467-4637-9BD9-140BD53181DE}"/>
    <cellStyle name="Comma 3 3 2 3 4 4 4 3" xfId="27507" xr:uid="{F8DC8204-569F-4E0A-9467-C8FAD101A20D}"/>
    <cellStyle name="Comma 3 3 2 3 4 4 5" xfId="5603" xr:uid="{3B4CA708-E287-4F2E-B202-FC35724EF05C}"/>
    <cellStyle name="Comma 3 3 2 3 4 4 5 2" xfId="42111" xr:uid="{268E22F7-FF29-4327-99D9-6EBBAE5EA2BF}"/>
    <cellStyle name="Comma 3 3 2 3 4 4 5 3" xfId="23857" xr:uid="{251E573C-80BF-440E-ADF6-76892DC5C3F7}"/>
    <cellStyle name="Comma 3 3 2 3 4 4 6" xfId="38461" xr:uid="{10567868-E242-4531-A1EF-AC2CDECBB4ED}"/>
    <cellStyle name="Comma 3 3 2 3 4 4 7" xfId="20207" xr:uid="{373AA21A-2B89-4336-9882-22CA41A83289}"/>
    <cellStyle name="Comma 3 3 2 3 4 5" xfId="1223" xr:uid="{BD81BAB9-F115-4375-993B-CEE19A48C4ED}"/>
    <cellStyle name="Comma 3 3 2 3 4 5 2" xfId="15823" xr:uid="{B53739F7-9326-4739-BD7A-80EFAE55C1A8}"/>
    <cellStyle name="Comma 3 3 2 3 4 5 2 2" xfId="52331" xr:uid="{E3B9420F-DD70-4B9D-AE9B-F87188E12391}"/>
    <cellStyle name="Comma 3 3 2 3 4 5 2 3" xfId="34077" xr:uid="{86576FDC-C5A0-4143-90E6-B1FD7687BC52}"/>
    <cellStyle name="Comma 3 3 2 3 4 5 3" xfId="12173" xr:uid="{960B6ED5-3CFC-496B-8770-F216E4488758}"/>
    <cellStyle name="Comma 3 3 2 3 4 5 3 2" xfId="48681" xr:uid="{777D13E3-F738-4D49-851E-019634251739}"/>
    <cellStyle name="Comma 3 3 2 3 4 5 3 3" xfId="30427" xr:uid="{294D7E67-B3D4-4F53-85DD-A0977EB763DA}"/>
    <cellStyle name="Comma 3 3 2 3 4 5 4" xfId="8523" xr:uid="{D9503E3C-E4A3-482F-A911-769A4ECF7F90}"/>
    <cellStyle name="Comma 3 3 2 3 4 5 4 2" xfId="45031" xr:uid="{80F189D3-49B0-421D-80BA-151A3FEE05B9}"/>
    <cellStyle name="Comma 3 3 2 3 4 5 4 3" xfId="26777" xr:uid="{97BB885B-4557-4613-B169-807AA52677F3}"/>
    <cellStyle name="Comma 3 3 2 3 4 5 5" xfId="4873" xr:uid="{A8C5725E-7101-4A10-8D02-E5573D39CBDF}"/>
    <cellStyle name="Comma 3 3 2 3 4 5 5 2" xfId="41381" xr:uid="{8B9250AE-B1F8-43D6-A5C7-51B5A9A8BE74}"/>
    <cellStyle name="Comma 3 3 2 3 4 5 5 3" xfId="23127" xr:uid="{DD4402D4-A451-4993-8D50-388C0356910E}"/>
    <cellStyle name="Comma 3 3 2 3 4 5 6" xfId="37731" xr:uid="{3A63835A-570C-40FD-9306-D543A72437DB}"/>
    <cellStyle name="Comma 3 3 2 3 4 5 7" xfId="19477" xr:uid="{3730D6DF-4B4B-464C-AFA4-4254C02E690F}"/>
    <cellStyle name="Comma 3 3 2 3 4 6" xfId="15093" xr:uid="{526F55D5-C657-4318-93C2-9596D6D5E0E2}"/>
    <cellStyle name="Comma 3 3 2 3 4 6 2" xfId="51601" xr:uid="{5E1C450D-E07A-489B-A5E8-1F79A72A226A}"/>
    <cellStyle name="Comma 3 3 2 3 4 6 3" xfId="33347" xr:uid="{1F5526C9-2A1A-48D2-A575-284BA1043A10}"/>
    <cellStyle name="Comma 3 3 2 3 4 7" xfId="11443" xr:uid="{F9C32175-B642-4218-9A7F-260A08BA4EF4}"/>
    <cellStyle name="Comma 3 3 2 3 4 7 2" xfId="47951" xr:uid="{14E2A563-A994-40CF-B582-E3CAF4475AD3}"/>
    <cellStyle name="Comma 3 3 2 3 4 7 3" xfId="29697" xr:uid="{B1865831-45C6-45D2-A37A-05B7B1F3A3F5}"/>
    <cellStyle name="Comma 3 3 2 3 4 8" xfId="7793" xr:uid="{71539923-4935-46C2-853D-00EF94298E17}"/>
    <cellStyle name="Comma 3 3 2 3 4 8 2" xfId="44301" xr:uid="{554451CB-8580-4171-A2E9-58C8F45A18E5}"/>
    <cellStyle name="Comma 3 3 2 3 4 8 3" xfId="26047" xr:uid="{B760C68D-FC97-4EEE-A7A1-564062F07B6C}"/>
    <cellStyle name="Comma 3 3 2 3 4 9" xfId="4143" xr:uid="{24423761-C5E7-4E01-B8D8-411B71244932}"/>
    <cellStyle name="Comma 3 3 2 3 4 9 2" xfId="40651" xr:uid="{A7311019-E7C2-4596-ADC6-A0CB339B11BF}"/>
    <cellStyle name="Comma 3 3 2 3 4 9 3" xfId="22397" xr:uid="{C9476DE0-F100-407A-8DBC-A4697050EDF0}"/>
    <cellStyle name="Comma 3 3 2 3 5" xfId="389" xr:uid="{A9A64415-9374-4EF0-85C3-A465F3657C28}"/>
    <cellStyle name="Comma 3 3 2 3 5 10" xfId="36897" xr:uid="{DCAF24CF-40BC-44FD-B95F-E5C70734DB98}"/>
    <cellStyle name="Comma 3 3 2 3 5 11" xfId="18643" xr:uid="{4A246F4D-C2EB-49D0-8F5D-DDD845F40400}"/>
    <cellStyle name="Comma 3 3 2 3 5 2" xfId="3309" xr:uid="{51A258CE-1908-4AD2-A0C2-7D1016FBF639}"/>
    <cellStyle name="Comma 3 3 2 3 5 2 2" xfId="17909" xr:uid="{C8176E77-F868-4E6C-BA85-7C9116AD171D}"/>
    <cellStyle name="Comma 3 3 2 3 5 2 2 2" xfId="54417" xr:uid="{1BDE80FC-1FAE-44F1-80CA-737F426F418C}"/>
    <cellStyle name="Comma 3 3 2 3 5 2 2 3" xfId="36163" xr:uid="{BE122D3F-5A3D-46D8-A89D-5E037CE75596}"/>
    <cellStyle name="Comma 3 3 2 3 5 2 3" xfId="14259" xr:uid="{76B055BB-A4CF-4C44-A1D1-B4D47A2405C3}"/>
    <cellStyle name="Comma 3 3 2 3 5 2 3 2" xfId="50767" xr:uid="{0CE69BBA-C1A9-4529-B401-5A99DBA0686E}"/>
    <cellStyle name="Comma 3 3 2 3 5 2 3 3" xfId="32513" xr:uid="{8159BB52-FA1C-48F5-957F-B8315AD26542}"/>
    <cellStyle name="Comma 3 3 2 3 5 2 4" xfId="10609" xr:uid="{994F9EB7-A373-4894-9398-7D7CF5EAC5BF}"/>
    <cellStyle name="Comma 3 3 2 3 5 2 4 2" xfId="47117" xr:uid="{FD3FA325-B2EE-4E20-9FFE-798CCBBC8014}"/>
    <cellStyle name="Comma 3 3 2 3 5 2 4 3" xfId="28863" xr:uid="{BA5988AE-BDBE-436B-A99D-53B4CD66DFF9}"/>
    <cellStyle name="Comma 3 3 2 3 5 2 5" xfId="6959" xr:uid="{D4774C9B-39D9-464A-80DE-9D32A7D24813}"/>
    <cellStyle name="Comma 3 3 2 3 5 2 5 2" xfId="43467" xr:uid="{2336E43B-1F8E-466F-8B13-1655D02EF735}"/>
    <cellStyle name="Comma 3 3 2 3 5 2 5 3" xfId="25213" xr:uid="{B09736B7-1D1E-448B-AD53-F08935C2D0A8}"/>
    <cellStyle name="Comma 3 3 2 3 5 2 6" xfId="39817" xr:uid="{463982DA-902C-471B-B97A-68B12B7168D0}"/>
    <cellStyle name="Comma 3 3 2 3 5 2 7" xfId="21563" xr:uid="{E1CDCAF4-7A3D-4F29-B19A-8A09D23ABBBB}"/>
    <cellStyle name="Comma 3 3 2 3 5 3" xfId="2579" xr:uid="{2CAF7FA6-E8CE-46E7-A6BE-9F05D100D2A8}"/>
    <cellStyle name="Comma 3 3 2 3 5 3 2" xfId="17179" xr:uid="{A66B8CE0-B190-4583-851F-5231C1DF6248}"/>
    <cellStyle name="Comma 3 3 2 3 5 3 2 2" xfId="53687" xr:uid="{27654ECE-2B04-43FF-80EE-5F9150728AAD}"/>
    <cellStyle name="Comma 3 3 2 3 5 3 2 3" xfId="35433" xr:uid="{73907526-75E5-4529-A4DF-FC3B056632E2}"/>
    <cellStyle name="Comma 3 3 2 3 5 3 3" xfId="13529" xr:uid="{D1E9935C-9EC3-4CCE-9E1C-CE0B808C38DF}"/>
    <cellStyle name="Comma 3 3 2 3 5 3 3 2" xfId="50037" xr:uid="{219F7182-88E1-4179-8F8F-341790EC2A3E}"/>
    <cellStyle name="Comma 3 3 2 3 5 3 3 3" xfId="31783" xr:uid="{C7BBF87D-1AD6-498D-AEB0-79832BD0D4A4}"/>
    <cellStyle name="Comma 3 3 2 3 5 3 4" xfId="9879" xr:uid="{7F4A17DD-5815-49F0-BD49-2717993E90DF}"/>
    <cellStyle name="Comma 3 3 2 3 5 3 4 2" xfId="46387" xr:uid="{85F23D75-909C-46D8-875F-5D2B7E6D0B9B}"/>
    <cellStyle name="Comma 3 3 2 3 5 3 4 3" xfId="28133" xr:uid="{330FCA0C-26C1-4594-A8D5-37F818824B6D}"/>
    <cellStyle name="Comma 3 3 2 3 5 3 5" xfId="6229" xr:uid="{E497D130-D10A-4489-B73A-D13DB6598278}"/>
    <cellStyle name="Comma 3 3 2 3 5 3 5 2" xfId="42737" xr:uid="{395A5A74-0607-432A-A13C-97F9ED5301E2}"/>
    <cellStyle name="Comma 3 3 2 3 5 3 5 3" xfId="24483" xr:uid="{9BECBF11-D821-4760-A07C-40C947858244}"/>
    <cellStyle name="Comma 3 3 2 3 5 3 6" xfId="39087" xr:uid="{88F191C8-52F7-468B-AF56-D906A4155A8D}"/>
    <cellStyle name="Comma 3 3 2 3 5 3 7" xfId="20833" xr:uid="{FE473CF0-A52F-4006-A469-B4B8DAB9E1AD}"/>
    <cellStyle name="Comma 3 3 2 3 5 4" xfId="1849" xr:uid="{9CEB25AE-0AED-470D-87EF-2A1D1944B766}"/>
    <cellStyle name="Comma 3 3 2 3 5 4 2" xfId="16449" xr:uid="{26D0AF74-2E37-47C3-AC7F-6C8E45793082}"/>
    <cellStyle name="Comma 3 3 2 3 5 4 2 2" xfId="52957" xr:uid="{6480A275-BA4A-42BE-ABF2-980D616E9C81}"/>
    <cellStyle name="Comma 3 3 2 3 5 4 2 3" xfId="34703" xr:uid="{3F208EBA-4022-424D-9588-444DFE02E736}"/>
    <cellStyle name="Comma 3 3 2 3 5 4 3" xfId="12799" xr:uid="{BF5E2DAA-C02F-4D34-8166-F1DD12E1B119}"/>
    <cellStyle name="Comma 3 3 2 3 5 4 3 2" xfId="49307" xr:uid="{A9715CD8-478B-40F5-AC67-441236A3AD3F}"/>
    <cellStyle name="Comma 3 3 2 3 5 4 3 3" xfId="31053" xr:uid="{D4BF08BF-E5DD-4CC5-AFEC-3143C0543731}"/>
    <cellStyle name="Comma 3 3 2 3 5 4 4" xfId="9149" xr:uid="{31F751CC-231B-48C7-8C7F-ED02314C7265}"/>
    <cellStyle name="Comma 3 3 2 3 5 4 4 2" xfId="45657" xr:uid="{AAC7BE58-DD3D-45B7-BCFB-07CA4814F6BC}"/>
    <cellStyle name="Comma 3 3 2 3 5 4 4 3" xfId="27403" xr:uid="{C16B77B7-FF33-4F56-91A3-CF8A92CAAAFC}"/>
    <cellStyle name="Comma 3 3 2 3 5 4 5" xfId="5499" xr:uid="{B43BF0FF-2579-4006-B823-4BBBF7D76DCE}"/>
    <cellStyle name="Comma 3 3 2 3 5 4 5 2" xfId="42007" xr:uid="{1874DB3F-3DE4-4D40-8EEF-345BB8857D91}"/>
    <cellStyle name="Comma 3 3 2 3 5 4 5 3" xfId="23753" xr:uid="{6A4FB5B7-F4DF-42CB-97F0-D990DC69BFE7}"/>
    <cellStyle name="Comma 3 3 2 3 5 4 6" xfId="38357" xr:uid="{58766411-752D-435B-BB87-1FC80EF65C21}"/>
    <cellStyle name="Comma 3 3 2 3 5 4 7" xfId="20103" xr:uid="{4E17E382-BA09-405D-A072-DF496C2C1D68}"/>
    <cellStyle name="Comma 3 3 2 3 5 5" xfId="1119" xr:uid="{C95D56A0-A4C1-4CC4-9F5A-99DD468C95C8}"/>
    <cellStyle name="Comma 3 3 2 3 5 5 2" xfId="15719" xr:uid="{9F652C38-ECE9-4B03-8108-92E214587213}"/>
    <cellStyle name="Comma 3 3 2 3 5 5 2 2" xfId="52227" xr:uid="{0FC645E1-FDE4-4895-B63D-0E88F113E232}"/>
    <cellStyle name="Comma 3 3 2 3 5 5 2 3" xfId="33973" xr:uid="{CA9C99A3-D283-4923-A251-3A27980287F8}"/>
    <cellStyle name="Comma 3 3 2 3 5 5 3" xfId="12069" xr:uid="{81EAF3F5-2E09-4F2D-AAA8-35F69594EB6A}"/>
    <cellStyle name="Comma 3 3 2 3 5 5 3 2" xfId="48577" xr:uid="{0FDEA01E-E51B-401A-B365-8B9A94EE1D83}"/>
    <cellStyle name="Comma 3 3 2 3 5 5 3 3" xfId="30323" xr:uid="{2237AC39-FC7C-4E04-A55C-A666A03CEA94}"/>
    <cellStyle name="Comma 3 3 2 3 5 5 4" xfId="8419" xr:uid="{98CA3719-FF4D-4C6B-9CB3-C4FF72708A4C}"/>
    <cellStyle name="Comma 3 3 2 3 5 5 4 2" xfId="44927" xr:uid="{CBB64D9C-8707-4968-8125-CFB73CA1BDA8}"/>
    <cellStyle name="Comma 3 3 2 3 5 5 4 3" xfId="26673" xr:uid="{01FA0F45-DB41-46EB-ABC8-67EA2F74A7ED}"/>
    <cellStyle name="Comma 3 3 2 3 5 5 5" xfId="4769" xr:uid="{02A408D3-3735-431E-96CC-AA565C81D727}"/>
    <cellStyle name="Comma 3 3 2 3 5 5 5 2" xfId="41277" xr:uid="{F1D08478-6D38-425B-B378-45599C01D8E3}"/>
    <cellStyle name="Comma 3 3 2 3 5 5 5 3" xfId="23023" xr:uid="{766BE440-77A7-49EE-A611-72CE5BF08A24}"/>
    <cellStyle name="Comma 3 3 2 3 5 5 6" xfId="37627" xr:uid="{01E89EE6-3CA9-4D00-B753-396F25DBB4ED}"/>
    <cellStyle name="Comma 3 3 2 3 5 5 7" xfId="19373" xr:uid="{3F3EFBBD-F053-4A4B-B7E6-26E5971F44B2}"/>
    <cellStyle name="Comma 3 3 2 3 5 6" xfId="14989" xr:uid="{20D72A61-D500-4423-A896-697198217F3A}"/>
    <cellStyle name="Comma 3 3 2 3 5 6 2" xfId="51497" xr:uid="{8723C609-A497-468D-87D3-A0FD0682352A}"/>
    <cellStyle name="Comma 3 3 2 3 5 6 3" xfId="33243" xr:uid="{09552688-506C-4CE1-B217-0AAB33DD0BAD}"/>
    <cellStyle name="Comma 3 3 2 3 5 7" xfId="11339" xr:uid="{76BD13B9-16E8-4D3F-BA09-86709FCBC47D}"/>
    <cellStyle name="Comma 3 3 2 3 5 7 2" xfId="47847" xr:uid="{39E14078-5A50-4312-90A5-D1206C1AAABB}"/>
    <cellStyle name="Comma 3 3 2 3 5 7 3" xfId="29593" xr:uid="{055BFC19-8BEE-4C6A-94A8-D5C8C2621F61}"/>
    <cellStyle name="Comma 3 3 2 3 5 8" xfId="7689" xr:uid="{04BF46CF-7E5B-4323-8C33-831DBF7BB11F}"/>
    <cellStyle name="Comma 3 3 2 3 5 8 2" xfId="44197" xr:uid="{F15C4FDE-E547-4954-94EC-DD3E95B18E43}"/>
    <cellStyle name="Comma 3 3 2 3 5 8 3" xfId="25943" xr:uid="{AF3EEF8A-9455-418E-A11C-AB0FF9880FD7}"/>
    <cellStyle name="Comma 3 3 2 3 5 9" xfId="4039" xr:uid="{FB34C84F-9E1C-45A3-91F6-F5B77A02623E}"/>
    <cellStyle name="Comma 3 3 2 3 5 9 2" xfId="40547" xr:uid="{FF6EC408-F8ED-46B8-8B58-672DCCE9B5B1}"/>
    <cellStyle name="Comma 3 3 2 3 5 9 3" xfId="22293" xr:uid="{09EB4D1E-E9BC-4E3E-8E55-600C8CDE16CB}"/>
    <cellStyle name="Comma 3 3 2 3 6" xfId="285" xr:uid="{8F908299-D5F1-4378-A079-EE6041181D57}"/>
    <cellStyle name="Comma 3 3 2 3 6 10" xfId="36793" xr:uid="{7253EEE8-C3E1-49B0-87ED-43CCE10E4E4A}"/>
    <cellStyle name="Comma 3 3 2 3 6 11" xfId="18539" xr:uid="{36830641-F780-472A-8749-75CA01931441}"/>
    <cellStyle name="Comma 3 3 2 3 6 2" xfId="3205" xr:uid="{3CD37948-5F33-4ADB-8192-9ECA26DC0511}"/>
    <cellStyle name="Comma 3 3 2 3 6 2 2" xfId="17805" xr:uid="{D56AF9FC-92F6-43FC-95D5-086EB588BB5B}"/>
    <cellStyle name="Comma 3 3 2 3 6 2 2 2" xfId="54313" xr:uid="{16D831CC-4A29-499C-88E9-A0737C6CE8A5}"/>
    <cellStyle name="Comma 3 3 2 3 6 2 2 3" xfId="36059" xr:uid="{E56FE41A-6B9F-4F44-B91E-A4A155511450}"/>
    <cellStyle name="Comma 3 3 2 3 6 2 3" xfId="14155" xr:uid="{D9762E57-3DC7-49ED-92F7-5D69C3687025}"/>
    <cellStyle name="Comma 3 3 2 3 6 2 3 2" xfId="50663" xr:uid="{B221C793-070E-4CEC-A2C9-4C2FFC57BA4C}"/>
    <cellStyle name="Comma 3 3 2 3 6 2 3 3" xfId="32409" xr:uid="{CA04FE9C-2988-47B5-AF71-1374E36F0621}"/>
    <cellStyle name="Comma 3 3 2 3 6 2 4" xfId="10505" xr:uid="{84A2A5B9-D0C9-4CB3-A621-9C35AD4DA398}"/>
    <cellStyle name="Comma 3 3 2 3 6 2 4 2" xfId="47013" xr:uid="{222ABC46-CEDE-4855-920C-AB24D666B7A0}"/>
    <cellStyle name="Comma 3 3 2 3 6 2 4 3" xfId="28759" xr:uid="{BF67260D-986D-4374-9AE6-7FE003648DEB}"/>
    <cellStyle name="Comma 3 3 2 3 6 2 5" xfId="6855" xr:uid="{C376FE13-1277-4632-9E35-8CCBFA25A1BD}"/>
    <cellStyle name="Comma 3 3 2 3 6 2 5 2" xfId="43363" xr:uid="{5E20E877-2D5E-4945-A697-41125588CD2C}"/>
    <cellStyle name="Comma 3 3 2 3 6 2 5 3" xfId="25109" xr:uid="{FA06EDB6-C220-4B9C-A95A-F3CB19F89519}"/>
    <cellStyle name="Comma 3 3 2 3 6 2 6" xfId="39713" xr:uid="{FB2AC2E8-9797-488A-A760-568D68454920}"/>
    <cellStyle name="Comma 3 3 2 3 6 2 7" xfId="21459" xr:uid="{C4301BDA-AB29-4C26-8532-E0BC49995361}"/>
    <cellStyle name="Comma 3 3 2 3 6 3" xfId="2475" xr:uid="{DF9E78B8-84DD-41DE-BFA8-2786764652BA}"/>
    <cellStyle name="Comma 3 3 2 3 6 3 2" xfId="17075" xr:uid="{0CD7FB90-83E0-48C0-988D-620F79C4B22F}"/>
    <cellStyle name="Comma 3 3 2 3 6 3 2 2" xfId="53583" xr:uid="{65BC793E-E983-4C06-8583-DCEC9C074B5C}"/>
    <cellStyle name="Comma 3 3 2 3 6 3 2 3" xfId="35329" xr:uid="{40B602B5-05B1-4417-87FB-FB9939C65FAF}"/>
    <cellStyle name="Comma 3 3 2 3 6 3 3" xfId="13425" xr:uid="{21971EF1-B38E-4133-BAD9-9C8A043FB2D8}"/>
    <cellStyle name="Comma 3 3 2 3 6 3 3 2" xfId="49933" xr:uid="{5C3AB52E-EA8C-4B09-8AC9-BF6C5AFB43DB}"/>
    <cellStyle name="Comma 3 3 2 3 6 3 3 3" xfId="31679" xr:uid="{CB1F6388-A45E-4858-B842-8E1B2036D9E6}"/>
    <cellStyle name="Comma 3 3 2 3 6 3 4" xfId="9775" xr:uid="{793CF0AD-043E-4328-8FCD-42BC785B7F91}"/>
    <cellStyle name="Comma 3 3 2 3 6 3 4 2" xfId="46283" xr:uid="{E69A3BC3-95E4-45A1-86F3-026D06C20542}"/>
    <cellStyle name="Comma 3 3 2 3 6 3 4 3" xfId="28029" xr:uid="{816A999A-9FF2-497B-B0DD-930498772973}"/>
    <cellStyle name="Comma 3 3 2 3 6 3 5" xfId="6125" xr:uid="{0F279D64-B816-4DEC-8139-A46E5F0CCD81}"/>
    <cellStyle name="Comma 3 3 2 3 6 3 5 2" xfId="42633" xr:uid="{588FC7A7-3474-42F8-9925-86547273C470}"/>
    <cellStyle name="Comma 3 3 2 3 6 3 5 3" xfId="24379" xr:uid="{7039B0F3-E59A-4562-8D08-BCFBE585AAA5}"/>
    <cellStyle name="Comma 3 3 2 3 6 3 6" xfId="38983" xr:uid="{576B3CC5-964E-4F15-A4BA-D70AD5BBADD2}"/>
    <cellStyle name="Comma 3 3 2 3 6 3 7" xfId="20729" xr:uid="{2F19743D-6D74-4AB7-9CA1-95BBD0BE52EC}"/>
    <cellStyle name="Comma 3 3 2 3 6 4" xfId="1745" xr:uid="{C31B826B-0BF2-42C0-AC65-1746F30F9979}"/>
    <cellStyle name="Comma 3 3 2 3 6 4 2" xfId="16345" xr:uid="{CDEEFBE8-7F75-47C7-9022-B60B1FFB98C2}"/>
    <cellStyle name="Comma 3 3 2 3 6 4 2 2" xfId="52853" xr:uid="{54119471-1CA9-473F-803B-A156F7B7EEE3}"/>
    <cellStyle name="Comma 3 3 2 3 6 4 2 3" xfId="34599" xr:uid="{9B88BD39-5DA9-4D46-BC36-165BEAF7FC9A}"/>
    <cellStyle name="Comma 3 3 2 3 6 4 3" xfId="12695" xr:uid="{21A148C3-8E50-46E0-A723-A0C0208A3794}"/>
    <cellStyle name="Comma 3 3 2 3 6 4 3 2" xfId="49203" xr:uid="{16B2361C-5425-4DD4-B7ED-BF154A0C91C0}"/>
    <cellStyle name="Comma 3 3 2 3 6 4 3 3" xfId="30949" xr:uid="{E7D9FFAE-4FB5-4BFE-887E-0C62159BEE91}"/>
    <cellStyle name="Comma 3 3 2 3 6 4 4" xfId="9045" xr:uid="{5897F15F-6B7B-47A2-BF77-EEE303D44F58}"/>
    <cellStyle name="Comma 3 3 2 3 6 4 4 2" xfId="45553" xr:uid="{F07D3A36-404A-4EB5-B035-CAF64A426D12}"/>
    <cellStyle name="Comma 3 3 2 3 6 4 4 3" xfId="27299" xr:uid="{84976708-B2C0-4D98-92BF-A7FB887FF432}"/>
    <cellStyle name="Comma 3 3 2 3 6 4 5" xfId="5395" xr:uid="{A5B49520-782C-42A7-9D7D-2DE43C1E6EC7}"/>
    <cellStyle name="Comma 3 3 2 3 6 4 5 2" xfId="41903" xr:uid="{701E0FC9-9B8B-458F-9268-6039F32E673B}"/>
    <cellStyle name="Comma 3 3 2 3 6 4 5 3" xfId="23649" xr:uid="{46E5AD4C-AD90-4E19-A98C-A78F57804022}"/>
    <cellStyle name="Comma 3 3 2 3 6 4 6" xfId="38253" xr:uid="{45C806D0-3207-4AF2-B693-A449EEAD7BC9}"/>
    <cellStyle name="Comma 3 3 2 3 6 4 7" xfId="19999" xr:uid="{543DEEAA-BEB5-41C8-9AC2-A2222073C34F}"/>
    <cellStyle name="Comma 3 3 2 3 6 5" xfId="1015" xr:uid="{C6F006AD-5BA6-489C-8CD5-A14C48B1DCA8}"/>
    <cellStyle name="Comma 3 3 2 3 6 5 2" xfId="15615" xr:uid="{DB342D6B-D7AF-45DC-83C8-F28CF58ACAEA}"/>
    <cellStyle name="Comma 3 3 2 3 6 5 2 2" xfId="52123" xr:uid="{CA898B19-9294-4A6F-A3B5-C3C374389AF8}"/>
    <cellStyle name="Comma 3 3 2 3 6 5 2 3" xfId="33869" xr:uid="{9404568F-1C8A-4D29-86D8-34A57398075C}"/>
    <cellStyle name="Comma 3 3 2 3 6 5 3" xfId="11965" xr:uid="{678E9FA3-52D2-4AC3-B816-0738018FE8F3}"/>
    <cellStyle name="Comma 3 3 2 3 6 5 3 2" xfId="48473" xr:uid="{8020305F-A015-49D4-ABDA-5CD198FBAF6F}"/>
    <cellStyle name="Comma 3 3 2 3 6 5 3 3" xfId="30219" xr:uid="{43FA14DF-8F9A-444F-B3E9-FAC751FC4604}"/>
    <cellStyle name="Comma 3 3 2 3 6 5 4" xfId="8315" xr:uid="{FCA35EAF-14F5-4457-B775-3C760FCED673}"/>
    <cellStyle name="Comma 3 3 2 3 6 5 4 2" xfId="44823" xr:uid="{E7E5C3B6-9EF0-492D-B6C5-3A8F0A33A910}"/>
    <cellStyle name="Comma 3 3 2 3 6 5 4 3" xfId="26569" xr:uid="{3D920B89-D5E5-4EBE-BC63-496BB7AEC6E0}"/>
    <cellStyle name="Comma 3 3 2 3 6 5 5" xfId="4665" xr:uid="{48BBD4CE-32B3-4898-A742-01E602E2EB47}"/>
    <cellStyle name="Comma 3 3 2 3 6 5 5 2" xfId="41173" xr:uid="{FDDD6B88-BE6C-4A7E-B959-EEAC2A957D1F}"/>
    <cellStyle name="Comma 3 3 2 3 6 5 5 3" xfId="22919" xr:uid="{41C42E4B-DED2-4B75-8F4B-9708F0870919}"/>
    <cellStyle name="Comma 3 3 2 3 6 5 6" xfId="37523" xr:uid="{3993C4B1-D749-449C-8C0F-250C4FFA31E4}"/>
    <cellStyle name="Comma 3 3 2 3 6 5 7" xfId="19269" xr:uid="{2ADDC8DE-7B6D-49DF-8A5A-376882137242}"/>
    <cellStyle name="Comma 3 3 2 3 6 6" xfId="14885" xr:uid="{14364313-DFB8-458D-AE37-963C0FFA6A19}"/>
    <cellStyle name="Comma 3 3 2 3 6 6 2" xfId="51393" xr:uid="{4DF04163-44FA-4ADE-9ADF-BC46D3F8A6EC}"/>
    <cellStyle name="Comma 3 3 2 3 6 6 3" xfId="33139" xr:uid="{0A83B043-86E4-47BE-906B-059B1B95DDEB}"/>
    <cellStyle name="Comma 3 3 2 3 6 7" xfId="11235" xr:uid="{3F137ACA-4B56-4CBD-B64F-213BBA16E984}"/>
    <cellStyle name="Comma 3 3 2 3 6 7 2" xfId="47743" xr:uid="{4862CE7E-0517-481D-9713-A233BB29CF38}"/>
    <cellStyle name="Comma 3 3 2 3 6 7 3" xfId="29489" xr:uid="{366AAFBD-F125-47E9-819D-C49F2ECA8608}"/>
    <cellStyle name="Comma 3 3 2 3 6 8" xfId="7585" xr:uid="{869C8F44-02C3-4513-A811-B5349F1B020D}"/>
    <cellStyle name="Comma 3 3 2 3 6 8 2" xfId="44093" xr:uid="{C5DA4459-D0E5-4531-8D4E-5D30ABD47C6C}"/>
    <cellStyle name="Comma 3 3 2 3 6 8 3" xfId="25839" xr:uid="{0443BD7C-4FB1-4FB4-B5A2-89483A9EB753}"/>
    <cellStyle name="Comma 3 3 2 3 6 9" xfId="3935" xr:uid="{4DECD13A-D475-4AB0-8683-ED9999233A11}"/>
    <cellStyle name="Comma 3 3 2 3 6 9 2" xfId="40443" xr:uid="{A82905A0-7C9B-4913-ADB4-C6558DDFFBC5}"/>
    <cellStyle name="Comma 3 3 2 3 6 9 3" xfId="22189" xr:uid="{A93207C1-83DC-472D-8CD0-AEC0829542F1}"/>
    <cellStyle name="Comma 3 3 2 3 7" xfId="181" xr:uid="{5D748AB2-3661-4553-A565-D57954BC8C2A}"/>
    <cellStyle name="Comma 3 3 2 3 7 10" xfId="36689" xr:uid="{B7D4A22A-64EF-4FB9-A630-6248C907E5AA}"/>
    <cellStyle name="Comma 3 3 2 3 7 11" xfId="18435" xr:uid="{8E6043C4-74C7-47A3-A4F5-74F14ADBBC4C}"/>
    <cellStyle name="Comma 3 3 2 3 7 2" xfId="3101" xr:uid="{3BFDA1BE-8D63-489C-8236-02C0ABF56A0F}"/>
    <cellStyle name="Comma 3 3 2 3 7 2 2" xfId="17701" xr:uid="{276519E9-C992-4AF2-A6CA-CD4BB4CD4AAE}"/>
    <cellStyle name="Comma 3 3 2 3 7 2 2 2" xfId="54209" xr:uid="{535C28F3-197D-477F-A07C-4FF53BD2B2C6}"/>
    <cellStyle name="Comma 3 3 2 3 7 2 2 3" xfId="35955" xr:uid="{EDD07F7F-359A-4DDF-BA75-30E23E98CF32}"/>
    <cellStyle name="Comma 3 3 2 3 7 2 3" xfId="14051" xr:uid="{7432EF83-206E-447B-AB8E-2EBDECBA0FD2}"/>
    <cellStyle name="Comma 3 3 2 3 7 2 3 2" xfId="50559" xr:uid="{258F7038-85FE-4988-81E8-D1A4E41B63E8}"/>
    <cellStyle name="Comma 3 3 2 3 7 2 3 3" xfId="32305" xr:uid="{7CBAA25D-5DF2-4922-BF69-DAA641E149C1}"/>
    <cellStyle name="Comma 3 3 2 3 7 2 4" xfId="10401" xr:uid="{0CE61FD2-CCC6-42A3-96E8-E9455EC79AEC}"/>
    <cellStyle name="Comma 3 3 2 3 7 2 4 2" xfId="46909" xr:uid="{00A7433C-CEF6-486E-A612-B8610AB43BC7}"/>
    <cellStyle name="Comma 3 3 2 3 7 2 4 3" xfId="28655" xr:uid="{3B01DC6D-977E-4EB5-8F23-787E7BA60F09}"/>
    <cellStyle name="Comma 3 3 2 3 7 2 5" xfId="6751" xr:uid="{4FDB7B9B-4165-4785-A43C-F71064D6DCD2}"/>
    <cellStyle name="Comma 3 3 2 3 7 2 5 2" xfId="43259" xr:uid="{6CF22BBA-E07B-4691-AB19-CCE1B68D2949}"/>
    <cellStyle name="Comma 3 3 2 3 7 2 5 3" xfId="25005" xr:uid="{F658E030-0A50-49FB-980E-25F694B09859}"/>
    <cellStyle name="Comma 3 3 2 3 7 2 6" xfId="39609" xr:uid="{EA206CDC-A11E-473C-BCDB-D055E4A83A2F}"/>
    <cellStyle name="Comma 3 3 2 3 7 2 7" xfId="21355" xr:uid="{AA3E3E64-5174-4BA1-A1D4-1C02E3D27F0B}"/>
    <cellStyle name="Comma 3 3 2 3 7 3" xfId="2371" xr:uid="{4BC970C3-57EC-47F3-8120-442FB4C008B9}"/>
    <cellStyle name="Comma 3 3 2 3 7 3 2" xfId="16971" xr:uid="{3C27739B-D2CD-4286-B53C-0E2C37144CCE}"/>
    <cellStyle name="Comma 3 3 2 3 7 3 2 2" xfId="53479" xr:uid="{A62D3D59-F611-466E-B134-082AB70206FD}"/>
    <cellStyle name="Comma 3 3 2 3 7 3 2 3" xfId="35225" xr:uid="{49F7D70B-11CA-40F5-95BB-BB1EE6683FAC}"/>
    <cellStyle name="Comma 3 3 2 3 7 3 3" xfId="13321" xr:uid="{402BE8F1-C367-44C8-927A-70D6613BDB1E}"/>
    <cellStyle name="Comma 3 3 2 3 7 3 3 2" xfId="49829" xr:uid="{5C26BA59-E57F-46B6-865E-CB476C5CEEA4}"/>
    <cellStyle name="Comma 3 3 2 3 7 3 3 3" xfId="31575" xr:uid="{DEEB6556-630D-4A48-8C01-381D31840C7B}"/>
    <cellStyle name="Comma 3 3 2 3 7 3 4" xfId="9671" xr:uid="{A8EB16D7-70E9-4182-8626-C718C02A3A59}"/>
    <cellStyle name="Comma 3 3 2 3 7 3 4 2" xfId="46179" xr:uid="{17361B48-BD2E-4502-AA72-A5BCA8D83C81}"/>
    <cellStyle name="Comma 3 3 2 3 7 3 4 3" xfId="27925" xr:uid="{CD3E7C7A-76BA-48FD-97DB-594803B45FB1}"/>
    <cellStyle name="Comma 3 3 2 3 7 3 5" xfId="6021" xr:uid="{13F58D36-27FB-42F2-AA72-801279C5A18E}"/>
    <cellStyle name="Comma 3 3 2 3 7 3 5 2" xfId="42529" xr:uid="{9E626235-3900-4ED5-BF90-0FE0DCFF39E0}"/>
    <cellStyle name="Comma 3 3 2 3 7 3 5 3" xfId="24275" xr:uid="{2AFD484B-ACD1-4792-BD03-4FBEE2049999}"/>
    <cellStyle name="Comma 3 3 2 3 7 3 6" xfId="38879" xr:uid="{5A11A5D9-9D6F-46F8-AD82-35446563B8F8}"/>
    <cellStyle name="Comma 3 3 2 3 7 3 7" xfId="20625" xr:uid="{BCD99FCC-D204-438E-B11A-B50BAE7E1529}"/>
    <cellStyle name="Comma 3 3 2 3 7 4" xfId="1641" xr:uid="{EF911ED9-3DF1-4B23-82E2-7B9C06FF2AEC}"/>
    <cellStyle name="Comma 3 3 2 3 7 4 2" xfId="16241" xr:uid="{AC6F0B67-A881-409E-A278-F642B29B2E0B}"/>
    <cellStyle name="Comma 3 3 2 3 7 4 2 2" xfId="52749" xr:uid="{2E1ADA20-514C-4B7F-8229-FDAB686B3185}"/>
    <cellStyle name="Comma 3 3 2 3 7 4 2 3" xfId="34495" xr:uid="{581B8F0F-916C-4B05-8F7A-076A4E39FF5C}"/>
    <cellStyle name="Comma 3 3 2 3 7 4 3" xfId="12591" xr:uid="{DB5EF83E-21B9-462F-8226-54639F5EDF80}"/>
    <cellStyle name="Comma 3 3 2 3 7 4 3 2" xfId="49099" xr:uid="{68769C87-89A6-4EC8-8F03-FDC609E62AE8}"/>
    <cellStyle name="Comma 3 3 2 3 7 4 3 3" xfId="30845" xr:uid="{1E3DB4B2-9939-4784-832A-3B14072166AD}"/>
    <cellStyle name="Comma 3 3 2 3 7 4 4" xfId="8941" xr:uid="{379CF9C0-84C2-487C-9872-F7AF79CAEF01}"/>
    <cellStyle name="Comma 3 3 2 3 7 4 4 2" xfId="45449" xr:uid="{18A58F0B-0B01-4801-9DB2-92D0D1B4DED4}"/>
    <cellStyle name="Comma 3 3 2 3 7 4 4 3" xfId="27195" xr:uid="{C5B564B5-D7CD-44E6-B8BB-62755AE46973}"/>
    <cellStyle name="Comma 3 3 2 3 7 4 5" xfId="5291" xr:uid="{49225DFC-CFAD-48C3-8A3F-A04ABD3E8F91}"/>
    <cellStyle name="Comma 3 3 2 3 7 4 5 2" xfId="41799" xr:uid="{21D79B91-4538-4F6E-B57D-82C97A18565E}"/>
    <cellStyle name="Comma 3 3 2 3 7 4 5 3" xfId="23545" xr:uid="{5D27C30F-0AEF-451B-8903-6CC83B537108}"/>
    <cellStyle name="Comma 3 3 2 3 7 4 6" xfId="38149" xr:uid="{9E4B089A-6878-4621-8E24-D0FAC42AD108}"/>
    <cellStyle name="Comma 3 3 2 3 7 4 7" xfId="19895" xr:uid="{D7C6E371-4642-492F-81D6-F822CE0C3CB9}"/>
    <cellStyle name="Comma 3 3 2 3 7 5" xfId="911" xr:uid="{729F51BC-656E-47E4-A209-C21670C0E266}"/>
    <cellStyle name="Comma 3 3 2 3 7 5 2" xfId="15511" xr:uid="{FE61F631-6654-48F5-869C-0F8B470D7EAC}"/>
    <cellStyle name="Comma 3 3 2 3 7 5 2 2" xfId="52019" xr:uid="{247D71E9-FA66-4388-9859-61597C77C134}"/>
    <cellStyle name="Comma 3 3 2 3 7 5 2 3" xfId="33765" xr:uid="{1747DC0E-7E3F-4513-91A7-055FB7D7D58A}"/>
    <cellStyle name="Comma 3 3 2 3 7 5 3" xfId="11861" xr:uid="{71CE4CAA-58DC-4487-8B3B-829578B89E72}"/>
    <cellStyle name="Comma 3 3 2 3 7 5 3 2" xfId="48369" xr:uid="{39BF0E37-77A5-48FB-BA2C-519FC447F91C}"/>
    <cellStyle name="Comma 3 3 2 3 7 5 3 3" xfId="30115" xr:uid="{40B76634-B573-4154-8A5F-4387E56A665E}"/>
    <cellStyle name="Comma 3 3 2 3 7 5 4" xfId="8211" xr:uid="{7414E2CA-6D42-4F99-9426-51357964212B}"/>
    <cellStyle name="Comma 3 3 2 3 7 5 4 2" xfId="44719" xr:uid="{8599734D-22F9-4D75-9B4D-4E75433F4410}"/>
    <cellStyle name="Comma 3 3 2 3 7 5 4 3" xfId="26465" xr:uid="{829FA39E-F16A-4EB4-996A-A51A35777553}"/>
    <cellStyle name="Comma 3 3 2 3 7 5 5" xfId="4561" xr:uid="{582376CF-1B64-4CC9-8C5B-046638F404C9}"/>
    <cellStyle name="Comma 3 3 2 3 7 5 5 2" xfId="41069" xr:uid="{B0A43061-928D-4C10-A731-77F94FC88642}"/>
    <cellStyle name="Comma 3 3 2 3 7 5 5 3" xfId="22815" xr:uid="{3EC5EAFB-B98D-4905-B9B2-A64C9E3F48E0}"/>
    <cellStyle name="Comma 3 3 2 3 7 5 6" xfId="37419" xr:uid="{FB60EDE9-E58C-4E7D-8448-A3F4CC55CDD6}"/>
    <cellStyle name="Comma 3 3 2 3 7 5 7" xfId="19165" xr:uid="{85F10829-16FA-45E8-96FA-E9367083A987}"/>
    <cellStyle name="Comma 3 3 2 3 7 6" xfId="14781" xr:uid="{A015546E-DAE3-4CA7-A909-2C419DC6BFBF}"/>
    <cellStyle name="Comma 3 3 2 3 7 6 2" xfId="51289" xr:uid="{E73CA674-3BE5-4450-A4CE-E00410EA95F8}"/>
    <cellStyle name="Comma 3 3 2 3 7 6 3" xfId="33035" xr:uid="{EC87659B-E029-414C-9BE1-06C6D3BA5D74}"/>
    <cellStyle name="Comma 3 3 2 3 7 7" xfId="11131" xr:uid="{49135B9D-9F39-4862-B242-995FA312DB04}"/>
    <cellStyle name="Comma 3 3 2 3 7 7 2" xfId="47639" xr:uid="{0DD0787F-A497-4F56-95C7-3BE22E80DB11}"/>
    <cellStyle name="Comma 3 3 2 3 7 7 3" xfId="29385" xr:uid="{11B3CE65-BB7D-498C-82DE-EB56802C9D2B}"/>
    <cellStyle name="Comma 3 3 2 3 7 8" xfId="7481" xr:uid="{148E30B0-87FF-4434-B862-187F071F8301}"/>
    <cellStyle name="Comma 3 3 2 3 7 8 2" xfId="43989" xr:uid="{2524F468-0DD3-44A0-877A-6FD3CB71CAE7}"/>
    <cellStyle name="Comma 3 3 2 3 7 8 3" xfId="25735" xr:uid="{6D9D8D06-680C-4B03-BAD8-92494D3ABAE0}"/>
    <cellStyle name="Comma 3 3 2 3 7 9" xfId="3831" xr:uid="{69E4B7ED-047D-47C6-BA15-F86D737300FB}"/>
    <cellStyle name="Comma 3 3 2 3 7 9 2" xfId="40339" xr:uid="{3A63D3AC-B818-42CB-8A5E-B810B02D0E18}"/>
    <cellStyle name="Comma 3 3 2 3 7 9 3" xfId="22085" xr:uid="{27C95B49-C88D-4C10-A521-4687A4B8718B}"/>
    <cellStyle name="Comma 3 3 2 3 8" xfId="2997" xr:uid="{8167CF11-A75D-41F8-A4BE-4A8FD4544783}"/>
    <cellStyle name="Comma 3 3 2 3 8 2" xfId="17597" xr:uid="{73DF76D5-12DA-46BE-BCB8-CFC90BD6F7A6}"/>
    <cellStyle name="Comma 3 3 2 3 8 2 2" xfId="54105" xr:uid="{4711DD02-90EF-4E01-A896-651AA87EF4CD}"/>
    <cellStyle name="Comma 3 3 2 3 8 2 3" xfId="35851" xr:uid="{CB9A0430-5B4D-4101-A689-6DB3521B943E}"/>
    <cellStyle name="Comma 3 3 2 3 8 3" xfId="13947" xr:uid="{74B07445-6404-4F7F-9484-D71FBC4C9ABD}"/>
    <cellStyle name="Comma 3 3 2 3 8 3 2" xfId="50455" xr:uid="{189FAC95-437E-4669-8897-3D184B59F104}"/>
    <cellStyle name="Comma 3 3 2 3 8 3 3" xfId="32201" xr:uid="{6B1CEFDA-AEB3-4B33-AF7D-D8C4F3F56AD7}"/>
    <cellStyle name="Comma 3 3 2 3 8 4" xfId="10297" xr:uid="{320A9D73-C68D-4DF6-9786-73B60E3CAAAC}"/>
    <cellStyle name="Comma 3 3 2 3 8 4 2" xfId="46805" xr:uid="{E9EE0E62-3E59-4F33-9481-A1A5E59D0601}"/>
    <cellStyle name="Comma 3 3 2 3 8 4 3" xfId="28551" xr:uid="{72C376F2-9989-48B6-8408-0ED8F9E8A3ED}"/>
    <cellStyle name="Comma 3 3 2 3 8 5" xfId="6647" xr:uid="{E3B918D7-A1C3-4943-B915-F5708A24DECF}"/>
    <cellStyle name="Comma 3 3 2 3 8 5 2" xfId="43155" xr:uid="{88E102B4-86D1-4471-ACBC-55846441A6F6}"/>
    <cellStyle name="Comma 3 3 2 3 8 5 3" xfId="24901" xr:uid="{58165AE1-670A-49B3-9A0F-92E64D43FC7C}"/>
    <cellStyle name="Comma 3 3 2 3 8 6" xfId="39505" xr:uid="{4F01DE51-3833-482D-A533-2C8876D5A519}"/>
    <cellStyle name="Comma 3 3 2 3 8 7" xfId="21251" xr:uid="{8E49A73C-F86E-4BAE-AA2E-C85C88244BC1}"/>
    <cellStyle name="Comma 3 3 2 3 9" xfId="2267" xr:uid="{BFD575CD-DDD7-417E-A7C3-3BAE44DDE9A2}"/>
    <cellStyle name="Comma 3 3 2 3 9 2" xfId="16867" xr:uid="{8768E1E3-E806-4820-81AC-74C2E850D242}"/>
    <cellStyle name="Comma 3 3 2 3 9 2 2" xfId="53375" xr:uid="{3911ABF7-695E-413A-8BBB-2EF3C55B05A0}"/>
    <cellStyle name="Comma 3 3 2 3 9 2 3" xfId="35121" xr:uid="{1AB66415-0123-45C2-B323-0A546F9E3EB7}"/>
    <cellStyle name="Comma 3 3 2 3 9 3" xfId="13217" xr:uid="{32884236-09E0-4D30-A1CE-37EC1B4CBABD}"/>
    <cellStyle name="Comma 3 3 2 3 9 3 2" xfId="49725" xr:uid="{9A1DEA8B-D26A-456E-BD2A-4397EA9EE6AD}"/>
    <cellStyle name="Comma 3 3 2 3 9 3 3" xfId="31471" xr:uid="{34481105-4B08-4C9E-946C-A0A06DDFF1E4}"/>
    <cellStyle name="Comma 3 3 2 3 9 4" xfId="9567" xr:uid="{B3B4F4DA-64BF-4D3A-83E9-68ADE026B424}"/>
    <cellStyle name="Comma 3 3 2 3 9 4 2" xfId="46075" xr:uid="{B03A9EF7-AC78-42FC-B052-638FE68EC28A}"/>
    <cellStyle name="Comma 3 3 2 3 9 4 3" xfId="27821" xr:uid="{8C0476B6-413D-4861-B18B-09C8F7C1C25A}"/>
    <cellStyle name="Comma 3 3 2 3 9 5" xfId="5917" xr:uid="{1B559038-4165-491C-8C95-959B65347C3A}"/>
    <cellStyle name="Comma 3 3 2 3 9 5 2" xfId="42425" xr:uid="{986078ED-B461-4F0C-BC65-1235F1C2DF42}"/>
    <cellStyle name="Comma 3 3 2 3 9 5 3" xfId="24171" xr:uid="{63555CBC-5EC8-41A8-A909-5D8B28089156}"/>
    <cellStyle name="Comma 3 3 2 3 9 6" xfId="38775" xr:uid="{55E6B802-7DB8-44E9-8343-AFE0347105E4}"/>
    <cellStyle name="Comma 3 3 2 3 9 7" xfId="20521" xr:uid="{C980D064-3B64-4772-9A92-641974A1B648}"/>
    <cellStyle name="Comma 3 3 2 4" xfId="669" xr:uid="{37C4A755-9DFA-40B7-A94B-75E68C980C3E}"/>
    <cellStyle name="Comma 3 3 2 4 10" xfId="37177" xr:uid="{937BFC0B-9241-4F3D-ACB2-28022124A0B4}"/>
    <cellStyle name="Comma 3 3 2 4 11" xfId="18923" xr:uid="{F007DC08-4103-48FC-B418-4ECE1AC25019}"/>
    <cellStyle name="Comma 3 3 2 4 2" xfId="3589" xr:uid="{3D605F51-82F8-45FF-85E5-C3C74BFF783A}"/>
    <cellStyle name="Comma 3 3 2 4 2 2" xfId="18189" xr:uid="{8079B95B-5C9C-436C-93CE-6D81FA6B2DFB}"/>
    <cellStyle name="Comma 3 3 2 4 2 2 2" xfId="54697" xr:uid="{1B03005B-7156-4B5F-9AC3-E27945BE52C8}"/>
    <cellStyle name="Comma 3 3 2 4 2 2 3" xfId="36443" xr:uid="{6E779921-9A95-45DB-B088-D9D63DC6634F}"/>
    <cellStyle name="Comma 3 3 2 4 2 3" xfId="14539" xr:uid="{32B3C995-02B4-4AE7-B277-DAE41FF167D4}"/>
    <cellStyle name="Comma 3 3 2 4 2 3 2" xfId="51047" xr:uid="{A7D07859-F338-4291-BA84-0F12509A5057}"/>
    <cellStyle name="Comma 3 3 2 4 2 3 3" xfId="32793" xr:uid="{EF2E1000-6CFA-48B2-B49D-1E66C3C587D8}"/>
    <cellStyle name="Comma 3 3 2 4 2 4" xfId="10889" xr:uid="{59B11C7C-39A8-457B-966E-024F3300535A}"/>
    <cellStyle name="Comma 3 3 2 4 2 4 2" xfId="47397" xr:uid="{E21CA2DE-E0F8-4B94-A1B8-91A167AEC0CC}"/>
    <cellStyle name="Comma 3 3 2 4 2 4 3" xfId="29143" xr:uid="{FAAE1EA4-CC19-4C56-BF08-599A4C654607}"/>
    <cellStyle name="Comma 3 3 2 4 2 5" xfId="7239" xr:uid="{C9416B32-B561-42F6-AEEC-284B06F53F47}"/>
    <cellStyle name="Comma 3 3 2 4 2 5 2" xfId="43747" xr:uid="{9D6E8602-57A1-4F92-B28D-E39507CA0FC9}"/>
    <cellStyle name="Comma 3 3 2 4 2 5 3" xfId="25493" xr:uid="{C5709C24-1757-4157-B626-259846898B46}"/>
    <cellStyle name="Comma 3 3 2 4 2 6" xfId="40097" xr:uid="{3DE95506-8998-4435-B5B5-2E9903E98E59}"/>
    <cellStyle name="Comma 3 3 2 4 2 7" xfId="21843" xr:uid="{703FA982-AA0C-484B-A46C-31488911625B}"/>
    <cellStyle name="Comma 3 3 2 4 3" xfId="2859" xr:uid="{C15BE272-1B0E-4F6B-9E27-D1EB109AEE14}"/>
    <cellStyle name="Comma 3 3 2 4 3 2" xfId="17459" xr:uid="{CB803C06-EBC2-45FA-8BDD-6349B8897395}"/>
    <cellStyle name="Comma 3 3 2 4 3 2 2" xfId="53967" xr:uid="{F3108E75-25FF-444E-B4C1-5AC17F5343AE}"/>
    <cellStyle name="Comma 3 3 2 4 3 2 3" xfId="35713" xr:uid="{FB6B719E-50F1-4E8B-961C-8A073D13EA11}"/>
    <cellStyle name="Comma 3 3 2 4 3 3" xfId="13809" xr:uid="{311ACC37-5C6E-4796-9708-DEB29565C8C7}"/>
    <cellStyle name="Comma 3 3 2 4 3 3 2" xfId="50317" xr:uid="{1A53717B-A32B-4935-91D6-CD45945C3B6A}"/>
    <cellStyle name="Comma 3 3 2 4 3 3 3" xfId="32063" xr:uid="{2EEBDAA5-625E-4182-82AC-63BD659F594C}"/>
    <cellStyle name="Comma 3 3 2 4 3 4" xfId="10159" xr:uid="{5B9DAFA1-FDF7-4850-BC17-1626C6458450}"/>
    <cellStyle name="Comma 3 3 2 4 3 4 2" xfId="46667" xr:uid="{BB8AF232-AADE-4702-8F1F-89B99513C17B}"/>
    <cellStyle name="Comma 3 3 2 4 3 4 3" xfId="28413" xr:uid="{2921E2CB-A08C-4393-9910-20473FD219E4}"/>
    <cellStyle name="Comma 3 3 2 4 3 5" xfId="6509" xr:uid="{50DFC302-536A-4006-A269-EA9B6360CC21}"/>
    <cellStyle name="Comma 3 3 2 4 3 5 2" xfId="43017" xr:uid="{46C6F939-64EA-433A-9ECF-F6163722BC0F}"/>
    <cellStyle name="Comma 3 3 2 4 3 5 3" xfId="24763" xr:uid="{F5638D14-3288-4A2F-8685-2A49BC7B5A3F}"/>
    <cellStyle name="Comma 3 3 2 4 3 6" xfId="39367" xr:uid="{07E85572-A86A-4579-B610-67576E57D442}"/>
    <cellStyle name="Comma 3 3 2 4 3 7" xfId="21113" xr:uid="{04023D6D-1BFF-4C81-9F45-05F706CD47FE}"/>
    <cellStyle name="Comma 3 3 2 4 4" xfId="2129" xr:uid="{58E9868D-7A22-4FCF-A28A-7BC37432EFE2}"/>
    <cellStyle name="Comma 3 3 2 4 4 2" xfId="16729" xr:uid="{375E3903-0E15-4B62-8D35-E99D04907B7E}"/>
    <cellStyle name="Comma 3 3 2 4 4 2 2" xfId="53237" xr:uid="{4C5AE086-47B5-422D-A70F-6B5A4E69DB64}"/>
    <cellStyle name="Comma 3 3 2 4 4 2 3" xfId="34983" xr:uid="{9AB6ABCA-E976-4CC7-9D8D-E4218A8793C3}"/>
    <cellStyle name="Comma 3 3 2 4 4 3" xfId="13079" xr:uid="{06924089-0BFD-495E-938F-5CA56290413E}"/>
    <cellStyle name="Comma 3 3 2 4 4 3 2" xfId="49587" xr:uid="{836D57D1-8A46-4AE8-85AF-879C5DF48470}"/>
    <cellStyle name="Comma 3 3 2 4 4 3 3" xfId="31333" xr:uid="{EAD95C25-B2D7-45A9-817B-F877776961CD}"/>
    <cellStyle name="Comma 3 3 2 4 4 4" xfId="9429" xr:uid="{4D840FCE-ADDB-4367-A89D-A54DF4405BD2}"/>
    <cellStyle name="Comma 3 3 2 4 4 4 2" xfId="45937" xr:uid="{44727D6F-4F86-4137-B440-8C8F8A000B7A}"/>
    <cellStyle name="Comma 3 3 2 4 4 4 3" xfId="27683" xr:uid="{B05B7D18-09A0-4DA6-9B86-AA426BA8135D}"/>
    <cellStyle name="Comma 3 3 2 4 4 5" xfId="5779" xr:uid="{1B24E5DB-22DA-45AA-9069-6623DC12F09B}"/>
    <cellStyle name="Comma 3 3 2 4 4 5 2" xfId="42287" xr:uid="{1D47A300-84FA-46BA-9DD9-799715899710}"/>
    <cellStyle name="Comma 3 3 2 4 4 5 3" xfId="24033" xr:uid="{A43849E9-BBB6-47FC-A3AC-9AC45C42C7EB}"/>
    <cellStyle name="Comma 3 3 2 4 4 6" xfId="38637" xr:uid="{D250E521-D6E9-4526-9E13-1562F61D28FC}"/>
    <cellStyle name="Comma 3 3 2 4 4 7" xfId="20383" xr:uid="{70219CDD-CF82-45F3-8C4C-AFB0527D183B}"/>
    <cellStyle name="Comma 3 3 2 4 5" xfId="1399" xr:uid="{F50A312D-C305-4EF1-ACBE-DC3840B4CB1F}"/>
    <cellStyle name="Comma 3 3 2 4 5 2" xfId="15999" xr:uid="{E58B75E9-5B04-4017-A59D-7C6BE248B08D}"/>
    <cellStyle name="Comma 3 3 2 4 5 2 2" xfId="52507" xr:uid="{2289ACF0-48F7-472A-BF0F-5ECF21F1545C}"/>
    <cellStyle name="Comma 3 3 2 4 5 2 3" xfId="34253" xr:uid="{D08D7913-906B-40A1-B112-C69F74F20015}"/>
    <cellStyle name="Comma 3 3 2 4 5 3" xfId="12349" xr:uid="{CDC1A69C-A2B4-4322-950A-A331D8E8D640}"/>
    <cellStyle name="Comma 3 3 2 4 5 3 2" xfId="48857" xr:uid="{E0B072E4-2C1E-4948-9CFD-E4450F98BFB6}"/>
    <cellStyle name="Comma 3 3 2 4 5 3 3" xfId="30603" xr:uid="{DD2A5589-AD4F-4624-8B3A-BF34FE29D0AE}"/>
    <cellStyle name="Comma 3 3 2 4 5 4" xfId="8699" xr:uid="{F6A15DD5-75C0-463E-B2EE-2AE5EB4B3ECF}"/>
    <cellStyle name="Comma 3 3 2 4 5 4 2" xfId="45207" xr:uid="{FEECB0D5-37DD-4BC9-83E8-97D3F4A45FC2}"/>
    <cellStyle name="Comma 3 3 2 4 5 4 3" xfId="26953" xr:uid="{E2768DD3-8851-48A5-B4C7-3B9FEDAEAFFF}"/>
    <cellStyle name="Comma 3 3 2 4 5 5" xfId="5049" xr:uid="{53E35391-07D3-48B2-9E84-E0B4F08C8385}"/>
    <cellStyle name="Comma 3 3 2 4 5 5 2" xfId="41557" xr:uid="{7EB7C946-0143-4780-A520-5D3059A244B1}"/>
    <cellStyle name="Comma 3 3 2 4 5 5 3" xfId="23303" xr:uid="{A3CAE4C0-5C4A-42E6-9BCF-4F5D81C16BA1}"/>
    <cellStyle name="Comma 3 3 2 4 5 6" xfId="37907" xr:uid="{735F8875-4331-4741-AEF0-E1E2730763CA}"/>
    <cellStyle name="Comma 3 3 2 4 5 7" xfId="19653" xr:uid="{90228152-A82B-426E-8316-5CACF797C989}"/>
    <cellStyle name="Comma 3 3 2 4 6" xfId="15269" xr:uid="{AE466CBF-2637-4886-B7A1-79D912C771C8}"/>
    <cellStyle name="Comma 3 3 2 4 6 2" xfId="51777" xr:uid="{7E44C9B4-BF7C-4931-8A69-1983142C57F7}"/>
    <cellStyle name="Comma 3 3 2 4 6 3" xfId="33523" xr:uid="{7B99728B-0B2B-4153-ADAA-5DBF124FCAE4}"/>
    <cellStyle name="Comma 3 3 2 4 7" xfId="11619" xr:uid="{97DA6F9E-4BA5-43A5-AF65-5EDC3600DA48}"/>
    <cellStyle name="Comma 3 3 2 4 7 2" xfId="48127" xr:uid="{F5F686A5-DB7D-4591-AE52-D50E45C81D4E}"/>
    <cellStyle name="Comma 3 3 2 4 7 3" xfId="29873" xr:uid="{90E295C5-E0BC-4FD3-B384-336E284F9B93}"/>
    <cellStyle name="Comma 3 3 2 4 8" xfId="7969" xr:uid="{747BF969-23E7-4957-A44E-09DED4AA93D3}"/>
    <cellStyle name="Comma 3 3 2 4 8 2" xfId="44477" xr:uid="{592A1570-9768-4E59-AF4A-BBB6B8C387A2}"/>
    <cellStyle name="Comma 3 3 2 4 8 3" xfId="26223" xr:uid="{21070762-39A4-4798-AAEE-7824D92B0881}"/>
    <cellStyle name="Comma 3 3 2 4 9" xfId="4319" xr:uid="{C60D9AF5-02A8-47E8-BF9A-F60B40E0EDCC}"/>
    <cellStyle name="Comma 3 3 2 4 9 2" xfId="40827" xr:uid="{6DD69F39-628F-4397-B5A4-0D6558B2A51C}"/>
    <cellStyle name="Comma 3 3 2 4 9 3" xfId="22573" xr:uid="{788ED793-0BFF-46DE-893D-A89E7B75CC34}"/>
    <cellStyle name="Comma 3 3 2 5" xfId="565" xr:uid="{86F3A36D-F2F1-4612-9A7B-5E0E67719917}"/>
    <cellStyle name="Comma 3 3 2 5 10" xfId="37073" xr:uid="{9C4DC26D-25E6-418F-B2AE-A29DA84577D1}"/>
    <cellStyle name="Comma 3 3 2 5 11" xfId="18819" xr:uid="{0826ABD5-BC42-4B73-A8B6-155499D1B4AC}"/>
    <cellStyle name="Comma 3 3 2 5 2" xfId="3485" xr:uid="{AC2B1840-2260-4107-8F07-C08DA051F6C3}"/>
    <cellStyle name="Comma 3 3 2 5 2 2" xfId="18085" xr:uid="{058A5D0C-1235-499C-9A03-0E03F19D993A}"/>
    <cellStyle name="Comma 3 3 2 5 2 2 2" xfId="54593" xr:uid="{D265E581-D784-4046-B69B-7233A66EADE0}"/>
    <cellStyle name="Comma 3 3 2 5 2 2 3" xfId="36339" xr:uid="{7EA5A732-C421-428A-ADC3-53168EADB7FC}"/>
    <cellStyle name="Comma 3 3 2 5 2 3" xfId="14435" xr:uid="{1E0FBF1B-00EB-4BB4-AB81-1A353C56B151}"/>
    <cellStyle name="Comma 3 3 2 5 2 3 2" xfId="50943" xr:uid="{F8165D66-1292-4ED6-86C4-25614C4EAC7B}"/>
    <cellStyle name="Comma 3 3 2 5 2 3 3" xfId="32689" xr:uid="{09C1EA86-85C8-455E-AAD8-C1FB2072CBFE}"/>
    <cellStyle name="Comma 3 3 2 5 2 4" xfId="10785" xr:uid="{3CE1B685-F040-4A97-ACE7-5D262E2F942B}"/>
    <cellStyle name="Comma 3 3 2 5 2 4 2" xfId="47293" xr:uid="{8A4D7066-9A17-4DD1-B0A7-543BBCCC9435}"/>
    <cellStyle name="Comma 3 3 2 5 2 4 3" xfId="29039" xr:uid="{4CE40DEC-A295-4F18-8D6C-9E8D294C7243}"/>
    <cellStyle name="Comma 3 3 2 5 2 5" xfId="7135" xr:uid="{C28A33CE-D93F-4726-8A88-5B283CAB5F5F}"/>
    <cellStyle name="Comma 3 3 2 5 2 5 2" xfId="43643" xr:uid="{52C25B72-79E0-44A9-AA9A-64D175E7B4B0}"/>
    <cellStyle name="Comma 3 3 2 5 2 5 3" xfId="25389" xr:uid="{84EB1521-7822-401A-BA08-F6CB19215762}"/>
    <cellStyle name="Comma 3 3 2 5 2 6" xfId="39993" xr:uid="{CC4D0E4A-50D3-4808-BEEF-67C39AEA4DD5}"/>
    <cellStyle name="Comma 3 3 2 5 2 7" xfId="21739" xr:uid="{17A23E2E-D72A-4DAC-9CF2-B921DE436A54}"/>
    <cellStyle name="Comma 3 3 2 5 3" xfId="2755" xr:uid="{2431D0F1-7EC2-49D9-834D-8FF9E42AF1FD}"/>
    <cellStyle name="Comma 3 3 2 5 3 2" xfId="17355" xr:uid="{249B6A41-CBE0-4E43-8881-325135B9E3A2}"/>
    <cellStyle name="Comma 3 3 2 5 3 2 2" xfId="53863" xr:uid="{487151EB-BCA5-4A4D-B01E-8DB7841BD2AA}"/>
    <cellStyle name="Comma 3 3 2 5 3 2 3" xfId="35609" xr:uid="{EE2BC606-38C4-4EC3-9B52-66863D8CA736}"/>
    <cellStyle name="Comma 3 3 2 5 3 3" xfId="13705" xr:uid="{3BE65D45-A7D8-4109-AB61-F6E3C1B2C87C}"/>
    <cellStyle name="Comma 3 3 2 5 3 3 2" xfId="50213" xr:uid="{3B0AD1DE-674E-4734-9B5E-C85BC5129EA1}"/>
    <cellStyle name="Comma 3 3 2 5 3 3 3" xfId="31959" xr:uid="{AC382EEF-FC82-4057-AAC1-78D0C011EEEC}"/>
    <cellStyle name="Comma 3 3 2 5 3 4" xfId="10055" xr:uid="{53C166C5-28EE-44E6-A75C-6627B5A71F9A}"/>
    <cellStyle name="Comma 3 3 2 5 3 4 2" xfId="46563" xr:uid="{B3BA5917-4898-4A4E-BE1E-C0289B6C2DD4}"/>
    <cellStyle name="Comma 3 3 2 5 3 4 3" xfId="28309" xr:uid="{46A48611-C63F-414B-AE4B-48DA92AD1C77}"/>
    <cellStyle name="Comma 3 3 2 5 3 5" xfId="6405" xr:uid="{52B51C73-0A9A-4BA8-8E16-3DEC28F0D20C}"/>
    <cellStyle name="Comma 3 3 2 5 3 5 2" xfId="42913" xr:uid="{419BFB9E-9A04-4CEE-B2BF-C7C8C3424AF1}"/>
    <cellStyle name="Comma 3 3 2 5 3 5 3" xfId="24659" xr:uid="{7844C9F2-5953-4728-8C08-23401731B0E3}"/>
    <cellStyle name="Comma 3 3 2 5 3 6" xfId="39263" xr:uid="{93CD0BFE-85E3-4E82-AFA2-4CE2D4DBC5B0}"/>
    <cellStyle name="Comma 3 3 2 5 3 7" xfId="21009" xr:uid="{F58E0D43-6A3D-4F78-AADD-4F9EE7BF005B}"/>
    <cellStyle name="Comma 3 3 2 5 4" xfId="2025" xr:uid="{90CCDA1F-87E2-4A7B-9720-2253C964422D}"/>
    <cellStyle name="Comma 3 3 2 5 4 2" xfId="16625" xr:uid="{96939305-5EA6-4E46-8944-F9C2A0ADC50E}"/>
    <cellStyle name="Comma 3 3 2 5 4 2 2" xfId="53133" xr:uid="{A7681B2F-6933-438A-9FF3-8B087A4359F7}"/>
    <cellStyle name="Comma 3 3 2 5 4 2 3" xfId="34879" xr:uid="{584FB55A-3655-4E64-B4A6-510523ACE02B}"/>
    <cellStyle name="Comma 3 3 2 5 4 3" xfId="12975" xr:uid="{845D8578-4F21-4073-BCB1-F30CC76D1D3A}"/>
    <cellStyle name="Comma 3 3 2 5 4 3 2" xfId="49483" xr:uid="{DA383943-04A0-4A1F-B54A-4E47761B5A6E}"/>
    <cellStyle name="Comma 3 3 2 5 4 3 3" xfId="31229" xr:uid="{2F96A9B6-65FD-469C-B61E-AE5D48CABED0}"/>
    <cellStyle name="Comma 3 3 2 5 4 4" xfId="9325" xr:uid="{F27890C1-720C-46CE-A411-A3D503C44666}"/>
    <cellStyle name="Comma 3 3 2 5 4 4 2" xfId="45833" xr:uid="{A6EAD6F4-66C8-4018-84C1-7BD7E9AA320A}"/>
    <cellStyle name="Comma 3 3 2 5 4 4 3" xfId="27579" xr:uid="{852A15D5-3A42-4E38-8A44-831C9638CE55}"/>
    <cellStyle name="Comma 3 3 2 5 4 5" xfId="5675" xr:uid="{66C58C94-C4B9-4F2E-8962-23B3C0823C29}"/>
    <cellStyle name="Comma 3 3 2 5 4 5 2" xfId="42183" xr:uid="{F7D60B4A-B5E3-42D2-87F7-8151A7AD2E96}"/>
    <cellStyle name="Comma 3 3 2 5 4 5 3" xfId="23929" xr:uid="{BE266C9F-2409-426B-94B3-B983E47A07DF}"/>
    <cellStyle name="Comma 3 3 2 5 4 6" xfId="38533" xr:uid="{E05B4430-2307-4E89-954B-14FCD159B0E6}"/>
    <cellStyle name="Comma 3 3 2 5 4 7" xfId="20279" xr:uid="{E077FCFE-3C46-48B5-8629-04E407DB12BD}"/>
    <cellStyle name="Comma 3 3 2 5 5" xfId="1295" xr:uid="{8407A32A-AAC4-4AA2-A4FA-F090D93966AF}"/>
    <cellStyle name="Comma 3 3 2 5 5 2" xfId="15895" xr:uid="{99A0BA49-8E4C-440B-86C2-FF2490480AB5}"/>
    <cellStyle name="Comma 3 3 2 5 5 2 2" xfId="52403" xr:uid="{8956A7BF-88CC-4757-A663-AA4E3783EB25}"/>
    <cellStyle name="Comma 3 3 2 5 5 2 3" xfId="34149" xr:uid="{42548792-58FE-4C12-A78C-E55854FC7B22}"/>
    <cellStyle name="Comma 3 3 2 5 5 3" xfId="12245" xr:uid="{67C3C4C5-E372-4629-A6A8-17D2FD229982}"/>
    <cellStyle name="Comma 3 3 2 5 5 3 2" xfId="48753" xr:uid="{F6DB7B66-C3AB-4F45-8966-C618B98DF5AC}"/>
    <cellStyle name="Comma 3 3 2 5 5 3 3" xfId="30499" xr:uid="{27879D18-40AD-4C86-98E2-7EEF0342EB4A}"/>
    <cellStyle name="Comma 3 3 2 5 5 4" xfId="8595" xr:uid="{3D19AC06-7C32-418F-BB32-5D44B8143737}"/>
    <cellStyle name="Comma 3 3 2 5 5 4 2" xfId="45103" xr:uid="{F7D838CE-FE6C-4BF4-A819-B86078641FCD}"/>
    <cellStyle name="Comma 3 3 2 5 5 4 3" xfId="26849" xr:uid="{C6AE292A-981F-4320-9CCD-ED8D4D29507B}"/>
    <cellStyle name="Comma 3 3 2 5 5 5" xfId="4945" xr:uid="{2E32F84D-A76A-49EA-8F79-AFEBEEB5B15C}"/>
    <cellStyle name="Comma 3 3 2 5 5 5 2" xfId="41453" xr:uid="{AA2F566A-B4EE-4E27-943A-E7F0D3A10191}"/>
    <cellStyle name="Comma 3 3 2 5 5 5 3" xfId="23199" xr:uid="{A5664590-B671-4570-AACC-400F0C5B4CF5}"/>
    <cellStyle name="Comma 3 3 2 5 5 6" xfId="37803" xr:uid="{02113841-297D-480F-894C-B3BDD3222C2C}"/>
    <cellStyle name="Comma 3 3 2 5 5 7" xfId="19549" xr:uid="{2CBFA06C-C6DA-47E5-876B-FDCFCB125C52}"/>
    <cellStyle name="Comma 3 3 2 5 6" xfId="15165" xr:uid="{F875C62B-7904-4D85-ABC2-EFCA75B2F96D}"/>
    <cellStyle name="Comma 3 3 2 5 6 2" xfId="51673" xr:uid="{0A87FB9F-97A7-42C7-8691-11D3728C1849}"/>
    <cellStyle name="Comma 3 3 2 5 6 3" xfId="33419" xr:uid="{2BB955DF-8AB3-40E0-8FD8-A55FA13D712F}"/>
    <cellStyle name="Comma 3 3 2 5 7" xfId="11515" xr:uid="{9EE256FC-BAB5-4296-A3A6-22B690BD98FB}"/>
    <cellStyle name="Comma 3 3 2 5 7 2" xfId="48023" xr:uid="{F1F239A4-AAA9-4631-8196-33718CDF0023}"/>
    <cellStyle name="Comma 3 3 2 5 7 3" xfId="29769" xr:uid="{E16CEF66-1047-4E62-8A5C-57DA84B367A5}"/>
    <cellStyle name="Comma 3 3 2 5 8" xfId="7865" xr:uid="{07CCA30C-1FE0-4650-B458-46F8CCC73559}"/>
    <cellStyle name="Comma 3 3 2 5 8 2" xfId="44373" xr:uid="{2904F752-D9BE-400A-9AF9-FAE7388E8ECB}"/>
    <cellStyle name="Comma 3 3 2 5 8 3" xfId="26119" xr:uid="{ABDD0261-2C9A-4C7D-9C13-9756758BB13A}"/>
    <cellStyle name="Comma 3 3 2 5 9" xfId="4215" xr:uid="{BDED7164-0C66-4C24-87BC-46DF7761AA71}"/>
    <cellStyle name="Comma 3 3 2 5 9 2" xfId="40723" xr:uid="{8B88E07A-D3F5-4DBA-BE09-83DBE2C69C97}"/>
    <cellStyle name="Comma 3 3 2 5 9 3" xfId="22469" xr:uid="{91956364-055D-4AA8-B512-BA6AFD46179D}"/>
    <cellStyle name="Comma 3 3 2 6" xfId="461" xr:uid="{704696B8-B9AF-4593-8B3B-A0BBC1672C99}"/>
    <cellStyle name="Comma 3 3 2 6 10" xfId="36969" xr:uid="{865D8E5B-A3FC-4260-9076-ECEBBC3D48BC}"/>
    <cellStyle name="Comma 3 3 2 6 11" xfId="18715" xr:uid="{28B6C142-FDDB-4713-935E-879427E173AD}"/>
    <cellStyle name="Comma 3 3 2 6 2" xfId="3381" xr:uid="{D9183C9E-0B93-4BC2-9F41-0CC1A5C98053}"/>
    <cellStyle name="Comma 3 3 2 6 2 2" xfId="17981" xr:uid="{2EA04296-B7C2-4E33-8A8D-4CA88EC0BE4A}"/>
    <cellStyle name="Comma 3 3 2 6 2 2 2" xfId="54489" xr:uid="{4C301208-4060-44A4-AC08-ED3723BB9DF6}"/>
    <cellStyle name="Comma 3 3 2 6 2 2 3" xfId="36235" xr:uid="{9EF14022-87F0-4E39-BD20-81F5CCA9DC4A}"/>
    <cellStyle name="Comma 3 3 2 6 2 3" xfId="14331" xr:uid="{4EF3791C-DF91-4C83-86E8-5ACC8C7DDFF0}"/>
    <cellStyle name="Comma 3 3 2 6 2 3 2" xfId="50839" xr:uid="{8989385B-7BAD-4C41-B2A1-628F42FA9CEF}"/>
    <cellStyle name="Comma 3 3 2 6 2 3 3" xfId="32585" xr:uid="{3A3ABEA0-C311-4FFB-AAD5-091AF359CEA7}"/>
    <cellStyle name="Comma 3 3 2 6 2 4" xfId="10681" xr:uid="{844588FC-B38E-467C-B686-D83D350421FA}"/>
    <cellStyle name="Comma 3 3 2 6 2 4 2" xfId="47189" xr:uid="{C799A3C7-D8AC-4D21-B587-7C9CDE1A9DDA}"/>
    <cellStyle name="Comma 3 3 2 6 2 4 3" xfId="28935" xr:uid="{4EA33D48-C397-46E1-918F-876CFFD260D1}"/>
    <cellStyle name="Comma 3 3 2 6 2 5" xfId="7031" xr:uid="{E5BF8C39-6AB5-4E03-911C-94CB34DBA35C}"/>
    <cellStyle name="Comma 3 3 2 6 2 5 2" xfId="43539" xr:uid="{76E9B2D0-43F2-452E-ABE0-6EF3014DBE39}"/>
    <cellStyle name="Comma 3 3 2 6 2 5 3" xfId="25285" xr:uid="{CE486AFF-2F48-481E-ABD8-9032985BC92C}"/>
    <cellStyle name="Comma 3 3 2 6 2 6" xfId="39889" xr:uid="{63F822A8-A607-4F23-885E-CA85B2B2F495}"/>
    <cellStyle name="Comma 3 3 2 6 2 7" xfId="21635" xr:uid="{92928DB6-A4F7-4707-9E11-7D5BC4D96FD9}"/>
    <cellStyle name="Comma 3 3 2 6 3" xfId="2651" xr:uid="{2AB96B35-2594-44EA-9A03-B104B0E133E8}"/>
    <cellStyle name="Comma 3 3 2 6 3 2" xfId="17251" xr:uid="{8075D8E9-75C9-4C45-A2FC-CC6665BD0E21}"/>
    <cellStyle name="Comma 3 3 2 6 3 2 2" xfId="53759" xr:uid="{8978FABE-7596-4D8B-9026-65C4C0537078}"/>
    <cellStyle name="Comma 3 3 2 6 3 2 3" xfId="35505" xr:uid="{14B43DED-4537-4C4F-A803-65848EFD0316}"/>
    <cellStyle name="Comma 3 3 2 6 3 3" xfId="13601" xr:uid="{6F902F8A-A2BE-428F-8ECD-37307D6704CD}"/>
    <cellStyle name="Comma 3 3 2 6 3 3 2" xfId="50109" xr:uid="{8CF5C9C5-8A40-419C-880A-3DC09B7EFCEE}"/>
    <cellStyle name="Comma 3 3 2 6 3 3 3" xfId="31855" xr:uid="{2F1DB34C-E922-4B03-AC7B-E93F3DC9CF3E}"/>
    <cellStyle name="Comma 3 3 2 6 3 4" xfId="9951" xr:uid="{8480B896-FC29-4757-A208-E0E01ABAD1AC}"/>
    <cellStyle name="Comma 3 3 2 6 3 4 2" xfId="46459" xr:uid="{420C8F6A-0418-484A-BA53-27277CCF60F0}"/>
    <cellStyle name="Comma 3 3 2 6 3 4 3" xfId="28205" xr:uid="{A520B426-186F-41A2-B192-D52BF9136766}"/>
    <cellStyle name="Comma 3 3 2 6 3 5" xfId="6301" xr:uid="{B29BAE16-228B-4FB6-8E68-C7E01859DEC6}"/>
    <cellStyle name="Comma 3 3 2 6 3 5 2" xfId="42809" xr:uid="{17A24A5A-BD0C-4766-9FB7-BADDC6433363}"/>
    <cellStyle name="Comma 3 3 2 6 3 5 3" xfId="24555" xr:uid="{323FABFF-F013-4E1B-AC31-A2D018CFEB66}"/>
    <cellStyle name="Comma 3 3 2 6 3 6" xfId="39159" xr:uid="{0ADD5BA5-DFE0-41C1-AEA9-B10DBF6A037F}"/>
    <cellStyle name="Comma 3 3 2 6 3 7" xfId="20905" xr:uid="{238CBC54-B610-43D6-ABF7-3DA4D59BDA7E}"/>
    <cellStyle name="Comma 3 3 2 6 4" xfId="1921" xr:uid="{8E1CE9FE-40AD-4664-BE69-AC423DE6085C}"/>
    <cellStyle name="Comma 3 3 2 6 4 2" xfId="16521" xr:uid="{5977E2A7-CBA9-4DA6-AA8F-21C1CE2A60DF}"/>
    <cellStyle name="Comma 3 3 2 6 4 2 2" xfId="53029" xr:uid="{DCA90154-E1DF-47EF-AC97-5BCB685B17CB}"/>
    <cellStyle name="Comma 3 3 2 6 4 2 3" xfId="34775" xr:uid="{1FF40359-73FE-429F-ADAA-E9375140B5F2}"/>
    <cellStyle name="Comma 3 3 2 6 4 3" xfId="12871" xr:uid="{A074F411-201B-4368-B132-53093FFB94E6}"/>
    <cellStyle name="Comma 3 3 2 6 4 3 2" xfId="49379" xr:uid="{4A529522-5D65-469D-9FA1-2112D60425A2}"/>
    <cellStyle name="Comma 3 3 2 6 4 3 3" xfId="31125" xr:uid="{CFF4C0E5-216A-4457-AAA1-D79740F9AEC8}"/>
    <cellStyle name="Comma 3 3 2 6 4 4" xfId="9221" xr:uid="{91526C6A-CF9F-4292-B7CA-3EC735A7783C}"/>
    <cellStyle name="Comma 3 3 2 6 4 4 2" xfId="45729" xr:uid="{BFB95A04-4A57-4D9D-B9F8-5854231B6D29}"/>
    <cellStyle name="Comma 3 3 2 6 4 4 3" xfId="27475" xr:uid="{71DA5A0B-76B8-4D16-8615-E123283B9D30}"/>
    <cellStyle name="Comma 3 3 2 6 4 5" xfId="5571" xr:uid="{33DE63FA-478E-4385-AA22-4127B49FB870}"/>
    <cellStyle name="Comma 3 3 2 6 4 5 2" xfId="42079" xr:uid="{E3229854-2E51-4B22-B6E3-A335EEAFAA12}"/>
    <cellStyle name="Comma 3 3 2 6 4 5 3" xfId="23825" xr:uid="{20B6C483-673F-4E91-81CA-2CA190F62100}"/>
    <cellStyle name="Comma 3 3 2 6 4 6" xfId="38429" xr:uid="{441F5DD2-AF15-476E-B79B-A66858E669E9}"/>
    <cellStyle name="Comma 3 3 2 6 4 7" xfId="20175" xr:uid="{B5BA6146-B1A0-40E2-B189-0B4DC403FE7C}"/>
    <cellStyle name="Comma 3 3 2 6 5" xfId="1191" xr:uid="{281109E5-D0DE-4212-80AC-59465203AF79}"/>
    <cellStyle name="Comma 3 3 2 6 5 2" xfId="15791" xr:uid="{71FCD312-53B2-41A9-8475-85486B5EF692}"/>
    <cellStyle name="Comma 3 3 2 6 5 2 2" xfId="52299" xr:uid="{36A39B68-F98D-466F-A274-35822ADDAD90}"/>
    <cellStyle name="Comma 3 3 2 6 5 2 3" xfId="34045" xr:uid="{DB995EE9-7012-4075-B23E-93186F1CFF22}"/>
    <cellStyle name="Comma 3 3 2 6 5 3" xfId="12141" xr:uid="{8376E41D-34F8-4037-98D4-B5F969603CC6}"/>
    <cellStyle name="Comma 3 3 2 6 5 3 2" xfId="48649" xr:uid="{CC3CBD9C-8134-4058-869D-49DE9AB7E28F}"/>
    <cellStyle name="Comma 3 3 2 6 5 3 3" xfId="30395" xr:uid="{383145AA-D484-4A7A-8B03-DCDDC88382C4}"/>
    <cellStyle name="Comma 3 3 2 6 5 4" xfId="8491" xr:uid="{D25F449D-91A0-4F36-A17D-076583A7BDA0}"/>
    <cellStyle name="Comma 3 3 2 6 5 4 2" xfId="44999" xr:uid="{87EBA42F-7813-4E5C-8041-0C2A9658449D}"/>
    <cellStyle name="Comma 3 3 2 6 5 4 3" xfId="26745" xr:uid="{89796039-86FD-4C3B-8421-AD66F77CC8A9}"/>
    <cellStyle name="Comma 3 3 2 6 5 5" xfId="4841" xr:uid="{08C928D4-57D0-4903-8EE3-DAB12B13BD67}"/>
    <cellStyle name="Comma 3 3 2 6 5 5 2" xfId="41349" xr:uid="{FADE2B3A-3BBD-480C-9FEA-67D0593AD890}"/>
    <cellStyle name="Comma 3 3 2 6 5 5 3" xfId="23095" xr:uid="{6A907509-F8A9-4AFB-A2C4-41252F89E3A0}"/>
    <cellStyle name="Comma 3 3 2 6 5 6" xfId="37699" xr:uid="{B8E7F1BA-60EE-4126-BE68-F2DF4B0F1716}"/>
    <cellStyle name="Comma 3 3 2 6 5 7" xfId="19445" xr:uid="{6B53D49E-35E6-4125-8C02-AE628011EEE8}"/>
    <cellStyle name="Comma 3 3 2 6 6" xfId="15061" xr:uid="{26376A6C-5962-452B-85BB-1A9676C629AF}"/>
    <cellStyle name="Comma 3 3 2 6 6 2" xfId="51569" xr:uid="{6D317BAB-9794-44BC-890E-27C6D7599424}"/>
    <cellStyle name="Comma 3 3 2 6 6 3" xfId="33315" xr:uid="{E972AD9F-B21A-40FE-90FC-9707451BF29D}"/>
    <cellStyle name="Comma 3 3 2 6 7" xfId="11411" xr:uid="{6DD24665-3C9E-45F8-8548-120F8A936D24}"/>
    <cellStyle name="Comma 3 3 2 6 7 2" xfId="47919" xr:uid="{C36B8BF5-7131-402F-8B9E-009C6C3E783E}"/>
    <cellStyle name="Comma 3 3 2 6 7 3" xfId="29665" xr:uid="{47B58946-D8A6-4B42-B65F-D0EF0BC45877}"/>
    <cellStyle name="Comma 3 3 2 6 8" xfId="7761" xr:uid="{14B2631D-A250-4413-937A-75DCE0468407}"/>
    <cellStyle name="Comma 3 3 2 6 8 2" xfId="44269" xr:uid="{68F29C79-67A7-4B41-A2AD-AA5B71546F56}"/>
    <cellStyle name="Comma 3 3 2 6 8 3" xfId="26015" xr:uid="{09FAC68A-1556-463C-9967-2F35E7F3EA83}"/>
    <cellStyle name="Comma 3 3 2 6 9" xfId="4111" xr:uid="{57D61D31-9440-4A4E-A56A-0E90501AA11F}"/>
    <cellStyle name="Comma 3 3 2 6 9 2" xfId="40619" xr:uid="{691F7CBB-D940-488B-948A-C18EAC89F593}"/>
    <cellStyle name="Comma 3 3 2 6 9 3" xfId="22365" xr:uid="{CB56056B-77E5-4B07-B9B0-FF7D3396E0D7}"/>
    <cellStyle name="Comma 3 3 2 7" xfId="357" xr:uid="{03CA3B7F-539A-40A4-9647-40E9F10097B2}"/>
    <cellStyle name="Comma 3 3 2 7 10" xfId="36865" xr:uid="{559C7A70-1790-4485-B1EB-67759B64448D}"/>
    <cellStyle name="Comma 3 3 2 7 11" xfId="18611" xr:uid="{176CFBAD-C9BC-452D-A0D6-2395E334423F}"/>
    <cellStyle name="Comma 3 3 2 7 2" xfId="3277" xr:uid="{A1132AF4-4888-4692-A381-41FD3CCA9BFD}"/>
    <cellStyle name="Comma 3 3 2 7 2 2" xfId="17877" xr:uid="{607F6F06-7C12-4C1D-A8D3-14E8552E4ACE}"/>
    <cellStyle name="Comma 3 3 2 7 2 2 2" xfId="54385" xr:uid="{5A4F0427-191E-4425-8B00-898FE7A851FF}"/>
    <cellStyle name="Comma 3 3 2 7 2 2 3" xfId="36131" xr:uid="{37030D22-89EF-43B1-8C0C-51E67C7663E6}"/>
    <cellStyle name="Comma 3 3 2 7 2 3" xfId="14227" xr:uid="{D6B63251-2908-4BC3-A6E5-E670F4369153}"/>
    <cellStyle name="Comma 3 3 2 7 2 3 2" xfId="50735" xr:uid="{4471AA1E-7CEF-44EC-909B-58782206320A}"/>
    <cellStyle name="Comma 3 3 2 7 2 3 3" xfId="32481" xr:uid="{62705722-94AF-4608-B64C-F1DFB9FF95BD}"/>
    <cellStyle name="Comma 3 3 2 7 2 4" xfId="10577" xr:uid="{5E9BB989-BE4E-495F-85F5-9D942672D87F}"/>
    <cellStyle name="Comma 3 3 2 7 2 4 2" xfId="47085" xr:uid="{DB0FADA6-2DF8-4220-B693-5604FE75FD19}"/>
    <cellStyle name="Comma 3 3 2 7 2 4 3" xfId="28831" xr:uid="{BF38FA63-6716-4797-B5B3-F292659242BD}"/>
    <cellStyle name="Comma 3 3 2 7 2 5" xfId="6927" xr:uid="{47A208A1-6A95-4276-BC9A-C9831F91B943}"/>
    <cellStyle name="Comma 3 3 2 7 2 5 2" xfId="43435" xr:uid="{82377CE8-9BE8-400E-B361-D8E31034ECC8}"/>
    <cellStyle name="Comma 3 3 2 7 2 5 3" xfId="25181" xr:uid="{A7E307B5-4E72-4170-A6AD-55228FCC2E2C}"/>
    <cellStyle name="Comma 3 3 2 7 2 6" xfId="39785" xr:uid="{7CB2F778-267F-4B88-89A8-F5A5203F9812}"/>
    <cellStyle name="Comma 3 3 2 7 2 7" xfId="21531" xr:uid="{054D5489-0AAD-4257-879F-E0A8D863E76E}"/>
    <cellStyle name="Comma 3 3 2 7 3" xfId="2547" xr:uid="{712A7F59-5F8D-4D63-AE87-220C03591FED}"/>
    <cellStyle name="Comma 3 3 2 7 3 2" xfId="17147" xr:uid="{68CD6062-1EC3-4B22-8C82-45E8F9B611BF}"/>
    <cellStyle name="Comma 3 3 2 7 3 2 2" xfId="53655" xr:uid="{BA2AE51D-E851-448D-BDAB-D919B2D1D5CA}"/>
    <cellStyle name="Comma 3 3 2 7 3 2 3" xfId="35401" xr:uid="{6C66850A-3FF2-44C0-AF36-897786E94B7F}"/>
    <cellStyle name="Comma 3 3 2 7 3 3" xfId="13497" xr:uid="{3E018D8E-AC37-4CC5-9B14-004149DB3E0A}"/>
    <cellStyle name="Comma 3 3 2 7 3 3 2" xfId="50005" xr:uid="{2913E31B-59A9-46A9-B672-5EAD6F4ED6EF}"/>
    <cellStyle name="Comma 3 3 2 7 3 3 3" xfId="31751" xr:uid="{57EA70D5-F301-44BB-B3CF-8A606EDBBBCD}"/>
    <cellStyle name="Comma 3 3 2 7 3 4" xfId="9847" xr:uid="{33DF6971-7B12-4A07-9538-14A9123B4C1A}"/>
    <cellStyle name="Comma 3 3 2 7 3 4 2" xfId="46355" xr:uid="{25072F3A-5277-4999-B185-4AF7F00398DB}"/>
    <cellStyle name="Comma 3 3 2 7 3 4 3" xfId="28101" xr:uid="{1DEBDC22-C354-423B-8112-2F0D31B583F7}"/>
    <cellStyle name="Comma 3 3 2 7 3 5" xfId="6197" xr:uid="{0ADDB961-0139-4B24-BCEB-72B24815EA6F}"/>
    <cellStyle name="Comma 3 3 2 7 3 5 2" xfId="42705" xr:uid="{BAFE99C9-85E5-4B75-8333-B0DC923CBAA1}"/>
    <cellStyle name="Comma 3 3 2 7 3 5 3" xfId="24451" xr:uid="{974938A1-8D5C-487F-9642-D9E5E356FCB3}"/>
    <cellStyle name="Comma 3 3 2 7 3 6" xfId="39055" xr:uid="{46E99BEE-1216-4FE0-B926-6BBED56BDDCB}"/>
    <cellStyle name="Comma 3 3 2 7 3 7" xfId="20801" xr:uid="{DB4CC6AB-21A9-423A-B7F7-2E23628DFEEF}"/>
    <cellStyle name="Comma 3 3 2 7 4" xfId="1817" xr:uid="{540CD089-7414-4D06-BF8E-5635C44314B3}"/>
    <cellStyle name="Comma 3 3 2 7 4 2" xfId="16417" xr:uid="{D5BBFA8F-9F5F-42C2-9A9B-32CF1FF2E2CB}"/>
    <cellStyle name="Comma 3 3 2 7 4 2 2" xfId="52925" xr:uid="{59367FC2-5C45-4360-8FDD-3A0379950908}"/>
    <cellStyle name="Comma 3 3 2 7 4 2 3" xfId="34671" xr:uid="{772FDDFD-5DEE-410C-8B97-C5692FA57747}"/>
    <cellStyle name="Comma 3 3 2 7 4 3" xfId="12767" xr:uid="{2C2093B9-9676-4F3A-ADA6-1542B0B04BD4}"/>
    <cellStyle name="Comma 3 3 2 7 4 3 2" xfId="49275" xr:uid="{5F45B06B-F740-4EE2-9957-C424098FB8CD}"/>
    <cellStyle name="Comma 3 3 2 7 4 3 3" xfId="31021" xr:uid="{83813219-5107-401C-B603-5B19FE05F6FD}"/>
    <cellStyle name="Comma 3 3 2 7 4 4" xfId="9117" xr:uid="{9B91D881-AB82-467F-8CF1-6CC092DD6558}"/>
    <cellStyle name="Comma 3 3 2 7 4 4 2" xfId="45625" xr:uid="{173123C4-0F04-444A-9142-F28A0A73F346}"/>
    <cellStyle name="Comma 3 3 2 7 4 4 3" xfId="27371" xr:uid="{069481D7-8F3E-4640-8595-9944DF45DAD2}"/>
    <cellStyle name="Comma 3 3 2 7 4 5" xfId="5467" xr:uid="{97173CFE-AB44-4D28-9178-45730AB0B4B8}"/>
    <cellStyle name="Comma 3 3 2 7 4 5 2" xfId="41975" xr:uid="{5EEA1991-ED6E-470C-BB2F-81E77400E2AA}"/>
    <cellStyle name="Comma 3 3 2 7 4 5 3" xfId="23721" xr:uid="{5AC029B7-D69E-4725-86C9-AE8F783A6F42}"/>
    <cellStyle name="Comma 3 3 2 7 4 6" xfId="38325" xr:uid="{826066BF-BD2E-4FC1-A8F7-FF426A0D1B67}"/>
    <cellStyle name="Comma 3 3 2 7 4 7" xfId="20071" xr:uid="{614DCB4D-EB57-4E1E-9E0F-53C4EEA1FE36}"/>
    <cellStyle name="Comma 3 3 2 7 5" xfId="1087" xr:uid="{331C9CDB-8B0E-4187-A344-28FE42EB011E}"/>
    <cellStyle name="Comma 3 3 2 7 5 2" xfId="15687" xr:uid="{484948FE-19D3-44D6-AD3B-C9C12AB561F6}"/>
    <cellStyle name="Comma 3 3 2 7 5 2 2" xfId="52195" xr:uid="{7342BB98-CFF5-4FF5-9A16-DDF8CEEA388B}"/>
    <cellStyle name="Comma 3 3 2 7 5 2 3" xfId="33941" xr:uid="{99194475-1236-4FC0-8BB1-63A0FE979B97}"/>
    <cellStyle name="Comma 3 3 2 7 5 3" xfId="12037" xr:uid="{64EEDBB7-B459-4D72-8983-F2DEE05BD0E3}"/>
    <cellStyle name="Comma 3 3 2 7 5 3 2" xfId="48545" xr:uid="{5070E7AA-DDD0-4A8E-847D-3D34506E7BF1}"/>
    <cellStyle name="Comma 3 3 2 7 5 3 3" xfId="30291" xr:uid="{61239577-159E-4627-859C-1B9C6F15513D}"/>
    <cellStyle name="Comma 3 3 2 7 5 4" xfId="8387" xr:uid="{795BD0D0-4674-403F-9F3A-CEA0300B8620}"/>
    <cellStyle name="Comma 3 3 2 7 5 4 2" xfId="44895" xr:uid="{1E18A721-5D89-4A75-9BAD-7B081DB1B9B0}"/>
    <cellStyle name="Comma 3 3 2 7 5 4 3" xfId="26641" xr:uid="{758DF0AF-B02F-4BD9-B7F7-30F2C1E35740}"/>
    <cellStyle name="Comma 3 3 2 7 5 5" xfId="4737" xr:uid="{360DE1C0-FC8C-4682-B4C0-B16D583A24BA}"/>
    <cellStyle name="Comma 3 3 2 7 5 5 2" xfId="41245" xr:uid="{8FC9E56E-900A-4064-86F6-7F8D9AF0D220}"/>
    <cellStyle name="Comma 3 3 2 7 5 5 3" xfId="22991" xr:uid="{71E8E943-FBE6-46EC-90AD-773BBDF77819}"/>
    <cellStyle name="Comma 3 3 2 7 5 6" xfId="37595" xr:uid="{A9E2A063-AD2D-4B98-BF2A-62358B7E1188}"/>
    <cellStyle name="Comma 3 3 2 7 5 7" xfId="19341" xr:uid="{6080FEF0-6E71-41A0-BE73-8343EFA88274}"/>
    <cellStyle name="Comma 3 3 2 7 6" xfId="14957" xr:uid="{61D6CE6B-D66D-459B-BC9F-9750ADADBFC7}"/>
    <cellStyle name="Comma 3 3 2 7 6 2" xfId="51465" xr:uid="{C3C3A473-7579-45E5-A369-A54606A22BE0}"/>
    <cellStyle name="Comma 3 3 2 7 6 3" xfId="33211" xr:uid="{C8E0A90B-BE27-4428-8015-F0EDFB89F003}"/>
    <cellStyle name="Comma 3 3 2 7 7" xfId="11307" xr:uid="{620563EA-29C1-4617-8076-68011F370F6B}"/>
    <cellStyle name="Comma 3 3 2 7 7 2" xfId="47815" xr:uid="{542D6946-4E65-4F13-98E5-B45B4F82F13C}"/>
    <cellStyle name="Comma 3 3 2 7 7 3" xfId="29561" xr:uid="{4C285E0F-25D3-4D65-BF81-C0E6A7311897}"/>
    <cellStyle name="Comma 3 3 2 7 8" xfId="7657" xr:uid="{0864CA58-27CD-4596-8C0F-B90BA5A219E6}"/>
    <cellStyle name="Comma 3 3 2 7 8 2" xfId="44165" xr:uid="{4971C3C1-2A7A-4AE8-8075-55901009CE42}"/>
    <cellStyle name="Comma 3 3 2 7 8 3" xfId="25911" xr:uid="{E733F86E-972C-435A-AACA-7919DB986571}"/>
    <cellStyle name="Comma 3 3 2 7 9" xfId="4007" xr:uid="{0E5A51D6-9B4B-453B-A246-3B4199F6CC5E}"/>
    <cellStyle name="Comma 3 3 2 7 9 2" xfId="40515" xr:uid="{1FCA956B-A036-4AEA-94E0-9C3B659311CE}"/>
    <cellStyle name="Comma 3 3 2 7 9 3" xfId="22261" xr:uid="{4C4E3EE4-FF23-4F45-BCC1-5F91C47D509E}"/>
    <cellStyle name="Comma 3 3 2 8" xfId="253" xr:uid="{47A81DA6-9C48-4178-8F0F-BDF03CA7ED4C}"/>
    <cellStyle name="Comma 3 3 2 8 10" xfId="36761" xr:uid="{C69A2A1F-79B0-4A84-9B40-C5C8BCEF65A4}"/>
    <cellStyle name="Comma 3 3 2 8 11" xfId="18507" xr:uid="{C456756C-62EB-452C-B706-9EB0A911D9CD}"/>
    <cellStyle name="Comma 3 3 2 8 2" xfId="3173" xr:uid="{B24536F0-59FD-44D1-BA15-7E5B87839DD8}"/>
    <cellStyle name="Comma 3 3 2 8 2 2" xfId="17773" xr:uid="{B112C98E-0183-4AAC-AA47-1DB0F27B99F3}"/>
    <cellStyle name="Comma 3 3 2 8 2 2 2" xfId="54281" xr:uid="{AEADEB8F-3E49-48D2-A08E-16D03BE0B435}"/>
    <cellStyle name="Comma 3 3 2 8 2 2 3" xfId="36027" xr:uid="{882FBBB5-04B1-4D46-80A9-907EC1972C51}"/>
    <cellStyle name="Comma 3 3 2 8 2 3" xfId="14123" xr:uid="{DF991078-8035-49CD-A0EB-1BE7C936B4BE}"/>
    <cellStyle name="Comma 3 3 2 8 2 3 2" xfId="50631" xr:uid="{3825E474-EFE1-4128-B180-8E0DD8EDC0A0}"/>
    <cellStyle name="Comma 3 3 2 8 2 3 3" xfId="32377" xr:uid="{6CDF529A-D0AC-48AE-BD02-DE8B5DFA2510}"/>
    <cellStyle name="Comma 3 3 2 8 2 4" xfId="10473" xr:uid="{B7131A50-EAA2-4740-BD03-9493107747E6}"/>
    <cellStyle name="Comma 3 3 2 8 2 4 2" xfId="46981" xr:uid="{D20B3945-ED7D-4CB5-9999-B78E552C5924}"/>
    <cellStyle name="Comma 3 3 2 8 2 4 3" xfId="28727" xr:uid="{F7DF432B-BEF1-4E87-A054-F261A05378C0}"/>
    <cellStyle name="Comma 3 3 2 8 2 5" xfId="6823" xr:uid="{3911ECD4-585E-441B-87AD-2582F52E156C}"/>
    <cellStyle name="Comma 3 3 2 8 2 5 2" xfId="43331" xr:uid="{A12E4855-5EBF-41B4-96B6-FE6D2FE1C78F}"/>
    <cellStyle name="Comma 3 3 2 8 2 5 3" xfId="25077" xr:uid="{679A57DC-EB49-42D4-AE43-009C4D2DEE07}"/>
    <cellStyle name="Comma 3 3 2 8 2 6" xfId="39681" xr:uid="{D68ED053-5E02-44C9-AB90-23A11E0AB4CA}"/>
    <cellStyle name="Comma 3 3 2 8 2 7" xfId="21427" xr:uid="{5D8A117E-4FB3-49EA-B509-397CBE010052}"/>
    <cellStyle name="Comma 3 3 2 8 3" xfId="2443" xr:uid="{B64688E7-B72A-40FB-ABBE-EB51A45098B2}"/>
    <cellStyle name="Comma 3 3 2 8 3 2" xfId="17043" xr:uid="{E19DDD78-2DFD-44C8-B89E-63AEB5CAA3AE}"/>
    <cellStyle name="Comma 3 3 2 8 3 2 2" xfId="53551" xr:uid="{9C90DBAF-7036-4CD4-A97D-CD5574563072}"/>
    <cellStyle name="Comma 3 3 2 8 3 2 3" xfId="35297" xr:uid="{6A136D39-722A-46C1-8BAF-A71924F4930D}"/>
    <cellStyle name="Comma 3 3 2 8 3 3" xfId="13393" xr:uid="{3ABF357D-D7AF-4D7F-9C37-F868E5CF96E4}"/>
    <cellStyle name="Comma 3 3 2 8 3 3 2" xfId="49901" xr:uid="{0000EB0B-BDA4-4896-83F0-C0A19A4B9F2E}"/>
    <cellStyle name="Comma 3 3 2 8 3 3 3" xfId="31647" xr:uid="{E7E8DA6B-7C3E-41F3-9D50-472C3EAEC048}"/>
    <cellStyle name="Comma 3 3 2 8 3 4" xfId="9743" xr:uid="{63909D4C-07F5-444F-81A6-14B869D95529}"/>
    <cellStyle name="Comma 3 3 2 8 3 4 2" xfId="46251" xr:uid="{E88F194E-E9E8-4310-BE4E-77879A3D9288}"/>
    <cellStyle name="Comma 3 3 2 8 3 4 3" xfId="27997" xr:uid="{46E0B6D2-242B-499D-A3A2-E5765ED86FAD}"/>
    <cellStyle name="Comma 3 3 2 8 3 5" xfId="6093" xr:uid="{862AD707-9F3A-4819-A781-E2400BF232C0}"/>
    <cellStyle name="Comma 3 3 2 8 3 5 2" xfId="42601" xr:uid="{7693CC0C-0463-4C06-A5B2-0282D37346B7}"/>
    <cellStyle name="Comma 3 3 2 8 3 5 3" xfId="24347" xr:uid="{A8FF729E-9C28-4D7A-A5B8-5C320D5F5486}"/>
    <cellStyle name="Comma 3 3 2 8 3 6" xfId="38951" xr:uid="{30AD68ED-97A9-4FA2-BF68-212A7FA39EE5}"/>
    <cellStyle name="Comma 3 3 2 8 3 7" xfId="20697" xr:uid="{D5013F18-5311-4D2C-A663-B25147E3B1AA}"/>
    <cellStyle name="Comma 3 3 2 8 4" xfId="1713" xr:uid="{70AD65D6-86B2-450D-BD3D-7F4A91A033E1}"/>
    <cellStyle name="Comma 3 3 2 8 4 2" xfId="16313" xr:uid="{782EA87E-9C55-4E9A-9190-14659020D5DD}"/>
    <cellStyle name="Comma 3 3 2 8 4 2 2" xfId="52821" xr:uid="{62DA4F6C-1EDD-499D-88B3-2CBF71FC69CB}"/>
    <cellStyle name="Comma 3 3 2 8 4 2 3" xfId="34567" xr:uid="{219DDFCD-4C7E-4788-9476-3036A0A39BC7}"/>
    <cellStyle name="Comma 3 3 2 8 4 3" xfId="12663" xr:uid="{E895EAB1-0340-49E0-9216-A90883F9734E}"/>
    <cellStyle name="Comma 3 3 2 8 4 3 2" xfId="49171" xr:uid="{C4CDBAE2-9A52-40AB-B0C8-70CEE134C6AB}"/>
    <cellStyle name="Comma 3 3 2 8 4 3 3" xfId="30917" xr:uid="{AF06CBBD-A717-4D14-8379-98E002398ABC}"/>
    <cellStyle name="Comma 3 3 2 8 4 4" xfId="9013" xr:uid="{668302E7-B3E0-4EE6-8E2A-2CFA4629CF24}"/>
    <cellStyle name="Comma 3 3 2 8 4 4 2" xfId="45521" xr:uid="{86E40DEC-BE3B-42B0-8939-4FC7BA5FAA2C}"/>
    <cellStyle name="Comma 3 3 2 8 4 4 3" xfId="27267" xr:uid="{80328D7B-A526-4418-B8CD-B18CBA5C6F46}"/>
    <cellStyle name="Comma 3 3 2 8 4 5" xfId="5363" xr:uid="{33174BA0-DAF0-431C-AF0E-F35EA752D8BC}"/>
    <cellStyle name="Comma 3 3 2 8 4 5 2" xfId="41871" xr:uid="{76C2414A-05E9-4266-94CC-606D6A134B32}"/>
    <cellStyle name="Comma 3 3 2 8 4 5 3" xfId="23617" xr:uid="{0D3C83F2-0C9A-4B61-8EBF-3F29A118C779}"/>
    <cellStyle name="Comma 3 3 2 8 4 6" xfId="38221" xr:uid="{EEDCCC83-A43C-4A56-89DF-CF3D0E0B9EEB}"/>
    <cellStyle name="Comma 3 3 2 8 4 7" xfId="19967" xr:uid="{E4B40C58-8752-4296-8362-B5329477C1A0}"/>
    <cellStyle name="Comma 3 3 2 8 5" xfId="983" xr:uid="{72D31032-55E2-49DA-BCAA-9F2CFCD73336}"/>
    <cellStyle name="Comma 3 3 2 8 5 2" xfId="15583" xr:uid="{1AB2D75F-37A0-4AA6-AD9B-9CB59274323E}"/>
    <cellStyle name="Comma 3 3 2 8 5 2 2" xfId="52091" xr:uid="{6004FEB3-601E-40A4-8B34-B2D423E48275}"/>
    <cellStyle name="Comma 3 3 2 8 5 2 3" xfId="33837" xr:uid="{07B06F21-332E-45A6-A324-02A78908F724}"/>
    <cellStyle name="Comma 3 3 2 8 5 3" xfId="11933" xr:uid="{DE2FFC35-7C9A-45E5-A0F6-1471A8371640}"/>
    <cellStyle name="Comma 3 3 2 8 5 3 2" xfId="48441" xr:uid="{477CA805-30FE-4BDA-8623-A8DFEF99D7C1}"/>
    <cellStyle name="Comma 3 3 2 8 5 3 3" xfId="30187" xr:uid="{917085E4-B3EB-490C-937C-3EDF11B36DB6}"/>
    <cellStyle name="Comma 3 3 2 8 5 4" xfId="8283" xr:uid="{823E4FF8-1858-4614-AA03-9E48325A304C}"/>
    <cellStyle name="Comma 3 3 2 8 5 4 2" xfId="44791" xr:uid="{55319D9E-6AD3-4CD7-BA8B-04088E042159}"/>
    <cellStyle name="Comma 3 3 2 8 5 4 3" xfId="26537" xr:uid="{6D136767-ED82-46DD-B4DB-E224DDC889A8}"/>
    <cellStyle name="Comma 3 3 2 8 5 5" xfId="4633" xr:uid="{09601F0E-417A-44FF-9471-A1BE67DD26E0}"/>
    <cellStyle name="Comma 3 3 2 8 5 5 2" xfId="41141" xr:uid="{D33FB599-A13B-4CC9-A0BD-7C0DA6EC4FA1}"/>
    <cellStyle name="Comma 3 3 2 8 5 5 3" xfId="22887" xr:uid="{2EF43F45-7706-4F5A-A9BD-99C115F4C29E}"/>
    <cellStyle name="Comma 3 3 2 8 5 6" xfId="37491" xr:uid="{9E9A6D1C-4BDD-4574-8954-D38EDA989846}"/>
    <cellStyle name="Comma 3 3 2 8 5 7" xfId="19237" xr:uid="{B3D1FC28-4068-4038-B294-92640A8DB6C4}"/>
    <cellStyle name="Comma 3 3 2 8 6" xfId="14853" xr:uid="{08C427BF-A918-4EED-8607-8C3B13E53EB6}"/>
    <cellStyle name="Comma 3 3 2 8 6 2" xfId="51361" xr:uid="{28BD0FD0-B979-4384-82D0-9F8CA3B7369D}"/>
    <cellStyle name="Comma 3 3 2 8 6 3" xfId="33107" xr:uid="{24CB9687-247C-4FB1-9A0A-DE0CC95BCDF0}"/>
    <cellStyle name="Comma 3 3 2 8 7" xfId="11203" xr:uid="{C525CEEE-6B5E-408F-8349-1A4DD573A10A}"/>
    <cellStyle name="Comma 3 3 2 8 7 2" xfId="47711" xr:uid="{3EBE0DE6-CBCC-4A8D-A44F-53C3A0319C31}"/>
    <cellStyle name="Comma 3 3 2 8 7 3" xfId="29457" xr:uid="{8FABBF4F-A7D2-4B93-97D3-AABD85766E04}"/>
    <cellStyle name="Comma 3 3 2 8 8" xfId="7553" xr:uid="{01233334-7A4C-4358-A1EE-E48028DE60BC}"/>
    <cellStyle name="Comma 3 3 2 8 8 2" xfId="44061" xr:uid="{D34E074A-3DB9-46AA-A22E-52C835F6A8ED}"/>
    <cellStyle name="Comma 3 3 2 8 8 3" xfId="25807" xr:uid="{17459FF1-8979-442B-8FDC-BFCB83943F14}"/>
    <cellStyle name="Comma 3 3 2 8 9" xfId="3903" xr:uid="{4E6A1913-E528-49BB-9CD8-D37E2624D2E1}"/>
    <cellStyle name="Comma 3 3 2 8 9 2" xfId="40411" xr:uid="{116F2868-22D8-41EC-8614-F4D1A35E11EE}"/>
    <cellStyle name="Comma 3 3 2 8 9 3" xfId="22157" xr:uid="{48B1CF36-2096-425E-B793-CE262B3920B8}"/>
    <cellStyle name="Comma 3 3 2 9" xfId="149" xr:uid="{83CCFD11-1E05-436D-92FA-D973BE6355AB}"/>
    <cellStyle name="Comma 3 3 2 9 10" xfId="36657" xr:uid="{2D1B027D-EF14-4A61-8503-793D2986492C}"/>
    <cellStyle name="Comma 3 3 2 9 11" xfId="18403" xr:uid="{8AA2C8DB-4548-4402-B229-B1E01851E0B2}"/>
    <cellStyle name="Comma 3 3 2 9 2" xfId="3069" xr:uid="{365302DB-8A0F-42DF-9424-E5EA58603419}"/>
    <cellStyle name="Comma 3 3 2 9 2 2" xfId="17669" xr:uid="{AF8B12B5-8566-481C-BEC5-64F56639B74F}"/>
    <cellStyle name="Comma 3 3 2 9 2 2 2" xfId="54177" xr:uid="{20C6098D-2745-49B0-ACF3-43FB24BBCCA4}"/>
    <cellStyle name="Comma 3 3 2 9 2 2 3" xfId="35923" xr:uid="{96E71259-45CC-4D8C-808B-8A24AAD5B7C4}"/>
    <cellStyle name="Comma 3 3 2 9 2 3" xfId="14019" xr:uid="{BAB7F941-E69A-4072-9579-7B7A6BEBF56B}"/>
    <cellStyle name="Comma 3 3 2 9 2 3 2" xfId="50527" xr:uid="{C0E0AFDA-97DA-40A0-8DA9-2EE8EF5E89D1}"/>
    <cellStyle name="Comma 3 3 2 9 2 3 3" xfId="32273" xr:uid="{C2D87497-0F19-4781-AC14-8CD1E4535CFB}"/>
    <cellStyle name="Comma 3 3 2 9 2 4" xfId="10369" xr:uid="{ADF9ED07-39DD-407D-859D-02537BBF8568}"/>
    <cellStyle name="Comma 3 3 2 9 2 4 2" xfId="46877" xr:uid="{C190E33F-B7BC-44D8-A285-B79F8A2786E4}"/>
    <cellStyle name="Comma 3 3 2 9 2 4 3" xfId="28623" xr:uid="{1561956A-3CE1-48B3-824A-3A2DE1AF4194}"/>
    <cellStyle name="Comma 3 3 2 9 2 5" xfId="6719" xr:uid="{55970D6D-26B8-4CB6-BFD6-16E009582CE6}"/>
    <cellStyle name="Comma 3 3 2 9 2 5 2" xfId="43227" xr:uid="{FB5378E7-1CFF-4143-95C2-B23F688E9BC2}"/>
    <cellStyle name="Comma 3 3 2 9 2 5 3" xfId="24973" xr:uid="{39461A20-E39F-46A4-9D49-1D6592DE53B5}"/>
    <cellStyle name="Comma 3 3 2 9 2 6" xfId="39577" xr:uid="{C3EE35FD-2B75-464E-8E8A-9BDB6601D7C4}"/>
    <cellStyle name="Comma 3 3 2 9 2 7" xfId="21323" xr:uid="{A18024DB-F090-4DB1-B3CC-600C94932398}"/>
    <cellStyle name="Comma 3 3 2 9 3" xfId="2339" xr:uid="{89A4AB60-886E-496B-8D4E-1DAE83B8F070}"/>
    <cellStyle name="Comma 3 3 2 9 3 2" xfId="16939" xr:uid="{F91B6626-CBA9-49CF-8B8E-461CBE09AE6E}"/>
    <cellStyle name="Comma 3 3 2 9 3 2 2" xfId="53447" xr:uid="{85A05867-E30D-47C0-88E6-E0DB08E2A77D}"/>
    <cellStyle name="Comma 3 3 2 9 3 2 3" xfId="35193" xr:uid="{972BBA5B-D415-405E-B1D2-90BCED24F291}"/>
    <cellStyle name="Comma 3 3 2 9 3 3" xfId="13289" xr:uid="{653BC159-5670-4423-A117-E849747EEFD0}"/>
    <cellStyle name="Comma 3 3 2 9 3 3 2" xfId="49797" xr:uid="{F0CEEA0B-041C-4467-8094-E0C26A12E6C7}"/>
    <cellStyle name="Comma 3 3 2 9 3 3 3" xfId="31543" xr:uid="{D3E6E035-E334-4AF0-9449-F0852A13789F}"/>
    <cellStyle name="Comma 3 3 2 9 3 4" xfId="9639" xr:uid="{5845B801-1A11-4058-9CC4-917C531BA881}"/>
    <cellStyle name="Comma 3 3 2 9 3 4 2" xfId="46147" xr:uid="{CEC68511-7D7F-4D23-9391-B16410DA6AFF}"/>
    <cellStyle name="Comma 3 3 2 9 3 4 3" xfId="27893" xr:uid="{0A16DB75-7913-42F0-904F-F2335AFAD183}"/>
    <cellStyle name="Comma 3 3 2 9 3 5" xfId="5989" xr:uid="{3EF4BAF2-D21F-4E22-8B62-BD2859E95BD3}"/>
    <cellStyle name="Comma 3 3 2 9 3 5 2" xfId="42497" xr:uid="{65306995-C9FA-4265-964A-E72CA1DB73F4}"/>
    <cellStyle name="Comma 3 3 2 9 3 5 3" xfId="24243" xr:uid="{42E1FADC-D117-49EA-B2F0-48561CC40E8C}"/>
    <cellStyle name="Comma 3 3 2 9 3 6" xfId="38847" xr:uid="{274FF006-4972-4ECA-A586-B5CE7BC5675B}"/>
    <cellStyle name="Comma 3 3 2 9 3 7" xfId="20593" xr:uid="{B0998D37-5CCE-4738-AC9A-3483E3B1478F}"/>
    <cellStyle name="Comma 3 3 2 9 4" xfId="1609" xr:uid="{D6382983-60D3-48A9-83DE-1A0DDA6CD09A}"/>
    <cellStyle name="Comma 3 3 2 9 4 2" xfId="16209" xr:uid="{6E9D20A3-165B-4F57-83D7-BD9CF6A9B1A6}"/>
    <cellStyle name="Comma 3 3 2 9 4 2 2" xfId="52717" xr:uid="{0DCBAB72-0FEF-4F18-866A-582CBD1E8252}"/>
    <cellStyle name="Comma 3 3 2 9 4 2 3" xfId="34463" xr:uid="{A08EC8EC-B662-4DC6-977B-BD715D7158A2}"/>
    <cellStyle name="Comma 3 3 2 9 4 3" xfId="12559" xr:uid="{A577267E-668F-4849-BDA9-D105DE5A4FDA}"/>
    <cellStyle name="Comma 3 3 2 9 4 3 2" xfId="49067" xr:uid="{89322568-F46B-4620-A48C-9AEFD10A1E6A}"/>
    <cellStyle name="Comma 3 3 2 9 4 3 3" xfId="30813" xr:uid="{54E8C873-0A23-419A-A6D3-C93FDD4B49DF}"/>
    <cellStyle name="Comma 3 3 2 9 4 4" xfId="8909" xr:uid="{5B9F84DD-7AF0-40BC-9AF4-6E0B8DA6C150}"/>
    <cellStyle name="Comma 3 3 2 9 4 4 2" xfId="45417" xr:uid="{A835FF72-1932-4834-A2A6-D6027A4DEA26}"/>
    <cellStyle name="Comma 3 3 2 9 4 4 3" xfId="27163" xr:uid="{FF0BC71C-54AA-4F1B-9EE4-5BE787AF1F71}"/>
    <cellStyle name="Comma 3 3 2 9 4 5" xfId="5259" xr:uid="{99F689DF-51DF-4555-BA0C-C8D745EB1545}"/>
    <cellStyle name="Comma 3 3 2 9 4 5 2" xfId="41767" xr:uid="{7ECFAB13-78F4-47CB-AFFA-4580EF1D0947}"/>
    <cellStyle name="Comma 3 3 2 9 4 5 3" xfId="23513" xr:uid="{F7987D36-DDB6-41FB-94B1-1EDCD1CA322A}"/>
    <cellStyle name="Comma 3 3 2 9 4 6" xfId="38117" xr:uid="{A1CA89E3-1293-477B-84EF-B4BBAF584CE4}"/>
    <cellStyle name="Comma 3 3 2 9 4 7" xfId="19863" xr:uid="{BDBF0031-09A5-4D36-8AE6-73DAE30AFEE2}"/>
    <cellStyle name="Comma 3 3 2 9 5" xfId="879" xr:uid="{DEF07524-D589-4C4B-98F8-8417B86A518B}"/>
    <cellStyle name="Comma 3 3 2 9 5 2" xfId="15479" xr:uid="{2B06D458-2EE8-4AFE-9841-308F944B230B}"/>
    <cellStyle name="Comma 3 3 2 9 5 2 2" xfId="51987" xr:uid="{E22F32EC-0A33-4909-86ED-D6473207AD61}"/>
    <cellStyle name="Comma 3 3 2 9 5 2 3" xfId="33733" xr:uid="{2AC2176F-8141-479C-9F98-2A2AF7E0125F}"/>
    <cellStyle name="Comma 3 3 2 9 5 3" xfId="11829" xr:uid="{A4FFBA87-D4E8-4DC7-857F-616C27AA403B}"/>
    <cellStyle name="Comma 3 3 2 9 5 3 2" xfId="48337" xr:uid="{233A9FCD-572B-4B37-8E71-335633167901}"/>
    <cellStyle name="Comma 3 3 2 9 5 3 3" xfId="30083" xr:uid="{BA5A2DFA-5F92-409F-9141-3FCC6FD1FF90}"/>
    <cellStyle name="Comma 3 3 2 9 5 4" xfId="8179" xr:uid="{095D6869-8F48-4BDB-992F-940463EFD73A}"/>
    <cellStyle name="Comma 3 3 2 9 5 4 2" xfId="44687" xr:uid="{0CE59FA9-DEFF-45FF-A2DC-7E390328811C}"/>
    <cellStyle name="Comma 3 3 2 9 5 4 3" xfId="26433" xr:uid="{215FEA8F-2C59-42C2-8879-7614F66A7020}"/>
    <cellStyle name="Comma 3 3 2 9 5 5" xfId="4529" xr:uid="{F37A7911-6D65-4F51-A48B-2DC85616843D}"/>
    <cellStyle name="Comma 3 3 2 9 5 5 2" xfId="41037" xr:uid="{135A6675-5204-48FF-AE7F-C44A5C3E75F6}"/>
    <cellStyle name="Comma 3 3 2 9 5 5 3" xfId="22783" xr:uid="{E8743401-3B63-4A3E-8A1D-C960B3033B6C}"/>
    <cellStyle name="Comma 3 3 2 9 5 6" xfId="37387" xr:uid="{44275C14-81AC-4D61-8769-DAE2B1B33642}"/>
    <cellStyle name="Comma 3 3 2 9 5 7" xfId="19133" xr:uid="{2B4263D6-F639-458F-83F3-D28A16BAE8B9}"/>
    <cellStyle name="Comma 3 3 2 9 6" xfId="14749" xr:uid="{288EE725-DC5D-433A-B1BA-014688BE89AA}"/>
    <cellStyle name="Comma 3 3 2 9 6 2" xfId="51257" xr:uid="{3B84AA84-F245-45C9-B84A-13DAEC4F50BA}"/>
    <cellStyle name="Comma 3 3 2 9 6 3" xfId="33003" xr:uid="{31A857AA-889A-4FB0-AF62-39B390D748AF}"/>
    <cellStyle name="Comma 3 3 2 9 7" xfId="11099" xr:uid="{BA31D3D6-C805-4E6F-9CB2-586E525907C7}"/>
    <cellStyle name="Comma 3 3 2 9 7 2" xfId="47607" xr:uid="{BBBDE31D-0D6E-45D3-8DB3-760F68B7B8D5}"/>
    <cellStyle name="Comma 3 3 2 9 7 3" xfId="29353" xr:uid="{6175F8DD-FFB2-4AE7-9E2E-89F5A5E157C1}"/>
    <cellStyle name="Comma 3 3 2 9 8" xfId="7449" xr:uid="{80DC8876-27E3-422F-96EA-36CA1A529E81}"/>
    <cellStyle name="Comma 3 3 2 9 8 2" xfId="43957" xr:uid="{2E04AEFC-D863-4552-97B2-6B1F21E3C564}"/>
    <cellStyle name="Comma 3 3 2 9 8 3" xfId="25703" xr:uid="{AFADBAE4-85ED-43C7-80A7-27BE851543B1}"/>
    <cellStyle name="Comma 3 3 2 9 9" xfId="3799" xr:uid="{52A0E1CE-6422-48DC-9764-781ACD8C3D9D}"/>
    <cellStyle name="Comma 3 3 2 9 9 2" xfId="40307" xr:uid="{7D2F9418-4BE4-41CF-8706-393F7D45F700}"/>
    <cellStyle name="Comma 3 3 2 9 9 3" xfId="22053" xr:uid="{95BBDE27-4AAD-4DA8-8948-E09471B70ED9}"/>
    <cellStyle name="Comma 3 3 20" xfId="18283" xr:uid="{FB4598F3-2A12-42D0-8836-F24BF3270417}"/>
    <cellStyle name="Comma 3 3 3" xfId="93" xr:uid="{55118EDE-E9AC-4B57-AE9A-11459658C94A}"/>
    <cellStyle name="Comma 3 3 3 10" xfId="1553" xr:uid="{4D4984BD-9B50-4666-9EF5-BDDD02CDB1B0}"/>
    <cellStyle name="Comma 3 3 3 10 2" xfId="16153" xr:uid="{44512268-DD04-48FD-AB55-EA581AC398C5}"/>
    <cellStyle name="Comma 3 3 3 10 2 2" xfId="52661" xr:uid="{8012FA08-2104-4765-BFD4-6E2A5BA916DD}"/>
    <cellStyle name="Comma 3 3 3 10 2 3" xfId="34407" xr:uid="{52C57A61-A045-4F3F-B671-610CED92E896}"/>
    <cellStyle name="Comma 3 3 3 10 3" xfId="12503" xr:uid="{2C43FC1E-A2BA-4AE3-A98D-775C17C84692}"/>
    <cellStyle name="Comma 3 3 3 10 3 2" xfId="49011" xr:uid="{0D6CE764-2E9F-4A11-B780-EA2E5737447D}"/>
    <cellStyle name="Comma 3 3 3 10 3 3" xfId="30757" xr:uid="{96288803-7BA6-4CD0-871D-8B246045D4EC}"/>
    <cellStyle name="Comma 3 3 3 10 4" xfId="8853" xr:uid="{5DE76D50-1791-4222-9DF9-0BA0C9450831}"/>
    <cellStyle name="Comma 3 3 3 10 4 2" xfId="45361" xr:uid="{1207400C-3D6E-4913-937F-4A2132AA9633}"/>
    <cellStyle name="Comma 3 3 3 10 4 3" xfId="27107" xr:uid="{F6A53446-9049-493A-A5DB-EF4AE80E741C}"/>
    <cellStyle name="Comma 3 3 3 10 5" xfId="5203" xr:uid="{0C44001B-8A4C-45A6-AA00-05137CC89CC9}"/>
    <cellStyle name="Comma 3 3 3 10 5 2" xfId="41711" xr:uid="{53FC54AE-E40E-4FC3-BFA9-79730817C201}"/>
    <cellStyle name="Comma 3 3 3 10 5 3" xfId="23457" xr:uid="{1FB0C1AD-0F89-4FB0-B8E8-3CC3981C2B1D}"/>
    <cellStyle name="Comma 3 3 3 10 6" xfId="38061" xr:uid="{C18A49FC-3170-49A1-8698-1753873F0DAB}"/>
    <cellStyle name="Comma 3 3 3 10 7" xfId="19807" xr:uid="{FB02A29E-B4ED-4459-8297-76972830DEE7}"/>
    <cellStyle name="Comma 3 3 3 11" xfId="823" xr:uid="{01734F3F-8F38-4806-8D34-7DA3312647CE}"/>
    <cellStyle name="Comma 3 3 3 11 2" xfId="15423" xr:uid="{95CFA96A-0EC2-46C5-ABA6-A940E7735379}"/>
    <cellStyle name="Comma 3 3 3 11 2 2" xfId="51931" xr:uid="{4DA623BD-17CC-491C-8161-C32D383B8DFF}"/>
    <cellStyle name="Comma 3 3 3 11 2 3" xfId="33677" xr:uid="{49FC8E9D-54C0-4525-B436-76EC25254D76}"/>
    <cellStyle name="Comma 3 3 3 11 3" xfId="11773" xr:uid="{5EEB6090-BCD5-4585-BEF3-D4439D32544D}"/>
    <cellStyle name="Comma 3 3 3 11 3 2" xfId="48281" xr:uid="{07F4F4FF-1FA2-4D58-A76D-E75D8CC214D3}"/>
    <cellStyle name="Comma 3 3 3 11 3 3" xfId="30027" xr:uid="{43BD2461-FBAB-4F8E-8B98-7AA565139D27}"/>
    <cellStyle name="Comma 3 3 3 11 4" xfId="8123" xr:uid="{A0B3EB42-AAA6-4EF8-908E-B4CC1935195D}"/>
    <cellStyle name="Comma 3 3 3 11 4 2" xfId="44631" xr:uid="{E884E38A-0109-462C-94FC-45EBB35C8710}"/>
    <cellStyle name="Comma 3 3 3 11 4 3" xfId="26377" xr:uid="{D37B1F15-FC02-4902-85F1-4D71842AC5F3}"/>
    <cellStyle name="Comma 3 3 3 11 5" xfId="4473" xr:uid="{7402169C-007B-4F95-B7BB-01C32735B480}"/>
    <cellStyle name="Comma 3 3 3 11 5 2" xfId="40981" xr:uid="{ADFACAA7-8DEF-424C-9A19-37B307E1DAE7}"/>
    <cellStyle name="Comma 3 3 3 11 5 3" xfId="22727" xr:uid="{3F2F3BFA-2823-481F-BCD1-4D6A5D2E2C4A}"/>
    <cellStyle name="Comma 3 3 3 11 6" xfId="37331" xr:uid="{130E2357-2D6A-48CF-8140-5B371D9A84F2}"/>
    <cellStyle name="Comma 3 3 3 11 7" xfId="19077" xr:uid="{6E329DFC-EFE9-458A-AD38-9CCAC4596C00}"/>
    <cellStyle name="Comma 3 3 3 12" xfId="14693" xr:uid="{ADF150C8-C3A7-48F6-A603-D14F8CE6BB37}"/>
    <cellStyle name="Comma 3 3 3 12 2" xfId="51201" xr:uid="{EA221097-22C5-4C8E-9F6F-C9BAB0F6573D}"/>
    <cellStyle name="Comma 3 3 3 12 3" xfId="32947" xr:uid="{D47A8003-B766-4F7B-8D69-206E96C064FC}"/>
    <cellStyle name="Comma 3 3 3 13" xfId="11043" xr:uid="{BE0DAAE9-8749-4CF8-A013-7E2ED6260447}"/>
    <cellStyle name="Comma 3 3 3 13 2" xfId="47551" xr:uid="{EF43955B-1CF1-40FA-A1F2-4B2B5195CED0}"/>
    <cellStyle name="Comma 3 3 3 13 3" xfId="29297" xr:uid="{EFC17F88-55CC-46AC-BD22-524F769C0FBF}"/>
    <cellStyle name="Comma 3 3 3 14" xfId="7393" xr:uid="{97768B6B-4E14-49B9-A234-8F65A391F658}"/>
    <cellStyle name="Comma 3 3 3 14 2" xfId="43901" xr:uid="{2398BFFF-C21B-4AF9-BF3F-61FFFFF5E68F}"/>
    <cellStyle name="Comma 3 3 3 14 3" xfId="25647" xr:uid="{30E95268-8300-4110-839C-99E7E7D43EE9}"/>
    <cellStyle name="Comma 3 3 3 15" xfId="3743" xr:uid="{87CB3B2D-47F9-42C2-AFA6-DB078917C696}"/>
    <cellStyle name="Comma 3 3 3 15 2" xfId="40251" xr:uid="{49BCB270-9E7D-4B3E-92C3-1734D1B8EB06}"/>
    <cellStyle name="Comma 3 3 3 15 3" xfId="21997" xr:uid="{1EC524B0-3D92-4879-9FCF-27CDF91062FE}"/>
    <cellStyle name="Comma 3 3 3 16" xfId="36601" xr:uid="{25070D46-950D-44CF-BEE3-70466E203636}"/>
    <cellStyle name="Comma 3 3 3 17" xfId="18347" xr:uid="{DE2A6AEE-405C-4335-A484-BA2070F66BB8}"/>
    <cellStyle name="Comma 3 3 3 2" xfId="717" xr:uid="{0E500B45-0CDB-4F86-A4F7-D0B04C120847}"/>
    <cellStyle name="Comma 3 3 3 2 10" xfId="37225" xr:uid="{D4A618FD-419D-44FF-BC44-0F15CA3AE2D4}"/>
    <cellStyle name="Comma 3 3 3 2 11" xfId="18971" xr:uid="{FDF9A685-190B-439C-9713-C88337FB13C8}"/>
    <cellStyle name="Comma 3 3 3 2 2" xfId="3637" xr:uid="{292440EC-AC3E-4CD5-8BF8-F896941358BC}"/>
    <cellStyle name="Comma 3 3 3 2 2 2" xfId="18237" xr:uid="{6CE4C0E1-6F2C-48D5-99ED-B82BFA510C45}"/>
    <cellStyle name="Comma 3 3 3 2 2 2 2" xfId="54745" xr:uid="{BA318E53-0488-4556-A488-3325994752D0}"/>
    <cellStyle name="Comma 3 3 3 2 2 2 3" xfId="36491" xr:uid="{713C6CC1-2587-4EEE-9C76-9BDA079597BB}"/>
    <cellStyle name="Comma 3 3 3 2 2 3" xfId="14587" xr:uid="{0EF950B9-6D2E-4424-967B-D9F7564886CD}"/>
    <cellStyle name="Comma 3 3 3 2 2 3 2" xfId="51095" xr:uid="{9ACC0290-A62F-4960-9D8F-E968CE623393}"/>
    <cellStyle name="Comma 3 3 3 2 2 3 3" xfId="32841" xr:uid="{3C8D05C1-7975-4B53-9D72-C6A3B84068AA}"/>
    <cellStyle name="Comma 3 3 3 2 2 4" xfId="10937" xr:uid="{A2AACB37-CFF7-4C96-A036-C33D93A9A6F0}"/>
    <cellStyle name="Comma 3 3 3 2 2 4 2" xfId="47445" xr:uid="{DA98EC12-E0F2-4B6C-BA09-9B908B6BC0A5}"/>
    <cellStyle name="Comma 3 3 3 2 2 4 3" xfId="29191" xr:uid="{C549D277-C1A6-4CB0-A84A-A5E69F302FF4}"/>
    <cellStyle name="Comma 3 3 3 2 2 5" xfId="7287" xr:uid="{A5CC4979-E348-4BE1-BFF7-02251140BE25}"/>
    <cellStyle name="Comma 3 3 3 2 2 5 2" xfId="43795" xr:uid="{5869786E-DED4-4E2C-A2D0-EB5B9021E3BB}"/>
    <cellStyle name="Comma 3 3 3 2 2 5 3" xfId="25541" xr:uid="{00817F46-F72F-45C5-A4E3-D87B09F5F1FF}"/>
    <cellStyle name="Comma 3 3 3 2 2 6" xfId="40145" xr:uid="{FD310076-580D-4C58-816B-B67437E5AB08}"/>
    <cellStyle name="Comma 3 3 3 2 2 7" xfId="21891" xr:uid="{B62C35AF-90E9-41B2-B78F-73618AEFD1FD}"/>
    <cellStyle name="Comma 3 3 3 2 3" xfId="2907" xr:uid="{CD454BDB-F20A-44ED-8B82-7CFE493BFEEB}"/>
    <cellStyle name="Comma 3 3 3 2 3 2" xfId="17507" xr:uid="{939A591D-6ABF-4D5A-99B2-421F0986A612}"/>
    <cellStyle name="Comma 3 3 3 2 3 2 2" xfId="54015" xr:uid="{C3710A9E-5D68-4807-8380-F26B6ABD2D2A}"/>
    <cellStyle name="Comma 3 3 3 2 3 2 3" xfId="35761" xr:uid="{D0B4302D-AE1C-4338-931A-D84AE21ADB42}"/>
    <cellStyle name="Comma 3 3 3 2 3 3" xfId="13857" xr:uid="{5504C7E1-6A7D-4DBB-B35A-A364D8EF19B6}"/>
    <cellStyle name="Comma 3 3 3 2 3 3 2" xfId="50365" xr:uid="{FCB60CC7-AC08-4331-B54C-DD8CC7D23DC2}"/>
    <cellStyle name="Comma 3 3 3 2 3 3 3" xfId="32111" xr:uid="{212BEFDA-D1C8-416B-87FD-9BE07B0A63FA}"/>
    <cellStyle name="Comma 3 3 3 2 3 4" xfId="10207" xr:uid="{225F18C8-EFC9-4407-AB99-7AA2652823C8}"/>
    <cellStyle name="Comma 3 3 3 2 3 4 2" xfId="46715" xr:uid="{C8DA7FE0-11A5-4548-9DCF-ED568A68209A}"/>
    <cellStyle name="Comma 3 3 3 2 3 4 3" xfId="28461" xr:uid="{2FE701E0-62B2-41CD-8198-E2F4CA9DEC73}"/>
    <cellStyle name="Comma 3 3 3 2 3 5" xfId="6557" xr:uid="{96507022-34D9-486A-8E4B-EDD712B2F8BD}"/>
    <cellStyle name="Comma 3 3 3 2 3 5 2" xfId="43065" xr:uid="{93ACD983-DB99-44EB-A3F5-B6E1B23D859C}"/>
    <cellStyle name="Comma 3 3 3 2 3 5 3" xfId="24811" xr:uid="{04CB56D3-E2F2-4F80-8F29-C12510207C1A}"/>
    <cellStyle name="Comma 3 3 3 2 3 6" xfId="39415" xr:uid="{485A9FCC-2B7E-4012-90B9-0FCD4A5A3F51}"/>
    <cellStyle name="Comma 3 3 3 2 3 7" xfId="21161" xr:uid="{31639841-7C06-4431-BC61-22A0F3DF4151}"/>
    <cellStyle name="Comma 3 3 3 2 4" xfId="2177" xr:uid="{29A32756-DC63-4EA8-B7B9-6692D3926A29}"/>
    <cellStyle name="Comma 3 3 3 2 4 2" xfId="16777" xr:uid="{1F34A5D5-995B-4FB9-A75A-345ABE8F8383}"/>
    <cellStyle name="Comma 3 3 3 2 4 2 2" xfId="53285" xr:uid="{B061CF1C-5662-4E6C-BACB-DC5762A47FEF}"/>
    <cellStyle name="Comma 3 3 3 2 4 2 3" xfId="35031" xr:uid="{D82AFC7D-6F4A-4690-96FE-FE7574F8D91C}"/>
    <cellStyle name="Comma 3 3 3 2 4 3" xfId="13127" xr:uid="{5FA83FB6-FF2E-423D-A38E-D0AA626CF4BE}"/>
    <cellStyle name="Comma 3 3 3 2 4 3 2" xfId="49635" xr:uid="{79F3A4C9-4313-48B0-BB37-A54483FE9C5C}"/>
    <cellStyle name="Comma 3 3 3 2 4 3 3" xfId="31381" xr:uid="{82F686CB-1F8B-401C-82F6-C07C5499A79C}"/>
    <cellStyle name="Comma 3 3 3 2 4 4" xfId="9477" xr:uid="{298FC541-8E7E-4FC7-B2E9-9B0969250A08}"/>
    <cellStyle name="Comma 3 3 3 2 4 4 2" xfId="45985" xr:uid="{FA1BD645-CBAB-45CB-BC19-BB19D865AD8B}"/>
    <cellStyle name="Comma 3 3 3 2 4 4 3" xfId="27731" xr:uid="{DEC022C9-1A6C-4B2C-9D71-C0149267B867}"/>
    <cellStyle name="Comma 3 3 3 2 4 5" xfId="5827" xr:uid="{39B5AE7B-7252-46E3-99C1-04B6B3B71265}"/>
    <cellStyle name="Comma 3 3 3 2 4 5 2" xfId="42335" xr:uid="{9DC4E078-C918-4755-B6C3-571E879E47B2}"/>
    <cellStyle name="Comma 3 3 3 2 4 5 3" xfId="24081" xr:uid="{FF0172D9-F7CE-4798-BCD4-6E4FBFB90EFC}"/>
    <cellStyle name="Comma 3 3 3 2 4 6" xfId="38685" xr:uid="{08D866DA-AC9E-4F2D-96E1-61A24848E90A}"/>
    <cellStyle name="Comma 3 3 3 2 4 7" xfId="20431" xr:uid="{08EE9926-7356-483B-8CE9-92187B4B1D2C}"/>
    <cellStyle name="Comma 3 3 3 2 5" xfId="1447" xr:uid="{400081DC-F0A8-4EC1-B4DD-512EB44B2518}"/>
    <cellStyle name="Comma 3 3 3 2 5 2" xfId="16047" xr:uid="{83A64F85-7872-4F24-A45F-2E682105F9FE}"/>
    <cellStyle name="Comma 3 3 3 2 5 2 2" xfId="52555" xr:uid="{D226944C-9CCC-4FF3-8E86-F95DBD590460}"/>
    <cellStyle name="Comma 3 3 3 2 5 2 3" xfId="34301" xr:uid="{2F57EC41-F04B-497B-8A7D-23D0135BEB7A}"/>
    <cellStyle name="Comma 3 3 3 2 5 3" xfId="12397" xr:uid="{150DC065-36AA-4C1D-A02A-9C9AF75474A3}"/>
    <cellStyle name="Comma 3 3 3 2 5 3 2" xfId="48905" xr:uid="{4C5E23FD-7059-4EA9-96DE-912826902FEE}"/>
    <cellStyle name="Comma 3 3 3 2 5 3 3" xfId="30651" xr:uid="{BA7D3780-DB39-475A-AC14-71F3FCEA5E0A}"/>
    <cellStyle name="Comma 3 3 3 2 5 4" xfId="8747" xr:uid="{34C7050A-BBD4-4E6C-908C-1D40BFCC59F0}"/>
    <cellStyle name="Comma 3 3 3 2 5 4 2" xfId="45255" xr:uid="{8912F557-E67A-4DEA-8F3D-981254B8E6D7}"/>
    <cellStyle name="Comma 3 3 3 2 5 4 3" xfId="27001" xr:uid="{2130055B-BFC6-47E8-8A97-DF9FDD74036F}"/>
    <cellStyle name="Comma 3 3 3 2 5 5" xfId="5097" xr:uid="{BDF03143-61A0-4BB4-8168-4FAF097AB028}"/>
    <cellStyle name="Comma 3 3 3 2 5 5 2" xfId="41605" xr:uid="{D290453B-8392-4F8E-BD95-E9E01EFC4810}"/>
    <cellStyle name="Comma 3 3 3 2 5 5 3" xfId="23351" xr:uid="{7265278E-8657-45AD-88F7-ED4FDAFC60EA}"/>
    <cellStyle name="Comma 3 3 3 2 5 6" xfId="37955" xr:uid="{199A3A87-67FB-414F-A90B-816A8D9C7C4E}"/>
    <cellStyle name="Comma 3 3 3 2 5 7" xfId="19701" xr:uid="{06DD87DE-CAB4-4671-9C6B-97B573A3E131}"/>
    <cellStyle name="Comma 3 3 3 2 6" xfId="15317" xr:uid="{FE14D08F-6992-47C7-BAEA-7F0EA42B9D94}"/>
    <cellStyle name="Comma 3 3 3 2 6 2" xfId="51825" xr:uid="{64B8060A-C55C-47CF-9895-C97044AD4E55}"/>
    <cellStyle name="Comma 3 3 3 2 6 3" xfId="33571" xr:uid="{CF7883D5-317E-4091-A23F-CE9B44DF1360}"/>
    <cellStyle name="Comma 3 3 3 2 7" xfId="11667" xr:uid="{9D3F6C71-A41C-49A8-9688-0D6B2FCD2404}"/>
    <cellStyle name="Comma 3 3 3 2 7 2" xfId="48175" xr:uid="{9E36164E-3A72-4938-82ED-923C0B11097D}"/>
    <cellStyle name="Comma 3 3 3 2 7 3" xfId="29921" xr:uid="{DEBF3EC6-82B0-4282-BEC4-BB8FCE87C56B}"/>
    <cellStyle name="Comma 3 3 3 2 8" xfId="8017" xr:uid="{4E35A9CB-2FBF-4D1C-90FF-B6EAB8E408C1}"/>
    <cellStyle name="Comma 3 3 3 2 8 2" xfId="44525" xr:uid="{C860E248-CA00-40F2-B519-7CF477ABA3D1}"/>
    <cellStyle name="Comma 3 3 3 2 8 3" xfId="26271" xr:uid="{2E5B94C6-2B7A-4458-A06F-C94F4DB51927}"/>
    <cellStyle name="Comma 3 3 3 2 9" xfId="4367" xr:uid="{770E058B-C95C-4E11-93CA-9649856156A7}"/>
    <cellStyle name="Comma 3 3 3 2 9 2" xfId="40875" xr:uid="{C07275E5-BBAE-4658-8805-0D8E99FEA13F}"/>
    <cellStyle name="Comma 3 3 3 2 9 3" xfId="22621" xr:uid="{3F3CD380-4875-4572-BCFF-4E6C833580F0}"/>
    <cellStyle name="Comma 3 3 3 3" xfId="613" xr:uid="{E8C214EC-E413-4E5F-9A08-4DDF2F2B3B8F}"/>
    <cellStyle name="Comma 3 3 3 3 10" xfId="37121" xr:uid="{556AB077-94AA-43BE-BA59-869464643FAD}"/>
    <cellStyle name="Comma 3 3 3 3 11" xfId="18867" xr:uid="{60A91BC7-BB9E-4DFB-8C44-E03618E1861E}"/>
    <cellStyle name="Comma 3 3 3 3 2" xfId="3533" xr:uid="{BD257D78-7BDF-4A45-9756-BD98183EBA77}"/>
    <cellStyle name="Comma 3 3 3 3 2 2" xfId="18133" xr:uid="{62A2C3A0-39ED-47C5-AB59-2A5DD5FA9BB7}"/>
    <cellStyle name="Comma 3 3 3 3 2 2 2" xfId="54641" xr:uid="{E72394C3-91DD-49BF-B8E6-8F94D78EC189}"/>
    <cellStyle name="Comma 3 3 3 3 2 2 3" xfId="36387" xr:uid="{EFE83B40-2E43-47E4-8823-DE334D666B71}"/>
    <cellStyle name="Comma 3 3 3 3 2 3" xfId="14483" xr:uid="{15BB262A-4A2B-4231-A5B7-B014FEF37266}"/>
    <cellStyle name="Comma 3 3 3 3 2 3 2" xfId="50991" xr:uid="{9BC3275D-D4BC-4826-B139-16ACEC8FF41D}"/>
    <cellStyle name="Comma 3 3 3 3 2 3 3" xfId="32737" xr:uid="{2AD719C0-B6BF-44D0-BE1A-1E95FE353D63}"/>
    <cellStyle name="Comma 3 3 3 3 2 4" xfId="10833" xr:uid="{36359CE4-65C6-4A81-9226-33FE8178A6D0}"/>
    <cellStyle name="Comma 3 3 3 3 2 4 2" xfId="47341" xr:uid="{A1E8BF0D-7DB1-4AFF-8C29-00984F62BFE4}"/>
    <cellStyle name="Comma 3 3 3 3 2 4 3" xfId="29087" xr:uid="{4CB5344E-6A1F-4021-9F6E-966FD16A7E32}"/>
    <cellStyle name="Comma 3 3 3 3 2 5" xfId="7183" xr:uid="{9F1754FA-D144-47D8-9C8E-A308DD64792B}"/>
    <cellStyle name="Comma 3 3 3 3 2 5 2" xfId="43691" xr:uid="{269F7C49-BE1E-4956-9440-CA53A65205EA}"/>
    <cellStyle name="Comma 3 3 3 3 2 5 3" xfId="25437" xr:uid="{5DBD3F13-D70C-46E1-A412-9851381C0295}"/>
    <cellStyle name="Comma 3 3 3 3 2 6" xfId="40041" xr:uid="{33ACC825-BF70-4481-85B7-9FDAB089219C}"/>
    <cellStyle name="Comma 3 3 3 3 2 7" xfId="21787" xr:uid="{E5BD8725-A26B-4FBA-8263-F56E072B67FF}"/>
    <cellStyle name="Comma 3 3 3 3 3" xfId="2803" xr:uid="{E4751784-50AD-46F0-8F29-724D8A7DE660}"/>
    <cellStyle name="Comma 3 3 3 3 3 2" xfId="17403" xr:uid="{075F3981-0269-4D7A-80E4-4512841CB945}"/>
    <cellStyle name="Comma 3 3 3 3 3 2 2" xfId="53911" xr:uid="{B101FB3B-3F03-4FBE-AC22-5C749F98B2FF}"/>
    <cellStyle name="Comma 3 3 3 3 3 2 3" xfId="35657" xr:uid="{5A9E914F-6FFD-4436-A678-90AA38A533C4}"/>
    <cellStyle name="Comma 3 3 3 3 3 3" xfId="13753" xr:uid="{9FEB4014-3F2D-415D-A89F-E6AF86187977}"/>
    <cellStyle name="Comma 3 3 3 3 3 3 2" xfId="50261" xr:uid="{73669E4F-0125-4F58-B589-3803626BCA6F}"/>
    <cellStyle name="Comma 3 3 3 3 3 3 3" xfId="32007" xr:uid="{AD943C8E-A685-4124-A0B9-4788F47D2DF9}"/>
    <cellStyle name="Comma 3 3 3 3 3 4" xfId="10103" xr:uid="{D479885C-704C-438E-BFE3-AED7B849A71B}"/>
    <cellStyle name="Comma 3 3 3 3 3 4 2" xfId="46611" xr:uid="{1CE625D2-92D1-44B4-9D42-BE3136E45B90}"/>
    <cellStyle name="Comma 3 3 3 3 3 4 3" xfId="28357" xr:uid="{B4916689-F79E-4377-B3AB-3AAAD2558788}"/>
    <cellStyle name="Comma 3 3 3 3 3 5" xfId="6453" xr:uid="{8D791667-B3C8-495C-B14D-7DD5F156C3A3}"/>
    <cellStyle name="Comma 3 3 3 3 3 5 2" xfId="42961" xr:uid="{F34493FF-B270-4AD3-ABCE-4137394A46CC}"/>
    <cellStyle name="Comma 3 3 3 3 3 5 3" xfId="24707" xr:uid="{DFC8AAEC-F40B-4C75-A83D-409C7D57770A}"/>
    <cellStyle name="Comma 3 3 3 3 3 6" xfId="39311" xr:uid="{406A49A1-A80E-4D52-AD9D-0E1C281D90EC}"/>
    <cellStyle name="Comma 3 3 3 3 3 7" xfId="21057" xr:uid="{045465C0-7469-4B70-AE4A-5460BF6D3497}"/>
    <cellStyle name="Comma 3 3 3 3 4" xfId="2073" xr:uid="{8DEEA96E-929E-47F6-9C10-4AC7859E29EB}"/>
    <cellStyle name="Comma 3 3 3 3 4 2" xfId="16673" xr:uid="{91E4CA33-61E5-4D19-9E7C-22302B50A345}"/>
    <cellStyle name="Comma 3 3 3 3 4 2 2" xfId="53181" xr:uid="{B910E706-5B0E-4132-AE76-F1B13D569E1F}"/>
    <cellStyle name="Comma 3 3 3 3 4 2 3" xfId="34927" xr:uid="{41AD498E-AA93-4FB0-B349-E1D465EC8FE8}"/>
    <cellStyle name="Comma 3 3 3 3 4 3" xfId="13023" xr:uid="{5BD000E1-143B-4C58-BED9-6C71E3A61689}"/>
    <cellStyle name="Comma 3 3 3 3 4 3 2" xfId="49531" xr:uid="{C2ACF185-BF6D-4173-B070-A50840089DA0}"/>
    <cellStyle name="Comma 3 3 3 3 4 3 3" xfId="31277" xr:uid="{7D30EA8C-5A05-407F-B6D0-A07BE0BF704D}"/>
    <cellStyle name="Comma 3 3 3 3 4 4" xfId="9373" xr:uid="{36D564E3-44AF-47E9-847B-1FBCDA51DD65}"/>
    <cellStyle name="Comma 3 3 3 3 4 4 2" xfId="45881" xr:uid="{1622B6A5-37CD-411B-B04E-F453B46D0AA9}"/>
    <cellStyle name="Comma 3 3 3 3 4 4 3" xfId="27627" xr:uid="{F6D22E8B-6498-4956-BDF5-1A516CE8A2B0}"/>
    <cellStyle name="Comma 3 3 3 3 4 5" xfId="5723" xr:uid="{E62B1EC8-3D17-4C1F-BA7A-FEE8B254D369}"/>
    <cellStyle name="Comma 3 3 3 3 4 5 2" xfId="42231" xr:uid="{FDA1E6A9-7D71-4049-9163-DCF3803E01F4}"/>
    <cellStyle name="Comma 3 3 3 3 4 5 3" xfId="23977" xr:uid="{24B9C28B-02CF-4157-8083-FBC90EAD5587}"/>
    <cellStyle name="Comma 3 3 3 3 4 6" xfId="38581" xr:uid="{C71B4A01-A498-4927-B885-93BDA397472B}"/>
    <cellStyle name="Comma 3 3 3 3 4 7" xfId="20327" xr:uid="{7EB62780-87EA-4113-8095-EF44FC159466}"/>
    <cellStyle name="Comma 3 3 3 3 5" xfId="1343" xr:uid="{8BFCF33D-363D-42D6-88FB-69AD80BCA663}"/>
    <cellStyle name="Comma 3 3 3 3 5 2" xfId="15943" xr:uid="{7D4E3706-3FA8-416C-B148-744050895400}"/>
    <cellStyle name="Comma 3 3 3 3 5 2 2" xfId="52451" xr:uid="{4DBF4025-A28C-46CA-AB04-B58925438849}"/>
    <cellStyle name="Comma 3 3 3 3 5 2 3" xfId="34197" xr:uid="{67C22339-731B-4896-ABF5-51AC36D337B5}"/>
    <cellStyle name="Comma 3 3 3 3 5 3" xfId="12293" xr:uid="{2C509222-524E-474B-AAF2-552ECBD108D8}"/>
    <cellStyle name="Comma 3 3 3 3 5 3 2" xfId="48801" xr:uid="{D9F813E0-B42A-4482-BA93-DF9CA98B0F6C}"/>
    <cellStyle name="Comma 3 3 3 3 5 3 3" xfId="30547" xr:uid="{DFC63FAA-3E6A-47E0-9087-B51BAE7C66BD}"/>
    <cellStyle name="Comma 3 3 3 3 5 4" xfId="8643" xr:uid="{41FE364A-0B2C-4DAC-B96F-B0D32B96FCCB}"/>
    <cellStyle name="Comma 3 3 3 3 5 4 2" xfId="45151" xr:uid="{5B7A371B-66FF-4F83-B8D0-91D91950F614}"/>
    <cellStyle name="Comma 3 3 3 3 5 4 3" xfId="26897" xr:uid="{34B48278-D880-44C2-A84C-170B5BF50EBD}"/>
    <cellStyle name="Comma 3 3 3 3 5 5" xfId="4993" xr:uid="{9E0B1EDB-E0A1-46D4-ACA7-F0EA3D8CB65D}"/>
    <cellStyle name="Comma 3 3 3 3 5 5 2" xfId="41501" xr:uid="{382DC532-7CDB-4B94-B8BF-41821C0293D9}"/>
    <cellStyle name="Comma 3 3 3 3 5 5 3" xfId="23247" xr:uid="{AA1E0ED0-AA3F-47B6-B170-BE68528FEE35}"/>
    <cellStyle name="Comma 3 3 3 3 5 6" xfId="37851" xr:uid="{66BCF926-37B2-4800-B5D3-0A7E2F25E4C0}"/>
    <cellStyle name="Comma 3 3 3 3 5 7" xfId="19597" xr:uid="{B3F5AB8F-FF6C-48C0-B8D6-C4235BE2F260}"/>
    <cellStyle name="Comma 3 3 3 3 6" xfId="15213" xr:uid="{A68F0B6B-E939-42C1-BD1F-98583C09960D}"/>
    <cellStyle name="Comma 3 3 3 3 6 2" xfId="51721" xr:uid="{89FA7892-71C4-4A10-BB2F-C40158881E3F}"/>
    <cellStyle name="Comma 3 3 3 3 6 3" xfId="33467" xr:uid="{4E2E6355-B6F2-4601-96C0-3166319B5CD8}"/>
    <cellStyle name="Comma 3 3 3 3 7" xfId="11563" xr:uid="{53360FA7-85C2-4314-B976-651AD2CE0F89}"/>
    <cellStyle name="Comma 3 3 3 3 7 2" xfId="48071" xr:uid="{1319B197-292E-4D63-8D0E-85098DB67FF9}"/>
    <cellStyle name="Comma 3 3 3 3 7 3" xfId="29817" xr:uid="{0390C543-B2AA-4E3F-A7C7-55B332AA747E}"/>
    <cellStyle name="Comma 3 3 3 3 8" xfId="7913" xr:uid="{98C89177-CA44-453C-A924-7B7C6C65B4AB}"/>
    <cellStyle name="Comma 3 3 3 3 8 2" xfId="44421" xr:uid="{495D088E-1804-4278-A848-269233FDEFC9}"/>
    <cellStyle name="Comma 3 3 3 3 8 3" xfId="26167" xr:uid="{FFAA3A73-5D87-478D-93B7-70C310282112}"/>
    <cellStyle name="Comma 3 3 3 3 9" xfId="4263" xr:uid="{0EFCCEE4-728A-4507-89BF-F4E1FB425A5E}"/>
    <cellStyle name="Comma 3 3 3 3 9 2" xfId="40771" xr:uid="{A891CDE8-9234-403B-91E9-30587C493221}"/>
    <cellStyle name="Comma 3 3 3 3 9 3" xfId="22517" xr:uid="{AE9310A5-CF5E-490E-9384-B5382F87544F}"/>
    <cellStyle name="Comma 3 3 3 4" xfId="509" xr:uid="{7C78C739-1214-4594-A712-4AD29A0AF90D}"/>
    <cellStyle name="Comma 3 3 3 4 10" xfId="37017" xr:uid="{0894B592-FC93-4BF0-86B5-558F2575C5C8}"/>
    <cellStyle name="Comma 3 3 3 4 11" xfId="18763" xr:uid="{70B2482D-39B7-47B0-8447-1B0FCC45C6EE}"/>
    <cellStyle name="Comma 3 3 3 4 2" xfId="3429" xr:uid="{DAAE4215-F763-4CCC-AE5B-C5A08AB13BC0}"/>
    <cellStyle name="Comma 3 3 3 4 2 2" xfId="18029" xr:uid="{5A8A01C0-A588-4FE3-BBC6-9CC1AF39F09E}"/>
    <cellStyle name="Comma 3 3 3 4 2 2 2" xfId="54537" xr:uid="{D6D00C5A-559A-4F75-996E-34E8B02BA0B5}"/>
    <cellStyle name="Comma 3 3 3 4 2 2 3" xfId="36283" xr:uid="{F9349102-EE96-40A4-8A46-B18051D1D76A}"/>
    <cellStyle name="Comma 3 3 3 4 2 3" xfId="14379" xr:uid="{84D46510-5DE4-49AB-83F1-C44517742669}"/>
    <cellStyle name="Comma 3 3 3 4 2 3 2" xfId="50887" xr:uid="{02369C64-433B-47C6-9CD2-CF29656773E0}"/>
    <cellStyle name="Comma 3 3 3 4 2 3 3" xfId="32633" xr:uid="{D734F51B-78F0-45A8-8BE4-20B06F6A6045}"/>
    <cellStyle name="Comma 3 3 3 4 2 4" xfId="10729" xr:uid="{12F0D2AF-D934-4CCC-8924-94025C41B58D}"/>
    <cellStyle name="Comma 3 3 3 4 2 4 2" xfId="47237" xr:uid="{6A2A69C8-DD00-439C-983C-4A16D728AE3F}"/>
    <cellStyle name="Comma 3 3 3 4 2 4 3" xfId="28983" xr:uid="{356F80D0-F3FC-46EB-981E-9213E49E49AA}"/>
    <cellStyle name="Comma 3 3 3 4 2 5" xfId="7079" xr:uid="{1020A5C2-339C-451A-B89C-33A31B307962}"/>
    <cellStyle name="Comma 3 3 3 4 2 5 2" xfId="43587" xr:uid="{A854A15C-3BB3-4FC7-B760-411357E7B962}"/>
    <cellStyle name="Comma 3 3 3 4 2 5 3" xfId="25333" xr:uid="{E062A698-8B0E-4516-B76F-17E72D35E1A0}"/>
    <cellStyle name="Comma 3 3 3 4 2 6" xfId="39937" xr:uid="{EAE77DA1-81C0-49F0-9AFE-AACDC9F44CB2}"/>
    <cellStyle name="Comma 3 3 3 4 2 7" xfId="21683" xr:uid="{5826286B-6685-4F50-8DAD-6CE0A9B92373}"/>
    <cellStyle name="Comma 3 3 3 4 3" xfId="2699" xr:uid="{2C75C600-8A34-43A6-B3FA-08B3C2F30439}"/>
    <cellStyle name="Comma 3 3 3 4 3 2" xfId="17299" xr:uid="{3B97826F-378B-40B6-878E-F1081B208D86}"/>
    <cellStyle name="Comma 3 3 3 4 3 2 2" xfId="53807" xr:uid="{D0EC0DC9-375A-4000-B4BB-AFD237A9D279}"/>
    <cellStyle name="Comma 3 3 3 4 3 2 3" xfId="35553" xr:uid="{729AEE5F-06BB-4268-8664-2ED000A2FA8B}"/>
    <cellStyle name="Comma 3 3 3 4 3 3" xfId="13649" xr:uid="{901592C3-FD41-4AB9-A3E8-C9C399DA0DD5}"/>
    <cellStyle name="Comma 3 3 3 4 3 3 2" xfId="50157" xr:uid="{C346A6D4-32A2-418B-A41C-F154DFB717F3}"/>
    <cellStyle name="Comma 3 3 3 4 3 3 3" xfId="31903" xr:uid="{BEBD969C-A416-4745-9FB7-15EE87C5E77C}"/>
    <cellStyle name="Comma 3 3 3 4 3 4" xfId="9999" xr:uid="{7EC49004-FBF8-4EC9-9ACF-E1B2B12C090D}"/>
    <cellStyle name="Comma 3 3 3 4 3 4 2" xfId="46507" xr:uid="{395DB712-BEEC-4403-9F51-0FB87643DBC6}"/>
    <cellStyle name="Comma 3 3 3 4 3 4 3" xfId="28253" xr:uid="{DB54F7F2-54AA-4F1A-940C-02144D8CF712}"/>
    <cellStyle name="Comma 3 3 3 4 3 5" xfId="6349" xr:uid="{E0F1DEFA-69A3-40D2-A436-E4584800DC06}"/>
    <cellStyle name="Comma 3 3 3 4 3 5 2" xfId="42857" xr:uid="{6BFE2D7A-4856-4059-9B81-9350277D3091}"/>
    <cellStyle name="Comma 3 3 3 4 3 5 3" xfId="24603" xr:uid="{A6A2405D-4D24-46B1-B874-9A76AE8F1434}"/>
    <cellStyle name="Comma 3 3 3 4 3 6" xfId="39207" xr:uid="{3FFE4D03-B1CC-43E2-B0D0-896D5B1D681A}"/>
    <cellStyle name="Comma 3 3 3 4 3 7" xfId="20953" xr:uid="{B40F7F95-6421-45B4-B6C0-2BC6DE2FE693}"/>
    <cellStyle name="Comma 3 3 3 4 4" xfId="1969" xr:uid="{76A925FB-07DC-4336-91DA-7A85BA994F65}"/>
    <cellStyle name="Comma 3 3 3 4 4 2" xfId="16569" xr:uid="{5D0C0B64-8EE8-43AC-A168-92DE89D19811}"/>
    <cellStyle name="Comma 3 3 3 4 4 2 2" xfId="53077" xr:uid="{79BDFCD5-C45B-4F32-97E3-550CC6D77148}"/>
    <cellStyle name="Comma 3 3 3 4 4 2 3" xfId="34823" xr:uid="{F9CFB419-F40B-4403-8412-6D20E5824AE3}"/>
    <cellStyle name="Comma 3 3 3 4 4 3" xfId="12919" xr:uid="{2085509D-96A1-4911-989F-49A1C363EF7D}"/>
    <cellStyle name="Comma 3 3 3 4 4 3 2" xfId="49427" xr:uid="{5D159905-10E1-43EC-8A3A-8913601DF0BF}"/>
    <cellStyle name="Comma 3 3 3 4 4 3 3" xfId="31173" xr:uid="{7477E50C-0BAC-41FB-8E58-04B784CE752C}"/>
    <cellStyle name="Comma 3 3 3 4 4 4" xfId="9269" xr:uid="{3ABD7A36-8441-44F3-991B-04DA8FC28C87}"/>
    <cellStyle name="Comma 3 3 3 4 4 4 2" xfId="45777" xr:uid="{704B4A51-A069-46E3-A21D-D34B97FC5352}"/>
    <cellStyle name="Comma 3 3 3 4 4 4 3" xfId="27523" xr:uid="{29AC0E93-D1C0-44DE-A0FC-81139F214EA5}"/>
    <cellStyle name="Comma 3 3 3 4 4 5" xfId="5619" xr:uid="{31F9437A-B207-4273-82EF-415549A71690}"/>
    <cellStyle name="Comma 3 3 3 4 4 5 2" xfId="42127" xr:uid="{8391F703-AC3C-4BF9-9FF7-17B8855AE182}"/>
    <cellStyle name="Comma 3 3 3 4 4 5 3" xfId="23873" xr:uid="{25D52919-7B77-40F6-9F58-12BDF4BAE95C}"/>
    <cellStyle name="Comma 3 3 3 4 4 6" xfId="38477" xr:uid="{C11FB9AB-BB26-4789-B746-2B42B978FFF2}"/>
    <cellStyle name="Comma 3 3 3 4 4 7" xfId="20223" xr:uid="{32E34BF3-05D9-4B91-9FFD-66B2E4673CEF}"/>
    <cellStyle name="Comma 3 3 3 4 5" xfId="1239" xr:uid="{F867F727-D370-4715-9061-CBED8FDFF5F7}"/>
    <cellStyle name="Comma 3 3 3 4 5 2" xfId="15839" xr:uid="{FD3FFB20-D191-4AEA-8D27-4B0A809B8261}"/>
    <cellStyle name="Comma 3 3 3 4 5 2 2" xfId="52347" xr:uid="{340A985D-35E2-4BA5-854B-3F3C74754759}"/>
    <cellStyle name="Comma 3 3 3 4 5 2 3" xfId="34093" xr:uid="{CC2CA88A-B841-4BF5-A7B3-81546F7BDA52}"/>
    <cellStyle name="Comma 3 3 3 4 5 3" xfId="12189" xr:uid="{D6BF7E0E-3083-4146-BB6F-00B78DDD410F}"/>
    <cellStyle name="Comma 3 3 3 4 5 3 2" xfId="48697" xr:uid="{E762C9B8-2220-4841-B4CB-F50EEC060E42}"/>
    <cellStyle name="Comma 3 3 3 4 5 3 3" xfId="30443" xr:uid="{F94E7E3E-709A-4B4D-AC7D-DA32A7513BA8}"/>
    <cellStyle name="Comma 3 3 3 4 5 4" xfId="8539" xr:uid="{23F76782-6913-4BD5-82AC-84927CC4F923}"/>
    <cellStyle name="Comma 3 3 3 4 5 4 2" xfId="45047" xr:uid="{E7D91E70-1281-4366-93EC-B8BBA9FCD5A7}"/>
    <cellStyle name="Comma 3 3 3 4 5 4 3" xfId="26793" xr:uid="{8B82956B-776D-44ED-84D7-71FE44DFD305}"/>
    <cellStyle name="Comma 3 3 3 4 5 5" xfId="4889" xr:uid="{D232C54E-2DC1-4211-9A3A-8D57018EFFEC}"/>
    <cellStyle name="Comma 3 3 3 4 5 5 2" xfId="41397" xr:uid="{B664AD26-93BE-43B4-AAB8-D557624294A1}"/>
    <cellStyle name="Comma 3 3 3 4 5 5 3" xfId="23143" xr:uid="{BFB5C415-652D-4514-A79C-FEDFB1D51E95}"/>
    <cellStyle name="Comma 3 3 3 4 5 6" xfId="37747" xr:uid="{4119A29C-1A10-485E-897A-AAC6B1D783FC}"/>
    <cellStyle name="Comma 3 3 3 4 5 7" xfId="19493" xr:uid="{069AF7F3-776B-4BD0-9474-98E317FF12BE}"/>
    <cellStyle name="Comma 3 3 3 4 6" xfId="15109" xr:uid="{4BA0991E-8B71-44F8-8366-D10D55E6A041}"/>
    <cellStyle name="Comma 3 3 3 4 6 2" xfId="51617" xr:uid="{707F5A09-2B30-4934-B843-A42FAE59D78A}"/>
    <cellStyle name="Comma 3 3 3 4 6 3" xfId="33363" xr:uid="{9EF2F984-78CB-438A-BA05-BB886C626DEA}"/>
    <cellStyle name="Comma 3 3 3 4 7" xfId="11459" xr:uid="{04EAE2A2-A0B0-4CC5-833F-48B39665F0E7}"/>
    <cellStyle name="Comma 3 3 3 4 7 2" xfId="47967" xr:uid="{39EDFDFA-A73D-4E11-8868-A27332BE826D}"/>
    <cellStyle name="Comma 3 3 3 4 7 3" xfId="29713" xr:uid="{0399384B-4736-4DCF-8CE2-2E11F0BD8FAF}"/>
    <cellStyle name="Comma 3 3 3 4 8" xfId="7809" xr:uid="{13EA897D-6869-49F6-80BD-6ED3B4DD3B1B}"/>
    <cellStyle name="Comma 3 3 3 4 8 2" xfId="44317" xr:uid="{4300449D-CE13-4DA2-8862-F81B575112F2}"/>
    <cellStyle name="Comma 3 3 3 4 8 3" xfId="26063" xr:uid="{26E3A5AF-7763-41DD-9B1F-283454678321}"/>
    <cellStyle name="Comma 3 3 3 4 9" xfId="4159" xr:uid="{61B1E026-1431-43B9-91AF-E4E2BBDF1236}"/>
    <cellStyle name="Comma 3 3 3 4 9 2" xfId="40667" xr:uid="{A74B6539-E089-408E-8D3E-14E33B3C52AB}"/>
    <cellStyle name="Comma 3 3 3 4 9 3" xfId="22413" xr:uid="{85937D25-F638-4FF2-913A-01EE3EAEF526}"/>
    <cellStyle name="Comma 3 3 3 5" xfId="405" xr:uid="{9C076005-9F6C-43EE-9DEB-AA5227514B98}"/>
    <cellStyle name="Comma 3 3 3 5 10" xfId="36913" xr:uid="{EB233327-36A2-4313-96BC-0118CD4949ED}"/>
    <cellStyle name="Comma 3 3 3 5 11" xfId="18659" xr:uid="{72157DC5-AD6D-47DD-B9B4-8DC968F9687D}"/>
    <cellStyle name="Comma 3 3 3 5 2" xfId="3325" xr:uid="{FF9266C6-F297-4755-99D6-E191A4E2D1DD}"/>
    <cellStyle name="Comma 3 3 3 5 2 2" xfId="17925" xr:uid="{78908BC7-EFBA-4C96-8B88-040750C61CA6}"/>
    <cellStyle name="Comma 3 3 3 5 2 2 2" xfId="54433" xr:uid="{EA7A0D5E-53D8-4365-AA7A-9BEE6FDD7C69}"/>
    <cellStyle name="Comma 3 3 3 5 2 2 3" xfId="36179" xr:uid="{E1A36C6D-819D-4649-9CD5-FFA20400AE89}"/>
    <cellStyle name="Comma 3 3 3 5 2 3" xfId="14275" xr:uid="{94B4FDA2-4522-4A54-AE56-9C99250B42E7}"/>
    <cellStyle name="Comma 3 3 3 5 2 3 2" xfId="50783" xr:uid="{5180D212-808C-4D98-A694-803B86A70FA8}"/>
    <cellStyle name="Comma 3 3 3 5 2 3 3" xfId="32529" xr:uid="{421E2228-D6EB-4ADE-AB3F-724E6D12F20E}"/>
    <cellStyle name="Comma 3 3 3 5 2 4" xfId="10625" xr:uid="{8156068C-9CF8-40EF-8CFB-B76DE8C77BBB}"/>
    <cellStyle name="Comma 3 3 3 5 2 4 2" xfId="47133" xr:uid="{17D5181F-0BB6-44A1-9808-930F1E468B37}"/>
    <cellStyle name="Comma 3 3 3 5 2 4 3" xfId="28879" xr:uid="{89292E5F-FA7E-4614-889C-C4266D524D52}"/>
    <cellStyle name="Comma 3 3 3 5 2 5" xfId="6975" xr:uid="{FBFD3114-1329-4846-8D15-2866ABE36579}"/>
    <cellStyle name="Comma 3 3 3 5 2 5 2" xfId="43483" xr:uid="{9286A61D-E1B0-43FF-BB5F-9B302727F184}"/>
    <cellStyle name="Comma 3 3 3 5 2 5 3" xfId="25229" xr:uid="{7E8CDB9A-7D87-4DEE-8DA3-E53918EE2C67}"/>
    <cellStyle name="Comma 3 3 3 5 2 6" xfId="39833" xr:uid="{E86A2E07-9531-4D23-9C63-BB576D96A163}"/>
    <cellStyle name="Comma 3 3 3 5 2 7" xfId="21579" xr:uid="{776E7A52-9B2F-41B0-8F7C-469254399EFE}"/>
    <cellStyle name="Comma 3 3 3 5 3" xfId="2595" xr:uid="{10B4A051-B671-4283-BB1B-E2157AE66040}"/>
    <cellStyle name="Comma 3 3 3 5 3 2" xfId="17195" xr:uid="{7D341B37-A34F-4A5B-B940-EFC5E6436FB2}"/>
    <cellStyle name="Comma 3 3 3 5 3 2 2" xfId="53703" xr:uid="{9323532A-8F39-40C9-8933-051209CD3BDD}"/>
    <cellStyle name="Comma 3 3 3 5 3 2 3" xfId="35449" xr:uid="{277D6767-5BF4-48BB-AFE6-9B50A7754FC3}"/>
    <cellStyle name="Comma 3 3 3 5 3 3" xfId="13545" xr:uid="{0FE3A224-323E-4A6D-B4C1-AFD2F4AC51CE}"/>
    <cellStyle name="Comma 3 3 3 5 3 3 2" xfId="50053" xr:uid="{408B95EE-12C4-4E27-8138-1B9D8C840DDD}"/>
    <cellStyle name="Comma 3 3 3 5 3 3 3" xfId="31799" xr:uid="{363E2552-A92E-4109-B8D4-AEE743B662A5}"/>
    <cellStyle name="Comma 3 3 3 5 3 4" xfId="9895" xr:uid="{E4528360-9574-4456-951D-2946560AABBA}"/>
    <cellStyle name="Comma 3 3 3 5 3 4 2" xfId="46403" xr:uid="{B9AA8FFE-2539-4B4C-A0D4-FDFD96FBDC04}"/>
    <cellStyle name="Comma 3 3 3 5 3 4 3" xfId="28149" xr:uid="{93FA8D46-FAA2-4EF7-BD90-CF8DCC43F0E1}"/>
    <cellStyle name="Comma 3 3 3 5 3 5" xfId="6245" xr:uid="{DCEC4B3B-3CA2-4DA9-A072-765C096C949A}"/>
    <cellStyle name="Comma 3 3 3 5 3 5 2" xfId="42753" xr:uid="{6ECCA0B5-6DC1-4602-811C-AE921A0EB008}"/>
    <cellStyle name="Comma 3 3 3 5 3 5 3" xfId="24499" xr:uid="{2A78FC90-169C-4FD7-AA89-95D058FDCE7D}"/>
    <cellStyle name="Comma 3 3 3 5 3 6" xfId="39103" xr:uid="{785BED30-7E05-47AE-B6A1-FE0D5D057121}"/>
    <cellStyle name="Comma 3 3 3 5 3 7" xfId="20849" xr:uid="{7E43414F-F74B-4770-A460-673A8D25B969}"/>
    <cellStyle name="Comma 3 3 3 5 4" xfId="1865" xr:uid="{9A851D00-6507-45F9-9FB2-68785C249C85}"/>
    <cellStyle name="Comma 3 3 3 5 4 2" xfId="16465" xr:uid="{0FBFC2DD-5F38-44E9-9736-CD84C9D1FDEA}"/>
    <cellStyle name="Comma 3 3 3 5 4 2 2" xfId="52973" xr:uid="{4AC413DF-B362-4C7B-AACC-69D4425D6A16}"/>
    <cellStyle name="Comma 3 3 3 5 4 2 3" xfId="34719" xr:uid="{78721920-8774-4C63-9B23-A8C426D95184}"/>
    <cellStyle name="Comma 3 3 3 5 4 3" xfId="12815" xr:uid="{D199367C-AD30-406C-9AD0-573037E5CAEE}"/>
    <cellStyle name="Comma 3 3 3 5 4 3 2" xfId="49323" xr:uid="{25726EFC-64B3-41A7-BC27-72433FAB17D6}"/>
    <cellStyle name="Comma 3 3 3 5 4 3 3" xfId="31069" xr:uid="{534576DF-F45E-4DE1-A20B-854D456DB184}"/>
    <cellStyle name="Comma 3 3 3 5 4 4" xfId="9165" xr:uid="{BDF2E0FC-B6BC-4AD8-8E9B-7B85ED2DE1CE}"/>
    <cellStyle name="Comma 3 3 3 5 4 4 2" xfId="45673" xr:uid="{B2499217-AB4E-4721-88A4-DE2B320CDA54}"/>
    <cellStyle name="Comma 3 3 3 5 4 4 3" xfId="27419" xr:uid="{020DF3D3-788D-4C9A-814C-23AFB722F29F}"/>
    <cellStyle name="Comma 3 3 3 5 4 5" xfId="5515" xr:uid="{F3BA78A2-6591-4C7A-AF71-5DED265405DD}"/>
    <cellStyle name="Comma 3 3 3 5 4 5 2" xfId="42023" xr:uid="{029A432A-EF2C-4D15-B094-D39771212093}"/>
    <cellStyle name="Comma 3 3 3 5 4 5 3" xfId="23769" xr:uid="{0A7F1016-08EA-4B1D-A981-1259C51D96C8}"/>
    <cellStyle name="Comma 3 3 3 5 4 6" xfId="38373" xr:uid="{CE38BDC2-3F50-44B2-8612-F1EFE042B5CD}"/>
    <cellStyle name="Comma 3 3 3 5 4 7" xfId="20119" xr:uid="{13F76078-190F-49A2-9521-A1AEC18C89D7}"/>
    <cellStyle name="Comma 3 3 3 5 5" xfId="1135" xr:uid="{B4E8B3E9-1836-4654-B091-E903E5908F33}"/>
    <cellStyle name="Comma 3 3 3 5 5 2" xfId="15735" xr:uid="{DFCD9898-C106-48C2-87BD-6924E66115A5}"/>
    <cellStyle name="Comma 3 3 3 5 5 2 2" xfId="52243" xr:uid="{2204ED8A-9C81-4BCC-8EB7-FFBD94E3E8BA}"/>
    <cellStyle name="Comma 3 3 3 5 5 2 3" xfId="33989" xr:uid="{1E794141-1C17-48A4-8934-CFE6D0F48553}"/>
    <cellStyle name="Comma 3 3 3 5 5 3" xfId="12085" xr:uid="{3F30DD23-F711-441A-9B46-EBA74E1E8865}"/>
    <cellStyle name="Comma 3 3 3 5 5 3 2" xfId="48593" xr:uid="{7F049927-2DF5-40B0-9EB2-3FEF871CFF69}"/>
    <cellStyle name="Comma 3 3 3 5 5 3 3" xfId="30339" xr:uid="{CADCEC34-A07E-4DE1-A15B-72368C953D40}"/>
    <cellStyle name="Comma 3 3 3 5 5 4" xfId="8435" xr:uid="{0B06EE33-819F-4C83-ACEB-ABEA04EF181B}"/>
    <cellStyle name="Comma 3 3 3 5 5 4 2" xfId="44943" xr:uid="{9254E142-3EF0-44F7-AF3B-03A9A68762D4}"/>
    <cellStyle name="Comma 3 3 3 5 5 4 3" xfId="26689" xr:uid="{18FF7A0C-268D-449F-9607-EDE7B803C87A}"/>
    <cellStyle name="Comma 3 3 3 5 5 5" xfId="4785" xr:uid="{314DCC12-F3A5-480B-8F3E-9B82445248AF}"/>
    <cellStyle name="Comma 3 3 3 5 5 5 2" xfId="41293" xr:uid="{CD0332DC-F0CC-45D9-8F8B-6056CEC3F90F}"/>
    <cellStyle name="Comma 3 3 3 5 5 5 3" xfId="23039" xr:uid="{BB35637E-2859-4E73-A175-41F875E17510}"/>
    <cellStyle name="Comma 3 3 3 5 5 6" xfId="37643" xr:uid="{86D114C3-8F92-4AF4-8003-4038167681EA}"/>
    <cellStyle name="Comma 3 3 3 5 5 7" xfId="19389" xr:uid="{3385DAA8-596C-4A5D-AB80-B431DB384968}"/>
    <cellStyle name="Comma 3 3 3 5 6" xfId="15005" xr:uid="{E22AC7AA-0B97-416F-A907-8B939FE4E2F9}"/>
    <cellStyle name="Comma 3 3 3 5 6 2" xfId="51513" xr:uid="{9D896103-CD52-448A-A713-7DD145BE439F}"/>
    <cellStyle name="Comma 3 3 3 5 6 3" xfId="33259" xr:uid="{F1ACDB84-31CF-4842-B82A-4EC785379FCB}"/>
    <cellStyle name="Comma 3 3 3 5 7" xfId="11355" xr:uid="{4B9A865A-91A5-4538-9450-A09D07C69CB1}"/>
    <cellStyle name="Comma 3 3 3 5 7 2" xfId="47863" xr:uid="{6FFD78A3-D96F-402E-9DBD-5FB37886DBF0}"/>
    <cellStyle name="Comma 3 3 3 5 7 3" xfId="29609" xr:uid="{8E12F8F3-E298-40DD-8693-1FF23CBD3604}"/>
    <cellStyle name="Comma 3 3 3 5 8" xfId="7705" xr:uid="{B0CD04DB-F56E-4081-B12F-EAF114D1A6EA}"/>
    <cellStyle name="Comma 3 3 3 5 8 2" xfId="44213" xr:uid="{6BB5E377-C393-4768-B66A-0C98BB674528}"/>
    <cellStyle name="Comma 3 3 3 5 8 3" xfId="25959" xr:uid="{F7957C2F-CD4F-4333-A666-78240399D43B}"/>
    <cellStyle name="Comma 3 3 3 5 9" xfId="4055" xr:uid="{C8D5F049-EEC6-4530-925E-412C7677D8DE}"/>
    <cellStyle name="Comma 3 3 3 5 9 2" xfId="40563" xr:uid="{B1B0F031-FCCC-42AA-B3D7-F260C6B02717}"/>
    <cellStyle name="Comma 3 3 3 5 9 3" xfId="22309" xr:uid="{7BFA80BC-0A9C-48B1-B7F8-EB891EAEED18}"/>
    <cellStyle name="Comma 3 3 3 6" xfId="301" xr:uid="{779D5157-03B2-44B4-9349-0744FD6923DD}"/>
    <cellStyle name="Comma 3 3 3 6 10" xfId="36809" xr:uid="{AD643069-878D-485F-83DB-F7ADFC9C0F88}"/>
    <cellStyle name="Comma 3 3 3 6 11" xfId="18555" xr:uid="{3DED1585-CBF6-4B0B-84CA-5F11C3C2B96B}"/>
    <cellStyle name="Comma 3 3 3 6 2" xfId="3221" xr:uid="{1B8D2B9A-78A6-427C-BB3A-56A124950B95}"/>
    <cellStyle name="Comma 3 3 3 6 2 2" xfId="17821" xr:uid="{92B00A7B-EEB1-491F-A375-97A841CB5FAF}"/>
    <cellStyle name="Comma 3 3 3 6 2 2 2" xfId="54329" xr:uid="{276377AB-2541-45D3-A30F-081478F100D5}"/>
    <cellStyle name="Comma 3 3 3 6 2 2 3" xfId="36075" xr:uid="{FB86BBC2-1530-4F52-BBB4-9665A8405350}"/>
    <cellStyle name="Comma 3 3 3 6 2 3" xfId="14171" xr:uid="{D1E08940-3002-4256-B7B2-2C145DD06B1B}"/>
    <cellStyle name="Comma 3 3 3 6 2 3 2" xfId="50679" xr:uid="{50D7ABC5-7F13-4E08-A7AF-2F1BD7ECCB3A}"/>
    <cellStyle name="Comma 3 3 3 6 2 3 3" xfId="32425" xr:uid="{5AACCF97-741C-4CD5-8F4E-E34F60E666D7}"/>
    <cellStyle name="Comma 3 3 3 6 2 4" xfId="10521" xr:uid="{F71B203F-3A54-4585-A3BA-44A06D3F41FA}"/>
    <cellStyle name="Comma 3 3 3 6 2 4 2" xfId="47029" xr:uid="{64843ECE-5A6C-4136-A8C3-4A47FA5584AA}"/>
    <cellStyle name="Comma 3 3 3 6 2 4 3" xfId="28775" xr:uid="{2908017C-341E-44B9-A2D6-DF2E5147A081}"/>
    <cellStyle name="Comma 3 3 3 6 2 5" xfId="6871" xr:uid="{5E5FEDA6-55E4-4851-B3A4-1C3F0E7DD633}"/>
    <cellStyle name="Comma 3 3 3 6 2 5 2" xfId="43379" xr:uid="{108E59FF-ECD3-42B3-9533-F96329B9ACD7}"/>
    <cellStyle name="Comma 3 3 3 6 2 5 3" xfId="25125" xr:uid="{CFD4AC18-4A0C-452D-9CEF-1096BCFE6A6F}"/>
    <cellStyle name="Comma 3 3 3 6 2 6" xfId="39729" xr:uid="{84D15CEA-FCDC-4726-AC28-208AD9A102D2}"/>
    <cellStyle name="Comma 3 3 3 6 2 7" xfId="21475" xr:uid="{DD763E63-BAEC-4F6C-9C18-8D485A6FAD53}"/>
    <cellStyle name="Comma 3 3 3 6 3" xfId="2491" xr:uid="{C0450795-B311-41AA-B6F4-FF8F38147ECA}"/>
    <cellStyle name="Comma 3 3 3 6 3 2" xfId="17091" xr:uid="{B9336243-74F4-41A8-8797-FA300858DFDE}"/>
    <cellStyle name="Comma 3 3 3 6 3 2 2" xfId="53599" xr:uid="{FB105484-D7D2-4951-9941-3F6342F17EB9}"/>
    <cellStyle name="Comma 3 3 3 6 3 2 3" xfId="35345" xr:uid="{0C12DD49-A550-4FAA-A3A7-15BFCE953E8B}"/>
    <cellStyle name="Comma 3 3 3 6 3 3" xfId="13441" xr:uid="{73C96773-BBF9-4CEF-912E-1AE10BB26106}"/>
    <cellStyle name="Comma 3 3 3 6 3 3 2" xfId="49949" xr:uid="{5533F437-4FE2-41D7-BDEB-4E4BEADE37D9}"/>
    <cellStyle name="Comma 3 3 3 6 3 3 3" xfId="31695" xr:uid="{8CC45887-AF55-4358-A863-4A7ADD753F7F}"/>
    <cellStyle name="Comma 3 3 3 6 3 4" xfId="9791" xr:uid="{66E1376D-30F8-4CF8-82C8-857F908972D4}"/>
    <cellStyle name="Comma 3 3 3 6 3 4 2" xfId="46299" xr:uid="{6E7D31E1-C761-46C9-AD08-2759CA23A198}"/>
    <cellStyle name="Comma 3 3 3 6 3 4 3" xfId="28045" xr:uid="{87A13014-3ADB-45D2-910D-06477F26F6A8}"/>
    <cellStyle name="Comma 3 3 3 6 3 5" xfId="6141" xr:uid="{D0143789-F3B4-4F0C-BED6-25BC44803AC6}"/>
    <cellStyle name="Comma 3 3 3 6 3 5 2" xfId="42649" xr:uid="{E97049B8-C942-443D-B3D0-C9049B06D9CE}"/>
    <cellStyle name="Comma 3 3 3 6 3 5 3" xfId="24395" xr:uid="{ADFC623A-0248-4F9D-B89B-65408B203E13}"/>
    <cellStyle name="Comma 3 3 3 6 3 6" xfId="38999" xr:uid="{0B2FD3C9-D165-4332-88A7-1DD41487A3DA}"/>
    <cellStyle name="Comma 3 3 3 6 3 7" xfId="20745" xr:uid="{09DF3FEF-C4BD-4E26-A6EF-FF5BA606EC59}"/>
    <cellStyle name="Comma 3 3 3 6 4" xfId="1761" xr:uid="{8CAC90B2-353F-46E4-B593-6FB3C6C761FB}"/>
    <cellStyle name="Comma 3 3 3 6 4 2" xfId="16361" xr:uid="{07FC2CA8-8C65-43E2-837A-979C42FC9613}"/>
    <cellStyle name="Comma 3 3 3 6 4 2 2" xfId="52869" xr:uid="{A65FFBD3-8B5E-4784-802C-BFFFCD6206FC}"/>
    <cellStyle name="Comma 3 3 3 6 4 2 3" xfId="34615" xr:uid="{B20E84F4-A469-4ABA-9F4A-EEB465CE1E6F}"/>
    <cellStyle name="Comma 3 3 3 6 4 3" xfId="12711" xr:uid="{68A4F606-3642-4440-BE2F-3575ACF1D2C7}"/>
    <cellStyle name="Comma 3 3 3 6 4 3 2" xfId="49219" xr:uid="{58A1B6D6-3B0E-4FAD-AAA0-C179A6847680}"/>
    <cellStyle name="Comma 3 3 3 6 4 3 3" xfId="30965" xr:uid="{80A707F5-2A1F-4C99-BA2D-9B63E37922D6}"/>
    <cellStyle name="Comma 3 3 3 6 4 4" xfId="9061" xr:uid="{C80DB965-DA8A-4305-A691-E972F3DFC5AB}"/>
    <cellStyle name="Comma 3 3 3 6 4 4 2" xfId="45569" xr:uid="{1D398821-B3D7-4D59-9647-74A046105975}"/>
    <cellStyle name="Comma 3 3 3 6 4 4 3" xfId="27315" xr:uid="{000B4B38-83DB-469F-9C5B-8E4F60A46650}"/>
    <cellStyle name="Comma 3 3 3 6 4 5" xfId="5411" xr:uid="{F0A8C9FB-113C-448A-A7B3-246B953C4938}"/>
    <cellStyle name="Comma 3 3 3 6 4 5 2" xfId="41919" xr:uid="{5AC9CC8C-31DC-449F-874F-CDDDAC50ED11}"/>
    <cellStyle name="Comma 3 3 3 6 4 5 3" xfId="23665" xr:uid="{6E94F5C6-D0F4-42BB-BD9F-97AB66E15C54}"/>
    <cellStyle name="Comma 3 3 3 6 4 6" xfId="38269" xr:uid="{C0E0519C-E2E1-460C-AE65-3FA63C67A737}"/>
    <cellStyle name="Comma 3 3 3 6 4 7" xfId="20015" xr:uid="{DD740AE3-D071-4167-8935-81478135ADF5}"/>
    <cellStyle name="Comma 3 3 3 6 5" xfId="1031" xr:uid="{4DF7D900-5EE7-4EC2-87C7-CACCB563DFF0}"/>
    <cellStyle name="Comma 3 3 3 6 5 2" xfId="15631" xr:uid="{EFC147EB-027F-43E6-B5F2-C285DCACD48C}"/>
    <cellStyle name="Comma 3 3 3 6 5 2 2" xfId="52139" xr:uid="{94D6E5DC-6791-42E4-B10A-AA0877124913}"/>
    <cellStyle name="Comma 3 3 3 6 5 2 3" xfId="33885" xr:uid="{3F697F3C-87DE-46A6-9609-338535AC702A}"/>
    <cellStyle name="Comma 3 3 3 6 5 3" xfId="11981" xr:uid="{67C57A59-CEED-4D39-8501-426ADB831DE4}"/>
    <cellStyle name="Comma 3 3 3 6 5 3 2" xfId="48489" xr:uid="{F6495E1A-B649-4760-904E-0DA4614CF0BE}"/>
    <cellStyle name="Comma 3 3 3 6 5 3 3" xfId="30235" xr:uid="{6C4524BF-0C8D-4895-B11F-4EDCB143CDF2}"/>
    <cellStyle name="Comma 3 3 3 6 5 4" xfId="8331" xr:uid="{CA46D47F-FB08-4132-9E39-89026801C471}"/>
    <cellStyle name="Comma 3 3 3 6 5 4 2" xfId="44839" xr:uid="{0104FBAD-7544-4169-9A0B-70739E000D1C}"/>
    <cellStyle name="Comma 3 3 3 6 5 4 3" xfId="26585" xr:uid="{D8DB0DC7-F90B-4A45-BB8C-68242D6C5BE7}"/>
    <cellStyle name="Comma 3 3 3 6 5 5" xfId="4681" xr:uid="{B53D653F-5B3C-42D1-8D24-06F4408C07CC}"/>
    <cellStyle name="Comma 3 3 3 6 5 5 2" xfId="41189" xr:uid="{90A13FB1-E963-471A-A379-51DD356057D0}"/>
    <cellStyle name="Comma 3 3 3 6 5 5 3" xfId="22935" xr:uid="{51F7A85C-3554-4CB2-96D8-6164E705C807}"/>
    <cellStyle name="Comma 3 3 3 6 5 6" xfId="37539" xr:uid="{35E99548-983D-4C3B-A164-5B7C30F37D76}"/>
    <cellStyle name="Comma 3 3 3 6 5 7" xfId="19285" xr:uid="{670C15FE-E3CF-4B0A-BFEC-36059EC81726}"/>
    <cellStyle name="Comma 3 3 3 6 6" xfId="14901" xr:uid="{C2393C3E-2086-4C8F-83ED-1553C2C4E4D3}"/>
    <cellStyle name="Comma 3 3 3 6 6 2" xfId="51409" xr:uid="{3B07DC01-1A14-4572-9CFE-CE17950A200D}"/>
    <cellStyle name="Comma 3 3 3 6 6 3" xfId="33155" xr:uid="{CE50F3B5-7D1B-44CF-97F7-4DE64348927C}"/>
    <cellStyle name="Comma 3 3 3 6 7" xfId="11251" xr:uid="{74566239-E039-4CE9-A930-5768AE8DE629}"/>
    <cellStyle name="Comma 3 3 3 6 7 2" xfId="47759" xr:uid="{63C3C918-4C82-4EA3-A49D-347B934AE43F}"/>
    <cellStyle name="Comma 3 3 3 6 7 3" xfId="29505" xr:uid="{0349D2B9-4FF8-4562-89EA-F1AD5DA4DFE2}"/>
    <cellStyle name="Comma 3 3 3 6 8" xfId="7601" xr:uid="{6411857F-B478-44FE-A44B-9AB13E2893EF}"/>
    <cellStyle name="Comma 3 3 3 6 8 2" xfId="44109" xr:uid="{A71838CC-97F4-4690-9541-F79151CAC147}"/>
    <cellStyle name="Comma 3 3 3 6 8 3" xfId="25855" xr:uid="{8A578227-B8CF-4406-80FD-CDA6BF3098AE}"/>
    <cellStyle name="Comma 3 3 3 6 9" xfId="3951" xr:uid="{63C8A410-0E09-4165-B4D3-676B6B7F49A7}"/>
    <cellStyle name="Comma 3 3 3 6 9 2" xfId="40459" xr:uid="{4322FE60-B8F4-4815-BB52-AA8A3BC04034}"/>
    <cellStyle name="Comma 3 3 3 6 9 3" xfId="22205" xr:uid="{AB96ACB3-8E71-433B-A305-40F160B747DC}"/>
    <cellStyle name="Comma 3 3 3 7" xfId="197" xr:uid="{2CFE236E-319F-467B-B931-A13313B4EDC3}"/>
    <cellStyle name="Comma 3 3 3 7 10" xfId="36705" xr:uid="{8908CC52-A635-428B-956F-B05631C7863A}"/>
    <cellStyle name="Comma 3 3 3 7 11" xfId="18451" xr:uid="{9DEE663D-6434-4540-AC80-B4675C3B772A}"/>
    <cellStyle name="Comma 3 3 3 7 2" xfId="3117" xr:uid="{AEAD0D5F-1F1C-4D72-83E8-E8C147188D78}"/>
    <cellStyle name="Comma 3 3 3 7 2 2" xfId="17717" xr:uid="{E3B661A5-62DE-4B51-B002-C5A7C491BBBB}"/>
    <cellStyle name="Comma 3 3 3 7 2 2 2" xfId="54225" xr:uid="{6FFCDD55-01CA-45B1-999F-55836BF4E33A}"/>
    <cellStyle name="Comma 3 3 3 7 2 2 3" xfId="35971" xr:uid="{0C1CEF23-BA65-4851-B7C4-2436EC4BFCF3}"/>
    <cellStyle name="Comma 3 3 3 7 2 3" xfId="14067" xr:uid="{623954EF-DB0C-4BEB-923B-2A66AA83F7A0}"/>
    <cellStyle name="Comma 3 3 3 7 2 3 2" xfId="50575" xr:uid="{020451DE-4095-41F8-946C-0A2FCD36B310}"/>
    <cellStyle name="Comma 3 3 3 7 2 3 3" xfId="32321" xr:uid="{F53180AB-C830-41C6-8428-CDEB0347D064}"/>
    <cellStyle name="Comma 3 3 3 7 2 4" xfId="10417" xr:uid="{BCB12CBB-731E-4796-95CF-04EE49FE095D}"/>
    <cellStyle name="Comma 3 3 3 7 2 4 2" xfId="46925" xr:uid="{7F882C42-BD7E-4323-A01B-7DB4EAA1935A}"/>
    <cellStyle name="Comma 3 3 3 7 2 4 3" xfId="28671" xr:uid="{8E8DB29C-11B1-4367-90D1-F1E544A79726}"/>
    <cellStyle name="Comma 3 3 3 7 2 5" xfId="6767" xr:uid="{AACC4037-BEA0-4B75-9F08-189BBE126BD0}"/>
    <cellStyle name="Comma 3 3 3 7 2 5 2" xfId="43275" xr:uid="{344D2A2C-38E1-454B-827B-CF0BCE52F9D6}"/>
    <cellStyle name="Comma 3 3 3 7 2 5 3" xfId="25021" xr:uid="{3C7655B7-0B80-45AA-A2D3-3E4010A56DEC}"/>
    <cellStyle name="Comma 3 3 3 7 2 6" xfId="39625" xr:uid="{63A03607-0CDD-4807-BEC6-8179D8DAED01}"/>
    <cellStyle name="Comma 3 3 3 7 2 7" xfId="21371" xr:uid="{8858C703-8815-4A02-AEDA-F49981E0A551}"/>
    <cellStyle name="Comma 3 3 3 7 3" xfId="2387" xr:uid="{BDF386F1-8E2F-4A74-9CCE-3600AEE9EB47}"/>
    <cellStyle name="Comma 3 3 3 7 3 2" xfId="16987" xr:uid="{D75390DF-61FC-4054-9EEA-3FCCD0E31993}"/>
    <cellStyle name="Comma 3 3 3 7 3 2 2" xfId="53495" xr:uid="{95ABBDC3-7C17-4D18-A9B9-A732A41A99A2}"/>
    <cellStyle name="Comma 3 3 3 7 3 2 3" xfId="35241" xr:uid="{B7817FDA-3038-465B-9008-4E198496C369}"/>
    <cellStyle name="Comma 3 3 3 7 3 3" xfId="13337" xr:uid="{06226108-677B-41D8-873C-DCB2DA5B8F89}"/>
    <cellStyle name="Comma 3 3 3 7 3 3 2" xfId="49845" xr:uid="{89695C10-1046-44AD-A3FB-CE7BD5BD39A7}"/>
    <cellStyle name="Comma 3 3 3 7 3 3 3" xfId="31591" xr:uid="{95FF0897-258B-4EDC-821D-FD9DD524E25C}"/>
    <cellStyle name="Comma 3 3 3 7 3 4" xfId="9687" xr:uid="{BDE3D680-2387-42F6-8ABF-99C623E4E00F}"/>
    <cellStyle name="Comma 3 3 3 7 3 4 2" xfId="46195" xr:uid="{2B0FEF51-BA71-4F85-87FF-B7CBC1F8A18C}"/>
    <cellStyle name="Comma 3 3 3 7 3 4 3" xfId="27941" xr:uid="{C939FCA9-C2D5-4D7A-8952-9DEF1E8D7033}"/>
    <cellStyle name="Comma 3 3 3 7 3 5" xfId="6037" xr:uid="{FF40E38E-35FB-4E35-8D8F-2751CE7D0E9C}"/>
    <cellStyle name="Comma 3 3 3 7 3 5 2" xfId="42545" xr:uid="{181B21AD-4129-4A76-85E3-7B089C30769A}"/>
    <cellStyle name="Comma 3 3 3 7 3 5 3" xfId="24291" xr:uid="{67E353F6-7524-4C80-967C-490BC8112DC4}"/>
    <cellStyle name="Comma 3 3 3 7 3 6" xfId="38895" xr:uid="{5FD46DF1-6FDB-4EE3-8A41-F7D532A91CCC}"/>
    <cellStyle name="Comma 3 3 3 7 3 7" xfId="20641" xr:uid="{D029ABC0-6720-4FAB-8655-34B55C374863}"/>
    <cellStyle name="Comma 3 3 3 7 4" xfId="1657" xr:uid="{523F71D7-F579-4B4A-ADA1-25C9D56B5D98}"/>
    <cellStyle name="Comma 3 3 3 7 4 2" xfId="16257" xr:uid="{AB82F39A-1243-4CD2-855F-C1EDB36BF24D}"/>
    <cellStyle name="Comma 3 3 3 7 4 2 2" xfId="52765" xr:uid="{470D80D3-0005-47B3-9D81-F38FEB5843F4}"/>
    <cellStyle name="Comma 3 3 3 7 4 2 3" xfId="34511" xr:uid="{FC8AC0B9-E1F5-4B4B-B1E2-1FD5E9F40D40}"/>
    <cellStyle name="Comma 3 3 3 7 4 3" xfId="12607" xr:uid="{044BCA01-3ACE-4BF8-95B0-D8C5428821A8}"/>
    <cellStyle name="Comma 3 3 3 7 4 3 2" xfId="49115" xr:uid="{2BF44F33-EC79-4D40-8954-3EFEC4685A4B}"/>
    <cellStyle name="Comma 3 3 3 7 4 3 3" xfId="30861" xr:uid="{F0FF6AC3-FFCD-46F2-BF43-D5580340F6A7}"/>
    <cellStyle name="Comma 3 3 3 7 4 4" xfId="8957" xr:uid="{F21FD73E-206F-4CD2-962F-99A1BCCA5045}"/>
    <cellStyle name="Comma 3 3 3 7 4 4 2" xfId="45465" xr:uid="{B672BC1B-1397-4000-BFB7-F79C28FA8ADC}"/>
    <cellStyle name="Comma 3 3 3 7 4 4 3" xfId="27211" xr:uid="{90AD69E6-AB8E-400F-9FC9-715381AFA1C9}"/>
    <cellStyle name="Comma 3 3 3 7 4 5" xfId="5307" xr:uid="{1B83A4B9-A1D9-4403-B3CE-649D611A6839}"/>
    <cellStyle name="Comma 3 3 3 7 4 5 2" xfId="41815" xr:uid="{FE780CFB-7DDE-4A22-B736-4B8BAB0824B8}"/>
    <cellStyle name="Comma 3 3 3 7 4 5 3" xfId="23561" xr:uid="{2267FA0E-878C-4DA3-A3DA-92F8498A3DCA}"/>
    <cellStyle name="Comma 3 3 3 7 4 6" xfId="38165" xr:uid="{63356E28-0907-42B5-8D29-79EB34FCE48A}"/>
    <cellStyle name="Comma 3 3 3 7 4 7" xfId="19911" xr:uid="{B4844411-E0C5-4A3B-8BE4-F9E073229590}"/>
    <cellStyle name="Comma 3 3 3 7 5" xfId="927" xr:uid="{836FCDCE-318B-46DC-A5C7-EDC01ECE1224}"/>
    <cellStyle name="Comma 3 3 3 7 5 2" xfId="15527" xr:uid="{9647BC8D-15E1-44EE-8FF7-00F0F0B91BEF}"/>
    <cellStyle name="Comma 3 3 3 7 5 2 2" xfId="52035" xr:uid="{B278B9D4-2175-4F61-BA18-A9C26D722090}"/>
    <cellStyle name="Comma 3 3 3 7 5 2 3" xfId="33781" xr:uid="{3C1F7206-4E75-462C-91FA-26199068BBF7}"/>
    <cellStyle name="Comma 3 3 3 7 5 3" xfId="11877" xr:uid="{498E43D3-2D04-464B-985C-008F592B50BB}"/>
    <cellStyle name="Comma 3 3 3 7 5 3 2" xfId="48385" xr:uid="{953162B1-CFAB-4E53-AD5E-8221E7E56159}"/>
    <cellStyle name="Comma 3 3 3 7 5 3 3" xfId="30131" xr:uid="{67E76831-8D73-4A7D-90D5-A726C4F5BFD3}"/>
    <cellStyle name="Comma 3 3 3 7 5 4" xfId="8227" xr:uid="{CA1C8280-93E0-44F4-9CED-DC3DCD881F74}"/>
    <cellStyle name="Comma 3 3 3 7 5 4 2" xfId="44735" xr:uid="{BE68C36E-2A49-4480-8112-248F60B202BB}"/>
    <cellStyle name="Comma 3 3 3 7 5 4 3" xfId="26481" xr:uid="{7D9C5BA5-504B-4371-9198-6E58665832E8}"/>
    <cellStyle name="Comma 3 3 3 7 5 5" xfId="4577" xr:uid="{2DCB16EA-7119-4509-BD08-E4E70455A52E}"/>
    <cellStyle name="Comma 3 3 3 7 5 5 2" xfId="41085" xr:uid="{EE0E314C-4CB3-4F5A-ACA9-51E4B2EC2172}"/>
    <cellStyle name="Comma 3 3 3 7 5 5 3" xfId="22831" xr:uid="{624FCBAE-5CB7-43B1-A119-37F5EEE2496F}"/>
    <cellStyle name="Comma 3 3 3 7 5 6" xfId="37435" xr:uid="{813DEC44-7171-4FD8-BF60-5B031225AE1E}"/>
    <cellStyle name="Comma 3 3 3 7 5 7" xfId="19181" xr:uid="{92CF930A-7031-485D-8471-CC5D3211EC76}"/>
    <cellStyle name="Comma 3 3 3 7 6" xfId="14797" xr:uid="{83FA065A-2061-4BAE-B3B0-65EB2A0D1EF8}"/>
    <cellStyle name="Comma 3 3 3 7 6 2" xfId="51305" xr:uid="{75CF671C-EB14-4BAF-80D3-13D3AC71DCB8}"/>
    <cellStyle name="Comma 3 3 3 7 6 3" xfId="33051" xr:uid="{19FA1D25-D457-4DB6-B603-EFD73445F0E3}"/>
    <cellStyle name="Comma 3 3 3 7 7" xfId="11147" xr:uid="{2401EA1E-8930-4352-969E-CD32D13054D6}"/>
    <cellStyle name="Comma 3 3 3 7 7 2" xfId="47655" xr:uid="{7711F804-3322-4C28-BB23-3F8FD65E0917}"/>
    <cellStyle name="Comma 3 3 3 7 7 3" xfId="29401" xr:uid="{BBF03339-4E14-456B-8AF2-59B069B25FF3}"/>
    <cellStyle name="Comma 3 3 3 7 8" xfId="7497" xr:uid="{16EBBBCC-9D9B-4AC1-801E-77DEB8BCE0CB}"/>
    <cellStyle name="Comma 3 3 3 7 8 2" xfId="44005" xr:uid="{B72D63A3-3ECB-4C5D-8F3F-03BF94D5CFE1}"/>
    <cellStyle name="Comma 3 3 3 7 8 3" xfId="25751" xr:uid="{2485D418-2F84-4948-BE32-E36D220BC1BA}"/>
    <cellStyle name="Comma 3 3 3 7 9" xfId="3847" xr:uid="{D1B71300-55AD-44E2-8C1F-3E37F6996A40}"/>
    <cellStyle name="Comma 3 3 3 7 9 2" xfId="40355" xr:uid="{C7E2769B-C61E-4189-A3C9-E4A0DC80B698}"/>
    <cellStyle name="Comma 3 3 3 7 9 3" xfId="22101" xr:uid="{0632FA2F-6B4A-49FE-B737-A91CD216BD61}"/>
    <cellStyle name="Comma 3 3 3 8" xfId="3013" xr:uid="{2D86337D-DA00-4BAC-B652-77A8D5325B73}"/>
    <cellStyle name="Comma 3 3 3 8 2" xfId="17613" xr:uid="{C5F5E704-3763-4F22-BBB2-B61E64C6BF82}"/>
    <cellStyle name="Comma 3 3 3 8 2 2" xfId="54121" xr:uid="{D10CEA16-B197-4C79-8BCB-59B3BFE35F77}"/>
    <cellStyle name="Comma 3 3 3 8 2 3" xfId="35867" xr:uid="{CECC294B-CF92-45DF-8DF4-E94133CFE09D}"/>
    <cellStyle name="Comma 3 3 3 8 3" xfId="13963" xr:uid="{808C6A3E-E3A2-4A5E-89EA-D7306E955B67}"/>
    <cellStyle name="Comma 3 3 3 8 3 2" xfId="50471" xr:uid="{AD70E1CE-D648-4B0C-A328-C6EF64807AC4}"/>
    <cellStyle name="Comma 3 3 3 8 3 3" xfId="32217" xr:uid="{91785065-12F5-428C-B8CC-E46D5E19B7A6}"/>
    <cellStyle name="Comma 3 3 3 8 4" xfId="10313" xr:uid="{5B27099F-F1AC-466E-A2E1-78ACA8784692}"/>
    <cellStyle name="Comma 3 3 3 8 4 2" xfId="46821" xr:uid="{DD1122D5-49FA-4171-A6E5-D529026BA5A0}"/>
    <cellStyle name="Comma 3 3 3 8 4 3" xfId="28567" xr:uid="{19D6E053-3E49-442E-8765-ADC119DDC6D8}"/>
    <cellStyle name="Comma 3 3 3 8 5" xfId="6663" xr:uid="{B3483868-EC7C-4D74-9AF0-078FAFE117B4}"/>
    <cellStyle name="Comma 3 3 3 8 5 2" xfId="43171" xr:uid="{379A04BA-2636-4C31-9374-40BD291834AB}"/>
    <cellStyle name="Comma 3 3 3 8 5 3" xfId="24917" xr:uid="{D48D55F4-5FE7-4BBA-87AE-735149674F70}"/>
    <cellStyle name="Comma 3 3 3 8 6" xfId="39521" xr:uid="{3E977433-7202-46B3-9909-76256679E677}"/>
    <cellStyle name="Comma 3 3 3 8 7" xfId="21267" xr:uid="{DB3DDFF8-BD19-4D77-A6C8-0B0E3DBE2B7D}"/>
    <cellStyle name="Comma 3 3 3 9" xfId="2283" xr:uid="{1C97D3B1-3E63-458E-A3A9-DDF1661C267C}"/>
    <cellStyle name="Comma 3 3 3 9 2" xfId="16883" xr:uid="{969271CD-6F5F-4B86-8020-80D09AD91FA9}"/>
    <cellStyle name="Comma 3 3 3 9 2 2" xfId="53391" xr:uid="{A4C25F50-798E-4F5D-8B25-57CBF5DC901C}"/>
    <cellStyle name="Comma 3 3 3 9 2 3" xfId="35137" xr:uid="{082E71CF-E8FD-4C12-A9A9-3FA0CC0F0DB4}"/>
    <cellStyle name="Comma 3 3 3 9 3" xfId="13233" xr:uid="{DE481451-F07C-4DC3-A49A-602A240A5172}"/>
    <cellStyle name="Comma 3 3 3 9 3 2" xfId="49741" xr:uid="{F7450FE1-388C-46C5-B68F-AEE7F6F86E84}"/>
    <cellStyle name="Comma 3 3 3 9 3 3" xfId="31487" xr:uid="{7AA80842-B820-43BE-88FB-7714FCDE7F5C}"/>
    <cellStyle name="Comma 3 3 3 9 4" xfId="9583" xr:uid="{AE514132-2F45-42FD-B064-D9B79BBC311F}"/>
    <cellStyle name="Comma 3 3 3 9 4 2" xfId="46091" xr:uid="{78A257CF-879E-481A-BC29-777727722D34}"/>
    <cellStyle name="Comma 3 3 3 9 4 3" xfId="27837" xr:uid="{77D7D349-0DB4-4DFF-B99F-065C82EC798D}"/>
    <cellStyle name="Comma 3 3 3 9 5" xfId="5933" xr:uid="{67A373F9-E000-43B6-AF1C-FE6F598EC567}"/>
    <cellStyle name="Comma 3 3 3 9 5 2" xfId="42441" xr:uid="{149935D4-C1A3-498D-9CCE-554FD5921945}"/>
    <cellStyle name="Comma 3 3 3 9 5 3" xfId="24187" xr:uid="{D0A60B3C-56DA-497D-B6C5-C0EDAF60E472}"/>
    <cellStyle name="Comma 3 3 3 9 6" xfId="38791" xr:uid="{C2330377-CE7E-4506-B37B-D665E63D4C0E}"/>
    <cellStyle name="Comma 3 3 3 9 7" xfId="20537" xr:uid="{3D6DA4F6-58C3-4EE7-AA2B-6C8DE2392E25}"/>
    <cellStyle name="Comma 3 3 4" xfId="55" xr:uid="{4B79F514-9E90-44A8-9C38-96B5357DAAB9}"/>
    <cellStyle name="Comma 3 3 4 10" xfId="1521" xr:uid="{8CC33268-2F4F-43EC-8651-1BA5C41100F6}"/>
    <cellStyle name="Comma 3 3 4 10 2" xfId="16121" xr:uid="{66E16E92-302D-424A-B7C2-2221B9953414}"/>
    <cellStyle name="Comma 3 3 4 10 2 2" xfId="52629" xr:uid="{D44D2D8D-7F5B-4400-A5C1-25CEFFBB1D07}"/>
    <cellStyle name="Comma 3 3 4 10 2 3" xfId="34375" xr:uid="{7976B41E-848A-495B-9F53-756C0FB99184}"/>
    <cellStyle name="Comma 3 3 4 10 3" xfId="12471" xr:uid="{F317695A-30BF-4F54-972B-A23798B330D4}"/>
    <cellStyle name="Comma 3 3 4 10 3 2" xfId="48979" xr:uid="{6D822A75-99CE-4A0E-BD15-B32FC162A7DF}"/>
    <cellStyle name="Comma 3 3 4 10 3 3" xfId="30725" xr:uid="{9E11D7FB-5219-495A-B914-72239D8CB1F7}"/>
    <cellStyle name="Comma 3 3 4 10 4" xfId="8821" xr:uid="{03609077-E5EE-448C-8C0A-DA23B4621777}"/>
    <cellStyle name="Comma 3 3 4 10 4 2" xfId="45329" xr:uid="{84937C41-CDA0-4B94-A4FD-5121F685A551}"/>
    <cellStyle name="Comma 3 3 4 10 4 3" xfId="27075" xr:uid="{A126DC6C-8B2C-4C69-8B94-8B36E8D0D792}"/>
    <cellStyle name="Comma 3 3 4 10 5" xfId="5171" xr:uid="{2F9F033C-2364-4272-8B1A-0555AEF8F767}"/>
    <cellStyle name="Comma 3 3 4 10 5 2" xfId="41679" xr:uid="{0C5D8B12-8DC1-4889-9ADC-E417830ADE0F}"/>
    <cellStyle name="Comma 3 3 4 10 5 3" xfId="23425" xr:uid="{01401AA4-A33E-4A0D-B2CD-0A78CC922829}"/>
    <cellStyle name="Comma 3 3 4 10 6" xfId="38029" xr:uid="{BE396523-4155-45AD-8BBB-73EB7C99CDBB}"/>
    <cellStyle name="Comma 3 3 4 10 7" xfId="19775" xr:uid="{A9D371BB-8DB0-49B7-A8E8-F35D0727BD96}"/>
    <cellStyle name="Comma 3 3 4 11" xfId="791" xr:uid="{6763002C-DA9D-4A45-A18A-689C2980F98B}"/>
    <cellStyle name="Comma 3 3 4 11 2" xfId="15391" xr:uid="{4CA2BFB9-7BA2-4DA0-8383-132DC224E6CD}"/>
    <cellStyle name="Comma 3 3 4 11 2 2" xfId="51899" xr:uid="{AD9FB0A8-54C7-448D-8895-750F564CA17F}"/>
    <cellStyle name="Comma 3 3 4 11 2 3" xfId="33645" xr:uid="{FE2D1C3B-6242-4081-AEAD-90D8583D5D8C}"/>
    <cellStyle name="Comma 3 3 4 11 3" xfId="11741" xr:uid="{CDFB16BA-161E-4934-AD70-B339D12FC689}"/>
    <cellStyle name="Comma 3 3 4 11 3 2" xfId="48249" xr:uid="{146466EB-8DED-4925-8C11-F4229E4A459F}"/>
    <cellStyle name="Comma 3 3 4 11 3 3" xfId="29995" xr:uid="{6DFCC43C-4A7B-4B83-9C47-BE5ADA129794}"/>
    <cellStyle name="Comma 3 3 4 11 4" xfId="8091" xr:uid="{C72510B5-0336-4FE8-8E42-5613C94556C7}"/>
    <cellStyle name="Comma 3 3 4 11 4 2" xfId="44599" xr:uid="{000C7715-DF98-4C46-8081-F1EF502915D7}"/>
    <cellStyle name="Comma 3 3 4 11 4 3" xfId="26345" xr:uid="{AD586E00-980A-47A8-8F65-DEAC7D5E01FC}"/>
    <cellStyle name="Comma 3 3 4 11 5" xfId="4441" xr:uid="{D817B756-7E12-4CE8-9747-2D89E65F29C9}"/>
    <cellStyle name="Comma 3 3 4 11 5 2" xfId="40949" xr:uid="{928B5D60-6228-4C3A-B03F-F571A5E4BC6D}"/>
    <cellStyle name="Comma 3 3 4 11 5 3" xfId="22695" xr:uid="{D162A7A6-1643-4EF6-8F17-99E8A9CB0A49}"/>
    <cellStyle name="Comma 3 3 4 11 6" xfId="37299" xr:uid="{3A4E6E9D-84A9-43F5-B35B-06B7AF8DFABC}"/>
    <cellStyle name="Comma 3 3 4 11 7" xfId="19045" xr:uid="{1C3E4C4E-0354-419C-AE5C-0AAFEACB6CB2}"/>
    <cellStyle name="Comma 3 3 4 12" xfId="14661" xr:uid="{E0E3D024-4378-408A-ADA4-466F10814832}"/>
    <cellStyle name="Comma 3 3 4 12 2" xfId="51169" xr:uid="{C90DC7C6-B22A-49A1-9420-71B411CCEF92}"/>
    <cellStyle name="Comma 3 3 4 12 3" xfId="32915" xr:uid="{47177353-1B9A-45C1-AEC6-CF74B5BFB039}"/>
    <cellStyle name="Comma 3 3 4 13" xfId="11011" xr:uid="{7B4BF026-0E7C-46EB-98D3-949FD41BA60D}"/>
    <cellStyle name="Comma 3 3 4 13 2" xfId="47519" xr:uid="{69900E4A-7A9A-4A52-89F2-18708507FD61}"/>
    <cellStyle name="Comma 3 3 4 13 3" xfId="29265" xr:uid="{0FAEC5CB-1586-49B2-A229-3CDF714C68BF}"/>
    <cellStyle name="Comma 3 3 4 14" xfId="7361" xr:uid="{C3FB1FBD-9E62-49F3-9CA7-FEA18307D2E8}"/>
    <cellStyle name="Comma 3 3 4 14 2" xfId="43869" xr:uid="{72BD2647-7709-40C4-82D5-B09A9E3B4451}"/>
    <cellStyle name="Comma 3 3 4 14 3" xfId="25615" xr:uid="{447E0C33-A539-40EB-9553-9F7E69C0B6DE}"/>
    <cellStyle name="Comma 3 3 4 15" xfId="3711" xr:uid="{7C708EBC-9E42-4DC7-AE37-A56678B21D7E}"/>
    <cellStyle name="Comma 3 3 4 15 2" xfId="40219" xr:uid="{E8C09A7D-5262-45B5-8C26-5A04A2F03859}"/>
    <cellStyle name="Comma 3 3 4 15 3" xfId="21965" xr:uid="{EFAE3720-8A9E-4D8C-9F84-C3F38E4692CE}"/>
    <cellStyle name="Comma 3 3 4 16" xfId="36569" xr:uid="{5091C3EA-6079-40D0-B92A-EA1CCB45C496}"/>
    <cellStyle name="Comma 3 3 4 17" xfId="18315" xr:uid="{5A850E2B-E132-4C6F-BB65-0D30E6269B0C}"/>
    <cellStyle name="Comma 3 3 4 2" xfId="685" xr:uid="{770BF7E2-1E3B-41FB-88D3-6F0809C90C1C}"/>
    <cellStyle name="Comma 3 3 4 2 10" xfId="37193" xr:uid="{021B71D7-F497-4C7F-9BA9-164E8EB6190D}"/>
    <cellStyle name="Comma 3 3 4 2 11" xfId="18939" xr:uid="{00B7C048-2350-4C2F-92C3-A2CFAD7A343B}"/>
    <cellStyle name="Comma 3 3 4 2 2" xfId="3605" xr:uid="{F43C5AA2-5E70-43DC-A8CA-14A10E4B1FED}"/>
    <cellStyle name="Comma 3 3 4 2 2 2" xfId="18205" xr:uid="{9BF74D12-27FC-4A12-A42A-E9D4AB5F42B2}"/>
    <cellStyle name="Comma 3 3 4 2 2 2 2" xfId="54713" xr:uid="{9D5C4AB5-06FB-44D3-80D2-068FA54FE97F}"/>
    <cellStyle name="Comma 3 3 4 2 2 2 3" xfId="36459" xr:uid="{BA51CA4B-8500-4764-9BB5-315D038B2ADF}"/>
    <cellStyle name="Comma 3 3 4 2 2 3" xfId="14555" xr:uid="{2E8C2F44-D79E-44F7-B965-31C190DF8FD0}"/>
    <cellStyle name="Comma 3 3 4 2 2 3 2" xfId="51063" xr:uid="{6CFC7745-56FC-494C-A006-B5D449BBCC78}"/>
    <cellStyle name="Comma 3 3 4 2 2 3 3" xfId="32809" xr:uid="{6A5829D1-6947-4764-9A2F-648615F60F30}"/>
    <cellStyle name="Comma 3 3 4 2 2 4" xfId="10905" xr:uid="{1DCBB017-C3B7-42C4-804F-A6EE84FD1D44}"/>
    <cellStyle name="Comma 3 3 4 2 2 4 2" xfId="47413" xr:uid="{7A64F34F-377D-418C-97D9-01F516E87D39}"/>
    <cellStyle name="Comma 3 3 4 2 2 4 3" xfId="29159" xr:uid="{3635739B-043C-4A47-95DE-7A0C8E4EDF0A}"/>
    <cellStyle name="Comma 3 3 4 2 2 5" xfId="7255" xr:uid="{986960D1-80BB-44A0-A5F6-4D68CA0C019B}"/>
    <cellStyle name="Comma 3 3 4 2 2 5 2" xfId="43763" xr:uid="{61C1AB21-E706-4361-BF59-CEC74223974A}"/>
    <cellStyle name="Comma 3 3 4 2 2 5 3" xfId="25509" xr:uid="{F60DFDFF-7060-4070-9FFA-044C46B4470C}"/>
    <cellStyle name="Comma 3 3 4 2 2 6" xfId="40113" xr:uid="{B0601C25-5D1F-4B2F-A9C5-6793B3ADD9C5}"/>
    <cellStyle name="Comma 3 3 4 2 2 7" xfId="21859" xr:uid="{F0FBEABF-CE49-4F1D-9C35-CD24A33F2551}"/>
    <cellStyle name="Comma 3 3 4 2 3" xfId="2875" xr:uid="{4BDB211A-6074-44D9-A583-4A80990D3952}"/>
    <cellStyle name="Comma 3 3 4 2 3 2" xfId="17475" xr:uid="{DA8600C5-AF59-474F-B39F-6A593E8AEBAD}"/>
    <cellStyle name="Comma 3 3 4 2 3 2 2" xfId="53983" xr:uid="{B2C40245-AE7D-4F80-87F9-260A216D9415}"/>
    <cellStyle name="Comma 3 3 4 2 3 2 3" xfId="35729" xr:uid="{051FE413-119E-4F68-98C5-BC08059C51A3}"/>
    <cellStyle name="Comma 3 3 4 2 3 3" xfId="13825" xr:uid="{C52CF8F1-F54E-4A04-A1DE-DF612EBA00FE}"/>
    <cellStyle name="Comma 3 3 4 2 3 3 2" xfId="50333" xr:uid="{2BA07491-19E2-4AEA-B90C-FCFF34A8CB94}"/>
    <cellStyle name="Comma 3 3 4 2 3 3 3" xfId="32079" xr:uid="{A3B5B633-A860-4CC4-8C79-062A8440B228}"/>
    <cellStyle name="Comma 3 3 4 2 3 4" xfId="10175" xr:uid="{CD3F0DD7-9D2E-40AB-8646-14A312C2AEF5}"/>
    <cellStyle name="Comma 3 3 4 2 3 4 2" xfId="46683" xr:uid="{4CAAC5BC-108A-44F0-9D7E-8A692E49FED3}"/>
    <cellStyle name="Comma 3 3 4 2 3 4 3" xfId="28429" xr:uid="{EEBD635D-CDA9-4099-A074-64112F1B0653}"/>
    <cellStyle name="Comma 3 3 4 2 3 5" xfId="6525" xr:uid="{ECFBA470-6AB1-4AD4-8678-A104AD3885A8}"/>
    <cellStyle name="Comma 3 3 4 2 3 5 2" xfId="43033" xr:uid="{AA65149E-FD76-403A-8474-4DD77A494C69}"/>
    <cellStyle name="Comma 3 3 4 2 3 5 3" xfId="24779" xr:uid="{73C60108-5DF6-49E3-9EC0-A3D004963CB2}"/>
    <cellStyle name="Comma 3 3 4 2 3 6" xfId="39383" xr:uid="{24930E4C-62A9-4475-BFC4-4C82CAFFB6F3}"/>
    <cellStyle name="Comma 3 3 4 2 3 7" xfId="21129" xr:uid="{882F1056-56C8-45FF-9584-081CE48B01B0}"/>
    <cellStyle name="Comma 3 3 4 2 4" xfId="2145" xr:uid="{9E27C45B-87B3-46DB-B956-10772533F613}"/>
    <cellStyle name="Comma 3 3 4 2 4 2" xfId="16745" xr:uid="{746089E9-8D0F-409B-B104-48DCC95B0595}"/>
    <cellStyle name="Comma 3 3 4 2 4 2 2" xfId="53253" xr:uid="{33E73258-DE4B-46B4-939F-0E9909E9CC01}"/>
    <cellStyle name="Comma 3 3 4 2 4 2 3" xfId="34999" xr:uid="{59A9A1A8-AA97-41EF-8DE5-19909946283C}"/>
    <cellStyle name="Comma 3 3 4 2 4 3" xfId="13095" xr:uid="{7E6F7594-5CCA-43CC-8BA3-027E7478B974}"/>
    <cellStyle name="Comma 3 3 4 2 4 3 2" xfId="49603" xr:uid="{E9498F0D-6FE6-4823-AB58-C18906DCDA74}"/>
    <cellStyle name="Comma 3 3 4 2 4 3 3" xfId="31349" xr:uid="{5B84E0AA-A0CE-4403-9482-363C2FC2A2F2}"/>
    <cellStyle name="Comma 3 3 4 2 4 4" xfId="9445" xr:uid="{FEA67A69-9FDB-466E-86D5-0EF97178E881}"/>
    <cellStyle name="Comma 3 3 4 2 4 4 2" xfId="45953" xr:uid="{17F329F3-BEFF-4E06-91B5-C3D37BE67678}"/>
    <cellStyle name="Comma 3 3 4 2 4 4 3" xfId="27699" xr:uid="{9A1BE8DB-4773-41AF-A81C-7E045587DF5F}"/>
    <cellStyle name="Comma 3 3 4 2 4 5" xfId="5795" xr:uid="{AB6EE21D-5571-434E-ABBA-B85663BAE3DF}"/>
    <cellStyle name="Comma 3 3 4 2 4 5 2" xfId="42303" xr:uid="{91D41072-94A2-4C4C-B0C7-D01BD9DB92BB}"/>
    <cellStyle name="Comma 3 3 4 2 4 5 3" xfId="24049" xr:uid="{80FEB1A8-A3E5-40B9-8F4A-6885F3D2F256}"/>
    <cellStyle name="Comma 3 3 4 2 4 6" xfId="38653" xr:uid="{5959F74B-7680-485A-81C7-5AC20EF60B78}"/>
    <cellStyle name="Comma 3 3 4 2 4 7" xfId="20399" xr:uid="{FBAC8B9B-0487-4F65-BDB5-9021DA4AFB43}"/>
    <cellStyle name="Comma 3 3 4 2 5" xfId="1415" xr:uid="{B39A45D3-CA84-44EE-9451-FA64B4EC7F64}"/>
    <cellStyle name="Comma 3 3 4 2 5 2" xfId="16015" xr:uid="{C9EDD95F-7583-44E9-8C8D-20B955140274}"/>
    <cellStyle name="Comma 3 3 4 2 5 2 2" xfId="52523" xr:uid="{FDBADE12-4F88-4AE4-A760-D6A1FA8A9B62}"/>
    <cellStyle name="Comma 3 3 4 2 5 2 3" xfId="34269" xr:uid="{9414EABB-086E-490A-AE49-D632CCBABD29}"/>
    <cellStyle name="Comma 3 3 4 2 5 3" xfId="12365" xr:uid="{B4B0053C-4A2C-4461-9E6E-79C20737131F}"/>
    <cellStyle name="Comma 3 3 4 2 5 3 2" xfId="48873" xr:uid="{1AE35716-617C-4240-A138-500F70229F9F}"/>
    <cellStyle name="Comma 3 3 4 2 5 3 3" xfId="30619" xr:uid="{BB17229E-C4CC-49BD-B9F5-E4F0BCC4C93C}"/>
    <cellStyle name="Comma 3 3 4 2 5 4" xfId="8715" xr:uid="{413B4120-025B-4E26-A32D-D8D454D91808}"/>
    <cellStyle name="Comma 3 3 4 2 5 4 2" xfId="45223" xr:uid="{53802F89-D610-4B0B-881C-4AEBD865E46B}"/>
    <cellStyle name="Comma 3 3 4 2 5 4 3" xfId="26969" xr:uid="{A9CD006C-BBB0-41F7-9F3E-F8737936BD19}"/>
    <cellStyle name="Comma 3 3 4 2 5 5" xfId="5065" xr:uid="{6D0024AC-CD5A-4C85-8185-5C7EC4635DAA}"/>
    <cellStyle name="Comma 3 3 4 2 5 5 2" xfId="41573" xr:uid="{FE04793E-8837-44FD-A45B-AF20D8A3245F}"/>
    <cellStyle name="Comma 3 3 4 2 5 5 3" xfId="23319" xr:uid="{48264640-1F53-4260-80E9-C05E7A106F77}"/>
    <cellStyle name="Comma 3 3 4 2 5 6" xfId="37923" xr:uid="{57BD84D2-1EDE-4D50-88D5-CDDF02746214}"/>
    <cellStyle name="Comma 3 3 4 2 5 7" xfId="19669" xr:uid="{300E85DC-A58F-4F2C-A65F-3C5E8EDA94D4}"/>
    <cellStyle name="Comma 3 3 4 2 6" xfId="15285" xr:uid="{C0CF6FB3-1EF1-4FBC-9D67-5C880518AADD}"/>
    <cellStyle name="Comma 3 3 4 2 6 2" xfId="51793" xr:uid="{7AAC95AF-9587-4DC9-9E5C-B818192816BB}"/>
    <cellStyle name="Comma 3 3 4 2 6 3" xfId="33539" xr:uid="{B0AC9916-D339-47CE-A4B1-C079241EEDD6}"/>
    <cellStyle name="Comma 3 3 4 2 7" xfId="11635" xr:uid="{48D89AAD-F545-43C7-AFE5-903B4457C8F6}"/>
    <cellStyle name="Comma 3 3 4 2 7 2" xfId="48143" xr:uid="{D09BD9DF-E46C-458B-AED3-0423C98B6703}"/>
    <cellStyle name="Comma 3 3 4 2 7 3" xfId="29889" xr:uid="{37BE56E1-E406-49CA-8ED2-3FEA9FCC3CC2}"/>
    <cellStyle name="Comma 3 3 4 2 8" xfId="7985" xr:uid="{5C3B0E62-E60A-4CF8-981F-FD500FD8A79D}"/>
    <cellStyle name="Comma 3 3 4 2 8 2" xfId="44493" xr:uid="{EDC060E4-8F82-47EA-B259-D1C0E14703FA}"/>
    <cellStyle name="Comma 3 3 4 2 8 3" xfId="26239" xr:uid="{B41F82D3-8AB0-40A1-AD03-22992B9E4897}"/>
    <cellStyle name="Comma 3 3 4 2 9" xfId="4335" xr:uid="{4C93640F-112F-4D14-9C1D-E4A9B243F1D8}"/>
    <cellStyle name="Comma 3 3 4 2 9 2" xfId="40843" xr:uid="{6A0E9C72-B1BF-46E9-8AD7-DDDE1AA2D4E4}"/>
    <cellStyle name="Comma 3 3 4 2 9 3" xfId="22589" xr:uid="{AA064D4E-D4B5-47D0-9585-D323CE84B98B}"/>
    <cellStyle name="Comma 3 3 4 3" xfId="581" xr:uid="{A74EADCE-0B96-47A6-8DC3-6EE3285C14B6}"/>
    <cellStyle name="Comma 3 3 4 3 10" xfId="37089" xr:uid="{19216832-EF83-4502-8302-946CCEB7F80C}"/>
    <cellStyle name="Comma 3 3 4 3 11" xfId="18835" xr:uid="{9596EAE7-9356-4EB2-8CA5-059A067A2B98}"/>
    <cellStyle name="Comma 3 3 4 3 2" xfId="3501" xr:uid="{146DAA73-5455-4861-9A8F-85EFBB9838FB}"/>
    <cellStyle name="Comma 3 3 4 3 2 2" xfId="18101" xr:uid="{206DBDBD-2543-41B6-B942-199A2E1B6531}"/>
    <cellStyle name="Comma 3 3 4 3 2 2 2" xfId="54609" xr:uid="{D006993C-85E2-44C7-BC3A-FCD7926C0AB5}"/>
    <cellStyle name="Comma 3 3 4 3 2 2 3" xfId="36355" xr:uid="{A3144C20-5CDB-4E78-8EF4-2331A44CD391}"/>
    <cellStyle name="Comma 3 3 4 3 2 3" xfId="14451" xr:uid="{F477FA58-9608-4D89-9BEC-1CBEBFB364B9}"/>
    <cellStyle name="Comma 3 3 4 3 2 3 2" xfId="50959" xr:uid="{30254B55-DB65-4BF2-9F8C-E94B5C5AF64A}"/>
    <cellStyle name="Comma 3 3 4 3 2 3 3" xfId="32705" xr:uid="{F8970ACD-00F9-4B05-9053-6DB3FD590426}"/>
    <cellStyle name="Comma 3 3 4 3 2 4" xfId="10801" xr:uid="{175A01E6-FB32-4776-AD83-A84633B269FB}"/>
    <cellStyle name="Comma 3 3 4 3 2 4 2" xfId="47309" xr:uid="{049EA580-48BC-4659-825B-A498E810026F}"/>
    <cellStyle name="Comma 3 3 4 3 2 4 3" xfId="29055" xr:uid="{3E30793C-6C6A-4BD3-A706-C452E08C091D}"/>
    <cellStyle name="Comma 3 3 4 3 2 5" xfId="7151" xr:uid="{8DCD70F4-6CE7-4787-8987-EF211D434291}"/>
    <cellStyle name="Comma 3 3 4 3 2 5 2" xfId="43659" xr:uid="{8D60724F-7A78-4661-9FE0-07B063690FE3}"/>
    <cellStyle name="Comma 3 3 4 3 2 5 3" xfId="25405" xr:uid="{40CE071E-8785-4544-8622-E54840CEDBC5}"/>
    <cellStyle name="Comma 3 3 4 3 2 6" xfId="40009" xr:uid="{6E2C5CF9-6D20-411A-8C51-642ACC0DB5FF}"/>
    <cellStyle name="Comma 3 3 4 3 2 7" xfId="21755" xr:uid="{70B22472-C2AC-4999-9B5B-4B5968F9B04A}"/>
    <cellStyle name="Comma 3 3 4 3 3" xfId="2771" xr:uid="{46BC6EB4-D922-4BD9-97E6-DEC3D21875D3}"/>
    <cellStyle name="Comma 3 3 4 3 3 2" xfId="17371" xr:uid="{6E3177BF-B8B1-49A2-B658-6D04A2B8ED38}"/>
    <cellStyle name="Comma 3 3 4 3 3 2 2" xfId="53879" xr:uid="{ACB83E81-77C2-4BF8-9791-A521F868D690}"/>
    <cellStyle name="Comma 3 3 4 3 3 2 3" xfId="35625" xr:uid="{FE677E36-EA53-4C00-88A2-42CDBECC56EE}"/>
    <cellStyle name="Comma 3 3 4 3 3 3" xfId="13721" xr:uid="{62F60B96-DB9F-463B-9970-566E8EE142D0}"/>
    <cellStyle name="Comma 3 3 4 3 3 3 2" xfId="50229" xr:uid="{7EDD73D6-4C7A-4181-8003-CFB3141A7D9F}"/>
    <cellStyle name="Comma 3 3 4 3 3 3 3" xfId="31975" xr:uid="{FEEFF828-F9D7-4688-8F28-414C53FE703F}"/>
    <cellStyle name="Comma 3 3 4 3 3 4" xfId="10071" xr:uid="{7155F84A-5C19-4980-B8E1-4C07310A71F9}"/>
    <cellStyle name="Comma 3 3 4 3 3 4 2" xfId="46579" xr:uid="{BAC94FF8-9216-4565-84C8-E48AF50F4343}"/>
    <cellStyle name="Comma 3 3 4 3 3 4 3" xfId="28325" xr:uid="{C49C90FA-2B01-4784-BF4A-9B7DBF102449}"/>
    <cellStyle name="Comma 3 3 4 3 3 5" xfId="6421" xr:uid="{86816DC9-02C3-4889-A48E-A9769BA74EA3}"/>
    <cellStyle name="Comma 3 3 4 3 3 5 2" xfId="42929" xr:uid="{E7574001-6976-48B3-94AD-9D8DDD0B0794}"/>
    <cellStyle name="Comma 3 3 4 3 3 5 3" xfId="24675" xr:uid="{1F79F35A-155C-4A9A-911D-0F32B164EA76}"/>
    <cellStyle name="Comma 3 3 4 3 3 6" xfId="39279" xr:uid="{3D397088-0FBD-4325-888A-38CA9B7F9868}"/>
    <cellStyle name="Comma 3 3 4 3 3 7" xfId="21025" xr:uid="{9792FE5A-3143-4834-84DA-F40EA5514909}"/>
    <cellStyle name="Comma 3 3 4 3 4" xfId="2041" xr:uid="{14E1B3ED-53D5-45DA-A6D8-F33DC130AEA1}"/>
    <cellStyle name="Comma 3 3 4 3 4 2" xfId="16641" xr:uid="{A6445955-1035-431A-96F1-E24EAE0CEE7D}"/>
    <cellStyle name="Comma 3 3 4 3 4 2 2" xfId="53149" xr:uid="{F3067847-9FD4-4027-A089-E6B16F046270}"/>
    <cellStyle name="Comma 3 3 4 3 4 2 3" xfId="34895" xr:uid="{75AD4C23-FABE-403B-9EBF-7546B346DAAA}"/>
    <cellStyle name="Comma 3 3 4 3 4 3" xfId="12991" xr:uid="{589681A9-8900-4505-87D0-DDE4DCA6BD5E}"/>
    <cellStyle name="Comma 3 3 4 3 4 3 2" xfId="49499" xr:uid="{A05E958A-A66F-4E57-A061-8DA57106962A}"/>
    <cellStyle name="Comma 3 3 4 3 4 3 3" xfId="31245" xr:uid="{B3161BDA-AFFC-4F6F-AC92-8A54DB3B93DB}"/>
    <cellStyle name="Comma 3 3 4 3 4 4" xfId="9341" xr:uid="{02569E31-ABCE-4B12-AEB3-0C73F2A97CB3}"/>
    <cellStyle name="Comma 3 3 4 3 4 4 2" xfId="45849" xr:uid="{34DCC113-D878-4D94-B667-689DFDFFD67F}"/>
    <cellStyle name="Comma 3 3 4 3 4 4 3" xfId="27595" xr:uid="{19AEE696-C51B-42A4-82C3-4C10CAA9DCBF}"/>
    <cellStyle name="Comma 3 3 4 3 4 5" xfId="5691" xr:uid="{984B67F3-1F65-42A7-8EDC-270FD9BB7765}"/>
    <cellStyle name="Comma 3 3 4 3 4 5 2" xfId="42199" xr:uid="{DFB46B51-4762-4829-BD39-E935870BF572}"/>
    <cellStyle name="Comma 3 3 4 3 4 5 3" xfId="23945" xr:uid="{A9C8828D-05B0-4A82-A608-9CB0010BA106}"/>
    <cellStyle name="Comma 3 3 4 3 4 6" xfId="38549" xr:uid="{1765AE4F-9B71-4F6C-B1CF-81C39A5BA291}"/>
    <cellStyle name="Comma 3 3 4 3 4 7" xfId="20295" xr:uid="{85C4E6BA-9E43-4F20-A98E-C8BA6FD7E49C}"/>
    <cellStyle name="Comma 3 3 4 3 5" xfId="1311" xr:uid="{B5E5972D-1AD4-4498-A44A-62937F410F5C}"/>
    <cellStyle name="Comma 3 3 4 3 5 2" xfId="15911" xr:uid="{D37A905F-1CB1-4E88-8EC9-BBA9DF4DA129}"/>
    <cellStyle name="Comma 3 3 4 3 5 2 2" xfId="52419" xr:uid="{51C8183B-F8D0-4E54-95A3-122651C0C21F}"/>
    <cellStyle name="Comma 3 3 4 3 5 2 3" xfId="34165" xr:uid="{B35DD190-9D82-404D-A1DB-B0F5685B9C1B}"/>
    <cellStyle name="Comma 3 3 4 3 5 3" xfId="12261" xr:uid="{43868A24-0D01-4A90-A74B-12DE1DBB5E72}"/>
    <cellStyle name="Comma 3 3 4 3 5 3 2" xfId="48769" xr:uid="{2DFA523E-6E73-4C5F-85D8-91DF2D433DAF}"/>
    <cellStyle name="Comma 3 3 4 3 5 3 3" xfId="30515" xr:uid="{E48093F6-925A-42C0-A4A8-0B39CEDFB27C}"/>
    <cellStyle name="Comma 3 3 4 3 5 4" xfId="8611" xr:uid="{95937DAE-4043-4F70-9EC0-33A0F19EE736}"/>
    <cellStyle name="Comma 3 3 4 3 5 4 2" xfId="45119" xr:uid="{F20DD345-3870-4D5C-8D77-9045FA190CA7}"/>
    <cellStyle name="Comma 3 3 4 3 5 4 3" xfId="26865" xr:uid="{0B0BFDBE-A7F1-493C-843A-A8D6800FCD7E}"/>
    <cellStyle name="Comma 3 3 4 3 5 5" xfId="4961" xr:uid="{D3DE311C-677A-4799-8419-B63F63CF7AB5}"/>
    <cellStyle name="Comma 3 3 4 3 5 5 2" xfId="41469" xr:uid="{0D1DFF49-6DDE-4EA2-B175-590E5883B761}"/>
    <cellStyle name="Comma 3 3 4 3 5 5 3" xfId="23215" xr:uid="{531AE387-9099-408F-9041-F66B493394E4}"/>
    <cellStyle name="Comma 3 3 4 3 5 6" xfId="37819" xr:uid="{387B50C7-0EE5-4640-A7FE-3E9784D2DEAC}"/>
    <cellStyle name="Comma 3 3 4 3 5 7" xfId="19565" xr:uid="{FCCAF06A-4905-405E-8FF1-0E1072160585}"/>
    <cellStyle name="Comma 3 3 4 3 6" xfId="15181" xr:uid="{FEA9BB3F-1C88-4754-8B05-B7F7BBA14D71}"/>
    <cellStyle name="Comma 3 3 4 3 6 2" xfId="51689" xr:uid="{2BDF2488-3E64-4814-BB5F-FC6D0135FCB2}"/>
    <cellStyle name="Comma 3 3 4 3 6 3" xfId="33435" xr:uid="{C77A2297-60E4-4C1C-B7D9-8CA200874A82}"/>
    <cellStyle name="Comma 3 3 4 3 7" xfId="11531" xr:uid="{1AAFF302-E6EA-426B-A716-D45C186DE59F}"/>
    <cellStyle name="Comma 3 3 4 3 7 2" xfId="48039" xr:uid="{1121BD64-AC03-4554-8031-346474B398E2}"/>
    <cellStyle name="Comma 3 3 4 3 7 3" xfId="29785" xr:uid="{75E6C6F7-AD03-4363-B069-AB6D1C314881}"/>
    <cellStyle name="Comma 3 3 4 3 8" xfId="7881" xr:uid="{B6E3F7C0-9FB4-491F-80DA-B04C5C769762}"/>
    <cellStyle name="Comma 3 3 4 3 8 2" xfId="44389" xr:uid="{B636A51A-73A3-41CA-9E6D-F028C5A789AB}"/>
    <cellStyle name="Comma 3 3 4 3 8 3" xfId="26135" xr:uid="{96304615-9DA9-4C37-88AE-59720F2CAC99}"/>
    <cellStyle name="Comma 3 3 4 3 9" xfId="4231" xr:uid="{3D935B2B-36BD-48C9-8940-A4689DFD132A}"/>
    <cellStyle name="Comma 3 3 4 3 9 2" xfId="40739" xr:uid="{734D7E16-8610-4029-8F32-B7510F83C9F3}"/>
    <cellStyle name="Comma 3 3 4 3 9 3" xfId="22485" xr:uid="{151C6E0A-78B0-4E32-A76F-85DDF516C4C0}"/>
    <cellStyle name="Comma 3 3 4 4" xfId="477" xr:uid="{A7D0A265-B84C-49FF-90E3-1F759FD973A4}"/>
    <cellStyle name="Comma 3 3 4 4 10" xfId="36985" xr:uid="{8C93269C-F626-4A34-B3A7-312A187A3233}"/>
    <cellStyle name="Comma 3 3 4 4 11" xfId="18731" xr:uid="{D17A4314-BA8D-4B8D-85EC-3A40B927EBCF}"/>
    <cellStyle name="Comma 3 3 4 4 2" xfId="3397" xr:uid="{D428DE94-8CD6-41BA-BE82-276EDF901F64}"/>
    <cellStyle name="Comma 3 3 4 4 2 2" xfId="17997" xr:uid="{728D96DE-1BD3-460B-AC7A-0E00CEE714FD}"/>
    <cellStyle name="Comma 3 3 4 4 2 2 2" xfId="54505" xr:uid="{D4DCEA19-FC81-4B2A-BD2A-A3F75BF81566}"/>
    <cellStyle name="Comma 3 3 4 4 2 2 3" xfId="36251" xr:uid="{04BD852A-15E0-4F6F-B3CF-1C05D3D564A5}"/>
    <cellStyle name="Comma 3 3 4 4 2 3" xfId="14347" xr:uid="{57F6B854-416F-44AC-97E9-0CAF697CA889}"/>
    <cellStyle name="Comma 3 3 4 4 2 3 2" xfId="50855" xr:uid="{184BA300-D686-41E3-ABCF-B0204B96C043}"/>
    <cellStyle name="Comma 3 3 4 4 2 3 3" xfId="32601" xr:uid="{23D32BBC-9D9E-4F92-B3C5-2079E31FC1B4}"/>
    <cellStyle name="Comma 3 3 4 4 2 4" xfId="10697" xr:uid="{57F11FB3-C2A9-4956-B818-D06740D57EC4}"/>
    <cellStyle name="Comma 3 3 4 4 2 4 2" xfId="47205" xr:uid="{2E55691A-7D16-443A-A30B-0D639B872BDA}"/>
    <cellStyle name="Comma 3 3 4 4 2 4 3" xfId="28951" xr:uid="{46B10EA8-FDFF-4386-A30B-77B13FD951C3}"/>
    <cellStyle name="Comma 3 3 4 4 2 5" xfId="7047" xr:uid="{159CD4AB-3806-453C-9C65-B1F851E8B7D8}"/>
    <cellStyle name="Comma 3 3 4 4 2 5 2" xfId="43555" xr:uid="{CA5746D5-4F08-41BB-90CC-EEA02F6C2054}"/>
    <cellStyle name="Comma 3 3 4 4 2 5 3" xfId="25301" xr:uid="{0DDACBB0-D215-4FE1-8B49-C543DFC8A312}"/>
    <cellStyle name="Comma 3 3 4 4 2 6" xfId="39905" xr:uid="{0D8A7738-0BDA-4BE1-A9DF-905DFD89F342}"/>
    <cellStyle name="Comma 3 3 4 4 2 7" xfId="21651" xr:uid="{16E49405-B48D-45FD-A6B0-46E994BEB8A8}"/>
    <cellStyle name="Comma 3 3 4 4 3" xfId="2667" xr:uid="{591E0A1B-6E34-4BF7-972B-042A51BEE3D2}"/>
    <cellStyle name="Comma 3 3 4 4 3 2" xfId="17267" xr:uid="{57F04B8F-2900-415B-A82B-4AE336DC4423}"/>
    <cellStyle name="Comma 3 3 4 4 3 2 2" xfId="53775" xr:uid="{30DD392A-AF26-49A3-8B7A-3C34C1DE672B}"/>
    <cellStyle name="Comma 3 3 4 4 3 2 3" xfId="35521" xr:uid="{C9E863AB-6CDF-4AC1-8D6F-0E09AC65B303}"/>
    <cellStyle name="Comma 3 3 4 4 3 3" xfId="13617" xr:uid="{77F47421-51FE-491F-8D1F-E609759EABF8}"/>
    <cellStyle name="Comma 3 3 4 4 3 3 2" xfId="50125" xr:uid="{5ABFD2E6-5972-43EC-9DA9-3E4B92297886}"/>
    <cellStyle name="Comma 3 3 4 4 3 3 3" xfId="31871" xr:uid="{7FE1E667-9FEA-49C9-A620-B6F0DEF5095D}"/>
    <cellStyle name="Comma 3 3 4 4 3 4" xfId="9967" xr:uid="{FC85CAD7-3B16-4ADC-B6EB-A52AAF7A5644}"/>
    <cellStyle name="Comma 3 3 4 4 3 4 2" xfId="46475" xr:uid="{EBA3D07E-AACA-4284-830C-00ED95F21742}"/>
    <cellStyle name="Comma 3 3 4 4 3 4 3" xfId="28221" xr:uid="{0050AE2E-0C1B-4C33-B15F-8871295A09ED}"/>
    <cellStyle name="Comma 3 3 4 4 3 5" xfId="6317" xr:uid="{76EFC139-F498-4A17-A8D5-FDD2140FCCB0}"/>
    <cellStyle name="Comma 3 3 4 4 3 5 2" xfId="42825" xr:uid="{031BA0CA-87BD-4662-998F-B7F2B9760CF9}"/>
    <cellStyle name="Comma 3 3 4 4 3 5 3" xfId="24571" xr:uid="{0214F9FF-723C-4B16-9AF7-1E6FB28BDE5C}"/>
    <cellStyle name="Comma 3 3 4 4 3 6" xfId="39175" xr:uid="{7228D673-5BFF-479E-BEEB-770278B7D252}"/>
    <cellStyle name="Comma 3 3 4 4 3 7" xfId="20921" xr:uid="{0AA08087-54FE-47F8-9F80-23275B92C8BC}"/>
    <cellStyle name="Comma 3 3 4 4 4" xfId="1937" xr:uid="{1CA5DD2E-534F-47C9-BFBA-E68133418F23}"/>
    <cellStyle name="Comma 3 3 4 4 4 2" xfId="16537" xr:uid="{212DDC68-3C38-4CD4-A704-1F12FA4D980D}"/>
    <cellStyle name="Comma 3 3 4 4 4 2 2" xfId="53045" xr:uid="{4FDC37D8-8425-4980-B2CD-4F5061F92CA5}"/>
    <cellStyle name="Comma 3 3 4 4 4 2 3" xfId="34791" xr:uid="{17C07EF1-9EAA-4727-8FE7-9C0F6388B432}"/>
    <cellStyle name="Comma 3 3 4 4 4 3" xfId="12887" xr:uid="{817E8DF4-1A3E-40C1-B91F-2DCF04A17FC5}"/>
    <cellStyle name="Comma 3 3 4 4 4 3 2" xfId="49395" xr:uid="{FE992CE8-80F5-47F9-AE60-FC65CC8FB21E}"/>
    <cellStyle name="Comma 3 3 4 4 4 3 3" xfId="31141" xr:uid="{20918566-B386-4B1F-86F1-F446F0ECE2E5}"/>
    <cellStyle name="Comma 3 3 4 4 4 4" xfId="9237" xr:uid="{9E9E7BDB-0807-43A7-B5DF-83F795BCEEFF}"/>
    <cellStyle name="Comma 3 3 4 4 4 4 2" xfId="45745" xr:uid="{2A9F93A5-D054-48C8-85DC-AA5D620CC165}"/>
    <cellStyle name="Comma 3 3 4 4 4 4 3" xfId="27491" xr:uid="{F867885E-7DEC-43EB-B35F-0E33866AB6BE}"/>
    <cellStyle name="Comma 3 3 4 4 4 5" xfId="5587" xr:uid="{A8B0D1D7-9C18-448B-8677-82CC0CD18E4F}"/>
    <cellStyle name="Comma 3 3 4 4 4 5 2" xfId="42095" xr:uid="{1AC84081-2F05-4615-84FB-EDAE9E59F53D}"/>
    <cellStyle name="Comma 3 3 4 4 4 5 3" xfId="23841" xr:uid="{6AACF6EB-D8ED-4FD1-9631-91FF32E2A5B2}"/>
    <cellStyle name="Comma 3 3 4 4 4 6" xfId="38445" xr:uid="{A23319E0-D43F-4201-8FDB-3177E7CA0FA1}"/>
    <cellStyle name="Comma 3 3 4 4 4 7" xfId="20191" xr:uid="{F74A20C1-0864-4287-B766-612ED4B82DE2}"/>
    <cellStyle name="Comma 3 3 4 4 5" xfId="1207" xr:uid="{4FD859A1-9B38-4558-92F1-F9B93DDADC1A}"/>
    <cellStyle name="Comma 3 3 4 4 5 2" xfId="15807" xr:uid="{A0427A2A-48A9-487D-A682-8C924AA92B35}"/>
    <cellStyle name="Comma 3 3 4 4 5 2 2" xfId="52315" xr:uid="{BF6D5D3F-EDDF-44CB-B17D-BEC19E80AEEB}"/>
    <cellStyle name="Comma 3 3 4 4 5 2 3" xfId="34061" xr:uid="{431E5575-0765-48E6-8A39-917BC747A056}"/>
    <cellStyle name="Comma 3 3 4 4 5 3" xfId="12157" xr:uid="{35C14DFB-B035-4845-92C7-180AB3CDC13C}"/>
    <cellStyle name="Comma 3 3 4 4 5 3 2" xfId="48665" xr:uid="{A8A6387A-4BFD-4ACD-9DDA-2392896B5393}"/>
    <cellStyle name="Comma 3 3 4 4 5 3 3" xfId="30411" xr:uid="{B4A73B63-EBD1-4246-8A81-73C70B1BF3D4}"/>
    <cellStyle name="Comma 3 3 4 4 5 4" xfId="8507" xr:uid="{25ECE990-1273-44BB-AEBF-D10150C0C958}"/>
    <cellStyle name="Comma 3 3 4 4 5 4 2" xfId="45015" xr:uid="{ABF45565-C01A-4363-87B1-66CA3CA627C9}"/>
    <cellStyle name="Comma 3 3 4 4 5 4 3" xfId="26761" xr:uid="{FB5EC87C-ED0C-4F6B-9F3B-F79DC02BA746}"/>
    <cellStyle name="Comma 3 3 4 4 5 5" xfId="4857" xr:uid="{F5D4BF9A-57E9-41B3-BB11-A8BA6A5244DD}"/>
    <cellStyle name="Comma 3 3 4 4 5 5 2" xfId="41365" xr:uid="{55E55527-95B4-46B8-8C92-2B08AB16AC9A}"/>
    <cellStyle name="Comma 3 3 4 4 5 5 3" xfId="23111" xr:uid="{567B3474-D7F9-49D5-983A-118E79651035}"/>
    <cellStyle name="Comma 3 3 4 4 5 6" xfId="37715" xr:uid="{13C16F4D-6CD9-4A5D-9B5E-97E2EDE7C895}"/>
    <cellStyle name="Comma 3 3 4 4 5 7" xfId="19461" xr:uid="{A583E8EF-B3FE-4DF5-AC67-28ACFFC8AC81}"/>
    <cellStyle name="Comma 3 3 4 4 6" xfId="15077" xr:uid="{CC5C60B2-BA70-4363-9AA9-BC40595E9865}"/>
    <cellStyle name="Comma 3 3 4 4 6 2" xfId="51585" xr:uid="{4261269D-A268-4AF5-AC9C-50FB975B148C}"/>
    <cellStyle name="Comma 3 3 4 4 6 3" xfId="33331" xr:uid="{4F4B6CAC-EF0D-411D-8F62-2F2B9E3BA666}"/>
    <cellStyle name="Comma 3 3 4 4 7" xfId="11427" xr:uid="{C03DD254-7802-4132-AB4E-30E0D0BE8ECA}"/>
    <cellStyle name="Comma 3 3 4 4 7 2" xfId="47935" xr:uid="{6A1CD930-794F-4106-822E-8C8AA2CD6E1C}"/>
    <cellStyle name="Comma 3 3 4 4 7 3" xfId="29681" xr:uid="{4CC9AF33-8A13-43A1-9190-1A0FBEF4040B}"/>
    <cellStyle name="Comma 3 3 4 4 8" xfId="7777" xr:uid="{E87790BB-3655-41B4-A408-FDA89CF24009}"/>
    <cellStyle name="Comma 3 3 4 4 8 2" xfId="44285" xr:uid="{2BFC158A-C0DE-4576-A489-208EE54825D5}"/>
    <cellStyle name="Comma 3 3 4 4 8 3" xfId="26031" xr:uid="{C3D5D9F9-CD06-4411-9C3D-C1C56FF948DC}"/>
    <cellStyle name="Comma 3 3 4 4 9" xfId="4127" xr:uid="{1C1DC366-84FE-47B0-900D-6D8492D056E0}"/>
    <cellStyle name="Comma 3 3 4 4 9 2" xfId="40635" xr:uid="{DA341AE1-7913-4333-84E3-699E4520D850}"/>
    <cellStyle name="Comma 3 3 4 4 9 3" xfId="22381" xr:uid="{B08AB837-8687-4CA8-993F-EA953D27C267}"/>
    <cellStyle name="Comma 3 3 4 5" xfId="373" xr:uid="{2A2A1287-ED50-46DF-A350-73D886741795}"/>
    <cellStyle name="Comma 3 3 4 5 10" xfId="36881" xr:uid="{0A5F8124-E5A0-49B8-BDCC-95EA375DEF3E}"/>
    <cellStyle name="Comma 3 3 4 5 11" xfId="18627" xr:uid="{9C165598-BF2F-41F8-920E-517607AEF713}"/>
    <cellStyle name="Comma 3 3 4 5 2" xfId="3293" xr:uid="{D3751B94-7FFA-4219-9743-E0F9D39D0B90}"/>
    <cellStyle name="Comma 3 3 4 5 2 2" xfId="17893" xr:uid="{723C5513-6247-4C7A-B4D0-209C54C189F6}"/>
    <cellStyle name="Comma 3 3 4 5 2 2 2" xfId="54401" xr:uid="{DC4E98CB-1E91-4095-84C9-958BDDA073BA}"/>
    <cellStyle name="Comma 3 3 4 5 2 2 3" xfId="36147" xr:uid="{84F14FEC-EF95-4AD0-B54E-2D2E0F12F8F7}"/>
    <cellStyle name="Comma 3 3 4 5 2 3" xfId="14243" xr:uid="{13E47FA4-E041-4A28-A201-17D2BE07E25F}"/>
    <cellStyle name="Comma 3 3 4 5 2 3 2" xfId="50751" xr:uid="{C68DE372-5295-47F6-9620-3EE08B7BE958}"/>
    <cellStyle name="Comma 3 3 4 5 2 3 3" xfId="32497" xr:uid="{A89ED21F-12E9-4557-B35B-2D4DF43DAF28}"/>
    <cellStyle name="Comma 3 3 4 5 2 4" xfId="10593" xr:uid="{CBFC030C-C487-4026-8DA1-D22D5DDE7A0C}"/>
    <cellStyle name="Comma 3 3 4 5 2 4 2" xfId="47101" xr:uid="{1D813674-F9E6-4159-B262-FE150360483B}"/>
    <cellStyle name="Comma 3 3 4 5 2 4 3" xfId="28847" xr:uid="{2E00F305-E9D3-46A0-8E7F-CD59215923BA}"/>
    <cellStyle name="Comma 3 3 4 5 2 5" xfId="6943" xr:uid="{72B22C53-4499-4BBA-B4D0-F16FF0934454}"/>
    <cellStyle name="Comma 3 3 4 5 2 5 2" xfId="43451" xr:uid="{74F935F9-9557-4C98-B325-1B3AD4D7791F}"/>
    <cellStyle name="Comma 3 3 4 5 2 5 3" xfId="25197" xr:uid="{6D3882F3-4761-4C48-BB9F-8F61849BC462}"/>
    <cellStyle name="Comma 3 3 4 5 2 6" xfId="39801" xr:uid="{2A6049CE-0986-4EBC-9513-176D8987A3BE}"/>
    <cellStyle name="Comma 3 3 4 5 2 7" xfId="21547" xr:uid="{2BBADADD-B9D5-4EFB-9E28-64BC107F3135}"/>
    <cellStyle name="Comma 3 3 4 5 3" xfId="2563" xr:uid="{8C31168D-C91D-427A-86FB-4C38EC1A197E}"/>
    <cellStyle name="Comma 3 3 4 5 3 2" xfId="17163" xr:uid="{3DD537EB-2891-46D0-A40A-D6EB8E63FC49}"/>
    <cellStyle name="Comma 3 3 4 5 3 2 2" xfId="53671" xr:uid="{55BF250F-D893-445D-BE84-F9230E2513C8}"/>
    <cellStyle name="Comma 3 3 4 5 3 2 3" xfId="35417" xr:uid="{59D72D68-A056-4A6F-98CF-A4144CB2ED98}"/>
    <cellStyle name="Comma 3 3 4 5 3 3" xfId="13513" xr:uid="{92965347-35FE-473D-92E9-C2F44F48AAB5}"/>
    <cellStyle name="Comma 3 3 4 5 3 3 2" xfId="50021" xr:uid="{C54DE6D0-9ADD-4246-BA64-B9C52A224D78}"/>
    <cellStyle name="Comma 3 3 4 5 3 3 3" xfId="31767" xr:uid="{BD112F29-5A28-41B6-8112-57CC1803569F}"/>
    <cellStyle name="Comma 3 3 4 5 3 4" xfId="9863" xr:uid="{7415391F-1609-4712-ABD3-90976E9FD3B5}"/>
    <cellStyle name="Comma 3 3 4 5 3 4 2" xfId="46371" xr:uid="{97D805ED-BD14-4E29-8D36-634029FE449A}"/>
    <cellStyle name="Comma 3 3 4 5 3 4 3" xfId="28117" xr:uid="{DBF9CDA9-EE18-4771-8A8A-9F20BC9DCF8C}"/>
    <cellStyle name="Comma 3 3 4 5 3 5" xfId="6213" xr:uid="{7CB24F31-025A-450A-9ECB-8E5D74B03613}"/>
    <cellStyle name="Comma 3 3 4 5 3 5 2" xfId="42721" xr:uid="{931B107E-0DB5-4E86-9D6E-62798AC765F7}"/>
    <cellStyle name="Comma 3 3 4 5 3 5 3" xfId="24467" xr:uid="{5C0ED2BC-77C1-4AFE-9F69-0932CA88B407}"/>
    <cellStyle name="Comma 3 3 4 5 3 6" xfId="39071" xr:uid="{37351534-4B77-4C99-8EDA-D9CFF7781367}"/>
    <cellStyle name="Comma 3 3 4 5 3 7" xfId="20817" xr:uid="{DD8123A5-782D-455A-9DD1-F399B8C09BA9}"/>
    <cellStyle name="Comma 3 3 4 5 4" xfId="1833" xr:uid="{868DD666-28ED-43F6-BB79-184639637547}"/>
    <cellStyle name="Comma 3 3 4 5 4 2" xfId="16433" xr:uid="{0672B0CC-0ED9-4675-8CA2-043E8A3DC05D}"/>
    <cellStyle name="Comma 3 3 4 5 4 2 2" xfId="52941" xr:uid="{DF436CCA-A68C-4B78-8B95-ED174E13FFA7}"/>
    <cellStyle name="Comma 3 3 4 5 4 2 3" xfId="34687" xr:uid="{40320925-EB1F-4547-8F0A-0DF4F8CAB4D1}"/>
    <cellStyle name="Comma 3 3 4 5 4 3" xfId="12783" xr:uid="{70A510D5-0368-408D-BD42-D12F76A89F77}"/>
    <cellStyle name="Comma 3 3 4 5 4 3 2" xfId="49291" xr:uid="{8A67AF26-26BA-4002-95E1-4F9FC4DA84CF}"/>
    <cellStyle name="Comma 3 3 4 5 4 3 3" xfId="31037" xr:uid="{7FE36D1A-C2FB-4348-916E-39D92CB1A607}"/>
    <cellStyle name="Comma 3 3 4 5 4 4" xfId="9133" xr:uid="{2E8571A3-B64C-4BD6-AB10-57D5DC9005CD}"/>
    <cellStyle name="Comma 3 3 4 5 4 4 2" xfId="45641" xr:uid="{5D27756F-858F-491F-B5EF-FAB394C64B6C}"/>
    <cellStyle name="Comma 3 3 4 5 4 4 3" xfId="27387" xr:uid="{359A3FBF-6F64-4B34-A94F-112A1FDFDBB2}"/>
    <cellStyle name="Comma 3 3 4 5 4 5" xfId="5483" xr:uid="{67377342-0263-49F7-8E84-F25D8F99B4BB}"/>
    <cellStyle name="Comma 3 3 4 5 4 5 2" xfId="41991" xr:uid="{D7937E33-CD96-4304-B417-C28CC3ED2BA4}"/>
    <cellStyle name="Comma 3 3 4 5 4 5 3" xfId="23737" xr:uid="{548AA65F-9109-4697-859C-E76A407FB0C8}"/>
    <cellStyle name="Comma 3 3 4 5 4 6" xfId="38341" xr:uid="{E84DC755-6BCE-4119-8D16-2B4A5B0EEE80}"/>
    <cellStyle name="Comma 3 3 4 5 4 7" xfId="20087" xr:uid="{F331D0BB-BF36-409D-A7C5-911CFAF66437}"/>
    <cellStyle name="Comma 3 3 4 5 5" xfId="1103" xr:uid="{2EC627E8-E150-46EE-9448-B46BEE054BBA}"/>
    <cellStyle name="Comma 3 3 4 5 5 2" xfId="15703" xr:uid="{B1171102-3515-4FDB-BF94-971C5A981580}"/>
    <cellStyle name="Comma 3 3 4 5 5 2 2" xfId="52211" xr:uid="{3782E4E7-A627-495F-9C70-B25D4F9AF0C8}"/>
    <cellStyle name="Comma 3 3 4 5 5 2 3" xfId="33957" xr:uid="{C6D9CABE-32EB-4DED-A21F-26AB7D62C78F}"/>
    <cellStyle name="Comma 3 3 4 5 5 3" xfId="12053" xr:uid="{2EE35A0F-4DA8-4E14-822E-A2B9C7596A3B}"/>
    <cellStyle name="Comma 3 3 4 5 5 3 2" xfId="48561" xr:uid="{0EFAE40E-E2AD-42FB-B15C-D1AB813FFAB9}"/>
    <cellStyle name="Comma 3 3 4 5 5 3 3" xfId="30307" xr:uid="{32853A24-06E7-4C5E-AE81-6803EAE45F6A}"/>
    <cellStyle name="Comma 3 3 4 5 5 4" xfId="8403" xr:uid="{196B9C66-7474-409D-BA4F-D6A4C30AF877}"/>
    <cellStyle name="Comma 3 3 4 5 5 4 2" xfId="44911" xr:uid="{0D7D3087-F0F7-4058-82DE-D569E9A431A5}"/>
    <cellStyle name="Comma 3 3 4 5 5 4 3" xfId="26657" xr:uid="{2B12B582-8EE7-40F3-8B63-18B18695DE31}"/>
    <cellStyle name="Comma 3 3 4 5 5 5" xfId="4753" xr:uid="{2B54FECE-351D-44C9-96EA-4A049F6FF029}"/>
    <cellStyle name="Comma 3 3 4 5 5 5 2" xfId="41261" xr:uid="{BBD26765-BCDD-4E06-AFEC-976D83E8296C}"/>
    <cellStyle name="Comma 3 3 4 5 5 5 3" xfId="23007" xr:uid="{C17A3D06-4D71-4DEB-8EA7-B3B576A2B709}"/>
    <cellStyle name="Comma 3 3 4 5 5 6" xfId="37611" xr:uid="{B56CCB6C-234E-46E5-AB21-F2E7E265CAAE}"/>
    <cellStyle name="Comma 3 3 4 5 5 7" xfId="19357" xr:uid="{79D2A3E7-75B3-4F4B-907F-7A5E47C2F96D}"/>
    <cellStyle name="Comma 3 3 4 5 6" xfId="14973" xr:uid="{C004E2BD-7553-4A8B-8E51-597914F6B29D}"/>
    <cellStyle name="Comma 3 3 4 5 6 2" xfId="51481" xr:uid="{E6EF8C7B-F580-4172-B94A-62F05C7ECF17}"/>
    <cellStyle name="Comma 3 3 4 5 6 3" xfId="33227" xr:uid="{8F3A6437-D164-4634-8EA6-063070D8DE1E}"/>
    <cellStyle name="Comma 3 3 4 5 7" xfId="11323" xr:uid="{A5E1FBD7-C924-4433-9BCE-B2687AD945CB}"/>
    <cellStyle name="Comma 3 3 4 5 7 2" xfId="47831" xr:uid="{3185C34F-1E00-4F36-B25F-88859C6E71FE}"/>
    <cellStyle name="Comma 3 3 4 5 7 3" xfId="29577" xr:uid="{67DE03E4-B5CD-4FD7-9971-AE4F69B03F78}"/>
    <cellStyle name="Comma 3 3 4 5 8" xfId="7673" xr:uid="{034A4FEA-943D-40E7-958B-42250D7F6F40}"/>
    <cellStyle name="Comma 3 3 4 5 8 2" xfId="44181" xr:uid="{FEC2B3C7-0776-4F68-9A91-5A1CEAC1BCB9}"/>
    <cellStyle name="Comma 3 3 4 5 8 3" xfId="25927" xr:uid="{4809F54B-B152-49D8-9C04-CDD8B5C70C74}"/>
    <cellStyle name="Comma 3 3 4 5 9" xfId="4023" xr:uid="{201EE6B9-1650-498E-866D-CF445DB19C68}"/>
    <cellStyle name="Comma 3 3 4 5 9 2" xfId="40531" xr:uid="{9E6022C9-E54E-40C2-86C4-F71194AAAC5B}"/>
    <cellStyle name="Comma 3 3 4 5 9 3" xfId="22277" xr:uid="{CADBEEC6-7223-4400-A2D3-DC747E4D3C13}"/>
    <cellStyle name="Comma 3 3 4 6" xfId="269" xr:uid="{0D5C2501-922A-46C5-9FCA-C2A4CEE70F39}"/>
    <cellStyle name="Comma 3 3 4 6 10" xfId="36777" xr:uid="{0F433C60-4F5B-4C71-8FA1-0C11EB5DAB42}"/>
    <cellStyle name="Comma 3 3 4 6 11" xfId="18523" xr:uid="{D9B2D76B-5370-456A-A7FD-73C379E68090}"/>
    <cellStyle name="Comma 3 3 4 6 2" xfId="3189" xr:uid="{785A20C2-D9A5-477D-9B33-C6B185965F5A}"/>
    <cellStyle name="Comma 3 3 4 6 2 2" xfId="17789" xr:uid="{00985EF5-342D-443E-B93D-00A215BBBD54}"/>
    <cellStyle name="Comma 3 3 4 6 2 2 2" xfId="54297" xr:uid="{6D365924-B89E-4881-A328-00512356CC29}"/>
    <cellStyle name="Comma 3 3 4 6 2 2 3" xfId="36043" xr:uid="{0722AC7F-4E93-4884-B36D-8229E9CC1842}"/>
    <cellStyle name="Comma 3 3 4 6 2 3" xfId="14139" xr:uid="{E56B6EAB-ECB8-45AD-B2F9-AD40C2C43804}"/>
    <cellStyle name="Comma 3 3 4 6 2 3 2" xfId="50647" xr:uid="{F40F6F0E-9D4D-447E-A424-D75B18E053F3}"/>
    <cellStyle name="Comma 3 3 4 6 2 3 3" xfId="32393" xr:uid="{37EC20E8-B366-48C5-B6F3-27545F62171F}"/>
    <cellStyle name="Comma 3 3 4 6 2 4" xfId="10489" xr:uid="{1C10EC65-B779-4AC3-AF27-2E7513590CAC}"/>
    <cellStyle name="Comma 3 3 4 6 2 4 2" xfId="46997" xr:uid="{CC5609CB-481D-4395-B0F0-2FDA45D21EA2}"/>
    <cellStyle name="Comma 3 3 4 6 2 4 3" xfId="28743" xr:uid="{9E0144F9-D7E8-4441-9A16-840B4A9A46CD}"/>
    <cellStyle name="Comma 3 3 4 6 2 5" xfId="6839" xr:uid="{81FEAD53-0651-4438-BC13-803BCED8F33F}"/>
    <cellStyle name="Comma 3 3 4 6 2 5 2" xfId="43347" xr:uid="{58014F6F-B10E-4FF8-B1E4-916A7C992B0B}"/>
    <cellStyle name="Comma 3 3 4 6 2 5 3" xfId="25093" xr:uid="{5F9E94FE-CED5-4EB8-A600-EAA6AB6422D5}"/>
    <cellStyle name="Comma 3 3 4 6 2 6" xfId="39697" xr:uid="{A0B8FE30-7B8B-434B-8C67-2A0970D181B6}"/>
    <cellStyle name="Comma 3 3 4 6 2 7" xfId="21443" xr:uid="{60EDEEE2-D1C1-4B44-B1C5-E5DEC0ABC41F}"/>
    <cellStyle name="Comma 3 3 4 6 3" xfId="2459" xr:uid="{EEF32B25-EEA7-483E-8C90-AEC8FD5C7035}"/>
    <cellStyle name="Comma 3 3 4 6 3 2" xfId="17059" xr:uid="{A79077A6-7706-43CD-B531-B8D73A1F982C}"/>
    <cellStyle name="Comma 3 3 4 6 3 2 2" xfId="53567" xr:uid="{6BDF20D9-84A3-4825-91EC-23AD9A733DD0}"/>
    <cellStyle name="Comma 3 3 4 6 3 2 3" xfId="35313" xr:uid="{84A25639-88A0-4826-B6A0-C731F7B4A7D2}"/>
    <cellStyle name="Comma 3 3 4 6 3 3" xfId="13409" xr:uid="{F36E0635-CC75-4BE4-BB77-ADEED89075AE}"/>
    <cellStyle name="Comma 3 3 4 6 3 3 2" xfId="49917" xr:uid="{4E9FDCE0-9BD9-4975-A361-E42A5A0B66AC}"/>
    <cellStyle name="Comma 3 3 4 6 3 3 3" xfId="31663" xr:uid="{AFF98046-65C2-4C64-9537-E11C1D01804A}"/>
    <cellStyle name="Comma 3 3 4 6 3 4" xfId="9759" xr:uid="{8DA86A28-2076-4CEB-99C1-F0403B91CEA1}"/>
    <cellStyle name="Comma 3 3 4 6 3 4 2" xfId="46267" xr:uid="{55B9A7A7-EE5C-476B-AAFB-0DFE2EDE4180}"/>
    <cellStyle name="Comma 3 3 4 6 3 4 3" xfId="28013" xr:uid="{4A337D86-5FF2-4837-A1DF-32002F42AAA3}"/>
    <cellStyle name="Comma 3 3 4 6 3 5" xfId="6109" xr:uid="{025B3AE4-D415-4757-9342-57CAE66C01E0}"/>
    <cellStyle name="Comma 3 3 4 6 3 5 2" xfId="42617" xr:uid="{A2E3065A-7D03-46DE-9CDB-2E47A1CF266C}"/>
    <cellStyle name="Comma 3 3 4 6 3 5 3" xfId="24363" xr:uid="{3DF481D4-4CE7-479A-AA7D-F736C28C6006}"/>
    <cellStyle name="Comma 3 3 4 6 3 6" xfId="38967" xr:uid="{7375DBD4-8608-4DAA-82D1-51E674246A0B}"/>
    <cellStyle name="Comma 3 3 4 6 3 7" xfId="20713" xr:uid="{4EA872BC-AF2A-482A-A1B3-8997C855B497}"/>
    <cellStyle name="Comma 3 3 4 6 4" xfId="1729" xr:uid="{76B9CE69-604B-4531-8D6D-13EFBCEC1A84}"/>
    <cellStyle name="Comma 3 3 4 6 4 2" xfId="16329" xr:uid="{BA58B795-373A-4587-89B8-CAD5B2CE0EF8}"/>
    <cellStyle name="Comma 3 3 4 6 4 2 2" xfId="52837" xr:uid="{1E1113C9-9D79-4E4F-876E-DFFAEF6FDA75}"/>
    <cellStyle name="Comma 3 3 4 6 4 2 3" xfId="34583" xr:uid="{1DF9A017-CAA2-47AB-8C41-E9BC44ECCE31}"/>
    <cellStyle name="Comma 3 3 4 6 4 3" xfId="12679" xr:uid="{34C1B495-9EFC-4AF6-9EBD-0F221309BC11}"/>
    <cellStyle name="Comma 3 3 4 6 4 3 2" xfId="49187" xr:uid="{D6CC363B-78DC-4875-9C9F-EAD413B311FC}"/>
    <cellStyle name="Comma 3 3 4 6 4 3 3" xfId="30933" xr:uid="{D249C7C4-8884-4EDE-9BED-734814C178CE}"/>
    <cellStyle name="Comma 3 3 4 6 4 4" xfId="9029" xr:uid="{9FB159F6-96B0-43F9-9CEC-BD92D267DAC5}"/>
    <cellStyle name="Comma 3 3 4 6 4 4 2" xfId="45537" xr:uid="{E7BA4DEF-DBCF-4E14-8474-4525EB9D169A}"/>
    <cellStyle name="Comma 3 3 4 6 4 4 3" xfId="27283" xr:uid="{BE589062-7FD1-4B89-8938-0CBB8F06E2B6}"/>
    <cellStyle name="Comma 3 3 4 6 4 5" xfId="5379" xr:uid="{BA688F51-2018-48DC-8004-ED8DC7EBC645}"/>
    <cellStyle name="Comma 3 3 4 6 4 5 2" xfId="41887" xr:uid="{F624229B-8DF3-473D-BCB6-FCD4B2735892}"/>
    <cellStyle name="Comma 3 3 4 6 4 5 3" xfId="23633" xr:uid="{DECD7B7E-C8AC-4CB5-B39C-FF6E02FB9484}"/>
    <cellStyle name="Comma 3 3 4 6 4 6" xfId="38237" xr:uid="{30DF6D24-0007-4438-8467-71442B660C08}"/>
    <cellStyle name="Comma 3 3 4 6 4 7" xfId="19983" xr:uid="{A86653B1-C8CA-4624-BB80-F079837000C3}"/>
    <cellStyle name="Comma 3 3 4 6 5" xfId="999" xr:uid="{644B5B02-29AF-46A9-869A-B4D8A067D8DE}"/>
    <cellStyle name="Comma 3 3 4 6 5 2" xfId="15599" xr:uid="{CD7E21EB-C0C0-46E2-AD1E-88CA1BF795A7}"/>
    <cellStyle name="Comma 3 3 4 6 5 2 2" xfId="52107" xr:uid="{45B27789-153F-4850-AD38-9008EC1B6301}"/>
    <cellStyle name="Comma 3 3 4 6 5 2 3" xfId="33853" xr:uid="{778C52F8-272B-4ECC-8BF0-7666C1BC04D8}"/>
    <cellStyle name="Comma 3 3 4 6 5 3" xfId="11949" xr:uid="{72DC1A81-781B-47EC-AB08-DA347D1AB77F}"/>
    <cellStyle name="Comma 3 3 4 6 5 3 2" xfId="48457" xr:uid="{EF5384AD-9D3A-42E4-84EC-3F272C84B779}"/>
    <cellStyle name="Comma 3 3 4 6 5 3 3" xfId="30203" xr:uid="{EB27A26F-83A2-436D-ABD3-58D6AB407551}"/>
    <cellStyle name="Comma 3 3 4 6 5 4" xfId="8299" xr:uid="{261FDD05-5CD7-4627-AB84-E33661CD6CF0}"/>
    <cellStyle name="Comma 3 3 4 6 5 4 2" xfId="44807" xr:uid="{2158121F-57FC-447A-9AD5-D79D349ECC50}"/>
    <cellStyle name="Comma 3 3 4 6 5 4 3" xfId="26553" xr:uid="{4E87AAC7-ACDB-4E38-A37D-F954F22D0733}"/>
    <cellStyle name="Comma 3 3 4 6 5 5" xfId="4649" xr:uid="{74C2145B-B67B-49C4-BF29-5A05C8FA000E}"/>
    <cellStyle name="Comma 3 3 4 6 5 5 2" xfId="41157" xr:uid="{7A8CF44E-7F0E-4944-A67E-1C5287B55DA0}"/>
    <cellStyle name="Comma 3 3 4 6 5 5 3" xfId="22903" xr:uid="{FE330B72-FAEA-498D-8BAB-3C6A25B708EA}"/>
    <cellStyle name="Comma 3 3 4 6 5 6" xfId="37507" xr:uid="{67E0C2D1-4E0F-4F64-97E2-0982E5BFB857}"/>
    <cellStyle name="Comma 3 3 4 6 5 7" xfId="19253" xr:uid="{76DBEF3F-0A23-4569-B0A8-249BECAC9C11}"/>
    <cellStyle name="Comma 3 3 4 6 6" xfId="14869" xr:uid="{3ACFDEE6-D400-4DD2-8B4F-A4C965A6E702}"/>
    <cellStyle name="Comma 3 3 4 6 6 2" xfId="51377" xr:uid="{E2798FF5-5CB9-4095-8F82-2F2F6CDD7F0D}"/>
    <cellStyle name="Comma 3 3 4 6 6 3" xfId="33123" xr:uid="{483D3E8F-9888-40B2-94D8-5175D9450813}"/>
    <cellStyle name="Comma 3 3 4 6 7" xfId="11219" xr:uid="{CF2B11D7-015B-4357-B0D5-93506370CA50}"/>
    <cellStyle name="Comma 3 3 4 6 7 2" xfId="47727" xr:uid="{1F858D13-52C2-4538-8835-957D615BE389}"/>
    <cellStyle name="Comma 3 3 4 6 7 3" xfId="29473" xr:uid="{813730C3-4245-40DB-B2FA-D4C705F5FDFA}"/>
    <cellStyle name="Comma 3 3 4 6 8" xfId="7569" xr:uid="{57C3DB99-5AE4-4662-BAA2-180391F46A77}"/>
    <cellStyle name="Comma 3 3 4 6 8 2" xfId="44077" xr:uid="{64235CAB-E03A-4BCC-BE5B-0C62D5EC5349}"/>
    <cellStyle name="Comma 3 3 4 6 8 3" xfId="25823" xr:uid="{612BBEAB-EE47-44F9-9248-6FEA3627F260}"/>
    <cellStyle name="Comma 3 3 4 6 9" xfId="3919" xr:uid="{5B936F45-128F-4B7D-B773-85326EE62A3F}"/>
    <cellStyle name="Comma 3 3 4 6 9 2" xfId="40427" xr:uid="{AF04B4ED-98A4-453C-8316-805F755025A0}"/>
    <cellStyle name="Comma 3 3 4 6 9 3" xfId="22173" xr:uid="{45884D54-EC97-46D3-B002-3F710DEB3C96}"/>
    <cellStyle name="Comma 3 3 4 7" xfId="165" xr:uid="{54310831-D0E8-424F-B56D-B18BD935A78A}"/>
    <cellStyle name="Comma 3 3 4 7 10" xfId="36673" xr:uid="{D05D0596-D407-450C-9B38-8BD7F99C8FEA}"/>
    <cellStyle name="Comma 3 3 4 7 11" xfId="18419" xr:uid="{027A32A8-976F-47F7-8C78-C5E049AD4966}"/>
    <cellStyle name="Comma 3 3 4 7 2" xfId="3085" xr:uid="{D068C898-F87B-422A-91B1-8F49B4E717F8}"/>
    <cellStyle name="Comma 3 3 4 7 2 2" xfId="17685" xr:uid="{829BAE00-CC17-4421-BF9C-30F1F157AA31}"/>
    <cellStyle name="Comma 3 3 4 7 2 2 2" xfId="54193" xr:uid="{D1088A87-BCAE-4D37-8D33-F9D4F71212D3}"/>
    <cellStyle name="Comma 3 3 4 7 2 2 3" xfId="35939" xr:uid="{CBF99DC0-F241-49E7-A72C-2938CC0838AA}"/>
    <cellStyle name="Comma 3 3 4 7 2 3" xfId="14035" xr:uid="{61C5D51B-E7C3-4109-BE63-9F3126A9875E}"/>
    <cellStyle name="Comma 3 3 4 7 2 3 2" xfId="50543" xr:uid="{3BAA4578-A2A1-4F6C-9CBD-A7C86DBDF74A}"/>
    <cellStyle name="Comma 3 3 4 7 2 3 3" xfId="32289" xr:uid="{30AEFA42-B741-4E01-87F4-B2E062E1CDBE}"/>
    <cellStyle name="Comma 3 3 4 7 2 4" xfId="10385" xr:uid="{1038C149-C7DC-4448-AAC7-23E1F7E078EE}"/>
    <cellStyle name="Comma 3 3 4 7 2 4 2" xfId="46893" xr:uid="{0BB7B8FA-0151-4A0F-AAE2-6D6F8A329190}"/>
    <cellStyle name="Comma 3 3 4 7 2 4 3" xfId="28639" xr:uid="{28290F69-4E89-4F94-AD7E-3AE5C4AE827C}"/>
    <cellStyle name="Comma 3 3 4 7 2 5" xfId="6735" xr:uid="{AFF53592-4813-4891-9399-40D259522922}"/>
    <cellStyle name="Comma 3 3 4 7 2 5 2" xfId="43243" xr:uid="{A6799B42-A034-43E6-A181-E522321ACC3B}"/>
    <cellStyle name="Comma 3 3 4 7 2 5 3" xfId="24989" xr:uid="{EEAB43B3-7F83-4827-9028-349239D9CA37}"/>
    <cellStyle name="Comma 3 3 4 7 2 6" xfId="39593" xr:uid="{FF7774CB-B938-4B29-A09D-41F09210E9FA}"/>
    <cellStyle name="Comma 3 3 4 7 2 7" xfId="21339" xr:uid="{247AC129-A0CB-457E-B7B1-5BE256D044F3}"/>
    <cellStyle name="Comma 3 3 4 7 3" xfId="2355" xr:uid="{80F32427-EAC4-4C4E-AEE6-B38AEC85AAF6}"/>
    <cellStyle name="Comma 3 3 4 7 3 2" xfId="16955" xr:uid="{0B408F0A-6FAC-4C7B-B222-1482A181833E}"/>
    <cellStyle name="Comma 3 3 4 7 3 2 2" xfId="53463" xr:uid="{80F2B332-F348-4456-BB9F-8C609EFDBF0D}"/>
    <cellStyle name="Comma 3 3 4 7 3 2 3" xfId="35209" xr:uid="{7431D850-4004-4137-89F3-28F3785E0682}"/>
    <cellStyle name="Comma 3 3 4 7 3 3" xfId="13305" xr:uid="{16E45606-238A-4FF0-8389-01D53DBF4B06}"/>
    <cellStyle name="Comma 3 3 4 7 3 3 2" xfId="49813" xr:uid="{12D100E9-2C45-45BE-814C-6A43C942D791}"/>
    <cellStyle name="Comma 3 3 4 7 3 3 3" xfId="31559" xr:uid="{8152678D-8A42-4386-B0DE-5780C7199638}"/>
    <cellStyle name="Comma 3 3 4 7 3 4" xfId="9655" xr:uid="{0129DEE4-895E-4CFF-ABDF-90D1735B05DC}"/>
    <cellStyle name="Comma 3 3 4 7 3 4 2" xfId="46163" xr:uid="{B964CA59-76A7-4071-AF42-B126DD424422}"/>
    <cellStyle name="Comma 3 3 4 7 3 4 3" xfId="27909" xr:uid="{EA9154AB-6803-4B5A-93B9-9762A0B9FF55}"/>
    <cellStyle name="Comma 3 3 4 7 3 5" xfId="6005" xr:uid="{1FA3A363-DF18-470C-A88E-EA73340A9AD9}"/>
    <cellStyle name="Comma 3 3 4 7 3 5 2" xfId="42513" xr:uid="{807D743D-C921-4E85-A4FD-F9B788991450}"/>
    <cellStyle name="Comma 3 3 4 7 3 5 3" xfId="24259" xr:uid="{7B719297-9FFB-481A-B161-333C823F337D}"/>
    <cellStyle name="Comma 3 3 4 7 3 6" xfId="38863" xr:uid="{90E9C3B0-F063-411D-9FE7-9A6F14B8C4BA}"/>
    <cellStyle name="Comma 3 3 4 7 3 7" xfId="20609" xr:uid="{CA890FEF-EA32-42D2-8A3A-D0C496E9CF84}"/>
    <cellStyle name="Comma 3 3 4 7 4" xfId="1625" xr:uid="{8A8DA795-0879-4355-B002-94BE9D455D7B}"/>
    <cellStyle name="Comma 3 3 4 7 4 2" xfId="16225" xr:uid="{DCA7E644-1F65-4DB4-91EC-7623FF49B206}"/>
    <cellStyle name="Comma 3 3 4 7 4 2 2" xfId="52733" xr:uid="{C1B65819-7FAA-48AA-B796-2E9F33C085FF}"/>
    <cellStyle name="Comma 3 3 4 7 4 2 3" xfId="34479" xr:uid="{DB721992-8980-42A1-81CC-B2E4744BFEA0}"/>
    <cellStyle name="Comma 3 3 4 7 4 3" xfId="12575" xr:uid="{DD969251-523B-474F-B9E5-29FC789BDED2}"/>
    <cellStyle name="Comma 3 3 4 7 4 3 2" xfId="49083" xr:uid="{17713748-B6B0-40AF-B50C-E5393EFC549D}"/>
    <cellStyle name="Comma 3 3 4 7 4 3 3" xfId="30829" xr:uid="{C8623B94-1EC0-4044-BDA7-604A9AB46AA7}"/>
    <cellStyle name="Comma 3 3 4 7 4 4" xfId="8925" xr:uid="{C498A2BC-02B2-499D-9807-482AD9D0E0A5}"/>
    <cellStyle name="Comma 3 3 4 7 4 4 2" xfId="45433" xr:uid="{2D755D2D-E32A-451B-8712-8EBD626AE232}"/>
    <cellStyle name="Comma 3 3 4 7 4 4 3" xfId="27179" xr:uid="{6E5C722B-6FAB-4F75-8E7B-E0C9E823E0B8}"/>
    <cellStyle name="Comma 3 3 4 7 4 5" xfId="5275" xr:uid="{AC2FB3EA-CC03-4284-B02B-5A380118D1FE}"/>
    <cellStyle name="Comma 3 3 4 7 4 5 2" xfId="41783" xr:uid="{E5E7E58A-2DAA-47FA-9628-FDCA9891B784}"/>
    <cellStyle name="Comma 3 3 4 7 4 5 3" xfId="23529" xr:uid="{EFC690D9-CFDF-4D81-8DCA-5107757791EE}"/>
    <cellStyle name="Comma 3 3 4 7 4 6" xfId="38133" xr:uid="{E2D7FF99-A77A-4980-B3CB-604CB7BED61D}"/>
    <cellStyle name="Comma 3 3 4 7 4 7" xfId="19879" xr:uid="{46CC783F-C717-485D-93AE-57FEAA119C17}"/>
    <cellStyle name="Comma 3 3 4 7 5" xfId="895" xr:uid="{1A03AED9-2D5C-42B1-8794-CE57D644A2C2}"/>
    <cellStyle name="Comma 3 3 4 7 5 2" xfId="15495" xr:uid="{3E926520-B64D-4663-957D-0302B9EBA0EA}"/>
    <cellStyle name="Comma 3 3 4 7 5 2 2" xfId="52003" xr:uid="{1658A70A-13E3-433C-BA94-0A168632319C}"/>
    <cellStyle name="Comma 3 3 4 7 5 2 3" xfId="33749" xr:uid="{CC611AC2-C972-4B35-B456-D175B649E603}"/>
    <cellStyle name="Comma 3 3 4 7 5 3" xfId="11845" xr:uid="{7138A171-4FC0-4F78-B0CB-05EC265FCA03}"/>
    <cellStyle name="Comma 3 3 4 7 5 3 2" xfId="48353" xr:uid="{CD614304-7D56-45FC-9A40-D6443A7E3FEC}"/>
    <cellStyle name="Comma 3 3 4 7 5 3 3" xfId="30099" xr:uid="{96A15595-0A49-4A9A-AF38-D2C75EA4E65C}"/>
    <cellStyle name="Comma 3 3 4 7 5 4" xfId="8195" xr:uid="{87D1ACD4-A0D3-4519-ACE6-0509AD1F098E}"/>
    <cellStyle name="Comma 3 3 4 7 5 4 2" xfId="44703" xr:uid="{C0CEDAA2-A8DF-46C6-AEF6-C36B1E70D215}"/>
    <cellStyle name="Comma 3 3 4 7 5 4 3" xfId="26449" xr:uid="{9F607211-71B9-4AAD-8517-CF51C90B5610}"/>
    <cellStyle name="Comma 3 3 4 7 5 5" xfId="4545" xr:uid="{26206A99-B8A8-40FB-AA42-63E359FC1802}"/>
    <cellStyle name="Comma 3 3 4 7 5 5 2" xfId="41053" xr:uid="{CEC127B3-5514-43D4-A301-C248FBCC894C}"/>
    <cellStyle name="Comma 3 3 4 7 5 5 3" xfId="22799" xr:uid="{FEEF1F9B-F5C3-4E7E-B15E-9BC21F02DD4E}"/>
    <cellStyle name="Comma 3 3 4 7 5 6" xfId="37403" xr:uid="{B18E5090-836A-41D4-BE93-96A3C58A5C26}"/>
    <cellStyle name="Comma 3 3 4 7 5 7" xfId="19149" xr:uid="{6520EFE2-4840-4D56-A73C-98A9EBE6B0FD}"/>
    <cellStyle name="Comma 3 3 4 7 6" xfId="14765" xr:uid="{3F7F83E1-F2F3-481A-888D-C8751D025E08}"/>
    <cellStyle name="Comma 3 3 4 7 6 2" xfId="51273" xr:uid="{400B3EC9-78AF-4CBA-B975-0B1D624C2108}"/>
    <cellStyle name="Comma 3 3 4 7 6 3" xfId="33019" xr:uid="{55540537-0D81-42BE-9E8A-ECF99AB4BD11}"/>
    <cellStyle name="Comma 3 3 4 7 7" xfId="11115" xr:uid="{39FFA228-4D9A-4DAC-AF9E-EF6305271A8D}"/>
    <cellStyle name="Comma 3 3 4 7 7 2" xfId="47623" xr:uid="{238B2BB6-852F-4E12-AAAC-ED9603E35417}"/>
    <cellStyle name="Comma 3 3 4 7 7 3" xfId="29369" xr:uid="{BA3AC1C6-B708-40D2-B72C-B01D9C235C25}"/>
    <cellStyle name="Comma 3 3 4 7 8" xfId="7465" xr:uid="{5E069041-29C2-4257-A778-191BFACBBBA8}"/>
    <cellStyle name="Comma 3 3 4 7 8 2" xfId="43973" xr:uid="{C8FB75A8-23D3-4670-BA4C-C8D220116693}"/>
    <cellStyle name="Comma 3 3 4 7 8 3" xfId="25719" xr:uid="{1D800A42-DBED-4B8B-A810-42A6C7F25F21}"/>
    <cellStyle name="Comma 3 3 4 7 9" xfId="3815" xr:uid="{C96454D0-C466-41C5-B628-B2CD360E567A}"/>
    <cellStyle name="Comma 3 3 4 7 9 2" xfId="40323" xr:uid="{28DF9F32-5F12-4134-A4C9-6E93D2AFA1B7}"/>
    <cellStyle name="Comma 3 3 4 7 9 3" xfId="22069" xr:uid="{2CDB7CEB-1403-4FDD-BD57-EA453AB6BBD2}"/>
    <cellStyle name="Comma 3 3 4 8" xfId="2981" xr:uid="{CF2F530D-BE76-484E-9F57-486DFFF819A6}"/>
    <cellStyle name="Comma 3 3 4 8 2" xfId="17581" xr:uid="{7AB9E21B-A907-4F5F-A566-332DB3CE6244}"/>
    <cellStyle name="Comma 3 3 4 8 2 2" xfId="54089" xr:uid="{69EAC177-6B2D-45BD-A028-5E706EE3C08A}"/>
    <cellStyle name="Comma 3 3 4 8 2 3" xfId="35835" xr:uid="{B4CC1740-F419-4814-BBD0-13FCCBD32EE9}"/>
    <cellStyle name="Comma 3 3 4 8 3" xfId="13931" xr:uid="{507EC686-5675-475C-9C3D-04734A43E4B2}"/>
    <cellStyle name="Comma 3 3 4 8 3 2" xfId="50439" xr:uid="{44C4E7AD-5EEC-431A-87E7-95F59A9EA46E}"/>
    <cellStyle name="Comma 3 3 4 8 3 3" xfId="32185" xr:uid="{ADE6E6B7-8A4E-4B71-BF8D-4A793984E6FA}"/>
    <cellStyle name="Comma 3 3 4 8 4" xfId="10281" xr:uid="{17E4CD74-759B-455D-9342-2EA49F1BB792}"/>
    <cellStyle name="Comma 3 3 4 8 4 2" xfId="46789" xr:uid="{86714EEF-AE90-4AAC-8BC8-84C55E8503BB}"/>
    <cellStyle name="Comma 3 3 4 8 4 3" xfId="28535" xr:uid="{AF442CF2-7DB9-4F70-8297-A9D6218D2868}"/>
    <cellStyle name="Comma 3 3 4 8 5" xfId="6631" xr:uid="{D1AE5F72-ECA8-4DAE-A1BA-E6A047388AF6}"/>
    <cellStyle name="Comma 3 3 4 8 5 2" xfId="43139" xr:uid="{0B59D956-3D2D-4B7B-9BD0-EAB1D14689BD}"/>
    <cellStyle name="Comma 3 3 4 8 5 3" xfId="24885" xr:uid="{4CDFFC21-6C33-4EE4-9226-366ECC504F10}"/>
    <cellStyle name="Comma 3 3 4 8 6" xfId="39489" xr:uid="{1E2FC2F4-F184-4809-9E26-BCE6BB772792}"/>
    <cellStyle name="Comma 3 3 4 8 7" xfId="21235" xr:uid="{3E8A6D97-61A5-4FDB-9736-8D3B7A02BE50}"/>
    <cellStyle name="Comma 3 3 4 9" xfId="2251" xr:uid="{C211BA97-C002-4278-B53F-1C71B607D72F}"/>
    <cellStyle name="Comma 3 3 4 9 2" xfId="16851" xr:uid="{DD478046-CAE5-4E65-B662-95A8FDF71FD0}"/>
    <cellStyle name="Comma 3 3 4 9 2 2" xfId="53359" xr:uid="{1EF2C23B-5F02-40E1-8872-9ED8A25159AE}"/>
    <cellStyle name="Comma 3 3 4 9 2 3" xfId="35105" xr:uid="{A37C0A74-6B00-464A-A0B1-6BF5E0C2687E}"/>
    <cellStyle name="Comma 3 3 4 9 3" xfId="13201" xr:uid="{2D6CE09C-DF5A-4815-9A18-5FE126129BE6}"/>
    <cellStyle name="Comma 3 3 4 9 3 2" xfId="49709" xr:uid="{775BC4B8-4ABD-473C-A799-01EEB4E1EFF9}"/>
    <cellStyle name="Comma 3 3 4 9 3 3" xfId="31455" xr:uid="{02785B5C-E50A-4747-BE4D-C15C969B5E0F}"/>
    <cellStyle name="Comma 3 3 4 9 4" xfId="9551" xr:uid="{D7F18E0C-930D-42B6-9C8B-C6602D33B36E}"/>
    <cellStyle name="Comma 3 3 4 9 4 2" xfId="46059" xr:uid="{00BF657E-DA8D-4EA2-A5DE-E94AA948D3E2}"/>
    <cellStyle name="Comma 3 3 4 9 4 3" xfId="27805" xr:uid="{A1743885-9B36-4021-B56F-07E506BC204A}"/>
    <cellStyle name="Comma 3 3 4 9 5" xfId="5901" xr:uid="{3B7C683E-DCE6-4A88-8838-E8D9C2E81B24}"/>
    <cellStyle name="Comma 3 3 4 9 5 2" xfId="42409" xr:uid="{C1832ACF-5FA7-46C2-889C-5460BC71B217}"/>
    <cellStyle name="Comma 3 3 4 9 5 3" xfId="24155" xr:uid="{8D8F9171-73D0-4064-ABF9-424BE9C01ED2}"/>
    <cellStyle name="Comma 3 3 4 9 6" xfId="38759" xr:uid="{A71D9509-1B2E-4679-A36F-78382120A292}"/>
    <cellStyle name="Comma 3 3 4 9 7" xfId="20505" xr:uid="{782C86E2-F7C9-4152-B0B4-14AE7F8528CD}"/>
    <cellStyle name="Comma 3 3 5" xfId="653" xr:uid="{21BEB95D-6F88-4290-8C80-92AFEF045C17}"/>
    <cellStyle name="Comma 3 3 5 10" xfId="37161" xr:uid="{AA12516F-987C-4038-8A46-20C708AD9719}"/>
    <cellStyle name="Comma 3 3 5 11" xfId="18907" xr:uid="{9FE116C4-B0BF-448B-935D-EAD2015A7B93}"/>
    <cellStyle name="Comma 3 3 5 2" xfId="3573" xr:uid="{E582ED3F-169A-4B44-A0FB-E2FC33BA5CFD}"/>
    <cellStyle name="Comma 3 3 5 2 2" xfId="18173" xr:uid="{19265914-F79D-4DF0-A0F1-CD71AE60C5A9}"/>
    <cellStyle name="Comma 3 3 5 2 2 2" xfId="54681" xr:uid="{24F922EE-8E57-4929-B08D-3E6F45152BEC}"/>
    <cellStyle name="Comma 3 3 5 2 2 3" xfId="36427" xr:uid="{AC919448-0B18-4ECC-8D83-0ABC60DF3D8E}"/>
    <cellStyle name="Comma 3 3 5 2 3" xfId="14523" xr:uid="{2277C437-B056-444E-8213-672BA440DFA5}"/>
    <cellStyle name="Comma 3 3 5 2 3 2" xfId="51031" xr:uid="{9EF09BED-D51C-4199-9F2F-803F996BB6B7}"/>
    <cellStyle name="Comma 3 3 5 2 3 3" xfId="32777" xr:uid="{A72FBCCC-FCEB-4E53-B2D7-7D6904E218CC}"/>
    <cellStyle name="Comma 3 3 5 2 4" xfId="10873" xr:uid="{37EB5EAE-65F5-41D2-97E7-8359510D5E13}"/>
    <cellStyle name="Comma 3 3 5 2 4 2" xfId="47381" xr:uid="{29A82371-D28C-4190-B140-1E5E064304F6}"/>
    <cellStyle name="Comma 3 3 5 2 4 3" xfId="29127" xr:uid="{1B7DBFE3-4E2C-46E7-96E9-F8F58851271A}"/>
    <cellStyle name="Comma 3 3 5 2 5" xfId="7223" xr:uid="{FA5A862C-CDA9-4A35-8EC5-699539EF90E0}"/>
    <cellStyle name="Comma 3 3 5 2 5 2" xfId="43731" xr:uid="{2AD4489D-F3FA-4C7B-8396-79555CFD8E79}"/>
    <cellStyle name="Comma 3 3 5 2 5 3" xfId="25477" xr:uid="{43D4C01C-F38A-4B06-8E87-AE5E72BDE11F}"/>
    <cellStyle name="Comma 3 3 5 2 6" xfId="40081" xr:uid="{E2064EBB-E438-4BE0-9D36-8283B65339F3}"/>
    <cellStyle name="Comma 3 3 5 2 7" xfId="21827" xr:uid="{78CF0F5A-7F3C-4B3A-BEA6-EDB5A0D7401B}"/>
    <cellStyle name="Comma 3 3 5 3" xfId="2843" xr:uid="{EE7B74CE-9520-43D3-8CE8-7F9D4E37906C}"/>
    <cellStyle name="Comma 3 3 5 3 2" xfId="17443" xr:uid="{818F31A8-3DCB-40E8-9000-AFE48533834F}"/>
    <cellStyle name="Comma 3 3 5 3 2 2" xfId="53951" xr:uid="{DDC71941-6B0F-4E58-BC5B-6CC4F57B356D}"/>
    <cellStyle name="Comma 3 3 5 3 2 3" xfId="35697" xr:uid="{2E0ADB3D-EAEC-4B46-B220-9E096FF992C9}"/>
    <cellStyle name="Comma 3 3 5 3 3" xfId="13793" xr:uid="{A14AA757-34AC-478D-B7EA-1D3A9BA6B403}"/>
    <cellStyle name="Comma 3 3 5 3 3 2" xfId="50301" xr:uid="{2ED7A626-29E5-4794-A042-CFC748C5F60B}"/>
    <cellStyle name="Comma 3 3 5 3 3 3" xfId="32047" xr:uid="{7C94345F-2A50-41FD-9CEE-12533FD84455}"/>
    <cellStyle name="Comma 3 3 5 3 4" xfId="10143" xr:uid="{8C49535D-4A75-4A99-ABED-58441E8556E3}"/>
    <cellStyle name="Comma 3 3 5 3 4 2" xfId="46651" xr:uid="{7CA7A0CD-D94F-412C-A1EA-086BBB5D3543}"/>
    <cellStyle name="Comma 3 3 5 3 4 3" xfId="28397" xr:uid="{9177A335-C8B2-4263-8E6E-A596ED3CA563}"/>
    <cellStyle name="Comma 3 3 5 3 5" xfId="6493" xr:uid="{7A833C48-6099-4E8E-BFAB-05D92740F3A4}"/>
    <cellStyle name="Comma 3 3 5 3 5 2" xfId="43001" xr:uid="{EB92EE87-1F2B-4C7D-9207-E593270B136E}"/>
    <cellStyle name="Comma 3 3 5 3 5 3" xfId="24747" xr:uid="{875C7B49-0735-48B5-9CF6-0341D8A30FC9}"/>
    <cellStyle name="Comma 3 3 5 3 6" xfId="39351" xr:uid="{8B79CDEA-A2A2-4854-A303-F99F08DA8D32}"/>
    <cellStyle name="Comma 3 3 5 3 7" xfId="21097" xr:uid="{A07D367C-D7E4-4C39-B192-3942F4A6BFB4}"/>
    <cellStyle name="Comma 3 3 5 4" xfId="2113" xr:uid="{F277ABC9-225B-4C13-AE4A-1AA2E590A08F}"/>
    <cellStyle name="Comma 3 3 5 4 2" xfId="16713" xr:uid="{D14134BA-F9F0-4FE5-959C-619CBE3D4F41}"/>
    <cellStyle name="Comma 3 3 5 4 2 2" xfId="53221" xr:uid="{1572EC33-1CCD-4710-BA08-2FCD3161C68C}"/>
    <cellStyle name="Comma 3 3 5 4 2 3" xfId="34967" xr:uid="{E63CF820-B80E-4A5F-8110-D80865532014}"/>
    <cellStyle name="Comma 3 3 5 4 3" xfId="13063" xr:uid="{E1D4E05A-9199-4847-9427-C54B7230D1EE}"/>
    <cellStyle name="Comma 3 3 5 4 3 2" xfId="49571" xr:uid="{1535BF9F-9148-453A-B15B-D3CA6933A956}"/>
    <cellStyle name="Comma 3 3 5 4 3 3" xfId="31317" xr:uid="{B4790B5F-2967-4BC1-A4F6-7A77734B19CB}"/>
    <cellStyle name="Comma 3 3 5 4 4" xfId="9413" xr:uid="{069D4BBE-2B56-4E8C-9E08-D0EC7A4D9C12}"/>
    <cellStyle name="Comma 3 3 5 4 4 2" xfId="45921" xr:uid="{71DBED57-0869-4FCD-AE74-4BB675D88AFA}"/>
    <cellStyle name="Comma 3 3 5 4 4 3" xfId="27667" xr:uid="{9C52D4C3-4089-4092-841F-A2C8A6A48447}"/>
    <cellStyle name="Comma 3 3 5 4 5" xfId="5763" xr:uid="{E48C475D-0DA3-463E-AC4D-8F9E77E9C968}"/>
    <cellStyle name="Comma 3 3 5 4 5 2" xfId="42271" xr:uid="{49FE27B8-7D34-4B41-A022-151B57D300C1}"/>
    <cellStyle name="Comma 3 3 5 4 5 3" xfId="24017" xr:uid="{5F7C241C-49DB-4835-8D6F-72FD1A2210F0}"/>
    <cellStyle name="Comma 3 3 5 4 6" xfId="38621" xr:uid="{1E22FCD1-7FC5-4A21-B694-E4D4E279EB73}"/>
    <cellStyle name="Comma 3 3 5 4 7" xfId="20367" xr:uid="{FEBDC44F-5BB1-4679-A015-B2EB29498B6E}"/>
    <cellStyle name="Comma 3 3 5 5" xfId="1383" xr:uid="{CDE66DE0-2217-44D7-8858-F53594ECDF86}"/>
    <cellStyle name="Comma 3 3 5 5 2" xfId="15983" xr:uid="{D9EB76F7-334F-48EF-B489-BB12037BAD50}"/>
    <cellStyle name="Comma 3 3 5 5 2 2" xfId="52491" xr:uid="{C613305E-8F2A-42A5-9B85-008ADC593D58}"/>
    <cellStyle name="Comma 3 3 5 5 2 3" xfId="34237" xr:uid="{B3CB73F4-9A8F-4357-9488-CA2F2E124C6E}"/>
    <cellStyle name="Comma 3 3 5 5 3" xfId="12333" xr:uid="{6785CCAC-F14F-456B-BE11-A06C344F6E0D}"/>
    <cellStyle name="Comma 3 3 5 5 3 2" xfId="48841" xr:uid="{AD7108CE-FEDB-4EC0-B50B-501478AF9241}"/>
    <cellStyle name="Comma 3 3 5 5 3 3" xfId="30587" xr:uid="{4B55A994-EF37-4089-9692-EB1E3898F2ED}"/>
    <cellStyle name="Comma 3 3 5 5 4" xfId="8683" xr:uid="{042FB014-57DA-48AF-B53B-FAB1A32B0007}"/>
    <cellStyle name="Comma 3 3 5 5 4 2" xfId="45191" xr:uid="{2159B385-9523-44FB-8089-BDB328FE688D}"/>
    <cellStyle name="Comma 3 3 5 5 4 3" xfId="26937" xr:uid="{4374C4CD-B953-4F96-AF2D-6B12EB028B0E}"/>
    <cellStyle name="Comma 3 3 5 5 5" xfId="5033" xr:uid="{F78CC079-9BE3-4E7C-9ED9-C316053F0506}"/>
    <cellStyle name="Comma 3 3 5 5 5 2" xfId="41541" xr:uid="{541254A1-3A78-4397-8B28-1ADDC737B623}"/>
    <cellStyle name="Comma 3 3 5 5 5 3" xfId="23287" xr:uid="{B7ABFE8E-ECCD-4DB9-83A2-2F735FC6D27B}"/>
    <cellStyle name="Comma 3 3 5 5 6" xfId="37891" xr:uid="{C3515A5A-F624-4473-8B56-71A880856497}"/>
    <cellStyle name="Comma 3 3 5 5 7" xfId="19637" xr:uid="{DDF0902F-C6F0-47B1-8606-7F3BB7E61155}"/>
    <cellStyle name="Comma 3 3 5 6" xfId="15253" xr:uid="{50E3B5B1-51A0-436E-A81A-23FD333F27E5}"/>
    <cellStyle name="Comma 3 3 5 6 2" xfId="51761" xr:uid="{CFE21B0C-1243-487E-9C91-50093BBE82E6}"/>
    <cellStyle name="Comma 3 3 5 6 3" xfId="33507" xr:uid="{FCE8BBEC-6741-4C3B-B585-BAFE532D8031}"/>
    <cellStyle name="Comma 3 3 5 7" xfId="11603" xr:uid="{1A99B507-92E9-4824-A45A-7E7D88FCC382}"/>
    <cellStyle name="Comma 3 3 5 7 2" xfId="48111" xr:uid="{E1BD416E-845E-4E72-B867-B08979E98C20}"/>
    <cellStyle name="Comma 3 3 5 7 3" xfId="29857" xr:uid="{7C9CE2B6-55E4-4171-92A3-232A396DF6F0}"/>
    <cellStyle name="Comma 3 3 5 8" xfId="7953" xr:uid="{008B38CD-F66D-4D3A-8B5E-E205C3209A6A}"/>
    <cellStyle name="Comma 3 3 5 8 2" xfId="44461" xr:uid="{60D1D49D-7324-4938-8402-AE078EE5D764}"/>
    <cellStyle name="Comma 3 3 5 8 3" xfId="26207" xr:uid="{FA7657D6-C359-4CEA-95BA-546CD50F5F0F}"/>
    <cellStyle name="Comma 3 3 5 9" xfId="4303" xr:uid="{D422BB4E-374B-4820-9A5A-AC774EFF7296}"/>
    <cellStyle name="Comma 3 3 5 9 2" xfId="40811" xr:uid="{9BBE2103-94BD-45FF-B8CB-B22A95537904}"/>
    <cellStyle name="Comma 3 3 5 9 3" xfId="22557" xr:uid="{A9ACF4F1-1E45-41CE-8442-739D5CECE634}"/>
    <cellStyle name="Comma 3 3 6" xfId="549" xr:uid="{2313EA48-C8B2-4721-AF6C-04CC8E6370BE}"/>
    <cellStyle name="Comma 3 3 6 10" xfId="37057" xr:uid="{D14CB662-7D84-4A5E-BBA3-186822CA0CBC}"/>
    <cellStyle name="Comma 3 3 6 11" xfId="18803" xr:uid="{B4BD9534-21AA-4145-92D2-1BFA6971DC50}"/>
    <cellStyle name="Comma 3 3 6 2" xfId="3469" xr:uid="{D212693D-1F36-4F5D-A465-A2FEE73C633F}"/>
    <cellStyle name="Comma 3 3 6 2 2" xfId="18069" xr:uid="{A5A20E3D-1868-4BCC-B586-78FE1FBACFC2}"/>
    <cellStyle name="Comma 3 3 6 2 2 2" xfId="54577" xr:uid="{02FF5EC7-8315-4127-8C71-482D6397AA26}"/>
    <cellStyle name="Comma 3 3 6 2 2 3" xfId="36323" xr:uid="{8EF0FFD9-B139-4FE1-8649-55A2C0460D47}"/>
    <cellStyle name="Comma 3 3 6 2 3" xfId="14419" xr:uid="{5BD2C47C-B87C-4D4A-AD66-1942279C63EC}"/>
    <cellStyle name="Comma 3 3 6 2 3 2" xfId="50927" xr:uid="{0E20C4D2-0177-4B3B-9268-8D5E10E6AF82}"/>
    <cellStyle name="Comma 3 3 6 2 3 3" xfId="32673" xr:uid="{78823ADF-0BE3-42D5-9004-816C83B5C68F}"/>
    <cellStyle name="Comma 3 3 6 2 4" xfId="10769" xr:uid="{89E10190-B2CF-4F21-BDFF-D1F1F9A31E9F}"/>
    <cellStyle name="Comma 3 3 6 2 4 2" xfId="47277" xr:uid="{695CB39F-B6F7-433B-BE7D-54F78ED408C1}"/>
    <cellStyle name="Comma 3 3 6 2 4 3" xfId="29023" xr:uid="{91560885-FFA8-406B-B67F-E56FDCE96FC0}"/>
    <cellStyle name="Comma 3 3 6 2 5" xfId="7119" xr:uid="{02E6B6A7-ADB7-4352-8880-E523FDF847C5}"/>
    <cellStyle name="Comma 3 3 6 2 5 2" xfId="43627" xr:uid="{3DCF1519-9B80-4534-8C1D-EE8DC13D853E}"/>
    <cellStyle name="Comma 3 3 6 2 5 3" xfId="25373" xr:uid="{8756F284-41C8-4209-B08F-A5B0D51672F2}"/>
    <cellStyle name="Comma 3 3 6 2 6" xfId="39977" xr:uid="{1054750C-F0C5-4ECE-A6F0-7D761F388CC0}"/>
    <cellStyle name="Comma 3 3 6 2 7" xfId="21723" xr:uid="{2368C1AF-097D-4DC5-9311-A72F354BF806}"/>
    <cellStyle name="Comma 3 3 6 3" xfId="2739" xr:uid="{AA6CCC65-18D2-448A-B36F-1DA750A83116}"/>
    <cellStyle name="Comma 3 3 6 3 2" xfId="17339" xr:uid="{2DC2DE32-9F0C-4B02-9E38-901DE3D06A2D}"/>
    <cellStyle name="Comma 3 3 6 3 2 2" xfId="53847" xr:uid="{E5452F5A-14C8-4B33-9382-0DA0CAE7F89A}"/>
    <cellStyle name="Comma 3 3 6 3 2 3" xfId="35593" xr:uid="{448E8E1C-520A-4876-8DCA-0141B3B5BD5B}"/>
    <cellStyle name="Comma 3 3 6 3 3" xfId="13689" xr:uid="{927DF92F-18D1-4BBF-8D25-0856A1823E9E}"/>
    <cellStyle name="Comma 3 3 6 3 3 2" xfId="50197" xr:uid="{CF208A7D-801D-4F3C-8F02-F9C93686BF8E}"/>
    <cellStyle name="Comma 3 3 6 3 3 3" xfId="31943" xr:uid="{A03BCFBC-C005-4929-A98A-75F2678EFEEE}"/>
    <cellStyle name="Comma 3 3 6 3 4" xfId="10039" xr:uid="{03983E20-13FF-4F5F-BC21-357866C75A03}"/>
    <cellStyle name="Comma 3 3 6 3 4 2" xfId="46547" xr:uid="{F53A6831-E0CF-4AA4-9C3E-F07B640F3332}"/>
    <cellStyle name="Comma 3 3 6 3 4 3" xfId="28293" xr:uid="{A249B39F-5E34-4396-8CA5-F3E2BB4C3C18}"/>
    <cellStyle name="Comma 3 3 6 3 5" xfId="6389" xr:uid="{02807E3D-6068-412E-A575-DFEF03EAD7D5}"/>
    <cellStyle name="Comma 3 3 6 3 5 2" xfId="42897" xr:uid="{A8A5A76F-3C36-4500-8DD4-29AFADAF5190}"/>
    <cellStyle name="Comma 3 3 6 3 5 3" xfId="24643" xr:uid="{D2CEE1CA-AB76-4709-9123-DEB5072B582F}"/>
    <cellStyle name="Comma 3 3 6 3 6" xfId="39247" xr:uid="{40E71DC9-DBB6-4E90-A3DD-419B750A88A0}"/>
    <cellStyle name="Comma 3 3 6 3 7" xfId="20993" xr:uid="{262CE5E8-0AE9-4693-BB6D-6BCAD5EF57E8}"/>
    <cellStyle name="Comma 3 3 6 4" xfId="2009" xr:uid="{1727B305-981F-49C4-AB5D-69EAAFE4AE54}"/>
    <cellStyle name="Comma 3 3 6 4 2" xfId="16609" xr:uid="{020C1A2D-BA43-41AE-A632-F0F4346DA430}"/>
    <cellStyle name="Comma 3 3 6 4 2 2" xfId="53117" xr:uid="{76C72910-8397-4135-AB2F-D50992058CD1}"/>
    <cellStyle name="Comma 3 3 6 4 2 3" xfId="34863" xr:uid="{0A04C933-3E47-4622-9571-E6C8BCEE4B53}"/>
    <cellStyle name="Comma 3 3 6 4 3" xfId="12959" xr:uid="{D26724F8-FE51-49B1-AB3E-5E15D10C8633}"/>
    <cellStyle name="Comma 3 3 6 4 3 2" xfId="49467" xr:uid="{48B1FBF6-6980-4718-9E20-C6F2E0ED1559}"/>
    <cellStyle name="Comma 3 3 6 4 3 3" xfId="31213" xr:uid="{83FAD1DC-AB21-45F0-8A54-F59BA5EA7766}"/>
    <cellStyle name="Comma 3 3 6 4 4" xfId="9309" xr:uid="{65FECD65-7141-474D-AB46-7FC785DFC0BE}"/>
    <cellStyle name="Comma 3 3 6 4 4 2" xfId="45817" xr:uid="{E1105852-8F17-4D1D-8F4A-BB44DE9B8D9B}"/>
    <cellStyle name="Comma 3 3 6 4 4 3" xfId="27563" xr:uid="{BEC3FCCE-7C55-4EE1-B8CE-D5A50535996C}"/>
    <cellStyle name="Comma 3 3 6 4 5" xfId="5659" xr:uid="{1CC35904-4B64-45F8-9037-25094350B77C}"/>
    <cellStyle name="Comma 3 3 6 4 5 2" xfId="42167" xr:uid="{94DFD15D-1303-4508-81D4-C2A42B9885D7}"/>
    <cellStyle name="Comma 3 3 6 4 5 3" xfId="23913" xr:uid="{EC821477-F12A-4418-A402-AB09803DDF98}"/>
    <cellStyle name="Comma 3 3 6 4 6" xfId="38517" xr:uid="{EE39DADE-E040-4FCC-9E30-AEC89BDB4841}"/>
    <cellStyle name="Comma 3 3 6 4 7" xfId="20263" xr:uid="{3B4BA9F3-674C-4F3C-8F06-69B2E02C978E}"/>
    <cellStyle name="Comma 3 3 6 5" xfId="1279" xr:uid="{848E1944-53F5-4F8A-AD2C-9FA83A5017CE}"/>
    <cellStyle name="Comma 3 3 6 5 2" xfId="15879" xr:uid="{74E5FA7C-9DE6-4B0E-A282-60A0AEE802B8}"/>
    <cellStyle name="Comma 3 3 6 5 2 2" xfId="52387" xr:uid="{F0F3BC47-904A-4525-A6C2-7870CE328F73}"/>
    <cellStyle name="Comma 3 3 6 5 2 3" xfId="34133" xr:uid="{DEB0C458-B267-4221-BA59-52B397A92AC1}"/>
    <cellStyle name="Comma 3 3 6 5 3" xfId="12229" xr:uid="{BB1B0611-3239-4F01-8FF7-BC8B610FF1E2}"/>
    <cellStyle name="Comma 3 3 6 5 3 2" xfId="48737" xr:uid="{24F8F311-DE21-42E2-B694-390B69B7967E}"/>
    <cellStyle name="Comma 3 3 6 5 3 3" xfId="30483" xr:uid="{A65EE162-8CC1-4237-889B-53F0F97173F1}"/>
    <cellStyle name="Comma 3 3 6 5 4" xfId="8579" xr:uid="{316E5392-6589-4E29-8952-ABCF6CD940FF}"/>
    <cellStyle name="Comma 3 3 6 5 4 2" xfId="45087" xr:uid="{BBEFF302-27DE-4567-9804-4296AFD16F3D}"/>
    <cellStyle name="Comma 3 3 6 5 4 3" xfId="26833" xr:uid="{CAF4E571-4EEE-491D-8E45-4ACFE2C1B448}"/>
    <cellStyle name="Comma 3 3 6 5 5" xfId="4929" xr:uid="{877C5249-3BC7-40E9-A333-4DE0E541FDC9}"/>
    <cellStyle name="Comma 3 3 6 5 5 2" xfId="41437" xr:uid="{99B3CE27-122B-4E33-9703-681F28A7995B}"/>
    <cellStyle name="Comma 3 3 6 5 5 3" xfId="23183" xr:uid="{4F0EA425-EBF4-4F52-9A4E-B74FC38AFAEB}"/>
    <cellStyle name="Comma 3 3 6 5 6" xfId="37787" xr:uid="{2A1D8203-060C-47CF-A656-2F9116030935}"/>
    <cellStyle name="Comma 3 3 6 5 7" xfId="19533" xr:uid="{F6E99B3D-2081-44BD-9AB7-63905D38E8DD}"/>
    <cellStyle name="Comma 3 3 6 6" xfId="15149" xr:uid="{EEF48C05-7D63-42BE-AD84-2F39D197AD0C}"/>
    <cellStyle name="Comma 3 3 6 6 2" xfId="51657" xr:uid="{8F497062-7B58-49F9-9D41-A1ED47BC9D82}"/>
    <cellStyle name="Comma 3 3 6 6 3" xfId="33403" xr:uid="{655BD63C-5CFD-4516-8DF8-F71A0BE488B9}"/>
    <cellStyle name="Comma 3 3 6 7" xfId="11499" xr:uid="{3E5D2253-E053-4AD3-AE69-1AEB3D027CE0}"/>
    <cellStyle name="Comma 3 3 6 7 2" xfId="48007" xr:uid="{A4EA0F18-DE24-45D6-A90E-746ACAC986D2}"/>
    <cellStyle name="Comma 3 3 6 7 3" xfId="29753" xr:uid="{5E1CDC4F-337D-4DEF-A57E-9665FFD3592C}"/>
    <cellStyle name="Comma 3 3 6 8" xfId="7849" xr:uid="{58B09C58-6200-44C3-91B1-A3985D6ACF17}"/>
    <cellStyle name="Comma 3 3 6 8 2" xfId="44357" xr:uid="{586235C1-4904-4276-B4CC-77A9C9C2CAE1}"/>
    <cellStyle name="Comma 3 3 6 8 3" xfId="26103" xr:uid="{2470B598-6199-4CAE-BEC2-417C78699ED4}"/>
    <cellStyle name="Comma 3 3 6 9" xfId="4199" xr:uid="{FF64EA83-4AD2-4B9B-B22F-B8BE092D3CFE}"/>
    <cellStyle name="Comma 3 3 6 9 2" xfId="40707" xr:uid="{D924DAC5-92A9-446E-9078-F07CF4D889D3}"/>
    <cellStyle name="Comma 3 3 6 9 3" xfId="22453" xr:uid="{5B22A1CB-9692-43D2-9B32-DF5D17E016A7}"/>
    <cellStyle name="Comma 3 3 7" xfId="445" xr:uid="{5985E744-04A9-4082-A065-9CD8CF8050F4}"/>
    <cellStyle name="Comma 3 3 7 10" xfId="36953" xr:uid="{5AE72F59-844B-4A6D-A0EC-75CCF4B9EB30}"/>
    <cellStyle name="Comma 3 3 7 11" xfId="18699" xr:uid="{9C07015E-D6BA-42AB-BA0A-7C0D26F27240}"/>
    <cellStyle name="Comma 3 3 7 2" xfId="3365" xr:uid="{6CAF1FD6-8168-4690-8027-745BB7FE91E1}"/>
    <cellStyle name="Comma 3 3 7 2 2" xfId="17965" xr:uid="{DC3CF27B-A2B4-4E6F-B4C8-57CB1D588C23}"/>
    <cellStyle name="Comma 3 3 7 2 2 2" xfId="54473" xr:uid="{994DB8D4-3ECC-402F-ACDE-52D48E490B22}"/>
    <cellStyle name="Comma 3 3 7 2 2 3" xfId="36219" xr:uid="{315EF3A3-95A5-4DDC-904F-341A7B816A2C}"/>
    <cellStyle name="Comma 3 3 7 2 3" xfId="14315" xr:uid="{1FB9A0D8-32FD-4627-9A40-C202E3EEE19C}"/>
    <cellStyle name="Comma 3 3 7 2 3 2" xfId="50823" xr:uid="{6FD17A95-2D5C-4ACF-B74B-250F47A207DC}"/>
    <cellStyle name="Comma 3 3 7 2 3 3" xfId="32569" xr:uid="{3F04662D-6B7A-4D53-9B3D-E0DBD347148C}"/>
    <cellStyle name="Comma 3 3 7 2 4" xfId="10665" xr:uid="{9DA9EAC0-A378-490A-8BA7-C0C06C4C1143}"/>
    <cellStyle name="Comma 3 3 7 2 4 2" xfId="47173" xr:uid="{9E9FAA36-1BE0-45A9-8399-F6D70A2CC6BF}"/>
    <cellStyle name="Comma 3 3 7 2 4 3" xfId="28919" xr:uid="{2BB8CA18-D3B3-4BC6-880E-CBCA2017310D}"/>
    <cellStyle name="Comma 3 3 7 2 5" xfId="7015" xr:uid="{5F2D9A9F-BF5D-4B8B-BB0A-1396568C14B3}"/>
    <cellStyle name="Comma 3 3 7 2 5 2" xfId="43523" xr:uid="{F2ABB7BC-DEE5-4DC2-9FD2-DB46B1084B39}"/>
    <cellStyle name="Comma 3 3 7 2 5 3" xfId="25269" xr:uid="{855BA8C4-F298-4712-B8CA-2895904A7AD1}"/>
    <cellStyle name="Comma 3 3 7 2 6" xfId="39873" xr:uid="{9658FED4-1694-4A48-8ADD-EEFB55D26293}"/>
    <cellStyle name="Comma 3 3 7 2 7" xfId="21619" xr:uid="{FEB8EE45-AD19-4448-AF69-DE92181797B5}"/>
    <cellStyle name="Comma 3 3 7 3" xfId="2635" xr:uid="{953CA368-97E9-421F-A7F8-CF2EA57784A8}"/>
    <cellStyle name="Comma 3 3 7 3 2" xfId="17235" xr:uid="{CCD60E40-4099-4A52-AB99-02B042F6A081}"/>
    <cellStyle name="Comma 3 3 7 3 2 2" xfId="53743" xr:uid="{6B9A0A55-B54B-4A67-B2CE-ECB49753B4F6}"/>
    <cellStyle name="Comma 3 3 7 3 2 3" xfId="35489" xr:uid="{04AACBA0-0A4E-4339-9920-300C2DBFF0DF}"/>
    <cellStyle name="Comma 3 3 7 3 3" xfId="13585" xr:uid="{4A2E1166-52A9-4809-83B7-5359A146898F}"/>
    <cellStyle name="Comma 3 3 7 3 3 2" xfId="50093" xr:uid="{9892826C-CD52-4329-B98D-5456FFCAB2A9}"/>
    <cellStyle name="Comma 3 3 7 3 3 3" xfId="31839" xr:uid="{E8BD50EE-72FD-488D-9AE5-629002AFCFD1}"/>
    <cellStyle name="Comma 3 3 7 3 4" xfId="9935" xr:uid="{A8A01359-4203-4C04-A16E-9D555CA512B3}"/>
    <cellStyle name="Comma 3 3 7 3 4 2" xfId="46443" xr:uid="{7FE3B4D1-CA81-4675-BD9C-8471C618CAFB}"/>
    <cellStyle name="Comma 3 3 7 3 4 3" xfId="28189" xr:uid="{AD2D2FCA-3D25-4C16-9933-40C70FDE0F18}"/>
    <cellStyle name="Comma 3 3 7 3 5" xfId="6285" xr:uid="{FE7787DD-95D3-468C-9906-2D2A9BC059F5}"/>
    <cellStyle name="Comma 3 3 7 3 5 2" xfId="42793" xr:uid="{374D2F92-957E-4552-8184-3936B7E12C70}"/>
    <cellStyle name="Comma 3 3 7 3 5 3" xfId="24539" xr:uid="{5735E66E-B938-4F3B-9767-007AEB45C6F2}"/>
    <cellStyle name="Comma 3 3 7 3 6" xfId="39143" xr:uid="{B6DEFC6F-771C-432E-96CD-0543568C4BD4}"/>
    <cellStyle name="Comma 3 3 7 3 7" xfId="20889" xr:uid="{5092A43A-0023-4409-965E-305E075A564A}"/>
    <cellStyle name="Comma 3 3 7 4" xfId="1905" xr:uid="{BEAD01FC-2542-42DA-BDE7-D57E1BFC8D52}"/>
    <cellStyle name="Comma 3 3 7 4 2" xfId="16505" xr:uid="{6BA3F2AF-BAC5-4051-8616-05D8CD4EDDDA}"/>
    <cellStyle name="Comma 3 3 7 4 2 2" xfId="53013" xr:uid="{FEC9D1C6-48A2-4CC6-B6C4-671093138571}"/>
    <cellStyle name="Comma 3 3 7 4 2 3" xfId="34759" xr:uid="{56181B11-9F32-4D55-9EBC-3C52A9B38296}"/>
    <cellStyle name="Comma 3 3 7 4 3" xfId="12855" xr:uid="{D1AE8F71-6D5F-43D0-A2D2-98A32F5865E6}"/>
    <cellStyle name="Comma 3 3 7 4 3 2" xfId="49363" xr:uid="{E453790B-B345-40A7-99F6-8C640CB51C72}"/>
    <cellStyle name="Comma 3 3 7 4 3 3" xfId="31109" xr:uid="{72BD0BC0-8AE7-418A-9752-961DB1DBB328}"/>
    <cellStyle name="Comma 3 3 7 4 4" xfId="9205" xr:uid="{0D507E54-E6C0-4DE5-B2D9-B72C449F0EDE}"/>
    <cellStyle name="Comma 3 3 7 4 4 2" xfId="45713" xr:uid="{CC446462-8791-480C-8965-534C743A8B04}"/>
    <cellStyle name="Comma 3 3 7 4 4 3" xfId="27459" xr:uid="{6F5BE87C-D0D2-4334-A80F-51330E831CF9}"/>
    <cellStyle name="Comma 3 3 7 4 5" xfId="5555" xr:uid="{1CC4D725-B8E3-487A-82B3-8CE8E3213B34}"/>
    <cellStyle name="Comma 3 3 7 4 5 2" xfId="42063" xr:uid="{81AC178A-2555-4EEE-BA6B-CEB63E9A6F53}"/>
    <cellStyle name="Comma 3 3 7 4 5 3" xfId="23809" xr:uid="{99A04ABD-9338-49DA-A04B-0B15C582FC29}"/>
    <cellStyle name="Comma 3 3 7 4 6" xfId="38413" xr:uid="{E175D9DF-56E7-41C7-A639-1CD55BB34084}"/>
    <cellStyle name="Comma 3 3 7 4 7" xfId="20159" xr:uid="{40994E13-74AE-49B4-A73C-DEBE9D97F775}"/>
    <cellStyle name="Comma 3 3 7 5" xfId="1175" xr:uid="{97177C82-F5E2-4F7E-B8F2-68F7BBEE46AD}"/>
    <cellStyle name="Comma 3 3 7 5 2" xfId="15775" xr:uid="{6D760BD5-662B-47EA-9D0D-3FA0680DE3FC}"/>
    <cellStyle name="Comma 3 3 7 5 2 2" xfId="52283" xr:uid="{BDF7C91B-625D-419B-A6A1-B57624BF4808}"/>
    <cellStyle name="Comma 3 3 7 5 2 3" xfId="34029" xr:uid="{CB5FA6EF-447C-47D5-9039-FA6EFD04824F}"/>
    <cellStyle name="Comma 3 3 7 5 3" xfId="12125" xr:uid="{29429575-20F6-4AA8-B90D-240E96FA678C}"/>
    <cellStyle name="Comma 3 3 7 5 3 2" xfId="48633" xr:uid="{DCBCC1CB-D28E-4FDE-AAFB-E5FBC44F098A}"/>
    <cellStyle name="Comma 3 3 7 5 3 3" xfId="30379" xr:uid="{1EBF292F-B52A-423C-910C-07221B5C2A58}"/>
    <cellStyle name="Comma 3 3 7 5 4" xfId="8475" xr:uid="{19916F32-6E22-43A2-A15C-29C3A1C44E4C}"/>
    <cellStyle name="Comma 3 3 7 5 4 2" xfId="44983" xr:uid="{BE887DC9-D27E-43C2-B543-AEB27873AC8A}"/>
    <cellStyle name="Comma 3 3 7 5 4 3" xfId="26729" xr:uid="{D85E6BA0-64A6-4E02-A9AE-077EC4362643}"/>
    <cellStyle name="Comma 3 3 7 5 5" xfId="4825" xr:uid="{66D5CC69-4C77-46EC-A3F7-3BD3349078C5}"/>
    <cellStyle name="Comma 3 3 7 5 5 2" xfId="41333" xr:uid="{B1CF99AB-86C2-4B21-9CA1-38701D2973DB}"/>
    <cellStyle name="Comma 3 3 7 5 5 3" xfId="23079" xr:uid="{20D6C528-3142-42B7-AD61-7EC19D228C46}"/>
    <cellStyle name="Comma 3 3 7 5 6" xfId="37683" xr:uid="{04459D48-8F71-4CB0-8F14-1D760B1C852F}"/>
    <cellStyle name="Comma 3 3 7 5 7" xfId="19429" xr:uid="{7221586F-F75B-49EB-8833-365389EA7173}"/>
    <cellStyle name="Comma 3 3 7 6" xfId="15045" xr:uid="{BE556F5F-0DCA-496B-B6D8-76F2D792D746}"/>
    <cellStyle name="Comma 3 3 7 6 2" xfId="51553" xr:uid="{A37CA432-A1FB-4FF4-A284-235BEA98805C}"/>
    <cellStyle name="Comma 3 3 7 6 3" xfId="33299" xr:uid="{AA5D5AA3-3239-4FE1-AD9F-BF4E4C36C740}"/>
    <cellStyle name="Comma 3 3 7 7" xfId="11395" xr:uid="{0CB8A672-5F4E-452A-993A-A17C1F4F4C6C}"/>
    <cellStyle name="Comma 3 3 7 7 2" xfId="47903" xr:uid="{F0EE0DAA-2E45-4237-ADC9-71C97C3F2FD5}"/>
    <cellStyle name="Comma 3 3 7 7 3" xfId="29649" xr:uid="{2F583C5F-152F-45F1-9422-A906342793E6}"/>
    <cellStyle name="Comma 3 3 7 8" xfId="7745" xr:uid="{CB59D63E-3607-40CE-98A7-D140FC34382E}"/>
    <cellStyle name="Comma 3 3 7 8 2" xfId="44253" xr:uid="{D626BAB2-1CED-4B0F-94FF-1B7E63CF9CA5}"/>
    <cellStyle name="Comma 3 3 7 8 3" xfId="25999" xr:uid="{4EAB4702-E1CB-461F-A81C-70ADE37AB7FD}"/>
    <cellStyle name="Comma 3 3 7 9" xfId="4095" xr:uid="{BA393510-7152-41AB-87BB-99312776D9CE}"/>
    <cellStyle name="Comma 3 3 7 9 2" xfId="40603" xr:uid="{3DF3EB6B-0EAC-49B7-954A-39CE9D4F5685}"/>
    <cellStyle name="Comma 3 3 7 9 3" xfId="22349" xr:uid="{DF445E61-EC60-4D48-968B-BD882876E0C9}"/>
    <cellStyle name="Comma 3 3 8" xfId="341" xr:uid="{C5CC73F8-EDCB-4310-BAFD-E76042F649E8}"/>
    <cellStyle name="Comma 3 3 8 10" xfId="36849" xr:uid="{D65D8C96-463B-4DE1-B5C2-D39A40E141E7}"/>
    <cellStyle name="Comma 3 3 8 11" xfId="18595" xr:uid="{9C2A0DDE-5C06-4B5F-805A-31E20A1D48A6}"/>
    <cellStyle name="Comma 3 3 8 2" xfId="3261" xr:uid="{CFBB6B86-3E35-42A7-B8B3-FD8D8DA212C5}"/>
    <cellStyle name="Comma 3 3 8 2 2" xfId="17861" xr:uid="{DDCBCFC2-2B54-4283-A867-692FB5351CA1}"/>
    <cellStyle name="Comma 3 3 8 2 2 2" xfId="54369" xr:uid="{C55F2D99-05C6-429E-AF75-783A5FD98737}"/>
    <cellStyle name="Comma 3 3 8 2 2 3" xfId="36115" xr:uid="{992EF650-4B57-49DD-AAF9-80497A006155}"/>
    <cellStyle name="Comma 3 3 8 2 3" xfId="14211" xr:uid="{D9933531-51F5-44E2-8092-553EA0DD39DE}"/>
    <cellStyle name="Comma 3 3 8 2 3 2" xfId="50719" xr:uid="{E8E16497-4537-4DAD-949E-BDDAAE25A536}"/>
    <cellStyle name="Comma 3 3 8 2 3 3" xfId="32465" xr:uid="{8F24EA3A-20BD-4D39-A0C9-67154C946FCC}"/>
    <cellStyle name="Comma 3 3 8 2 4" xfId="10561" xr:uid="{E143CEC5-EB69-4600-AD8E-3CF2D52B999E}"/>
    <cellStyle name="Comma 3 3 8 2 4 2" xfId="47069" xr:uid="{E8C04CF9-6FD8-4C1E-A614-358DAF5B7D0C}"/>
    <cellStyle name="Comma 3 3 8 2 4 3" xfId="28815" xr:uid="{9BD46873-335A-4B9A-89E2-2F252B6A977C}"/>
    <cellStyle name="Comma 3 3 8 2 5" xfId="6911" xr:uid="{80F68C23-0B8D-4C5A-B101-F04379F24D91}"/>
    <cellStyle name="Comma 3 3 8 2 5 2" xfId="43419" xr:uid="{6F6B804D-5EB6-4F94-B3F0-142E617A66FD}"/>
    <cellStyle name="Comma 3 3 8 2 5 3" xfId="25165" xr:uid="{AE1A40A8-0EE7-4C4C-8F0E-EE3280483997}"/>
    <cellStyle name="Comma 3 3 8 2 6" xfId="39769" xr:uid="{0BDB29A3-28DA-481A-A2AB-72E9387591BC}"/>
    <cellStyle name="Comma 3 3 8 2 7" xfId="21515" xr:uid="{CA0F4BAD-8270-489D-B3E3-BEE79F0D0263}"/>
    <cellStyle name="Comma 3 3 8 3" xfId="2531" xr:uid="{CF70464E-EAF8-4B4C-979C-59D5525D8593}"/>
    <cellStyle name="Comma 3 3 8 3 2" xfId="17131" xr:uid="{ACDADDD8-FF85-42C7-976C-EF81B6828E8A}"/>
    <cellStyle name="Comma 3 3 8 3 2 2" xfId="53639" xr:uid="{D8349FED-41FF-4654-B89D-B7CBD3E6F024}"/>
    <cellStyle name="Comma 3 3 8 3 2 3" xfId="35385" xr:uid="{5EB076A8-ABE2-4336-BAD1-AC44D23D9092}"/>
    <cellStyle name="Comma 3 3 8 3 3" xfId="13481" xr:uid="{F5023906-695C-4841-BCFF-8715CED5DC50}"/>
    <cellStyle name="Comma 3 3 8 3 3 2" xfId="49989" xr:uid="{2D959630-76E3-48B4-88B0-62CE0F2DB8C6}"/>
    <cellStyle name="Comma 3 3 8 3 3 3" xfId="31735" xr:uid="{2DAB2935-54B2-4A60-A93B-7A2909202B02}"/>
    <cellStyle name="Comma 3 3 8 3 4" xfId="9831" xr:uid="{C60904D2-3287-475B-ACD9-E503DC1C2574}"/>
    <cellStyle name="Comma 3 3 8 3 4 2" xfId="46339" xr:uid="{AE2DAEAB-1B6C-4690-A0D9-5423BAD8BEF1}"/>
    <cellStyle name="Comma 3 3 8 3 4 3" xfId="28085" xr:uid="{D2FF0702-8801-4446-9363-F83E6E13E8D5}"/>
    <cellStyle name="Comma 3 3 8 3 5" xfId="6181" xr:uid="{01E1DDAB-666B-49A8-85BE-77F789C0F65B}"/>
    <cellStyle name="Comma 3 3 8 3 5 2" xfId="42689" xr:uid="{FD05406B-B0DA-427F-A22A-1E4CC7445E3C}"/>
    <cellStyle name="Comma 3 3 8 3 5 3" xfId="24435" xr:uid="{4933B72C-167B-47F7-BFF1-D02BEBE9B828}"/>
    <cellStyle name="Comma 3 3 8 3 6" xfId="39039" xr:uid="{C26F526C-BE27-4847-9CDB-B7E29FA6A933}"/>
    <cellStyle name="Comma 3 3 8 3 7" xfId="20785" xr:uid="{F7457834-7AF8-494F-985E-05BF4E577CAB}"/>
    <cellStyle name="Comma 3 3 8 4" xfId="1801" xr:uid="{C26E8D95-FF8E-495C-B3EE-41D5C672C734}"/>
    <cellStyle name="Comma 3 3 8 4 2" xfId="16401" xr:uid="{4A850C9A-9A19-4DA3-832E-A9456C989030}"/>
    <cellStyle name="Comma 3 3 8 4 2 2" xfId="52909" xr:uid="{0D95F08B-43C3-4548-900A-558ABBC2FAA9}"/>
    <cellStyle name="Comma 3 3 8 4 2 3" xfId="34655" xr:uid="{38423909-D3BA-4BF9-A718-8240A30CABF3}"/>
    <cellStyle name="Comma 3 3 8 4 3" xfId="12751" xr:uid="{410BBF2D-0390-4F34-8883-660F3FAC1143}"/>
    <cellStyle name="Comma 3 3 8 4 3 2" xfId="49259" xr:uid="{3BDC4EC2-5487-4140-855E-CE245CC58EDD}"/>
    <cellStyle name="Comma 3 3 8 4 3 3" xfId="31005" xr:uid="{8BDD4CB4-04AB-4BB5-A73B-9AEB30295D19}"/>
    <cellStyle name="Comma 3 3 8 4 4" xfId="9101" xr:uid="{FCCFC698-7E58-4A0D-9138-03D9414F6F55}"/>
    <cellStyle name="Comma 3 3 8 4 4 2" xfId="45609" xr:uid="{092EE0B9-547A-4A1A-8BEA-2862C2113A16}"/>
    <cellStyle name="Comma 3 3 8 4 4 3" xfId="27355" xr:uid="{74A200FA-C9C9-4539-AEC6-F02A0EC953F6}"/>
    <cellStyle name="Comma 3 3 8 4 5" xfId="5451" xr:uid="{909FC050-F251-4418-B9A3-BD7AFCF72812}"/>
    <cellStyle name="Comma 3 3 8 4 5 2" xfId="41959" xr:uid="{EBD533B0-32DD-4546-958C-FA22CF23E1DB}"/>
    <cellStyle name="Comma 3 3 8 4 5 3" xfId="23705" xr:uid="{B15092B1-4FD9-450B-B902-C7399D918800}"/>
    <cellStyle name="Comma 3 3 8 4 6" xfId="38309" xr:uid="{D34D4B1F-B5C9-46D2-8080-702E040FF3CF}"/>
    <cellStyle name="Comma 3 3 8 4 7" xfId="20055" xr:uid="{F6BDCD6A-CF48-4E55-B4B9-709190FC6A18}"/>
    <cellStyle name="Comma 3 3 8 5" xfId="1071" xr:uid="{24A92C45-9BFB-41D6-BA78-030D9C9756AA}"/>
    <cellStyle name="Comma 3 3 8 5 2" xfId="15671" xr:uid="{6FB6A62F-BFE9-43F7-9926-225D62D98880}"/>
    <cellStyle name="Comma 3 3 8 5 2 2" xfId="52179" xr:uid="{49E425DE-019D-412B-A7F9-66380441C424}"/>
    <cellStyle name="Comma 3 3 8 5 2 3" xfId="33925" xr:uid="{71E76851-06B7-45B6-A646-97B48F2A52BF}"/>
    <cellStyle name="Comma 3 3 8 5 3" xfId="12021" xr:uid="{EAB076F3-A250-448A-9754-C36E33F8B0BE}"/>
    <cellStyle name="Comma 3 3 8 5 3 2" xfId="48529" xr:uid="{229A08BA-F3CB-4F7B-B412-9E02645A1915}"/>
    <cellStyle name="Comma 3 3 8 5 3 3" xfId="30275" xr:uid="{34625D04-702C-4297-B6D6-3CC273691372}"/>
    <cellStyle name="Comma 3 3 8 5 4" xfId="8371" xr:uid="{F96FBA7E-9D63-4C19-BF4C-413669478A1D}"/>
    <cellStyle name="Comma 3 3 8 5 4 2" xfId="44879" xr:uid="{8C96DC0D-5A48-4E9B-95BF-E481AF8683A9}"/>
    <cellStyle name="Comma 3 3 8 5 4 3" xfId="26625" xr:uid="{DFE661A8-2F93-4175-837F-E9649BD1D43C}"/>
    <cellStyle name="Comma 3 3 8 5 5" xfId="4721" xr:uid="{4D3FDA93-50FA-4E22-B8EE-48B7650BBD9C}"/>
    <cellStyle name="Comma 3 3 8 5 5 2" xfId="41229" xr:uid="{4951B517-501F-43F6-B027-81EE91A5DCF0}"/>
    <cellStyle name="Comma 3 3 8 5 5 3" xfId="22975" xr:uid="{EE4A65C2-5C96-4780-9D91-32359C73F7E9}"/>
    <cellStyle name="Comma 3 3 8 5 6" xfId="37579" xr:uid="{389CB51E-74FB-4B74-B424-648F262C6152}"/>
    <cellStyle name="Comma 3 3 8 5 7" xfId="19325" xr:uid="{399D4D5D-598F-46BE-8667-ABE9E4318485}"/>
    <cellStyle name="Comma 3 3 8 6" xfId="14941" xr:uid="{EB77C9B6-DCBC-4D4F-BE31-D649FCB03D4F}"/>
    <cellStyle name="Comma 3 3 8 6 2" xfId="51449" xr:uid="{E92AF95D-F76C-41EE-AA9A-8F0CB237F133}"/>
    <cellStyle name="Comma 3 3 8 6 3" xfId="33195" xr:uid="{6E4E3347-64B4-4B78-9BC3-0015B93DCE0D}"/>
    <cellStyle name="Comma 3 3 8 7" xfId="11291" xr:uid="{1390DA52-F6AE-44C4-B8AD-65272EA4BA8C}"/>
    <cellStyle name="Comma 3 3 8 7 2" xfId="47799" xr:uid="{A30A0082-0538-4B49-BB2B-78C2ACEA17AF}"/>
    <cellStyle name="Comma 3 3 8 7 3" xfId="29545" xr:uid="{63FF6D9D-EE59-424A-A556-A1290C7C1724}"/>
    <cellStyle name="Comma 3 3 8 8" xfId="7641" xr:uid="{AA22D4B0-F93A-45E1-859D-454CD3FC62E6}"/>
    <cellStyle name="Comma 3 3 8 8 2" xfId="44149" xr:uid="{5498C72E-2605-4C7D-A585-9964A5702F02}"/>
    <cellStyle name="Comma 3 3 8 8 3" xfId="25895" xr:uid="{ACA6DFE8-ED53-4685-B1D0-174B3B54F9B8}"/>
    <cellStyle name="Comma 3 3 8 9" xfId="3991" xr:uid="{66D781D6-E92D-4F0C-B278-447082AEF984}"/>
    <cellStyle name="Comma 3 3 8 9 2" xfId="40499" xr:uid="{4FF84B7B-FB89-4DB2-B2E1-77864C455666}"/>
    <cellStyle name="Comma 3 3 8 9 3" xfId="22245" xr:uid="{57753A85-C6DF-49B1-8BBC-18DE69EA8FD7}"/>
    <cellStyle name="Comma 3 3 9" xfId="237" xr:uid="{43B6ECBF-4D5F-4BD8-81DB-EB3C4480A9A0}"/>
    <cellStyle name="Comma 3 3 9 10" xfId="36745" xr:uid="{69EAF088-BE8B-4EB8-A7F4-A516C93B403B}"/>
    <cellStyle name="Comma 3 3 9 11" xfId="18491" xr:uid="{BA7D1694-4A77-4169-A99F-0D9308CDDFA3}"/>
    <cellStyle name="Comma 3 3 9 2" xfId="3157" xr:uid="{494C5558-EC6E-486F-891A-DD6C466F903C}"/>
    <cellStyle name="Comma 3 3 9 2 2" xfId="17757" xr:uid="{D084D30C-19E5-4C67-9A08-55E005418A0A}"/>
    <cellStyle name="Comma 3 3 9 2 2 2" xfId="54265" xr:uid="{494AD8D4-6714-4154-921F-4B1D1A77FEA9}"/>
    <cellStyle name="Comma 3 3 9 2 2 3" xfId="36011" xr:uid="{8E57A234-97A4-44E5-9B1E-56C4448E9BF3}"/>
    <cellStyle name="Comma 3 3 9 2 3" xfId="14107" xr:uid="{17024FFA-1236-4CC1-9F88-5C3DEA038B1A}"/>
    <cellStyle name="Comma 3 3 9 2 3 2" xfId="50615" xr:uid="{9068130E-37FF-42E4-933A-68C424F98484}"/>
    <cellStyle name="Comma 3 3 9 2 3 3" xfId="32361" xr:uid="{BBA498F3-74F7-4E3D-82D3-FA11DA395BE3}"/>
    <cellStyle name="Comma 3 3 9 2 4" xfId="10457" xr:uid="{B36A03A4-7330-42A3-ABBF-115699539731}"/>
    <cellStyle name="Comma 3 3 9 2 4 2" xfId="46965" xr:uid="{369E014E-D033-4E40-9B9E-71FAAAEA2AC3}"/>
    <cellStyle name="Comma 3 3 9 2 4 3" xfId="28711" xr:uid="{A34C41CF-27C8-4744-8533-99AC967D81A5}"/>
    <cellStyle name="Comma 3 3 9 2 5" xfId="6807" xr:uid="{AA74A7C1-1FF8-4153-90B0-6205B1D97850}"/>
    <cellStyle name="Comma 3 3 9 2 5 2" xfId="43315" xr:uid="{CE6AFCF6-EE7C-4E41-B5B5-E37AE6178989}"/>
    <cellStyle name="Comma 3 3 9 2 5 3" xfId="25061" xr:uid="{AF0CD59A-3CDF-4267-A466-B71C6B35A368}"/>
    <cellStyle name="Comma 3 3 9 2 6" xfId="39665" xr:uid="{DEDAD270-A879-4E7C-99AB-5217354DA18A}"/>
    <cellStyle name="Comma 3 3 9 2 7" xfId="21411" xr:uid="{9A4FD5F7-203B-4166-AAC0-3834A691D3DE}"/>
    <cellStyle name="Comma 3 3 9 3" xfId="2427" xr:uid="{FBBE5BAA-8EAE-4AE5-BFD5-63311152C936}"/>
    <cellStyle name="Comma 3 3 9 3 2" xfId="17027" xr:uid="{A19671BB-D1FD-4390-AEC5-81DB0B881170}"/>
    <cellStyle name="Comma 3 3 9 3 2 2" xfId="53535" xr:uid="{2836109B-4119-4092-B221-D86961320C71}"/>
    <cellStyle name="Comma 3 3 9 3 2 3" xfId="35281" xr:uid="{19979404-10B1-458E-959E-A73399A66F14}"/>
    <cellStyle name="Comma 3 3 9 3 3" xfId="13377" xr:uid="{E2B184F7-3B49-4F29-A5D2-EE5B8B66BA80}"/>
    <cellStyle name="Comma 3 3 9 3 3 2" xfId="49885" xr:uid="{13BFD094-B43D-4356-9CEE-EBE8F73AE7B8}"/>
    <cellStyle name="Comma 3 3 9 3 3 3" xfId="31631" xr:uid="{5A4C5CA4-C01E-481E-BB36-A004832C0CE9}"/>
    <cellStyle name="Comma 3 3 9 3 4" xfId="9727" xr:uid="{0B8C08C0-48E2-4DB2-87EC-701FA59417F6}"/>
    <cellStyle name="Comma 3 3 9 3 4 2" xfId="46235" xr:uid="{F6AAF26E-000B-4F1B-9B0E-FA233A0594DF}"/>
    <cellStyle name="Comma 3 3 9 3 4 3" xfId="27981" xr:uid="{5C0F5A01-3B2A-4EB9-8B2B-299D4BC0E5FF}"/>
    <cellStyle name="Comma 3 3 9 3 5" xfId="6077" xr:uid="{42233486-9420-4C45-A152-59883E89D2F7}"/>
    <cellStyle name="Comma 3 3 9 3 5 2" xfId="42585" xr:uid="{A1B26033-4B7D-45E1-9751-16286D7E69AE}"/>
    <cellStyle name="Comma 3 3 9 3 5 3" xfId="24331" xr:uid="{6CF47D10-063E-4231-BBC1-2F7F779292FA}"/>
    <cellStyle name="Comma 3 3 9 3 6" xfId="38935" xr:uid="{F6B08785-1DFC-47D7-A6D5-6F34591812BB}"/>
    <cellStyle name="Comma 3 3 9 3 7" xfId="20681" xr:uid="{99759B84-F21D-4A6B-84C1-8B4C8DDB3DE9}"/>
    <cellStyle name="Comma 3 3 9 4" xfId="1697" xr:uid="{2C226A5A-0EA1-4141-A412-3F634F593F31}"/>
    <cellStyle name="Comma 3 3 9 4 2" xfId="16297" xr:uid="{6E7B73D3-A54B-40DE-869B-8F08A885A813}"/>
    <cellStyle name="Comma 3 3 9 4 2 2" xfId="52805" xr:uid="{FD25B1E1-41EE-4420-BFB3-C8D0E539C9E4}"/>
    <cellStyle name="Comma 3 3 9 4 2 3" xfId="34551" xr:uid="{F98E536C-17B9-497C-BE51-CCE1817208F1}"/>
    <cellStyle name="Comma 3 3 9 4 3" xfId="12647" xr:uid="{24C787C6-F3D3-434C-859F-D504CA3D644F}"/>
    <cellStyle name="Comma 3 3 9 4 3 2" xfId="49155" xr:uid="{9E8B581A-58BB-46F4-873D-6661B8B8E1BE}"/>
    <cellStyle name="Comma 3 3 9 4 3 3" xfId="30901" xr:uid="{80E4A085-4258-4A8D-8736-7088B704E1E0}"/>
    <cellStyle name="Comma 3 3 9 4 4" xfId="8997" xr:uid="{3666D063-7513-4E9A-811C-605B391EB03B}"/>
    <cellStyle name="Comma 3 3 9 4 4 2" xfId="45505" xr:uid="{9E3F5055-54C6-4900-B49D-4112605AB58D}"/>
    <cellStyle name="Comma 3 3 9 4 4 3" xfId="27251" xr:uid="{A2A4F2D4-7889-4CD2-9D63-CA63EF69B913}"/>
    <cellStyle name="Comma 3 3 9 4 5" xfId="5347" xr:uid="{1B54FA85-8396-4CCD-819C-3983107CBA56}"/>
    <cellStyle name="Comma 3 3 9 4 5 2" xfId="41855" xr:uid="{FB2AF672-A2C6-445B-9621-49C2873CCFF5}"/>
    <cellStyle name="Comma 3 3 9 4 5 3" xfId="23601" xr:uid="{F7F6CD79-630D-48AE-83E6-6B08FD144462}"/>
    <cellStyle name="Comma 3 3 9 4 6" xfId="38205" xr:uid="{B8BE91E6-EC9C-485C-8F00-A198DBB8A186}"/>
    <cellStyle name="Comma 3 3 9 4 7" xfId="19951" xr:uid="{9B1680DA-0D29-42DF-B60C-1A2A75B53FF0}"/>
    <cellStyle name="Comma 3 3 9 5" xfId="967" xr:uid="{237511DF-3BC8-4FD4-A829-5C3E751CD147}"/>
    <cellStyle name="Comma 3 3 9 5 2" xfId="15567" xr:uid="{0D67C1AE-7D8F-43C0-9EED-38FDE0DD4580}"/>
    <cellStyle name="Comma 3 3 9 5 2 2" xfId="52075" xr:uid="{5F578C8F-87BB-4AB4-A08D-97F59FF8A6B3}"/>
    <cellStyle name="Comma 3 3 9 5 2 3" xfId="33821" xr:uid="{B0BF8955-2FDE-44C8-8AEB-6E23E285DE8A}"/>
    <cellStyle name="Comma 3 3 9 5 3" xfId="11917" xr:uid="{5619D977-397C-4B87-AB96-7D492E033E5D}"/>
    <cellStyle name="Comma 3 3 9 5 3 2" xfId="48425" xr:uid="{E6976A68-DAD8-49F2-822D-F33B6E8BE8AF}"/>
    <cellStyle name="Comma 3 3 9 5 3 3" xfId="30171" xr:uid="{0F214D41-6234-49C6-99DA-324704649B49}"/>
    <cellStyle name="Comma 3 3 9 5 4" xfId="8267" xr:uid="{EF45981C-42FD-435C-90A4-5510FEE1B287}"/>
    <cellStyle name="Comma 3 3 9 5 4 2" xfId="44775" xr:uid="{309DFA3F-32A4-445D-A74C-16B50F9AE537}"/>
    <cellStyle name="Comma 3 3 9 5 4 3" xfId="26521" xr:uid="{9EC8ACF7-2BCE-4605-8154-C4F2FC0C1456}"/>
    <cellStyle name="Comma 3 3 9 5 5" xfId="4617" xr:uid="{CC20492A-67EB-43ED-BE7B-85C5533F6ADE}"/>
    <cellStyle name="Comma 3 3 9 5 5 2" xfId="41125" xr:uid="{90597876-DE3F-4E86-91E7-89F9EC2E6B0B}"/>
    <cellStyle name="Comma 3 3 9 5 5 3" xfId="22871" xr:uid="{E0478DBA-5B6C-4645-8353-7F6E9A29BA43}"/>
    <cellStyle name="Comma 3 3 9 5 6" xfId="37475" xr:uid="{82686650-761D-4E9E-9D30-5DD3052C27F7}"/>
    <cellStyle name="Comma 3 3 9 5 7" xfId="19221" xr:uid="{05EE5C77-7FDB-491E-8FBF-083B7ED9C895}"/>
    <cellStyle name="Comma 3 3 9 6" xfId="14837" xr:uid="{2720E9F1-3848-436C-98FD-740BB21D7A66}"/>
    <cellStyle name="Comma 3 3 9 6 2" xfId="51345" xr:uid="{D449AF6E-A94C-48A4-AEDE-EEBA56E38BBB}"/>
    <cellStyle name="Comma 3 3 9 6 3" xfId="33091" xr:uid="{09C64BC4-0B40-460A-BECE-91DE3E67D3BA}"/>
    <cellStyle name="Comma 3 3 9 7" xfId="11187" xr:uid="{ADE490E6-D234-4D46-B195-8A33FC723424}"/>
    <cellStyle name="Comma 3 3 9 7 2" xfId="47695" xr:uid="{CFF22EBE-88E8-4B45-9B42-36B97CA1E41A}"/>
    <cellStyle name="Comma 3 3 9 7 3" xfId="29441" xr:uid="{1E95CCF9-B965-4570-BC2A-4FFFF8559F15}"/>
    <cellStyle name="Comma 3 3 9 8" xfId="7537" xr:uid="{D51071CC-5107-462D-8E56-7CFD50FE6848}"/>
    <cellStyle name="Comma 3 3 9 8 2" xfId="44045" xr:uid="{B1F14FAF-3CB5-44B8-A647-FAFCC2F436C8}"/>
    <cellStyle name="Comma 3 3 9 8 3" xfId="25791" xr:uid="{6D18BCEF-4B23-4AAD-A869-BB82F2C6F4FA}"/>
    <cellStyle name="Comma 3 3 9 9" xfId="3887" xr:uid="{C6943197-7DF8-4FE1-BF46-18ABC7106E38}"/>
    <cellStyle name="Comma 3 3 9 9 2" xfId="40395" xr:uid="{EC950888-B160-4343-BF67-029E21A373BF}"/>
    <cellStyle name="Comma 3 3 9 9 3" xfId="22141" xr:uid="{E67F3A34-A530-4EA8-8CBF-5F18E0CC2B44}"/>
    <cellStyle name="Comma 3 4" xfId="28" xr:uid="{62EA5DEC-C733-440C-AC20-789D33311F08}"/>
    <cellStyle name="Comma 3 4 10" xfId="2957" xr:uid="{6B0843A1-35A0-4A25-A62B-DFB904A194D7}"/>
    <cellStyle name="Comma 3 4 10 2" xfId="17557" xr:uid="{92CD1356-DAD9-4C26-AB9D-56402A917BA1}"/>
    <cellStyle name="Comma 3 4 10 2 2" xfId="54065" xr:uid="{CC7EEA1C-2CDE-4C0A-B3C2-8FB1B91FD538}"/>
    <cellStyle name="Comma 3 4 10 2 3" xfId="35811" xr:uid="{2062D36E-76FB-4327-B9FF-D97174D5F439}"/>
    <cellStyle name="Comma 3 4 10 3" xfId="13907" xr:uid="{4C38C3B4-7CB5-4BB8-B2C1-4BA8B827D5F2}"/>
    <cellStyle name="Comma 3 4 10 3 2" xfId="50415" xr:uid="{935AC5B1-089C-4421-9961-DE3A33BE41EB}"/>
    <cellStyle name="Comma 3 4 10 3 3" xfId="32161" xr:uid="{5AC29BFC-65E6-44B8-8D39-62E8348F1909}"/>
    <cellStyle name="Comma 3 4 10 4" xfId="10257" xr:uid="{4F25C267-8C10-4610-B5B4-066B6CAA881E}"/>
    <cellStyle name="Comma 3 4 10 4 2" xfId="46765" xr:uid="{BDA0E8D4-C847-42FC-8AF0-7EED0F07BA14}"/>
    <cellStyle name="Comma 3 4 10 4 3" xfId="28511" xr:uid="{444E3B3B-39E7-4179-9F5E-C47654FE8C20}"/>
    <cellStyle name="Comma 3 4 10 5" xfId="6607" xr:uid="{CFFFFFE0-CFA7-4903-BEF7-85E8A522EAA4}"/>
    <cellStyle name="Comma 3 4 10 5 2" xfId="43115" xr:uid="{6F8117D1-10B3-4BE5-82EB-249B2C96C192}"/>
    <cellStyle name="Comma 3 4 10 5 3" xfId="24861" xr:uid="{01D299A2-7300-4A5C-AF9C-71D1520BD31F}"/>
    <cellStyle name="Comma 3 4 10 6" xfId="39465" xr:uid="{C283B304-DE4E-4CDD-ADCE-5A337ADE7737}"/>
    <cellStyle name="Comma 3 4 10 7" xfId="21211" xr:uid="{8C79F4E7-6330-4469-B627-6E3B1C819363}"/>
    <cellStyle name="Comma 3 4 11" xfId="2227" xr:uid="{EAD2C004-5EEC-47CE-B0AF-A5FD7CFDC4E7}"/>
    <cellStyle name="Comma 3 4 11 2" xfId="16827" xr:uid="{C82B21F8-23E9-476A-8CF5-7C067620CA7C}"/>
    <cellStyle name="Comma 3 4 11 2 2" xfId="53335" xr:uid="{AEA5078B-B4C8-448B-A6E7-8496A6E24E8B}"/>
    <cellStyle name="Comma 3 4 11 2 3" xfId="35081" xr:uid="{5A3E0471-BE21-4756-B4AB-63CC00349B87}"/>
    <cellStyle name="Comma 3 4 11 3" xfId="13177" xr:uid="{6EBA1236-E817-41CB-A9C4-58EF03AE68AC}"/>
    <cellStyle name="Comma 3 4 11 3 2" xfId="49685" xr:uid="{8DC83058-1411-4B98-85A1-93E9D13D3FD4}"/>
    <cellStyle name="Comma 3 4 11 3 3" xfId="31431" xr:uid="{96F523BD-23B5-435A-BF12-B1E5C510E5C1}"/>
    <cellStyle name="Comma 3 4 11 4" xfId="9527" xr:uid="{4925FB59-6BFB-448D-B74B-4C11902A91A2}"/>
    <cellStyle name="Comma 3 4 11 4 2" xfId="46035" xr:uid="{25E1997F-8EEF-4CE9-AB5C-6BD039F74A27}"/>
    <cellStyle name="Comma 3 4 11 4 3" xfId="27781" xr:uid="{8DA4504B-8AD5-4BF7-9848-296EDE878C0A}"/>
    <cellStyle name="Comma 3 4 11 5" xfId="5877" xr:uid="{5C6D4328-2040-4E3C-B2CC-3B2DDBE8E32D}"/>
    <cellStyle name="Comma 3 4 11 5 2" xfId="42385" xr:uid="{F8F01139-6607-42EC-99DD-8B789FF434BC}"/>
    <cellStyle name="Comma 3 4 11 5 3" xfId="24131" xr:uid="{B8DF27AE-73A8-4EAE-ADFE-202A45C5029F}"/>
    <cellStyle name="Comma 3 4 11 6" xfId="38735" xr:uid="{47DDF089-6512-4517-BBED-405CA01B01A1}"/>
    <cellStyle name="Comma 3 4 11 7" xfId="20481" xr:uid="{D4D23DF0-24EC-431F-8FFD-2BB7F7B0A6D3}"/>
    <cellStyle name="Comma 3 4 12" xfId="1497" xr:uid="{CBA99883-F610-4F93-9F49-EBE03738FAE6}"/>
    <cellStyle name="Comma 3 4 12 2" xfId="16097" xr:uid="{8BBFA7F0-8C5B-4458-9538-183A9F77AE98}"/>
    <cellStyle name="Comma 3 4 12 2 2" xfId="52605" xr:uid="{4B41F909-EBF5-4BB7-BA5E-137E6AE72569}"/>
    <cellStyle name="Comma 3 4 12 2 3" xfId="34351" xr:uid="{05B0171F-7C92-4915-97F1-AFA6EB7548A1}"/>
    <cellStyle name="Comma 3 4 12 3" xfId="12447" xr:uid="{EDEFB753-5DE2-4793-BD0F-FB0BF5BC19A6}"/>
    <cellStyle name="Comma 3 4 12 3 2" xfId="48955" xr:uid="{EE4F969D-19CE-430A-9C70-3098C3480713}"/>
    <cellStyle name="Comma 3 4 12 3 3" xfId="30701" xr:uid="{7EFB8064-8773-4CAD-AA86-40AE4C10883A}"/>
    <cellStyle name="Comma 3 4 12 4" xfId="8797" xr:uid="{E3DE8729-DE27-4E38-A113-637DBE52A513}"/>
    <cellStyle name="Comma 3 4 12 4 2" xfId="45305" xr:uid="{7E52D9D3-3D78-4457-9F8B-F6A584895D08}"/>
    <cellStyle name="Comma 3 4 12 4 3" xfId="27051" xr:uid="{5EC3F6FA-258B-40E7-8422-3AACB7242B20}"/>
    <cellStyle name="Comma 3 4 12 5" xfId="5147" xr:uid="{84BEF497-A79D-4875-A092-7534DFD01EB4}"/>
    <cellStyle name="Comma 3 4 12 5 2" xfId="41655" xr:uid="{DAD6A7BE-4906-4371-BDBF-AE8206802466}"/>
    <cellStyle name="Comma 3 4 12 5 3" xfId="23401" xr:uid="{975DEC40-D862-4B6B-81F1-356CBC0DE90A}"/>
    <cellStyle name="Comma 3 4 12 6" xfId="38005" xr:uid="{07BFE30A-D3F1-423F-92D9-B65D9573D66C}"/>
    <cellStyle name="Comma 3 4 12 7" xfId="19751" xr:uid="{69DB1D50-2DB2-4113-9895-D535924DB8E8}"/>
    <cellStyle name="Comma 3 4 13" xfId="767" xr:uid="{16259BD7-8B1E-4745-B1FA-28B9088DFB17}"/>
    <cellStyle name="Comma 3 4 13 2" xfId="15367" xr:uid="{8161FAD0-DFEF-4F03-AAED-4D6C163F34E4}"/>
    <cellStyle name="Comma 3 4 13 2 2" xfId="51875" xr:uid="{113F6F83-0185-4C0E-98DB-356395CA447A}"/>
    <cellStyle name="Comma 3 4 13 2 3" xfId="33621" xr:uid="{BB37A59A-9679-4AB4-A287-D9EE58AD0FD7}"/>
    <cellStyle name="Comma 3 4 13 3" xfId="11717" xr:uid="{996A36FD-0BCF-4E2A-B065-E87384E64FA7}"/>
    <cellStyle name="Comma 3 4 13 3 2" xfId="48225" xr:uid="{0CFF2CA5-6C54-4BC8-9893-A5A089A70F46}"/>
    <cellStyle name="Comma 3 4 13 3 3" xfId="29971" xr:uid="{94AA23A6-031C-4F0A-87D9-2AF9CC798BEC}"/>
    <cellStyle name="Comma 3 4 13 4" xfId="8067" xr:uid="{880DCDDA-C66E-4B31-A968-08662D2B9668}"/>
    <cellStyle name="Comma 3 4 13 4 2" xfId="44575" xr:uid="{9B21C303-76D4-447C-8EC4-030C49C745ED}"/>
    <cellStyle name="Comma 3 4 13 4 3" xfId="26321" xr:uid="{345D5CCE-4186-4804-9031-C6FC67556F69}"/>
    <cellStyle name="Comma 3 4 13 5" xfId="4417" xr:uid="{B943FC13-7C8E-4287-A4DD-9ABE0E899CE1}"/>
    <cellStyle name="Comma 3 4 13 5 2" xfId="40925" xr:uid="{24D5E2C8-D16C-4331-9ADF-DFF714480FAE}"/>
    <cellStyle name="Comma 3 4 13 5 3" xfId="22671" xr:uid="{81081B06-040F-4DDE-940F-0A88BE1D21CE}"/>
    <cellStyle name="Comma 3 4 13 6" xfId="37275" xr:uid="{8758B189-61F5-4D07-A935-5D9F6EE3C277}"/>
    <cellStyle name="Comma 3 4 13 7" xfId="19021" xr:uid="{7779BD0E-8B4D-45EF-A645-E8E5800F102A}"/>
    <cellStyle name="Comma 3 4 14" xfId="14637" xr:uid="{35E814E4-ACB8-40D1-9E37-03FB9A8C9E9A}"/>
    <cellStyle name="Comma 3 4 14 2" xfId="51145" xr:uid="{AE762D84-1275-4960-97E3-0A1D6D04A2CF}"/>
    <cellStyle name="Comma 3 4 14 3" xfId="32891" xr:uid="{64D8D1C3-2043-43EB-8E8C-C92C8865BAE2}"/>
    <cellStyle name="Comma 3 4 15" xfId="10987" xr:uid="{5B06A77F-A300-4B1C-841D-6C001239F6AF}"/>
    <cellStyle name="Comma 3 4 15 2" xfId="47495" xr:uid="{7C148793-9B42-424F-A6A3-ACD6FEE0E97B}"/>
    <cellStyle name="Comma 3 4 15 3" xfId="29241" xr:uid="{BEA124A4-33B4-4ACD-A787-9CA2A7093A09}"/>
    <cellStyle name="Comma 3 4 16" xfId="7337" xr:uid="{2A8B2A53-38FD-4E4D-A78F-9ABE81D7B65D}"/>
    <cellStyle name="Comma 3 4 16 2" xfId="43845" xr:uid="{6CDD0975-E479-4CC9-84C1-8FA6134E541B}"/>
    <cellStyle name="Comma 3 4 16 3" xfId="25591" xr:uid="{014071E2-809C-4652-9A6D-CABFCBA9AD6E}"/>
    <cellStyle name="Comma 3 4 17" xfId="3687" xr:uid="{8C572BD3-F4B6-4A57-A05D-33E31C90594A}"/>
    <cellStyle name="Comma 3 4 17 2" xfId="40195" xr:uid="{A9C6AA31-1C9D-4D3C-941E-1569AA89E3B0}"/>
    <cellStyle name="Comma 3 4 17 3" xfId="21941" xr:uid="{3312415E-7907-4779-A12C-089BCE1A449F}"/>
    <cellStyle name="Comma 3 4 18" xfId="36545" xr:uid="{78642C65-3784-464A-9CF1-9FFA50E5C127}"/>
    <cellStyle name="Comma 3 4 19" xfId="18291" xr:uid="{F8BF28AE-AF5B-4416-8E6A-11B6B7A3A386}"/>
    <cellStyle name="Comma 3 4 2" xfId="102" xr:uid="{E15CC4D5-E32F-487D-B0DD-38E3EB15A401}"/>
    <cellStyle name="Comma 3 4 2 10" xfId="1561" xr:uid="{84C9A7B1-99D6-4C50-82A1-929DFEDA3471}"/>
    <cellStyle name="Comma 3 4 2 10 2" xfId="16161" xr:uid="{AB9131E1-6CA0-4B96-AD07-7391E4F731BA}"/>
    <cellStyle name="Comma 3 4 2 10 2 2" xfId="52669" xr:uid="{9412863A-7E00-4CD2-94C5-E1EAFCE1706E}"/>
    <cellStyle name="Comma 3 4 2 10 2 3" xfId="34415" xr:uid="{84867145-ADF8-4E32-A009-8E0872AB10C3}"/>
    <cellStyle name="Comma 3 4 2 10 3" xfId="12511" xr:uid="{5F2BF976-7857-4971-9FD6-0B9181B57115}"/>
    <cellStyle name="Comma 3 4 2 10 3 2" xfId="49019" xr:uid="{FEA76BA2-0D86-4379-82D4-FE90C46B1E5F}"/>
    <cellStyle name="Comma 3 4 2 10 3 3" xfId="30765" xr:uid="{1A742542-E98F-4609-8389-42A45CDCD942}"/>
    <cellStyle name="Comma 3 4 2 10 4" xfId="8861" xr:uid="{F633D771-9BE3-490E-9DDA-79DC97D5ABC1}"/>
    <cellStyle name="Comma 3 4 2 10 4 2" xfId="45369" xr:uid="{E7CF7031-05D6-4679-8DAE-CF3910BFBF8D}"/>
    <cellStyle name="Comma 3 4 2 10 4 3" xfId="27115" xr:uid="{09EDD276-F5E5-4577-A7BF-15EC331EF575}"/>
    <cellStyle name="Comma 3 4 2 10 5" xfId="5211" xr:uid="{ECFF26EE-5B35-4E39-8E96-16A34C8FD31C}"/>
    <cellStyle name="Comma 3 4 2 10 5 2" xfId="41719" xr:uid="{F8B4170B-47F0-4C4F-B9B3-8B502435BFB1}"/>
    <cellStyle name="Comma 3 4 2 10 5 3" xfId="23465" xr:uid="{A58099DF-32DB-4683-B4FE-D2BB83D33FB1}"/>
    <cellStyle name="Comma 3 4 2 10 6" xfId="38069" xr:uid="{E5A60BFA-BEF3-4393-8313-05553EB7FA1D}"/>
    <cellStyle name="Comma 3 4 2 10 7" xfId="19815" xr:uid="{F07C01D1-8BE1-4234-A928-3AFEAB2FCBF8}"/>
    <cellStyle name="Comma 3 4 2 11" xfId="831" xr:uid="{556E01D6-89A5-4AE2-A27C-881C51086918}"/>
    <cellStyle name="Comma 3 4 2 11 2" xfId="15431" xr:uid="{4F6D26EE-A209-4A5C-85A4-0FC811B32B55}"/>
    <cellStyle name="Comma 3 4 2 11 2 2" xfId="51939" xr:uid="{EDAD8954-9C26-46D7-AC26-3F2EEF146AC4}"/>
    <cellStyle name="Comma 3 4 2 11 2 3" xfId="33685" xr:uid="{F9012006-22E3-419F-9A27-C463DCAE7B84}"/>
    <cellStyle name="Comma 3 4 2 11 3" xfId="11781" xr:uid="{A018B705-B64D-4864-BE0D-F3726F194A2D}"/>
    <cellStyle name="Comma 3 4 2 11 3 2" xfId="48289" xr:uid="{55A46F02-A013-40C2-A6BC-E359149BCAED}"/>
    <cellStyle name="Comma 3 4 2 11 3 3" xfId="30035" xr:uid="{DE105AF5-F574-4D54-BCBE-D4B4605F78BD}"/>
    <cellStyle name="Comma 3 4 2 11 4" xfId="8131" xr:uid="{BEF9BA21-5602-42CB-9561-8089BA035C3D}"/>
    <cellStyle name="Comma 3 4 2 11 4 2" xfId="44639" xr:uid="{4D018685-BA5F-4D88-BBAD-4CB1BE547EDA}"/>
    <cellStyle name="Comma 3 4 2 11 4 3" xfId="26385" xr:uid="{7C9F7F09-5DF6-4442-99E4-CE9D7C67B4C7}"/>
    <cellStyle name="Comma 3 4 2 11 5" xfId="4481" xr:uid="{266ACA42-8241-460C-9035-495FF80B6DE3}"/>
    <cellStyle name="Comma 3 4 2 11 5 2" xfId="40989" xr:uid="{364057F0-B9F7-41DE-A07B-B631218A1D96}"/>
    <cellStyle name="Comma 3 4 2 11 5 3" xfId="22735" xr:uid="{F01C9572-B0B1-4ED7-8DE6-163D271EA04B}"/>
    <cellStyle name="Comma 3 4 2 11 6" xfId="37339" xr:uid="{E02C1742-A967-4EB5-888E-7FFCADEF8BB6}"/>
    <cellStyle name="Comma 3 4 2 11 7" xfId="19085" xr:uid="{13B2FB09-95C0-4678-A220-A940A085AAB5}"/>
    <cellStyle name="Comma 3 4 2 12" xfId="14701" xr:uid="{08E32446-8C89-494A-996F-D08BC32CA52C}"/>
    <cellStyle name="Comma 3 4 2 12 2" xfId="51209" xr:uid="{465B2C76-671A-43CD-9DCE-C7791EC9E388}"/>
    <cellStyle name="Comma 3 4 2 12 3" xfId="32955" xr:uid="{46489D53-A051-431B-A0D4-15EB31B921CD}"/>
    <cellStyle name="Comma 3 4 2 13" xfId="11051" xr:uid="{AB8B9DBC-DC84-4CE0-89DE-B0AEFDE6F234}"/>
    <cellStyle name="Comma 3 4 2 13 2" xfId="47559" xr:uid="{6F8B7409-ED36-4BAC-A515-419A001D8558}"/>
    <cellStyle name="Comma 3 4 2 13 3" xfId="29305" xr:uid="{ED44716E-F856-4A42-AC73-D6F2E44E97A8}"/>
    <cellStyle name="Comma 3 4 2 14" xfId="7401" xr:uid="{5B4E30DE-A263-48FE-A559-88C06BA4CD62}"/>
    <cellStyle name="Comma 3 4 2 14 2" xfId="43909" xr:uid="{5478B370-0F2D-41C2-B759-B13A477356E3}"/>
    <cellStyle name="Comma 3 4 2 14 3" xfId="25655" xr:uid="{93A3A24C-0646-4ED3-B1A5-CC31694F5350}"/>
    <cellStyle name="Comma 3 4 2 15" xfId="3751" xr:uid="{B3D10D43-02A1-4F6C-B7BA-8B330D0F6FCE}"/>
    <cellStyle name="Comma 3 4 2 15 2" xfId="40259" xr:uid="{E873CFB1-81DE-4F5E-AC92-77D1D76086E4}"/>
    <cellStyle name="Comma 3 4 2 15 3" xfId="22005" xr:uid="{42A509BB-F9DC-4A2D-8BBF-5AEDC7CF9D2E}"/>
    <cellStyle name="Comma 3 4 2 16" xfId="36609" xr:uid="{D0B9A0FF-408F-4308-869A-8035BFCBD03F}"/>
    <cellStyle name="Comma 3 4 2 17" xfId="18355" xr:uid="{615CFE9E-3D0D-44CD-9499-A13D9CE91C77}"/>
    <cellStyle name="Comma 3 4 2 2" xfId="725" xr:uid="{DC394B75-B855-416B-9BD0-960DE307F775}"/>
    <cellStyle name="Comma 3 4 2 2 10" xfId="37233" xr:uid="{E43BE4AB-DF87-4181-9A98-466F1F376401}"/>
    <cellStyle name="Comma 3 4 2 2 11" xfId="18979" xr:uid="{D53CF490-1A66-4D87-8F71-4EC0ED2B38DD}"/>
    <cellStyle name="Comma 3 4 2 2 2" xfId="3645" xr:uid="{B07FBED8-BA81-445F-99B3-545D95D0F21C}"/>
    <cellStyle name="Comma 3 4 2 2 2 2" xfId="18245" xr:uid="{A0B411FD-64E0-4471-9316-C20D7012947C}"/>
    <cellStyle name="Comma 3 4 2 2 2 2 2" xfId="54753" xr:uid="{A26B4152-19DF-4F10-9E3F-967ADCE1A279}"/>
    <cellStyle name="Comma 3 4 2 2 2 2 3" xfId="36499" xr:uid="{3A296056-F6D1-47A2-B7F0-641EC32D56F1}"/>
    <cellStyle name="Comma 3 4 2 2 2 3" xfId="14595" xr:uid="{6F194938-D3E7-4559-91E6-43B1E01B5ABC}"/>
    <cellStyle name="Comma 3 4 2 2 2 3 2" xfId="51103" xr:uid="{926BF309-4AEE-40A5-A2F5-3242B2A85107}"/>
    <cellStyle name="Comma 3 4 2 2 2 3 3" xfId="32849" xr:uid="{A2A1D3E9-0538-448D-9B54-F9732BDEB229}"/>
    <cellStyle name="Comma 3 4 2 2 2 4" xfId="10945" xr:uid="{A31DBED7-E366-45AD-8783-3C6893BD3929}"/>
    <cellStyle name="Comma 3 4 2 2 2 4 2" xfId="47453" xr:uid="{128A8DAC-7B75-45FC-946D-3067AA6413EA}"/>
    <cellStyle name="Comma 3 4 2 2 2 4 3" xfId="29199" xr:uid="{04B6F100-32EC-43F1-B890-348CE31E728D}"/>
    <cellStyle name="Comma 3 4 2 2 2 5" xfId="7295" xr:uid="{E827C888-08C8-4783-8B6A-A692A1F828D2}"/>
    <cellStyle name="Comma 3 4 2 2 2 5 2" xfId="43803" xr:uid="{7F3C44D6-D67C-4BE4-A39C-484B9D93DD6C}"/>
    <cellStyle name="Comma 3 4 2 2 2 5 3" xfId="25549" xr:uid="{592D00DF-C36F-44A7-9416-83B96CC47D0C}"/>
    <cellStyle name="Comma 3 4 2 2 2 6" xfId="40153" xr:uid="{0503578C-8BA0-4331-839D-5B24E175BC66}"/>
    <cellStyle name="Comma 3 4 2 2 2 7" xfId="21899" xr:uid="{48FC2627-1898-49B3-9437-647E29C7C36D}"/>
    <cellStyle name="Comma 3 4 2 2 3" xfId="2915" xr:uid="{18B6F0E8-C5BB-4BB2-BF60-1B6BE69B5BCC}"/>
    <cellStyle name="Comma 3 4 2 2 3 2" xfId="17515" xr:uid="{DCDC7C98-06F0-4337-AA0F-E4C9DDF746B2}"/>
    <cellStyle name="Comma 3 4 2 2 3 2 2" xfId="54023" xr:uid="{6907F0F6-74F3-4C98-84E8-18EAD6DAE41A}"/>
    <cellStyle name="Comma 3 4 2 2 3 2 3" xfId="35769" xr:uid="{5408F3B8-619B-471B-9959-C76A034ED5A6}"/>
    <cellStyle name="Comma 3 4 2 2 3 3" xfId="13865" xr:uid="{BD0E5125-A380-4F4A-B912-DCAA82EF6FF8}"/>
    <cellStyle name="Comma 3 4 2 2 3 3 2" xfId="50373" xr:uid="{9072F06E-1618-462D-BB19-698EF26E2885}"/>
    <cellStyle name="Comma 3 4 2 2 3 3 3" xfId="32119" xr:uid="{8AD02D7B-CCD4-4F68-B896-F2BD72EE9AE1}"/>
    <cellStyle name="Comma 3 4 2 2 3 4" xfId="10215" xr:uid="{A27DF2AD-3CC2-4D59-8762-809979DF2C49}"/>
    <cellStyle name="Comma 3 4 2 2 3 4 2" xfId="46723" xr:uid="{FF2AF9E1-29B5-4C5D-A45D-713E8FF41678}"/>
    <cellStyle name="Comma 3 4 2 2 3 4 3" xfId="28469" xr:uid="{3094D995-ED8D-4430-AEB2-202AE7609428}"/>
    <cellStyle name="Comma 3 4 2 2 3 5" xfId="6565" xr:uid="{6D727310-D834-4D64-BCDC-04A02230088F}"/>
    <cellStyle name="Comma 3 4 2 2 3 5 2" xfId="43073" xr:uid="{6368156C-3879-4934-94F1-281857A197F1}"/>
    <cellStyle name="Comma 3 4 2 2 3 5 3" xfId="24819" xr:uid="{EB82A0C6-8EF3-43AF-B089-1CB5A648DCB2}"/>
    <cellStyle name="Comma 3 4 2 2 3 6" xfId="39423" xr:uid="{056CFEFB-3660-4CE7-A488-CC9E0AB9164A}"/>
    <cellStyle name="Comma 3 4 2 2 3 7" xfId="21169" xr:uid="{67B7BC98-CEA7-4498-89B1-99E49C3D6C1A}"/>
    <cellStyle name="Comma 3 4 2 2 4" xfId="2185" xr:uid="{85D47C88-D220-4929-B822-DDEA4E4E4FE9}"/>
    <cellStyle name="Comma 3 4 2 2 4 2" xfId="16785" xr:uid="{CF33529C-06B0-4869-9F31-89B5BE95502D}"/>
    <cellStyle name="Comma 3 4 2 2 4 2 2" xfId="53293" xr:uid="{5AFCC7BA-85CF-4DF7-AA74-8810860ECCCE}"/>
    <cellStyle name="Comma 3 4 2 2 4 2 3" xfId="35039" xr:uid="{3EC75F0B-1DCD-49F2-8F0A-E6DB645B3D55}"/>
    <cellStyle name="Comma 3 4 2 2 4 3" xfId="13135" xr:uid="{2CA9E535-AEAA-4F91-8E3F-8F7D51C2010D}"/>
    <cellStyle name="Comma 3 4 2 2 4 3 2" xfId="49643" xr:uid="{233F8641-4E99-44CC-B6AB-D2060A6D25A2}"/>
    <cellStyle name="Comma 3 4 2 2 4 3 3" xfId="31389" xr:uid="{CAA66B6F-93B5-46BC-A18F-F4EF43AB48A8}"/>
    <cellStyle name="Comma 3 4 2 2 4 4" xfId="9485" xr:uid="{5BCCD80B-9A96-4339-8594-B98F4A1C9CC5}"/>
    <cellStyle name="Comma 3 4 2 2 4 4 2" xfId="45993" xr:uid="{9EC8DA22-74B7-4D01-9059-969BB96F2E0A}"/>
    <cellStyle name="Comma 3 4 2 2 4 4 3" xfId="27739" xr:uid="{43C82E77-0BD3-4B1D-B2A6-8E1A861528F6}"/>
    <cellStyle name="Comma 3 4 2 2 4 5" xfId="5835" xr:uid="{66D53D17-1492-4236-AB44-AD277951D833}"/>
    <cellStyle name="Comma 3 4 2 2 4 5 2" xfId="42343" xr:uid="{21C9837C-AD4F-425F-A011-410476EFA4B8}"/>
    <cellStyle name="Comma 3 4 2 2 4 5 3" xfId="24089" xr:uid="{17A85BC2-F2E8-4D3F-B7FC-983950055D38}"/>
    <cellStyle name="Comma 3 4 2 2 4 6" xfId="38693" xr:uid="{ADC918E7-9FC9-4A89-98E9-888A742BDAC0}"/>
    <cellStyle name="Comma 3 4 2 2 4 7" xfId="20439" xr:uid="{D65A40F2-8907-4828-A0A3-88A64A90860A}"/>
    <cellStyle name="Comma 3 4 2 2 5" xfId="1455" xr:uid="{E04D605A-C2DC-42E5-A651-9B4E8ACC452B}"/>
    <cellStyle name="Comma 3 4 2 2 5 2" xfId="16055" xr:uid="{A2A24A2D-0441-4FE2-BADF-3DE82BD1BF46}"/>
    <cellStyle name="Comma 3 4 2 2 5 2 2" xfId="52563" xr:uid="{A41B028E-9699-4C5A-A170-7CA1B85C8862}"/>
    <cellStyle name="Comma 3 4 2 2 5 2 3" xfId="34309" xr:uid="{47A9DB23-1CF8-45A9-B64D-7E130CD33331}"/>
    <cellStyle name="Comma 3 4 2 2 5 3" xfId="12405" xr:uid="{7CA9CF80-EF84-4C3D-8F31-4D8E2317E8E0}"/>
    <cellStyle name="Comma 3 4 2 2 5 3 2" xfId="48913" xr:uid="{AD9B9242-ED7F-4F60-B8E6-7D25955C23CF}"/>
    <cellStyle name="Comma 3 4 2 2 5 3 3" xfId="30659" xr:uid="{929E141E-E8CC-465C-95AB-988A77474648}"/>
    <cellStyle name="Comma 3 4 2 2 5 4" xfId="8755" xr:uid="{8695BF35-C8B1-4D92-A560-8ACEB060FC63}"/>
    <cellStyle name="Comma 3 4 2 2 5 4 2" xfId="45263" xr:uid="{5DCFCADC-8F01-4840-B921-FBF775CA9F67}"/>
    <cellStyle name="Comma 3 4 2 2 5 4 3" xfId="27009" xr:uid="{12E64309-C3D6-43EC-82EB-F35DFBCE3169}"/>
    <cellStyle name="Comma 3 4 2 2 5 5" xfId="5105" xr:uid="{EE90A75C-AE24-4FA7-83E9-6A70EEB8B96C}"/>
    <cellStyle name="Comma 3 4 2 2 5 5 2" xfId="41613" xr:uid="{BC802115-759D-46FC-83A1-C3A3F7ACAB9A}"/>
    <cellStyle name="Comma 3 4 2 2 5 5 3" xfId="23359" xr:uid="{C733FBD1-35AF-432F-9F14-793A7E1BF6F4}"/>
    <cellStyle name="Comma 3 4 2 2 5 6" xfId="37963" xr:uid="{08426542-71C9-48DC-8B7D-FF15403DF3B0}"/>
    <cellStyle name="Comma 3 4 2 2 5 7" xfId="19709" xr:uid="{06D00B9E-7D9C-48C5-AE54-1CD29B032865}"/>
    <cellStyle name="Comma 3 4 2 2 6" xfId="15325" xr:uid="{7ADA0A04-6181-4DDA-8AF6-BE2EF6BF7C64}"/>
    <cellStyle name="Comma 3 4 2 2 6 2" xfId="51833" xr:uid="{9688AEE8-4EE5-4EEB-9546-848F3871B2E5}"/>
    <cellStyle name="Comma 3 4 2 2 6 3" xfId="33579" xr:uid="{573F7A8C-7D36-4255-B35C-80F266816F87}"/>
    <cellStyle name="Comma 3 4 2 2 7" xfId="11675" xr:uid="{4FC2A6FA-70AC-4A27-806F-DCC0A67E5743}"/>
    <cellStyle name="Comma 3 4 2 2 7 2" xfId="48183" xr:uid="{235FCF6F-D7E1-44CE-A4CC-04AB5EFF2A3E}"/>
    <cellStyle name="Comma 3 4 2 2 7 3" xfId="29929" xr:uid="{F752BE04-025D-4B1D-A72C-87D1D3B250C2}"/>
    <cellStyle name="Comma 3 4 2 2 8" xfId="8025" xr:uid="{817F87BB-3790-4B52-AAD5-00A1B0AF3126}"/>
    <cellStyle name="Comma 3 4 2 2 8 2" xfId="44533" xr:uid="{45C450E3-EE3E-4B53-97A5-96C659469C2F}"/>
    <cellStyle name="Comma 3 4 2 2 8 3" xfId="26279" xr:uid="{B7FAC5C7-6C75-498F-8896-DF99BB12BD61}"/>
    <cellStyle name="Comma 3 4 2 2 9" xfId="4375" xr:uid="{5DD283E4-4858-4197-AA2E-A28C5834C92D}"/>
    <cellStyle name="Comma 3 4 2 2 9 2" xfId="40883" xr:uid="{7DA8DD9E-7C9A-41F8-8688-A5DF41421A75}"/>
    <cellStyle name="Comma 3 4 2 2 9 3" xfId="22629" xr:uid="{C72A8BE5-7806-44FA-A43A-63F8E548F23B}"/>
    <cellStyle name="Comma 3 4 2 3" xfId="621" xr:uid="{A8FB2350-45A7-4638-A75B-5553B1611C48}"/>
    <cellStyle name="Comma 3 4 2 3 10" xfId="37129" xr:uid="{1078044E-FA91-442C-AA03-89A3D824027F}"/>
    <cellStyle name="Comma 3 4 2 3 11" xfId="18875" xr:uid="{4C410EB6-CA88-4545-817F-B507406C6E95}"/>
    <cellStyle name="Comma 3 4 2 3 2" xfId="3541" xr:uid="{9E269ABB-9F25-4F19-A031-95EBBBCDE276}"/>
    <cellStyle name="Comma 3 4 2 3 2 2" xfId="18141" xr:uid="{35581DB0-F745-45B1-ACAB-019737B41F47}"/>
    <cellStyle name="Comma 3 4 2 3 2 2 2" xfId="54649" xr:uid="{A948F50E-459D-474A-9F0C-574367BEF14D}"/>
    <cellStyle name="Comma 3 4 2 3 2 2 3" xfId="36395" xr:uid="{DF12C7B0-3B89-4BE5-997D-C7D1568F2E1D}"/>
    <cellStyle name="Comma 3 4 2 3 2 3" xfId="14491" xr:uid="{C99A16A7-2187-4323-B5E1-A77040F0B3FD}"/>
    <cellStyle name="Comma 3 4 2 3 2 3 2" xfId="50999" xr:uid="{02ECAFDB-ACA8-4F68-A398-C4F359A9E305}"/>
    <cellStyle name="Comma 3 4 2 3 2 3 3" xfId="32745" xr:uid="{B01D747A-9E9B-484F-8ACB-23A8C881418C}"/>
    <cellStyle name="Comma 3 4 2 3 2 4" xfId="10841" xr:uid="{404BF896-7872-4FCC-97FD-8E5E3F8CB177}"/>
    <cellStyle name="Comma 3 4 2 3 2 4 2" xfId="47349" xr:uid="{E262F9B7-92C7-47D8-99D3-AC32D7CAA6D4}"/>
    <cellStyle name="Comma 3 4 2 3 2 4 3" xfId="29095" xr:uid="{5966E258-515F-4FB3-AF6D-D7C9EAD174E6}"/>
    <cellStyle name="Comma 3 4 2 3 2 5" xfId="7191" xr:uid="{767B5B40-3BFB-4ECA-8371-2A88BD3049CE}"/>
    <cellStyle name="Comma 3 4 2 3 2 5 2" xfId="43699" xr:uid="{79DDCD01-49CC-450D-A9E3-C7E95CC01B06}"/>
    <cellStyle name="Comma 3 4 2 3 2 5 3" xfId="25445" xr:uid="{38256220-6A05-4B51-81AB-4BB2AAA7A186}"/>
    <cellStyle name="Comma 3 4 2 3 2 6" xfId="40049" xr:uid="{87F3E68C-5A52-41CD-A28F-C6F53C63D1DA}"/>
    <cellStyle name="Comma 3 4 2 3 2 7" xfId="21795" xr:uid="{33FFEEB1-CA0B-4EA0-BB5A-62923DA9669C}"/>
    <cellStyle name="Comma 3 4 2 3 3" xfId="2811" xr:uid="{2357181F-90D7-4615-BD27-581C110EF4A5}"/>
    <cellStyle name="Comma 3 4 2 3 3 2" xfId="17411" xr:uid="{2B866055-E08D-4D2B-B0A4-AA962CF2A147}"/>
    <cellStyle name="Comma 3 4 2 3 3 2 2" xfId="53919" xr:uid="{140D48FA-1D35-408D-80B7-8D712346A85D}"/>
    <cellStyle name="Comma 3 4 2 3 3 2 3" xfId="35665" xr:uid="{B72E47D8-E7AE-4D73-84AB-B3ADB5DCCA03}"/>
    <cellStyle name="Comma 3 4 2 3 3 3" xfId="13761" xr:uid="{10D19D87-106C-4C2B-B5A1-9BFCF16F08C0}"/>
    <cellStyle name="Comma 3 4 2 3 3 3 2" xfId="50269" xr:uid="{16DE0ED8-D808-4706-AE41-3652D602EF82}"/>
    <cellStyle name="Comma 3 4 2 3 3 3 3" xfId="32015" xr:uid="{15595D17-DFA7-41D7-BCCF-6EEF2B651F38}"/>
    <cellStyle name="Comma 3 4 2 3 3 4" xfId="10111" xr:uid="{79F83D4D-028B-446C-B75E-3B12A0A52F2F}"/>
    <cellStyle name="Comma 3 4 2 3 3 4 2" xfId="46619" xr:uid="{3C5388BB-8F09-432C-8CCC-6D729D71F242}"/>
    <cellStyle name="Comma 3 4 2 3 3 4 3" xfId="28365" xr:uid="{4C65E0AB-E95B-43C0-9AC7-DD11341F5D1F}"/>
    <cellStyle name="Comma 3 4 2 3 3 5" xfId="6461" xr:uid="{C1BB41C0-00F6-4043-AA15-79018DCA78D9}"/>
    <cellStyle name="Comma 3 4 2 3 3 5 2" xfId="42969" xr:uid="{B019BB99-CD71-478B-8E75-F5F4FE47421F}"/>
    <cellStyle name="Comma 3 4 2 3 3 5 3" xfId="24715" xr:uid="{D04FAD80-1155-4683-BBE4-89B6F8DF925E}"/>
    <cellStyle name="Comma 3 4 2 3 3 6" xfId="39319" xr:uid="{9ECD968C-0D75-4537-9E77-D049DA7C0284}"/>
    <cellStyle name="Comma 3 4 2 3 3 7" xfId="21065" xr:uid="{0313123F-50E9-4FDC-8551-6FA7A3326FD9}"/>
    <cellStyle name="Comma 3 4 2 3 4" xfId="2081" xr:uid="{E47CA8D4-14E1-4503-9036-0D128E9ED98C}"/>
    <cellStyle name="Comma 3 4 2 3 4 2" xfId="16681" xr:uid="{3B6DB294-9631-47B8-9DEB-4CDCD02FC654}"/>
    <cellStyle name="Comma 3 4 2 3 4 2 2" xfId="53189" xr:uid="{E6B43D52-A416-41A4-9B4B-4CD97D01B028}"/>
    <cellStyle name="Comma 3 4 2 3 4 2 3" xfId="34935" xr:uid="{6E479742-A0FA-4CC2-8D24-E62F07623B0B}"/>
    <cellStyle name="Comma 3 4 2 3 4 3" xfId="13031" xr:uid="{941A47D6-4909-47BC-8F30-8F5203B51FE4}"/>
    <cellStyle name="Comma 3 4 2 3 4 3 2" xfId="49539" xr:uid="{23386545-F65A-45B7-8EAD-FB105A090E21}"/>
    <cellStyle name="Comma 3 4 2 3 4 3 3" xfId="31285" xr:uid="{E016E0F3-E5C7-45C0-8086-BC7D15388572}"/>
    <cellStyle name="Comma 3 4 2 3 4 4" xfId="9381" xr:uid="{BB4D45B7-47D6-43AA-BD84-B6F88C97FF9B}"/>
    <cellStyle name="Comma 3 4 2 3 4 4 2" xfId="45889" xr:uid="{223C4F6B-9CDA-4C2F-B6E0-12070FBA52B6}"/>
    <cellStyle name="Comma 3 4 2 3 4 4 3" xfId="27635" xr:uid="{AAF6032D-FF64-4ECD-B8D6-7AC2E2D6F600}"/>
    <cellStyle name="Comma 3 4 2 3 4 5" xfId="5731" xr:uid="{AE4D5828-AE27-4D20-9AA0-FFD1D4D0BAA2}"/>
    <cellStyle name="Comma 3 4 2 3 4 5 2" xfId="42239" xr:uid="{E647E666-36FA-4F7E-8D29-23B0CC68E289}"/>
    <cellStyle name="Comma 3 4 2 3 4 5 3" xfId="23985" xr:uid="{980AC7C8-492B-4A72-9917-E7A2F5BE5ED2}"/>
    <cellStyle name="Comma 3 4 2 3 4 6" xfId="38589" xr:uid="{C55CCE12-A1F6-4C50-97D6-65C3443E4B1F}"/>
    <cellStyle name="Comma 3 4 2 3 4 7" xfId="20335" xr:uid="{B16A4725-BB14-469A-ACF7-9EB97DDE4D4E}"/>
    <cellStyle name="Comma 3 4 2 3 5" xfId="1351" xr:uid="{4A1ABB99-C9B5-4196-BAC6-DF51E72ABE64}"/>
    <cellStyle name="Comma 3 4 2 3 5 2" xfId="15951" xr:uid="{D019356A-6BE6-4FCE-8C1F-8E50C144EFEA}"/>
    <cellStyle name="Comma 3 4 2 3 5 2 2" xfId="52459" xr:uid="{944D4BA0-AF0E-451E-BB1D-7E041D155B5D}"/>
    <cellStyle name="Comma 3 4 2 3 5 2 3" xfId="34205" xr:uid="{8C9075AB-49AD-4079-89C4-703CED707061}"/>
    <cellStyle name="Comma 3 4 2 3 5 3" xfId="12301" xr:uid="{A197C3D1-A8CC-448C-A047-3D24F2D08BC2}"/>
    <cellStyle name="Comma 3 4 2 3 5 3 2" xfId="48809" xr:uid="{AFE31274-9B71-4798-A3BD-F91C95C24F5C}"/>
    <cellStyle name="Comma 3 4 2 3 5 3 3" xfId="30555" xr:uid="{604B3A3C-761D-4D6E-ABA5-E05AE7C095AA}"/>
    <cellStyle name="Comma 3 4 2 3 5 4" xfId="8651" xr:uid="{D1341C6F-2745-433F-ABE8-3EB78CA7B399}"/>
    <cellStyle name="Comma 3 4 2 3 5 4 2" xfId="45159" xr:uid="{6E881949-AC59-471D-8656-C276B6BD9224}"/>
    <cellStyle name="Comma 3 4 2 3 5 4 3" xfId="26905" xr:uid="{A49AEDF8-9079-42AB-97DD-A5AA5AAC09DD}"/>
    <cellStyle name="Comma 3 4 2 3 5 5" xfId="5001" xr:uid="{99F81E30-8F86-4CB7-81AA-7F7988129AF3}"/>
    <cellStyle name="Comma 3 4 2 3 5 5 2" xfId="41509" xr:uid="{1195E8DA-4BF6-4A32-9371-4DDCEA11E049}"/>
    <cellStyle name="Comma 3 4 2 3 5 5 3" xfId="23255" xr:uid="{25E4044E-D9A8-45BB-89D0-6E7FD02224F8}"/>
    <cellStyle name="Comma 3 4 2 3 5 6" xfId="37859" xr:uid="{883F4694-43B5-447A-BACC-A2FF6291D5A0}"/>
    <cellStyle name="Comma 3 4 2 3 5 7" xfId="19605" xr:uid="{4E396FAE-DF6F-4D12-B024-8DBEC37459BD}"/>
    <cellStyle name="Comma 3 4 2 3 6" xfId="15221" xr:uid="{EC259E7A-F7DE-44CE-BE18-03499BA83322}"/>
    <cellStyle name="Comma 3 4 2 3 6 2" xfId="51729" xr:uid="{7575E5ED-CC81-4175-A710-4CB91EB59A51}"/>
    <cellStyle name="Comma 3 4 2 3 6 3" xfId="33475" xr:uid="{A38F2CA2-2795-475A-B20D-C94BE09BABCA}"/>
    <cellStyle name="Comma 3 4 2 3 7" xfId="11571" xr:uid="{0C191BDE-C711-445C-B2A5-B01AF313FBEB}"/>
    <cellStyle name="Comma 3 4 2 3 7 2" xfId="48079" xr:uid="{7E144960-7F55-4947-A25B-50A8964DE5BE}"/>
    <cellStyle name="Comma 3 4 2 3 7 3" xfId="29825" xr:uid="{CF2CBED6-B879-400F-9D13-0843836FF144}"/>
    <cellStyle name="Comma 3 4 2 3 8" xfId="7921" xr:uid="{F2DEEE96-04E5-426D-A902-86E6BE82C58A}"/>
    <cellStyle name="Comma 3 4 2 3 8 2" xfId="44429" xr:uid="{6F289665-F8D7-4AE3-A347-797FD26A022F}"/>
    <cellStyle name="Comma 3 4 2 3 8 3" xfId="26175" xr:uid="{8D8C3ED1-2246-40EB-BEE4-87B11479B94D}"/>
    <cellStyle name="Comma 3 4 2 3 9" xfId="4271" xr:uid="{92431DF1-392E-49D5-8BAA-5C0371CB35FA}"/>
    <cellStyle name="Comma 3 4 2 3 9 2" xfId="40779" xr:uid="{42E348B0-F121-4C27-9C5F-70E0CB26758E}"/>
    <cellStyle name="Comma 3 4 2 3 9 3" xfId="22525" xr:uid="{67B26D3C-91E0-4978-BA48-3B594E9957C3}"/>
    <cellStyle name="Comma 3 4 2 4" xfId="517" xr:uid="{1C8D1D8A-D35E-4558-B4B1-42A7C2C67D1B}"/>
    <cellStyle name="Comma 3 4 2 4 10" xfId="37025" xr:uid="{210880CB-1F2A-4101-92BE-BCFA99B2FFFD}"/>
    <cellStyle name="Comma 3 4 2 4 11" xfId="18771" xr:uid="{1A47B307-CE99-4A43-BB8E-3EE81269498F}"/>
    <cellStyle name="Comma 3 4 2 4 2" xfId="3437" xr:uid="{B3B1C939-9EF7-480A-9251-AD1154C23D92}"/>
    <cellStyle name="Comma 3 4 2 4 2 2" xfId="18037" xr:uid="{8DFCC856-87F0-42AD-8743-D55DC03E0BAE}"/>
    <cellStyle name="Comma 3 4 2 4 2 2 2" xfId="54545" xr:uid="{68CF640B-AABF-4CC4-8420-18C8EFBFCAB7}"/>
    <cellStyle name="Comma 3 4 2 4 2 2 3" xfId="36291" xr:uid="{253D3217-4424-4ADD-B728-66B80FDE6E97}"/>
    <cellStyle name="Comma 3 4 2 4 2 3" xfId="14387" xr:uid="{211177A0-B9E7-4545-A699-D9896517B12E}"/>
    <cellStyle name="Comma 3 4 2 4 2 3 2" xfId="50895" xr:uid="{19AC388C-9082-485C-8F96-4A08FD05F191}"/>
    <cellStyle name="Comma 3 4 2 4 2 3 3" xfId="32641" xr:uid="{60075B6A-48FF-436A-AEDE-222F8C72AFF7}"/>
    <cellStyle name="Comma 3 4 2 4 2 4" xfId="10737" xr:uid="{A76F94B9-1C58-4928-B927-FD48798A3641}"/>
    <cellStyle name="Comma 3 4 2 4 2 4 2" xfId="47245" xr:uid="{04436F03-16B3-479B-AD7D-AFEB54E667A3}"/>
    <cellStyle name="Comma 3 4 2 4 2 4 3" xfId="28991" xr:uid="{E4C8CA68-A376-4D44-858E-BB2E76515C99}"/>
    <cellStyle name="Comma 3 4 2 4 2 5" xfId="7087" xr:uid="{2FAE5EAE-DBFD-41C8-BA10-57DC41B0892D}"/>
    <cellStyle name="Comma 3 4 2 4 2 5 2" xfId="43595" xr:uid="{9661FED5-7B55-4A54-BD6B-9CB05287F923}"/>
    <cellStyle name="Comma 3 4 2 4 2 5 3" xfId="25341" xr:uid="{19C714BA-882F-4427-9CD9-F8AAF7FDCA64}"/>
    <cellStyle name="Comma 3 4 2 4 2 6" xfId="39945" xr:uid="{6B399783-DD18-49D3-A102-58F419A4BABA}"/>
    <cellStyle name="Comma 3 4 2 4 2 7" xfId="21691" xr:uid="{B1EC11CF-9AED-4194-AA34-12800FEF2957}"/>
    <cellStyle name="Comma 3 4 2 4 3" xfId="2707" xr:uid="{DACBB4C1-3412-4415-B9A5-E01A106977F5}"/>
    <cellStyle name="Comma 3 4 2 4 3 2" xfId="17307" xr:uid="{ADD5D5B0-D793-4907-80F5-30177ADC13E2}"/>
    <cellStyle name="Comma 3 4 2 4 3 2 2" xfId="53815" xr:uid="{556D212B-B257-4681-81FA-CE46A48DC346}"/>
    <cellStyle name="Comma 3 4 2 4 3 2 3" xfId="35561" xr:uid="{314FF7D8-CB01-463B-8B64-6E165676CF4D}"/>
    <cellStyle name="Comma 3 4 2 4 3 3" xfId="13657" xr:uid="{48649E73-2FE5-44BB-91D1-5DBDC71CCD74}"/>
    <cellStyle name="Comma 3 4 2 4 3 3 2" xfId="50165" xr:uid="{56DEFA53-4B0E-4468-9105-9FFE0E43179A}"/>
    <cellStyle name="Comma 3 4 2 4 3 3 3" xfId="31911" xr:uid="{70C92004-78EF-4EA1-84E3-7C4439BFBB70}"/>
    <cellStyle name="Comma 3 4 2 4 3 4" xfId="10007" xr:uid="{A7228E53-423C-4739-A37C-D3E00B8FC800}"/>
    <cellStyle name="Comma 3 4 2 4 3 4 2" xfId="46515" xr:uid="{EDA7E373-9CFB-4216-A437-904204E9B428}"/>
    <cellStyle name="Comma 3 4 2 4 3 4 3" xfId="28261" xr:uid="{5F994636-0FB0-401F-8F31-5D06D121DC6C}"/>
    <cellStyle name="Comma 3 4 2 4 3 5" xfId="6357" xr:uid="{D9ABEF7C-3758-49DD-BFEC-E99877E7AC18}"/>
    <cellStyle name="Comma 3 4 2 4 3 5 2" xfId="42865" xr:uid="{FBD4C15A-38D4-4E53-80EE-BCA4F8D6EAB5}"/>
    <cellStyle name="Comma 3 4 2 4 3 5 3" xfId="24611" xr:uid="{07116143-C61D-4C15-8677-BF24F5B5BF59}"/>
    <cellStyle name="Comma 3 4 2 4 3 6" xfId="39215" xr:uid="{D7D7B2A2-E577-4944-BC48-FBFB531142FB}"/>
    <cellStyle name="Comma 3 4 2 4 3 7" xfId="20961" xr:uid="{636A4AD6-705D-461A-A339-D4C1729662EE}"/>
    <cellStyle name="Comma 3 4 2 4 4" xfId="1977" xr:uid="{DA7922ED-02A4-43F6-9864-6237443393E0}"/>
    <cellStyle name="Comma 3 4 2 4 4 2" xfId="16577" xr:uid="{7A026040-577E-4F45-8494-538DAEF0B7E1}"/>
    <cellStyle name="Comma 3 4 2 4 4 2 2" xfId="53085" xr:uid="{C1FD8236-6F46-4A8C-9D7E-E953BB4AADA3}"/>
    <cellStyle name="Comma 3 4 2 4 4 2 3" xfId="34831" xr:uid="{A09C18DF-4583-4FA8-B5C2-3735EA715BFD}"/>
    <cellStyle name="Comma 3 4 2 4 4 3" xfId="12927" xr:uid="{31E2DB43-7B1F-454F-A77D-446532530503}"/>
    <cellStyle name="Comma 3 4 2 4 4 3 2" xfId="49435" xr:uid="{DE910F9C-3E90-44BA-A11C-4FA1F4601E86}"/>
    <cellStyle name="Comma 3 4 2 4 4 3 3" xfId="31181" xr:uid="{93FF3AA5-F6B2-455F-9A58-DB8E123E0ABC}"/>
    <cellStyle name="Comma 3 4 2 4 4 4" xfId="9277" xr:uid="{74D59AC7-0F20-429A-BF4C-59545E6F51B6}"/>
    <cellStyle name="Comma 3 4 2 4 4 4 2" xfId="45785" xr:uid="{29608BA1-0310-495E-94BE-B0977BBE2535}"/>
    <cellStyle name="Comma 3 4 2 4 4 4 3" xfId="27531" xr:uid="{E2DED593-D873-4C61-82BD-46D233992E9E}"/>
    <cellStyle name="Comma 3 4 2 4 4 5" xfId="5627" xr:uid="{CDAD1091-5512-4C0F-8F33-114B945EED19}"/>
    <cellStyle name="Comma 3 4 2 4 4 5 2" xfId="42135" xr:uid="{319DAD7F-9D7E-469D-B6EA-A1950BB62F67}"/>
    <cellStyle name="Comma 3 4 2 4 4 5 3" xfId="23881" xr:uid="{2613FD29-6BBE-4FE0-BF63-7D3B3622F653}"/>
    <cellStyle name="Comma 3 4 2 4 4 6" xfId="38485" xr:uid="{CDB3804D-7359-4A8D-AB71-1867C56FF405}"/>
    <cellStyle name="Comma 3 4 2 4 4 7" xfId="20231" xr:uid="{EC6F48DA-8264-4627-A8FA-18F27BB8B676}"/>
    <cellStyle name="Comma 3 4 2 4 5" xfId="1247" xr:uid="{75687EC4-57F2-4165-B0AB-A5885AA71709}"/>
    <cellStyle name="Comma 3 4 2 4 5 2" xfId="15847" xr:uid="{EDC327F0-AE9C-4D8B-A5AC-6B2B66F5D070}"/>
    <cellStyle name="Comma 3 4 2 4 5 2 2" xfId="52355" xr:uid="{E46A9D03-C69E-40F3-BE9C-75CFC65B9208}"/>
    <cellStyle name="Comma 3 4 2 4 5 2 3" xfId="34101" xr:uid="{2E62BC64-67A6-4773-8FDD-DE0D3CE39EEB}"/>
    <cellStyle name="Comma 3 4 2 4 5 3" xfId="12197" xr:uid="{C5F93F3E-82FB-480C-807B-0C7BDFAB8CB7}"/>
    <cellStyle name="Comma 3 4 2 4 5 3 2" xfId="48705" xr:uid="{8E499C45-BF1C-4C02-82EF-650C16E72DEE}"/>
    <cellStyle name="Comma 3 4 2 4 5 3 3" xfId="30451" xr:uid="{146B62CC-1D65-4861-A491-AE2396A31649}"/>
    <cellStyle name="Comma 3 4 2 4 5 4" xfId="8547" xr:uid="{FFB4E250-3816-4BB3-92BA-E01D42182FB8}"/>
    <cellStyle name="Comma 3 4 2 4 5 4 2" xfId="45055" xr:uid="{4AA633A3-9B89-4C61-BDF0-FA27ADF9A23E}"/>
    <cellStyle name="Comma 3 4 2 4 5 4 3" xfId="26801" xr:uid="{11FA16F8-4E57-44A8-A2F9-2FA3620C8405}"/>
    <cellStyle name="Comma 3 4 2 4 5 5" xfId="4897" xr:uid="{4C9EAAC2-16BC-4139-B193-17CADB9D7527}"/>
    <cellStyle name="Comma 3 4 2 4 5 5 2" xfId="41405" xr:uid="{510B6A32-C391-4F80-81EA-33C8F8D11131}"/>
    <cellStyle name="Comma 3 4 2 4 5 5 3" xfId="23151" xr:uid="{C44D8EC7-4732-4B9D-9482-A727E83510BE}"/>
    <cellStyle name="Comma 3 4 2 4 5 6" xfId="37755" xr:uid="{99479B13-7384-4CAD-8067-259912C20EBA}"/>
    <cellStyle name="Comma 3 4 2 4 5 7" xfId="19501" xr:uid="{5817BF00-C34C-436B-BBBD-58826853E900}"/>
    <cellStyle name="Comma 3 4 2 4 6" xfId="15117" xr:uid="{5CDC35E8-14A7-4A6C-A056-9EC90AEE4BAF}"/>
    <cellStyle name="Comma 3 4 2 4 6 2" xfId="51625" xr:uid="{45EB5898-19DF-41A9-9FFD-51AE3CD1B5B0}"/>
    <cellStyle name="Comma 3 4 2 4 6 3" xfId="33371" xr:uid="{AE550367-DA00-46A0-B140-D5D98B25FA0F}"/>
    <cellStyle name="Comma 3 4 2 4 7" xfId="11467" xr:uid="{0BAB1EB4-5F75-48B9-8601-79001A7329EB}"/>
    <cellStyle name="Comma 3 4 2 4 7 2" xfId="47975" xr:uid="{495177B0-FA3E-4070-9305-787B6911BE87}"/>
    <cellStyle name="Comma 3 4 2 4 7 3" xfId="29721" xr:uid="{2B98741C-6821-4E8A-A8AB-547256CAB768}"/>
    <cellStyle name="Comma 3 4 2 4 8" xfId="7817" xr:uid="{7DBE5631-C144-452C-9DFE-A8187767CF18}"/>
    <cellStyle name="Comma 3 4 2 4 8 2" xfId="44325" xr:uid="{878BB2A5-A106-4EBF-85E4-161BA556F980}"/>
    <cellStyle name="Comma 3 4 2 4 8 3" xfId="26071" xr:uid="{6AFCE7CF-1FAE-448D-864B-8A8B19B6C608}"/>
    <cellStyle name="Comma 3 4 2 4 9" xfId="4167" xr:uid="{F256AA71-DCD7-4941-8608-02E642C728CE}"/>
    <cellStyle name="Comma 3 4 2 4 9 2" xfId="40675" xr:uid="{466314BC-D3D8-4D85-92E8-EB28BEBD8B01}"/>
    <cellStyle name="Comma 3 4 2 4 9 3" xfId="22421" xr:uid="{251803ED-E28F-4833-88A1-1393CF9DF670}"/>
    <cellStyle name="Comma 3 4 2 5" xfId="413" xr:uid="{C7CEC328-B095-4157-951C-8032C56915DD}"/>
    <cellStyle name="Comma 3 4 2 5 10" xfId="36921" xr:uid="{FF90B0B6-B304-4097-9214-59FCA68CB607}"/>
    <cellStyle name="Comma 3 4 2 5 11" xfId="18667" xr:uid="{6DCA770A-6317-4C88-8A28-0357D7D770BC}"/>
    <cellStyle name="Comma 3 4 2 5 2" xfId="3333" xr:uid="{AF133E73-21D6-447A-A6CA-29837F737C12}"/>
    <cellStyle name="Comma 3 4 2 5 2 2" xfId="17933" xr:uid="{6406C774-7617-4608-AF32-3F74924E50A7}"/>
    <cellStyle name="Comma 3 4 2 5 2 2 2" xfId="54441" xr:uid="{F393120E-FB1D-4B24-9859-5168D89E7FB4}"/>
    <cellStyle name="Comma 3 4 2 5 2 2 3" xfId="36187" xr:uid="{DB22C113-20C1-4979-84C1-6BC2AF64E3BD}"/>
    <cellStyle name="Comma 3 4 2 5 2 3" xfId="14283" xr:uid="{98DDEA0C-0B2A-4EAA-AF88-988A905B2C37}"/>
    <cellStyle name="Comma 3 4 2 5 2 3 2" xfId="50791" xr:uid="{0FA975D0-697F-435D-8449-7EED3F24D630}"/>
    <cellStyle name="Comma 3 4 2 5 2 3 3" xfId="32537" xr:uid="{F30A5CBC-E36E-4AF6-9859-7176A67A226A}"/>
    <cellStyle name="Comma 3 4 2 5 2 4" xfId="10633" xr:uid="{73F3882B-766C-414C-9A68-32ED24DA1792}"/>
    <cellStyle name="Comma 3 4 2 5 2 4 2" xfId="47141" xr:uid="{409810F4-1EFB-4337-B4DF-0779945E9B06}"/>
    <cellStyle name="Comma 3 4 2 5 2 4 3" xfId="28887" xr:uid="{7FA4E0C3-EEB9-4D74-8B1A-5EC6A8894DBE}"/>
    <cellStyle name="Comma 3 4 2 5 2 5" xfId="6983" xr:uid="{6FE7AD7A-8E27-4E46-8F4E-5B7C7E719EC7}"/>
    <cellStyle name="Comma 3 4 2 5 2 5 2" xfId="43491" xr:uid="{FCFE6E56-1345-4721-83B5-D6BF7D021637}"/>
    <cellStyle name="Comma 3 4 2 5 2 5 3" xfId="25237" xr:uid="{6DBD16F8-8829-4A78-82E7-DCC2898A4B28}"/>
    <cellStyle name="Comma 3 4 2 5 2 6" xfId="39841" xr:uid="{B5528045-1704-4749-96FF-F9ED66D7F83F}"/>
    <cellStyle name="Comma 3 4 2 5 2 7" xfId="21587" xr:uid="{150A09D9-8D91-4512-99AB-9A849D9B0A8A}"/>
    <cellStyle name="Comma 3 4 2 5 3" xfId="2603" xr:uid="{63715C92-D0C2-4DCE-B5EE-A452276EE50A}"/>
    <cellStyle name="Comma 3 4 2 5 3 2" xfId="17203" xr:uid="{FF4D4E76-72FA-4D27-9973-99F88F0A801F}"/>
    <cellStyle name="Comma 3 4 2 5 3 2 2" xfId="53711" xr:uid="{429D327A-326E-4C5F-B0DF-1D2EF08F7621}"/>
    <cellStyle name="Comma 3 4 2 5 3 2 3" xfId="35457" xr:uid="{19E2D0C9-680D-4DC6-B4A0-81D98778926C}"/>
    <cellStyle name="Comma 3 4 2 5 3 3" xfId="13553" xr:uid="{62C4E6BB-B615-428E-B31C-7EED71053CAC}"/>
    <cellStyle name="Comma 3 4 2 5 3 3 2" xfId="50061" xr:uid="{61CD2563-ED9E-4145-8121-20748FBFC1B6}"/>
    <cellStyle name="Comma 3 4 2 5 3 3 3" xfId="31807" xr:uid="{8E0A74CF-B5EE-40BC-B747-8FDFC299DA25}"/>
    <cellStyle name="Comma 3 4 2 5 3 4" xfId="9903" xr:uid="{2FEF582A-ED49-4585-88C8-28749DFF11AE}"/>
    <cellStyle name="Comma 3 4 2 5 3 4 2" xfId="46411" xr:uid="{8889EB81-75F5-465A-BB30-B355E382B7AE}"/>
    <cellStyle name="Comma 3 4 2 5 3 4 3" xfId="28157" xr:uid="{1B083391-B9C5-4367-A9E1-06F836F90F4D}"/>
    <cellStyle name="Comma 3 4 2 5 3 5" xfId="6253" xr:uid="{30519450-6546-4C41-9892-22E2D1D153E3}"/>
    <cellStyle name="Comma 3 4 2 5 3 5 2" xfId="42761" xr:uid="{4B459FE9-DEE0-4E8C-A324-86BCD8014D20}"/>
    <cellStyle name="Comma 3 4 2 5 3 5 3" xfId="24507" xr:uid="{949F321D-8508-4FDD-B8D6-017CEA825D38}"/>
    <cellStyle name="Comma 3 4 2 5 3 6" xfId="39111" xr:uid="{523B63E4-F582-4BA0-9CF9-5467A888F22B}"/>
    <cellStyle name="Comma 3 4 2 5 3 7" xfId="20857" xr:uid="{3BAC1CEB-C6B8-42A3-98FF-3A9A5774DF1E}"/>
    <cellStyle name="Comma 3 4 2 5 4" xfId="1873" xr:uid="{58617F63-52B8-4785-BB5D-3CF1C9EA72E3}"/>
    <cellStyle name="Comma 3 4 2 5 4 2" xfId="16473" xr:uid="{95113996-B690-44C6-B263-3477B4ADE721}"/>
    <cellStyle name="Comma 3 4 2 5 4 2 2" xfId="52981" xr:uid="{449E3CA8-CE3B-4BBF-8442-FF9BDB6E32C6}"/>
    <cellStyle name="Comma 3 4 2 5 4 2 3" xfId="34727" xr:uid="{869B7F61-B6CE-4F92-B0AA-5E24D5C87652}"/>
    <cellStyle name="Comma 3 4 2 5 4 3" xfId="12823" xr:uid="{97442707-4F1E-4DB8-B00E-A84119D09242}"/>
    <cellStyle name="Comma 3 4 2 5 4 3 2" xfId="49331" xr:uid="{C0910612-B24B-4C9B-9F5A-B5A0607739A4}"/>
    <cellStyle name="Comma 3 4 2 5 4 3 3" xfId="31077" xr:uid="{9F0E2EA6-2860-4BD7-A6B4-B296359AEC4A}"/>
    <cellStyle name="Comma 3 4 2 5 4 4" xfId="9173" xr:uid="{4EE44182-F8D5-434B-8F2C-948F0DFC2445}"/>
    <cellStyle name="Comma 3 4 2 5 4 4 2" xfId="45681" xr:uid="{1FB3A379-BDC1-454C-83F4-882CB8B8593A}"/>
    <cellStyle name="Comma 3 4 2 5 4 4 3" xfId="27427" xr:uid="{8075BB13-1C8D-45A0-A23F-FCE56C427685}"/>
    <cellStyle name="Comma 3 4 2 5 4 5" xfId="5523" xr:uid="{9D5AD991-307C-4C32-883E-FADF2955BAE4}"/>
    <cellStyle name="Comma 3 4 2 5 4 5 2" xfId="42031" xr:uid="{E1B5C90C-3649-477E-901D-2D338E92195B}"/>
    <cellStyle name="Comma 3 4 2 5 4 5 3" xfId="23777" xr:uid="{E476718E-FDF0-4EA1-B6AC-DE31233E28DA}"/>
    <cellStyle name="Comma 3 4 2 5 4 6" xfId="38381" xr:uid="{4C8748FC-6FA0-43DC-805A-FA3D7BDAF7F9}"/>
    <cellStyle name="Comma 3 4 2 5 4 7" xfId="20127" xr:uid="{3651F4CB-745D-4744-956B-89A9EC4D5132}"/>
    <cellStyle name="Comma 3 4 2 5 5" xfId="1143" xr:uid="{3FC6C319-3AEC-4C48-8D91-3ABDF2AAA12C}"/>
    <cellStyle name="Comma 3 4 2 5 5 2" xfId="15743" xr:uid="{F762728D-08B0-4C80-8794-583D43721D49}"/>
    <cellStyle name="Comma 3 4 2 5 5 2 2" xfId="52251" xr:uid="{FAE856AE-2CE4-42E4-8C92-40B96DB64688}"/>
    <cellStyle name="Comma 3 4 2 5 5 2 3" xfId="33997" xr:uid="{E6428383-7DCF-4640-9277-0262C8A5A9CF}"/>
    <cellStyle name="Comma 3 4 2 5 5 3" xfId="12093" xr:uid="{6458AB71-AC59-43DD-824B-D65B0CC32411}"/>
    <cellStyle name="Comma 3 4 2 5 5 3 2" xfId="48601" xr:uid="{61F9B221-DAB4-4532-B3E3-0AFAD5A39D5B}"/>
    <cellStyle name="Comma 3 4 2 5 5 3 3" xfId="30347" xr:uid="{ABF191FC-D490-492B-B57A-D9D57EBB5E4D}"/>
    <cellStyle name="Comma 3 4 2 5 5 4" xfId="8443" xr:uid="{1ACB778B-D93B-471A-97E1-87CDADD884B9}"/>
    <cellStyle name="Comma 3 4 2 5 5 4 2" xfId="44951" xr:uid="{3B8B7C72-C54A-4AFF-A48F-96CB634C6C25}"/>
    <cellStyle name="Comma 3 4 2 5 5 4 3" xfId="26697" xr:uid="{79B7728B-D21D-49F7-852C-491365036966}"/>
    <cellStyle name="Comma 3 4 2 5 5 5" xfId="4793" xr:uid="{D5A7FCD3-4E0C-4B64-9160-949029AC3E11}"/>
    <cellStyle name="Comma 3 4 2 5 5 5 2" xfId="41301" xr:uid="{A8C87FB3-0736-41BD-80FE-1E36DAC334C6}"/>
    <cellStyle name="Comma 3 4 2 5 5 5 3" xfId="23047" xr:uid="{81ECEE22-71CB-4BB8-B760-C19CF71B17D3}"/>
    <cellStyle name="Comma 3 4 2 5 5 6" xfId="37651" xr:uid="{83908D2F-B5F2-4B7B-A19A-BEA035450248}"/>
    <cellStyle name="Comma 3 4 2 5 5 7" xfId="19397" xr:uid="{EF9B535F-A75F-4062-B330-521266544666}"/>
    <cellStyle name="Comma 3 4 2 5 6" xfId="15013" xr:uid="{71385FF3-41DF-41C4-8A8F-6A93C0E3AAE0}"/>
    <cellStyle name="Comma 3 4 2 5 6 2" xfId="51521" xr:uid="{FC48DBBF-F1D3-4360-8046-197E9231B6E4}"/>
    <cellStyle name="Comma 3 4 2 5 6 3" xfId="33267" xr:uid="{AF565175-8FDB-4534-BE29-ACDD617092FE}"/>
    <cellStyle name="Comma 3 4 2 5 7" xfId="11363" xr:uid="{4DED1ECA-146B-4390-B8FE-173C761BD62B}"/>
    <cellStyle name="Comma 3 4 2 5 7 2" xfId="47871" xr:uid="{A3C3E3EE-CF3A-434F-BD3D-31EB8C0EB8B3}"/>
    <cellStyle name="Comma 3 4 2 5 7 3" xfId="29617" xr:uid="{60AD2FA0-B8AD-47CC-99D8-27EAFC0619FE}"/>
    <cellStyle name="Comma 3 4 2 5 8" xfId="7713" xr:uid="{ED863F08-C8A2-4AA9-B91E-FA8A1311C605}"/>
    <cellStyle name="Comma 3 4 2 5 8 2" xfId="44221" xr:uid="{32FDB87E-B899-4FCC-84F0-D330FBE7CF5E}"/>
    <cellStyle name="Comma 3 4 2 5 8 3" xfId="25967" xr:uid="{A8A7243F-C9E5-414A-AA8B-2AB6D58C9176}"/>
    <cellStyle name="Comma 3 4 2 5 9" xfId="4063" xr:uid="{083ECAB3-E530-45A6-9F92-ED6E1A57E6AC}"/>
    <cellStyle name="Comma 3 4 2 5 9 2" xfId="40571" xr:uid="{52460472-A58D-46D0-8AFC-2DC7362D0D2A}"/>
    <cellStyle name="Comma 3 4 2 5 9 3" xfId="22317" xr:uid="{A9748465-FB4D-48D8-9E1B-1797AE8AFC45}"/>
    <cellStyle name="Comma 3 4 2 6" xfId="309" xr:uid="{0C4AD548-1FFD-4CA9-B29E-3454589EADDD}"/>
    <cellStyle name="Comma 3 4 2 6 10" xfId="36817" xr:uid="{BE0DA4DE-5DD4-4567-808F-0BB2D213B57F}"/>
    <cellStyle name="Comma 3 4 2 6 11" xfId="18563" xr:uid="{195D8EB4-D8CB-47C6-82C3-BE3AA8F5FEBF}"/>
    <cellStyle name="Comma 3 4 2 6 2" xfId="3229" xr:uid="{45F79BA8-0DF1-4539-BD9B-A08542B62B90}"/>
    <cellStyle name="Comma 3 4 2 6 2 2" xfId="17829" xr:uid="{3E00A7ED-4728-4A9D-887A-937CC2481A57}"/>
    <cellStyle name="Comma 3 4 2 6 2 2 2" xfId="54337" xr:uid="{6E59F9E4-E24F-40B3-B85C-D3B0829F7C91}"/>
    <cellStyle name="Comma 3 4 2 6 2 2 3" xfId="36083" xr:uid="{6413F541-3590-4D8D-8264-65E509BE6224}"/>
    <cellStyle name="Comma 3 4 2 6 2 3" xfId="14179" xr:uid="{BEB91E29-A182-4FDD-AA1B-0CED6CFD3B4A}"/>
    <cellStyle name="Comma 3 4 2 6 2 3 2" xfId="50687" xr:uid="{4C4E8AB8-A0F4-4055-8706-0E567C1A42AA}"/>
    <cellStyle name="Comma 3 4 2 6 2 3 3" xfId="32433" xr:uid="{34253247-F281-48DE-B7F3-ABE3C6AB53D5}"/>
    <cellStyle name="Comma 3 4 2 6 2 4" xfId="10529" xr:uid="{1F33D94F-E3AC-4EE2-A6FF-CB0D1703275F}"/>
    <cellStyle name="Comma 3 4 2 6 2 4 2" xfId="47037" xr:uid="{DF3F73EF-C0B9-4398-ACC5-FD81E131933E}"/>
    <cellStyle name="Comma 3 4 2 6 2 4 3" xfId="28783" xr:uid="{7EABD422-37EB-4CF6-BFC5-AFC3C0586C9F}"/>
    <cellStyle name="Comma 3 4 2 6 2 5" xfId="6879" xr:uid="{F98E66E4-C6D0-4422-843C-03B3B374FAE9}"/>
    <cellStyle name="Comma 3 4 2 6 2 5 2" xfId="43387" xr:uid="{604A38E7-C081-4EAF-8A1C-B28BB3D29C3A}"/>
    <cellStyle name="Comma 3 4 2 6 2 5 3" xfId="25133" xr:uid="{74A1611A-B440-4EE9-83C0-A841ED13E90A}"/>
    <cellStyle name="Comma 3 4 2 6 2 6" xfId="39737" xr:uid="{E2A35FEE-6776-49FD-B167-62B7EC3D8D0E}"/>
    <cellStyle name="Comma 3 4 2 6 2 7" xfId="21483" xr:uid="{7722D649-8B7C-4B90-8166-864B4184DA58}"/>
    <cellStyle name="Comma 3 4 2 6 3" xfId="2499" xr:uid="{610161ED-EED3-4E9C-B2B3-C26DEB7190FF}"/>
    <cellStyle name="Comma 3 4 2 6 3 2" xfId="17099" xr:uid="{087BED5A-B737-4A07-8BC3-2B0F0D117D4A}"/>
    <cellStyle name="Comma 3 4 2 6 3 2 2" xfId="53607" xr:uid="{660D9662-17B0-4997-88BA-8D50C1CCD52C}"/>
    <cellStyle name="Comma 3 4 2 6 3 2 3" xfId="35353" xr:uid="{B0B1B102-7482-40AB-A8F9-2C9E72BF0E83}"/>
    <cellStyle name="Comma 3 4 2 6 3 3" xfId="13449" xr:uid="{3B515C3C-DB6F-4CAA-81C0-3545C60F4A4F}"/>
    <cellStyle name="Comma 3 4 2 6 3 3 2" xfId="49957" xr:uid="{F8B04D1C-3900-4D5D-B9A3-003C977F5C38}"/>
    <cellStyle name="Comma 3 4 2 6 3 3 3" xfId="31703" xr:uid="{EF9CB729-BD70-46C2-8EA2-51DFE630518E}"/>
    <cellStyle name="Comma 3 4 2 6 3 4" xfId="9799" xr:uid="{2C6E63D4-EDDE-42A1-9CB6-BFD4A204AEBA}"/>
    <cellStyle name="Comma 3 4 2 6 3 4 2" xfId="46307" xr:uid="{117DC364-C27D-44A6-9C75-CFFE268170A2}"/>
    <cellStyle name="Comma 3 4 2 6 3 4 3" xfId="28053" xr:uid="{6934C029-C55B-4C68-9DB9-37FDC3E3D9A0}"/>
    <cellStyle name="Comma 3 4 2 6 3 5" xfId="6149" xr:uid="{772071CB-4FBA-4683-9AE0-E0D301A83295}"/>
    <cellStyle name="Comma 3 4 2 6 3 5 2" xfId="42657" xr:uid="{CD5EB3C1-1F07-45A4-B529-DEE05FAE500B}"/>
    <cellStyle name="Comma 3 4 2 6 3 5 3" xfId="24403" xr:uid="{92915880-93D3-4224-B17D-4AED1B39787F}"/>
    <cellStyle name="Comma 3 4 2 6 3 6" xfId="39007" xr:uid="{A51CFFF0-8128-4272-9E08-1C1815C3B11E}"/>
    <cellStyle name="Comma 3 4 2 6 3 7" xfId="20753" xr:uid="{1EEEAAA4-2523-4A25-ACE4-4481F78EDC4A}"/>
    <cellStyle name="Comma 3 4 2 6 4" xfId="1769" xr:uid="{D9211969-94F4-4EEA-873E-5FE9ADF8D77D}"/>
    <cellStyle name="Comma 3 4 2 6 4 2" xfId="16369" xr:uid="{61085080-4E2D-4A6B-B782-8A36FB118469}"/>
    <cellStyle name="Comma 3 4 2 6 4 2 2" xfId="52877" xr:uid="{C7F0D971-9D29-43E2-B728-2843ED776DA9}"/>
    <cellStyle name="Comma 3 4 2 6 4 2 3" xfId="34623" xr:uid="{A5012766-7D82-40D4-9961-AD9AF2FEC95F}"/>
    <cellStyle name="Comma 3 4 2 6 4 3" xfId="12719" xr:uid="{D03DFFC2-8672-4538-8723-DFED867D1B2D}"/>
    <cellStyle name="Comma 3 4 2 6 4 3 2" xfId="49227" xr:uid="{0C79A710-BD9E-4079-B968-5C9866302A24}"/>
    <cellStyle name="Comma 3 4 2 6 4 3 3" xfId="30973" xr:uid="{EC28470B-EE55-4303-BA58-5D2FEB0E2CCF}"/>
    <cellStyle name="Comma 3 4 2 6 4 4" xfId="9069" xr:uid="{9DAE7A5D-7433-4AE4-93FF-77A436F1391D}"/>
    <cellStyle name="Comma 3 4 2 6 4 4 2" xfId="45577" xr:uid="{C73563D9-DDCA-4754-9E12-6633324D29BC}"/>
    <cellStyle name="Comma 3 4 2 6 4 4 3" xfId="27323" xr:uid="{945CFB28-154B-4B74-974A-EEDE7DE9F210}"/>
    <cellStyle name="Comma 3 4 2 6 4 5" xfId="5419" xr:uid="{34AC49BD-8406-4EFF-9843-02C4C9A07BC5}"/>
    <cellStyle name="Comma 3 4 2 6 4 5 2" xfId="41927" xr:uid="{A30642FD-2EDB-4EA2-AFF1-52F1C0802ED5}"/>
    <cellStyle name="Comma 3 4 2 6 4 5 3" xfId="23673" xr:uid="{F089D995-84C4-4482-97C6-C0AC48259EF9}"/>
    <cellStyle name="Comma 3 4 2 6 4 6" xfId="38277" xr:uid="{BB0D652D-60D2-4C99-AF84-44573C9A0EB1}"/>
    <cellStyle name="Comma 3 4 2 6 4 7" xfId="20023" xr:uid="{DFB8ACB9-BBE9-40D4-A9C8-A31A19295569}"/>
    <cellStyle name="Comma 3 4 2 6 5" xfId="1039" xr:uid="{01B88C35-875D-403F-83C0-C0D2058FDEDB}"/>
    <cellStyle name="Comma 3 4 2 6 5 2" xfId="15639" xr:uid="{A52AA7F8-3FF8-4FCD-B263-77A08C282C8E}"/>
    <cellStyle name="Comma 3 4 2 6 5 2 2" xfId="52147" xr:uid="{1784D175-D234-4020-A8D1-2A43824A09BC}"/>
    <cellStyle name="Comma 3 4 2 6 5 2 3" xfId="33893" xr:uid="{C3227747-572F-4A41-85F8-C314B81F1B08}"/>
    <cellStyle name="Comma 3 4 2 6 5 3" xfId="11989" xr:uid="{2092C63C-0610-4711-87E0-AE95A02E24E1}"/>
    <cellStyle name="Comma 3 4 2 6 5 3 2" xfId="48497" xr:uid="{EC5E3F55-609B-46C8-A2ED-14AB1FE5DA69}"/>
    <cellStyle name="Comma 3 4 2 6 5 3 3" xfId="30243" xr:uid="{1C71D3F7-3AD7-439D-A7D9-825CC96B87AC}"/>
    <cellStyle name="Comma 3 4 2 6 5 4" xfId="8339" xr:uid="{E8BBBDFD-DEA5-45E9-976C-A79FEE607E2C}"/>
    <cellStyle name="Comma 3 4 2 6 5 4 2" xfId="44847" xr:uid="{817DE57E-2131-4ACB-95CD-E3EE9B557BF4}"/>
    <cellStyle name="Comma 3 4 2 6 5 4 3" xfId="26593" xr:uid="{FEAEA1E3-D969-4504-AFB2-F1C08ECF49E9}"/>
    <cellStyle name="Comma 3 4 2 6 5 5" xfId="4689" xr:uid="{B3378983-5712-4897-98DA-3C5D4439B29A}"/>
    <cellStyle name="Comma 3 4 2 6 5 5 2" xfId="41197" xr:uid="{D945FABD-9DD1-4F99-8425-885D16DE34B7}"/>
    <cellStyle name="Comma 3 4 2 6 5 5 3" xfId="22943" xr:uid="{F79564D3-183E-4B58-B097-9B3B7E0FD81A}"/>
    <cellStyle name="Comma 3 4 2 6 5 6" xfId="37547" xr:uid="{A7C9DC55-B803-4A4D-AA95-4660214C5329}"/>
    <cellStyle name="Comma 3 4 2 6 5 7" xfId="19293" xr:uid="{9F3A4234-6FDA-47EF-BB94-6DD8D6808209}"/>
    <cellStyle name="Comma 3 4 2 6 6" xfId="14909" xr:uid="{A14FFFE8-E353-45F5-B23F-FCCC7468B039}"/>
    <cellStyle name="Comma 3 4 2 6 6 2" xfId="51417" xr:uid="{F12DECFB-A388-40B0-B67E-82E3BFD65EF1}"/>
    <cellStyle name="Comma 3 4 2 6 6 3" xfId="33163" xr:uid="{18035440-A6E7-419A-983F-F6075352AF59}"/>
    <cellStyle name="Comma 3 4 2 6 7" xfId="11259" xr:uid="{D74FB858-6456-431E-839C-6A7E8630C2F1}"/>
    <cellStyle name="Comma 3 4 2 6 7 2" xfId="47767" xr:uid="{8CEE58A5-AA6C-442E-BE09-E27F94828444}"/>
    <cellStyle name="Comma 3 4 2 6 7 3" xfId="29513" xr:uid="{A4881934-8FAF-43F5-83EC-6CC91748765F}"/>
    <cellStyle name="Comma 3 4 2 6 8" xfId="7609" xr:uid="{7BF2B85F-FA45-4B9E-BC1D-089064F121A0}"/>
    <cellStyle name="Comma 3 4 2 6 8 2" xfId="44117" xr:uid="{E72A4D57-5B62-470E-830C-A657187E2648}"/>
    <cellStyle name="Comma 3 4 2 6 8 3" xfId="25863" xr:uid="{895584EA-8A43-44C4-AC19-E4DA9AB32437}"/>
    <cellStyle name="Comma 3 4 2 6 9" xfId="3959" xr:uid="{EEC70E85-2096-41D5-A839-A96F06FCD350}"/>
    <cellStyle name="Comma 3 4 2 6 9 2" xfId="40467" xr:uid="{804FDA7A-D48B-4352-9A0D-9FAF822379AC}"/>
    <cellStyle name="Comma 3 4 2 6 9 3" xfId="22213" xr:uid="{D8B78E5B-7C82-4361-80E9-880416A9FD33}"/>
    <cellStyle name="Comma 3 4 2 7" xfId="205" xr:uid="{38D0C853-8082-43D0-9DAC-AA1E3856AE3B}"/>
    <cellStyle name="Comma 3 4 2 7 10" xfId="36713" xr:uid="{B86AF520-C874-4360-8043-3E0E490BE627}"/>
    <cellStyle name="Comma 3 4 2 7 11" xfId="18459" xr:uid="{8CAACFE5-DF33-44D7-8CE6-EA8882922FEB}"/>
    <cellStyle name="Comma 3 4 2 7 2" xfId="3125" xr:uid="{B6B1D5E4-F94F-4603-9E95-8F632C49503A}"/>
    <cellStyle name="Comma 3 4 2 7 2 2" xfId="17725" xr:uid="{1EFAF246-E2CE-4E8C-BCE6-DBAD8C7A6854}"/>
    <cellStyle name="Comma 3 4 2 7 2 2 2" xfId="54233" xr:uid="{226DE0E1-E3B2-4463-9145-D38C8C368985}"/>
    <cellStyle name="Comma 3 4 2 7 2 2 3" xfId="35979" xr:uid="{BD5945AE-8520-4DE3-B43F-6CD14BF55CDD}"/>
    <cellStyle name="Comma 3 4 2 7 2 3" xfId="14075" xr:uid="{2435CBAF-E787-4526-A5AE-1CCDDA9E49C3}"/>
    <cellStyle name="Comma 3 4 2 7 2 3 2" xfId="50583" xr:uid="{C4809903-7933-46AF-BD41-441778152644}"/>
    <cellStyle name="Comma 3 4 2 7 2 3 3" xfId="32329" xr:uid="{4B1B46C8-8060-4F08-9100-C8ABBA003F14}"/>
    <cellStyle name="Comma 3 4 2 7 2 4" xfId="10425" xr:uid="{906D289F-9068-44E3-9C45-B6BE00A4A77A}"/>
    <cellStyle name="Comma 3 4 2 7 2 4 2" xfId="46933" xr:uid="{2EF10CB7-E9A9-4E7D-A0DC-1EF246D29D3F}"/>
    <cellStyle name="Comma 3 4 2 7 2 4 3" xfId="28679" xr:uid="{58624620-0206-40D4-8D80-E394660B650C}"/>
    <cellStyle name="Comma 3 4 2 7 2 5" xfId="6775" xr:uid="{9C6453E0-EFE9-4648-9C4A-02EB09551A8D}"/>
    <cellStyle name="Comma 3 4 2 7 2 5 2" xfId="43283" xr:uid="{924EF7DE-2C6E-417D-9192-35A3A963AA4F}"/>
    <cellStyle name="Comma 3 4 2 7 2 5 3" xfId="25029" xr:uid="{EC689E6C-BED0-46D4-B64F-258A928DA883}"/>
    <cellStyle name="Comma 3 4 2 7 2 6" xfId="39633" xr:uid="{B070DA44-1454-4606-8DD8-3D51ADCA5FD2}"/>
    <cellStyle name="Comma 3 4 2 7 2 7" xfId="21379" xr:uid="{D8EA85D9-941E-4662-8623-EFC863ACC301}"/>
    <cellStyle name="Comma 3 4 2 7 3" xfId="2395" xr:uid="{13D3FEC6-5FE5-422F-8573-EFE16C34ECCB}"/>
    <cellStyle name="Comma 3 4 2 7 3 2" xfId="16995" xr:uid="{8CAE64B6-7EF6-4008-B471-3D05D9165660}"/>
    <cellStyle name="Comma 3 4 2 7 3 2 2" xfId="53503" xr:uid="{C63F15A7-9A76-48DC-A10D-5EBD23BF55E1}"/>
    <cellStyle name="Comma 3 4 2 7 3 2 3" xfId="35249" xr:uid="{79052F78-94F8-43EF-B634-45C062BE3D95}"/>
    <cellStyle name="Comma 3 4 2 7 3 3" xfId="13345" xr:uid="{4602DC77-4C32-4CC3-BEE9-3F2B6FE79DD6}"/>
    <cellStyle name="Comma 3 4 2 7 3 3 2" xfId="49853" xr:uid="{8CB3496F-3D6A-4464-A0C0-61D97CE201BB}"/>
    <cellStyle name="Comma 3 4 2 7 3 3 3" xfId="31599" xr:uid="{8B3D6769-CADF-4654-AF1D-143282349180}"/>
    <cellStyle name="Comma 3 4 2 7 3 4" xfId="9695" xr:uid="{A3DAAE56-E1D7-4812-9CE9-F4EBC4E17F5E}"/>
    <cellStyle name="Comma 3 4 2 7 3 4 2" xfId="46203" xr:uid="{6E5D9BBD-5C03-4EE4-B9E6-15988ED5FC1F}"/>
    <cellStyle name="Comma 3 4 2 7 3 4 3" xfId="27949" xr:uid="{0C584F82-A568-49BF-91A9-A5D47EBEA303}"/>
    <cellStyle name="Comma 3 4 2 7 3 5" xfId="6045" xr:uid="{328E20E1-3961-4F0C-B726-045B658B2657}"/>
    <cellStyle name="Comma 3 4 2 7 3 5 2" xfId="42553" xr:uid="{D74D9E95-C20F-454D-B9AE-5EC85FFFD584}"/>
    <cellStyle name="Comma 3 4 2 7 3 5 3" xfId="24299" xr:uid="{5A79105A-8106-47F3-A722-579547E89A4E}"/>
    <cellStyle name="Comma 3 4 2 7 3 6" xfId="38903" xr:uid="{94DA6723-3B22-4B29-BF5C-089502CD6D73}"/>
    <cellStyle name="Comma 3 4 2 7 3 7" xfId="20649" xr:uid="{FD80F1FC-4B88-4E12-A2C1-B7BD400F71C1}"/>
    <cellStyle name="Comma 3 4 2 7 4" xfId="1665" xr:uid="{FE49EF17-97D5-4D25-81FE-AF313D8EFC57}"/>
    <cellStyle name="Comma 3 4 2 7 4 2" xfId="16265" xr:uid="{9B1CAA15-CAAE-4D2F-AF52-2771CBE8CD57}"/>
    <cellStyle name="Comma 3 4 2 7 4 2 2" xfId="52773" xr:uid="{55487452-34CE-4F49-B1B3-2891C88C6FD6}"/>
    <cellStyle name="Comma 3 4 2 7 4 2 3" xfId="34519" xr:uid="{DDDB9DBD-D669-4465-BE7E-3BFA58B33A0B}"/>
    <cellStyle name="Comma 3 4 2 7 4 3" xfId="12615" xr:uid="{CBF50A81-B474-40DE-805A-96BBC8BD8150}"/>
    <cellStyle name="Comma 3 4 2 7 4 3 2" xfId="49123" xr:uid="{31BDAAEF-E384-4A85-BAC9-98FC92D6AA72}"/>
    <cellStyle name="Comma 3 4 2 7 4 3 3" xfId="30869" xr:uid="{398C2D58-D1D2-475E-ABBD-C3BB5B9FBD43}"/>
    <cellStyle name="Comma 3 4 2 7 4 4" xfId="8965" xr:uid="{D6CAE397-4688-4D04-85E3-5831CEC3E851}"/>
    <cellStyle name="Comma 3 4 2 7 4 4 2" xfId="45473" xr:uid="{6A80B883-FD88-4224-A835-3B2C9FD4DD52}"/>
    <cellStyle name="Comma 3 4 2 7 4 4 3" xfId="27219" xr:uid="{57F0C712-AF3C-4EE0-A3B5-C2B705A4C30E}"/>
    <cellStyle name="Comma 3 4 2 7 4 5" xfId="5315" xr:uid="{0C8AC981-8676-4B15-95A0-3755390F8830}"/>
    <cellStyle name="Comma 3 4 2 7 4 5 2" xfId="41823" xr:uid="{D0777767-4297-494D-AFE2-30F27EAD49B2}"/>
    <cellStyle name="Comma 3 4 2 7 4 5 3" xfId="23569" xr:uid="{2F4CB266-E73F-475A-9568-240F1AE12582}"/>
    <cellStyle name="Comma 3 4 2 7 4 6" xfId="38173" xr:uid="{506D1016-CD74-4FC4-9362-4F00F104DE1B}"/>
    <cellStyle name="Comma 3 4 2 7 4 7" xfId="19919" xr:uid="{627DCC76-0A9A-4017-9279-64FCE68EE31D}"/>
    <cellStyle name="Comma 3 4 2 7 5" xfId="935" xr:uid="{D7F493C3-86E1-46ED-8FE6-A73401396DF3}"/>
    <cellStyle name="Comma 3 4 2 7 5 2" xfId="15535" xr:uid="{264F9EC9-E4AA-467D-AF49-DCFE8400DAFF}"/>
    <cellStyle name="Comma 3 4 2 7 5 2 2" xfId="52043" xr:uid="{D3D9AACC-30C9-4FA7-8212-256B6B6DF8C6}"/>
    <cellStyle name="Comma 3 4 2 7 5 2 3" xfId="33789" xr:uid="{C204E441-B8A1-4CDE-AB81-159DBF0179DA}"/>
    <cellStyle name="Comma 3 4 2 7 5 3" xfId="11885" xr:uid="{2511B2C6-614A-4624-BD25-D83E550BEFC1}"/>
    <cellStyle name="Comma 3 4 2 7 5 3 2" xfId="48393" xr:uid="{97D0845F-B33F-4FB7-977F-CBE99489C1D7}"/>
    <cellStyle name="Comma 3 4 2 7 5 3 3" xfId="30139" xr:uid="{72C804F3-F667-4BCE-BA76-27FA8C58FD0E}"/>
    <cellStyle name="Comma 3 4 2 7 5 4" xfId="8235" xr:uid="{2355BEDE-6C18-4B22-A1F2-2764A3A5F0B6}"/>
    <cellStyle name="Comma 3 4 2 7 5 4 2" xfId="44743" xr:uid="{F27653D1-A68E-4FEE-9D44-9308202A6487}"/>
    <cellStyle name="Comma 3 4 2 7 5 4 3" xfId="26489" xr:uid="{6E9CE724-64A9-4923-B5D9-486D7F31087C}"/>
    <cellStyle name="Comma 3 4 2 7 5 5" xfId="4585" xr:uid="{41B211E4-891D-494B-B26E-246270D995E3}"/>
    <cellStyle name="Comma 3 4 2 7 5 5 2" xfId="41093" xr:uid="{2A6703A7-2399-4554-89AC-98BA27251906}"/>
    <cellStyle name="Comma 3 4 2 7 5 5 3" xfId="22839" xr:uid="{040FE508-DB1B-4E31-A0EB-45360067A064}"/>
    <cellStyle name="Comma 3 4 2 7 5 6" xfId="37443" xr:uid="{9346A273-97E6-450E-924F-B7EAAD860BBE}"/>
    <cellStyle name="Comma 3 4 2 7 5 7" xfId="19189" xr:uid="{6231B7C3-F57B-4F7B-ADA9-B391BF44D41B}"/>
    <cellStyle name="Comma 3 4 2 7 6" xfId="14805" xr:uid="{04A26655-FA80-4BAD-A030-D81B604F6976}"/>
    <cellStyle name="Comma 3 4 2 7 6 2" xfId="51313" xr:uid="{497CF94A-91A1-4652-B713-41D8652CEDA6}"/>
    <cellStyle name="Comma 3 4 2 7 6 3" xfId="33059" xr:uid="{E153E03F-5308-4583-9FD6-87A36A371317}"/>
    <cellStyle name="Comma 3 4 2 7 7" xfId="11155" xr:uid="{1073E603-0F2F-4729-A783-34773D92F588}"/>
    <cellStyle name="Comma 3 4 2 7 7 2" xfId="47663" xr:uid="{53D13E40-0347-4E61-B429-FE22C9F9AFDD}"/>
    <cellStyle name="Comma 3 4 2 7 7 3" xfId="29409" xr:uid="{E186F9A7-F122-4556-BE82-DBCA079AA569}"/>
    <cellStyle name="Comma 3 4 2 7 8" xfId="7505" xr:uid="{24EEACAE-8219-44B4-84CD-C22E1DA8981D}"/>
    <cellStyle name="Comma 3 4 2 7 8 2" xfId="44013" xr:uid="{D1DF8E42-555F-48B3-A852-8C05928CF27F}"/>
    <cellStyle name="Comma 3 4 2 7 8 3" xfId="25759" xr:uid="{988421A9-189E-4C21-9763-BBB49C153D44}"/>
    <cellStyle name="Comma 3 4 2 7 9" xfId="3855" xr:uid="{D51CED4F-45C4-4A80-9D89-7E349AC2A394}"/>
    <cellStyle name="Comma 3 4 2 7 9 2" xfId="40363" xr:uid="{57DAF367-E785-4268-9F9D-7DC58CBFF447}"/>
    <cellStyle name="Comma 3 4 2 7 9 3" xfId="22109" xr:uid="{241A2EF8-22F9-405A-A823-AF5B83E955C0}"/>
    <cellStyle name="Comma 3 4 2 8" xfId="3021" xr:uid="{5163B7B0-E560-4CB5-BB65-7FE20E5FFEBB}"/>
    <cellStyle name="Comma 3 4 2 8 2" xfId="17621" xr:uid="{61122EF9-23C0-40E1-ADD6-27540049C33B}"/>
    <cellStyle name="Comma 3 4 2 8 2 2" xfId="54129" xr:uid="{B8E3EF18-AEE5-4ADC-AD15-54326F94AF29}"/>
    <cellStyle name="Comma 3 4 2 8 2 3" xfId="35875" xr:uid="{744AAA5F-5A9A-4CFA-B22D-EA2BA065072F}"/>
    <cellStyle name="Comma 3 4 2 8 3" xfId="13971" xr:uid="{FD9B687A-7F88-4BED-82F6-86FE647B9803}"/>
    <cellStyle name="Comma 3 4 2 8 3 2" xfId="50479" xr:uid="{A56C4F45-7AA7-47E1-B45C-A23065001636}"/>
    <cellStyle name="Comma 3 4 2 8 3 3" xfId="32225" xr:uid="{10D051D6-1B57-4454-AE69-D727164B61D0}"/>
    <cellStyle name="Comma 3 4 2 8 4" xfId="10321" xr:uid="{04435961-E2E3-4716-89DF-A2849DB08B77}"/>
    <cellStyle name="Comma 3 4 2 8 4 2" xfId="46829" xr:uid="{424E95CC-5557-4549-9B00-52E9F52B7C7D}"/>
    <cellStyle name="Comma 3 4 2 8 4 3" xfId="28575" xr:uid="{E77069A7-4745-47F0-80D6-989F633138A2}"/>
    <cellStyle name="Comma 3 4 2 8 5" xfId="6671" xr:uid="{03969335-FC0A-4352-96A6-4D89A6C6E3CD}"/>
    <cellStyle name="Comma 3 4 2 8 5 2" xfId="43179" xr:uid="{7456E239-01E5-446C-A4B0-4F6CDC25BC37}"/>
    <cellStyle name="Comma 3 4 2 8 5 3" xfId="24925" xr:uid="{7B4139BF-573C-4D20-A158-0A159D3B2B82}"/>
    <cellStyle name="Comma 3 4 2 8 6" xfId="39529" xr:uid="{99C7970C-BDE1-47BD-BD3A-E9400AB74A9B}"/>
    <cellStyle name="Comma 3 4 2 8 7" xfId="21275" xr:uid="{7C6CA9C2-792C-468A-ABCE-9A83B3FB4CA0}"/>
    <cellStyle name="Comma 3 4 2 9" xfId="2291" xr:uid="{F573DA64-A7F4-4FC5-A4FB-E9FE5A766DC5}"/>
    <cellStyle name="Comma 3 4 2 9 2" xfId="16891" xr:uid="{9B489A03-7088-4DA8-BE1E-81AFE97E5190}"/>
    <cellStyle name="Comma 3 4 2 9 2 2" xfId="53399" xr:uid="{F9849D8E-D420-4B65-8218-75E1287C2734}"/>
    <cellStyle name="Comma 3 4 2 9 2 3" xfId="35145" xr:uid="{61FD15F7-20E6-4D2E-9968-69DFF647402F}"/>
    <cellStyle name="Comma 3 4 2 9 3" xfId="13241" xr:uid="{18E77E10-19AD-4439-8A90-51B6B985FEB6}"/>
    <cellStyle name="Comma 3 4 2 9 3 2" xfId="49749" xr:uid="{49B6B5B8-D9A0-45EA-BA28-00DBAE907DC4}"/>
    <cellStyle name="Comma 3 4 2 9 3 3" xfId="31495" xr:uid="{808334E0-17BD-4047-A80F-3DB7A540C2A1}"/>
    <cellStyle name="Comma 3 4 2 9 4" xfId="9591" xr:uid="{840FEA45-55E1-45C1-BC0D-F9B3FE497912}"/>
    <cellStyle name="Comma 3 4 2 9 4 2" xfId="46099" xr:uid="{B6FBDEBF-16A0-48C0-9615-4499DE2BD3E4}"/>
    <cellStyle name="Comma 3 4 2 9 4 3" xfId="27845" xr:uid="{79BC9D2F-EE6F-4B33-93D1-99361A61FED1}"/>
    <cellStyle name="Comma 3 4 2 9 5" xfId="5941" xr:uid="{199C90ED-932C-47A2-ABCC-F011B41AE4EA}"/>
    <cellStyle name="Comma 3 4 2 9 5 2" xfId="42449" xr:uid="{E219E3DD-F8DF-490B-989D-5B7890489159}"/>
    <cellStyle name="Comma 3 4 2 9 5 3" xfId="24195" xr:uid="{0ACC7A69-2148-41ED-AB57-B71E64C0FC0A}"/>
    <cellStyle name="Comma 3 4 2 9 6" xfId="38799" xr:uid="{F9705327-4D3B-45AD-9144-342B3ED4F585}"/>
    <cellStyle name="Comma 3 4 2 9 7" xfId="20545" xr:uid="{540307D6-E9CC-4F18-8AEE-88224E03D8A6}"/>
    <cellStyle name="Comma 3 4 3" xfId="66" xr:uid="{2FEE2C86-1E4D-46C2-B2EA-8D73B1FA254D}"/>
    <cellStyle name="Comma 3 4 3 10" xfId="1529" xr:uid="{6339A010-F9E9-4EF2-ABEB-8DC6C8E1FDCD}"/>
    <cellStyle name="Comma 3 4 3 10 2" xfId="16129" xr:uid="{DF5323DC-A726-46E1-95C1-A6B6A46F88A0}"/>
    <cellStyle name="Comma 3 4 3 10 2 2" xfId="52637" xr:uid="{2D403E21-BBC3-4F20-B74C-F44F3AE5B6FB}"/>
    <cellStyle name="Comma 3 4 3 10 2 3" xfId="34383" xr:uid="{29336F5F-D52D-4EFF-B99E-BEFFBD23B46F}"/>
    <cellStyle name="Comma 3 4 3 10 3" xfId="12479" xr:uid="{283AFECA-A280-4877-8D96-9A224E7EDF96}"/>
    <cellStyle name="Comma 3 4 3 10 3 2" xfId="48987" xr:uid="{D7E03AD8-4E8D-435F-9DDD-AEBCC0B54897}"/>
    <cellStyle name="Comma 3 4 3 10 3 3" xfId="30733" xr:uid="{6C3FE6C6-F59D-4BDA-B295-07E8B042E2A0}"/>
    <cellStyle name="Comma 3 4 3 10 4" xfId="8829" xr:uid="{8D299BDC-093A-4C49-BD24-162F9EC03A58}"/>
    <cellStyle name="Comma 3 4 3 10 4 2" xfId="45337" xr:uid="{85340784-FA6F-4E34-9933-5BD1CA5134E4}"/>
    <cellStyle name="Comma 3 4 3 10 4 3" xfId="27083" xr:uid="{B4783440-1C1B-468B-9082-27918CEC20F5}"/>
    <cellStyle name="Comma 3 4 3 10 5" xfId="5179" xr:uid="{CA291BC2-A4F6-45EC-B0A6-319F05DE0827}"/>
    <cellStyle name="Comma 3 4 3 10 5 2" xfId="41687" xr:uid="{2EE74C50-566C-485A-B729-81A1831F81AD}"/>
    <cellStyle name="Comma 3 4 3 10 5 3" xfId="23433" xr:uid="{6C992441-F401-4D8D-B947-C53A59EC8D04}"/>
    <cellStyle name="Comma 3 4 3 10 6" xfId="38037" xr:uid="{2CAA4128-E6FB-421F-9954-4DC2D8A0E2A8}"/>
    <cellStyle name="Comma 3 4 3 10 7" xfId="19783" xr:uid="{B3C04D16-2DCD-4C0F-BD8C-2967BD9F7C2F}"/>
    <cellStyle name="Comma 3 4 3 11" xfId="799" xr:uid="{3B123169-386A-4AFC-A6FE-E9BE5AC94750}"/>
    <cellStyle name="Comma 3 4 3 11 2" xfId="15399" xr:uid="{6F69CB50-046E-4F24-B0A2-A5E5A968D113}"/>
    <cellStyle name="Comma 3 4 3 11 2 2" xfId="51907" xr:uid="{DBC3FE7E-A4E7-43AC-A9E5-1FF77C886B17}"/>
    <cellStyle name="Comma 3 4 3 11 2 3" xfId="33653" xr:uid="{B6E8B90C-8F77-4899-91D9-7FBBAE63B12B}"/>
    <cellStyle name="Comma 3 4 3 11 3" xfId="11749" xr:uid="{F48EC2A9-A8DC-4E0E-ABB5-E850E0240145}"/>
    <cellStyle name="Comma 3 4 3 11 3 2" xfId="48257" xr:uid="{7CFBCDD8-885C-4F91-811A-0A37FCCE7920}"/>
    <cellStyle name="Comma 3 4 3 11 3 3" xfId="30003" xr:uid="{1D572D82-2F42-4CBC-9D35-A84F134CA02F}"/>
    <cellStyle name="Comma 3 4 3 11 4" xfId="8099" xr:uid="{DD1C00EC-600B-43F5-99DC-59D8FAF10A49}"/>
    <cellStyle name="Comma 3 4 3 11 4 2" xfId="44607" xr:uid="{FB938EBF-4178-4AF4-B37A-6E21472BDB93}"/>
    <cellStyle name="Comma 3 4 3 11 4 3" xfId="26353" xr:uid="{58F19BB6-EF5E-41ED-9C68-FE071FC926B8}"/>
    <cellStyle name="Comma 3 4 3 11 5" xfId="4449" xr:uid="{8537EB6B-A643-48CE-AD01-7EFE85A3BA01}"/>
    <cellStyle name="Comma 3 4 3 11 5 2" xfId="40957" xr:uid="{E91D18FA-66A0-4887-B407-7BEFD3E0DDD5}"/>
    <cellStyle name="Comma 3 4 3 11 5 3" xfId="22703" xr:uid="{0BF4D614-C4DF-4A79-83B3-9064BC90FF54}"/>
    <cellStyle name="Comma 3 4 3 11 6" xfId="37307" xr:uid="{C807E346-2185-41E9-B459-573B56460A63}"/>
    <cellStyle name="Comma 3 4 3 11 7" xfId="19053" xr:uid="{82344F9E-69FF-471A-B327-057896729CAD}"/>
    <cellStyle name="Comma 3 4 3 12" xfId="14669" xr:uid="{945E7574-13E6-4FBA-A44D-878A3A0574DB}"/>
    <cellStyle name="Comma 3 4 3 12 2" xfId="51177" xr:uid="{E9BCFACA-BBF3-4F96-BE6E-A4F7C34384F6}"/>
    <cellStyle name="Comma 3 4 3 12 3" xfId="32923" xr:uid="{C22DEC1D-49C9-444F-A522-435AEBBA5BB6}"/>
    <cellStyle name="Comma 3 4 3 13" xfId="11019" xr:uid="{4706AC4F-6A37-45C0-AD15-127F26B7D73F}"/>
    <cellStyle name="Comma 3 4 3 13 2" xfId="47527" xr:uid="{05E25DFF-85D2-4FE7-8BD0-F897C4C79B65}"/>
    <cellStyle name="Comma 3 4 3 13 3" xfId="29273" xr:uid="{F3865951-6668-440A-B94C-7B3B899B379E}"/>
    <cellStyle name="Comma 3 4 3 14" xfId="7369" xr:uid="{5E87DE02-521B-47F2-9526-688976A02DC8}"/>
    <cellStyle name="Comma 3 4 3 14 2" xfId="43877" xr:uid="{C2C0369E-3D6A-4DE0-9796-6559E28D8BAA}"/>
    <cellStyle name="Comma 3 4 3 14 3" xfId="25623" xr:uid="{DD29C2B1-C031-4A6A-B486-9D6F0FAF4E18}"/>
    <cellStyle name="Comma 3 4 3 15" xfId="3719" xr:uid="{07A7CF88-85E1-45EA-9CF4-3378C649D5A0}"/>
    <cellStyle name="Comma 3 4 3 15 2" xfId="40227" xr:uid="{B63C26B3-C387-4F55-90D6-BDE38CCEF6DE}"/>
    <cellStyle name="Comma 3 4 3 15 3" xfId="21973" xr:uid="{B4847A03-23EB-49C2-B752-28DF9A3AC0E0}"/>
    <cellStyle name="Comma 3 4 3 16" xfId="36577" xr:uid="{FC046C11-9A8D-468F-895F-DC6803E52144}"/>
    <cellStyle name="Comma 3 4 3 17" xfId="18323" xr:uid="{BE1DC0FA-B57A-4334-970A-F70C96DD5676}"/>
    <cellStyle name="Comma 3 4 3 2" xfId="693" xr:uid="{B9569A9B-E02F-49F9-9E88-9856D53AD038}"/>
    <cellStyle name="Comma 3 4 3 2 10" xfId="37201" xr:uid="{4D73E027-634F-497E-9707-D6EA7BE68994}"/>
    <cellStyle name="Comma 3 4 3 2 11" xfId="18947" xr:uid="{573A57C1-F5D2-45D4-9378-BFD43E74888C}"/>
    <cellStyle name="Comma 3 4 3 2 2" xfId="3613" xr:uid="{D4B58759-1977-4061-AD94-92C756E40F33}"/>
    <cellStyle name="Comma 3 4 3 2 2 2" xfId="18213" xr:uid="{EAF1A084-1972-48E1-93BB-F973393D581C}"/>
    <cellStyle name="Comma 3 4 3 2 2 2 2" xfId="54721" xr:uid="{FDC600CD-8155-4D00-87E6-F764B348B5B7}"/>
    <cellStyle name="Comma 3 4 3 2 2 2 3" xfId="36467" xr:uid="{F6DDD3FE-C872-4079-A71B-5DDD4616F5ED}"/>
    <cellStyle name="Comma 3 4 3 2 2 3" xfId="14563" xr:uid="{AA9F7D98-E57C-412E-A64C-9241D9C530E3}"/>
    <cellStyle name="Comma 3 4 3 2 2 3 2" xfId="51071" xr:uid="{829239C1-EC1F-43F5-A607-FBA135FFCD95}"/>
    <cellStyle name="Comma 3 4 3 2 2 3 3" xfId="32817" xr:uid="{EE11AC89-86D1-4DC8-9B9C-B57D5E4323E2}"/>
    <cellStyle name="Comma 3 4 3 2 2 4" xfId="10913" xr:uid="{B31B05E2-EDA0-4FFE-B13B-39E0BA6B4DCF}"/>
    <cellStyle name="Comma 3 4 3 2 2 4 2" xfId="47421" xr:uid="{55CDB39D-64FC-4F4D-B199-2534C3045ED0}"/>
    <cellStyle name="Comma 3 4 3 2 2 4 3" xfId="29167" xr:uid="{0EBE8927-E631-4100-AEB7-FF22B62FB3AC}"/>
    <cellStyle name="Comma 3 4 3 2 2 5" xfId="7263" xr:uid="{A44EC385-8582-46B6-8FB3-F8C0E9799F69}"/>
    <cellStyle name="Comma 3 4 3 2 2 5 2" xfId="43771" xr:uid="{F99C119A-9499-4B63-B7E1-3241E501BC5E}"/>
    <cellStyle name="Comma 3 4 3 2 2 5 3" xfId="25517" xr:uid="{6773A8AE-9E43-4019-8AA7-B92AD89DA01B}"/>
    <cellStyle name="Comma 3 4 3 2 2 6" xfId="40121" xr:uid="{734EA410-69F6-46CB-A08D-693ADEF895C3}"/>
    <cellStyle name="Comma 3 4 3 2 2 7" xfId="21867" xr:uid="{371D88FA-5A75-43B8-9277-B2D8104308BB}"/>
    <cellStyle name="Comma 3 4 3 2 3" xfId="2883" xr:uid="{D28DFCE0-DAB5-441E-87B4-B80F1D97FA57}"/>
    <cellStyle name="Comma 3 4 3 2 3 2" xfId="17483" xr:uid="{6EA07039-7246-4D98-9D51-3AA76EF4EFBD}"/>
    <cellStyle name="Comma 3 4 3 2 3 2 2" xfId="53991" xr:uid="{CF843644-BBA4-49FF-AD52-1A54F3B499DA}"/>
    <cellStyle name="Comma 3 4 3 2 3 2 3" xfId="35737" xr:uid="{23FC6B76-052E-46A1-AB44-B6A619806DBD}"/>
    <cellStyle name="Comma 3 4 3 2 3 3" xfId="13833" xr:uid="{5DBC58F1-2046-4461-8802-55DFAB164E13}"/>
    <cellStyle name="Comma 3 4 3 2 3 3 2" xfId="50341" xr:uid="{4BF2C0BF-571C-4069-98E1-FB2AE24969FB}"/>
    <cellStyle name="Comma 3 4 3 2 3 3 3" xfId="32087" xr:uid="{E34332C1-57FD-41D6-9F4E-5D24A27D4F3D}"/>
    <cellStyle name="Comma 3 4 3 2 3 4" xfId="10183" xr:uid="{C42EE958-68C6-49C8-89F3-E759A7CC3552}"/>
    <cellStyle name="Comma 3 4 3 2 3 4 2" xfId="46691" xr:uid="{E89E26C7-C732-47EB-AC18-98ECE41F1C58}"/>
    <cellStyle name="Comma 3 4 3 2 3 4 3" xfId="28437" xr:uid="{C9B79454-602A-44EB-9ABA-67A77F8F6C53}"/>
    <cellStyle name="Comma 3 4 3 2 3 5" xfId="6533" xr:uid="{DB06AB1D-024A-4149-8307-272B5D061CF9}"/>
    <cellStyle name="Comma 3 4 3 2 3 5 2" xfId="43041" xr:uid="{F0640F5E-7CA7-4503-8577-B40DA5994F96}"/>
    <cellStyle name="Comma 3 4 3 2 3 5 3" xfId="24787" xr:uid="{C6A14812-3D04-4ACE-8B2A-CAE29D7E702E}"/>
    <cellStyle name="Comma 3 4 3 2 3 6" xfId="39391" xr:uid="{7013A3AC-05E1-47D7-8DC7-2B756DE3EC8C}"/>
    <cellStyle name="Comma 3 4 3 2 3 7" xfId="21137" xr:uid="{EEC1B0C3-10A7-445B-A53A-FA0A6303CB2D}"/>
    <cellStyle name="Comma 3 4 3 2 4" xfId="2153" xr:uid="{E23301F9-7C4A-4C9F-B19E-C0E25A0EC924}"/>
    <cellStyle name="Comma 3 4 3 2 4 2" xfId="16753" xr:uid="{6354EAAB-E7AC-48B3-AE1E-3B439993E6B1}"/>
    <cellStyle name="Comma 3 4 3 2 4 2 2" xfId="53261" xr:uid="{FEAADCC8-69DB-4770-8455-2624FE08F7BC}"/>
    <cellStyle name="Comma 3 4 3 2 4 2 3" xfId="35007" xr:uid="{610B035C-C7DB-485C-B246-9BBE2D5316ED}"/>
    <cellStyle name="Comma 3 4 3 2 4 3" xfId="13103" xr:uid="{1A29CE33-8335-4BF8-B16D-3C2D5047954C}"/>
    <cellStyle name="Comma 3 4 3 2 4 3 2" xfId="49611" xr:uid="{38494C4F-0E9A-4936-AF7B-9D31BE6D0E4A}"/>
    <cellStyle name="Comma 3 4 3 2 4 3 3" xfId="31357" xr:uid="{051AF253-7FA6-4F82-8421-094E3F72B5CD}"/>
    <cellStyle name="Comma 3 4 3 2 4 4" xfId="9453" xr:uid="{A13237C6-762D-43BE-B5AD-3CEBA0ACD16D}"/>
    <cellStyle name="Comma 3 4 3 2 4 4 2" xfId="45961" xr:uid="{0104117D-CA33-4CE9-A170-F7478776FD9F}"/>
    <cellStyle name="Comma 3 4 3 2 4 4 3" xfId="27707" xr:uid="{9BF4621B-E405-40E6-B2D2-904C3F9D3B21}"/>
    <cellStyle name="Comma 3 4 3 2 4 5" xfId="5803" xr:uid="{C9538FBE-9E18-4DD8-94E9-0C0DA7A25437}"/>
    <cellStyle name="Comma 3 4 3 2 4 5 2" xfId="42311" xr:uid="{462F22BB-95E1-4321-8179-597792EF1E34}"/>
    <cellStyle name="Comma 3 4 3 2 4 5 3" xfId="24057" xr:uid="{FAB20F6F-3A90-4F0F-A7A4-81E2401ACE0D}"/>
    <cellStyle name="Comma 3 4 3 2 4 6" xfId="38661" xr:uid="{83D9B419-0AB1-4D9C-AC3F-B7566ACCBFF1}"/>
    <cellStyle name="Comma 3 4 3 2 4 7" xfId="20407" xr:uid="{B500246F-C629-4896-964A-8538876E7FE8}"/>
    <cellStyle name="Comma 3 4 3 2 5" xfId="1423" xr:uid="{5C66D259-3141-4B1D-8205-B3B024EF06BB}"/>
    <cellStyle name="Comma 3 4 3 2 5 2" xfId="16023" xr:uid="{F10B78FE-F994-49B6-A666-DD3D8E44A458}"/>
    <cellStyle name="Comma 3 4 3 2 5 2 2" xfId="52531" xr:uid="{6A891FEE-0B00-4E37-A7E6-E10FD00DF332}"/>
    <cellStyle name="Comma 3 4 3 2 5 2 3" xfId="34277" xr:uid="{365E9B81-85AE-4996-A053-E4CA81611924}"/>
    <cellStyle name="Comma 3 4 3 2 5 3" xfId="12373" xr:uid="{CF39AA4C-BC85-4035-8ADB-EB61AC0C36FE}"/>
    <cellStyle name="Comma 3 4 3 2 5 3 2" xfId="48881" xr:uid="{E063CB63-EF92-4DB2-B52C-4A52C71817C8}"/>
    <cellStyle name="Comma 3 4 3 2 5 3 3" xfId="30627" xr:uid="{989E6890-DCC1-4912-ADB8-A09BAAF87D23}"/>
    <cellStyle name="Comma 3 4 3 2 5 4" xfId="8723" xr:uid="{C2E78DEF-0D9A-466D-8B14-36109669A19D}"/>
    <cellStyle name="Comma 3 4 3 2 5 4 2" xfId="45231" xr:uid="{3C453CE0-438E-4EDA-B5FC-D8999A7231CB}"/>
    <cellStyle name="Comma 3 4 3 2 5 4 3" xfId="26977" xr:uid="{0F657459-4CCB-4426-877C-BEA960A552DE}"/>
    <cellStyle name="Comma 3 4 3 2 5 5" xfId="5073" xr:uid="{D990CEBC-FD17-4A05-9B0B-1585A69793BA}"/>
    <cellStyle name="Comma 3 4 3 2 5 5 2" xfId="41581" xr:uid="{BE000165-13BF-4698-BD8D-75EB5221560F}"/>
    <cellStyle name="Comma 3 4 3 2 5 5 3" xfId="23327" xr:uid="{12538557-EF62-4CBD-9BFA-0C8B4BEBDE23}"/>
    <cellStyle name="Comma 3 4 3 2 5 6" xfId="37931" xr:uid="{8DEB2D8F-F9D2-43A5-87DF-EE7D18177F44}"/>
    <cellStyle name="Comma 3 4 3 2 5 7" xfId="19677" xr:uid="{0BE705C6-4367-49BB-B215-F61DEE7D10AE}"/>
    <cellStyle name="Comma 3 4 3 2 6" xfId="15293" xr:uid="{4B16B663-2171-4F7E-8DDF-A7231D49C9AF}"/>
    <cellStyle name="Comma 3 4 3 2 6 2" xfId="51801" xr:uid="{5155C6DA-CDDA-4905-8CB5-8FB9B3CC62A6}"/>
    <cellStyle name="Comma 3 4 3 2 6 3" xfId="33547" xr:uid="{8D68176D-56BC-41FE-B493-982059D72654}"/>
    <cellStyle name="Comma 3 4 3 2 7" xfId="11643" xr:uid="{4D7F3BAD-9CF6-4FEE-9DA3-360F722C3FD4}"/>
    <cellStyle name="Comma 3 4 3 2 7 2" xfId="48151" xr:uid="{D5206CDA-38D6-4BEB-88F2-AC2BBDCB7A1D}"/>
    <cellStyle name="Comma 3 4 3 2 7 3" xfId="29897" xr:uid="{3F2C052A-5314-4863-8243-BB4D88099F5A}"/>
    <cellStyle name="Comma 3 4 3 2 8" xfId="7993" xr:uid="{34496CF4-2EC7-4685-8D82-E8EFE414B85A}"/>
    <cellStyle name="Comma 3 4 3 2 8 2" xfId="44501" xr:uid="{6263E9C8-E8DF-438A-9EDB-F68820584A20}"/>
    <cellStyle name="Comma 3 4 3 2 8 3" xfId="26247" xr:uid="{AB8082CD-9D7B-44DE-8A3D-5260EA85B5E0}"/>
    <cellStyle name="Comma 3 4 3 2 9" xfId="4343" xr:uid="{5A65174F-2CBE-4CC2-A37B-3EB710EEF1BE}"/>
    <cellStyle name="Comma 3 4 3 2 9 2" xfId="40851" xr:uid="{D11719DD-E3FA-49C7-8C65-9A6AC21731F8}"/>
    <cellStyle name="Comma 3 4 3 2 9 3" xfId="22597" xr:uid="{89BD3D20-5DF7-469A-B069-EA792F839392}"/>
    <cellStyle name="Comma 3 4 3 3" xfId="589" xr:uid="{169AEBEA-7D14-4D2D-A803-3BB73D1EF1DD}"/>
    <cellStyle name="Comma 3 4 3 3 10" xfId="37097" xr:uid="{9CB15C5D-5C5E-4F83-A6AC-605F9D66B593}"/>
    <cellStyle name="Comma 3 4 3 3 11" xfId="18843" xr:uid="{C5D3775A-52BD-4546-92EF-039B797F718C}"/>
    <cellStyle name="Comma 3 4 3 3 2" xfId="3509" xr:uid="{1F49B376-3337-4308-A0D8-E8FE6C88F99A}"/>
    <cellStyle name="Comma 3 4 3 3 2 2" xfId="18109" xr:uid="{B63C737B-A4CE-47FE-ABE5-B7B8FC9FDA32}"/>
    <cellStyle name="Comma 3 4 3 3 2 2 2" xfId="54617" xr:uid="{8F264DF8-1BBF-43BD-8EC8-57DAC3759D71}"/>
    <cellStyle name="Comma 3 4 3 3 2 2 3" xfId="36363" xr:uid="{C67CC83C-2840-4F9A-928F-DE7BD5060D8E}"/>
    <cellStyle name="Comma 3 4 3 3 2 3" xfId="14459" xr:uid="{F8689830-60F6-43B8-9AF7-0F1E16998499}"/>
    <cellStyle name="Comma 3 4 3 3 2 3 2" xfId="50967" xr:uid="{C29B7D1C-A59B-4BDC-82B1-F5723DD39070}"/>
    <cellStyle name="Comma 3 4 3 3 2 3 3" xfId="32713" xr:uid="{BBDED66B-CCC9-48CA-BBF7-8EAF8B72C451}"/>
    <cellStyle name="Comma 3 4 3 3 2 4" xfId="10809" xr:uid="{4F9162FE-AFE9-457C-9C13-50D42FCB9FAF}"/>
    <cellStyle name="Comma 3 4 3 3 2 4 2" xfId="47317" xr:uid="{CC0CC470-45F5-45E2-A7E5-66586A7B0428}"/>
    <cellStyle name="Comma 3 4 3 3 2 4 3" xfId="29063" xr:uid="{D35F4322-0966-49CB-9F58-940421F7D5B5}"/>
    <cellStyle name="Comma 3 4 3 3 2 5" xfId="7159" xr:uid="{740F4CBA-AF74-45CD-A979-72CE2DA2B3E0}"/>
    <cellStyle name="Comma 3 4 3 3 2 5 2" xfId="43667" xr:uid="{D9C8778A-615F-4541-9C38-D3D953DE2154}"/>
    <cellStyle name="Comma 3 4 3 3 2 5 3" xfId="25413" xr:uid="{DBB55251-411B-462E-B0C7-78999F40034A}"/>
    <cellStyle name="Comma 3 4 3 3 2 6" xfId="40017" xr:uid="{1A64C95B-4DB1-4F1E-A9F8-43600183C4B2}"/>
    <cellStyle name="Comma 3 4 3 3 2 7" xfId="21763" xr:uid="{35A3964F-227A-49A5-994A-4244ACBDE0B4}"/>
    <cellStyle name="Comma 3 4 3 3 3" xfId="2779" xr:uid="{CDF7B243-AF34-4531-96DB-A7CB499F767C}"/>
    <cellStyle name="Comma 3 4 3 3 3 2" xfId="17379" xr:uid="{119F466B-CAD6-4AA1-8604-3D8A3A3AAFC5}"/>
    <cellStyle name="Comma 3 4 3 3 3 2 2" xfId="53887" xr:uid="{5E8386E4-17E7-46DB-8C2B-58FC4BE2254A}"/>
    <cellStyle name="Comma 3 4 3 3 3 2 3" xfId="35633" xr:uid="{518F6C7E-A59E-4FF1-80CE-388FED7976B0}"/>
    <cellStyle name="Comma 3 4 3 3 3 3" xfId="13729" xr:uid="{011A5DD8-A334-4FC5-A585-87516B2E8F7F}"/>
    <cellStyle name="Comma 3 4 3 3 3 3 2" xfId="50237" xr:uid="{0DAF562F-42BF-4965-80EE-95DDAAF8596E}"/>
    <cellStyle name="Comma 3 4 3 3 3 3 3" xfId="31983" xr:uid="{2B83F3E5-6295-4463-A0A3-FABF1B39E5F3}"/>
    <cellStyle name="Comma 3 4 3 3 3 4" xfId="10079" xr:uid="{CB67784E-C54B-4FB5-81B5-F7239089D405}"/>
    <cellStyle name="Comma 3 4 3 3 3 4 2" xfId="46587" xr:uid="{0A5B2218-89E5-44EF-BEB8-8D5F0829C038}"/>
    <cellStyle name="Comma 3 4 3 3 3 4 3" xfId="28333" xr:uid="{A16D0732-3F44-4516-B580-EBE5CF7C895B}"/>
    <cellStyle name="Comma 3 4 3 3 3 5" xfId="6429" xr:uid="{E1E7207D-6675-496A-833E-4859688B8FA0}"/>
    <cellStyle name="Comma 3 4 3 3 3 5 2" xfId="42937" xr:uid="{B25014BE-115E-4130-9612-44AB3CEBFD19}"/>
    <cellStyle name="Comma 3 4 3 3 3 5 3" xfId="24683" xr:uid="{17657B0A-6899-4B5E-B209-5DC2FF266EF3}"/>
    <cellStyle name="Comma 3 4 3 3 3 6" xfId="39287" xr:uid="{8A3E84C9-26B5-41E7-BF4B-A77EBD332EAF}"/>
    <cellStyle name="Comma 3 4 3 3 3 7" xfId="21033" xr:uid="{AC44770F-90C4-42A1-AC25-E8BD5B300BFB}"/>
    <cellStyle name="Comma 3 4 3 3 4" xfId="2049" xr:uid="{625D55E9-529C-4E9C-8BA9-1F4DD1E2295C}"/>
    <cellStyle name="Comma 3 4 3 3 4 2" xfId="16649" xr:uid="{D432E756-0B3B-4406-B78E-85AE6DC112B5}"/>
    <cellStyle name="Comma 3 4 3 3 4 2 2" xfId="53157" xr:uid="{2BA7178E-6C44-4F4E-9F0A-EAA8A79C9F4A}"/>
    <cellStyle name="Comma 3 4 3 3 4 2 3" xfId="34903" xr:uid="{9B5FBB74-93A2-41D1-B1B8-E14117482F31}"/>
    <cellStyle name="Comma 3 4 3 3 4 3" xfId="12999" xr:uid="{99158A1F-3D0B-4C36-A4A8-90A27F209D41}"/>
    <cellStyle name="Comma 3 4 3 3 4 3 2" xfId="49507" xr:uid="{91FC49F7-BD18-489E-940E-E72D1175ADAC}"/>
    <cellStyle name="Comma 3 4 3 3 4 3 3" xfId="31253" xr:uid="{3D9B2A65-E219-46E4-942C-1D469E67A862}"/>
    <cellStyle name="Comma 3 4 3 3 4 4" xfId="9349" xr:uid="{FD166FFB-0CE4-4CDC-B95E-87059ADFF5EA}"/>
    <cellStyle name="Comma 3 4 3 3 4 4 2" xfId="45857" xr:uid="{2EFA4115-512D-469D-9B02-DB6435EC03A7}"/>
    <cellStyle name="Comma 3 4 3 3 4 4 3" xfId="27603" xr:uid="{4E2BC32E-AAEF-49CE-A808-F799142B552D}"/>
    <cellStyle name="Comma 3 4 3 3 4 5" xfId="5699" xr:uid="{71566869-BD45-4802-AC02-77BCA969A74F}"/>
    <cellStyle name="Comma 3 4 3 3 4 5 2" xfId="42207" xr:uid="{835F4B05-B741-469F-913F-2B7BC1007052}"/>
    <cellStyle name="Comma 3 4 3 3 4 5 3" xfId="23953" xr:uid="{4018E4DC-1436-4D6E-8652-35791C8ADD2F}"/>
    <cellStyle name="Comma 3 4 3 3 4 6" xfId="38557" xr:uid="{42A40989-C58F-43D1-A5ED-201AF7228AB0}"/>
    <cellStyle name="Comma 3 4 3 3 4 7" xfId="20303" xr:uid="{40B6A942-23F7-449F-A079-B019C5BD40C3}"/>
    <cellStyle name="Comma 3 4 3 3 5" xfId="1319" xr:uid="{D3BB1B97-7EB2-4E40-9D58-0C6FAE0641EF}"/>
    <cellStyle name="Comma 3 4 3 3 5 2" xfId="15919" xr:uid="{0F6B222F-3D42-46E4-BD72-C3B1F94BB66E}"/>
    <cellStyle name="Comma 3 4 3 3 5 2 2" xfId="52427" xr:uid="{9D92CAE0-10C9-4D2D-BD45-2E291586DDC6}"/>
    <cellStyle name="Comma 3 4 3 3 5 2 3" xfId="34173" xr:uid="{7CFBA65C-1A8C-4A10-974D-01BB456A1317}"/>
    <cellStyle name="Comma 3 4 3 3 5 3" xfId="12269" xr:uid="{83A777FA-AC60-4B99-976E-39FF8B84E18C}"/>
    <cellStyle name="Comma 3 4 3 3 5 3 2" xfId="48777" xr:uid="{8B3CFC3D-8BC9-4FC4-800C-9A2EA4736B57}"/>
    <cellStyle name="Comma 3 4 3 3 5 3 3" xfId="30523" xr:uid="{2A781841-6262-47E4-B078-340E421647B6}"/>
    <cellStyle name="Comma 3 4 3 3 5 4" xfId="8619" xr:uid="{2EE986BF-F188-4F8E-8364-B2CDA7360173}"/>
    <cellStyle name="Comma 3 4 3 3 5 4 2" xfId="45127" xr:uid="{625AC48F-1F89-4796-94FA-AFEF23C667C6}"/>
    <cellStyle name="Comma 3 4 3 3 5 4 3" xfId="26873" xr:uid="{A026BF0B-1D7C-41BB-B3D1-BE52646BAC57}"/>
    <cellStyle name="Comma 3 4 3 3 5 5" xfId="4969" xr:uid="{99FDFEBA-F371-4E2E-BD00-D61350684633}"/>
    <cellStyle name="Comma 3 4 3 3 5 5 2" xfId="41477" xr:uid="{9F0A5F5C-B9C4-438E-ADA9-C735399407C0}"/>
    <cellStyle name="Comma 3 4 3 3 5 5 3" xfId="23223" xr:uid="{8AB668E6-BE04-446C-A860-AC15C2E502A2}"/>
    <cellStyle name="Comma 3 4 3 3 5 6" xfId="37827" xr:uid="{71793974-554E-4E2C-A541-2EEF47C5D718}"/>
    <cellStyle name="Comma 3 4 3 3 5 7" xfId="19573" xr:uid="{D77F0678-EAC8-4ABE-A45B-FDA44AC3AA1A}"/>
    <cellStyle name="Comma 3 4 3 3 6" xfId="15189" xr:uid="{885D335E-3EC6-4636-AB87-7A7A20AD656B}"/>
    <cellStyle name="Comma 3 4 3 3 6 2" xfId="51697" xr:uid="{21C02379-CDA0-4F8C-AFBB-F7E023D39637}"/>
    <cellStyle name="Comma 3 4 3 3 6 3" xfId="33443" xr:uid="{A0DFD0CB-73ED-405D-AFAB-602D9495201F}"/>
    <cellStyle name="Comma 3 4 3 3 7" xfId="11539" xr:uid="{E10FB0DF-EC71-4F20-9096-B09FA608F092}"/>
    <cellStyle name="Comma 3 4 3 3 7 2" xfId="48047" xr:uid="{943FD1A9-C19B-4557-AA8F-E8CA4534492C}"/>
    <cellStyle name="Comma 3 4 3 3 7 3" xfId="29793" xr:uid="{9E345E32-8686-40D7-B4CF-3C516DBD418F}"/>
    <cellStyle name="Comma 3 4 3 3 8" xfId="7889" xr:uid="{6F20BB2A-56C5-4C8C-8888-3256D83D13DA}"/>
    <cellStyle name="Comma 3 4 3 3 8 2" xfId="44397" xr:uid="{E02F234E-3749-417C-ADB2-C1005C1C69C9}"/>
    <cellStyle name="Comma 3 4 3 3 8 3" xfId="26143" xr:uid="{50209B4B-10AA-409A-8270-9947CF828167}"/>
    <cellStyle name="Comma 3 4 3 3 9" xfId="4239" xr:uid="{80237B26-5D0E-4E47-A6F8-CE89B9186D1E}"/>
    <cellStyle name="Comma 3 4 3 3 9 2" xfId="40747" xr:uid="{C905E77A-4FB2-4A78-A530-453C4004B781}"/>
    <cellStyle name="Comma 3 4 3 3 9 3" xfId="22493" xr:uid="{E89456D7-B6DA-42E9-8024-3431413AA4AC}"/>
    <cellStyle name="Comma 3 4 3 4" xfId="485" xr:uid="{92DFCD46-4C0F-4AC2-AD6F-31512D35ED83}"/>
    <cellStyle name="Comma 3 4 3 4 10" xfId="36993" xr:uid="{36D0D0C1-DB92-4614-82BD-B9F4D5A86B2A}"/>
    <cellStyle name="Comma 3 4 3 4 11" xfId="18739" xr:uid="{665F46EB-FEE4-4167-B4FB-0762E71E2704}"/>
    <cellStyle name="Comma 3 4 3 4 2" xfId="3405" xr:uid="{4E844622-663B-4B8A-85B4-83DBF6B948C7}"/>
    <cellStyle name="Comma 3 4 3 4 2 2" xfId="18005" xr:uid="{A188F8A7-B36E-436C-B0AE-57648554FF82}"/>
    <cellStyle name="Comma 3 4 3 4 2 2 2" xfId="54513" xr:uid="{8D1C60C4-2017-4E5E-AC4E-4E100B3858CD}"/>
    <cellStyle name="Comma 3 4 3 4 2 2 3" xfId="36259" xr:uid="{9B944149-4BF8-4B9F-9EBD-919D59516E10}"/>
    <cellStyle name="Comma 3 4 3 4 2 3" xfId="14355" xr:uid="{A763E451-08B2-46CF-BC91-6708647BEF4F}"/>
    <cellStyle name="Comma 3 4 3 4 2 3 2" xfId="50863" xr:uid="{ABBF1EBA-64E6-4422-B964-ECC71CC0D2A2}"/>
    <cellStyle name="Comma 3 4 3 4 2 3 3" xfId="32609" xr:uid="{8B8B2F28-329F-444B-8BD5-41D4ADE88674}"/>
    <cellStyle name="Comma 3 4 3 4 2 4" xfId="10705" xr:uid="{89DDD56E-94D4-4890-B921-C044EB4C26EC}"/>
    <cellStyle name="Comma 3 4 3 4 2 4 2" xfId="47213" xr:uid="{256F8114-E169-49C9-A231-90D1FF82DAB7}"/>
    <cellStyle name="Comma 3 4 3 4 2 4 3" xfId="28959" xr:uid="{F11631FB-7493-4FA5-8A75-76CBDA490227}"/>
    <cellStyle name="Comma 3 4 3 4 2 5" xfId="7055" xr:uid="{72F33700-3FBC-4636-A588-3D04B0B4F321}"/>
    <cellStyle name="Comma 3 4 3 4 2 5 2" xfId="43563" xr:uid="{31371F26-078A-4088-B0B2-5DF2F7E47EFB}"/>
    <cellStyle name="Comma 3 4 3 4 2 5 3" xfId="25309" xr:uid="{FBD53B41-96C5-47B9-AA2C-570DC4E3041A}"/>
    <cellStyle name="Comma 3 4 3 4 2 6" xfId="39913" xr:uid="{DAD212D3-CFE2-4BEC-851A-A676B9AB0C12}"/>
    <cellStyle name="Comma 3 4 3 4 2 7" xfId="21659" xr:uid="{3C96C15A-265C-4557-8D6E-31AE25F5277A}"/>
    <cellStyle name="Comma 3 4 3 4 3" xfId="2675" xr:uid="{8A6A5586-A36F-45BA-89DD-C14BDA0658FD}"/>
    <cellStyle name="Comma 3 4 3 4 3 2" xfId="17275" xr:uid="{B0A90C3C-0901-4243-806A-7158F5356E94}"/>
    <cellStyle name="Comma 3 4 3 4 3 2 2" xfId="53783" xr:uid="{2856601B-B800-460B-80E4-48B12F06CF76}"/>
    <cellStyle name="Comma 3 4 3 4 3 2 3" xfId="35529" xr:uid="{61903986-D4D9-477F-9407-FDA7E0F57715}"/>
    <cellStyle name="Comma 3 4 3 4 3 3" xfId="13625" xr:uid="{049C600B-1A85-4780-877B-D22598E778C1}"/>
    <cellStyle name="Comma 3 4 3 4 3 3 2" xfId="50133" xr:uid="{EBDA2B00-5873-4EB9-8451-E3A32CEA6C19}"/>
    <cellStyle name="Comma 3 4 3 4 3 3 3" xfId="31879" xr:uid="{EC1998CD-6CD8-4392-AEC4-A5100D607A33}"/>
    <cellStyle name="Comma 3 4 3 4 3 4" xfId="9975" xr:uid="{DD503322-E68E-4D08-AAB2-EFD854962126}"/>
    <cellStyle name="Comma 3 4 3 4 3 4 2" xfId="46483" xr:uid="{498E6B55-FD49-4E66-BEC2-C55B5ACF017A}"/>
    <cellStyle name="Comma 3 4 3 4 3 4 3" xfId="28229" xr:uid="{B7ADEB28-8D69-4CA3-8E62-191E565F85EC}"/>
    <cellStyle name="Comma 3 4 3 4 3 5" xfId="6325" xr:uid="{38AEE62C-19DA-46A5-A028-7AD407A3B8F7}"/>
    <cellStyle name="Comma 3 4 3 4 3 5 2" xfId="42833" xr:uid="{D239672D-DE6C-4379-AD74-08984291A191}"/>
    <cellStyle name="Comma 3 4 3 4 3 5 3" xfId="24579" xr:uid="{B591E9FD-8C00-4718-B40B-65B6793A6A99}"/>
    <cellStyle name="Comma 3 4 3 4 3 6" xfId="39183" xr:uid="{2950D8EA-ADA3-4B72-9CA9-5DDB35DCC6A0}"/>
    <cellStyle name="Comma 3 4 3 4 3 7" xfId="20929" xr:uid="{6986FCB6-970C-40ED-A9DF-326BAEA2D237}"/>
    <cellStyle name="Comma 3 4 3 4 4" xfId="1945" xr:uid="{D17F0823-6157-4585-8979-B4DAB11865C9}"/>
    <cellStyle name="Comma 3 4 3 4 4 2" xfId="16545" xr:uid="{4A851BB2-689F-45B1-9A18-CEAB66BD554C}"/>
    <cellStyle name="Comma 3 4 3 4 4 2 2" xfId="53053" xr:uid="{1A4ACAD5-5F09-4FFB-8241-409E2B47715C}"/>
    <cellStyle name="Comma 3 4 3 4 4 2 3" xfId="34799" xr:uid="{AD738F67-0A6C-425A-96E6-840B8BA53877}"/>
    <cellStyle name="Comma 3 4 3 4 4 3" xfId="12895" xr:uid="{7BE847B3-9C3E-491B-A572-13EB4030E1B9}"/>
    <cellStyle name="Comma 3 4 3 4 4 3 2" xfId="49403" xr:uid="{2AA050A3-DA2E-4EE5-B934-6A26CB4B11E5}"/>
    <cellStyle name="Comma 3 4 3 4 4 3 3" xfId="31149" xr:uid="{BBD9E9D1-51EB-4B7F-B466-7F8128D8CA45}"/>
    <cellStyle name="Comma 3 4 3 4 4 4" xfId="9245" xr:uid="{C0A07F5B-A7F6-42DD-ADC9-7C9EC1787929}"/>
    <cellStyle name="Comma 3 4 3 4 4 4 2" xfId="45753" xr:uid="{AD857347-9A9C-4934-98C3-121C386FBD56}"/>
    <cellStyle name="Comma 3 4 3 4 4 4 3" xfId="27499" xr:uid="{6D2D121A-5E1F-48E0-BC76-76EFCE1B90DA}"/>
    <cellStyle name="Comma 3 4 3 4 4 5" xfId="5595" xr:uid="{0FD38F7E-9B51-44BC-A187-D1BDE0BE2432}"/>
    <cellStyle name="Comma 3 4 3 4 4 5 2" xfId="42103" xr:uid="{36F59316-788B-4772-A3FA-AFFF013E4835}"/>
    <cellStyle name="Comma 3 4 3 4 4 5 3" xfId="23849" xr:uid="{2FD95968-B2C7-4E13-B463-14C3ACA970A0}"/>
    <cellStyle name="Comma 3 4 3 4 4 6" xfId="38453" xr:uid="{7A3D9246-AE9E-4023-8000-399E74FF3BEE}"/>
    <cellStyle name="Comma 3 4 3 4 4 7" xfId="20199" xr:uid="{E3412955-A54D-4AF0-972D-D111BD3385EC}"/>
    <cellStyle name="Comma 3 4 3 4 5" xfId="1215" xr:uid="{FBF21801-B61C-438F-ABAC-3DABF0CE1237}"/>
    <cellStyle name="Comma 3 4 3 4 5 2" xfId="15815" xr:uid="{ADCF93DD-9F3B-40A0-8282-9144FCCAED7B}"/>
    <cellStyle name="Comma 3 4 3 4 5 2 2" xfId="52323" xr:uid="{F281AB95-B9D9-4DC5-8A74-76A1EDB80460}"/>
    <cellStyle name="Comma 3 4 3 4 5 2 3" xfId="34069" xr:uid="{3FFA37BB-CF62-4C9F-BCED-CD7588FD8816}"/>
    <cellStyle name="Comma 3 4 3 4 5 3" xfId="12165" xr:uid="{BCAF5045-2CCF-493D-91C3-6A698BD5D9FB}"/>
    <cellStyle name="Comma 3 4 3 4 5 3 2" xfId="48673" xr:uid="{AC040E05-8D46-4C1C-8764-C207AC719F26}"/>
    <cellStyle name="Comma 3 4 3 4 5 3 3" xfId="30419" xr:uid="{C679E078-D046-4EBE-AFE9-33F1C65FAAA3}"/>
    <cellStyle name="Comma 3 4 3 4 5 4" xfId="8515" xr:uid="{DD523B77-40E1-4A8E-81BA-6B9F42EBF97C}"/>
    <cellStyle name="Comma 3 4 3 4 5 4 2" xfId="45023" xr:uid="{36934C4F-216A-4959-BB6F-07F02CDBAE08}"/>
    <cellStyle name="Comma 3 4 3 4 5 4 3" xfId="26769" xr:uid="{B8EB5722-5890-4389-9DF8-AFFC6F045C22}"/>
    <cellStyle name="Comma 3 4 3 4 5 5" xfId="4865" xr:uid="{F6EF007F-154D-4D96-9F0F-CBF1293D05D2}"/>
    <cellStyle name="Comma 3 4 3 4 5 5 2" xfId="41373" xr:uid="{D14F3C72-0D07-489B-A756-4C0D6F3C4C41}"/>
    <cellStyle name="Comma 3 4 3 4 5 5 3" xfId="23119" xr:uid="{10E52CA8-E60A-45E3-80D8-DACD6BDAE84C}"/>
    <cellStyle name="Comma 3 4 3 4 5 6" xfId="37723" xr:uid="{60D37F81-695D-4226-91B7-A29AAECB18F1}"/>
    <cellStyle name="Comma 3 4 3 4 5 7" xfId="19469" xr:uid="{1B57049D-65B9-4D28-81E8-F2AA26EF92F1}"/>
    <cellStyle name="Comma 3 4 3 4 6" xfId="15085" xr:uid="{BF19D606-3514-483A-8915-F298841776D0}"/>
    <cellStyle name="Comma 3 4 3 4 6 2" xfId="51593" xr:uid="{77C470A8-B378-4595-AEB1-809E102BBE8D}"/>
    <cellStyle name="Comma 3 4 3 4 6 3" xfId="33339" xr:uid="{88C50B12-BA81-4657-8873-5F0B0AFD32AC}"/>
    <cellStyle name="Comma 3 4 3 4 7" xfId="11435" xr:uid="{E9EAAC9F-7A7E-4DA3-88F6-48378085B83D}"/>
    <cellStyle name="Comma 3 4 3 4 7 2" xfId="47943" xr:uid="{4972D177-7FC0-4BAD-BD59-9CD1B5E072F3}"/>
    <cellStyle name="Comma 3 4 3 4 7 3" xfId="29689" xr:uid="{7063A395-229E-4EFE-80F0-BA7A7B87D6A3}"/>
    <cellStyle name="Comma 3 4 3 4 8" xfId="7785" xr:uid="{207B331C-4164-4975-9144-E8C95FF7E9EA}"/>
    <cellStyle name="Comma 3 4 3 4 8 2" xfId="44293" xr:uid="{09DDD9D2-6D4A-45F5-B2D6-EF4142CDE479}"/>
    <cellStyle name="Comma 3 4 3 4 8 3" xfId="26039" xr:uid="{46BC252C-F3DA-4BB3-A1A1-3E052D23C561}"/>
    <cellStyle name="Comma 3 4 3 4 9" xfId="4135" xr:uid="{4F263689-6316-459D-824D-AAD0191A5683}"/>
    <cellStyle name="Comma 3 4 3 4 9 2" xfId="40643" xr:uid="{628374A9-FDC2-4965-A9CA-55C8D388CCB5}"/>
    <cellStyle name="Comma 3 4 3 4 9 3" xfId="22389" xr:uid="{2A5280BA-33F8-4F80-AD12-47431D9B1740}"/>
    <cellStyle name="Comma 3 4 3 5" xfId="381" xr:uid="{C640455B-50ED-4D12-87A0-DF13A1971BCB}"/>
    <cellStyle name="Comma 3 4 3 5 10" xfId="36889" xr:uid="{60148474-5A5A-450F-9872-F4ED80C46415}"/>
    <cellStyle name="Comma 3 4 3 5 11" xfId="18635" xr:uid="{B576E97A-E06B-428B-BDB7-5BF325D8FE0F}"/>
    <cellStyle name="Comma 3 4 3 5 2" xfId="3301" xr:uid="{C7BF75FB-5597-403C-91AD-A5C32C7C2491}"/>
    <cellStyle name="Comma 3 4 3 5 2 2" xfId="17901" xr:uid="{819C4A3E-AFF7-4176-A080-B66386DD7B57}"/>
    <cellStyle name="Comma 3 4 3 5 2 2 2" xfId="54409" xr:uid="{196D6020-3522-4B46-8712-34DF9FF1DDFC}"/>
    <cellStyle name="Comma 3 4 3 5 2 2 3" xfId="36155" xr:uid="{5A8BB622-CB7F-4468-8F9E-4D27C2B3202F}"/>
    <cellStyle name="Comma 3 4 3 5 2 3" xfId="14251" xr:uid="{45D074BF-71DD-4C50-BA43-6AF79539910F}"/>
    <cellStyle name="Comma 3 4 3 5 2 3 2" xfId="50759" xr:uid="{57D60CC4-8E6F-4617-A221-AB8FB883BE55}"/>
    <cellStyle name="Comma 3 4 3 5 2 3 3" xfId="32505" xr:uid="{F1D725D4-0AB2-4041-9E8B-AA8734C4C28D}"/>
    <cellStyle name="Comma 3 4 3 5 2 4" xfId="10601" xr:uid="{23D4F4B1-3721-4F85-AA2A-6999DE9EA683}"/>
    <cellStyle name="Comma 3 4 3 5 2 4 2" xfId="47109" xr:uid="{E7DE574B-CD81-442D-B754-C947AB9AD919}"/>
    <cellStyle name="Comma 3 4 3 5 2 4 3" xfId="28855" xr:uid="{8234C082-0DB6-4A88-8561-A27784DE41C7}"/>
    <cellStyle name="Comma 3 4 3 5 2 5" xfId="6951" xr:uid="{9A711AB6-6EC6-4D6E-978B-AFE184D40C62}"/>
    <cellStyle name="Comma 3 4 3 5 2 5 2" xfId="43459" xr:uid="{2E8EA935-AFAE-43D8-BF86-871B080CBF4F}"/>
    <cellStyle name="Comma 3 4 3 5 2 5 3" xfId="25205" xr:uid="{BCBD4548-28D0-4241-8D3B-16909DDBBC9A}"/>
    <cellStyle name="Comma 3 4 3 5 2 6" xfId="39809" xr:uid="{48B4D780-02E0-4C9F-8DFF-BCB453C001B8}"/>
    <cellStyle name="Comma 3 4 3 5 2 7" xfId="21555" xr:uid="{6BA365C7-6254-414C-84E9-40E2FFE046C5}"/>
    <cellStyle name="Comma 3 4 3 5 3" xfId="2571" xr:uid="{051DB80F-7F8D-4637-88F5-AA206DA080F2}"/>
    <cellStyle name="Comma 3 4 3 5 3 2" xfId="17171" xr:uid="{8DFA7AC4-7272-40E7-82D7-3A6430DDE649}"/>
    <cellStyle name="Comma 3 4 3 5 3 2 2" xfId="53679" xr:uid="{EFD7C9F1-8681-40E6-A801-F83DA650C26B}"/>
    <cellStyle name="Comma 3 4 3 5 3 2 3" xfId="35425" xr:uid="{9DFE82B0-9B1A-4AFF-8786-609F4DBD99EB}"/>
    <cellStyle name="Comma 3 4 3 5 3 3" xfId="13521" xr:uid="{3FF7CB7E-9F17-46DB-A6DE-6BB5553D9425}"/>
    <cellStyle name="Comma 3 4 3 5 3 3 2" xfId="50029" xr:uid="{2552C7DF-9F5F-477D-B2B9-5625CCD47D6C}"/>
    <cellStyle name="Comma 3 4 3 5 3 3 3" xfId="31775" xr:uid="{FB0D55B4-AD24-4A89-81AF-4F11455A560C}"/>
    <cellStyle name="Comma 3 4 3 5 3 4" xfId="9871" xr:uid="{72D8B5E2-7766-47EE-8B99-09E57B892555}"/>
    <cellStyle name="Comma 3 4 3 5 3 4 2" xfId="46379" xr:uid="{47D40571-513C-4DB3-94B9-A6D594BF5811}"/>
    <cellStyle name="Comma 3 4 3 5 3 4 3" xfId="28125" xr:uid="{D00CAB8D-4308-4D1B-BB48-A8BD21988C71}"/>
    <cellStyle name="Comma 3 4 3 5 3 5" xfId="6221" xr:uid="{C87E1498-BF05-43F4-9DC6-4FA22CF6F642}"/>
    <cellStyle name="Comma 3 4 3 5 3 5 2" xfId="42729" xr:uid="{773762E9-5409-4093-937F-4529EB703B87}"/>
    <cellStyle name="Comma 3 4 3 5 3 5 3" xfId="24475" xr:uid="{83360C62-0945-4389-ADC8-6343960014A6}"/>
    <cellStyle name="Comma 3 4 3 5 3 6" xfId="39079" xr:uid="{9D62F5FB-C8F7-4AA7-8514-0325825477B4}"/>
    <cellStyle name="Comma 3 4 3 5 3 7" xfId="20825" xr:uid="{CA43F1EA-BCF2-4B1B-9B7D-18181208145B}"/>
    <cellStyle name="Comma 3 4 3 5 4" xfId="1841" xr:uid="{8CA6A7F4-C81D-46DC-967D-3823A76B4172}"/>
    <cellStyle name="Comma 3 4 3 5 4 2" xfId="16441" xr:uid="{570B886E-3D9B-4F9D-A9BB-75B227C12897}"/>
    <cellStyle name="Comma 3 4 3 5 4 2 2" xfId="52949" xr:uid="{2F6E73DA-44E2-4EDA-B7BE-21AAB4C2FE5E}"/>
    <cellStyle name="Comma 3 4 3 5 4 2 3" xfId="34695" xr:uid="{5D1DA992-F6D2-4663-90D3-53BF78D9A2A4}"/>
    <cellStyle name="Comma 3 4 3 5 4 3" xfId="12791" xr:uid="{9C6AE10B-1502-4516-B372-21391BB7CE34}"/>
    <cellStyle name="Comma 3 4 3 5 4 3 2" xfId="49299" xr:uid="{C5F07DB6-893E-40BF-9E1A-7EEB91070653}"/>
    <cellStyle name="Comma 3 4 3 5 4 3 3" xfId="31045" xr:uid="{04B86D8A-9BD6-4EF1-BC94-99EF92107431}"/>
    <cellStyle name="Comma 3 4 3 5 4 4" xfId="9141" xr:uid="{764E228A-D148-441B-986F-94067FD359CC}"/>
    <cellStyle name="Comma 3 4 3 5 4 4 2" xfId="45649" xr:uid="{627DEBF5-1671-4073-AA50-B8EFD623EAFF}"/>
    <cellStyle name="Comma 3 4 3 5 4 4 3" xfId="27395" xr:uid="{C6BD5250-3D88-44DA-85B7-F884BA4A64FF}"/>
    <cellStyle name="Comma 3 4 3 5 4 5" xfId="5491" xr:uid="{4CDEC90C-9136-4299-B066-2A2AE29BAAA5}"/>
    <cellStyle name="Comma 3 4 3 5 4 5 2" xfId="41999" xr:uid="{38BA30BD-0601-4A04-9D2C-46B11CFDFA42}"/>
    <cellStyle name="Comma 3 4 3 5 4 5 3" xfId="23745" xr:uid="{4F0D9C33-7DFD-4F68-A646-7D76520183A1}"/>
    <cellStyle name="Comma 3 4 3 5 4 6" xfId="38349" xr:uid="{86260A17-80D7-4597-82FC-F21CC21269BE}"/>
    <cellStyle name="Comma 3 4 3 5 4 7" xfId="20095" xr:uid="{3E7790EB-5696-4416-8F18-084697F9FA08}"/>
    <cellStyle name="Comma 3 4 3 5 5" xfId="1111" xr:uid="{955286CC-BDAE-4DF8-A758-079EF8F0BE77}"/>
    <cellStyle name="Comma 3 4 3 5 5 2" xfId="15711" xr:uid="{483416BD-C493-40E2-866B-F53EAB05463C}"/>
    <cellStyle name="Comma 3 4 3 5 5 2 2" xfId="52219" xr:uid="{06131E6E-52F8-4CFE-BD2B-78058B1168C2}"/>
    <cellStyle name="Comma 3 4 3 5 5 2 3" xfId="33965" xr:uid="{04E7D3D1-3B82-4054-8E39-058532161829}"/>
    <cellStyle name="Comma 3 4 3 5 5 3" xfId="12061" xr:uid="{E8E0900F-CF49-41A2-87CF-23A9533E7F32}"/>
    <cellStyle name="Comma 3 4 3 5 5 3 2" xfId="48569" xr:uid="{D80CCFE2-4EED-471D-9F14-076D8F2C15CB}"/>
    <cellStyle name="Comma 3 4 3 5 5 3 3" xfId="30315" xr:uid="{9C4A046F-75D2-41A3-A937-B245729073ED}"/>
    <cellStyle name="Comma 3 4 3 5 5 4" xfId="8411" xr:uid="{38CE0487-F150-4579-A77A-44AB11F7F26A}"/>
    <cellStyle name="Comma 3 4 3 5 5 4 2" xfId="44919" xr:uid="{84079CEA-55D4-4B86-838D-5DDC4AFBAF91}"/>
    <cellStyle name="Comma 3 4 3 5 5 4 3" xfId="26665" xr:uid="{5E93256E-3B8C-4BF0-BE32-EA18407AB0A6}"/>
    <cellStyle name="Comma 3 4 3 5 5 5" xfId="4761" xr:uid="{388E9702-78F4-4C65-AECB-12D34A2ED4F0}"/>
    <cellStyle name="Comma 3 4 3 5 5 5 2" xfId="41269" xr:uid="{C40284A0-0178-4882-B973-9CE4AAD7D39E}"/>
    <cellStyle name="Comma 3 4 3 5 5 5 3" xfId="23015" xr:uid="{B42AFFFC-3F8B-41C8-8B5D-7228D5B5E3AF}"/>
    <cellStyle name="Comma 3 4 3 5 5 6" xfId="37619" xr:uid="{D29AA39B-6921-4E67-B5D4-C84ED5FA864F}"/>
    <cellStyle name="Comma 3 4 3 5 5 7" xfId="19365" xr:uid="{8429B7FB-B76B-444D-A46F-3D999685376A}"/>
    <cellStyle name="Comma 3 4 3 5 6" xfId="14981" xr:uid="{532DB80F-6C4A-42F6-8649-6E0FE6E78E76}"/>
    <cellStyle name="Comma 3 4 3 5 6 2" xfId="51489" xr:uid="{C0A2B853-FC53-4DD3-9305-FEC23E45F462}"/>
    <cellStyle name="Comma 3 4 3 5 6 3" xfId="33235" xr:uid="{D53D0F0D-8D90-4C19-AA2A-70520C3781F1}"/>
    <cellStyle name="Comma 3 4 3 5 7" xfId="11331" xr:uid="{761219F7-6333-45AD-B79D-921FDC20793B}"/>
    <cellStyle name="Comma 3 4 3 5 7 2" xfId="47839" xr:uid="{36ACF31E-8BDB-48DA-9AD7-5692B0D8613A}"/>
    <cellStyle name="Comma 3 4 3 5 7 3" xfId="29585" xr:uid="{D7F9AB1F-E446-47B2-888F-2ECF4BF6D6CF}"/>
    <cellStyle name="Comma 3 4 3 5 8" xfId="7681" xr:uid="{8F040948-A83E-449D-A83B-822220621753}"/>
    <cellStyle name="Comma 3 4 3 5 8 2" xfId="44189" xr:uid="{E1F2DC88-A689-4E68-AC1B-DE669F7B6126}"/>
    <cellStyle name="Comma 3 4 3 5 8 3" xfId="25935" xr:uid="{82AA3AC6-F4CE-4B41-95EB-438B09B53325}"/>
    <cellStyle name="Comma 3 4 3 5 9" xfId="4031" xr:uid="{284EB2A6-5B7C-4FA0-91B8-6F61570D23BC}"/>
    <cellStyle name="Comma 3 4 3 5 9 2" xfId="40539" xr:uid="{6C57772E-88F9-4F53-BE99-ABAE22D605E6}"/>
    <cellStyle name="Comma 3 4 3 5 9 3" xfId="22285" xr:uid="{8278EAA4-F449-4DCE-94E4-60EE7AC7EC13}"/>
    <cellStyle name="Comma 3 4 3 6" xfId="277" xr:uid="{D1BA9A71-89CE-48C0-9A5B-DE0A073397E1}"/>
    <cellStyle name="Comma 3 4 3 6 10" xfId="36785" xr:uid="{6B0F8ECD-D099-40A1-98FB-35C7E5FD5E08}"/>
    <cellStyle name="Comma 3 4 3 6 11" xfId="18531" xr:uid="{EEB3D04E-560F-4498-9DF8-9D93FF09A274}"/>
    <cellStyle name="Comma 3 4 3 6 2" xfId="3197" xr:uid="{67DA62CC-8453-40CF-BEB1-A0EB62D7C19F}"/>
    <cellStyle name="Comma 3 4 3 6 2 2" xfId="17797" xr:uid="{50765376-490C-4294-BC4F-FACC9CC2674E}"/>
    <cellStyle name="Comma 3 4 3 6 2 2 2" xfId="54305" xr:uid="{29004C2E-74A2-4B72-A989-B4A1DC77A748}"/>
    <cellStyle name="Comma 3 4 3 6 2 2 3" xfId="36051" xr:uid="{FF2407E4-93D5-4DFD-ADB3-C5CA53522521}"/>
    <cellStyle name="Comma 3 4 3 6 2 3" xfId="14147" xr:uid="{81389CEC-65AA-4884-A537-526E63519D54}"/>
    <cellStyle name="Comma 3 4 3 6 2 3 2" xfId="50655" xr:uid="{0D81275D-AD6D-4209-BA5C-1CCDF37DD705}"/>
    <cellStyle name="Comma 3 4 3 6 2 3 3" xfId="32401" xr:uid="{BFDEFA95-C875-4BDE-90BF-73BCA4CAF68E}"/>
    <cellStyle name="Comma 3 4 3 6 2 4" xfId="10497" xr:uid="{411FCBD8-72F9-4C07-8F46-6B3D52390D8C}"/>
    <cellStyle name="Comma 3 4 3 6 2 4 2" xfId="47005" xr:uid="{55FED1A6-40A3-4268-9571-464E0C6A90A5}"/>
    <cellStyle name="Comma 3 4 3 6 2 4 3" xfId="28751" xr:uid="{4FABF934-282E-4656-8728-E0E190F7AB05}"/>
    <cellStyle name="Comma 3 4 3 6 2 5" xfId="6847" xr:uid="{52E0D1A0-E5FA-4C90-8C4B-58828F0595EE}"/>
    <cellStyle name="Comma 3 4 3 6 2 5 2" xfId="43355" xr:uid="{2363E3C9-0E0A-4789-93B0-EC7BC5F005C3}"/>
    <cellStyle name="Comma 3 4 3 6 2 5 3" xfId="25101" xr:uid="{AB4D2CDA-247B-4EDE-AACC-598248BAEB9E}"/>
    <cellStyle name="Comma 3 4 3 6 2 6" xfId="39705" xr:uid="{140ABE66-E71E-421B-B566-208069D1FFCC}"/>
    <cellStyle name="Comma 3 4 3 6 2 7" xfId="21451" xr:uid="{173C26DD-F195-40A4-81A4-1ED98FF37D14}"/>
    <cellStyle name="Comma 3 4 3 6 3" xfId="2467" xr:uid="{744F9922-2162-4ABB-9140-F963C8A4DCF7}"/>
    <cellStyle name="Comma 3 4 3 6 3 2" xfId="17067" xr:uid="{CD06852A-A386-48C1-BE95-4CE638035936}"/>
    <cellStyle name="Comma 3 4 3 6 3 2 2" xfId="53575" xr:uid="{87C4080D-3222-4E22-9290-7BBA63526413}"/>
    <cellStyle name="Comma 3 4 3 6 3 2 3" xfId="35321" xr:uid="{10BEDCB3-C437-445E-BC47-8723D3EB3580}"/>
    <cellStyle name="Comma 3 4 3 6 3 3" xfId="13417" xr:uid="{D694099D-E41F-424D-B5F8-E9C6FEF6A09B}"/>
    <cellStyle name="Comma 3 4 3 6 3 3 2" xfId="49925" xr:uid="{2875BF96-38D3-49BB-B820-69DB56FE06A2}"/>
    <cellStyle name="Comma 3 4 3 6 3 3 3" xfId="31671" xr:uid="{A255060E-FDD0-4B72-8B0A-9949B9BE294F}"/>
    <cellStyle name="Comma 3 4 3 6 3 4" xfId="9767" xr:uid="{E432007E-8210-4F15-8C0B-B400A6397BC8}"/>
    <cellStyle name="Comma 3 4 3 6 3 4 2" xfId="46275" xr:uid="{E19A4694-653B-440D-BC7C-849AD4991450}"/>
    <cellStyle name="Comma 3 4 3 6 3 4 3" xfId="28021" xr:uid="{C8F91161-D0A5-4434-897B-CEC2FCA764AD}"/>
    <cellStyle name="Comma 3 4 3 6 3 5" xfId="6117" xr:uid="{28F32191-9BDD-41DC-B56A-EC45F2BE96B1}"/>
    <cellStyle name="Comma 3 4 3 6 3 5 2" xfId="42625" xr:uid="{2E3158E7-A5DD-4677-A9D7-CB1A6A7CECBF}"/>
    <cellStyle name="Comma 3 4 3 6 3 5 3" xfId="24371" xr:uid="{47C40AE1-AE42-46C9-92A0-51BEE64E1B3C}"/>
    <cellStyle name="Comma 3 4 3 6 3 6" xfId="38975" xr:uid="{942D60BE-C079-44C4-A539-EFCC7BB0C92C}"/>
    <cellStyle name="Comma 3 4 3 6 3 7" xfId="20721" xr:uid="{CB8BEE4E-6978-49DF-96F9-80966AAF6F44}"/>
    <cellStyle name="Comma 3 4 3 6 4" xfId="1737" xr:uid="{FADC076C-D267-4ED3-A5CB-79F10A57EE01}"/>
    <cellStyle name="Comma 3 4 3 6 4 2" xfId="16337" xr:uid="{657C4B33-7307-4362-865C-3B40D36E58CC}"/>
    <cellStyle name="Comma 3 4 3 6 4 2 2" xfId="52845" xr:uid="{C6C54C22-92D8-4757-BAEF-E9A632755D3A}"/>
    <cellStyle name="Comma 3 4 3 6 4 2 3" xfId="34591" xr:uid="{A52A166F-E9A0-419C-B8F5-A0D8D0A2D5A1}"/>
    <cellStyle name="Comma 3 4 3 6 4 3" xfId="12687" xr:uid="{AF32D95C-2395-4C11-8A76-42A54845D8C8}"/>
    <cellStyle name="Comma 3 4 3 6 4 3 2" xfId="49195" xr:uid="{5613DEB5-29BE-478E-A41C-9FD00907AAD8}"/>
    <cellStyle name="Comma 3 4 3 6 4 3 3" xfId="30941" xr:uid="{D0E7C6D5-CB90-4715-8ACD-0D91DA3B5F4C}"/>
    <cellStyle name="Comma 3 4 3 6 4 4" xfId="9037" xr:uid="{2908F93F-7BAF-4D31-A7CC-2241442E0D93}"/>
    <cellStyle name="Comma 3 4 3 6 4 4 2" xfId="45545" xr:uid="{90BBA80F-7BCE-4F9D-9871-811D86F97D29}"/>
    <cellStyle name="Comma 3 4 3 6 4 4 3" xfId="27291" xr:uid="{D37CFF53-8D27-4433-8546-D1E655B2E509}"/>
    <cellStyle name="Comma 3 4 3 6 4 5" xfId="5387" xr:uid="{13B5540B-C2C6-41D0-8E3B-7CF9F7D6C247}"/>
    <cellStyle name="Comma 3 4 3 6 4 5 2" xfId="41895" xr:uid="{A0FB4659-7FD2-4876-9C4A-38BA7E86E1E8}"/>
    <cellStyle name="Comma 3 4 3 6 4 5 3" xfId="23641" xr:uid="{3A6461DB-5CDF-410B-8701-86FE3505C305}"/>
    <cellStyle name="Comma 3 4 3 6 4 6" xfId="38245" xr:uid="{63F15F52-410A-496A-8E64-3E84B4D11234}"/>
    <cellStyle name="Comma 3 4 3 6 4 7" xfId="19991" xr:uid="{E8D03516-1EF5-4E7B-85A5-40F17E3CDF3A}"/>
    <cellStyle name="Comma 3 4 3 6 5" xfId="1007" xr:uid="{3EAD7E84-1EC8-46EF-A8BC-0607EE268DDC}"/>
    <cellStyle name="Comma 3 4 3 6 5 2" xfId="15607" xr:uid="{6BA8FA85-869C-4506-8D3D-503766CDE2B7}"/>
    <cellStyle name="Comma 3 4 3 6 5 2 2" xfId="52115" xr:uid="{4FEF404C-47CD-493E-8878-2809AE095495}"/>
    <cellStyle name="Comma 3 4 3 6 5 2 3" xfId="33861" xr:uid="{D6B2DD81-2A81-4E07-930E-BACC5FBEA09A}"/>
    <cellStyle name="Comma 3 4 3 6 5 3" xfId="11957" xr:uid="{5D7D8D88-0F05-4022-AA35-52B82B9C00C7}"/>
    <cellStyle name="Comma 3 4 3 6 5 3 2" xfId="48465" xr:uid="{05CC40FE-7478-46DC-87A0-805371A2E86B}"/>
    <cellStyle name="Comma 3 4 3 6 5 3 3" xfId="30211" xr:uid="{6E7ED6F6-E985-47B3-B24F-935E3660E118}"/>
    <cellStyle name="Comma 3 4 3 6 5 4" xfId="8307" xr:uid="{B17A332A-BD59-455B-8E3C-0FE97C3E04F8}"/>
    <cellStyle name="Comma 3 4 3 6 5 4 2" xfId="44815" xr:uid="{F43B1877-D7F9-40A8-B09E-54EC0166A910}"/>
    <cellStyle name="Comma 3 4 3 6 5 4 3" xfId="26561" xr:uid="{5FF1DF5E-D65E-453A-9812-A9C1C0C4BDA0}"/>
    <cellStyle name="Comma 3 4 3 6 5 5" xfId="4657" xr:uid="{4816E081-5295-4488-8C8B-9D4EF223B60C}"/>
    <cellStyle name="Comma 3 4 3 6 5 5 2" xfId="41165" xr:uid="{210640B6-9B30-4C88-B6B7-62368149292C}"/>
    <cellStyle name="Comma 3 4 3 6 5 5 3" xfId="22911" xr:uid="{9DA3127A-0373-4F29-9F4F-7AD04CB65600}"/>
    <cellStyle name="Comma 3 4 3 6 5 6" xfId="37515" xr:uid="{232FED0A-5134-4E0A-9E2C-AD1B706FF277}"/>
    <cellStyle name="Comma 3 4 3 6 5 7" xfId="19261" xr:uid="{60EBB715-1230-472E-8F13-E86D5D92746D}"/>
    <cellStyle name="Comma 3 4 3 6 6" xfId="14877" xr:uid="{588E05F6-CF0D-441C-A5EF-3415300D0A0A}"/>
    <cellStyle name="Comma 3 4 3 6 6 2" xfId="51385" xr:uid="{E85B4220-9EA8-47A6-8208-1AD2E2A4022E}"/>
    <cellStyle name="Comma 3 4 3 6 6 3" xfId="33131" xr:uid="{0EFFD7B2-5C8D-4008-98C9-83C086651FC4}"/>
    <cellStyle name="Comma 3 4 3 6 7" xfId="11227" xr:uid="{0AB3A6DF-5097-401A-83DF-9E6D5694FF58}"/>
    <cellStyle name="Comma 3 4 3 6 7 2" xfId="47735" xr:uid="{5D73D838-002F-43AC-8970-CB992FBB1AD5}"/>
    <cellStyle name="Comma 3 4 3 6 7 3" xfId="29481" xr:uid="{9F0ABABA-3DFC-48FC-9CDF-B85F1E0D342A}"/>
    <cellStyle name="Comma 3 4 3 6 8" xfId="7577" xr:uid="{40EF19CB-7FB5-4206-9435-B8AE89D68650}"/>
    <cellStyle name="Comma 3 4 3 6 8 2" xfId="44085" xr:uid="{097117C1-BC56-4776-A25D-802EDF2A4410}"/>
    <cellStyle name="Comma 3 4 3 6 8 3" xfId="25831" xr:uid="{2F28620A-C12A-4E90-85B4-728729DFB1F0}"/>
    <cellStyle name="Comma 3 4 3 6 9" xfId="3927" xr:uid="{04FB5AA4-109C-4466-9A2D-5B722CD0864B}"/>
    <cellStyle name="Comma 3 4 3 6 9 2" xfId="40435" xr:uid="{9B6CDCCB-7818-4D57-B723-EC21F45F761E}"/>
    <cellStyle name="Comma 3 4 3 6 9 3" xfId="22181" xr:uid="{583E8347-CA7B-46F0-BB66-574B13CD4482}"/>
    <cellStyle name="Comma 3 4 3 7" xfId="173" xr:uid="{0E1ECDAA-3DEA-4939-80E3-A1203B2E7262}"/>
    <cellStyle name="Comma 3 4 3 7 10" xfId="36681" xr:uid="{8D7ECAC0-D32E-4E7D-A708-7301CE9EFF14}"/>
    <cellStyle name="Comma 3 4 3 7 11" xfId="18427" xr:uid="{7B74B7C4-0A8A-48C6-A67E-7529E0756223}"/>
    <cellStyle name="Comma 3 4 3 7 2" xfId="3093" xr:uid="{0B535138-89AD-48F3-8977-904ED7EE5FFD}"/>
    <cellStyle name="Comma 3 4 3 7 2 2" xfId="17693" xr:uid="{F15ED860-AAF6-4A3B-8510-50C71B286C4A}"/>
    <cellStyle name="Comma 3 4 3 7 2 2 2" xfId="54201" xr:uid="{87CC3B5F-A4E4-40E1-A99A-A454FD7633FE}"/>
    <cellStyle name="Comma 3 4 3 7 2 2 3" xfId="35947" xr:uid="{7B0697E8-451D-4CD6-9C4E-57D2B9B0495A}"/>
    <cellStyle name="Comma 3 4 3 7 2 3" xfId="14043" xr:uid="{0A778C66-C3BC-4C0E-A40A-CDF212B731FD}"/>
    <cellStyle name="Comma 3 4 3 7 2 3 2" xfId="50551" xr:uid="{9E21E9D7-3AA1-45E0-AF09-E436F10DF2F2}"/>
    <cellStyle name="Comma 3 4 3 7 2 3 3" xfId="32297" xr:uid="{D40D884D-6375-4DB1-B832-DAE7869A349B}"/>
    <cellStyle name="Comma 3 4 3 7 2 4" xfId="10393" xr:uid="{54A26A69-CEC4-46AF-8BC9-8D8C881BEDF6}"/>
    <cellStyle name="Comma 3 4 3 7 2 4 2" xfId="46901" xr:uid="{371EC15D-0228-45C3-BD2D-098C49D04A21}"/>
    <cellStyle name="Comma 3 4 3 7 2 4 3" xfId="28647" xr:uid="{A8D3D4B7-AF54-4F25-B374-74D699825E44}"/>
    <cellStyle name="Comma 3 4 3 7 2 5" xfId="6743" xr:uid="{78797334-4D49-49A3-817A-3B0B72D2A6DB}"/>
    <cellStyle name="Comma 3 4 3 7 2 5 2" xfId="43251" xr:uid="{3B002714-169B-4989-89BC-72CFC21BBE57}"/>
    <cellStyle name="Comma 3 4 3 7 2 5 3" xfId="24997" xr:uid="{5AF1EBE3-92D4-4273-B0C6-72C667A35B55}"/>
    <cellStyle name="Comma 3 4 3 7 2 6" xfId="39601" xr:uid="{816DE59E-8E03-4BD5-8BB1-BAC2A36DDF8E}"/>
    <cellStyle name="Comma 3 4 3 7 2 7" xfId="21347" xr:uid="{F812341C-AC7A-4E6B-8330-B14F1F9CA617}"/>
    <cellStyle name="Comma 3 4 3 7 3" xfId="2363" xr:uid="{013E5DE0-778B-4620-88DB-3D59B18C2694}"/>
    <cellStyle name="Comma 3 4 3 7 3 2" xfId="16963" xr:uid="{9E973714-B2BF-41BD-B952-F609B6A50518}"/>
    <cellStyle name="Comma 3 4 3 7 3 2 2" xfId="53471" xr:uid="{33C17931-B122-4946-B576-E0C5BA8A3C99}"/>
    <cellStyle name="Comma 3 4 3 7 3 2 3" xfId="35217" xr:uid="{F32AA436-5CCD-4023-8E41-7007EF5BA8CB}"/>
    <cellStyle name="Comma 3 4 3 7 3 3" xfId="13313" xr:uid="{AC67083F-4AB0-4F2D-9658-338E4B59A7A7}"/>
    <cellStyle name="Comma 3 4 3 7 3 3 2" xfId="49821" xr:uid="{436A3FF0-4D1C-4277-A182-42B0A97F6943}"/>
    <cellStyle name="Comma 3 4 3 7 3 3 3" xfId="31567" xr:uid="{4F72BB11-9171-49BF-B6CD-A6B1215E6CBD}"/>
    <cellStyle name="Comma 3 4 3 7 3 4" xfId="9663" xr:uid="{8EE1B7FC-F0F7-465A-8E92-62DAD0A41BE4}"/>
    <cellStyle name="Comma 3 4 3 7 3 4 2" xfId="46171" xr:uid="{95ABCC35-7AF8-45C6-B890-D384B2766266}"/>
    <cellStyle name="Comma 3 4 3 7 3 4 3" xfId="27917" xr:uid="{EE08373E-9182-4BA8-B017-FB9E585C6329}"/>
    <cellStyle name="Comma 3 4 3 7 3 5" xfId="6013" xr:uid="{F8CCF3AE-C386-4049-8579-A2B5B12BA4CB}"/>
    <cellStyle name="Comma 3 4 3 7 3 5 2" xfId="42521" xr:uid="{7AE89AB2-4AB9-4770-8D5A-E743D43F34C7}"/>
    <cellStyle name="Comma 3 4 3 7 3 5 3" xfId="24267" xr:uid="{6200179D-54F8-472F-B7FB-0D0814D01918}"/>
    <cellStyle name="Comma 3 4 3 7 3 6" xfId="38871" xr:uid="{D1FBCB20-CE0E-4E35-8290-D50B58449503}"/>
    <cellStyle name="Comma 3 4 3 7 3 7" xfId="20617" xr:uid="{4A44DACB-4704-4FDF-B760-2CC0D50B4115}"/>
    <cellStyle name="Comma 3 4 3 7 4" xfId="1633" xr:uid="{1B3B26E4-55CA-4124-BA7F-B23E3AF71A29}"/>
    <cellStyle name="Comma 3 4 3 7 4 2" xfId="16233" xr:uid="{75B2DA74-AD26-4A24-A473-3100FC9C95F9}"/>
    <cellStyle name="Comma 3 4 3 7 4 2 2" xfId="52741" xr:uid="{E6D27BBC-C72B-4B1C-9BF3-533A397F2020}"/>
    <cellStyle name="Comma 3 4 3 7 4 2 3" xfId="34487" xr:uid="{578A6554-7986-456C-A853-0718153FA60B}"/>
    <cellStyle name="Comma 3 4 3 7 4 3" xfId="12583" xr:uid="{186F6039-7E84-4BA3-8108-A75E6AFF1335}"/>
    <cellStyle name="Comma 3 4 3 7 4 3 2" xfId="49091" xr:uid="{AED4D6AA-A490-455C-A85C-BE5E0119FE2D}"/>
    <cellStyle name="Comma 3 4 3 7 4 3 3" xfId="30837" xr:uid="{47FB5D3F-6432-4B22-9EB3-48A7DF4A4DC5}"/>
    <cellStyle name="Comma 3 4 3 7 4 4" xfId="8933" xr:uid="{C2F401EB-F644-470A-A49E-9CA674B62EC0}"/>
    <cellStyle name="Comma 3 4 3 7 4 4 2" xfId="45441" xr:uid="{605C7802-0709-41D8-B850-58E6AF11EAD4}"/>
    <cellStyle name="Comma 3 4 3 7 4 4 3" xfId="27187" xr:uid="{5B6A28AD-9293-46D5-BF6F-5B4BECC3DF4F}"/>
    <cellStyle name="Comma 3 4 3 7 4 5" xfId="5283" xr:uid="{4CBD61B4-E16C-4213-B186-ECBA6784306B}"/>
    <cellStyle name="Comma 3 4 3 7 4 5 2" xfId="41791" xr:uid="{6BB654C1-8A47-4952-9E5A-82A7508F85A3}"/>
    <cellStyle name="Comma 3 4 3 7 4 5 3" xfId="23537" xr:uid="{4CEABAC6-2FDD-44B4-9861-2731D56995F9}"/>
    <cellStyle name="Comma 3 4 3 7 4 6" xfId="38141" xr:uid="{CD0011D0-9D9C-4700-8AF3-3F94A460F086}"/>
    <cellStyle name="Comma 3 4 3 7 4 7" xfId="19887" xr:uid="{07A1B045-7B2D-4F28-B99B-5F59CF35793A}"/>
    <cellStyle name="Comma 3 4 3 7 5" xfId="903" xr:uid="{EE50F443-462E-4C28-ACB8-BDB4FFAF8447}"/>
    <cellStyle name="Comma 3 4 3 7 5 2" xfId="15503" xr:uid="{BB6C0B17-DC9D-49ED-89E5-1A48AD659DAC}"/>
    <cellStyle name="Comma 3 4 3 7 5 2 2" xfId="52011" xr:uid="{333DF6AE-D336-498A-B00E-872DD3966FE6}"/>
    <cellStyle name="Comma 3 4 3 7 5 2 3" xfId="33757" xr:uid="{FB46B8A1-9C1B-42CA-B7B6-47ED63CCD528}"/>
    <cellStyle name="Comma 3 4 3 7 5 3" xfId="11853" xr:uid="{EB622962-7F1B-4DD5-813A-AE2346798D7B}"/>
    <cellStyle name="Comma 3 4 3 7 5 3 2" xfId="48361" xr:uid="{C82544C7-B434-4AF2-A708-F1FD70652FE2}"/>
    <cellStyle name="Comma 3 4 3 7 5 3 3" xfId="30107" xr:uid="{74814A96-781F-4A23-AB47-79FB92FF0431}"/>
    <cellStyle name="Comma 3 4 3 7 5 4" xfId="8203" xr:uid="{D37F9F1D-43C0-4B41-9C0B-7447295492C9}"/>
    <cellStyle name="Comma 3 4 3 7 5 4 2" xfId="44711" xr:uid="{C1B138F9-868F-4A44-8B00-6D066211A569}"/>
    <cellStyle name="Comma 3 4 3 7 5 4 3" xfId="26457" xr:uid="{A2ECC67F-1B26-4F0A-81BB-E262A78BA9AE}"/>
    <cellStyle name="Comma 3 4 3 7 5 5" xfId="4553" xr:uid="{5916760F-CD37-415D-8FDF-6E0DC70640AB}"/>
    <cellStyle name="Comma 3 4 3 7 5 5 2" xfId="41061" xr:uid="{1FB83741-CD54-419B-A191-4FA54C71CC69}"/>
    <cellStyle name="Comma 3 4 3 7 5 5 3" xfId="22807" xr:uid="{AFB67685-8CE7-4C94-98E9-A32E2EECF0B3}"/>
    <cellStyle name="Comma 3 4 3 7 5 6" xfId="37411" xr:uid="{0A79212E-77CC-4C6C-A3E1-DC522C756CBD}"/>
    <cellStyle name="Comma 3 4 3 7 5 7" xfId="19157" xr:uid="{75951C1F-F717-4F5E-AA29-161DF1A986A3}"/>
    <cellStyle name="Comma 3 4 3 7 6" xfId="14773" xr:uid="{BBCF1F8E-59BE-4EEA-8E3A-ABE631654BE6}"/>
    <cellStyle name="Comma 3 4 3 7 6 2" xfId="51281" xr:uid="{D61735EB-A43D-405F-8C55-7A1780F973C1}"/>
    <cellStyle name="Comma 3 4 3 7 6 3" xfId="33027" xr:uid="{3A64061E-D3F2-43BE-9290-6CD7CF681178}"/>
    <cellStyle name="Comma 3 4 3 7 7" xfId="11123" xr:uid="{9925DDA9-2BA7-417D-B1D5-F51ED5A264EB}"/>
    <cellStyle name="Comma 3 4 3 7 7 2" xfId="47631" xr:uid="{8388EDCC-0793-4B5E-A48D-37D226019ADA}"/>
    <cellStyle name="Comma 3 4 3 7 7 3" xfId="29377" xr:uid="{7ECD695C-AA67-493F-86B6-FDDC97F4B64E}"/>
    <cellStyle name="Comma 3 4 3 7 8" xfId="7473" xr:uid="{4B88A975-73FA-4813-9DD3-4A95E3EAABF8}"/>
    <cellStyle name="Comma 3 4 3 7 8 2" xfId="43981" xr:uid="{47D3CCF3-1E33-43EC-870A-385950BCCBCE}"/>
    <cellStyle name="Comma 3 4 3 7 8 3" xfId="25727" xr:uid="{318FA211-1992-4B26-9C2E-CA0B994DBB3B}"/>
    <cellStyle name="Comma 3 4 3 7 9" xfId="3823" xr:uid="{59842C5D-3F34-401F-96E2-49F6DF85B3D2}"/>
    <cellStyle name="Comma 3 4 3 7 9 2" xfId="40331" xr:uid="{8DAD93D9-B525-4CCA-939C-A51D25DED4E0}"/>
    <cellStyle name="Comma 3 4 3 7 9 3" xfId="22077" xr:uid="{FD32D8F6-56FD-4DD6-8888-52152526D771}"/>
    <cellStyle name="Comma 3 4 3 8" xfId="2989" xr:uid="{654BDA4D-D100-4844-AE35-7C7D8B15C052}"/>
    <cellStyle name="Comma 3 4 3 8 2" xfId="17589" xr:uid="{06C0B752-8B04-4B73-87E1-4D5B4C8ABC54}"/>
    <cellStyle name="Comma 3 4 3 8 2 2" xfId="54097" xr:uid="{279071A4-7403-4594-B4AF-092128721F44}"/>
    <cellStyle name="Comma 3 4 3 8 2 3" xfId="35843" xr:uid="{87CC3188-3CB1-42BE-9198-15FB5F516AEE}"/>
    <cellStyle name="Comma 3 4 3 8 3" xfId="13939" xr:uid="{89B43125-83B0-4F61-BF31-6D97A518F20A}"/>
    <cellStyle name="Comma 3 4 3 8 3 2" xfId="50447" xr:uid="{8E1BADB1-868F-4024-BA4D-BE62366CDF19}"/>
    <cellStyle name="Comma 3 4 3 8 3 3" xfId="32193" xr:uid="{47318D99-D6E1-4C4E-AE5F-E7DB1C3758FF}"/>
    <cellStyle name="Comma 3 4 3 8 4" xfId="10289" xr:uid="{9CEB55A8-9A73-4C97-998D-3D275293265D}"/>
    <cellStyle name="Comma 3 4 3 8 4 2" xfId="46797" xr:uid="{EC6B8EB1-B60D-4B52-AB58-1A1E3C9A970B}"/>
    <cellStyle name="Comma 3 4 3 8 4 3" xfId="28543" xr:uid="{FE6AB887-B68F-4F74-A0F4-618CBFD7D74D}"/>
    <cellStyle name="Comma 3 4 3 8 5" xfId="6639" xr:uid="{0C1D67E9-43FD-4FC8-97FA-C84A7282DA84}"/>
    <cellStyle name="Comma 3 4 3 8 5 2" xfId="43147" xr:uid="{1F45108D-A60E-405A-B348-149EFCBCF8C7}"/>
    <cellStyle name="Comma 3 4 3 8 5 3" xfId="24893" xr:uid="{4B017A17-F703-4F41-9D03-4825528F7351}"/>
    <cellStyle name="Comma 3 4 3 8 6" xfId="39497" xr:uid="{A98489D4-A6D6-49D1-B66A-A56278AA80B4}"/>
    <cellStyle name="Comma 3 4 3 8 7" xfId="21243" xr:uid="{B490D88C-41A4-4BD4-9AAF-0E3D658627D0}"/>
    <cellStyle name="Comma 3 4 3 9" xfId="2259" xr:uid="{18CB5836-B944-4A54-8E7C-52F87BA55C9C}"/>
    <cellStyle name="Comma 3 4 3 9 2" xfId="16859" xr:uid="{40F5DDD7-E3C9-49C7-8E06-ABACE5F66269}"/>
    <cellStyle name="Comma 3 4 3 9 2 2" xfId="53367" xr:uid="{033BA6F6-15EA-42FE-9692-5C18A03D9E7A}"/>
    <cellStyle name="Comma 3 4 3 9 2 3" xfId="35113" xr:uid="{7C2416EB-9DBA-49FA-AACC-813CE6790071}"/>
    <cellStyle name="Comma 3 4 3 9 3" xfId="13209" xr:uid="{156F6C59-89EE-4366-98F2-E3BC9257A2DB}"/>
    <cellStyle name="Comma 3 4 3 9 3 2" xfId="49717" xr:uid="{12AD7ADD-E065-4C13-8422-F7834704C7B5}"/>
    <cellStyle name="Comma 3 4 3 9 3 3" xfId="31463" xr:uid="{06AA76E7-76F0-41C9-93A0-128C010F8F71}"/>
    <cellStyle name="Comma 3 4 3 9 4" xfId="9559" xr:uid="{64208329-3E11-4E83-B484-1C024D62BCAB}"/>
    <cellStyle name="Comma 3 4 3 9 4 2" xfId="46067" xr:uid="{A7128F73-4DEB-49E1-8608-D4FF940289DF}"/>
    <cellStyle name="Comma 3 4 3 9 4 3" xfId="27813" xr:uid="{D1389072-82D2-4250-B009-B4E262A8B3F0}"/>
    <cellStyle name="Comma 3 4 3 9 5" xfId="5909" xr:uid="{69740540-B7BD-46CF-BEDC-C5107A51B498}"/>
    <cellStyle name="Comma 3 4 3 9 5 2" xfId="42417" xr:uid="{11FD18E6-FCF2-4C39-8BB7-DA71DCF94CC6}"/>
    <cellStyle name="Comma 3 4 3 9 5 3" xfId="24163" xr:uid="{51355D36-7300-4A88-A7E5-AB42C7E6D43C}"/>
    <cellStyle name="Comma 3 4 3 9 6" xfId="38767" xr:uid="{88DA3BDD-D1C3-4D5E-9BC0-DB08A441FBA4}"/>
    <cellStyle name="Comma 3 4 3 9 7" xfId="20513" xr:uid="{9D81DE58-25D7-4CB4-8D12-85509F10B58F}"/>
    <cellStyle name="Comma 3 4 4" xfId="661" xr:uid="{A50F3EEE-58B4-4F6C-9A92-F83C3F185197}"/>
    <cellStyle name="Comma 3 4 4 10" xfId="37169" xr:uid="{5DDC5163-5D56-447B-B5F3-575782519D32}"/>
    <cellStyle name="Comma 3 4 4 11" xfId="18915" xr:uid="{051D1DEE-544C-42C5-8CBE-59E2AC5F85BF}"/>
    <cellStyle name="Comma 3 4 4 2" xfId="3581" xr:uid="{862590B6-108A-4E2D-A0D9-8D2BF37C8D1F}"/>
    <cellStyle name="Comma 3 4 4 2 2" xfId="18181" xr:uid="{A089C9B9-727C-4BA5-9530-FFC82421B5E3}"/>
    <cellStyle name="Comma 3 4 4 2 2 2" xfId="54689" xr:uid="{A5C99992-BBB9-414F-98F1-97154CEC93C3}"/>
    <cellStyle name="Comma 3 4 4 2 2 3" xfId="36435" xr:uid="{ED4C2B44-F7D4-4ABD-A3D1-F9B704BA297F}"/>
    <cellStyle name="Comma 3 4 4 2 3" xfId="14531" xr:uid="{57A44FAD-0A21-48BD-9017-B0FEF12A8C7D}"/>
    <cellStyle name="Comma 3 4 4 2 3 2" xfId="51039" xr:uid="{CE57AF8E-1DF2-4EC1-8FC6-0B9B695570A3}"/>
    <cellStyle name="Comma 3 4 4 2 3 3" xfId="32785" xr:uid="{87491A06-B738-432B-88B5-4AD416C6C0E0}"/>
    <cellStyle name="Comma 3 4 4 2 4" xfId="10881" xr:uid="{94DB19EB-E713-4305-AA58-BC2AE1EFA5F6}"/>
    <cellStyle name="Comma 3 4 4 2 4 2" xfId="47389" xr:uid="{50FD669D-3700-4B7C-9418-0099EADE0E0C}"/>
    <cellStyle name="Comma 3 4 4 2 4 3" xfId="29135" xr:uid="{5A836200-7745-41A0-BAE2-54E9E54D6583}"/>
    <cellStyle name="Comma 3 4 4 2 5" xfId="7231" xr:uid="{A5F863AF-B603-4462-A5D1-797C42D9B96A}"/>
    <cellStyle name="Comma 3 4 4 2 5 2" xfId="43739" xr:uid="{6D80D531-4B4D-43FF-8540-CE1EA18496A6}"/>
    <cellStyle name="Comma 3 4 4 2 5 3" xfId="25485" xr:uid="{9FCEA1EF-1A32-42F9-9248-578E75677129}"/>
    <cellStyle name="Comma 3 4 4 2 6" xfId="40089" xr:uid="{32908B81-AB15-40DE-99B5-296330C87BE5}"/>
    <cellStyle name="Comma 3 4 4 2 7" xfId="21835" xr:uid="{9289B2A9-B594-4B98-AE59-C03D5B09432F}"/>
    <cellStyle name="Comma 3 4 4 3" xfId="2851" xr:uid="{4A885340-F593-45B0-B520-2BE791A4CDC5}"/>
    <cellStyle name="Comma 3 4 4 3 2" xfId="17451" xr:uid="{4FC54FF6-493C-4313-B4B4-74FE23A31B7B}"/>
    <cellStyle name="Comma 3 4 4 3 2 2" xfId="53959" xr:uid="{A39B3995-2B5E-4778-A5C2-2FD953B1C3AD}"/>
    <cellStyle name="Comma 3 4 4 3 2 3" xfId="35705" xr:uid="{94C6E6D1-2C09-4834-80E9-B4508CD09877}"/>
    <cellStyle name="Comma 3 4 4 3 3" xfId="13801" xr:uid="{06834B2B-3866-4B04-90A5-4051456365B6}"/>
    <cellStyle name="Comma 3 4 4 3 3 2" xfId="50309" xr:uid="{AD393812-3B7B-4E37-993E-116B2CA7DC0A}"/>
    <cellStyle name="Comma 3 4 4 3 3 3" xfId="32055" xr:uid="{EC8328BD-F470-45DD-AE99-E93C8167B419}"/>
    <cellStyle name="Comma 3 4 4 3 4" xfId="10151" xr:uid="{1B62CAF3-79F6-44E2-8F7F-CC3FBF3DB573}"/>
    <cellStyle name="Comma 3 4 4 3 4 2" xfId="46659" xr:uid="{1CF1C617-4153-45F8-8835-F56DD13BC42D}"/>
    <cellStyle name="Comma 3 4 4 3 4 3" xfId="28405" xr:uid="{2768321D-692A-47C3-8CBD-CC5DE1350E7E}"/>
    <cellStyle name="Comma 3 4 4 3 5" xfId="6501" xr:uid="{0B6C56B9-663C-4E9D-AB46-D88AD22B1672}"/>
    <cellStyle name="Comma 3 4 4 3 5 2" xfId="43009" xr:uid="{8AD46462-EABA-45D2-B17E-4C30D968EF2A}"/>
    <cellStyle name="Comma 3 4 4 3 5 3" xfId="24755" xr:uid="{C3D60A8A-3EA1-4913-B612-4C32C2CF370C}"/>
    <cellStyle name="Comma 3 4 4 3 6" xfId="39359" xr:uid="{47C34CAC-36F2-490B-B55D-533006E9770B}"/>
    <cellStyle name="Comma 3 4 4 3 7" xfId="21105" xr:uid="{0D52FFAD-5D0F-4F77-86B6-082372D05C05}"/>
    <cellStyle name="Comma 3 4 4 4" xfId="2121" xr:uid="{EDDA5ACF-1626-4B0C-9A0F-72946C61C7FC}"/>
    <cellStyle name="Comma 3 4 4 4 2" xfId="16721" xr:uid="{948F03C1-4671-4418-AB6E-026E382997AF}"/>
    <cellStyle name="Comma 3 4 4 4 2 2" xfId="53229" xr:uid="{188B80CF-360E-4CEC-87E7-4FB2D646DD6E}"/>
    <cellStyle name="Comma 3 4 4 4 2 3" xfId="34975" xr:uid="{69645A66-5DBB-4F29-BBE6-2187E432BFAA}"/>
    <cellStyle name="Comma 3 4 4 4 3" xfId="13071" xr:uid="{D94AAAB3-D452-42C8-AE8B-EEFBCE8B68F5}"/>
    <cellStyle name="Comma 3 4 4 4 3 2" xfId="49579" xr:uid="{BEB1A43F-C620-4424-AD8F-B76A1049C203}"/>
    <cellStyle name="Comma 3 4 4 4 3 3" xfId="31325" xr:uid="{E793E5FB-52C1-4339-A1C1-AAA48CE9DDAC}"/>
    <cellStyle name="Comma 3 4 4 4 4" xfId="9421" xr:uid="{890EE78A-A796-497A-9EF6-C4FF9B3E7964}"/>
    <cellStyle name="Comma 3 4 4 4 4 2" xfId="45929" xr:uid="{791F703B-F391-4A9B-B5B7-71AC9196309A}"/>
    <cellStyle name="Comma 3 4 4 4 4 3" xfId="27675" xr:uid="{A95BC3FE-633D-49B6-A0E8-52798AFDA783}"/>
    <cellStyle name="Comma 3 4 4 4 5" xfId="5771" xr:uid="{9BA6F53F-EBD8-4F97-BDC7-173C5F3B3D37}"/>
    <cellStyle name="Comma 3 4 4 4 5 2" xfId="42279" xr:uid="{DACCC551-9906-4AD0-8BA9-A4A8056D6063}"/>
    <cellStyle name="Comma 3 4 4 4 5 3" xfId="24025" xr:uid="{BD6130D3-77B7-4263-8C3D-69F190569CCF}"/>
    <cellStyle name="Comma 3 4 4 4 6" xfId="38629" xr:uid="{BEC18FEA-FA88-40B3-8B1A-B86300205999}"/>
    <cellStyle name="Comma 3 4 4 4 7" xfId="20375" xr:uid="{D4DC41E1-5D01-41B4-AF2D-11ED6EA2AC1E}"/>
    <cellStyle name="Comma 3 4 4 5" xfId="1391" xr:uid="{FC3CBB4A-CC03-4CC8-9E77-7D6D68611D1E}"/>
    <cellStyle name="Comma 3 4 4 5 2" xfId="15991" xr:uid="{13AA21BE-7461-488B-AF12-12E931614988}"/>
    <cellStyle name="Comma 3 4 4 5 2 2" xfId="52499" xr:uid="{92D52A55-B767-4737-8580-DC0D096904EA}"/>
    <cellStyle name="Comma 3 4 4 5 2 3" xfId="34245" xr:uid="{FE88816A-E6E8-4350-814F-E727B29659D0}"/>
    <cellStyle name="Comma 3 4 4 5 3" xfId="12341" xr:uid="{F05D27D1-E962-4D85-8BA5-EBA7F1EAA071}"/>
    <cellStyle name="Comma 3 4 4 5 3 2" xfId="48849" xr:uid="{E6E65B5A-E48D-4DC8-9073-714CC413ABF6}"/>
    <cellStyle name="Comma 3 4 4 5 3 3" xfId="30595" xr:uid="{BCDBA362-D121-4E6D-83D5-FF95090B158E}"/>
    <cellStyle name="Comma 3 4 4 5 4" xfId="8691" xr:uid="{568916A0-2F63-47AC-9D22-337C6640E29E}"/>
    <cellStyle name="Comma 3 4 4 5 4 2" xfId="45199" xr:uid="{BF23E24C-140F-471C-8C2B-5E023903D6D2}"/>
    <cellStyle name="Comma 3 4 4 5 4 3" xfId="26945" xr:uid="{C05557D5-8F69-484A-8FEA-E9B5E28BBECF}"/>
    <cellStyle name="Comma 3 4 4 5 5" xfId="5041" xr:uid="{9E447795-8B35-4EDD-88A3-ECF617C2FF68}"/>
    <cellStyle name="Comma 3 4 4 5 5 2" xfId="41549" xr:uid="{0B5FA568-76EB-499B-8F56-62B1D3419FC3}"/>
    <cellStyle name="Comma 3 4 4 5 5 3" xfId="23295" xr:uid="{14E7C63F-614F-4FE4-B869-844D0573A6AA}"/>
    <cellStyle name="Comma 3 4 4 5 6" xfId="37899" xr:uid="{5B013359-5B46-44C2-855F-5F24CBB6BF37}"/>
    <cellStyle name="Comma 3 4 4 5 7" xfId="19645" xr:uid="{014CD0D8-0046-4BB8-9B1C-D524F8721764}"/>
    <cellStyle name="Comma 3 4 4 6" xfId="15261" xr:uid="{5D66DDDB-506D-4404-8805-5C210257A561}"/>
    <cellStyle name="Comma 3 4 4 6 2" xfId="51769" xr:uid="{DD1C6F97-B854-4081-87EA-5D82C442F8BC}"/>
    <cellStyle name="Comma 3 4 4 6 3" xfId="33515" xr:uid="{D3EDFF0B-C812-4A4D-ACA0-592C7A5050A4}"/>
    <cellStyle name="Comma 3 4 4 7" xfId="11611" xr:uid="{A637C927-A91E-4614-891D-0FD328CBEA84}"/>
    <cellStyle name="Comma 3 4 4 7 2" xfId="48119" xr:uid="{820F36F3-4148-4C2A-8D80-E663482F491B}"/>
    <cellStyle name="Comma 3 4 4 7 3" xfId="29865" xr:uid="{EF07F3EB-8E16-4F74-93DB-4C7557130110}"/>
    <cellStyle name="Comma 3 4 4 8" xfId="7961" xr:uid="{19DD3622-E13D-4275-A5B3-14132A0D5447}"/>
    <cellStyle name="Comma 3 4 4 8 2" xfId="44469" xr:uid="{775C88C2-93A7-4E3F-AC27-A67ADB0BB2BC}"/>
    <cellStyle name="Comma 3 4 4 8 3" xfId="26215" xr:uid="{3F8C8D76-F932-474A-9B0E-8CFF48D0FDFD}"/>
    <cellStyle name="Comma 3 4 4 9" xfId="4311" xr:uid="{82EBC02F-8A52-4FAA-AAB9-319F41221B19}"/>
    <cellStyle name="Comma 3 4 4 9 2" xfId="40819" xr:uid="{30A1D44B-FFF5-46BA-BE66-D5B36D69B84B}"/>
    <cellStyle name="Comma 3 4 4 9 3" xfId="22565" xr:uid="{596EDF75-A122-4AC2-8238-484B0D7FF378}"/>
    <cellStyle name="Comma 3 4 5" xfId="557" xr:uid="{4E2FE085-2593-4FCC-A61C-DD08C9E8ECF6}"/>
    <cellStyle name="Comma 3 4 5 10" xfId="37065" xr:uid="{992A2D9A-7E60-46DF-A72E-FD8006A6555B}"/>
    <cellStyle name="Comma 3 4 5 11" xfId="18811" xr:uid="{1B46CEEE-A340-4001-B032-9DB072D1315A}"/>
    <cellStyle name="Comma 3 4 5 2" xfId="3477" xr:uid="{AF6160A9-EEF2-4E14-9272-F833AAA32809}"/>
    <cellStyle name="Comma 3 4 5 2 2" xfId="18077" xr:uid="{224EB091-A705-419F-8132-B59FE80C3370}"/>
    <cellStyle name="Comma 3 4 5 2 2 2" xfId="54585" xr:uid="{776B82CE-C7FB-4DF0-82F4-71752F5F5A8D}"/>
    <cellStyle name="Comma 3 4 5 2 2 3" xfId="36331" xr:uid="{A3A2B48E-FCDB-4E07-AFAF-8DE5CC2F2D1C}"/>
    <cellStyle name="Comma 3 4 5 2 3" xfId="14427" xr:uid="{3142141A-26FD-4CA6-A090-6CC1DB7707DE}"/>
    <cellStyle name="Comma 3 4 5 2 3 2" xfId="50935" xr:uid="{10BB65C9-628F-4B29-BC84-17C5F930A637}"/>
    <cellStyle name="Comma 3 4 5 2 3 3" xfId="32681" xr:uid="{88C17968-4C05-45EF-8B3D-D7DA743C73AC}"/>
    <cellStyle name="Comma 3 4 5 2 4" xfId="10777" xr:uid="{D43F3DAD-32F5-4137-B181-8F00CA544038}"/>
    <cellStyle name="Comma 3 4 5 2 4 2" xfId="47285" xr:uid="{60AF9198-ACE4-4935-90F0-FC700EEB310A}"/>
    <cellStyle name="Comma 3 4 5 2 4 3" xfId="29031" xr:uid="{595263B1-3EB6-4ECA-9DFE-785E1BBBF974}"/>
    <cellStyle name="Comma 3 4 5 2 5" xfId="7127" xr:uid="{6BFE62AE-AD9B-44BC-B773-787753EE565A}"/>
    <cellStyle name="Comma 3 4 5 2 5 2" xfId="43635" xr:uid="{5E09D118-959B-4548-92C9-0741D1E37335}"/>
    <cellStyle name="Comma 3 4 5 2 5 3" xfId="25381" xr:uid="{D38D27DD-0393-45CE-B8AE-653623180713}"/>
    <cellStyle name="Comma 3 4 5 2 6" xfId="39985" xr:uid="{87A6FDAB-7CC5-4F9C-A19B-8D61A63F4AF6}"/>
    <cellStyle name="Comma 3 4 5 2 7" xfId="21731" xr:uid="{37D9CE4C-34E2-4F38-A8E4-CB2D775B8A9F}"/>
    <cellStyle name="Comma 3 4 5 3" xfId="2747" xr:uid="{794ADD10-A2FF-424E-B755-945FC44E19A8}"/>
    <cellStyle name="Comma 3 4 5 3 2" xfId="17347" xr:uid="{56B35F14-6ABA-43DB-A213-50DCA85D4093}"/>
    <cellStyle name="Comma 3 4 5 3 2 2" xfId="53855" xr:uid="{E9DB933A-D277-4135-921D-B99368BF9120}"/>
    <cellStyle name="Comma 3 4 5 3 2 3" xfId="35601" xr:uid="{EE54E1D8-328C-4C00-9492-732EC7F41670}"/>
    <cellStyle name="Comma 3 4 5 3 3" xfId="13697" xr:uid="{16319C11-472C-4CCE-8442-F72FB23DD5FB}"/>
    <cellStyle name="Comma 3 4 5 3 3 2" xfId="50205" xr:uid="{FFC9A2D6-0258-4D85-956F-055E5353BB75}"/>
    <cellStyle name="Comma 3 4 5 3 3 3" xfId="31951" xr:uid="{92C5EAA7-ED6D-4A7F-9D3D-A441B6B0F733}"/>
    <cellStyle name="Comma 3 4 5 3 4" xfId="10047" xr:uid="{B0DD65A4-7187-4ABE-8190-A8818B0A5836}"/>
    <cellStyle name="Comma 3 4 5 3 4 2" xfId="46555" xr:uid="{0B719A66-DCB8-4D90-A0C1-1E4C56BFC181}"/>
    <cellStyle name="Comma 3 4 5 3 4 3" xfId="28301" xr:uid="{32B4A735-1A92-4E3F-94D4-CDF3C6EFA200}"/>
    <cellStyle name="Comma 3 4 5 3 5" xfId="6397" xr:uid="{0F361F9D-8A05-4D7F-9087-00433CE2F29B}"/>
    <cellStyle name="Comma 3 4 5 3 5 2" xfId="42905" xr:uid="{D4B30291-CC6A-4F61-A423-FF99D1AF727F}"/>
    <cellStyle name="Comma 3 4 5 3 5 3" xfId="24651" xr:uid="{FAEBBDD6-671F-44A6-A50C-105C6920DA81}"/>
    <cellStyle name="Comma 3 4 5 3 6" xfId="39255" xr:uid="{96AEF9F9-334F-4430-B438-4A82F401CC3A}"/>
    <cellStyle name="Comma 3 4 5 3 7" xfId="21001" xr:uid="{3449B692-F952-409B-B57A-A99B531B667F}"/>
    <cellStyle name="Comma 3 4 5 4" xfId="2017" xr:uid="{7E312815-4735-401D-90B9-C204AE10A994}"/>
    <cellStyle name="Comma 3 4 5 4 2" xfId="16617" xr:uid="{8FFF4922-68C9-4B1E-95D0-2C84A7FD2EB2}"/>
    <cellStyle name="Comma 3 4 5 4 2 2" xfId="53125" xr:uid="{1CA70C93-3F65-4B79-A256-C80AF98EB6D0}"/>
    <cellStyle name="Comma 3 4 5 4 2 3" xfId="34871" xr:uid="{C8458DB3-BCCA-4FD9-92CE-970048CF6E3D}"/>
    <cellStyle name="Comma 3 4 5 4 3" xfId="12967" xr:uid="{682DD35B-D69F-49A4-9F9B-B588A1DD8ABC}"/>
    <cellStyle name="Comma 3 4 5 4 3 2" xfId="49475" xr:uid="{E470D748-C9EF-4CA9-815D-612F10770416}"/>
    <cellStyle name="Comma 3 4 5 4 3 3" xfId="31221" xr:uid="{5CC0E5B2-4BC0-410E-8530-9F48D04B38D4}"/>
    <cellStyle name="Comma 3 4 5 4 4" xfId="9317" xr:uid="{579661EE-519D-4367-B41E-74FFCEE19069}"/>
    <cellStyle name="Comma 3 4 5 4 4 2" xfId="45825" xr:uid="{1853321A-9981-4CA1-A348-BBEF362C2BA4}"/>
    <cellStyle name="Comma 3 4 5 4 4 3" xfId="27571" xr:uid="{A6CADCC3-EB02-418F-B3E2-F66A9076F72A}"/>
    <cellStyle name="Comma 3 4 5 4 5" xfId="5667" xr:uid="{7F95F6D7-B69A-487F-9EF3-AC0032BD5B68}"/>
    <cellStyle name="Comma 3 4 5 4 5 2" xfId="42175" xr:uid="{E999BD34-44BE-43D3-909E-AAFE088F8973}"/>
    <cellStyle name="Comma 3 4 5 4 5 3" xfId="23921" xr:uid="{4346EC72-F832-46B8-842E-AEC70F4E61CC}"/>
    <cellStyle name="Comma 3 4 5 4 6" xfId="38525" xr:uid="{492DBC99-3D6E-48F9-A547-6D90C4489F24}"/>
    <cellStyle name="Comma 3 4 5 4 7" xfId="20271" xr:uid="{88E14AC2-3BC1-423A-9D29-8845AE2C5BF6}"/>
    <cellStyle name="Comma 3 4 5 5" xfId="1287" xr:uid="{0C2BCED3-A3CA-4C56-A197-CEA1EE061DB9}"/>
    <cellStyle name="Comma 3 4 5 5 2" xfId="15887" xr:uid="{73B6E309-722B-4B99-92D2-DE8B1F583A7A}"/>
    <cellStyle name="Comma 3 4 5 5 2 2" xfId="52395" xr:uid="{2EF60D9B-4E88-4185-BC24-3E3685FDD527}"/>
    <cellStyle name="Comma 3 4 5 5 2 3" xfId="34141" xr:uid="{4245FAAA-67B8-482A-A7A6-33C3EF14F19B}"/>
    <cellStyle name="Comma 3 4 5 5 3" xfId="12237" xr:uid="{C3068FFB-D9B4-4CA6-A672-9ACF2066E047}"/>
    <cellStyle name="Comma 3 4 5 5 3 2" xfId="48745" xr:uid="{F425C252-2D49-459F-B7D1-9127A3F7ACA6}"/>
    <cellStyle name="Comma 3 4 5 5 3 3" xfId="30491" xr:uid="{BF94F7D7-2F05-4808-8B49-560970A462C3}"/>
    <cellStyle name="Comma 3 4 5 5 4" xfId="8587" xr:uid="{F673EE84-A578-4E47-AFC2-FA9406652DA9}"/>
    <cellStyle name="Comma 3 4 5 5 4 2" xfId="45095" xr:uid="{8FFC9B6F-45C2-4338-A14C-D81856EEFBE2}"/>
    <cellStyle name="Comma 3 4 5 5 4 3" xfId="26841" xr:uid="{C1586775-C670-4DB3-BCCB-5E19650FDD17}"/>
    <cellStyle name="Comma 3 4 5 5 5" xfId="4937" xr:uid="{DFA57FCF-2820-44BB-8E3A-4448020856E4}"/>
    <cellStyle name="Comma 3 4 5 5 5 2" xfId="41445" xr:uid="{790B5828-65F1-4AAF-9F92-84BB5EDC15F7}"/>
    <cellStyle name="Comma 3 4 5 5 5 3" xfId="23191" xr:uid="{696DB08C-806D-4248-88AC-6791C62312DE}"/>
    <cellStyle name="Comma 3 4 5 5 6" xfId="37795" xr:uid="{9A03B362-9E4F-4A03-A088-D50B3DDEE6F2}"/>
    <cellStyle name="Comma 3 4 5 5 7" xfId="19541" xr:uid="{90ED345F-4075-46CF-8190-1F886776E5B3}"/>
    <cellStyle name="Comma 3 4 5 6" xfId="15157" xr:uid="{72C00FA9-98F3-4506-8479-018C967F8453}"/>
    <cellStyle name="Comma 3 4 5 6 2" xfId="51665" xr:uid="{717303F5-B382-41BE-ABCB-E2E587A263D5}"/>
    <cellStyle name="Comma 3 4 5 6 3" xfId="33411" xr:uid="{D8092842-9992-449E-8CDC-DB3070D7CF29}"/>
    <cellStyle name="Comma 3 4 5 7" xfId="11507" xr:uid="{E5248A9B-EE45-40BB-BAED-9433C3EC42FD}"/>
    <cellStyle name="Comma 3 4 5 7 2" xfId="48015" xr:uid="{527F2F6C-D8E7-4136-BA18-99F4D3A6B020}"/>
    <cellStyle name="Comma 3 4 5 7 3" xfId="29761" xr:uid="{BD79BB37-7638-4364-A3BB-98DBA1DA3198}"/>
    <cellStyle name="Comma 3 4 5 8" xfId="7857" xr:uid="{3F982931-E566-4B56-9FFE-37DC0770189A}"/>
    <cellStyle name="Comma 3 4 5 8 2" xfId="44365" xr:uid="{411FC6C1-0D6D-45FF-9C24-434B1B8FBDB1}"/>
    <cellStyle name="Comma 3 4 5 8 3" xfId="26111" xr:uid="{D47FE794-3AF0-45E1-B9DB-4892EFB4706A}"/>
    <cellStyle name="Comma 3 4 5 9" xfId="4207" xr:uid="{0162A5E7-F7C6-425B-A171-C6338FA8402F}"/>
    <cellStyle name="Comma 3 4 5 9 2" xfId="40715" xr:uid="{C30A6826-D306-4EE8-B28A-1E30E53E0528}"/>
    <cellStyle name="Comma 3 4 5 9 3" xfId="22461" xr:uid="{7C3457AB-869E-4CDD-871E-503B8AFFB954}"/>
    <cellStyle name="Comma 3 4 6" xfId="453" xr:uid="{D1B70975-DED4-4E24-8E14-38D2D2E7BBAA}"/>
    <cellStyle name="Comma 3 4 6 10" xfId="36961" xr:uid="{28B73892-0E73-445B-8EB6-8E2B6E31683A}"/>
    <cellStyle name="Comma 3 4 6 11" xfId="18707" xr:uid="{57B603C5-0C49-4AFC-8617-A86C44F9B886}"/>
    <cellStyle name="Comma 3 4 6 2" xfId="3373" xr:uid="{FC55E30D-5727-417A-8A7E-C19024F04FBE}"/>
    <cellStyle name="Comma 3 4 6 2 2" xfId="17973" xr:uid="{411A2636-9B3D-4307-B6C8-F349E048FA66}"/>
    <cellStyle name="Comma 3 4 6 2 2 2" xfId="54481" xr:uid="{C12F684D-5A9A-4AB4-9AA3-2FC334C18869}"/>
    <cellStyle name="Comma 3 4 6 2 2 3" xfId="36227" xr:uid="{22386208-B42C-4910-B674-9A6D5B39DD72}"/>
    <cellStyle name="Comma 3 4 6 2 3" xfId="14323" xr:uid="{1A38D92D-5089-4243-9903-63C7F0C269E3}"/>
    <cellStyle name="Comma 3 4 6 2 3 2" xfId="50831" xr:uid="{66F2C9C1-BBC5-45E4-96CE-5B17BF027339}"/>
    <cellStyle name="Comma 3 4 6 2 3 3" xfId="32577" xr:uid="{4FB8068F-277D-4412-BDB1-82364B241320}"/>
    <cellStyle name="Comma 3 4 6 2 4" xfId="10673" xr:uid="{78B9CD47-76E2-4CAB-9041-F014F72D51E4}"/>
    <cellStyle name="Comma 3 4 6 2 4 2" xfId="47181" xr:uid="{DA652C7D-1074-49A6-B80E-EFC433DAA6B1}"/>
    <cellStyle name="Comma 3 4 6 2 4 3" xfId="28927" xr:uid="{6C217DB1-F93B-461D-BC49-A835EE8043B9}"/>
    <cellStyle name="Comma 3 4 6 2 5" xfId="7023" xr:uid="{F25FD0A2-3DF0-43E2-A140-E7C8D6CD5183}"/>
    <cellStyle name="Comma 3 4 6 2 5 2" xfId="43531" xr:uid="{46A7CA95-576B-4484-92E0-8754F309E743}"/>
    <cellStyle name="Comma 3 4 6 2 5 3" xfId="25277" xr:uid="{C85AA60F-D573-421E-9E14-BBFCC95158D5}"/>
    <cellStyle name="Comma 3 4 6 2 6" xfId="39881" xr:uid="{A80BA3CB-3502-45FE-8200-93A9A99B32A3}"/>
    <cellStyle name="Comma 3 4 6 2 7" xfId="21627" xr:uid="{F8085C5C-2B4F-4372-B597-604A7E30D66C}"/>
    <cellStyle name="Comma 3 4 6 3" xfId="2643" xr:uid="{EFD3624B-ED0F-480F-9D33-CEEA08601523}"/>
    <cellStyle name="Comma 3 4 6 3 2" xfId="17243" xr:uid="{4290562C-C5B7-464A-B939-08A4AA0A6204}"/>
    <cellStyle name="Comma 3 4 6 3 2 2" xfId="53751" xr:uid="{79CC1F00-189B-4E0C-ACBE-D7F6338C7872}"/>
    <cellStyle name="Comma 3 4 6 3 2 3" xfId="35497" xr:uid="{2F4E7C52-765B-4594-8FA9-28D54AACBCFB}"/>
    <cellStyle name="Comma 3 4 6 3 3" xfId="13593" xr:uid="{EDF993E2-345B-4CD3-9CED-881F9A73329E}"/>
    <cellStyle name="Comma 3 4 6 3 3 2" xfId="50101" xr:uid="{47F4FF2A-B0E6-431F-8BB8-4E80C623C031}"/>
    <cellStyle name="Comma 3 4 6 3 3 3" xfId="31847" xr:uid="{6D9971FC-6DD8-4E19-B3BE-35F17DDDD687}"/>
    <cellStyle name="Comma 3 4 6 3 4" xfId="9943" xr:uid="{B91DA676-DD22-483D-B463-596C65213E56}"/>
    <cellStyle name="Comma 3 4 6 3 4 2" xfId="46451" xr:uid="{BE9CF26E-A95B-4060-8A32-EC0F1F4824DD}"/>
    <cellStyle name="Comma 3 4 6 3 4 3" xfId="28197" xr:uid="{4A1795A4-6B0B-4958-AE4B-31E2CA99A929}"/>
    <cellStyle name="Comma 3 4 6 3 5" xfId="6293" xr:uid="{1E7E300D-7C25-4ECB-A038-34E2D72FF33E}"/>
    <cellStyle name="Comma 3 4 6 3 5 2" xfId="42801" xr:uid="{FC2299F7-11A4-4563-9854-6AEDEA65F94E}"/>
    <cellStyle name="Comma 3 4 6 3 5 3" xfId="24547" xr:uid="{FB038B20-0C26-4130-ACE9-BE5996B2F7D9}"/>
    <cellStyle name="Comma 3 4 6 3 6" xfId="39151" xr:uid="{F73AD75E-47EA-411A-9B0B-6C9A228EE075}"/>
    <cellStyle name="Comma 3 4 6 3 7" xfId="20897" xr:uid="{660160FC-D64D-42D0-ADBF-461E7180F163}"/>
    <cellStyle name="Comma 3 4 6 4" xfId="1913" xr:uid="{EBDD9B9B-C662-4EF8-AF66-75B7782BD3FE}"/>
    <cellStyle name="Comma 3 4 6 4 2" xfId="16513" xr:uid="{95D7EA02-1159-4716-B0E4-DD0EAFAD57E0}"/>
    <cellStyle name="Comma 3 4 6 4 2 2" xfId="53021" xr:uid="{BB33274C-1220-4353-B05E-624288464697}"/>
    <cellStyle name="Comma 3 4 6 4 2 3" xfId="34767" xr:uid="{8C503083-6041-49BD-AAD2-D80BC22FAEB6}"/>
    <cellStyle name="Comma 3 4 6 4 3" xfId="12863" xr:uid="{A178F952-1047-493C-BDCF-A3530DB6392A}"/>
    <cellStyle name="Comma 3 4 6 4 3 2" xfId="49371" xr:uid="{902F10A6-7798-4AEE-A819-A57BF290BAD1}"/>
    <cellStyle name="Comma 3 4 6 4 3 3" xfId="31117" xr:uid="{202DB241-E50D-4A40-B1EC-5FD30758C630}"/>
    <cellStyle name="Comma 3 4 6 4 4" xfId="9213" xr:uid="{5BD63C9C-66C0-4488-A8F1-AF9996A36410}"/>
    <cellStyle name="Comma 3 4 6 4 4 2" xfId="45721" xr:uid="{B2B3CF34-5394-4159-8C4F-F5E5A6D2BFB1}"/>
    <cellStyle name="Comma 3 4 6 4 4 3" xfId="27467" xr:uid="{9485CD8E-6401-4A85-B65E-33E30CC0E735}"/>
    <cellStyle name="Comma 3 4 6 4 5" xfId="5563" xr:uid="{4BAA6C0B-43C1-4BDC-9BA0-458827CEE036}"/>
    <cellStyle name="Comma 3 4 6 4 5 2" xfId="42071" xr:uid="{C1AC2042-4B23-4D5D-BDC5-4FB7198D26D8}"/>
    <cellStyle name="Comma 3 4 6 4 5 3" xfId="23817" xr:uid="{C5485BF2-1FDE-40E3-9550-3CF081920C85}"/>
    <cellStyle name="Comma 3 4 6 4 6" xfId="38421" xr:uid="{7A5F904E-D8CD-4EFD-A123-B36483EC8D55}"/>
    <cellStyle name="Comma 3 4 6 4 7" xfId="20167" xr:uid="{A4EEF9D7-9E42-4621-A557-40A95564A9C9}"/>
    <cellStyle name="Comma 3 4 6 5" xfId="1183" xr:uid="{B5A76E44-5F31-472C-A73A-C535C0CADBF4}"/>
    <cellStyle name="Comma 3 4 6 5 2" xfId="15783" xr:uid="{E6AC331F-6BB1-4791-B34A-0E9E55BD727E}"/>
    <cellStyle name="Comma 3 4 6 5 2 2" xfId="52291" xr:uid="{EC34F923-60D7-4D8C-8AC9-89FAF3F9E971}"/>
    <cellStyle name="Comma 3 4 6 5 2 3" xfId="34037" xr:uid="{FE3F4ACA-D388-4E98-A992-EB7BD4ADE40F}"/>
    <cellStyle name="Comma 3 4 6 5 3" xfId="12133" xr:uid="{ECBE80E2-FB11-4578-B1BC-9123DFDFFBB6}"/>
    <cellStyle name="Comma 3 4 6 5 3 2" xfId="48641" xr:uid="{9E2DA3C1-5656-4B98-843E-85AD5CD1EB30}"/>
    <cellStyle name="Comma 3 4 6 5 3 3" xfId="30387" xr:uid="{7249A771-82E1-49FE-AC88-4D537F6E8245}"/>
    <cellStyle name="Comma 3 4 6 5 4" xfId="8483" xr:uid="{B62E4EAF-605F-4005-A7CB-6AB425C2B31B}"/>
    <cellStyle name="Comma 3 4 6 5 4 2" xfId="44991" xr:uid="{707FC61A-19EE-4D5A-A88A-B014CF55807A}"/>
    <cellStyle name="Comma 3 4 6 5 4 3" xfId="26737" xr:uid="{AF356EDD-EE0E-492D-B1A8-86DB27294273}"/>
    <cellStyle name="Comma 3 4 6 5 5" xfId="4833" xr:uid="{EE5875A4-FABB-47C3-9511-989DC6FEF0EA}"/>
    <cellStyle name="Comma 3 4 6 5 5 2" xfId="41341" xr:uid="{D9D233DD-FC7D-4AC3-9AC0-2617854675B1}"/>
    <cellStyle name="Comma 3 4 6 5 5 3" xfId="23087" xr:uid="{69E26B58-E94C-493A-9C41-08BD745119C7}"/>
    <cellStyle name="Comma 3 4 6 5 6" xfId="37691" xr:uid="{2E25C50E-D6D7-4E41-8B82-57BD3E6E55DB}"/>
    <cellStyle name="Comma 3 4 6 5 7" xfId="19437" xr:uid="{7FF0E004-70F4-48C9-BC38-637F1222834A}"/>
    <cellStyle name="Comma 3 4 6 6" xfId="15053" xr:uid="{3FBD1638-190F-44D6-BEFE-2C24727A4C14}"/>
    <cellStyle name="Comma 3 4 6 6 2" xfId="51561" xr:uid="{E1667708-AECB-4A55-99BE-553133150AA4}"/>
    <cellStyle name="Comma 3 4 6 6 3" xfId="33307" xr:uid="{7A059DFE-4861-4BD1-A6A0-6D9C34EAD633}"/>
    <cellStyle name="Comma 3 4 6 7" xfId="11403" xr:uid="{7B12B6BE-507E-4FED-AC0F-DA642E64DCB0}"/>
    <cellStyle name="Comma 3 4 6 7 2" xfId="47911" xr:uid="{7766744F-D1FE-44E1-8B83-E3C4BD60D515}"/>
    <cellStyle name="Comma 3 4 6 7 3" xfId="29657" xr:uid="{552F84D2-8F9D-4E31-8BE6-04DE7D92963B}"/>
    <cellStyle name="Comma 3 4 6 8" xfId="7753" xr:uid="{C2C777DB-61EF-4CD1-807F-3621FB5B44DD}"/>
    <cellStyle name="Comma 3 4 6 8 2" xfId="44261" xr:uid="{8902B1AB-5C4B-449F-B3F9-7B0010D14F53}"/>
    <cellStyle name="Comma 3 4 6 8 3" xfId="26007" xr:uid="{D087EDAB-1C1E-406D-96C5-AD2C2A695267}"/>
    <cellStyle name="Comma 3 4 6 9" xfId="4103" xr:uid="{8A374329-FE66-4FF8-9E3D-05AC142C53D6}"/>
    <cellStyle name="Comma 3 4 6 9 2" xfId="40611" xr:uid="{B435406F-C53A-4546-B449-92B10AE60354}"/>
    <cellStyle name="Comma 3 4 6 9 3" xfId="22357" xr:uid="{869A5C0A-5214-4A58-B60E-2C3C83B146BF}"/>
    <cellStyle name="Comma 3 4 7" xfId="349" xr:uid="{F2117761-105C-49C1-B4A8-C8B8F0B81DA8}"/>
    <cellStyle name="Comma 3 4 7 10" xfId="36857" xr:uid="{20DE4E9A-9CB3-45D4-8B6F-3C49740A83BB}"/>
    <cellStyle name="Comma 3 4 7 11" xfId="18603" xr:uid="{3E873AE4-4644-4956-9BC9-7750C6B49B08}"/>
    <cellStyle name="Comma 3 4 7 2" xfId="3269" xr:uid="{179AEB39-7148-4E0F-ABFA-6E7888350210}"/>
    <cellStyle name="Comma 3 4 7 2 2" xfId="17869" xr:uid="{F26133D5-28A6-4E2B-80AE-6A0048A4E44A}"/>
    <cellStyle name="Comma 3 4 7 2 2 2" xfId="54377" xr:uid="{687E5E3C-DE7E-424E-9A7C-D2E61377D594}"/>
    <cellStyle name="Comma 3 4 7 2 2 3" xfId="36123" xr:uid="{A96B0790-BE6A-47B8-A017-CC2AC9BE84D3}"/>
    <cellStyle name="Comma 3 4 7 2 3" xfId="14219" xr:uid="{1B0F0F2A-759A-4E62-B91E-32B4784D1593}"/>
    <cellStyle name="Comma 3 4 7 2 3 2" xfId="50727" xr:uid="{2A5E1E07-6AF0-4538-946D-35020584FB3A}"/>
    <cellStyle name="Comma 3 4 7 2 3 3" xfId="32473" xr:uid="{50F91432-5BEA-45F4-B1FE-B20387BF344C}"/>
    <cellStyle name="Comma 3 4 7 2 4" xfId="10569" xr:uid="{F4761A27-59ED-4135-8432-0E175F0CEE2E}"/>
    <cellStyle name="Comma 3 4 7 2 4 2" xfId="47077" xr:uid="{B8F29ACA-949F-4618-8744-382BEB8A18FE}"/>
    <cellStyle name="Comma 3 4 7 2 4 3" xfId="28823" xr:uid="{5C31596C-8278-4DF5-A7C5-1EF6523108AF}"/>
    <cellStyle name="Comma 3 4 7 2 5" xfId="6919" xr:uid="{F9AD4C6F-9EF8-4913-AF3E-94061D592FAB}"/>
    <cellStyle name="Comma 3 4 7 2 5 2" xfId="43427" xr:uid="{D9E60F05-8E14-499E-98E0-2337F011E0F4}"/>
    <cellStyle name="Comma 3 4 7 2 5 3" xfId="25173" xr:uid="{FF16F492-27E8-4DA7-83CF-1481A97D09D6}"/>
    <cellStyle name="Comma 3 4 7 2 6" xfId="39777" xr:uid="{679073F5-56F1-4ADF-A031-F451613B8F2A}"/>
    <cellStyle name="Comma 3 4 7 2 7" xfId="21523" xr:uid="{4B784565-4E4F-439F-A6D6-ED0432E43578}"/>
    <cellStyle name="Comma 3 4 7 3" xfId="2539" xr:uid="{9F7B353A-A99D-40BC-8D45-FF20C3B43100}"/>
    <cellStyle name="Comma 3 4 7 3 2" xfId="17139" xr:uid="{EEC1FA8A-203C-4A00-858C-EC4A0A622D7B}"/>
    <cellStyle name="Comma 3 4 7 3 2 2" xfId="53647" xr:uid="{4C9EEAAF-C9CB-46C1-BEDF-47DF9A3B74E1}"/>
    <cellStyle name="Comma 3 4 7 3 2 3" xfId="35393" xr:uid="{390E5827-DC36-466B-8AD8-45189CD623F7}"/>
    <cellStyle name="Comma 3 4 7 3 3" xfId="13489" xr:uid="{52E75B6C-02E3-4EBE-8479-8D2E55A5B4C3}"/>
    <cellStyle name="Comma 3 4 7 3 3 2" xfId="49997" xr:uid="{F9CD3D5B-701E-404F-8F20-AA5368B5667A}"/>
    <cellStyle name="Comma 3 4 7 3 3 3" xfId="31743" xr:uid="{31B57FE6-95BC-4E55-8D63-E580D3BF45C3}"/>
    <cellStyle name="Comma 3 4 7 3 4" xfId="9839" xr:uid="{C6D57F86-EA65-4E45-A8E7-588EC1FF8B77}"/>
    <cellStyle name="Comma 3 4 7 3 4 2" xfId="46347" xr:uid="{2AE94362-5C04-43BB-B2A1-34ADBEE01298}"/>
    <cellStyle name="Comma 3 4 7 3 4 3" xfId="28093" xr:uid="{10C215A6-E3EF-4283-B603-C500CF4FF850}"/>
    <cellStyle name="Comma 3 4 7 3 5" xfId="6189" xr:uid="{77EE2AA6-766D-406E-9B64-BE036C776CC2}"/>
    <cellStyle name="Comma 3 4 7 3 5 2" xfId="42697" xr:uid="{B108250D-02BD-422A-9B1A-D7D674B98957}"/>
    <cellStyle name="Comma 3 4 7 3 5 3" xfId="24443" xr:uid="{7DFB3E7C-CD17-4E49-B691-FD3C5469859A}"/>
    <cellStyle name="Comma 3 4 7 3 6" xfId="39047" xr:uid="{CB74E868-BF00-42D4-8A6E-E7E52BDC8463}"/>
    <cellStyle name="Comma 3 4 7 3 7" xfId="20793" xr:uid="{618C8296-2779-4819-8476-4B237BDAF1A3}"/>
    <cellStyle name="Comma 3 4 7 4" xfId="1809" xr:uid="{D14D904A-B504-4E0A-BFE2-F5B6FEF4647F}"/>
    <cellStyle name="Comma 3 4 7 4 2" xfId="16409" xr:uid="{2F9FBE31-020C-4C31-BE61-A7E55B6F3A71}"/>
    <cellStyle name="Comma 3 4 7 4 2 2" xfId="52917" xr:uid="{826222A0-FC04-4FA1-BCC7-DB0EB8DCED3F}"/>
    <cellStyle name="Comma 3 4 7 4 2 3" xfId="34663" xr:uid="{C9367651-F26E-46CE-ACCB-3FC27DC3771A}"/>
    <cellStyle name="Comma 3 4 7 4 3" xfId="12759" xr:uid="{A99909EF-605F-4665-95D8-5D3B89EC8E10}"/>
    <cellStyle name="Comma 3 4 7 4 3 2" xfId="49267" xr:uid="{6D31D72E-146B-479C-85E6-6589CD2FF70D}"/>
    <cellStyle name="Comma 3 4 7 4 3 3" xfId="31013" xr:uid="{483701EB-827A-4B79-B69E-A902398B81F2}"/>
    <cellStyle name="Comma 3 4 7 4 4" xfId="9109" xr:uid="{DB83ADBA-ECB8-4C4F-A0B0-E46D3367EA38}"/>
    <cellStyle name="Comma 3 4 7 4 4 2" xfId="45617" xr:uid="{8F779699-9888-4D5A-912A-051BE017A876}"/>
    <cellStyle name="Comma 3 4 7 4 4 3" xfId="27363" xr:uid="{A84C0A88-426A-49FD-8F2B-4061BB7D426C}"/>
    <cellStyle name="Comma 3 4 7 4 5" xfId="5459" xr:uid="{3FFD8656-A2C9-4717-8F2A-E9235995EFC2}"/>
    <cellStyle name="Comma 3 4 7 4 5 2" xfId="41967" xr:uid="{7CCA122C-B32A-4607-A352-55BEDC84B9D2}"/>
    <cellStyle name="Comma 3 4 7 4 5 3" xfId="23713" xr:uid="{B39796A4-CE51-4B77-99D0-97EAA4B2AF04}"/>
    <cellStyle name="Comma 3 4 7 4 6" xfId="38317" xr:uid="{C2DA39F5-EFB8-4519-9768-35D7B319E71D}"/>
    <cellStyle name="Comma 3 4 7 4 7" xfId="20063" xr:uid="{1F9DE4F2-A2A1-4308-AA9D-3089F30247EB}"/>
    <cellStyle name="Comma 3 4 7 5" xfId="1079" xr:uid="{B279B71A-BE71-41B1-8CDE-6904730BD947}"/>
    <cellStyle name="Comma 3 4 7 5 2" xfId="15679" xr:uid="{1797D505-4E79-4113-B7CB-52D457CF73F8}"/>
    <cellStyle name="Comma 3 4 7 5 2 2" xfId="52187" xr:uid="{238FD8FE-F9B7-47BC-A6AB-16E19F744D69}"/>
    <cellStyle name="Comma 3 4 7 5 2 3" xfId="33933" xr:uid="{3E1659BA-F305-4BF3-9982-7811491EFDBB}"/>
    <cellStyle name="Comma 3 4 7 5 3" xfId="12029" xr:uid="{5D9D9E82-31B0-449D-B239-FC694F37E460}"/>
    <cellStyle name="Comma 3 4 7 5 3 2" xfId="48537" xr:uid="{BA61FDEF-8993-45F6-84A5-A7990045C141}"/>
    <cellStyle name="Comma 3 4 7 5 3 3" xfId="30283" xr:uid="{97A2BA5E-4A15-441E-95B9-3D32A4223522}"/>
    <cellStyle name="Comma 3 4 7 5 4" xfId="8379" xr:uid="{B9DA6723-5247-4C90-988D-16AD0461894F}"/>
    <cellStyle name="Comma 3 4 7 5 4 2" xfId="44887" xr:uid="{EF59F608-659E-450C-86AA-F5EF8FE068D0}"/>
    <cellStyle name="Comma 3 4 7 5 4 3" xfId="26633" xr:uid="{E82F7975-71D3-4B07-8B22-ED3148E31047}"/>
    <cellStyle name="Comma 3 4 7 5 5" xfId="4729" xr:uid="{2D70C4B0-3CF4-4071-9A6E-BC8DD80D8569}"/>
    <cellStyle name="Comma 3 4 7 5 5 2" xfId="41237" xr:uid="{AD7E76A4-33EE-4164-9DB9-F6EF39A6CBFC}"/>
    <cellStyle name="Comma 3 4 7 5 5 3" xfId="22983" xr:uid="{A05C9BEA-3916-4057-AE0B-525D6A804F33}"/>
    <cellStyle name="Comma 3 4 7 5 6" xfId="37587" xr:uid="{84781A7A-8D06-4089-AC71-E6B35BE30332}"/>
    <cellStyle name="Comma 3 4 7 5 7" xfId="19333" xr:uid="{4C9F1B5B-2FC0-45A3-B83C-69E6C0B651AE}"/>
    <cellStyle name="Comma 3 4 7 6" xfId="14949" xr:uid="{DC51E6FA-73D5-40C3-A23B-FEFF64A86733}"/>
    <cellStyle name="Comma 3 4 7 6 2" xfId="51457" xr:uid="{29CC2B14-079E-4146-AF9D-71EBEF4F3551}"/>
    <cellStyle name="Comma 3 4 7 6 3" xfId="33203" xr:uid="{824C7D4D-9954-4A82-8612-D1FF849631A0}"/>
    <cellStyle name="Comma 3 4 7 7" xfId="11299" xr:uid="{00E0CF4D-1E1C-4C94-967E-6A728489F139}"/>
    <cellStyle name="Comma 3 4 7 7 2" xfId="47807" xr:uid="{07517ED0-F2EC-4864-9536-0F16E27AD782}"/>
    <cellStyle name="Comma 3 4 7 7 3" xfId="29553" xr:uid="{B072DA1E-B33F-45D6-AF43-E6C821730B4B}"/>
    <cellStyle name="Comma 3 4 7 8" xfId="7649" xr:uid="{AC6F881F-EAC1-4054-A806-B975C4083620}"/>
    <cellStyle name="Comma 3 4 7 8 2" xfId="44157" xr:uid="{A8A51A59-E20C-4C2C-9DEE-5B36BB64033D}"/>
    <cellStyle name="Comma 3 4 7 8 3" xfId="25903" xr:uid="{3FAAFD88-D8E0-4292-ACC4-5C335BB5888C}"/>
    <cellStyle name="Comma 3 4 7 9" xfId="3999" xr:uid="{A66CDA81-F09F-44E0-B29A-C0F5323F8EE6}"/>
    <cellStyle name="Comma 3 4 7 9 2" xfId="40507" xr:uid="{B31159D1-EE46-4D71-9355-A4E80FC9604C}"/>
    <cellStyle name="Comma 3 4 7 9 3" xfId="22253" xr:uid="{52D3FEC4-6336-4C41-A547-D888E70AFAE2}"/>
    <cellStyle name="Comma 3 4 8" xfId="245" xr:uid="{167F3271-C130-4310-8603-B9AA131D2FA5}"/>
    <cellStyle name="Comma 3 4 8 10" xfId="36753" xr:uid="{1DD38EEA-96FB-4234-8445-DD89B67EA826}"/>
    <cellStyle name="Comma 3 4 8 11" xfId="18499" xr:uid="{93468C99-10FD-4D82-A2A5-0523645AB752}"/>
    <cellStyle name="Comma 3 4 8 2" xfId="3165" xr:uid="{0695F815-A602-435C-BEA8-0D152FF6F4DF}"/>
    <cellStyle name="Comma 3 4 8 2 2" xfId="17765" xr:uid="{BEFD52E2-3F05-48B7-AC79-11D9E4255478}"/>
    <cellStyle name="Comma 3 4 8 2 2 2" xfId="54273" xr:uid="{529EA4C6-9BE6-4347-90B1-B2F7D74EA726}"/>
    <cellStyle name="Comma 3 4 8 2 2 3" xfId="36019" xr:uid="{48C77896-25ED-42B7-A89C-1E28AD4651C1}"/>
    <cellStyle name="Comma 3 4 8 2 3" xfId="14115" xr:uid="{17A25D95-BDC2-488F-9CAB-6EB1B63AEF1E}"/>
    <cellStyle name="Comma 3 4 8 2 3 2" xfId="50623" xr:uid="{B51E5940-D579-4B2C-89FD-E0B235361114}"/>
    <cellStyle name="Comma 3 4 8 2 3 3" xfId="32369" xr:uid="{C07C4554-A6DF-452A-BA10-D2C16EFE7F1C}"/>
    <cellStyle name="Comma 3 4 8 2 4" xfId="10465" xr:uid="{2115F125-E0AA-4A51-83DC-CB621FF53BDC}"/>
    <cellStyle name="Comma 3 4 8 2 4 2" xfId="46973" xr:uid="{CC18DB9B-7B37-43DE-A812-E7B15329431B}"/>
    <cellStyle name="Comma 3 4 8 2 4 3" xfId="28719" xr:uid="{F8D5FF27-40AE-4FC7-AACE-B71E5CFBF6A8}"/>
    <cellStyle name="Comma 3 4 8 2 5" xfId="6815" xr:uid="{0A710EBA-AD64-49FD-A54C-B715E5F0B57A}"/>
    <cellStyle name="Comma 3 4 8 2 5 2" xfId="43323" xr:uid="{DA5B214D-CD78-4887-8603-660832309EFE}"/>
    <cellStyle name="Comma 3 4 8 2 5 3" xfId="25069" xr:uid="{0572A846-5653-4A53-B2C1-DF89BAAEC2E8}"/>
    <cellStyle name="Comma 3 4 8 2 6" xfId="39673" xr:uid="{47027125-2882-47AF-AB3D-706B6A0452D5}"/>
    <cellStyle name="Comma 3 4 8 2 7" xfId="21419" xr:uid="{00850826-CF1C-4E82-8A41-1B64697C3818}"/>
    <cellStyle name="Comma 3 4 8 3" xfId="2435" xr:uid="{2533302D-3D31-42C0-9BF3-AA1A89C4787E}"/>
    <cellStyle name="Comma 3 4 8 3 2" xfId="17035" xr:uid="{847B8C63-4BB0-4F09-9ADF-AA41F0377E72}"/>
    <cellStyle name="Comma 3 4 8 3 2 2" xfId="53543" xr:uid="{4DA08464-99FA-4D89-BBC9-6397A7ECDB34}"/>
    <cellStyle name="Comma 3 4 8 3 2 3" xfId="35289" xr:uid="{935D0EF6-5D14-4F3E-BE90-0A64B4EDE781}"/>
    <cellStyle name="Comma 3 4 8 3 3" xfId="13385" xr:uid="{C3DECE0E-35EB-4E38-B443-60B846577B79}"/>
    <cellStyle name="Comma 3 4 8 3 3 2" xfId="49893" xr:uid="{6F3687A3-D412-4C6C-94C1-1C8CE9585B17}"/>
    <cellStyle name="Comma 3 4 8 3 3 3" xfId="31639" xr:uid="{E648CA5F-B6DF-413E-8671-4811B3EF3745}"/>
    <cellStyle name="Comma 3 4 8 3 4" xfId="9735" xr:uid="{AB9C158B-B1F4-412C-84B9-E9E692776554}"/>
    <cellStyle name="Comma 3 4 8 3 4 2" xfId="46243" xr:uid="{38941FC1-DFAF-42FF-8BBD-06C3820563F4}"/>
    <cellStyle name="Comma 3 4 8 3 4 3" xfId="27989" xr:uid="{465B2FB2-4420-4A92-85A0-E48CF9F1829A}"/>
    <cellStyle name="Comma 3 4 8 3 5" xfId="6085" xr:uid="{17CAAA1A-C83E-4F68-9817-8D2DD97BF527}"/>
    <cellStyle name="Comma 3 4 8 3 5 2" xfId="42593" xr:uid="{6E68A50F-036A-43D5-A01D-EBC1FEBF2C55}"/>
    <cellStyle name="Comma 3 4 8 3 5 3" xfId="24339" xr:uid="{F595414E-A959-4A1C-A0E0-8AA1412A9ACC}"/>
    <cellStyle name="Comma 3 4 8 3 6" xfId="38943" xr:uid="{B0834F34-A7CB-4E9F-9A2C-5FBFCDA6DDAC}"/>
    <cellStyle name="Comma 3 4 8 3 7" xfId="20689" xr:uid="{0D1C1F15-4D4F-469A-8AC3-89D9E639AC89}"/>
    <cellStyle name="Comma 3 4 8 4" xfId="1705" xr:uid="{C9E05E6C-E463-47B9-AA40-7666CF267306}"/>
    <cellStyle name="Comma 3 4 8 4 2" xfId="16305" xr:uid="{753F5D37-18A7-451E-A66F-8404CA76876D}"/>
    <cellStyle name="Comma 3 4 8 4 2 2" xfId="52813" xr:uid="{FFF5770A-B0DC-490C-BACF-D25D9B8C2B31}"/>
    <cellStyle name="Comma 3 4 8 4 2 3" xfId="34559" xr:uid="{67C33F26-66A7-49EB-839D-A9BCD645EA41}"/>
    <cellStyle name="Comma 3 4 8 4 3" xfId="12655" xr:uid="{021DD62E-AAF6-453B-B9F6-F8D5C6A06E68}"/>
    <cellStyle name="Comma 3 4 8 4 3 2" xfId="49163" xr:uid="{C3CA7215-CFB8-4E2B-A93A-AC3E809BA942}"/>
    <cellStyle name="Comma 3 4 8 4 3 3" xfId="30909" xr:uid="{17973420-EE5E-4961-9A73-7B5ACB95A45D}"/>
    <cellStyle name="Comma 3 4 8 4 4" xfId="9005" xr:uid="{635A8020-D659-47F0-8CE4-FFC0BCE95A4B}"/>
    <cellStyle name="Comma 3 4 8 4 4 2" xfId="45513" xr:uid="{AE0337C2-A47D-4E54-99E7-6EEEF0DDFB36}"/>
    <cellStyle name="Comma 3 4 8 4 4 3" xfId="27259" xr:uid="{422592B0-89DC-4E97-B181-F21F7D9E11DD}"/>
    <cellStyle name="Comma 3 4 8 4 5" xfId="5355" xr:uid="{775AB49B-68AE-4ED0-B38D-C1D9704FA090}"/>
    <cellStyle name="Comma 3 4 8 4 5 2" xfId="41863" xr:uid="{080F07F5-F73C-4A27-A38B-B4C36B5DB325}"/>
    <cellStyle name="Comma 3 4 8 4 5 3" xfId="23609" xr:uid="{FBEE25ED-EB79-411C-A701-1B4B8B819DB4}"/>
    <cellStyle name="Comma 3 4 8 4 6" xfId="38213" xr:uid="{2A02BD66-E1F8-4885-A6BE-3063A94ADE7B}"/>
    <cellStyle name="Comma 3 4 8 4 7" xfId="19959" xr:uid="{EBA6695C-64A8-452D-B9C5-AF93131EAE72}"/>
    <cellStyle name="Comma 3 4 8 5" xfId="975" xr:uid="{DED4CDC3-13DA-402A-B6C7-B08D872E8A04}"/>
    <cellStyle name="Comma 3 4 8 5 2" xfId="15575" xr:uid="{CFC4370F-99EA-422F-BA23-65432ACCC5AD}"/>
    <cellStyle name="Comma 3 4 8 5 2 2" xfId="52083" xr:uid="{37820E9D-6065-423F-B91F-30C135E445F0}"/>
    <cellStyle name="Comma 3 4 8 5 2 3" xfId="33829" xr:uid="{9A7B8FB3-109E-4242-9EC2-66D63D20BE12}"/>
    <cellStyle name="Comma 3 4 8 5 3" xfId="11925" xr:uid="{5180F2AD-2F38-4AF3-8073-CDD713C233FB}"/>
    <cellStyle name="Comma 3 4 8 5 3 2" xfId="48433" xr:uid="{10954F68-91B1-446F-B5FE-C9FEE679B7D7}"/>
    <cellStyle name="Comma 3 4 8 5 3 3" xfId="30179" xr:uid="{A30362E9-F9CC-4E8F-B50A-366EFA002C6A}"/>
    <cellStyle name="Comma 3 4 8 5 4" xfId="8275" xr:uid="{CC1BA6C7-167B-47B5-9DFE-5287710C8C3C}"/>
    <cellStyle name="Comma 3 4 8 5 4 2" xfId="44783" xr:uid="{E2CFA7BA-75E1-459C-BDCD-1019A0AD9857}"/>
    <cellStyle name="Comma 3 4 8 5 4 3" xfId="26529" xr:uid="{E9C1E7E7-231A-44FD-B5A3-8C16A1F2188A}"/>
    <cellStyle name="Comma 3 4 8 5 5" xfId="4625" xr:uid="{FBE9517F-6FC6-4F67-B630-C26AD2F3B166}"/>
    <cellStyle name="Comma 3 4 8 5 5 2" xfId="41133" xr:uid="{DAFC4437-72E2-48BB-8497-E8B364BA7B90}"/>
    <cellStyle name="Comma 3 4 8 5 5 3" xfId="22879" xr:uid="{56C2D820-0C8C-4970-AC5B-2CD8DA634C33}"/>
    <cellStyle name="Comma 3 4 8 5 6" xfId="37483" xr:uid="{7DB0C9F7-1D1B-4004-B4D4-7B29A8FBB745}"/>
    <cellStyle name="Comma 3 4 8 5 7" xfId="19229" xr:uid="{EE11D409-D42E-420B-82CC-B25C3F14EDA1}"/>
    <cellStyle name="Comma 3 4 8 6" xfId="14845" xr:uid="{1642B422-47FC-4300-AB9A-14CAFD4F83C6}"/>
    <cellStyle name="Comma 3 4 8 6 2" xfId="51353" xr:uid="{16F77B48-8602-4BDE-B8CD-AD5428999D23}"/>
    <cellStyle name="Comma 3 4 8 6 3" xfId="33099" xr:uid="{E7860731-48C8-4B7A-A8E5-E777B0042548}"/>
    <cellStyle name="Comma 3 4 8 7" xfId="11195" xr:uid="{4BC2C53F-3072-404C-92BC-E1A0849DDCA8}"/>
    <cellStyle name="Comma 3 4 8 7 2" xfId="47703" xr:uid="{BA5B168F-EEDD-4B2D-B6DC-D12615105237}"/>
    <cellStyle name="Comma 3 4 8 7 3" xfId="29449" xr:uid="{F86CCC24-74C0-4993-9BEC-8BB5FE73B5D9}"/>
    <cellStyle name="Comma 3 4 8 8" xfId="7545" xr:uid="{D28ABE7E-9455-4E98-8633-42268F3283FD}"/>
    <cellStyle name="Comma 3 4 8 8 2" xfId="44053" xr:uid="{83E4F9EA-1E6C-4B98-8911-D8F3BAE9D1D0}"/>
    <cellStyle name="Comma 3 4 8 8 3" xfId="25799" xr:uid="{6236B8E7-805C-48AF-AB10-485900F93BE3}"/>
    <cellStyle name="Comma 3 4 8 9" xfId="3895" xr:uid="{77F6508C-38DF-4C66-B079-AE894FBAAFDD}"/>
    <cellStyle name="Comma 3 4 8 9 2" xfId="40403" xr:uid="{955726E1-7A0E-4B4C-B4B6-F8CCEEA0C0F5}"/>
    <cellStyle name="Comma 3 4 8 9 3" xfId="22149" xr:uid="{FF7D9BB5-002A-44BD-9266-BB56C72BD4E5}"/>
    <cellStyle name="Comma 3 4 9" xfId="141" xr:uid="{1118BA02-FB98-4664-A7B4-B437EDD84DB3}"/>
    <cellStyle name="Comma 3 4 9 10" xfId="36649" xr:uid="{350E5181-F433-4201-9B8E-D36DA05CE6D1}"/>
    <cellStyle name="Comma 3 4 9 11" xfId="18395" xr:uid="{DEFFCE5C-E8A6-4416-A459-CE964888DEC8}"/>
    <cellStyle name="Comma 3 4 9 2" xfId="3061" xr:uid="{B616AABC-BDEC-4655-A5CF-3AE10CC201B4}"/>
    <cellStyle name="Comma 3 4 9 2 2" xfId="17661" xr:uid="{CED79475-61D6-4E2B-9D70-0496C6258284}"/>
    <cellStyle name="Comma 3 4 9 2 2 2" xfId="54169" xr:uid="{C3F6350F-71B7-48AB-B8FB-A7CB9F360A2B}"/>
    <cellStyle name="Comma 3 4 9 2 2 3" xfId="35915" xr:uid="{D0313861-5F5E-4CBB-9167-CDB4BEF0965C}"/>
    <cellStyle name="Comma 3 4 9 2 3" xfId="14011" xr:uid="{A05EB501-DB52-4ABE-9EC7-3B2AF78CBF83}"/>
    <cellStyle name="Comma 3 4 9 2 3 2" xfId="50519" xr:uid="{C88A6930-B2AA-40B7-8073-5FCB11AA76F4}"/>
    <cellStyle name="Comma 3 4 9 2 3 3" xfId="32265" xr:uid="{43910B04-5F01-49D1-AE30-3E84C9CEBC45}"/>
    <cellStyle name="Comma 3 4 9 2 4" xfId="10361" xr:uid="{4ACF97BD-51B4-4807-8169-29F10A1D0C70}"/>
    <cellStyle name="Comma 3 4 9 2 4 2" xfId="46869" xr:uid="{55E0CD67-D873-45E7-B0DC-EE00439F286A}"/>
    <cellStyle name="Comma 3 4 9 2 4 3" xfId="28615" xr:uid="{F801E871-34EB-4B87-A07D-D7E8F4E9FA7D}"/>
    <cellStyle name="Comma 3 4 9 2 5" xfId="6711" xr:uid="{E2D17BB0-1641-45E9-AF6A-861855B73EE9}"/>
    <cellStyle name="Comma 3 4 9 2 5 2" xfId="43219" xr:uid="{F8CBEF22-A37D-4A63-815D-EB03044272AB}"/>
    <cellStyle name="Comma 3 4 9 2 5 3" xfId="24965" xr:uid="{37EB0C78-93E9-41FA-804F-30C25FFC6387}"/>
    <cellStyle name="Comma 3 4 9 2 6" xfId="39569" xr:uid="{38D399C4-F687-4149-A230-7855E9F755A4}"/>
    <cellStyle name="Comma 3 4 9 2 7" xfId="21315" xr:uid="{69C79F1E-9302-4F04-ADFD-FD772C38AB14}"/>
    <cellStyle name="Comma 3 4 9 3" xfId="2331" xr:uid="{F928C795-48BD-422A-8E95-AEBC4C0E4489}"/>
    <cellStyle name="Comma 3 4 9 3 2" xfId="16931" xr:uid="{B1C7CBF7-A2A5-472C-88EC-D8FD01802220}"/>
    <cellStyle name="Comma 3 4 9 3 2 2" xfId="53439" xr:uid="{577D55E6-7ADF-4885-ADB9-952F6C3D7693}"/>
    <cellStyle name="Comma 3 4 9 3 2 3" xfId="35185" xr:uid="{CFED77A1-C008-490E-B433-B707FEE2995D}"/>
    <cellStyle name="Comma 3 4 9 3 3" xfId="13281" xr:uid="{82DF6202-F81A-417D-BD96-EDD572069416}"/>
    <cellStyle name="Comma 3 4 9 3 3 2" xfId="49789" xr:uid="{42F82C7D-481F-476B-AC7D-86599FA40080}"/>
    <cellStyle name="Comma 3 4 9 3 3 3" xfId="31535" xr:uid="{C4CDE37D-A2E9-4E37-A33D-EB0F558E8E63}"/>
    <cellStyle name="Comma 3 4 9 3 4" xfId="9631" xr:uid="{6888E755-E9BB-4B70-8657-350710C93A4B}"/>
    <cellStyle name="Comma 3 4 9 3 4 2" xfId="46139" xr:uid="{EB7C74FD-FE6D-410F-A07A-A5CE0410CB70}"/>
    <cellStyle name="Comma 3 4 9 3 4 3" xfId="27885" xr:uid="{38B9CEF8-0F30-47E8-A880-D82138A36F8C}"/>
    <cellStyle name="Comma 3 4 9 3 5" xfId="5981" xr:uid="{69123BB6-9B4F-4756-8A1C-AF2F6A922156}"/>
    <cellStyle name="Comma 3 4 9 3 5 2" xfId="42489" xr:uid="{DDD798D4-C915-42B7-AEBA-FD87440F66D7}"/>
    <cellStyle name="Comma 3 4 9 3 5 3" xfId="24235" xr:uid="{B212D252-A732-42CD-A30C-F521E984B859}"/>
    <cellStyle name="Comma 3 4 9 3 6" xfId="38839" xr:uid="{4B0235C7-A7E7-4477-BD01-F0ECFF040D20}"/>
    <cellStyle name="Comma 3 4 9 3 7" xfId="20585" xr:uid="{A98A8AE1-56DD-41FE-AC81-72BAA46D53C7}"/>
    <cellStyle name="Comma 3 4 9 4" xfId="1601" xr:uid="{AAB90804-2601-4422-A1C3-A7252125508F}"/>
    <cellStyle name="Comma 3 4 9 4 2" xfId="16201" xr:uid="{CB740146-F533-4761-AF1E-3EDD9223C570}"/>
    <cellStyle name="Comma 3 4 9 4 2 2" xfId="52709" xr:uid="{CC4654DC-A284-467A-B2A0-F475C448E467}"/>
    <cellStyle name="Comma 3 4 9 4 2 3" xfId="34455" xr:uid="{A9EB3279-7F63-4A4A-85CF-989E279C4122}"/>
    <cellStyle name="Comma 3 4 9 4 3" xfId="12551" xr:uid="{8A2C5343-D610-4125-8222-E8D77A22A102}"/>
    <cellStyle name="Comma 3 4 9 4 3 2" xfId="49059" xr:uid="{BD8358DE-8E76-43C6-A638-C4EC28B6C8A2}"/>
    <cellStyle name="Comma 3 4 9 4 3 3" xfId="30805" xr:uid="{A54BCD7B-9FAE-4C32-93D0-7185B6F42FB8}"/>
    <cellStyle name="Comma 3 4 9 4 4" xfId="8901" xr:uid="{D2B19F8F-4B0B-4516-B927-902D9696654F}"/>
    <cellStyle name="Comma 3 4 9 4 4 2" xfId="45409" xr:uid="{361C9536-9BD2-49E5-AFAD-FF1AC3A47ECB}"/>
    <cellStyle name="Comma 3 4 9 4 4 3" xfId="27155" xr:uid="{502A2C86-2565-4CB7-8FCF-F3E819FA5DF8}"/>
    <cellStyle name="Comma 3 4 9 4 5" xfId="5251" xr:uid="{EBF6B1D9-BBE9-4295-AFD4-0647155DFA98}"/>
    <cellStyle name="Comma 3 4 9 4 5 2" xfId="41759" xr:uid="{219B6D85-0F9F-4CA4-809C-87A9BCF111B0}"/>
    <cellStyle name="Comma 3 4 9 4 5 3" xfId="23505" xr:uid="{97E4D50A-3739-4BCB-8855-C67EDE72D8A8}"/>
    <cellStyle name="Comma 3 4 9 4 6" xfId="38109" xr:uid="{0F2FD0D4-3553-4DC0-AF58-9D5CEF564FEF}"/>
    <cellStyle name="Comma 3 4 9 4 7" xfId="19855" xr:uid="{7D4A7758-96F5-4673-AB4C-EE24DBEB5D17}"/>
    <cellStyle name="Comma 3 4 9 5" xfId="871" xr:uid="{495BFC04-3540-4513-8377-C5A19D851C1D}"/>
    <cellStyle name="Comma 3 4 9 5 2" xfId="15471" xr:uid="{B2701EC5-5180-431B-B7B9-A3DB93DFE16F}"/>
    <cellStyle name="Comma 3 4 9 5 2 2" xfId="51979" xr:uid="{112FDA21-544D-47EF-84B9-E910CDCC79EA}"/>
    <cellStyle name="Comma 3 4 9 5 2 3" xfId="33725" xr:uid="{9A0CF574-2744-40C5-9247-228CE4C674EF}"/>
    <cellStyle name="Comma 3 4 9 5 3" xfId="11821" xr:uid="{8ADFA88F-8744-4D50-8536-40901BDFA2B6}"/>
    <cellStyle name="Comma 3 4 9 5 3 2" xfId="48329" xr:uid="{70EDA8A8-1D42-4BF5-AED0-BDCCE0B294AE}"/>
    <cellStyle name="Comma 3 4 9 5 3 3" xfId="30075" xr:uid="{EE32026B-A329-4E7B-90C0-695585FDA05B}"/>
    <cellStyle name="Comma 3 4 9 5 4" xfId="8171" xr:uid="{BE03E476-C619-411D-A94E-9727640AF0BE}"/>
    <cellStyle name="Comma 3 4 9 5 4 2" xfId="44679" xr:uid="{7D718B4F-3711-44FD-A84F-9D038624E56B}"/>
    <cellStyle name="Comma 3 4 9 5 4 3" xfId="26425" xr:uid="{63CF1620-C4B1-4BFF-8E57-47FCB41DFFF5}"/>
    <cellStyle name="Comma 3 4 9 5 5" xfId="4521" xr:uid="{DB2AFD06-4326-44FA-BB48-916355205709}"/>
    <cellStyle name="Comma 3 4 9 5 5 2" xfId="41029" xr:uid="{2A2E8F90-BB16-4B9F-9D94-299A1751628A}"/>
    <cellStyle name="Comma 3 4 9 5 5 3" xfId="22775" xr:uid="{BE9988FC-82CC-4390-8DAA-84FED4B92B37}"/>
    <cellStyle name="Comma 3 4 9 5 6" xfId="37379" xr:uid="{F22E3F86-CB0C-46CB-8DC8-2CFEB97D8E2E}"/>
    <cellStyle name="Comma 3 4 9 5 7" xfId="19125" xr:uid="{97991378-9E4E-4823-89FB-CD884FC9E9E1}"/>
    <cellStyle name="Comma 3 4 9 6" xfId="14741" xr:uid="{62308FBB-47AE-4844-A068-136596E3877C}"/>
    <cellStyle name="Comma 3 4 9 6 2" xfId="51249" xr:uid="{082F789D-CAE3-4606-8F77-7142DBD2249A}"/>
    <cellStyle name="Comma 3 4 9 6 3" xfId="32995" xr:uid="{2B4C2844-A2CC-4221-B6C0-F47A7255E61A}"/>
    <cellStyle name="Comma 3 4 9 7" xfId="11091" xr:uid="{C712DF5E-ADFE-4B77-82D7-0A69B50CC44D}"/>
    <cellStyle name="Comma 3 4 9 7 2" xfId="47599" xr:uid="{9D4F9BE0-1C84-4EED-A170-F8EB5B1F50D9}"/>
    <cellStyle name="Comma 3 4 9 7 3" xfId="29345" xr:uid="{5739B93A-91A3-4969-9BDF-7E0C400CCA07}"/>
    <cellStyle name="Comma 3 4 9 8" xfId="7441" xr:uid="{98CB96CE-E35B-4BF1-B25D-5B2E1F27F06D}"/>
    <cellStyle name="Comma 3 4 9 8 2" xfId="43949" xr:uid="{41630E64-E808-4417-A2CF-305EF6D800B5}"/>
    <cellStyle name="Comma 3 4 9 8 3" xfId="25695" xr:uid="{306EEB7A-C48D-4419-9C4A-D6974BE244EE}"/>
    <cellStyle name="Comma 3 4 9 9" xfId="3791" xr:uid="{B7D8738B-C36F-4351-A47D-13780D30F852}"/>
    <cellStyle name="Comma 3 4 9 9 2" xfId="40299" xr:uid="{7CA4DAF8-C4C4-44D5-8CE1-B58CAFE5A565}"/>
    <cellStyle name="Comma 3 4 9 9 3" xfId="22045" xr:uid="{490AA23A-5E58-49C4-9A30-99667EABB69A}"/>
    <cellStyle name="Comma 3 5" xfId="85" xr:uid="{EDC1D1EB-C1F2-47F1-86F1-C7B63BB12C9B}"/>
    <cellStyle name="Comma 3 5 10" xfId="1545" xr:uid="{E5B589B6-9F4E-4628-B3BC-D5CEED6210A0}"/>
    <cellStyle name="Comma 3 5 10 2" xfId="16145" xr:uid="{952ED725-1B1A-41EB-8B70-5608DE65B624}"/>
    <cellStyle name="Comma 3 5 10 2 2" xfId="52653" xr:uid="{8E169871-44D4-4234-AC73-A0B2DAA47731}"/>
    <cellStyle name="Comma 3 5 10 2 3" xfId="34399" xr:uid="{647BC64A-C649-4799-8738-41783371D7BF}"/>
    <cellStyle name="Comma 3 5 10 3" xfId="12495" xr:uid="{F03B63D2-B384-4EF4-AABB-CC005C08259A}"/>
    <cellStyle name="Comma 3 5 10 3 2" xfId="49003" xr:uid="{17B04A54-90A4-480C-AF1B-2D744C6E881B}"/>
    <cellStyle name="Comma 3 5 10 3 3" xfId="30749" xr:uid="{AA17064D-0523-472A-892A-4731F3B07AEE}"/>
    <cellStyle name="Comma 3 5 10 4" xfId="8845" xr:uid="{2BAE54F0-2094-4541-9767-52665B499591}"/>
    <cellStyle name="Comma 3 5 10 4 2" xfId="45353" xr:uid="{C53E45E8-52C8-4F7C-BB22-F6ADFDB93AD7}"/>
    <cellStyle name="Comma 3 5 10 4 3" xfId="27099" xr:uid="{BB38D7B2-BBE3-47DF-A9BC-10D5F40A5F0A}"/>
    <cellStyle name="Comma 3 5 10 5" xfId="5195" xr:uid="{A47741F3-227E-46F3-8D3C-06E38EEC1FE7}"/>
    <cellStyle name="Comma 3 5 10 5 2" xfId="41703" xr:uid="{DB65F96C-4CCE-40C5-94B3-3B97BEA2BAAF}"/>
    <cellStyle name="Comma 3 5 10 5 3" xfId="23449" xr:uid="{324AEF63-B3FA-47F0-860A-62710BD77145}"/>
    <cellStyle name="Comma 3 5 10 6" xfId="38053" xr:uid="{88F0408E-73C1-480D-8FF7-5B6D10366689}"/>
    <cellStyle name="Comma 3 5 10 7" xfId="19799" xr:uid="{35BA4D66-747F-498B-B5CD-415E1FEE7BA1}"/>
    <cellStyle name="Comma 3 5 11" xfId="815" xr:uid="{A44CF443-646E-4310-A798-BE2A8CBF05DD}"/>
    <cellStyle name="Comma 3 5 11 2" xfId="15415" xr:uid="{5992A405-8790-401B-A890-9E2A1D676345}"/>
    <cellStyle name="Comma 3 5 11 2 2" xfId="51923" xr:uid="{983CAA15-22EE-4297-A033-00A228EE8163}"/>
    <cellStyle name="Comma 3 5 11 2 3" xfId="33669" xr:uid="{C2FCB897-00A1-413A-B127-742CEC017688}"/>
    <cellStyle name="Comma 3 5 11 3" xfId="11765" xr:uid="{31F63D80-629A-407F-A73C-EAD4F332B0A7}"/>
    <cellStyle name="Comma 3 5 11 3 2" xfId="48273" xr:uid="{BD2D11C4-2A38-48C6-AE2F-D6FCCE45F91D}"/>
    <cellStyle name="Comma 3 5 11 3 3" xfId="30019" xr:uid="{7AF020CA-F734-44CE-9322-19D212B244EC}"/>
    <cellStyle name="Comma 3 5 11 4" xfId="8115" xr:uid="{1EAA6A00-46AE-4788-8A89-0BA30EF0FA46}"/>
    <cellStyle name="Comma 3 5 11 4 2" xfId="44623" xr:uid="{4C73624D-A3F4-4716-BFA9-2B65834224A0}"/>
    <cellStyle name="Comma 3 5 11 4 3" xfId="26369" xr:uid="{1FC168DD-FBE1-4200-9374-C533AB5CC2F1}"/>
    <cellStyle name="Comma 3 5 11 5" xfId="4465" xr:uid="{A2A6A332-60FE-4FF7-8E63-78A0A699905D}"/>
    <cellStyle name="Comma 3 5 11 5 2" xfId="40973" xr:uid="{D13DD303-CE03-4303-B8C0-4721BAE5B1F2}"/>
    <cellStyle name="Comma 3 5 11 5 3" xfId="22719" xr:uid="{AA929227-AC1E-4471-8EF8-18CCB24E761B}"/>
    <cellStyle name="Comma 3 5 11 6" xfId="37323" xr:uid="{4AF319C6-3350-463C-9E97-4D312F6A9EB0}"/>
    <cellStyle name="Comma 3 5 11 7" xfId="19069" xr:uid="{AEF833D4-0BC6-470A-A7B4-3548D1B3449E}"/>
    <cellStyle name="Comma 3 5 12" xfId="14685" xr:uid="{4FA76133-2A58-4C2F-B68B-867FF0A69784}"/>
    <cellStyle name="Comma 3 5 12 2" xfId="51193" xr:uid="{FB60EBC1-754F-40F8-BE49-00BA095A4515}"/>
    <cellStyle name="Comma 3 5 12 3" xfId="32939" xr:uid="{545492B6-16BB-4082-9D02-27D0186E6BC0}"/>
    <cellStyle name="Comma 3 5 13" xfId="11035" xr:uid="{D377EE99-80F8-4A89-B588-361E25D66942}"/>
    <cellStyle name="Comma 3 5 13 2" xfId="47543" xr:uid="{6244D4E8-4187-4DE2-BE7E-C162CC51EA01}"/>
    <cellStyle name="Comma 3 5 13 3" xfId="29289" xr:uid="{39258317-A426-4E00-8A46-973DAC41A448}"/>
    <cellStyle name="Comma 3 5 14" xfId="7385" xr:uid="{605160A9-2C63-4253-ACA8-C60E50C02FAC}"/>
    <cellStyle name="Comma 3 5 14 2" xfId="43893" xr:uid="{52DCA54E-E845-403A-BEDD-1C139D05902B}"/>
    <cellStyle name="Comma 3 5 14 3" xfId="25639" xr:uid="{0908F66A-0977-4E6C-9B65-904774E691C8}"/>
    <cellStyle name="Comma 3 5 15" xfId="3735" xr:uid="{67BD5C17-B735-43BE-B83E-309ABD2297FF}"/>
    <cellStyle name="Comma 3 5 15 2" xfId="40243" xr:uid="{52369388-46FF-493B-AA0D-90C867FDF964}"/>
    <cellStyle name="Comma 3 5 15 3" xfId="21989" xr:uid="{3E378205-A581-4730-85F0-3B704214C631}"/>
    <cellStyle name="Comma 3 5 16" xfId="36593" xr:uid="{641E0F6B-79B5-4EB9-B4B7-E549FB1B7596}"/>
    <cellStyle name="Comma 3 5 17" xfId="18339" xr:uid="{18CBB52E-9D0B-4242-8E40-E7D068D2B260}"/>
    <cellStyle name="Comma 3 5 2" xfId="709" xr:uid="{59F6B29E-084D-4C77-A22D-1B9D48166630}"/>
    <cellStyle name="Comma 3 5 2 10" xfId="37217" xr:uid="{0E6886BC-85E8-45CC-A7DA-D0EFCA497170}"/>
    <cellStyle name="Comma 3 5 2 11" xfId="18963" xr:uid="{0C8739C5-9ADD-4537-A8F0-1EE007B8DA88}"/>
    <cellStyle name="Comma 3 5 2 2" xfId="3629" xr:uid="{A5DD11F5-EA16-4B42-979D-EAFEAF84DB49}"/>
    <cellStyle name="Comma 3 5 2 2 2" xfId="18229" xr:uid="{E9AC4851-AFA0-45EB-9824-D82F6A19BA3F}"/>
    <cellStyle name="Comma 3 5 2 2 2 2" xfId="54737" xr:uid="{B304754D-935B-4E49-8306-2D1490D10FF8}"/>
    <cellStyle name="Comma 3 5 2 2 2 3" xfId="36483" xr:uid="{1E8A3FAB-9DB0-4513-B613-4E89F69CC335}"/>
    <cellStyle name="Comma 3 5 2 2 3" xfId="14579" xr:uid="{FFF2D012-EB53-4CEB-980C-7E1F26186DA2}"/>
    <cellStyle name="Comma 3 5 2 2 3 2" xfId="51087" xr:uid="{DFE4F6F5-0DE7-40E0-8B50-810BC71FFAF0}"/>
    <cellStyle name="Comma 3 5 2 2 3 3" xfId="32833" xr:uid="{F92A39CF-6B4E-4FF8-B5C3-31A8971845B5}"/>
    <cellStyle name="Comma 3 5 2 2 4" xfId="10929" xr:uid="{AEADE8B9-FF60-40CB-B2B5-3FB3DC6A1C74}"/>
    <cellStyle name="Comma 3 5 2 2 4 2" xfId="47437" xr:uid="{1DC7F65B-C218-42DA-8F46-6283587BC944}"/>
    <cellStyle name="Comma 3 5 2 2 4 3" xfId="29183" xr:uid="{97755ABA-F316-4CC5-97F5-60A81FFAEDB1}"/>
    <cellStyle name="Comma 3 5 2 2 5" xfId="7279" xr:uid="{6C170674-4A63-4221-AE85-216ACEE7D97F}"/>
    <cellStyle name="Comma 3 5 2 2 5 2" xfId="43787" xr:uid="{166D0112-62CC-4BDD-87D7-1B037CE8E93E}"/>
    <cellStyle name="Comma 3 5 2 2 5 3" xfId="25533" xr:uid="{1545C5E7-8E3D-433E-943F-4108FEF48E51}"/>
    <cellStyle name="Comma 3 5 2 2 6" xfId="40137" xr:uid="{A49D972A-72D0-470D-B050-960E35D20E96}"/>
    <cellStyle name="Comma 3 5 2 2 7" xfId="21883" xr:uid="{E18179FB-D8CF-4694-A7D5-29F5E48408A4}"/>
    <cellStyle name="Comma 3 5 2 3" xfId="2899" xr:uid="{E5277B2A-4FB5-43A9-A425-F90F4E218977}"/>
    <cellStyle name="Comma 3 5 2 3 2" xfId="17499" xr:uid="{AAEAFF96-14D7-480D-B651-6688E2498795}"/>
    <cellStyle name="Comma 3 5 2 3 2 2" xfId="54007" xr:uid="{455CA751-8F10-451C-984C-547C050009C3}"/>
    <cellStyle name="Comma 3 5 2 3 2 3" xfId="35753" xr:uid="{1A590253-32A1-49C7-959B-FFF77B451B4A}"/>
    <cellStyle name="Comma 3 5 2 3 3" xfId="13849" xr:uid="{61096B26-FA95-4F7B-9C90-C80E499A6872}"/>
    <cellStyle name="Comma 3 5 2 3 3 2" xfId="50357" xr:uid="{F1D3C3BA-127D-4228-A67D-1F8E02C9DB8F}"/>
    <cellStyle name="Comma 3 5 2 3 3 3" xfId="32103" xr:uid="{E7D7B91E-9919-4CA1-883D-88C3A739B061}"/>
    <cellStyle name="Comma 3 5 2 3 4" xfId="10199" xr:uid="{E1166D6D-2C9E-4143-A9B4-2280F24E3371}"/>
    <cellStyle name="Comma 3 5 2 3 4 2" xfId="46707" xr:uid="{105EF0BE-6A46-4DAB-8F95-FD4DFC59D695}"/>
    <cellStyle name="Comma 3 5 2 3 4 3" xfId="28453" xr:uid="{84A19B3F-5313-4520-AF76-4842BC0825CE}"/>
    <cellStyle name="Comma 3 5 2 3 5" xfId="6549" xr:uid="{07C256DF-B473-44E0-A48F-26C643699CE0}"/>
    <cellStyle name="Comma 3 5 2 3 5 2" xfId="43057" xr:uid="{7E83CAAE-E660-4F0E-93E1-45A7DED9D48C}"/>
    <cellStyle name="Comma 3 5 2 3 5 3" xfId="24803" xr:uid="{D97D7EBB-15CE-489B-B903-3D176CE97183}"/>
    <cellStyle name="Comma 3 5 2 3 6" xfId="39407" xr:uid="{9AC9D5D1-2BAD-497E-B290-305335C05062}"/>
    <cellStyle name="Comma 3 5 2 3 7" xfId="21153" xr:uid="{0212D8D3-4015-48E5-9A1F-6423C052F16D}"/>
    <cellStyle name="Comma 3 5 2 4" xfId="2169" xr:uid="{8F25A5E3-41CD-4ED0-B9BF-9B723CAA5B99}"/>
    <cellStyle name="Comma 3 5 2 4 2" xfId="16769" xr:uid="{3AA49349-8AA5-4F47-93C8-8BDCF910BF12}"/>
    <cellStyle name="Comma 3 5 2 4 2 2" xfId="53277" xr:uid="{16AE00FA-76D5-46C6-B4DD-2117EB54B2F6}"/>
    <cellStyle name="Comma 3 5 2 4 2 3" xfId="35023" xr:uid="{67594BE7-1ABC-434F-9D28-E905047833D5}"/>
    <cellStyle name="Comma 3 5 2 4 3" xfId="13119" xr:uid="{08900D64-63BF-4884-9719-49BC7B439D3A}"/>
    <cellStyle name="Comma 3 5 2 4 3 2" xfId="49627" xr:uid="{F6AD7D99-2D6B-49C3-8F48-006B7852C8FC}"/>
    <cellStyle name="Comma 3 5 2 4 3 3" xfId="31373" xr:uid="{76C31EAF-3D90-431E-A698-B9278317F118}"/>
    <cellStyle name="Comma 3 5 2 4 4" xfId="9469" xr:uid="{4E8D6B91-8B08-4D6C-B7B8-8FF71B94DCAD}"/>
    <cellStyle name="Comma 3 5 2 4 4 2" xfId="45977" xr:uid="{57326166-C96B-4C63-BBE2-B694A007398B}"/>
    <cellStyle name="Comma 3 5 2 4 4 3" xfId="27723" xr:uid="{23BDEA22-CFD1-43DA-B07D-9A9C0CAE7C71}"/>
    <cellStyle name="Comma 3 5 2 4 5" xfId="5819" xr:uid="{899CAC2F-004B-4F5D-B37E-5C6034B9CA18}"/>
    <cellStyle name="Comma 3 5 2 4 5 2" xfId="42327" xr:uid="{38DF1BC6-8F32-4408-8A91-E2B73BBE87AC}"/>
    <cellStyle name="Comma 3 5 2 4 5 3" xfId="24073" xr:uid="{1C675685-0FB9-4692-A2D1-A35505AFB7C2}"/>
    <cellStyle name="Comma 3 5 2 4 6" xfId="38677" xr:uid="{DCC5C838-4300-458E-841C-86C209BE9AF3}"/>
    <cellStyle name="Comma 3 5 2 4 7" xfId="20423" xr:uid="{E9C09808-8E97-4E4E-8AD3-903ABC2E68F6}"/>
    <cellStyle name="Comma 3 5 2 5" xfId="1439" xr:uid="{C6B87A67-0754-4B7D-98BB-5C33F083BEDD}"/>
    <cellStyle name="Comma 3 5 2 5 2" xfId="16039" xr:uid="{D31CF5C9-C950-4679-87C4-149CCC9CBFFF}"/>
    <cellStyle name="Comma 3 5 2 5 2 2" xfId="52547" xr:uid="{A7FF912D-7912-4184-95FE-30BEE175560A}"/>
    <cellStyle name="Comma 3 5 2 5 2 3" xfId="34293" xr:uid="{C00DAD8C-0504-440B-989C-EADBF264FC10}"/>
    <cellStyle name="Comma 3 5 2 5 3" xfId="12389" xr:uid="{EEB3B9AD-7162-4372-A768-9023240A8A50}"/>
    <cellStyle name="Comma 3 5 2 5 3 2" xfId="48897" xr:uid="{BD799C36-11B2-410B-8E32-6258E4130AE4}"/>
    <cellStyle name="Comma 3 5 2 5 3 3" xfId="30643" xr:uid="{DA0BA661-7C8F-4685-9861-100F2A0F3D22}"/>
    <cellStyle name="Comma 3 5 2 5 4" xfId="8739" xr:uid="{9E704A7A-CC0E-48E9-B9D0-77066F929F0B}"/>
    <cellStyle name="Comma 3 5 2 5 4 2" xfId="45247" xr:uid="{589676B5-A922-4916-A072-5F8365D3C02B}"/>
    <cellStyle name="Comma 3 5 2 5 4 3" xfId="26993" xr:uid="{8FDEC349-CEFF-4D99-85B9-623AD3267766}"/>
    <cellStyle name="Comma 3 5 2 5 5" xfId="5089" xr:uid="{A87E6905-197B-4496-820A-0730C18923EF}"/>
    <cellStyle name="Comma 3 5 2 5 5 2" xfId="41597" xr:uid="{BFD039CF-12C0-4EF4-9623-A1EFFE309C94}"/>
    <cellStyle name="Comma 3 5 2 5 5 3" xfId="23343" xr:uid="{91F7956D-1C27-4650-A4CF-F3BA41C9EB34}"/>
    <cellStyle name="Comma 3 5 2 5 6" xfId="37947" xr:uid="{BD673223-0585-45F6-A081-E712B4F0269F}"/>
    <cellStyle name="Comma 3 5 2 5 7" xfId="19693" xr:uid="{E21EE6C2-23A4-48BA-A884-176D43DB1D38}"/>
    <cellStyle name="Comma 3 5 2 6" xfId="15309" xr:uid="{1753FAF4-4254-4E12-BA8C-65E957FBD44C}"/>
    <cellStyle name="Comma 3 5 2 6 2" xfId="51817" xr:uid="{851326D3-A88E-492E-9899-1DA33089E8AB}"/>
    <cellStyle name="Comma 3 5 2 6 3" xfId="33563" xr:uid="{2C2A28C6-43A7-45BA-9428-6D0D3655639C}"/>
    <cellStyle name="Comma 3 5 2 7" xfId="11659" xr:uid="{009772BC-8F57-41C4-8D9B-0097B9341DDA}"/>
    <cellStyle name="Comma 3 5 2 7 2" xfId="48167" xr:uid="{74E9F93A-3A1F-4B28-AD02-5F87E1D88096}"/>
    <cellStyle name="Comma 3 5 2 7 3" xfId="29913" xr:uid="{AD105FDD-0D43-46D6-9C27-92F89EF6E2C8}"/>
    <cellStyle name="Comma 3 5 2 8" xfId="8009" xr:uid="{57764179-D73C-4E55-8338-6E312B349A3D}"/>
    <cellStyle name="Comma 3 5 2 8 2" xfId="44517" xr:uid="{28621D8F-1CDA-496A-A7A2-27EA1E62F9C4}"/>
    <cellStyle name="Comma 3 5 2 8 3" xfId="26263" xr:uid="{53001FC4-B7B2-4866-9B3E-14529CC7A064}"/>
    <cellStyle name="Comma 3 5 2 9" xfId="4359" xr:uid="{00B00165-0AB1-479F-A69F-53FFCE14C936}"/>
    <cellStyle name="Comma 3 5 2 9 2" xfId="40867" xr:uid="{9ECCC65C-F913-4948-BB3B-EF5AC9B20371}"/>
    <cellStyle name="Comma 3 5 2 9 3" xfId="22613" xr:uid="{A32876C0-23A0-446C-8247-1DA49B342064}"/>
    <cellStyle name="Comma 3 5 3" xfId="605" xr:uid="{02342259-7137-48D6-9B54-8E133535B410}"/>
    <cellStyle name="Comma 3 5 3 10" xfId="37113" xr:uid="{8F16A707-5711-45A1-A8DC-180FF4669E3C}"/>
    <cellStyle name="Comma 3 5 3 11" xfId="18859" xr:uid="{0E5E12EC-D12E-49A2-97DC-F9BC194E4FD7}"/>
    <cellStyle name="Comma 3 5 3 2" xfId="3525" xr:uid="{2933BB2B-2327-4793-B4D8-0A169BCD959B}"/>
    <cellStyle name="Comma 3 5 3 2 2" xfId="18125" xr:uid="{B83B33B6-30ED-4C80-8FD1-561C0036B185}"/>
    <cellStyle name="Comma 3 5 3 2 2 2" xfId="54633" xr:uid="{4EE23525-F0D5-4CF1-8E82-17107EAF32E4}"/>
    <cellStyle name="Comma 3 5 3 2 2 3" xfId="36379" xr:uid="{EC2D4FF0-B452-40B1-9EBF-494FA2DC1CC5}"/>
    <cellStyle name="Comma 3 5 3 2 3" xfId="14475" xr:uid="{BD9151CA-70F5-44E9-A548-84F1E40140FC}"/>
    <cellStyle name="Comma 3 5 3 2 3 2" xfId="50983" xr:uid="{FE695EF8-0777-440C-AA11-223352DCAD13}"/>
    <cellStyle name="Comma 3 5 3 2 3 3" xfId="32729" xr:uid="{190F8BAA-7EA6-4C32-8A34-3BB3A905E113}"/>
    <cellStyle name="Comma 3 5 3 2 4" xfId="10825" xr:uid="{71EA6341-CAFA-4869-A524-4C302CF808B7}"/>
    <cellStyle name="Comma 3 5 3 2 4 2" xfId="47333" xr:uid="{9D784679-70AC-40E6-82C9-F78587C3E9D5}"/>
    <cellStyle name="Comma 3 5 3 2 4 3" xfId="29079" xr:uid="{7BE4A89F-78E0-40A5-B2F5-12FDE6492A08}"/>
    <cellStyle name="Comma 3 5 3 2 5" xfId="7175" xr:uid="{35339394-8F7A-4440-8866-AF566F4715F9}"/>
    <cellStyle name="Comma 3 5 3 2 5 2" xfId="43683" xr:uid="{DC895A88-5F20-4468-A640-2A96AC0A7A91}"/>
    <cellStyle name="Comma 3 5 3 2 5 3" xfId="25429" xr:uid="{E65FB099-7DB2-4980-9ADF-E6414C2C9E29}"/>
    <cellStyle name="Comma 3 5 3 2 6" xfId="40033" xr:uid="{F4DA2174-1F95-45D9-A8BB-1EFFC8A71AAD}"/>
    <cellStyle name="Comma 3 5 3 2 7" xfId="21779" xr:uid="{E3F9A422-C870-4DB7-98EE-5904A1DB81D1}"/>
    <cellStyle name="Comma 3 5 3 3" xfId="2795" xr:uid="{CD1670DB-1A0D-4796-ADA3-CA883617F065}"/>
    <cellStyle name="Comma 3 5 3 3 2" xfId="17395" xr:uid="{3DECA01F-1EA3-452B-8E93-D9C733BF650E}"/>
    <cellStyle name="Comma 3 5 3 3 2 2" xfId="53903" xr:uid="{603A0BAE-6A8A-4BC2-A558-D572FAC83332}"/>
    <cellStyle name="Comma 3 5 3 3 2 3" xfId="35649" xr:uid="{DEFDE5D7-B476-44B8-9E24-62A51EE74B06}"/>
    <cellStyle name="Comma 3 5 3 3 3" xfId="13745" xr:uid="{36F4244F-2E89-4AFE-A109-317336DD5AB1}"/>
    <cellStyle name="Comma 3 5 3 3 3 2" xfId="50253" xr:uid="{324F30BF-0312-4148-BDC3-F1F5D4B92993}"/>
    <cellStyle name="Comma 3 5 3 3 3 3" xfId="31999" xr:uid="{63EFF2A6-499C-4D5E-B434-7DB34BDC3F16}"/>
    <cellStyle name="Comma 3 5 3 3 4" xfId="10095" xr:uid="{A5441F6A-0A60-49F6-A964-31AFDCE34697}"/>
    <cellStyle name="Comma 3 5 3 3 4 2" xfId="46603" xr:uid="{25A4A730-498D-4562-8AC5-500320341D2B}"/>
    <cellStyle name="Comma 3 5 3 3 4 3" xfId="28349" xr:uid="{364D309C-895B-426B-A2F3-815D47010C95}"/>
    <cellStyle name="Comma 3 5 3 3 5" xfId="6445" xr:uid="{3DC72F78-CC4B-4053-A439-FAC9A6F1FF7E}"/>
    <cellStyle name="Comma 3 5 3 3 5 2" xfId="42953" xr:uid="{DD3D7A33-46F9-4883-B5C7-0A023BF99F08}"/>
    <cellStyle name="Comma 3 5 3 3 5 3" xfId="24699" xr:uid="{56D795F2-B121-4E5D-9460-599CD5F935DA}"/>
    <cellStyle name="Comma 3 5 3 3 6" xfId="39303" xr:uid="{65EEA030-100A-42D0-BF2B-27E7B5DD1CC4}"/>
    <cellStyle name="Comma 3 5 3 3 7" xfId="21049" xr:uid="{F5576A87-E52A-4BAF-BCBD-41D990C6ADB3}"/>
    <cellStyle name="Comma 3 5 3 4" xfId="2065" xr:uid="{F5131399-2EF0-4D2C-82F8-36F485FF22F5}"/>
    <cellStyle name="Comma 3 5 3 4 2" xfId="16665" xr:uid="{4ADDD03D-3DA3-464B-9208-5B16B565D3DC}"/>
    <cellStyle name="Comma 3 5 3 4 2 2" xfId="53173" xr:uid="{1DBCD8A0-9931-46A7-BDC6-B846C12F112F}"/>
    <cellStyle name="Comma 3 5 3 4 2 3" xfId="34919" xr:uid="{B2914537-6AE8-4A0A-AEBF-1725A4805ACA}"/>
    <cellStyle name="Comma 3 5 3 4 3" xfId="13015" xr:uid="{5FC6536C-68D0-4F94-BAD6-9BE29CCC8043}"/>
    <cellStyle name="Comma 3 5 3 4 3 2" xfId="49523" xr:uid="{05E3A648-50BD-4ADA-A048-08730B93FA71}"/>
    <cellStyle name="Comma 3 5 3 4 3 3" xfId="31269" xr:uid="{05750D60-9FCE-43D8-94D7-A7CD6276751A}"/>
    <cellStyle name="Comma 3 5 3 4 4" xfId="9365" xr:uid="{032139A2-9D40-43E6-80DE-8D8B97DF7250}"/>
    <cellStyle name="Comma 3 5 3 4 4 2" xfId="45873" xr:uid="{FC10FF36-CCEE-409A-8122-AA068A2A3409}"/>
    <cellStyle name="Comma 3 5 3 4 4 3" xfId="27619" xr:uid="{C782706C-8F74-4BBB-A31E-8441BEAF7269}"/>
    <cellStyle name="Comma 3 5 3 4 5" xfId="5715" xr:uid="{189FA2A1-2D13-42FB-B894-9FDFC87198C6}"/>
    <cellStyle name="Comma 3 5 3 4 5 2" xfId="42223" xr:uid="{1D2EE08F-CDDF-4B29-A4D7-1AC8B0EDEFD7}"/>
    <cellStyle name="Comma 3 5 3 4 5 3" xfId="23969" xr:uid="{F64BCBF2-1344-4924-B973-C751FCCABADF}"/>
    <cellStyle name="Comma 3 5 3 4 6" xfId="38573" xr:uid="{DF73D222-595B-4702-8CAB-BEB4C2DDDDF2}"/>
    <cellStyle name="Comma 3 5 3 4 7" xfId="20319" xr:uid="{E0F4849D-AF1B-4A8C-8767-F1277E7A871A}"/>
    <cellStyle name="Comma 3 5 3 5" xfId="1335" xr:uid="{42B25789-A47C-41CF-A29C-17AD1069A4B5}"/>
    <cellStyle name="Comma 3 5 3 5 2" xfId="15935" xr:uid="{A23F37AC-CCA8-4AD9-BD8E-06B3BB8A8B09}"/>
    <cellStyle name="Comma 3 5 3 5 2 2" xfId="52443" xr:uid="{FE1E3CF1-6542-4B56-91B4-FE8E47FB2249}"/>
    <cellStyle name="Comma 3 5 3 5 2 3" xfId="34189" xr:uid="{F380233D-C99C-45BE-947B-9B317BF5CB9D}"/>
    <cellStyle name="Comma 3 5 3 5 3" xfId="12285" xr:uid="{58D56CBE-CDB0-468B-8EF2-A91659353110}"/>
    <cellStyle name="Comma 3 5 3 5 3 2" xfId="48793" xr:uid="{62E83FE6-A374-454B-A268-C1678CBEB96C}"/>
    <cellStyle name="Comma 3 5 3 5 3 3" xfId="30539" xr:uid="{BEABF7C4-ED5F-4AB7-A7B2-30A0158342F6}"/>
    <cellStyle name="Comma 3 5 3 5 4" xfId="8635" xr:uid="{632A0E4A-87D9-4C7F-88CE-624F0EE925AB}"/>
    <cellStyle name="Comma 3 5 3 5 4 2" xfId="45143" xr:uid="{7B02917A-FC04-4310-899A-9982466E38D0}"/>
    <cellStyle name="Comma 3 5 3 5 4 3" xfId="26889" xr:uid="{FA39D08A-093C-4268-934E-3BDD3B5FD6B5}"/>
    <cellStyle name="Comma 3 5 3 5 5" xfId="4985" xr:uid="{C9E1FA7B-356B-4D60-8393-EBFEDEFB1A48}"/>
    <cellStyle name="Comma 3 5 3 5 5 2" xfId="41493" xr:uid="{D2F9F05D-A106-45AD-AF41-7683F5E5E381}"/>
    <cellStyle name="Comma 3 5 3 5 5 3" xfId="23239" xr:uid="{521CEE19-DF9D-4D7C-A7E7-D42B5AF6FC68}"/>
    <cellStyle name="Comma 3 5 3 5 6" xfId="37843" xr:uid="{B009278B-B09C-45FC-914C-791AA04CBA02}"/>
    <cellStyle name="Comma 3 5 3 5 7" xfId="19589" xr:uid="{589C0A3F-1798-41DF-8966-4EA899576ADC}"/>
    <cellStyle name="Comma 3 5 3 6" xfId="15205" xr:uid="{BBD6A2B3-F562-4CF4-BBB9-B219306962F3}"/>
    <cellStyle name="Comma 3 5 3 6 2" xfId="51713" xr:uid="{E62C0055-1B28-4B9D-94BD-797E9710B531}"/>
    <cellStyle name="Comma 3 5 3 6 3" xfId="33459" xr:uid="{49C28465-4163-4462-8E92-8355A5CEC138}"/>
    <cellStyle name="Comma 3 5 3 7" xfId="11555" xr:uid="{E63AE1AF-7857-4143-BDB7-1A62FAB26F3F}"/>
    <cellStyle name="Comma 3 5 3 7 2" xfId="48063" xr:uid="{83D1A8B4-F8D6-4A56-BE63-632000A41702}"/>
    <cellStyle name="Comma 3 5 3 7 3" xfId="29809" xr:uid="{36B8C8D7-71CD-4932-818A-10F0FBE8C1AF}"/>
    <cellStyle name="Comma 3 5 3 8" xfId="7905" xr:uid="{027B32DE-F871-478C-904B-8CAF8FA530BF}"/>
    <cellStyle name="Comma 3 5 3 8 2" xfId="44413" xr:uid="{9A9D88D6-3780-4674-9BA4-758F62D10D06}"/>
    <cellStyle name="Comma 3 5 3 8 3" xfId="26159" xr:uid="{69BAF82A-D031-481E-A822-E9CCFE9AF8AF}"/>
    <cellStyle name="Comma 3 5 3 9" xfId="4255" xr:uid="{C06923BD-2356-44F8-AFD5-89E82A64E4BF}"/>
    <cellStyle name="Comma 3 5 3 9 2" xfId="40763" xr:uid="{C1E782C0-EAAF-4D52-BF6F-9CFC94F6CE00}"/>
    <cellStyle name="Comma 3 5 3 9 3" xfId="22509" xr:uid="{F00764D0-C214-40D0-8A46-0674523F3DEE}"/>
    <cellStyle name="Comma 3 5 4" xfId="501" xr:uid="{BA5EFC4A-E13D-4BA0-B1F0-4877F6B8D506}"/>
    <cellStyle name="Comma 3 5 4 10" xfId="37009" xr:uid="{6C7A27A9-66A1-424D-91DC-591566E4A654}"/>
    <cellStyle name="Comma 3 5 4 11" xfId="18755" xr:uid="{539978E2-58FE-4950-8385-A7C55E03D361}"/>
    <cellStyle name="Comma 3 5 4 2" xfId="3421" xr:uid="{40A4E911-9E2F-456C-988A-EAD7AF887850}"/>
    <cellStyle name="Comma 3 5 4 2 2" xfId="18021" xr:uid="{AD7F3807-30F2-4930-8B8F-2D1027A67C2F}"/>
    <cellStyle name="Comma 3 5 4 2 2 2" xfId="54529" xr:uid="{FA304133-F0BF-4C74-A428-EFA8C98ED974}"/>
    <cellStyle name="Comma 3 5 4 2 2 3" xfId="36275" xr:uid="{7DD4CA0D-B2E9-4134-A1A9-78547D598DD0}"/>
    <cellStyle name="Comma 3 5 4 2 3" xfId="14371" xr:uid="{7DC54295-C99B-4CCA-9107-FDAF2CDA9841}"/>
    <cellStyle name="Comma 3 5 4 2 3 2" xfId="50879" xr:uid="{637F5AFF-DF29-4CE7-985A-D4D6E85E189F}"/>
    <cellStyle name="Comma 3 5 4 2 3 3" xfId="32625" xr:uid="{78C33379-FF54-442F-BDC8-AF72111129EA}"/>
    <cellStyle name="Comma 3 5 4 2 4" xfId="10721" xr:uid="{9DB9C120-B649-4478-B739-E997FEE88FED}"/>
    <cellStyle name="Comma 3 5 4 2 4 2" xfId="47229" xr:uid="{B24011AD-9EF7-44E0-AE3E-083450C9445D}"/>
    <cellStyle name="Comma 3 5 4 2 4 3" xfId="28975" xr:uid="{9B49B223-D221-4C81-B323-57537490A960}"/>
    <cellStyle name="Comma 3 5 4 2 5" xfId="7071" xr:uid="{CA1CB8F7-A6D8-4EC9-B474-C31F3A0ABB74}"/>
    <cellStyle name="Comma 3 5 4 2 5 2" xfId="43579" xr:uid="{0604BAAF-98B8-40FD-857C-8200FE3F69A5}"/>
    <cellStyle name="Comma 3 5 4 2 5 3" xfId="25325" xr:uid="{F84ABD57-3C45-40F1-8924-59A88C14A70D}"/>
    <cellStyle name="Comma 3 5 4 2 6" xfId="39929" xr:uid="{97F53CC6-C855-426F-88D8-1A1AD33F622C}"/>
    <cellStyle name="Comma 3 5 4 2 7" xfId="21675" xr:uid="{18E50056-B50A-4453-82E7-E888338FDE07}"/>
    <cellStyle name="Comma 3 5 4 3" xfId="2691" xr:uid="{B88C9712-9D8E-4C82-8DDF-AB4A70ADCC79}"/>
    <cellStyle name="Comma 3 5 4 3 2" xfId="17291" xr:uid="{5503C6C3-5A11-4D6E-982B-9CB5B228F383}"/>
    <cellStyle name="Comma 3 5 4 3 2 2" xfId="53799" xr:uid="{A2A7FB52-98C9-4D1F-A042-FD33F58324E6}"/>
    <cellStyle name="Comma 3 5 4 3 2 3" xfId="35545" xr:uid="{6FACE219-EA7D-489E-9DEC-78D46C6EFFCB}"/>
    <cellStyle name="Comma 3 5 4 3 3" xfId="13641" xr:uid="{31AF5243-C5E1-446F-92A5-2B4BDB1F4B2E}"/>
    <cellStyle name="Comma 3 5 4 3 3 2" xfId="50149" xr:uid="{68D8DB11-A0FB-4556-BF13-EDBAF49837AB}"/>
    <cellStyle name="Comma 3 5 4 3 3 3" xfId="31895" xr:uid="{9A60F045-CC0E-43C3-81D1-14EF4B7B9853}"/>
    <cellStyle name="Comma 3 5 4 3 4" xfId="9991" xr:uid="{5A65ABA9-53C5-4EE4-B287-E330CF56FACC}"/>
    <cellStyle name="Comma 3 5 4 3 4 2" xfId="46499" xr:uid="{EA43DE54-D358-4957-BCDD-6EA66BF7C74E}"/>
    <cellStyle name="Comma 3 5 4 3 4 3" xfId="28245" xr:uid="{66442544-D8DB-414B-9562-95CF475C112E}"/>
    <cellStyle name="Comma 3 5 4 3 5" xfId="6341" xr:uid="{E36468D3-E19B-4F79-8D98-A04434536E53}"/>
    <cellStyle name="Comma 3 5 4 3 5 2" xfId="42849" xr:uid="{F7F57AF2-E817-4D7F-AC07-5DB99A243EA5}"/>
    <cellStyle name="Comma 3 5 4 3 5 3" xfId="24595" xr:uid="{3F9E32A7-3051-4349-A52C-0D0470C6F4F5}"/>
    <cellStyle name="Comma 3 5 4 3 6" xfId="39199" xr:uid="{FEDBE351-83BC-41A2-8BB4-6C75356BC427}"/>
    <cellStyle name="Comma 3 5 4 3 7" xfId="20945" xr:uid="{47B6DDBD-909F-4CAC-B238-FC5F4EB4E6FA}"/>
    <cellStyle name="Comma 3 5 4 4" xfId="1961" xr:uid="{472B23C8-62B6-41C1-B836-B5A8BE801F6E}"/>
    <cellStyle name="Comma 3 5 4 4 2" xfId="16561" xr:uid="{387C0A64-0031-4276-9844-FE9C25B1B518}"/>
    <cellStyle name="Comma 3 5 4 4 2 2" xfId="53069" xr:uid="{6D2EEF3A-975A-4B2A-AB50-1153AA3F73AC}"/>
    <cellStyle name="Comma 3 5 4 4 2 3" xfId="34815" xr:uid="{ECABE9FD-CC1E-4716-AE15-06DF0E70C374}"/>
    <cellStyle name="Comma 3 5 4 4 3" xfId="12911" xr:uid="{C7DA749C-9A9C-4513-9BA3-C6C00F9461C6}"/>
    <cellStyle name="Comma 3 5 4 4 3 2" xfId="49419" xr:uid="{D5189DCE-6134-4B8F-A2E9-ADE3E46DB0D3}"/>
    <cellStyle name="Comma 3 5 4 4 3 3" xfId="31165" xr:uid="{DA992B5F-7947-458A-9CB0-0D101698CE46}"/>
    <cellStyle name="Comma 3 5 4 4 4" xfId="9261" xr:uid="{02A2D569-589C-484A-B61A-B83EEFD27CC0}"/>
    <cellStyle name="Comma 3 5 4 4 4 2" xfId="45769" xr:uid="{11B2F7FC-0731-45AC-A6B2-3807767FC320}"/>
    <cellStyle name="Comma 3 5 4 4 4 3" xfId="27515" xr:uid="{8268F4DA-4C63-4F99-91F8-2E6FEC5DA61C}"/>
    <cellStyle name="Comma 3 5 4 4 5" xfId="5611" xr:uid="{64715FB7-64A8-4795-8B4F-ECDCF92B7106}"/>
    <cellStyle name="Comma 3 5 4 4 5 2" xfId="42119" xr:uid="{05A51813-9F61-4DB1-82D0-1BD11E5C31D6}"/>
    <cellStyle name="Comma 3 5 4 4 5 3" xfId="23865" xr:uid="{D29B8F73-BCB6-4364-A8C4-3BB73424BC9D}"/>
    <cellStyle name="Comma 3 5 4 4 6" xfId="38469" xr:uid="{9B6E1183-B6D9-426F-9580-891CAA25B64F}"/>
    <cellStyle name="Comma 3 5 4 4 7" xfId="20215" xr:uid="{8BBC2465-D716-46EC-AE17-30D3F162070A}"/>
    <cellStyle name="Comma 3 5 4 5" xfId="1231" xr:uid="{3BAD26B0-ECB5-47CC-ABBC-0007A876A218}"/>
    <cellStyle name="Comma 3 5 4 5 2" xfId="15831" xr:uid="{871B37FD-3660-4247-BDB5-36438B0E16AF}"/>
    <cellStyle name="Comma 3 5 4 5 2 2" xfId="52339" xr:uid="{7D128BA4-A1B4-4273-9232-72BF74C1520B}"/>
    <cellStyle name="Comma 3 5 4 5 2 3" xfId="34085" xr:uid="{FB98355C-726A-4E0E-9543-C04E8D5981C2}"/>
    <cellStyle name="Comma 3 5 4 5 3" xfId="12181" xr:uid="{A636730C-5B21-4EA0-88CC-9A6E5C1EB368}"/>
    <cellStyle name="Comma 3 5 4 5 3 2" xfId="48689" xr:uid="{4C7BD32B-F7DF-4FE2-B7ED-87CF6DB8EC2E}"/>
    <cellStyle name="Comma 3 5 4 5 3 3" xfId="30435" xr:uid="{8C218DC2-CCC3-4862-88F7-E61DAF34472C}"/>
    <cellStyle name="Comma 3 5 4 5 4" xfId="8531" xr:uid="{66F12260-F236-4959-9A8C-2D799824394B}"/>
    <cellStyle name="Comma 3 5 4 5 4 2" xfId="45039" xr:uid="{BED6BB4A-6F48-486D-8F76-7E7275A12837}"/>
    <cellStyle name="Comma 3 5 4 5 4 3" xfId="26785" xr:uid="{497AAFF0-2C4A-48F5-8C20-1C63AF646877}"/>
    <cellStyle name="Comma 3 5 4 5 5" xfId="4881" xr:uid="{D5E68A11-E35D-4A6C-86C1-00426435D8CF}"/>
    <cellStyle name="Comma 3 5 4 5 5 2" xfId="41389" xr:uid="{E661D7B2-D0E6-4432-8D90-23FED42DE784}"/>
    <cellStyle name="Comma 3 5 4 5 5 3" xfId="23135" xr:uid="{5CD8BF19-3871-4258-936B-FFB62426BFF8}"/>
    <cellStyle name="Comma 3 5 4 5 6" xfId="37739" xr:uid="{94CA0335-D615-4333-AB81-A35BB3CFE5E0}"/>
    <cellStyle name="Comma 3 5 4 5 7" xfId="19485" xr:uid="{A9958F21-AEA9-4EED-AA65-58588EF7E9B9}"/>
    <cellStyle name="Comma 3 5 4 6" xfId="15101" xr:uid="{DE39BAD5-6E6D-49FA-9406-0C42616F4F18}"/>
    <cellStyle name="Comma 3 5 4 6 2" xfId="51609" xr:uid="{2FC0671A-DFEA-4C1B-928C-50092F67DA74}"/>
    <cellStyle name="Comma 3 5 4 6 3" xfId="33355" xr:uid="{01FC10F2-ABFF-4D55-8AC8-643453884EDC}"/>
    <cellStyle name="Comma 3 5 4 7" xfId="11451" xr:uid="{6D8F21AE-D556-478C-92BB-645D800C7F11}"/>
    <cellStyle name="Comma 3 5 4 7 2" xfId="47959" xr:uid="{1112D99C-EE12-4095-A704-11E4952709DD}"/>
    <cellStyle name="Comma 3 5 4 7 3" xfId="29705" xr:uid="{062D75F4-1F6E-412E-B866-52DA52296782}"/>
    <cellStyle name="Comma 3 5 4 8" xfId="7801" xr:uid="{111741B1-F019-4EBB-B50A-2DDED3BB1863}"/>
    <cellStyle name="Comma 3 5 4 8 2" xfId="44309" xr:uid="{467424F7-5B87-45C0-A575-2D48865EB254}"/>
    <cellStyle name="Comma 3 5 4 8 3" xfId="26055" xr:uid="{9A9EBE2B-5E2B-4113-8FBD-BE7E92077123}"/>
    <cellStyle name="Comma 3 5 4 9" xfId="4151" xr:uid="{CD7B2099-539F-4C83-AD07-0191974DBDE5}"/>
    <cellStyle name="Comma 3 5 4 9 2" xfId="40659" xr:uid="{003EB7E4-89E3-488E-825A-E7D83BC60703}"/>
    <cellStyle name="Comma 3 5 4 9 3" xfId="22405" xr:uid="{4B9E40B7-17B3-4B12-9C16-50518774E913}"/>
    <cellStyle name="Comma 3 5 5" xfId="397" xr:uid="{0677F6F6-DE24-4D4C-AAFB-7A4122C4EAA2}"/>
    <cellStyle name="Comma 3 5 5 10" xfId="36905" xr:uid="{BE42BE82-AA56-480B-B689-A7B94A85BC06}"/>
    <cellStyle name="Comma 3 5 5 11" xfId="18651" xr:uid="{DA10DF12-1F64-4CC7-82B9-047142DB0997}"/>
    <cellStyle name="Comma 3 5 5 2" xfId="3317" xr:uid="{BC6F5629-44C4-4E4E-8B99-ADFE9A0FACFC}"/>
    <cellStyle name="Comma 3 5 5 2 2" xfId="17917" xr:uid="{E1C1E27B-1D01-4B57-9798-723F28247B12}"/>
    <cellStyle name="Comma 3 5 5 2 2 2" xfId="54425" xr:uid="{E8951702-FFE0-416B-96F0-CA2AC8282AEE}"/>
    <cellStyle name="Comma 3 5 5 2 2 3" xfId="36171" xr:uid="{27EC3B1B-34EB-4441-802C-49146DB6AB08}"/>
    <cellStyle name="Comma 3 5 5 2 3" xfId="14267" xr:uid="{A00009F4-143E-496E-B74C-1723EE300874}"/>
    <cellStyle name="Comma 3 5 5 2 3 2" xfId="50775" xr:uid="{8A5FF702-8666-4634-8AB5-9BE3171AEC2A}"/>
    <cellStyle name="Comma 3 5 5 2 3 3" xfId="32521" xr:uid="{C93F8122-F10D-4108-A8E1-106ECE985B97}"/>
    <cellStyle name="Comma 3 5 5 2 4" xfId="10617" xr:uid="{EA9C748E-0517-440F-AD91-49148B606314}"/>
    <cellStyle name="Comma 3 5 5 2 4 2" xfId="47125" xr:uid="{EF2EC908-6F06-48C4-9F03-0CB81B3A371C}"/>
    <cellStyle name="Comma 3 5 5 2 4 3" xfId="28871" xr:uid="{78332A5B-6D4F-44FD-8F1C-A46F9842A362}"/>
    <cellStyle name="Comma 3 5 5 2 5" xfId="6967" xr:uid="{E23C51A3-C6D4-4318-8816-6ACCCF9B0B86}"/>
    <cellStyle name="Comma 3 5 5 2 5 2" xfId="43475" xr:uid="{114C7BC6-EA14-4649-BEE8-25E6A1BC89CA}"/>
    <cellStyle name="Comma 3 5 5 2 5 3" xfId="25221" xr:uid="{6C51E22E-28B5-4E44-A884-31913450910E}"/>
    <cellStyle name="Comma 3 5 5 2 6" xfId="39825" xr:uid="{0A431E24-9691-40DA-9FC6-11EBA5FE875C}"/>
    <cellStyle name="Comma 3 5 5 2 7" xfId="21571" xr:uid="{BB8AF566-1586-4F43-BF47-609C67F46651}"/>
    <cellStyle name="Comma 3 5 5 3" xfId="2587" xr:uid="{EEDF4870-5644-4125-ADAB-7C4EEA13F5A7}"/>
    <cellStyle name="Comma 3 5 5 3 2" xfId="17187" xr:uid="{5280C34F-7D7D-4EC1-B3E3-766E5956B0C8}"/>
    <cellStyle name="Comma 3 5 5 3 2 2" xfId="53695" xr:uid="{48412BEC-ED0F-47D2-840D-9A248475FB6F}"/>
    <cellStyle name="Comma 3 5 5 3 2 3" xfId="35441" xr:uid="{5F050F2D-87A9-4EA1-A338-9F7E427FB64D}"/>
    <cellStyle name="Comma 3 5 5 3 3" xfId="13537" xr:uid="{4B6E242A-5CCC-404A-BB6A-70DDDA01A3E9}"/>
    <cellStyle name="Comma 3 5 5 3 3 2" xfId="50045" xr:uid="{BECEFB9C-2C68-496F-BBB8-EC48F84B2159}"/>
    <cellStyle name="Comma 3 5 5 3 3 3" xfId="31791" xr:uid="{8F0311DA-4317-4661-80E1-1B576D4E52AE}"/>
    <cellStyle name="Comma 3 5 5 3 4" xfId="9887" xr:uid="{6FE15C7C-3767-4CC1-A101-8381D434091F}"/>
    <cellStyle name="Comma 3 5 5 3 4 2" xfId="46395" xr:uid="{96DAA3AB-C0F8-4571-8B19-1490AC762A54}"/>
    <cellStyle name="Comma 3 5 5 3 4 3" xfId="28141" xr:uid="{A9D0F492-34E3-4F77-B5F4-D062D4E9C76E}"/>
    <cellStyle name="Comma 3 5 5 3 5" xfId="6237" xr:uid="{7DA5ABC6-783C-47FE-BF21-3097CD785941}"/>
    <cellStyle name="Comma 3 5 5 3 5 2" xfId="42745" xr:uid="{162E4EC8-7F63-47E8-9515-A78F5F1565A5}"/>
    <cellStyle name="Comma 3 5 5 3 5 3" xfId="24491" xr:uid="{665B52B6-1B2A-44A7-AF85-26691BD0BA2A}"/>
    <cellStyle name="Comma 3 5 5 3 6" xfId="39095" xr:uid="{0757E35D-195C-430C-A8A4-A1190749CAF2}"/>
    <cellStyle name="Comma 3 5 5 3 7" xfId="20841" xr:uid="{2326E18B-FDA4-4C98-BAE8-AF6B3512DAF4}"/>
    <cellStyle name="Comma 3 5 5 4" xfId="1857" xr:uid="{EC7106AB-F0D7-4ABA-93EA-F594DF89FF78}"/>
    <cellStyle name="Comma 3 5 5 4 2" xfId="16457" xr:uid="{C082E055-7C0E-4D6C-997E-7BE80BF79932}"/>
    <cellStyle name="Comma 3 5 5 4 2 2" xfId="52965" xr:uid="{52A68381-91B8-4CDB-BBD7-60290057B035}"/>
    <cellStyle name="Comma 3 5 5 4 2 3" xfId="34711" xr:uid="{F28A5AF0-CCF4-4978-AC7E-009301CBA80F}"/>
    <cellStyle name="Comma 3 5 5 4 3" xfId="12807" xr:uid="{956A8505-C08A-44DF-8500-D7BECD3E4992}"/>
    <cellStyle name="Comma 3 5 5 4 3 2" xfId="49315" xr:uid="{7F88F296-FD2D-4A3D-8ACE-8736EAF474C9}"/>
    <cellStyle name="Comma 3 5 5 4 3 3" xfId="31061" xr:uid="{9D9673B6-1E8F-427D-BA8D-29D102B0E7BD}"/>
    <cellStyle name="Comma 3 5 5 4 4" xfId="9157" xr:uid="{50C0661E-AE60-44EC-8FEC-049DD49D3864}"/>
    <cellStyle name="Comma 3 5 5 4 4 2" xfId="45665" xr:uid="{2DE68D82-4DBF-4604-956B-4A3AA86E76D4}"/>
    <cellStyle name="Comma 3 5 5 4 4 3" xfId="27411" xr:uid="{7F820100-3A89-45EB-A554-C3887D5B9E9F}"/>
    <cellStyle name="Comma 3 5 5 4 5" xfId="5507" xr:uid="{B8646439-3ADD-41B2-AF9E-ABBA04E12432}"/>
    <cellStyle name="Comma 3 5 5 4 5 2" xfId="42015" xr:uid="{6EEA8613-969D-4EBC-813D-327ECEF39E72}"/>
    <cellStyle name="Comma 3 5 5 4 5 3" xfId="23761" xr:uid="{EAE74A1C-A044-4209-A13C-21A9D7C68481}"/>
    <cellStyle name="Comma 3 5 5 4 6" xfId="38365" xr:uid="{806788E6-89B1-40F4-82E0-23E20C25CD31}"/>
    <cellStyle name="Comma 3 5 5 4 7" xfId="20111" xr:uid="{39EF0177-C2D5-4B9A-8627-C31CFFD9018F}"/>
    <cellStyle name="Comma 3 5 5 5" xfId="1127" xr:uid="{E953443F-191C-44B2-8D12-76EA3B8D4C9A}"/>
    <cellStyle name="Comma 3 5 5 5 2" xfId="15727" xr:uid="{5CB36F22-19A9-412D-B1CF-24B2F52695BB}"/>
    <cellStyle name="Comma 3 5 5 5 2 2" xfId="52235" xr:uid="{2C1E1CBA-1194-4049-82A6-0EC48AF99F1B}"/>
    <cellStyle name="Comma 3 5 5 5 2 3" xfId="33981" xr:uid="{DD67E9E3-9D3B-41BA-8E7D-B062CCBDA6EE}"/>
    <cellStyle name="Comma 3 5 5 5 3" xfId="12077" xr:uid="{3E7D4529-9EF3-4722-8E77-483AC9D4A341}"/>
    <cellStyle name="Comma 3 5 5 5 3 2" xfId="48585" xr:uid="{63BF0773-6D70-45DF-B481-696A2029867B}"/>
    <cellStyle name="Comma 3 5 5 5 3 3" xfId="30331" xr:uid="{CE94F78E-684A-4042-A0D5-53201685E7C0}"/>
    <cellStyle name="Comma 3 5 5 5 4" xfId="8427" xr:uid="{7B3439FB-F203-49A2-B53F-19683BB12FA0}"/>
    <cellStyle name="Comma 3 5 5 5 4 2" xfId="44935" xr:uid="{D2FB63C2-E7C5-4AB7-9251-0088C26E5EF4}"/>
    <cellStyle name="Comma 3 5 5 5 4 3" xfId="26681" xr:uid="{BAF0B3BF-C986-4877-B789-C0F4A546BEAE}"/>
    <cellStyle name="Comma 3 5 5 5 5" xfId="4777" xr:uid="{9FAD7BC1-0F4F-490C-9297-A37C7E419FEB}"/>
    <cellStyle name="Comma 3 5 5 5 5 2" xfId="41285" xr:uid="{015C639A-FFBE-4D57-B040-AAB5AE61DDE0}"/>
    <cellStyle name="Comma 3 5 5 5 5 3" xfId="23031" xr:uid="{06E5F450-D24D-4AA3-9965-114F07735645}"/>
    <cellStyle name="Comma 3 5 5 5 6" xfId="37635" xr:uid="{9B8AC771-88EF-4A25-8EE4-F3893AB981B2}"/>
    <cellStyle name="Comma 3 5 5 5 7" xfId="19381" xr:uid="{E674766A-D685-4181-B02E-0EAE664E5AA6}"/>
    <cellStyle name="Comma 3 5 5 6" xfId="14997" xr:uid="{C633D5F1-7488-4E68-8CAF-B54DE44DEB63}"/>
    <cellStyle name="Comma 3 5 5 6 2" xfId="51505" xr:uid="{071490B1-1CEC-46DE-A36B-40D9459ACC61}"/>
    <cellStyle name="Comma 3 5 5 6 3" xfId="33251" xr:uid="{7C3D5107-32E7-4F0D-AE5D-1A821E74CE77}"/>
    <cellStyle name="Comma 3 5 5 7" xfId="11347" xr:uid="{9CE9894C-443D-4DD9-8908-05323A8CCF79}"/>
    <cellStyle name="Comma 3 5 5 7 2" xfId="47855" xr:uid="{4DAE9C6B-E2E3-4AFE-AA1C-22479DC930D8}"/>
    <cellStyle name="Comma 3 5 5 7 3" xfId="29601" xr:uid="{886861A0-4DAE-45CA-9BD9-43C5D830A71C}"/>
    <cellStyle name="Comma 3 5 5 8" xfId="7697" xr:uid="{DE7ADFE5-0E34-42A9-BCD4-0A5F36EDBCAE}"/>
    <cellStyle name="Comma 3 5 5 8 2" xfId="44205" xr:uid="{2E1DD31C-02E7-4959-BCCE-DBDB5F97F811}"/>
    <cellStyle name="Comma 3 5 5 8 3" xfId="25951" xr:uid="{2710724F-7DB0-49F1-8EB8-545E9F34686E}"/>
    <cellStyle name="Comma 3 5 5 9" xfId="4047" xr:uid="{D21CBBA9-051A-4BE2-B775-CB42385E2C98}"/>
    <cellStyle name="Comma 3 5 5 9 2" xfId="40555" xr:uid="{7DF53811-ECB8-4199-AB57-2A3BF410D3B6}"/>
    <cellStyle name="Comma 3 5 5 9 3" xfId="22301" xr:uid="{1AC471EF-5444-4E5E-AFD0-28BFED3DCD76}"/>
    <cellStyle name="Comma 3 5 6" xfId="293" xr:uid="{E039E88B-F7E4-4653-AADE-5C768A410729}"/>
    <cellStyle name="Comma 3 5 6 10" xfId="36801" xr:uid="{DA34958F-FB4C-48F6-925B-A112F6D11878}"/>
    <cellStyle name="Comma 3 5 6 11" xfId="18547" xr:uid="{BB0929A7-6772-45CD-901B-9391188CB1D5}"/>
    <cellStyle name="Comma 3 5 6 2" xfId="3213" xr:uid="{DDC9A07A-D832-4E03-8596-3D2A9B990EB3}"/>
    <cellStyle name="Comma 3 5 6 2 2" xfId="17813" xr:uid="{A762A3C2-1411-4DB5-8BD6-41B35F14A445}"/>
    <cellStyle name="Comma 3 5 6 2 2 2" xfId="54321" xr:uid="{0DB6B489-BEB2-4E78-A78A-88E174C13828}"/>
    <cellStyle name="Comma 3 5 6 2 2 3" xfId="36067" xr:uid="{C95650A0-D0B5-45F3-AD3C-5000D95C52F0}"/>
    <cellStyle name="Comma 3 5 6 2 3" xfId="14163" xr:uid="{5D9A5EEE-9AAE-44CC-B78D-E0BD5F2054A0}"/>
    <cellStyle name="Comma 3 5 6 2 3 2" xfId="50671" xr:uid="{C4282C49-8D2A-4625-B241-99FC43402F7B}"/>
    <cellStyle name="Comma 3 5 6 2 3 3" xfId="32417" xr:uid="{3A428FD6-2B61-49AA-93A2-1D86F7AB8B40}"/>
    <cellStyle name="Comma 3 5 6 2 4" xfId="10513" xr:uid="{BA7C0C01-35D0-4DA6-9A14-A74E747B9CC3}"/>
    <cellStyle name="Comma 3 5 6 2 4 2" xfId="47021" xr:uid="{F92B8B40-2DE5-45EB-81BD-1EB39CD986F7}"/>
    <cellStyle name="Comma 3 5 6 2 4 3" xfId="28767" xr:uid="{6D6778B2-2642-49F3-91D2-0336842BCA09}"/>
    <cellStyle name="Comma 3 5 6 2 5" xfId="6863" xr:uid="{01E1DC45-04D1-4965-8F4A-6D230A84318F}"/>
    <cellStyle name="Comma 3 5 6 2 5 2" xfId="43371" xr:uid="{8B9AD8B7-66AC-40F7-A510-3A7A602D7C88}"/>
    <cellStyle name="Comma 3 5 6 2 5 3" xfId="25117" xr:uid="{F2C72C72-9AA2-4BC2-A7E4-F210E1A2BABC}"/>
    <cellStyle name="Comma 3 5 6 2 6" xfId="39721" xr:uid="{923A12B2-D01A-4CF1-8011-8075671E53E2}"/>
    <cellStyle name="Comma 3 5 6 2 7" xfId="21467" xr:uid="{D8A249A4-A48D-4063-BEF9-C99ED907C249}"/>
    <cellStyle name="Comma 3 5 6 3" xfId="2483" xr:uid="{E526D2C5-BFD7-4B69-9C48-1E03B1222523}"/>
    <cellStyle name="Comma 3 5 6 3 2" xfId="17083" xr:uid="{017AE556-4F6E-482B-953D-69F975DDBEE1}"/>
    <cellStyle name="Comma 3 5 6 3 2 2" xfId="53591" xr:uid="{2B266D90-078C-4F47-8D84-200515FAAB94}"/>
    <cellStyle name="Comma 3 5 6 3 2 3" xfId="35337" xr:uid="{A5AA62B3-FF4A-4F35-BBD6-7F1D9F0C7735}"/>
    <cellStyle name="Comma 3 5 6 3 3" xfId="13433" xr:uid="{0454F105-A70B-4A66-ADC6-A969D308A932}"/>
    <cellStyle name="Comma 3 5 6 3 3 2" xfId="49941" xr:uid="{4A9B23CC-7B2F-4D5D-B4CF-2903EAF4059B}"/>
    <cellStyle name="Comma 3 5 6 3 3 3" xfId="31687" xr:uid="{8C7A0A44-6596-457C-ABC8-E3F9730B156D}"/>
    <cellStyle name="Comma 3 5 6 3 4" xfId="9783" xr:uid="{500113F3-669C-4249-91E5-1C17168666AB}"/>
    <cellStyle name="Comma 3 5 6 3 4 2" xfId="46291" xr:uid="{D5AFDE81-C952-4C07-8FF5-94B2844CF96F}"/>
    <cellStyle name="Comma 3 5 6 3 4 3" xfId="28037" xr:uid="{F04C9F15-08A5-4F91-ACA2-10503A2612AC}"/>
    <cellStyle name="Comma 3 5 6 3 5" xfId="6133" xr:uid="{D3C1111D-0A2D-4649-B520-79EBFB2D4B16}"/>
    <cellStyle name="Comma 3 5 6 3 5 2" xfId="42641" xr:uid="{0FF8DE8D-F153-4E3E-A140-E87C7CF56685}"/>
    <cellStyle name="Comma 3 5 6 3 5 3" xfId="24387" xr:uid="{63111F00-C34C-478D-8CDF-8B3820A86480}"/>
    <cellStyle name="Comma 3 5 6 3 6" xfId="38991" xr:uid="{067B744D-841A-4835-BDC5-E337662D1B82}"/>
    <cellStyle name="Comma 3 5 6 3 7" xfId="20737" xr:uid="{BFF4F1F9-2945-4BAC-93E8-44D3123D906F}"/>
    <cellStyle name="Comma 3 5 6 4" xfId="1753" xr:uid="{D2D4A882-C32D-4B87-8156-1CE760788143}"/>
    <cellStyle name="Comma 3 5 6 4 2" xfId="16353" xr:uid="{05153FC1-75C8-46EF-A493-5158CE163C80}"/>
    <cellStyle name="Comma 3 5 6 4 2 2" xfId="52861" xr:uid="{D3DB4CD0-18C6-4448-AD8A-F5129439E2B0}"/>
    <cellStyle name="Comma 3 5 6 4 2 3" xfId="34607" xr:uid="{AA42938D-C7C7-43CB-946B-F8C48EA45AB1}"/>
    <cellStyle name="Comma 3 5 6 4 3" xfId="12703" xr:uid="{B33ECF00-B609-4216-AE2C-98D3FC3EA6BB}"/>
    <cellStyle name="Comma 3 5 6 4 3 2" xfId="49211" xr:uid="{A471E921-847F-4F1C-B060-3AA2B9B52C03}"/>
    <cellStyle name="Comma 3 5 6 4 3 3" xfId="30957" xr:uid="{4DFEFB8B-52AB-4290-8D82-F9C542348890}"/>
    <cellStyle name="Comma 3 5 6 4 4" xfId="9053" xr:uid="{F8C9A17E-2846-41AF-8FE9-3D233CB5F4B1}"/>
    <cellStyle name="Comma 3 5 6 4 4 2" xfId="45561" xr:uid="{7CC9537F-98B5-4AAE-BFBA-2DC561374078}"/>
    <cellStyle name="Comma 3 5 6 4 4 3" xfId="27307" xr:uid="{9824FA15-BEF7-4662-A70C-756F3BDFB6A4}"/>
    <cellStyle name="Comma 3 5 6 4 5" xfId="5403" xr:uid="{7B4F3005-F84C-453A-A692-ED8CC6EB2C86}"/>
    <cellStyle name="Comma 3 5 6 4 5 2" xfId="41911" xr:uid="{A5C0575F-A2C1-4E3C-8E8C-679F52503653}"/>
    <cellStyle name="Comma 3 5 6 4 5 3" xfId="23657" xr:uid="{E420F09B-2034-4724-8CCB-24DAE844C524}"/>
    <cellStyle name="Comma 3 5 6 4 6" xfId="38261" xr:uid="{2033B45B-DD24-4BE0-82C6-7B9B93C548AA}"/>
    <cellStyle name="Comma 3 5 6 4 7" xfId="20007" xr:uid="{B13D5085-A6C5-4571-9902-4D90215403FF}"/>
    <cellStyle name="Comma 3 5 6 5" xfId="1023" xr:uid="{F4304A56-6739-432B-A50B-EEE7BF24C34E}"/>
    <cellStyle name="Comma 3 5 6 5 2" xfId="15623" xr:uid="{F52E23BD-EE6F-4431-AB78-55F17C2E8F56}"/>
    <cellStyle name="Comma 3 5 6 5 2 2" xfId="52131" xr:uid="{448BAF48-2087-4FA1-A947-73ECD2813D65}"/>
    <cellStyle name="Comma 3 5 6 5 2 3" xfId="33877" xr:uid="{D1D55718-609E-4BF8-BE83-86887CE07B31}"/>
    <cellStyle name="Comma 3 5 6 5 3" xfId="11973" xr:uid="{C50BBD8A-E93B-4A95-B09F-F169C90A1711}"/>
    <cellStyle name="Comma 3 5 6 5 3 2" xfId="48481" xr:uid="{B709A15F-3AC9-47C7-AE5A-757E636FED8D}"/>
    <cellStyle name="Comma 3 5 6 5 3 3" xfId="30227" xr:uid="{36AA6476-31BD-4332-BB3B-1DC6446D52A0}"/>
    <cellStyle name="Comma 3 5 6 5 4" xfId="8323" xr:uid="{7F17CE28-5780-4191-8ACE-AE4EE7846E7A}"/>
    <cellStyle name="Comma 3 5 6 5 4 2" xfId="44831" xr:uid="{50DC4C59-8110-4859-9966-ED8890F41979}"/>
    <cellStyle name="Comma 3 5 6 5 4 3" xfId="26577" xr:uid="{53A67DFC-F006-482D-9DFB-19DF5D4EEBE0}"/>
    <cellStyle name="Comma 3 5 6 5 5" xfId="4673" xr:uid="{03F088E3-D23B-4AC8-AA72-F6E5407BD61C}"/>
    <cellStyle name="Comma 3 5 6 5 5 2" xfId="41181" xr:uid="{77D95F22-5EAE-414A-81A1-955DBC25CD2B}"/>
    <cellStyle name="Comma 3 5 6 5 5 3" xfId="22927" xr:uid="{B97BDA45-17B6-4598-9C3F-2794CF812B90}"/>
    <cellStyle name="Comma 3 5 6 5 6" xfId="37531" xr:uid="{DA26D552-4EF0-4C61-80A0-004CEDABAC5D}"/>
    <cellStyle name="Comma 3 5 6 5 7" xfId="19277" xr:uid="{0B7A3969-C00E-45DC-845F-B9DEB6469AC1}"/>
    <cellStyle name="Comma 3 5 6 6" xfId="14893" xr:uid="{3586AFD6-3138-45E7-9154-86B0C4ACFAEF}"/>
    <cellStyle name="Comma 3 5 6 6 2" xfId="51401" xr:uid="{A3C7671F-F142-45A0-98CA-C252E1EE8C55}"/>
    <cellStyle name="Comma 3 5 6 6 3" xfId="33147" xr:uid="{0CE44504-2369-4DCB-AD41-A7EEE07F6870}"/>
    <cellStyle name="Comma 3 5 6 7" xfId="11243" xr:uid="{22124FFD-119D-4425-AC4C-B4220AFC8FF9}"/>
    <cellStyle name="Comma 3 5 6 7 2" xfId="47751" xr:uid="{89D6B512-81EC-46D2-906F-8074E3D19401}"/>
    <cellStyle name="Comma 3 5 6 7 3" xfId="29497" xr:uid="{2143650F-B0F9-4D6B-B72C-59005A17CD70}"/>
    <cellStyle name="Comma 3 5 6 8" xfId="7593" xr:uid="{DF0FF5D7-6739-48C7-94D4-56C4A5C3341C}"/>
    <cellStyle name="Comma 3 5 6 8 2" xfId="44101" xr:uid="{6AB555F5-61EA-4380-AB17-C87A638AABBC}"/>
    <cellStyle name="Comma 3 5 6 8 3" xfId="25847" xr:uid="{AD66B84A-6487-40E6-A063-93F0A89F28E7}"/>
    <cellStyle name="Comma 3 5 6 9" xfId="3943" xr:uid="{0600ADB8-27E9-47DA-BBDF-D358CC333A58}"/>
    <cellStyle name="Comma 3 5 6 9 2" xfId="40451" xr:uid="{7C9609F2-E177-44CF-8932-B0AE66E1651B}"/>
    <cellStyle name="Comma 3 5 6 9 3" xfId="22197" xr:uid="{9098B577-8473-4792-8F17-3C4BB39881B8}"/>
    <cellStyle name="Comma 3 5 7" xfId="189" xr:uid="{65CFC892-02A8-4C95-BBF1-1C9192DABF34}"/>
    <cellStyle name="Comma 3 5 7 10" xfId="36697" xr:uid="{195F7453-BF0D-430D-950F-518AC4ABD66A}"/>
    <cellStyle name="Comma 3 5 7 11" xfId="18443" xr:uid="{E111293F-EB87-484F-AED7-3F6856D9B9FB}"/>
    <cellStyle name="Comma 3 5 7 2" xfId="3109" xr:uid="{93178BBA-E473-4FDE-9370-3ECC80DBBFA5}"/>
    <cellStyle name="Comma 3 5 7 2 2" xfId="17709" xr:uid="{88CA2A91-C259-492A-9637-6A4CF1551437}"/>
    <cellStyle name="Comma 3 5 7 2 2 2" xfId="54217" xr:uid="{559AF21A-8989-4098-8960-0EC69BE8923A}"/>
    <cellStyle name="Comma 3 5 7 2 2 3" xfId="35963" xr:uid="{603C56F1-F2BD-49BC-A35D-E1B43392DE3A}"/>
    <cellStyle name="Comma 3 5 7 2 3" xfId="14059" xr:uid="{9D3BF1CF-7A84-40AF-ADDD-22233E07A5C2}"/>
    <cellStyle name="Comma 3 5 7 2 3 2" xfId="50567" xr:uid="{1290A990-27F5-4F92-9115-DF67F9D49BD2}"/>
    <cellStyle name="Comma 3 5 7 2 3 3" xfId="32313" xr:uid="{508684B5-DF66-4012-9754-E88EF002647A}"/>
    <cellStyle name="Comma 3 5 7 2 4" xfId="10409" xr:uid="{BF9AF804-EE29-40F7-97E7-366C378AD1DA}"/>
    <cellStyle name="Comma 3 5 7 2 4 2" xfId="46917" xr:uid="{7F1863AA-41A2-48E9-8028-FC4E95D596DB}"/>
    <cellStyle name="Comma 3 5 7 2 4 3" xfId="28663" xr:uid="{96425C56-9687-4E95-BD09-ED427F8A40BC}"/>
    <cellStyle name="Comma 3 5 7 2 5" xfId="6759" xr:uid="{A5EE6CFB-3640-492F-8867-D65DF0477BD8}"/>
    <cellStyle name="Comma 3 5 7 2 5 2" xfId="43267" xr:uid="{0ABE9784-1B6F-4E3A-8368-3B883966F782}"/>
    <cellStyle name="Comma 3 5 7 2 5 3" xfId="25013" xr:uid="{43393EB0-2DF0-4A72-9E2C-739F4FDDB17E}"/>
    <cellStyle name="Comma 3 5 7 2 6" xfId="39617" xr:uid="{9044E17F-CB22-49E3-A382-E4D282C1D636}"/>
    <cellStyle name="Comma 3 5 7 2 7" xfId="21363" xr:uid="{D49716AC-378F-43C3-9485-8FF37D21D5C3}"/>
    <cellStyle name="Comma 3 5 7 3" xfId="2379" xr:uid="{EC652867-EF14-4382-918A-89296FB15407}"/>
    <cellStyle name="Comma 3 5 7 3 2" xfId="16979" xr:uid="{9A28EFB8-7814-4C71-B558-27B84B74F6B7}"/>
    <cellStyle name="Comma 3 5 7 3 2 2" xfId="53487" xr:uid="{205DF92F-F0AC-4D9B-B24D-57A1A8F018D5}"/>
    <cellStyle name="Comma 3 5 7 3 2 3" xfId="35233" xr:uid="{486483B0-AD24-4AD0-8BDC-5D57D58A1C3F}"/>
    <cellStyle name="Comma 3 5 7 3 3" xfId="13329" xr:uid="{A8F75906-310A-4F8E-84AB-E825444329B8}"/>
    <cellStyle name="Comma 3 5 7 3 3 2" xfId="49837" xr:uid="{03DA7FC2-6A19-4F12-A55D-DCF70D0D7AD3}"/>
    <cellStyle name="Comma 3 5 7 3 3 3" xfId="31583" xr:uid="{72571361-8409-4788-A7D6-0C9BF72CFD7F}"/>
    <cellStyle name="Comma 3 5 7 3 4" xfId="9679" xr:uid="{CBB625E7-0335-40CB-B8A5-42C337E03109}"/>
    <cellStyle name="Comma 3 5 7 3 4 2" xfId="46187" xr:uid="{CADE0A61-6BC2-4433-B769-7AB2CD618C35}"/>
    <cellStyle name="Comma 3 5 7 3 4 3" xfId="27933" xr:uid="{9FFFB299-E7B9-4758-910A-4B6C6A2B295F}"/>
    <cellStyle name="Comma 3 5 7 3 5" xfId="6029" xr:uid="{832EDE0D-5B21-44FA-8F2B-94A92C72DABF}"/>
    <cellStyle name="Comma 3 5 7 3 5 2" xfId="42537" xr:uid="{69C82E40-DAA5-4E67-BB7A-2916B9BF925E}"/>
    <cellStyle name="Comma 3 5 7 3 5 3" xfId="24283" xr:uid="{DAF7C8F9-0682-4C3D-8BD3-35D112F2D31A}"/>
    <cellStyle name="Comma 3 5 7 3 6" xfId="38887" xr:uid="{2AC5FD9B-FF18-4836-B8E3-6A880A21B325}"/>
    <cellStyle name="Comma 3 5 7 3 7" xfId="20633" xr:uid="{AB14B8E3-84B3-4EBE-94C3-5587A0A9C3D0}"/>
    <cellStyle name="Comma 3 5 7 4" xfId="1649" xr:uid="{CF00026C-BD05-4911-861C-FD20AB8F992C}"/>
    <cellStyle name="Comma 3 5 7 4 2" xfId="16249" xr:uid="{26C133E0-CBC7-49AE-8A52-892246994610}"/>
    <cellStyle name="Comma 3 5 7 4 2 2" xfId="52757" xr:uid="{BA0172E2-DCE0-417D-9D2C-50BE37D0CDBF}"/>
    <cellStyle name="Comma 3 5 7 4 2 3" xfId="34503" xr:uid="{FA090627-D26A-49D4-A914-4E7C4A0EE797}"/>
    <cellStyle name="Comma 3 5 7 4 3" xfId="12599" xr:uid="{977137D3-53A0-4A57-853B-0793677BA925}"/>
    <cellStyle name="Comma 3 5 7 4 3 2" xfId="49107" xr:uid="{C7FBD146-4FE2-4886-A7B7-5DC66DBFE0A1}"/>
    <cellStyle name="Comma 3 5 7 4 3 3" xfId="30853" xr:uid="{325613B6-79C7-4519-AFEB-9AFB34E37B19}"/>
    <cellStyle name="Comma 3 5 7 4 4" xfId="8949" xr:uid="{5D238002-8232-4FF8-80E2-EEC4F98171A9}"/>
    <cellStyle name="Comma 3 5 7 4 4 2" xfId="45457" xr:uid="{F8849506-C1D4-4DCA-917A-9615E492B747}"/>
    <cellStyle name="Comma 3 5 7 4 4 3" xfId="27203" xr:uid="{DE03D5DA-C358-44A5-A332-2F2BF6984F5E}"/>
    <cellStyle name="Comma 3 5 7 4 5" xfId="5299" xr:uid="{818A6384-EC00-4349-8F9B-952AD232F654}"/>
    <cellStyle name="Comma 3 5 7 4 5 2" xfId="41807" xr:uid="{2EAD8FEB-C4A8-485C-99E7-8ECD98E40A1F}"/>
    <cellStyle name="Comma 3 5 7 4 5 3" xfId="23553" xr:uid="{543B7039-FB63-4C53-BFFF-85F590172D52}"/>
    <cellStyle name="Comma 3 5 7 4 6" xfId="38157" xr:uid="{23995D39-456D-4EFA-ABB5-20317BD7B941}"/>
    <cellStyle name="Comma 3 5 7 4 7" xfId="19903" xr:uid="{785E37EE-D2A7-4B13-8298-99A95656C055}"/>
    <cellStyle name="Comma 3 5 7 5" xfId="919" xr:uid="{9012C8F7-F68A-4B1F-8D6B-D3671979A420}"/>
    <cellStyle name="Comma 3 5 7 5 2" xfId="15519" xr:uid="{94BE2EE7-768A-46A5-88C5-5B6B97808A90}"/>
    <cellStyle name="Comma 3 5 7 5 2 2" xfId="52027" xr:uid="{E51F50B2-A4DE-4568-A6C3-9391002B36C8}"/>
    <cellStyle name="Comma 3 5 7 5 2 3" xfId="33773" xr:uid="{349ADA52-10EC-44DC-8200-9DE9B43E8CEC}"/>
    <cellStyle name="Comma 3 5 7 5 3" xfId="11869" xr:uid="{6CABEA51-232C-496A-960C-DD84806A1B9B}"/>
    <cellStyle name="Comma 3 5 7 5 3 2" xfId="48377" xr:uid="{0F88E7BE-3983-4992-B920-1D8EF61ED0FC}"/>
    <cellStyle name="Comma 3 5 7 5 3 3" xfId="30123" xr:uid="{AC046C61-C72E-4552-8DA3-5BDF8E133340}"/>
    <cellStyle name="Comma 3 5 7 5 4" xfId="8219" xr:uid="{E95636A3-DDB0-4AB6-8B20-BDF98DC46FD7}"/>
    <cellStyle name="Comma 3 5 7 5 4 2" xfId="44727" xr:uid="{469737D7-9F5D-4E5A-B28E-2F1BC2957DBA}"/>
    <cellStyle name="Comma 3 5 7 5 4 3" xfId="26473" xr:uid="{30AC6A7E-915B-447A-B1BF-42FBC9E0262E}"/>
    <cellStyle name="Comma 3 5 7 5 5" xfId="4569" xr:uid="{B6C35DCE-F147-4F03-9411-3508313C0B40}"/>
    <cellStyle name="Comma 3 5 7 5 5 2" xfId="41077" xr:uid="{34651508-980E-4C9B-916B-30F8D0E4C69B}"/>
    <cellStyle name="Comma 3 5 7 5 5 3" xfId="22823" xr:uid="{1CE168A3-225E-4A4C-86DD-A6D6894DC895}"/>
    <cellStyle name="Comma 3 5 7 5 6" xfId="37427" xr:uid="{30E81BE3-6EAB-47FF-8A9A-8DAA139A2041}"/>
    <cellStyle name="Comma 3 5 7 5 7" xfId="19173" xr:uid="{73D9AD74-05A8-4122-B8F6-A7BE75E7582B}"/>
    <cellStyle name="Comma 3 5 7 6" xfId="14789" xr:uid="{862747B7-783D-4709-A73E-9A22609F3E27}"/>
    <cellStyle name="Comma 3 5 7 6 2" xfId="51297" xr:uid="{4B19D6EA-55D7-43FD-8D93-88D32D1A25FD}"/>
    <cellStyle name="Comma 3 5 7 6 3" xfId="33043" xr:uid="{18952301-D6D0-4CF0-B042-0C16E6B0E70F}"/>
    <cellStyle name="Comma 3 5 7 7" xfId="11139" xr:uid="{F831518F-11EE-45D4-87FF-6FAA23D64416}"/>
    <cellStyle name="Comma 3 5 7 7 2" xfId="47647" xr:uid="{12D05375-6B9B-41FB-9443-10C50D0DF6B2}"/>
    <cellStyle name="Comma 3 5 7 7 3" xfId="29393" xr:uid="{667C3385-3FEA-4084-8324-86F10348D2F0}"/>
    <cellStyle name="Comma 3 5 7 8" xfId="7489" xr:uid="{26E5E22E-2D6B-4590-BEE5-ED6D6612229A}"/>
    <cellStyle name="Comma 3 5 7 8 2" xfId="43997" xr:uid="{54F090A9-833D-4FFE-B7F7-DF74345B5E8C}"/>
    <cellStyle name="Comma 3 5 7 8 3" xfId="25743" xr:uid="{78141415-8B89-4730-B009-3CC916DF1818}"/>
    <cellStyle name="Comma 3 5 7 9" xfId="3839" xr:uid="{E9824FF2-F14C-4498-BA60-6D3ECE77B861}"/>
    <cellStyle name="Comma 3 5 7 9 2" xfId="40347" xr:uid="{B46C5356-2A42-439A-82A9-B2D754E3030F}"/>
    <cellStyle name="Comma 3 5 7 9 3" xfId="22093" xr:uid="{08538F4D-1AB8-4D14-BD06-AA706D670761}"/>
    <cellStyle name="Comma 3 5 8" xfId="3005" xr:uid="{A453DE63-678A-4072-B0D1-6AE58C2DBB64}"/>
    <cellStyle name="Comma 3 5 8 2" xfId="17605" xr:uid="{AE4237BB-583A-4E8F-9ED5-AD56F79B3876}"/>
    <cellStyle name="Comma 3 5 8 2 2" xfId="54113" xr:uid="{E2E56B34-7EFA-46F9-BB37-6A0A402FBE69}"/>
    <cellStyle name="Comma 3 5 8 2 3" xfId="35859" xr:uid="{DAA5ABB3-2EF5-436F-9491-65AA94CF0CD0}"/>
    <cellStyle name="Comma 3 5 8 3" xfId="13955" xr:uid="{01F6251C-6DF9-4554-920F-6A71CCC877AA}"/>
    <cellStyle name="Comma 3 5 8 3 2" xfId="50463" xr:uid="{319ED948-8549-452A-9B9C-2C6C64242C1F}"/>
    <cellStyle name="Comma 3 5 8 3 3" xfId="32209" xr:uid="{25F9F34F-74DC-42BC-9BF3-070D583D41FF}"/>
    <cellStyle name="Comma 3 5 8 4" xfId="10305" xr:uid="{9FD87623-9A8A-474D-B236-ACC03E73F3B4}"/>
    <cellStyle name="Comma 3 5 8 4 2" xfId="46813" xr:uid="{6692788D-28E8-4199-B686-287824CB68E1}"/>
    <cellStyle name="Comma 3 5 8 4 3" xfId="28559" xr:uid="{89790DE4-F7AB-4E18-A5A8-5605B953A7C6}"/>
    <cellStyle name="Comma 3 5 8 5" xfId="6655" xr:uid="{068D4FAA-7D42-4188-A4A0-CAD3D3804F88}"/>
    <cellStyle name="Comma 3 5 8 5 2" xfId="43163" xr:uid="{7951F44B-E8A7-490D-9594-C4A0D323B219}"/>
    <cellStyle name="Comma 3 5 8 5 3" xfId="24909" xr:uid="{C23187EF-24D4-4C6B-AE44-5D657EB20979}"/>
    <cellStyle name="Comma 3 5 8 6" xfId="39513" xr:uid="{6CF52213-B287-4FF9-9610-06B7BD46176C}"/>
    <cellStyle name="Comma 3 5 8 7" xfId="21259" xr:uid="{321161FC-2DAB-4424-A588-A66EBBE75704}"/>
    <cellStyle name="Comma 3 5 9" xfId="2275" xr:uid="{CA140EA8-5301-4D1E-A6F1-14116F78D706}"/>
    <cellStyle name="Comma 3 5 9 2" xfId="16875" xr:uid="{4B686AFF-D236-4A5B-B615-DB080F17ED26}"/>
    <cellStyle name="Comma 3 5 9 2 2" xfId="53383" xr:uid="{D48AAA58-E71D-4137-B855-6E192769987A}"/>
    <cellStyle name="Comma 3 5 9 2 3" xfId="35129" xr:uid="{5FB65772-3BA0-493F-AA68-05D5D6DA482B}"/>
    <cellStyle name="Comma 3 5 9 3" xfId="13225" xr:uid="{51777AEC-8A46-462D-9513-F2AE3F26CD13}"/>
    <cellStyle name="Comma 3 5 9 3 2" xfId="49733" xr:uid="{E39F3A06-0532-41E1-8F6C-81BC40A791AF}"/>
    <cellStyle name="Comma 3 5 9 3 3" xfId="31479" xr:uid="{87F165EB-4C77-46F6-81A9-13705932097C}"/>
    <cellStyle name="Comma 3 5 9 4" xfId="9575" xr:uid="{27115BE1-5A75-4F80-8BFB-FED758DE4C7F}"/>
    <cellStyle name="Comma 3 5 9 4 2" xfId="46083" xr:uid="{CB7DF162-C8FE-4AF2-A3B9-D454109020A9}"/>
    <cellStyle name="Comma 3 5 9 4 3" xfId="27829" xr:uid="{D11D970E-AAFE-415D-8AB8-27A2B4356CEA}"/>
    <cellStyle name="Comma 3 5 9 5" xfId="5925" xr:uid="{FAA189EE-3B39-4233-A348-B5250F280846}"/>
    <cellStyle name="Comma 3 5 9 5 2" xfId="42433" xr:uid="{ED1B2CC2-CB35-4EE3-B8A7-691FF38D842A}"/>
    <cellStyle name="Comma 3 5 9 5 3" xfId="24179" xr:uid="{F017F383-C255-49DF-996A-B3098645DC47}"/>
    <cellStyle name="Comma 3 5 9 6" xfId="38783" xr:uid="{CC6AD17A-5D5B-43C7-BB6C-25DF62B7F22F}"/>
    <cellStyle name="Comma 3 5 9 7" xfId="20529" xr:uid="{C5614BD7-71A6-47AA-B247-4589E68BBF8B}"/>
    <cellStyle name="Comma 3 6" xfId="47" xr:uid="{2D1C9BC0-2F44-48B4-83C3-3875F8472E11}"/>
    <cellStyle name="Comma 3 6 10" xfId="1513" xr:uid="{BE6F239F-B155-4D51-8DEA-E59852E41AA3}"/>
    <cellStyle name="Comma 3 6 10 2" xfId="16113" xr:uid="{AF0CF188-E7B2-4978-B62B-852368A296AB}"/>
    <cellStyle name="Comma 3 6 10 2 2" xfId="52621" xr:uid="{F1A1AC2F-28F2-49F0-B2FC-C65FD90C4178}"/>
    <cellStyle name="Comma 3 6 10 2 3" xfId="34367" xr:uid="{EC6AD0E6-426E-42C9-B72F-F18DF81D654F}"/>
    <cellStyle name="Comma 3 6 10 3" xfId="12463" xr:uid="{FD572DBC-569F-4DE4-9FC2-A78EDA2C75A0}"/>
    <cellStyle name="Comma 3 6 10 3 2" xfId="48971" xr:uid="{93696F96-D790-4DF6-8A8E-39C1240F69E5}"/>
    <cellStyle name="Comma 3 6 10 3 3" xfId="30717" xr:uid="{045D7AC2-1831-4407-8127-4D178A7AC87A}"/>
    <cellStyle name="Comma 3 6 10 4" xfId="8813" xr:uid="{8CE7A1E9-1494-4306-AEF6-5E1C63183D2A}"/>
    <cellStyle name="Comma 3 6 10 4 2" xfId="45321" xr:uid="{A580F6C5-AA4A-4D14-8076-AFC59B2A91DF}"/>
    <cellStyle name="Comma 3 6 10 4 3" xfId="27067" xr:uid="{F975247E-10A3-4978-A30B-6D87A841FB3F}"/>
    <cellStyle name="Comma 3 6 10 5" xfId="5163" xr:uid="{9A9D99A2-733C-4E4C-8DB3-B14B76D71F60}"/>
    <cellStyle name="Comma 3 6 10 5 2" xfId="41671" xr:uid="{94E3DA9E-DB4C-416E-AC31-0A6CF45A7A09}"/>
    <cellStyle name="Comma 3 6 10 5 3" xfId="23417" xr:uid="{F710CA14-E34A-4749-A691-160B5A9E48C1}"/>
    <cellStyle name="Comma 3 6 10 6" xfId="38021" xr:uid="{0FEA60CB-8CEF-46B0-B753-1A4060F8DCEA}"/>
    <cellStyle name="Comma 3 6 10 7" xfId="19767" xr:uid="{93F88B19-2B3C-4379-A7D2-AD94BEC007D0}"/>
    <cellStyle name="Comma 3 6 11" xfId="783" xr:uid="{7100B3F1-DC91-45B9-B6BD-C1F56146FE5E}"/>
    <cellStyle name="Comma 3 6 11 2" xfId="15383" xr:uid="{F046889B-C049-4134-B54D-DE0579D4D915}"/>
    <cellStyle name="Comma 3 6 11 2 2" xfId="51891" xr:uid="{C37B39E4-096B-4A1C-BB6C-FADCFD203439}"/>
    <cellStyle name="Comma 3 6 11 2 3" xfId="33637" xr:uid="{F7D8A65F-365F-464C-BC60-6F15CFBD234E}"/>
    <cellStyle name="Comma 3 6 11 3" xfId="11733" xr:uid="{9248ECEC-A02C-48C7-9D92-E38A0A80E739}"/>
    <cellStyle name="Comma 3 6 11 3 2" xfId="48241" xr:uid="{869452FF-4FFE-4837-A08C-9139982C4116}"/>
    <cellStyle name="Comma 3 6 11 3 3" xfId="29987" xr:uid="{6F181D56-A8F1-4468-8A26-B78BCFD98DDA}"/>
    <cellStyle name="Comma 3 6 11 4" xfId="8083" xr:uid="{DB6DDA0A-A75E-43CE-AD9F-1FDD9C4BF742}"/>
    <cellStyle name="Comma 3 6 11 4 2" xfId="44591" xr:uid="{7B991597-54B1-4B0D-84E7-23A446768784}"/>
    <cellStyle name="Comma 3 6 11 4 3" xfId="26337" xr:uid="{642B9F02-83B1-4DD4-ABFD-5A9A3352884E}"/>
    <cellStyle name="Comma 3 6 11 5" xfId="4433" xr:uid="{B4455E4F-DDAF-4762-87BC-BC43ED03EA8A}"/>
    <cellStyle name="Comma 3 6 11 5 2" xfId="40941" xr:uid="{2E2080F4-CC89-4DB8-BD15-BC4B3A7ADA83}"/>
    <cellStyle name="Comma 3 6 11 5 3" xfId="22687" xr:uid="{4C055D60-EAAF-4F6D-85CA-3500B4E8E70E}"/>
    <cellStyle name="Comma 3 6 11 6" xfId="37291" xr:uid="{09C0D66E-7E7B-46EC-9642-F97CE7A72168}"/>
    <cellStyle name="Comma 3 6 11 7" xfId="19037" xr:uid="{FB47B6F3-FF96-4916-B5B0-0254A5ED93B3}"/>
    <cellStyle name="Comma 3 6 12" xfId="14653" xr:uid="{9F8F79EF-67E0-4684-97F2-747E545A13FD}"/>
    <cellStyle name="Comma 3 6 12 2" xfId="51161" xr:uid="{016091D2-49F6-4B0A-BB62-76878BA23080}"/>
    <cellStyle name="Comma 3 6 12 3" xfId="32907" xr:uid="{8B2842A5-8EE9-4987-8565-A18EB4C11313}"/>
    <cellStyle name="Comma 3 6 13" xfId="11003" xr:uid="{B2DEF9F5-287D-4C8C-98C6-95A1D330E328}"/>
    <cellStyle name="Comma 3 6 13 2" xfId="47511" xr:uid="{DACA11A9-E926-4A5C-8DD2-6877C987D88F}"/>
    <cellStyle name="Comma 3 6 13 3" xfId="29257" xr:uid="{879733C7-C721-481F-B67F-C4E76375E249}"/>
    <cellStyle name="Comma 3 6 14" xfId="7353" xr:uid="{C72E2A02-8003-4073-9BDB-192D04525CA0}"/>
    <cellStyle name="Comma 3 6 14 2" xfId="43861" xr:uid="{F831A380-05CC-408C-9453-5221CBEFD9B8}"/>
    <cellStyle name="Comma 3 6 14 3" xfId="25607" xr:uid="{286834AB-9BE1-4170-A5BB-0F89F95C3F0F}"/>
    <cellStyle name="Comma 3 6 15" xfId="3703" xr:uid="{D4596EA7-F840-402B-9FF4-20C7570F719B}"/>
    <cellStyle name="Comma 3 6 15 2" xfId="40211" xr:uid="{3EDBC037-85CF-49CF-9671-3B874B299F39}"/>
    <cellStyle name="Comma 3 6 15 3" xfId="21957" xr:uid="{49E5BFE9-3C7F-4727-9A74-F64C7938C3D0}"/>
    <cellStyle name="Comma 3 6 16" xfId="36561" xr:uid="{530BE845-0449-40F6-B1D7-90EC37DA60E0}"/>
    <cellStyle name="Comma 3 6 17" xfId="18307" xr:uid="{738F8A69-DD48-485D-AA06-B8C2AA168809}"/>
    <cellStyle name="Comma 3 6 2" xfId="677" xr:uid="{6B9536F6-F6FD-45AB-BC41-2BC9435F07D5}"/>
    <cellStyle name="Comma 3 6 2 10" xfId="37185" xr:uid="{68EEA695-9EA6-4F9E-8958-0288A1D1A5FF}"/>
    <cellStyle name="Comma 3 6 2 11" xfId="18931" xr:uid="{B600FDB3-1AF4-4520-930F-956334A1C84C}"/>
    <cellStyle name="Comma 3 6 2 2" xfId="3597" xr:uid="{63BE918A-4EE0-4195-AD7A-5DFA6DA21169}"/>
    <cellStyle name="Comma 3 6 2 2 2" xfId="18197" xr:uid="{020AE1D7-C2DE-41A4-8C7C-4A57DE076A2B}"/>
    <cellStyle name="Comma 3 6 2 2 2 2" xfId="54705" xr:uid="{5A478458-5302-4B94-9007-F196A4949D16}"/>
    <cellStyle name="Comma 3 6 2 2 2 3" xfId="36451" xr:uid="{A4171840-94FA-43A6-B225-77ADCF4A33ED}"/>
    <cellStyle name="Comma 3 6 2 2 3" xfId="14547" xr:uid="{9A6614D7-B13E-4C2D-A7C6-831F64E36E73}"/>
    <cellStyle name="Comma 3 6 2 2 3 2" xfId="51055" xr:uid="{6FA33E65-3A91-4794-8C42-0890C05AB43B}"/>
    <cellStyle name="Comma 3 6 2 2 3 3" xfId="32801" xr:uid="{4F9BAA8C-B3A8-440B-8FD7-8C9517FE708B}"/>
    <cellStyle name="Comma 3 6 2 2 4" xfId="10897" xr:uid="{B679A2EC-7FDE-4739-AEF4-8B58C6C950DC}"/>
    <cellStyle name="Comma 3 6 2 2 4 2" xfId="47405" xr:uid="{D20DF68C-EC63-481E-8484-3A8CDC2D4E35}"/>
    <cellStyle name="Comma 3 6 2 2 4 3" xfId="29151" xr:uid="{1FD28A03-0BF8-4337-A503-7F12EB71E8AB}"/>
    <cellStyle name="Comma 3 6 2 2 5" xfId="7247" xr:uid="{12C3A160-32B4-462E-842E-AF73AF20D721}"/>
    <cellStyle name="Comma 3 6 2 2 5 2" xfId="43755" xr:uid="{CBBEDE56-E27F-4058-87BE-6D74B95ACC15}"/>
    <cellStyle name="Comma 3 6 2 2 5 3" xfId="25501" xr:uid="{090C0037-953B-4F05-A19E-A2C2A78571EE}"/>
    <cellStyle name="Comma 3 6 2 2 6" xfId="40105" xr:uid="{1F655C2F-08CE-4834-916A-BCBC221A7782}"/>
    <cellStyle name="Comma 3 6 2 2 7" xfId="21851" xr:uid="{200BE733-D27F-4E0D-9B9D-DA21D4F7440C}"/>
    <cellStyle name="Comma 3 6 2 3" xfId="2867" xr:uid="{B97D76B8-2EC0-4058-BE03-D4551A64D4A0}"/>
    <cellStyle name="Comma 3 6 2 3 2" xfId="17467" xr:uid="{4FE47C6D-76C1-45CD-BBB5-9BAF78176A7B}"/>
    <cellStyle name="Comma 3 6 2 3 2 2" xfId="53975" xr:uid="{84CB0E55-C286-4959-85E3-BEE479380D17}"/>
    <cellStyle name="Comma 3 6 2 3 2 3" xfId="35721" xr:uid="{DBE6D23B-431B-4A5D-AE41-EFF6E578FAD9}"/>
    <cellStyle name="Comma 3 6 2 3 3" xfId="13817" xr:uid="{B13D0E68-8E62-4CA2-96B7-F0BC6B0D27C3}"/>
    <cellStyle name="Comma 3 6 2 3 3 2" xfId="50325" xr:uid="{378CB3D3-65B9-4ABC-8C25-86291A4579DF}"/>
    <cellStyle name="Comma 3 6 2 3 3 3" xfId="32071" xr:uid="{35A81F5D-7A1B-47CF-9BDE-4CA6BC3D30B8}"/>
    <cellStyle name="Comma 3 6 2 3 4" xfId="10167" xr:uid="{5C2BE1C4-1E4C-4117-8828-7AA7D1879DEA}"/>
    <cellStyle name="Comma 3 6 2 3 4 2" xfId="46675" xr:uid="{33E14101-58BD-458F-AC02-EBDFF6F1B863}"/>
    <cellStyle name="Comma 3 6 2 3 4 3" xfId="28421" xr:uid="{5A4B4368-8649-484E-A09F-D7A5F40E8F46}"/>
    <cellStyle name="Comma 3 6 2 3 5" xfId="6517" xr:uid="{45AE8419-0DA8-4D5A-AFAA-D6592509CC9A}"/>
    <cellStyle name="Comma 3 6 2 3 5 2" xfId="43025" xr:uid="{D4A0A4F4-ED98-4A58-8E77-B40F1FBCE92A}"/>
    <cellStyle name="Comma 3 6 2 3 5 3" xfId="24771" xr:uid="{C7200469-9CDF-4273-B130-8A5E9BF3460F}"/>
    <cellStyle name="Comma 3 6 2 3 6" xfId="39375" xr:uid="{4B8617D7-74A7-4447-9A25-932D00FD7CC4}"/>
    <cellStyle name="Comma 3 6 2 3 7" xfId="21121" xr:uid="{EB621D6F-3E15-45A6-BC60-D51DF7A99F2C}"/>
    <cellStyle name="Comma 3 6 2 4" xfId="2137" xr:uid="{17CB1748-D07C-4AFC-936F-9DC9EACED286}"/>
    <cellStyle name="Comma 3 6 2 4 2" xfId="16737" xr:uid="{A6B19FD2-86A9-4056-9403-40D900C0D3DE}"/>
    <cellStyle name="Comma 3 6 2 4 2 2" xfId="53245" xr:uid="{9C855269-22C5-4B4B-833F-C5BA21D43DA8}"/>
    <cellStyle name="Comma 3 6 2 4 2 3" xfId="34991" xr:uid="{90CBEFF0-7FA9-424B-91AA-2C639A1744CC}"/>
    <cellStyle name="Comma 3 6 2 4 3" xfId="13087" xr:uid="{915B83E5-FAE3-4F5E-B2F1-EF9523EA240F}"/>
    <cellStyle name="Comma 3 6 2 4 3 2" xfId="49595" xr:uid="{0376C07B-0311-427E-9999-58F684B02187}"/>
    <cellStyle name="Comma 3 6 2 4 3 3" xfId="31341" xr:uid="{2DB32A5F-70A4-4A20-AA44-5EA2A35F8828}"/>
    <cellStyle name="Comma 3 6 2 4 4" xfId="9437" xr:uid="{330B4532-E218-4D70-9093-ED22BA5C8AB1}"/>
    <cellStyle name="Comma 3 6 2 4 4 2" xfId="45945" xr:uid="{9547AC44-071E-4CD7-8B71-41C4DA36F40C}"/>
    <cellStyle name="Comma 3 6 2 4 4 3" xfId="27691" xr:uid="{EDBF86F4-5C48-4183-93A0-AA7BDFEACADF}"/>
    <cellStyle name="Comma 3 6 2 4 5" xfId="5787" xr:uid="{D835FF17-F73C-47DC-863D-ADA8E7F427C8}"/>
    <cellStyle name="Comma 3 6 2 4 5 2" xfId="42295" xr:uid="{FB6C867E-DD8E-4CF9-98A7-9234DF779ADE}"/>
    <cellStyle name="Comma 3 6 2 4 5 3" xfId="24041" xr:uid="{6C2AF854-5EE0-4ABA-BB79-4DB5528DFA46}"/>
    <cellStyle name="Comma 3 6 2 4 6" xfId="38645" xr:uid="{626461F6-123A-40C6-B853-B3B8A3DF7957}"/>
    <cellStyle name="Comma 3 6 2 4 7" xfId="20391" xr:uid="{335A992F-B455-4BB0-9EAA-1E64FF78DCB1}"/>
    <cellStyle name="Comma 3 6 2 5" xfId="1407" xr:uid="{FF8CD596-8DF6-4A99-BE0D-17DBCA9BCB7A}"/>
    <cellStyle name="Comma 3 6 2 5 2" xfId="16007" xr:uid="{C40FA33D-83F2-40FD-B69D-C62822F89EA9}"/>
    <cellStyle name="Comma 3 6 2 5 2 2" xfId="52515" xr:uid="{8A956A39-E338-4434-8B54-2DE258DB8916}"/>
    <cellStyle name="Comma 3 6 2 5 2 3" xfId="34261" xr:uid="{05225EE7-9BEE-4121-96D0-7ABAFC3AE249}"/>
    <cellStyle name="Comma 3 6 2 5 3" xfId="12357" xr:uid="{33C350C6-6A5D-4494-84A4-44A45DB04375}"/>
    <cellStyle name="Comma 3 6 2 5 3 2" xfId="48865" xr:uid="{45F64571-7120-4276-9B6A-F1E71127DE18}"/>
    <cellStyle name="Comma 3 6 2 5 3 3" xfId="30611" xr:uid="{1FE243CB-6923-4515-A743-9FDDF1030EAF}"/>
    <cellStyle name="Comma 3 6 2 5 4" xfId="8707" xr:uid="{3EBD106F-D88B-48E2-99B2-20563795EF20}"/>
    <cellStyle name="Comma 3 6 2 5 4 2" xfId="45215" xr:uid="{411D8FA9-C560-4354-BB0B-D9A3BF12B1B4}"/>
    <cellStyle name="Comma 3 6 2 5 4 3" xfId="26961" xr:uid="{BE93CB95-93A0-4FEB-8FC4-1418717BA317}"/>
    <cellStyle name="Comma 3 6 2 5 5" xfId="5057" xr:uid="{A51A7915-C60E-403B-8E0C-2A7AA6287758}"/>
    <cellStyle name="Comma 3 6 2 5 5 2" xfId="41565" xr:uid="{16AFEF6F-83A8-4C34-A978-1739F9A1F64F}"/>
    <cellStyle name="Comma 3 6 2 5 5 3" xfId="23311" xr:uid="{4EE875AF-CD3F-4214-82CD-5769F20D737C}"/>
    <cellStyle name="Comma 3 6 2 5 6" xfId="37915" xr:uid="{7C7AA1A8-1D5D-468D-9345-B4A1A968A7D6}"/>
    <cellStyle name="Comma 3 6 2 5 7" xfId="19661" xr:uid="{032A716D-658D-49B8-9187-3CB6F1B2E26F}"/>
    <cellStyle name="Comma 3 6 2 6" xfId="15277" xr:uid="{8109D8F6-5B32-425F-AB7A-D3B59FB29F25}"/>
    <cellStyle name="Comma 3 6 2 6 2" xfId="51785" xr:uid="{D1479CF2-F7DE-4C08-8DA6-2B2145C527F3}"/>
    <cellStyle name="Comma 3 6 2 6 3" xfId="33531" xr:uid="{539CD007-63D7-40F6-A2C9-38EE923B070E}"/>
    <cellStyle name="Comma 3 6 2 7" xfId="11627" xr:uid="{692529D0-C895-48C0-9B24-6AFA09B5EDF5}"/>
    <cellStyle name="Comma 3 6 2 7 2" xfId="48135" xr:uid="{E377F2DF-9002-47F2-A9DC-E054913F6E81}"/>
    <cellStyle name="Comma 3 6 2 7 3" xfId="29881" xr:uid="{B308BDC1-426F-444A-A6E0-DDE22C328CBB}"/>
    <cellStyle name="Comma 3 6 2 8" xfId="7977" xr:uid="{25321342-E762-4DD3-9251-49A867BFBCE3}"/>
    <cellStyle name="Comma 3 6 2 8 2" xfId="44485" xr:uid="{FDE62400-3C2B-46F9-B9E0-B050A2387180}"/>
    <cellStyle name="Comma 3 6 2 8 3" xfId="26231" xr:uid="{EE51A833-B5A7-41D3-BD25-C1E2CBB13071}"/>
    <cellStyle name="Comma 3 6 2 9" xfId="4327" xr:uid="{DB519320-95D1-4DD8-8DCD-FD5032AA67F1}"/>
    <cellStyle name="Comma 3 6 2 9 2" xfId="40835" xr:uid="{570C57D4-8B37-415E-9F3C-A9EAC706DB46}"/>
    <cellStyle name="Comma 3 6 2 9 3" xfId="22581" xr:uid="{91422E20-927E-4734-ABFD-719C6CD6811E}"/>
    <cellStyle name="Comma 3 6 3" xfId="573" xr:uid="{8A801939-E788-4E4E-A894-33EC19D092AD}"/>
    <cellStyle name="Comma 3 6 3 10" xfId="37081" xr:uid="{53E95526-D9E4-4A91-B887-6D07DC0D47DD}"/>
    <cellStyle name="Comma 3 6 3 11" xfId="18827" xr:uid="{234136B5-AD66-4146-9DFE-D70D683AD271}"/>
    <cellStyle name="Comma 3 6 3 2" xfId="3493" xr:uid="{49148A02-5E36-4150-A38D-D30A1BC162DD}"/>
    <cellStyle name="Comma 3 6 3 2 2" xfId="18093" xr:uid="{CDC1AC89-FC6D-4CAE-B64D-D6C68B978537}"/>
    <cellStyle name="Comma 3 6 3 2 2 2" xfId="54601" xr:uid="{22FFDE23-57CC-4B04-9BCA-484E12E99A71}"/>
    <cellStyle name="Comma 3 6 3 2 2 3" xfId="36347" xr:uid="{B2F701F4-FB64-4194-92BE-8A37241B90ED}"/>
    <cellStyle name="Comma 3 6 3 2 3" xfId="14443" xr:uid="{0B8B6E23-5405-4AAA-8AB1-6A6CD7DDBC38}"/>
    <cellStyle name="Comma 3 6 3 2 3 2" xfId="50951" xr:uid="{328DBA9A-24EB-4059-BDDF-558B55C4EF3B}"/>
    <cellStyle name="Comma 3 6 3 2 3 3" xfId="32697" xr:uid="{5A05E144-35F8-4ACA-8CD0-7FF88CA1D01C}"/>
    <cellStyle name="Comma 3 6 3 2 4" xfId="10793" xr:uid="{B281EA44-4F2E-4468-8302-23B7DB2C4788}"/>
    <cellStyle name="Comma 3 6 3 2 4 2" xfId="47301" xr:uid="{CEC8379F-0129-469F-B3FD-C5428EF8D4B3}"/>
    <cellStyle name="Comma 3 6 3 2 4 3" xfId="29047" xr:uid="{19A1CEF3-6A3A-4ECD-987D-D93934DCAFD0}"/>
    <cellStyle name="Comma 3 6 3 2 5" xfId="7143" xr:uid="{741546DC-F0CC-48A7-A975-2DFA02D34E7E}"/>
    <cellStyle name="Comma 3 6 3 2 5 2" xfId="43651" xr:uid="{EB047BDA-7497-45BE-8CFB-D4F87112473B}"/>
    <cellStyle name="Comma 3 6 3 2 5 3" xfId="25397" xr:uid="{665445C2-091C-4631-9C6F-8E189EE38BAB}"/>
    <cellStyle name="Comma 3 6 3 2 6" xfId="40001" xr:uid="{3164CD57-B75E-49B3-A008-FD2E74D4E51F}"/>
    <cellStyle name="Comma 3 6 3 2 7" xfId="21747" xr:uid="{219E1665-5596-4848-B60D-CBF84A801A95}"/>
    <cellStyle name="Comma 3 6 3 3" xfId="2763" xr:uid="{D0672018-6327-4ABF-B549-4255465EF4C4}"/>
    <cellStyle name="Comma 3 6 3 3 2" xfId="17363" xr:uid="{68A88A37-C856-483A-B6CB-7A001FDA5B3F}"/>
    <cellStyle name="Comma 3 6 3 3 2 2" xfId="53871" xr:uid="{B3A9DD1A-0582-4B19-A444-9A5917384DDA}"/>
    <cellStyle name="Comma 3 6 3 3 2 3" xfId="35617" xr:uid="{90E21363-2543-4CE2-83BC-E0AA8FC4B35D}"/>
    <cellStyle name="Comma 3 6 3 3 3" xfId="13713" xr:uid="{F11B7B8D-6754-44E3-B91D-9FC24A7B3BFE}"/>
    <cellStyle name="Comma 3 6 3 3 3 2" xfId="50221" xr:uid="{97645106-2B2C-4ECE-A5F6-C30691EE5E0F}"/>
    <cellStyle name="Comma 3 6 3 3 3 3" xfId="31967" xr:uid="{31DDC383-992C-4335-A841-1CF29857150D}"/>
    <cellStyle name="Comma 3 6 3 3 4" xfId="10063" xr:uid="{02C9EC89-5611-430A-911A-58D699F4D269}"/>
    <cellStyle name="Comma 3 6 3 3 4 2" xfId="46571" xr:uid="{C374DEEB-9642-4D20-AA0D-8A2D24E2EAB9}"/>
    <cellStyle name="Comma 3 6 3 3 4 3" xfId="28317" xr:uid="{58C60124-32E5-4C04-B9ED-96ACD741AA29}"/>
    <cellStyle name="Comma 3 6 3 3 5" xfId="6413" xr:uid="{75EFC57E-254C-450E-859F-E383BC106B52}"/>
    <cellStyle name="Comma 3 6 3 3 5 2" xfId="42921" xr:uid="{E6B779A6-9D68-4026-B3F7-E46C46511450}"/>
    <cellStyle name="Comma 3 6 3 3 5 3" xfId="24667" xr:uid="{14DCEEC6-33C8-4AD1-BAF9-43938C27E38B}"/>
    <cellStyle name="Comma 3 6 3 3 6" xfId="39271" xr:uid="{7372FFAF-88BE-4C1D-BD8B-05398B13C31D}"/>
    <cellStyle name="Comma 3 6 3 3 7" xfId="21017" xr:uid="{048822AB-3991-4229-A879-2E0E16389334}"/>
    <cellStyle name="Comma 3 6 3 4" xfId="2033" xr:uid="{F659661B-9A87-461F-A55E-D9C58397B218}"/>
    <cellStyle name="Comma 3 6 3 4 2" xfId="16633" xr:uid="{FF3CC3B5-BB03-4F76-ACB2-78EF48F67A9C}"/>
    <cellStyle name="Comma 3 6 3 4 2 2" xfId="53141" xr:uid="{3931614B-375B-4EED-A064-ED527A91DC4A}"/>
    <cellStyle name="Comma 3 6 3 4 2 3" xfId="34887" xr:uid="{2C2DD066-B6E5-4D0B-AA50-A7734F1F79E9}"/>
    <cellStyle name="Comma 3 6 3 4 3" xfId="12983" xr:uid="{6D73FDAA-7E34-4714-A6F5-9BE60134E713}"/>
    <cellStyle name="Comma 3 6 3 4 3 2" xfId="49491" xr:uid="{544E94CB-E10D-4101-87D5-1E8EB7A1BB11}"/>
    <cellStyle name="Comma 3 6 3 4 3 3" xfId="31237" xr:uid="{A0C39FF7-D224-47A7-901E-DE6948C273F8}"/>
    <cellStyle name="Comma 3 6 3 4 4" xfId="9333" xr:uid="{9C20AF02-FD3D-474F-9E4C-355CB0ED9370}"/>
    <cellStyle name="Comma 3 6 3 4 4 2" xfId="45841" xr:uid="{BE6DBA43-26F6-4EFE-A2F1-E61BEF5B08B2}"/>
    <cellStyle name="Comma 3 6 3 4 4 3" xfId="27587" xr:uid="{0F55F9A6-4BEC-4677-9B55-F3D2B9C61739}"/>
    <cellStyle name="Comma 3 6 3 4 5" xfId="5683" xr:uid="{67D0FF1F-EC54-48CE-B259-6156C976B4F9}"/>
    <cellStyle name="Comma 3 6 3 4 5 2" xfId="42191" xr:uid="{2A95393E-3338-4D12-B9FC-5CDD3A262003}"/>
    <cellStyle name="Comma 3 6 3 4 5 3" xfId="23937" xr:uid="{EFFDF913-6286-4735-943F-E58C061D50A1}"/>
    <cellStyle name="Comma 3 6 3 4 6" xfId="38541" xr:uid="{3E8D47EC-B5A0-4181-A31C-E404E813004D}"/>
    <cellStyle name="Comma 3 6 3 4 7" xfId="20287" xr:uid="{B19B7D0E-9BE8-4C2D-B1C8-D25470B8A949}"/>
    <cellStyle name="Comma 3 6 3 5" xfId="1303" xr:uid="{0BA02DB2-4670-42E6-8781-2114BE27D1F4}"/>
    <cellStyle name="Comma 3 6 3 5 2" xfId="15903" xr:uid="{1B146428-5CAB-4D66-A330-21A003552EE2}"/>
    <cellStyle name="Comma 3 6 3 5 2 2" xfId="52411" xr:uid="{F05FC0C5-61E4-4633-B011-09159B9CD507}"/>
    <cellStyle name="Comma 3 6 3 5 2 3" xfId="34157" xr:uid="{C76BD105-6DCB-4DBF-9509-29490A11D6A1}"/>
    <cellStyle name="Comma 3 6 3 5 3" xfId="12253" xr:uid="{4467A875-3A38-4C1D-B99D-A1B9BF7A30BE}"/>
    <cellStyle name="Comma 3 6 3 5 3 2" xfId="48761" xr:uid="{39BA3DEB-47AF-4140-8016-2E791389B200}"/>
    <cellStyle name="Comma 3 6 3 5 3 3" xfId="30507" xr:uid="{50A9BB54-7D15-4F61-84AE-C67EBF9A6FA3}"/>
    <cellStyle name="Comma 3 6 3 5 4" xfId="8603" xr:uid="{7AA17FDD-35DD-4F81-B8AA-ED60562BB7B1}"/>
    <cellStyle name="Comma 3 6 3 5 4 2" xfId="45111" xr:uid="{17813094-3CD8-4C30-A957-8531E34E1010}"/>
    <cellStyle name="Comma 3 6 3 5 4 3" xfId="26857" xr:uid="{EB04DB55-7786-4881-BDB9-B51B6E2220F0}"/>
    <cellStyle name="Comma 3 6 3 5 5" xfId="4953" xr:uid="{55E3A1AF-FE20-498A-ABB3-D4DED0F177DD}"/>
    <cellStyle name="Comma 3 6 3 5 5 2" xfId="41461" xr:uid="{4F1F9732-7A7F-4E3B-8E7E-435835983346}"/>
    <cellStyle name="Comma 3 6 3 5 5 3" xfId="23207" xr:uid="{C45D5D37-CD71-4851-B7A1-8E0B6F118560}"/>
    <cellStyle name="Comma 3 6 3 5 6" xfId="37811" xr:uid="{05D3368B-6EA6-4FA0-BFEC-30E72010E95B}"/>
    <cellStyle name="Comma 3 6 3 5 7" xfId="19557" xr:uid="{82F68D20-F256-4A15-A10D-897287AD690B}"/>
    <cellStyle name="Comma 3 6 3 6" xfId="15173" xr:uid="{18C8A5E7-95B3-4077-B2CA-607A4595F806}"/>
    <cellStyle name="Comma 3 6 3 6 2" xfId="51681" xr:uid="{A3F625C6-7162-4C1E-8789-1471D6093EF3}"/>
    <cellStyle name="Comma 3 6 3 6 3" xfId="33427" xr:uid="{462C1278-88B9-48DB-AA85-580452CB2819}"/>
    <cellStyle name="Comma 3 6 3 7" xfId="11523" xr:uid="{AF1DE0DB-01A6-4D4B-B042-854BA6935B22}"/>
    <cellStyle name="Comma 3 6 3 7 2" xfId="48031" xr:uid="{B4A1E442-3F02-4E5C-9E60-5B375227397B}"/>
    <cellStyle name="Comma 3 6 3 7 3" xfId="29777" xr:uid="{E9085B57-F830-45E1-8C83-22D6A49429CD}"/>
    <cellStyle name="Comma 3 6 3 8" xfId="7873" xr:uid="{787BE5C4-59F1-4090-9779-C243246D9E49}"/>
    <cellStyle name="Comma 3 6 3 8 2" xfId="44381" xr:uid="{C8B8D1F1-EFC8-4B3D-BE66-9DF1249670EA}"/>
    <cellStyle name="Comma 3 6 3 8 3" xfId="26127" xr:uid="{DC68212B-B731-4DD9-99A9-6B61BE42EC3A}"/>
    <cellStyle name="Comma 3 6 3 9" xfId="4223" xr:uid="{FE3CF0B6-2D21-42AF-89CF-7DF6C23D8B74}"/>
    <cellStyle name="Comma 3 6 3 9 2" xfId="40731" xr:uid="{188555F9-B367-4340-A8F4-2E1956E72DEC}"/>
    <cellStyle name="Comma 3 6 3 9 3" xfId="22477" xr:uid="{5F5B7655-6D14-4727-B259-39D25B4B09E9}"/>
    <cellStyle name="Comma 3 6 4" xfId="469" xr:uid="{27D855EA-E181-46B9-9EBD-886E7A2EB440}"/>
    <cellStyle name="Comma 3 6 4 10" xfId="36977" xr:uid="{44F65930-9A12-4EC2-B827-83EB83E74670}"/>
    <cellStyle name="Comma 3 6 4 11" xfId="18723" xr:uid="{023D24B6-961D-4971-9485-7F1442D04AA1}"/>
    <cellStyle name="Comma 3 6 4 2" xfId="3389" xr:uid="{466D1F41-D7A1-449E-B008-C7F9D61B778C}"/>
    <cellStyle name="Comma 3 6 4 2 2" xfId="17989" xr:uid="{3636FB05-81B8-4D8C-A4C2-827157A0CBD5}"/>
    <cellStyle name="Comma 3 6 4 2 2 2" xfId="54497" xr:uid="{96389E59-EBEC-46E9-94A0-C99FF772F1B1}"/>
    <cellStyle name="Comma 3 6 4 2 2 3" xfId="36243" xr:uid="{5E32E134-A95E-4D54-A13F-C2312D8DC1BA}"/>
    <cellStyle name="Comma 3 6 4 2 3" xfId="14339" xr:uid="{400FD1F5-3282-4801-97BC-FEDAB9663DE1}"/>
    <cellStyle name="Comma 3 6 4 2 3 2" xfId="50847" xr:uid="{0F758A0C-F761-4007-ACFA-A02B6D6D4C07}"/>
    <cellStyle name="Comma 3 6 4 2 3 3" xfId="32593" xr:uid="{0D96E6E0-463C-4F1D-9613-156844BE05CD}"/>
    <cellStyle name="Comma 3 6 4 2 4" xfId="10689" xr:uid="{01DEFD5A-8A8C-49BF-B718-5150309FB279}"/>
    <cellStyle name="Comma 3 6 4 2 4 2" xfId="47197" xr:uid="{89BD53DE-FBFF-43E1-A3B6-72173830F4D2}"/>
    <cellStyle name="Comma 3 6 4 2 4 3" xfId="28943" xr:uid="{D85E0EBE-47A9-4DA7-B4D0-1BC95912860C}"/>
    <cellStyle name="Comma 3 6 4 2 5" xfId="7039" xr:uid="{21E3A0AA-5112-4B84-AFC2-FD67D6433EBF}"/>
    <cellStyle name="Comma 3 6 4 2 5 2" xfId="43547" xr:uid="{F7EDF7B0-6A49-4B0B-B7AC-4221DE4B06EF}"/>
    <cellStyle name="Comma 3 6 4 2 5 3" xfId="25293" xr:uid="{F0890FBA-FCC9-40CC-A96A-8FA114EF3FF2}"/>
    <cellStyle name="Comma 3 6 4 2 6" xfId="39897" xr:uid="{4AF6207B-169B-49A6-A839-2CB4A3CE9F56}"/>
    <cellStyle name="Comma 3 6 4 2 7" xfId="21643" xr:uid="{ACA24D9B-7B65-4B80-BA58-EC0617775327}"/>
    <cellStyle name="Comma 3 6 4 3" xfId="2659" xr:uid="{24E26B44-D60E-44AB-AAF9-58923CF8F6B0}"/>
    <cellStyle name="Comma 3 6 4 3 2" xfId="17259" xr:uid="{B3D559DB-76F4-4327-96AF-EF3179BD3BD5}"/>
    <cellStyle name="Comma 3 6 4 3 2 2" xfId="53767" xr:uid="{3EE69B51-0DC5-4924-8EB9-BC66518B7DF9}"/>
    <cellStyle name="Comma 3 6 4 3 2 3" xfId="35513" xr:uid="{0E7DC8F8-8F3E-484D-9F31-55E521B6429A}"/>
    <cellStyle name="Comma 3 6 4 3 3" xfId="13609" xr:uid="{55D378C8-4F41-4B6C-B3B2-CD07F3756A26}"/>
    <cellStyle name="Comma 3 6 4 3 3 2" xfId="50117" xr:uid="{706BAC39-164D-4EA5-9DB8-1C5FDC046E1A}"/>
    <cellStyle name="Comma 3 6 4 3 3 3" xfId="31863" xr:uid="{CC3B2AAE-E756-49C5-AB10-0CD711188E01}"/>
    <cellStyle name="Comma 3 6 4 3 4" xfId="9959" xr:uid="{04973B11-2BCA-410C-A593-C128B10741F1}"/>
    <cellStyle name="Comma 3 6 4 3 4 2" xfId="46467" xr:uid="{93DC0A54-09E0-4A29-8B82-057089CE155C}"/>
    <cellStyle name="Comma 3 6 4 3 4 3" xfId="28213" xr:uid="{AA57D406-9617-41AA-AFB0-9A4C8A3F3C6F}"/>
    <cellStyle name="Comma 3 6 4 3 5" xfId="6309" xr:uid="{9ADA5F5B-A75F-4828-BB90-37275C797C0E}"/>
    <cellStyle name="Comma 3 6 4 3 5 2" xfId="42817" xr:uid="{A5D5E6D2-8E60-4D72-82C9-231A6D13364C}"/>
    <cellStyle name="Comma 3 6 4 3 5 3" xfId="24563" xr:uid="{E461D45F-EF3C-49E5-9306-DA6024CFFC02}"/>
    <cellStyle name="Comma 3 6 4 3 6" xfId="39167" xr:uid="{2D252D1D-2248-41F1-B886-B4A63A7A4386}"/>
    <cellStyle name="Comma 3 6 4 3 7" xfId="20913" xr:uid="{31D0B8DA-9DC6-4759-BF3A-26F396CD9964}"/>
    <cellStyle name="Comma 3 6 4 4" xfId="1929" xr:uid="{C34523CB-94B6-45BD-AE96-C371CF3411A3}"/>
    <cellStyle name="Comma 3 6 4 4 2" xfId="16529" xr:uid="{3E0F8B9E-0C09-42A2-825B-314ADC1AD8F3}"/>
    <cellStyle name="Comma 3 6 4 4 2 2" xfId="53037" xr:uid="{1472F483-AB39-459D-80D8-ECC6684EBBAE}"/>
    <cellStyle name="Comma 3 6 4 4 2 3" xfId="34783" xr:uid="{4D63C70E-2935-4A91-A649-7A3C967F8AD8}"/>
    <cellStyle name="Comma 3 6 4 4 3" xfId="12879" xr:uid="{84866663-82DA-4953-8250-F6227B4082FF}"/>
    <cellStyle name="Comma 3 6 4 4 3 2" xfId="49387" xr:uid="{54887740-D5AA-4674-A8A3-3328E637B6EF}"/>
    <cellStyle name="Comma 3 6 4 4 3 3" xfId="31133" xr:uid="{689E9A51-932E-4885-9A97-0BF8A8D19B37}"/>
    <cellStyle name="Comma 3 6 4 4 4" xfId="9229" xr:uid="{11F2A146-7C9B-4B7A-A13D-847D3A06CC9C}"/>
    <cellStyle name="Comma 3 6 4 4 4 2" xfId="45737" xr:uid="{D84812BE-0C42-410E-8EE8-4C796E0933C4}"/>
    <cellStyle name="Comma 3 6 4 4 4 3" xfId="27483" xr:uid="{5451368E-BE72-41E3-BC51-8E2387126EB3}"/>
    <cellStyle name="Comma 3 6 4 4 5" xfId="5579" xr:uid="{7F547338-C4D0-4EBB-BA89-CCC07D50B900}"/>
    <cellStyle name="Comma 3 6 4 4 5 2" xfId="42087" xr:uid="{9A80F402-AAA1-4CD9-88CB-6635CD1CDD87}"/>
    <cellStyle name="Comma 3 6 4 4 5 3" xfId="23833" xr:uid="{219B9209-C93E-4C2D-9207-BA33598CBF87}"/>
    <cellStyle name="Comma 3 6 4 4 6" xfId="38437" xr:uid="{CFCBFAB5-7D61-4AB6-9E27-B56178421E63}"/>
    <cellStyle name="Comma 3 6 4 4 7" xfId="20183" xr:uid="{9F13763E-4356-4553-8FB9-8F57D54ACFA3}"/>
    <cellStyle name="Comma 3 6 4 5" xfId="1199" xr:uid="{A406835D-1DCF-4D62-A773-E4B058CBCCA1}"/>
    <cellStyle name="Comma 3 6 4 5 2" xfId="15799" xr:uid="{27A1CB9B-8B44-4DD2-9FBA-9060EEA3C43D}"/>
    <cellStyle name="Comma 3 6 4 5 2 2" xfId="52307" xr:uid="{0AA0F4EC-A081-449E-B668-549D955C6FA6}"/>
    <cellStyle name="Comma 3 6 4 5 2 3" xfId="34053" xr:uid="{5CBEF5DA-7BC9-467F-8A1D-BE5B51B1A167}"/>
    <cellStyle name="Comma 3 6 4 5 3" xfId="12149" xr:uid="{AEE197DE-99E7-4159-9556-BDB1519E38B8}"/>
    <cellStyle name="Comma 3 6 4 5 3 2" xfId="48657" xr:uid="{2E892DA5-DA8C-479F-93A6-22481DCF0573}"/>
    <cellStyle name="Comma 3 6 4 5 3 3" xfId="30403" xr:uid="{93F5126C-55BD-4E2D-8EE3-E3B859986E32}"/>
    <cellStyle name="Comma 3 6 4 5 4" xfId="8499" xr:uid="{3C8D6CC6-F511-4CEC-9D09-B933BE3C0B58}"/>
    <cellStyle name="Comma 3 6 4 5 4 2" xfId="45007" xr:uid="{991B8858-193C-40A0-8D6C-069578AB793D}"/>
    <cellStyle name="Comma 3 6 4 5 4 3" xfId="26753" xr:uid="{6CC083B5-07E3-4190-B6AE-FD9870E649B2}"/>
    <cellStyle name="Comma 3 6 4 5 5" xfId="4849" xr:uid="{9D7D1AC6-1397-4A04-941F-619AAB90F8A3}"/>
    <cellStyle name="Comma 3 6 4 5 5 2" xfId="41357" xr:uid="{E17803DF-DDE9-4D6F-B327-598DCA6F9156}"/>
    <cellStyle name="Comma 3 6 4 5 5 3" xfId="23103" xr:uid="{2DDC29AC-9DD4-4B7B-9912-8D599FD01CFB}"/>
    <cellStyle name="Comma 3 6 4 5 6" xfId="37707" xr:uid="{47D3B8C5-59CF-4E5A-A77E-8B332FD896A9}"/>
    <cellStyle name="Comma 3 6 4 5 7" xfId="19453" xr:uid="{B4907EAE-54E3-4F36-B23F-BF5C0D361816}"/>
    <cellStyle name="Comma 3 6 4 6" xfId="15069" xr:uid="{3AEEB959-A823-4986-A7D6-2F2C2C39A452}"/>
    <cellStyle name="Comma 3 6 4 6 2" xfId="51577" xr:uid="{3F8692BF-380F-4C30-A694-5DBB1AE3C53A}"/>
    <cellStyle name="Comma 3 6 4 6 3" xfId="33323" xr:uid="{9FE48448-5706-4361-86C5-35BA489CEC2A}"/>
    <cellStyle name="Comma 3 6 4 7" xfId="11419" xr:uid="{37F1F2AB-EED7-45C5-866F-BBA9F72873C2}"/>
    <cellStyle name="Comma 3 6 4 7 2" xfId="47927" xr:uid="{D3D4955E-9A04-4B27-8570-D4D2BA2B8582}"/>
    <cellStyle name="Comma 3 6 4 7 3" xfId="29673" xr:uid="{2ED26636-EAE4-4424-A9C1-3C473A768FD8}"/>
    <cellStyle name="Comma 3 6 4 8" xfId="7769" xr:uid="{266DD316-3060-495B-B03C-707ACDD3AB02}"/>
    <cellStyle name="Comma 3 6 4 8 2" xfId="44277" xr:uid="{3F5AEC17-B6DF-46D2-91CA-C0FDA2297624}"/>
    <cellStyle name="Comma 3 6 4 8 3" xfId="26023" xr:uid="{EF23753F-1929-4F72-8DCC-C513A65DA2EC}"/>
    <cellStyle name="Comma 3 6 4 9" xfId="4119" xr:uid="{941671A4-231E-43D0-8A5A-73B5844E56F3}"/>
    <cellStyle name="Comma 3 6 4 9 2" xfId="40627" xr:uid="{FC649607-D7CD-449D-B7F3-40DE212DDEFC}"/>
    <cellStyle name="Comma 3 6 4 9 3" xfId="22373" xr:uid="{4A7B3B9E-272C-4441-8698-D4D9C39EF488}"/>
    <cellStyle name="Comma 3 6 5" xfId="365" xr:uid="{4A6651B8-E4A8-43C2-B407-43BCF65191D9}"/>
    <cellStyle name="Comma 3 6 5 10" xfId="36873" xr:uid="{55818CC2-8649-4D28-85B9-ACA9BC707F68}"/>
    <cellStyle name="Comma 3 6 5 11" xfId="18619" xr:uid="{238AF379-29E9-4E86-840D-CDF13C24A66D}"/>
    <cellStyle name="Comma 3 6 5 2" xfId="3285" xr:uid="{32AFE79E-8305-452F-BE3B-406B44DA9CCD}"/>
    <cellStyle name="Comma 3 6 5 2 2" xfId="17885" xr:uid="{F6ED4FFF-8D7B-4470-A89F-F75AA3B5CF18}"/>
    <cellStyle name="Comma 3 6 5 2 2 2" xfId="54393" xr:uid="{C9C9DBC8-BDAA-433A-8254-66FE6A76FE56}"/>
    <cellStyle name="Comma 3 6 5 2 2 3" xfId="36139" xr:uid="{38209841-8674-425E-A458-1B562B80261B}"/>
    <cellStyle name="Comma 3 6 5 2 3" xfId="14235" xr:uid="{CDE4D399-5E33-446E-B3D6-245B168595C9}"/>
    <cellStyle name="Comma 3 6 5 2 3 2" xfId="50743" xr:uid="{BE3DD214-1B72-4EF7-937D-65450419172B}"/>
    <cellStyle name="Comma 3 6 5 2 3 3" xfId="32489" xr:uid="{4BB76182-98B3-4586-9507-36076E94DA57}"/>
    <cellStyle name="Comma 3 6 5 2 4" xfId="10585" xr:uid="{DE03A57A-2043-4DE9-B327-6279C7476D30}"/>
    <cellStyle name="Comma 3 6 5 2 4 2" xfId="47093" xr:uid="{37F84267-C5C9-490A-8EF7-341C1CB1B2C0}"/>
    <cellStyle name="Comma 3 6 5 2 4 3" xfId="28839" xr:uid="{1AFE1AFE-5805-4174-8105-02F36CED7DCC}"/>
    <cellStyle name="Comma 3 6 5 2 5" xfId="6935" xr:uid="{E6606C33-1B37-437F-8224-08CD0C00BC3E}"/>
    <cellStyle name="Comma 3 6 5 2 5 2" xfId="43443" xr:uid="{0011F0A4-7B3E-4DDC-ACEE-C1E217AC0BE5}"/>
    <cellStyle name="Comma 3 6 5 2 5 3" xfId="25189" xr:uid="{D5C70691-44F3-4642-8FE4-A078513878B4}"/>
    <cellStyle name="Comma 3 6 5 2 6" xfId="39793" xr:uid="{D7BB14A3-2514-494D-8B8D-8BA08E1685DD}"/>
    <cellStyle name="Comma 3 6 5 2 7" xfId="21539" xr:uid="{4992D076-3BF0-4E21-98FE-439F60A71480}"/>
    <cellStyle name="Comma 3 6 5 3" xfId="2555" xr:uid="{6D2AF55C-6C24-431C-986A-F58454CEC086}"/>
    <cellStyle name="Comma 3 6 5 3 2" xfId="17155" xr:uid="{CE7B43B4-CD46-43D6-B864-02FB2EC6FE91}"/>
    <cellStyle name="Comma 3 6 5 3 2 2" xfId="53663" xr:uid="{B3BD6A0B-5774-4D9C-A449-629D7D6E1794}"/>
    <cellStyle name="Comma 3 6 5 3 2 3" xfId="35409" xr:uid="{4F531AC6-73A2-4E16-BE37-55864D4FCF82}"/>
    <cellStyle name="Comma 3 6 5 3 3" xfId="13505" xr:uid="{D81B5F64-6730-4779-9B1F-3A372443A75D}"/>
    <cellStyle name="Comma 3 6 5 3 3 2" xfId="50013" xr:uid="{D16A06BE-8AD9-483F-BA33-13CCEA040971}"/>
    <cellStyle name="Comma 3 6 5 3 3 3" xfId="31759" xr:uid="{DEDB76E2-503C-457D-9069-727F887F261B}"/>
    <cellStyle name="Comma 3 6 5 3 4" xfId="9855" xr:uid="{4BB8DDCA-C057-46DB-9833-41CFA4629FF1}"/>
    <cellStyle name="Comma 3 6 5 3 4 2" xfId="46363" xr:uid="{AB759287-C54D-4660-AFFE-DB66262A256B}"/>
    <cellStyle name="Comma 3 6 5 3 4 3" xfId="28109" xr:uid="{DE4563B3-E19D-410C-9311-0413B2E84A84}"/>
    <cellStyle name="Comma 3 6 5 3 5" xfId="6205" xr:uid="{D3853A23-379F-4246-8865-2191848669A4}"/>
    <cellStyle name="Comma 3 6 5 3 5 2" xfId="42713" xr:uid="{E776F983-BF5A-4DE2-AD8D-B40085F425BF}"/>
    <cellStyle name="Comma 3 6 5 3 5 3" xfId="24459" xr:uid="{F7DDB8EF-6A53-4DEF-B465-98F835432FBA}"/>
    <cellStyle name="Comma 3 6 5 3 6" xfId="39063" xr:uid="{E0167F8F-F65F-4B84-9D67-FF657856F9D7}"/>
    <cellStyle name="Comma 3 6 5 3 7" xfId="20809" xr:uid="{543786FD-17EC-4C4F-BF08-F0A6636249DE}"/>
    <cellStyle name="Comma 3 6 5 4" xfId="1825" xr:uid="{0316370C-7EF7-435B-BD0A-E3D55E14546E}"/>
    <cellStyle name="Comma 3 6 5 4 2" xfId="16425" xr:uid="{B68DEF5F-459F-49C7-96C8-D61AC85A1181}"/>
    <cellStyle name="Comma 3 6 5 4 2 2" xfId="52933" xr:uid="{DE9CE405-DDAF-4385-8910-782288C03170}"/>
    <cellStyle name="Comma 3 6 5 4 2 3" xfId="34679" xr:uid="{FBD76217-46B9-4767-8B47-46CD001ADDE6}"/>
    <cellStyle name="Comma 3 6 5 4 3" xfId="12775" xr:uid="{7FCCE49B-9F8B-4961-850A-43637B0BB087}"/>
    <cellStyle name="Comma 3 6 5 4 3 2" xfId="49283" xr:uid="{82BDC1DE-A719-4C38-A751-028093C5754E}"/>
    <cellStyle name="Comma 3 6 5 4 3 3" xfId="31029" xr:uid="{D5084BF9-6AE9-480E-A593-41A4165546A9}"/>
    <cellStyle name="Comma 3 6 5 4 4" xfId="9125" xr:uid="{1D565CE4-4F0E-42A9-BF69-DDAC6B0F7B86}"/>
    <cellStyle name="Comma 3 6 5 4 4 2" xfId="45633" xr:uid="{B4916F60-09CC-4737-A8D3-EE78877500EC}"/>
    <cellStyle name="Comma 3 6 5 4 4 3" xfId="27379" xr:uid="{4E45431D-9E6E-438A-BD13-A4DD84E59C28}"/>
    <cellStyle name="Comma 3 6 5 4 5" xfId="5475" xr:uid="{314705AC-544E-4608-801A-C1CFCCD7B352}"/>
    <cellStyle name="Comma 3 6 5 4 5 2" xfId="41983" xr:uid="{91F7A066-06BB-4361-9931-4631BE458EE1}"/>
    <cellStyle name="Comma 3 6 5 4 5 3" xfId="23729" xr:uid="{774778BE-73A3-418E-95DB-70291EDA8526}"/>
    <cellStyle name="Comma 3 6 5 4 6" xfId="38333" xr:uid="{96987D91-3D1C-4683-999D-906F6018AAF5}"/>
    <cellStyle name="Comma 3 6 5 4 7" xfId="20079" xr:uid="{A66EF373-152F-46D7-B666-8EAED1D2DA85}"/>
    <cellStyle name="Comma 3 6 5 5" xfId="1095" xr:uid="{EB26C23D-DDF9-4531-B3C5-F824DAD46443}"/>
    <cellStyle name="Comma 3 6 5 5 2" xfId="15695" xr:uid="{60D9AB68-6E73-4AE2-A41F-6E9A95E7E7BE}"/>
    <cellStyle name="Comma 3 6 5 5 2 2" xfId="52203" xr:uid="{AC3247A3-3815-4146-9C75-8C85AD3F11D3}"/>
    <cellStyle name="Comma 3 6 5 5 2 3" xfId="33949" xr:uid="{3FEA9231-7BF4-4677-981B-E49363DA1852}"/>
    <cellStyle name="Comma 3 6 5 5 3" xfId="12045" xr:uid="{3DB860AD-F32F-4AFB-BB9D-0DDF25F08044}"/>
    <cellStyle name="Comma 3 6 5 5 3 2" xfId="48553" xr:uid="{618DE2D6-6304-47C6-B47F-951F29B8D30F}"/>
    <cellStyle name="Comma 3 6 5 5 3 3" xfId="30299" xr:uid="{19218530-9761-4D8B-AC2E-9F4187FB6AAA}"/>
    <cellStyle name="Comma 3 6 5 5 4" xfId="8395" xr:uid="{102BBFFA-4A35-4A2B-A48D-9E5DB9D736DA}"/>
    <cellStyle name="Comma 3 6 5 5 4 2" xfId="44903" xr:uid="{E0593942-6283-4223-98E1-93561AEEF855}"/>
    <cellStyle name="Comma 3 6 5 5 4 3" xfId="26649" xr:uid="{CFB6ED92-737D-4220-907B-C5DC87BE19F7}"/>
    <cellStyle name="Comma 3 6 5 5 5" xfId="4745" xr:uid="{25D9E865-4CB5-4CB3-9889-58C0A5554D22}"/>
    <cellStyle name="Comma 3 6 5 5 5 2" xfId="41253" xr:uid="{8E749A62-80B9-4B69-A6C2-EB1362C05FC7}"/>
    <cellStyle name="Comma 3 6 5 5 5 3" xfId="22999" xr:uid="{A6A939A4-BBCE-47D5-A71E-922D6D5544F5}"/>
    <cellStyle name="Comma 3 6 5 5 6" xfId="37603" xr:uid="{9897D6AA-B50C-498D-BC62-B749CC861D09}"/>
    <cellStyle name="Comma 3 6 5 5 7" xfId="19349" xr:uid="{153E417C-2BEA-44D9-9137-E740A299EC10}"/>
    <cellStyle name="Comma 3 6 5 6" xfId="14965" xr:uid="{659B9950-F0D7-4A7D-B502-70DD50713FA4}"/>
    <cellStyle name="Comma 3 6 5 6 2" xfId="51473" xr:uid="{E172EDBD-4D69-4092-9247-3CC20CE6DD7B}"/>
    <cellStyle name="Comma 3 6 5 6 3" xfId="33219" xr:uid="{D80D8CFF-49C4-4D55-89D5-ADA5B8F28571}"/>
    <cellStyle name="Comma 3 6 5 7" xfId="11315" xr:uid="{6346B250-FC4A-4A2A-9B19-602D45DAB97C}"/>
    <cellStyle name="Comma 3 6 5 7 2" xfId="47823" xr:uid="{8DDE6E7D-BFCF-4EF9-9C89-0CDA7E39CE60}"/>
    <cellStyle name="Comma 3 6 5 7 3" xfId="29569" xr:uid="{8B6939AD-0581-4508-A803-D1B37299F555}"/>
    <cellStyle name="Comma 3 6 5 8" xfId="7665" xr:uid="{3AF585B5-0D86-4741-BC38-75D360B1ED94}"/>
    <cellStyle name="Comma 3 6 5 8 2" xfId="44173" xr:uid="{D3F1816E-6883-4D5E-98AC-8BCE30D705F6}"/>
    <cellStyle name="Comma 3 6 5 8 3" xfId="25919" xr:uid="{1E210230-55DB-403F-B403-E4E55E103D73}"/>
    <cellStyle name="Comma 3 6 5 9" xfId="4015" xr:uid="{01305F9E-9BA0-4B07-A0C9-09E697A5E362}"/>
    <cellStyle name="Comma 3 6 5 9 2" xfId="40523" xr:uid="{7832ABA6-AFC0-40E1-AE33-A03DE3342645}"/>
    <cellStyle name="Comma 3 6 5 9 3" xfId="22269" xr:uid="{19FA934C-07C7-4168-9897-57E6CE6B6695}"/>
    <cellStyle name="Comma 3 6 6" xfId="261" xr:uid="{29CDF65A-E6FA-44EC-B560-A3E91617291F}"/>
    <cellStyle name="Comma 3 6 6 10" xfId="36769" xr:uid="{A0E641E4-E9ED-49D4-99DD-7E9DC8ED0E27}"/>
    <cellStyle name="Comma 3 6 6 11" xfId="18515" xr:uid="{B58A294E-ECC7-46A7-9060-F67E46695F0A}"/>
    <cellStyle name="Comma 3 6 6 2" xfId="3181" xr:uid="{321C176E-236E-4D47-A0E8-969F901546F3}"/>
    <cellStyle name="Comma 3 6 6 2 2" xfId="17781" xr:uid="{AD825328-BAA3-471D-B35D-7A8AEC549B4A}"/>
    <cellStyle name="Comma 3 6 6 2 2 2" xfId="54289" xr:uid="{77EBD87F-A339-4B20-B8E6-CA0FC0C05178}"/>
    <cellStyle name="Comma 3 6 6 2 2 3" xfId="36035" xr:uid="{E7A1E105-9546-4C3F-AF79-3F738097BB7A}"/>
    <cellStyle name="Comma 3 6 6 2 3" xfId="14131" xr:uid="{C98AFEFD-326D-488B-9E05-2ED047F6B318}"/>
    <cellStyle name="Comma 3 6 6 2 3 2" xfId="50639" xr:uid="{EA18754A-F56C-433D-86DA-D0E1BA48FC45}"/>
    <cellStyle name="Comma 3 6 6 2 3 3" xfId="32385" xr:uid="{9C1F3166-E003-40BA-B53C-F567786DE4CB}"/>
    <cellStyle name="Comma 3 6 6 2 4" xfId="10481" xr:uid="{8FEAE6CE-3BA5-481A-82ED-4A03CD68E26B}"/>
    <cellStyle name="Comma 3 6 6 2 4 2" xfId="46989" xr:uid="{E480FAFC-45E9-47C1-80E0-2AB2BCA7710E}"/>
    <cellStyle name="Comma 3 6 6 2 4 3" xfId="28735" xr:uid="{AB6AADB4-D90E-47B0-9583-9A59E74A31B1}"/>
    <cellStyle name="Comma 3 6 6 2 5" xfId="6831" xr:uid="{635AA488-74F8-4E64-8D0B-305530D8365C}"/>
    <cellStyle name="Comma 3 6 6 2 5 2" xfId="43339" xr:uid="{AB0B4CFA-761D-4F49-B7D5-D36FA14691CA}"/>
    <cellStyle name="Comma 3 6 6 2 5 3" xfId="25085" xr:uid="{74CDF48A-9677-41F7-BF40-B69751CAC986}"/>
    <cellStyle name="Comma 3 6 6 2 6" xfId="39689" xr:uid="{B7C80468-ED0A-4AF7-8D29-17C8E095E695}"/>
    <cellStyle name="Comma 3 6 6 2 7" xfId="21435" xr:uid="{4C9B4D25-CABA-4526-8ECE-3BDA120EF9D6}"/>
    <cellStyle name="Comma 3 6 6 3" xfId="2451" xr:uid="{60817F5F-3E1C-41D8-B7E3-40A759738FD1}"/>
    <cellStyle name="Comma 3 6 6 3 2" xfId="17051" xr:uid="{9D9570E1-4003-4933-BD91-A4AE805CDF02}"/>
    <cellStyle name="Comma 3 6 6 3 2 2" xfId="53559" xr:uid="{5469D369-F5E4-4221-BA1E-914C6680511F}"/>
    <cellStyle name="Comma 3 6 6 3 2 3" xfId="35305" xr:uid="{371EFF34-FF28-4880-9022-B9E3631D3420}"/>
    <cellStyle name="Comma 3 6 6 3 3" xfId="13401" xr:uid="{ECAFF8B6-B467-435E-A7F0-C65A8E16C8F6}"/>
    <cellStyle name="Comma 3 6 6 3 3 2" xfId="49909" xr:uid="{803B9EDA-F206-40E2-9907-C0160280E8A4}"/>
    <cellStyle name="Comma 3 6 6 3 3 3" xfId="31655" xr:uid="{7BB299A8-C6E8-46F2-B131-38E96B351991}"/>
    <cellStyle name="Comma 3 6 6 3 4" xfId="9751" xr:uid="{192854FB-8EAA-4CC8-8EE7-D515D0381DB5}"/>
    <cellStyle name="Comma 3 6 6 3 4 2" xfId="46259" xr:uid="{A8289508-3D2F-410E-8AC4-05DDFE84B613}"/>
    <cellStyle name="Comma 3 6 6 3 4 3" xfId="28005" xr:uid="{8AAEBA4D-66D5-4122-BE9D-48A43A5AF8EA}"/>
    <cellStyle name="Comma 3 6 6 3 5" xfId="6101" xr:uid="{CAC2EF17-4E2A-4E56-9441-96CA1B5BAC23}"/>
    <cellStyle name="Comma 3 6 6 3 5 2" xfId="42609" xr:uid="{D31495D6-5C6C-4425-9643-3D4578F04961}"/>
    <cellStyle name="Comma 3 6 6 3 5 3" xfId="24355" xr:uid="{C0B720DF-BCCD-443F-8D8E-AC005029D91E}"/>
    <cellStyle name="Comma 3 6 6 3 6" xfId="38959" xr:uid="{D4BC6D32-CD0A-4FFC-86C4-8C0B1620ADE0}"/>
    <cellStyle name="Comma 3 6 6 3 7" xfId="20705" xr:uid="{AA7BD001-6C6D-4BF9-BB05-753EB6FED5FF}"/>
    <cellStyle name="Comma 3 6 6 4" xfId="1721" xr:uid="{34381CE0-5DF7-4843-A0AE-0229E188FD6C}"/>
    <cellStyle name="Comma 3 6 6 4 2" xfId="16321" xr:uid="{D56BD576-6016-4F35-B186-6385CB7F45AB}"/>
    <cellStyle name="Comma 3 6 6 4 2 2" xfId="52829" xr:uid="{945CDA0D-1CAE-4AD9-929D-13E1C269F2F1}"/>
    <cellStyle name="Comma 3 6 6 4 2 3" xfId="34575" xr:uid="{4838E47D-3AE0-4A4C-9BB7-7B3217A5A66B}"/>
    <cellStyle name="Comma 3 6 6 4 3" xfId="12671" xr:uid="{DA5DAD10-44D9-4D68-9C17-6D066C887916}"/>
    <cellStyle name="Comma 3 6 6 4 3 2" xfId="49179" xr:uid="{A55D1E51-B1F6-41B8-AAEE-2B25D0EB8D02}"/>
    <cellStyle name="Comma 3 6 6 4 3 3" xfId="30925" xr:uid="{FA2A6D4B-43E7-401F-8FEB-5AA5339F9F0A}"/>
    <cellStyle name="Comma 3 6 6 4 4" xfId="9021" xr:uid="{837D206D-D9B9-4C1E-AC02-8105E21E329A}"/>
    <cellStyle name="Comma 3 6 6 4 4 2" xfId="45529" xr:uid="{F3962021-7357-4D6B-80A5-D17A6D83CE7A}"/>
    <cellStyle name="Comma 3 6 6 4 4 3" xfId="27275" xr:uid="{5DEA3F79-29EA-4826-8C60-6AC3B41EBD58}"/>
    <cellStyle name="Comma 3 6 6 4 5" xfId="5371" xr:uid="{5F874C16-18ED-4674-BF56-F95272468113}"/>
    <cellStyle name="Comma 3 6 6 4 5 2" xfId="41879" xr:uid="{05BCA059-A960-4A61-A4B2-69907F8DA53C}"/>
    <cellStyle name="Comma 3 6 6 4 5 3" xfId="23625" xr:uid="{DF3D93F0-F333-46BD-B1AC-85B5772300BE}"/>
    <cellStyle name="Comma 3 6 6 4 6" xfId="38229" xr:uid="{12D972A1-BAFD-45E9-B334-EE84350F0885}"/>
    <cellStyle name="Comma 3 6 6 4 7" xfId="19975" xr:uid="{360F895A-8ADD-49F7-81B7-7CE068A8DB6E}"/>
    <cellStyle name="Comma 3 6 6 5" xfId="991" xr:uid="{05A5EBF9-902B-43F8-A7A9-4A7F71F37CDA}"/>
    <cellStyle name="Comma 3 6 6 5 2" xfId="15591" xr:uid="{3BE2F47A-FF93-4AE2-952F-771D124625A7}"/>
    <cellStyle name="Comma 3 6 6 5 2 2" xfId="52099" xr:uid="{9688425E-0A9C-4A85-B283-4FB2172AFFDE}"/>
    <cellStyle name="Comma 3 6 6 5 2 3" xfId="33845" xr:uid="{50849562-7608-4B67-8145-F73B20473A00}"/>
    <cellStyle name="Comma 3 6 6 5 3" xfId="11941" xr:uid="{555C14FE-CCF0-4D04-9B9B-D54306585F86}"/>
    <cellStyle name="Comma 3 6 6 5 3 2" xfId="48449" xr:uid="{0F88D12B-FBE0-4E14-B5A9-C429BCA3736C}"/>
    <cellStyle name="Comma 3 6 6 5 3 3" xfId="30195" xr:uid="{76F69D7C-78B2-4E01-A062-FC65507710BA}"/>
    <cellStyle name="Comma 3 6 6 5 4" xfId="8291" xr:uid="{D5470230-C622-4452-8767-695AFFB5CD62}"/>
    <cellStyle name="Comma 3 6 6 5 4 2" xfId="44799" xr:uid="{D3B283DB-894F-435C-ACB9-07BB0D53DC36}"/>
    <cellStyle name="Comma 3 6 6 5 4 3" xfId="26545" xr:uid="{75B7714C-A7EC-4F17-AE9F-C9300B4133AC}"/>
    <cellStyle name="Comma 3 6 6 5 5" xfId="4641" xr:uid="{C6A82CF0-8844-4D99-B305-250B32339129}"/>
    <cellStyle name="Comma 3 6 6 5 5 2" xfId="41149" xr:uid="{37D70280-07F0-47BA-9442-FA01D6D87DF5}"/>
    <cellStyle name="Comma 3 6 6 5 5 3" xfId="22895" xr:uid="{8B87A0EC-4DBE-4539-A6C4-C0626C103CA9}"/>
    <cellStyle name="Comma 3 6 6 5 6" xfId="37499" xr:uid="{B4A8C4B1-3DA6-4C3F-BC53-0CF472DFBB10}"/>
    <cellStyle name="Comma 3 6 6 5 7" xfId="19245" xr:uid="{A3EBCD87-C8C2-49FA-80A4-5C74AABC3751}"/>
    <cellStyle name="Comma 3 6 6 6" xfId="14861" xr:uid="{FD54EE13-9591-4765-ACE0-C71C6C2EB2B5}"/>
    <cellStyle name="Comma 3 6 6 6 2" xfId="51369" xr:uid="{23307AA4-64A5-4BDD-8108-63ADB340D497}"/>
    <cellStyle name="Comma 3 6 6 6 3" xfId="33115" xr:uid="{791F88A7-39C4-4A8C-A8E6-58111368163F}"/>
    <cellStyle name="Comma 3 6 6 7" xfId="11211" xr:uid="{6A927E68-2C51-4718-8AFF-70B288F4B891}"/>
    <cellStyle name="Comma 3 6 6 7 2" xfId="47719" xr:uid="{B0951A6B-D39F-45F6-B7C7-B9E9FF58F33D}"/>
    <cellStyle name="Comma 3 6 6 7 3" xfId="29465" xr:uid="{FFB4434E-BEC9-44AF-A78C-EEC03693E06F}"/>
    <cellStyle name="Comma 3 6 6 8" xfId="7561" xr:uid="{5A05F16E-57DA-4D5B-8960-75752598B3A9}"/>
    <cellStyle name="Comma 3 6 6 8 2" xfId="44069" xr:uid="{DA1430D8-5EA9-4BD9-8411-91D79FC450CA}"/>
    <cellStyle name="Comma 3 6 6 8 3" xfId="25815" xr:uid="{C38CCCDB-9C24-4C28-AF3F-9794C415A9AE}"/>
    <cellStyle name="Comma 3 6 6 9" xfId="3911" xr:uid="{A21E4118-2927-4226-A1B2-9F4343BFCF67}"/>
    <cellStyle name="Comma 3 6 6 9 2" xfId="40419" xr:uid="{32280EBB-239F-408A-81B5-209CC5DF9C05}"/>
    <cellStyle name="Comma 3 6 6 9 3" xfId="22165" xr:uid="{85AB0C6B-5B5A-47EF-9457-E0B3275AA90A}"/>
    <cellStyle name="Comma 3 6 7" xfId="157" xr:uid="{B4718713-0C1F-457C-972F-827018D3754C}"/>
    <cellStyle name="Comma 3 6 7 10" xfId="36665" xr:uid="{2DB651A8-C47B-4879-9EF5-35A1C6F9CB8F}"/>
    <cellStyle name="Comma 3 6 7 11" xfId="18411" xr:uid="{D687F5DC-9CEE-46F4-B3E7-93B06FF5134F}"/>
    <cellStyle name="Comma 3 6 7 2" xfId="3077" xr:uid="{25235B44-37FF-4F02-8F48-3C3AD684AD86}"/>
    <cellStyle name="Comma 3 6 7 2 2" xfId="17677" xr:uid="{3BC99845-E875-4C62-8C19-46BDAB1C8F26}"/>
    <cellStyle name="Comma 3 6 7 2 2 2" xfId="54185" xr:uid="{A8EB9652-71C7-49CC-B57B-DE5721C04F35}"/>
    <cellStyle name="Comma 3 6 7 2 2 3" xfId="35931" xr:uid="{C2F74100-3D0B-4B0F-8D09-74AF1CCF52AF}"/>
    <cellStyle name="Comma 3 6 7 2 3" xfId="14027" xr:uid="{29A735DC-B34A-4183-8328-063767F594AD}"/>
    <cellStyle name="Comma 3 6 7 2 3 2" xfId="50535" xr:uid="{0C5434C7-7738-4894-9307-1CD89AB3A3E5}"/>
    <cellStyle name="Comma 3 6 7 2 3 3" xfId="32281" xr:uid="{B50EA1A5-51AD-416F-85DB-60EF85B5E3B7}"/>
    <cellStyle name="Comma 3 6 7 2 4" xfId="10377" xr:uid="{F0958BAA-FD44-43C4-A7A9-5C8EF0E4C459}"/>
    <cellStyle name="Comma 3 6 7 2 4 2" xfId="46885" xr:uid="{DCAC7D72-AC5A-463F-AD0D-10228D7B4472}"/>
    <cellStyle name="Comma 3 6 7 2 4 3" xfId="28631" xr:uid="{9863E403-2933-4E74-B9E6-61D82FB06A84}"/>
    <cellStyle name="Comma 3 6 7 2 5" xfId="6727" xr:uid="{6D7342F2-02C5-45F6-9AE5-D94F4E10D414}"/>
    <cellStyle name="Comma 3 6 7 2 5 2" xfId="43235" xr:uid="{6B6AC0E1-7A96-453F-AA42-1411B66D4926}"/>
    <cellStyle name="Comma 3 6 7 2 5 3" xfId="24981" xr:uid="{60346215-40AD-4F11-9E36-2709DC475C82}"/>
    <cellStyle name="Comma 3 6 7 2 6" xfId="39585" xr:uid="{C9EE7567-EBAA-40B9-A4AA-912EC2EED9EC}"/>
    <cellStyle name="Comma 3 6 7 2 7" xfId="21331" xr:uid="{89306915-8CBE-499A-9F2D-7E9C23C1FA7A}"/>
    <cellStyle name="Comma 3 6 7 3" xfId="2347" xr:uid="{FBCEF4BC-A857-4F56-BFE8-BCAC2C025DAA}"/>
    <cellStyle name="Comma 3 6 7 3 2" xfId="16947" xr:uid="{4604A6D1-FF4F-43D8-AF94-237D2C7394BD}"/>
    <cellStyle name="Comma 3 6 7 3 2 2" xfId="53455" xr:uid="{E4241F06-56B2-4EFE-A7B1-DA79C5C1E22F}"/>
    <cellStyle name="Comma 3 6 7 3 2 3" xfId="35201" xr:uid="{D16EF300-E4E2-46F6-BDAD-7AF91D3A2986}"/>
    <cellStyle name="Comma 3 6 7 3 3" xfId="13297" xr:uid="{67141E3A-0376-4B85-A620-807406C744DF}"/>
    <cellStyle name="Comma 3 6 7 3 3 2" xfId="49805" xr:uid="{A59F6CB6-8EB3-4007-8B24-BF2524AC1B87}"/>
    <cellStyle name="Comma 3 6 7 3 3 3" xfId="31551" xr:uid="{1F8CFBEF-8637-4D8D-BF20-9890D8C9E146}"/>
    <cellStyle name="Comma 3 6 7 3 4" xfId="9647" xr:uid="{AD48484A-954F-49A7-9B3B-332E17F61F08}"/>
    <cellStyle name="Comma 3 6 7 3 4 2" xfId="46155" xr:uid="{6AFCCFBC-AEC8-4C92-8434-C66A9AA3855A}"/>
    <cellStyle name="Comma 3 6 7 3 4 3" xfId="27901" xr:uid="{95B62710-B030-46CA-A08B-FB248A7D8477}"/>
    <cellStyle name="Comma 3 6 7 3 5" xfId="5997" xr:uid="{F38A3AF3-6D1B-4BF5-84A2-6C01E39D286E}"/>
    <cellStyle name="Comma 3 6 7 3 5 2" xfId="42505" xr:uid="{CCB78845-6A9A-4EC0-9937-FFBEF96907E4}"/>
    <cellStyle name="Comma 3 6 7 3 5 3" xfId="24251" xr:uid="{71445007-2EFB-45B1-A207-0521E851587D}"/>
    <cellStyle name="Comma 3 6 7 3 6" xfId="38855" xr:uid="{3CD35710-4BE2-49D4-A54C-DCF2FF126AA6}"/>
    <cellStyle name="Comma 3 6 7 3 7" xfId="20601" xr:uid="{35459975-6B18-4F22-B36F-F2E1AC704EDD}"/>
    <cellStyle name="Comma 3 6 7 4" xfId="1617" xr:uid="{0831DD71-66BC-4A21-9B94-1F64B2F609C2}"/>
    <cellStyle name="Comma 3 6 7 4 2" xfId="16217" xr:uid="{E075A68F-B95B-4775-8063-1F974D8B826B}"/>
    <cellStyle name="Comma 3 6 7 4 2 2" xfId="52725" xr:uid="{A5BFC6AD-39D5-45F7-AB02-011272A2EA18}"/>
    <cellStyle name="Comma 3 6 7 4 2 3" xfId="34471" xr:uid="{60C7E9D2-7AA9-4F45-BE9D-0F3681164981}"/>
    <cellStyle name="Comma 3 6 7 4 3" xfId="12567" xr:uid="{F9E1E7B9-E067-4BF4-8652-00B674ED0C5C}"/>
    <cellStyle name="Comma 3 6 7 4 3 2" xfId="49075" xr:uid="{FB332793-D869-4D7D-AC77-FBC643E4DBFC}"/>
    <cellStyle name="Comma 3 6 7 4 3 3" xfId="30821" xr:uid="{EACB691B-4934-4A2E-AC33-BFE613A65A70}"/>
    <cellStyle name="Comma 3 6 7 4 4" xfId="8917" xr:uid="{78BF4D69-FE22-437D-BDC4-E9EE1AE72957}"/>
    <cellStyle name="Comma 3 6 7 4 4 2" xfId="45425" xr:uid="{13FC8F90-E25E-42EE-9ED3-1C4D41F0A7FF}"/>
    <cellStyle name="Comma 3 6 7 4 4 3" xfId="27171" xr:uid="{3AAADFBF-0017-4F34-87BF-03C019FF02AE}"/>
    <cellStyle name="Comma 3 6 7 4 5" xfId="5267" xr:uid="{4496F2CC-F4DB-45DB-A38B-A245100E826E}"/>
    <cellStyle name="Comma 3 6 7 4 5 2" xfId="41775" xr:uid="{F74B025B-57A6-4116-A93D-A3909DBF60C2}"/>
    <cellStyle name="Comma 3 6 7 4 5 3" xfId="23521" xr:uid="{3307C3E5-9A00-4E15-8A77-CED7CAFF608E}"/>
    <cellStyle name="Comma 3 6 7 4 6" xfId="38125" xr:uid="{B139BF9B-D69F-464D-9737-9AA241696D85}"/>
    <cellStyle name="Comma 3 6 7 4 7" xfId="19871" xr:uid="{337688AC-421E-4BD7-A9A9-0279CFC53B9B}"/>
    <cellStyle name="Comma 3 6 7 5" xfId="887" xr:uid="{A23868E8-4833-4699-A104-E86B8CB61D55}"/>
    <cellStyle name="Comma 3 6 7 5 2" xfId="15487" xr:uid="{F5E09306-18B2-47F7-9D6F-F83C94226EEB}"/>
    <cellStyle name="Comma 3 6 7 5 2 2" xfId="51995" xr:uid="{F0ECAFD9-B7A5-43C6-81AB-7D37A5BA1DE4}"/>
    <cellStyle name="Comma 3 6 7 5 2 3" xfId="33741" xr:uid="{F82C71F3-2EC3-4D05-B65E-509E5E72D934}"/>
    <cellStyle name="Comma 3 6 7 5 3" xfId="11837" xr:uid="{C729C31B-C269-44B5-9360-7954B04D9332}"/>
    <cellStyle name="Comma 3 6 7 5 3 2" xfId="48345" xr:uid="{EBCFECDE-C501-4B75-B6B9-D5EB8012F69A}"/>
    <cellStyle name="Comma 3 6 7 5 3 3" xfId="30091" xr:uid="{7766A7D8-78F2-471D-BB8F-33591C9D6B12}"/>
    <cellStyle name="Comma 3 6 7 5 4" xfId="8187" xr:uid="{296CDEAE-1274-4F3E-BED0-29E41EB9B0D0}"/>
    <cellStyle name="Comma 3 6 7 5 4 2" xfId="44695" xr:uid="{DB612CEE-EC20-4EED-AF0E-0FAEC76AEDB0}"/>
    <cellStyle name="Comma 3 6 7 5 4 3" xfId="26441" xr:uid="{DCB700D6-E475-4922-B534-A5FF1B2B3C83}"/>
    <cellStyle name="Comma 3 6 7 5 5" xfId="4537" xr:uid="{BCA419C7-8DE0-40CE-A145-894171198B84}"/>
    <cellStyle name="Comma 3 6 7 5 5 2" xfId="41045" xr:uid="{4F536F2A-81E2-4C69-94AB-81E3D7347024}"/>
    <cellStyle name="Comma 3 6 7 5 5 3" xfId="22791" xr:uid="{CC4B7289-E3EF-4988-9A8F-1AB1C16922C7}"/>
    <cellStyle name="Comma 3 6 7 5 6" xfId="37395" xr:uid="{E7320B2A-38B7-4517-9BB4-9BF6CD37975B}"/>
    <cellStyle name="Comma 3 6 7 5 7" xfId="19141" xr:uid="{25C1F84B-AE39-4B32-A859-3B0037128967}"/>
    <cellStyle name="Comma 3 6 7 6" xfId="14757" xr:uid="{61B06128-A175-4820-A559-08C0902D2EF1}"/>
    <cellStyle name="Comma 3 6 7 6 2" xfId="51265" xr:uid="{58C7DD65-8EA7-4F46-BD0A-A1AEBFB298C3}"/>
    <cellStyle name="Comma 3 6 7 6 3" xfId="33011" xr:uid="{C7A17A7A-BFC8-4D79-8631-F8DFFDBE435D}"/>
    <cellStyle name="Comma 3 6 7 7" xfId="11107" xr:uid="{CB6B403F-7593-464C-8ADE-BB0C1B1D7105}"/>
    <cellStyle name="Comma 3 6 7 7 2" xfId="47615" xr:uid="{66A6BE4B-A65C-4374-B60A-565FA0A20484}"/>
    <cellStyle name="Comma 3 6 7 7 3" xfId="29361" xr:uid="{5435D0CF-6540-423D-89B8-DCAA470BF1AD}"/>
    <cellStyle name="Comma 3 6 7 8" xfId="7457" xr:uid="{BE0C1F6F-025F-4935-89F5-C588F598F25F}"/>
    <cellStyle name="Comma 3 6 7 8 2" xfId="43965" xr:uid="{F17F9833-A753-4D15-BA02-EF6662ACF4D5}"/>
    <cellStyle name="Comma 3 6 7 8 3" xfId="25711" xr:uid="{AE5AB1D3-BCDA-41A6-A675-638F8E831A2B}"/>
    <cellStyle name="Comma 3 6 7 9" xfId="3807" xr:uid="{B04DF566-2266-4637-9786-B0B015250C80}"/>
    <cellStyle name="Comma 3 6 7 9 2" xfId="40315" xr:uid="{F88E6C8D-25C9-4B4F-A5AB-98582DAF6314}"/>
    <cellStyle name="Comma 3 6 7 9 3" xfId="22061" xr:uid="{3C46F7C1-64E0-4052-BE2F-E11379F8BCFC}"/>
    <cellStyle name="Comma 3 6 8" xfId="2973" xr:uid="{0856446E-EABE-42F1-AEEF-4FE236CF049C}"/>
    <cellStyle name="Comma 3 6 8 2" xfId="17573" xr:uid="{21DBE915-457A-42DF-AC5A-2432088948C1}"/>
    <cellStyle name="Comma 3 6 8 2 2" xfId="54081" xr:uid="{6EE9DC7E-5D76-4756-A4A4-EA8B9EA953FD}"/>
    <cellStyle name="Comma 3 6 8 2 3" xfId="35827" xr:uid="{9DC0851A-4DB3-4503-A0AB-E7620FA74BDB}"/>
    <cellStyle name="Comma 3 6 8 3" xfId="13923" xr:uid="{00115715-D4C7-442A-A3DA-2F5AB9A11927}"/>
    <cellStyle name="Comma 3 6 8 3 2" xfId="50431" xr:uid="{D2BB4EB0-82AC-4DC5-A0B7-28C9B506A9B3}"/>
    <cellStyle name="Comma 3 6 8 3 3" xfId="32177" xr:uid="{869AAB49-471F-4863-BEC5-BDF55B5063C2}"/>
    <cellStyle name="Comma 3 6 8 4" xfId="10273" xr:uid="{1DF327D2-0A34-4C50-B77F-B704D0469FE2}"/>
    <cellStyle name="Comma 3 6 8 4 2" xfId="46781" xr:uid="{8971497F-D655-45B8-A7D7-5E2CBB06091F}"/>
    <cellStyle name="Comma 3 6 8 4 3" xfId="28527" xr:uid="{8E188F29-0A7A-42D3-AF15-2057BC7329EE}"/>
    <cellStyle name="Comma 3 6 8 5" xfId="6623" xr:uid="{05C36C31-8581-416A-82E4-846367C0328E}"/>
    <cellStyle name="Comma 3 6 8 5 2" xfId="43131" xr:uid="{DEFEC19D-D87E-40D5-B685-12FD6549DBAE}"/>
    <cellStyle name="Comma 3 6 8 5 3" xfId="24877" xr:uid="{FF6E892E-8128-479E-95C7-7AD3F4CEE975}"/>
    <cellStyle name="Comma 3 6 8 6" xfId="39481" xr:uid="{41C052C3-AB73-4729-AAB5-90A5819F7113}"/>
    <cellStyle name="Comma 3 6 8 7" xfId="21227" xr:uid="{35394467-C12A-4A9E-9017-4283DD3FFC99}"/>
    <cellStyle name="Comma 3 6 9" xfId="2243" xr:uid="{E35E08D5-95F7-4B47-9085-B55BAA0D43D2}"/>
    <cellStyle name="Comma 3 6 9 2" xfId="16843" xr:uid="{6F06CBE5-137E-4874-9E0B-C1CFA47DF8C6}"/>
    <cellStyle name="Comma 3 6 9 2 2" xfId="53351" xr:uid="{20474CEE-751D-4301-8E6B-98BEA12A2A87}"/>
    <cellStyle name="Comma 3 6 9 2 3" xfId="35097" xr:uid="{FA5177F8-86D4-4B8F-BD3C-535CCD3976C9}"/>
    <cellStyle name="Comma 3 6 9 3" xfId="13193" xr:uid="{106DBEA8-0AB5-4ED2-903D-275B069B5729}"/>
    <cellStyle name="Comma 3 6 9 3 2" xfId="49701" xr:uid="{1980A05E-B0EA-4418-AB3C-400FAF9C0B84}"/>
    <cellStyle name="Comma 3 6 9 3 3" xfId="31447" xr:uid="{68949D12-61A4-44FA-B429-122F228CD2DA}"/>
    <cellStyle name="Comma 3 6 9 4" xfId="9543" xr:uid="{48E1F437-D884-4290-B09D-E9FFA94D851E}"/>
    <cellStyle name="Comma 3 6 9 4 2" xfId="46051" xr:uid="{331D1540-3CA8-48C8-969F-EE9D31ABE71C}"/>
    <cellStyle name="Comma 3 6 9 4 3" xfId="27797" xr:uid="{2671DAEA-1211-4B94-BFAC-F32C5758FD8A}"/>
    <cellStyle name="Comma 3 6 9 5" xfId="5893" xr:uid="{DA042CA5-0FC5-4D83-A22C-8118999ECE40}"/>
    <cellStyle name="Comma 3 6 9 5 2" xfId="42401" xr:uid="{69339A4F-4269-448E-8EB7-215A9BA2D4C6}"/>
    <cellStyle name="Comma 3 6 9 5 3" xfId="24147" xr:uid="{AA16AABD-3D22-430C-9D87-87FA1A7E477E}"/>
    <cellStyle name="Comma 3 6 9 6" xfId="38751" xr:uid="{0A98ACA6-0EEC-4506-80E7-7E3A630946FD}"/>
    <cellStyle name="Comma 3 6 9 7" xfId="20497" xr:uid="{D6A17882-4D58-4E82-BD34-C460A3F352C3}"/>
    <cellStyle name="Comma 3 7" xfId="645" xr:uid="{EA602050-6FEC-452C-A256-63BA9105DBE3}"/>
    <cellStyle name="Comma 3 7 10" xfId="37153" xr:uid="{B9FB62C3-B3D9-4CB0-84F1-462DE7D92EC6}"/>
    <cellStyle name="Comma 3 7 11" xfId="18899" xr:uid="{9B57C998-D157-426F-863C-3BA8366D21FD}"/>
    <cellStyle name="Comma 3 7 2" xfId="3565" xr:uid="{FEE7AC0B-2047-45E6-A187-9FB65F650602}"/>
    <cellStyle name="Comma 3 7 2 2" xfId="18165" xr:uid="{93642B1A-7830-42A6-8659-25741B7656BB}"/>
    <cellStyle name="Comma 3 7 2 2 2" xfId="54673" xr:uid="{442974C4-4D5E-401F-8A1B-A9EF2EA64D8F}"/>
    <cellStyle name="Comma 3 7 2 2 3" xfId="36419" xr:uid="{12889CAC-E0FB-4A56-9636-BB7A89E836AE}"/>
    <cellStyle name="Comma 3 7 2 3" xfId="14515" xr:uid="{B7344A22-BFE4-4A79-9295-6826AEB4FCFB}"/>
    <cellStyle name="Comma 3 7 2 3 2" xfId="51023" xr:uid="{2AA796B9-DB3A-45EC-ABD5-70731D414603}"/>
    <cellStyle name="Comma 3 7 2 3 3" xfId="32769" xr:uid="{A4061088-1E03-4CE5-907F-67B76C8DCF25}"/>
    <cellStyle name="Comma 3 7 2 4" xfId="10865" xr:uid="{97B6FA41-A5A7-476B-82A8-086D413008D4}"/>
    <cellStyle name="Comma 3 7 2 4 2" xfId="47373" xr:uid="{A7C201DC-3D2B-4B95-A09E-B2433E413C2A}"/>
    <cellStyle name="Comma 3 7 2 4 3" xfId="29119" xr:uid="{3B334F16-1DA4-4277-ADC7-9AB3BA85B276}"/>
    <cellStyle name="Comma 3 7 2 5" xfId="7215" xr:uid="{056593C3-9E38-416A-930C-56CE942C7F8E}"/>
    <cellStyle name="Comma 3 7 2 5 2" xfId="43723" xr:uid="{4B502CE9-4881-408B-A7A4-A19BA3A933EC}"/>
    <cellStyle name="Comma 3 7 2 5 3" xfId="25469" xr:uid="{C6C4D819-C8E6-445E-A65A-E7C0FB81CE49}"/>
    <cellStyle name="Comma 3 7 2 6" xfId="40073" xr:uid="{7E5AAE9E-A71B-442B-B52D-6C3EA45DD7FF}"/>
    <cellStyle name="Comma 3 7 2 7" xfId="21819" xr:uid="{4E170994-FA5E-47CD-88D9-3AEE3EBC9C55}"/>
    <cellStyle name="Comma 3 7 3" xfId="2835" xr:uid="{15D235A9-A295-426D-9729-0C2201C20D60}"/>
    <cellStyle name="Comma 3 7 3 2" xfId="17435" xr:uid="{5FE2855F-B733-44A6-B0D7-02DB2B040004}"/>
    <cellStyle name="Comma 3 7 3 2 2" xfId="53943" xr:uid="{1493F2BE-C4EE-46EB-8326-AD85282CA1B8}"/>
    <cellStyle name="Comma 3 7 3 2 3" xfId="35689" xr:uid="{3B3E7E1C-1B5C-4C09-9D53-29F43BF4A3AE}"/>
    <cellStyle name="Comma 3 7 3 3" xfId="13785" xr:uid="{D394E7E3-0AFA-4DEF-8120-3A3566186EDE}"/>
    <cellStyle name="Comma 3 7 3 3 2" xfId="50293" xr:uid="{6D28E4F1-7863-4509-809D-72A62FBA7E85}"/>
    <cellStyle name="Comma 3 7 3 3 3" xfId="32039" xr:uid="{45177444-2C72-4464-90E8-EC3DE1FA7056}"/>
    <cellStyle name="Comma 3 7 3 4" xfId="10135" xr:uid="{A07FBF87-16EC-4B0F-BBC1-3602401CC977}"/>
    <cellStyle name="Comma 3 7 3 4 2" xfId="46643" xr:uid="{34204800-C32D-41CE-8198-5263A395D9B1}"/>
    <cellStyle name="Comma 3 7 3 4 3" xfId="28389" xr:uid="{1B6CEEDC-0420-409C-BD6F-1A34533E035B}"/>
    <cellStyle name="Comma 3 7 3 5" xfId="6485" xr:uid="{A33AFF23-52E0-422D-9516-BAF17F021909}"/>
    <cellStyle name="Comma 3 7 3 5 2" xfId="42993" xr:uid="{738115E3-25AA-471F-884B-41498183BA14}"/>
    <cellStyle name="Comma 3 7 3 5 3" xfId="24739" xr:uid="{1FAC49D3-1562-46F2-988C-AA79190F89EC}"/>
    <cellStyle name="Comma 3 7 3 6" xfId="39343" xr:uid="{9494E6E8-F1CC-455C-8CD5-7E213181B257}"/>
    <cellStyle name="Comma 3 7 3 7" xfId="21089" xr:uid="{D16812BC-CA30-4C73-9233-54374B0F5360}"/>
    <cellStyle name="Comma 3 7 4" xfId="2105" xr:uid="{BB233CE9-4E55-4BF4-AEA1-EA8614FDAC1C}"/>
    <cellStyle name="Comma 3 7 4 2" xfId="16705" xr:uid="{9AAEA452-FE1C-480B-A7D8-D463F6D6D881}"/>
    <cellStyle name="Comma 3 7 4 2 2" xfId="53213" xr:uid="{A8B15590-4EF3-4D2D-AECE-965FE2DE9D88}"/>
    <cellStyle name="Comma 3 7 4 2 3" xfId="34959" xr:uid="{3610A987-E446-4C1E-ACD0-DC16916209AA}"/>
    <cellStyle name="Comma 3 7 4 3" xfId="13055" xr:uid="{8A58BDC7-9002-40CD-9C98-4836D1D2F7B7}"/>
    <cellStyle name="Comma 3 7 4 3 2" xfId="49563" xr:uid="{F1C9A23A-1434-4FF4-A138-B1E1575CBA35}"/>
    <cellStyle name="Comma 3 7 4 3 3" xfId="31309" xr:uid="{0AEAA5A2-20B9-42A3-9031-8E7F61D5F857}"/>
    <cellStyle name="Comma 3 7 4 4" xfId="9405" xr:uid="{E9CEF5A7-A83F-4973-B20E-45A0E213E1F7}"/>
    <cellStyle name="Comma 3 7 4 4 2" xfId="45913" xr:uid="{2B3BC67F-DDF2-4FFE-BFAA-0657772A1AF4}"/>
    <cellStyle name="Comma 3 7 4 4 3" xfId="27659" xr:uid="{40A52087-6A3D-4023-8200-905F9D002D52}"/>
    <cellStyle name="Comma 3 7 4 5" xfId="5755" xr:uid="{7209D5AF-2110-4E57-8115-7690487A7974}"/>
    <cellStyle name="Comma 3 7 4 5 2" xfId="42263" xr:uid="{FEAD27DB-4655-479C-812C-B20A3CBC2311}"/>
    <cellStyle name="Comma 3 7 4 5 3" xfId="24009" xr:uid="{B892160B-EADC-4F29-86AE-B09DD4717B7B}"/>
    <cellStyle name="Comma 3 7 4 6" xfId="38613" xr:uid="{D19C09CB-A1D7-4225-8633-0BB65A9E0C54}"/>
    <cellStyle name="Comma 3 7 4 7" xfId="20359" xr:uid="{2A02FB5E-6E88-44BC-954D-7205DDD490EC}"/>
    <cellStyle name="Comma 3 7 5" xfId="1375" xr:uid="{7268B649-F5AF-4091-AB50-1630089610F6}"/>
    <cellStyle name="Comma 3 7 5 2" xfId="15975" xr:uid="{C8F2CB7F-02AF-4AFD-8F22-15E8F1592492}"/>
    <cellStyle name="Comma 3 7 5 2 2" xfId="52483" xr:uid="{E84260C2-5862-4A2C-A48B-C17FB10EBA4E}"/>
    <cellStyle name="Comma 3 7 5 2 3" xfId="34229" xr:uid="{B5C78309-5CE0-4F0E-B5E2-FA784B5D72EF}"/>
    <cellStyle name="Comma 3 7 5 3" xfId="12325" xr:uid="{3A9FFDAE-6D0A-4C78-9235-726BABC0A7F1}"/>
    <cellStyle name="Comma 3 7 5 3 2" xfId="48833" xr:uid="{6FF0EB2E-0FD2-49E5-935A-E46B55821D9E}"/>
    <cellStyle name="Comma 3 7 5 3 3" xfId="30579" xr:uid="{DF70CAF7-23C5-40C1-8589-A69724D3ED09}"/>
    <cellStyle name="Comma 3 7 5 4" xfId="8675" xr:uid="{C999D9C1-673C-4B85-A7D6-915750B35F65}"/>
    <cellStyle name="Comma 3 7 5 4 2" xfId="45183" xr:uid="{28A7A440-82C8-4858-9144-D3F0036421FE}"/>
    <cellStyle name="Comma 3 7 5 4 3" xfId="26929" xr:uid="{F6F8E95E-24FA-46BE-9627-2A25E1C4E7A1}"/>
    <cellStyle name="Comma 3 7 5 5" xfId="5025" xr:uid="{D6C58A59-0364-460C-9259-AD1A114ED620}"/>
    <cellStyle name="Comma 3 7 5 5 2" xfId="41533" xr:uid="{80BA4BB1-1A29-400C-9E4F-54AA95A8217A}"/>
    <cellStyle name="Comma 3 7 5 5 3" xfId="23279" xr:uid="{077C4D2F-4D08-4B96-B6CD-72320B48D64E}"/>
    <cellStyle name="Comma 3 7 5 6" xfId="37883" xr:uid="{F23E4EAE-B42A-499D-A69C-F3884886B696}"/>
    <cellStyle name="Comma 3 7 5 7" xfId="19629" xr:uid="{7B1FC27E-7EBD-4867-A10F-205FE3F86C28}"/>
    <cellStyle name="Comma 3 7 6" xfId="15245" xr:uid="{EFA6F994-294E-45C2-9700-13536E7CDC57}"/>
    <cellStyle name="Comma 3 7 6 2" xfId="51753" xr:uid="{50EE6C6D-9CB8-438B-85FB-C798F376221B}"/>
    <cellStyle name="Comma 3 7 6 3" xfId="33499" xr:uid="{E4461289-8F6C-475F-B2E2-AFB95898D769}"/>
    <cellStyle name="Comma 3 7 7" xfId="11595" xr:uid="{B84BA3CF-6CA0-44BA-A644-503208E3EFDE}"/>
    <cellStyle name="Comma 3 7 7 2" xfId="48103" xr:uid="{E188DAAF-3DAF-4457-B969-A56A7D3D8365}"/>
    <cellStyle name="Comma 3 7 7 3" xfId="29849" xr:uid="{C17A2990-8534-4F5F-A52B-FEA82D5EA0BA}"/>
    <cellStyle name="Comma 3 7 8" xfId="7945" xr:uid="{459AB903-9D2E-43E6-95EF-5B0A620E04E7}"/>
    <cellStyle name="Comma 3 7 8 2" xfId="44453" xr:uid="{2CA1DBB9-0BDE-441E-B6DF-6BE4848AAA30}"/>
    <cellStyle name="Comma 3 7 8 3" xfId="26199" xr:uid="{2EAD880C-3C50-4973-81E2-AA64FC1A4E8A}"/>
    <cellStyle name="Comma 3 7 9" xfId="4295" xr:uid="{DABFEFB4-7844-4B25-B285-7460D164EF15}"/>
    <cellStyle name="Comma 3 7 9 2" xfId="40803" xr:uid="{23838505-0266-4D1A-899F-103C1C246996}"/>
    <cellStyle name="Comma 3 7 9 3" xfId="22549" xr:uid="{FA2FE161-5C79-429A-BA0B-6F3E3C949DC5}"/>
    <cellStyle name="Comma 3 8" xfId="541" xr:uid="{0DE55318-F862-4A87-AC43-2232CE23CCE6}"/>
    <cellStyle name="Comma 3 8 10" xfId="37049" xr:uid="{E184086F-8EDB-4DDB-A7EE-DB38C9165DDC}"/>
    <cellStyle name="Comma 3 8 11" xfId="18795" xr:uid="{40EE7ED7-90AF-4846-9DBD-F39E2CA2C412}"/>
    <cellStyle name="Comma 3 8 2" xfId="3461" xr:uid="{19969E5A-3416-407E-ADDA-7E6811D9D83C}"/>
    <cellStyle name="Comma 3 8 2 2" xfId="18061" xr:uid="{2C2236B7-03B1-4012-A6DD-A8D436036FDE}"/>
    <cellStyle name="Comma 3 8 2 2 2" xfId="54569" xr:uid="{33BD85F8-BDE3-4DEC-969A-1DFF4854C011}"/>
    <cellStyle name="Comma 3 8 2 2 3" xfId="36315" xr:uid="{DBFCFB63-5B12-443A-9E3A-4D2716F44BB3}"/>
    <cellStyle name="Comma 3 8 2 3" xfId="14411" xr:uid="{C11C5A13-6858-4836-BC75-DBC3D004C201}"/>
    <cellStyle name="Comma 3 8 2 3 2" xfId="50919" xr:uid="{FB5345F4-9055-40BA-9588-E3739970EAE2}"/>
    <cellStyle name="Comma 3 8 2 3 3" xfId="32665" xr:uid="{75EF3639-EB59-4582-9E25-3AA4C64E8DFD}"/>
    <cellStyle name="Comma 3 8 2 4" xfId="10761" xr:uid="{8FFDF13B-584B-4D8E-8D97-571F3C5F2320}"/>
    <cellStyle name="Comma 3 8 2 4 2" xfId="47269" xr:uid="{C5ABDA2A-B3FD-4360-8EF8-1BD85FA40B5F}"/>
    <cellStyle name="Comma 3 8 2 4 3" xfId="29015" xr:uid="{410BE620-3DAA-41D4-B108-3FAF9EA4948E}"/>
    <cellStyle name="Comma 3 8 2 5" xfId="7111" xr:uid="{4B039DF2-298F-48F3-80A3-733D842391F4}"/>
    <cellStyle name="Comma 3 8 2 5 2" xfId="43619" xr:uid="{5771311C-98EB-4A7B-BB40-AA37119D1E1B}"/>
    <cellStyle name="Comma 3 8 2 5 3" xfId="25365" xr:uid="{7F804117-A75F-4F0F-80C6-9FC7373FE067}"/>
    <cellStyle name="Comma 3 8 2 6" xfId="39969" xr:uid="{F320E8DF-3EE4-403C-AE00-2B33BC08D2BB}"/>
    <cellStyle name="Comma 3 8 2 7" xfId="21715" xr:uid="{B90232C1-49CF-4620-AC97-F23163AB9444}"/>
    <cellStyle name="Comma 3 8 3" xfId="2731" xr:uid="{32463F58-5D05-4854-BE92-8C0E3FC6B7E2}"/>
    <cellStyle name="Comma 3 8 3 2" xfId="17331" xr:uid="{00909B84-F094-4E88-9B48-2CBFDC0DFCB7}"/>
    <cellStyle name="Comma 3 8 3 2 2" xfId="53839" xr:uid="{ED73E66A-23ED-43A9-9867-B4FB266B745C}"/>
    <cellStyle name="Comma 3 8 3 2 3" xfId="35585" xr:uid="{6B75AF08-002C-4C05-9FC8-F0F0E7C8BAFC}"/>
    <cellStyle name="Comma 3 8 3 3" xfId="13681" xr:uid="{066878C9-D702-4C97-A514-876B658851C6}"/>
    <cellStyle name="Comma 3 8 3 3 2" xfId="50189" xr:uid="{AEA36B67-E06C-4886-BF46-4EA715D25A68}"/>
    <cellStyle name="Comma 3 8 3 3 3" xfId="31935" xr:uid="{86BD078C-9DF5-486D-9C99-8F4F7D05F9E8}"/>
    <cellStyle name="Comma 3 8 3 4" xfId="10031" xr:uid="{C2EBE68A-23CE-49A2-9458-8816354FA47C}"/>
    <cellStyle name="Comma 3 8 3 4 2" xfId="46539" xr:uid="{F23998D4-2B14-4476-9D76-2A36B6881815}"/>
    <cellStyle name="Comma 3 8 3 4 3" xfId="28285" xr:uid="{3D20885C-3C46-48E3-9FA9-9A283A60B4DD}"/>
    <cellStyle name="Comma 3 8 3 5" xfId="6381" xr:uid="{2E6ECED8-EF8A-430F-AFDD-F03B9FD3695A}"/>
    <cellStyle name="Comma 3 8 3 5 2" xfId="42889" xr:uid="{A95D4D61-0DFE-4465-A637-687A04CBC0BF}"/>
    <cellStyle name="Comma 3 8 3 5 3" xfId="24635" xr:uid="{6136D879-42A1-4517-93BC-B8C22DC8221E}"/>
    <cellStyle name="Comma 3 8 3 6" xfId="39239" xr:uid="{DDBEDBAC-5E7F-490F-92CA-852B63C6AD4E}"/>
    <cellStyle name="Comma 3 8 3 7" xfId="20985" xr:uid="{0075ECBC-ADE5-4580-96BE-761AC73624E0}"/>
    <cellStyle name="Comma 3 8 4" xfId="2001" xr:uid="{9CC381E6-F74A-4F6A-A4A2-540A0A04C9CC}"/>
    <cellStyle name="Comma 3 8 4 2" xfId="16601" xr:uid="{C7B16FF2-DC0F-4296-87A6-B760BB87B597}"/>
    <cellStyle name="Comma 3 8 4 2 2" xfId="53109" xr:uid="{602E9414-AE16-4D06-AE91-F79C4F609E64}"/>
    <cellStyle name="Comma 3 8 4 2 3" xfId="34855" xr:uid="{7B7940C3-4281-4367-925C-866A00EC3A97}"/>
    <cellStyle name="Comma 3 8 4 3" xfId="12951" xr:uid="{0AFC994A-211F-4C01-B2D9-095889EC0713}"/>
    <cellStyle name="Comma 3 8 4 3 2" xfId="49459" xr:uid="{5BB8F232-607D-4ECD-8A9A-4F5E228B8E23}"/>
    <cellStyle name="Comma 3 8 4 3 3" xfId="31205" xr:uid="{37CBCFDD-59E0-4F65-81BF-DF91E45A1601}"/>
    <cellStyle name="Comma 3 8 4 4" xfId="9301" xr:uid="{B217AA36-9B3C-4F12-B306-9C0670B9E3D5}"/>
    <cellStyle name="Comma 3 8 4 4 2" xfId="45809" xr:uid="{364AF78E-C838-414A-B9DA-18F1D60A0B66}"/>
    <cellStyle name="Comma 3 8 4 4 3" xfId="27555" xr:uid="{9660B879-2C1A-4FDF-9184-820E6525F24D}"/>
    <cellStyle name="Comma 3 8 4 5" xfId="5651" xr:uid="{DCFB9C38-AB9B-4AAB-AA14-23C5B7ED7A69}"/>
    <cellStyle name="Comma 3 8 4 5 2" xfId="42159" xr:uid="{722080F6-E543-487C-A3FF-5A6A98B59963}"/>
    <cellStyle name="Comma 3 8 4 5 3" xfId="23905" xr:uid="{73DDA50C-F29F-4F5B-B1FF-A2AFEC6F38EE}"/>
    <cellStyle name="Comma 3 8 4 6" xfId="38509" xr:uid="{727D0F63-4001-4AF7-A3FB-310A296910B2}"/>
    <cellStyle name="Comma 3 8 4 7" xfId="20255" xr:uid="{AC50DBC7-E614-4C9A-9811-B4D1E8C4B05E}"/>
    <cellStyle name="Comma 3 8 5" xfId="1271" xr:uid="{4E0B9F21-9504-483D-9521-163326F54A0E}"/>
    <cellStyle name="Comma 3 8 5 2" xfId="15871" xr:uid="{6147A00C-3B6D-47E3-B3F4-96197D0B6946}"/>
    <cellStyle name="Comma 3 8 5 2 2" xfId="52379" xr:uid="{8E6392BF-DE17-4BB9-A749-0B7B8512D630}"/>
    <cellStyle name="Comma 3 8 5 2 3" xfId="34125" xr:uid="{D0AC5593-1C5D-413E-A5F4-7915FDAB2082}"/>
    <cellStyle name="Comma 3 8 5 3" xfId="12221" xr:uid="{D5CA6FEB-E8FE-4C76-8ECB-283661716642}"/>
    <cellStyle name="Comma 3 8 5 3 2" xfId="48729" xr:uid="{928C8902-143F-41F5-8322-26CDE24E9C90}"/>
    <cellStyle name="Comma 3 8 5 3 3" xfId="30475" xr:uid="{D28D7440-407E-42E7-943E-33FC16A15100}"/>
    <cellStyle name="Comma 3 8 5 4" xfId="8571" xr:uid="{76E6AA08-A8A4-433B-8B69-BA2FE15F05B5}"/>
    <cellStyle name="Comma 3 8 5 4 2" xfId="45079" xr:uid="{6C9531DC-7902-4A9A-93BA-9AF9400AC704}"/>
    <cellStyle name="Comma 3 8 5 4 3" xfId="26825" xr:uid="{52C51A68-6FD6-40EE-8B25-F8B004341F2F}"/>
    <cellStyle name="Comma 3 8 5 5" xfId="4921" xr:uid="{1421FB9B-1168-4883-A4F4-BBEB0ED4E6C2}"/>
    <cellStyle name="Comma 3 8 5 5 2" xfId="41429" xr:uid="{ED1E4FDD-37D4-42CA-8119-23F1AB5B4272}"/>
    <cellStyle name="Comma 3 8 5 5 3" xfId="23175" xr:uid="{BBD11D9C-FDA4-421F-95C4-5C3C2CFB6322}"/>
    <cellStyle name="Comma 3 8 5 6" xfId="37779" xr:uid="{8AA5C1CE-06CA-4A68-8D22-03D925ACE083}"/>
    <cellStyle name="Comma 3 8 5 7" xfId="19525" xr:uid="{7039AFD9-1F6B-4A1F-8F25-E75C99D88675}"/>
    <cellStyle name="Comma 3 8 6" xfId="15141" xr:uid="{F42FEFCD-983A-4767-9EAD-AE7DC4B3F66C}"/>
    <cellStyle name="Comma 3 8 6 2" xfId="51649" xr:uid="{756CAE22-98C2-4EBF-B3C9-3A8011D57066}"/>
    <cellStyle name="Comma 3 8 6 3" xfId="33395" xr:uid="{A7C4264C-1140-42FF-A38C-A362A5F82ECA}"/>
    <cellStyle name="Comma 3 8 7" xfId="11491" xr:uid="{31574647-5FE0-4686-9D28-218B1CF2CA03}"/>
    <cellStyle name="Comma 3 8 7 2" xfId="47999" xr:uid="{172E7809-E2B2-4144-8A2B-F5EA0AFE6618}"/>
    <cellStyle name="Comma 3 8 7 3" xfId="29745" xr:uid="{D2666673-B043-4DD7-AF7D-638599F27426}"/>
    <cellStyle name="Comma 3 8 8" xfId="7841" xr:uid="{B366E293-F711-4A17-87AA-F59DB3BA4753}"/>
    <cellStyle name="Comma 3 8 8 2" xfId="44349" xr:uid="{244B990A-33D4-469C-A5E5-ADA9D5832BFA}"/>
    <cellStyle name="Comma 3 8 8 3" xfId="26095" xr:uid="{1CAF95FB-CA4B-47EE-B092-0712160802F0}"/>
    <cellStyle name="Comma 3 8 9" xfId="4191" xr:uid="{B5B8AF7F-39B8-414C-AC74-496987037A83}"/>
    <cellStyle name="Comma 3 8 9 2" xfId="40699" xr:uid="{D17EA75A-E2D5-4E55-B2AA-EF18A6F2086D}"/>
    <cellStyle name="Comma 3 8 9 3" xfId="22445" xr:uid="{7C4F0D24-E829-42A9-91BD-AA8C5A2BFB1F}"/>
    <cellStyle name="Comma 3 9" xfId="437" xr:uid="{0347A38A-9669-4A9D-866F-58434CD70BDA}"/>
    <cellStyle name="Comma 3 9 10" xfId="36945" xr:uid="{400A6D3F-5F61-46D7-BBAD-0BF92A787CF2}"/>
    <cellStyle name="Comma 3 9 11" xfId="18691" xr:uid="{A780C93C-F4EE-476B-9C3B-751CAAD39212}"/>
    <cellStyle name="Comma 3 9 2" xfId="3357" xr:uid="{521CC99E-27B6-4B80-B099-5C1886AD3B19}"/>
    <cellStyle name="Comma 3 9 2 2" xfId="17957" xr:uid="{2EAFBC6D-E800-4A4C-98FE-0A436DFA3B45}"/>
    <cellStyle name="Comma 3 9 2 2 2" xfId="54465" xr:uid="{45A927F4-B57C-42EE-91C7-5703483C71C5}"/>
    <cellStyle name="Comma 3 9 2 2 3" xfId="36211" xr:uid="{ABB8C9CF-98C9-401D-9123-E3359BE07883}"/>
    <cellStyle name="Comma 3 9 2 3" xfId="14307" xr:uid="{167332BF-8FC7-4157-9F89-C12ECA67B808}"/>
    <cellStyle name="Comma 3 9 2 3 2" xfId="50815" xr:uid="{6624D1FE-B0CC-417A-BE9B-1777157288BB}"/>
    <cellStyle name="Comma 3 9 2 3 3" xfId="32561" xr:uid="{2E286DD6-3C0B-407C-B64E-73B63B3165F3}"/>
    <cellStyle name="Comma 3 9 2 4" xfId="10657" xr:uid="{E217EDD7-4470-47DE-8578-FB0E3CC6D2A9}"/>
    <cellStyle name="Comma 3 9 2 4 2" xfId="47165" xr:uid="{886B14E5-3868-4461-87B1-B0F444E21FDE}"/>
    <cellStyle name="Comma 3 9 2 4 3" xfId="28911" xr:uid="{A2A2E2DE-2B52-4F61-89D6-FBCEA4515A24}"/>
    <cellStyle name="Comma 3 9 2 5" xfId="7007" xr:uid="{76AD1256-B9D9-45CF-9858-7C55518973C7}"/>
    <cellStyle name="Comma 3 9 2 5 2" xfId="43515" xr:uid="{7AF1006B-EDA7-4C7A-A5FE-CDDB7E923085}"/>
    <cellStyle name="Comma 3 9 2 5 3" xfId="25261" xr:uid="{CDA4F00A-B958-459F-9E63-F269FB1495B6}"/>
    <cellStyle name="Comma 3 9 2 6" xfId="39865" xr:uid="{AB65625B-32E8-45B9-A5C0-AE99AC36B998}"/>
    <cellStyle name="Comma 3 9 2 7" xfId="21611" xr:uid="{CDCBE447-CEE2-4B0E-BB10-AF74E3A4934A}"/>
    <cellStyle name="Comma 3 9 3" xfId="2627" xr:uid="{41B03810-6FC4-41EE-B566-94599C1151E7}"/>
    <cellStyle name="Comma 3 9 3 2" xfId="17227" xr:uid="{D49E4B77-2C0D-4F1B-900A-7FBC826E4084}"/>
    <cellStyle name="Comma 3 9 3 2 2" xfId="53735" xr:uid="{373CF4D9-EA67-419C-BB53-E215D7CBBADE}"/>
    <cellStyle name="Comma 3 9 3 2 3" xfId="35481" xr:uid="{98DD22A9-12A8-4F88-A331-40AEB3A4EFDD}"/>
    <cellStyle name="Comma 3 9 3 3" xfId="13577" xr:uid="{99CA4C0B-F22B-4118-86AB-9AD4E7D253AB}"/>
    <cellStyle name="Comma 3 9 3 3 2" xfId="50085" xr:uid="{5B25D63E-88E4-4052-828C-0BA7AA8B467A}"/>
    <cellStyle name="Comma 3 9 3 3 3" xfId="31831" xr:uid="{BD5CD0C7-8C0B-46E1-AAB0-726E7EDFCCB1}"/>
    <cellStyle name="Comma 3 9 3 4" xfId="9927" xr:uid="{F1580851-971F-483E-9E34-1354541755FF}"/>
    <cellStyle name="Comma 3 9 3 4 2" xfId="46435" xr:uid="{3B8F7ACA-7DD1-4D4C-89BC-318A4889D8A1}"/>
    <cellStyle name="Comma 3 9 3 4 3" xfId="28181" xr:uid="{5609D244-22AA-48F0-A648-F65EC1584690}"/>
    <cellStyle name="Comma 3 9 3 5" xfId="6277" xr:uid="{01EAB5E0-BBC7-4B71-AF09-C6B1D43EBC7C}"/>
    <cellStyle name="Comma 3 9 3 5 2" xfId="42785" xr:uid="{98709D98-9ADE-40B1-B003-ED4799D0DEAE}"/>
    <cellStyle name="Comma 3 9 3 5 3" xfId="24531" xr:uid="{7A9472E4-BD2B-4AF6-9BD9-DECFF24044DE}"/>
    <cellStyle name="Comma 3 9 3 6" xfId="39135" xr:uid="{E983FC48-74D7-47E4-AD00-8C9A8AE5BDFE}"/>
    <cellStyle name="Comma 3 9 3 7" xfId="20881" xr:uid="{B488BB7D-8991-4873-9FD8-C582E9630C8F}"/>
    <cellStyle name="Comma 3 9 4" xfId="1897" xr:uid="{58DD8023-8649-471A-9B54-C228484B5DEA}"/>
    <cellStyle name="Comma 3 9 4 2" xfId="16497" xr:uid="{4A80C202-FDB3-4187-82A3-6B6BB59AF009}"/>
    <cellStyle name="Comma 3 9 4 2 2" xfId="53005" xr:uid="{476B9D79-1276-44D2-AFBE-1FCFD49D4E55}"/>
    <cellStyle name="Comma 3 9 4 2 3" xfId="34751" xr:uid="{3CA0FEDC-0F8E-4867-9F7B-5B708D4596B7}"/>
    <cellStyle name="Comma 3 9 4 3" xfId="12847" xr:uid="{DC6A1E6C-4102-4860-AA44-26FECF913D21}"/>
    <cellStyle name="Comma 3 9 4 3 2" xfId="49355" xr:uid="{FCE440FC-2999-4441-BC49-34345375C09F}"/>
    <cellStyle name="Comma 3 9 4 3 3" xfId="31101" xr:uid="{4ABC0BBA-CAA0-4327-8311-F58DEB6C9C3B}"/>
    <cellStyle name="Comma 3 9 4 4" xfId="9197" xr:uid="{FD6D4DD1-3F22-44AB-B219-D95CEE6E820F}"/>
    <cellStyle name="Comma 3 9 4 4 2" xfId="45705" xr:uid="{2CCA4BD9-F4F3-43F8-A563-FB70B27B218A}"/>
    <cellStyle name="Comma 3 9 4 4 3" xfId="27451" xr:uid="{73F3004A-5139-4FE7-B720-E4868C227BF4}"/>
    <cellStyle name="Comma 3 9 4 5" xfId="5547" xr:uid="{8BA702BC-5683-44B6-A972-7C59EF8E3E7E}"/>
    <cellStyle name="Comma 3 9 4 5 2" xfId="42055" xr:uid="{1FE8A7DD-ECE2-4EB4-9DA3-482772DFBDC9}"/>
    <cellStyle name="Comma 3 9 4 5 3" xfId="23801" xr:uid="{AC2CF716-46BB-4D5C-931E-A81C72EA2E7F}"/>
    <cellStyle name="Comma 3 9 4 6" xfId="38405" xr:uid="{E065234C-1D0E-4221-8E74-7320DEFEB40C}"/>
    <cellStyle name="Comma 3 9 4 7" xfId="20151" xr:uid="{66128AE1-DCE0-4269-99A2-0854D43864B3}"/>
    <cellStyle name="Comma 3 9 5" xfId="1167" xr:uid="{EE552FF3-6364-4378-81D9-69C14F340A0A}"/>
    <cellStyle name="Comma 3 9 5 2" xfId="15767" xr:uid="{C48D4570-4156-4231-A02A-C3DF5D2B4050}"/>
    <cellStyle name="Comma 3 9 5 2 2" xfId="52275" xr:uid="{74B91A19-D1E0-4253-8135-8AA7F2CC18C4}"/>
    <cellStyle name="Comma 3 9 5 2 3" xfId="34021" xr:uid="{B3775041-EB1F-41D9-ABC9-B5E1DD99EAF1}"/>
    <cellStyle name="Comma 3 9 5 3" xfId="12117" xr:uid="{EC89DBBC-8564-4935-9FAD-3AB783AE8F7E}"/>
    <cellStyle name="Comma 3 9 5 3 2" xfId="48625" xr:uid="{AE437049-EC56-4EE4-9ED8-B95B37AA5BD3}"/>
    <cellStyle name="Comma 3 9 5 3 3" xfId="30371" xr:uid="{5B148D59-095C-4553-A679-7759B0294E23}"/>
    <cellStyle name="Comma 3 9 5 4" xfId="8467" xr:uid="{6EFEB236-A3A3-4045-B7A3-A365E0BB0F2D}"/>
    <cellStyle name="Comma 3 9 5 4 2" xfId="44975" xr:uid="{0ECC1F2B-9CFD-4D2A-8797-AD0D48F87780}"/>
    <cellStyle name="Comma 3 9 5 4 3" xfId="26721" xr:uid="{EAEF4D80-811E-4963-B0DF-C63FED4C8062}"/>
    <cellStyle name="Comma 3 9 5 5" xfId="4817" xr:uid="{3407C100-3A16-47A2-8255-B926C7A4811D}"/>
    <cellStyle name="Comma 3 9 5 5 2" xfId="41325" xr:uid="{C9B4A21D-4BAA-4D79-90A4-B4416E25D65A}"/>
    <cellStyle name="Comma 3 9 5 5 3" xfId="23071" xr:uid="{1E44BE5B-5A6D-4F19-83E2-B3B5E1CFC970}"/>
    <cellStyle name="Comma 3 9 5 6" xfId="37675" xr:uid="{012EABD6-7E9C-4801-BF54-267ED4DB02CD}"/>
    <cellStyle name="Comma 3 9 5 7" xfId="19421" xr:uid="{0C892C76-9190-4220-800B-F21DDE936016}"/>
    <cellStyle name="Comma 3 9 6" xfId="15037" xr:uid="{6CD63C3C-3863-4DDC-8245-62D9D89A7DED}"/>
    <cellStyle name="Comma 3 9 6 2" xfId="51545" xr:uid="{8927E81C-935B-4298-8B53-D5DD3DA34A2B}"/>
    <cellStyle name="Comma 3 9 6 3" xfId="33291" xr:uid="{48EAADEC-8BC5-4CBF-B2B9-08ECF0DE4E2A}"/>
    <cellStyle name="Comma 3 9 7" xfId="11387" xr:uid="{0B16D5CC-5F58-4538-A298-F1B11DC11781}"/>
    <cellStyle name="Comma 3 9 7 2" xfId="47895" xr:uid="{72317320-AA6C-41D9-8334-8B45E652B7F3}"/>
    <cellStyle name="Comma 3 9 7 3" xfId="29641" xr:uid="{0192B164-628A-482E-8D35-47B9DAE899F9}"/>
    <cellStyle name="Comma 3 9 8" xfId="7737" xr:uid="{EE9FCC0A-532D-4511-B1E4-4FD9EE219B02}"/>
    <cellStyle name="Comma 3 9 8 2" xfId="44245" xr:uid="{E8687857-6770-48A3-A656-79C03EC1AF39}"/>
    <cellStyle name="Comma 3 9 8 3" xfId="25991" xr:uid="{1AFA4F37-5410-4076-8453-3393F04713D5}"/>
    <cellStyle name="Comma 3 9 9" xfId="4087" xr:uid="{EE8D04FB-DD06-4A4E-9A17-66F2033B1FA4}"/>
    <cellStyle name="Comma 3 9 9 2" xfId="40595" xr:uid="{154AE66B-B108-42DE-8019-25C752F3F0EF}"/>
    <cellStyle name="Comma 3 9 9 3" xfId="22341" xr:uid="{F45A4878-A9FA-4DE0-BC17-A54D4C5FF5B1}"/>
    <cellStyle name="Comma 30" xfId="18270" xr:uid="{A4A5C5F0-D031-46F0-9C73-288B95E0666D}"/>
    <cellStyle name="Comma 30 2" xfId="54778" xr:uid="{96B11FD8-57D0-4F8D-A78A-50134BE401B2}"/>
    <cellStyle name="Comma 30 3" xfId="36524" xr:uid="{EDCE385C-3819-4017-96E3-A15156117394}"/>
    <cellStyle name="Comma 31" xfId="18271" xr:uid="{4422263F-9DF2-4646-A40E-B202382B327D}"/>
    <cellStyle name="Comma 31 2" xfId="54779" xr:uid="{081AAC39-FD69-4CE6-A2E9-C9D12DCA210C}"/>
    <cellStyle name="Comma 31 3" xfId="36525" xr:uid="{78BC5681-17AD-44B7-8BF3-8B90BECDEEB2}"/>
    <cellStyle name="Comma 32" xfId="18272" xr:uid="{C8912E29-5703-4B65-965B-2D72C3A1E854}"/>
    <cellStyle name="Comma 32 2" xfId="54780" xr:uid="{FAE492EC-2CB8-4CA0-B241-C3175C4CBAAB}"/>
    <cellStyle name="Comma 32 3" xfId="36526" xr:uid="{9023061F-B5FC-493B-B171-F9D9DD590D0E}"/>
    <cellStyle name="Comma 33" xfId="14619" xr:uid="{9BE7CF01-2262-45D0-BB8C-DFA5B9BE9988}"/>
    <cellStyle name="Comma 33 2" xfId="51127" xr:uid="{90D97B3C-34D9-4724-96F0-811ECBCCF884}"/>
    <cellStyle name="Comma 33 3" xfId="32873" xr:uid="{A3BFE9BD-E48D-42B5-B0E2-E0830DC0C347}"/>
    <cellStyle name="Comma 34" xfId="10969" xr:uid="{5C93DF17-5427-4F43-BEF1-259886D24810}"/>
    <cellStyle name="Comma 34 2" xfId="47477" xr:uid="{DC0CF4FF-8557-433F-9E81-55B860320EB6}"/>
    <cellStyle name="Comma 34 3" xfId="29223" xr:uid="{12675125-7354-4FE6-95CB-56B1CA3F2BE1}"/>
    <cellStyle name="Comma 35" xfId="7319" xr:uid="{7A05D408-2AB9-48A2-AE17-C0C6103B703E}"/>
    <cellStyle name="Comma 35 2" xfId="43827" xr:uid="{6A5C2FA3-57B3-456D-9B91-C6D8B5E7BB7F}"/>
    <cellStyle name="Comma 35 3" xfId="25573" xr:uid="{E88A93BD-10BD-455B-A05C-3E7775976DD9}"/>
    <cellStyle name="Comma 36" xfId="3669" xr:uid="{32223993-43EB-4F39-AC75-5A04A861F08A}"/>
    <cellStyle name="Comma 36 2" xfId="40177" xr:uid="{28DDFF88-FCD5-49E3-AEFB-B7A2B8AB3CE7}"/>
    <cellStyle name="Comma 36 3" xfId="21923" xr:uid="{C7B094F3-C6EF-4EAA-B20F-913F972077DD}"/>
    <cellStyle name="Comma 37" xfId="54781" xr:uid="{377C0740-0708-41C3-AF9A-56A558D542A2}"/>
    <cellStyle name="Comma 38" xfId="54782" xr:uid="{2E046BC1-1450-41F4-AD5A-0EEEC202795B}"/>
    <cellStyle name="Comma 39" xfId="36527" xr:uid="{3A08E52F-BC80-47D5-B081-F06F2C6E20F4}"/>
    <cellStyle name="Comma 4 10" xfId="231" xr:uid="{B491A6A6-74E3-42ED-A58F-A2BB8E64B802}"/>
    <cellStyle name="Comma 4 10 10" xfId="36739" xr:uid="{A6779E97-B06F-4614-B885-76A804DBABEC}"/>
    <cellStyle name="Comma 4 10 11" xfId="18485" xr:uid="{FFBF916B-8A20-4F6D-B0BB-315B1150A46F}"/>
    <cellStyle name="Comma 4 10 2" xfId="3151" xr:uid="{3FC4B36E-E499-4B5A-9DB2-7C166253E2A2}"/>
    <cellStyle name="Comma 4 10 2 2" xfId="17751" xr:uid="{837C348C-824D-419E-8787-BAEBDCFCD8AC}"/>
    <cellStyle name="Comma 4 10 2 2 2" xfId="54259" xr:uid="{B4916B0E-D002-4268-AD9D-586856A0F720}"/>
    <cellStyle name="Comma 4 10 2 2 3" xfId="36005" xr:uid="{3D91D0C0-E75F-4035-AD92-3498C8650DEF}"/>
    <cellStyle name="Comma 4 10 2 3" xfId="14101" xr:uid="{C3C95DAD-7BDB-4F6A-9C9F-B6B0D83F11CA}"/>
    <cellStyle name="Comma 4 10 2 3 2" xfId="50609" xr:uid="{CE1FB774-65DA-4242-A9FA-883E7E060B2F}"/>
    <cellStyle name="Comma 4 10 2 3 3" xfId="32355" xr:uid="{015C4B0F-A448-4CFD-9635-2F417596771A}"/>
    <cellStyle name="Comma 4 10 2 4" xfId="10451" xr:uid="{107FB820-BD81-460F-ABFF-08F2776B9B1B}"/>
    <cellStyle name="Comma 4 10 2 4 2" xfId="46959" xr:uid="{D1519E63-763C-4CA8-B726-330E618F22DE}"/>
    <cellStyle name="Comma 4 10 2 4 3" xfId="28705" xr:uid="{46E143D9-EBBF-471F-A38E-0BC28D9DFB87}"/>
    <cellStyle name="Comma 4 10 2 5" xfId="6801" xr:uid="{6CA1FFA6-BEA7-4B7D-9021-06A53CE780D2}"/>
    <cellStyle name="Comma 4 10 2 5 2" xfId="43309" xr:uid="{B3ECF339-63C2-49FF-979A-81F612ED5206}"/>
    <cellStyle name="Comma 4 10 2 5 3" xfId="25055" xr:uid="{0276CBCE-2068-47D4-B637-220299AA8364}"/>
    <cellStyle name="Comma 4 10 2 6" xfId="39659" xr:uid="{32DE1584-AB6E-48CE-BD8B-80BFE18EE39D}"/>
    <cellStyle name="Comma 4 10 2 7" xfId="21405" xr:uid="{74C35C72-E06E-4012-889D-03405C7A7606}"/>
    <cellStyle name="Comma 4 10 3" xfId="2421" xr:uid="{BD585794-CBAA-4C60-BD2C-C57E916F5C19}"/>
    <cellStyle name="Comma 4 10 3 2" xfId="17021" xr:uid="{4581D5F2-2791-4E69-B914-373C150E33E8}"/>
    <cellStyle name="Comma 4 10 3 2 2" xfId="53529" xr:uid="{2BEC6D2A-148F-42A1-BB9D-A24BD316B853}"/>
    <cellStyle name="Comma 4 10 3 2 3" xfId="35275" xr:uid="{A5D378DB-BFFA-4FE7-8EC1-C30DD233B635}"/>
    <cellStyle name="Comma 4 10 3 3" xfId="13371" xr:uid="{C38A5E40-1375-436E-AA04-BE05DAF6D13B}"/>
    <cellStyle name="Comma 4 10 3 3 2" xfId="49879" xr:uid="{B24309ED-239E-44E4-8289-1E916B2173FE}"/>
    <cellStyle name="Comma 4 10 3 3 3" xfId="31625" xr:uid="{A61B8D82-990D-4BDA-B796-ECC12CDD8A91}"/>
    <cellStyle name="Comma 4 10 3 4" xfId="9721" xr:uid="{12CB54D0-7FA1-4E87-9185-8A6A2F25B3EC}"/>
    <cellStyle name="Comma 4 10 3 4 2" xfId="46229" xr:uid="{954BADF5-E6E2-49D4-9FA7-BE17EBCE9BBA}"/>
    <cellStyle name="Comma 4 10 3 4 3" xfId="27975" xr:uid="{EA69CCC8-9467-49A8-A723-9F55A1CB6E2F}"/>
    <cellStyle name="Comma 4 10 3 5" xfId="6071" xr:uid="{53FEB5F1-6601-4E98-B3DC-EF6F8A7AC306}"/>
    <cellStyle name="Comma 4 10 3 5 2" xfId="42579" xr:uid="{ADFE5F73-737B-41BE-88CC-5F72036029FE}"/>
    <cellStyle name="Comma 4 10 3 5 3" xfId="24325" xr:uid="{C5D03AFB-446B-478B-BB4D-AEA4351A0D69}"/>
    <cellStyle name="Comma 4 10 3 6" xfId="38929" xr:uid="{3516E292-1E72-4B8A-AFD6-AD22FC1D1B6D}"/>
    <cellStyle name="Comma 4 10 3 7" xfId="20675" xr:uid="{FE37EE24-6C13-41D5-A092-40AAF47F6413}"/>
    <cellStyle name="Comma 4 10 4" xfId="1691" xr:uid="{EAD7894C-440B-4774-9D08-107EE38E4778}"/>
    <cellStyle name="Comma 4 10 4 2" xfId="16291" xr:uid="{E31949D2-69AC-459C-851E-2F9FE8855940}"/>
    <cellStyle name="Comma 4 10 4 2 2" xfId="52799" xr:uid="{5B658C0C-2A3F-4888-9264-84296BC85D06}"/>
    <cellStyle name="Comma 4 10 4 2 3" xfId="34545" xr:uid="{913952A2-2AF2-4506-AC22-6E91912BE69A}"/>
    <cellStyle name="Comma 4 10 4 3" xfId="12641" xr:uid="{E5597700-2CDE-4D22-BB61-90C19127BC4B}"/>
    <cellStyle name="Comma 4 10 4 3 2" xfId="49149" xr:uid="{690FE837-FFEB-4226-878D-0B3404C5A410}"/>
    <cellStyle name="Comma 4 10 4 3 3" xfId="30895" xr:uid="{6A0BC856-4753-4051-B8EC-FE67F2DB5F08}"/>
    <cellStyle name="Comma 4 10 4 4" xfId="8991" xr:uid="{DBB76493-C419-45FE-A23D-2AC65BCE8CAD}"/>
    <cellStyle name="Comma 4 10 4 4 2" xfId="45499" xr:uid="{42FB8E8F-C731-4973-8AFA-C0892DDF2232}"/>
    <cellStyle name="Comma 4 10 4 4 3" xfId="27245" xr:uid="{0D75F10E-11EE-4408-B9B2-9A3CD2A73996}"/>
    <cellStyle name="Comma 4 10 4 5" xfId="5341" xr:uid="{BBE95004-C16C-422E-A17B-BC5B86B82936}"/>
    <cellStyle name="Comma 4 10 4 5 2" xfId="41849" xr:uid="{AF089274-A3E3-4744-AD11-C48F15048BDB}"/>
    <cellStyle name="Comma 4 10 4 5 3" xfId="23595" xr:uid="{A53D68BB-C590-40F0-9A8E-51E247859078}"/>
    <cellStyle name="Comma 4 10 4 6" xfId="38199" xr:uid="{04DE0CC0-F553-4818-8BE4-6B6532B3E9A6}"/>
    <cellStyle name="Comma 4 10 4 7" xfId="19945" xr:uid="{3EC311C2-55AF-4DA1-B5E2-6D8B6335014A}"/>
    <cellStyle name="Comma 4 10 5" xfId="961" xr:uid="{031BBFB1-4678-4594-ADFC-96C9986A4977}"/>
    <cellStyle name="Comma 4 10 5 2" xfId="15561" xr:uid="{885BB8F9-6E03-4033-8FF0-71BFD22ECE64}"/>
    <cellStyle name="Comma 4 10 5 2 2" xfId="52069" xr:uid="{F08E3C78-FD72-46FA-9AB8-472BFA702E5C}"/>
    <cellStyle name="Comma 4 10 5 2 3" xfId="33815" xr:uid="{10888E44-F5BD-438B-BB5C-6327CF840456}"/>
    <cellStyle name="Comma 4 10 5 3" xfId="11911" xr:uid="{1FF084C6-36CF-424D-99F5-ACB593C494DB}"/>
    <cellStyle name="Comma 4 10 5 3 2" xfId="48419" xr:uid="{2C35E22D-E093-47C0-9257-0B98B7BACAC0}"/>
    <cellStyle name="Comma 4 10 5 3 3" xfId="30165" xr:uid="{782FA123-63D5-456B-BC2B-DE4E1747DF0A}"/>
    <cellStyle name="Comma 4 10 5 4" xfId="8261" xr:uid="{E4D23EB0-BA4D-4C8E-A954-EB6DF418BD1E}"/>
    <cellStyle name="Comma 4 10 5 4 2" xfId="44769" xr:uid="{D9CA4DA9-55DD-40D8-8A1B-A28BE5F0313B}"/>
    <cellStyle name="Comma 4 10 5 4 3" xfId="26515" xr:uid="{819B4321-721B-471A-8DB0-D6493761962B}"/>
    <cellStyle name="Comma 4 10 5 5" xfId="4611" xr:uid="{0ABFCC9E-14AB-4E9F-9D79-2F7C9ACC1A2E}"/>
    <cellStyle name="Comma 4 10 5 5 2" xfId="41119" xr:uid="{7E8AB633-3BBE-48FB-B7EA-237AD316575D}"/>
    <cellStyle name="Comma 4 10 5 5 3" xfId="22865" xr:uid="{D6B12B31-5C39-4C29-8CDE-AB55E68DC4FE}"/>
    <cellStyle name="Comma 4 10 5 6" xfId="37469" xr:uid="{3F9C17EC-6080-4508-AF7A-FF79E432DD38}"/>
    <cellStyle name="Comma 4 10 5 7" xfId="19215" xr:uid="{A740D8F6-8CAD-43D5-A5AF-E9696FE0D8C7}"/>
    <cellStyle name="Comma 4 10 6" xfId="14831" xr:uid="{3EFA51FF-EECC-49C6-9AAD-F1ED91873162}"/>
    <cellStyle name="Comma 4 10 6 2" xfId="51339" xr:uid="{165BCEFE-4718-46EC-9BC4-09C61F372CE9}"/>
    <cellStyle name="Comma 4 10 6 3" xfId="33085" xr:uid="{7E45BFD5-159A-4412-AA06-AB931083C3E7}"/>
    <cellStyle name="Comma 4 10 7" xfId="11181" xr:uid="{F281F1FC-E5BE-4F07-BB38-6BEF0774CA31}"/>
    <cellStyle name="Comma 4 10 7 2" xfId="47689" xr:uid="{AE5FE059-FCC2-4693-A340-2B7D90FCD598}"/>
    <cellStyle name="Comma 4 10 7 3" xfId="29435" xr:uid="{2878E463-89CD-47F7-85CE-BD8216185B84}"/>
    <cellStyle name="Comma 4 10 8" xfId="7531" xr:uid="{3E77CC88-762E-4837-BC77-45E49B2E488D}"/>
    <cellStyle name="Comma 4 10 8 2" xfId="44039" xr:uid="{066C489F-87DA-4703-9A6A-86D5F62F5C55}"/>
    <cellStyle name="Comma 4 10 8 3" xfId="25785" xr:uid="{714B855E-4DC8-4F3A-A2F9-12A13E40D067}"/>
    <cellStyle name="Comma 4 10 9" xfId="3881" xr:uid="{B552FFEE-18D6-47EF-83DB-A7F5080219D7}"/>
    <cellStyle name="Comma 4 10 9 2" xfId="40389" xr:uid="{AE7504AA-49E2-43CB-BFA6-3C2B50708944}"/>
    <cellStyle name="Comma 4 10 9 3" xfId="22135" xr:uid="{EA68EE21-3608-4245-90A8-D906EA5CB21C}"/>
    <cellStyle name="Comma 4 11" xfId="127" xr:uid="{E215FA6D-67AF-4584-B56A-6EE36BF74C78}"/>
    <cellStyle name="Comma 4 11 10" xfId="36635" xr:uid="{3183DB29-0F28-4EB1-AD3B-0910A1D48286}"/>
    <cellStyle name="Comma 4 11 11" xfId="18381" xr:uid="{5DBFCE25-ED40-4FC4-B1A5-1E83F8CBBCD6}"/>
    <cellStyle name="Comma 4 11 2" xfId="3047" xr:uid="{1F5E1589-5FE4-476E-BD0E-993EE2EC2DBD}"/>
    <cellStyle name="Comma 4 11 2 2" xfId="17647" xr:uid="{41495363-56D0-471D-BF88-6F8E6B5A5488}"/>
    <cellStyle name="Comma 4 11 2 2 2" xfId="54155" xr:uid="{A35FED0D-51BB-4F61-8D99-43DE4B6FCEEF}"/>
    <cellStyle name="Comma 4 11 2 2 3" xfId="35901" xr:uid="{62BE4E33-A76B-436A-8CF3-0E472251AEB4}"/>
    <cellStyle name="Comma 4 11 2 3" xfId="13997" xr:uid="{C4408F16-D05B-4D5E-84D5-A106953AE37C}"/>
    <cellStyle name="Comma 4 11 2 3 2" xfId="50505" xr:uid="{CE371B95-A168-4089-BEFB-6C6561D4DB73}"/>
    <cellStyle name="Comma 4 11 2 3 3" xfId="32251" xr:uid="{1703BB3B-D14C-4632-9A2A-EE6116262B71}"/>
    <cellStyle name="Comma 4 11 2 4" xfId="10347" xr:uid="{F94BEA04-45D1-4B0C-9F45-175FD163C493}"/>
    <cellStyle name="Comma 4 11 2 4 2" xfId="46855" xr:uid="{8BA87E7A-C33F-48C5-AFE9-9277253C655D}"/>
    <cellStyle name="Comma 4 11 2 4 3" xfId="28601" xr:uid="{DA78731A-EFD7-4A22-9F99-98AEA7719812}"/>
    <cellStyle name="Comma 4 11 2 5" xfId="6697" xr:uid="{D87D0ACE-9B13-43B9-B295-7B28037DC508}"/>
    <cellStyle name="Comma 4 11 2 5 2" xfId="43205" xr:uid="{06F66EED-EA23-4898-99E8-37AC4C230FEE}"/>
    <cellStyle name="Comma 4 11 2 5 3" xfId="24951" xr:uid="{35D14E1B-59B7-4CFD-818F-8C7C9FB0A664}"/>
    <cellStyle name="Comma 4 11 2 6" xfId="39555" xr:uid="{9C6F5E34-7150-4EF2-B120-E0385B4D2BFF}"/>
    <cellStyle name="Comma 4 11 2 7" xfId="21301" xr:uid="{F7B11704-ED3C-4619-BAB1-89F354352C97}"/>
    <cellStyle name="Comma 4 11 3" xfId="2317" xr:uid="{FF0397F8-872B-4652-AE5C-95ABC653B7C8}"/>
    <cellStyle name="Comma 4 11 3 2" xfId="16917" xr:uid="{701C4C3E-B918-4A46-9465-5A4C97D8159D}"/>
    <cellStyle name="Comma 4 11 3 2 2" xfId="53425" xr:uid="{0D124B6C-776B-4EF3-A1A5-4A70286EECF5}"/>
    <cellStyle name="Comma 4 11 3 2 3" xfId="35171" xr:uid="{144B9970-4C39-474C-B6E3-FA5DF824D46F}"/>
    <cellStyle name="Comma 4 11 3 3" xfId="13267" xr:uid="{4B84A527-217B-42C5-BFDC-4098EF1558BF}"/>
    <cellStyle name="Comma 4 11 3 3 2" xfId="49775" xr:uid="{573C847E-334D-4868-813D-D7CEEB5529CF}"/>
    <cellStyle name="Comma 4 11 3 3 3" xfId="31521" xr:uid="{4A6CCD62-C546-4D8D-9C57-6EEE488CD3F4}"/>
    <cellStyle name="Comma 4 11 3 4" xfId="9617" xr:uid="{F851EB24-54C2-4970-B9F0-92155F0EEDC1}"/>
    <cellStyle name="Comma 4 11 3 4 2" xfId="46125" xr:uid="{21406067-B0AE-4872-9FA1-1732798CE4B1}"/>
    <cellStyle name="Comma 4 11 3 4 3" xfId="27871" xr:uid="{CFB5A2D8-50A3-4264-BB15-550E7CC22001}"/>
    <cellStyle name="Comma 4 11 3 5" xfId="5967" xr:uid="{13B1293B-5410-471A-B935-4A5104925791}"/>
    <cellStyle name="Comma 4 11 3 5 2" xfId="42475" xr:uid="{1E986975-4CC5-4853-A07F-087F347B1DA3}"/>
    <cellStyle name="Comma 4 11 3 5 3" xfId="24221" xr:uid="{64A640BB-5671-41D5-BF14-C99B5F6C944D}"/>
    <cellStyle name="Comma 4 11 3 6" xfId="38825" xr:uid="{FE44162F-8498-4CA6-919E-DE1C93F31E74}"/>
    <cellStyle name="Comma 4 11 3 7" xfId="20571" xr:uid="{A5C27F97-D025-450E-B9CD-3FA4C0734B66}"/>
    <cellStyle name="Comma 4 11 4" xfId="1587" xr:uid="{CE50F866-F9A4-4DFA-AB4D-F7B54B6D77DB}"/>
    <cellStyle name="Comma 4 11 4 2" xfId="16187" xr:uid="{09B54D73-2233-4E66-A88A-F05331C2C600}"/>
    <cellStyle name="Comma 4 11 4 2 2" xfId="52695" xr:uid="{7A6E8AB2-2163-4ED7-B23F-340E1F5C85AF}"/>
    <cellStyle name="Comma 4 11 4 2 3" xfId="34441" xr:uid="{B5025B52-B814-431C-9880-7D47C262414F}"/>
    <cellStyle name="Comma 4 11 4 3" xfId="12537" xr:uid="{1E47E276-9460-4F6D-9014-8AC0B6E35F40}"/>
    <cellStyle name="Comma 4 11 4 3 2" xfId="49045" xr:uid="{19C4EA68-9AB6-4EE8-9510-9CC39D8DE787}"/>
    <cellStyle name="Comma 4 11 4 3 3" xfId="30791" xr:uid="{756EBEF0-1373-4AF2-ADCC-0DA98470B6E6}"/>
    <cellStyle name="Comma 4 11 4 4" xfId="8887" xr:uid="{671DD58A-F5AE-47DF-B2AB-EC04DD93FA44}"/>
    <cellStyle name="Comma 4 11 4 4 2" xfId="45395" xr:uid="{B949C86C-6157-46CF-B02B-F2B96032D647}"/>
    <cellStyle name="Comma 4 11 4 4 3" xfId="27141" xr:uid="{DADFA6FA-AC0C-453D-8B09-50F18840EE31}"/>
    <cellStyle name="Comma 4 11 4 5" xfId="5237" xr:uid="{088B85B9-FACE-4B82-9DFF-96F602CA6669}"/>
    <cellStyle name="Comma 4 11 4 5 2" xfId="41745" xr:uid="{0079277D-96B6-4B43-AD54-D5D2D1AC246E}"/>
    <cellStyle name="Comma 4 11 4 5 3" xfId="23491" xr:uid="{33D5E6CF-7DB3-4B2E-A8F3-12F50449D3E2}"/>
    <cellStyle name="Comma 4 11 4 6" xfId="38095" xr:uid="{95162FE2-D800-4179-A7BF-DA1FBB9BE6D6}"/>
    <cellStyle name="Comma 4 11 4 7" xfId="19841" xr:uid="{A69B45A3-73E9-4840-9328-ADA936446617}"/>
    <cellStyle name="Comma 4 11 5" xfId="857" xr:uid="{93F68B51-E887-4498-B18D-812F93E5FFC8}"/>
    <cellStyle name="Comma 4 11 5 2" xfId="15457" xr:uid="{84AB031C-6890-4772-85F7-9B51BC9A53DF}"/>
    <cellStyle name="Comma 4 11 5 2 2" xfId="51965" xr:uid="{D56C0606-A1D7-4F9E-9CD0-74440E966465}"/>
    <cellStyle name="Comma 4 11 5 2 3" xfId="33711" xr:uid="{335D99E3-7007-41EF-85D8-595AF5817D54}"/>
    <cellStyle name="Comma 4 11 5 3" xfId="11807" xr:uid="{2533D376-2A4C-4F7C-9894-64A5845188DE}"/>
    <cellStyle name="Comma 4 11 5 3 2" xfId="48315" xr:uid="{8A18098A-4FC2-447F-99F5-4DACC0B1B538}"/>
    <cellStyle name="Comma 4 11 5 3 3" xfId="30061" xr:uid="{365B587B-43C6-4CA5-A50C-CA93EA56AC13}"/>
    <cellStyle name="Comma 4 11 5 4" xfId="8157" xr:uid="{61EF6BBB-5C0C-4BF5-8F3E-62C0D8340775}"/>
    <cellStyle name="Comma 4 11 5 4 2" xfId="44665" xr:uid="{20B87801-50F6-45A6-A296-9CAA9015CCE9}"/>
    <cellStyle name="Comma 4 11 5 4 3" xfId="26411" xr:uid="{A9844EEC-2A78-4D9D-B2CD-E02CF207556D}"/>
    <cellStyle name="Comma 4 11 5 5" xfId="4507" xr:uid="{4F226DA9-1D9C-4FB2-AA20-8C062D8D62C0}"/>
    <cellStyle name="Comma 4 11 5 5 2" xfId="41015" xr:uid="{BAAC0E5D-140D-4A0A-B934-0D640CDD3963}"/>
    <cellStyle name="Comma 4 11 5 5 3" xfId="22761" xr:uid="{23E6F70C-3DF9-45E1-9012-B4928E14FA18}"/>
    <cellStyle name="Comma 4 11 5 6" xfId="37365" xr:uid="{70ACB2CE-E347-477F-9C27-9D64D3138CE0}"/>
    <cellStyle name="Comma 4 11 5 7" xfId="19111" xr:uid="{4B5CA694-8EA3-421A-A454-4B9ED89FCD16}"/>
    <cellStyle name="Comma 4 11 6" xfId="14727" xr:uid="{55825C1E-C6AA-4B85-A2E7-E6B8EB936FE8}"/>
    <cellStyle name="Comma 4 11 6 2" xfId="51235" xr:uid="{B4C4B3FD-2D69-4E02-B8D5-E5ADC37F25B5}"/>
    <cellStyle name="Comma 4 11 6 3" xfId="32981" xr:uid="{793ED6BD-0A5B-418A-999F-40FD884AE62F}"/>
    <cellStyle name="Comma 4 11 7" xfId="11077" xr:uid="{6C3B1055-E08D-4A35-B0B6-248D471DAB94}"/>
    <cellStyle name="Comma 4 11 7 2" xfId="47585" xr:uid="{8AC2E913-A9C4-487B-B211-E1C9D1DD0080}"/>
    <cellStyle name="Comma 4 11 7 3" xfId="29331" xr:uid="{C9893E58-7FB2-43E9-B92A-EA28873C9026}"/>
    <cellStyle name="Comma 4 11 8" xfId="7427" xr:uid="{CAE37D75-7E03-4EE5-B26F-1F46B282A413}"/>
    <cellStyle name="Comma 4 11 8 2" xfId="43935" xr:uid="{8A55DA90-79B5-4FB9-A88B-D864A348C7E6}"/>
    <cellStyle name="Comma 4 11 8 3" xfId="25681" xr:uid="{53AF982E-E7C8-4B62-9195-53974B9B5225}"/>
    <cellStyle name="Comma 4 11 9" xfId="3777" xr:uid="{7FCB0EDE-DA4D-4FE8-B4F2-CFB4E1C61AA3}"/>
    <cellStyle name="Comma 4 11 9 2" xfId="40285" xr:uid="{FE1DC4CB-26E6-4463-9B8D-C3A721AF6578}"/>
    <cellStyle name="Comma 4 11 9 3" xfId="22031" xr:uid="{82E6B9F2-FB5A-47FB-A856-783514541448}"/>
    <cellStyle name="Comma 4 12" xfId="2943" xr:uid="{551C9E09-0CEE-46CA-A282-294D7C110C52}"/>
    <cellStyle name="Comma 4 12 2" xfId="17543" xr:uid="{2467F11C-FA44-418F-AFE4-8A1BA8B09FA1}"/>
    <cellStyle name="Comma 4 12 2 2" xfId="54051" xr:uid="{6B62CA13-354E-44F9-B13B-B6255BB81CF7}"/>
    <cellStyle name="Comma 4 12 2 3" xfId="35797" xr:uid="{5FFE3FDD-0E7E-49C0-8D99-8C8AEDCEB06C}"/>
    <cellStyle name="Comma 4 12 3" xfId="13893" xr:uid="{EAE325E2-F717-451C-B804-D13EC099387F}"/>
    <cellStyle name="Comma 4 12 3 2" xfId="50401" xr:uid="{BE0BF02B-D774-4DE7-836E-C83BC1D8C0E6}"/>
    <cellStyle name="Comma 4 12 3 3" xfId="32147" xr:uid="{6B14C483-C272-4D30-9F4C-5B094AA74A82}"/>
    <cellStyle name="Comma 4 12 4" xfId="10243" xr:uid="{0102B838-AF21-40AB-A98E-31E76D3344AF}"/>
    <cellStyle name="Comma 4 12 4 2" xfId="46751" xr:uid="{081B14B5-6855-460B-8605-7D3F62D51DF6}"/>
    <cellStyle name="Comma 4 12 4 3" xfId="28497" xr:uid="{92219310-816C-43DB-ABD5-568EE43DD059}"/>
    <cellStyle name="Comma 4 12 5" xfId="6593" xr:uid="{4FD929A3-EA46-4340-B486-B2D6C8A1F0CA}"/>
    <cellStyle name="Comma 4 12 5 2" xfId="43101" xr:uid="{E2258693-E7BD-44D6-9817-22B78D24EE84}"/>
    <cellStyle name="Comma 4 12 5 3" xfId="24847" xr:uid="{8E7E3F21-5845-435B-BE3D-5667CA0226FF}"/>
    <cellStyle name="Comma 4 12 6" xfId="39451" xr:uid="{BF462472-FF12-45E4-A096-FD510DC2631C}"/>
    <cellStyle name="Comma 4 12 7" xfId="21197" xr:uid="{E26934C2-F48B-42CB-8D66-3CCB12E3524F}"/>
    <cellStyle name="Comma 4 13" xfId="2213" xr:uid="{576C778A-9BE1-4103-AF24-BCF1904325C9}"/>
    <cellStyle name="Comma 4 13 2" xfId="16813" xr:uid="{4E4C9571-52EC-4B82-9460-84A1A8F8F333}"/>
    <cellStyle name="Comma 4 13 2 2" xfId="53321" xr:uid="{F8174E3E-D9FE-4BE1-8EF1-D491DA2F32AC}"/>
    <cellStyle name="Comma 4 13 2 3" xfId="35067" xr:uid="{0E78461E-65EC-4D97-B08B-D1F0AB00FDCD}"/>
    <cellStyle name="Comma 4 13 3" xfId="13163" xr:uid="{56769E23-07B8-4076-85F9-9BA1DC945627}"/>
    <cellStyle name="Comma 4 13 3 2" xfId="49671" xr:uid="{26D46F35-5F50-4648-BB4E-627B61FA65BA}"/>
    <cellStyle name="Comma 4 13 3 3" xfId="31417" xr:uid="{0109E9AF-7043-4ACB-BB11-3A8EA5CEB9B4}"/>
    <cellStyle name="Comma 4 13 4" xfId="9513" xr:uid="{66AFC80D-2607-4619-A7C2-D99BC2FFA85A}"/>
    <cellStyle name="Comma 4 13 4 2" xfId="46021" xr:uid="{1D86B80C-D5AF-4555-BCC5-8875EE3AD911}"/>
    <cellStyle name="Comma 4 13 4 3" xfId="27767" xr:uid="{6149DC87-AD4A-45BB-92AB-DC99D47EE5E9}"/>
    <cellStyle name="Comma 4 13 5" xfId="5863" xr:uid="{229C069B-3118-4952-9F6A-E743C98F6A19}"/>
    <cellStyle name="Comma 4 13 5 2" xfId="42371" xr:uid="{EBD778C5-A5A6-406F-9741-4BFCA4112B40}"/>
    <cellStyle name="Comma 4 13 5 3" xfId="24117" xr:uid="{E5BF340D-C46C-4968-A61A-8FD43ACC5D0B}"/>
    <cellStyle name="Comma 4 13 6" xfId="38721" xr:uid="{0C8C961F-FA50-44BE-A16B-EC6B73BFBDC2}"/>
    <cellStyle name="Comma 4 13 7" xfId="20467" xr:uid="{28A5052B-E18D-4489-A41E-FC35B2C0F4D2}"/>
    <cellStyle name="Comma 4 14" xfId="1483" xr:uid="{6599AA49-163F-42AE-B470-C1A5FAEDA870}"/>
    <cellStyle name="Comma 4 14 2" xfId="16083" xr:uid="{009118DE-4FE4-4137-9ECA-74F3A405063E}"/>
    <cellStyle name="Comma 4 14 2 2" xfId="52591" xr:uid="{21A3C34C-29E0-42F3-8E35-2F2B09CD4CCC}"/>
    <cellStyle name="Comma 4 14 2 3" xfId="34337" xr:uid="{4CCF838B-DD49-4D36-BE26-B95BA67739EE}"/>
    <cellStyle name="Comma 4 14 3" xfId="12433" xr:uid="{46692E53-1762-4B00-A720-2D292474414B}"/>
    <cellStyle name="Comma 4 14 3 2" xfId="48941" xr:uid="{17E04A00-293B-4A59-A7C8-7C38F6C18055}"/>
    <cellStyle name="Comma 4 14 3 3" xfId="30687" xr:uid="{76D87F60-97C8-4C84-84CB-96E50BDE3498}"/>
    <cellStyle name="Comma 4 14 4" xfId="8783" xr:uid="{DED9F028-9B79-4BDA-9C7D-B49B7C0149ED}"/>
    <cellStyle name="Comma 4 14 4 2" xfId="45291" xr:uid="{6CFE0848-9FF0-438A-A209-FB1C1F6D688C}"/>
    <cellStyle name="Comma 4 14 4 3" xfId="27037" xr:uid="{B5F65E0A-DFAD-482C-B281-121912E0D60E}"/>
    <cellStyle name="Comma 4 14 5" xfId="5133" xr:uid="{03E2BEFD-EE06-481B-8F6B-3C1AAFC65D85}"/>
    <cellStyle name="Comma 4 14 5 2" xfId="41641" xr:uid="{405118D7-3BC5-4099-8813-D1776796BC96}"/>
    <cellStyle name="Comma 4 14 5 3" xfId="23387" xr:uid="{C4CB1197-B8CC-41DE-AA1D-D6594337CC13}"/>
    <cellStyle name="Comma 4 14 6" xfId="37991" xr:uid="{6F822149-A2DC-426F-A3BC-741A4F6FA35A}"/>
    <cellStyle name="Comma 4 14 7" xfId="19737" xr:uid="{B646DB2C-6B4B-478D-AE9B-35211EAC6FE1}"/>
    <cellStyle name="Comma 4 15" xfId="753" xr:uid="{72D90E5B-3315-4C70-8E57-A8489C16333E}"/>
    <cellStyle name="Comma 4 15 2" xfId="15353" xr:uid="{233787CF-2DE8-493B-B277-BF34B55201F3}"/>
    <cellStyle name="Comma 4 15 2 2" xfId="51861" xr:uid="{BD5978F2-8385-4A2E-ABE2-E8AB2C2F8792}"/>
    <cellStyle name="Comma 4 15 2 3" xfId="33607" xr:uid="{D8DAB217-E0CF-497D-BF3B-3A3826F63CC5}"/>
    <cellStyle name="Comma 4 15 3" xfId="11703" xr:uid="{CC6C2238-F414-438B-8086-3B79C8D74A0E}"/>
    <cellStyle name="Comma 4 15 3 2" xfId="48211" xr:uid="{296A5FD3-F009-4E0F-8FEC-809FF1BFD03D}"/>
    <cellStyle name="Comma 4 15 3 3" xfId="29957" xr:uid="{AA93D8B5-C7F3-4E94-847B-39D13B8A7B22}"/>
    <cellStyle name="Comma 4 15 4" xfId="8053" xr:uid="{06771F57-7CEC-4681-BA86-5083AC368F7A}"/>
    <cellStyle name="Comma 4 15 4 2" xfId="44561" xr:uid="{7438A6AE-8B4A-443F-905E-91735D3006A4}"/>
    <cellStyle name="Comma 4 15 4 3" xfId="26307" xr:uid="{C8127A1B-510F-4580-8985-1FEBDD0096A5}"/>
    <cellStyle name="Comma 4 15 5" xfId="4403" xr:uid="{C589D99D-3E2C-4E1D-B8DB-544937C53969}"/>
    <cellStyle name="Comma 4 15 5 2" xfId="40911" xr:uid="{0E7985F2-CD56-4B72-BA73-4D2DF2EC5ECA}"/>
    <cellStyle name="Comma 4 15 5 3" xfId="22657" xr:uid="{3F7F8C36-C98A-48CD-9886-59C7BC717CE2}"/>
    <cellStyle name="Comma 4 15 6" xfId="37261" xr:uid="{8A0C3079-DDE8-46A6-AA40-D20E9D46D3D0}"/>
    <cellStyle name="Comma 4 15 7" xfId="19007" xr:uid="{C9B68B4B-2215-4DE9-91F7-F171AD8AF032}"/>
    <cellStyle name="Comma 4 16" xfId="14623" xr:uid="{9EE2E989-C58B-4E8E-B6C0-ED31AB89F57A}"/>
    <cellStyle name="Comma 4 16 2" xfId="51131" xr:uid="{CDD31D69-2C8B-42A9-A6DE-21935B1FEFCC}"/>
    <cellStyle name="Comma 4 16 3" xfId="32877" xr:uid="{D3EFA46F-1C69-4787-8FFA-A2244E070F3B}"/>
    <cellStyle name="Comma 4 17" xfId="10973" xr:uid="{CF8650E1-6BC3-4ED3-BAC6-CA59CDC7AA33}"/>
    <cellStyle name="Comma 4 17 2" xfId="47481" xr:uid="{9816A2A8-C216-4E2F-B958-422D3BF4C336}"/>
    <cellStyle name="Comma 4 17 3" xfId="29227" xr:uid="{C7B60880-7F33-4C2E-8F6B-46B1825C98EB}"/>
    <cellStyle name="Comma 4 18" xfId="7323" xr:uid="{9153CFA2-6B0C-4343-8B76-E6C2A828853E}"/>
    <cellStyle name="Comma 4 18 2" xfId="43831" xr:uid="{7D31A584-D4CE-464C-9F47-3675C2C3B374}"/>
    <cellStyle name="Comma 4 18 3" xfId="25577" xr:uid="{02B028C9-D144-45B6-9CDE-4859638C2C9C}"/>
    <cellStyle name="Comma 4 19" xfId="3673" xr:uid="{77DD457A-66B0-479D-8FD9-AB25BC137178}"/>
    <cellStyle name="Comma 4 19 2" xfId="40181" xr:uid="{1DE155FD-0924-4875-9BD7-CB264CA73EC4}"/>
    <cellStyle name="Comma 4 19 3" xfId="21927" xr:uid="{86EA8F13-FE8F-47C7-97DB-EFEE24EF3103}"/>
    <cellStyle name="Comma 4 2" xfId="19" xr:uid="{00000000-0005-0000-0000-00000E000000}"/>
    <cellStyle name="Comma 4 2 10" xfId="135" xr:uid="{DB48126D-3CFF-4F67-AFAE-ADC02673AA2C}"/>
    <cellStyle name="Comma 4 2 10 10" xfId="36643" xr:uid="{A7CB7740-535D-45DB-BC46-38AD206A2802}"/>
    <cellStyle name="Comma 4 2 10 11" xfId="18389" xr:uid="{EC6FC99E-8228-4E7B-B625-91A91DCE11A6}"/>
    <cellStyle name="Comma 4 2 10 2" xfId="3055" xr:uid="{4D3BB3C1-16A8-4A3A-8AF4-5567D9897008}"/>
    <cellStyle name="Comma 4 2 10 2 2" xfId="17655" xr:uid="{8E8F312A-ADAB-4C0D-9038-0F56226CBBFD}"/>
    <cellStyle name="Comma 4 2 10 2 2 2" xfId="54163" xr:uid="{550A49BD-8F3D-4AC2-B64C-678968A3585B}"/>
    <cellStyle name="Comma 4 2 10 2 2 3" xfId="35909" xr:uid="{3804643B-AB42-4209-A60B-A42175472903}"/>
    <cellStyle name="Comma 4 2 10 2 3" xfId="14005" xr:uid="{7C01D77E-4726-4655-9DC9-EE7CFC28D690}"/>
    <cellStyle name="Comma 4 2 10 2 3 2" xfId="50513" xr:uid="{6D29AC2A-3D83-40BE-90E1-3E8F59C5412F}"/>
    <cellStyle name="Comma 4 2 10 2 3 3" xfId="32259" xr:uid="{0037A4D5-2406-432F-BF0B-032954E1551A}"/>
    <cellStyle name="Comma 4 2 10 2 4" xfId="10355" xr:uid="{177FD7BF-47AB-40E7-A562-3B66556B394B}"/>
    <cellStyle name="Comma 4 2 10 2 4 2" xfId="46863" xr:uid="{1B6FB0CE-87FD-4620-ACFB-858C5673F268}"/>
    <cellStyle name="Comma 4 2 10 2 4 3" xfId="28609" xr:uid="{319CB1E9-A74D-4E72-B331-52F035B43BE3}"/>
    <cellStyle name="Comma 4 2 10 2 5" xfId="6705" xr:uid="{EEF5E717-4B3B-4EB6-AC97-0A5A8D8C3B3D}"/>
    <cellStyle name="Comma 4 2 10 2 5 2" xfId="43213" xr:uid="{7EB34110-50C5-47A4-9F79-13138443E4D6}"/>
    <cellStyle name="Comma 4 2 10 2 5 3" xfId="24959" xr:uid="{21E69EF1-B399-4AA7-AF92-A823256CE518}"/>
    <cellStyle name="Comma 4 2 10 2 6" xfId="39563" xr:uid="{945E3986-1EB1-4EB9-947E-CA3A6F4CBF29}"/>
    <cellStyle name="Comma 4 2 10 2 7" xfId="21309" xr:uid="{E557DE4D-71FB-4748-AC3C-3068630143EB}"/>
    <cellStyle name="Comma 4 2 10 3" xfId="2325" xr:uid="{260EEBE7-F00C-46D7-B124-BD0DD0FED77E}"/>
    <cellStyle name="Comma 4 2 10 3 2" xfId="16925" xr:uid="{22BCCC26-2372-417A-AA3E-2C901017FD0E}"/>
    <cellStyle name="Comma 4 2 10 3 2 2" xfId="53433" xr:uid="{0CA3FEE6-6F27-43FD-8988-694D8C5F6A57}"/>
    <cellStyle name="Comma 4 2 10 3 2 3" xfId="35179" xr:uid="{D304A154-6602-4796-A487-243B27FFA020}"/>
    <cellStyle name="Comma 4 2 10 3 3" xfId="13275" xr:uid="{06A630FA-1FB5-4101-BC5D-039B12E845CE}"/>
    <cellStyle name="Comma 4 2 10 3 3 2" xfId="49783" xr:uid="{2ECCE5DB-A8C9-4507-8D8D-F3923F7B4894}"/>
    <cellStyle name="Comma 4 2 10 3 3 3" xfId="31529" xr:uid="{32B35E8A-402B-43D2-8124-D7FA6482181E}"/>
    <cellStyle name="Comma 4 2 10 3 4" xfId="9625" xr:uid="{0E437F73-8A27-4A56-9767-20170E5DE7AD}"/>
    <cellStyle name="Comma 4 2 10 3 4 2" xfId="46133" xr:uid="{AFCB1DD4-8DFE-44DD-B91A-B4B7711B8150}"/>
    <cellStyle name="Comma 4 2 10 3 4 3" xfId="27879" xr:uid="{005E0699-3D13-4ED8-84EB-8C31F7CB7C2E}"/>
    <cellStyle name="Comma 4 2 10 3 5" xfId="5975" xr:uid="{F827F6A1-AB9E-4A8F-B3C1-D7ECAF9BA706}"/>
    <cellStyle name="Comma 4 2 10 3 5 2" xfId="42483" xr:uid="{00EE4C49-9BB4-41C3-900B-3AF0F6B61919}"/>
    <cellStyle name="Comma 4 2 10 3 5 3" xfId="24229" xr:uid="{4BD3BD68-0ABE-49F9-8A41-CF00C5DDBADF}"/>
    <cellStyle name="Comma 4 2 10 3 6" xfId="38833" xr:uid="{8071F832-D938-4311-B69C-B6A1EFFF7CA8}"/>
    <cellStyle name="Comma 4 2 10 3 7" xfId="20579" xr:uid="{9C554288-AAC2-4F50-8785-AFFD3FE13367}"/>
    <cellStyle name="Comma 4 2 10 4" xfId="1595" xr:uid="{18CD96F3-5D0B-4A11-BB23-452F7B05006D}"/>
    <cellStyle name="Comma 4 2 10 4 2" xfId="16195" xr:uid="{4B1AFA2F-0C40-4585-83D1-682520E800BA}"/>
    <cellStyle name="Comma 4 2 10 4 2 2" xfId="52703" xr:uid="{3B3BCC9E-3484-48D4-8901-01BD136230A0}"/>
    <cellStyle name="Comma 4 2 10 4 2 3" xfId="34449" xr:uid="{513DF3B6-C925-4C20-8709-60246943EC9D}"/>
    <cellStyle name="Comma 4 2 10 4 3" xfId="12545" xr:uid="{D3ECF31C-583F-4885-A6D5-715ECBE464FB}"/>
    <cellStyle name="Comma 4 2 10 4 3 2" xfId="49053" xr:uid="{68574054-18C3-4910-8748-248203A8BFE8}"/>
    <cellStyle name="Comma 4 2 10 4 3 3" xfId="30799" xr:uid="{5C5E7FE6-FDE4-4021-943F-82CB88DA14F6}"/>
    <cellStyle name="Comma 4 2 10 4 4" xfId="8895" xr:uid="{B396FDD8-8835-462E-8586-EBF79D24B56C}"/>
    <cellStyle name="Comma 4 2 10 4 4 2" xfId="45403" xr:uid="{3DACF2D9-4B77-4316-B901-19C3F8219162}"/>
    <cellStyle name="Comma 4 2 10 4 4 3" xfId="27149" xr:uid="{DAE9FF37-E581-42FF-B138-CCE12FB38101}"/>
    <cellStyle name="Comma 4 2 10 4 5" xfId="5245" xr:uid="{4B4DABED-7D0A-43DC-8C24-5D388412F5AA}"/>
    <cellStyle name="Comma 4 2 10 4 5 2" xfId="41753" xr:uid="{2E8EBD52-6497-47CC-B726-4DEF2C428F4C}"/>
    <cellStyle name="Comma 4 2 10 4 5 3" xfId="23499" xr:uid="{9335915E-9CED-4753-8023-A013F99ED7A3}"/>
    <cellStyle name="Comma 4 2 10 4 6" xfId="38103" xr:uid="{BCAFB7C6-22FA-4D10-80BB-736AD340385B}"/>
    <cellStyle name="Comma 4 2 10 4 7" xfId="19849" xr:uid="{A094A84C-CD94-473E-B7E5-55DBBE145743}"/>
    <cellStyle name="Comma 4 2 10 5" xfId="865" xr:uid="{6825859E-923C-418D-9204-0683193AE3F2}"/>
    <cellStyle name="Comma 4 2 10 5 2" xfId="15465" xr:uid="{F33EDAFB-1834-44AF-A3C4-9DA0BA002EB8}"/>
    <cellStyle name="Comma 4 2 10 5 2 2" xfId="51973" xr:uid="{666484BC-4234-4148-8DC8-ADFC6B2FB8ED}"/>
    <cellStyle name="Comma 4 2 10 5 2 3" xfId="33719" xr:uid="{DF178643-8FE1-4853-A821-24E66EC7A2B9}"/>
    <cellStyle name="Comma 4 2 10 5 3" xfId="11815" xr:uid="{78B206CE-3392-41A7-9413-58FEC713FAD4}"/>
    <cellStyle name="Comma 4 2 10 5 3 2" xfId="48323" xr:uid="{4A7D63ED-2F42-4A86-8E7C-470C649A07D1}"/>
    <cellStyle name="Comma 4 2 10 5 3 3" xfId="30069" xr:uid="{18FA7808-F2AA-4F64-8D2A-231AA4A34CA5}"/>
    <cellStyle name="Comma 4 2 10 5 4" xfId="8165" xr:uid="{9E9992D8-44A6-4DF7-BC74-9D1CE9F8EBCC}"/>
    <cellStyle name="Comma 4 2 10 5 4 2" xfId="44673" xr:uid="{78C7F4E5-EA1B-47A2-8897-33B6AD4D0B86}"/>
    <cellStyle name="Comma 4 2 10 5 4 3" xfId="26419" xr:uid="{994A2C19-2C0B-47FC-A72D-4B470C918167}"/>
    <cellStyle name="Comma 4 2 10 5 5" xfId="4515" xr:uid="{FCB0C81A-8EB1-403B-9BA5-618914A5624B}"/>
    <cellStyle name="Comma 4 2 10 5 5 2" xfId="41023" xr:uid="{0F339D57-3319-4C05-B56E-6D23B05B688A}"/>
    <cellStyle name="Comma 4 2 10 5 5 3" xfId="22769" xr:uid="{F63A395C-320A-4FB5-AC03-6EB283AF6A35}"/>
    <cellStyle name="Comma 4 2 10 5 6" xfId="37373" xr:uid="{AA3DDDC2-FBB8-4BCA-872D-E99F563DAA3D}"/>
    <cellStyle name="Comma 4 2 10 5 7" xfId="19119" xr:uid="{DAFA4DBA-456B-4562-9F5B-A748139CFAEA}"/>
    <cellStyle name="Comma 4 2 10 6" xfId="14735" xr:uid="{AC49F54B-6583-4F53-9325-B1157225D532}"/>
    <cellStyle name="Comma 4 2 10 6 2" xfId="51243" xr:uid="{87414225-8BA1-481F-9E6E-959A6AB93D04}"/>
    <cellStyle name="Comma 4 2 10 6 3" xfId="32989" xr:uid="{D2242479-4E68-4919-BCF3-0419D6588A1D}"/>
    <cellStyle name="Comma 4 2 10 7" xfId="11085" xr:uid="{6F207D31-2908-4ABC-9ACD-FF31FF5EABD0}"/>
    <cellStyle name="Comma 4 2 10 7 2" xfId="47593" xr:uid="{3E926C4B-2AEC-4B7B-8208-79DB05B57409}"/>
    <cellStyle name="Comma 4 2 10 7 3" xfId="29339" xr:uid="{3F088C2D-33A8-42C1-A65D-7495F3B9DB43}"/>
    <cellStyle name="Comma 4 2 10 8" xfId="7435" xr:uid="{CE7DF1B1-BB2D-4E84-B430-FAF600C7299E}"/>
    <cellStyle name="Comma 4 2 10 8 2" xfId="43943" xr:uid="{944EEFA8-03BD-4CA2-BFE4-26818D267C90}"/>
    <cellStyle name="Comma 4 2 10 8 3" xfId="25689" xr:uid="{94D291F5-9147-4431-AED7-DE069FABD63D}"/>
    <cellStyle name="Comma 4 2 10 9" xfId="3785" xr:uid="{948BD336-CE89-4F93-B3CE-FCFD1C08CB4C}"/>
    <cellStyle name="Comma 4 2 10 9 2" xfId="40293" xr:uid="{210B8CFB-0D62-4A5B-B667-E06B96649530}"/>
    <cellStyle name="Comma 4 2 10 9 3" xfId="22039" xr:uid="{AA82854F-F6CD-44A4-9B3A-31ED3C6C1138}"/>
    <cellStyle name="Comma 4 2 11" xfId="2951" xr:uid="{FCB9E5C7-6D57-446E-993E-791D5E713699}"/>
    <cellStyle name="Comma 4 2 11 2" xfId="17551" xr:uid="{3783D796-5AAC-43F6-8887-13FE5CD92F32}"/>
    <cellStyle name="Comma 4 2 11 2 2" xfId="54059" xr:uid="{C757151F-1D28-477F-8F0F-6B5AD4EB02E3}"/>
    <cellStyle name="Comma 4 2 11 2 3" xfId="35805" xr:uid="{B4B7F12B-5132-42D6-8819-BD67E3510D99}"/>
    <cellStyle name="Comma 4 2 11 3" xfId="13901" xr:uid="{C7C0278D-4CF5-4985-B30A-456706566AAC}"/>
    <cellStyle name="Comma 4 2 11 3 2" xfId="50409" xr:uid="{385F9A65-11C2-4283-A29C-510C16BD09E5}"/>
    <cellStyle name="Comma 4 2 11 3 3" xfId="32155" xr:uid="{33B20420-85E2-467C-AABA-685EA7AA1768}"/>
    <cellStyle name="Comma 4 2 11 4" xfId="10251" xr:uid="{3036E975-3BFC-4519-BB1C-C9BA970B07E7}"/>
    <cellStyle name="Comma 4 2 11 4 2" xfId="46759" xr:uid="{C6A96C19-D5A2-4942-A80C-48B9F7E62BEC}"/>
    <cellStyle name="Comma 4 2 11 4 3" xfId="28505" xr:uid="{C379754B-E9FA-4622-B733-316132325EA5}"/>
    <cellStyle name="Comma 4 2 11 5" xfId="6601" xr:uid="{F9C0AB4C-3E51-4EF5-9826-4C059AD79F42}"/>
    <cellStyle name="Comma 4 2 11 5 2" xfId="43109" xr:uid="{0DA309BB-212B-4157-9E9F-00B07B323D4E}"/>
    <cellStyle name="Comma 4 2 11 5 3" xfId="24855" xr:uid="{C68BA7C9-561B-4A53-BB09-CCA3E81CA11D}"/>
    <cellStyle name="Comma 4 2 11 6" xfId="39459" xr:uid="{1DE091AD-DAEA-4062-8D05-217126B67D40}"/>
    <cellStyle name="Comma 4 2 11 7" xfId="21205" xr:uid="{E023D801-4EFC-48C0-B685-B73B371D33A5}"/>
    <cellStyle name="Comma 4 2 12" xfId="2221" xr:uid="{C99A7A9F-68D4-4041-B2E2-90205FEB2711}"/>
    <cellStyle name="Comma 4 2 12 2" xfId="16821" xr:uid="{36DB8A9E-5B53-47D7-AF2B-1ACD7C7617C0}"/>
    <cellStyle name="Comma 4 2 12 2 2" xfId="53329" xr:uid="{B89ADC59-C78A-421B-9D0F-99D1145797A6}"/>
    <cellStyle name="Comma 4 2 12 2 3" xfId="35075" xr:uid="{CD7B0FAA-7455-460E-A3E1-64E70BDAACFC}"/>
    <cellStyle name="Comma 4 2 12 3" xfId="13171" xr:uid="{FF345297-0514-45E1-A54F-B6D3906010D7}"/>
    <cellStyle name="Comma 4 2 12 3 2" xfId="49679" xr:uid="{375C90BD-020F-4E40-9C49-9875D928D6BF}"/>
    <cellStyle name="Comma 4 2 12 3 3" xfId="31425" xr:uid="{EB523438-EE10-4F09-AD6B-4B874D9E3BFF}"/>
    <cellStyle name="Comma 4 2 12 4" xfId="9521" xr:uid="{BC1F0356-977A-4634-9DFE-114EAF0C33A4}"/>
    <cellStyle name="Comma 4 2 12 4 2" xfId="46029" xr:uid="{5C643A05-9A3C-483C-A21F-B36E72E8E7CE}"/>
    <cellStyle name="Comma 4 2 12 4 3" xfId="27775" xr:uid="{900F8659-4301-4E1B-B649-11AF604A4E7A}"/>
    <cellStyle name="Comma 4 2 12 5" xfId="5871" xr:uid="{1C18035B-0DFF-4A43-8752-4207B4B17559}"/>
    <cellStyle name="Comma 4 2 12 5 2" xfId="42379" xr:uid="{954F89E0-0615-4D16-8424-9D50026C00D9}"/>
    <cellStyle name="Comma 4 2 12 5 3" xfId="24125" xr:uid="{E10597ED-8BA3-40F2-AD15-212A055E1A62}"/>
    <cellStyle name="Comma 4 2 12 6" xfId="38729" xr:uid="{B85C0A5B-145A-4D99-9869-BAEE51B1A8F3}"/>
    <cellStyle name="Comma 4 2 12 7" xfId="20475" xr:uid="{0097ACE5-555D-4F91-8FFE-7D4F69432BCB}"/>
    <cellStyle name="Comma 4 2 13" xfId="1491" xr:uid="{456387E9-FA86-4B8D-AA19-C5A337439F64}"/>
    <cellStyle name="Comma 4 2 13 2" xfId="16091" xr:uid="{46D805D2-85FC-44BD-B758-5518A16B1F29}"/>
    <cellStyle name="Comma 4 2 13 2 2" xfId="52599" xr:uid="{19C091C5-C502-4B19-BD2E-F69D319A663A}"/>
    <cellStyle name="Comma 4 2 13 2 3" xfId="34345" xr:uid="{F6D85326-87E8-4832-919E-A11D1FB10125}"/>
    <cellStyle name="Comma 4 2 13 3" xfId="12441" xr:uid="{D0F5514A-0E0D-481B-81CB-93C89220DFD7}"/>
    <cellStyle name="Comma 4 2 13 3 2" xfId="48949" xr:uid="{C32CD52F-8240-43A6-B150-56659F40AECC}"/>
    <cellStyle name="Comma 4 2 13 3 3" xfId="30695" xr:uid="{D37CD8B6-EF6A-4239-8CB8-023366ABCA1A}"/>
    <cellStyle name="Comma 4 2 13 4" xfId="8791" xr:uid="{7F145F06-2CBE-4E7F-85D0-6BE4D4ECC56A}"/>
    <cellStyle name="Comma 4 2 13 4 2" xfId="45299" xr:uid="{0963B211-9969-4E80-B89B-1EDBB2C64C59}"/>
    <cellStyle name="Comma 4 2 13 4 3" xfId="27045" xr:uid="{BFB93DCF-0EF0-4179-B199-9FED00F20544}"/>
    <cellStyle name="Comma 4 2 13 5" xfId="5141" xr:uid="{D0B9B58A-960D-4B8D-AE37-CE8125A0037B}"/>
    <cellStyle name="Comma 4 2 13 5 2" xfId="41649" xr:uid="{0E5F91C4-0BEC-42A8-8818-6616A152E017}"/>
    <cellStyle name="Comma 4 2 13 5 3" xfId="23395" xr:uid="{F08A5F96-40D9-4E20-9162-9982BDDFC00C}"/>
    <cellStyle name="Comma 4 2 13 6" xfId="37999" xr:uid="{CD63A216-63F3-41A1-BD01-079BAED586E8}"/>
    <cellStyle name="Comma 4 2 13 7" xfId="19745" xr:uid="{EBE2C966-D719-4FC5-BB4C-960368C95422}"/>
    <cellStyle name="Comma 4 2 14" xfId="761" xr:uid="{573CA59D-1B2E-4859-AC59-796941B64652}"/>
    <cellStyle name="Comma 4 2 14 2" xfId="15361" xr:uid="{FC162E78-D87A-4B77-96C1-5E2775449099}"/>
    <cellStyle name="Comma 4 2 14 2 2" xfId="51869" xr:uid="{C46EE57F-4E46-4BD7-9356-D9D3A7E069A9}"/>
    <cellStyle name="Comma 4 2 14 2 3" xfId="33615" xr:uid="{0C1A7C1F-3409-4BAC-8324-3750A28B782B}"/>
    <cellStyle name="Comma 4 2 14 3" xfId="11711" xr:uid="{B5FE4FBE-F3FC-425B-8800-F5B4DAA5BE63}"/>
    <cellStyle name="Comma 4 2 14 3 2" xfId="48219" xr:uid="{4B280B2A-8B36-484F-9705-E179D14DAFDB}"/>
    <cellStyle name="Comma 4 2 14 3 3" xfId="29965" xr:uid="{05D4E227-1D30-452A-B57A-AEF9DA422059}"/>
    <cellStyle name="Comma 4 2 14 4" xfId="8061" xr:uid="{C0C6C7FD-8BAA-43FA-B66B-F3ABF10452E8}"/>
    <cellStyle name="Comma 4 2 14 4 2" xfId="44569" xr:uid="{2183DCB0-052E-4B9C-B92F-6BE02169968C}"/>
    <cellStyle name="Comma 4 2 14 4 3" xfId="26315" xr:uid="{97FC8481-F3F5-4957-A99D-36F19A1EDBE6}"/>
    <cellStyle name="Comma 4 2 14 5" xfId="4411" xr:uid="{9A9BF0A6-C01D-473D-80E8-DAD12659C2F7}"/>
    <cellStyle name="Comma 4 2 14 5 2" xfId="40919" xr:uid="{16E6C7AD-EC08-4091-A4AE-85DCA767A206}"/>
    <cellStyle name="Comma 4 2 14 5 3" xfId="22665" xr:uid="{1AB7EADF-5E25-488E-A702-9B0B7E904A95}"/>
    <cellStyle name="Comma 4 2 14 6" xfId="37269" xr:uid="{DD541FE8-07F4-4526-A679-96A105E196B7}"/>
    <cellStyle name="Comma 4 2 14 7" xfId="19015" xr:uid="{2464DB5C-0662-470B-AA76-F081CE3A76B2}"/>
    <cellStyle name="Comma 4 2 15" xfId="14631" xr:uid="{51BA7882-1DFD-4442-9507-D8C34EFFB67D}"/>
    <cellStyle name="Comma 4 2 15 2" xfId="51139" xr:uid="{0C93099E-2630-4005-902E-5135A25A749D}"/>
    <cellStyle name="Comma 4 2 15 3" xfId="32885" xr:uid="{C5932312-8ECB-401C-82D1-29DF3F727DC9}"/>
    <cellStyle name="Comma 4 2 16" xfId="10981" xr:uid="{3958C502-86B8-4525-8832-735E42743A91}"/>
    <cellStyle name="Comma 4 2 16 2" xfId="47489" xr:uid="{653823CA-9B02-4FA1-969A-2EA62ACDB42B}"/>
    <cellStyle name="Comma 4 2 16 3" xfId="29235" xr:uid="{8A705CB5-EBC3-4F63-B355-12661402A6B6}"/>
    <cellStyle name="Comma 4 2 17" xfId="7331" xr:uid="{3E391F57-9F2B-4959-A814-0230EDA5FD19}"/>
    <cellStyle name="Comma 4 2 17 2" xfId="43839" xr:uid="{076E3795-D4A8-4645-B1E6-16E93C6CC0C0}"/>
    <cellStyle name="Comma 4 2 17 3" xfId="25585" xr:uid="{2C7ED580-DCC2-4136-81E9-D8FAE820A771}"/>
    <cellStyle name="Comma 4 2 18" xfId="3681" xr:uid="{E74C92C2-44F8-4A87-BB7A-B6DC4C0E670A}"/>
    <cellStyle name="Comma 4 2 18 2" xfId="40189" xr:uid="{CB6CBDED-C8AE-4AFC-A7DF-37FE62B3B26C}"/>
    <cellStyle name="Comma 4 2 18 3" xfId="21935" xr:uid="{B09404A0-90C4-4176-8FF0-6DA2C879CF62}"/>
    <cellStyle name="Comma 4 2 19" xfId="36539" xr:uid="{4D021DEB-2EAF-42BF-9FAE-2E8CDA71ED30}"/>
    <cellStyle name="Comma 4 2 2" xfId="38" xr:uid="{4FD5B221-28EE-4D0F-94EF-0574116783B8}"/>
    <cellStyle name="Comma 4 2 2 10" xfId="2967" xr:uid="{29C6AAFC-0743-4F2E-9277-76FE8765F75E}"/>
    <cellStyle name="Comma 4 2 2 10 2" xfId="17567" xr:uid="{59F47AC6-7072-4C42-85AF-F85CB3CD1ED0}"/>
    <cellStyle name="Comma 4 2 2 10 2 2" xfId="54075" xr:uid="{104FE0DF-F865-42AA-88E6-F50F2454A14C}"/>
    <cellStyle name="Comma 4 2 2 10 2 3" xfId="35821" xr:uid="{E85A81DF-796D-469D-8818-3B1982F1A6D4}"/>
    <cellStyle name="Comma 4 2 2 10 3" xfId="13917" xr:uid="{3BCBF590-C861-45E6-A82D-CDA1799593D0}"/>
    <cellStyle name="Comma 4 2 2 10 3 2" xfId="50425" xr:uid="{EB95C2BB-A0DC-4F6A-9E0E-FFC3EB6C42DB}"/>
    <cellStyle name="Comma 4 2 2 10 3 3" xfId="32171" xr:uid="{1EF8E683-8CD1-4E47-8961-6E627EC3DABB}"/>
    <cellStyle name="Comma 4 2 2 10 4" xfId="10267" xr:uid="{E3894B90-2427-4C81-86F9-0344ED32A264}"/>
    <cellStyle name="Comma 4 2 2 10 4 2" xfId="46775" xr:uid="{EE469972-6CAE-4B6C-9222-FF36116BAA86}"/>
    <cellStyle name="Comma 4 2 2 10 4 3" xfId="28521" xr:uid="{00F45AEE-4ABE-4162-9F09-7D2C84D1E8A2}"/>
    <cellStyle name="Comma 4 2 2 10 5" xfId="6617" xr:uid="{47A37533-8545-4071-AA81-B1AEF43B20EF}"/>
    <cellStyle name="Comma 4 2 2 10 5 2" xfId="43125" xr:uid="{417F47EA-A7FC-4F44-88F4-99D650A1D701}"/>
    <cellStyle name="Comma 4 2 2 10 5 3" xfId="24871" xr:uid="{5495A37A-4CAE-4390-9783-85C6B8B545CE}"/>
    <cellStyle name="Comma 4 2 2 10 6" xfId="39475" xr:uid="{0BF8F376-A3E6-4F02-B864-DB92661C0526}"/>
    <cellStyle name="Comma 4 2 2 10 7" xfId="21221" xr:uid="{D442B27E-5FC9-4488-8646-59FFE0834E25}"/>
    <cellStyle name="Comma 4 2 2 11" xfId="2237" xr:uid="{0F34B248-0094-40C1-A0DD-182E00FFAB34}"/>
    <cellStyle name="Comma 4 2 2 11 2" xfId="16837" xr:uid="{83F8EA42-AA86-4696-AEFA-B9D5B710A69F}"/>
    <cellStyle name="Comma 4 2 2 11 2 2" xfId="53345" xr:uid="{20C2729D-ACF9-4BDB-9ED6-DF8C681A934C}"/>
    <cellStyle name="Comma 4 2 2 11 2 3" xfId="35091" xr:uid="{8B92B108-C4E8-4F85-8C19-5C03FFD10965}"/>
    <cellStyle name="Comma 4 2 2 11 3" xfId="13187" xr:uid="{FA89D039-CC70-4B10-81F9-0E0F583520CD}"/>
    <cellStyle name="Comma 4 2 2 11 3 2" xfId="49695" xr:uid="{E4C3C0CD-4A31-43DA-8329-490E68C845FF}"/>
    <cellStyle name="Comma 4 2 2 11 3 3" xfId="31441" xr:uid="{C9B0C81C-A504-4C0B-A932-5899F2A8AC64}"/>
    <cellStyle name="Comma 4 2 2 11 4" xfId="9537" xr:uid="{9E90C5F1-9D52-4B54-BD9A-6A473200A7E5}"/>
    <cellStyle name="Comma 4 2 2 11 4 2" xfId="46045" xr:uid="{F7782647-F4E2-4F7E-8CEA-4D7FAAB7E1AC}"/>
    <cellStyle name="Comma 4 2 2 11 4 3" xfId="27791" xr:uid="{DE75F280-B519-4156-B98A-34CF90139474}"/>
    <cellStyle name="Comma 4 2 2 11 5" xfId="5887" xr:uid="{1CACC11F-443F-48B9-9289-6766768D527B}"/>
    <cellStyle name="Comma 4 2 2 11 5 2" xfId="42395" xr:uid="{F10A7467-1D83-4FCE-A931-DFF326F90DBC}"/>
    <cellStyle name="Comma 4 2 2 11 5 3" xfId="24141" xr:uid="{7E31004B-5F78-4884-92F1-348922C35AB3}"/>
    <cellStyle name="Comma 4 2 2 11 6" xfId="38745" xr:uid="{628C61BC-6723-4D3D-8107-6D5117D8EB44}"/>
    <cellStyle name="Comma 4 2 2 11 7" xfId="20491" xr:uid="{A25F84F7-5E7F-427B-A961-C6C4FBC432AB}"/>
    <cellStyle name="Comma 4 2 2 12" xfId="1507" xr:uid="{4C559DEC-0C99-4576-ADA7-8E961872683D}"/>
    <cellStyle name="Comma 4 2 2 12 2" xfId="16107" xr:uid="{344432E5-2779-4365-B691-528F8E97045D}"/>
    <cellStyle name="Comma 4 2 2 12 2 2" xfId="52615" xr:uid="{08C42B70-57B4-4FE2-B384-7888E2EBFC38}"/>
    <cellStyle name="Comma 4 2 2 12 2 3" xfId="34361" xr:uid="{00D72B1E-7263-4716-A067-9EBB343195F9}"/>
    <cellStyle name="Comma 4 2 2 12 3" xfId="12457" xr:uid="{D9F283D3-3B9A-4D0C-A279-C85A4AD2871A}"/>
    <cellStyle name="Comma 4 2 2 12 3 2" xfId="48965" xr:uid="{2E68B9F3-0AD8-4FA1-ADA2-3976BC14B878}"/>
    <cellStyle name="Comma 4 2 2 12 3 3" xfId="30711" xr:uid="{06C232BF-8B21-401F-999B-D6A7DBBF4EB7}"/>
    <cellStyle name="Comma 4 2 2 12 4" xfId="8807" xr:uid="{B4381C57-E527-4B6F-90BB-20CBAA81E3C5}"/>
    <cellStyle name="Comma 4 2 2 12 4 2" xfId="45315" xr:uid="{AF5773AA-F753-40B0-8312-7BBF2A54AA32}"/>
    <cellStyle name="Comma 4 2 2 12 4 3" xfId="27061" xr:uid="{687E78D4-1337-418E-AF02-FEB2AC1B859B}"/>
    <cellStyle name="Comma 4 2 2 12 5" xfId="5157" xr:uid="{0DC8DE0D-DBD7-4A93-8546-FE845757D770}"/>
    <cellStyle name="Comma 4 2 2 12 5 2" xfId="41665" xr:uid="{DC42FE8B-01BF-439A-88E9-2D63C2BDCDFA}"/>
    <cellStyle name="Comma 4 2 2 12 5 3" xfId="23411" xr:uid="{81E6670B-AC1D-4622-AF97-F9FEFB08CE86}"/>
    <cellStyle name="Comma 4 2 2 12 6" xfId="38015" xr:uid="{A40A39D1-D57A-4701-B8E9-C8AEB41786B0}"/>
    <cellStyle name="Comma 4 2 2 12 7" xfId="19761" xr:uid="{63126858-339C-4C08-9F9E-10DBDBD383DE}"/>
    <cellStyle name="Comma 4 2 2 13" xfId="777" xr:uid="{9267B238-DEAB-40FA-869D-AC80F2F061E7}"/>
    <cellStyle name="Comma 4 2 2 13 2" xfId="15377" xr:uid="{DE82BDF1-0EE5-4D66-94F1-DD7EF1EA9543}"/>
    <cellStyle name="Comma 4 2 2 13 2 2" xfId="51885" xr:uid="{70FB4B5D-FE25-4CEB-AA1E-7A49BDFBC3F1}"/>
    <cellStyle name="Comma 4 2 2 13 2 3" xfId="33631" xr:uid="{50FA1086-BF8E-4FF7-9D87-AFB77051F7FA}"/>
    <cellStyle name="Comma 4 2 2 13 3" xfId="11727" xr:uid="{EFE20C2F-68A6-41EF-B037-2617345DAAF9}"/>
    <cellStyle name="Comma 4 2 2 13 3 2" xfId="48235" xr:uid="{DBBA816C-D7FB-4C25-B56B-6BB54568BBBB}"/>
    <cellStyle name="Comma 4 2 2 13 3 3" xfId="29981" xr:uid="{1996885B-9D29-4548-A349-73470C9965E5}"/>
    <cellStyle name="Comma 4 2 2 13 4" xfId="8077" xr:uid="{D6885468-B55D-499D-9D1B-F323F9CEEF34}"/>
    <cellStyle name="Comma 4 2 2 13 4 2" xfId="44585" xr:uid="{B240197C-BB5C-4522-A2E8-25BBC7FEB6E5}"/>
    <cellStyle name="Comma 4 2 2 13 4 3" xfId="26331" xr:uid="{74D6BDEE-17F1-4102-BC49-6EF87BC10A32}"/>
    <cellStyle name="Comma 4 2 2 13 5" xfId="4427" xr:uid="{22C5D6F0-9B4C-4A43-B214-DFBF0AA8D68F}"/>
    <cellStyle name="Comma 4 2 2 13 5 2" xfId="40935" xr:uid="{05EEA39C-3307-4D94-BEB2-973DBB4B4635}"/>
    <cellStyle name="Comma 4 2 2 13 5 3" xfId="22681" xr:uid="{5026DFBF-1481-4961-AFB6-5C675B30943A}"/>
    <cellStyle name="Comma 4 2 2 13 6" xfId="37285" xr:uid="{E91E47B0-4B4A-44B3-A6F5-062ED9EE6A93}"/>
    <cellStyle name="Comma 4 2 2 13 7" xfId="19031" xr:uid="{4D1FE951-80C8-4035-B6DE-0AF4BB587C79}"/>
    <cellStyle name="Comma 4 2 2 14" xfId="14647" xr:uid="{6816B51A-281B-4C02-BB4E-AB6CC0175905}"/>
    <cellStyle name="Comma 4 2 2 14 2" xfId="51155" xr:uid="{217EDDEF-2C65-4703-ACEF-2BDCB1A54012}"/>
    <cellStyle name="Comma 4 2 2 14 3" xfId="32901" xr:uid="{C4BE9563-022D-4A6C-90CD-F474E4562976}"/>
    <cellStyle name="Comma 4 2 2 15" xfId="10997" xr:uid="{6016056B-63A2-4D6C-9248-143F38A0752C}"/>
    <cellStyle name="Comma 4 2 2 15 2" xfId="47505" xr:uid="{91C01AA2-54CB-4FE5-A8D6-FF9F402636BB}"/>
    <cellStyle name="Comma 4 2 2 15 3" xfId="29251" xr:uid="{06F6038D-64C9-48B8-B443-D031A49DB17A}"/>
    <cellStyle name="Comma 4 2 2 16" xfId="7347" xr:uid="{200D6F30-7F28-4956-8C5F-1956A88F20C5}"/>
    <cellStyle name="Comma 4 2 2 16 2" xfId="43855" xr:uid="{E680AF35-AD74-47BB-A4BB-E852F896E1BF}"/>
    <cellStyle name="Comma 4 2 2 16 3" xfId="25601" xr:uid="{E8E09E3C-49F0-4408-8BAC-365FD8671747}"/>
    <cellStyle name="Comma 4 2 2 17" xfId="3697" xr:uid="{53B38335-C56E-4097-97A1-3CAD25B2E937}"/>
    <cellStyle name="Comma 4 2 2 17 2" xfId="40205" xr:uid="{516AFBBF-52BE-4811-8FCD-52DF48B3A81A}"/>
    <cellStyle name="Comma 4 2 2 17 3" xfId="21951" xr:uid="{F818E7E8-C6CB-48A7-898A-BE42696799F7}"/>
    <cellStyle name="Comma 4 2 2 18" xfId="36555" xr:uid="{4D0F8513-3B8D-4F7C-903B-84C7471D8E11}"/>
    <cellStyle name="Comma 4 2 2 19" xfId="18301" xr:uid="{601FF301-D737-4316-9C9E-E8B619BEE827}"/>
    <cellStyle name="Comma 4 2 2 2" xfId="112" xr:uid="{561847D3-AF03-4076-9C7E-92657CA02304}"/>
    <cellStyle name="Comma 4 2 2 2 10" xfId="1571" xr:uid="{E6B6B4F1-26C4-4265-AC6E-C3CEBB500927}"/>
    <cellStyle name="Comma 4 2 2 2 10 2" xfId="16171" xr:uid="{3DEBA7EC-67FB-49B1-B934-8612554BCC97}"/>
    <cellStyle name="Comma 4 2 2 2 10 2 2" xfId="52679" xr:uid="{573BBB3F-A1E7-4A71-BBE5-E62C666A6817}"/>
    <cellStyle name="Comma 4 2 2 2 10 2 3" xfId="34425" xr:uid="{7632BAF1-8307-4564-8023-BBCB3E39BEBB}"/>
    <cellStyle name="Comma 4 2 2 2 10 3" xfId="12521" xr:uid="{EED14024-8D1A-4A7D-AEA4-21D02E279752}"/>
    <cellStyle name="Comma 4 2 2 2 10 3 2" xfId="49029" xr:uid="{6F76DB83-5EFE-40BE-B27E-B285557A7880}"/>
    <cellStyle name="Comma 4 2 2 2 10 3 3" xfId="30775" xr:uid="{19D417E3-64B7-4D60-8346-19F375047532}"/>
    <cellStyle name="Comma 4 2 2 2 10 4" xfId="8871" xr:uid="{BB019AC5-6610-4D24-9082-C269E661111C}"/>
    <cellStyle name="Comma 4 2 2 2 10 4 2" xfId="45379" xr:uid="{6B14A03C-B912-4F3B-ADF9-62E1B9D1AE4B}"/>
    <cellStyle name="Comma 4 2 2 2 10 4 3" xfId="27125" xr:uid="{E3D413C7-6F74-485B-A751-4A5E8EDA0ECA}"/>
    <cellStyle name="Comma 4 2 2 2 10 5" xfId="5221" xr:uid="{906FE596-B332-4D5B-859A-91DD14D2BDF5}"/>
    <cellStyle name="Comma 4 2 2 2 10 5 2" xfId="41729" xr:uid="{A53292C5-1528-4F93-9881-D3460F931C48}"/>
    <cellStyle name="Comma 4 2 2 2 10 5 3" xfId="23475" xr:uid="{147A1248-524D-47C8-B42A-3309D5B6434E}"/>
    <cellStyle name="Comma 4 2 2 2 10 6" xfId="38079" xr:uid="{7F966907-74BD-440D-B8D5-4B210C8E4DCD}"/>
    <cellStyle name="Comma 4 2 2 2 10 7" xfId="19825" xr:uid="{DA3B6389-0735-479A-89E5-7279BE95C28E}"/>
    <cellStyle name="Comma 4 2 2 2 11" xfId="841" xr:uid="{481B498B-0499-439A-B052-B274639DEA32}"/>
    <cellStyle name="Comma 4 2 2 2 11 2" xfId="15441" xr:uid="{209370B5-2A7C-4754-B32D-C7A673E3F34B}"/>
    <cellStyle name="Comma 4 2 2 2 11 2 2" xfId="51949" xr:uid="{E122674C-AB82-4413-91A1-9100EA9D56CF}"/>
    <cellStyle name="Comma 4 2 2 2 11 2 3" xfId="33695" xr:uid="{A7E6D242-1BCB-4A62-AD93-1AD7B17FCD28}"/>
    <cellStyle name="Comma 4 2 2 2 11 3" xfId="11791" xr:uid="{FA684CF5-8CFA-4675-8FC4-03453953355A}"/>
    <cellStyle name="Comma 4 2 2 2 11 3 2" xfId="48299" xr:uid="{AE948066-960A-43B6-A72A-2AC7BADB5540}"/>
    <cellStyle name="Comma 4 2 2 2 11 3 3" xfId="30045" xr:uid="{958D25CA-F4B6-4BB6-8E96-A97C10190006}"/>
    <cellStyle name="Comma 4 2 2 2 11 4" xfId="8141" xr:uid="{0630B887-4D52-4190-9067-225A7C54F67D}"/>
    <cellStyle name="Comma 4 2 2 2 11 4 2" xfId="44649" xr:uid="{11E5FB0A-CC99-4F50-B59E-B0B4DBEB2BAE}"/>
    <cellStyle name="Comma 4 2 2 2 11 4 3" xfId="26395" xr:uid="{4070DB20-9D2E-439E-BB56-AAA27221D869}"/>
    <cellStyle name="Comma 4 2 2 2 11 5" xfId="4491" xr:uid="{1536CF33-665E-4507-B182-B6E4DD5A122D}"/>
    <cellStyle name="Comma 4 2 2 2 11 5 2" xfId="40999" xr:uid="{8BD43D38-61DA-4DCB-B7DB-E3A7F8EDA17F}"/>
    <cellStyle name="Comma 4 2 2 2 11 5 3" xfId="22745" xr:uid="{55728EB4-827E-425B-9413-A179208A4804}"/>
    <cellStyle name="Comma 4 2 2 2 11 6" xfId="37349" xr:uid="{2B53E7BB-8DB6-4976-A0BC-29B653782EE2}"/>
    <cellStyle name="Comma 4 2 2 2 11 7" xfId="19095" xr:uid="{90F9292B-7344-40F8-A21E-0ED07E6C727C}"/>
    <cellStyle name="Comma 4 2 2 2 12" xfId="14711" xr:uid="{FFC8D011-6C8A-4148-BDA2-F32162EF7EEA}"/>
    <cellStyle name="Comma 4 2 2 2 12 2" xfId="51219" xr:uid="{75A6B73F-BB47-4A25-BD09-287FFBDE5360}"/>
    <cellStyle name="Comma 4 2 2 2 12 3" xfId="32965" xr:uid="{0697865C-752A-48BE-8FB9-D088EAE13B7A}"/>
    <cellStyle name="Comma 4 2 2 2 13" xfId="11061" xr:uid="{7BB92B53-D670-46AE-B01E-74960A2045B9}"/>
    <cellStyle name="Comma 4 2 2 2 13 2" xfId="47569" xr:uid="{44B213DD-45B6-42E0-AB34-251EE95A0084}"/>
    <cellStyle name="Comma 4 2 2 2 13 3" xfId="29315" xr:uid="{9F254C52-043E-47E6-ADB2-DF4F8D6B32A1}"/>
    <cellStyle name="Comma 4 2 2 2 14" xfId="7411" xr:uid="{73422BAD-EF74-4D53-91BB-5D94433879CB}"/>
    <cellStyle name="Comma 4 2 2 2 14 2" xfId="43919" xr:uid="{D1BD1658-ED86-47A0-AC63-036AEF332911}"/>
    <cellStyle name="Comma 4 2 2 2 14 3" xfId="25665" xr:uid="{A15CE647-1B39-4D94-8710-210D0F4F8AD5}"/>
    <cellStyle name="Comma 4 2 2 2 15" xfId="3761" xr:uid="{F83D36DE-BA8A-49D4-B911-FECE51F56898}"/>
    <cellStyle name="Comma 4 2 2 2 15 2" xfId="40269" xr:uid="{63DCD3D3-9506-4AD8-9586-E108D2B08F03}"/>
    <cellStyle name="Comma 4 2 2 2 15 3" xfId="22015" xr:uid="{CB379B87-A0A3-45D9-B6EC-1800F87A995E}"/>
    <cellStyle name="Comma 4 2 2 2 16" xfId="36619" xr:uid="{91BD69E1-6AB3-466A-A9FF-9567C18F4968}"/>
    <cellStyle name="Comma 4 2 2 2 17" xfId="18365" xr:uid="{5F940DCD-49E0-4ED5-9927-945632BC6015}"/>
    <cellStyle name="Comma 4 2 2 2 2" xfId="735" xr:uid="{2848F27D-058C-4F8D-A345-6DE3A12A3892}"/>
    <cellStyle name="Comma 4 2 2 2 2 10" xfId="37243" xr:uid="{B9A5564E-055A-4C9A-B200-158E2A0C20F7}"/>
    <cellStyle name="Comma 4 2 2 2 2 11" xfId="18989" xr:uid="{1FDDD7D7-E6EF-4321-9135-7BF663DD6419}"/>
    <cellStyle name="Comma 4 2 2 2 2 2" xfId="3655" xr:uid="{B45DC9BF-481F-4574-A072-FBFD6AAC3137}"/>
    <cellStyle name="Comma 4 2 2 2 2 2 2" xfId="18255" xr:uid="{C9A605F7-31C7-4382-9680-D7BF87F87678}"/>
    <cellStyle name="Comma 4 2 2 2 2 2 2 2" xfId="54763" xr:uid="{12C5C1E9-9ECC-4412-BF77-CA5DD5E33443}"/>
    <cellStyle name="Comma 4 2 2 2 2 2 2 3" xfId="36509" xr:uid="{86E2BCFF-D76C-4F88-9B02-85A286CD39E0}"/>
    <cellStyle name="Comma 4 2 2 2 2 2 3" xfId="14605" xr:uid="{2002544C-9BC0-4945-A7D6-C5696534E450}"/>
    <cellStyle name="Comma 4 2 2 2 2 2 3 2" xfId="51113" xr:uid="{89533903-E510-4EE4-A10D-6E2C991D10E4}"/>
    <cellStyle name="Comma 4 2 2 2 2 2 3 3" xfId="32859" xr:uid="{243FD90F-7BC7-42DA-A5D1-9126625DE4E5}"/>
    <cellStyle name="Comma 4 2 2 2 2 2 4" xfId="10955" xr:uid="{D916F53B-02F4-4D4B-8347-03858D2DE6D9}"/>
    <cellStyle name="Comma 4 2 2 2 2 2 4 2" xfId="47463" xr:uid="{E4F22E53-322B-4DAD-B59B-8B6ECECAB54D}"/>
    <cellStyle name="Comma 4 2 2 2 2 2 4 3" xfId="29209" xr:uid="{A99ABF72-14C6-4453-88E8-4897B8596162}"/>
    <cellStyle name="Comma 4 2 2 2 2 2 5" xfId="7305" xr:uid="{8B374FD7-E18F-4303-B8D0-80556FB2B29F}"/>
    <cellStyle name="Comma 4 2 2 2 2 2 5 2" xfId="43813" xr:uid="{66AE2A23-966C-48BF-9DD1-C5F465DEA936}"/>
    <cellStyle name="Comma 4 2 2 2 2 2 5 3" xfId="25559" xr:uid="{D32E7AAC-5BFC-4DB4-A119-9F00DAE5DECE}"/>
    <cellStyle name="Comma 4 2 2 2 2 2 6" xfId="40163" xr:uid="{DB43687C-5F70-4CED-A477-259C40BB18D7}"/>
    <cellStyle name="Comma 4 2 2 2 2 2 7" xfId="21909" xr:uid="{E4862A52-77E0-46DF-80D2-04FA8B797C1B}"/>
    <cellStyle name="Comma 4 2 2 2 2 3" xfId="2925" xr:uid="{9DD07007-7F08-478F-99D7-518913E7E1DF}"/>
    <cellStyle name="Comma 4 2 2 2 2 3 2" xfId="17525" xr:uid="{76D43DF1-F8F0-4A0E-A687-7CFBDEC5541F}"/>
    <cellStyle name="Comma 4 2 2 2 2 3 2 2" xfId="54033" xr:uid="{014C5712-E798-4ED7-8713-FA55CD306A19}"/>
    <cellStyle name="Comma 4 2 2 2 2 3 2 3" xfId="35779" xr:uid="{C83B93AB-1F24-4458-A38B-D284957D80F9}"/>
    <cellStyle name="Comma 4 2 2 2 2 3 3" xfId="13875" xr:uid="{E29D499A-47A4-4E6C-A01F-43B19B81D20A}"/>
    <cellStyle name="Comma 4 2 2 2 2 3 3 2" xfId="50383" xr:uid="{A2D5FD1D-70E6-4BE9-80ED-F8326937FF5A}"/>
    <cellStyle name="Comma 4 2 2 2 2 3 3 3" xfId="32129" xr:uid="{635062B9-C993-40EA-BAEE-98EE647E3EB8}"/>
    <cellStyle name="Comma 4 2 2 2 2 3 4" xfId="10225" xr:uid="{900D0EE0-8539-448C-A299-143E837B82B9}"/>
    <cellStyle name="Comma 4 2 2 2 2 3 4 2" xfId="46733" xr:uid="{7DB3C0AA-CF89-4DA5-9E12-C85FAA99AF25}"/>
    <cellStyle name="Comma 4 2 2 2 2 3 4 3" xfId="28479" xr:uid="{6F1DBF71-0A78-4B39-AE1E-8772F15352F7}"/>
    <cellStyle name="Comma 4 2 2 2 2 3 5" xfId="6575" xr:uid="{FF665ACF-6E3C-487D-8199-DD6108B0A09A}"/>
    <cellStyle name="Comma 4 2 2 2 2 3 5 2" xfId="43083" xr:uid="{29573211-364B-41CE-B444-997F2A61D1D9}"/>
    <cellStyle name="Comma 4 2 2 2 2 3 5 3" xfId="24829" xr:uid="{33CD7824-F814-446C-8A4A-302637B82741}"/>
    <cellStyle name="Comma 4 2 2 2 2 3 6" xfId="39433" xr:uid="{AB85B23B-983F-49B7-AF42-A9D7472936A3}"/>
    <cellStyle name="Comma 4 2 2 2 2 3 7" xfId="21179" xr:uid="{C1F3DC3F-42E7-4BC8-8A6F-78695A864658}"/>
    <cellStyle name="Comma 4 2 2 2 2 4" xfId="2195" xr:uid="{30508FA4-A344-485D-959B-38C29AE6640E}"/>
    <cellStyle name="Comma 4 2 2 2 2 4 2" xfId="16795" xr:uid="{ADB0A1C4-7A60-4125-ABDB-D15A7241DC4E}"/>
    <cellStyle name="Comma 4 2 2 2 2 4 2 2" xfId="53303" xr:uid="{BA529FF2-8196-44BA-BC2D-4061CFA2F5F8}"/>
    <cellStyle name="Comma 4 2 2 2 2 4 2 3" xfId="35049" xr:uid="{7060E5CA-C21E-4BE7-8392-E07912F39B0E}"/>
    <cellStyle name="Comma 4 2 2 2 2 4 3" xfId="13145" xr:uid="{EF55903C-5139-4567-A499-4B2F4A1724F7}"/>
    <cellStyle name="Comma 4 2 2 2 2 4 3 2" xfId="49653" xr:uid="{7F2C56DF-E1ED-4E16-A0B1-6D6350151228}"/>
    <cellStyle name="Comma 4 2 2 2 2 4 3 3" xfId="31399" xr:uid="{B95D5601-53D4-4340-A938-29024D2C9516}"/>
    <cellStyle name="Comma 4 2 2 2 2 4 4" xfId="9495" xr:uid="{2EB7FE23-C761-4641-81D8-AD37E2258A59}"/>
    <cellStyle name="Comma 4 2 2 2 2 4 4 2" xfId="46003" xr:uid="{EA940125-9F9E-4E6A-BE56-D11E10CF0097}"/>
    <cellStyle name="Comma 4 2 2 2 2 4 4 3" xfId="27749" xr:uid="{3ECA166E-C300-4CAB-B6AF-FEFCF355BA64}"/>
    <cellStyle name="Comma 4 2 2 2 2 4 5" xfId="5845" xr:uid="{F7A39FD3-5B9D-4137-957B-C4ED9427FDD2}"/>
    <cellStyle name="Comma 4 2 2 2 2 4 5 2" xfId="42353" xr:uid="{3E90B8F9-08B9-4319-BB78-A2F2C70DD125}"/>
    <cellStyle name="Comma 4 2 2 2 2 4 5 3" xfId="24099" xr:uid="{4AB7184A-36CE-4C7B-9898-D4186349E12B}"/>
    <cellStyle name="Comma 4 2 2 2 2 4 6" xfId="38703" xr:uid="{AF3BDF8C-9B17-4C8C-8C3E-0D9458B092E1}"/>
    <cellStyle name="Comma 4 2 2 2 2 4 7" xfId="20449" xr:uid="{43D15042-A455-499C-871D-354503F9D754}"/>
    <cellStyle name="Comma 4 2 2 2 2 5" xfId="1465" xr:uid="{567BBA1B-31DA-41E7-B657-1D138AAFDE34}"/>
    <cellStyle name="Comma 4 2 2 2 2 5 2" xfId="16065" xr:uid="{A082EEA2-156F-4264-B8DC-0595B09B1C21}"/>
    <cellStyle name="Comma 4 2 2 2 2 5 2 2" xfId="52573" xr:uid="{4395BFBF-3BD8-475D-8413-E016BBB82CF4}"/>
    <cellStyle name="Comma 4 2 2 2 2 5 2 3" xfId="34319" xr:uid="{9D502496-743E-4B7C-A033-7EA534ED0853}"/>
    <cellStyle name="Comma 4 2 2 2 2 5 3" xfId="12415" xr:uid="{3C35BA9B-D393-4345-B7C0-74AEFDFFB404}"/>
    <cellStyle name="Comma 4 2 2 2 2 5 3 2" xfId="48923" xr:uid="{5B0A1D6B-E8C7-4E23-9076-DC798E5D905D}"/>
    <cellStyle name="Comma 4 2 2 2 2 5 3 3" xfId="30669" xr:uid="{38D01CE3-DB7F-4E94-96F9-099CBC8EF94D}"/>
    <cellStyle name="Comma 4 2 2 2 2 5 4" xfId="8765" xr:uid="{061655A2-ED1D-4145-BD84-C610582DBADA}"/>
    <cellStyle name="Comma 4 2 2 2 2 5 4 2" xfId="45273" xr:uid="{FB79BA68-A7BF-4887-ADE1-E701D314BCF7}"/>
    <cellStyle name="Comma 4 2 2 2 2 5 4 3" xfId="27019" xr:uid="{5853FB9F-DCFF-4EC0-A18C-A059C00926A4}"/>
    <cellStyle name="Comma 4 2 2 2 2 5 5" xfId="5115" xr:uid="{FB50F1A0-6A2E-4971-B604-07E4C6D41F7C}"/>
    <cellStyle name="Comma 4 2 2 2 2 5 5 2" xfId="41623" xr:uid="{175AB39B-49CB-429E-B5F1-CDAEBE155D1C}"/>
    <cellStyle name="Comma 4 2 2 2 2 5 5 3" xfId="23369" xr:uid="{8290FB6E-BC0D-41A1-B5A5-3F8311D23BA3}"/>
    <cellStyle name="Comma 4 2 2 2 2 5 6" xfId="37973" xr:uid="{766B5DDD-B393-435E-A07F-5151D829EEC9}"/>
    <cellStyle name="Comma 4 2 2 2 2 5 7" xfId="19719" xr:uid="{45F4515C-ECBF-4F4F-9BD1-82626B78E0F3}"/>
    <cellStyle name="Comma 4 2 2 2 2 6" xfId="15335" xr:uid="{9B02D48F-C740-47D2-A2C8-329B673513F2}"/>
    <cellStyle name="Comma 4 2 2 2 2 6 2" xfId="51843" xr:uid="{F5201B3D-E17F-406D-9AC1-A1A817C9E9C0}"/>
    <cellStyle name="Comma 4 2 2 2 2 6 3" xfId="33589" xr:uid="{2BA5DB72-458C-4964-9FE7-3800D49A914E}"/>
    <cellStyle name="Comma 4 2 2 2 2 7" xfId="11685" xr:uid="{59EBDFD3-2011-4048-A954-0279BED1F52E}"/>
    <cellStyle name="Comma 4 2 2 2 2 7 2" xfId="48193" xr:uid="{CA947F92-AACE-4662-9C7C-EC597B63DEF5}"/>
    <cellStyle name="Comma 4 2 2 2 2 7 3" xfId="29939" xr:uid="{C7B5DF4E-8DBA-4D10-810C-DDC6F48A9F79}"/>
    <cellStyle name="Comma 4 2 2 2 2 8" xfId="8035" xr:uid="{A8AE515C-61A0-4980-AE29-853AF0BECF69}"/>
    <cellStyle name="Comma 4 2 2 2 2 8 2" xfId="44543" xr:uid="{C6B68D79-7856-465F-A871-0F6B4AD2D060}"/>
    <cellStyle name="Comma 4 2 2 2 2 8 3" xfId="26289" xr:uid="{DB167890-87B2-46F2-B4D0-DBF9EEED1F2F}"/>
    <cellStyle name="Comma 4 2 2 2 2 9" xfId="4385" xr:uid="{1CB02A56-ED80-468D-B3D7-1D0B92E38D61}"/>
    <cellStyle name="Comma 4 2 2 2 2 9 2" xfId="40893" xr:uid="{63428347-06E8-411A-8874-90BB29C838AD}"/>
    <cellStyle name="Comma 4 2 2 2 2 9 3" xfId="22639" xr:uid="{4EE14BAC-327A-4162-ABFB-D4B936E38442}"/>
    <cellStyle name="Comma 4 2 2 2 3" xfId="631" xr:uid="{C9EBAD66-7592-43A1-AE0A-5C8B9C5E2760}"/>
    <cellStyle name="Comma 4 2 2 2 3 10" xfId="37139" xr:uid="{449DF198-C0A4-436C-8DED-3CBDDD97C827}"/>
    <cellStyle name="Comma 4 2 2 2 3 11" xfId="18885" xr:uid="{7D84B50D-F40A-4E0A-87DD-5D2FD2A4B004}"/>
    <cellStyle name="Comma 4 2 2 2 3 2" xfId="3551" xr:uid="{51C0BF95-6FE3-47E3-A95B-4FD233FF5B0A}"/>
    <cellStyle name="Comma 4 2 2 2 3 2 2" xfId="18151" xr:uid="{25A7716D-E0A4-41BD-8326-BCF5F0846C75}"/>
    <cellStyle name="Comma 4 2 2 2 3 2 2 2" xfId="54659" xr:uid="{281C53DA-9B8F-46C5-9D94-0382DBE41637}"/>
    <cellStyle name="Comma 4 2 2 2 3 2 2 3" xfId="36405" xr:uid="{8C86BA29-CCA8-45D1-AB63-366F4A7DA8B7}"/>
    <cellStyle name="Comma 4 2 2 2 3 2 3" xfId="14501" xr:uid="{750C68E7-65D7-476B-BB5E-D3514DDEB692}"/>
    <cellStyle name="Comma 4 2 2 2 3 2 3 2" xfId="51009" xr:uid="{BC846828-412A-4F81-9789-7B0910222EE2}"/>
    <cellStyle name="Comma 4 2 2 2 3 2 3 3" xfId="32755" xr:uid="{0890461F-D1A5-4662-9B0B-5E0803A28F30}"/>
    <cellStyle name="Comma 4 2 2 2 3 2 4" xfId="10851" xr:uid="{7899E6B8-B41E-4906-8790-50E4343E95D7}"/>
    <cellStyle name="Comma 4 2 2 2 3 2 4 2" xfId="47359" xr:uid="{15BC3780-B02B-4F8F-9449-511BC8C892C5}"/>
    <cellStyle name="Comma 4 2 2 2 3 2 4 3" xfId="29105" xr:uid="{29C2C0EF-1665-4BE3-BA15-B8FC4E1C6664}"/>
    <cellStyle name="Comma 4 2 2 2 3 2 5" xfId="7201" xr:uid="{2FC44257-4C55-42E0-BBAA-87C0FD3B46A6}"/>
    <cellStyle name="Comma 4 2 2 2 3 2 5 2" xfId="43709" xr:uid="{00F92760-220E-4718-8E3E-D87703002BBB}"/>
    <cellStyle name="Comma 4 2 2 2 3 2 5 3" xfId="25455" xr:uid="{5DB1CFA2-792B-42C9-AF25-729EF633E91D}"/>
    <cellStyle name="Comma 4 2 2 2 3 2 6" xfId="40059" xr:uid="{6A29EE71-80CE-4A04-BDF6-F6DF18DDEB9E}"/>
    <cellStyle name="Comma 4 2 2 2 3 2 7" xfId="21805" xr:uid="{486DAA30-3620-4410-85F8-FE27C0A651E1}"/>
    <cellStyle name="Comma 4 2 2 2 3 3" xfId="2821" xr:uid="{1CA9689A-9E89-438A-BD8F-458F0AB01779}"/>
    <cellStyle name="Comma 4 2 2 2 3 3 2" xfId="17421" xr:uid="{90436564-4B33-47B7-8B12-10190E70973D}"/>
    <cellStyle name="Comma 4 2 2 2 3 3 2 2" xfId="53929" xr:uid="{1449F4B0-2754-4101-922B-67D72E22CAD9}"/>
    <cellStyle name="Comma 4 2 2 2 3 3 2 3" xfId="35675" xr:uid="{C55B3358-0A10-4705-8969-22FF86782004}"/>
    <cellStyle name="Comma 4 2 2 2 3 3 3" xfId="13771" xr:uid="{3B1CF8F2-83EB-411C-8D3A-DE9944665764}"/>
    <cellStyle name="Comma 4 2 2 2 3 3 3 2" xfId="50279" xr:uid="{1599091A-CE58-4D37-88EE-75890D58AF8C}"/>
    <cellStyle name="Comma 4 2 2 2 3 3 3 3" xfId="32025" xr:uid="{F8F85F68-2261-49D1-BEB0-2DE3BAC118D4}"/>
    <cellStyle name="Comma 4 2 2 2 3 3 4" xfId="10121" xr:uid="{37673256-31EF-429C-8A40-19BB0536C0CB}"/>
    <cellStyle name="Comma 4 2 2 2 3 3 4 2" xfId="46629" xr:uid="{639F27AF-8926-477B-9F7F-61B14C6C7281}"/>
    <cellStyle name="Comma 4 2 2 2 3 3 4 3" xfId="28375" xr:uid="{70984406-E904-4A0B-BBF0-58BC2E167994}"/>
    <cellStyle name="Comma 4 2 2 2 3 3 5" xfId="6471" xr:uid="{218A1DA6-F1A7-4F86-90D0-5740C14D8A23}"/>
    <cellStyle name="Comma 4 2 2 2 3 3 5 2" xfId="42979" xr:uid="{6387FBC5-059D-4EE2-B8FA-7F1C28530810}"/>
    <cellStyle name="Comma 4 2 2 2 3 3 5 3" xfId="24725" xr:uid="{D467A110-7D00-4114-8BE2-498E95B84D11}"/>
    <cellStyle name="Comma 4 2 2 2 3 3 6" xfId="39329" xr:uid="{4875E2CF-1B66-4238-B7A6-694FEA33871D}"/>
    <cellStyle name="Comma 4 2 2 2 3 3 7" xfId="21075" xr:uid="{E1D27EC6-CF15-460E-BEEB-5061AEA0CDC9}"/>
    <cellStyle name="Comma 4 2 2 2 3 4" xfId="2091" xr:uid="{C7564B05-337A-405D-95A3-BDBFAE1CDDE9}"/>
    <cellStyle name="Comma 4 2 2 2 3 4 2" xfId="16691" xr:uid="{9569F341-1B26-498E-B99B-3BBDC3EC55E5}"/>
    <cellStyle name="Comma 4 2 2 2 3 4 2 2" xfId="53199" xr:uid="{D79F7C78-9951-4A89-84A9-CF809595D787}"/>
    <cellStyle name="Comma 4 2 2 2 3 4 2 3" xfId="34945" xr:uid="{24569560-FA61-44E9-B488-B214C0E63392}"/>
    <cellStyle name="Comma 4 2 2 2 3 4 3" xfId="13041" xr:uid="{94BA6695-3015-437A-A750-7BA81AF77EC5}"/>
    <cellStyle name="Comma 4 2 2 2 3 4 3 2" xfId="49549" xr:uid="{B81F8D21-D9EF-4D4E-B6AC-B94E57905A89}"/>
    <cellStyle name="Comma 4 2 2 2 3 4 3 3" xfId="31295" xr:uid="{F0DA52EB-1DAD-40F5-BDA4-79427D99A4C8}"/>
    <cellStyle name="Comma 4 2 2 2 3 4 4" xfId="9391" xr:uid="{21DDB9E3-16F5-4FFC-AAB6-799576F60041}"/>
    <cellStyle name="Comma 4 2 2 2 3 4 4 2" xfId="45899" xr:uid="{C0AAC4C4-B276-4E0D-945D-BE494618DD41}"/>
    <cellStyle name="Comma 4 2 2 2 3 4 4 3" xfId="27645" xr:uid="{3EB45C53-0443-4573-A04F-2FCC4C53BEAB}"/>
    <cellStyle name="Comma 4 2 2 2 3 4 5" xfId="5741" xr:uid="{8323C8A6-2B84-44DF-9876-9297F0CBD272}"/>
    <cellStyle name="Comma 4 2 2 2 3 4 5 2" xfId="42249" xr:uid="{17155905-AFD7-4588-9ACF-2394B8D3CB9A}"/>
    <cellStyle name="Comma 4 2 2 2 3 4 5 3" xfId="23995" xr:uid="{50C5B24C-E7BA-4DED-AD36-52B3A0B1D68E}"/>
    <cellStyle name="Comma 4 2 2 2 3 4 6" xfId="38599" xr:uid="{EDEE6EC3-7F48-4CE4-9530-2CE75F480FB8}"/>
    <cellStyle name="Comma 4 2 2 2 3 4 7" xfId="20345" xr:uid="{3BE527BE-5938-4CDF-9FE5-39053267F6CF}"/>
    <cellStyle name="Comma 4 2 2 2 3 5" xfId="1361" xr:uid="{BB89C9CB-C16D-4F55-82E0-4D07173819E6}"/>
    <cellStyle name="Comma 4 2 2 2 3 5 2" xfId="15961" xr:uid="{455867D0-2CEB-44FF-B7D7-2DCDB420F8EB}"/>
    <cellStyle name="Comma 4 2 2 2 3 5 2 2" xfId="52469" xr:uid="{9C23CEFA-7D68-4D92-BA46-D0AFC8BCCA82}"/>
    <cellStyle name="Comma 4 2 2 2 3 5 2 3" xfId="34215" xr:uid="{B1557354-DD25-4238-85D4-1005A09EDC55}"/>
    <cellStyle name="Comma 4 2 2 2 3 5 3" xfId="12311" xr:uid="{757BCED5-B1B0-4A98-8784-86770BA70CE4}"/>
    <cellStyle name="Comma 4 2 2 2 3 5 3 2" xfId="48819" xr:uid="{E8EE7FDB-5CEC-47E6-AE5C-A3AE05D51FE5}"/>
    <cellStyle name="Comma 4 2 2 2 3 5 3 3" xfId="30565" xr:uid="{12253072-C01E-4AAF-8069-E0D2A109D3CD}"/>
    <cellStyle name="Comma 4 2 2 2 3 5 4" xfId="8661" xr:uid="{CD0B7E05-5077-4C26-9918-F22C19EFE46B}"/>
    <cellStyle name="Comma 4 2 2 2 3 5 4 2" xfId="45169" xr:uid="{45CD7D5A-6E7F-4012-966C-7A71C1D5B501}"/>
    <cellStyle name="Comma 4 2 2 2 3 5 4 3" xfId="26915" xr:uid="{711BC339-C223-4051-9F00-7AD6D18E98B6}"/>
    <cellStyle name="Comma 4 2 2 2 3 5 5" xfId="5011" xr:uid="{4B24E1A1-AB23-4043-8CCD-0BED15E42254}"/>
    <cellStyle name="Comma 4 2 2 2 3 5 5 2" xfId="41519" xr:uid="{3AF411A4-488E-434B-8F85-9AA2DECA8950}"/>
    <cellStyle name="Comma 4 2 2 2 3 5 5 3" xfId="23265" xr:uid="{B770702B-F424-4FD2-BACA-9239C66E5BFD}"/>
    <cellStyle name="Comma 4 2 2 2 3 5 6" xfId="37869" xr:uid="{BE5C9010-0E91-49D6-B02A-378EE25D216D}"/>
    <cellStyle name="Comma 4 2 2 2 3 5 7" xfId="19615" xr:uid="{83431416-D707-47F5-8299-F3E8E6F505C6}"/>
    <cellStyle name="Comma 4 2 2 2 3 6" xfId="15231" xr:uid="{EDC943FA-6E9C-4B2D-9113-0A19CEC8F68E}"/>
    <cellStyle name="Comma 4 2 2 2 3 6 2" xfId="51739" xr:uid="{46797A72-1D0F-4896-A082-B54FA1199ABC}"/>
    <cellStyle name="Comma 4 2 2 2 3 6 3" xfId="33485" xr:uid="{53F4C6D6-2615-4CF6-BAF3-9133CA34FF1A}"/>
    <cellStyle name="Comma 4 2 2 2 3 7" xfId="11581" xr:uid="{A5CC8ED5-2A25-4FB1-BE8C-BFB17BFEAA63}"/>
    <cellStyle name="Comma 4 2 2 2 3 7 2" xfId="48089" xr:uid="{2C31F95B-19FE-4ACE-A771-2F231763D13D}"/>
    <cellStyle name="Comma 4 2 2 2 3 7 3" xfId="29835" xr:uid="{539B5C2A-E23C-4B88-9962-866340ADB312}"/>
    <cellStyle name="Comma 4 2 2 2 3 8" xfId="7931" xr:uid="{434554C7-77A1-4F0D-AFC5-6EF0FD8FE4F3}"/>
    <cellStyle name="Comma 4 2 2 2 3 8 2" xfId="44439" xr:uid="{B077D759-A427-4820-ABE1-37E18A360690}"/>
    <cellStyle name="Comma 4 2 2 2 3 8 3" xfId="26185" xr:uid="{DB805F63-99F7-4B9C-9147-401E78E5E2F3}"/>
    <cellStyle name="Comma 4 2 2 2 3 9" xfId="4281" xr:uid="{B13C88F3-39CA-4CB4-9ACB-364F70D4B360}"/>
    <cellStyle name="Comma 4 2 2 2 3 9 2" xfId="40789" xr:uid="{1DCABACD-C375-47EA-BCDF-7B725A55D9E9}"/>
    <cellStyle name="Comma 4 2 2 2 3 9 3" xfId="22535" xr:uid="{EC9BF81E-DF2C-402D-B027-3B0033689AC6}"/>
    <cellStyle name="Comma 4 2 2 2 4" xfId="527" xr:uid="{44A93411-A795-409D-B5C6-1B39E1A3B52A}"/>
    <cellStyle name="Comma 4 2 2 2 4 10" xfId="37035" xr:uid="{C8608BB2-A6B3-4E4B-BE3A-4E9454542988}"/>
    <cellStyle name="Comma 4 2 2 2 4 11" xfId="18781" xr:uid="{B23000BF-279D-4238-B438-528E997C8965}"/>
    <cellStyle name="Comma 4 2 2 2 4 2" xfId="3447" xr:uid="{E95D143A-AC06-4AFD-BD7F-AD2B1200FF96}"/>
    <cellStyle name="Comma 4 2 2 2 4 2 2" xfId="18047" xr:uid="{F2E11CE4-ACA9-44BA-AEE0-061AA9419E27}"/>
    <cellStyle name="Comma 4 2 2 2 4 2 2 2" xfId="54555" xr:uid="{567C0F0A-BC6D-485A-8D2A-6B008B328008}"/>
    <cellStyle name="Comma 4 2 2 2 4 2 2 3" xfId="36301" xr:uid="{EE203014-FC8B-4D7B-B281-E5B5418E460A}"/>
    <cellStyle name="Comma 4 2 2 2 4 2 3" xfId="14397" xr:uid="{84AE9B8A-9A11-4FB3-938D-46E35B8C243C}"/>
    <cellStyle name="Comma 4 2 2 2 4 2 3 2" xfId="50905" xr:uid="{7C620E7E-10C0-4C76-B855-66D7AE73848B}"/>
    <cellStyle name="Comma 4 2 2 2 4 2 3 3" xfId="32651" xr:uid="{9CA5D466-6051-48D9-A62A-5CA423DC5D74}"/>
    <cellStyle name="Comma 4 2 2 2 4 2 4" xfId="10747" xr:uid="{19ADC2DC-EBEB-4453-9153-979FE5C9E2E7}"/>
    <cellStyle name="Comma 4 2 2 2 4 2 4 2" xfId="47255" xr:uid="{E58D0A79-C5B3-4F26-B12E-E30081C6EADA}"/>
    <cellStyle name="Comma 4 2 2 2 4 2 4 3" xfId="29001" xr:uid="{704D90BC-B9AB-4E95-B453-927DDF94ECBC}"/>
    <cellStyle name="Comma 4 2 2 2 4 2 5" xfId="7097" xr:uid="{1E5EAA41-41EC-43B5-ADF5-E4EE72F398C8}"/>
    <cellStyle name="Comma 4 2 2 2 4 2 5 2" xfId="43605" xr:uid="{947FDC43-880E-4CD2-94FA-1EAEA8AB7711}"/>
    <cellStyle name="Comma 4 2 2 2 4 2 5 3" xfId="25351" xr:uid="{975E2D73-B4DB-4D08-8E6B-63CF4CBD9CFB}"/>
    <cellStyle name="Comma 4 2 2 2 4 2 6" xfId="39955" xr:uid="{3AB3E755-E714-4BA1-963A-C15EFAB97555}"/>
    <cellStyle name="Comma 4 2 2 2 4 2 7" xfId="21701" xr:uid="{FE4A5158-6291-4BE4-AC36-E85F63684A33}"/>
    <cellStyle name="Comma 4 2 2 2 4 3" xfId="2717" xr:uid="{0EFEC7D3-6BD8-41E9-BC24-E94748F6488A}"/>
    <cellStyle name="Comma 4 2 2 2 4 3 2" xfId="17317" xr:uid="{880F696A-0727-4C78-87F0-9152D6F4E135}"/>
    <cellStyle name="Comma 4 2 2 2 4 3 2 2" xfId="53825" xr:uid="{D35357BF-3864-48AC-9084-69471A6B1C8B}"/>
    <cellStyle name="Comma 4 2 2 2 4 3 2 3" xfId="35571" xr:uid="{9AC565F6-97AD-499E-B5A7-FB706493C10B}"/>
    <cellStyle name="Comma 4 2 2 2 4 3 3" xfId="13667" xr:uid="{E39EEB7B-794A-4531-93A8-BEF66B0FDFFC}"/>
    <cellStyle name="Comma 4 2 2 2 4 3 3 2" xfId="50175" xr:uid="{DA303CF9-3AD1-4375-81DE-2C04B1BE8C4A}"/>
    <cellStyle name="Comma 4 2 2 2 4 3 3 3" xfId="31921" xr:uid="{DE961B0F-F108-4CD4-BE66-0AF0A3557490}"/>
    <cellStyle name="Comma 4 2 2 2 4 3 4" xfId="10017" xr:uid="{42849CDA-B3E1-4282-8E13-C9AA8A249226}"/>
    <cellStyle name="Comma 4 2 2 2 4 3 4 2" xfId="46525" xr:uid="{51FA5E7E-4075-40A4-BADC-B65BCC6AACBF}"/>
    <cellStyle name="Comma 4 2 2 2 4 3 4 3" xfId="28271" xr:uid="{70BA02EF-FCCA-436B-BF07-5997DE19D219}"/>
    <cellStyle name="Comma 4 2 2 2 4 3 5" xfId="6367" xr:uid="{74810247-F27C-4D35-B8EA-209D44AB09AB}"/>
    <cellStyle name="Comma 4 2 2 2 4 3 5 2" xfId="42875" xr:uid="{E4E49D2C-38F1-4ADD-9E54-82965AA77D46}"/>
    <cellStyle name="Comma 4 2 2 2 4 3 5 3" xfId="24621" xr:uid="{45B3C210-0D44-4F73-AB37-E8B7719CA848}"/>
    <cellStyle name="Comma 4 2 2 2 4 3 6" xfId="39225" xr:uid="{E0E9EE18-790B-4C82-8CAC-699F5C606399}"/>
    <cellStyle name="Comma 4 2 2 2 4 3 7" xfId="20971" xr:uid="{9CC1EC97-BFEE-4156-8F8A-15F86B2B6AE7}"/>
    <cellStyle name="Comma 4 2 2 2 4 4" xfId="1987" xr:uid="{D7F7096C-D105-425D-95B4-503A88AC984C}"/>
    <cellStyle name="Comma 4 2 2 2 4 4 2" xfId="16587" xr:uid="{D0CC92EB-87FE-40C3-8258-4EB36B43212B}"/>
    <cellStyle name="Comma 4 2 2 2 4 4 2 2" xfId="53095" xr:uid="{86874358-B96D-46C3-88BC-9249C4F6DCB1}"/>
    <cellStyle name="Comma 4 2 2 2 4 4 2 3" xfId="34841" xr:uid="{7B29815A-40E4-498B-9DA1-67009D6B086E}"/>
    <cellStyle name="Comma 4 2 2 2 4 4 3" xfId="12937" xr:uid="{31DECB23-24DC-45FE-8F1F-4ED1434FE665}"/>
    <cellStyle name="Comma 4 2 2 2 4 4 3 2" xfId="49445" xr:uid="{283D9FC3-0F55-4A0B-AD0D-F5FDD975780A}"/>
    <cellStyle name="Comma 4 2 2 2 4 4 3 3" xfId="31191" xr:uid="{0ACF8390-1960-427C-B706-66DC74866DB9}"/>
    <cellStyle name="Comma 4 2 2 2 4 4 4" xfId="9287" xr:uid="{1F9C6680-4E1D-46C5-9DA7-0A57C7187675}"/>
    <cellStyle name="Comma 4 2 2 2 4 4 4 2" xfId="45795" xr:uid="{A882EF1C-D520-45F3-B5BA-3B43FA68F644}"/>
    <cellStyle name="Comma 4 2 2 2 4 4 4 3" xfId="27541" xr:uid="{A1853408-D3FF-4464-8D47-4AFC318CB67B}"/>
    <cellStyle name="Comma 4 2 2 2 4 4 5" xfId="5637" xr:uid="{39D5F731-6A2E-4829-91FD-48EE9CEE8156}"/>
    <cellStyle name="Comma 4 2 2 2 4 4 5 2" xfId="42145" xr:uid="{85236722-09AB-4FA5-ADAA-6FE517387E36}"/>
    <cellStyle name="Comma 4 2 2 2 4 4 5 3" xfId="23891" xr:uid="{03567A06-1900-4850-97CF-A9C6D3E82065}"/>
    <cellStyle name="Comma 4 2 2 2 4 4 6" xfId="38495" xr:uid="{124D8499-9520-43C2-96CF-5A3C3ACDDF7A}"/>
    <cellStyle name="Comma 4 2 2 2 4 4 7" xfId="20241" xr:uid="{97DE3E21-BB39-42D3-A0CB-8911D383A116}"/>
    <cellStyle name="Comma 4 2 2 2 4 5" xfId="1257" xr:uid="{91600D80-D4B7-4BF6-9F69-77BDE231E2EF}"/>
    <cellStyle name="Comma 4 2 2 2 4 5 2" xfId="15857" xr:uid="{BF82FB07-49D4-4BD5-9AD4-FF42ADC9B964}"/>
    <cellStyle name="Comma 4 2 2 2 4 5 2 2" xfId="52365" xr:uid="{211F27DB-19E9-4400-9A0F-8A2470FC23C7}"/>
    <cellStyle name="Comma 4 2 2 2 4 5 2 3" xfId="34111" xr:uid="{8DC054AB-7091-41E3-9E9C-0A7F55AC60F2}"/>
    <cellStyle name="Comma 4 2 2 2 4 5 3" xfId="12207" xr:uid="{D2C72C3B-2197-4CA8-AAF0-0AC60E74D3F1}"/>
    <cellStyle name="Comma 4 2 2 2 4 5 3 2" xfId="48715" xr:uid="{72E310BF-9E2A-4DDE-A8EF-DBA5516D3655}"/>
    <cellStyle name="Comma 4 2 2 2 4 5 3 3" xfId="30461" xr:uid="{782A91D8-6111-4CE9-A562-947E3EFFCB23}"/>
    <cellStyle name="Comma 4 2 2 2 4 5 4" xfId="8557" xr:uid="{1C10E124-8DF6-4E40-AF05-7CC598019304}"/>
    <cellStyle name="Comma 4 2 2 2 4 5 4 2" xfId="45065" xr:uid="{56C24BD6-8CE2-417A-B4B9-DD0C8CD60A10}"/>
    <cellStyle name="Comma 4 2 2 2 4 5 4 3" xfId="26811" xr:uid="{17ED8C4B-D493-406C-B195-46DFFB7FC97C}"/>
    <cellStyle name="Comma 4 2 2 2 4 5 5" xfId="4907" xr:uid="{549BA69A-D1FC-481E-9FC0-B9B7601F2754}"/>
    <cellStyle name="Comma 4 2 2 2 4 5 5 2" xfId="41415" xr:uid="{3DAB7F2D-18BC-4E0A-B719-941942DF4AA1}"/>
    <cellStyle name="Comma 4 2 2 2 4 5 5 3" xfId="23161" xr:uid="{103710B3-5FB5-4E79-B49C-7D41EAF68317}"/>
    <cellStyle name="Comma 4 2 2 2 4 5 6" xfId="37765" xr:uid="{8324D1C4-6A2A-466E-9BEF-994F8D106E3D}"/>
    <cellStyle name="Comma 4 2 2 2 4 5 7" xfId="19511" xr:uid="{BFB6C5B8-50A2-4AA9-AD9E-9125BE2C6977}"/>
    <cellStyle name="Comma 4 2 2 2 4 6" xfId="15127" xr:uid="{AD52D433-C65B-4B4D-9FEA-C105D6CCFA7A}"/>
    <cellStyle name="Comma 4 2 2 2 4 6 2" xfId="51635" xr:uid="{7101AE79-5CBB-44CC-9A40-32853EB49083}"/>
    <cellStyle name="Comma 4 2 2 2 4 6 3" xfId="33381" xr:uid="{27A005A9-5A48-45BA-8416-D93516D61299}"/>
    <cellStyle name="Comma 4 2 2 2 4 7" xfId="11477" xr:uid="{4731202C-6161-456B-8B00-9CF5485D00A6}"/>
    <cellStyle name="Comma 4 2 2 2 4 7 2" xfId="47985" xr:uid="{066139B0-FDC0-41E0-8C6F-C045FABD612A}"/>
    <cellStyle name="Comma 4 2 2 2 4 7 3" xfId="29731" xr:uid="{128AE121-B5BA-40CF-BF72-97FBE765ECE4}"/>
    <cellStyle name="Comma 4 2 2 2 4 8" xfId="7827" xr:uid="{AA57F8AC-C136-4B2E-9D47-2B4450808591}"/>
    <cellStyle name="Comma 4 2 2 2 4 8 2" xfId="44335" xr:uid="{3499FFF0-1142-4502-9D36-2F280BE71E9D}"/>
    <cellStyle name="Comma 4 2 2 2 4 8 3" xfId="26081" xr:uid="{13B136DC-D6B9-49F2-95ED-1DC352621DFD}"/>
    <cellStyle name="Comma 4 2 2 2 4 9" xfId="4177" xr:uid="{1E0A2EEF-545E-410E-B1A3-63B29639DD18}"/>
    <cellStyle name="Comma 4 2 2 2 4 9 2" xfId="40685" xr:uid="{6D67A637-C41A-442D-AD5E-B90E736C8A1E}"/>
    <cellStyle name="Comma 4 2 2 2 4 9 3" xfId="22431" xr:uid="{BDD1D18C-FDD9-4037-82C1-8FF87F789B50}"/>
    <cellStyle name="Comma 4 2 2 2 5" xfId="423" xr:uid="{ED72C2E6-899A-4F22-9C93-F1960C065605}"/>
    <cellStyle name="Comma 4 2 2 2 5 10" xfId="36931" xr:uid="{55C8907C-610A-45F9-935B-775BAD3E0E1B}"/>
    <cellStyle name="Comma 4 2 2 2 5 11" xfId="18677" xr:uid="{599EE109-4162-4038-83A1-40EF2D9D2329}"/>
    <cellStyle name="Comma 4 2 2 2 5 2" xfId="3343" xr:uid="{9ACBE704-C8E2-4492-87B6-7F48F8332538}"/>
    <cellStyle name="Comma 4 2 2 2 5 2 2" xfId="17943" xr:uid="{5ECBA8FF-0EEA-4EA9-B8A5-677684E14DB3}"/>
    <cellStyle name="Comma 4 2 2 2 5 2 2 2" xfId="54451" xr:uid="{FB0490B1-2D31-4E30-AEE2-2CD45285DB5E}"/>
    <cellStyle name="Comma 4 2 2 2 5 2 2 3" xfId="36197" xr:uid="{26928E02-5FAA-4777-911C-A46796DC78AA}"/>
    <cellStyle name="Comma 4 2 2 2 5 2 3" xfId="14293" xr:uid="{E51E53B5-0124-4E93-B9D7-C7B70638C208}"/>
    <cellStyle name="Comma 4 2 2 2 5 2 3 2" xfId="50801" xr:uid="{BC79CD0B-A0B6-4941-BA1D-E8D32EEAA250}"/>
    <cellStyle name="Comma 4 2 2 2 5 2 3 3" xfId="32547" xr:uid="{E765849A-51C3-4419-BF01-37A7F2329A37}"/>
    <cellStyle name="Comma 4 2 2 2 5 2 4" xfId="10643" xr:uid="{8F7DDCF7-E3B7-42B1-8129-8E314E5C8871}"/>
    <cellStyle name="Comma 4 2 2 2 5 2 4 2" xfId="47151" xr:uid="{FC030EAB-2B6F-488F-8EC1-81C1A165F121}"/>
    <cellStyle name="Comma 4 2 2 2 5 2 4 3" xfId="28897" xr:uid="{BB29A386-61CE-45C5-B0A1-20B0A9424775}"/>
    <cellStyle name="Comma 4 2 2 2 5 2 5" xfId="6993" xr:uid="{38AB7187-3845-4707-8D0E-29986EAEF37A}"/>
    <cellStyle name="Comma 4 2 2 2 5 2 5 2" xfId="43501" xr:uid="{A1827DEB-7A3F-4676-A9DA-660271BFA60B}"/>
    <cellStyle name="Comma 4 2 2 2 5 2 5 3" xfId="25247" xr:uid="{D0C186D3-2002-4B5B-A767-D80C9008E33E}"/>
    <cellStyle name="Comma 4 2 2 2 5 2 6" xfId="39851" xr:uid="{2B3561C2-09E0-417B-93B1-950DFA44093B}"/>
    <cellStyle name="Comma 4 2 2 2 5 2 7" xfId="21597" xr:uid="{C52BB122-5586-4541-A469-0A670D6DA08D}"/>
    <cellStyle name="Comma 4 2 2 2 5 3" xfId="2613" xr:uid="{167DF521-8010-4B45-9606-0FF00CFDA252}"/>
    <cellStyle name="Comma 4 2 2 2 5 3 2" xfId="17213" xr:uid="{D0942F64-C0D2-44A7-AFA7-F68380471167}"/>
    <cellStyle name="Comma 4 2 2 2 5 3 2 2" xfId="53721" xr:uid="{113AC424-22CF-47D0-BFC5-C74835AD747E}"/>
    <cellStyle name="Comma 4 2 2 2 5 3 2 3" xfId="35467" xr:uid="{DD142EFD-5C95-4930-A720-316B640421B7}"/>
    <cellStyle name="Comma 4 2 2 2 5 3 3" xfId="13563" xr:uid="{87C53566-B52F-4614-9D7E-C66BDAA9DBF2}"/>
    <cellStyle name="Comma 4 2 2 2 5 3 3 2" xfId="50071" xr:uid="{D4C59F8C-1DCA-4B73-9900-917DDCC407D7}"/>
    <cellStyle name="Comma 4 2 2 2 5 3 3 3" xfId="31817" xr:uid="{7FB2F613-A7A5-4AB4-A23C-52034D6DB399}"/>
    <cellStyle name="Comma 4 2 2 2 5 3 4" xfId="9913" xr:uid="{D8ECC443-688B-4734-B731-694444FD92F3}"/>
    <cellStyle name="Comma 4 2 2 2 5 3 4 2" xfId="46421" xr:uid="{688464C3-E5F5-462A-863B-E9CCA214B628}"/>
    <cellStyle name="Comma 4 2 2 2 5 3 4 3" xfId="28167" xr:uid="{C98CDAE3-9DBD-4A62-8613-778EBA40B510}"/>
    <cellStyle name="Comma 4 2 2 2 5 3 5" xfId="6263" xr:uid="{C0043C80-D50D-41DD-A571-F5C0AA8A8B2E}"/>
    <cellStyle name="Comma 4 2 2 2 5 3 5 2" xfId="42771" xr:uid="{79CB3194-9A1D-4F10-B8E6-7BFE9330ADE8}"/>
    <cellStyle name="Comma 4 2 2 2 5 3 5 3" xfId="24517" xr:uid="{840643B6-309F-48A8-8E08-E9B2D03A4543}"/>
    <cellStyle name="Comma 4 2 2 2 5 3 6" xfId="39121" xr:uid="{398156C5-E838-48CD-99A0-83C63A284820}"/>
    <cellStyle name="Comma 4 2 2 2 5 3 7" xfId="20867" xr:uid="{20AEB0FA-5B74-4CD6-B835-07638A70262A}"/>
    <cellStyle name="Comma 4 2 2 2 5 4" xfId="1883" xr:uid="{BDBCC5B2-2B34-46C1-9585-1E556F121056}"/>
    <cellStyle name="Comma 4 2 2 2 5 4 2" xfId="16483" xr:uid="{6DE75EB6-B0BD-449A-990B-6AE020C5AAC2}"/>
    <cellStyle name="Comma 4 2 2 2 5 4 2 2" xfId="52991" xr:uid="{8E2DA2CD-E850-4628-8C96-431714A9FB23}"/>
    <cellStyle name="Comma 4 2 2 2 5 4 2 3" xfId="34737" xr:uid="{7C16EED1-A5E4-49AB-9463-4CB9701284CA}"/>
    <cellStyle name="Comma 4 2 2 2 5 4 3" xfId="12833" xr:uid="{1544EC98-881B-4E22-8A81-EB80A9B3E92F}"/>
    <cellStyle name="Comma 4 2 2 2 5 4 3 2" xfId="49341" xr:uid="{E2F54B16-6893-48CF-B913-62F266C9FEC9}"/>
    <cellStyle name="Comma 4 2 2 2 5 4 3 3" xfId="31087" xr:uid="{F70EB25C-0521-4768-AE1A-133FDD7849CF}"/>
    <cellStyle name="Comma 4 2 2 2 5 4 4" xfId="9183" xr:uid="{566BF8E3-CED1-485E-AD27-AE17E0DCC3C1}"/>
    <cellStyle name="Comma 4 2 2 2 5 4 4 2" xfId="45691" xr:uid="{50B3C49F-B4E8-4805-B681-F1345B61ECC3}"/>
    <cellStyle name="Comma 4 2 2 2 5 4 4 3" xfId="27437" xr:uid="{47ABD1D2-53A1-42DC-AC4A-4F29DE4C1A09}"/>
    <cellStyle name="Comma 4 2 2 2 5 4 5" xfId="5533" xr:uid="{73232964-F6A6-4A91-B3A4-E8A77294715F}"/>
    <cellStyle name="Comma 4 2 2 2 5 4 5 2" xfId="42041" xr:uid="{EA9336D7-97A9-4F1C-8893-80EE7E73D997}"/>
    <cellStyle name="Comma 4 2 2 2 5 4 5 3" xfId="23787" xr:uid="{D790F54A-EC51-4EEC-96F4-8FB30FEB5C94}"/>
    <cellStyle name="Comma 4 2 2 2 5 4 6" xfId="38391" xr:uid="{17DE5F35-2F0C-4E2B-8B1C-3983A1B2B389}"/>
    <cellStyle name="Comma 4 2 2 2 5 4 7" xfId="20137" xr:uid="{2C11C030-59EC-4EE1-91C5-B5D1650EC99B}"/>
    <cellStyle name="Comma 4 2 2 2 5 5" xfId="1153" xr:uid="{61297247-AEF6-4000-A3A4-E20D9B16B35C}"/>
    <cellStyle name="Comma 4 2 2 2 5 5 2" xfId="15753" xr:uid="{3347037D-D1DC-4A00-A594-A2A554F4B845}"/>
    <cellStyle name="Comma 4 2 2 2 5 5 2 2" xfId="52261" xr:uid="{570AF23A-AEED-4A7A-94BB-73D83DB84A85}"/>
    <cellStyle name="Comma 4 2 2 2 5 5 2 3" xfId="34007" xr:uid="{70944945-D3D7-4C8C-8348-DED67006656D}"/>
    <cellStyle name="Comma 4 2 2 2 5 5 3" xfId="12103" xr:uid="{9E7F5C7A-0F4A-4746-A14F-A58569656083}"/>
    <cellStyle name="Comma 4 2 2 2 5 5 3 2" xfId="48611" xr:uid="{F2D27591-7A6F-496C-BA61-6E190C13E3F6}"/>
    <cellStyle name="Comma 4 2 2 2 5 5 3 3" xfId="30357" xr:uid="{4AEF15D7-949B-4547-BF56-A2F3A7299A67}"/>
    <cellStyle name="Comma 4 2 2 2 5 5 4" xfId="8453" xr:uid="{AB74B8EE-6590-484B-A011-3C37A2BFD2EF}"/>
    <cellStyle name="Comma 4 2 2 2 5 5 4 2" xfId="44961" xr:uid="{10912BDB-427A-4423-8E9A-BC34B4F1B5C3}"/>
    <cellStyle name="Comma 4 2 2 2 5 5 4 3" xfId="26707" xr:uid="{C9B398B3-8710-442F-B2D2-F78237BA8F53}"/>
    <cellStyle name="Comma 4 2 2 2 5 5 5" xfId="4803" xr:uid="{B56EE1EF-6BE4-438F-880E-462CF0323A98}"/>
    <cellStyle name="Comma 4 2 2 2 5 5 5 2" xfId="41311" xr:uid="{33C9370E-E6F6-42B5-B37F-E3BB964ED146}"/>
    <cellStyle name="Comma 4 2 2 2 5 5 5 3" xfId="23057" xr:uid="{28C45B8F-E542-45AE-844F-19665B899F70}"/>
    <cellStyle name="Comma 4 2 2 2 5 5 6" xfId="37661" xr:uid="{44B3C06F-E97C-4905-9307-7D0B79B7CEBF}"/>
    <cellStyle name="Comma 4 2 2 2 5 5 7" xfId="19407" xr:uid="{118A9586-6B47-491C-8F2E-BB02DA38EFAB}"/>
    <cellStyle name="Comma 4 2 2 2 5 6" xfId="15023" xr:uid="{AB59F1B2-5D7C-46C0-A41B-43D39073119A}"/>
    <cellStyle name="Comma 4 2 2 2 5 6 2" xfId="51531" xr:uid="{62C64D66-1FD9-4197-B920-3D12CD2CE1B3}"/>
    <cellStyle name="Comma 4 2 2 2 5 6 3" xfId="33277" xr:uid="{60C16E3F-9513-445D-B59B-B8BD69DF2391}"/>
    <cellStyle name="Comma 4 2 2 2 5 7" xfId="11373" xr:uid="{55FF0CC2-225C-431F-96C9-6195881C3FA1}"/>
    <cellStyle name="Comma 4 2 2 2 5 7 2" xfId="47881" xr:uid="{1D6A07B8-245D-4F44-AD12-561572318039}"/>
    <cellStyle name="Comma 4 2 2 2 5 7 3" xfId="29627" xr:uid="{77919110-A1E5-4A2C-8710-7C3A96F7CDCE}"/>
    <cellStyle name="Comma 4 2 2 2 5 8" xfId="7723" xr:uid="{569F6B6A-F845-471B-977F-74D77DC7E522}"/>
    <cellStyle name="Comma 4 2 2 2 5 8 2" xfId="44231" xr:uid="{F43F262E-77C6-40CB-B2D2-A5DD753C9C9E}"/>
    <cellStyle name="Comma 4 2 2 2 5 8 3" xfId="25977" xr:uid="{460D0CBB-70FD-4C7A-B68B-0714E771BBA3}"/>
    <cellStyle name="Comma 4 2 2 2 5 9" xfId="4073" xr:uid="{A9393337-A897-42DF-8040-C4978794C1CC}"/>
    <cellStyle name="Comma 4 2 2 2 5 9 2" xfId="40581" xr:uid="{21F4140C-0D62-4F58-BD35-57146316B2D2}"/>
    <cellStyle name="Comma 4 2 2 2 5 9 3" xfId="22327" xr:uid="{D9CF625D-A191-4F77-9120-A2B5A83DA73E}"/>
    <cellStyle name="Comma 4 2 2 2 6" xfId="319" xr:uid="{01BFB21D-1C49-40C4-B051-D810DF03F90F}"/>
    <cellStyle name="Comma 4 2 2 2 6 10" xfId="36827" xr:uid="{E5779203-2842-437B-A8B0-DE3CB586F680}"/>
    <cellStyle name="Comma 4 2 2 2 6 11" xfId="18573" xr:uid="{6C7C3026-F478-4F1D-94E4-B3D0BBFB7F2B}"/>
    <cellStyle name="Comma 4 2 2 2 6 2" xfId="3239" xr:uid="{96CF541A-4FB2-4107-95C0-1C51C5A54097}"/>
    <cellStyle name="Comma 4 2 2 2 6 2 2" xfId="17839" xr:uid="{A33A8B71-932B-4E4F-BA43-AD04FD5ECF22}"/>
    <cellStyle name="Comma 4 2 2 2 6 2 2 2" xfId="54347" xr:uid="{A671C397-305B-4565-9A6A-54DDEF2BC7C5}"/>
    <cellStyle name="Comma 4 2 2 2 6 2 2 3" xfId="36093" xr:uid="{F37EFA9B-C296-4682-97EA-A25A00C92F78}"/>
    <cellStyle name="Comma 4 2 2 2 6 2 3" xfId="14189" xr:uid="{C42B37FB-8295-46FC-9190-FCCC9E9A8D3E}"/>
    <cellStyle name="Comma 4 2 2 2 6 2 3 2" xfId="50697" xr:uid="{A0B0707D-2512-48B4-8B2B-010DB3E8387F}"/>
    <cellStyle name="Comma 4 2 2 2 6 2 3 3" xfId="32443" xr:uid="{48C4E565-9B37-48D2-8A53-E6C714DCBBC7}"/>
    <cellStyle name="Comma 4 2 2 2 6 2 4" xfId="10539" xr:uid="{6E877D91-D4E7-4617-B187-EE0E75703EC2}"/>
    <cellStyle name="Comma 4 2 2 2 6 2 4 2" xfId="47047" xr:uid="{518D03A6-A9C9-4840-8CDE-46A4C4115836}"/>
    <cellStyle name="Comma 4 2 2 2 6 2 4 3" xfId="28793" xr:uid="{5E3D23A2-9841-435D-96CA-69103091DB52}"/>
    <cellStyle name="Comma 4 2 2 2 6 2 5" xfId="6889" xr:uid="{6EA2469A-33EB-4C74-BEEC-F34D0DAB80D2}"/>
    <cellStyle name="Comma 4 2 2 2 6 2 5 2" xfId="43397" xr:uid="{8D1285CB-6795-48CC-8761-D22CD68D76AE}"/>
    <cellStyle name="Comma 4 2 2 2 6 2 5 3" xfId="25143" xr:uid="{3330CF6F-D3FA-4407-8733-C1F8B2EE223B}"/>
    <cellStyle name="Comma 4 2 2 2 6 2 6" xfId="39747" xr:uid="{E936A0D3-EC12-4BD2-B606-93CBC2DAAE8B}"/>
    <cellStyle name="Comma 4 2 2 2 6 2 7" xfId="21493" xr:uid="{EB76C5B4-FA76-4CDC-A10B-8407A7C72843}"/>
    <cellStyle name="Comma 4 2 2 2 6 3" xfId="2509" xr:uid="{04E6399D-7BCB-48F1-ADE9-8817DA9472C1}"/>
    <cellStyle name="Comma 4 2 2 2 6 3 2" xfId="17109" xr:uid="{2924B155-695D-457F-913B-BAB6FBA79ABC}"/>
    <cellStyle name="Comma 4 2 2 2 6 3 2 2" xfId="53617" xr:uid="{AA98D473-5285-486C-A5E7-B4A6DC9130CD}"/>
    <cellStyle name="Comma 4 2 2 2 6 3 2 3" xfId="35363" xr:uid="{CA11AFAA-7554-4747-A4D8-036859B1B4CD}"/>
    <cellStyle name="Comma 4 2 2 2 6 3 3" xfId="13459" xr:uid="{2A1319E5-0A43-4CCD-A685-3C6A840506CD}"/>
    <cellStyle name="Comma 4 2 2 2 6 3 3 2" xfId="49967" xr:uid="{CB1F244C-FF8D-4154-A206-05F0B7A8D098}"/>
    <cellStyle name="Comma 4 2 2 2 6 3 3 3" xfId="31713" xr:uid="{4962F949-8A3E-4EE6-84EC-2C12AA2E128B}"/>
    <cellStyle name="Comma 4 2 2 2 6 3 4" xfId="9809" xr:uid="{E857E30C-5173-4022-9F8C-DC9779FF9C17}"/>
    <cellStyle name="Comma 4 2 2 2 6 3 4 2" xfId="46317" xr:uid="{8B7BADBD-498E-4C84-8AAF-376D02195C45}"/>
    <cellStyle name="Comma 4 2 2 2 6 3 4 3" xfId="28063" xr:uid="{2FAB9AB2-D017-440A-BF00-1C95C5FEDBD8}"/>
    <cellStyle name="Comma 4 2 2 2 6 3 5" xfId="6159" xr:uid="{4414CCF1-502E-4EF6-A2EC-F3EA1F91F054}"/>
    <cellStyle name="Comma 4 2 2 2 6 3 5 2" xfId="42667" xr:uid="{1CEC086E-C113-452B-90A9-677F5FB7C67E}"/>
    <cellStyle name="Comma 4 2 2 2 6 3 5 3" xfId="24413" xr:uid="{FE508D78-BD15-4CB6-BB6F-C57A17353532}"/>
    <cellStyle name="Comma 4 2 2 2 6 3 6" xfId="39017" xr:uid="{C19DCBBD-A76D-40B0-87A4-CE91455721E2}"/>
    <cellStyle name="Comma 4 2 2 2 6 3 7" xfId="20763" xr:uid="{A99CF179-86CE-483B-AAC7-4D7B6A3DED07}"/>
    <cellStyle name="Comma 4 2 2 2 6 4" xfId="1779" xr:uid="{90055499-FCBF-4E51-A6C5-F9438CD6A951}"/>
    <cellStyle name="Comma 4 2 2 2 6 4 2" xfId="16379" xr:uid="{BA660439-3E2B-4579-A194-D0BBFDCB869D}"/>
    <cellStyle name="Comma 4 2 2 2 6 4 2 2" xfId="52887" xr:uid="{337B303C-71D8-4CEF-BE1C-13253D6EE68C}"/>
    <cellStyle name="Comma 4 2 2 2 6 4 2 3" xfId="34633" xr:uid="{27598EF5-3C87-44F9-8EDC-D3D7EE16B4B9}"/>
    <cellStyle name="Comma 4 2 2 2 6 4 3" xfId="12729" xr:uid="{85EA1BC9-F9D5-40A3-A423-843B5481659B}"/>
    <cellStyle name="Comma 4 2 2 2 6 4 3 2" xfId="49237" xr:uid="{7C55576E-8FEE-42D9-AC24-3D6F48D5556F}"/>
    <cellStyle name="Comma 4 2 2 2 6 4 3 3" xfId="30983" xr:uid="{47B56872-B0DA-479A-8E04-47DE3674D41F}"/>
    <cellStyle name="Comma 4 2 2 2 6 4 4" xfId="9079" xr:uid="{858D67FF-61A5-4B1C-904F-B6EC673FA528}"/>
    <cellStyle name="Comma 4 2 2 2 6 4 4 2" xfId="45587" xr:uid="{5CD32ECE-2426-45D0-9591-730B60BB0652}"/>
    <cellStyle name="Comma 4 2 2 2 6 4 4 3" xfId="27333" xr:uid="{F795D9D1-9E78-4F77-BB99-F2FE874D4E32}"/>
    <cellStyle name="Comma 4 2 2 2 6 4 5" xfId="5429" xr:uid="{63325CB4-3E7C-4343-8EF4-36E0654F84FD}"/>
    <cellStyle name="Comma 4 2 2 2 6 4 5 2" xfId="41937" xr:uid="{0E7CE3D2-C8F6-4CA3-9771-0061922E496C}"/>
    <cellStyle name="Comma 4 2 2 2 6 4 5 3" xfId="23683" xr:uid="{7AFF81E8-BEFE-4081-87AA-F951DAFFD8C7}"/>
    <cellStyle name="Comma 4 2 2 2 6 4 6" xfId="38287" xr:uid="{8C854AD9-D31F-4F49-989C-BF6F3F98ECA3}"/>
    <cellStyle name="Comma 4 2 2 2 6 4 7" xfId="20033" xr:uid="{649EA52A-4540-4018-AC6A-EB0A639D2893}"/>
    <cellStyle name="Comma 4 2 2 2 6 5" xfId="1049" xr:uid="{2CD45DC5-AB52-42F9-842C-F025F7191D01}"/>
    <cellStyle name="Comma 4 2 2 2 6 5 2" xfId="15649" xr:uid="{3EBE03D9-2E5C-4493-836D-2149D43B829D}"/>
    <cellStyle name="Comma 4 2 2 2 6 5 2 2" xfId="52157" xr:uid="{2B199591-D082-4C19-9A03-1CB13EC44DAA}"/>
    <cellStyle name="Comma 4 2 2 2 6 5 2 3" xfId="33903" xr:uid="{A8F3CB26-9C21-400C-9152-0B3FDF212A36}"/>
    <cellStyle name="Comma 4 2 2 2 6 5 3" xfId="11999" xr:uid="{D0FE8E59-8D01-4104-8826-DC45383FA0D0}"/>
    <cellStyle name="Comma 4 2 2 2 6 5 3 2" xfId="48507" xr:uid="{77E82B60-4BE6-46EB-AFC1-C1122B399867}"/>
    <cellStyle name="Comma 4 2 2 2 6 5 3 3" xfId="30253" xr:uid="{AD74890E-E6CA-4D43-93AB-8F6427E1A415}"/>
    <cellStyle name="Comma 4 2 2 2 6 5 4" xfId="8349" xr:uid="{DC24E193-8C7A-4F69-99E8-A70F41905CBE}"/>
    <cellStyle name="Comma 4 2 2 2 6 5 4 2" xfId="44857" xr:uid="{3F50B7E4-DAB8-4231-BBB2-A5473A13B76D}"/>
    <cellStyle name="Comma 4 2 2 2 6 5 4 3" xfId="26603" xr:uid="{E82369E7-B6EF-4BD0-9757-49163C6A1B54}"/>
    <cellStyle name="Comma 4 2 2 2 6 5 5" xfId="4699" xr:uid="{F73251AB-3A1E-4F54-A834-1D85C094A9AB}"/>
    <cellStyle name="Comma 4 2 2 2 6 5 5 2" xfId="41207" xr:uid="{AD7A8AAC-E5C2-4F70-80F7-24D9D24E9DDD}"/>
    <cellStyle name="Comma 4 2 2 2 6 5 5 3" xfId="22953" xr:uid="{407D1CF8-0B11-4BC2-BA98-4C67D9D39EB0}"/>
    <cellStyle name="Comma 4 2 2 2 6 5 6" xfId="37557" xr:uid="{C2E6D116-7BC8-44D5-89B3-6DCE1DDBA999}"/>
    <cellStyle name="Comma 4 2 2 2 6 5 7" xfId="19303" xr:uid="{8BE91F9A-69E1-45C9-8319-E8D36096D876}"/>
    <cellStyle name="Comma 4 2 2 2 6 6" xfId="14919" xr:uid="{61FE53B5-FFB9-4627-B172-F01605656B5C}"/>
    <cellStyle name="Comma 4 2 2 2 6 6 2" xfId="51427" xr:uid="{2F31F028-E5D9-4E90-AC77-95592403C479}"/>
    <cellStyle name="Comma 4 2 2 2 6 6 3" xfId="33173" xr:uid="{0D85C669-45FC-4FD3-BCF1-00E8B48A9968}"/>
    <cellStyle name="Comma 4 2 2 2 6 7" xfId="11269" xr:uid="{1E37CE12-D861-4A7A-95C6-FE04A32C35AC}"/>
    <cellStyle name="Comma 4 2 2 2 6 7 2" xfId="47777" xr:uid="{5E2212DC-3459-48D8-B920-A517B0940D48}"/>
    <cellStyle name="Comma 4 2 2 2 6 7 3" xfId="29523" xr:uid="{4D7B7167-25F6-428C-863B-4354D42E73E8}"/>
    <cellStyle name="Comma 4 2 2 2 6 8" xfId="7619" xr:uid="{89E95105-73A4-45DA-A8FB-361116C0AEC2}"/>
    <cellStyle name="Comma 4 2 2 2 6 8 2" xfId="44127" xr:uid="{5F1BD4D9-30B7-4661-9EC4-BACC506578C5}"/>
    <cellStyle name="Comma 4 2 2 2 6 8 3" xfId="25873" xr:uid="{DB3DB0E8-D896-4DBD-BEB4-8404AF6110AA}"/>
    <cellStyle name="Comma 4 2 2 2 6 9" xfId="3969" xr:uid="{30E111BE-7BBB-4150-A1CA-25641B3E3842}"/>
    <cellStyle name="Comma 4 2 2 2 6 9 2" xfId="40477" xr:uid="{0D01A47E-7216-4EE6-9377-AFC0047A8752}"/>
    <cellStyle name="Comma 4 2 2 2 6 9 3" xfId="22223" xr:uid="{8576278D-4B5F-4DC7-A2E9-1F0930343314}"/>
    <cellStyle name="Comma 4 2 2 2 7" xfId="215" xr:uid="{9D922C19-E3B6-4EA2-9299-56D8BB32B2F9}"/>
    <cellStyle name="Comma 4 2 2 2 7 10" xfId="36723" xr:uid="{5E1886DA-53EF-4B3F-9B97-985C7BFD794E}"/>
    <cellStyle name="Comma 4 2 2 2 7 11" xfId="18469" xr:uid="{5A2BF207-81D3-4DAF-B9FE-712352733342}"/>
    <cellStyle name="Comma 4 2 2 2 7 2" xfId="3135" xr:uid="{9448C29B-9991-4FC2-809A-96E1ADC0FCCB}"/>
    <cellStyle name="Comma 4 2 2 2 7 2 2" xfId="17735" xr:uid="{822FE576-10B2-490F-B564-4A81036AD42A}"/>
    <cellStyle name="Comma 4 2 2 2 7 2 2 2" xfId="54243" xr:uid="{598AFEBA-8A19-4272-8EB9-DB1E9E929977}"/>
    <cellStyle name="Comma 4 2 2 2 7 2 2 3" xfId="35989" xr:uid="{BC109B5E-1522-4B06-8E41-C1AF6342F80A}"/>
    <cellStyle name="Comma 4 2 2 2 7 2 3" xfId="14085" xr:uid="{D489E908-377A-4FBC-B345-BC2A68D70DC4}"/>
    <cellStyle name="Comma 4 2 2 2 7 2 3 2" xfId="50593" xr:uid="{AB7233D2-2338-4101-8FF6-FEA6011BF340}"/>
    <cellStyle name="Comma 4 2 2 2 7 2 3 3" xfId="32339" xr:uid="{CE7F8284-8245-4F41-82AF-E2BD10E2343A}"/>
    <cellStyle name="Comma 4 2 2 2 7 2 4" xfId="10435" xr:uid="{EE02E965-217A-4C10-9AB7-F7777181AE34}"/>
    <cellStyle name="Comma 4 2 2 2 7 2 4 2" xfId="46943" xr:uid="{E2CB8844-37E1-4C62-8633-89B7A3ABFE79}"/>
    <cellStyle name="Comma 4 2 2 2 7 2 4 3" xfId="28689" xr:uid="{86D90935-3F4E-4461-8BD0-D712B81581D4}"/>
    <cellStyle name="Comma 4 2 2 2 7 2 5" xfId="6785" xr:uid="{9D6CADDD-4FD2-4456-930A-9F7472525972}"/>
    <cellStyle name="Comma 4 2 2 2 7 2 5 2" xfId="43293" xr:uid="{8E105ABC-DBC4-427B-A977-EE6F601A407C}"/>
    <cellStyle name="Comma 4 2 2 2 7 2 5 3" xfId="25039" xr:uid="{81E0471D-2488-41AA-8D1F-8062E28FCF9B}"/>
    <cellStyle name="Comma 4 2 2 2 7 2 6" xfId="39643" xr:uid="{4B436AA4-6370-43F2-B102-14AB26DEA37D}"/>
    <cellStyle name="Comma 4 2 2 2 7 2 7" xfId="21389" xr:uid="{1E4C43B1-8A12-49C7-854C-3D7392643083}"/>
    <cellStyle name="Comma 4 2 2 2 7 3" xfId="2405" xr:uid="{6172CADB-B3DB-46C0-AE1D-08E7AAB1D4CB}"/>
    <cellStyle name="Comma 4 2 2 2 7 3 2" xfId="17005" xr:uid="{7131CCE3-B246-48BF-BC14-8EE2FF8E099F}"/>
    <cellStyle name="Comma 4 2 2 2 7 3 2 2" xfId="53513" xr:uid="{6EC115E6-6DCE-4B94-85C2-FE0C0D33386E}"/>
    <cellStyle name="Comma 4 2 2 2 7 3 2 3" xfId="35259" xr:uid="{75EB4CBD-AD10-45E4-BC54-756DBD697565}"/>
    <cellStyle name="Comma 4 2 2 2 7 3 3" xfId="13355" xr:uid="{B8ADA325-0890-42EE-B542-2E81B1732DA9}"/>
    <cellStyle name="Comma 4 2 2 2 7 3 3 2" xfId="49863" xr:uid="{8F234090-E4C2-4172-BD7E-76C031E51DDB}"/>
    <cellStyle name="Comma 4 2 2 2 7 3 3 3" xfId="31609" xr:uid="{8F9543C9-565F-4155-BA51-A7967066A76F}"/>
    <cellStyle name="Comma 4 2 2 2 7 3 4" xfId="9705" xr:uid="{47B37572-5C4D-4547-8113-E7CA0FC95642}"/>
    <cellStyle name="Comma 4 2 2 2 7 3 4 2" xfId="46213" xr:uid="{4880423F-E282-4F05-BC25-6C74B7B5C1E7}"/>
    <cellStyle name="Comma 4 2 2 2 7 3 4 3" xfId="27959" xr:uid="{C0C45B3D-A6EF-45BF-AE93-C216D5F9FDE8}"/>
    <cellStyle name="Comma 4 2 2 2 7 3 5" xfId="6055" xr:uid="{9F977DAB-9230-412C-89CD-B76DD02330EE}"/>
    <cellStyle name="Comma 4 2 2 2 7 3 5 2" xfId="42563" xr:uid="{E6813FCB-5B3B-4E73-A3B2-FB6AFFB69522}"/>
    <cellStyle name="Comma 4 2 2 2 7 3 5 3" xfId="24309" xr:uid="{777699F6-602B-4207-A368-0DBEA6C2F2FE}"/>
    <cellStyle name="Comma 4 2 2 2 7 3 6" xfId="38913" xr:uid="{96FC823A-B0CD-48C4-BF5D-009E5CE26E38}"/>
    <cellStyle name="Comma 4 2 2 2 7 3 7" xfId="20659" xr:uid="{365D91DF-379D-4161-82CD-48850DDAD8E3}"/>
    <cellStyle name="Comma 4 2 2 2 7 4" xfId="1675" xr:uid="{BD897049-0C93-432F-87C7-361AD9BFB28C}"/>
    <cellStyle name="Comma 4 2 2 2 7 4 2" xfId="16275" xr:uid="{85FFEC3B-2316-4C15-9A8B-2F6CD9FEEF92}"/>
    <cellStyle name="Comma 4 2 2 2 7 4 2 2" xfId="52783" xr:uid="{EBADD995-D25C-4419-A21F-12CB32316747}"/>
    <cellStyle name="Comma 4 2 2 2 7 4 2 3" xfId="34529" xr:uid="{199EF513-C8A2-4A7B-B172-ECFBC06AF672}"/>
    <cellStyle name="Comma 4 2 2 2 7 4 3" xfId="12625" xr:uid="{976DA7EC-1EBA-4533-BDC4-B54302718042}"/>
    <cellStyle name="Comma 4 2 2 2 7 4 3 2" xfId="49133" xr:uid="{3DC3F829-1D75-4748-B6E7-004F0DC2CCAA}"/>
    <cellStyle name="Comma 4 2 2 2 7 4 3 3" xfId="30879" xr:uid="{92F94582-1112-4BC3-A8EF-A3F473E47D9C}"/>
    <cellStyle name="Comma 4 2 2 2 7 4 4" xfId="8975" xr:uid="{AA7B341D-282F-4377-AB4E-2B77492566C7}"/>
    <cellStyle name="Comma 4 2 2 2 7 4 4 2" xfId="45483" xr:uid="{F0682286-5DBD-4DE1-AF57-B9088523483C}"/>
    <cellStyle name="Comma 4 2 2 2 7 4 4 3" xfId="27229" xr:uid="{C5B4775E-F2B3-4C3F-8C56-8B18C354A562}"/>
    <cellStyle name="Comma 4 2 2 2 7 4 5" xfId="5325" xr:uid="{D07298D6-D0A1-4C41-AF35-D926BC3B0829}"/>
    <cellStyle name="Comma 4 2 2 2 7 4 5 2" xfId="41833" xr:uid="{E6483B83-F10B-4245-AAE8-135BE48B3CD6}"/>
    <cellStyle name="Comma 4 2 2 2 7 4 5 3" xfId="23579" xr:uid="{856DBECE-5244-40B1-B471-881CA838A41B}"/>
    <cellStyle name="Comma 4 2 2 2 7 4 6" xfId="38183" xr:uid="{3E72F3CF-3AD7-4583-B291-1E10015E6B84}"/>
    <cellStyle name="Comma 4 2 2 2 7 4 7" xfId="19929" xr:uid="{80E47CC3-A056-4AB9-941E-9348231754B7}"/>
    <cellStyle name="Comma 4 2 2 2 7 5" xfId="945" xr:uid="{07AB8604-AAB5-4411-B174-552A8FC658B7}"/>
    <cellStyle name="Comma 4 2 2 2 7 5 2" xfId="15545" xr:uid="{70194D99-DF48-4C92-B2F5-9B89915564FF}"/>
    <cellStyle name="Comma 4 2 2 2 7 5 2 2" xfId="52053" xr:uid="{3650EBE6-7582-4937-B744-DA580A778D79}"/>
    <cellStyle name="Comma 4 2 2 2 7 5 2 3" xfId="33799" xr:uid="{53495278-79E5-428B-8652-57E26E3FD817}"/>
    <cellStyle name="Comma 4 2 2 2 7 5 3" xfId="11895" xr:uid="{AC391671-5595-4FAC-B618-BE4C68867CB7}"/>
    <cellStyle name="Comma 4 2 2 2 7 5 3 2" xfId="48403" xr:uid="{6BE12814-12B8-4C39-98C9-93E11CF1ADC6}"/>
    <cellStyle name="Comma 4 2 2 2 7 5 3 3" xfId="30149" xr:uid="{7D5080B5-CFB4-4A0C-AA7D-1793ADC22FF4}"/>
    <cellStyle name="Comma 4 2 2 2 7 5 4" xfId="8245" xr:uid="{A826C83E-3BAE-41A8-ADDB-554D1BCC1CB0}"/>
    <cellStyle name="Comma 4 2 2 2 7 5 4 2" xfId="44753" xr:uid="{4FB2F103-8D26-4FEA-8D76-DC6E1A5845F8}"/>
    <cellStyle name="Comma 4 2 2 2 7 5 4 3" xfId="26499" xr:uid="{EA3EAAAA-6FBD-4EBF-A491-37D75B6C73C6}"/>
    <cellStyle name="Comma 4 2 2 2 7 5 5" xfId="4595" xr:uid="{1DF5E926-8A7B-4499-A8D6-CAB3820EF197}"/>
    <cellStyle name="Comma 4 2 2 2 7 5 5 2" xfId="41103" xr:uid="{22747B9D-1149-4E7E-AF74-AE7D8F5A36C1}"/>
    <cellStyle name="Comma 4 2 2 2 7 5 5 3" xfId="22849" xr:uid="{DD1E468E-292B-4476-8FD5-3169BFA5E772}"/>
    <cellStyle name="Comma 4 2 2 2 7 5 6" xfId="37453" xr:uid="{FBAE642E-F23E-480C-A244-6CC97CCC0F56}"/>
    <cellStyle name="Comma 4 2 2 2 7 5 7" xfId="19199" xr:uid="{F702CCAD-DFBC-43B1-8AAC-72582DE017AB}"/>
    <cellStyle name="Comma 4 2 2 2 7 6" xfId="14815" xr:uid="{854A5F80-6057-4271-B861-B9C3F59BD45C}"/>
    <cellStyle name="Comma 4 2 2 2 7 6 2" xfId="51323" xr:uid="{58107767-36E5-4252-869B-A929E83F82E1}"/>
    <cellStyle name="Comma 4 2 2 2 7 6 3" xfId="33069" xr:uid="{408F25CE-BFDC-4974-A62F-D04E90383109}"/>
    <cellStyle name="Comma 4 2 2 2 7 7" xfId="11165" xr:uid="{EA2372B7-1BDD-41AE-9DE2-E2D2276A1C3C}"/>
    <cellStyle name="Comma 4 2 2 2 7 7 2" xfId="47673" xr:uid="{9500D441-9A0B-4AC9-A1A8-0FBE4D0748AF}"/>
    <cellStyle name="Comma 4 2 2 2 7 7 3" xfId="29419" xr:uid="{D13CE3E9-1CC6-47DC-9A76-3B3E6E8A44E4}"/>
    <cellStyle name="Comma 4 2 2 2 7 8" xfId="7515" xr:uid="{F2BC1781-6B7A-4B48-BA6D-16DF3B938E9B}"/>
    <cellStyle name="Comma 4 2 2 2 7 8 2" xfId="44023" xr:uid="{63577413-A8FF-46E1-B3B1-230EBE430B96}"/>
    <cellStyle name="Comma 4 2 2 2 7 8 3" xfId="25769" xr:uid="{6BC025FA-179C-47E2-BDA5-6EBA4DF7BFC3}"/>
    <cellStyle name="Comma 4 2 2 2 7 9" xfId="3865" xr:uid="{5DDF53C6-A90F-4EBE-A51B-844BFA8A518C}"/>
    <cellStyle name="Comma 4 2 2 2 7 9 2" xfId="40373" xr:uid="{8C5AC8A4-0818-4D40-BAEF-BEDD05C2C1EE}"/>
    <cellStyle name="Comma 4 2 2 2 7 9 3" xfId="22119" xr:uid="{171A7939-AC00-4755-847C-13EF11DF0F7C}"/>
    <cellStyle name="Comma 4 2 2 2 8" xfId="3031" xr:uid="{D6BD74E5-5F54-4E91-8E93-2E9FABEFDDD8}"/>
    <cellStyle name="Comma 4 2 2 2 8 2" xfId="17631" xr:uid="{E1AD5237-4BFC-4811-A660-B784A66215C1}"/>
    <cellStyle name="Comma 4 2 2 2 8 2 2" xfId="54139" xr:uid="{3C480E0A-7C20-4C8D-8CE1-620DB4A61510}"/>
    <cellStyle name="Comma 4 2 2 2 8 2 3" xfId="35885" xr:uid="{1C425F7E-5242-42AA-98B4-00ECEE2E6091}"/>
    <cellStyle name="Comma 4 2 2 2 8 3" xfId="13981" xr:uid="{65C6E948-3E30-4385-ACCE-EB7F8580CAE4}"/>
    <cellStyle name="Comma 4 2 2 2 8 3 2" xfId="50489" xr:uid="{76182876-A76F-4281-8380-B41D89727542}"/>
    <cellStyle name="Comma 4 2 2 2 8 3 3" xfId="32235" xr:uid="{DA0CEBEF-074A-456C-A05B-9D4CC311BBED}"/>
    <cellStyle name="Comma 4 2 2 2 8 4" xfId="10331" xr:uid="{C7382BAB-3D6F-43D5-8CE3-E32EAC2D89C6}"/>
    <cellStyle name="Comma 4 2 2 2 8 4 2" xfId="46839" xr:uid="{328CD22F-4944-4B8D-97E8-789A9EE9F505}"/>
    <cellStyle name="Comma 4 2 2 2 8 4 3" xfId="28585" xr:uid="{41362F18-5320-408E-8CFA-DC86F1264FD4}"/>
    <cellStyle name="Comma 4 2 2 2 8 5" xfId="6681" xr:uid="{5B88657A-2194-4858-9A11-A8DA77436C72}"/>
    <cellStyle name="Comma 4 2 2 2 8 5 2" xfId="43189" xr:uid="{F1CFF357-998B-4325-8EA3-5EC115248765}"/>
    <cellStyle name="Comma 4 2 2 2 8 5 3" xfId="24935" xr:uid="{C9E31FCD-661C-4B9E-B6A5-4002C7AC158B}"/>
    <cellStyle name="Comma 4 2 2 2 8 6" xfId="39539" xr:uid="{4DBCCBA1-766A-425B-8437-716721399AFD}"/>
    <cellStyle name="Comma 4 2 2 2 8 7" xfId="21285" xr:uid="{0D0F985F-465F-49D0-A41B-EEE086F3E56A}"/>
    <cellStyle name="Comma 4 2 2 2 9" xfId="2301" xr:uid="{375DBB69-5E64-4F5B-BDA9-4C1985FB9531}"/>
    <cellStyle name="Comma 4 2 2 2 9 2" xfId="16901" xr:uid="{C0CD9FE0-F911-4932-BFCA-37965F9DD81A}"/>
    <cellStyle name="Comma 4 2 2 2 9 2 2" xfId="53409" xr:uid="{2D016E10-5993-419B-83AB-93F43E57BEDF}"/>
    <cellStyle name="Comma 4 2 2 2 9 2 3" xfId="35155" xr:uid="{B3656301-B76C-443A-8734-DA699E640BC7}"/>
    <cellStyle name="Comma 4 2 2 2 9 3" xfId="13251" xr:uid="{BFD7926B-535D-4610-927A-DDC69581F9A3}"/>
    <cellStyle name="Comma 4 2 2 2 9 3 2" xfId="49759" xr:uid="{10B95ACB-E8CB-4EA2-91E9-4F358C796E76}"/>
    <cellStyle name="Comma 4 2 2 2 9 3 3" xfId="31505" xr:uid="{FDE6E3BB-1B26-4A68-A828-3BF1A7B93172}"/>
    <cellStyle name="Comma 4 2 2 2 9 4" xfId="9601" xr:uid="{DCCBE580-11DB-47BC-A535-6168E8D81E42}"/>
    <cellStyle name="Comma 4 2 2 2 9 4 2" xfId="46109" xr:uid="{9224A4E3-3D2F-48D8-A330-D4B8A97C1B42}"/>
    <cellStyle name="Comma 4 2 2 2 9 4 3" xfId="27855" xr:uid="{91065ACA-2FE8-49DB-9981-3047E6F2BDFC}"/>
    <cellStyle name="Comma 4 2 2 2 9 5" xfId="5951" xr:uid="{082CDB1B-4C3F-40CD-A9C4-B3323E00E026}"/>
    <cellStyle name="Comma 4 2 2 2 9 5 2" xfId="42459" xr:uid="{149FC6A2-B453-4B2B-882D-0CB1E0B58ED2}"/>
    <cellStyle name="Comma 4 2 2 2 9 5 3" xfId="24205" xr:uid="{65F9B2D8-7B3D-4C10-879B-3A2A6BD27BF8}"/>
    <cellStyle name="Comma 4 2 2 2 9 6" xfId="38809" xr:uid="{9FA4D8A4-6B0D-450F-A975-8E51EF4216F6}"/>
    <cellStyle name="Comma 4 2 2 2 9 7" xfId="20555" xr:uid="{2BD83F64-66BB-42C6-A275-656EF68142C2}"/>
    <cellStyle name="Comma 4 2 2 3" xfId="76" xr:uid="{F8F82B53-7AF2-4CE8-883F-ED7AABE26A6A}"/>
    <cellStyle name="Comma 4 2 2 3 10" xfId="1539" xr:uid="{10428B99-23EC-428A-A786-2C651B2816FE}"/>
    <cellStyle name="Comma 4 2 2 3 10 2" xfId="16139" xr:uid="{ECA6D0DC-E7F1-40F8-B0EE-ADCF11CAD46D}"/>
    <cellStyle name="Comma 4 2 2 3 10 2 2" xfId="52647" xr:uid="{A1E6A545-C361-4C95-9340-439A5C12AF0B}"/>
    <cellStyle name="Comma 4 2 2 3 10 2 3" xfId="34393" xr:uid="{4544F99D-32DC-4F1B-ACB5-AF65D8406194}"/>
    <cellStyle name="Comma 4 2 2 3 10 3" xfId="12489" xr:uid="{131BC17A-5419-4337-A8C6-995E933226AB}"/>
    <cellStyle name="Comma 4 2 2 3 10 3 2" xfId="48997" xr:uid="{1E467A71-E879-42EB-A00E-BE6FDF12B1A4}"/>
    <cellStyle name="Comma 4 2 2 3 10 3 3" xfId="30743" xr:uid="{C302A7D5-0C50-49E0-A9A8-D06CA4B4CF53}"/>
    <cellStyle name="Comma 4 2 2 3 10 4" xfId="8839" xr:uid="{97328B58-6017-4A44-AE35-13B04F42F208}"/>
    <cellStyle name="Comma 4 2 2 3 10 4 2" xfId="45347" xr:uid="{8D136C60-8A48-4CD6-86A8-3DFAA0A043F6}"/>
    <cellStyle name="Comma 4 2 2 3 10 4 3" xfId="27093" xr:uid="{41117DDC-BD62-40EA-BABE-C407C5E3F453}"/>
    <cellStyle name="Comma 4 2 2 3 10 5" xfId="5189" xr:uid="{EEB0590A-7912-4042-8206-5E371FCC8E95}"/>
    <cellStyle name="Comma 4 2 2 3 10 5 2" xfId="41697" xr:uid="{D6386864-4052-4123-9298-E71901ACE944}"/>
    <cellStyle name="Comma 4 2 2 3 10 5 3" xfId="23443" xr:uid="{DAB82723-8999-48FF-9E86-B72A25477E8B}"/>
    <cellStyle name="Comma 4 2 2 3 10 6" xfId="38047" xr:uid="{1EC25449-A143-4B3F-97B5-9C155F4E75BA}"/>
    <cellStyle name="Comma 4 2 2 3 10 7" xfId="19793" xr:uid="{C537F369-A52D-458B-B392-D588EEC31B6C}"/>
    <cellStyle name="Comma 4 2 2 3 11" xfId="809" xr:uid="{0BBC5364-BCBA-4441-B979-E610091BC5FD}"/>
    <cellStyle name="Comma 4 2 2 3 11 2" xfId="15409" xr:uid="{3075D981-D8D7-4AEF-897E-73B5302E7BEA}"/>
    <cellStyle name="Comma 4 2 2 3 11 2 2" xfId="51917" xr:uid="{AFE85D2B-3E30-429B-990A-B7060C425C1F}"/>
    <cellStyle name="Comma 4 2 2 3 11 2 3" xfId="33663" xr:uid="{85DEDC76-6827-475E-91A5-4933C8DDAEED}"/>
    <cellStyle name="Comma 4 2 2 3 11 3" xfId="11759" xr:uid="{677B1949-D84A-4475-93BE-519344F8A07C}"/>
    <cellStyle name="Comma 4 2 2 3 11 3 2" xfId="48267" xr:uid="{B540C24E-CCAA-4DB3-81FB-41597FBBE1E8}"/>
    <cellStyle name="Comma 4 2 2 3 11 3 3" xfId="30013" xr:uid="{C7BAC309-53EE-4EC3-B73F-8ECCC904DA01}"/>
    <cellStyle name="Comma 4 2 2 3 11 4" xfId="8109" xr:uid="{DB9049B6-F890-45D8-8C89-84DA29A2C7EE}"/>
    <cellStyle name="Comma 4 2 2 3 11 4 2" xfId="44617" xr:uid="{1AA77021-CF0F-41CF-BB20-0FCDD72CDDA4}"/>
    <cellStyle name="Comma 4 2 2 3 11 4 3" xfId="26363" xr:uid="{1D3EBAB2-2689-4C88-8839-4369F0A1725C}"/>
    <cellStyle name="Comma 4 2 2 3 11 5" xfId="4459" xr:uid="{BEB10616-3E61-4CF8-812D-7F5B332FB58F}"/>
    <cellStyle name="Comma 4 2 2 3 11 5 2" xfId="40967" xr:uid="{21A4CE2F-41F9-474F-8681-BB186FD82E24}"/>
    <cellStyle name="Comma 4 2 2 3 11 5 3" xfId="22713" xr:uid="{0CF602A9-68A4-40DC-9281-4555CCDE1F0B}"/>
    <cellStyle name="Comma 4 2 2 3 11 6" xfId="37317" xr:uid="{43A66997-BF4F-4271-AFC8-829C15976F45}"/>
    <cellStyle name="Comma 4 2 2 3 11 7" xfId="19063" xr:uid="{EF1C5CF6-C3E0-4B11-B31E-964A930F1B5C}"/>
    <cellStyle name="Comma 4 2 2 3 12" xfId="14679" xr:uid="{951BB7F3-5863-4925-B061-0AE22C5507DB}"/>
    <cellStyle name="Comma 4 2 2 3 12 2" xfId="51187" xr:uid="{FABCE463-7DB6-4F58-A19D-A6C9B8C078B0}"/>
    <cellStyle name="Comma 4 2 2 3 12 3" xfId="32933" xr:uid="{F1E84F3B-4F87-4ADB-98C4-29E07952130F}"/>
    <cellStyle name="Comma 4 2 2 3 13" xfId="11029" xr:uid="{4303DB62-6626-453A-BF87-5727A8EDEDB5}"/>
    <cellStyle name="Comma 4 2 2 3 13 2" xfId="47537" xr:uid="{9AC2FE84-5F97-4B14-8C3A-727C1EDFD79F}"/>
    <cellStyle name="Comma 4 2 2 3 13 3" xfId="29283" xr:uid="{681332AD-E578-45ED-A92E-4F1822D2E4AD}"/>
    <cellStyle name="Comma 4 2 2 3 14" xfId="7379" xr:uid="{5ADD44A9-5B8B-4AE2-93B8-7A6CEA526918}"/>
    <cellStyle name="Comma 4 2 2 3 14 2" xfId="43887" xr:uid="{69C76ADE-61BB-45A4-B122-9C86CD55D9E2}"/>
    <cellStyle name="Comma 4 2 2 3 14 3" xfId="25633" xr:uid="{7977F50A-3E5A-4D37-9264-8D11C21B771A}"/>
    <cellStyle name="Comma 4 2 2 3 15" xfId="3729" xr:uid="{24052892-EA4E-4BBD-A7B8-22BEC79DCAC2}"/>
    <cellStyle name="Comma 4 2 2 3 15 2" xfId="40237" xr:uid="{9C1B6A1C-1712-4C7F-BB1D-672C9973ABC8}"/>
    <cellStyle name="Comma 4 2 2 3 15 3" xfId="21983" xr:uid="{DD59511B-3AE2-4137-934D-6035EC9E21AC}"/>
    <cellStyle name="Comma 4 2 2 3 16" xfId="36587" xr:uid="{0E6554F0-F9C5-4D7F-9421-E12B080A1646}"/>
    <cellStyle name="Comma 4 2 2 3 17" xfId="18333" xr:uid="{8BA6B08C-E7BA-4173-8F6A-E3BC87C800CA}"/>
    <cellStyle name="Comma 4 2 2 3 2" xfId="703" xr:uid="{E59B3165-D679-48F5-9E1A-4CE89E5D5FF8}"/>
    <cellStyle name="Comma 4 2 2 3 2 10" xfId="37211" xr:uid="{894AFE2B-F4DE-496D-89C1-EED7CDAAB363}"/>
    <cellStyle name="Comma 4 2 2 3 2 11" xfId="18957" xr:uid="{E93D57E4-C18A-4ABB-9FA1-96E6C5C09DE5}"/>
    <cellStyle name="Comma 4 2 2 3 2 2" xfId="3623" xr:uid="{7718E9D3-B7EB-4AC8-B356-0D84F56D0759}"/>
    <cellStyle name="Comma 4 2 2 3 2 2 2" xfId="18223" xr:uid="{91B80C7C-0203-4A71-86F2-FD2D861E6E06}"/>
    <cellStyle name="Comma 4 2 2 3 2 2 2 2" xfId="54731" xr:uid="{F63B14DC-B1D8-4B7E-851F-5D7A1A6306C2}"/>
    <cellStyle name="Comma 4 2 2 3 2 2 2 3" xfId="36477" xr:uid="{D666C508-BB1F-4865-B268-64306442E61E}"/>
    <cellStyle name="Comma 4 2 2 3 2 2 3" xfId="14573" xr:uid="{87B87A76-B0B9-4454-B9EE-5E72D325A1D0}"/>
    <cellStyle name="Comma 4 2 2 3 2 2 3 2" xfId="51081" xr:uid="{289C1AFC-7177-4F37-8B35-C080FAD5F3E1}"/>
    <cellStyle name="Comma 4 2 2 3 2 2 3 3" xfId="32827" xr:uid="{A8EEF1C7-A28A-4CF5-8250-C673F373EABF}"/>
    <cellStyle name="Comma 4 2 2 3 2 2 4" xfId="10923" xr:uid="{C5808CF0-3536-42C1-B5F7-342E7D77327F}"/>
    <cellStyle name="Comma 4 2 2 3 2 2 4 2" xfId="47431" xr:uid="{B05E416A-423C-483C-92F6-C572C24687FD}"/>
    <cellStyle name="Comma 4 2 2 3 2 2 4 3" xfId="29177" xr:uid="{A255E25B-8EA0-4DB4-B135-804D934E9B4D}"/>
    <cellStyle name="Comma 4 2 2 3 2 2 5" xfId="7273" xr:uid="{E5E7C0CD-508D-4982-B42F-D9A3A6741E6E}"/>
    <cellStyle name="Comma 4 2 2 3 2 2 5 2" xfId="43781" xr:uid="{5E205339-B35C-48AD-BB34-BDE0283C0FAD}"/>
    <cellStyle name="Comma 4 2 2 3 2 2 5 3" xfId="25527" xr:uid="{5792C767-E491-41B4-BF5B-C97F9FA5C102}"/>
    <cellStyle name="Comma 4 2 2 3 2 2 6" xfId="40131" xr:uid="{57684CB8-64E8-4E4E-B168-1E9541E4AD02}"/>
    <cellStyle name="Comma 4 2 2 3 2 2 7" xfId="21877" xr:uid="{C67C56DE-6BA5-42CA-8C1D-323F984EF1F2}"/>
    <cellStyle name="Comma 4 2 2 3 2 3" xfId="2893" xr:uid="{9C1080E1-13C2-4606-AE3F-864A497B8860}"/>
    <cellStyle name="Comma 4 2 2 3 2 3 2" xfId="17493" xr:uid="{EC115C78-095C-4140-9B18-E9626B134E56}"/>
    <cellStyle name="Comma 4 2 2 3 2 3 2 2" xfId="54001" xr:uid="{D3865203-A2F7-4361-BE9F-E4878FFE3AA4}"/>
    <cellStyle name="Comma 4 2 2 3 2 3 2 3" xfId="35747" xr:uid="{97DDAD87-A330-446D-96F0-624DA6D0561D}"/>
    <cellStyle name="Comma 4 2 2 3 2 3 3" xfId="13843" xr:uid="{FB65CE95-D8EA-45B4-9CD7-B9F4C3FE5C87}"/>
    <cellStyle name="Comma 4 2 2 3 2 3 3 2" xfId="50351" xr:uid="{5D2D433D-AD79-4DEC-A3D1-EFF46C97D1B1}"/>
    <cellStyle name="Comma 4 2 2 3 2 3 3 3" xfId="32097" xr:uid="{702852AA-37F8-4711-8C63-73A228A2942A}"/>
    <cellStyle name="Comma 4 2 2 3 2 3 4" xfId="10193" xr:uid="{B64DD6BB-EC16-42FA-8EA7-ADD6C04F9F32}"/>
    <cellStyle name="Comma 4 2 2 3 2 3 4 2" xfId="46701" xr:uid="{53E70E0B-9AC0-43F9-AE87-849C3FD3B002}"/>
    <cellStyle name="Comma 4 2 2 3 2 3 4 3" xfId="28447" xr:uid="{72384E84-EBB9-4F51-8088-C63F3F10B928}"/>
    <cellStyle name="Comma 4 2 2 3 2 3 5" xfId="6543" xr:uid="{0B2A9169-7B07-4704-A546-71350EFC0BCC}"/>
    <cellStyle name="Comma 4 2 2 3 2 3 5 2" xfId="43051" xr:uid="{90D3D3FA-A9BD-4395-A9BE-937680C7A460}"/>
    <cellStyle name="Comma 4 2 2 3 2 3 5 3" xfId="24797" xr:uid="{6AC4B16E-B948-438B-BE71-9B7525A62CB5}"/>
    <cellStyle name="Comma 4 2 2 3 2 3 6" xfId="39401" xr:uid="{312E6A33-38FB-4269-938A-B7DABAD0E58F}"/>
    <cellStyle name="Comma 4 2 2 3 2 3 7" xfId="21147" xr:uid="{9474C77D-127F-4752-8DE3-3DCD366B04FA}"/>
    <cellStyle name="Comma 4 2 2 3 2 4" xfId="2163" xr:uid="{02CC4DE8-43A3-45C7-BD16-D4CA649286E3}"/>
    <cellStyle name="Comma 4 2 2 3 2 4 2" xfId="16763" xr:uid="{9E850855-D233-4423-A8A5-CF6692D63C95}"/>
    <cellStyle name="Comma 4 2 2 3 2 4 2 2" xfId="53271" xr:uid="{70BA8050-05B9-4292-B18A-6309485255F4}"/>
    <cellStyle name="Comma 4 2 2 3 2 4 2 3" xfId="35017" xr:uid="{02FBA499-66DE-4A8D-A243-94105923DC03}"/>
    <cellStyle name="Comma 4 2 2 3 2 4 3" xfId="13113" xr:uid="{69951883-5E2C-495C-AF06-7E61B71CB208}"/>
    <cellStyle name="Comma 4 2 2 3 2 4 3 2" xfId="49621" xr:uid="{1CB4D1C7-D076-4461-9EC5-2BAF5A8BEE57}"/>
    <cellStyle name="Comma 4 2 2 3 2 4 3 3" xfId="31367" xr:uid="{DAB36F90-4210-45E9-A42D-267DCD35BD56}"/>
    <cellStyle name="Comma 4 2 2 3 2 4 4" xfId="9463" xr:uid="{F49BB51E-A880-450D-848C-CE3CC0A5B528}"/>
    <cellStyle name="Comma 4 2 2 3 2 4 4 2" xfId="45971" xr:uid="{6077A700-1957-4231-A937-A72DB6A76BBB}"/>
    <cellStyle name="Comma 4 2 2 3 2 4 4 3" xfId="27717" xr:uid="{4D5D9912-2DE0-48C9-9D64-E681638CB699}"/>
    <cellStyle name="Comma 4 2 2 3 2 4 5" xfId="5813" xr:uid="{040AC0D7-91C5-41C2-98DA-4DA10C9CD80F}"/>
    <cellStyle name="Comma 4 2 2 3 2 4 5 2" xfId="42321" xr:uid="{DFE9B2C3-8AE1-4B21-AE14-99E80CC784F9}"/>
    <cellStyle name="Comma 4 2 2 3 2 4 5 3" xfId="24067" xr:uid="{A4459660-26DA-4A2B-8AAE-C2324D7CFF73}"/>
    <cellStyle name="Comma 4 2 2 3 2 4 6" xfId="38671" xr:uid="{719A4BAA-1512-4F23-A1FF-8208D45800B4}"/>
    <cellStyle name="Comma 4 2 2 3 2 4 7" xfId="20417" xr:uid="{C4A3D95F-0B8A-4E52-A006-28FCE349DE71}"/>
    <cellStyle name="Comma 4 2 2 3 2 5" xfId="1433" xr:uid="{BBFE617C-5E46-4316-94F8-80A48EE5C97D}"/>
    <cellStyle name="Comma 4 2 2 3 2 5 2" xfId="16033" xr:uid="{E4859666-2FB3-4A84-9797-92CCB7E4A6EC}"/>
    <cellStyle name="Comma 4 2 2 3 2 5 2 2" xfId="52541" xr:uid="{B6F0D196-A8DF-4BB3-AEE0-A9A452C4809A}"/>
    <cellStyle name="Comma 4 2 2 3 2 5 2 3" xfId="34287" xr:uid="{0F4ABA72-84A4-4026-A8A4-1DDA03043E21}"/>
    <cellStyle name="Comma 4 2 2 3 2 5 3" xfId="12383" xr:uid="{E79A28A7-5198-4802-86FE-4AC1969318E6}"/>
    <cellStyle name="Comma 4 2 2 3 2 5 3 2" xfId="48891" xr:uid="{E8001A7C-A103-45D6-9188-A49368B74D90}"/>
    <cellStyle name="Comma 4 2 2 3 2 5 3 3" xfId="30637" xr:uid="{83D6A2FC-964A-4722-80ED-17F1A4DA6D98}"/>
    <cellStyle name="Comma 4 2 2 3 2 5 4" xfId="8733" xr:uid="{D77E3C70-D5DF-44AA-976B-66891C8B503F}"/>
    <cellStyle name="Comma 4 2 2 3 2 5 4 2" xfId="45241" xr:uid="{EEE12655-6AE8-4CA5-BF1F-2E689ACB2294}"/>
    <cellStyle name="Comma 4 2 2 3 2 5 4 3" xfId="26987" xr:uid="{6AD28FF1-85E6-4D62-9744-4EAC36D3467A}"/>
    <cellStyle name="Comma 4 2 2 3 2 5 5" xfId="5083" xr:uid="{CC9A4AE3-122A-4281-90E3-BCA911C322BD}"/>
    <cellStyle name="Comma 4 2 2 3 2 5 5 2" xfId="41591" xr:uid="{246ABAB5-435C-440F-9B62-50E67D8D2A86}"/>
    <cellStyle name="Comma 4 2 2 3 2 5 5 3" xfId="23337" xr:uid="{CBEC497B-E1C1-45B1-8AEC-F35364ADF211}"/>
    <cellStyle name="Comma 4 2 2 3 2 5 6" xfId="37941" xr:uid="{8763C595-3581-4FA9-A48C-3701AD47B8FC}"/>
    <cellStyle name="Comma 4 2 2 3 2 5 7" xfId="19687" xr:uid="{F09F7F60-C651-47DB-A56B-817585D572FD}"/>
    <cellStyle name="Comma 4 2 2 3 2 6" xfId="15303" xr:uid="{5C79CC87-50B4-4F4D-AF25-449FBF4FA884}"/>
    <cellStyle name="Comma 4 2 2 3 2 6 2" xfId="51811" xr:uid="{A972D401-9B83-41C5-9F51-A237BD01C04A}"/>
    <cellStyle name="Comma 4 2 2 3 2 6 3" xfId="33557" xr:uid="{C10394A4-C31D-4414-A452-4696727F6516}"/>
    <cellStyle name="Comma 4 2 2 3 2 7" xfId="11653" xr:uid="{070BD0BF-6288-4AFD-828E-A843A56FD32E}"/>
    <cellStyle name="Comma 4 2 2 3 2 7 2" xfId="48161" xr:uid="{AE451138-9B44-4E9A-8CB0-6B85CEDB8244}"/>
    <cellStyle name="Comma 4 2 2 3 2 7 3" xfId="29907" xr:uid="{EC6D659D-2871-4049-BAA7-FEFE201991A5}"/>
    <cellStyle name="Comma 4 2 2 3 2 8" xfId="8003" xr:uid="{10EBD06D-545D-4458-B640-07CE588A8827}"/>
    <cellStyle name="Comma 4 2 2 3 2 8 2" xfId="44511" xr:uid="{4E8C3327-D85C-406C-92CF-263CD5B24E49}"/>
    <cellStyle name="Comma 4 2 2 3 2 8 3" xfId="26257" xr:uid="{2E7E7B2B-AFC2-4600-8E3B-65B334D056A1}"/>
    <cellStyle name="Comma 4 2 2 3 2 9" xfId="4353" xr:uid="{827B5A2D-B626-45B5-80D0-7582705CE67F}"/>
    <cellStyle name="Comma 4 2 2 3 2 9 2" xfId="40861" xr:uid="{B81E4792-0F47-4F6A-898E-E18AACDFDD59}"/>
    <cellStyle name="Comma 4 2 2 3 2 9 3" xfId="22607" xr:uid="{3739AFBC-5DC7-408A-A936-5FFDF3394524}"/>
    <cellStyle name="Comma 4 2 2 3 3" xfId="599" xr:uid="{CED6A830-5E73-41C4-AE05-C80C07549C60}"/>
    <cellStyle name="Comma 4 2 2 3 3 10" xfId="37107" xr:uid="{A4228336-056D-4B4D-8BB1-C2332AD09305}"/>
    <cellStyle name="Comma 4 2 2 3 3 11" xfId="18853" xr:uid="{46417868-C9F1-4B16-82A3-E3F1491C5830}"/>
    <cellStyle name="Comma 4 2 2 3 3 2" xfId="3519" xr:uid="{A10A4A19-B75F-462A-8CF8-FA506ECF6931}"/>
    <cellStyle name="Comma 4 2 2 3 3 2 2" xfId="18119" xr:uid="{7943B7CA-6069-4278-AA4A-9BAA1E5E9F63}"/>
    <cellStyle name="Comma 4 2 2 3 3 2 2 2" xfId="54627" xr:uid="{B24590D3-11CA-4534-B0DA-7393E1A37F14}"/>
    <cellStyle name="Comma 4 2 2 3 3 2 2 3" xfId="36373" xr:uid="{D590DFA3-E580-49CA-912F-72660DB72113}"/>
    <cellStyle name="Comma 4 2 2 3 3 2 3" xfId="14469" xr:uid="{E439A3F7-247B-485C-8EAE-1DF286703136}"/>
    <cellStyle name="Comma 4 2 2 3 3 2 3 2" xfId="50977" xr:uid="{F5AEE097-957A-48D4-9CC6-1A9A42C29211}"/>
    <cellStyle name="Comma 4 2 2 3 3 2 3 3" xfId="32723" xr:uid="{3D02CE76-E136-47B9-9805-AB4228260A92}"/>
    <cellStyle name="Comma 4 2 2 3 3 2 4" xfId="10819" xr:uid="{641FB8C3-38C2-41A7-9D75-B5537919C56F}"/>
    <cellStyle name="Comma 4 2 2 3 3 2 4 2" xfId="47327" xr:uid="{35DA754A-9DD4-4DA6-ADE2-402D45DD19EE}"/>
    <cellStyle name="Comma 4 2 2 3 3 2 4 3" xfId="29073" xr:uid="{2AD35850-8B9B-4AA3-B992-DEBD9D913201}"/>
    <cellStyle name="Comma 4 2 2 3 3 2 5" xfId="7169" xr:uid="{F6D7E251-4820-4BDE-918B-EEF2FE5A2752}"/>
    <cellStyle name="Comma 4 2 2 3 3 2 5 2" xfId="43677" xr:uid="{A28E3C3F-F8A4-407B-98A4-2E9E290AE66B}"/>
    <cellStyle name="Comma 4 2 2 3 3 2 5 3" xfId="25423" xr:uid="{CD3117EE-DE87-4317-841C-5E16F98360F4}"/>
    <cellStyle name="Comma 4 2 2 3 3 2 6" xfId="40027" xr:uid="{80CCDA47-C205-4914-B914-D8CD239C6200}"/>
    <cellStyle name="Comma 4 2 2 3 3 2 7" xfId="21773" xr:uid="{E1DCC22A-E80E-464F-94CB-409BC9F550A3}"/>
    <cellStyle name="Comma 4 2 2 3 3 3" xfId="2789" xr:uid="{40E6F9E3-932B-4926-A7C9-31F25D18B180}"/>
    <cellStyle name="Comma 4 2 2 3 3 3 2" xfId="17389" xr:uid="{FA38F6F6-E987-4A2A-BAB5-AD198C7A8E99}"/>
    <cellStyle name="Comma 4 2 2 3 3 3 2 2" xfId="53897" xr:uid="{79603763-1421-4D28-8EAB-EE0A2E9038CE}"/>
    <cellStyle name="Comma 4 2 2 3 3 3 2 3" xfId="35643" xr:uid="{EEC44A6C-935F-4394-9654-0D705C686B05}"/>
    <cellStyle name="Comma 4 2 2 3 3 3 3" xfId="13739" xr:uid="{BC7C0D3C-B1D0-4DD9-AFD4-181C62819A13}"/>
    <cellStyle name="Comma 4 2 2 3 3 3 3 2" xfId="50247" xr:uid="{101768D6-D969-4884-9656-892478466C13}"/>
    <cellStyle name="Comma 4 2 2 3 3 3 3 3" xfId="31993" xr:uid="{68949B82-3362-4201-92F3-32F1C67424E1}"/>
    <cellStyle name="Comma 4 2 2 3 3 3 4" xfId="10089" xr:uid="{9EF10CE6-3C1C-4928-A60D-B948FD15E1D6}"/>
    <cellStyle name="Comma 4 2 2 3 3 3 4 2" xfId="46597" xr:uid="{082A99F7-C5A4-4B62-A865-2F386E6B53ED}"/>
    <cellStyle name="Comma 4 2 2 3 3 3 4 3" xfId="28343" xr:uid="{546A2103-125F-4273-976B-67A169DBE6E7}"/>
    <cellStyle name="Comma 4 2 2 3 3 3 5" xfId="6439" xr:uid="{87DA4CA9-5585-4218-B3E2-B1E64D7CD659}"/>
    <cellStyle name="Comma 4 2 2 3 3 3 5 2" xfId="42947" xr:uid="{58A2C19D-F693-437B-A84A-81C0F0500B6D}"/>
    <cellStyle name="Comma 4 2 2 3 3 3 5 3" xfId="24693" xr:uid="{8900BD57-18BD-47DD-8249-93874779C5E8}"/>
    <cellStyle name="Comma 4 2 2 3 3 3 6" xfId="39297" xr:uid="{F80014F1-F48A-4204-9733-FE54B5FE0663}"/>
    <cellStyle name="Comma 4 2 2 3 3 3 7" xfId="21043" xr:uid="{3021D458-ED31-40E7-B53A-55A4D0B5FCE7}"/>
    <cellStyle name="Comma 4 2 2 3 3 4" xfId="2059" xr:uid="{28C22AF8-1655-4878-AE66-C5DA306ECED8}"/>
    <cellStyle name="Comma 4 2 2 3 3 4 2" xfId="16659" xr:uid="{D2E1DAD7-4941-4EDF-8B22-EA19474F21DF}"/>
    <cellStyle name="Comma 4 2 2 3 3 4 2 2" xfId="53167" xr:uid="{33D48EE3-89F2-4058-9FFB-7D4365CBD33A}"/>
    <cellStyle name="Comma 4 2 2 3 3 4 2 3" xfId="34913" xr:uid="{1A1DCA54-02AB-4BE1-B3E4-3C219167DEEB}"/>
    <cellStyle name="Comma 4 2 2 3 3 4 3" xfId="13009" xr:uid="{5E417222-0057-4105-87A1-F3DAEFE0615A}"/>
    <cellStyle name="Comma 4 2 2 3 3 4 3 2" xfId="49517" xr:uid="{F5415EAF-1C25-4B4B-85E5-454471BBD59E}"/>
    <cellStyle name="Comma 4 2 2 3 3 4 3 3" xfId="31263" xr:uid="{9B7D7285-A65B-4443-BDA8-033F03EAF1B1}"/>
    <cellStyle name="Comma 4 2 2 3 3 4 4" xfId="9359" xr:uid="{9FDE6F54-D556-44DA-8C42-CAB5317B058D}"/>
    <cellStyle name="Comma 4 2 2 3 3 4 4 2" xfId="45867" xr:uid="{5A405805-70DB-49A5-97C5-C53BF68FA085}"/>
    <cellStyle name="Comma 4 2 2 3 3 4 4 3" xfId="27613" xr:uid="{53528FFD-BA9A-497A-9A76-46146158DA6A}"/>
    <cellStyle name="Comma 4 2 2 3 3 4 5" xfId="5709" xr:uid="{659DE455-03D9-4440-A2BD-87A8DB5FEDAC}"/>
    <cellStyle name="Comma 4 2 2 3 3 4 5 2" xfId="42217" xr:uid="{76D90DD9-4990-4102-B5FE-33AC685F14B9}"/>
    <cellStyle name="Comma 4 2 2 3 3 4 5 3" xfId="23963" xr:uid="{B66BFA9F-F2E2-4376-809E-ED0A97AD4890}"/>
    <cellStyle name="Comma 4 2 2 3 3 4 6" xfId="38567" xr:uid="{8B2E8E2B-3E0F-446A-A86B-AF3D68B6AA77}"/>
    <cellStyle name="Comma 4 2 2 3 3 4 7" xfId="20313" xr:uid="{78F6DD80-15BA-4DCF-8755-306DB4978660}"/>
    <cellStyle name="Comma 4 2 2 3 3 5" xfId="1329" xr:uid="{516E75D5-0E95-4F3F-85F3-C2DD8F8F4486}"/>
    <cellStyle name="Comma 4 2 2 3 3 5 2" xfId="15929" xr:uid="{C2786523-27E9-49D1-AEB8-527899440896}"/>
    <cellStyle name="Comma 4 2 2 3 3 5 2 2" xfId="52437" xr:uid="{BCBE62D3-55C5-4765-9F0F-F373FC6D73B1}"/>
    <cellStyle name="Comma 4 2 2 3 3 5 2 3" xfId="34183" xr:uid="{05ED6347-6EBF-4854-8171-A6C18EF2F7FE}"/>
    <cellStyle name="Comma 4 2 2 3 3 5 3" xfId="12279" xr:uid="{C3D2510F-60C4-4296-B9D7-F4F476F7812A}"/>
    <cellStyle name="Comma 4 2 2 3 3 5 3 2" xfId="48787" xr:uid="{1269F093-6A91-4EDC-B0DA-05BFA7BEB3D3}"/>
    <cellStyle name="Comma 4 2 2 3 3 5 3 3" xfId="30533" xr:uid="{040BB19A-8CD9-4703-9B5A-0B444EE748AD}"/>
    <cellStyle name="Comma 4 2 2 3 3 5 4" xfId="8629" xr:uid="{E914AC9F-0777-47B7-A57A-5F5AB090FC09}"/>
    <cellStyle name="Comma 4 2 2 3 3 5 4 2" xfId="45137" xr:uid="{9B51BA17-E3C8-457B-9177-93AFBF518B57}"/>
    <cellStyle name="Comma 4 2 2 3 3 5 4 3" xfId="26883" xr:uid="{13769AE2-2D43-4DF8-9763-ACAC17271AC6}"/>
    <cellStyle name="Comma 4 2 2 3 3 5 5" xfId="4979" xr:uid="{8E507D78-1660-4BC8-9B31-ADB4F2AE1403}"/>
    <cellStyle name="Comma 4 2 2 3 3 5 5 2" xfId="41487" xr:uid="{958E840F-7602-43F4-8D03-213CC78EE525}"/>
    <cellStyle name="Comma 4 2 2 3 3 5 5 3" xfId="23233" xr:uid="{D61629B4-FD56-4E31-9FBA-4CA166AA71CE}"/>
    <cellStyle name="Comma 4 2 2 3 3 5 6" xfId="37837" xr:uid="{A1180415-027D-4144-975B-5214EA607952}"/>
    <cellStyle name="Comma 4 2 2 3 3 5 7" xfId="19583" xr:uid="{4810DBCB-E6AF-47F5-81E0-873748C6CC2D}"/>
    <cellStyle name="Comma 4 2 2 3 3 6" xfId="15199" xr:uid="{630075EE-9EBA-467C-9D4C-234F4367575F}"/>
    <cellStyle name="Comma 4 2 2 3 3 6 2" xfId="51707" xr:uid="{31561CC0-2C06-46BA-976D-C63BE61C2618}"/>
    <cellStyle name="Comma 4 2 2 3 3 6 3" xfId="33453" xr:uid="{79F95B91-1BB8-471E-A825-3B4A0FDF0092}"/>
    <cellStyle name="Comma 4 2 2 3 3 7" xfId="11549" xr:uid="{3E019A62-BB38-4340-8440-58A184310388}"/>
    <cellStyle name="Comma 4 2 2 3 3 7 2" xfId="48057" xr:uid="{578E7FF1-B6F6-4B26-B5FF-7F2B2771E7D1}"/>
    <cellStyle name="Comma 4 2 2 3 3 7 3" xfId="29803" xr:uid="{8E7A73B1-9ED5-4EEB-8A1F-1962D3227369}"/>
    <cellStyle name="Comma 4 2 2 3 3 8" xfId="7899" xr:uid="{E41936C8-3F45-4605-AC28-306A0990B7A2}"/>
    <cellStyle name="Comma 4 2 2 3 3 8 2" xfId="44407" xr:uid="{A3AE9E74-8B74-4045-934F-F40751D010EA}"/>
    <cellStyle name="Comma 4 2 2 3 3 8 3" xfId="26153" xr:uid="{F69EB85F-C46B-4567-8718-B2B7851089F5}"/>
    <cellStyle name="Comma 4 2 2 3 3 9" xfId="4249" xr:uid="{F83C9908-60B2-4FBF-ADE4-5147817247C8}"/>
    <cellStyle name="Comma 4 2 2 3 3 9 2" xfId="40757" xr:uid="{95C5724F-7B1D-4081-9429-044654C6ECB3}"/>
    <cellStyle name="Comma 4 2 2 3 3 9 3" xfId="22503" xr:uid="{7CE47C18-2318-40D4-9971-E3E1A34935E3}"/>
    <cellStyle name="Comma 4 2 2 3 4" xfId="495" xr:uid="{B3F8B984-BDC9-4800-957D-0C7232A4CC25}"/>
    <cellStyle name="Comma 4 2 2 3 4 10" xfId="37003" xr:uid="{3A0D8FD6-1BEC-4285-B701-02649ADADBA8}"/>
    <cellStyle name="Comma 4 2 2 3 4 11" xfId="18749" xr:uid="{7ADBA540-5C16-4DEE-9798-424CEF0EC33F}"/>
    <cellStyle name="Comma 4 2 2 3 4 2" xfId="3415" xr:uid="{392094FD-6266-48D0-8B3F-6233D9B8CD95}"/>
    <cellStyle name="Comma 4 2 2 3 4 2 2" xfId="18015" xr:uid="{558B35CF-9D99-44D1-8A50-E8AE78AEA149}"/>
    <cellStyle name="Comma 4 2 2 3 4 2 2 2" xfId="54523" xr:uid="{34A02EAF-D5DE-45CA-ABC7-E76319846E5E}"/>
    <cellStyle name="Comma 4 2 2 3 4 2 2 3" xfId="36269" xr:uid="{C24B554E-E56F-4A22-BEC0-8C0916BF989A}"/>
    <cellStyle name="Comma 4 2 2 3 4 2 3" xfId="14365" xr:uid="{5CDE92D0-4CD6-48E4-A581-0D536DF38F2E}"/>
    <cellStyle name="Comma 4 2 2 3 4 2 3 2" xfId="50873" xr:uid="{CB74E78A-1340-4BE2-9C96-87C9B09D9B8C}"/>
    <cellStyle name="Comma 4 2 2 3 4 2 3 3" xfId="32619" xr:uid="{70C47F1C-593B-481A-9776-FA56FE25FBBD}"/>
    <cellStyle name="Comma 4 2 2 3 4 2 4" xfId="10715" xr:uid="{30186D82-E855-42C8-87D4-CF3F8B378821}"/>
    <cellStyle name="Comma 4 2 2 3 4 2 4 2" xfId="47223" xr:uid="{96496910-2185-4606-ACC5-7E3360D0D6EE}"/>
    <cellStyle name="Comma 4 2 2 3 4 2 4 3" xfId="28969" xr:uid="{3D63E76A-B382-4D8A-B136-364B634E313E}"/>
    <cellStyle name="Comma 4 2 2 3 4 2 5" xfId="7065" xr:uid="{84E514EA-4FFF-462D-865F-538C9D24B9DA}"/>
    <cellStyle name="Comma 4 2 2 3 4 2 5 2" xfId="43573" xr:uid="{C11BC9B8-9061-4A26-98E1-03B134548096}"/>
    <cellStyle name="Comma 4 2 2 3 4 2 5 3" xfId="25319" xr:uid="{59DDBE16-1FBE-48EA-AFD4-729EA630F58D}"/>
    <cellStyle name="Comma 4 2 2 3 4 2 6" xfId="39923" xr:uid="{7D76D6BD-9D6E-41DC-A048-8F71E6103EC6}"/>
    <cellStyle name="Comma 4 2 2 3 4 2 7" xfId="21669" xr:uid="{E1A3F3A2-71FA-4F41-98DB-69E75FB601F1}"/>
    <cellStyle name="Comma 4 2 2 3 4 3" xfId="2685" xr:uid="{DAEF0588-5273-4D53-8481-FF65EA2F7FF0}"/>
    <cellStyle name="Comma 4 2 2 3 4 3 2" xfId="17285" xr:uid="{33858581-AD0B-4EEE-B682-428457367BB8}"/>
    <cellStyle name="Comma 4 2 2 3 4 3 2 2" xfId="53793" xr:uid="{782E1228-86CC-42D9-B4FB-79956BA29E13}"/>
    <cellStyle name="Comma 4 2 2 3 4 3 2 3" xfId="35539" xr:uid="{7C7D06F8-6F2B-4E79-B907-9D0EF0BD6968}"/>
    <cellStyle name="Comma 4 2 2 3 4 3 3" xfId="13635" xr:uid="{FD593E55-64E7-4D20-999B-5C3F88D900E7}"/>
    <cellStyle name="Comma 4 2 2 3 4 3 3 2" xfId="50143" xr:uid="{9E1EE872-6C1C-41AA-8DFC-1B43CAAFF72F}"/>
    <cellStyle name="Comma 4 2 2 3 4 3 3 3" xfId="31889" xr:uid="{79DD159B-7430-48F5-934A-B904CBBC71FB}"/>
    <cellStyle name="Comma 4 2 2 3 4 3 4" xfId="9985" xr:uid="{B9776162-ACDF-4C96-AE33-C99C038232C9}"/>
    <cellStyle name="Comma 4 2 2 3 4 3 4 2" xfId="46493" xr:uid="{9E5E706A-3ACE-4AF3-9862-2374882F8B01}"/>
    <cellStyle name="Comma 4 2 2 3 4 3 4 3" xfId="28239" xr:uid="{B8C45822-6E0F-468B-B528-910483ABCA44}"/>
    <cellStyle name="Comma 4 2 2 3 4 3 5" xfId="6335" xr:uid="{281FB348-55A2-44D0-8A0B-C906B46621D5}"/>
    <cellStyle name="Comma 4 2 2 3 4 3 5 2" xfId="42843" xr:uid="{33E8E938-EE4B-439A-832E-4F78CBF6A00A}"/>
    <cellStyle name="Comma 4 2 2 3 4 3 5 3" xfId="24589" xr:uid="{9F4F8717-5301-4E61-ABA8-CA81CB37F689}"/>
    <cellStyle name="Comma 4 2 2 3 4 3 6" xfId="39193" xr:uid="{A1A3C118-5D42-426E-A33B-5E0C07070FD0}"/>
    <cellStyle name="Comma 4 2 2 3 4 3 7" xfId="20939" xr:uid="{A4ACE05A-4F17-4726-AAF7-1B9F9981FE64}"/>
    <cellStyle name="Comma 4 2 2 3 4 4" xfId="1955" xr:uid="{20E74229-7035-47EC-82E7-C7880E45EB21}"/>
    <cellStyle name="Comma 4 2 2 3 4 4 2" xfId="16555" xr:uid="{C2F81C32-AD82-4C96-9379-32A589AD8372}"/>
    <cellStyle name="Comma 4 2 2 3 4 4 2 2" xfId="53063" xr:uid="{D2CC84E3-41BC-417D-84EA-AC323F69F730}"/>
    <cellStyle name="Comma 4 2 2 3 4 4 2 3" xfId="34809" xr:uid="{49621998-38BB-4D23-9FB6-EFCD8617B7E1}"/>
    <cellStyle name="Comma 4 2 2 3 4 4 3" xfId="12905" xr:uid="{4C136ECE-1854-46ED-B902-008304607288}"/>
    <cellStyle name="Comma 4 2 2 3 4 4 3 2" xfId="49413" xr:uid="{FA9E5E18-C4E4-4B40-872A-40C7A20C30AB}"/>
    <cellStyle name="Comma 4 2 2 3 4 4 3 3" xfId="31159" xr:uid="{E3365012-F7CF-47A0-8A53-6FFE60453C88}"/>
    <cellStyle name="Comma 4 2 2 3 4 4 4" xfId="9255" xr:uid="{36FD2636-AF0C-4D39-98A8-452C280BE8DD}"/>
    <cellStyle name="Comma 4 2 2 3 4 4 4 2" xfId="45763" xr:uid="{BB5D3CA8-E903-471F-AC45-88B66E5EA072}"/>
    <cellStyle name="Comma 4 2 2 3 4 4 4 3" xfId="27509" xr:uid="{F5507C2C-A89E-4D32-B45E-9269367BB362}"/>
    <cellStyle name="Comma 4 2 2 3 4 4 5" xfId="5605" xr:uid="{4A7D83D4-3467-40D6-B916-776A98E664FE}"/>
    <cellStyle name="Comma 4 2 2 3 4 4 5 2" xfId="42113" xr:uid="{A4619543-FFA8-490B-B861-C06046F6F339}"/>
    <cellStyle name="Comma 4 2 2 3 4 4 5 3" xfId="23859" xr:uid="{3D7EC0A2-3329-43C4-8A33-4567C83F7449}"/>
    <cellStyle name="Comma 4 2 2 3 4 4 6" xfId="38463" xr:uid="{29EFC8C5-D6F7-4865-A4B7-9C99795A840F}"/>
    <cellStyle name="Comma 4 2 2 3 4 4 7" xfId="20209" xr:uid="{2475CE2B-A580-4EEC-A510-17F21DBD90AD}"/>
    <cellStyle name="Comma 4 2 2 3 4 5" xfId="1225" xr:uid="{2CCEBB53-43BB-40CB-B380-35DAC7563BFD}"/>
    <cellStyle name="Comma 4 2 2 3 4 5 2" xfId="15825" xr:uid="{17758E1B-B4BD-40CC-8AEB-4A8E1378B7B3}"/>
    <cellStyle name="Comma 4 2 2 3 4 5 2 2" xfId="52333" xr:uid="{BCE4BE7F-597E-4F5E-AC0E-B06BE83B3903}"/>
    <cellStyle name="Comma 4 2 2 3 4 5 2 3" xfId="34079" xr:uid="{FB2EE269-7B32-4392-9228-16FE9B535B4B}"/>
    <cellStyle name="Comma 4 2 2 3 4 5 3" xfId="12175" xr:uid="{E2CAB274-A2D7-478A-A85D-8A5AB2CA7634}"/>
    <cellStyle name="Comma 4 2 2 3 4 5 3 2" xfId="48683" xr:uid="{9C7C3FEA-6DC8-4E48-BE25-11F8E25846F3}"/>
    <cellStyle name="Comma 4 2 2 3 4 5 3 3" xfId="30429" xr:uid="{A107B1FD-0E33-44A6-89DB-1E46CE3050B7}"/>
    <cellStyle name="Comma 4 2 2 3 4 5 4" xfId="8525" xr:uid="{0555CB4D-8413-4578-A589-8D2FD6C0FACB}"/>
    <cellStyle name="Comma 4 2 2 3 4 5 4 2" xfId="45033" xr:uid="{D9D6DEC7-FF8C-4B3D-A04F-103BF7AD0233}"/>
    <cellStyle name="Comma 4 2 2 3 4 5 4 3" xfId="26779" xr:uid="{5E3A41C0-3F78-417D-BA99-D0C94648E006}"/>
    <cellStyle name="Comma 4 2 2 3 4 5 5" xfId="4875" xr:uid="{BEFBB600-C550-4474-88C8-C4C4D9426D0B}"/>
    <cellStyle name="Comma 4 2 2 3 4 5 5 2" xfId="41383" xr:uid="{101AC4B8-1F79-4A53-8161-2B08059B7BD2}"/>
    <cellStyle name="Comma 4 2 2 3 4 5 5 3" xfId="23129" xr:uid="{D9DDB5EB-83F3-4185-AD76-7A68B0BED1B1}"/>
    <cellStyle name="Comma 4 2 2 3 4 5 6" xfId="37733" xr:uid="{89115B8E-3F0D-4289-99B7-6FD54DEF2B6B}"/>
    <cellStyle name="Comma 4 2 2 3 4 5 7" xfId="19479" xr:uid="{9EE10030-FC1B-48E9-83B8-2D3F3016D63B}"/>
    <cellStyle name="Comma 4 2 2 3 4 6" xfId="15095" xr:uid="{2FF24C9E-1830-46E9-805C-9A7C836D027E}"/>
    <cellStyle name="Comma 4 2 2 3 4 6 2" xfId="51603" xr:uid="{23E1800B-9910-43B6-B915-952982F3A1DA}"/>
    <cellStyle name="Comma 4 2 2 3 4 6 3" xfId="33349" xr:uid="{ACC73FAC-0402-4DC4-A144-412D2A64F637}"/>
    <cellStyle name="Comma 4 2 2 3 4 7" xfId="11445" xr:uid="{F4A4FC40-5CDF-4CD8-AB49-6636F8F0F462}"/>
    <cellStyle name="Comma 4 2 2 3 4 7 2" xfId="47953" xr:uid="{451474D8-7805-48E7-9EBE-42AF83595724}"/>
    <cellStyle name="Comma 4 2 2 3 4 7 3" xfId="29699" xr:uid="{31533539-5C92-47A8-A3F2-28F3B77921DA}"/>
    <cellStyle name="Comma 4 2 2 3 4 8" xfId="7795" xr:uid="{124EB9FB-3297-4B9D-8E67-5182B0427709}"/>
    <cellStyle name="Comma 4 2 2 3 4 8 2" xfId="44303" xr:uid="{DD0D1F48-4BE0-4F23-8C3E-CEFFFA906A93}"/>
    <cellStyle name="Comma 4 2 2 3 4 8 3" xfId="26049" xr:uid="{D9932721-E7D1-49E3-BA09-B408FBD2DC82}"/>
    <cellStyle name="Comma 4 2 2 3 4 9" xfId="4145" xr:uid="{C7CDFB22-DF93-40F8-974E-DF7DEC09C68D}"/>
    <cellStyle name="Comma 4 2 2 3 4 9 2" xfId="40653" xr:uid="{C56A0F09-453D-4C7B-8AE4-93C312A3F49B}"/>
    <cellStyle name="Comma 4 2 2 3 4 9 3" xfId="22399" xr:uid="{2BF17D65-529F-4A66-B065-6C1252E9FAF2}"/>
    <cellStyle name="Comma 4 2 2 3 5" xfId="391" xr:uid="{D8B5188B-685E-4525-9D82-82D6DDBB82AC}"/>
    <cellStyle name="Comma 4 2 2 3 5 10" xfId="36899" xr:uid="{20562D36-7397-4B57-BC89-193B00FAA529}"/>
    <cellStyle name="Comma 4 2 2 3 5 11" xfId="18645" xr:uid="{07FED7E0-B9B4-4050-A24F-B8BF9AA74EEC}"/>
    <cellStyle name="Comma 4 2 2 3 5 2" xfId="3311" xr:uid="{5C939DA8-EE3F-4D80-9556-B4CA856A1844}"/>
    <cellStyle name="Comma 4 2 2 3 5 2 2" xfId="17911" xr:uid="{68599EE9-34A7-44BE-BFC9-A5FFD0E21485}"/>
    <cellStyle name="Comma 4 2 2 3 5 2 2 2" xfId="54419" xr:uid="{8A76297A-6312-4BDB-B0F8-B4CC93D33154}"/>
    <cellStyle name="Comma 4 2 2 3 5 2 2 3" xfId="36165" xr:uid="{E52F5444-704C-496F-B2E3-80B9F7533193}"/>
    <cellStyle name="Comma 4 2 2 3 5 2 3" xfId="14261" xr:uid="{150FBBE9-2C85-4308-9103-D55A2CAE0538}"/>
    <cellStyle name="Comma 4 2 2 3 5 2 3 2" xfId="50769" xr:uid="{84598074-AE7A-4DBD-9F38-3A19600F3F1B}"/>
    <cellStyle name="Comma 4 2 2 3 5 2 3 3" xfId="32515" xr:uid="{1CF08341-EDC1-4B31-9E2A-E54F46F25F92}"/>
    <cellStyle name="Comma 4 2 2 3 5 2 4" xfId="10611" xr:uid="{BD9DD763-2ACF-41A4-9DC3-67684E0D11E6}"/>
    <cellStyle name="Comma 4 2 2 3 5 2 4 2" xfId="47119" xr:uid="{D3EECD3D-6274-4671-822C-974BCD38AAD3}"/>
    <cellStyle name="Comma 4 2 2 3 5 2 4 3" xfId="28865" xr:uid="{DFFB7471-3C5D-45ED-A0F4-E4A76C0C7B91}"/>
    <cellStyle name="Comma 4 2 2 3 5 2 5" xfId="6961" xr:uid="{FF354734-650B-45A1-A963-346E89CC98AC}"/>
    <cellStyle name="Comma 4 2 2 3 5 2 5 2" xfId="43469" xr:uid="{A0AF9F01-6AB4-4D34-9353-7682EBFF27DB}"/>
    <cellStyle name="Comma 4 2 2 3 5 2 5 3" xfId="25215" xr:uid="{30FDD2AF-0F3E-46AE-A374-07BAF9D4212F}"/>
    <cellStyle name="Comma 4 2 2 3 5 2 6" xfId="39819" xr:uid="{BC7B83B6-9AA6-47E7-8FB3-AF1FADF87DC2}"/>
    <cellStyle name="Comma 4 2 2 3 5 2 7" xfId="21565" xr:uid="{6C63B753-7CC8-4760-8E6F-AEBE9D9CA342}"/>
    <cellStyle name="Comma 4 2 2 3 5 3" xfId="2581" xr:uid="{58DFD3DD-A12A-47DB-B957-13AA2C7CD1F6}"/>
    <cellStyle name="Comma 4 2 2 3 5 3 2" xfId="17181" xr:uid="{18BA7DA0-A438-4791-B69A-2A54A12302B2}"/>
    <cellStyle name="Comma 4 2 2 3 5 3 2 2" xfId="53689" xr:uid="{763DAA08-B772-477F-B5DA-6BC8A3F926A4}"/>
    <cellStyle name="Comma 4 2 2 3 5 3 2 3" xfId="35435" xr:uid="{5252BBE0-4F1B-4DA3-8060-823DF82339A6}"/>
    <cellStyle name="Comma 4 2 2 3 5 3 3" xfId="13531" xr:uid="{843432C2-6562-4EA4-90C7-09B3C8690C8A}"/>
    <cellStyle name="Comma 4 2 2 3 5 3 3 2" xfId="50039" xr:uid="{C723087E-3D50-4453-B561-454A05C1EF9C}"/>
    <cellStyle name="Comma 4 2 2 3 5 3 3 3" xfId="31785" xr:uid="{CFB9E4C7-0FDA-4566-A5FA-E2A24820859E}"/>
    <cellStyle name="Comma 4 2 2 3 5 3 4" xfId="9881" xr:uid="{08DCABB9-E1CE-415D-B305-3656492697BA}"/>
    <cellStyle name="Comma 4 2 2 3 5 3 4 2" xfId="46389" xr:uid="{CD80D1D6-0CFB-4F4C-9DBD-AF66BED13AF6}"/>
    <cellStyle name="Comma 4 2 2 3 5 3 4 3" xfId="28135" xr:uid="{0872820C-1080-496E-BC06-F21DD00BDC58}"/>
    <cellStyle name="Comma 4 2 2 3 5 3 5" xfId="6231" xr:uid="{1EE64EE5-F9AF-4472-BDA8-9E308FFB99BD}"/>
    <cellStyle name="Comma 4 2 2 3 5 3 5 2" xfId="42739" xr:uid="{1E41BD93-4B43-457C-84DE-0E366AA56D01}"/>
    <cellStyle name="Comma 4 2 2 3 5 3 5 3" xfId="24485" xr:uid="{DEC03052-5F84-42E6-B143-4C929EA330DB}"/>
    <cellStyle name="Comma 4 2 2 3 5 3 6" xfId="39089" xr:uid="{D1E14054-87EE-4E81-9A61-3D6118464AB5}"/>
    <cellStyle name="Comma 4 2 2 3 5 3 7" xfId="20835" xr:uid="{D47827A8-B1E7-4718-AF84-60CDE497D392}"/>
    <cellStyle name="Comma 4 2 2 3 5 4" xfId="1851" xr:uid="{9D8796C9-92B6-4DC1-BCA8-04E7F1C6EE85}"/>
    <cellStyle name="Comma 4 2 2 3 5 4 2" xfId="16451" xr:uid="{B1347EAD-8492-4262-BC8E-5D25CB14E505}"/>
    <cellStyle name="Comma 4 2 2 3 5 4 2 2" xfId="52959" xr:uid="{72D5463B-CB77-4B1F-88B7-BF5EC8A37A47}"/>
    <cellStyle name="Comma 4 2 2 3 5 4 2 3" xfId="34705" xr:uid="{9304593C-8A82-401F-AACB-D56A013DD0EF}"/>
    <cellStyle name="Comma 4 2 2 3 5 4 3" xfId="12801" xr:uid="{448F8711-A6CC-4712-8A10-9E357CC9716D}"/>
    <cellStyle name="Comma 4 2 2 3 5 4 3 2" xfId="49309" xr:uid="{ADFF736D-D278-4887-8814-4C3064139FBD}"/>
    <cellStyle name="Comma 4 2 2 3 5 4 3 3" xfId="31055" xr:uid="{D4C26B2B-5552-4AA1-A14A-376FD4FD59D7}"/>
    <cellStyle name="Comma 4 2 2 3 5 4 4" xfId="9151" xr:uid="{93DE2741-AF75-4D15-9431-C95F74855CA1}"/>
    <cellStyle name="Comma 4 2 2 3 5 4 4 2" xfId="45659" xr:uid="{6293A698-E74F-4AE7-9491-7AF602D84D49}"/>
    <cellStyle name="Comma 4 2 2 3 5 4 4 3" xfId="27405" xr:uid="{9EE2E9BB-80E2-4418-8822-1842E9BF8312}"/>
    <cellStyle name="Comma 4 2 2 3 5 4 5" xfId="5501" xr:uid="{9D19B1A2-474F-4956-9608-3B118DF44972}"/>
    <cellStyle name="Comma 4 2 2 3 5 4 5 2" xfId="42009" xr:uid="{A911C8BE-05ED-4BD1-B3B8-CB80EEF12AD3}"/>
    <cellStyle name="Comma 4 2 2 3 5 4 5 3" xfId="23755" xr:uid="{5B051DE0-2228-4309-B48C-E3448BAF502E}"/>
    <cellStyle name="Comma 4 2 2 3 5 4 6" xfId="38359" xr:uid="{BAA1A0CB-6B1A-4723-B0E2-8691A2834365}"/>
    <cellStyle name="Comma 4 2 2 3 5 4 7" xfId="20105" xr:uid="{6CF11EF5-9074-4E03-9F93-34FD668E4A0C}"/>
    <cellStyle name="Comma 4 2 2 3 5 5" xfId="1121" xr:uid="{1FD7B678-A1C9-4EAF-A60E-AF760536BE0D}"/>
    <cellStyle name="Comma 4 2 2 3 5 5 2" xfId="15721" xr:uid="{0148A917-3E29-4AD5-863E-92F10D9A3095}"/>
    <cellStyle name="Comma 4 2 2 3 5 5 2 2" xfId="52229" xr:uid="{01BAD839-9683-444F-8B64-89D439B365E5}"/>
    <cellStyle name="Comma 4 2 2 3 5 5 2 3" xfId="33975" xr:uid="{ECC2A699-E0F2-46BF-B463-60B6425F284A}"/>
    <cellStyle name="Comma 4 2 2 3 5 5 3" xfId="12071" xr:uid="{F178AA09-CDF0-4DDF-B1A3-288B1DA6AE87}"/>
    <cellStyle name="Comma 4 2 2 3 5 5 3 2" xfId="48579" xr:uid="{9E4D0E77-9EC8-46F7-8994-0C65CDDD89A3}"/>
    <cellStyle name="Comma 4 2 2 3 5 5 3 3" xfId="30325" xr:uid="{3B047C3A-3B46-4006-9660-81AE5422D748}"/>
    <cellStyle name="Comma 4 2 2 3 5 5 4" xfId="8421" xr:uid="{A183A79A-7D98-4E9A-974A-FF0536ACE540}"/>
    <cellStyle name="Comma 4 2 2 3 5 5 4 2" xfId="44929" xr:uid="{57363932-23A2-4610-9E53-3E04FFF9A488}"/>
    <cellStyle name="Comma 4 2 2 3 5 5 4 3" xfId="26675" xr:uid="{E81BF205-FB8C-4CDE-8097-B1BB51F7DB63}"/>
    <cellStyle name="Comma 4 2 2 3 5 5 5" xfId="4771" xr:uid="{6D3B207E-1939-40BB-B6B6-E06C9E38D151}"/>
    <cellStyle name="Comma 4 2 2 3 5 5 5 2" xfId="41279" xr:uid="{3C51C8CD-4D83-4885-B40B-4B48CE14920B}"/>
    <cellStyle name="Comma 4 2 2 3 5 5 5 3" xfId="23025" xr:uid="{457BE452-92F0-4C01-AE01-69C07E74BA75}"/>
    <cellStyle name="Comma 4 2 2 3 5 5 6" xfId="37629" xr:uid="{92A6858B-A181-468B-9DC6-FA9E2F4678AF}"/>
    <cellStyle name="Comma 4 2 2 3 5 5 7" xfId="19375" xr:uid="{59B69A69-7BA2-4D12-B7A2-8E87B33F48C8}"/>
    <cellStyle name="Comma 4 2 2 3 5 6" xfId="14991" xr:uid="{68E5E5CD-4566-4570-A0BF-F3425AEEA51D}"/>
    <cellStyle name="Comma 4 2 2 3 5 6 2" xfId="51499" xr:uid="{B71A14C6-28AE-46A1-AB6E-DCAC4623E977}"/>
    <cellStyle name="Comma 4 2 2 3 5 6 3" xfId="33245" xr:uid="{99144FB1-1454-4B25-AEA2-17DA97DABF79}"/>
    <cellStyle name="Comma 4 2 2 3 5 7" xfId="11341" xr:uid="{1A3FC8BE-48B8-4058-AED5-D234842DEF9D}"/>
    <cellStyle name="Comma 4 2 2 3 5 7 2" xfId="47849" xr:uid="{C3B7E129-6E25-4C37-855D-A0F4A7E0634E}"/>
    <cellStyle name="Comma 4 2 2 3 5 7 3" xfId="29595" xr:uid="{841FEAC6-22BA-4290-B230-BE31CF9DEDC3}"/>
    <cellStyle name="Comma 4 2 2 3 5 8" xfId="7691" xr:uid="{73F28BD6-0613-4639-9B62-E51C1F8DDE68}"/>
    <cellStyle name="Comma 4 2 2 3 5 8 2" xfId="44199" xr:uid="{2E745222-EBD6-41EF-8DDA-D43103B2C2A4}"/>
    <cellStyle name="Comma 4 2 2 3 5 8 3" xfId="25945" xr:uid="{B4720272-0FD1-4030-B3B2-6E58EF0DA108}"/>
    <cellStyle name="Comma 4 2 2 3 5 9" xfId="4041" xr:uid="{025D57A4-9196-401C-B0EA-834303A6C4B3}"/>
    <cellStyle name="Comma 4 2 2 3 5 9 2" xfId="40549" xr:uid="{356C7FC1-33FF-4F21-8A12-800FC412F8BD}"/>
    <cellStyle name="Comma 4 2 2 3 5 9 3" xfId="22295" xr:uid="{FF0060B2-7ED0-4093-9B42-83A5A75E964B}"/>
    <cellStyle name="Comma 4 2 2 3 6" xfId="287" xr:uid="{1ADE0DC7-88BB-4646-8E41-E6F72C06AB96}"/>
    <cellStyle name="Comma 4 2 2 3 6 10" xfId="36795" xr:uid="{A57CA4CF-DF0C-4D80-8FCA-1EDCA5347B72}"/>
    <cellStyle name="Comma 4 2 2 3 6 11" xfId="18541" xr:uid="{ECBDF585-0DE2-40C4-B8FA-E79AF57F0B70}"/>
    <cellStyle name="Comma 4 2 2 3 6 2" xfId="3207" xr:uid="{F982CFE1-29B5-4EB7-BB00-60DAB2481D6F}"/>
    <cellStyle name="Comma 4 2 2 3 6 2 2" xfId="17807" xr:uid="{B7C4848A-8596-4CFD-BF6B-3BBC3E61718C}"/>
    <cellStyle name="Comma 4 2 2 3 6 2 2 2" xfId="54315" xr:uid="{767947DA-9E41-425A-9942-EEE48442D517}"/>
    <cellStyle name="Comma 4 2 2 3 6 2 2 3" xfId="36061" xr:uid="{D6FEF654-C1A0-45B3-B770-8D5EC2EE0FC7}"/>
    <cellStyle name="Comma 4 2 2 3 6 2 3" xfId="14157" xr:uid="{8F400BC4-3EC7-47FC-9EC9-5F7C8171D50D}"/>
    <cellStyle name="Comma 4 2 2 3 6 2 3 2" xfId="50665" xr:uid="{88B41BAD-C07E-4BAF-995F-D05F20B323A2}"/>
    <cellStyle name="Comma 4 2 2 3 6 2 3 3" xfId="32411" xr:uid="{C1C66669-69F3-4672-A8F3-7F43EB73BD9F}"/>
    <cellStyle name="Comma 4 2 2 3 6 2 4" xfId="10507" xr:uid="{FD87DDD2-B37B-4203-9E94-F2E810C93243}"/>
    <cellStyle name="Comma 4 2 2 3 6 2 4 2" xfId="47015" xr:uid="{1F121ED9-F79A-46A8-9888-32ADEAA5345C}"/>
    <cellStyle name="Comma 4 2 2 3 6 2 4 3" xfId="28761" xr:uid="{B73849BC-ED64-4246-85B8-C3AC08561CEB}"/>
    <cellStyle name="Comma 4 2 2 3 6 2 5" xfId="6857" xr:uid="{29AC1EAD-396B-4140-A520-69AE77C4EE7F}"/>
    <cellStyle name="Comma 4 2 2 3 6 2 5 2" xfId="43365" xr:uid="{203DEBA4-56C6-4499-BEB9-72B492A883AD}"/>
    <cellStyle name="Comma 4 2 2 3 6 2 5 3" xfId="25111" xr:uid="{35AD8389-85C5-4CC6-A51D-69022647739A}"/>
    <cellStyle name="Comma 4 2 2 3 6 2 6" xfId="39715" xr:uid="{091F37C0-FE26-4974-8537-D71C99807745}"/>
    <cellStyle name="Comma 4 2 2 3 6 2 7" xfId="21461" xr:uid="{E4CAB3C4-99EB-444C-A81C-3D29DD555022}"/>
    <cellStyle name="Comma 4 2 2 3 6 3" xfId="2477" xr:uid="{4E970590-7028-43A6-9F8D-F67254318FFE}"/>
    <cellStyle name="Comma 4 2 2 3 6 3 2" xfId="17077" xr:uid="{E1124A03-97FB-4CCC-97E9-68E67F820AD3}"/>
    <cellStyle name="Comma 4 2 2 3 6 3 2 2" xfId="53585" xr:uid="{E40BFECF-0B2B-4764-B933-32306BA45891}"/>
    <cellStyle name="Comma 4 2 2 3 6 3 2 3" xfId="35331" xr:uid="{DFAB0D7B-74E0-4FB4-BFBC-ABCF0D4241AC}"/>
    <cellStyle name="Comma 4 2 2 3 6 3 3" xfId="13427" xr:uid="{9094BD1B-3BEF-43BA-A38A-E230FFD63F9C}"/>
    <cellStyle name="Comma 4 2 2 3 6 3 3 2" xfId="49935" xr:uid="{2C830AEE-4DDE-4384-A2C3-C8086F9205F4}"/>
    <cellStyle name="Comma 4 2 2 3 6 3 3 3" xfId="31681" xr:uid="{FC95C5F2-B451-4EF1-988C-B582E95399FC}"/>
    <cellStyle name="Comma 4 2 2 3 6 3 4" xfId="9777" xr:uid="{FC53B9DD-B637-4512-B823-FAF18CDCAA7B}"/>
    <cellStyle name="Comma 4 2 2 3 6 3 4 2" xfId="46285" xr:uid="{8342AC51-82AD-4A74-BCE2-D7FFEBB0B0F2}"/>
    <cellStyle name="Comma 4 2 2 3 6 3 4 3" xfId="28031" xr:uid="{BD100A3F-B986-430B-B5AC-CB8C1C72E8F2}"/>
    <cellStyle name="Comma 4 2 2 3 6 3 5" xfId="6127" xr:uid="{77C345F9-3EDE-48AE-8D21-ECD7DA26DB1F}"/>
    <cellStyle name="Comma 4 2 2 3 6 3 5 2" xfId="42635" xr:uid="{A850147C-6E26-4A88-B737-6E26C868E837}"/>
    <cellStyle name="Comma 4 2 2 3 6 3 5 3" xfId="24381" xr:uid="{2688C0F9-C417-4F56-9859-A4463017824C}"/>
    <cellStyle name="Comma 4 2 2 3 6 3 6" xfId="38985" xr:uid="{EEFC6406-1D48-45C8-81DA-9C22DC953BBB}"/>
    <cellStyle name="Comma 4 2 2 3 6 3 7" xfId="20731" xr:uid="{0ADEA89B-09DD-4595-9974-43DB5F452268}"/>
    <cellStyle name="Comma 4 2 2 3 6 4" xfId="1747" xr:uid="{72B9E090-53EE-42D9-9B28-D7D67E5DE82C}"/>
    <cellStyle name="Comma 4 2 2 3 6 4 2" xfId="16347" xr:uid="{6A28BB9F-956D-4B55-A5A0-C98609EE72FA}"/>
    <cellStyle name="Comma 4 2 2 3 6 4 2 2" xfId="52855" xr:uid="{3B7AB83D-5B81-4426-9651-DCC61D19787D}"/>
    <cellStyle name="Comma 4 2 2 3 6 4 2 3" xfId="34601" xr:uid="{D2A2DD10-567B-4013-B6F9-1FDC55B1A5FD}"/>
    <cellStyle name="Comma 4 2 2 3 6 4 3" xfId="12697" xr:uid="{CD7B4D1F-DDC0-4F83-B76A-A47419F3144F}"/>
    <cellStyle name="Comma 4 2 2 3 6 4 3 2" xfId="49205" xr:uid="{E2D25E9F-9E93-4F4C-9A4F-21F537A818CA}"/>
    <cellStyle name="Comma 4 2 2 3 6 4 3 3" xfId="30951" xr:uid="{8383E437-8710-43F3-A34A-98E43A42869D}"/>
    <cellStyle name="Comma 4 2 2 3 6 4 4" xfId="9047" xr:uid="{373DB3AA-3B17-4A78-8C32-D75447F25ABD}"/>
    <cellStyle name="Comma 4 2 2 3 6 4 4 2" xfId="45555" xr:uid="{0249FA8D-4098-4F38-BB07-69844EAC513F}"/>
    <cellStyle name="Comma 4 2 2 3 6 4 4 3" xfId="27301" xr:uid="{6918B0E8-6519-4ACA-A13E-15C1213756C0}"/>
    <cellStyle name="Comma 4 2 2 3 6 4 5" xfId="5397" xr:uid="{924E6C82-211E-4790-B4D1-906A5BDB4212}"/>
    <cellStyle name="Comma 4 2 2 3 6 4 5 2" xfId="41905" xr:uid="{A0B84442-4E07-4953-9578-7470B691454B}"/>
    <cellStyle name="Comma 4 2 2 3 6 4 5 3" xfId="23651" xr:uid="{2649D10F-7695-4BD2-BE76-E718516D6075}"/>
    <cellStyle name="Comma 4 2 2 3 6 4 6" xfId="38255" xr:uid="{8701460D-4D93-4487-A3E8-FDFE96759C05}"/>
    <cellStyle name="Comma 4 2 2 3 6 4 7" xfId="20001" xr:uid="{23CE62BA-3720-44F2-B450-ACF5FE8B6029}"/>
    <cellStyle name="Comma 4 2 2 3 6 5" xfId="1017" xr:uid="{BCB35296-D884-4285-AD6C-382EFDCF4395}"/>
    <cellStyle name="Comma 4 2 2 3 6 5 2" xfId="15617" xr:uid="{220DB35A-740F-49F7-9077-87B210F0D3ED}"/>
    <cellStyle name="Comma 4 2 2 3 6 5 2 2" xfId="52125" xr:uid="{8C704760-E267-4ACB-B183-714CEEFF0CE8}"/>
    <cellStyle name="Comma 4 2 2 3 6 5 2 3" xfId="33871" xr:uid="{CF28EF95-DA53-4562-A0A8-F991A7D7FE4D}"/>
    <cellStyle name="Comma 4 2 2 3 6 5 3" xfId="11967" xr:uid="{2C315D8F-8839-4FC2-8243-5AD8CCEA2AF2}"/>
    <cellStyle name="Comma 4 2 2 3 6 5 3 2" xfId="48475" xr:uid="{C061D607-172D-4727-A11F-35FBDF3E2353}"/>
    <cellStyle name="Comma 4 2 2 3 6 5 3 3" xfId="30221" xr:uid="{AB2BB142-4E86-4476-B2E2-1C4A8A45AF5C}"/>
    <cellStyle name="Comma 4 2 2 3 6 5 4" xfId="8317" xr:uid="{619F5F01-FD6E-492C-83B7-D0931D917D78}"/>
    <cellStyle name="Comma 4 2 2 3 6 5 4 2" xfId="44825" xr:uid="{0522ED98-6A31-4A59-A0C1-ED9F5ACC5D80}"/>
    <cellStyle name="Comma 4 2 2 3 6 5 4 3" xfId="26571" xr:uid="{4F3AC94E-2E27-4C91-B47E-72FBBCEBAA71}"/>
    <cellStyle name="Comma 4 2 2 3 6 5 5" xfId="4667" xr:uid="{7087A4CD-BFB5-42D7-9277-DA11100F48DC}"/>
    <cellStyle name="Comma 4 2 2 3 6 5 5 2" xfId="41175" xr:uid="{FCDA2A0C-FED1-4BC5-9079-E38206282FCA}"/>
    <cellStyle name="Comma 4 2 2 3 6 5 5 3" xfId="22921" xr:uid="{79C6E504-64CB-4F4A-903D-47BB9705D9A1}"/>
    <cellStyle name="Comma 4 2 2 3 6 5 6" xfId="37525" xr:uid="{079E2741-787A-4D4D-A221-E6C567D013C0}"/>
    <cellStyle name="Comma 4 2 2 3 6 5 7" xfId="19271" xr:uid="{9A060BAB-335C-4E96-9F26-DC011DD878E5}"/>
    <cellStyle name="Comma 4 2 2 3 6 6" xfId="14887" xr:uid="{FCD87CAC-9263-4815-8BDA-55D2BE71101D}"/>
    <cellStyle name="Comma 4 2 2 3 6 6 2" xfId="51395" xr:uid="{5BA8550E-A786-4763-BE4C-281BE51A7D31}"/>
    <cellStyle name="Comma 4 2 2 3 6 6 3" xfId="33141" xr:uid="{C504E10A-F728-44F0-A885-61EAB3F002DF}"/>
    <cellStyle name="Comma 4 2 2 3 6 7" xfId="11237" xr:uid="{22D30ABE-9597-4A1A-BFE5-830EB3314265}"/>
    <cellStyle name="Comma 4 2 2 3 6 7 2" xfId="47745" xr:uid="{84E7BDC1-13D0-4818-9E0B-D89C7204ED14}"/>
    <cellStyle name="Comma 4 2 2 3 6 7 3" xfId="29491" xr:uid="{1783364F-655D-4A81-8539-A77BE539D88E}"/>
    <cellStyle name="Comma 4 2 2 3 6 8" xfId="7587" xr:uid="{C3D24A2F-C3BD-4AC3-A589-B00ADFB40113}"/>
    <cellStyle name="Comma 4 2 2 3 6 8 2" xfId="44095" xr:uid="{991D81D1-9D16-430A-9B7C-B79EC5C3A0EA}"/>
    <cellStyle name="Comma 4 2 2 3 6 8 3" xfId="25841" xr:uid="{8D2D7C74-A8A4-46B3-BDE6-0ECC34F21E6C}"/>
    <cellStyle name="Comma 4 2 2 3 6 9" xfId="3937" xr:uid="{61561083-270A-43BD-89EE-C21AD2F9B866}"/>
    <cellStyle name="Comma 4 2 2 3 6 9 2" xfId="40445" xr:uid="{593CBA8E-8D51-4109-B083-651B854706CB}"/>
    <cellStyle name="Comma 4 2 2 3 6 9 3" xfId="22191" xr:uid="{D54594F2-901D-4344-8C1E-05368168D54B}"/>
    <cellStyle name="Comma 4 2 2 3 7" xfId="183" xr:uid="{F82183F0-7F2A-4397-9C13-5131B9105A0A}"/>
    <cellStyle name="Comma 4 2 2 3 7 10" xfId="36691" xr:uid="{FAA05BD0-EF33-4EAD-94EF-7BE07B40E2FC}"/>
    <cellStyle name="Comma 4 2 2 3 7 11" xfId="18437" xr:uid="{12A0C0AB-FBD4-4DF0-BB08-578ED85891F3}"/>
    <cellStyle name="Comma 4 2 2 3 7 2" xfId="3103" xr:uid="{4C3ADF2F-0887-4902-82FD-51333E4F84F1}"/>
    <cellStyle name="Comma 4 2 2 3 7 2 2" xfId="17703" xr:uid="{6F61AB37-2761-48D6-BABA-4028FA0FFDEA}"/>
    <cellStyle name="Comma 4 2 2 3 7 2 2 2" xfId="54211" xr:uid="{319A2975-308A-4BA9-AC48-D0F746C10FEC}"/>
    <cellStyle name="Comma 4 2 2 3 7 2 2 3" xfId="35957" xr:uid="{32E1D2F2-85EC-45E0-8A51-97DA55E515BC}"/>
    <cellStyle name="Comma 4 2 2 3 7 2 3" xfId="14053" xr:uid="{B6B58223-0038-43DF-B3E4-3DE3B32F067F}"/>
    <cellStyle name="Comma 4 2 2 3 7 2 3 2" xfId="50561" xr:uid="{5DDB689B-B929-4218-BB77-27D27F467E92}"/>
    <cellStyle name="Comma 4 2 2 3 7 2 3 3" xfId="32307" xr:uid="{B8D00900-FD6B-4A76-9F28-32F5CB61FCE6}"/>
    <cellStyle name="Comma 4 2 2 3 7 2 4" xfId="10403" xr:uid="{2C913EFB-9968-4657-B112-E2AC2FBF733A}"/>
    <cellStyle name="Comma 4 2 2 3 7 2 4 2" xfId="46911" xr:uid="{4D1226C2-FAF5-4718-9B97-DC10DC5EDBD3}"/>
    <cellStyle name="Comma 4 2 2 3 7 2 4 3" xfId="28657" xr:uid="{C6746701-FA97-4AEE-A63C-E4A4421E7BFB}"/>
    <cellStyle name="Comma 4 2 2 3 7 2 5" xfId="6753" xr:uid="{F6D273B5-B09D-4080-BCA5-72AFCEEF7604}"/>
    <cellStyle name="Comma 4 2 2 3 7 2 5 2" xfId="43261" xr:uid="{0D81C271-16C2-496B-A7DD-8DED0740400E}"/>
    <cellStyle name="Comma 4 2 2 3 7 2 5 3" xfId="25007" xr:uid="{3C435005-A4BC-4E17-B349-E1B88FF7E5C5}"/>
    <cellStyle name="Comma 4 2 2 3 7 2 6" xfId="39611" xr:uid="{C7B7AD09-4241-4D49-B238-82370554F954}"/>
    <cellStyle name="Comma 4 2 2 3 7 2 7" xfId="21357" xr:uid="{D0660071-2184-47DD-8A6A-F2D6ECBB93BE}"/>
    <cellStyle name="Comma 4 2 2 3 7 3" xfId="2373" xr:uid="{2282B298-1923-4F7E-8795-3781DFAFFD1A}"/>
    <cellStyle name="Comma 4 2 2 3 7 3 2" xfId="16973" xr:uid="{B5DDF5B2-7390-4062-8677-4641900E4DE5}"/>
    <cellStyle name="Comma 4 2 2 3 7 3 2 2" xfId="53481" xr:uid="{4484EE4C-207F-4E67-8805-4068F715B438}"/>
    <cellStyle name="Comma 4 2 2 3 7 3 2 3" xfId="35227" xr:uid="{82DB07B6-76CE-4A22-AF56-F92F59CED8F2}"/>
    <cellStyle name="Comma 4 2 2 3 7 3 3" xfId="13323" xr:uid="{4368365D-835E-4DB5-A979-39C52CE7F883}"/>
    <cellStyle name="Comma 4 2 2 3 7 3 3 2" xfId="49831" xr:uid="{85AF7BA4-E2EC-4A62-9946-FEC069487343}"/>
    <cellStyle name="Comma 4 2 2 3 7 3 3 3" xfId="31577" xr:uid="{C507AFF3-214C-4980-A77F-C9AD626163CE}"/>
    <cellStyle name="Comma 4 2 2 3 7 3 4" xfId="9673" xr:uid="{9EB6619D-6BD4-48C9-AD5B-0B1D32B12E66}"/>
    <cellStyle name="Comma 4 2 2 3 7 3 4 2" xfId="46181" xr:uid="{B91C523C-0B64-4AFE-B3E7-A98FCA53712F}"/>
    <cellStyle name="Comma 4 2 2 3 7 3 4 3" xfId="27927" xr:uid="{EC0679B0-7C07-44ED-9E82-608926FBBA2E}"/>
    <cellStyle name="Comma 4 2 2 3 7 3 5" xfId="6023" xr:uid="{81A57A08-66BE-4F1F-9F7A-2C3DBD5F7354}"/>
    <cellStyle name="Comma 4 2 2 3 7 3 5 2" xfId="42531" xr:uid="{54B28261-10AF-488D-9E82-242C34CA04ED}"/>
    <cellStyle name="Comma 4 2 2 3 7 3 5 3" xfId="24277" xr:uid="{06C1A5B7-0ADC-43CA-B512-91747DC250CC}"/>
    <cellStyle name="Comma 4 2 2 3 7 3 6" xfId="38881" xr:uid="{946F7718-106D-4326-A09C-DA5117778640}"/>
    <cellStyle name="Comma 4 2 2 3 7 3 7" xfId="20627" xr:uid="{0E49B080-EC02-4762-8C46-9C9A02E74D18}"/>
    <cellStyle name="Comma 4 2 2 3 7 4" xfId="1643" xr:uid="{A9291D9D-3ACD-44FF-A5EC-07659192F560}"/>
    <cellStyle name="Comma 4 2 2 3 7 4 2" xfId="16243" xr:uid="{9F6D4005-BD63-4D29-B73C-64FB410581ED}"/>
    <cellStyle name="Comma 4 2 2 3 7 4 2 2" xfId="52751" xr:uid="{37F18588-B70F-42FF-AA2E-572EAFE8A37D}"/>
    <cellStyle name="Comma 4 2 2 3 7 4 2 3" xfId="34497" xr:uid="{3F204CB6-BABA-4F33-B917-8FEE87D2E22B}"/>
    <cellStyle name="Comma 4 2 2 3 7 4 3" xfId="12593" xr:uid="{5A12A7FD-FE59-438C-9E81-FFBCE34FD918}"/>
    <cellStyle name="Comma 4 2 2 3 7 4 3 2" xfId="49101" xr:uid="{53356482-CDFD-4429-B549-3C757B559FB2}"/>
    <cellStyle name="Comma 4 2 2 3 7 4 3 3" xfId="30847" xr:uid="{33FA5469-BD55-4D32-8397-C24D8B703FE9}"/>
    <cellStyle name="Comma 4 2 2 3 7 4 4" xfId="8943" xr:uid="{5E546546-2AF7-4FDB-AEEC-2378E84EC71F}"/>
    <cellStyle name="Comma 4 2 2 3 7 4 4 2" xfId="45451" xr:uid="{07D485EA-E968-44C7-898B-9D7603CFEB48}"/>
    <cellStyle name="Comma 4 2 2 3 7 4 4 3" xfId="27197" xr:uid="{B51B5D9F-FBC5-4988-87C7-4BBAD275FDA7}"/>
    <cellStyle name="Comma 4 2 2 3 7 4 5" xfId="5293" xr:uid="{00EB635E-6B02-4950-BDA7-AA4A54F64A6E}"/>
    <cellStyle name="Comma 4 2 2 3 7 4 5 2" xfId="41801" xr:uid="{5D4B3BDD-ED5B-4402-98C1-F3158CF537C4}"/>
    <cellStyle name="Comma 4 2 2 3 7 4 5 3" xfId="23547" xr:uid="{1ABF1B36-22EE-4674-8C04-0A2D16E01645}"/>
    <cellStyle name="Comma 4 2 2 3 7 4 6" xfId="38151" xr:uid="{FC0BD230-84B6-40A6-8D06-D17EE40F6F13}"/>
    <cellStyle name="Comma 4 2 2 3 7 4 7" xfId="19897" xr:uid="{D47DA1C3-056F-4C3A-8216-98D039BAF3D1}"/>
    <cellStyle name="Comma 4 2 2 3 7 5" xfId="913" xr:uid="{0B427516-F9ED-43A4-A11C-97441ACFF2C9}"/>
    <cellStyle name="Comma 4 2 2 3 7 5 2" xfId="15513" xr:uid="{EED6AD02-3F24-4291-A03E-0DD08ACB4F98}"/>
    <cellStyle name="Comma 4 2 2 3 7 5 2 2" xfId="52021" xr:uid="{4E510EFC-D09B-4F07-9826-C3F765791581}"/>
    <cellStyle name="Comma 4 2 2 3 7 5 2 3" xfId="33767" xr:uid="{8103F0AA-1A3D-49B9-8357-552A8B0077A0}"/>
    <cellStyle name="Comma 4 2 2 3 7 5 3" xfId="11863" xr:uid="{62F4F994-27BB-47F9-A020-4E95A59C3F15}"/>
    <cellStyle name="Comma 4 2 2 3 7 5 3 2" xfId="48371" xr:uid="{A329D5F6-3B47-49F8-95BF-5C06655BE85F}"/>
    <cellStyle name="Comma 4 2 2 3 7 5 3 3" xfId="30117" xr:uid="{EE7D0A29-ED20-4500-A304-7047CD99BA01}"/>
    <cellStyle name="Comma 4 2 2 3 7 5 4" xfId="8213" xr:uid="{7AA4508C-6FF7-4E44-88F9-C48F61F7E1B0}"/>
    <cellStyle name="Comma 4 2 2 3 7 5 4 2" xfId="44721" xr:uid="{FFAF5BB7-6B38-4123-B7CF-3BF9940B27E4}"/>
    <cellStyle name="Comma 4 2 2 3 7 5 4 3" xfId="26467" xr:uid="{ABE663F6-5DCC-44FD-A6F0-8B6A1396D8C9}"/>
    <cellStyle name="Comma 4 2 2 3 7 5 5" xfId="4563" xr:uid="{C4D949AA-1469-4E34-B2FE-D0E4F0E20B91}"/>
    <cellStyle name="Comma 4 2 2 3 7 5 5 2" xfId="41071" xr:uid="{C1CC0E46-BF97-4533-BF27-A0C2C0528E87}"/>
    <cellStyle name="Comma 4 2 2 3 7 5 5 3" xfId="22817" xr:uid="{3D20F6B1-1632-4D79-B4C8-0844C84EFD46}"/>
    <cellStyle name="Comma 4 2 2 3 7 5 6" xfId="37421" xr:uid="{E08732AD-9B51-4741-87CC-DE794DA9E048}"/>
    <cellStyle name="Comma 4 2 2 3 7 5 7" xfId="19167" xr:uid="{F8E1E230-7902-4CE1-8741-54BEF88099E2}"/>
    <cellStyle name="Comma 4 2 2 3 7 6" xfId="14783" xr:uid="{007F1D7F-F2C9-4BF5-A27C-F45310A32096}"/>
    <cellStyle name="Comma 4 2 2 3 7 6 2" xfId="51291" xr:uid="{E3016F94-157E-4BDD-B1DF-066C32CAFE55}"/>
    <cellStyle name="Comma 4 2 2 3 7 6 3" xfId="33037" xr:uid="{7C256124-BF8E-4BB2-93B2-E71C16B0C9D6}"/>
    <cellStyle name="Comma 4 2 2 3 7 7" xfId="11133" xr:uid="{9CD8D284-29D7-43B6-B39B-BFB979A0F01D}"/>
    <cellStyle name="Comma 4 2 2 3 7 7 2" xfId="47641" xr:uid="{3D844FF6-94D4-44C1-B543-73BBA35AA230}"/>
    <cellStyle name="Comma 4 2 2 3 7 7 3" xfId="29387" xr:uid="{15413194-8262-42D6-AD28-BD409814D300}"/>
    <cellStyle name="Comma 4 2 2 3 7 8" xfId="7483" xr:uid="{B2193E5F-BAA0-4564-83EE-5025D1187317}"/>
    <cellStyle name="Comma 4 2 2 3 7 8 2" xfId="43991" xr:uid="{53115A63-2157-42A1-BDEB-5939D67BD1DE}"/>
    <cellStyle name="Comma 4 2 2 3 7 8 3" xfId="25737" xr:uid="{8663FD2E-A1B6-460F-97A5-3A1A71FCB498}"/>
    <cellStyle name="Comma 4 2 2 3 7 9" xfId="3833" xr:uid="{CD9EB1B4-05ED-49CA-A4FD-6F1247E348D1}"/>
    <cellStyle name="Comma 4 2 2 3 7 9 2" xfId="40341" xr:uid="{578BB62F-2A85-4944-9F50-696EB2E0FA06}"/>
    <cellStyle name="Comma 4 2 2 3 7 9 3" xfId="22087" xr:uid="{7C1B9F03-860C-4341-99F1-80403554573F}"/>
    <cellStyle name="Comma 4 2 2 3 8" xfId="2999" xr:uid="{66E4932E-9A3F-4879-8BBD-517F3ED4DF0A}"/>
    <cellStyle name="Comma 4 2 2 3 8 2" xfId="17599" xr:uid="{08CB545F-2077-4EFF-83B1-8CE59D57BAC2}"/>
    <cellStyle name="Comma 4 2 2 3 8 2 2" xfId="54107" xr:uid="{1017B126-3BF2-403B-84F7-DB1B7D820EF5}"/>
    <cellStyle name="Comma 4 2 2 3 8 2 3" xfId="35853" xr:uid="{0C3F48E2-E192-45CC-B786-3FCF5DC9313F}"/>
    <cellStyle name="Comma 4 2 2 3 8 3" xfId="13949" xr:uid="{C3103995-3ADF-42BC-A458-3CB3E018F826}"/>
    <cellStyle name="Comma 4 2 2 3 8 3 2" xfId="50457" xr:uid="{2782A11A-C2CE-49C1-8F0A-0649CE2CBE31}"/>
    <cellStyle name="Comma 4 2 2 3 8 3 3" xfId="32203" xr:uid="{734E66EE-461B-479B-85DB-7F35715C2FFD}"/>
    <cellStyle name="Comma 4 2 2 3 8 4" xfId="10299" xr:uid="{A8828134-A896-4BAF-A52D-ED80E5852BC4}"/>
    <cellStyle name="Comma 4 2 2 3 8 4 2" xfId="46807" xr:uid="{8EEC2BD4-47D0-4345-ADC7-91C3DF80D33D}"/>
    <cellStyle name="Comma 4 2 2 3 8 4 3" xfId="28553" xr:uid="{7DBB93A5-DA0A-466D-98A4-FD1F001B5321}"/>
    <cellStyle name="Comma 4 2 2 3 8 5" xfId="6649" xr:uid="{C7FF887B-A947-4647-8AE2-85DECF94ADD6}"/>
    <cellStyle name="Comma 4 2 2 3 8 5 2" xfId="43157" xr:uid="{E2A7CB0F-42B2-4143-813D-E962D3BD6A37}"/>
    <cellStyle name="Comma 4 2 2 3 8 5 3" xfId="24903" xr:uid="{9CD6F5DE-F755-4A97-A73C-02954EF7863A}"/>
    <cellStyle name="Comma 4 2 2 3 8 6" xfId="39507" xr:uid="{FC812CCE-F067-4EDA-8C08-2A855DA8329D}"/>
    <cellStyle name="Comma 4 2 2 3 8 7" xfId="21253" xr:uid="{0E9437D4-C30F-4B8D-A770-26453EFEF38B}"/>
    <cellStyle name="Comma 4 2 2 3 9" xfId="2269" xr:uid="{69130774-2544-4336-986E-F2627561CD2D}"/>
    <cellStyle name="Comma 4 2 2 3 9 2" xfId="16869" xr:uid="{7E8DAD14-CFCD-4561-8584-C9DE26674BCC}"/>
    <cellStyle name="Comma 4 2 2 3 9 2 2" xfId="53377" xr:uid="{80F8DC32-91B8-40D6-A06A-B971F5B556B7}"/>
    <cellStyle name="Comma 4 2 2 3 9 2 3" xfId="35123" xr:uid="{44EBFE91-7BD2-454A-A33D-7410541480E1}"/>
    <cellStyle name="Comma 4 2 2 3 9 3" xfId="13219" xr:uid="{5EF94BCC-271B-4D13-911E-22ED6B27E2AC}"/>
    <cellStyle name="Comma 4 2 2 3 9 3 2" xfId="49727" xr:uid="{10BB5C53-E328-4A44-A3EE-ADAEB116FF99}"/>
    <cellStyle name="Comma 4 2 2 3 9 3 3" xfId="31473" xr:uid="{1438C1DB-12DD-40EA-9EFC-752E2B4AD9C8}"/>
    <cellStyle name="Comma 4 2 2 3 9 4" xfId="9569" xr:uid="{C975BF1E-549B-4AB0-AF55-CE886BCB268A}"/>
    <cellStyle name="Comma 4 2 2 3 9 4 2" xfId="46077" xr:uid="{7DFEB24D-327A-42E9-9E87-8789E20C13AF}"/>
    <cellStyle name="Comma 4 2 2 3 9 4 3" xfId="27823" xr:uid="{09A949DE-CB68-483D-B8E8-909C077E9A8C}"/>
    <cellStyle name="Comma 4 2 2 3 9 5" xfId="5919" xr:uid="{C92A9B4D-A59F-4927-B2A5-A8BF82A11B6F}"/>
    <cellStyle name="Comma 4 2 2 3 9 5 2" xfId="42427" xr:uid="{7B4033C0-47FD-479B-B235-0DA00352553C}"/>
    <cellStyle name="Comma 4 2 2 3 9 5 3" xfId="24173" xr:uid="{15D21788-1F10-4220-A83D-91DEC0459ECD}"/>
    <cellStyle name="Comma 4 2 2 3 9 6" xfId="38777" xr:uid="{0D061C4C-3CDE-488A-AE0E-44177E746055}"/>
    <cellStyle name="Comma 4 2 2 3 9 7" xfId="20523" xr:uid="{DEF97A24-27FC-4A62-B3BE-4DA530A9DDA2}"/>
    <cellStyle name="Comma 4 2 2 4" xfId="671" xr:uid="{8245E337-85A5-4284-B58F-DF2D84C1D840}"/>
    <cellStyle name="Comma 4 2 2 4 10" xfId="37179" xr:uid="{60FBFFB3-515F-4EC7-8C5B-38842862B0E6}"/>
    <cellStyle name="Comma 4 2 2 4 11" xfId="18925" xr:uid="{8AB84AB6-5D0B-4016-A12D-2E5A4D702CA7}"/>
    <cellStyle name="Comma 4 2 2 4 2" xfId="3591" xr:uid="{A0EF4F1D-7CB3-4F99-80FD-E89598D04636}"/>
    <cellStyle name="Comma 4 2 2 4 2 2" xfId="18191" xr:uid="{457808D3-5ACF-4697-B402-86ED5D4CBEDC}"/>
    <cellStyle name="Comma 4 2 2 4 2 2 2" xfId="54699" xr:uid="{B2AC2466-3FA4-46C0-ABCF-8CB5E2A9A278}"/>
    <cellStyle name="Comma 4 2 2 4 2 2 3" xfId="36445" xr:uid="{FB531BFF-ED0A-4628-BC5B-6167B56FAB60}"/>
    <cellStyle name="Comma 4 2 2 4 2 3" xfId="14541" xr:uid="{31D57240-3C8D-483D-9C0D-243A43F42201}"/>
    <cellStyle name="Comma 4 2 2 4 2 3 2" xfId="51049" xr:uid="{AF8A955E-7AE4-4722-BB62-05957E0765D6}"/>
    <cellStyle name="Comma 4 2 2 4 2 3 3" xfId="32795" xr:uid="{7B424EF1-6BA8-4F06-842C-89E0A8F7B276}"/>
    <cellStyle name="Comma 4 2 2 4 2 4" xfId="10891" xr:uid="{F57B72AD-199D-4E0B-BA2A-2A1D9ED7524E}"/>
    <cellStyle name="Comma 4 2 2 4 2 4 2" xfId="47399" xr:uid="{354B9188-DB8E-445A-BD0B-807EC1B7F179}"/>
    <cellStyle name="Comma 4 2 2 4 2 4 3" xfId="29145" xr:uid="{9E04362C-9282-4A2B-AB27-6C1B45AAB7BA}"/>
    <cellStyle name="Comma 4 2 2 4 2 5" xfId="7241" xr:uid="{B87B84A6-B09F-4E4C-B87C-DF35F3F46C23}"/>
    <cellStyle name="Comma 4 2 2 4 2 5 2" xfId="43749" xr:uid="{74F4732D-21B8-497B-8ED2-CDE30E093460}"/>
    <cellStyle name="Comma 4 2 2 4 2 5 3" xfId="25495" xr:uid="{B155FDC6-3166-4D5F-8D12-6EBEADDB52B0}"/>
    <cellStyle name="Comma 4 2 2 4 2 6" xfId="40099" xr:uid="{5AE097A4-DC4D-4C76-93E9-27802D77DA5C}"/>
    <cellStyle name="Comma 4 2 2 4 2 7" xfId="21845" xr:uid="{403E2D46-BC1A-40B8-ABFD-ACC79D0B4B1F}"/>
    <cellStyle name="Comma 4 2 2 4 3" xfId="2861" xr:uid="{297F8446-DD8B-4561-A6D6-421C88C07337}"/>
    <cellStyle name="Comma 4 2 2 4 3 2" xfId="17461" xr:uid="{13A9E832-011B-42F4-95BE-584B7E700C3B}"/>
    <cellStyle name="Comma 4 2 2 4 3 2 2" xfId="53969" xr:uid="{ABE53D52-9978-4D6A-86DA-198EB0817E44}"/>
    <cellStyle name="Comma 4 2 2 4 3 2 3" xfId="35715" xr:uid="{AB803590-20B5-46A1-B934-C3F4FDD9F850}"/>
    <cellStyle name="Comma 4 2 2 4 3 3" xfId="13811" xr:uid="{B576DEB1-6BFF-4E75-928C-7DF1ABDF7989}"/>
    <cellStyle name="Comma 4 2 2 4 3 3 2" xfId="50319" xr:uid="{F661A61C-D717-4165-A6A4-A4AD4AC8CA12}"/>
    <cellStyle name="Comma 4 2 2 4 3 3 3" xfId="32065" xr:uid="{DEBCC909-FBBF-4208-A50E-DBDC92CD6B32}"/>
    <cellStyle name="Comma 4 2 2 4 3 4" xfId="10161" xr:uid="{9425F9C3-E735-4EFB-B214-C9315722C3FA}"/>
    <cellStyle name="Comma 4 2 2 4 3 4 2" xfId="46669" xr:uid="{0363EE29-A0F0-4A49-B919-8A19FC8D942E}"/>
    <cellStyle name="Comma 4 2 2 4 3 4 3" xfId="28415" xr:uid="{B3428315-64D4-4E26-8DD9-9891FE8A4184}"/>
    <cellStyle name="Comma 4 2 2 4 3 5" xfId="6511" xr:uid="{87D8CC3C-DE06-459C-A77B-57323C381865}"/>
    <cellStyle name="Comma 4 2 2 4 3 5 2" xfId="43019" xr:uid="{52855BD0-C93E-4D17-A987-70EAB7408739}"/>
    <cellStyle name="Comma 4 2 2 4 3 5 3" xfId="24765" xr:uid="{BF902F3B-C4E0-4AF4-96C8-CC230EA1BF48}"/>
    <cellStyle name="Comma 4 2 2 4 3 6" xfId="39369" xr:uid="{974E9E85-CCFE-41C7-A78A-1793F05591D8}"/>
    <cellStyle name="Comma 4 2 2 4 3 7" xfId="21115" xr:uid="{940883C5-A39E-46B4-8B9F-1365B2178239}"/>
    <cellStyle name="Comma 4 2 2 4 4" xfId="2131" xr:uid="{B1CE35C8-C493-4B93-A05D-72C5B6330B41}"/>
    <cellStyle name="Comma 4 2 2 4 4 2" xfId="16731" xr:uid="{48FC0E21-A557-4F99-9E23-C55D2FDC2A8B}"/>
    <cellStyle name="Comma 4 2 2 4 4 2 2" xfId="53239" xr:uid="{D3553C65-2550-474A-9557-8F1F11067FE1}"/>
    <cellStyle name="Comma 4 2 2 4 4 2 3" xfId="34985" xr:uid="{C68B7099-BFB2-45A9-A175-9ED0755D6AB7}"/>
    <cellStyle name="Comma 4 2 2 4 4 3" xfId="13081" xr:uid="{A361EB28-43B3-4460-83CD-A887BDF1A4EC}"/>
    <cellStyle name="Comma 4 2 2 4 4 3 2" xfId="49589" xr:uid="{BF449586-49D8-40F8-96A4-CB30AB1C7AB9}"/>
    <cellStyle name="Comma 4 2 2 4 4 3 3" xfId="31335" xr:uid="{7D9EFDBE-CC91-4B81-83A9-FA37F274E9F3}"/>
    <cellStyle name="Comma 4 2 2 4 4 4" xfId="9431" xr:uid="{0348F60E-FEB4-401B-94AA-AE62D5C45EA2}"/>
    <cellStyle name="Comma 4 2 2 4 4 4 2" xfId="45939" xr:uid="{D5FF34A8-82DC-4855-8571-BF262C089FA3}"/>
    <cellStyle name="Comma 4 2 2 4 4 4 3" xfId="27685" xr:uid="{8C9256D1-6EF4-4BE3-AF48-E1B8D235864E}"/>
    <cellStyle name="Comma 4 2 2 4 4 5" xfId="5781" xr:uid="{DAD2F79D-7B56-4B5C-94EE-00A1230A9941}"/>
    <cellStyle name="Comma 4 2 2 4 4 5 2" xfId="42289" xr:uid="{45903444-B1EF-4228-8EEB-586E6F2A06DD}"/>
    <cellStyle name="Comma 4 2 2 4 4 5 3" xfId="24035" xr:uid="{0602DE83-D8AC-4A5C-AF9C-85CA8407DE68}"/>
    <cellStyle name="Comma 4 2 2 4 4 6" xfId="38639" xr:uid="{259F6705-DF00-4483-9941-C64705E562D8}"/>
    <cellStyle name="Comma 4 2 2 4 4 7" xfId="20385" xr:uid="{F7AE318D-36B7-4CA2-ADC4-08E2B737142C}"/>
    <cellStyle name="Comma 4 2 2 4 5" xfId="1401" xr:uid="{633739A5-DFA5-459F-9A94-79E7B3B7844C}"/>
    <cellStyle name="Comma 4 2 2 4 5 2" xfId="16001" xr:uid="{EBFC8EB9-50BD-47A3-A356-86BCED9C22AB}"/>
    <cellStyle name="Comma 4 2 2 4 5 2 2" xfId="52509" xr:uid="{E0534534-1173-4B67-AC88-5D94914937F7}"/>
    <cellStyle name="Comma 4 2 2 4 5 2 3" xfId="34255" xr:uid="{00E2E258-878A-4359-A11E-98A4C20C2B72}"/>
    <cellStyle name="Comma 4 2 2 4 5 3" xfId="12351" xr:uid="{9EAFEC4F-9892-4A65-82B2-572039774B4D}"/>
    <cellStyle name="Comma 4 2 2 4 5 3 2" xfId="48859" xr:uid="{5E49DD6D-D761-4752-A305-A5727350C26D}"/>
    <cellStyle name="Comma 4 2 2 4 5 3 3" xfId="30605" xr:uid="{B2E7AE16-19AE-4C3F-80C7-89A85A4E4F17}"/>
    <cellStyle name="Comma 4 2 2 4 5 4" xfId="8701" xr:uid="{1385272A-5617-46F7-BFF7-5AC418DF2A15}"/>
    <cellStyle name="Comma 4 2 2 4 5 4 2" xfId="45209" xr:uid="{89594522-6567-44AC-9DC4-785DDE24ED32}"/>
    <cellStyle name="Comma 4 2 2 4 5 4 3" xfId="26955" xr:uid="{F7132275-4EF2-47C7-9D5F-07BBA60E338C}"/>
    <cellStyle name="Comma 4 2 2 4 5 5" xfId="5051" xr:uid="{608EC380-2590-405B-A1B9-A0BDF7D1C69E}"/>
    <cellStyle name="Comma 4 2 2 4 5 5 2" xfId="41559" xr:uid="{412F071E-9DC4-4A06-BA3A-24D090C53E60}"/>
    <cellStyle name="Comma 4 2 2 4 5 5 3" xfId="23305" xr:uid="{C07D4C74-73D8-4711-ACBD-6829CB2DA91F}"/>
    <cellStyle name="Comma 4 2 2 4 5 6" xfId="37909" xr:uid="{8A15313B-2151-44A3-B571-29974F809B1F}"/>
    <cellStyle name="Comma 4 2 2 4 5 7" xfId="19655" xr:uid="{7C900988-3C9C-4FF6-AB26-F2AFD386BF9E}"/>
    <cellStyle name="Comma 4 2 2 4 6" xfId="15271" xr:uid="{64D2AE99-348B-4B72-BD1C-0DD47A291753}"/>
    <cellStyle name="Comma 4 2 2 4 6 2" xfId="51779" xr:uid="{E1D03E80-F480-4685-BA04-1E3C06C5BBD4}"/>
    <cellStyle name="Comma 4 2 2 4 6 3" xfId="33525" xr:uid="{88BD5663-2ED8-4EA2-AD97-47170863F682}"/>
    <cellStyle name="Comma 4 2 2 4 7" xfId="11621" xr:uid="{D2F00DDB-5ADC-457D-929C-FA238E20856F}"/>
    <cellStyle name="Comma 4 2 2 4 7 2" xfId="48129" xr:uid="{31384B58-A0DC-4F64-9D50-B44DE3A5170B}"/>
    <cellStyle name="Comma 4 2 2 4 7 3" xfId="29875" xr:uid="{CC27193B-CFB7-4C05-9E9F-8018FA8E26E5}"/>
    <cellStyle name="Comma 4 2 2 4 8" xfId="7971" xr:uid="{7E28691A-6B07-40DC-BFF7-2B4CDB64B6D0}"/>
    <cellStyle name="Comma 4 2 2 4 8 2" xfId="44479" xr:uid="{93461F24-BFEC-47AE-822A-4CBF92FBA64E}"/>
    <cellStyle name="Comma 4 2 2 4 8 3" xfId="26225" xr:uid="{89762D7F-34CD-4C91-A8FA-045E08F3A619}"/>
    <cellStyle name="Comma 4 2 2 4 9" xfId="4321" xr:uid="{BB420712-7560-4C62-998E-CAB0388CABDF}"/>
    <cellStyle name="Comma 4 2 2 4 9 2" xfId="40829" xr:uid="{4721E858-608F-4909-9E02-3A0142E77798}"/>
    <cellStyle name="Comma 4 2 2 4 9 3" xfId="22575" xr:uid="{EBD8FC46-471F-41C3-95FD-D895428EB6A6}"/>
    <cellStyle name="Comma 4 2 2 5" xfId="567" xr:uid="{8402645C-B975-4A71-8BB0-B5599727BF47}"/>
    <cellStyle name="Comma 4 2 2 5 10" xfId="37075" xr:uid="{C5497A94-BDC0-46CD-94ED-6963EFB03564}"/>
    <cellStyle name="Comma 4 2 2 5 11" xfId="18821" xr:uid="{7E5FB41F-7DDE-4289-99BA-BFABA6138729}"/>
    <cellStyle name="Comma 4 2 2 5 2" xfId="3487" xr:uid="{8909BAF3-8FF4-41C3-8E1B-2C66A72FF08A}"/>
    <cellStyle name="Comma 4 2 2 5 2 2" xfId="18087" xr:uid="{77FA35EC-2E23-4F06-AFAD-D00B626B9C19}"/>
    <cellStyle name="Comma 4 2 2 5 2 2 2" xfId="54595" xr:uid="{E12F16F0-1BC3-4997-A0BB-978A389C2F7F}"/>
    <cellStyle name="Comma 4 2 2 5 2 2 3" xfId="36341" xr:uid="{826F95CE-DECF-4AAA-A048-0872D01BCF4B}"/>
    <cellStyle name="Comma 4 2 2 5 2 3" xfId="14437" xr:uid="{4105D2BC-0BE3-41CC-A638-B2511673E9A0}"/>
    <cellStyle name="Comma 4 2 2 5 2 3 2" xfId="50945" xr:uid="{F53CE9F1-06CB-40E5-B0DC-A74B1F53ED08}"/>
    <cellStyle name="Comma 4 2 2 5 2 3 3" xfId="32691" xr:uid="{6EED8EA1-C48F-4FBF-ABCB-DCF88CFC155F}"/>
    <cellStyle name="Comma 4 2 2 5 2 4" xfId="10787" xr:uid="{839BA7DC-3C8C-4525-8A04-D9194189DFA5}"/>
    <cellStyle name="Comma 4 2 2 5 2 4 2" xfId="47295" xr:uid="{55570258-CB78-431C-B3A6-540D82B46F9C}"/>
    <cellStyle name="Comma 4 2 2 5 2 4 3" xfId="29041" xr:uid="{069979C2-7876-40DD-BD66-52844992ADD0}"/>
    <cellStyle name="Comma 4 2 2 5 2 5" xfId="7137" xr:uid="{05530147-D779-4BEE-9928-DC0ABE7CD992}"/>
    <cellStyle name="Comma 4 2 2 5 2 5 2" xfId="43645" xr:uid="{39D18C5E-7EDF-4996-8239-E609B648C7E6}"/>
    <cellStyle name="Comma 4 2 2 5 2 5 3" xfId="25391" xr:uid="{3B5F2862-8A89-437A-A040-E22260B7E34E}"/>
    <cellStyle name="Comma 4 2 2 5 2 6" xfId="39995" xr:uid="{1E580F90-98D7-4E8D-9A3B-C78FD910E929}"/>
    <cellStyle name="Comma 4 2 2 5 2 7" xfId="21741" xr:uid="{AC1C1867-8277-4D23-A6BB-2BA5EF0A9577}"/>
    <cellStyle name="Comma 4 2 2 5 3" xfId="2757" xr:uid="{DB3DC89C-1C0C-49D0-8BA1-6AD95B6884B5}"/>
    <cellStyle name="Comma 4 2 2 5 3 2" xfId="17357" xr:uid="{1DF863BF-D36D-47D7-8338-08C90569100F}"/>
    <cellStyle name="Comma 4 2 2 5 3 2 2" xfId="53865" xr:uid="{5F12C215-5963-40F3-946A-EB93F9C49909}"/>
    <cellStyle name="Comma 4 2 2 5 3 2 3" xfId="35611" xr:uid="{716183CA-449E-4B4B-A6A6-8CB00C09E6C6}"/>
    <cellStyle name="Comma 4 2 2 5 3 3" xfId="13707" xr:uid="{CB159DF7-7700-4C0C-B720-8D14E201CAEF}"/>
    <cellStyle name="Comma 4 2 2 5 3 3 2" xfId="50215" xr:uid="{6D95CAA6-E4C7-4070-90B0-79682B219672}"/>
    <cellStyle name="Comma 4 2 2 5 3 3 3" xfId="31961" xr:uid="{F826477C-37B7-4D94-B7D7-EFE89D3F66F6}"/>
    <cellStyle name="Comma 4 2 2 5 3 4" xfId="10057" xr:uid="{8CE21E57-620D-4B0F-A4F0-949772883160}"/>
    <cellStyle name="Comma 4 2 2 5 3 4 2" xfId="46565" xr:uid="{4188EC8A-0B36-459E-BE60-DFD467C26973}"/>
    <cellStyle name="Comma 4 2 2 5 3 4 3" xfId="28311" xr:uid="{99C1173A-2FFA-4906-BDAC-EB45CFFCC458}"/>
    <cellStyle name="Comma 4 2 2 5 3 5" xfId="6407" xr:uid="{7BE52E4A-645F-4424-BDF2-A31D751FC52A}"/>
    <cellStyle name="Comma 4 2 2 5 3 5 2" xfId="42915" xr:uid="{A5F5BE63-14F2-474E-AF2F-341CF9B7ADA0}"/>
    <cellStyle name="Comma 4 2 2 5 3 5 3" xfId="24661" xr:uid="{7046DAA8-C112-4642-A4A9-5E5C6878C120}"/>
    <cellStyle name="Comma 4 2 2 5 3 6" xfId="39265" xr:uid="{34675A53-A66A-46CF-A6DE-2C9AF9A1CA2A}"/>
    <cellStyle name="Comma 4 2 2 5 3 7" xfId="21011" xr:uid="{0B485848-CFA3-4549-8960-C4800A6FC4D0}"/>
    <cellStyle name="Comma 4 2 2 5 4" xfId="2027" xr:uid="{8A1307B1-3AF5-4EA5-9E32-0C965A6164E0}"/>
    <cellStyle name="Comma 4 2 2 5 4 2" xfId="16627" xr:uid="{B4CD09CF-31EB-4BE7-BBF7-0BCA6C0D488E}"/>
    <cellStyle name="Comma 4 2 2 5 4 2 2" xfId="53135" xr:uid="{8E44B975-3957-4EE0-854C-19F43EF7F0D1}"/>
    <cellStyle name="Comma 4 2 2 5 4 2 3" xfId="34881" xr:uid="{9D0E3364-AA9E-47DC-95ED-331D0DF30A4E}"/>
    <cellStyle name="Comma 4 2 2 5 4 3" xfId="12977" xr:uid="{4671DC97-E36A-43A9-AE92-6C5407B7F0A9}"/>
    <cellStyle name="Comma 4 2 2 5 4 3 2" xfId="49485" xr:uid="{1769E900-09CB-4E1D-A70B-F91BE25B45C4}"/>
    <cellStyle name="Comma 4 2 2 5 4 3 3" xfId="31231" xr:uid="{A06D6998-078B-4D90-BEED-952E45390015}"/>
    <cellStyle name="Comma 4 2 2 5 4 4" xfId="9327" xr:uid="{FED57144-333B-4C2F-8E41-6DAFF1674112}"/>
    <cellStyle name="Comma 4 2 2 5 4 4 2" xfId="45835" xr:uid="{8CD8BE91-4A74-4EC8-B854-C717E3A42ABC}"/>
    <cellStyle name="Comma 4 2 2 5 4 4 3" xfId="27581" xr:uid="{2394D8E1-D573-417E-8976-8B8828CBA34E}"/>
    <cellStyle name="Comma 4 2 2 5 4 5" xfId="5677" xr:uid="{A08271B8-7C46-4777-B3CA-C957F13E2774}"/>
    <cellStyle name="Comma 4 2 2 5 4 5 2" xfId="42185" xr:uid="{81DDAC73-2E0A-4596-B6C9-2219AD636535}"/>
    <cellStyle name="Comma 4 2 2 5 4 5 3" xfId="23931" xr:uid="{3BD0ADDB-9B9C-4C95-9CAF-406905DD27F9}"/>
    <cellStyle name="Comma 4 2 2 5 4 6" xfId="38535" xr:uid="{B2B1FAAB-F78D-4279-AE69-1343616E6661}"/>
    <cellStyle name="Comma 4 2 2 5 4 7" xfId="20281" xr:uid="{3EFF20C6-CEBD-4C48-81E1-5B561FF6B38F}"/>
    <cellStyle name="Comma 4 2 2 5 5" xfId="1297" xr:uid="{EFEE28B2-F703-4A18-816C-91588C80047A}"/>
    <cellStyle name="Comma 4 2 2 5 5 2" xfId="15897" xr:uid="{E15AFEE8-E204-44FC-81A7-DF601D7DCF0F}"/>
    <cellStyle name="Comma 4 2 2 5 5 2 2" xfId="52405" xr:uid="{F059CEAC-5AF1-4A4E-8B48-32F3DD5605A3}"/>
    <cellStyle name="Comma 4 2 2 5 5 2 3" xfId="34151" xr:uid="{D44A24B5-B117-40A7-AAF0-B61628D03AF1}"/>
    <cellStyle name="Comma 4 2 2 5 5 3" xfId="12247" xr:uid="{FDC7F1E1-588B-49E5-873B-F78C2DB53AF6}"/>
    <cellStyle name="Comma 4 2 2 5 5 3 2" xfId="48755" xr:uid="{7AADF9B9-0E1E-49AB-B275-887B7F12B48F}"/>
    <cellStyle name="Comma 4 2 2 5 5 3 3" xfId="30501" xr:uid="{506FDABD-6A9E-4D8B-AD8A-7CF9FF7AC3AA}"/>
    <cellStyle name="Comma 4 2 2 5 5 4" xfId="8597" xr:uid="{C79FE80E-4437-469D-9CFA-6FD752E7327E}"/>
    <cellStyle name="Comma 4 2 2 5 5 4 2" xfId="45105" xr:uid="{3C850E27-CC04-4D30-80AF-D8D9DBA727CE}"/>
    <cellStyle name="Comma 4 2 2 5 5 4 3" xfId="26851" xr:uid="{9651B109-C5BE-4CA9-B743-D5641AD7003E}"/>
    <cellStyle name="Comma 4 2 2 5 5 5" xfId="4947" xr:uid="{1488B7AD-5661-43CE-AEF2-CB0953B209AA}"/>
    <cellStyle name="Comma 4 2 2 5 5 5 2" xfId="41455" xr:uid="{A7060414-E031-4049-9E32-CEF81C4FF9DB}"/>
    <cellStyle name="Comma 4 2 2 5 5 5 3" xfId="23201" xr:uid="{41E68BA5-4464-4A9A-8EA5-D15B11F84783}"/>
    <cellStyle name="Comma 4 2 2 5 5 6" xfId="37805" xr:uid="{606FE11B-5CBF-4F47-8704-830515B67D79}"/>
    <cellStyle name="Comma 4 2 2 5 5 7" xfId="19551" xr:uid="{5F1DCB19-8E64-4AAE-AF41-BBB349C2ACEC}"/>
    <cellStyle name="Comma 4 2 2 5 6" xfId="15167" xr:uid="{165B0335-9B32-4E4E-B24F-1FB1A281F028}"/>
    <cellStyle name="Comma 4 2 2 5 6 2" xfId="51675" xr:uid="{336149A1-2642-4F63-B5EB-42A604A872F4}"/>
    <cellStyle name="Comma 4 2 2 5 6 3" xfId="33421" xr:uid="{EE7594F1-0F49-46BB-9AEF-5320744A980F}"/>
    <cellStyle name="Comma 4 2 2 5 7" xfId="11517" xr:uid="{1475D8CD-40DC-44ED-8562-CA54865C9ED1}"/>
    <cellStyle name="Comma 4 2 2 5 7 2" xfId="48025" xr:uid="{2943327B-87C8-4941-B1C3-5D7D52C61DA4}"/>
    <cellStyle name="Comma 4 2 2 5 7 3" xfId="29771" xr:uid="{DEB28EDE-674F-48A7-A40D-8900E978915D}"/>
    <cellStyle name="Comma 4 2 2 5 8" xfId="7867" xr:uid="{1E1CE729-EF92-4ECF-A43D-0DDBCCEE16CE}"/>
    <cellStyle name="Comma 4 2 2 5 8 2" xfId="44375" xr:uid="{BAE2FBD8-70B4-4727-BCC8-F4655311F0D9}"/>
    <cellStyle name="Comma 4 2 2 5 8 3" xfId="26121" xr:uid="{5760E53E-49CC-4810-B75F-4C083E93C7B7}"/>
    <cellStyle name="Comma 4 2 2 5 9" xfId="4217" xr:uid="{0E1E01C6-35C6-407B-9018-0308240E711F}"/>
    <cellStyle name="Comma 4 2 2 5 9 2" xfId="40725" xr:uid="{2E00308D-09ED-4C4B-A5D5-2659B7390953}"/>
    <cellStyle name="Comma 4 2 2 5 9 3" xfId="22471" xr:uid="{20B639C5-A42E-4841-BAD7-8537840BD36B}"/>
    <cellStyle name="Comma 4 2 2 6" xfId="463" xr:uid="{5313669F-82D0-41AD-9E50-288E4994A024}"/>
    <cellStyle name="Comma 4 2 2 6 10" xfId="36971" xr:uid="{36B0AD3A-1A38-4EBE-AF0D-28E828708552}"/>
    <cellStyle name="Comma 4 2 2 6 11" xfId="18717" xr:uid="{5F1406BB-AC7E-498C-8795-C663C86A87D0}"/>
    <cellStyle name="Comma 4 2 2 6 2" xfId="3383" xr:uid="{12DCBF01-17C0-42A9-9450-C3C964E575B8}"/>
    <cellStyle name="Comma 4 2 2 6 2 2" xfId="17983" xr:uid="{3797CED8-92C3-43D3-8E46-B77E9DCE1CF3}"/>
    <cellStyle name="Comma 4 2 2 6 2 2 2" xfId="54491" xr:uid="{16E8BED4-3FC3-43B0-A41E-A486A93258F3}"/>
    <cellStyle name="Comma 4 2 2 6 2 2 3" xfId="36237" xr:uid="{5B734352-413C-4BFB-9DFA-8CB8EC7E6813}"/>
    <cellStyle name="Comma 4 2 2 6 2 3" xfId="14333" xr:uid="{880D4D74-6020-4D2C-8B02-E6ABD5B82D03}"/>
    <cellStyle name="Comma 4 2 2 6 2 3 2" xfId="50841" xr:uid="{4DB6BEF7-18DE-40CE-8B41-B62247026F73}"/>
    <cellStyle name="Comma 4 2 2 6 2 3 3" xfId="32587" xr:uid="{4CE219C6-EB05-471A-A7CF-29D5DFCF48F3}"/>
    <cellStyle name="Comma 4 2 2 6 2 4" xfId="10683" xr:uid="{369CCEE1-228F-4FBC-8A00-B4583E7C38C7}"/>
    <cellStyle name="Comma 4 2 2 6 2 4 2" xfId="47191" xr:uid="{887CAE4B-D3A3-416A-B34E-6B786D46E36E}"/>
    <cellStyle name="Comma 4 2 2 6 2 4 3" xfId="28937" xr:uid="{F121B89D-77BF-4B30-83D5-39E7D5540626}"/>
    <cellStyle name="Comma 4 2 2 6 2 5" xfId="7033" xr:uid="{FABB4E3C-23A4-4A61-A3F8-D80E82AAE1CA}"/>
    <cellStyle name="Comma 4 2 2 6 2 5 2" xfId="43541" xr:uid="{141F0C52-3D40-4BC0-8341-848BB262042B}"/>
    <cellStyle name="Comma 4 2 2 6 2 5 3" xfId="25287" xr:uid="{C1FC40C2-19F2-4F1D-B278-3C39E65CF9D2}"/>
    <cellStyle name="Comma 4 2 2 6 2 6" xfId="39891" xr:uid="{20C42640-0932-4685-A5EA-F52085999F47}"/>
    <cellStyle name="Comma 4 2 2 6 2 7" xfId="21637" xr:uid="{1EE5DBBA-7240-40FC-9E9F-182CF5EDA59F}"/>
    <cellStyle name="Comma 4 2 2 6 3" xfId="2653" xr:uid="{F5BD5925-0A7D-4A07-B8AE-B7463246F08B}"/>
    <cellStyle name="Comma 4 2 2 6 3 2" xfId="17253" xr:uid="{386BEC9E-763E-4568-9EB6-759BAB3E0917}"/>
    <cellStyle name="Comma 4 2 2 6 3 2 2" xfId="53761" xr:uid="{2AACE449-1480-4598-9B23-9AFBA329DB3D}"/>
    <cellStyle name="Comma 4 2 2 6 3 2 3" xfId="35507" xr:uid="{37F63B6B-FFA7-4AB8-B14E-C5634BF3F3FF}"/>
    <cellStyle name="Comma 4 2 2 6 3 3" xfId="13603" xr:uid="{EDB7DCDC-ECDE-4EC8-83BA-A7F40E4FAFEA}"/>
    <cellStyle name="Comma 4 2 2 6 3 3 2" xfId="50111" xr:uid="{0F34377B-4FD2-48E9-9116-7C7AAB115337}"/>
    <cellStyle name="Comma 4 2 2 6 3 3 3" xfId="31857" xr:uid="{F89B76D1-366E-4F75-8B9C-0B998B904EEC}"/>
    <cellStyle name="Comma 4 2 2 6 3 4" xfId="9953" xr:uid="{12B641E2-987F-4883-A99D-FBB5FA0240CA}"/>
    <cellStyle name="Comma 4 2 2 6 3 4 2" xfId="46461" xr:uid="{D9EEBC5C-5AA0-469D-8EF4-0369F749C7F9}"/>
    <cellStyle name="Comma 4 2 2 6 3 4 3" xfId="28207" xr:uid="{654DC546-98BD-4D76-B729-DD040ABCC6A7}"/>
    <cellStyle name="Comma 4 2 2 6 3 5" xfId="6303" xr:uid="{B5CEBDD4-EF6E-45C3-B1D1-43B978B4250C}"/>
    <cellStyle name="Comma 4 2 2 6 3 5 2" xfId="42811" xr:uid="{4BBAF113-3396-4DE9-AFF9-4344B00EA8AF}"/>
    <cellStyle name="Comma 4 2 2 6 3 5 3" xfId="24557" xr:uid="{C2058E1B-D58D-42CF-8A6E-EF1E66AC7639}"/>
    <cellStyle name="Comma 4 2 2 6 3 6" xfId="39161" xr:uid="{F4C1C7F7-3BC1-4A5C-87CA-CA6BB1FBB34E}"/>
    <cellStyle name="Comma 4 2 2 6 3 7" xfId="20907" xr:uid="{6B29EEFB-EF7C-49E7-9504-BAF4A1D49766}"/>
    <cellStyle name="Comma 4 2 2 6 4" xfId="1923" xr:uid="{BCF243B6-51D2-4E79-8C2F-29B376D2CF0A}"/>
    <cellStyle name="Comma 4 2 2 6 4 2" xfId="16523" xr:uid="{00810714-47D3-475B-B108-26D601DE241F}"/>
    <cellStyle name="Comma 4 2 2 6 4 2 2" xfId="53031" xr:uid="{7B870FEF-55EF-466C-9879-3DC3295EF2BC}"/>
    <cellStyle name="Comma 4 2 2 6 4 2 3" xfId="34777" xr:uid="{4BAF7A71-5344-47F9-8ECD-B0A08C730CB7}"/>
    <cellStyle name="Comma 4 2 2 6 4 3" xfId="12873" xr:uid="{289956DB-BDB9-4928-AE27-885C4906CACB}"/>
    <cellStyle name="Comma 4 2 2 6 4 3 2" xfId="49381" xr:uid="{D03BD649-39FA-4A73-95CD-5F3C41CC5976}"/>
    <cellStyle name="Comma 4 2 2 6 4 3 3" xfId="31127" xr:uid="{ECB84DFB-F2E9-432C-9E1A-3F36797FE7C3}"/>
    <cellStyle name="Comma 4 2 2 6 4 4" xfId="9223" xr:uid="{B0B3BF2A-B248-4A45-94F8-BB666B013A02}"/>
    <cellStyle name="Comma 4 2 2 6 4 4 2" xfId="45731" xr:uid="{9E0808FB-871F-4D60-8B4E-0BC28CEC3DCE}"/>
    <cellStyle name="Comma 4 2 2 6 4 4 3" xfId="27477" xr:uid="{720D92A1-804C-4954-9282-EF17FDC23481}"/>
    <cellStyle name="Comma 4 2 2 6 4 5" xfId="5573" xr:uid="{C1000672-7425-43BD-8354-9F0ABE1744D6}"/>
    <cellStyle name="Comma 4 2 2 6 4 5 2" xfId="42081" xr:uid="{B621A3CB-9B40-4529-9D64-98E2E0EFC9CE}"/>
    <cellStyle name="Comma 4 2 2 6 4 5 3" xfId="23827" xr:uid="{1E288D21-47A8-4BD5-81CE-512656DB5AC7}"/>
    <cellStyle name="Comma 4 2 2 6 4 6" xfId="38431" xr:uid="{24A97E31-02E8-4020-B0A4-9AB4264E55C8}"/>
    <cellStyle name="Comma 4 2 2 6 4 7" xfId="20177" xr:uid="{05FD201D-F9E9-4E8D-89D1-D04B13271FA1}"/>
    <cellStyle name="Comma 4 2 2 6 5" xfId="1193" xr:uid="{7A26E507-7862-4236-BE13-F7AC481321AF}"/>
    <cellStyle name="Comma 4 2 2 6 5 2" xfId="15793" xr:uid="{1F7C8B7C-3F09-4D39-88C0-DBEA51C40390}"/>
    <cellStyle name="Comma 4 2 2 6 5 2 2" xfId="52301" xr:uid="{B162C7DC-7476-4E44-B5C9-DB2C863A2F6B}"/>
    <cellStyle name="Comma 4 2 2 6 5 2 3" xfId="34047" xr:uid="{F6A952DA-3F63-410B-A77E-CA807F28BE1F}"/>
    <cellStyle name="Comma 4 2 2 6 5 3" xfId="12143" xr:uid="{5304C8A5-A5E1-4212-ACBB-92930C40294E}"/>
    <cellStyle name="Comma 4 2 2 6 5 3 2" xfId="48651" xr:uid="{EB509F84-E156-4061-923A-1C86E6F7A89E}"/>
    <cellStyle name="Comma 4 2 2 6 5 3 3" xfId="30397" xr:uid="{AEEC6A70-9C56-4189-B361-164E02A4BBCA}"/>
    <cellStyle name="Comma 4 2 2 6 5 4" xfId="8493" xr:uid="{87490549-4F30-45A4-B717-B9DDF583F282}"/>
    <cellStyle name="Comma 4 2 2 6 5 4 2" xfId="45001" xr:uid="{7839EB04-ADA4-4053-9BC1-E4B966A2DFC2}"/>
    <cellStyle name="Comma 4 2 2 6 5 4 3" xfId="26747" xr:uid="{008AC501-DEE9-4074-AC9E-072F4C8002F7}"/>
    <cellStyle name="Comma 4 2 2 6 5 5" xfId="4843" xr:uid="{F4113BE9-2E04-40DC-8C26-3A15908FEBAB}"/>
    <cellStyle name="Comma 4 2 2 6 5 5 2" xfId="41351" xr:uid="{C1A86A8C-1932-47FE-A276-A3ACC6FF6D13}"/>
    <cellStyle name="Comma 4 2 2 6 5 5 3" xfId="23097" xr:uid="{974F2C97-2FD6-47CC-8BDC-871FEBFB0067}"/>
    <cellStyle name="Comma 4 2 2 6 5 6" xfId="37701" xr:uid="{2E33328F-1580-4DF2-85AC-081A0429FC7B}"/>
    <cellStyle name="Comma 4 2 2 6 5 7" xfId="19447" xr:uid="{7FBB9094-86BC-43FB-9494-FB4B0EB977FE}"/>
    <cellStyle name="Comma 4 2 2 6 6" xfId="15063" xr:uid="{BEA428AF-9E30-4352-8E51-0A72F0696F19}"/>
    <cellStyle name="Comma 4 2 2 6 6 2" xfId="51571" xr:uid="{B0FCC7F5-3201-4C5A-A933-31B4ED4503D5}"/>
    <cellStyle name="Comma 4 2 2 6 6 3" xfId="33317" xr:uid="{EDC1F3C9-2634-47EB-A71D-377AA9B12C18}"/>
    <cellStyle name="Comma 4 2 2 6 7" xfId="11413" xr:uid="{4FDCFFEE-FB62-44C5-A98B-FF98C58964EE}"/>
    <cellStyle name="Comma 4 2 2 6 7 2" xfId="47921" xr:uid="{571D70A8-FDFA-4938-9099-BA2CE04B6065}"/>
    <cellStyle name="Comma 4 2 2 6 7 3" xfId="29667" xr:uid="{46EC7586-6809-4E39-849B-1391BF37B816}"/>
    <cellStyle name="Comma 4 2 2 6 8" xfId="7763" xr:uid="{133F85DD-9C75-4D88-9A65-6897F226C1BA}"/>
    <cellStyle name="Comma 4 2 2 6 8 2" xfId="44271" xr:uid="{C629CFC8-CD8B-4183-915F-BC69231A5227}"/>
    <cellStyle name="Comma 4 2 2 6 8 3" xfId="26017" xr:uid="{3A0FDC66-958F-4289-B2F5-18894BA32A3E}"/>
    <cellStyle name="Comma 4 2 2 6 9" xfId="4113" xr:uid="{6EDBDF02-9C8E-488C-AC81-7A5FBBB81A6D}"/>
    <cellStyle name="Comma 4 2 2 6 9 2" xfId="40621" xr:uid="{D8683547-20A7-4F59-AAB9-BE221A0ED9BE}"/>
    <cellStyle name="Comma 4 2 2 6 9 3" xfId="22367" xr:uid="{D155609E-B207-4D8B-8ED8-616389421597}"/>
    <cellStyle name="Comma 4 2 2 7" xfId="359" xr:uid="{1B122486-C4E0-4216-92BE-69F5A3CE23AA}"/>
    <cellStyle name="Comma 4 2 2 7 10" xfId="36867" xr:uid="{9015410F-7253-4677-A461-FDB8FB77670A}"/>
    <cellStyle name="Comma 4 2 2 7 11" xfId="18613" xr:uid="{84521BCC-8F9E-43B2-A377-C4C34A89A2DE}"/>
    <cellStyle name="Comma 4 2 2 7 2" xfId="3279" xr:uid="{FB31392F-F44F-4079-B0BB-4D6CE913BB51}"/>
    <cellStyle name="Comma 4 2 2 7 2 2" xfId="17879" xr:uid="{BB490DF2-0149-45EF-A2F0-C36DFDA25E72}"/>
    <cellStyle name="Comma 4 2 2 7 2 2 2" xfId="54387" xr:uid="{2D680C00-4C10-46C7-90EA-D2247938B4CC}"/>
    <cellStyle name="Comma 4 2 2 7 2 2 3" xfId="36133" xr:uid="{A0F47C94-5CC2-43C4-898B-C958F6735F1D}"/>
    <cellStyle name="Comma 4 2 2 7 2 3" xfId="14229" xr:uid="{20833CC1-DBEA-43E4-BBBD-8EFBCCAB159C}"/>
    <cellStyle name="Comma 4 2 2 7 2 3 2" xfId="50737" xr:uid="{E832725B-668F-425F-B782-29D4F02A9C7D}"/>
    <cellStyle name="Comma 4 2 2 7 2 3 3" xfId="32483" xr:uid="{A022270B-C8E5-4B3F-B166-44D202F3ED1B}"/>
    <cellStyle name="Comma 4 2 2 7 2 4" xfId="10579" xr:uid="{AC084CB5-4DFC-4D78-85C2-E33B3BAC3712}"/>
    <cellStyle name="Comma 4 2 2 7 2 4 2" xfId="47087" xr:uid="{21D3105D-C252-485F-BD19-A06B14B2A57A}"/>
    <cellStyle name="Comma 4 2 2 7 2 4 3" xfId="28833" xr:uid="{FACEE66F-A187-4D27-A658-A623AA824C3C}"/>
    <cellStyle name="Comma 4 2 2 7 2 5" xfId="6929" xr:uid="{25D589F4-DD3B-4679-A167-20D1B827BA39}"/>
    <cellStyle name="Comma 4 2 2 7 2 5 2" xfId="43437" xr:uid="{5CAFE8B3-6A9A-4F0B-B2AD-90BFD3A83342}"/>
    <cellStyle name="Comma 4 2 2 7 2 5 3" xfId="25183" xr:uid="{00A47037-9915-43B2-BAAA-9DEBEDA4F064}"/>
    <cellStyle name="Comma 4 2 2 7 2 6" xfId="39787" xr:uid="{33759D2A-CBF5-4D74-BD18-83FA737CF0A7}"/>
    <cellStyle name="Comma 4 2 2 7 2 7" xfId="21533" xr:uid="{B9B3FF0C-B14D-473E-AA13-16B6783B602D}"/>
    <cellStyle name="Comma 4 2 2 7 3" xfId="2549" xr:uid="{2907C80E-5A22-411A-A6BC-3F8BA06DE2D4}"/>
    <cellStyle name="Comma 4 2 2 7 3 2" xfId="17149" xr:uid="{8B9C5859-F869-4A82-8299-15A2B7BCE694}"/>
    <cellStyle name="Comma 4 2 2 7 3 2 2" xfId="53657" xr:uid="{E862D71C-DBE5-42F7-B423-5F2E4D249093}"/>
    <cellStyle name="Comma 4 2 2 7 3 2 3" xfId="35403" xr:uid="{2ABB215D-791C-4EAB-92F6-BFCA975DCA2A}"/>
    <cellStyle name="Comma 4 2 2 7 3 3" xfId="13499" xr:uid="{21F5B6D5-CB7C-40BB-B207-9155805B6AF1}"/>
    <cellStyle name="Comma 4 2 2 7 3 3 2" xfId="50007" xr:uid="{E1DDF3A5-4368-4D47-8017-EDF7F857BD4B}"/>
    <cellStyle name="Comma 4 2 2 7 3 3 3" xfId="31753" xr:uid="{B48D1E40-40A0-415C-83FE-66136631FA18}"/>
    <cellStyle name="Comma 4 2 2 7 3 4" xfId="9849" xr:uid="{412010CE-FECF-48B8-A48B-136518A55E16}"/>
    <cellStyle name="Comma 4 2 2 7 3 4 2" xfId="46357" xr:uid="{9B51C140-E3B5-4E52-8415-1440080C13A7}"/>
    <cellStyle name="Comma 4 2 2 7 3 4 3" xfId="28103" xr:uid="{D48B2725-F292-4DCB-84F8-241680B26B56}"/>
    <cellStyle name="Comma 4 2 2 7 3 5" xfId="6199" xr:uid="{D2BAC875-2018-47D4-AD70-C56100296346}"/>
    <cellStyle name="Comma 4 2 2 7 3 5 2" xfId="42707" xr:uid="{02C122B9-03EA-4FB1-99E9-3EC5F6B50E8B}"/>
    <cellStyle name="Comma 4 2 2 7 3 5 3" xfId="24453" xr:uid="{69BF069A-47BE-4228-B9AB-DAD71A849FB3}"/>
    <cellStyle name="Comma 4 2 2 7 3 6" xfId="39057" xr:uid="{7FA0EBE9-7945-481D-9FC1-9983757D3E85}"/>
    <cellStyle name="Comma 4 2 2 7 3 7" xfId="20803" xr:uid="{C67C8C8C-6D60-47FA-91F5-7D0D9328C6CB}"/>
    <cellStyle name="Comma 4 2 2 7 4" xfId="1819" xr:uid="{74B1FC84-30A0-4E56-9353-5C346406B3DF}"/>
    <cellStyle name="Comma 4 2 2 7 4 2" xfId="16419" xr:uid="{109C1347-8360-4F61-B845-EB8106CFCA04}"/>
    <cellStyle name="Comma 4 2 2 7 4 2 2" xfId="52927" xr:uid="{224A5581-9FE4-4728-BA52-866B7025BB0A}"/>
    <cellStyle name="Comma 4 2 2 7 4 2 3" xfId="34673" xr:uid="{CC197618-783C-4F48-A64A-4A0FD1B55C24}"/>
    <cellStyle name="Comma 4 2 2 7 4 3" xfId="12769" xr:uid="{A9832503-6549-4C16-8768-A121E3C64F38}"/>
    <cellStyle name="Comma 4 2 2 7 4 3 2" xfId="49277" xr:uid="{FFCD124C-4A9A-4818-8AFD-5E3FAF5C1341}"/>
    <cellStyle name="Comma 4 2 2 7 4 3 3" xfId="31023" xr:uid="{46EFF7C5-5515-4169-AA88-9C8920A5C743}"/>
    <cellStyle name="Comma 4 2 2 7 4 4" xfId="9119" xr:uid="{250C5993-708B-4AF2-91DC-F8FD3504D1E3}"/>
    <cellStyle name="Comma 4 2 2 7 4 4 2" xfId="45627" xr:uid="{9F737869-51C8-4641-85B0-559D02DF46BC}"/>
    <cellStyle name="Comma 4 2 2 7 4 4 3" xfId="27373" xr:uid="{808E1A23-50D7-497C-9DF4-8493057FCF95}"/>
    <cellStyle name="Comma 4 2 2 7 4 5" xfId="5469" xr:uid="{997F603C-28BD-4A15-8611-2331626E0165}"/>
    <cellStyle name="Comma 4 2 2 7 4 5 2" xfId="41977" xr:uid="{45C51A18-E3D0-4AD2-8650-A9675BFCB356}"/>
    <cellStyle name="Comma 4 2 2 7 4 5 3" xfId="23723" xr:uid="{2E17104A-CC01-40D8-99DA-0C89F3C2EF16}"/>
    <cellStyle name="Comma 4 2 2 7 4 6" xfId="38327" xr:uid="{E03B3D59-07EA-4002-A6EB-0516CFFB73B1}"/>
    <cellStyle name="Comma 4 2 2 7 4 7" xfId="20073" xr:uid="{61075CAE-99A2-4183-82FD-FC1045535B43}"/>
    <cellStyle name="Comma 4 2 2 7 5" xfId="1089" xr:uid="{41CF5B69-A5E3-49A0-8DEE-FC641E12EA64}"/>
    <cellStyle name="Comma 4 2 2 7 5 2" xfId="15689" xr:uid="{542C57D6-E4A5-4926-AA50-9842C63DC39D}"/>
    <cellStyle name="Comma 4 2 2 7 5 2 2" xfId="52197" xr:uid="{4CF56A98-9453-4046-AE41-EE49D041C245}"/>
    <cellStyle name="Comma 4 2 2 7 5 2 3" xfId="33943" xr:uid="{9C9F7C86-90D3-4142-88B6-068D8B0A9648}"/>
    <cellStyle name="Comma 4 2 2 7 5 3" xfId="12039" xr:uid="{C662285F-473F-467C-9012-DBDE336C9F39}"/>
    <cellStyle name="Comma 4 2 2 7 5 3 2" xfId="48547" xr:uid="{1D8BBB94-724A-418B-9F49-692BAF159340}"/>
    <cellStyle name="Comma 4 2 2 7 5 3 3" xfId="30293" xr:uid="{969C5D36-FE53-4E95-B7EC-1AC6ADE842DD}"/>
    <cellStyle name="Comma 4 2 2 7 5 4" xfId="8389" xr:uid="{68DAA374-0A98-4B1A-A87D-30A9F4FEE465}"/>
    <cellStyle name="Comma 4 2 2 7 5 4 2" xfId="44897" xr:uid="{76E535F2-6610-47CE-9807-7717CFE88DD7}"/>
    <cellStyle name="Comma 4 2 2 7 5 4 3" xfId="26643" xr:uid="{44697108-E5E5-47AE-A413-5AF67ECDFF49}"/>
    <cellStyle name="Comma 4 2 2 7 5 5" xfId="4739" xr:uid="{6995781E-6401-4ABF-ADFA-0F61DB74892C}"/>
    <cellStyle name="Comma 4 2 2 7 5 5 2" xfId="41247" xr:uid="{54EC21AA-D295-4CA2-B07E-9AB771EA1D8F}"/>
    <cellStyle name="Comma 4 2 2 7 5 5 3" xfId="22993" xr:uid="{20309BC2-E154-4252-A766-8AB4EFC41B28}"/>
    <cellStyle name="Comma 4 2 2 7 5 6" xfId="37597" xr:uid="{9E8C804E-338B-43B1-B320-CBF7126AAD62}"/>
    <cellStyle name="Comma 4 2 2 7 5 7" xfId="19343" xr:uid="{60727693-1D67-4CE8-852D-A24F632FDED4}"/>
    <cellStyle name="Comma 4 2 2 7 6" xfId="14959" xr:uid="{9C886F2E-7CC3-4C47-8FA4-1500D733FE76}"/>
    <cellStyle name="Comma 4 2 2 7 6 2" xfId="51467" xr:uid="{83240CE3-08C8-4A17-9C9C-10A2D22994CF}"/>
    <cellStyle name="Comma 4 2 2 7 6 3" xfId="33213" xr:uid="{5DA8EBED-DF30-49FF-91E3-4DFFBE5FFC16}"/>
    <cellStyle name="Comma 4 2 2 7 7" xfId="11309" xr:uid="{13CA7AC8-598F-4150-BB7D-C2AAD13C4294}"/>
    <cellStyle name="Comma 4 2 2 7 7 2" xfId="47817" xr:uid="{674D1FBD-9EDF-414C-A6F7-6240D0E3531B}"/>
    <cellStyle name="Comma 4 2 2 7 7 3" xfId="29563" xr:uid="{CE708A22-C881-4924-B590-1A040B4383CA}"/>
    <cellStyle name="Comma 4 2 2 7 8" xfId="7659" xr:uid="{8993F16C-0FB3-470B-9B91-EC7464BA6BF6}"/>
    <cellStyle name="Comma 4 2 2 7 8 2" xfId="44167" xr:uid="{314C6BA2-2C58-4392-8667-05002F7344F4}"/>
    <cellStyle name="Comma 4 2 2 7 8 3" xfId="25913" xr:uid="{AD47FC11-7DAF-41DF-9808-ABF14C15F469}"/>
    <cellStyle name="Comma 4 2 2 7 9" xfId="4009" xr:uid="{4BAFB14C-254E-4FC7-9FD5-F613E76CD310}"/>
    <cellStyle name="Comma 4 2 2 7 9 2" xfId="40517" xr:uid="{181B6A69-B78B-41C0-94C7-93E768AC3763}"/>
    <cellStyle name="Comma 4 2 2 7 9 3" xfId="22263" xr:uid="{9B2891E6-CBD0-4C84-B280-4F1D252265AF}"/>
    <cellStyle name="Comma 4 2 2 8" xfId="255" xr:uid="{EF708899-1F38-4E0C-B8F9-5D726A008FAF}"/>
    <cellStyle name="Comma 4 2 2 8 10" xfId="36763" xr:uid="{FD179F12-A7F6-4B8F-AA9D-D0BB8E7EEA1E}"/>
    <cellStyle name="Comma 4 2 2 8 11" xfId="18509" xr:uid="{90E58A61-250B-4F5F-9A52-83E154C62DA6}"/>
    <cellStyle name="Comma 4 2 2 8 2" xfId="3175" xr:uid="{33DDEF96-CCE5-4FE8-83AB-25DA5E6E2F2A}"/>
    <cellStyle name="Comma 4 2 2 8 2 2" xfId="17775" xr:uid="{71175DD9-078D-428E-BB31-E1022C129AE9}"/>
    <cellStyle name="Comma 4 2 2 8 2 2 2" xfId="54283" xr:uid="{89D42181-FEB5-4A97-89EF-4D139FB8EF37}"/>
    <cellStyle name="Comma 4 2 2 8 2 2 3" xfId="36029" xr:uid="{B0461507-3BAC-4452-B3F5-7241F440D549}"/>
    <cellStyle name="Comma 4 2 2 8 2 3" xfId="14125" xr:uid="{FC1362F2-AD1F-4A90-84A5-63656BE4C1DD}"/>
    <cellStyle name="Comma 4 2 2 8 2 3 2" xfId="50633" xr:uid="{6403D162-1F44-4EEC-B812-41A1E43D5F0D}"/>
    <cellStyle name="Comma 4 2 2 8 2 3 3" xfId="32379" xr:uid="{007DB843-D669-4898-8B2F-99310E6806B4}"/>
    <cellStyle name="Comma 4 2 2 8 2 4" xfId="10475" xr:uid="{F6AC64F4-C49A-4CBA-89E0-613F19C3A086}"/>
    <cellStyle name="Comma 4 2 2 8 2 4 2" xfId="46983" xr:uid="{7A7211DA-4A3E-441A-AC9B-A75B857CBA10}"/>
    <cellStyle name="Comma 4 2 2 8 2 4 3" xfId="28729" xr:uid="{9D5220E5-C241-4E65-A65A-5D9F14048EAA}"/>
    <cellStyle name="Comma 4 2 2 8 2 5" xfId="6825" xr:uid="{747E0A65-C7D6-4DAD-9D04-6BE818406D53}"/>
    <cellStyle name="Comma 4 2 2 8 2 5 2" xfId="43333" xr:uid="{23D87909-9DC0-4289-A322-B956647D5DEF}"/>
    <cellStyle name="Comma 4 2 2 8 2 5 3" xfId="25079" xr:uid="{BC0A004D-E612-4436-A497-5864E75345A7}"/>
    <cellStyle name="Comma 4 2 2 8 2 6" xfId="39683" xr:uid="{34BB8604-1214-41AC-BADE-2E8C67632FA9}"/>
    <cellStyle name="Comma 4 2 2 8 2 7" xfId="21429" xr:uid="{3ED83D16-B765-43CB-BD93-12D0FDF447B9}"/>
    <cellStyle name="Comma 4 2 2 8 3" xfId="2445" xr:uid="{0EA472BD-5F8E-4CE1-8746-1AC697EF7FEB}"/>
    <cellStyle name="Comma 4 2 2 8 3 2" xfId="17045" xr:uid="{1F0E2C82-A39D-41AA-9116-6BA5B946CD16}"/>
    <cellStyle name="Comma 4 2 2 8 3 2 2" xfId="53553" xr:uid="{A080AE15-37F8-478B-9ED0-5A963060FB98}"/>
    <cellStyle name="Comma 4 2 2 8 3 2 3" xfId="35299" xr:uid="{D62E47A0-B642-4D82-9B0A-5B5C88551CCF}"/>
    <cellStyle name="Comma 4 2 2 8 3 3" xfId="13395" xr:uid="{B796868A-3B62-456B-8136-52089C1FAD41}"/>
    <cellStyle name="Comma 4 2 2 8 3 3 2" xfId="49903" xr:uid="{019EA5C3-7FDD-4EE4-8298-BE8781F04CC3}"/>
    <cellStyle name="Comma 4 2 2 8 3 3 3" xfId="31649" xr:uid="{798BEF9C-3517-437C-A47E-1270C7CD9679}"/>
    <cellStyle name="Comma 4 2 2 8 3 4" xfId="9745" xr:uid="{784CDB4E-A37A-40EA-A02B-52A86ED4E07D}"/>
    <cellStyle name="Comma 4 2 2 8 3 4 2" xfId="46253" xr:uid="{3879BBAE-F9E3-46FD-9355-36BB9319C068}"/>
    <cellStyle name="Comma 4 2 2 8 3 4 3" xfId="27999" xr:uid="{3E46BFBC-9888-4F5A-9993-854782907C4E}"/>
    <cellStyle name="Comma 4 2 2 8 3 5" xfId="6095" xr:uid="{CDD930E2-95C6-4D18-9687-DC6D10AFBBF4}"/>
    <cellStyle name="Comma 4 2 2 8 3 5 2" xfId="42603" xr:uid="{ED281B5E-AD2D-498D-9967-E46A47FAE329}"/>
    <cellStyle name="Comma 4 2 2 8 3 5 3" xfId="24349" xr:uid="{A47C6D7C-4809-45F5-AFE6-D760DE7D666D}"/>
    <cellStyle name="Comma 4 2 2 8 3 6" xfId="38953" xr:uid="{6A9FAE43-623D-44F2-92C5-5B82A7801D94}"/>
    <cellStyle name="Comma 4 2 2 8 3 7" xfId="20699" xr:uid="{46534F18-2FC2-4346-8A27-4DFEE13358BF}"/>
    <cellStyle name="Comma 4 2 2 8 4" xfId="1715" xr:uid="{9F686954-9C3F-4730-B28F-3E9C21CF69E6}"/>
    <cellStyle name="Comma 4 2 2 8 4 2" xfId="16315" xr:uid="{96318C57-8D08-4E96-9AD6-C3E3549843EE}"/>
    <cellStyle name="Comma 4 2 2 8 4 2 2" xfId="52823" xr:uid="{85B062DD-12DF-4A7D-8916-8D792800C8BD}"/>
    <cellStyle name="Comma 4 2 2 8 4 2 3" xfId="34569" xr:uid="{ADC1CDA4-8BD5-43C7-836F-5EE01D6D64E5}"/>
    <cellStyle name="Comma 4 2 2 8 4 3" xfId="12665" xr:uid="{101B0F03-C5E2-430F-B118-846B36E60456}"/>
    <cellStyle name="Comma 4 2 2 8 4 3 2" xfId="49173" xr:uid="{19A272F1-2E02-4A34-BE78-1F3476571F2A}"/>
    <cellStyle name="Comma 4 2 2 8 4 3 3" xfId="30919" xr:uid="{9944C4B6-5361-4F70-B69A-C5F41E8F1A09}"/>
    <cellStyle name="Comma 4 2 2 8 4 4" xfId="9015" xr:uid="{DE72473C-E07B-432F-A6AE-60910BF15A8E}"/>
    <cellStyle name="Comma 4 2 2 8 4 4 2" xfId="45523" xr:uid="{A452FB2E-A08E-4BD3-9DD4-2FD8D5C2C76A}"/>
    <cellStyle name="Comma 4 2 2 8 4 4 3" xfId="27269" xr:uid="{0599E850-B066-42B6-86DF-2D5C2F12D0D9}"/>
    <cellStyle name="Comma 4 2 2 8 4 5" xfId="5365" xr:uid="{5E09CEED-0216-46DA-82E9-ACCE14C9EA51}"/>
    <cellStyle name="Comma 4 2 2 8 4 5 2" xfId="41873" xr:uid="{E682AE9C-A252-4B6E-AE2A-49FB779A90F5}"/>
    <cellStyle name="Comma 4 2 2 8 4 5 3" xfId="23619" xr:uid="{79335E19-1726-49E0-87D6-EE72D61924AE}"/>
    <cellStyle name="Comma 4 2 2 8 4 6" xfId="38223" xr:uid="{6510250F-F2C6-41F6-ABE5-5B5ED6BA98E7}"/>
    <cellStyle name="Comma 4 2 2 8 4 7" xfId="19969" xr:uid="{11BCE866-DF99-4169-9011-E61791075227}"/>
    <cellStyle name="Comma 4 2 2 8 5" xfId="985" xr:uid="{81F502A3-2F4C-495F-8637-AA6DCDCFD963}"/>
    <cellStyle name="Comma 4 2 2 8 5 2" xfId="15585" xr:uid="{7E575838-E154-4E3D-ADE4-4D958493119F}"/>
    <cellStyle name="Comma 4 2 2 8 5 2 2" xfId="52093" xr:uid="{3211A69A-2D5A-46BE-81CB-8A94764E9005}"/>
    <cellStyle name="Comma 4 2 2 8 5 2 3" xfId="33839" xr:uid="{3C3F214A-AF69-4C57-8A7A-30EC10042C3F}"/>
    <cellStyle name="Comma 4 2 2 8 5 3" xfId="11935" xr:uid="{F8377A59-41EA-41E8-9387-F181C53F5F29}"/>
    <cellStyle name="Comma 4 2 2 8 5 3 2" xfId="48443" xr:uid="{1CA11EA1-B4FA-4EE9-B259-06A49BD27B34}"/>
    <cellStyle name="Comma 4 2 2 8 5 3 3" xfId="30189" xr:uid="{88ED5BA1-9A6F-4344-BC93-F60A436998CC}"/>
    <cellStyle name="Comma 4 2 2 8 5 4" xfId="8285" xr:uid="{E61F5361-AB8D-44F7-9EF8-F7C44F1CC526}"/>
    <cellStyle name="Comma 4 2 2 8 5 4 2" xfId="44793" xr:uid="{701D8C10-F611-48CB-9554-CAC49C83587B}"/>
    <cellStyle name="Comma 4 2 2 8 5 4 3" xfId="26539" xr:uid="{0F7E04CC-37E6-4B32-A323-DE315E71319A}"/>
    <cellStyle name="Comma 4 2 2 8 5 5" xfId="4635" xr:uid="{CAE65315-E436-446A-A17D-8A848C7663B1}"/>
    <cellStyle name="Comma 4 2 2 8 5 5 2" xfId="41143" xr:uid="{BB177DAC-A1EA-4448-A3A0-9219FAE63093}"/>
    <cellStyle name="Comma 4 2 2 8 5 5 3" xfId="22889" xr:uid="{E519C7D8-99C2-4821-9121-A80DB2109098}"/>
    <cellStyle name="Comma 4 2 2 8 5 6" xfId="37493" xr:uid="{7F24A54E-4199-45D6-AC0E-FB9EFBF60BF9}"/>
    <cellStyle name="Comma 4 2 2 8 5 7" xfId="19239" xr:uid="{E4647DF8-F7C6-464F-9F81-40FB062DC9ED}"/>
    <cellStyle name="Comma 4 2 2 8 6" xfId="14855" xr:uid="{BBCB4709-6715-4295-B20A-409A4FB4370E}"/>
    <cellStyle name="Comma 4 2 2 8 6 2" xfId="51363" xr:uid="{0F48063B-5F1F-4CFB-AA2F-E87523C968EB}"/>
    <cellStyle name="Comma 4 2 2 8 6 3" xfId="33109" xr:uid="{D6704158-E518-4A54-9D97-45EB5F981C3D}"/>
    <cellStyle name="Comma 4 2 2 8 7" xfId="11205" xr:uid="{7D2B5176-192D-4B8D-96E0-C9D1B2B5947D}"/>
    <cellStyle name="Comma 4 2 2 8 7 2" xfId="47713" xr:uid="{6979843B-C7F2-4B01-B237-6151009021B5}"/>
    <cellStyle name="Comma 4 2 2 8 7 3" xfId="29459" xr:uid="{427B1E31-FC73-437A-9790-A90175C134BD}"/>
    <cellStyle name="Comma 4 2 2 8 8" xfId="7555" xr:uid="{CF8BDC92-13B1-4A5D-B8D0-74F94520BB83}"/>
    <cellStyle name="Comma 4 2 2 8 8 2" xfId="44063" xr:uid="{3A3D04BD-F189-43A4-9DD7-238CF1D54861}"/>
    <cellStyle name="Comma 4 2 2 8 8 3" xfId="25809" xr:uid="{5DFFEFD6-088E-48B5-A52E-88C6450E3F1C}"/>
    <cellStyle name="Comma 4 2 2 8 9" xfId="3905" xr:uid="{C048D3CD-4538-4818-84AD-8BB6CC6C786D}"/>
    <cellStyle name="Comma 4 2 2 8 9 2" xfId="40413" xr:uid="{C57DF81B-083C-4F1B-8BAB-1FE701A2882D}"/>
    <cellStyle name="Comma 4 2 2 8 9 3" xfId="22159" xr:uid="{9E7181B0-4B63-422D-B116-91986A839AB7}"/>
    <cellStyle name="Comma 4 2 2 9" xfId="151" xr:uid="{2242719B-7D43-4C3A-A769-56E47517F572}"/>
    <cellStyle name="Comma 4 2 2 9 10" xfId="36659" xr:uid="{A8DF194C-98F1-452C-BD26-2E19DA28C862}"/>
    <cellStyle name="Comma 4 2 2 9 11" xfId="18405" xr:uid="{7AAAF737-E57F-4BCD-A7BD-21EDE2696D95}"/>
    <cellStyle name="Comma 4 2 2 9 2" xfId="3071" xr:uid="{0A1F0540-A8D0-451B-95A3-143D007AFCFC}"/>
    <cellStyle name="Comma 4 2 2 9 2 2" xfId="17671" xr:uid="{502B1171-446C-4070-8C35-D212CBC0B95F}"/>
    <cellStyle name="Comma 4 2 2 9 2 2 2" xfId="54179" xr:uid="{E5382157-F09B-4A4F-AA77-279E89210D10}"/>
    <cellStyle name="Comma 4 2 2 9 2 2 3" xfId="35925" xr:uid="{DFC115C6-EF7A-46DE-99D7-28B0AB35FFEF}"/>
    <cellStyle name="Comma 4 2 2 9 2 3" xfId="14021" xr:uid="{FCA0AE88-72DF-4ADD-B6BD-A90734FD5ACA}"/>
    <cellStyle name="Comma 4 2 2 9 2 3 2" xfId="50529" xr:uid="{87AAC22A-8860-47A2-A85E-BDBF0805D8FB}"/>
    <cellStyle name="Comma 4 2 2 9 2 3 3" xfId="32275" xr:uid="{FA690E1C-6DFA-4BAA-83B6-898D1D996133}"/>
    <cellStyle name="Comma 4 2 2 9 2 4" xfId="10371" xr:uid="{7ED4D561-C478-4828-9BAF-432A5607BE2F}"/>
    <cellStyle name="Comma 4 2 2 9 2 4 2" xfId="46879" xr:uid="{899C50D4-1D4E-4519-AAEF-753E1A4A58D0}"/>
    <cellStyle name="Comma 4 2 2 9 2 4 3" xfId="28625" xr:uid="{9A62BAA0-8BFF-455B-88C6-50A45D44EBD4}"/>
    <cellStyle name="Comma 4 2 2 9 2 5" xfId="6721" xr:uid="{1A1F282D-D19F-4364-A6AE-8F1A6112C93D}"/>
    <cellStyle name="Comma 4 2 2 9 2 5 2" xfId="43229" xr:uid="{6EB38BCA-C95F-43FF-8092-C2839425705E}"/>
    <cellStyle name="Comma 4 2 2 9 2 5 3" xfId="24975" xr:uid="{334A24CC-6DB0-4786-8F79-77C34696A225}"/>
    <cellStyle name="Comma 4 2 2 9 2 6" xfId="39579" xr:uid="{CE2E80B9-3ACF-4CA9-8000-1E4D970FFB80}"/>
    <cellStyle name="Comma 4 2 2 9 2 7" xfId="21325" xr:uid="{68774BEF-9D1F-4F1B-8C22-E45E867865F6}"/>
    <cellStyle name="Comma 4 2 2 9 3" xfId="2341" xr:uid="{5C8C2057-BCB3-4C44-A0B4-05AC8139F626}"/>
    <cellStyle name="Comma 4 2 2 9 3 2" xfId="16941" xr:uid="{84EA7FD5-3D09-48A1-92F5-B553E0BA052D}"/>
    <cellStyle name="Comma 4 2 2 9 3 2 2" xfId="53449" xr:uid="{0DB5E640-DB33-420B-9E2E-9E06585F2D4B}"/>
    <cellStyle name="Comma 4 2 2 9 3 2 3" xfId="35195" xr:uid="{574E6FBB-9FE1-45B2-9FBB-36CC144894BD}"/>
    <cellStyle name="Comma 4 2 2 9 3 3" xfId="13291" xr:uid="{9626312C-8A79-4888-88E5-9E9517ADF9A5}"/>
    <cellStyle name="Comma 4 2 2 9 3 3 2" xfId="49799" xr:uid="{2C7F07AE-AE7F-4A87-953A-AB287D0EA3E0}"/>
    <cellStyle name="Comma 4 2 2 9 3 3 3" xfId="31545" xr:uid="{9D497FD4-AE8E-4C37-8C6D-6F07136386D2}"/>
    <cellStyle name="Comma 4 2 2 9 3 4" xfId="9641" xr:uid="{9A8AE544-4299-4F0F-979C-765033247788}"/>
    <cellStyle name="Comma 4 2 2 9 3 4 2" xfId="46149" xr:uid="{E26ED7C4-D65F-49C9-9094-27284C0A5E03}"/>
    <cellStyle name="Comma 4 2 2 9 3 4 3" xfId="27895" xr:uid="{79B8E996-3D92-4A9E-BF06-62420A2A642A}"/>
    <cellStyle name="Comma 4 2 2 9 3 5" xfId="5991" xr:uid="{18D1EC59-9A62-43CE-9D06-21920A24F1E4}"/>
    <cellStyle name="Comma 4 2 2 9 3 5 2" xfId="42499" xr:uid="{95FDBAD0-12E1-479E-A137-DFEA1A1D4423}"/>
    <cellStyle name="Comma 4 2 2 9 3 5 3" xfId="24245" xr:uid="{922AD083-5A94-4735-8C34-0B091802973C}"/>
    <cellStyle name="Comma 4 2 2 9 3 6" xfId="38849" xr:uid="{ABC7185C-C3FE-4538-AEBB-1BE8422841AE}"/>
    <cellStyle name="Comma 4 2 2 9 3 7" xfId="20595" xr:uid="{FA1F4383-C302-4B80-BC0D-6DD6871F579E}"/>
    <cellStyle name="Comma 4 2 2 9 4" xfId="1611" xr:uid="{53D0E949-AA73-47D9-A0B6-16722EEE8A61}"/>
    <cellStyle name="Comma 4 2 2 9 4 2" xfId="16211" xr:uid="{44625C83-63B8-497C-919E-24DE6687E533}"/>
    <cellStyle name="Comma 4 2 2 9 4 2 2" xfId="52719" xr:uid="{B426F4D1-71A9-4CFF-9647-22D4DF763C91}"/>
    <cellStyle name="Comma 4 2 2 9 4 2 3" xfId="34465" xr:uid="{CF798952-C389-4DA4-BEAB-15D48CF7BFAC}"/>
    <cellStyle name="Comma 4 2 2 9 4 3" xfId="12561" xr:uid="{6DEF79BD-958C-47C7-8237-DD5BE3B9FFCA}"/>
    <cellStyle name="Comma 4 2 2 9 4 3 2" xfId="49069" xr:uid="{E255CB18-C0E2-4035-BF87-DF4E1D41E7E7}"/>
    <cellStyle name="Comma 4 2 2 9 4 3 3" xfId="30815" xr:uid="{949F006A-74A1-4F73-9589-6D6EB4044A97}"/>
    <cellStyle name="Comma 4 2 2 9 4 4" xfId="8911" xr:uid="{FD7AE1CA-F943-4A3E-A38D-70274C60CAA4}"/>
    <cellStyle name="Comma 4 2 2 9 4 4 2" xfId="45419" xr:uid="{E9D9D616-5A1F-4C07-B0E9-0905669838C3}"/>
    <cellStyle name="Comma 4 2 2 9 4 4 3" xfId="27165" xr:uid="{A3397B4A-245C-4F48-AF9B-92F79874CFEB}"/>
    <cellStyle name="Comma 4 2 2 9 4 5" xfId="5261" xr:uid="{17D6FAF3-53D0-4630-A9FB-C666F855E327}"/>
    <cellStyle name="Comma 4 2 2 9 4 5 2" xfId="41769" xr:uid="{C1BF8228-D319-4FF1-9EAF-0AFDA11BC41D}"/>
    <cellStyle name="Comma 4 2 2 9 4 5 3" xfId="23515" xr:uid="{23E144C3-4176-4F0D-9BD5-8591DC25D9A3}"/>
    <cellStyle name="Comma 4 2 2 9 4 6" xfId="38119" xr:uid="{B9E0B534-C22C-46A7-B6B7-DC6C28D9C896}"/>
    <cellStyle name="Comma 4 2 2 9 4 7" xfId="19865" xr:uid="{3E141809-CFD1-47B5-BEE6-CC27EDF4171A}"/>
    <cellStyle name="Comma 4 2 2 9 5" xfId="881" xr:uid="{4623EDE5-F0AA-423E-8048-004B9DD0B7F6}"/>
    <cellStyle name="Comma 4 2 2 9 5 2" xfId="15481" xr:uid="{1C5CE183-C413-404E-AABC-DE19407E9A61}"/>
    <cellStyle name="Comma 4 2 2 9 5 2 2" xfId="51989" xr:uid="{A5CE0AA4-422B-4970-A56C-35CE81B36ECB}"/>
    <cellStyle name="Comma 4 2 2 9 5 2 3" xfId="33735" xr:uid="{66506109-393D-4A99-BA0D-DCD9CC688356}"/>
    <cellStyle name="Comma 4 2 2 9 5 3" xfId="11831" xr:uid="{95E06E37-16B1-4082-8E54-9BD91B8BE00C}"/>
    <cellStyle name="Comma 4 2 2 9 5 3 2" xfId="48339" xr:uid="{ADE52791-C0C4-497B-B049-A6323EC291CA}"/>
    <cellStyle name="Comma 4 2 2 9 5 3 3" xfId="30085" xr:uid="{7CFE73EE-9AA4-4661-A299-8B5C3D4E421C}"/>
    <cellStyle name="Comma 4 2 2 9 5 4" xfId="8181" xr:uid="{78F2FB68-8168-4386-8FA4-8FA6FDBDF1E9}"/>
    <cellStyle name="Comma 4 2 2 9 5 4 2" xfId="44689" xr:uid="{CC5B6C24-48F9-4C4E-B45C-8C95B5E4E539}"/>
    <cellStyle name="Comma 4 2 2 9 5 4 3" xfId="26435" xr:uid="{84D2336A-7128-4C5D-9204-0D854E69A40C}"/>
    <cellStyle name="Comma 4 2 2 9 5 5" xfId="4531" xr:uid="{64711996-2674-452A-9D8F-00F464EA9D43}"/>
    <cellStyle name="Comma 4 2 2 9 5 5 2" xfId="41039" xr:uid="{798E716D-C3DC-4852-A56C-A5CE7E2D9B8F}"/>
    <cellStyle name="Comma 4 2 2 9 5 5 3" xfId="22785" xr:uid="{B4173F61-7276-4FE3-BA58-C327F1A25115}"/>
    <cellStyle name="Comma 4 2 2 9 5 6" xfId="37389" xr:uid="{5E6EB091-073E-483D-AFA1-354A0A3092DA}"/>
    <cellStyle name="Comma 4 2 2 9 5 7" xfId="19135" xr:uid="{95DF2639-CCC9-49E6-9DB7-3EA7DD592422}"/>
    <cellStyle name="Comma 4 2 2 9 6" xfId="14751" xr:uid="{C2AED35C-DCAC-4B68-A7F2-17BD6EA479D6}"/>
    <cellStyle name="Comma 4 2 2 9 6 2" xfId="51259" xr:uid="{239EC838-D7D8-43A8-9C8D-420EB16851FA}"/>
    <cellStyle name="Comma 4 2 2 9 6 3" xfId="33005" xr:uid="{83E8947E-2916-4FA1-BFB9-F54A301AE990}"/>
    <cellStyle name="Comma 4 2 2 9 7" xfId="11101" xr:uid="{E53E2672-B27F-4CA4-AAAA-143E638683F1}"/>
    <cellStyle name="Comma 4 2 2 9 7 2" xfId="47609" xr:uid="{D6C8BBC7-B977-411C-884A-8F777A48FC63}"/>
    <cellStyle name="Comma 4 2 2 9 7 3" xfId="29355" xr:uid="{D77B474D-1FAC-4F07-B740-316A6D955FA9}"/>
    <cellStyle name="Comma 4 2 2 9 8" xfId="7451" xr:uid="{A648205A-6585-4704-9917-D9029B839A9F}"/>
    <cellStyle name="Comma 4 2 2 9 8 2" xfId="43959" xr:uid="{6819B547-2708-4D89-B757-44B5A96E3621}"/>
    <cellStyle name="Comma 4 2 2 9 8 3" xfId="25705" xr:uid="{EFC87AB6-3091-4CD5-B661-6BB345B35A1D}"/>
    <cellStyle name="Comma 4 2 2 9 9" xfId="3801" xr:uid="{4E63B8BA-AA5C-460D-BFC1-1D2C7F69259A}"/>
    <cellStyle name="Comma 4 2 2 9 9 2" xfId="40309" xr:uid="{98F512E0-34AC-464C-8218-719215D0B93E}"/>
    <cellStyle name="Comma 4 2 2 9 9 3" xfId="22055" xr:uid="{917601D4-904E-481F-9085-E84F0C105470}"/>
    <cellStyle name="Comma 4 2 20" xfId="18285" xr:uid="{3619C6DF-8E60-4C7D-A4F7-6ED46320074D}"/>
    <cellStyle name="Comma 4 2 3" xfId="95" xr:uid="{57190967-2984-44E2-AFF3-310EC0D745E6}"/>
    <cellStyle name="Comma 4 2 3 10" xfId="1555" xr:uid="{47063960-E64A-46C0-A6C9-48E5E896F551}"/>
    <cellStyle name="Comma 4 2 3 10 2" xfId="16155" xr:uid="{FB62CEB5-A54A-4CC8-B76A-586E0EED530C}"/>
    <cellStyle name="Comma 4 2 3 10 2 2" xfId="52663" xr:uid="{194D377F-0770-4830-9729-BB16BE1FE254}"/>
    <cellStyle name="Comma 4 2 3 10 2 3" xfId="34409" xr:uid="{D4457206-BF41-4E2B-9FDE-1679F47085B2}"/>
    <cellStyle name="Comma 4 2 3 10 3" xfId="12505" xr:uid="{41A30483-24CD-401E-B5A0-8EFEA42F027D}"/>
    <cellStyle name="Comma 4 2 3 10 3 2" xfId="49013" xr:uid="{BE999A55-B7B5-4973-9B8D-4BEA0CAA7CB7}"/>
    <cellStyle name="Comma 4 2 3 10 3 3" xfId="30759" xr:uid="{A0812541-223D-461E-B67E-97E78E654720}"/>
    <cellStyle name="Comma 4 2 3 10 4" xfId="8855" xr:uid="{AC73DEC6-2EAA-4629-90DE-4160173EEDDB}"/>
    <cellStyle name="Comma 4 2 3 10 4 2" xfId="45363" xr:uid="{B0EE2D17-41DC-4A8C-AB59-341736AB19B4}"/>
    <cellStyle name="Comma 4 2 3 10 4 3" xfId="27109" xr:uid="{CE90DD8E-EB69-4940-ADC1-01074BA10AC6}"/>
    <cellStyle name="Comma 4 2 3 10 5" xfId="5205" xr:uid="{0EDC651A-D015-4E15-95A1-6B12DFF6EC20}"/>
    <cellStyle name="Comma 4 2 3 10 5 2" xfId="41713" xr:uid="{6177FB7D-EA52-46EE-8387-5ADBCB734900}"/>
    <cellStyle name="Comma 4 2 3 10 5 3" xfId="23459" xr:uid="{C535D20E-D5AB-44BD-B5C4-F12B14F6BBB7}"/>
    <cellStyle name="Comma 4 2 3 10 6" xfId="38063" xr:uid="{0021514F-5152-4EAD-AB98-AACCEBB0525B}"/>
    <cellStyle name="Comma 4 2 3 10 7" xfId="19809" xr:uid="{5AC3487A-C65A-4FD6-A111-B184DFBDF1CD}"/>
    <cellStyle name="Comma 4 2 3 11" xfId="825" xr:uid="{703B79E9-D55E-4A2E-874F-F59D53216912}"/>
    <cellStyle name="Comma 4 2 3 11 2" xfId="15425" xr:uid="{8F01070A-C839-4313-AE45-E2D4BFA0CEAF}"/>
    <cellStyle name="Comma 4 2 3 11 2 2" xfId="51933" xr:uid="{330BD14A-9274-4EA8-9F2C-54D02201EF2C}"/>
    <cellStyle name="Comma 4 2 3 11 2 3" xfId="33679" xr:uid="{27AB5F0D-A2DD-47D7-A07C-9AA23AC9497A}"/>
    <cellStyle name="Comma 4 2 3 11 3" xfId="11775" xr:uid="{D448FFDD-34FB-49A8-ACB6-BF282AD442C1}"/>
    <cellStyle name="Comma 4 2 3 11 3 2" xfId="48283" xr:uid="{5EF259B6-675B-483E-985E-66B97FEC7749}"/>
    <cellStyle name="Comma 4 2 3 11 3 3" xfId="30029" xr:uid="{B7F3B6F4-F504-48CC-A083-C65E8C4E4DCA}"/>
    <cellStyle name="Comma 4 2 3 11 4" xfId="8125" xr:uid="{1EBAEEF1-2157-4515-9F03-DDA164D95452}"/>
    <cellStyle name="Comma 4 2 3 11 4 2" xfId="44633" xr:uid="{A9BDCEDC-29BF-4D4A-AAD9-A6ECF5E1C7A2}"/>
    <cellStyle name="Comma 4 2 3 11 4 3" xfId="26379" xr:uid="{45E0B051-4DFC-44A6-BD4B-205C738DDC3D}"/>
    <cellStyle name="Comma 4 2 3 11 5" xfId="4475" xr:uid="{B1E5EB08-49D6-4FB2-9FF6-A058B4485D67}"/>
    <cellStyle name="Comma 4 2 3 11 5 2" xfId="40983" xr:uid="{0E355C45-B2F7-4C00-B2B0-B2EB21AB13FE}"/>
    <cellStyle name="Comma 4 2 3 11 5 3" xfId="22729" xr:uid="{24766AE1-2421-44A1-A9E8-F516D0A21173}"/>
    <cellStyle name="Comma 4 2 3 11 6" xfId="37333" xr:uid="{76E35D3B-9A9B-4C40-A01D-EE85A7A04AA8}"/>
    <cellStyle name="Comma 4 2 3 11 7" xfId="19079" xr:uid="{0788C2EA-E74C-4557-B0D4-8A031C2A61D3}"/>
    <cellStyle name="Comma 4 2 3 12" xfId="14695" xr:uid="{9A7B2405-91FE-4764-A167-2BF4DEFFFC77}"/>
    <cellStyle name="Comma 4 2 3 12 2" xfId="51203" xr:uid="{98E4C78E-14CC-4008-88D2-19D73182D9CA}"/>
    <cellStyle name="Comma 4 2 3 12 3" xfId="32949" xr:uid="{C99271B4-DC41-4CED-BABE-8F37BCB316A9}"/>
    <cellStyle name="Comma 4 2 3 13" xfId="11045" xr:uid="{25555674-4DA7-43A0-85C6-6BA9424198E4}"/>
    <cellStyle name="Comma 4 2 3 13 2" xfId="47553" xr:uid="{E4F54A7D-4FCF-4971-8CC3-1C6C453C238A}"/>
    <cellStyle name="Comma 4 2 3 13 3" xfId="29299" xr:uid="{27186884-EA4B-4865-81D5-EBFD369E8034}"/>
    <cellStyle name="Comma 4 2 3 14" xfId="7395" xr:uid="{8DF54375-30A8-48F9-ACE3-ED0BC0D89A59}"/>
    <cellStyle name="Comma 4 2 3 14 2" xfId="43903" xr:uid="{CCEA1C9E-6D39-45F9-8E78-F11DDFF46857}"/>
    <cellStyle name="Comma 4 2 3 14 3" xfId="25649" xr:uid="{29DF0EAC-73F6-499F-B0DE-C306A4432BB5}"/>
    <cellStyle name="Comma 4 2 3 15" xfId="3745" xr:uid="{632A37D3-9A7F-4B53-B47F-8EF02A500B6F}"/>
    <cellStyle name="Comma 4 2 3 15 2" xfId="40253" xr:uid="{3632B8D8-B376-4B90-89FD-FAAB3AC370F4}"/>
    <cellStyle name="Comma 4 2 3 15 3" xfId="21999" xr:uid="{58084A0E-8DEE-4C1B-BE22-A082421130DD}"/>
    <cellStyle name="Comma 4 2 3 16" xfId="36603" xr:uid="{1D10890C-5F31-43BF-9AF5-2F49E96D78E4}"/>
    <cellStyle name="Comma 4 2 3 17" xfId="18349" xr:uid="{EE9E058E-6D75-4B21-B31A-7A5CC95E42C3}"/>
    <cellStyle name="Comma 4 2 3 2" xfId="719" xr:uid="{7A8EB501-8CE0-4FCD-BE66-23F7AED58679}"/>
    <cellStyle name="Comma 4 2 3 2 10" xfId="37227" xr:uid="{83F315CC-3638-4DC0-9317-07A39048A7BA}"/>
    <cellStyle name="Comma 4 2 3 2 11" xfId="18973" xr:uid="{C17221BA-1FF4-4ABF-B9EB-3B54B198A6D8}"/>
    <cellStyle name="Comma 4 2 3 2 2" xfId="3639" xr:uid="{4BFCFFF1-6FA7-42BB-9FA4-C3D54438651A}"/>
    <cellStyle name="Comma 4 2 3 2 2 2" xfId="18239" xr:uid="{4E852AA0-2DBD-453D-A822-F18520492BF3}"/>
    <cellStyle name="Comma 4 2 3 2 2 2 2" xfId="54747" xr:uid="{589C909D-18DB-4D4F-AF35-D72B56389E06}"/>
    <cellStyle name="Comma 4 2 3 2 2 2 3" xfId="36493" xr:uid="{EB3A57C6-1F9E-4039-90C7-1E61F78FB311}"/>
    <cellStyle name="Comma 4 2 3 2 2 3" xfId="14589" xr:uid="{399EA8D9-B4BF-4D9B-9EAE-DD333B44F92C}"/>
    <cellStyle name="Comma 4 2 3 2 2 3 2" xfId="51097" xr:uid="{D55AF24D-8F6D-4CE5-AB0F-B5AFAE8AE3CA}"/>
    <cellStyle name="Comma 4 2 3 2 2 3 3" xfId="32843" xr:uid="{4A5DC3A5-677A-4BDE-B718-666FF5197F9B}"/>
    <cellStyle name="Comma 4 2 3 2 2 4" xfId="10939" xr:uid="{CE8FF23D-7CC2-4074-B60E-4EB9B959212E}"/>
    <cellStyle name="Comma 4 2 3 2 2 4 2" xfId="47447" xr:uid="{FD8849F9-260A-446F-8828-E875C818A89D}"/>
    <cellStyle name="Comma 4 2 3 2 2 4 3" xfId="29193" xr:uid="{7C987B52-B24B-478F-A113-1CE964340A92}"/>
    <cellStyle name="Comma 4 2 3 2 2 5" xfId="7289" xr:uid="{97E78071-0416-47E1-A7C9-CB5381C14327}"/>
    <cellStyle name="Comma 4 2 3 2 2 5 2" xfId="43797" xr:uid="{96911510-8A26-4A98-B0B0-2A8767540CF0}"/>
    <cellStyle name="Comma 4 2 3 2 2 5 3" xfId="25543" xr:uid="{88DA333F-734A-4629-9296-D48D767CE504}"/>
    <cellStyle name="Comma 4 2 3 2 2 6" xfId="40147" xr:uid="{E2E921CC-C1FB-455F-91CF-94E29E9EBF90}"/>
    <cellStyle name="Comma 4 2 3 2 2 7" xfId="21893" xr:uid="{92DB58A0-0750-4991-B65E-07F819E93623}"/>
    <cellStyle name="Comma 4 2 3 2 3" xfId="2909" xr:uid="{D8A21615-79D4-4210-AB35-B4E3640078C8}"/>
    <cellStyle name="Comma 4 2 3 2 3 2" xfId="17509" xr:uid="{7D8172C8-7731-4D26-9A69-E101E6AE52F8}"/>
    <cellStyle name="Comma 4 2 3 2 3 2 2" xfId="54017" xr:uid="{8F78D6A7-A00D-4587-BAE8-3856FAD29D83}"/>
    <cellStyle name="Comma 4 2 3 2 3 2 3" xfId="35763" xr:uid="{81F6FCA4-0EDB-4DE3-92C7-32184A02E1D8}"/>
    <cellStyle name="Comma 4 2 3 2 3 3" xfId="13859" xr:uid="{31594AC9-26F9-496D-9E3C-FA6708639C46}"/>
    <cellStyle name="Comma 4 2 3 2 3 3 2" xfId="50367" xr:uid="{4591707E-8C3B-4FF5-9837-4D26FA927576}"/>
    <cellStyle name="Comma 4 2 3 2 3 3 3" xfId="32113" xr:uid="{5747A78D-90C3-42F1-A5E8-ED49A2201FAE}"/>
    <cellStyle name="Comma 4 2 3 2 3 4" xfId="10209" xr:uid="{8674E717-A49D-47EA-8A9B-685058A4359E}"/>
    <cellStyle name="Comma 4 2 3 2 3 4 2" xfId="46717" xr:uid="{9A3287E6-B3D7-4908-A14F-DB32BBF32327}"/>
    <cellStyle name="Comma 4 2 3 2 3 4 3" xfId="28463" xr:uid="{09029F35-F5E4-4EBE-A1D6-62ED1766BBC9}"/>
    <cellStyle name="Comma 4 2 3 2 3 5" xfId="6559" xr:uid="{A5A7125D-0A9B-4314-90AE-BD47869F846A}"/>
    <cellStyle name="Comma 4 2 3 2 3 5 2" xfId="43067" xr:uid="{F6CE4FB5-051D-4E17-B59B-2A3F8084DB58}"/>
    <cellStyle name="Comma 4 2 3 2 3 5 3" xfId="24813" xr:uid="{B7E23FE8-A66C-4FF8-9737-5B6783020F9E}"/>
    <cellStyle name="Comma 4 2 3 2 3 6" xfId="39417" xr:uid="{8AEE07B0-7BEC-4836-9EC2-38010CEF4D32}"/>
    <cellStyle name="Comma 4 2 3 2 3 7" xfId="21163" xr:uid="{F5141F1F-0298-493F-9537-BC2E6BD750A0}"/>
    <cellStyle name="Comma 4 2 3 2 4" xfId="2179" xr:uid="{2C138E99-65F2-4047-8ED6-17201A709A79}"/>
    <cellStyle name="Comma 4 2 3 2 4 2" xfId="16779" xr:uid="{7691B866-D1D0-4399-B978-D531BFEC67DC}"/>
    <cellStyle name="Comma 4 2 3 2 4 2 2" xfId="53287" xr:uid="{0C6320B1-AEF5-4444-A2A8-8DA949BD2A51}"/>
    <cellStyle name="Comma 4 2 3 2 4 2 3" xfId="35033" xr:uid="{70ADB7B3-095A-49F6-8207-AE12314765FB}"/>
    <cellStyle name="Comma 4 2 3 2 4 3" xfId="13129" xr:uid="{31ED67AA-1092-4396-B7C5-3F1B82DF47D3}"/>
    <cellStyle name="Comma 4 2 3 2 4 3 2" xfId="49637" xr:uid="{D1497490-C0B6-4699-976C-E018D3E0B51E}"/>
    <cellStyle name="Comma 4 2 3 2 4 3 3" xfId="31383" xr:uid="{60C7D6C6-A86D-4B0B-9B22-3D8B705B71AF}"/>
    <cellStyle name="Comma 4 2 3 2 4 4" xfId="9479" xr:uid="{1DA46944-2216-421B-A090-59F6496A6A9D}"/>
    <cellStyle name="Comma 4 2 3 2 4 4 2" xfId="45987" xr:uid="{2B22A8FE-8CFD-430C-A484-22DC0A222195}"/>
    <cellStyle name="Comma 4 2 3 2 4 4 3" xfId="27733" xr:uid="{C3829E39-05BE-453C-B131-FA0A6DED271D}"/>
    <cellStyle name="Comma 4 2 3 2 4 5" xfId="5829" xr:uid="{9920A6CD-AD5E-44BE-B7F6-3B61A6F8B5EB}"/>
    <cellStyle name="Comma 4 2 3 2 4 5 2" xfId="42337" xr:uid="{24F418F0-9CF9-47D8-BB99-768E7EB49BB6}"/>
    <cellStyle name="Comma 4 2 3 2 4 5 3" xfId="24083" xr:uid="{0A7ECA11-F74E-47D6-B824-C9139CF7C6F2}"/>
    <cellStyle name="Comma 4 2 3 2 4 6" xfId="38687" xr:uid="{62DA7777-38FE-4248-8FD2-13177C4D9141}"/>
    <cellStyle name="Comma 4 2 3 2 4 7" xfId="20433" xr:uid="{85633235-2EFA-4122-B988-3FE5EB7054BD}"/>
    <cellStyle name="Comma 4 2 3 2 5" xfId="1449" xr:uid="{4CC7ED45-EC16-4014-A289-A77C993C7E57}"/>
    <cellStyle name="Comma 4 2 3 2 5 2" xfId="16049" xr:uid="{F0ADC0F3-7F5D-4287-B10B-02957501F599}"/>
    <cellStyle name="Comma 4 2 3 2 5 2 2" xfId="52557" xr:uid="{8B313DFE-4E2A-4881-880F-EE9CAC506185}"/>
    <cellStyle name="Comma 4 2 3 2 5 2 3" xfId="34303" xr:uid="{DF1F2397-D78D-478C-9F8F-4A8FFF277428}"/>
    <cellStyle name="Comma 4 2 3 2 5 3" xfId="12399" xr:uid="{A6EFE98D-BCC3-4F01-8192-E8D5FB8529F4}"/>
    <cellStyle name="Comma 4 2 3 2 5 3 2" xfId="48907" xr:uid="{69C35EC1-C33F-406B-A169-C473E7BED906}"/>
    <cellStyle name="Comma 4 2 3 2 5 3 3" xfId="30653" xr:uid="{ECDDA1AE-8E20-47E0-9C5D-0F99875AE0C8}"/>
    <cellStyle name="Comma 4 2 3 2 5 4" xfId="8749" xr:uid="{75E32AD0-424C-475F-90F7-934FE1F6A6A9}"/>
    <cellStyle name="Comma 4 2 3 2 5 4 2" xfId="45257" xr:uid="{E77EF963-410A-4428-92A5-8DB9E55C4C25}"/>
    <cellStyle name="Comma 4 2 3 2 5 4 3" xfId="27003" xr:uid="{7BA8B026-D720-4835-9EB3-7DDAC8F7792B}"/>
    <cellStyle name="Comma 4 2 3 2 5 5" xfId="5099" xr:uid="{E5A71D93-F916-40D4-925B-C7FAE5E650FC}"/>
    <cellStyle name="Comma 4 2 3 2 5 5 2" xfId="41607" xr:uid="{9DE12C0E-EF2C-4857-8C3A-8F21D4C8F134}"/>
    <cellStyle name="Comma 4 2 3 2 5 5 3" xfId="23353" xr:uid="{64F6ED7A-A76D-4536-A1B0-E86CD970B798}"/>
    <cellStyle name="Comma 4 2 3 2 5 6" xfId="37957" xr:uid="{F4E6F7E9-C60B-4364-8C34-468923F916B0}"/>
    <cellStyle name="Comma 4 2 3 2 5 7" xfId="19703" xr:uid="{F705604B-C6A5-49FF-BA93-3D6D0D2CBC82}"/>
    <cellStyle name="Comma 4 2 3 2 6" xfId="15319" xr:uid="{7EA14D49-D1FA-4F66-B0E1-6850698E8AAD}"/>
    <cellStyle name="Comma 4 2 3 2 6 2" xfId="51827" xr:uid="{339EBC4A-F8B8-4C1C-ACF4-C4C3FE9C5292}"/>
    <cellStyle name="Comma 4 2 3 2 6 3" xfId="33573" xr:uid="{E7832AA3-35BD-4924-B25E-7970085C8755}"/>
    <cellStyle name="Comma 4 2 3 2 7" xfId="11669" xr:uid="{BF0C98B7-3BAE-4A74-B9B8-B2D7BF8E5190}"/>
    <cellStyle name="Comma 4 2 3 2 7 2" xfId="48177" xr:uid="{8CB50CA3-0F62-4BCE-AAA1-5690BB01EFC5}"/>
    <cellStyle name="Comma 4 2 3 2 7 3" xfId="29923" xr:uid="{271F3683-4B43-43AE-B729-00D8DC42770A}"/>
    <cellStyle name="Comma 4 2 3 2 8" xfId="8019" xr:uid="{459DE6ED-2D47-4B4F-A7EA-4C4A490D508D}"/>
    <cellStyle name="Comma 4 2 3 2 8 2" xfId="44527" xr:uid="{6B439464-9EC0-41DD-995D-70DAA4F586AF}"/>
    <cellStyle name="Comma 4 2 3 2 8 3" xfId="26273" xr:uid="{EDB23016-2D23-4161-A555-9ABB37903343}"/>
    <cellStyle name="Comma 4 2 3 2 9" xfId="4369" xr:uid="{A0D5D241-7081-4036-B05E-811B8DFEFE3C}"/>
    <cellStyle name="Comma 4 2 3 2 9 2" xfId="40877" xr:uid="{72C8496F-527B-4337-AEFA-1C8C65BC1883}"/>
    <cellStyle name="Comma 4 2 3 2 9 3" xfId="22623" xr:uid="{A822C2B8-B900-4483-AA86-FB29C9ED6259}"/>
    <cellStyle name="Comma 4 2 3 3" xfId="615" xr:uid="{DE0AF1E2-3153-4406-894E-D4CEDBB03B90}"/>
    <cellStyle name="Comma 4 2 3 3 10" xfId="37123" xr:uid="{49063D29-5B02-460A-9C14-7AFFEA5F304D}"/>
    <cellStyle name="Comma 4 2 3 3 11" xfId="18869" xr:uid="{007A32B9-FF9A-4A2F-994F-251582684ED2}"/>
    <cellStyle name="Comma 4 2 3 3 2" xfId="3535" xr:uid="{9E92651E-15F2-41A4-928A-08A9D2CA4F5C}"/>
    <cellStyle name="Comma 4 2 3 3 2 2" xfId="18135" xr:uid="{2E71D00E-A398-45B7-8513-26972B2ECAB3}"/>
    <cellStyle name="Comma 4 2 3 3 2 2 2" xfId="54643" xr:uid="{22331071-28DD-499D-BC7F-B43421B87BE7}"/>
    <cellStyle name="Comma 4 2 3 3 2 2 3" xfId="36389" xr:uid="{BDF976F8-7A96-470E-B8E8-63F44749EFD5}"/>
    <cellStyle name="Comma 4 2 3 3 2 3" xfId="14485" xr:uid="{462B2063-6141-4E4B-A1F8-BA7725EEE44C}"/>
    <cellStyle name="Comma 4 2 3 3 2 3 2" xfId="50993" xr:uid="{33B62453-0710-4743-A46C-9F3F5D131571}"/>
    <cellStyle name="Comma 4 2 3 3 2 3 3" xfId="32739" xr:uid="{D5A2FF5B-639E-41F4-BD58-374BC5ABAB70}"/>
    <cellStyle name="Comma 4 2 3 3 2 4" xfId="10835" xr:uid="{F74623B9-490C-4CE3-A76E-BF829BCDC282}"/>
    <cellStyle name="Comma 4 2 3 3 2 4 2" xfId="47343" xr:uid="{989182D5-93E6-45A0-B61C-990A7A5AE278}"/>
    <cellStyle name="Comma 4 2 3 3 2 4 3" xfId="29089" xr:uid="{CCCD9D50-048B-4AC4-AE1F-0FF2560E4464}"/>
    <cellStyle name="Comma 4 2 3 3 2 5" xfId="7185" xr:uid="{D2628683-E646-4FCA-8234-2A96116599A6}"/>
    <cellStyle name="Comma 4 2 3 3 2 5 2" xfId="43693" xr:uid="{D933888B-F9D2-489C-914D-E7AF80315CF7}"/>
    <cellStyle name="Comma 4 2 3 3 2 5 3" xfId="25439" xr:uid="{35F55053-1192-4B2F-81D9-690AC4DB5F68}"/>
    <cellStyle name="Comma 4 2 3 3 2 6" xfId="40043" xr:uid="{D25B2F8B-179F-49F8-AB13-E06A3A1511C0}"/>
    <cellStyle name="Comma 4 2 3 3 2 7" xfId="21789" xr:uid="{FD9DEAD8-7F70-4E02-95AE-E3C9AAFF1BE3}"/>
    <cellStyle name="Comma 4 2 3 3 3" xfId="2805" xr:uid="{932446A6-F5CD-4777-9F30-13B794F22B63}"/>
    <cellStyle name="Comma 4 2 3 3 3 2" xfId="17405" xr:uid="{831120BE-6A8C-4EE4-AE14-EF38D574C1E2}"/>
    <cellStyle name="Comma 4 2 3 3 3 2 2" xfId="53913" xr:uid="{38D2F54C-C44D-421E-9A72-863B8BF53FF8}"/>
    <cellStyle name="Comma 4 2 3 3 3 2 3" xfId="35659" xr:uid="{8A01CF35-1FEE-4563-9174-E8699178CF10}"/>
    <cellStyle name="Comma 4 2 3 3 3 3" xfId="13755" xr:uid="{67DBE9F5-5F1E-416D-A942-D0DFA3B545C7}"/>
    <cellStyle name="Comma 4 2 3 3 3 3 2" xfId="50263" xr:uid="{D227E26D-7F6B-4C56-BAA3-04917DA52E25}"/>
    <cellStyle name="Comma 4 2 3 3 3 3 3" xfId="32009" xr:uid="{EAEB8052-A672-437C-B555-9C740598C335}"/>
    <cellStyle name="Comma 4 2 3 3 3 4" xfId="10105" xr:uid="{49333FA2-045B-4459-9603-58ADE2555A12}"/>
    <cellStyle name="Comma 4 2 3 3 3 4 2" xfId="46613" xr:uid="{965A9250-68F4-4114-937C-AD71DB7B6913}"/>
    <cellStyle name="Comma 4 2 3 3 3 4 3" xfId="28359" xr:uid="{CE431236-98A5-4A32-8F93-4541DD837003}"/>
    <cellStyle name="Comma 4 2 3 3 3 5" xfId="6455" xr:uid="{15E33943-6018-4508-97D4-322A42F96D98}"/>
    <cellStyle name="Comma 4 2 3 3 3 5 2" xfId="42963" xr:uid="{CC3C8F3B-BC5F-40E4-8CF3-882449E3CA19}"/>
    <cellStyle name="Comma 4 2 3 3 3 5 3" xfId="24709" xr:uid="{C4521A8E-36EF-44D0-8FDA-69973E66F92A}"/>
    <cellStyle name="Comma 4 2 3 3 3 6" xfId="39313" xr:uid="{5076F814-2F3A-4A6F-B53C-79E637AD4DFE}"/>
    <cellStyle name="Comma 4 2 3 3 3 7" xfId="21059" xr:uid="{4BDB87F6-1A49-4C65-B317-33E0DE4C722F}"/>
    <cellStyle name="Comma 4 2 3 3 4" xfId="2075" xr:uid="{A1DEDC46-3FA4-4270-A5E8-1A83D07B8C48}"/>
    <cellStyle name="Comma 4 2 3 3 4 2" xfId="16675" xr:uid="{5680D036-0ACC-4888-9800-4D63AAEC0965}"/>
    <cellStyle name="Comma 4 2 3 3 4 2 2" xfId="53183" xr:uid="{2CAF4203-136B-44B0-8551-B0D84E62A3FC}"/>
    <cellStyle name="Comma 4 2 3 3 4 2 3" xfId="34929" xr:uid="{047B7D52-9573-42C2-8E26-FCC68A12C105}"/>
    <cellStyle name="Comma 4 2 3 3 4 3" xfId="13025" xr:uid="{55DF0D10-8E33-4187-9989-E8A50D04C455}"/>
    <cellStyle name="Comma 4 2 3 3 4 3 2" xfId="49533" xr:uid="{31A01FC1-DFCA-4C93-A7A6-EABB70924884}"/>
    <cellStyle name="Comma 4 2 3 3 4 3 3" xfId="31279" xr:uid="{DC9EFDC7-CB6D-446D-8000-0014C379A35C}"/>
    <cellStyle name="Comma 4 2 3 3 4 4" xfId="9375" xr:uid="{CA681B1E-37A4-4AA7-A2DF-A0C16EE03589}"/>
    <cellStyle name="Comma 4 2 3 3 4 4 2" xfId="45883" xr:uid="{4B409B2C-96A2-45EA-82C4-42D676A6F0F5}"/>
    <cellStyle name="Comma 4 2 3 3 4 4 3" xfId="27629" xr:uid="{A62BBB5C-CE93-410E-8DF2-AE49F7825172}"/>
    <cellStyle name="Comma 4 2 3 3 4 5" xfId="5725" xr:uid="{20AD4FCA-B764-42EB-ADA6-E8FD5EF76FEE}"/>
    <cellStyle name="Comma 4 2 3 3 4 5 2" xfId="42233" xr:uid="{E117928E-E50E-4872-B769-132B7C148C8D}"/>
    <cellStyle name="Comma 4 2 3 3 4 5 3" xfId="23979" xr:uid="{A5CE6691-BCE3-470E-82B7-3A4A44FA1CC9}"/>
    <cellStyle name="Comma 4 2 3 3 4 6" xfId="38583" xr:uid="{4C7E903C-2239-44EB-80F0-326DCBD5DF21}"/>
    <cellStyle name="Comma 4 2 3 3 4 7" xfId="20329" xr:uid="{80E454F8-DB69-4BD0-B731-33B50134FBF9}"/>
    <cellStyle name="Comma 4 2 3 3 5" xfId="1345" xr:uid="{6B15D06D-179A-489D-8533-24FD727A4360}"/>
    <cellStyle name="Comma 4 2 3 3 5 2" xfId="15945" xr:uid="{7B251387-4BBD-4BB7-B68A-C51973A4E905}"/>
    <cellStyle name="Comma 4 2 3 3 5 2 2" xfId="52453" xr:uid="{98466D7E-C0B8-42CE-BB0F-D7A12652D9B7}"/>
    <cellStyle name="Comma 4 2 3 3 5 2 3" xfId="34199" xr:uid="{4BF68D02-177A-426D-A1C4-CBD3CFD3806E}"/>
    <cellStyle name="Comma 4 2 3 3 5 3" xfId="12295" xr:uid="{6E455F8C-4346-4AC3-B6A4-3221D5AD01E7}"/>
    <cellStyle name="Comma 4 2 3 3 5 3 2" xfId="48803" xr:uid="{5347CD70-F2AD-4891-822C-102013329848}"/>
    <cellStyle name="Comma 4 2 3 3 5 3 3" xfId="30549" xr:uid="{E064765D-6FD5-449A-91D4-A9CEB8DC6F08}"/>
    <cellStyle name="Comma 4 2 3 3 5 4" xfId="8645" xr:uid="{0ADE1A05-53EB-4EA6-8F95-499671B7F1E9}"/>
    <cellStyle name="Comma 4 2 3 3 5 4 2" xfId="45153" xr:uid="{9182086E-B777-434D-B328-8281B12C18E4}"/>
    <cellStyle name="Comma 4 2 3 3 5 4 3" xfId="26899" xr:uid="{35B1CE6D-60B9-44D1-9354-94EDA71C5D5D}"/>
    <cellStyle name="Comma 4 2 3 3 5 5" xfId="4995" xr:uid="{97935E94-BB28-456F-A42A-5F0154EE822C}"/>
    <cellStyle name="Comma 4 2 3 3 5 5 2" xfId="41503" xr:uid="{FBA26108-5672-40CF-BE3C-CA6AB5254EDC}"/>
    <cellStyle name="Comma 4 2 3 3 5 5 3" xfId="23249" xr:uid="{DFB4D49D-B004-4CF0-ADEF-16A88E804BD3}"/>
    <cellStyle name="Comma 4 2 3 3 5 6" xfId="37853" xr:uid="{EE85E5CD-23BF-4DBB-8408-B26F6E948A16}"/>
    <cellStyle name="Comma 4 2 3 3 5 7" xfId="19599" xr:uid="{BB944695-EF27-4AB1-8308-6B303498D79E}"/>
    <cellStyle name="Comma 4 2 3 3 6" xfId="15215" xr:uid="{59D59156-3A9A-496F-BBBC-311DD2943FD6}"/>
    <cellStyle name="Comma 4 2 3 3 6 2" xfId="51723" xr:uid="{2F378070-F1B1-47BE-AD5E-DF35CD812291}"/>
    <cellStyle name="Comma 4 2 3 3 6 3" xfId="33469" xr:uid="{4C5C31AD-D00E-42B9-97AA-4E92D64DF4D3}"/>
    <cellStyle name="Comma 4 2 3 3 7" xfId="11565" xr:uid="{80BF2F29-F947-4961-BFD9-A973C1DC97DE}"/>
    <cellStyle name="Comma 4 2 3 3 7 2" xfId="48073" xr:uid="{2C5AF266-CA6E-42C7-B077-939AD36DDAD1}"/>
    <cellStyle name="Comma 4 2 3 3 7 3" xfId="29819" xr:uid="{A92E2C2F-945B-4C8B-B349-5DA419E7E2E2}"/>
    <cellStyle name="Comma 4 2 3 3 8" xfId="7915" xr:uid="{DD076378-8B6B-448E-B823-32BB8B9AC1F7}"/>
    <cellStyle name="Comma 4 2 3 3 8 2" xfId="44423" xr:uid="{506DF878-1E7D-40CA-A7AE-0338647079EC}"/>
    <cellStyle name="Comma 4 2 3 3 8 3" xfId="26169" xr:uid="{774F3C64-B4DC-4AFA-9D61-A1E422019805}"/>
    <cellStyle name="Comma 4 2 3 3 9" xfId="4265" xr:uid="{A1765A0B-AD39-4FC6-9C93-414E3D24DE32}"/>
    <cellStyle name="Comma 4 2 3 3 9 2" xfId="40773" xr:uid="{F09F34CA-D8AE-4F75-A947-5F2A9D509DB2}"/>
    <cellStyle name="Comma 4 2 3 3 9 3" xfId="22519" xr:uid="{F8AAE5E7-EEC1-4DCF-9139-B5EB7B195978}"/>
    <cellStyle name="Comma 4 2 3 4" xfId="511" xr:uid="{7BEF8B2D-E540-4BA8-BDB5-448B42343834}"/>
    <cellStyle name="Comma 4 2 3 4 10" xfId="37019" xr:uid="{2E084136-D648-4BB2-A813-4EFCD7A2EFB6}"/>
    <cellStyle name="Comma 4 2 3 4 11" xfId="18765" xr:uid="{F99F267D-97D9-4C7E-A5D3-E1AE34EE404B}"/>
    <cellStyle name="Comma 4 2 3 4 2" xfId="3431" xr:uid="{2E457332-2B7E-4604-8A59-967E67C902E7}"/>
    <cellStyle name="Comma 4 2 3 4 2 2" xfId="18031" xr:uid="{EC67888D-7632-4228-8219-B2884210D6DB}"/>
    <cellStyle name="Comma 4 2 3 4 2 2 2" xfId="54539" xr:uid="{1F908D8C-4963-4BF1-993D-5C495752964B}"/>
    <cellStyle name="Comma 4 2 3 4 2 2 3" xfId="36285" xr:uid="{17C1CACF-0B4E-443F-B297-D0DECC84F4FC}"/>
    <cellStyle name="Comma 4 2 3 4 2 3" xfId="14381" xr:uid="{157C6FDF-1B14-4250-8D9F-1734C3565187}"/>
    <cellStyle name="Comma 4 2 3 4 2 3 2" xfId="50889" xr:uid="{226CA7DF-C38F-4DC0-9F55-899FEC1E1480}"/>
    <cellStyle name="Comma 4 2 3 4 2 3 3" xfId="32635" xr:uid="{9B65E87A-F473-4F9B-BADC-331318B01147}"/>
    <cellStyle name="Comma 4 2 3 4 2 4" xfId="10731" xr:uid="{C8D2E88A-1BF3-46A7-9BFD-D4752343C4B6}"/>
    <cellStyle name="Comma 4 2 3 4 2 4 2" xfId="47239" xr:uid="{99587C1C-7A08-4AE3-9A41-A6ACC44A9912}"/>
    <cellStyle name="Comma 4 2 3 4 2 4 3" xfId="28985" xr:uid="{A562F54D-B49C-44D2-A6A6-BCBD231B7E98}"/>
    <cellStyle name="Comma 4 2 3 4 2 5" xfId="7081" xr:uid="{C4E300CB-9457-42C6-AE6B-E9A1C7236353}"/>
    <cellStyle name="Comma 4 2 3 4 2 5 2" xfId="43589" xr:uid="{A36E655D-C73D-46E2-A9F8-3203E0057AC7}"/>
    <cellStyle name="Comma 4 2 3 4 2 5 3" xfId="25335" xr:uid="{D3ADDACB-968E-4C4D-84A3-978B8EFEB2A0}"/>
    <cellStyle name="Comma 4 2 3 4 2 6" xfId="39939" xr:uid="{4C86AEC7-195E-467E-9C3A-EF0D3B45FE9D}"/>
    <cellStyle name="Comma 4 2 3 4 2 7" xfId="21685" xr:uid="{39797B84-CFD1-44B6-BCC4-67AE41EF105C}"/>
    <cellStyle name="Comma 4 2 3 4 3" xfId="2701" xr:uid="{3C536564-072B-4502-AEF1-624A93DC4007}"/>
    <cellStyle name="Comma 4 2 3 4 3 2" xfId="17301" xr:uid="{9E83F290-C896-4127-B728-20A2FB40A01D}"/>
    <cellStyle name="Comma 4 2 3 4 3 2 2" xfId="53809" xr:uid="{EC077EAA-F58E-4AC1-A55F-4BA5CBED1827}"/>
    <cellStyle name="Comma 4 2 3 4 3 2 3" xfId="35555" xr:uid="{885A21E2-C4C1-4D68-9FD2-92E6A427D757}"/>
    <cellStyle name="Comma 4 2 3 4 3 3" xfId="13651" xr:uid="{E15A4B68-FFBF-4BCD-8866-5A1B2944C4FA}"/>
    <cellStyle name="Comma 4 2 3 4 3 3 2" xfId="50159" xr:uid="{D3510C70-D69F-41A7-B489-F4CBFF8A3837}"/>
    <cellStyle name="Comma 4 2 3 4 3 3 3" xfId="31905" xr:uid="{E3420AF8-1F0D-4D34-B87F-3670F778BDB2}"/>
    <cellStyle name="Comma 4 2 3 4 3 4" xfId="10001" xr:uid="{2341CDAA-C367-482C-8936-70E82C8B40F1}"/>
    <cellStyle name="Comma 4 2 3 4 3 4 2" xfId="46509" xr:uid="{6425A6FE-AF0D-4B6F-976D-3167251C57FE}"/>
    <cellStyle name="Comma 4 2 3 4 3 4 3" xfId="28255" xr:uid="{511182EF-0DD1-498E-BC5E-BEE04D7D94F0}"/>
    <cellStyle name="Comma 4 2 3 4 3 5" xfId="6351" xr:uid="{9A377C9B-AD6B-4744-8E97-0F5F169116BA}"/>
    <cellStyle name="Comma 4 2 3 4 3 5 2" xfId="42859" xr:uid="{560020AA-A849-43CD-BEA3-1F2A39D8F7F5}"/>
    <cellStyle name="Comma 4 2 3 4 3 5 3" xfId="24605" xr:uid="{BDDEE7DC-8C87-4865-9188-B2DF97727BBD}"/>
    <cellStyle name="Comma 4 2 3 4 3 6" xfId="39209" xr:uid="{D3306225-5592-4E9C-B313-BB54CB70E71C}"/>
    <cellStyle name="Comma 4 2 3 4 3 7" xfId="20955" xr:uid="{AA442529-48DA-4ECB-B692-0D6390BABE8D}"/>
    <cellStyle name="Comma 4 2 3 4 4" xfId="1971" xr:uid="{4D12B42E-0D47-442D-AC30-453DDBB5FE0B}"/>
    <cellStyle name="Comma 4 2 3 4 4 2" xfId="16571" xr:uid="{43150E64-2CFE-4CFA-A82D-64AD980ABE90}"/>
    <cellStyle name="Comma 4 2 3 4 4 2 2" xfId="53079" xr:uid="{D42403DF-1797-4F5D-AC72-11D6D2D5C25B}"/>
    <cellStyle name="Comma 4 2 3 4 4 2 3" xfId="34825" xr:uid="{C8F9D959-60A6-49BC-8E4F-13869B85234D}"/>
    <cellStyle name="Comma 4 2 3 4 4 3" xfId="12921" xr:uid="{B17530FD-71F1-48B4-9A50-74E2C45737BE}"/>
    <cellStyle name="Comma 4 2 3 4 4 3 2" xfId="49429" xr:uid="{0F545580-3BB6-4747-8497-241234A26209}"/>
    <cellStyle name="Comma 4 2 3 4 4 3 3" xfId="31175" xr:uid="{FC920F0D-29D7-4B54-89FF-0D9B9DB037E1}"/>
    <cellStyle name="Comma 4 2 3 4 4 4" xfId="9271" xr:uid="{D1F28DC8-36A5-4AD6-A867-BD39CED71A15}"/>
    <cellStyle name="Comma 4 2 3 4 4 4 2" xfId="45779" xr:uid="{A7240735-1A44-4EE7-A33F-03FA0CEE78A9}"/>
    <cellStyle name="Comma 4 2 3 4 4 4 3" xfId="27525" xr:uid="{E2D4C08A-655D-4517-9C7D-A44A5A11BCCB}"/>
    <cellStyle name="Comma 4 2 3 4 4 5" xfId="5621" xr:uid="{7EC517E3-648D-4F8A-B58A-C151B931572A}"/>
    <cellStyle name="Comma 4 2 3 4 4 5 2" xfId="42129" xr:uid="{81187B45-66A8-4D40-B904-7D40A4E08DB7}"/>
    <cellStyle name="Comma 4 2 3 4 4 5 3" xfId="23875" xr:uid="{93795B62-AAD8-42B7-87EB-5A4D35723474}"/>
    <cellStyle name="Comma 4 2 3 4 4 6" xfId="38479" xr:uid="{C3944580-99CA-446D-8D4F-242F7A725D12}"/>
    <cellStyle name="Comma 4 2 3 4 4 7" xfId="20225" xr:uid="{1B84F3AD-DF96-4F8E-A5F0-5FFA9ABF8151}"/>
    <cellStyle name="Comma 4 2 3 4 5" xfId="1241" xr:uid="{896D1B78-7B83-42EE-8317-ED4ED34EE96A}"/>
    <cellStyle name="Comma 4 2 3 4 5 2" xfId="15841" xr:uid="{725C5AA9-DA4A-4947-BB6C-191F9B0142BF}"/>
    <cellStyle name="Comma 4 2 3 4 5 2 2" xfId="52349" xr:uid="{8A83D3EF-EC6A-4BA8-B667-3C92231347CA}"/>
    <cellStyle name="Comma 4 2 3 4 5 2 3" xfId="34095" xr:uid="{FE3D2F37-511A-470E-B9F1-99F53BF9708F}"/>
    <cellStyle name="Comma 4 2 3 4 5 3" xfId="12191" xr:uid="{10C79D68-9FC4-4E93-A704-A648258FB849}"/>
    <cellStyle name="Comma 4 2 3 4 5 3 2" xfId="48699" xr:uid="{53F9BF15-1F06-4B96-A30F-50FF63C3EA85}"/>
    <cellStyle name="Comma 4 2 3 4 5 3 3" xfId="30445" xr:uid="{8A365B3A-841B-45EB-9F9B-F0ACD4DBD9F2}"/>
    <cellStyle name="Comma 4 2 3 4 5 4" xfId="8541" xr:uid="{74BE6FF2-770D-4340-AE8E-65CC388310CE}"/>
    <cellStyle name="Comma 4 2 3 4 5 4 2" xfId="45049" xr:uid="{13A8B0ED-8F28-4AC8-A460-4EBD92466942}"/>
    <cellStyle name="Comma 4 2 3 4 5 4 3" xfId="26795" xr:uid="{EFE18D08-ABA3-4567-929B-4533F724A68B}"/>
    <cellStyle name="Comma 4 2 3 4 5 5" xfId="4891" xr:uid="{BDFA4DF6-6CC2-480B-BDEA-1E712158FA84}"/>
    <cellStyle name="Comma 4 2 3 4 5 5 2" xfId="41399" xr:uid="{CBD59723-BF30-4CA3-BF1D-49693797D377}"/>
    <cellStyle name="Comma 4 2 3 4 5 5 3" xfId="23145" xr:uid="{81E92B61-E2E3-44A9-8311-B52E1CC3858E}"/>
    <cellStyle name="Comma 4 2 3 4 5 6" xfId="37749" xr:uid="{33711B25-17F5-4625-A85E-3DAD7B0B48E7}"/>
    <cellStyle name="Comma 4 2 3 4 5 7" xfId="19495" xr:uid="{65812CA8-CD95-4645-8507-9EAD61AA2A21}"/>
    <cellStyle name="Comma 4 2 3 4 6" xfId="15111" xr:uid="{7EAC5A60-DAAC-48E2-8529-AF46349D8EA4}"/>
    <cellStyle name="Comma 4 2 3 4 6 2" xfId="51619" xr:uid="{55949EEB-E416-4106-BAEC-6B3E0E1B92B4}"/>
    <cellStyle name="Comma 4 2 3 4 6 3" xfId="33365" xr:uid="{706CA0DC-1185-4668-95B2-25761B6A9BF2}"/>
    <cellStyle name="Comma 4 2 3 4 7" xfId="11461" xr:uid="{96237978-837C-403C-9B66-84B12C11C103}"/>
    <cellStyle name="Comma 4 2 3 4 7 2" xfId="47969" xr:uid="{A6C5FFB6-7E0B-4734-928F-7B2494CA2427}"/>
    <cellStyle name="Comma 4 2 3 4 7 3" xfId="29715" xr:uid="{EB1A0593-786F-4A1C-90DF-F986B2D0EFC7}"/>
    <cellStyle name="Comma 4 2 3 4 8" xfId="7811" xr:uid="{48D73C4A-5B53-4940-8DDB-1AB042C6DD18}"/>
    <cellStyle name="Comma 4 2 3 4 8 2" xfId="44319" xr:uid="{E74E7A52-74B6-4EBA-8CA5-14A1BD3139E7}"/>
    <cellStyle name="Comma 4 2 3 4 8 3" xfId="26065" xr:uid="{9912A385-38DE-40AA-BA07-7143EADCA41D}"/>
    <cellStyle name="Comma 4 2 3 4 9" xfId="4161" xr:uid="{E496C602-973E-4671-8EF2-4D3C10E82DC2}"/>
    <cellStyle name="Comma 4 2 3 4 9 2" xfId="40669" xr:uid="{412BCF8D-8E15-434F-A245-9581B614C7DA}"/>
    <cellStyle name="Comma 4 2 3 4 9 3" xfId="22415" xr:uid="{F302CA76-24AE-4914-96A6-48C184E54DFF}"/>
    <cellStyle name="Comma 4 2 3 5" xfId="407" xr:uid="{812F026B-2C20-46FA-B984-EFCA4B80BF0E}"/>
    <cellStyle name="Comma 4 2 3 5 10" xfId="36915" xr:uid="{634C893C-EDCF-458C-B764-58E46394A31C}"/>
    <cellStyle name="Comma 4 2 3 5 11" xfId="18661" xr:uid="{A48390E5-6D32-4F9A-87BD-83CB6E9E74CE}"/>
    <cellStyle name="Comma 4 2 3 5 2" xfId="3327" xr:uid="{63199664-47EC-4907-8D28-9ED0D781429A}"/>
    <cellStyle name="Comma 4 2 3 5 2 2" xfId="17927" xr:uid="{F82A3B35-9B23-44A5-9931-EA64310E5BE8}"/>
    <cellStyle name="Comma 4 2 3 5 2 2 2" xfId="54435" xr:uid="{7093390B-99EA-4139-91BD-B4211D53BC5D}"/>
    <cellStyle name="Comma 4 2 3 5 2 2 3" xfId="36181" xr:uid="{BF5A9F4D-021B-42FB-B71C-E94DED29CD82}"/>
    <cellStyle name="Comma 4 2 3 5 2 3" xfId="14277" xr:uid="{15ADC099-DE55-4B0C-8833-8DB28C051756}"/>
    <cellStyle name="Comma 4 2 3 5 2 3 2" xfId="50785" xr:uid="{ADA88513-2205-4718-9426-532E92730399}"/>
    <cellStyle name="Comma 4 2 3 5 2 3 3" xfId="32531" xr:uid="{9D4C13A9-84DB-495E-AD82-1261D667F0FF}"/>
    <cellStyle name="Comma 4 2 3 5 2 4" xfId="10627" xr:uid="{7BFA4196-C042-40AF-A1E1-25643AC32392}"/>
    <cellStyle name="Comma 4 2 3 5 2 4 2" xfId="47135" xr:uid="{625F14E6-1302-47AC-A802-6B3095FF34FB}"/>
    <cellStyle name="Comma 4 2 3 5 2 4 3" xfId="28881" xr:uid="{0123395A-8CB2-4508-AE5D-59518471A2DE}"/>
    <cellStyle name="Comma 4 2 3 5 2 5" xfId="6977" xr:uid="{8EA74E92-9146-4B55-98EC-5CC1B52E4BC5}"/>
    <cellStyle name="Comma 4 2 3 5 2 5 2" xfId="43485" xr:uid="{72C12D23-C929-4D0C-B2DB-0F551DF789D6}"/>
    <cellStyle name="Comma 4 2 3 5 2 5 3" xfId="25231" xr:uid="{29E732A9-3CD5-48C1-AC6A-EBBD6F049784}"/>
    <cellStyle name="Comma 4 2 3 5 2 6" xfId="39835" xr:uid="{0584EAF0-46C2-4FDE-964A-E2BF69D284FF}"/>
    <cellStyle name="Comma 4 2 3 5 2 7" xfId="21581" xr:uid="{28E6FCB2-38A0-4716-8933-55E48FA0E28F}"/>
    <cellStyle name="Comma 4 2 3 5 3" xfId="2597" xr:uid="{F1262051-A67B-465E-A0AD-0DF3F6511B18}"/>
    <cellStyle name="Comma 4 2 3 5 3 2" xfId="17197" xr:uid="{70D345CF-3674-470E-99E9-8E079FD0780D}"/>
    <cellStyle name="Comma 4 2 3 5 3 2 2" xfId="53705" xr:uid="{F06924C0-32DC-4D34-86EC-ECB7E8C7BF53}"/>
    <cellStyle name="Comma 4 2 3 5 3 2 3" xfId="35451" xr:uid="{45BC600A-F1C3-4259-9691-56468B64DC0A}"/>
    <cellStyle name="Comma 4 2 3 5 3 3" xfId="13547" xr:uid="{4CE89EF6-A9DD-4450-9AAC-405C84E896D0}"/>
    <cellStyle name="Comma 4 2 3 5 3 3 2" xfId="50055" xr:uid="{D198D445-3195-440B-8F0D-3D60F47312B9}"/>
    <cellStyle name="Comma 4 2 3 5 3 3 3" xfId="31801" xr:uid="{8B0AB9FE-1422-4E96-A95D-50ADF6BCCEE8}"/>
    <cellStyle name="Comma 4 2 3 5 3 4" xfId="9897" xr:uid="{EC29A3A1-9577-4D47-9428-658F7055491A}"/>
    <cellStyle name="Comma 4 2 3 5 3 4 2" xfId="46405" xr:uid="{8E0FF2D9-7DDD-408D-957D-36B4A387CE96}"/>
    <cellStyle name="Comma 4 2 3 5 3 4 3" xfId="28151" xr:uid="{040CA9D1-1F33-4A2A-ACF8-7296A6908303}"/>
    <cellStyle name="Comma 4 2 3 5 3 5" xfId="6247" xr:uid="{0CE94E0E-1F35-4FF5-8BE7-FB706D55B263}"/>
    <cellStyle name="Comma 4 2 3 5 3 5 2" xfId="42755" xr:uid="{35F1BB88-EC1F-4A2F-B4D3-E3E75781640B}"/>
    <cellStyle name="Comma 4 2 3 5 3 5 3" xfId="24501" xr:uid="{1025AEC6-E812-4507-A5D3-7751989C9749}"/>
    <cellStyle name="Comma 4 2 3 5 3 6" xfId="39105" xr:uid="{B691B7E7-47F4-494D-BC3A-D78F5AAD286B}"/>
    <cellStyle name="Comma 4 2 3 5 3 7" xfId="20851" xr:uid="{0E284F7F-6064-4742-811D-DF2FC6059EAA}"/>
    <cellStyle name="Comma 4 2 3 5 4" xfId="1867" xr:uid="{5DA3858B-A465-4F20-A329-55EDBBD044DF}"/>
    <cellStyle name="Comma 4 2 3 5 4 2" xfId="16467" xr:uid="{72262804-7174-45C8-A468-7B0A5A7691F7}"/>
    <cellStyle name="Comma 4 2 3 5 4 2 2" xfId="52975" xr:uid="{59156E01-2808-44D4-BBA1-0F307788EE87}"/>
    <cellStyle name="Comma 4 2 3 5 4 2 3" xfId="34721" xr:uid="{ADB0F68D-7D26-40AA-BBCC-F29C4A9816A6}"/>
    <cellStyle name="Comma 4 2 3 5 4 3" xfId="12817" xr:uid="{9C41154F-1B21-4D16-BE2E-F563C30FE2E5}"/>
    <cellStyle name="Comma 4 2 3 5 4 3 2" xfId="49325" xr:uid="{7A84833F-F87B-41BF-94A9-D201D87D035B}"/>
    <cellStyle name="Comma 4 2 3 5 4 3 3" xfId="31071" xr:uid="{A0BB9B89-0508-4A89-899E-85993185280D}"/>
    <cellStyle name="Comma 4 2 3 5 4 4" xfId="9167" xr:uid="{4420D65A-A831-4DF2-8CDC-856E625AF66E}"/>
    <cellStyle name="Comma 4 2 3 5 4 4 2" xfId="45675" xr:uid="{E16C01B5-B23D-4564-A2DA-B5147D2D5E34}"/>
    <cellStyle name="Comma 4 2 3 5 4 4 3" xfId="27421" xr:uid="{EA599A6F-AA81-4211-BE1B-F31CF3B2B6F3}"/>
    <cellStyle name="Comma 4 2 3 5 4 5" xfId="5517" xr:uid="{3D696F79-6C60-4583-93AC-C405577CB9E2}"/>
    <cellStyle name="Comma 4 2 3 5 4 5 2" xfId="42025" xr:uid="{6FB3B13E-DB22-411F-A701-A3A387477BFA}"/>
    <cellStyle name="Comma 4 2 3 5 4 5 3" xfId="23771" xr:uid="{54C23FF9-4D9D-445D-9266-E967C8D2F961}"/>
    <cellStyle name="Comma 4 2 3 5 4 6" xfId="38375" xr:uid="{93D848B8-9396-4535-AFE1-4F88FE500BE4}"/>
    <cellStyle name="Comma 4 2 3 5 4 7" xfId="20121" xr:uid="{3FB1CA20-4174-4C6C-BAE4-581B77FA0140}"/>
    <cellStyle name="Comma 4 2 3 5 5" xfId="1137" xr:uid="{926493A0-FFC7-4F6E-BBE3-586F6A1DB20C}"/>
    <cellStyle name="Comma 4 2 3 5 5 2" xfId="15737" xr:uid="{D078F025-76B4-4BC0-B683-FFA137D37207}"/>
    <cellStyle name="Comma 4 2 3 5 5 2 2" xfId="52245" xr:uid="{C1AFCF40-DEC6-44D3-ACFF-68C1E75412F5}"/>
    <cellStyle name="Comma 4 2 3 5 5 2 3" xfId="33991" xr:uid="{803A4682-A71C-45DE-A7F9-931FBCC7FBEC}"/>
    <cellStyle name="Comma 4 2 3 5 5 3" xfId="12087" xr:uid="{79D2AB12-B5B4-46EE-862E-E6B6E4463C6C}"/>
    <cellStyle name="Comma 4 2 3 5 5 3 2" xfId="48595" xr:uid="{ED9B62F3-557C-4425-907C-B83EF3740F6D}"/>
    <cellStyle name="Comma 4 2 3 5 5 3 3" xfId="30341" xr:uid="{B9EC2E32-A2F8-4148-AC73-44EC8AA2A9DA}"/>
    <cellStyle name="Comma 4 2 3 5 5 4" xfId="8437" xr:uid="{332DC28D-6671-4DB8-BFB5-D7022507C32A}"/>
    <cellStyle name="Comma 4 2 3 5 5 4 2" xfId="44945" xr:uid="{2D32C917-0D44-41F8-AAB7-DB5500975D80}"/>
    <cellStyle name="Comma 4 2 3 5 5 4 3" xfId="26691" xr:uid="{EE9AA004-38CB-4E8D-B0CC-5E1D98E0EBA4}"/>
    <cellStyle name="Comma 4 2 3 5 5 5" xfId="4787" xr:uid="{6F420478-B587-4682-A5AB-CE3B8BA5A229}"/>
    <cellStyle name="Comma 4 2 3 5 5 5 2" xfId="41295" xr:uid="{B6B9E88B-F072-417A-8B15-E341C6C5B7D5}"/>
    <cellStyle name="Comma 4 2 3 5 5 5 3" xfId="23041" xr:uid="{C82E387B-7FF1-454C-A39B-CAB148128B81}"/>
    <cellStyle name="Comma 4 2 3 5 5 6" xfId="37645" xr:uid="{CF86DFD3-382E-4BCA-BDB8-A1A701CFD73F}"/>
    <cellStyle name="Comma 4 2 3 5 5 7" xfId="19391" xr:uid="{37E6ED7C-410F-44A0-BA05-6361D4AA90CE}"/>
    <cellStyle name="Comma 4 2 3 5 6" xfId="15007" xr:uid="{03B9DDE1-BF9F-4A48-9E4C-E5BE32E7FCAF}"/>
    <cellStyle name="Comma 4 2 3 5 6 2" xfId="51515" xr:uid="{F4C5E33E-79C9-48D4-B0FB-07089507EDFC}"/>
    <cellStyle name="Comma 4 2 3 5 6 3" xfId="33261" xr:uid="{91242F3B-3211-43DB-89BC-0D54ED188C2E}"/>
    <cellStyle name="Comma 4 2 3 5 7" xfId="11357" xr:uid="{B77B4EF0-BBC2-440C-A905-837FCE54B829}"/>
    <cellStyle name="Comma 4 2 3 5 7 2" xfId="47865" xr:uid="{538475CC-789F-4669-AD00-4E7D82254EBE}"/>
    <cellStyle name="Comma 4 2 3 5 7 3" xfId="29611" xr:uid="{4CC05A43-01CE-4216-B611-7033CA9329DE}"/>
    <cellStyle name="Comma 4 2 3 5 8" xfId="7707" xr:uid="{15F3919A-2116-44DD-B701-47AAE88D49EC}"/>
    <cellStyle name="Comma 4 2 3 5 8 2" xfId="44215" xr:uid="{3A16453D-8F6D-4AB3-AB6F-E0857984BD10}"/>
    <cellStyle name="Comma 4 2 3 5 8 3" xfId="25961" xr:uid="{66F0EEFB-0335-44FC-B953-13754B11E4A9}"/>
    <cellStyle name="Comma 4 2 3 5 9" xfId="4057" xr:uid="{AE0440D9-5836-4C9E-8F12-EE59BBFB98EC}"/>
    <cellStyle name="Comma 4 2 3 5 9 2" xfId="40565" xr:uid="{88B37A89-7C2D-40C1-8023-A8B053439CA5}"/>
    <cellStyle name="Comma 4 2 3 5 9 3" xfId="22311" xr:uid="{81E300C4-6100-4FFB-A974-D90DF2BF54DB}"/>
    <cellStyle name="Comma 4 2 3 6" xfId="303" xr:uid="{82E4F827-B88E-44BB-B46D-08ECE5F7D9E8}"/>
    <cellStyle name="Comma 4 2 3 6 10" xfId="36811" xr:uid="{9A61BD27-BB51-42AB-AFD5-99BDAECE2B5A}"/>
    <cellStyle name="Comma 4 2 3 6 11" xfId="18557" xr:uid="{275D3F7D-92B2-48A5-BE35-065F593C6FEC}"/>
    <cellStyle name="Comma 4 2 3 6 2" xfId="3223" xr:uid="{E4841AFD-7EF8-4244-9951-95FC6C8BE369}"/>
    <cellStyle name="Comma 4 2 3 6 2 2" xfId="17823" xr:uid="{3C6BA1D7-82B9-4629-8C49-A77124AB680D}"/>
    <cellStyle name="Comma 4 2 3 6 2 2 2" xfId="54331" xr:uid="{81021C4B-CE8F-4747-8F83-F60BABBC58E5}"/>
    <cellStyle name="Comma 4 2 3 6 2 2 3" xfId="36077" xr:uid="{89F7B827-DC92-469F-BD42-B8563283273C}"/>
    <cellStyle name="Comma 4 2 3 6 2 3" xfId="14173" xr:uid="{8DF9D1DF-42B1-4F08-9962-6EBD5D432FA4}"/>
    <cellStyle name="Comma 4 2 3 6 2 3 2" xfId="50681" xr:uid="{F2964C0E-F70F-49D5-9D47-4C4AF266ACEA}"/>
    <cellStyle name="Comma 4 2 3 6 2 3 3" xfId="32427" xr:uid="{6268F995-85A3-41B6-876C-BA8837F77CFE}"/>
    <cellStyle name="Comma 4 2 3 6 2 4" xfId="10523" xr:uid="{DBFBC666-AE3A-49F6-8CC0-9F3A2E23A93B}"/>
    <cellStyle name="Comma 4 2 3 6 2 4 2" xfId="47031" xr:uid="{6A43B015-CC03-4110-9D8E-412AFB466B5F}"/>
    <cellStyle name="Comma 4 2 3 6 2 4 3" xfId="28777" xr:uid="{2511D838-8AE5-4DAB-8830-13935EBEDBDF}"/>
    <cellStyle name="Comma 4 2 3 6 2 5" xfId="6873" xr:uid="{D9E64448-B79E-45C7-90F6-D0771F5E616C}"/>
    <cellStyle name="Comma 4 2 3 6 2 5 2" xfId="43381" xr:uid="{4AD53A24-F913-4AD1-BBE1-40230E11E0C6}"/>
    <cellStyle name="Comma 4 2 3 6 2 5 3" xfId="25127" xr:uid="{B1EE60AE-68FE-44F2-8DFF-36707AAFD842}"/>
    <cellStyle name="Comma 4 2 3 6 2 6" xfId="39731" xr:uid="{1FE87284-C3B5-4FC7-9F6A-9A84F8C302DA}"/>
    <cellStyle name="Comma 4 2 3 6 2 7" xfId="21477" xr:uid="{4B0FD92B-A5EF-4C82-B262-956CB8501D1E}"/>
    <cellStyle name="Comma 4 2 3 6 3" xfId="2493" xr:uid="{E9E71B75-46D3-43ED-B876-2457C0A0CB2B}"/>
    <cellStyle name="Comma 4 2 3 6 3 2" xfId="17093" xr:uid="{83487292-4D56-4C78-ACCD-A152AD62FABB}"/>
    <cellStyle name="Comma 4 2 3 6 3 2 2" xfId="53601" xr:uid="{E391D61D-6A1A-481E-9D8F-90C8D7B32498}"/>
    <cellStyle name="Comma 4 2 3 6 3 2 3" xfId="35347" xr:uid="{6AE55CB0-C1DC-444B-831C-867F936CB1FE}"/>
    <cellStyle name="Comma 4 2 3 6 3 3" xfId="13443" xr:uid="{5DE725EE-121A-455D-99D6-26B9BE17F7C2}"/>
    <cellStyle name="Comma 4 2 3 6 3 3 2" xfId="49951" xr:uid="{5C251F7F-AA30-4D02-9981-C5E289F2C154}"/>
    <cellStyle name="Comma 4 2 3 6 3 3 3" xfId="31697" xr:uid="{D780014C-B095-4A0F-8D0E-FCF0CF26AEFA}"/>
    <cellStyle name="Comma 4 2 3 6 3 4" xfId="9793" xr:uid="{6BA36F5B-46E2-4DE2-8CB4-57F7901F9F2D}"/>
    <cellStyle name="Comma 4 2 3 6 3 4 2" xfId="46301" xr:uid="{3C8C06D2-B4A9-4B5B-A5D6-2DDC63207EDC}"/>
    <cellStyle name="Comma 4 2 3 6 3 4 3" xfId="28047" xr:uid="{E846B489-34FD-44A1-BCFB-9947FEE4443C}"/>
    <cellStyle name="Comma 4 2 3 6 3 5" xfId="6143" xr:uid="{A147B9DB-5DFD-4C47-A946-27C240D06F4D}"/>
    <cellStyle name="Comma 4 2 3 6 3 5 2" xfId="42651" xr:uid="{2A2B783C-6F13-40DD-A58D-47DF0350A4BA}"/>
    <cellStyle name="Comma 4 2 3 6 3 5 3" xfId="24397" xr:uid="{1FA1E4A2-2975-4FB4-8970-107BC1A0ADD8}"/>
    <cellStyle name="Comma 4 2 3 6 3 6" xfId="39001" xr:uid="{E58705B7-B40E-4FD3-B9A3-9D9725D36C37}"/>
    <cellStyle name="Comma 4 2 3 6 3 7" xfId="20747" xr:uid="{1B888C78-9F25-4D56-8DCB-065B57DE028E}"/>
    <cellStyle name="Comma 4 2 3 6 4" xfId="1763" xr:uid="{8CD89D27-E20C-4AB9-BA67-E6041DA2196A}"/>
    <cellStyle name="Comma 4 2 3 6 4 2" xfId="16363" xr:uid="{4526868B-7997-4196-9F2C-9BF98E42DFE7}"/>
    <cellStyle name="Comma 4 2 3 6 4 2 2" xfId="52871" xr:uid="{F30B9FAD-E9D4-411D-B785-0CDD90913920}"/>
    <cellStyle name="Comma 4 2 3 6 4 2 3" xfId="34617" xr:uid="{ADF0E6A9-4471-47F3-86C4-3613786BC54A}"/>
    <cellStyle name="Comma 4 2 3 6 4 3" xfId="12713" xr:uid="{71377DB6-865A-40AC-AB91-0285D4E3266C}"/>
    <cellStyle name="Comma 4 2 3 6 4 3 2" xfId="49221" xr:uid="{DDCF29B9-8A70-4D70-BBDB-A87F503AF91F}"/>
    <cellStyle name="Comma 4 2 3 6 4 3 3" xfId="30967" xr:uid="{F7715BE8-F802-4717-AAEB-07FEA44B22D8}"/>
    <cellStyle name="Comma 4 2 3 6 4 4" xfId="9063" xr:uid="{4A71B48E-6DF2-45DE-9DD2-8ABA5570219B}"/>
    <cellStyle name="Comma 4 2 3 6 4 4 2" xfId="45571" xr:uid="{C1090BDA-F48A-4455-A77F-9B9D2889D6DB}"/>
    <cellStyle name="Comma 4 2 3 6 4 4 3" xfId="27317" xr:uid="{3429A508-806D-4364-83DA-4EB58E92F622}"/>
    <cellStyle name="Comma 4 2 3 6 4 5" xfId="5413" xr:uid="{105826D7-C996-49C2-B779-C8B45EDB50D1}"/>
    <cellStyle name="Comma 4 2 3 6 4 5 2" xfId="41921" xr:uid="{EBA8D4C9-B283-4550-9CDC-5C4AB8AC62D0}"/>
    <cellStyle name="Comma 4 2 3 6 4 5 3" xfId="23667" xr:uid="{2156CEC8-A9FA-4D26-9CE6-5FDC9388257E}"/>
    <cellStyle name="Comma 4 2 3 6 4 6" xfId="38271" xr:uid="{A2BF83C7-28E4-4C01-8526-B8CF70CFD902}"/>
    <cellStyle name="Comma 4 2 3 6 4 7" xfId="20017" xr:uid="{96549E87-3478-4818-B324-9971CCCB095A}"/>
    <cellStyle name="Comma 4 2 3 6 5" xfId="1033" xr:uid="{4915C904-4999-416F-8787-881552A37341}"/>
    <cellStyle name="Comma 4 2 3 6 5 2" xfId="15633" xr:uid="{6C2B4EAC-40D3-4756-A48A-91B9257643CD}"/>
    <cellStyle name="Comma 4 2 3 6 5 2 2" xfId="52141" xr:uid="{2FE5B027-2896-4654-986B-B8EC9F3356E8}"/>
    <cellStyle name="Comma 4 2 3 6 5 2 3" xfId="33887" xr:uid="{AFF20B7F-4588-45B7-9391-1A012A44DDD1}"/>
    <cellStyle name="Comma 4 2 3 6 5 3" xfId="11983" xr:uid="{224D77A8-CD72-4F16-8B41-29157AF06535}"/>
    <cellStyle name="Comma 4 2 3 6 5 3 2" xfId="48491" xr:uid="{7FBCAB0B-3402-4C74-9C85-264BEC8FF565}"/>
    <cellStyle name="Comma 4 2 3 6 5 3 3" xfId="30237" xr:uid="{2DF6CBDD-6988-4CAE-9F98-34316F482901}"/>
    <cellStyle name="Comma 4 2 3 6 5 4" xfId="8333" xr:uid="{25D052CB-21EE-4A3C-A986-4BC78FB548B0}"/>
    <cellStyle name="Comma 4 2 3 6 5 4 2" xfId="44841" xr:uid="{30F0444A-FAB1-48F2-84B5-664E130C8D06}"/>
    <cellStyle name="Comma 4 2 3 6 5 4 3" xfId="26587" xr:uid="{F37C669B-C3F1-4D7D-912E-710A0DC4F09C}"/>
    <cellStyle name="Comma 4 2 3 6 5 5" xfId="4683" xr:uid="{6A11B2F7-757D-4888-BB49-1EE2CA93DD2B}"/>
    <cellStyle name="Comma 4 2 3 6 5 5 2" xfId="41191" xr:uid="{7692DD95-7681-4EE9-A70B-0464AC68F074}"/>
    <cellStyle name="Comma 4 2 3 6 5 5 3" xfId="22937" xr:uid="{E2958E2D-9C80-4CEC-871B-DE7DAEC354AF}"/>
    <cellStyle name="Comma 4 2 3 6 5 6" xfId="37541" xr:uid="{BEDC94A1-EB56-4473-8322-B942D58E5AB5}"/>
    <cellStyle name="Comma 4 2 3 6 5 7" xfId="19287" xr:uid="{161CF153-E8CD-4B1B-AA17-D3513383D7E9}"/>
    <cellStyle name="Comma 4 2 3 6 6" xfId="14903" xr:uid="{7CF9AA8A-C3A5-4A1F-BEA6-58362302AB41}"/>
    <cellStyle name="Comma 4 2 3 6 6 2" xfId="51411" xr:uid="{FA248F78-0CD1-440A-9209-333CFA981EB3}"/>
    <cellStyle name="Comma 4 2 3 6 6 3" xfId="33157" xr:uid="{50FF2C52-9250-4422-ABE8-9D4A07B24264}"/>
    <cellStyle name="Comma 4 2 3 6 7" xfId="11253" xr:uid="{B2E426CA-ECEB-41AA-9661-778AB4CB1887}"/>
    <cellStyle name="Comma 4 2 3 6 7 2" xfId="47761" xr:uid="{359F9A55-4FF6-4FF7-94B8-2948B1EB133D}"/>
    <cellStyle name="Comma 4 2 3 6 7 3" xfId="29507" xr:uid="{8E9F174E-49E0-48EE-A434-B5E7DA9419F4}"/>
    <cellStyle name="Comma 4 2 3 6 8" xfId="7603" xr:uid="{9A416897-E0C5-4965-BDE9-DD614E2379E1}"/>
    <cellStyle name="Comma 4 2 3 6 8 2" xfId="44111" xr:uid="{74091880-3E91-4E84-8A59-BDE3B1ADB37A}"/>
    <cellStyle name="Comma 4 2 3 6 8 3" xfId="25857" xr:uid="{B107C2BB-9A0C-4A91-8F7A-6ECBE53D87BE}"/>
    <cellStyle name="Comma 4 2 3 6 9" xfId="3953" xr:uid="{B275952F-E93B-4C25-8E35-C2EF9F45EC8B}"/>
    <cellStyle name="Comma 4 2 3 6 9 2" xfId="40461" xr:uid="{9521BC8E-281B-4CC1-A59C-AE36A7177F53}"/>
    <cellStyle name="Comma 4 2 3 6 9 3" xfId="22207" xr:uid="{FA229415-79F3-4FD0-B347-01A8B06F2209}"/>
    <cellStyle name="Comma 4 2 3 7" xfId="199" xr:uid="{A1B9576A-A04F-4982-BD4A-CA984BEDC798}"/>
    <cellStyle name="Comma 4 2 3 7 10" xfId="36707" xr:uid="{B068100B-8360-4FE7-9EFA-9CAE9E638AC5}"/>
    <cellStyle name="Comma 4 2 3 7 11" xfId="18453" xr:uid="{E0AFBE51-BCDC-451C-BA40-A4D560F82147}"/>
    <cellStyle name="Comma 4 2 3 7 2" xfId="3119" xr:uid="{32B95516-9194-425B-8C6E-D07F6338AEB1}"/>
    <cellStyle name="Comma 4 2 3 7 2 2" xfId="17719" xr:uid="{0635DA1B-2EAB-41DC-B1CF-D030F67B6DC7}"/>
    <cellStyle name="Comma 4 2 3 7 2 2 2" xfId="54227" xr:uid="{6EC83A25-A58D-4065-B74F-68BA6827E090}"/>
    <cellStyle name="Comma 4 2 3 7 2 2 3" xfId="35973" xr:uid="{4799EE85-69FC-4864-85F0-139A0C0434B5}"/>
    <cellStyle name="Comma 4 2 3 7 2 3" xfId="14069" xr:uid="{C62B1F65-9C0B-4C24-BBAB-0FCDC38E458C}"/>
    <cellStyle name="Comma 4 2 3 7 2 3 2" xfId="50577" xr:uid="{DB310CB5-7F4D-4005-92D7-81600DA50233}"/>
    <cellStyle name="Comma 4 2 3 7 2 3 3" xfId="32323" xr:uid="{38C5A443-E185-410F-BE39-D719ED430DA9}"/>
    <cellStyle name="Comma 4 2 3 7 2 4" xfId="10419" xr:uid="{26421AEF-870E-4334-970B-219D673ABA30}"/>
    <cellStyle name="Comma 4 2 3 7 2 4 2" xfId="46927" xr:uid="{01DCBFD2-CDBC-4C69-B124-A2F37F07B3CD}"/>
    <cellStyle name="Comma 4 2 3 7 2 4 3" xfId="28673" xr:uid="{FDED1EC9-12B1-4550-8A4D-AA0C4BB4C724}"/>
    <cellStyle name="Comma 4 2 3 7 2 5" xfId="6769" xr:uid="{909FF8B7-5C0F-4A36-A178-89681B50138A}"/>
    <cellStyle name="Comma 4 2 3 7 2 5 2" xfId="43277" xr:uid="{C465F3A7-0064-40BF-A56E-8D970262B629}"/>
    <cellStyle name="Comma 4 2 3 7 2 5 3" xfId="25023" xr:uid="{75D56E4D-652C-4217-A00E-FD86EFE1AF14}"/>
    <cellStyle name="Comma 4 2 3 7 2 6" xfId="39627" xr:uid="{7CBFF033-1C88-4375-8F68-4689761CD6C6}"/>
    <cellStyle name="Comma 4 2 3 7 2 7" xfId="21373" xr:uid="{6CE69241-4AB8-4DD6-8158-23AC0E9F2D2F}"/>
    <cellStyle name="Comma 4 2 3 7 3" xfId="2389" xr:uid="{30F28D4E-1929-4B24-809A-9CB420C487CD}"/>
    <cellStyle name="Comma 4 2 3 7 3 2" xfId="16989" xr:uid="{28BB0A12-724D-4697-B545-FC8F703E5FE9}"/>
    <cellStyle name="Comma 4 2 3 7 3 2 2" xfId="53497" xr:uid="{F6F96FEF-22E2-47D1-9720-8FB5F60BC590}"/>
    <cellStyle name="Comma 4 2 3 7 3 2 3" xfId="35243" xr:uid="{89143053-B32B-48F1-93BC-3D2D2976BA9D}"/>
    <cellStyle name="Comma 4 2 3 7 3 3" xfId="13339" xr:uid="{CD2B4D7E-D06E-49F8-B413-49C4805D1CC6}"/>
    <cellStyle name="Comma 4 2 3 7 3 3 2" xfId="49847" xr:uid="{872C6D46-1E89-49F7-B941-158395C48793}"/>
    <cellStyle name="Comma 4 2 3 7 3 3 3" xfId="31593" xr:uid="{698797D2-4A48-4AC3-9A1E-5CBCCAB81E03}"/>
    <cellStyle name="Comma 4 2 3 7 3 4" xfId="9689" xr:uid="{99C73E22-B4D5-449A-9534-EC5E142FAE4B}"/>
    <cellStyle name="Comma 4 2 3 7 3 4 2" xfId="46197" xr:uid="{E80359CE-BC54-440C-9F68-21B467942636}"/>
    <cellStyle name="Comma 4 2 3 7 3 4 3" xfId="27943" xr:uid="{26D077F1-89B7-489B-B22D-1FC5AD5C7197}"/>
    <cellStyle name="Comma 4 2 3 7 3 5" xfId="6039" xr:uid="{1521DEDE-1374-445B-9E29-F3938B1AAA22}"/>
    <cellStyle name="Comma 4 2 3 7 3 5 2" xfId="42547" xr:uid="{E2081D79-39C3-4998-A53D-38E59E54E7FE}"/>
    <cellStyle name="Comma 4 2 3 7 3 5 3" xfId="24293" xr:uid="{918EEE9E-2F85-4426-B27B-F3415C1D29B1}"/>
    <cellStyle name="Comma 4 2 3 7 3 6" xfId="38897" xr:uid="{966B4BC8-F455-4DE0-B85A-4DBB5E635ADB}"/>
    <cellStyle name="Comma 4 2 3 7 3 7" xfId="20643" xr:uid="{EB5FE652-996B-4363-8D78-E807D3E797DA}"/>
    <cellStyle name="Comma 4 2 3 7 4" xfId="1659" xr:uid="{A47B06CD-B9BB-479E-B85F-B4C2069BA21E}"/>
    <cellStyle name="Comma 4 2 3 7 4 2" xfId="16259" xr:uid="{F0BCDE1D-888A-4E32-A28C-F80C5DE18A71}"/>
    <cellStyle name="Comma 4 2 3 7 4 2 2" xfId="52767" xr:uid="{005D383E-A349-45EE-BAD6-80CCA58C8889}"/>
    <cellStyle name="Comma 4 2 3 7 4 2 3" xfId="34513" xr:uid="{20F0EA61-C96F-4129-8FCF-3D7F38B932C6}"/>
    <cellStyle name="Comma 4 2 3 7 4 3" xfId="12609" xr:uid="{EB70F54D-9938-48F2-BC74-1D66DB48A16A}"/>
    <cellStyle name="Comma 4 2 3 7 4 3 2" xfId="49117" xr:uid="{C477028F-8796-4141-A7BC-271ED3E5BAF5}"/>
    <cellStyle name="Comma 4 2 3 7 4 3 3" xfId="30863" xr:uid="{8B65BC19-A54D-42E3-9FA3-A5C5F4B3EBB7}"/>
    <cellStyle name="Comma 4 2 3 7 4 4" xfId="8959" xr:uid="{07E6FE09-071B-4552-B85D-1FE175899112}"/>
    <cellStyle name="Comma 4 2 3 7 4 4 2" xfId="45467" xr:uid="{6DBB4038-870D-4696-82D8-24C6B64DB613}"/>
    <cellStyle name="Comma 4 2 3 7 4 4 3" xfId="27213" xr:uid="{67FDE332-6BB8-4151-8557-780B3B917BA2}"/>
    <cellStyle name="Comma 4 2 3 7 4 5" xfId="5309" xr:uid="{B77C1F9F-A08D-4F7F-9C12-1ED88A874CD8}"/>
    <cellStyle name="Comma 4 2 3 7 4 5 2" xfId="41817" xr:uid="{19DCC615-A93D-47E5-B358-84C79B37F859}"/>
    <cellStyle name="Comma 4 2 3 7 4 5 3" xfId="23563" xr:uid="{8933DA14-03AD-444F-BA98-690593A7D9CB}"/>
    <cellStyle name="Comma 4 2 3 7 4 6" xfId="38167" xr:uid="{B852D7B3-A702-4E74-915B-7CA08E16904D}"/>
    <cellStyle name="Comma 4 2 3 7 4 7" xfId="19913" xr:uid="{B34ECCED-B530-4657-9429-D523E8680B37}"/>
    <cellStyle name="Comma 4 2 3 7 5" xfId="929" xr:uid="{C00E7F78-AEEF-4967-A820-B70536341220}"/>
    <cellStyle name="Comma 4 2 3 7 5 2" xfId="15529" xr:uid="{A839DB05-6BC7-4B3C-BE4A-E2136EB3B71C}"/>
    <cellStyle name="Comma 4 2 3 7 5 2 2" xfId="52037" xr:uid="{2BE19D7E-E4F6-4ADF-9E80-4497232FFCA3}"/>
    <cellStyle name="Comma 4 2 3 7 5 2 3" xfId="33783" xr:uid="{9C2A979D-A8A6-4225-8CFF-885316471EA6}"/>
    <cellStyle name="Comma 4 2 3 7 5 3" xfId="11879" xr:uid="{FC1CD284-3924-4AA8-9FAB-B50E0D363814}"/>
    <cellStyle name="Comma 4 2 3 7 5 3 2" xfId="48387" xr:uid="{5B65A80C-7993-4C4F-8B27-320E2084DBF8}"/>
    <cellStyle name="Comma 4 2 3 7 5 3 3" xfId="30133" xr:uid="{2E566C45-9B0E-4278-A784-9553C0DCE15B}"/>
    <cellStyle name="Comma 4 2 3 7 5 4" xfId="8229" xr:uid="{2F836CA5-F65C-48BE-A342-350B917FC66D}"/>
    <cellStyle name="Comma 4 2 3 7 5 4 2" xfId="44737" xr:uid="{F502DDA8-D9CA-4823-B3FB-6018DC7C4BF8}"/>
    <cellStyle name="Comma 4 2 3 7 5 4 3" xfId="26483" xr:uid="{5A68BCBB-C61C-4B04-BA2E-3B39A7A87BAD}"/>
    <cellStyle name="Comma 4 2 3 7 5 5" xfId="4579" xr:uid="{D78F49BC-0F71-4DCE-82DE-0755C70F289A}"/>
    <cellStyle name="Comma 4 2 3 7 5 5 2" xfId="41087" xr:uid="{C46E7296-2325-496F-8E3A-22D736FB1FBD}"/>
    <cellStyle name="Comma 4 2 3 7 5 5 3" xfId="22833" xr:uid="{EB671FE8-A96C-4CEE-9FC8-E23D6D385F35}"/>
    <cellStyle name="Comma 4 2 3 7 5 6" xfId="37437" xr:uid="{DE422959-E869-4E86-A6ED-F8F6EE849ECD}"/>
    <cellStyle name="Comma 4 2 3 7 5 7" xfId="19183" xr:uid="{6E314BC7-3981-432E-8E64-D29DF08A4917}"/>
    <cellStyle name="Comma 4 2 3 7 6" xfId="14799" xr:uid="{70D8886F-05CB-44CC-A9AD-DDD35A79C425}"/>
    <cellStyle name="Comma 4 2 3 7 6 2" xfId="51307" xr:uid="{628D1802-34F7-4E02-B2A6-73BCC169BAD5}"/>
    <cellStyle name="Comma 4 2 3 7 6 3" xfId="33053" xr:uid="{917D3CB7-E986-421B-8EAF-CDBAA5B9C7FF}"/>
    <cellStyle name="Comma 4 2 3 7 7" xfId="11149" xr:uid="{685F7ECA-C661-4756-8149-6858B72A4FAC}"/>
    <cellStyle name="Comma 4 2 3 7 7 2" xfId="47657" xr:uid="{A074B1D7-2998-4E0D-8FBE-B80FD9AB1A38}"/>
    <cellStyle name="Comma 4 2 3 7 7 3" xfId="29403" xr:uid="{A18C382D-91A5-41C7-AE8B-6CD7A4C6C19D}"/>
    <cellStyle name="Comma 4 2 3 7 8" xfId="7499" xr:uid="{7C59539D-6A88-48E3-B1C9-DBA15745A720}"/>
    <cellStyle name="Comma 4 2 3 7 8 2" xfId="44007" xr:uid="{D60E3C6B-AEB2-4AC4-89D4-6B990694C187}"/>
    <cellStyle name="Comma 4 2 3 7 8 3" xfId="25753" xr:uid="{AD67213F-D709-4297-B1AB-166E066A9921}"/>
    <cellStyle name="Comma 4 2 3 7 9" xfId="3849" xr:uid="{076899B4-3A19-49CC-B944-C6225900E614}"/>
    <cellStyle name="Comma 4 2 3 7 9 2" xfId="40357" xr:uid="{A11F190C-A3DA-4659-B5CE-F72DAB1ACC07}"/>
    <cellStyle name="Comma 4 2 3 7 9 3" xfId="22103" xr:uid="{AAA97122-6D2C-4AB7-A9F0-760299068B29}"/>
    <cellStyle name="Comma 4 2 3 8" xfId="3015" xr:uid="{FD69CC18-8FFE-4AEA-8473-2E33828024C8}"/>
    <cellStyle name="Comma 4 2 3 8 2" xfId="17615" xr:uid="{054C75A3-CBEB-4C72-9FD3-B8BD893EB05A}"/>
    <cellStyle name="Comma 4 2 3 8 2 2" xfId="54123" xr:uid="{0BCB1A93-8599-40F7-BD33-96BBDD1E59F5}"/>
    <cellStyle name="Comma 4 2 3 8 2 3" xfId="35869" xr:uid="{25EA6957-39B6-4A74-948E-5858A9D63677}"/>
    <cellStyle name="Comma 4 2 3 8 3" xfId="13965" xr:uid="{AA30B57B-AF66-4D4C-B2BD-D3A8B27E5FEB}"/>
    <cellStyle name="Comma 4 2 3 8 3 2" xfId="50473" xr:uid="{4C7396A5-CFD2-4457-BC5B-AD61733F5A57}"/>
    <cellStyle name="Comma 4 2 3 8 3 3" xfId="32219" xr:uid="{D6E85D46-DE87-4054-BDBD-A2C5C28FD35A}"/>
    <cellStyle name="Comma 4 2 3 8 4" xfId="10315" xr:uid="{6A5CA5B2-0B1F-4041-80F1-F5FC9C9C5E12}"/>
    <cellStyle name="Comma 4 2 3 8 4 2" xfId="46823" xr:uid="{40715595-8B71-4496-907A-2765866BD6BB}"/>
    <cellStyle name="Comma 4 2 3 8 4 3" xfId="28569" xr:uid="{B20E936E-2F9A-4052-AA14-F491C236A59D}"/>
    <cellStyle name="Comma 4 2 3 8 5" xfId="6665" xr:uid="{D474B500-49DD-4D79-BA56-3DEE69FDEE63}"/>
    <cellStyle name="Comma 4 2 3 8 5 2" xfId="43173" xr:uid="{910024B9-2CCB-4078-A5A8-C81A7FC19CB7}"/>
    <cellStyle name="Comma 4 2 3 8 5 3" xfId="24919" xr:uid="{36886B51-2427-4E59-9A46-1B894813D611}"/>
    <cellStyle name="Comma 4 2 3 8 6" xfId="39523" xr:uid="{DDCC7E0E-1B3A-43C8-A8FA-B0CAF9E57B30}"/>
    <cellStyle name="Comma 4 2 3 8 7" xfId="21269" xr:uid="{306368B6-A4BC-41C2-B2F0-32027F011319}"/>
    <cellStyle name="Comma 4 2 3 9" xfId="2285" xr:uid="{ED86A419-2E46-41FF-B26D-8C1F1D00E520}"/>
    <cellStyle name="Comma 4 2 3 9 2" xfId="16885" xr:uid="{082E93F4-320B-4CC7-BD33-CFA9AC4F0296}"/>
    <cellStyle name="Comma 4 2 3 9 2 2" xfId="53393" xr:uid="{D5CFBD2C-1C51-40ED-AC41-5834F82EA6EF}"/>
    <cellStyle name="Comma 4 2 3 9 2 3" xfId="35139" xr:uid="{487CAF6C-D3C8-42D6-90F8-2AA40ADB79D5}"/>
    <cellStyle name="Comma 4 2 3 9 3" xfId="13235" xr:uid="{F38C5749-9AE7-4ADC-BDD1-31A7D2921E5D}"/>
    <cellStyle name="Comma 4 2 3 9 3 2" xfId="49743" xr:uid="{33F42470-6BB5-4FF7-8B09-46666D3241AF}"/>
    <cellStyle name="Comma 4 2 3 9 3 3" xfId="31489" xr:uid="{C4E7260E-EB4A-4006-989D-CC74A7D682B5}"/>
    <cellStyle name="Comma 4 2 3 9 4" xfId="9585" xr:uid="{5EE1E2E3-5758-4D5D-A27B-AAB082CC0E2F}"/>
    <cellStyle name="Comma 4 2 3 9 4 2" xfId="46093" xr:uid="{90DC676D-500B-4597-8403-40FF42C2670B}"/>
    <cellStyle name="Comma 4 2 3 9 4 3" xfId="27839" xr:uid="{761212A3-D477-4F94-AF25-1AA44BAA5E5B}"/>
    <cellStyle name="Comma 4 2 3 9 5" xfId="5935" xr:uid="{72303964-1D30-4612-80B3-E9951A822514}"/>
    <cellStyle name="Comma 4 2 3 9 5 2" xfId="42443" xr:uid="{936D353D-9A65-4CAA-8EE1-29770B1F7748}"/>
    <cellStyle name="Comma 4 2 3 9 5 3" xfId="24189" xr:uid="{707914AD-3875-4138-9E9B-680D73A81AA9}"/>
    <cellStyle name="Comma 4 2 3 9 6" xfId="38793" xr:uid="{4478022C-9B9B-472C-8971-0164564241A7}"/>
    <cellStyle name="Comma 4 2 3 9 7" xfId="20539" xr:uid="{D58AAD0E-9086-4A45-AF26-A4EE6FFDB07C}"/>
    <cellStyle name="Comma 4 2 4" xfId="57" xr:uid="{5D54640B-FB3D-4A70-93AF-B4E49E7A1231}"/>
    <cellStyle name="Comma 4 2 4 10" xfId="1523" xr:uid="{55C01B75-60F4-4F41-8DE6-DA849DF4CE33}"/>
    <cellStyle name="Comma 4 2 4 10 2" xfId="16123" xr:uid="{F7035F6F-D399-42CB-8FD8-F1D0A375FDBD}"/>
    <cellStyle name="Comma 4 2 4 10 2 2" xfId="52631" xr:uid="{39232760-B628-44D3-A3F1-E981F7590E10}"/>
    <cellStyle name="Comma 4 2 4 10 2 3" xfId="34377" xr:uid="{D241B152-F02F-46D6-9A99-1D387C3FF62B}"/>
    <cellStyle name="Comma 4 2 4 10 3" xfId="12473" xr:uid="{F86A7C14-7346-494A-9041-E7036FF8499F}"/>
    <cellStyle name="Comma 4 2 4 10 3 2" xfId="48981" xr:uid="{8AC29770-DB3F-4F1E-90C0-A35291C4CA86}"/>
    <cellStyle name="Comma 4 2 4 10 3 3" xfId="30727" xr:uid="{B87CA3C9-7956-4151-A340-1AC3A9437039}"/>
    <cellStyle name="Comma 4 2 4 10 4" xfId="8823" xr:uid="{C530697B-2878-4984-8F59-651B1E4F8DC6}"/>
    <cellStyle name="Comma 4 2 4 10 4 2" xfId="45331" xr:uid="{4A6AE80B-CD7E-4CEF-B06D-2267EE6EB0F1}"/>
    <cellStyle name="Comma 4 2 4 10 4 3" xfId="27077" xr:uid="{CB440D5E-787B-4267-AB53-CA1AB71DEF16}"/>
    <cellStyle name="Comma 4 2 4 10 5" xfId="5173" xr:uid="{D358A5F3-74AC-4206-858E-FDDF2C68EFDB}"/>
    <cellStyle name="Comma 4 2 4 10 5 2" xfId="41681" xr:uid="{56CADBDA-61FD-4349-8523-240C89A248F1}"/>
    <cellStyle name="Comma 4 2 4 10 5 3" xfId="23427" xr:uid="{7F4EB0E7-B0C3-4E12-8744-E93AAC9BD837}"/>
    <cellStyle name="Comma 4 2 4 10 6" xfId="38031" xr:uid="{450E9215-67E0-48DA-BE72-E7DB3A912E02}"/>
    <cellStyle name="Comma 4 2 4 10 7" xfId="19777" xr:uid="{EAB2B7BA-FEB7-4C23-ADF9-5A22A396CA4E}"/>
    <cellStyle name="Comma 4 2 4 11" xfId="793" xr:uid="{4EED88BB-A8C0-49A5-9DF2-16CE75C067E4}"/>
    <cellStyle name="Comma 4 2 4 11 2" xfId="15393" xr:uid="{1FCA38E2-9DEC-403F-831A-BFF68172DB39}"/>
    <cellStyle name="Comma 4 2 4 11 2 2" xfId="51901" xr:uid="{01ECF1DD-60D1-4D2F-A179-0F7A3948FA28}"/>
    <cellStyle name="Comma 4 2 4 11 2 3" xfId="33647" xr:uid="{089A5B8D-E08B-4C4C-9E7B-D2D841EFF01D}"/>
    <cellStyle name="Comma 4 2 4 11 3" xfId="11743" xr:uid="{5D067920-647E-4113-B349-7D5C10EF856D}"/>
    <cellStyle name="Comma 4 2 4 11 3 2" xfId="48251" xr:uid="{B23765AB-F690-461C-800B-E16D9E934BA8}"/>
    <cellStyle name="Comma 4 2 4 11 3 3" xfId="29997" xr:uid="{DB731206-0807-4587-98EF-CA1AED666DBE}"/>
    <cellStyle name="Comma 4 2 4 11 4" xfId="8093" xr:uid="{52204715-C98A-4BAB-80F1-7DF3682A01FB}"/>
    <cellStyle name="Comma 4 2 4 11 4 2" xfId="44601" xr:uid="{02CF566A-A3F5-4F9B-91A7-59E55F974326}"/>
    <cellStyle name="Comma 4 2 4 11 4 3" xfId="26347" xr:uid="{694AA8CE-A46A-4DBE-B1F9-27903D9D661D}"/>
    <cellStyle name="Comma 4 2 4 11 5" xfId="4443" xr:uid="{DB7DC17D-B009-44B1-8BBF-FBC1E2BFD006}"/>
    <cellStyle name="Comma 4 2 4 11 5 2" xfId="40951" xr:uid="{15F771DE-122D-46FD-9546-AF67D960BE8A}"/>
    <cellStyle name="Comma 4 2 4 11 5 3" xfId="22697" xr:uid="{FE833C25-2978-4CB4-82BA-07723F650C8E}"/>
    <cellStyle name="Comma 4 2 4 11 6" xfId="37301" xr:uid="{81C331E1-2B1F-4541-B781-D63C457714BB}"/>
    <cellStyle name="Comma 4 2 4 11 7" xfId="19047" xr:uid="{5BE47701-A576-480F-BDE9-07DA1B293A7C}"/>
    <cellStyle name="Comma 4 2 4 12" xfId="14663" xr:uid="{B214E9B0-78D3-4C4F-8282-E891CA869D74}"/>
    <cellStyle name="Comma 4 2 4 12 2" xfId="51171" xr:uid="{B4B1B454-BD1F-45A8-A606-755C91134345}"/>
    <cellStyle name="Comma 4 2 4 12 3" xfId="32917" xr:uid="{AC0FC05D-A16D-417A-8E69-AAE1988F1372}"/>
    <cellStyle name="Comma 4 2 4 13" xfId="11013" xr:uid="{7F6EF1C5-7BE2-4880-885D-1FAA72B6F1CB}"/>
    <cellStyle name="Comma 4 2 4 13 2" xfId="47521" xr:uid="{4A783DED-B76A-4F51-A7AF-FA2E9B6E0DA7}"/>
    <cellStyle name="Comma 4 2 4 13 3" xfId="29267" xr:uid="{906AD110-511E-49D9-BE43-F3BC6D07353F}"/>
    <cellStyle name="Comma 4 2 4 14" xfId="7363" xr:uid="{F52FF90B-2133-413B-9242-847BB6F578F7}"/>
    <cellStyle name="Comma 4 2 4 14 2" xfId="43871" xr:uid="{FA20A9F9-AEA1-4E72-8336-3526DF2D0FD1}"/>
    <cellStyle name="Comma 4 2 4 14 3" xfId="25617" xr:uid="{3180FA66-784C-415D-8939-BDA4307A2705}"/>
    <cellStyle name="Comma 4 2 4 15" xfId="3713" xr:uid="{55EA5449-3AF3-4B18-8712-7E0022898A86}"/>
    <cellStyle name="Comma 4 2 4 15 2" xfId="40221" xr:uid="{A5AF1420-EC0B-4BD8-8EED-FD1B62ED94D4}"/>
    <cellStyle name="Comma 4 2 4 15 3" xfId="21967" xr:uid="{044D2CA4-D1B1-4BEF-BEF2-323BBB0FB4E7}"/>
    <cellStyle name="Comma 4 2 4 16" xfId="36571" xr:uid="{48819662-D00F-42D5-84F3-973B95D610CA}"/>
    <cellStyle name="Comma 4 2 4 17" xfId="18317" xr:uid="{91856B36-F15C-4899-8DA7-E21DAF994ABA}"/>
    <cellStyle name="Comma 4 2 4 2" xfId="687" xr:uid="{8BF112C6-D067-4357-A61D-A566A31FF4F1}"/>
    <cellStyle name="Comma 4 2 4 2 10" xfId="37195" xr:uid="{0D4CB304-A6AF-4217-97A1-B546FA85286F}"/>
    <cellStyle name="Comma 4 2 4 2 11" xfId="18941" xr:uid="{50B375CF-5FDC-4860-86F6-78E10D593A8B}"/>
    <cellStyle name="Comma 4 2 4 2 2" xfId="3607" xr:uid="{3AEDC642-E766-4EEF-A895-789C0557FC8F}"/>
    <cellStyle name="Comma 4 2 4 2 2 2" xfId="18207" xr:uid="{B82CFA5C-0FB6-4131-A8DD-860C6997CE03}"/>
    <cellStyle name="Comma 4 2 4 2 2 2 2" xfId="54715" xr:uid="{E31C7112-604B-492B-B0E5-F3077C519FF7}"/>
    <cellStyle name="Comma 4 2 4 2 2 2 3" xfId="36461" xr:uid="{848CDBEA-552C-4520-8060-E99214130063}"/>
    <cellStyle name="Comma 4 2 4 2 2 3" xfId="14557" xr:uid="{0CA8D42B-A341-4332-AF48-47272A1809AF}"/>
    <cellStyle name="Comma 4 2 4 2 2 3 2" xfId="51065" xr:uid="{D67975F5-CB9D-4B2A-9EE0-FE706F7770D7}"/>
    <cellStyle name="Comma 4 2 4 2 2 3 3" xfId="32811" xr:uid="{3CEB0947-102F-4D8A-ADEC-40EB5730DB9E}"/>
    <cellStyle name="Comma 4 2 4 2 2 4" xfId="10907" xr:uid="{0DB92191-DD25-4067-9A9E-3498146C943E}"/>
    <cellStyle name="Comma 4 2 4 2 2 4 2" xfId="47415" xr:uid="{E03E5208-D8DF-4C02-A8FF-9B03363BF7D6}"/>
    <cellStyle name="Comma 4 2 4 2 2 4 3" xfId="29161" xr:uid="{2B4EFE35-C428-4F2F-980B-5AF2C8F4D57B}"/>
    <cellStyle name="Comma 4 2 4 2 2 5" xfId="7257" xr:uid="{95D45D37-1D61-4616-850D-B36B06BB1916}"/>
    <cellStyle name="Comma 4 2 4 2 2 5 2" xfId="43765" xr:uid="{B1D5E7EB-0061-4A4F-9172-6C618D02B805}"/>
    <cellStyle name="Comma 4 2 4 2 2 5 3" xfId="25511" xr:uid="{29B543EE-A0AD-4731-B549-77A5F7A002FC}"/>
    <cellStyle name="Comma 4 2 4 2 2 6" xfId="40115" xr:uid="{C09A21F5-89D7-427A-B648-3769E173609B}"/>
    <cellStyle name="Comma 4 2 4 2 2 7" xfId="21861" xr:uid="{2E5551A0-EBEA-4733-A838-B6A39E269B6C}"/>
    <cellStyle name="Comma 4 2 4 2 3" xfId="2877" xr:uid="{E227AAFF-8D00-4664-9284-BB5961B0A3A9}"/>
    <cellStyle name="Comma 4 2 4 2 3 2" xfId="17477" xr:uid="{FB9E110C-47E1-4F0A-8911-CFC88D053216}"/>
    <cellStyle name="Comma 4 2 4 2 3 2 2" xfId="53985" xr:uid="{AAE66A55-2ED7-43AD-A65A-FD8C5E834635}"/>
    <cellStyle name="Comma 4 2 4 2 3 2 3" xfId="35731" xr:uid="{A026832A-1BBD-488E-A785-D541046E62ED}"/>
    <cellStyle name="Comma 4 2 4 2 3 3" xfId="13827" xr:uid="{788663F9-AC52-4178-8A40-7AB20C2CEBA9}"/>
    <cellStyle name="Comma 4 2 4 2 3 3 2" xfId="50335" xr:uid="{BE027D56-F584-414A-9812-B6915E46732F}"/>
    <cellStyle name="Comma 4 2 4 2 3 3 3" xfId="32081" xr:uid="{BFD5C3FB-5186-4304-AAED-1539C7AD70CA}"/>
    <cellStyle name="Comma 4 2 4 2 3 4" xfId="10177" xr:uid="{272FA58D-FEAA-4B99-BAA5-3268835F503C}"/>
    <cellStyle name="Comma 4 2 4 2 3 4 2" xfId="46685" xr:uid="{48E9523E-2E20-4075-AA47-CA6350DAA7C3}"/>
    <cellStyle name="Comma 4 2 4 2 3 4 3" xfId="28431" xr:uid="{A860A79E-08DC-4A20-967D-248DEB98F67D}"/>
    <cellStyle name="Comma 4 2 4 2 3 5" xfId="6527" xr:uid="{A75E5B85-4552-4FFE-8F84-A7115A42E52C}"/>
    <cellStyle name="Comma 4 2 4 2 3 5 2" xfId="43035" xr:uid="{0CC0C38F-BFBB-42F1-BEF8-3F72464DBE26}"/>
    <cellStyle name="Comma 4 2 4 2 3 5 3" xfId="24781" xr:uid="{F05EDBED-46C3-49A4-813A-E60CC4B7A86E}"/>
    <cellStyle name="Comma 4 2 4 2 3 6" xfId="39385" xr:uid="{D5D4C982-945E-42DF-A365-550C0940C400}"/>
    <cellStyle name="Comma 4 2 4 2 3 7" xfId="21131" xr:uid="{234A4331-06D7-4FAE-9490-BEC9E9C38DBE}"/>
    <cellStyle name="Comma 4 2 4 2 4" xfId="2147" xr:uid="{04E7C050-BE04-4BEA-A057-ADC1EC3075C8}"/>
    <cellStyle name="Comma 4 2 4 2 4 2" xfId="16747" xr:uid="{F25C8362-6C3A-4407-8988-DB6CADB4F1A8}"/>
    <cellStyle name="Comma 4 2 4 2 4 2 2" xfId="53255" xr:uid="{8570EAD4-090D-4C0C-BFDA-F4E7F2BDEB3A}"/>
    <cellStyle name="Comma 4 2 4 2 4 2 3" xfId="35001" xr:uid="{7CD0084E-66A2-485F-A927-A100EC01DA51}"/>
    <cellStyle name="Comma 4 2 4 2 4 3" xfId="13097" xr:uid="{D1CD546F-52DE-40EF-AE9A-260122B8C16E}"/>
    <cellStyle name="Comma 4 2 4 2 4 3 2" xfId="49605" xr:uid="{AB5E32AF-CB75-45A0-8ABD-154D575EA7E4}"/>
    <cellStyle name="Comma 4 2 4 2 4 3 3" xfId="31351" xr:uid="{50FFCFE6-1080-4DC3-BDC2-CE1A50175605}"/>
    <cellStyle name="Comma 4 2 4 2 4 4" xfId="9447" xr:uid="{EDF446D6-02B8-4372-978E-FD3B7687D7B8}"/>
    <cellStyle name="Comma 4 2 4 2 4 4 2" xfId="45955" xr:uid="{C8393919-4A35-4326-A16B-7BF2329501AE}"/>
    <cellStyle name="Comma 4 2 4 2 4 4 3" xfId="27701" xr:uid="{E6363C4C-5E0F-4A87-A503-6288943B9F51}"/>
    <cellStyle name="Comma 4 2 4 2 4 5" xfId="5797" xr:uid="{E5AF0271-F627-4B33-A6A6-AA9A2AACD755}"/>
    <cellStyle name="Comma 4 2 4 2 4 5 2" xfId="42305" xr:uid="{226028B6-AC60-4D4A-BB6F-F0AC686FFDC4}"/>
    <cellStyle name="Comma 4 2 4 2 4 5 3" xfId="24051" xr:uid="{54DD312D-07E2-464B-81DF-69B8312C01AE}"/>
    <cellStyle name="Comma 4 2 4 2 4 6" xfId="38655" xr:uid="{CF27E9F7-6DFD-4ACB-9C9E-8655FBE6919F}"/>
    <cellStyle name="Comma 4 2 4 2 4 7" xfId="20401" xr:uid="{DDBE28F6-4EDD-4340-ADE9-BBCCF8631EE6}"/>
    <cellStyle name="Comma 4 2 4 2 5" xfId="1417" xr:uid="{CD474876-4238-4BE5-90DF-22A0FC61C4CD}"/>
    <cellStyle name="Comma 4 2 4 2 5 2" xfId="16017" xr:uid="{C7516F29-8103-457B-AA0D-F884EBC9E7F0}"/>
    <cellStyle name="Comma 4 2 4 2 5 2 2" xfId="52525" xr:uid="{D08D0649-6957-47D0-9B96-CD4AFED7CF7F}"/>
    <cellStyle name="Comma 4 2 4 2 5 2 3" xfId="34271" xr:uid="{62833D1A-D354-440D-8AD6-3568FAB56D8E}"/>
    <cellStyle name="Comma 4 2 4 2 5 3" xfId="12367" xr:uid="{5A2AEB53-BBB9-4F63-9148-9CF55153877F}"/>
    <cellStyle name="Comma 4 2 4 2 5 3 2" xfId="48875" xr:uid="{F19FE663-6D14-45E8-8BF5-03628613D486}"/>
    <cellStyle name="Comma 4 2 4 2 5 3 3" xfId="30621" xr:uid="{6BEC2264-3B6F-4CE4-8F3B-1402A9CF99F3}"/>
    <cellStyle name="Comma 4 2 4 2 5 4" xfId="8717" xr:uid="{CB5086C1-833E-448B-A260-DA8181ACE74B}"/>
    <cellStyle name="Comma 4 2 4 2 5 4 2" xfId="45225" xr:uid="{EA53FFCC-0C75-42E8-B1A6-6D71AEAE10FE}"/>
    <cellStyle name="Comma 4 2 4 2 5 4 3" xfId="26971" xr:uid="{11507DE6-2A19-4D6A-B182-FFEE361E371B}"/>
    <cellStyle name="Comma 4 2 4 2 5 5" xfId="5067" xr:uid="{4623A75F-8BCD-49D8-8C8E-9FEB5A664728}"/>
    <cellStyle name="Comma 4 2 4 2 5 5 2" xfId="41575" xr:uid="{7C06E057-572E-4B0A-B42C-6143AA229B17}"/>
    <cellStyle name="Comma 4 2 4 2 5 5 3" xfId="23321" xr:uid="{55CDC728-5AB4-4A7D-AB5E-5905D60C2B81}"/>
    <cellStyle name="Comma 4 2 4 2 5 6" xfId="37925" xr:uid="{36F91DEE-B597-4899-AC19-20E2EBABC970}"/>
    <cellStyle name="Comma 4 2 4 2 5 7" xfId="19671" xr:uid="{38FF44C4-E5D4-4CA1-B08D-D3B45C14A561}"/>
    <cellStyle name="Comma 4 2 4 2 6" xfId="15287" xr:uid="{C32D1F17-9D36-4386-90E4-7FA76B754562}"/>
    <cellStyle name="Comma 4 2 4 2 6 2" xfId="51795" xr:uid="{ED665085-4049-4A5E-83AC-C4A9EB279167}"/>
    <cellStyle name="Comma 4 2 4 2 6 3" xfId="33541" xr:uid="{4BE17EA8-9C8E-4A66-8F60-891F71CC745F}"/>
    <cellStyle name="Comma 4 2 4 2 7" xfId="11637" xr:uid="{CE0B2E62-912B-4CB9-8D40-7FC1D01D3549}"/>
    <cellStyle name="Comma 4 2 4 2 7 2" xfId="48145" xr:uid="{490A6CA0-A648-4951-888A-8A22CEC9C6E7}"/>
    <cellStyle name="Comma 4 2 4 2 7 3" xfId="29891" xr:uid="{825326B1-74A3-45EB-BAEB-1B9BB806E066}"/>
    <cellStyle name="Comma 4 2 4 2 8" xfId="7987" xr:uid="{92419B52-E921-460C-95E0-9D6B42E09EDD}"/>
    <cellStyle name="Comma 4 2 4 2 8 2" xfId="44495" xr:uid="{EC6FE9B3-1CAA-4289-A3A5-2B72B3EACBF3}"/>
    <cellStyle name="Comma 4 2 4 2 8 3" xfId="26241" xr:uid="{54E1DD89-FAD9-44FB-BF73-4F16E813F53C}"/>
    <cellStyle name="Comma 4 2 4 2 9" xfId="4337" xr:uid="{B8D6B11B-695D-4089-A90E-69845EE6BB77}"/>
    <cellStyle name="Comma 4 2 4 2 9 2" xfId="40845" xr:uid="{119CB376-36D3-4969-B6DC-51973101E70B}"/>
    <cellStyle name="Comma 4 2 4 2 9 3" xfId="22591" xr:uid="{6356B59A-AB10-4DEA-8E87-1BF8358E0DE6}"/>
    <cellStyle name="Comma 4 2 4 3" xfId="583" xr:uid="{9CD1B236-01F2-4E8C-B9B2-F3095A4F6363}"/>
    <cellStyle name="Comma 4 2 4 3 10" xfId="37091" xr:uid="{0E0B331E-C610-44BC-A1CB-D59AF4733281}"/>
    <cellStyle name="Comma 4 2 4 3 11" xfId="18837" xr:uid="{ABCC6671-9FA0-4CB7-B8C3-82089C326659}"/>
    <cellStyle name="Comma 4 2 4 3 2" xfId="3503" xr:uid="{276EEC35-ACA1-4DE5-8E65-40BE2B8892B5}"/>
    <cellStyle name="Comma 4 2 4 3 2 2" xfId="18103" xr:uid="{9702D27D-6671-4AA4-8176-D33CC374D486}"/>
    <cellStyle name="Comma 4 2 4 3 2 2 2" xfId="54611" xr:uid="{124E1C5C-2DC3-4ECD-B9D4-EE781AAABFA5}"/>
    <cellStyle name="Comma 4 2 4 3 2 2 3" xfId="36357" xr:uid="{8CA260E5-FF1E-41BD-A8A8-0B644D8BE747}"/>
    <cellStyle name="Comma 4 2 4 3 2 3" xfId="14453" xr:uid="{DBC57AC2-A46E-4967-9EA8-890D938B80D2}"/>
    <cellStyle name="Comma 4 2 4 3 2 3 2" xfId="50961" xr:uid="{9992B7D1-465D-430F-A05C-BCF584BCFE7B}"/>
    <cellStyle name="Comma 4 2 4 3 2 3 3" xfId="32707" xr:uid="{D4A7BB01-82BB-4C63-AFAC-CA7346D25645}"/>
    <cellStyle name="Comma 4 2 4 3 2 4" xfId="10803" xr:uid="{C6761610-DF59-4B3C-96E9-6A3E9D4F0CE7}"/>
    <cellStyle name="Comma 4 2 4 3 2 4 2" xfId="47311" xr:uid="{C6A8DA8C-399A-4FB5-9329-5A13CDC6D93B}"/>
    <cellStyle name="Comma 4 2 4 3 2 4 3" xfId="29057" xr:uid="{1E76B054-5869-42BE-895E-683F559C8715}"/>
    <cellStyle name="Comma 4 2 4 3 2 5" xfId="7153" xr:uid="{A200BA85-4E9E-4F5F-9944-1AA5CA394E70}"/>
    <cellStyle name="Comma 4 2 4 3 2 5 2" xfId="43661" xr:uid="{8A10D6E7-8551-4AFA-8750-AB0554266E37}"/>
    <cellStyle name="Comma 4 2 4 3 2 5 3" xfId="25407" xr:uid="{FE77C9DD-64A5-4B42-892C-936183B229CE}"/>
    <cellStyle name="Comma 4 2 4 3 2 6" xfId="40011" xr:uid="{F3504A93-E7BE-4DF6-AA01-6A18C951F798}"/>
    <cellStyle name="Comma 4 2 4 3 2 7" xfId="21757" xr:uid="{4DBA0781-F4B6-4094-BC33-D0141EAFC206}"/>
    <cellStyle name="Comma 4 2 4 3 3" xfId="2773" xr:uid="{50AAC249-1083-47EC-A460-0FED0FBE8D98}"/>
    <cellStyle name="Comma 4 2 4 3 3 2" xfId="17373" xr:uid="{8D9F8AC5-CCDB-47A4-A801-32F99E74CBDA}"/>
    <cellStyle name="Comma 4 2 4 3 3 2 2" xfId="53881" xr:uid="{DF711D8A-893A-4D71-AAE1-C7C33E6B1164}"/>
    <cellStyle name="Comma 4 2 4 3 3 2 3" xfId="35627" xr:uid="{5E2737B6-E556-468E-BCDA-DA602F83AE6C}"/>
    <cellStyle name="Comma 4 2 4 3 3 3" xfId="13723" xr:uid="{4EA8D680-4ABF-4D94-A14E-A2CB182D5A9A}"/>
    <cellStyle name="Comma 4 2 4 3 3 3 2" xfId="50231" xr:uid="{B4BC81B3-F0A3-4D0F-862E-49EE943FCCFF}"/>
    <cellStyle name="Comma 4 2 4 3 3 3 3" xfId="31977" xr:uid="{AFB6BBB5-4969-4829-B0B2-FA5E0220EBD3}"/>
    <cellStyle name="Comma 4 2 4 3 3 4" xfId="10073" xr:uid="{2C8CA54E-6ABF-4834-A266-BA8E974D5056}"/>
    <cellStyle name="Comma 4 2 4 3 3 4 2" xfId="46581" xr:uid="{BB5C358F-A983-465C-BC52-3349E874FE29}"/>
    <cellStyle name="Comma 4 2 4 3 3 4 3" xfId="28327" xr:uid="{6EA23A44-9892-4687-8218-E08A8D7C2F1E}"/>
    <cellStyle name="Comma 4 2 4 3 3 5" xfId="6423" xr:uid="{5E1E94CC-1729-4CEC-B42E-CD9B776E6492}"/>
    <cellStyle name="Comma 4 2 4 3 3 5 2" xfId="42931" xr:uid="{71A9868A-AB0E-484D-953B-D9AA6A8F225C}"/>
    <cellStyle name="Comma 4 2 4 3 3 5 3" xfId="24677" xr:uid="{F35A17D5-595A-4B70-8BD1-03599BFD0B3F}"/>
    <cellStyle name="Comma 4 2 4 3 3 6" xfId="39281" xr:uid="{729C16D8-ED36-4E4C-8C86-A8F0A82E233B}"/>
    <cellStyle name="Comma 4 2 4 3 3 7" xfId="21027" xr:uid="{0E80296D-C2D5-4660-BB43-08473BCC0BC4}"/>
    <cellStyle name="Comma 4 2 4 3 4" xfId="2043" xr:uid="{4AE51595-50E7-4F16-882A-40D2673A7F2A}"/>
    <cellStyle name="Comma 4 2 4 3 4 2" xfId="16643" xr:uid="{61C6BE9C-D404-450D-8E3A-C62F4007F455}"/>
    <cellStyle name="Comma 4 2 4 3 4 2 2" xfId="53151" xr:uid="{43C12A66-E4AC-4387-A79C-FA93344D0367}"/>
    <cellStyle name="Comma 4 2 4 3 4 2 3" xfId="34897" xr:uid="{7C773256-EDB7-4457-9240-68F6DC5EED6A}"/>
    <cellStyle name="Comma 4 2 4 3 4 3" xfId="12993" xr:uid="{EF0091A1-74A0-4527-93B3-3A35C10FD4B6}"/>
    <cellStyle name="Comma 4 2 4 3 4 3 2" xfId="49501" xr:uid="{9A164726-1A9E-4FEE-AE97-8133BD29B35C}"/>
    <cellStyle name="Comma 4 2 4 3 4 3 3" xfId="31247" xr:uid="{B0F185E6-2D7C-4434-90FD-EDD47587EB17}"/>
    <cellStyle name="Comma 4 2 4 3 4 4" xfId="9343" xr:uid="{ED4BC46B-CE7A-42E2-85E2-782A5386DA7F}"/>
    <cellStyle name="Comma 4 2 4 3 4 4 2" xfId="45851" xr:uid="{4A55946A-69CE-4D05-BEF9-B884E7CBE8DE}"/>
    <cellStyle name="Comma 4 2 4 3 4 4 3" xfId="27597" xr:uid="{29163AD1-FA5D-4593-A022-CAD9DD10AEDA}"/>
    <cellStyle name="Comma 4 2 4 3 4 5" xfId="5693" xr:uid="{CD2FFF81-E137-41E9-A1E6-4A7977C1FF18}"/>
    <cellStyle name="Comma 4 2 4 3 4 5 2" xfId="42201" xr:uid="{D366435F-DD56-4D26-8BD1-28CF9B020203}"/>
    <cellStyle name="Comma 4 2 4 3 4 5 3" xfId="23947" xr:uid="{A5AB1248-3238-4381-845B-E2A7706C48BB}"/>
    <cellStyle name="Comma 4 2 4 3 4 6" xfId="38551" xr:uid="{0A7EEE5F-BCC2-4B95-A885-7FEFAAC62C77}"/>
    <cellStyle name="Comma 4 2 4 3 4 7" xfId="20297" xr:uid="{99FE7584-96CB-4882-A5A6-0149B1763D36}"/>
    <cellStyle name="Comma 4 2 4 3 5" xfId="1313" xr:uid="{35FB8D73-8DFF-4F7A-891F-B924FD5C7690}"/>
    <cellStyle name="Comma 4 2 4 3 5 2" xfId="15913" xr:uid="{42E50485-6AE4-4538-8DE6-701E6A5E50EB}"/>
    <cellStyle name="Comma 4 2 4 3 5 2 2" xfId="52421" xr:uid="{C36CEA4E-4BFB-459B-BF31-09860C8AD6BE}"/>
    <cellStyle name="Comma 4 2 4 3 5 2 3" xfId="34167" xr:uid="{751539B2-B504-4C93-880C-E26A4640EC85}"/>
    <cellStyle name="Comma 4 2 4 3 5 3" xfId="12263" xr:uid="{B0C05EAF-E77C-4886-9C31-E2F036DEA088}"/>
    <cellStyle name="Comma 4 2 4 3 5 3 2" xfId="48771" xr:uid="{9CEC51E3-DF78-416E-A9D4-017AFF161270}"/>
    <cellStyle name="Comma 4 2 4 3 5 3 3" xfId="30517" xr:uid="{ECB7DFA9-FADE-497D-AAB1-49BE3767DC18}"/>
    <cellStyle name="Comma 4 2 4 3 5 4" xfId="8613" xr:uid="{871486C6-176C-4B48-9723-DBDC9AB8B30C}"/>
    <cellStyle name="Comma 4 2 4 3 5 4 2" xfId="45121" xr:uid="{B9A565EF-9A53-4BFD-B604-676CDBCD1227}"/>
    <cellStyle name="Comma 4 2 4 3 5 4 3" xfId="26867" xr:uid="{FA43EFAD-5814-4D28-BE22-522F9CF74C92}"/>
    <cellStyle name="Comma 4 2 4 3 5 5" xfId="4963" xr:uid="{09E8C9AD-9A84-48DD-B8F3-D5C90BA902AB}"/>
    <cellStyle name="Comma 4 2 4 3 5 5 2" xfId="41471" xr:uid="{5B796168-490A-40D0-A440-09E3C0330B47}"/>
    <cellStyle name="Comma 4 2 4 3 5 5 3" xfId="23217" xr:uid="{6CC8894C-4FF4-4D83-B593-2428ABE38646}"/>
    <cellStyle name="Comma 4 2 4 3 5 6" xfId="37821" xr:uid="{11D65ACD-EA0B-4DE5-8642-4396874CD53D}"/>
    <cellStyle name="Comma 4 2 4 3 5 7" xfId="19567" xr:uid="{8199BDFE-BF25-48EC-A8ED-FEBE1FD40F45}"/>
    <cellStyle name="Comma 4 2 4 3 6" xfId="15183" xr:uid="{036B676F-20A9-4316-B6B0-E43BF6153721}"/>
    <cellStyle name="Comma 4 2 4 3 6 2" xfId="51691" xr:uid="{67712AE8-7CBD-45EE-8737-00296FDAC0EF}"/>
    <cellStyle name="Comma 4 2 4 3 6 3" xfId="33437" xr:uid="{CE0A1348-AF36-40BE-A369-349D53DE6859}"/>
    <cellStyle name="Comma 4 2 4 3 7" xfId="11533" xr:uid="{D71BFEC9-E2EB-479B-AE72-5BC0C02D53C4}"/>
    <cellStyle name="Comma 4 2 4 3 7 2" xfId="48041" xr:uid="{9B68AC0C-0799-4C52-9CF0-7EEE21B72A50}"/>
    <cellStyle name="Comma 4 2 4 3 7 3" xfId="29787" xr:uid="{4ED50BE8-DEC0-4FD6-B4EE-D1DAD5754B9C}"/>
    <cellStyle name="Comma 4 2 4 3 8" xfId="7883" xr:uid="{DB9654B8-36CE-4DE0-980D-9F4490F1DD79}"/>
    <cellStyle name="Comma 4 2 4 3 8 2" xfId="44391" xr:uid="{3BB530BE-CEA0-4FEF-B204-1017E786AA9E}"/>
    <cellStyle name="Comma 4 2 4 3 8 3" xfId="26137" xr:uid="{25CE8E40-3C31-4274-802C-C320D9ADCA9B}"/>
    <cellStyle name="Comma 4 2 4 3 9" xfId="4233" xr:uid="{F06BBA44-8589-4E32-96FA-8D2EDF674271}"/>
    <cellStyle name="Comma 4 2 4 3 9 2" xfId="40741" xr:uid="{5753C4B6-9252-41B6-BBC9-8A468E6E4D9C}"/>
    <cellStyle name="Comma 4 2 4 3 9 3" xfId="22487" xr:uid="{6329312D-7841-4CEF-9834-6616FF1E023A}"/>
    <cellStyle name="Comma 4 2 4 4" xfId="479" xr:uid="{7A86656C-1C5B-4528-8148-6FA38BB2607A}"/>
    <cellStyle name="Comma 4 2 4 4 10" xfId="36987" xr:uid="{760557C2-5B09-4530-ABE8-128CCAF87186}"/>
    <cellStyle name="Comma 4 2 4 4 11" xfId="18733" xr:uid="{EFD4F990-CAF6-49C2-8631-2F44C3B5A025}"/>
    <cellStyle name="Comma 4 2 4 4 2" xfId="3399" xr:uid="{D1DF15D3-F632-4108-A345-437230A2E74B}"/>
    <cellStyle name="Comma 4 2 4 4 2 2" xfId="17999" xr:uid="{9116F9BF-E172-45B2-A29B-32D31874108A}"/>
    <cellStyle name="Comma 4 2 4 4 2 2 2" xfId="54507" xr:uid="{DDBE1074-76F5-4C0A-9436-B5668E040E25}"/>
    <cellStyle name="Comma 4 2 4 4 2 2 3" xfId="36253" xr:uid="{8D3CF76D-D3B3-4D42-9814-DC0D1DA77C67}"/>
    <cellStyle name="Comma 4 2 4 4 2 3" xfId="14349" xr:uid="{0E105C9F-2535-49EB-8B35-60378860DEFB}"/>
    <cellStyle name="Comma 4 2 4 4 2 3 2" xfId="50857" xr:uid="{F78E9474-7B85-4B4F-AA18-B3AD9570F655}"/>
    <cellStyle name="Comma 4 2 4 4 2 3 3" xfId="32603" xr:uid="{82B223D2-2851-431C-88EE-097D73407983}"/>
    <cellStyle name="Comma 4 2 4 4 2 4" xfId="10699" xr:uid="{F924B57A-8945-4B21-A226-4E0F9D1E2068}"/>
    <cellStyle name="Comma 4 2 4 4 2 4 2" xfId="47207" xr:uid="{0B14AD25-5920-4DAC-A7DE-C4C202D154E0}"/>
    <cellStyle name="Comma 4 2 4 4 2 4 3" xfId="28953" xr:uid="{8957B09A-DDB1-4EC8-BA90-D9E4C1E44845}"/>
    <cellStyle name="Comma 4 2 4 4 2 5" xfId="7049" xr:uid="{52695778-E0BB-48ED-9CE6-01C3C9C68B15}"/>
    <cellStyle name="Comma 4 2 4 4 2 5 2" xfId="43557" xr:uid="{38CD771D-0600-4786-A8C4-1E872025B7CC}"/>
    <cellStyle name="Comma 4 2 4 4 2 5 3" xfId="25303" xr:uid="{E3E7B877-13EB-4258-82A7-DE9047CFC628}"/>
    <cellStyle name="Comma 4 2 4 4 2 6" xfId="39907" xr:uid="{1BEA4AB8-84EA-4B77-AB86-132A8A803C2B}"/>
    <cellStyle name="Comma 4 2 4 4 2 7" xfId="21653" xr:uid="{F7FEFED1-A0DE-4136-A0F5-960661E9EAB7}"/>
    <cellStyle name="Comma 4 2 4 4 3" xfId="2669" xr:uid="{2B7F8844-80FD-48AE-9C7C-249E27E5238C}"/>
    <cellStyle name="Comma 4 2 4 4 3 2" xfId="17269" xr:uid="{01149DA6-4BFF-4272-8B63-EF7F2C3386B0}"/>
    <cellStyle name="Comma 4 2 4 4 3 2 2" xfId="53777" xr:uid="{6278A8CD-6F02-4BE6-B1F5-116CC0B82AF7}"/>
    <cellStyle name="Comma 4 2 4 4 3 2 3" xfId="35523" xr:uid="{8728E205-0798-4B33-A929-E67F9E3FA8BE}"/>
    <cellStyle name="Comma 4 2 4 4 3 3" xfId="13619" xr:uid="{196D5E25-1EF4-477B-BC45-C38F8AC29887}"/>
    <cellStyle name="Comma 4 2 4 4 3 3 2" xfId="50127" xr:uid="{7A5B2B52-2C80-4ADA-B578-BD884DF78AFD}"/>
    <cellStyle name="Comma 4 2 4 4 3 3 3" xfId="31873" xr:uid="{CD3D59A5-7738-448E-9DA7-6FD8D6AB2137}"/>
    <cellStyle name="Comma 4 2 4 4 3 4" xfId="9969" xr:uid="{B96730D5-3B29-4844-99A9-B5D2C09905A1}"/>
    <cellStyle name="Comma 4 2 4 4 3 4 2" xfId="46477" xr:uid="{8A9BC53F-BA52-4B9A-B56B-F60D3C15CF72}"/>
    <cellStyle name="Comma 4 2 4 4 3 4 3" xfId="28223" xr:uid="{89C5F064-157D-4785-832D-51B317394663}"/>
    <cellStyle name="Comma 4 2 4 4 3 5" xfId="6319" xr:uid="{989EE717-F961-4DB3-B5E1-D786412D24FB}"/>
    <cellStyle name="Comma 4 2 4 4 3 5 2" xfId="42827" xr:uid="{D495B5E0-3095-4CED-A1E7-2D61CFDAAB9B}"/>
    <cellStyle name="Comma 4 2 4 4 3 5 3" xfId="24573" xr:uid="{C046C631-E1E3-43EB-ACF8-39FBFFE46EB4}"/>
    <cellStyle name="Comma 4 2 4 4 3 6" xfId="39177" xr:uid="{EE5B41ED-6843-4E97-9151-A551B5CAC7C3}"/>
    <cellStyle name="Comma 4 2 4 4 3 7" xfId="20923" xr:uid="{99FD9BCB-C1BF-4E87-AC2A-19ACDCFE2E2C}"/>
    <cellStyle name="Comma 4 2 4 4 4" xfId="1939" xr:uid="{B585F565-CCA8-4C59-87AE-9546C95C0215}"/>
    <cellStyle name="Comma 4 2 4 4 4 2" xfId="16539" xr:uid="{667008CB-21C4-46DB-933A-84AB4A2E0505}"/>
    <cellStyle name="Comma 4 2 4 4 4 2 2" xfId="53047" xr:uid="{A730E275-B335-4829-982F-CEA39B057388}"/>
    <cellStyle name="Comma 4 2 4 4 4 2 3" xfId="34793" xr:uid="{78F9B2FF-5E10-4176-B241-FBD65F3119AD}"/>
    <cellStyle name="Comma 4 2 4 4 4 3" xfId="12889" xr:uid="{5442DE07-97DC-442E-B9DE-F7D22E88603F}"/>
    <cellStyle name="Comma 4 2 4 4 4 3 2" xfId="49397" xr:uid="{87A16767-CD34-4C68-92A1-FF6CD61691E3}"/>
    <cellStyle name="Comma 4 2 4 4 4 3 3" xfId="31143" xr:uid="{1A0D698D-51C5-4B5A-A58F-024CA862623C}"/>
    <cellStyle name="Comma 4 2 4 4 4 4" xfId="9239" xr:uid="{14E6B0DB-B41B-4AC1-BA6B-00FA91645832}"/>
    <cellStyle name="Comma 4 2 4 4 4 4 2" xfId="45747" xr:uid="{F2381234-7D18-479E-838D-87DD132B33E0}"/>
    <cellStyle name="Comma 4 2 4 4 4 4 3" xfId="27493" xr:uid="{7063AF5D-C1B7-4B30-9E4E-E90C14225DDD}"/>
    <cellStyle name="Comma 4 2 4 4 4 5" xfId="5589" xr:uid="{B8641AC5-0AC6-49B4-BEC6-FB7D56C884BA}"/>
    <cellStyle name="Comma 4 2 4 4 4 5 2" xfId="42097" xr:uid="{4E05990D-F53E-4D93-9FBB-F4E6AF1D9393}"/>
    <cellStyle name="Comma 4 2 4 4 4 5 3" xfId="23843" xr:uid="{90808F75-E363-49F1-89D6-5CB6000CE56E}"/>
    <cellStyle name="Comma 4 2 4 4 4 6" xfId="38447" xr:uid="{58AFED87-22EF-4732-8946-C7647AD41377}"/>
    <cellStyle name="Comma 4 2 4 4 4 7" xfId="20193" xr:uid="{A5F3460F-4592-4B78-9F4A-67D46CBD1D98}"/>
    <cellStyle name="Comma 4 2 4 4 5" xfId="1209" xr:uid="{EDF27D00-10BE-440B-A94C-235520E41B51}"/>
    <cellStyle name="Comma 4 2 4 4 5 2" xfId="15809" xr:uid="{F3DE503A-5B94-4E7D-A968-82617D762C4F}"/>
    <cellStyle name="Comma 4 2 4 4 5 2 2" xfId="52317" xr:uid="{68E9E718-E99F-470B-B9BE-DC1051937A38}"/>
    <cellStyle name="Comma 4 2 4 4 5 2 3" xfId="34063" xr:uid="{3C041E0C-1F22-4A13-852A-CF31A6768787}"/>
    <cellStyle name="Comma 4 2 4 4 5 3" xfId="12159" xr:uid="{40CA6B8A-BCED-4AFD-A572-6C3CF59F13F5}"/>
    <cellStyle name="Comma 4 2 4 4 5 3 2" xfId="48667" xr:uid="{757B4546-362A-47ED-979B-7E20A744CD95}"/>
    <cellStyle name="Comma 4 2 4 4 5 3 3" xfId="30413" xr:uid="{72BC71A0-4670-4A17-8ECE-F51E815ACAF7}"/>
    <cellStyle name="Comma 4 2 4 4 5 4" xfId="8509" xr:uid="{6BBACA10-19F7-4901-BE68-A934567ACB59}"/>
    <cellStyle name="Comma 4 2 4 4 5 4 2" xfId="45017" xr:uid="{EA78D278-AB4C-4808-B0A1-2A9EDA205EB5}"/>
    <cellStyle name="Comma 4 2 4 4 5 4 3" xfId="26763" xr:uid="{673700E8-AF7C-4592-ABF6-B119A6654BA2}"/>
    <cellStyle name="Comma 4 2 4 4 5 5" xfId="4859" xr:uid="{26D0D560-70F8-48C3-B8F4-70DCC60F65E2}"/>
    <cellStyle name="Comma 4 2 4 4 5 5 2" xfId="41367" xr:uid="{5AE490BF-94CE-4E72-827C-190C2BB558E4}"/>
    <cellStyle name="Comma 4 2 4 4 5 5 3" xfId="23113" xr:uid="{4B5CFD88-46B7-4BC9-8B10-726DC86DB8A5}"/>
    <cellStyle name="Comma 4 2 4 4 5 6" xfId="37717" xr:uid="{C02B5E4F-E4EE-45AB-9575-CCC6B380319C}"/>
    <cellStyle name="Comma 4 2 4 4 5 7" xfId="19463" xr:uid="{FD6C66FA-DEE2-46C2-8092-60055888C8E8}"/>
    <cellStyle name="Comma 4 2 4 4 6" xfId="15079" xr:uid="{C2E6394C-1A03-48CE-808C-E3EFD3B26C9F}"/>
    <cellStyle name="Comma 4 2 4 4 6 2" xfId="51587" xr:uid="{DE81D2DB-0993-4067-987E-BA48D4C7A101}"/>
    <cellStyle name="Comma 4 2 4 4 6 3" xfId="33333" xr:uid="{2119FF99-0A5A-476C-8501-DAD40829CAE8}"/>
    <cellStyle name="Comma 4 2 4 4 7" xfId="11429" xr:uid="{29C05A2A-872F-4FF1-A3D5-4870E282CF54}"/>
    <cellStyle name="Comma 4 2 4 4 7 2" xfId="47937" xr:uid="{6A6A65AF-A78E-4F7E-A5BB-7CBF0DFB3C7D}"/>
    <cellStyle name="Comma 4 2 4 4 7 3" xfId="29683" xr:uid="{5C57961B-49A6-4B8D-B581-F1F8BE8DF17C}"/>
    <cellStyle name="Comma 4 2 4 4 8" xfId="7779" xr:uid="{EEEE920A-3540-4FD2-B608-EE3CAEECA04F}"/>
    <cellStyle name="Comma 4 2 4 4 8 2" xfId="44287" xr:uid="{EF508182-4022-432B-9FB8-B18A97351D83}"/>
    <cellStyle name="Comma 4 2 4 4 8 3" xfId="26033" xr:uid="{C21B08F1-BA71-4698-8DC6-9F8920AECB7C}"/>
    <cellStyle name="Comma 4 2 4 4 9" xfId="4129" xr:uid="{A383F9F9-4091-4625-9623-C325F6056DD6}"/>
    <cellStyle name="Comma 4 2 4 4 9 2" xfId="40637" xr:uid="{0B907F65-8BBE-4B18-8F2A-E600002CAC3D}"/>
    <cellStyle name="Comma 4 2 4 4 9 3" xfId="22383" xr:uid="{308A9215-E371-4D2E-893A-D9C88618E94A}"/>
    <cellStyle name="Comma 4 2 4 5" xfId="375" xr:uid="{FA202387-B63E-4389-959D-493D2C5ECCE0}"/>
    <cellStyle name="Comma 4 2 4 5 10" xfId="36883" xr:uid="{55C5DE3F-A678-46B8-81D9-068F04D66A8B}"/>
    <cellStyle name="Comma 4 2 4 5 11" xfId="18629" xr:uid="{0FA622AE-EC67-4FDE-87EC-7B8710217B15}"/>
    <cellStyle name="Comma 4 2 4 5 2" xfId="3295" xr:uid="{7DB93C26-8861-47BE-831A-DC3FBFB0DB8C}"/>
    <cellStyle name="Comma 4 2 4 5 2 2" xfId="17895" xr:uid="{F0630556-3240-4BF3-B37B-20D5B37D6CA8}"/>
    <cellStyle name="Comma 4 2 4 5 2 2 2" xfId="54403" xr:uid="{0F8A9342-AA38-440B-8C9B-73F8EFAA0BBF}"/>
    <cellStyle name="Comma 4 2 4 5 2 2 3" xfId="36149" xr:uid="{7AFA2708-CB88-4CF2-9A55-3650358657A6}"/>
    <cellStyle name="Comma 4 2 4 5 2 3" xfId="14245" xr:uid="{5F0C97A9-88C8-43BC-9502-B36C58A9E8C1}"/>
    <cellStyle name="Comma 4 2 4 5 2 3 2" xfId="50753" xr:uid="{A45D651E-0EAE-4912-BC0A-88C084FDC393}"/>
    <cellStyle name="Comma 4 2 4 5 2 3 3" xfId="32499" xr:uid="{A733C587-BA09-45E7-9DD0-9CA3B0D4772D}"/>
    <cellStyle name="Comma 4 2 4 5 2 4" xfId="10595" xr:uid="{629AFAF5-46ED-464C-A21D-4D5081B41C8F}"/>
    <cellStyle name="Comma 4 2 4 5 2 4 2" xfId="47103" xr:uid="{74F1FA67-596A-412A-9397-8C58E91D4545}"/>
    <cellStyle name="Comma 4 2 4 5 2 4 3" xfId="28849" xr:uid="{B3AB6F16-2216-4702-BA9B-46B402545C38}"/>
    <cellStyle name="Comma 4 2 4 5 2 5" xfId="6945" xr:uid="{7251F246-8F1B-4A8F-B050-D2A24C28AF89}"/>
    <cellStyle name="Comma 4 2 4 5 2 5 2" xfId="43453" xr:uid="{BE0A9E4F-2B47-4C7E-8E8D-B1E2C494BBDD}"/>
    <cellStyle name="Comma 4 2 4 5 2 5 3" xfId="25199" xr:uid="{089988E8-B7FC-4449-A6A7-FB1450AF8E16}"/>
    <cellStyle name="Comma 4 2 4 5 2 6" xfId="39803" xr:uid="{09741D0E-E2E0-46E8-A063-E51538EBDE0C}"/>
    <cellStyle name="Comma 4 2 4 5 2 7" xfId="21549" xr:uid="{11FC59FF-7FBD-4CA8-AAF0-FC21B7097F8B}"/>
    <cellStyle name="Comma 4 2 4 5 3" xfId="2565" xr:uid="{A648FACB-2F48-4F9F-A0A1-517D8633A015}"/>
    <cellStyle name="Comma 4 2 4 5 3 2" xfId="17165" xr:uid="{60B5ABE4-D838-48F6-BADD-76D7A389484D}"/>
    <cellStyle name="Comma 4 2 4 5 3 2 2" xfId="53673" xr:uid="{A0D72F67-EBC1-448E-91DB-864172953F48}"/>
    <cellStyle name="Comma 4 2 4 5 3 2 3" xfId="35419" xr:uid="{9C21F936-C700-451A-B199-88D69AD486D9}"/>
    <cellStyle name="Comma 4 2 4 5 3 3" xfId="13515" xr:uid="{095D5A64-2ED0-49EF-9450-80A6E283DC11}"/>
    <cellStyle name="Comma 4 2 4 5 3 3 2" xfId="50023" xr:uid="{2D3F282F-E5EE-45F3-A161-F2D6E1C77222}"/>
    <cellStyle name="Comma 4 2 4 5 3 3 3" xfId="31769" xr:uid="{06B18159-E84E-4CF4-B297-03BD8F75355C}"/>
    <cellStyle name="Comma 4 2 4 5 3 4" xfId="9865" xr:uid="{88F8644D-E1AA-4C51-8DD5-299F920A7F1E}"/>
    <cellStyle name="Comma 4 2 4 5 3 4 2" xfId="46373" xr:uid="{36782AFE-1A07-4A71-A23F-49D5B0770BA2}"/>
    <cellStyle name="Comma 4 2 4 5 3 4 3" xfId="28119" xr:uid="{430358C7-E34B-46B9-884B-356D1283AB36}"/>
    <cellStyle name="Comma 4 2 4 5 3 5" xfId="6215" xr:uid="{14C21F12-036E-44F5-B992-B1FA8F48BFC6}"/>
    <cellStyle name="Comma 4 2 4 5 3 5 2" xfId="42723" xr:uid="{06EB06F8-5E71-40CB-9521-D4C0AA9B5110}"/>
    <cellStyle name="Comma 4 2 4 5 3 5 3" xfId="24469" xr:uid="{DCA7A46E-4A8E-4041-AEB2-90EB30770EC4}"/>
    <cellStyle name="Comma 4 2 4 5 3 6" xfId="39073" xr:uid="{6E5E9DE9-C722-4EB8-A37B-4FD0EC3D0D2D}"/>
    <cellStyle name="Comma 4 2 4 5 3 7" xfId="20819" xr:uid="{E8142C07-55EF-4C79-A6BC-C9F3488363AD}"/>
    <cellStyle name="Comma 4 2 4 5 4" xfId="1835" xr:uid="{C8DC164F-CDE8-4BCF-96ED-8DC9B2BB7356}"/>
    <cellStyle name="Comma 4 2 4 5 4 2" xfId="16435" xr:uid="{01387558-2317-4126-A592-CF1E33F5703A}"/>
    <cellStyle name="Comma 4 2 4 5 4 2 2" xfId="52943" xr:uid="{DF351D59-A329-408D-8734-08F7E9330321}"/>
    <cellStyle name="Comma 4 2 4 5 4 2 3" xfId="34689" xr:uid="{BE6F14F0-250E-483F-B792-4C2628DC8884}"/>
    <cellStyle name="Comma 4 2 4 5 4 3" xfId="12785" xr:uid="{44F2C188-B406-4174-8A70-7A0C8E4DCC26}"/>
    <cellStyle name="Comma 4 2 4 5 4 3 2" xfId="49293" xr:uid="{75B9DC5D-3C7A-4FE4-B0FF-143AA32CAC4F}"/>
    <cellStyle name="Comma 4 2 4 5 4 3 3" xfId="31039" xr:uid="{B994A434-7006-4295-A094-50106F79CDEF}"/>
    <cellStyle name="Comma 4 2 4 5 4 4" xfId="9135" xr:uid="{D8423DC6-13A6-4400-A893-3DA57E397E5B}"/>
    <cellStyle name="Comma 4 2 4 5 4 4 2" xfId="45643" xr:uid="{529F8437-9947-48A4-87AE-9C893CE28EFD}"/>
    <cellStyle name="Comma 4 2 4 5 4 4 3" xfId="27389" xr:uid="{2DDBAC50-048C-406C-AB3E-74B7BB23C390}"/>
    <cellStyle name="Comma 4 2 4 5 4 5" xfId="5485" xr:uid="{15FAB53B-0625-46BD-AEE0-97B89FF5DFF9}"/>
    <cellStyle name="Comma 4 2 4 5 4 5 2" xfId="41993" xr:uid="{F9E08D9E-E957-46F3-9727-82403AA4FFA8}"/>
    <cellStyle name="Comma 4 2 4 5 4 5 3" xfId="23739" xr:uid="{784B326F-2DBF-48FC-933B-AA727974B90E}"/>
    <cellStyle name="Comma 4 2 4 5 4 6" xfId="38343" xr:uid="{AC937F80-A32A-4F29-A83B-8A0A042284D0}"/>
    <cellStyle name="Comma 4 2 4 5 4 7" xfId="20089" xr:uid="{0ACBE909-67B7-4B13-A834-91EA9C908993}"/>
    <cellStyle name="Comma 4 2 4 5 5" xfId="1105" xr:uid="{DBF1A122-D039-470A-9F41-DEB48733E2B3}"/>
    <cellStyle name="Comma 4 2 4 5 5 2" xfId="15705" xr:uid="{D2DC2E9A-5694-48BB-8E47-04C222BCD1DE}"/>
    <cellStyle name="Comma 4 2 4 5 5 2 2" xfId="52213" xr:uid="{2DC336B2-5B80-4F0D-B5D5-248E418B66D6}"/>
    <cellStyle name="Comma 4 2 4 5 5 2 3" xfId="33959" xr:uid="{4217F9C3-BA66-4FC9-A02F-D56DCBEB2B7D}"/>
    <cellStyle name="Comma 4 2 4 5 5 3" xfId="12055" xr:uid="{C652E0B1-424B-43EB-B4A8-F312F2B8ED13}"/>
    <cellStyle name="Comma 4 2 4 5 5 3 2" xfId="48563" xr:uid="{B0BD8C64-DB96-4370-AAA7-E3ED583640AE}"/>
    <cellStyle name="Comma 4 2 4 5 5 3 3" xfId="30309" xr:uid="{2FCA3A1A-753B-4A2F-A33A-39D412331884}"/>
    <cellStyle name="Comma 4 2 4 5 5 4" xfId="8405" xr:uid="{F9A2B60F-501D-4614-B06C-B3AA695A0DBC}"/>
    <cellStyle name="Comma 4 2 4 5 5 4 2" xfId="44913" xr:uid="{A41AD015-8F45-4C8E-BE39-AC1CBAA836DB}"/>
    <cellStyle name="Comma 4 2 4 5 5 4 3" xfId="26659" xr:uid="{D8EC5227-93D6-40B5-BF1C-D3D40053C745}"/>
    <cellStyle name="Comma 4 2 4 5 5 5" xfId="4755" xr:uid="{BD07366F-AA71-4C1E-A6D6-CA3F6E9CDF46}"/>
    <cellStyle name="Comma 4 2 4 5 5 5 2" xfId="41263" xr:uid="{F76D01E2-35C1-49E5-AE20-2FE0AC72215F}"/>
    <cellStyle name="Comma 4 2 4 5 5 5 3" xfId="23009" xr:uid="{2D2A894D-BAFC-4771-A68B-FF963F6017BF}"/>
    <cellStyle name="Comma 4 2 4 5 5 6" xfId="37613" xr:uid="{F7E7FBBF-BC64-41E8-B3AB-9C4DBE2C1962}"/>
    <cellStyle name="Comma 4 2 4 5 5 7" xfId="19359" xr:uid="{772CA021-DBE9-4B12-BCEB-8E6285A3CC14}"/>
    <cellStyle name="Comma 4 2 4 5 6" xfId="14975" xr:uid="{FA824EFD-F677-4A7B-8893-25DEAB8D3386}"/>
    <cellStyle name="Comma 4 2 4 5 6 2" xfId="51483" xr:uid="{5DB30F17-3BEA-46B2-A390-4C78D2319A98}"/>
    <cellStyle name="Comma 4 2 4 5 6 3" xfId="33229" xr:uid="{ED44A5F8-18EE-4358-A0B1-8F1C1CAB22F7}"/>
    <cellStyle name="Comma 4 2 4 5 7" xfId="11325" xr:uid="{81B15C11-ED5B-4B51-B0D4-2E71F5135BFB}"/>
    <cellStyle name="Comma 4 2 4 5 7 2" xfId="47833" xr:uid="{00A78972-B498-41C1-BDF1-3436B40F43E4}"/>
    <cellStyle name="Comma 4 2 4 5 7 3" xfId="29579" xr:uid="{D876C81C-B046-4981-A12E-19A90735833C}"/>
    <cellStyle name="Comma 4 2 4 5 8" xfId="7675" xr:uid="{31DB3561-649F-489D-86E6-149BEB9858F6}"/>
    <cellStyle name="Comma 4 2 4 5 8 2" xfId="44183" xr:uid="{8BF59845-859D-425F-92A2-4B228FE54AFE}"/>
    <cellStyle name="Comma 4 2 4 5 8 3" xfId="25929" xr:uid="{9EF822E3-2CB8-452E-BC5E-93BAEB43B7BF}"/>
    <cellStyle name="Comma 4 2 4 5 9" xfId="4025" xr:uid="{5844BAD3-5C99-4DA8-9D49-45C776A627F1}"/>
    <cellStyle name="Comma 4 2 4 5 9 2" xfId="40533" xr:uid="{297628E3-8A9D-4E8C-80CE-DE703307EA8C}"/>
    <cellStyle name="Comma 4 2 4 5 9 3" xfId="22279" xr:uid="{BBF95993-1A5F-4CE9-9B1E-F441BF189185}"/>
    <cellStyle name="Comma 4 2 4 6" xfId="271" xr:uid="{0ECC83BC-A29B-4104-8315-FA61151783A5}"/>
    <cellStyle name="Comma 4 2 4 6 10" xfId="36779" xr:uid="{75A1A6E5-AD6D-4ED5-A27E-8F09B622861E}"/>
    <cellStyle name="Comma 4 2 4 6 11" xfId="18525" xr:uid="{B77478B8-01D9-425B-90EE-DC9FC818A0F8}"/>
    <cellStyle name="Comma 4 2 4 6 2" xfId="3191" xr:uid="{AF557016-EBB7-48F4-A341-9A20AE74AF39}"/>
    <cellStyle name="Comma 4 2 4 6 2 2" xfId="17791" xr:uid="{1ACFB947-1D3A-49A6-B541-DBB31741C688}"/>
    <cellStyle name="Comma 4 2 4 6 2 2 2" xfId="54299" xr:uid="{4891F23F-76D4-47CD-BF1B-68B9F8AB8DAF}"/>
    <cellStyle name="Comma 4 2 4 6 2 2 3" xfId="36045" xr:uid="{A5FFA7EF-60AB-4A23-8542-E4BEA2974C4F}"/>
    <cellStyle name="Comma 4 2 4 6 2 3" xfId="14141" xr:uid="{D3320399-BC74-467E-9999-00969609DED6}"/>
    <cellStyle name="Comma 4 2 4 6 2 3 2" xfId="50649" xr:uid="{DF3E178F-E9D1-49B9-BCBA-33770797D3FC}"/>
    <cellStyle name="Comma 4 2 4 6 2 3 3" xfId="32395" xr:uid="{A5860D40-9392-463A-8709-2666B1BAF8B2}"/>
    <cellStyle name="Comma 4 2 4 6 2 4" xfId="10491" xr:uid="{9497B6F5-925B-457F-8F8D-9D55A181BCAE}"/>
    <cellStyle name="Comma 4 2 4 6 2 4 2" xfId="46999" xr:uid="{202DF26B-5BCA-42BC-A1D1-E86624FD65BD}"/>
    <cellStyle name="Comma 4 2 4 6 2 4 3" xfId="28745" xr:uid="{95455902-B38E-4E79-A521-930FB65CFE57}"/>
    <cellStyle name="Comma 4 2 4 6 2 5" xfId="6841" xr:uid="{6BDA1C41-4AA8-419E-8E5D-ED4F2B102883}"/>
    <cellStyle name="Comma 4 2 4 6 2 5 2" xfId="43349" xr:uid="{2D6F9D18-2FF0-4440-95EB-23BC9A8E30E7}"/>
    <cellStyle name="Comma 4 2 4 6 2 5 3" xfId="25095" xr:uid="{CC5D99C0-9DC6-4B2D-935B-E5A562435FF6}"/>
    <cellStyle name="Comma 4 2 4 6 2 6" xfId="39699" xr:uid="{8A5561DC-EC27-4F5A-AFCC-FE383F6CC6BD}"/>
    <cellStyle name="Comma 4 2 4 6 2 7" xfId="21445" xr:uid="{3A1DA9F4-2D6F-4AF7-A9D5-4DA9D711BEA7}"/>
    <cellStyle name="Comma 4 2 4 6 3" xfId="2461" xr:uid="{FA36CB68-9BB3-4306-B56F-6F67ACA688A2}"/>
    <cellStyle name="Comma 4 2 4 6 3 2" xfId="17061" xr:uid="{2F3F6496-9338-4F2F-8CE5-4E9F8418241D}"/>
    <cellStyle name="Comma 4 2 4 6 3 2 2" xfId="53569" xr:uid="{9C8B5C8A-EEE0-45DF-B8D5-C82B0D741F19}"/>
    <cellStyle name="Comma 4 2 4 6 3 2 3" xfId="35315" xr:uid="{0E972040-8DA9-4A14-9C25-B37921285A3F}"/>
    <cellStyle name="Comma 4 2 4 6 3 3" xfId="13411" xr:uid="{DE0EFCBF-EDB5-40E8-AB3C-174CE7B204EB}"/>
    <cellStyle name="Comma 4 2 4 6 3 3 2" xfId="49919" xr:uid="{D0891E03-2ECF-4928-96BE-C42BF24EDF1C}"/>
    <cellStyle name="Comma 4 2 4 6 3 3 3" xfId="31665" xr:uid="{E2BAB56D-9117-46F7-8846-152C3FCDC98A}"/>
    <cellStyle name="Comma 4 2 4 6 3 4" xfId="9761" xr:uid="{44812FA1-D2B3-43AB-B7B8-586DE22B0618}"/>
    <cellStyle name="Comma 4 2 4 6 3 4 2" xfId="46269" xr:uid="{8A074FBB-2F88-4AFE-99C0-0FD85477F4ED}"/>
    <cellStyle name="Comma 4 2 4 6 3 4 3" xfId="28015" xr:uid="{50487254-2BDA-4610-8277-5CB7924ACF6B}"/>
    <cellStyle name="Comma 4 2 4 6 3 5" xfId="6111" xr:uid="{CCD5F6F0-605E-4738-878E-A3B7E2915065}"/>
    <cellStyle name="Comma 4 2 4 6 3 5 2" xfId="42619" xr:uid="{C2F21DED-4A7A-4FD1-AA03-160560D0ED35}"/>
    <cellStyle name="Comma 4 2 4 6 3 5 3" xfId="24365" xr:uid="{E882EE33-DBB5-4088-91FA-ABEE5A083049}"/>
    <cellStyle name="Comma 4 2 4 6 3 6" xfId="38969" xr:uid="{5DA4380D-1AAA-4133-92BD-5952DFC83176}"/>
    <cellStyle name="Comma 4 2 4 6 3 7" xfId="20715" xr:uid="{5C7559D1-DB70-499F-863F-A2F01AF792FF}"/>
    <cellStyle name="Comma 4 2 4 6 4" xfId="1731" xr:uid="{2DB6D3CB-5B6E-43F9-9BD9-4BA5346A21F4}"/>
    <cellStyle name="Comma 4 2 4 6 4 2" xfId="16331" xr:uid="{55D15B93-02AD-4D7E-85B0-9B49758B5DDE}"/>
    <cellStyle name="Comma 4 2 4 6 4 2 2" xfId="52839" xr:uid="{27163813-83F0-4326-96B5-50947B2A2393}"/>
    <cellStyle name="Comma 4 2 4 6 4 2 3" xfId="34585" xr:uid="{69FB324F-4F67-4633-A05D-C3AB0E9292A1}"/>
    <cellStyle name="Comma 4 2 4 6 4 3" xfId="12681" xr:uid="{23533A90-8934-44C7-90CE-BCD4F75D546E}"/>
    <cellStyle name="Comma 4 2 4 6 4 3 2" xfId="49189" xr:uid="{9F077346-B8FC-4821-89AE-44DC0189888E}"/>
    <cellStyle name="Comma 4 2 4 6 4 3 3" xfId="30935" xr:uid="{0E0D7080-BB21-48FB-8220-874D909BA5FF}"/>
    <cellStyle name="Comma 4 2 4 6 4 4" xfId="9031" xr:uid="{4EAC47DD-57C3-4AF7-A546-4761EEB88E32}"/>
    <cellStyle name="Comma 4 2 4 6 4 4 2" xfId="45539" xr:uid="{EEE7870B-2FA6-48EB-9B01-124FCCC7ACCE}"/>
    <cellStyle name="Comma 4 2 4 6 4 4 3" xfId="27285" xr:uid="{1D6BDA57-4D96-4784-91FB-EE22CE3364F8}"/>
    <cellStyle name="Comma 4 2 4 6 4 5" xfId="5381" xr:uid="{CC38FC3B-6339-4E65-B2C4-824B91AEC5D6}"/>
    <cellStyle name="Comma 4 2 4 6 4 5 2" xfId="41889" xr:uid="{6BA82E3D-C76A-4081-932E-F7CE84FE0C1C}"/>
    <cellStyle name="Comma 4 2 4 6 4 5 3" xfId="23635" xr:uid="{62D0F3FC-836F-46FC-8F0C-41094231CC6C}"/>
    <cellStyle name="Comma 4 2 4 6 4 6" xfId="38239" xr:uid="{875FAC09-BAA1-4F80-8F48-CE2ABD81B328}"/>
    <cellStyle name="Comma 4 2 4 6 4 7" xfId="19985" xr:uid="{05976704-321C-40C0-92B6-D9244BAB5FD7}"/>
    <cellStyle name="Comma 4 2 4 6 5" xfId="1001" xr:uid="{CA88BE8B-E988-48A6-A2C6-883EEDB9F897}"/>
    <cellStyle name="Comma 4 2 4 6 5 2" xfId="15601" xr:uid="{CEE5FBC2-108C-46EF-8BC6-EB38918634D6}"/>
    <cellStyle name="Comma 4 2 4 6 5 2 2" xfId="52109" xr:uid="{28A38BC5-3EE0-4BA5-83D4-0FEF10EBB241}"/>
    <cellStyle name="Comma 4 2 4 6 5 2 3" xfId="33855" xr:uid="{9B0E7AC7-99A6-477A-B7E4-8165E9964BDB}"/>
    <cellStyle name="Comma 4 2 4 6 5 3" xfId="11951" xr:uid="{97AFE6F0-9E55-4EDC-AF88-E57A6FEAC8CB}"/>
    <cellStyle name="Comma 4 2 4 6 5 3 2" xfId="48459" xr:uid="{AFA33CF3-BF92-4E04-BFBD-6E11D8D9F0F4}"/>
    <cellStyle name="Comma 4 2 4 6 5 3 3" xfId="30205" xr:uid="{F57BDCE5-31F6-4A40-8974-9AAA8716AE67}"/>
    <cellStyle name="Comma 4 2 4 6 5 4" xfId="8301" xr:uid="{1321E556-8035-4284-B0C3-240FEF72983E}"/>
    <cellStyle name="Comma 4 2 4 6 5 4 2" xfId="44809" xr:uid="{6158595D-DCF2-446D-90C7-677DB5F196F3}"/>
    <cellStyle name="Comma 4 2 4 6 5 4 3" xfId="26555" xr:uid="{4DE9A00F-FC67-4CAC-A718-B03334BE6AFE}"/>
    <cellStyle name="Comma 4 2 4 6 5 5" xfId="4651" xr:uid="{F18FDDEA-D9A1-4332-83B6-21B4FB2066B0}"/>
    <cellStyle name="Comma 4 2 4 6 5 5 2" xfId="41159" xr:uid="{B912E42A-AD31-4F2D-A409-00F55560029F}"/>
    <cellStyle name="Comma 4 2 4 6 5 5 3" xfId="22905" xr:uid="{3DDC738E-256E-4A62-A442-7B54A3E05B29}"/>
    <cellStyle name="Comma 4 2 4 6 5 6" xfId="37509" xr:uid="{7729C59E-902A-4384-9288-F3E2904CE0C6}"/>
    <cellStyle name="Comma 4 2 4 6 5 7" xfId="19255" xr:uid="{937BA5F2-86BA-49C5-A9B0-066588F76352}"/>
    <cellStyle name="Comma 4 2 4 6 6" xfId="14871" xr:uid="{BC846F47-C26D-403F-96D1-13220BC6C524}"/>
    <cellStyle name="Comma 4 2 4 6 6 2" xfId="51379" xr:uid="{A6954EE9-8A69-415C-B0EA-047A9BDF16B1}"/>
    <cellStyle name="Comma 4 2 4 6 6 3" xfId="33125" xr:uid="{FD137D91-890D-4337-80D6-910639C39657}"/>
    <cellStyle name="Comma 4 2 4 6 7" xfId="11221" xr:uid="{01EEE7B2-2F90-4E6C-85C8-9BCC822E33D9}"/>
    <cellStyle name="Comma 4 2 4 6 7 2" xfId="47729" xr:uid="{E1B59DF4-12D6-4907-A019-F58C4CD84436}"/>
    <cellStyle name="Comma 4 2 4 6 7 3" xfId="29475" xr:uid="{CA01D5F8-F973-4420-84E3-B331FCC163D2}"/>
    <cellStyle name="Comma 4 2 4 6 8" xfId="7571" xr:uid="{D4D6DCBB-52DB-4C9C-85D9-45F3DBDFE34C}"/>
    <cellStyle name="Comma 4 2 4 6 8 2" xfId="44079" xr:uid="{3CF96CF0-9E69-4EDF-9A09-9F175F498E71}"/>
    <cellStyle name="Comma 4 2 4 6 8 3" xfId="25825" xr:uid="{35183B7C-51B7-4F19-B878-CC0327444803}"/>
    <cellStyle name="Comma 4 2 4 6 9" xfId="3921" xr:uid="{5B83A16B-6002-4DC3-AD4B-9EE45793144C}"/>
    <cellStyle name="Comma 4 2 4 6 9 2" xfId="40429" xr:uid="{22DC6A3E-09BF-4FC0-AC3E-6883A0EF77B6}"/>
    <cellStyle name="Comma 4 2 4 6 9 3" xfId="22175" xr:uid="{FF058859-B05E-4E3B-8AB1-7B9BC105649E}"/>
    <cellStyle name="Comma 4 2 4 7" xfId="167" xr:uid="{8BAD8D9C-6846-448C-A73B-7A93FA5489BB}"/>
    <cellStyle name="Comma 4 2 4 7 10" xfId="36675" xr:uid="{6EEF4764-A6F9-4AB4-8C56-A2C140EB0237}"/>
    <cellStyle name="Comma 4 2 4 7 11" xfId="18421" xr:uid="{1E9BF1CB-052B-414D-BA47-A2787C459E4A}"/>
    <cellStyle name="Comma 4 2 4 7 2" xfId="3087" xr:uid="{57683A55-71F1-4592-8737-FB514518E364}"/>
    <cellStyle name="Comma 4 2 4 7 2 2" xfId="17687" xr:uid="{FB1D91B2-396F-4A25-A425-D20DA42BAEA0}"/>
    <cellStyle name="Comma 4 2 4 7 2 2 2" xfId="54195" xr:uid="{FB2FF9EF-5AB8-43CC-A4EC-A39E712922A0}"/>
    <cellStyle name="Comma 4 2 4 7 2 2 3" xfId="35941" xr:uid="{4AEF4188-B3B1-4839-A7C7-8C7C615F7245}"/>
    <cellStyle name="Comma 4 2 4 7 2 3" xfId="14037" xr:uid="{58FF3970-2BC3-48CB-922E-FBB91CADCEEB}"/>
    <cellStyle name="Comma 4 2 4 7 2 3 2" xfId="50545" xr:uid="{3EA5465A-6D20-4AB7-9B0E-EFD6BF036D7A}"/>
    <cellStyle name="Comma 4 2 4 7 2 3 3" xfId="32291" xr:uid="{FD0633B1-6224-46C9-A5AC-DA5B6ABE4387}"/>
    <cellStyle name="Comma 4 2 4 7 2 4" xfId="10387" xr:uid="{F86D5A90-3279-4D90-93F4-421344D3FB83}"/>
    <cellStyle name="Comma 4 2 4 7 2 4 2" xfId="46895" xr:uid="{A6248CF2-0344-42A3-870B-6FF45AAB705F}"/>
    <cellStyle name="Comma 4 2 4 7 2 4 3" xfId="28641" xr:uid="{00D724F6-CA6E-42DF-AE69-AFE049A1C919}"/>
    <cellStyle name="Comma 4 2 4 7 2 5" xfId="6737" xr:uid="{980E1547-2972-451A-A733-3BF5136DA51A}"/>
    <cellStyle name="Comma 4 2 4 7 2 5 2" xfId="43245" xr:uid="{50175AB8-D6BC-4C98-A276-9631CC519097}"/>
    <cellStyle name="Comma 4 2 4 7 2 5 3" xfId="24991" xr:uid="{47E7378A-F456-4F2B-B2E9-481493B6548E}"/>
    <cellStyle name="Comma 4 2 4 7 2 6" xfId="39595" xr:uid="{F3D95C90-E724-498A-B9BD-51B4A89E3835}"/>
    <cellStyle name="Comma 4 2 4 7 2 7" xfId="21341" xr:uid="{E70BECC6-EE65-4D36-AEB6-43CACBB00968}"/>
    <cellStyle name="Comma 4 2 4 7 3" xfId="2357" xr:uid="{EA1E69D3-5E5A-46F5-A2CC-BCE1215BA7FA}"/>
    <cellStyle name="Comma 4 2 4 7 3 2" xfId="16957" xr:uid="{ABFBAA9E-DE33-4A8D-B7E9-6293ADC9BCC9}"/>
    <cellStyle name="Comma 4 2 4 7 3 2 2" xfId="53465" xr:uid="{4F62EBF5-55EC-44A0-AEF0-DFC258620314}"/>
    <cellStyle name="Comma 4 2 4 7 3 2 3" xfId="35211" xr:uid="{00F8221E-B535-4913-8D1F-833E5337FA4F}"/>
    <cellStyle name="Comma 4 2 4 7 3 3" xfId="13307" xr:uid="{CD5FA991-A419-4CD3-A3F8-C19A2D07E8EF}"/>
    <cellStyle name="Comma 4 2 4 7 3 3 2" xfId="49815" xr:uid="{BAD11017-1ACF-4639-B3AA-CB6F32404B37}"/>
    <cellStyle name="Comma 4 2 4 7 3 3 3" xfId="31561" xr:uid="{AA4A8328-70D8-46A9-8386-3ADED835D3C5}"/>
    <cellStyle name="Comma 4 2 4 7 3 4" xfId="9657" xr:uid="{A89350B8-3E97-4176-88A7-195C84352837}"/>
    <cellStyle name="Comma 4 2 4 7 3 4 2" xfId="46165" xr:uid="{83AF04B8-F65E-4231-83F1-D65357892752}"/>
    <cellStyle name="Comma 4 2 4 7 3 4 3" xfId="27911" xr:uid="{590E0FC8-46A0-48AA-BDEC-4E3F199B1A2D}"/>
    <cellStyle name="Comma 4 2 4 7 3 5" xfId="6007" xr:uid="{34076DCB-E0DD-4303-BC30-4771E5188220}"/>
    <cellStyle name="Comma 4 2 4 7 3 5 2" xfId="42515" xr:uid="{ECFB0B71-64F2-4073-A50C-373B6A2EFBAF}"/>
    <cellStyle name="Comma 4 2 4 7 3 5 3" xfId="24261" xr:uid="{AAD915CE-C53E-490F-96AD-C7F8A726A0BF}"/>
    <cellStyle name="Comma 4 2 4 7 3 6" xfId="38865" xr:uid="{5C3BE1E3-632D-4E59-A42F-FC223FCD6984}"/>
    <cellStyle name="Comma 4 2 4 7 3 7" xfId="20611" xr:uid="{D705A162-A29A-4097-B70A-5ACDFBD0CFBF}"/>
    <cellStyle name="Comma 4 2 4 7 4" xfId="1627" xr:uid="{A4E5335D-5111-406F-AAD2-3BB01C7E60CB}"/>
    <cellStyle name="Comma 4 2 4 7 4 2" xfId="16227" xr:uid="{AED5E26A-CCB3-40BA-A279-CF5DDF792C74}"/>
    <cellStyle name="Comma 4 2 4 7 4 2 2" xfId="52735" xr:uid="{7F7F6A6D-0E7B-4BEF-8AAC-D5479F1F641D}"/>
    <cellStyle name="Comma 4 2 4 7 4 2 3" xfId="34481" xr:uid="{FA98553E-A55E-47F9-AB68-30EFC693B44A}"/>
    <cellStyle name="Comma 4 2 4 7 4 3" xfId="12577" xr:uid="{752B1D0C-0C10-4A5E-A562-218A9A3A43D3}"/>
    <cellStyle name="Comma 4 2 4 7 4 3 2" xfId="49085" xr:uid="{2D685B7C-2F8D-4A07-8E92-4B46410EB068}"/>
    <cellStyle name="Comma 4 2 4 7 4 3 3" xfId="30831" xr:uid="{22AD0BED-2069-4547-92F7-C8F795DFEE88}"/>
    <cellStyle name="Comma 4 2 4 7 4 4" xfId="8927" xr:uid="{48C0414C-8496-47D5-95E8-688E431E72CE}"/>
    <cellStyle name="Comma 4 2 4 7 4 4 2" xfId="45435" xr:uid="{0C0ADEFF-7F45-48DB-BA69-E7D7EB47875E}"/>
    <cellStyle name="Comma 4 2 4 7 4 4 3" xfId="27181" xr:uid="{7D1F5542-42EC-4090-A011-439A6AECE9F4}"/>
    <cellStyle name="Comma 4 2 4 7 4 5" xfId="5277" xr:uid="{E5628871-3237-4FF9-A8FD-43C0701A8D8F}"/>
    <cellStyle name="Comma 4 2 4 7 4 5 2" xfId="41785" xr:uid="{B85AC26D-88D9-4F71-AF6F-AAA1E7CFFE79}"/>
    <cellStyle name="Comma 4 2 4 7 4 5 3" xfId="23531" xr:uid="{705EC6E6-35C7-40A9-ADA8-CED047CE3410}"/>
    <cellStyle name="Comma 4 2 4 7 4 6" xfId="38135" xr:uid="{7AD8A7BB-1116-4772-BE7B-443D7CCCCE88}"/>
    <cellStyle name="Comma 4 2 4 7 4 7" xfId="19881" xr:uid="{0DB4E9B3-20AE-4094-A74A-C5B2249B95DF}"/>
    <cellStyle name="Comma 4 2 4 7 5" xfId="897" xr:uid="{5A34CAF2-26A4-48FE-AF9D-9AF374C827E9}"/>
    <cellStyle name="Comma 4 2 4 7 5 2" xfId="15497" xr:uid="{0B329481-A00C-46C1-9DA1-20535F3ADE7D}"/>
    <cellStyle name="Comma 4 2 4 7 5 2 2" xfId="52005" xr:uid="{F70FF971-6558-4CE8-BE45-2A374F2CF640}"/>
    <cellStyle name="Comma 4 2 4 7 5 2 3" xfId="33751" xr:uid="{4CD0EA34-81D6-4AE9-AA48-CF1AEE9D8633}"/>
    <cellStyle name="Comma 4 2 4 7 5 3" xfId="11847" xr:uid="{CFFC0FE1-5CA9-4AE3-A0B1-429323F6DEE4}"/>
    <cellStyle name="Comma 4 2 4 7 5 3 2" xfId="48355" xr:uid="{B566BB62-C8C2-47B9-98B4-7031D08EA45B}"/>
    <cellStyle name="Comma 4 2 4 7 5 3 3" xfId="30101" xr:uid="{AC596F9C-1480-4A07-8016-B422E042F688}"/>
    <cellStyle name="Comma 4 2 4 7 5 4" xfId="8197" xr:uid="{BB90E708-590C-4E30-B273-14A560840D38}"/>
    <cellStyle name="Comma 4 2 4 7 5 4 2" xfId="44705" xr:uid="{82FA6669-AE51-4100-9E9C-FD6A61AFF79E}"/>
    <cellStyle name="Comma 4 2 4 7 5 4 3" xfId="26451" xr:uid="{0854D14F-3FB5-4924-99EE-8EEB0193DBD5}"/>
    <cellStyle name="Comma 4 2 4 7 5 5" xfId="4547" xr:uid="{FB4C14DF-69DC-4326-A643-598F79DA2FB2}"/>
    <cellStyle name="Comma 4 2 4 7 5 5 2" xfId="41055" xr:uid="{89BA0B8D-04CB-4E28-B21E-4DBDC8697E25}"/>
    <cellStyle name="Comma 4 2 4 7 5 5 3" xfId="22801" xr:uid="{C9C7D9BB-5EEB-4F4F-9BB1-C5837C747B54}"/>
    <cellStyle name="Comma 4 2 4 7 5 6" xfId="37405" xr:uid="{D77ABAA0-0059-4D6B-A66B-2752604C33D4}"/>
    <cellStyle name="Comma 4 2 4 7 5 7" xfId="19151" xr:uid="{671BD5F5-B161-4983-A164-F7D7661D64C2}"/>
    <cellStyle name="Comma 4 2 4 7 6" xfId="14767" xr:uid="{1ECF5B9A-6D6C-47DB-B786-E8A6E580871F}"/>
    <cellStyle name="Comma 4 2 4 7 6 2" xfId="51275" xr:uid="{AF0504F2-C26E-427A-A864-5765683A073C}"/>
    <cellStyle name="Comma 4 2 4 7 6 3" xfId="33021" xr:uid="{BFB337A5-F3F4-45DD-AEC4-6C2BF6966CE1}"/>
    <cellStyle name="Comma 4 2 4 7 7" xfId="11117" xr:uid="{4AA9E630-4BF9-4DFF-988F-5A3067BAEC07}"/>
    <cellStyle name="Comma 4 2 4 7 7 2" xfId="47625" xr:uid="{46F64A72-352A-41E4-8E4E-94F0FF2E0ED9}"/>
    <cellStyle name="Comma 4 2 4 7 7 3" xfId="29371" xr:uid="{E783217C-455B-48F1-A4AC-973A09CEC798}"/>
    <cellStyle name="Comma 4 2 4 7 8" xfId="7467" xr:uid="{4B981C59-6AA4-45AE-954D-CE9E32920F6E}"/>
    <cellStyle name="Comma 4 2 4 7 8 2" xfId="43975" xr:uid="{BB251403-4C9B-44A4-91B4-9CEBFB104C6E}"/>
    <cellStyle name="Comma 4 2 4 7 8 3" xfId="25721" xr:uid="{8A1954BB-918F-4C25-82FB-3C0C08EF8411}"/>
    <cellStyle name="Comma 4 2 4 7 9" xfId="3817" xr:uid="{214EF1BA-7C25-43BE-B785-C70DC4B8EA22}"/>
    <cellStyle name="Comma 4 2 4 7 9 2" xfId="40325" xr:uid="{3FA43C8E-F117-4C64-9941-861FBB59FF5B}"/>
    <cellStyle name="Comma 4 2 4 7 9 3" xfId="22071" xr:uid="{59DAB4B8-E96C-492E-A4CD-D6D2AFD64F75}"/>
    <cellStyle name="Comma 4 2 4 8" xfId="2983" xr:uid="{80AED3EC-106A-414F-8801-0BD57A65C01A}"/>
    <cellStyle name="Comma 4 2 4 8 2" xfId="17583" xr:uid="{E72B14DF-883A-471F-885C-75495A42EE87}"/>
    <cellStyle name="Comma 4 2 4 8 2 2" xfId="54091" xr:uid="{BF68D12C-08F8-430B-8BBC-4BFEA4F90AD7}"/>
    <cellStyle name="Comma 4 2 4 8 2 3" xfId="35837" xr:uid="{EC687FCE-1DB9-4462-A442-8DF14D62B308}"/>
    <cellStyle name="Comma 4 2 4 8 3" xfId="13933" xr:uid="{E9659534-F5FB-4C3E-AF8F-AF326412C715}"/>
    <cellStyle name="Comma 4 2 4 8 3 2" xfId="50441" xr:uid="{283920BB-3424-4D8F-ACA6-5DA5B0FB7456}"/>
    <cellStyle name="Comma 4 2 4 8 3 3" xfId="32187" xr:uid="{6D3BDBD4-3B6C-4075-8C2A-ED1E728A8993}"/>
    <cellStyle name="Comma 4 2 4 8 4" xfId="10283" xr:uid="{7AC65EBC-E908-485E-A304-0A31E7ED3441}"/>
    <cellStyle name="Comma 4 2 4 8 4 2" xfId="46791" xr:uid="{5D6297CA-1D83-49C5-8ABD-C5F1848647B7}"/>
    <cellStyle name="Comma 4 2 4 8 4 3" xfId="28537" xr:uid="{DC4DD8D3-5783-4E79-B9CE-E5A3DC4277BA}"/>
    <cellStyle name="Comma 4 2 4 8 5" xfId="6633" xr:uid="{AD4FE076-F10E-4C9B-A8AF-4DAA3CE4E515}"/>
    <cellStyle name="Comma 4 2 4 8 5 2" xfId="43141" xr:uid="{5CE924D5-12D1-4D66-AFC1-F763DFB9E01B}"/>
    <cellStyle name="Comma 4 2 4 8 5 3" xfId="24887" xr:uid="{546DEFC4-7C1B-4E9D-8BB4-DE376F1211D7}"/>
    <cellStyle name="Comma 4 2 4 8 6" xfId="39491" xr:uid="{17F4A6A1-034B-4145-9427-346E17181825}"/>
    <cellStyle name="Comma 4 2 4 8 7" xfId="21237" xr:uid="{3747FC10-8E29-4B41-AD5B-473A462B2D01}"/>
    <cellStyle name="Comma 4 2 4 9" xfId="2253" xr:uid="{0C29FCAE-96FD-41F2-9394-0148F38E6AED}"/>
    <cellStyle name="Comma 4 2 4 9 2" xfId="16853" xr:uid="{EE0969AE-1133-46BB-8384-CEA4875BB74D}"/>
    <cellStyle name="Comma 4 2 4 9 2 2" xfId="53361" xr:uid="{2DAB761B-3BA9-4E31-A992-4091EC4C0B8B}"/>
    <cellStyle name="Comma 4 2 4 9 2 3" xfId="35107" xr:uid="{ABF3442B-3C93-4FCE-B075-41182B94E59E}"/>
    <cellStyle name="Comma 4 2 4 9 3" xfId="13203" xr:uid="{A44D2A0C-9E7A-4B5B-B5E0-797CA5EE4F1C}"/>
    <cellStyle name="Comma 4 2 4 9 3 2" xfId="49711" xr:uid="{21F5B539-0A1A-4F87-B3C0-7628D8B50EAE}"/>
    <cellStyle name="Comma 4 2 4 9 3 3" xfId="31457" xr:uid="{50B6BF41-B14A-4CBC-9F5E-9C26723FEB3B}"/>
    <cellStyle name="Comma 4 2 4 9 4" xfId="9553" xr:uid="{D74BD361-C6B3-4D84-AF0A-DEE046D57FBC}"/>
    <cellStyle name="Comma 4 2 4 9 4 2" xfId="46061" xr:uid="{ED959BE6-8136-4DD6-8009-A4123774CC8E}"/>
    <cellStyle name="Comma 4 2 4 9 4 3" xfId="27807" xr:uid="{DA244BA1-67A8-4032-AACA-3778C34970FA}"/>
    <cellStyle name="Comma 4 2 4 9 5" xfId="5903" xr:uid="{DE3531E9-7EDA-4828-8D04-7AB00338AF1A}"/>
    <cellStyle name="Comma 4 2 4 9 5 2" xfId="42411" xr:uid="{E663FBDD-8E77-41EA-B082-4B8C4A5A2A5D}"/>
    <cellStyle name="Comma 4 2 4 9 5 3" xfId="24157" xr:uid="{CCE482DB-265F-41C7-AA9F-0F6CE9F5DCAA}"/>
    <cellStyle name="Comma 4 2 4 9 6" xfId="38761" xr:uid="{CD25EAD8-62BF-4F47-990A-315D40D72E9D}"/>
    <cellStyle name="Comma 4 2 4 9 7" xfId="20507" xr:uid="{D79171B8-EB44-4E50-A3DA-B3559F932A62}"/>
    <cellStyle name="Comma 4 2 5" xfId="655" xr:uid="{7FD6EF66-2FC9-4F24-AF31-F4D9D0059A62}"/>
    <cellStyle name="Comma 4 2 5 10" xfId="37163" xr:uid="{C37DF8BB-A2D6-40D2-9C2C-55D2BDD7620C}"/>
    <cellStyle name="Comma 4 2 5 11" xfId="18909" xr:uid="{9F56F986-C18B-498A-B3A6-5807CB61F938}"/>
    <cellStyle name="Comma 4 2 5 2" xfId="3575" xr:uid="{90148616-B1EA-4223-A385-73505AFCED05}"/>
    <cellStyle name="Comma 4 2 5 2 2" xfId="18175" xr:uid="{B068F954-CDA3-4B69-9ABB-29E3D26B0A63}"/>
    <cellStyle name="Comma 4 2 5 2 2 2" xfId="54683" xr:uid="{FE471144-77AE-4752-AB7A-291324F15885}"/>
    <cellStyle name="Comma 4 2 5 2 2 3" xfId="36429" xr:uid="{24EDB51D-59F7-4560-9E37-E721EB8DD368}"/>
    <cellStyle name="Comma 4 2 5 2 3" xfId="14525" xr:uid="{21F58C73-ACBE-4FB5-B3BB-E237B49DFDFC}"/>
    <cellStyle name="Comma 4 2 5 2 3 2" xfId="51033" xr:uid="{E49D1F82-C1DB-4221-8DDC-601DEFDC0A97}"/>
    <cellStyle name="Comma 4 2 5 2 3 3" xfId="32779" xr:uid="{6CDD2C2B-7222-43FE-8892-8AC469548A1D}"/>
    <cellStyle name="Comma 4 2 5 2 4" xfId="10875" xr:uid="{91461FD8-CFD3-4071-9FA0-228F1D0B71F0}"/>
    <cellStyle name="Comma 4 2 5 2 4 2" xfId="47383" xr:uid="{10CD3E85-D052-4B53-8AD6-C8C5F2B18E60}"/>
    <cellStyle name="Comma 4 2 5 2 4 3" xfId="29129" xr:uid="{2EBC7F96-E2FF-486D-8031-1BFD3E6312E7}"/>
    <cellStyle name="Comma 4 2 5 2 5" xfId="7225" xr:uid="{6089D433-2B77-4154-83DD-817078E79017}"/>
    <cellStyle name="Comma 4 2 5 2 5 2" xfId="43733" xr:uid="{BB64104C-702D-4099-AC56-C733856F39D4}"/>
    <cellStyle name="Comma 4 2 5 2 5 3" xfId="25479" xr:uid="{45762207-D9EA-4B0E-95D6-F9E9B2DBB1A6}"/>
    <cellStyle name="Comma 4 2 5 2 6" xfId="40083" xr:uid="{0E5F59EE-BE6E-44EE-B35C-8B211D232F41}"/>
    <cellStyle name="Comma 4 2 5 2 7" xfId="21829" xr:uid="{5F58C9CD-02CD-4C07-8ED0-9AA94CB11084}"/>
    <cellStyle name="Comma 4 2 5 3" xfId="2845" xr:uid="{D5E3AFF8-B811-455D-88A2-8D33631E785A}"/>
    <cellStyle name="Comma 4 2 5 3 2" xfId="17445" xr:uid="{53F72AC5-D2F4-47AA-904A-A7BAF1F6C23C}"/>
    <cellStyle name="Comma 4 2 5 3 2 2" xfId="53953" xr:uid="{6D657DDF-9614-4CFF-A165-94688A94BF15}"/>
    <cellStyle name="Comma 4 2 5 3 2 3" xfId="35699" xr:uid="{2439F621-A3E1-4216-9815-87D658322A98}"/>
    <cellStyle name="Comma 4 2 5 3 3" xfId="13795" xr:uid="{744946BC-9E4B-4C5E-A86B-421883EA9617}"/>
    <cellStyle name="Comma 4 2 5 3 3 2" xfId="50303" xr:uid="{2C9E87CB-BB45-4F3B-AA36-6D2085221E99}"/>
    <cellStyle name="Comma 4 2 5 3 3 3" xfId="32049" xr:uid="{849EAD85-997D-4C76-AA9F-A729DE4BDA63}"/>
    <cellStyle name="Comma 4 2 5 3 4" xfId="10145" xr:uid="{418A3432-C838-446C-8F23-EF12019E9AA1}"/>
    <cellStyle name="Comma 4 2 5 3 4 2" xfId="46653" xr:uid="{AE29D48A-C42A-4371-A003-34462FF907B7}"/>
    <cellStyle name="Comma 4 2 5 3 4 3" xfId="28399" xr:uid="{68543CBD-0488-4CA7-B6F8-F84E928B7649}"/>
    <cellStyle name="Comma 4 2 5 3 5" xfId="6495" xr:uid="{AF88AE59-B73B-45DF-8D6B-60B2A77F7B46}"/>
    <cellStyle name="Comma 4 2 5 3 5 2" xfId="43003" xr:uid="{6E740EAE-B193-4BD0-8FCC-46B882DB79C4}"/>
    <cellStyle name="Comma 4 2 5 3 5 3" xfId="24749" xr:uid="{E8CDCFDF-69BB-45C2-932E-7837D9CD2119}"/>
    <cellStyle name="Comma 4 2 5 3 6" xfId="39353" xr:uid="{9A752801-8320-4D59-A428-A1FAAF413A0F}"/>
    <cellStyle name="Comma 4 2 5 3 7" xfId="21099" xr:uid="{E97D259D-1E98-41C7-B46C-224731E5CE81}"/>
    <cellStyle name="Comma 4 2 5 4" xfId="2115" xr:uid="{8E1A1AB0-D82A-4D3B-B189-D383F7E8B6F4}"/>
    <cellStyle name="Comma 4 2 5 4 2" xfId="16715" xr:uid="{B484496F-581F-4021-8D55-90DA88D1C4E3}"/>
    <cellStyle name="Comma 4 2 5 4 2 2" xfId="53223" xr:uid="{60BD6AB8-5130-4098-989F-F73D341F1BDC}"/>
    <cellStyle name="Comma 4 2 5 4 2 3" xfId="34969" xr:uid="{3774B961-8B84-4022-928A-F30598F11B9E}"/>
    <cellStyle name="Comma 4 2 5 4 3" xfId="13065" xr:uid="{D1F3818E-EB3A-4555-8A9D-06CE4707E3D6}"/>
    <cellStyle name="Comma 4 2 5 4 3 2" xfId="49573" xr:uid="{1F192B5C-1772-4E1E-9ED9-686720D3A075}"/>
    <cellStyle name="Comma 4 2 5 4 3 3" xfId="31319" xr:uid="{06FD4C2C-5C0E-4755-B8EA-0084FDBAE0F2}"/>
    <cellStyle name="Comma 4 2 5 4 4" xfId="9415" xr:uid="{0A5623A8-CD3E-41F5-B19A-CB86014A7C3C}"/>
    <cellStyle name="Comma 4 2 5 4 4 2" xfId="45923" xr:uid="{7EE9BE93-033D-40C9-8CE9-34B5B0D43915}"/>
    <cellStyle name="Comma 4 2 5 4 4 3" xfId="27669" xr:uid="{44C4E9A8-95FE-479B-BE7D-C9E68B144B8F}"/>
    <cellStyle name="Comma 4 2 5 4 5" xfId="5765" xr:uid="{D99ABC16-738A-43E4-8890-FE4BC01BA524}"/>
    <cellStyle name="Comma 4 2 5 4 5 2" xfId="42273" xr:uid="{E9E02C5E-02B2-49CC-BE08-39570B15BB41}"/>
    <cellStyle name="Comma 4 2 5 4 5 3" xfId="24019" xr:uid="{B8B1DE37-09E4-41B5-B36E-F9F8362148C2}"/>
    <cellStyle name="Comma 4 2 5 4 6" xfId="38623" xr:uid="{A78C70FF-CA05-4AEE-90FF-3E0019883EF8}"/>
    <cellStyle name="Comma 4 2 5 4 7" xfId="20369" xr:uid="{F2F000C8-A76D-413E-BFA2-64129A14CAC2}"/>
    <cellStyle name="Comma 4 2 5 5" xfId="1385" xr:uid="{F4CCF1CA-22D0-4927-9EFB-7459E85F7580}"/>
    <cellStyle name="Comma 4 2 5 5 2" xfId="15985" xr:uid="{94C2F82F-7EB1-4334-ACCA-E2F8A078AB83}"/>
    <cellStyle name="Comma 4 2 5 5 2 2" xfId="52493" xr:uid="{AEAFDE8D-C93B-4105-872F-42C38B68694A}"/>
    <cellStyle name="Comma 4 2 5 5 2 3" xfId="34239" xr:uid="{9ECCBEDF-F5DA-453C-967F-2D36202E0FE7}"/>
    <cellStyle name="Comma 4 2 5 5 3" xfId="12335" xr:uid="{32FC6607-5130-402B-B4CE-7E8E1ED06425}"/>
    <cellStyle name="Comma 4 2 5 5 3 2" xfId="48843" xr:uid="{BC5FCF14-3A88-4BB2-9119-824AE41E301C}"/>
    <cellStyle name="Comma 4 2 5 5 3 3" xfId="30589" xr:uid="{6FEC4767-80BC-413F-B26B-FAEC48802855}"/>
    <cellStyle name="Comma 4 2 5 5 4" xfId="8685" xr:uid="{8872E48B-60FF-4452-BFDC-BA4143A03D1C}"/>
    <cellStyle name="Comma 4 2 5 5 4 2" xfId="45193" xr:uid="{8D7F7FE3-1157-413B-B063-030BF0FAAE09}"/>
    <cellStyle name="Comma 4 2 5 5 4 3" xfId="26939" xr:uid="{E9991F1D-DE74-4C3C-B22B-88AA676B6477}"/>
    <cellStyle name="Comma 4 2 5 5 5" xfId="5035" xr:uid="{2B78AC0C-A85F-4795-A2E2-00027EEF2C8A}"/>
    <cellStyle name="Comma 4 2 5 5 5 2" xfId="41543" xr:uid="{586D18DC-6273-4351-82B8-B64AD6026F1C}"/>
    <cellStyle name="Comma 4 2 5 5 5 3" xfId="23289" xr:uid="{7AE2D498-C033-491B-9423-3C4DF007C73B}"/>
    <cellStyle name="Comma 4 2 5 5 6" xfId="37893" xr:uid="{0B2FD628-4465-4DB3-B9AE-10D3FA67CA96}"/>
    <cellStyle name="Comma 4 2 5 5 7" xfId="19639" xr:uid="{63D0AE30-345F-4BE9-B6C2-FC19460BE97C}"/>
    <cellStyle name="Comma 4 2 5 6" xfId="15255" xr:uid="{37CD1AA2-9EC7-479E-818F-4ABA2DF81798}"/>
    <cellStyle name="Comma 4 2 5 6 2" xfId="51763" xr:uid="{662664EF-FEE4-4F5A-9309-8742ED441200}"/>
    <cellStyle name="Comma 4 2 5 6 3" xfId="33509" xr:uid="{E1A88E4E-A34C-4987-A6E9-A10EB46E060F}"/>
    <cellStyle name="Comma 4 2 5 7" xfId="11605" xr:uid="{68AC8EA3-A4F3-4E86-AD2A-239CBA962B52}"/>
    <cellStyle name="Comma 4 2 5 7 2" xfId="48113" xr:uid="{4C5E8870-0511-4995-B9D2-323E615439C2}"/>
    <cellStyle name="Comma 4 2 5 7 3" xfId="29859" xr:uid="{B37571C2-DFE3-4195-B8BD-CEC743B7F65C}"/>
    <cellStyle name="Comma 4 2 5 8" xfId="7955" xr:uid="{0C2B294E-E038-43A2-9215-DC848DF096E4}"/>
    <cellStyle name="Comma 4 2 5 8 2" xfId="44463" xr:uid="{B74FB321-AE5E-4FCF-9654-0529E7D232DB}"/>
    <cellStyle name="Comma 4 2 5 8 3" xfId="26209" xr:uid="{6E0C32D4-8D16-4975-9FFA-9DD3272AC1E6}"/>
    <cellStyle name="Comma 4 2 5 9" xfId="4305" xr:uid="{76ED872B-21CE-4FAF-A798-2C2A43D4CF3F}"/>
    <cellStyle name="Comma 4 2 5 9 2" xfId="40813" xr:uid="{9AB7D4EE-80C6-4D46-8318-FD5B21BF6FEE}"/>
    <cellStyle name="Comma 4 2 5 9 3" xfId="22559" xr:uid="{9F1B09CD-BD87-42B1-BA9C-F4CA2C765FA7}"/>
    <cellStyle name="Comma 4 2 6" xfId="551" xr:uid="{F1E9B2B8-ADF8-4895-BAB5-7A0DC1C00332}"/>
    <cellStyle name="Comma 4 2 6 10" xfId="37059" xr:uid="{E13E4A70-C980-4BD8-AC33-49E5ACA9DE8E}"/>
    <cellStyle name="Comma 4 2 6 11" xfId="18805" xr:uid="{18C7AA22-ACE0-4DE8-A33B-A418EB9F6A93}"/>
    <cellStyle name="Comma 4 2 6 2" xfId="3471" xr:uid="{1AAEDE4C-BA4D-44BE-976B-612E82A77923}"/>
    <cellStyle name="Comma 4 2 6 2 2" xfId="18071" xr:uid="{F09BB0B5-53EA-4F9D-AD57-06B7B41031AC}"/>
    <cellStyle name="Comma 4 2 6 2 2 2" xfId="54579" xr:uid="{561122D3-4BD8-47A3-9DAC-368702198B81}"/>
    <cellStyle name="Comma 4 2 6 2 2 3" xfId="36325" xr:uid="{D14C3D01-F56A-4BEA-B032-80F03CD08628}"/>
    <cellStyle name="Comma 4 2 6 2 3" xfId="14421" xr:uid="{EFF304BB-EEA9-4096-BE73-0A82897DDD35}"/>
    <cellStyle name="Comma 4 2 6 2 3 2" xfId="50929" xr:uid="{CF0B6152-FC1C-476D-9D81-076B311F9EEA}"/>
    <cellStyle name="Comma 4 2 6 2 3 3" xfId="32675" xr:uid="{DA94CB4B-A1F5-4434-91AB-60EFAAC063C7}"/>
    <cellStyle name="Comma 4 2 6 2 4" xfId="10771" xr:uid="{1E2505D9-F487-4335-A909-751D17870129}"/>
    <cellStyle name="Comma 4 2 6 2 4 2" xfId="47279" xr:uid="{28F6CF69-1A42-46CF-8B3B-400E64B1040F}"/>
    <cellStyle name="Comma 4 2 6 2 4 3" xfId="29025" xr:uid="{A2BA61BC-0F59-41E4-B809-C9B92E422139}"/>
    <cellStyle name="Comma 4 2 6 2 5" xfId="7121" xr:uid="{6F7D9249-9F67-4B82-9C31-5E8FFCA13B62}"/>
    <cellStyle name="Comma 4 2 6 2 5 2" xfId="43629" xr:uid="{5EE3DF24-ACA5-45B4-99CC-7A2429A498F4}"/>
    <cellStyle name="Comma 4 2 6 2 5 3" xfId="25375" xr:uid="{477D7336-4067-4E8D-B878-0809761F4A82}"/>
    <cellStyle name="Comma 4 2 6 2 6" xfId="39979" xr:uid="{463D084D-E1B0-426D-87A5-A1F150DAA7DD}"/>
    <cellStyle name="Comma 4 2 6 2 7" xfId="21725" xr:uid="{9D27FCAA-33A4-42CE-B79C-6A19FC8C0594}"/>
    <cellStyle name="Comma 4 2 6 3" xfId="2741" xr:uid="{83A79453-F79C-4B9A-8796-D1356D51AC3C}"/>
    <cellStyle name="Comma 4 2 6 3 2" xfId="17341" xr:uid="{DC447AB7-8639-48DD-AC4D-F9E585814736}"/>
    <cellStyle name="Comma 4 2 6 3 2 2" xfId="53849" xr:uid="{2B52F268-4E9E-4C0E-A2F7-C86365AEB5C5}"/>
    <cellStyle name="Comma 4 2 6 3 2 3" xfId="35595" xr:uid="{CAEB10C3-32DC-4E6D-AE39-9B7251416966}"/>
    <cellStyle name="Comma 4 2 6 3 3" xfId="13691" xr:uid="{250861F7-4423-40BD-9369-F388D30247D9}"/>
    <cellStyle name="Comma 4 2 6 3 3 2" xfId="50199" xr:uid="{4FBFDF67-1378-4669-967E-1B2C844C421A}"/>
    <cellStyle name="Comma 4 2 6 3 3 3" xfId="31945" xr:uid="{66F6B358-D6E6-4567-ABAF-6CB6B7E82AF2}"/>
    <cellStyle name="Comma 4 2 6 3 4" xfId="10041" xr:uid="{729963BC-99D3-44D4-A9AF-4BA56673F64B}"/>
    <cellStyle name="Comma 4 2 6 3 4 2" xfId="46549" xr:uid="{168A7FE9-708E-413E-A17F-AB0A11E95436}"/>
    <cellStyle name="Comma 4 2 6 3 4 3" xfId="28295" xr:uid="{57CA8816-09D8-4D9F-B17E-9BD9DFED15CD}"/>
    <cellStyle name="Comma 4 2 6 3 5" xfId="6391" xr:uid="{1EABADF9-E2AA-4E26-AD87-A051EA66A4A2}"/>
    <cellStyle name="Comma 4 2 6 3 5 2" xfId="42899" xr:uid="{64FF8137-F4AF-464F-A1F7-0C7B0A004C20}"/>
    <cellStyle name="Comma 4 2 6 3 5 3" xfId="24645" xr:uid="{C1395674-346F-4F29-9BA2-C60616E60171}"/>
    <cellStyle name="Comma 4 2 6 3 6" xfId="39249" xr:uid="{ACB0FA55-6300-4E26-A940-D4D0B92CAD26}"/>
    <cellStyle name="Comma 4 2 6 3 7" xfId="20995" xr:uid="{43C3DCDD-E31F-4016-A703-C8548D248DC1}"/>
    <cellStyle name="Comma 4 2 6 4" xfId="2011" xr:uid="{7B04920B-32E0-4B4C-97AF-9B089249F597}"/>
    <cellStyle name="Comma 4 2 6 4 2" xfId="16611" xr:uid="{EFCC97F4-DFB6-437C-BE1A-C11C55724442}"/>
    <cellStyle name="Comma 4 2 6 4 2 2" xfId="53119" xr:uid="{DA78B4A0-61AC-45B1-AE64-BEC321069A76}"/>
    <cellStyle name="Comma 4 2 6 4 2 3" xfId="34865" xr:uid="{7D27F402-DA18-44D7-9143-C08D9D07403F}"/>
    <cellStyle name="Comma 4 2 6 4 3" xfId="12961" xr:uid="{253D66B6-F294-44EE-BB54-2ABCB90F11FD}"/>
    <cellStyle name="Comma 4 2 6 4 3 2" xfId="49469" xr:uid="{89BA2A0E-3705-4213-B836-AD1064474EFD}"/>
    <cellStyle name="Comma 4 2 6 4 3 3" xfId="31215" xr:uid="{8FD7B0C6-968A-4E7F-9E25-50D7D605F10D}"/>
    <cellStyle name="Comma 4 2 6 4 4" xfId="9311" xr:uid="{1DA1A50D-40A7-4ABB-A1DA-3CCB64924C60}"/>
    <cellStyle name="Comma 4 2 6 4 4 2" xfId="45819" xr:uid="{4AB4C3AD-20BC-47CC-85EC-C440AEF38A29}"/>
    <cellStyle name="Comma 4 2 6 4 4 3" xfId="27565" xr:uid="{5A8A2FF2-812E-43AD-88DD-8D32B5BBD045}"/>
    <cellStyle name="Comma 4 2 6 4 5" xfId="5661" xr:uid="{AF169752-E118-4EBD-BCBD-E34C01A65F89}"/>
    <cellStyle name="Comma 4 2 6 4 5 2" xfId="42169" xr:uid="{716CFEF9-00E2-4102-B5C9-CAA2C5C681EA}"/>
    <cellStyle name="Comma 4 2 6 4 5 3" xfId="23915" xr:uid="{4373188D-F61C-4836-A8FC-D0AD1798533F}"/>
    <cellStyle name="Comma 4 2 6 4 6" xfId="38519" xr:uid="{B48C193A-7D45-4AAF-9020-5BD115DB16EF}"/>
    <cellStyle name="Comma 4 2 6 4 7" xfId="20265" xr:uid="{9A855287-1D01-417F-A3C9-3CA7A43CFE2B}"/>
    <cellStyle name="Comma 4 2 6 5" xfId="1281" xr:uid="{964D7419-9C3A-45D1-B609-348ADC91576B}"/>
    <cellStyle name="Comma 4 2 6 5 2" xfId="15881" xr:uid="{60CD5B92-C4EB-43EA-BA40-D1E2F6493CE6}"/>
    <cellStyle name="Comma 4 2 6 5 2 2" xfId="52389" xr:uid="{CEDB4CAE-F797-4444-BB59-B6FF8F314CCA}"/>
    <cellStyle name="Comma 4 2 6 5 2 3" xfId="34135" xr:uid="{EC282BC2-123B-4119-8CA0-28EAEA4F4D86}"/>
    <cellStyle name="Comma 4 2 6 5 3" xfId="12231" xr:uid="{95514788-A34A-47AA-B1F0-FB69511F6F0C}"/>
    <cellStyle name="Comma 4 2 6 5 3 2" xfId="48739" xr:uid="{0D2AD9F5-547F-45AC-BF54-02C6A7A3FAC1}"/>
    <cellStyle name="Comma 4 2 6 5 3 3" xfId="30485" xr:uid="{C5E0ADB7-1FB5-41B0-A95D-3CAF962AEE14}"/>
    <cellStyle name="Comma 4 2 6 5 4" xfId="8581" xr:uid="{15B0BBE4-D1F3-49CB-94E7-F06982C82A52}"/>
    <cellStyle name="Comma 4 2 6 5 4 2" xfId="45089" xr:uid="{66AF4220-4F4B-4822-B234-DDB61A9669C2}"/>
    <cellStyle name="Comma 4 2 6 5 4 3" xfId="26835" xr:uid="{53D1989D-F95C-46FA-BFE1-41D6CBC65F1D}"/>
    <cellStyle name="Comma 4 2 6 5 5" xfId="4931" xr:uid="{AC51FEBB-A33E-4EC8-9DCB-E78887EB1A16}"/>
    <cellStyle name="Comma 4 2 6 5 5 2" xfId="41439" xr:uid="{64ACD7C1-14BA-4B10-A8D1-8AF98525BC78}"/>
    <cellStyle name="Comma 4 2 6 5 5 3" xfId="23185" xr:uid="{C3F0B539-1424-45A9-86B2-163D6723DCF7}"/>
    <cellStyle name="Comma 4 2 6 5 6" xfId="37789" xr:uid="{DAFA209E-9B07-4D3C-B4F7-18B6A3A5EBDF}"/>
    <cellStyle name="Comma 4 2 6 5 7" xfId="19535" xr:uid="{737DCAF7-D2F3-4BB2-8865-87A1053F2222}"/>
    <cellStyle name="Comma 4 2 6 6" xfId="15151" xr:uid="{93D8F3BF-9C5F-4FE8-989F-2FD98475EAA4}"/>
    <cellStyle name="Comma 4 2 6 6 2" xfId="51659" xr:uid="{611EDA95-A78B-4E73-B751-A433E80DFBA3}"/>
    <cellStyle name="Comma 4 2 6 6 3" xfId="33405" xr:uid="{2883D444-AE51-4092-AC69-661873682FF1}"/>
    <cellStyle name="Comma 4 2 6 7" xfId="11501" xr:uid="{A72E95A6-A10D-42A2-AC45-99992645E5C9}"/>
    <cellStyle name="Comma 4 2 6 7 2" xfId="48009" xr:uid="{C054549E-0F7A-468B-85F2-20E87C1125CF}"/>
    <cellStyle name="Comma 4 2 6 7 3" xfId="29755" xr:uid="{85CC6C90-8D9E-44EB-83CF-0234ED73CDAA}"/>
    <cellStyle name="Comma 4 2 6 8" xfId="7851" xr:uid="{19EC646A-2FB4-4175-9443-753AA411ED19}"/>
    <cellStyle name="Comma 4 2 6 8 2" xfId="44359" xr:uid="{A8F5C3E8-8D77-4165-A7B0-3587C9652C63}"/>
    <cellStyle name="Comma 4 2 6 8 3" xfId="26105" xr:uid="{B589C86E-803A-4B50-9D16-5100A6B548F7}"/>
    <cellStyle name="Comma 4 2 6 9" xfId="4201" xr:uid="{40F2A0EF-46EE-45CD-B17F-42307391664A}"/>
    <cellStyle name="Comma 4 2 6 9 2" xfId="40709" xr:uid="{7DEC9D74-AEAB-458D-8E5C-5ADD0EC85321}"/>
    <cellStyle name="Comma 4 2 6 9 3" xfId="22455" xr:uid="{EBFC8BEE-84B6-4E40-8E6C-99AD64EA7B6C}"/>
    <cellStyle name="Comma 4 2 7" xfId="447" xr:uid="{3F9201D4-C765-4FAC-98D8-F04B5C4EC329}"/>
    <cellStyle name="Comma 4 2 7 10" xfId="36955" xr:uid="{2B3BB911-59E5-4FF2-8E3B-6FB78ECDD266}"/>
    <cellStyle name="Comma 4 2 7 11" xfId="18701" xr:uid="{BBA9BF24-EB64-4018-8836-532D083B37CE}"/>
    <cellStyle name="Comma 4 2 7 2" xfId="3367" xr:uid="{1FFD8E3E-852F-4B7E-88E5-D4BC4F8FCB5A}"/>
    <cellStyle name="Comma 4 2 7 2 2" xfId="17967" xr:uid="{397D5A11-E1CF-4D54-90FE-0EE32EB4A006}"/>
    <cellStyle name="Comma 4 2 7 2 2 2" xfId="54475" xr:uid="{3FAEC22B-2ACC-4AAE-9F6C-B2AC9DC63A95}"/>
    <cellStyle name="Comma 4 2 7 2 2 3" xfId="36221" xr:uid="{70DD54B4-B537-4497-8D17-A576B0914827}"/>
    <cellStyle name="Comma 4 2 7 2 3" xfId="14317" xr:uid="{1A4555DF-9159-485B-8184-89911CA49C95}"/>
    <cellStyle name="Comma 4 2 7 2 3 2" xfId="50825" xr:uid="{298106B7-D977-408A-8E1B-3EACCBC9F0C6}"/>
    <cellStyle name="Comma 4 2 7 2 3 3" xfId="32571" xr:uid="{94389488-51F1-4AF8-B6E7-67843CF67AFD}"/>
    <cellStyle name="Comma 4 2 7 2 4" xfId="10667" xr:uid="{EE087410-B741-4F55-9219-69FA530F03A7}"/>
    <cellStyle name="Comma 4 2 7 2 4 2" xfId="47175" xr:uid="{5023E054-635B-4BE8-A060-AF357EF51026}"/>
    <cellStyle name="Comma 4 2 7 2 4 3" xfId="28921" xr:uid="{450DC212-0067-499C-9A78-07D822CFEE84}"/>
    <cellStyle name="Comma 4 2 7 2 5" xfId="7017" xr:uid="{E0016D1F-2432-4C00-855C-360278517592}"/>
    <cellStyle name="Comma 4 2 7 2 5 2" xfId="43525" xr:uid="{E0EA2DDD-7EA6-4631-BE88-F7D1E91F66C8}"/>
    <cellStyle name="Comma 4 2 7 2 5 3" xfId="25271" xr:uid="{DF56E8C0-9569-45E3-B182-A3F2D3C2999F}"/>
    <cellStyle name="Comma 4 2 7 2 6" xfId="39875" xr:uid="{2F8B4B7D-DFDD-4B1C-8422-AF3BB73A6E00}"/>
    <cellStyle name="Comma 4 2 7 2 7" xfId="21621" xr:uid="{C65EA6DE-0287-49FF-8658-4200843018F0}"/>
    <cellStyle name="Comma 4 2 7 3" xfId="2637" xr:uid="{3495DF38-FF6F-4429-977F-1DB9CA4E2780}"/>
    <cellStyle name="Comma 4 2 7 3 2" xfId="17237" xr:uid="{4E16CB7D-5A7A-4FB2-A706-46755CD42376}"/>
    <cellStyle name="Comma 4 2 7 3 2 2" xfId="53745" xr:uid="{C7457E13-A074-4DBB-9883-701475DAF36B}"/>
    <cellStyle name="Comma 4 2 7 3 2 3" xfId="35491" xr:uid="{175B7CF6-15AB-41BD-A174-B2E2FCF1EF54}"/>
    <cellStyle name="Comma 4 2 7 3 3" xfId="13587" xr:uid="{A8F6CD1E-C432-4772-8750-CFECBAAE897B}"/>
    <cellStyle name="Comma 4 2 7 3 3 2" xfId="50095" xr:uid="{35564547-BB5B-43C8-9D57-2E5C01FB2D64}"/>
    <cellStyle name="Comma 4 2 7 3 3 3" xfId="31841" xr:uid="{32A1FDF5-B0C7-40B1-B9BF-15F6A6A16E2F}"/>
    <cellStyle name="Comma 4 2 7 3 4" xfId="9937" xr:uid="{176D0F4E-E5B6-476C-9AF1-B05E77CDB248}"/>
    <cellStyle name="Comma 4 2 7 3 4 2" xfId="46445" xr:uid="{0C3D0CC9-9454-4DDC-B1D2-1C0B205BF8B4}"/>
    <cellStyle name="Comma 4 2 7 3 4 3" xfId="28191" xr:uid="{A2F6610A-E817-4556-A97F-D063739B57B6}"/>
    <cellStyle name="Comma 4 2 7 3 5" xfId="6287" xr:uid="{AA216E34-2AE2-4875-A4D9-DC2C95BF09D2}"/>
    <cellStyle name="Comma 4 2 7 3 5 2" xfId="42795" xr:uid="{B2896E14-189E-472C-BB04-E56C80F9B7DC}"/>
    <cellStyle name="Comma 4 2 7 3 5 3" xfId="24541" xr:uid="{65DA6757-0B3B-43E0-8619-EB1AA53840C3}"/>
    <cellStyle name="Comma 4 2 7 3 6" xfId="39145" xr:uid="{3248C96B-9D2C-4D56-B041-25973195012E}"/>
    <cellStyle name="Comma 4 2 7 3 7" xfId="20891" xr:uid="{E60ACC04-267B-4289-9B65-8F315B1A8AC9}"/>
    <cellStyle name="Comma 4 2 7 4" xfId="1907" xr:uid="{E1340DE2-1F73-480B-A6C7-9C4EE5D9021A}"/>
    <cellStyle name="Comma 4 2 7 4 2" xfId="16507" xr:uid="{CFDA8D07-1310-4A4A-865B-885FEAF91DE7}"/>
    <cellStyle name="Comma 4 2 7 4 2 2" xfId="53015" xr:uid="{4CE862B6-44E6-4EA3-AFB6-05DFCB103F24}"/>
    <cellStyle name="Comma 4 2 7 4 2 3" xfId="34761" xr:uid="{EB3AC9F3-3398-4C6D-91F6-CCB61B867BEF}"/>
    <cellStyle name="Comma 4 2 7 4 3" xfId="12857" xr:uid="{E3263F39-9858-4B1F-B9C8-A4D2AF480E91}"/>
    <cellStyle name="Comma 4 2 7 4 3 2" xfId="49365" xr:uid="{5F3D8BB4-C456-4681-A1DA-C43FA2D20D15}"/>
    <cellStyle name="Comma 4 2 7 4 3 3" xfId="31111" xr:uid="{8AA345B1-16AF-41FE-A50E-49FE25DBC4D6}"/>
    <cellStyle name="Comma 4 2 7 4 4" xfId="9207" xr:uid="{325FCE0F-73B6-4484-9F2E-2FA2A23556C4}"/>
    <cellStyle name="Comma 4 2 7 4 4 2" xfId="45715" xr:uid="{964D279F-F0ED-4902-8A2A-925A7C832D47}"/>
    <cellStyle name="Comma 4 2 7 4 4 3" xfId="27461" xr:uid="{F0C384DA-FCB1-427F-9200-1053EA56F09F}"/>
    <cellStyle name="Comma 4 2 7 4 5" xfId="5557" xr:uid="{F9F1019B-2E10-4F19-8555-DBD2386D4036}"/>
    <cellStyle name="Comma 4 2 7 4 5 2" xfId="42065" xr:uid="{6D17D9A0-7841-4607-B9A6-B33B15FA05D3}"/>
    <cellStyle name="Comma 4 2 7 4 5 3" xfId="23811" xr:uid="{4B41F231-118D-43A7-AB8E-48DD7533455F}"/>
    <cellStyle name="Comma 4 2 7 4 6" xfId="38415" xr:uid="{9DAE02B5-4BCD-493E-8EDC-A8E072EFF22A}"/>
    <cellStyle name="Comma 4 2 7 4 7" xfId="20161" xr:uid="{312C670A-C31D-4133-8960-74D1D8908C57}"/>
    <cellStyle name="Comma 4 2 7 5" xfId="1177" xr:uid="{E81F01CE-2FAC-4FF1-88F8-5094757C3624}"/>
    <cellStyle name="Comma 4 2 7 5 2" xfId="15777" xr:uid="{82402E8E-0F10-4FB7-B253-DA920DCB15DA}"/>
    <cellStyle name="Comma 4 2 7 5 2 2" xfId="52285" xr:uid="{7E6EDAB8-D2E2-4438-B6B3-951F5420524B}"/>
    <cellStyle name="Comma 4 2 7 5 2 3" xfId="34031" xr:uid="{3CCB45FE-54D5-4504-9B77-4B223C7260BC}"/>
    <cellStyle name="Comma 4 2 7 5 3" xfId="12127" xr:uid="{AFD2879F-DFCF-4477-B6A2-1148948FF0BB}"/>
    <cellStyle name="Comma 4 2 7 5 3 2" xfId="48635" xr:uid="{24F6BCAE-09D4-4AEB-95FE-A43741A09DFF}"/>
    <cellStyle name="Comma 4 2 7 5 3 3" xfId="30381" xr:uid="{D09021FC-DC26-4D31-88A1-ADCA93E94670}"/>
    <cellStyle name="Comma 4 2 7 5 4" xfId="8477" xr:uid="{6F5F303C-D533-4BF4-B2EB-C66E8AD444EE}"/>
    <cellStyle name="Comma 4 2 7 5 4 2" xfId="44985" xr:uid="{AB94E614-4633-4AE1-B62C-253E93A93698}"/>
    <cellStyle name="Comma 4 2 7 5 4 3" xfId="26731" xr:uid="{CD1914F4-58B2-46F8-A3DF-14C4BECC336F}"/>
    <cellStyle name="Comma 4 2 7 5 5" xfId="4827" xr:uid="{7D6FE650-033B-495B-B772-86E6DC8F71E6}"/>
    <cellStyle name="Comma 4 2 7 5 5 2" xfId="41335" xr:uid="{45D33324-6166-4D92-85E8-0ADAE30FD08E}"/>
    <cellStyle name="Comma 4 2 7 5 5 3" xfId="23081" xr:uid="{EED7EB20-AE3A-4705-91F9-F618C46B988B}"/>
    <cellStyle name="Comma 4 2 7 5 6" xfId="37685" xr:uid="{3E021905-FEA1-4E22-8981-3A5D43E9517F}"/>
    <cellStyle name="Comma 4 2 7 5 7" xfId="19431" xr:uid="{ECC93571-44E0-40D8-8276-BFD8485CEEA0}"/>
    <cellStyle name="Comma 4 2 7 6" xfId="15047" xr:uid="{A9464D69-3C81-4DC0-8EE1-DB35E1E26E4E}"/>
    <cellStyle name="Comma 4 2 7 6 2" xfId="51555" xr:uid="{32D1AC27-3D74-4C54-AFFB-3E882F300624}"/>
    <cellStyle name="Comma 4 2 7 6 3" xfId="33301" xr:uid="{BC6C88A2-CAAB-40AC-B1A4-A9A77DD340A7}"/>
    <cellStyle name="Comma 4 2 7 7" xfId="11397" xr:uid="{F5D03771-3860-40FF-9236-4DA7589097D9}"/>
    <cellStyle name="Comma 4 2 7 7 2" xfId="47905" xr:uid="{33F927EB-1D89-407F-A741-BABDAE9115A6}"/>
    <cellStyle name="Comma 4 2 7 7 3" xfId="29651" xr:uid="{47602C4D-F5CF-4787-ACCF-1CE51FC60AB1}"/>
    <cellStyle name="Comma 4 2 7 8" xfId="7747" xr:uid="{B1498326-DACB-4461-9238-F67AAF543CBB}"/>
    <cellStyle name="Comma 4 2 7 8 2" xfId="44255" xr:uid="{1DCC2DB3-0D57-43BB-B47B-D9C63B1EAF0F}"/>
    <cellStyle name="Comma 4 2 7 8 3" xfId="26001" xr:uid="{DCCC9FD6-5CD7-4BCF-B7EF-B6FB34493CC5}"/>
    <cellStyle name="Comma 4 2 7 9" xfId="4097" xr:uid="{196FFF9B-0702-40A1-9C65-A5CA1F8C0985}"/>
    <cellStyle name="Comma 4 2 7 9 2" xfId="40605" xr:uid="{D217BABA-C0E7-4D02-90E4-9F5D45C11C18}"/>
    <cellStyle name="Comma 4 2 7 9 3" xfId="22351" xr:uid="{8470C4BF-B018-4992-B17D-546B739BA573}"/>
    <cellStyle name="Comma 4 2 8" xfId="343" xr:uid="{E376D006-B04B-4373-9C59-A19E39D24E26}"/>
    <cellStyle name="Comma 4 2 8 10" xfId="36851" xr:uid="{8D0EFB24-47F9-49C2-A0B9-C8A16BF558A6}"/>
    <cellStyle name="Comma 4 2 8 11" xfId="18597" xr:uid="{97279154-B3BF-4FE7-AF5B-C87DAB0E2D64}"/>
    <cellStyle name="Comma 4 2 8 2" xfId="3263" xr:uid="{36478534-8F9E-4729-9E93-B15E0D1F685A}"/>
    <cellStyle name="Comma 4 2 8 2 2" xfId="17863" xr:uid="{3E57167E-05A5-44A7-8CDF-DBA4D3BA069A}"/>
    <cellStyle name="Comma 4 2 8 2 2 2" xfId="54371" xr:uid="{37B69E31-DE83-48FA-83F7-B97403349339}"/>
    <cellStyle name="Comma 4 2 8 2 2 3" xfId="36117" xr:uid="{31B04359-862A-4AB6-9944-69B545A58383}"/>
    <cellStyle name="Comma 4 2 8 2 3" xfId="14213" xr:uid="{AE4B9427-94B3-441F-8EF7-D075D36D4B8D}"/>
    <cellStyle name="Comma 4 2 8 2 3 2" xfId="50721" xr:uid="{A28EC252-CA49-413F-8343-9BDFA66C5B13}"/>
    <cellStyle name="Comma 4 2 8 2 3 3" xfId="32467" xr:uid="{27DE4712-4148-4FFF-9256-00B4DB877A0A}"/>
    <cellStyle name="Comma 4 2 8 2 4" xfId="10563" xr:uid="{155229BC-663D-47CF-8C51-A63BF5BB487F}"/>
    <cellStyle name="Comma 4 2 8 2 4 2" xfId="47071" xr:uid="{3718CF79-067B-499E-88F9-70CFB8FA58EE}"/>
    <cellStyle name="Comma 4 2 8 2 4 3" xfId="28817" xr:uid="{D24F7637-E29C-49E4-B957-610FF11EAAA9}"/>
    <cellStyle name="Comma 4 2 8 2 5" xfId="6913" xr:uid="{0D75C764-B2FC-401E-9545-3BFA690963C7}"/>
    <cellStyle name="Comma 4 2 8 2 5 2" xfId="43421" xr:uid="{7EE62E96-B40D-46E3-B3C6-DBFA86DC875F}"/>
    <cellStyle name="Comma 4 2 8 2 5 3" xfId="25167" xr:uid="{022BA842-4E35-4A66-BBCA-857E0EC8EACC}"/>
    <cellStyle name="Comma 4 2 8 2 6" xfId="39771" xr:uid="{0CA334E5-A24D-428F-98F0-8ACE1DF273E8}"/>
    <cellStyle name="Comma 4 2 8 2 7" xfId="21517" xr:uid="{3A101241-ACF6-40AC-937E-EDC28958286D}"/>
    <cellStyle name="Comma 4 2 8 3" xfId="2533" xr:uid="{C457A21F-C4E7-41DC-A751-6054C0645547}"/>
    <cellStyle name="Comma 4 2 8 3 2" xfId="17133" xr:uid="{5878B000-0DD4-4986-9BDC-205C7B69FF96}"/>
    <cellStyle name="Comma 4 2 8 3 2 2" xfId="53641" xr:uid="{FDE12D85-DC15-463E-B16C-1A4758FE2BC7}"/>
    <cellStyle name="Comma 4 2 8 3 2 3" xfId="35387" xr:uid="{69C187B1-4FAF-4D15-9DB5-FB46D08D3C35}"/>
    <cellStyle name="Comma 4 2 8 3 3" xfId="13483" xr:uid="{7CA5FBFF-3B37-4D77-9F95-7CFD87D56031}"/>
    <cellStyle name="Comma 4 2 8 3 3 2" xfId="49991" xr:uid="{07F94A2B-2414-4EA8-9E01-DB644DB0674F}"/>
    <cellStyle name="Comma 4 2 8 3 3 3" xfId="31737" xr:uid="{6FD56956-DA8E-4E85-B445-FC58AFE758A9}"/>
    <cellStyle name="Comma 4 2 8 3 4" xfId="9833" xr:uid="{81CC9473-F8FB-49D8-B549-A9D37E24A74A}"/>
    <cellStyle name="Comma 4 2 8 3 4 2" xfId="46341" xr:uid="{590991BD-DD62-45C6-B4F4-158BDDDBC837}"/>
    <cellStyle name="Comma 4 2 8 3 4 3" xfId="28087" xr:uid="{FADFC53E-937E-4C97-8AE9-1A77EA6A7039}"/>
    <cellStyle name="Comma 4 2 8 3 5" xfId="6183" xr:uid="{E1BBDD8E-A3AC-498D-91CB-521F68C05175}"/>
    <cellStyle name="Comma 4 2 8 3 5 2" xfId="42691" xr:uid="{253286D0-C801-46F4-B7FF-38436975B2DE}"/>
    <cellStyle name="Comma 4 2 8 3 5 3" xfId="24437" xr:uid="{74341E0B-52CD-486E-8E4B-D7EA4A982E28}"/>
    <cellStyle name="Comma 4 2 8 3 6" xfId="39041" xr:uid="{B9045A46-4CC6-456F-8D56-36BA999A7A38}"/>
    <cellStyle name="Comma 4 2 8 3 7" xfId="20787" xr:uid="{345C1058-CD28-46AA-ABCB-8EC9E15E4813}"/>
    <cellStyle name="Comma 4 2 8 4" xfId="1803" xr:uid="{01EEE668-9C43-493C-9938-1D275FAA504F}"/>
    <cellStyle name="Comma 4 2 8 4 2" xfId="16403" xr:uid="{07945C1C-E682-4234-A3A9-839880CDE79D}"/>
    <cellStyle name="Comma 4 2 8 4 2 2" xfId="52911" xr:uid="{C496D274-14B0-4F0D-8934-542F1747486A}"/>
    <cellStyle name="Comma 4 2 8 4 2 3" xfId="34657" xr:uid="{4F59F3FC-01EB-4AE7-A804-29BABE968108}"/>
    <cellStyle name="Comma 4 2 8 4 3" xfId="12753" xr:uid="{36369FD3-3102-4758-BBB5-817BE3C15CBB}"/>
    <cellStyle name="Comma 4 2 8 4 3 2" xfId="49261" xr:uid="{12F14320-B702-4A95-98CA-658D45EA4AF6}"/>
    <cellStyle name="Comma 4 2 8 4 3 3" xfId="31007" xr:uid="{625E199A-34A2-43DC-B331-0D4CE9D427C7}"/>
    <cellStyle name="Comma 4 2 8 4 4" xfId="9103" xr:uid="{133F8A95-071F-4170-8C45-F4D17D12E2DE}"/>
    <cellStyle name="Comma 4 2 8 4 4 2" xfId="45611" xr:uid="{7CE01921-B349-49A4-BA05-A2991A901C53}"/>
    <cellStyle name="Comma 4 2 8 4 4 3" xfId="27357" xr:uid="{4F2C5B8B-44EB-4928-A848-E7122AF204AB}"/>
    <cellStyle name="Comma 4 2 8 4 5" xfId="5453" xr:uid="{73778483-6991-4BB6-BE0E-A887598532B4}"/>
    <cellStyle name="Comma 4 2 8 4 5 2" xfId="41961" xr:uid="{91341B10-16C3-4F37-9EAF-51349F716244}"/>
    <cellStyle name="Comma 4 2 8 4 5 3" xfId="23707" xr:uid="{9CBEC5DE-F8D1-493F-BBD8-607771B5760E}"/>
    <cellStyle name="Comma 4 2 8 4 6" xfId="38311" xr:uid="{10E1F99E-EA21-4CD5-A6B4-B69476965715}"/>
    <cellStyle name="Comma 4 2 8 4 7" xfId="20057" xr:uid="{02824D1E-FF1F-419D-ACE4-D7C4FBC034B4}"/>
    <cellStyle name="Comma 4 2 8 5" xfId="1073" xr:uid="{8F43EFD1-06BF-4D91-B4BC-4B54326F7383}"/>
    <cellStyle name="Comma 4 2 8 5 2" xfId="15673" xr:uid="{77EA883F-5EBA-4179-AF22-A9425EB783C5}"/>
    <cellStyle name="Comma 4 2 8 5 2 2" xfId="52181" xr:uid="{A7B70425-7744-46B8-948D-D3EB85CBB59A}"/>
    <cellStyle name="Comma 4 2 8 5 2 3" xfId="33927" xr:uid="{B95179E0-71BE-4D21-B417-3018150BFD47}"/>
    <cellStyle name="Comma 4 2 8 5 3" xfId="12023" xr:uid="{E985E723-16F2-4A49-9D75-C2CF253E0335}"/>
    <cellStyle name="Comma 4 2 8 5 3 2" xfId="48531" xr:uid="{A55CF59F-D6E1-4B8C-BFF5-46993FC07649}"/>
    <cellStyle name="Comma 4 2 8 5 3 3" xfId="30277" xr:uid="{A275A684-E8F3-44FE-B03D-6D69EE097DAD}"/>
    <cellStyle name="Comma 4 2 8 5 4" xfId="8373" xr:uid="{FB98B64D-C06A-4117-A4E1-742760088CD6}"/>
    <cellStyle name="Comma 4 2 8 5 4 2" xfId="44881" xr:uid="{8C9B7AC6-9E8A-4193-B2BF-1AF395B7DDC0}"/>
    <cellStyle name="Comma 4 2 8 5 4 3" xfId="26627" xr:uid="{5F2EDE8B-7DF6-4AAA-A165-31A0C70153B4}"/>
    <cellStyle name="Comma 4 2 8 5 5" xfId="4723" xr:uid="{0E8B41B8-5E12-43DD-A6C2-DEF87A7157CA}"/>
    <cellStyle name="Comma 4 2 8 5 5 2" xfId="41231" xr:uid="{7F2EE499-18A9-45D3-8F0C-82A84939091C}"/>
    <cellStyle name="Comma 4 2 8 5 5 3" xfId="22977" xr:uid="{60AFFFCE-6E72-4F4E-BEE1-0BBB926752A6}"/>
    <cellStyle name="Comma 4 2 8 5 6" xfId="37581" xr:uid="{77456448-DB8A-456C-A57E-3FB446B3099D}"/>
    <cellStyle name="Comma 4 2 8 5 7" xfId="19327" xr:uid="{6975C0F5-53E6-4934-B558-C539980E7967}"/>
    <cellStyle name="Comma 4 2 8 6" xfId="14943" xr:uid="{82D140FD-6975-487D-8B1C-33841F261D20}"/>
    <cellStyle name="Comma 4 2 8 6 2" xfId="51451" xr:uid="{2ED0D3FA-ABCB-4BE9-86B7-5D271674EA24}"/>
    <cellStyle name="Comma 4 2 8 6 3" xfId="33197" xr:uid="{CDD3826C-F100-4084-A4DC-E4E3D8B4FD02}"/>
    <cellStyle name="Comma 4 2 8 7" xfId="11293" xr:uid="{FABC3E2A-7E75-4DCA-90E5-76C2BC1E5523}"/>
    <cellStyle name="Comma 4 2 8 7 2" xfId="47801" xr:uid="{DF90DFAB-9C2C-499B-B60D-8231E7A3BA62}"/>
    <cellStyle name="Comma 4 2 8 7 3" xfId="29547" xr:uid="{5BF8B76E-E8BC-404A-830D-46072742DEEE}"/>
    <cellStyle name="Comma 4 2 8 8" xfId="7643" xr:uid="{845D6C54-BD7F-4934-8BC6-AF14B7BE699F}"/>
    <cellStyle name="Comma 4 2 8 8 2" xfId="44151" xr:uid="{B9A274B9-2766-4861-9856-2704E1857E49}"/>
    <cellStyle name="Comma 4 2 8 8 3" xfId="25897" xr:uid="{DF44F69F-6217-4C56-8C52-9FBD60CEA4AB}"/>
    <cellStyle name="Comma 4 2 8 9" xfId="3993" xr:uid="{5FFAFAE8-BCC6-457D-8EEB-2D5B2C23C92C}"/>
    <cellStyle name="Comma 4 2 8 9 2" xfId="40501" xr:uid="{A863A39E-879C-4591-8A95-919D42DF133A}"/>
    <cellStyle name="Comma 4 2 8 9 3" xfId="22247" xr:uid="{1342382E-C56A-4EAC-A63C-0A5C2997FBAE}"/>
    <cellStyle name="Comma 4 2 9" xfId="239" xr:uid="{680B05A3-A805-41CE-9E72-191347E4EED4}"/>
    <cellStyle name="Comma 4 2 9 10" xfId="36747" xr:uid="{D8847E62-788E-4243-B0EB-031178D31087}"/>
    <cellStyle name="Comma 4 2 9 11" xfId="18493" xr:uid="{41710511-4DCA-47A0-B5B6-0675E2B7264F}"/>
    <cellStyle name="Comma 4 2 9 2" xfId="3159" xr:uid="{6E293244-E5E2-4ED6-B98F-A8335A41103D}"/>
    <cellStyle name="Comma 4 2 9 2 2" xfId="17759" xr:uid="{8C1B4645-EDC1-4C49-8205-894F17E734A6}"/>
    <cellStyle name="Comma 4 2 9 2 2 2" xfId="54267" xr:uid="{9A2D53A6-0A2D-495D-805A-88C49DB28D7A}"/>
    <cellStyle name="Comma 4 2 9 2 2 3" xfId="36013" xr:uid="{D34F692B-C39F-43BA-824C-27E0166C970F}"/>
    <cellStyle name="Comma 4 2 9 2 3" xfId="14109" xr:uid="{FC86D30F-8EB8-4548-86FF-8748563C463F}"/>
    <cellStyle name="Comma 4 2 9 2 3 2" xfId="50617" xr:uid="{6F8B3DFB-2713-4BBD-B71A-996105B80850}"/>
    <cellStyle name="Comma 4 2 9 2 3 3" xfId="32363" xr:uid="{9EB9B551-32F0-4988-8ACA-7887C7862089}"/>
    <cellStyle name="Comma 4 2 9 2 4" xfId="10459" xr:uid="{D571B7C9-F59F-43C8-851A-9D179F499F50}"/>
    <cellStyle name="Comma 4 2 9 2 4 2" xfId="46967" xr:uid="{D7CF1C65-2D20-4D1F-9FF0-CE3C9482ED57}"/>
    <cellStyle name="Comma 4 2 9 2 4 3" xfId="28713" xr:uid="{0B0B7C69-B1B7-4164-99ED-053FD9149065}"/>
    <cellStyle name="Comma 4 2 9 2 5" xfId="6809" xr:uid="{2998FA35-E0B1-48AA-8C38-51BB07D4DE95}"/>
    <cellStyle name="Comma 4 2 9 2 5 2" xfId="43317" xr:uid="{A6238E12-57AD-4694-89F8-0AD948C60B8F}"/>
    <cellStyle name="Comma 4 2 9 2 5 3" xfId="25063" xr:uid="{38FCD850-8909-4C33-AB08-A01517CE3F8D}"/>
    <cellStyle name="Comma 4 2 9 2 6" xfId="39667" xr:uid="{C1457A20-8A59-43F2-88F3-5FB01D328B96}"/>
    <cellStyle name="Comma 4 2 9 2 7" xfId="21413" xr:uid="{010B5DFC-7B77-44B5-BA0E-7A3D702A6F7A}"/>
    <cellStyle name="Comma 4 2 9 3" xfId="2429" xr:uid="{0EFF670C-FA95-44B8-8FC0-929B32E01442}"/>
    <cellStyle name="Comma 4 2 9 3 2" xfId="17029" xr:uid="{C99F1C65-5930-453C-AD83-931BF4F22234}"/>
    <cellStyle name="Comma 4 2 9 3 2 2" xfId="53537" xr:uid="{075E7560-864A-4624-90B4-AD95E637AE9F}"/>
    <cellStyle name="Comma 4 2 9 3 2 3" xfId="35283" xr:uid="{061B89F8-3CEA-44DC-BAE6-A760342E0310}"/>
    <cellStyle name="Comma 4 2 9 3 3" xfId="13379" xr:uid="{BDC91FCC-1B13-42CD-A52D-CB32D0BE75BB}"/>
    <cellStyle name="Comma 4 2 9 3 3 2" xfId="49887" xr:uid="{4B4B51BB-6DD9-4366-9906-513BC8FD51CD}"/>
    <cellStyle name="Comma 4 2 9 3 3 3" xfId="31633" xr:uid="{E562497F-1CBD-482E-A0D5-517C2B02A633}"/>
    <cellStyle name="Comma 4 2 9 3 4" xfId="9729" xr:uid="{568D7A89-0EC3-4884-9F27-46DFA36F8F3D}"/>
    <cellStyle name="Comma 4 2 9 3 4 2" xfId="46237" xr:uid="{B6067685-AA12-4C6A-B1D8-B8FBF22CB968}"/>
    <cellStyle name="Comma 4 2 9 3 4 3" xfId="27983" xr:uid="{77588BCC-A732-433F-871E-A17EA616A335}"/>
    <cellStyle name="Comma 4 2 9 3 5" xfId="6079" xr:uid="{CA072DA7-2D88-4FD1-ADEE-D81FB2F0327F}"/>
    <cellStyle name="Comma 4 2 9 3 5 2" xfId="42587" xr:uid="{C3F7A37A-AAC3-4A52-98E5-758CE51F2E9D}"/>
    <cellStyle name="Comma 4 2 9 3 5 3" xfId="24333" xr:uid="{DBFC416E-8A4C-43BB-8949-9CE82856FAC4}"/>
    <cellStyle name="Comma 4 2 9 3 6" xfId="38937" xr:uid="{7DBFEE75-1405-4F63-BC95-ABB54C7D0572}"/>
    <cellStyle name="Comma 4 2 9 3 7" xfId="20683" xr:uid="{F93200C2-29E4-41B6-AC1F-AF0EECE3810D}"/>
    <cellStyle name="Comma 4 2 9 4" xfId="1699" xr:uid="{72FE84BB-4741-4D7F-BA7F-0D63A7111362}"/>
    <cellStyle name="Comma 4 2 9 4 2" xfId="16299" xr:uid="{9E4F36B5-F08F-4677-B8AB-A981962CC002}"/>
    <cellStyle name="Comma 4 2 9 4 2 2" xfId="52807" xr:uid="{E87F712A-F209-438C-8531-65B899D3121D}"/>
    <cellStyle name="Comma 4 2 9 4 2 3" xfId="34553" xr:uid="{CF40A51D-8E82-4CA6-BB96-5E1A88403F98}"/>
    <cellStyle name="Comma 4 2 9 4 3" xfId="12649" xr:uid="{73F3FB8F-7510-4DA1-9CA9-E62AEDAA1DEF}"/>
    <cellStyle name="Comma 4 2 9 4 3 2" xfId="49157" xr:uid="{684AFC82-47BE-46B0-B3ED-1BE18723C811}"/>
    <cellStyle name="Comma 4 2 9 4 3 3" xfId="30903" xr:uid="{F105DD46-EC3B-4AD9-A98E-3BCEBCF07F64}"/>
    <cellStyle name="Comma 4 2 9 4 4" xfId="8999" xr:uid="{A64BDF60-453A-4AAC-8A7E-5FD6BC2C2438}"/>
    <cellStyle name="Comma 4 2 9 4 4 2" xfId="45507" xr:uid="{2772B921-44BC-4377-947A-EF511D1A3503}"/>
    <cellStyle name="Comma 4 2 9 4 4 3" xfId="27253" xr:uid="{856DB131-88DC-4F89-96FF-96C865B694DD}"/>
    <cellStyle name="Comma 4 2 9 4 5" xfId="5349" xr:uid="{2CE7F548-95C9-445D-88CB-96E32696AC1D}"/>
    <cellStyle name="Comma 4 2 9 4 5 2" xfId="41857" xr:uid="{A157ADF6-CEEC-4AE7-B5B3-7DFE11811C97}"/>
    <cellStyle name="Comma 4 2 9 4 5 3" xfId="23603" xr:uid="{DD260FCB-13AE-43E1-B208-52B76F17D82E}"/>
    <cellStyle name="Comma 4 2 9 4 6" xfId="38207" xr:uid="{A4765FC3-7FF2-460A-BDDA-BA604375CAF0}"/>
    <cellStyle name="Comma 4 2 9 4 7" xfId="19953" xr:uid="{F5404746-6A34-460C-8396-79BDBD5490F3}"/>
    <cellStyle name="Comma 4 2 9 5" xfId="969" xr:uid="{9926E7EB-5FA8-48DF-9581-F21EAB70FA8E}"/>
    <cellStyle name="Comma 4 2 9 5 2" xfId="15569" xr:uid="{1EA1F434-452B-4D0C-B1D8-0F6B005822D3}"/>
    <cellStyle name="Comma 4 2 9 5 2 2" xfId="52077" xr:uid="{E49CE325-B0AD-4EA2-9A8C-CE811EB10B98}"/>
    <cellStyle name="Comma 4 2 9 5 2 3" xfId="33823" xr:uid="{8E3468DB-FF39-47CB-A8BD-289801D86D7F}"/>
    <cellStyle name="Comma 4 2 9 5 3" xfId="11919" xr:uid="{3A550927-A0E2-45CF-8EE4-2747D7D9E408}"/>
    <cellStyle name="Comma 4 2 9 5 3 2" xfId="48427" xr:uid="{7D297006-48F0-4F13-8DE1-36E5027E5969}"/>
    <cellStyle name="Comma 4 2 9 5 3 3" xfId="30173" xr:uid="{6AD0CB3A-B306-4FCA-A89B-81AB2EE21848}"/>
    <cellStyle name="Comma 4 2 9 5 4" xfId="8269" xr:uid="{59DE7DCE-E8EE-4A9D-9612-40BE293C2447}"/>
    <cellStyle name="Comma 4 2 9 5 4 2" xfId="44777" xr:uid="{E1F5DA15-C5E0-4269-AAFD-B57BE78BE823}"/>
    <cellStyle name="Comma 4 2 9 5 4 3" xfId="26523" xr:uid="{60978F9A-C6D2-4D7A-B203-277666553F73}"/>
    <cellStyle name="Comma 4 2 9 5 5" xfId="4619" xr:uid="{7D820622-6A53-47C6-A73F-585F89FD18EC}"/>
    <cellStyle name="Comma 4 2 9 5 5 2" xfId="41127" xr:uid="{107DA6BB-FE4E-42FF-80F5-50C6A888CD59}"/>
    <cellStyle name="Comma 4 2 9 5 5 3" xfId="22873" xr:uid="{4CF28149-55D2-4E2F-B72A-96F3E043E64E}"/>
    <cellStyle name="Comma 4 2 9 5 6" xfId="37477" xr:uid="{84078A3B-97BC-404F-A6BC-B3881810BE62}"/>
    <cellStyle name="Comma 4 2 9 5 7" xfId="19223" xr:uid="{A7633103-FBEE-4BF4-8E77-950FC98D3F99}"/>
    <cellStyle name="Comma 4 2 9 6" xfId="14839" xr:uid="{3251D9B7-A7E3-4D75-9DC4-57A5A303C6DE}"/>
    <cellStyle name="Comma 4 2 9 6 2" xfId="51347" xr:uid="{385C822D-96FB-4040-BF9F-352CCB55F395}"/>
    <cellStyle name="Comma 4 2 9 6 3" xfId="33093" xr:uid="{09DF1179-EAC1-4271-9CD1-C0BA5A0EDB32}"/>
    <cellStyle name="Comma 4 2 9 7" xfId="11189" xr:uid="{17E1EFE6-0C13-437B-9FF5-57BE43FE95BB}"/>
    <cellStyle name="Comma 4 2 9 7 2" xfId="47697" xr:uid="{52814F61-0EE2-4DBE-9A04-026E9DA2B0AB}"/>
    <cellStyle name="Comma 4 2 9 7 3" xfId="29443" xr:uid="{2C7C530E-0A93-435E-A2E9-36E9115AAB17}"/>
    <cellStyle name="Comma 4 2 9 8" xfId="7539" xr:uid="{1CD7F2A1-7512-4435-A86B-79406FCEC151}"/>
    <cellStyle name="Comma 4 2 9 8 2" xfId="44047" xr:uid="{C9A7ED4A-34A8-4B5F-8F5B-244F3C41CFC5}"/>
    <cellStyle name="Comma 4 2 9 8 3" xfId="25793" xr:uid="{F6D4E444-26EF-4711-B28C-992F3412396F}"/>
    <cellStyle name="Comma 4 2 9 9" xfId="3889" xr:uid="{E657CC0D-7134-4A7A-9009-F0762911D6AF}"/>
    <cellStyle name="Comma 4 2 9 9 2" xfId="40397" xr:uid="{01921BC5-4D87-4497-843A-335BC3B1A478}"/>
    <cellStyle name="Comma 4 2 9 9 3" xfId="22143" xr:uid="{14933592-D55B-4AC3-A9AA-952464BB44B2}"/>
    <cellStyle name="Comma 4 20" xfId="36531" xr:uid="{63F97FFA-C27D-4222-BFB9-75EE5F8E27F4}"/>
    <cellStyle name="Comma 4 21" xfId="18277" xr:uid="{04A99A8A-7754-4700-8787-1235E09E67E7}"/>
    <cellStyle name="Comma 4 3" xfId="30" xr:uid="{CE7929B4-5C1E-4B75-8700-70F01DD0EB60}"/>
    <cellStyle name="Comma 4 3 10" xfId="2959" xr:uid="{E55A29E5-F3DD-4A6B-9D41-944D44C5C84B}"/>
    <cellStyle name="Comma 4 3 10 2" xfId="17559" xr:uid="{FEE53209-572D-4B80-ACF6-1FE6ECEA5129}"/>
    <cellStyle name="Comma 4 3 10 2 2" xfId="54067" xr:uid="{9A0A3945-2BBF-4066-9B0B-653570507BB8}"/>
    <cellStyle name="Comma 4 3 10 2 3" xfId="35813" xr:uid="{C5D8469D-714F-4093-B43F-DC38F0AEF420}"/>
    <cellStyle name="Comma 4 3 10 3" xfId="13909" xr:uid="{43A8207C-3889-4AD8-A027-8992B2280A92}"/>
    <cellStyle name="Comma 4 3 10 3 2" xfId="50417" xr:uid="{0C25594D-F345-4BE4-B75C-3CAD987A58D7}"/>
    <cellStyle name="Comma 4 3 10 3 3" xfId="32163" xr:uid="{98CA4521-14AB-4793-A395-BD43B97B61E1}"/>
    <cellStyle name="Comma 4 3 10 4" xfId="10259" xr:uid="{ACFCCF32-4B65-4922-AAB8-E0160703E752}"/>
    <cellStyle name="Comma 4 3 10 4 2" xfId="46767" xr:uid="{4EBBE3E2-FB3B-47BE-B94A-587A28D68A51}"/>
    <cellStyle name="Comma 4 3 10 4 3" xfId="28513" xr:uid="{036EB1D0-C4B7-425C-8C8E-82E7BCF2AC5D}"/>
    <cellStyle name="Comma 4 3 10 5" xfId="6609" xr:uid="{8A4DF9F0-4B24-425C-9FD2-5B6E6DEA2BA3}"/>
    <cellStyle name="Comma 4 3 10 5 2" xfId="43117" xr:uid="{9923B7DE-3DB0-42B9-8069-CD67482C41F7}"/>
    <cellStyle name="Comma 4 3 10 5 3" xfId="24863" xr:uid="{CD1C31FF-15F3-4714-B0A3-28BA5EB48961}"/>
    <cellStyle name="Comma 4 3 10 6" xfId="39467" xr:uid="{B789E172-C187-4113-8D89-FA924BD69C6B}"/>
    <cellStyle name="Comma 4 3 10 7" xfId="21213" xr:uid="{28359E0B-ACC3-4955-AECE-0C76B8697CAB}"/>
    <cellStyle name="Comma 4 3 11" xfId="2229" xr:uid="{22F15585-DDCF-4D63-AA95-D21245855CE4}"/>
    <cellStyle name="Comma 4 3 11 2" xfId="16829" xr:uid="{1EAB6C5F-73C6-491D-ADC4-880A4DC1BFA6}"/>
    <cellStyle name="Comma 4 3 11 2 2" xfId="53337" xr:uid="{7DA1E2E4-72FA-455B-9647-92F47ACFE030}"/>
    <cellStyle name="Comma 4 3 11 2 3" xfId="35083" xr:uid="{10B55439-2445-48D7-8DDD-24BA22481E2F}"/>
    <cellStyle name="Comma 4 3 11 3" xfId="13179" xr:uid="{E0C9D969-0577-430E-80A2-D8A7AA834F8F}"/>
    <cellStyle name="Comma 4 3 11 3 2" xfId="49687" xr:uid="{67C1CCFD-4D58-4A53-A77C-C05F46A08190}"/>
    <cellStyle name="Comma 4 3 11 3 3" xfId="31433" xr:uid="{3C7F4121-4FF5-4BB0-AD87-E057B559D309}"/>
    <cellStyle name="Comma 4 3 11 4" xfId="9529" xr:uid="{45665D9E-C709-4EC0-868C-02B94BBB317B}"/>
    <cellStyle name="Comma 4 3 11 4 2" xfId="46037" xr:uid="{7F978ED9-7BCE-4C0C-9D6A-C919CF0DB3BD}"/>
    <cellStyle name="Comma 4 3 11 4 3" xfId="27783" xr:uid="{F3A76649-9267-414E-9DCE-9B5123B10C6C}"/>
    <cellStyle name="Comma 4 3 11 5" xfId="5879" xr:uid="{55A582F1-2EF8-455F-9842-CE83B924AB8A}"/>
    <cellStyle name="Comma 4 3 11 5 2" xfId="42387" xr:uid="{B3ACCC8A-B59F-47A7-89AC-EF922FED0A60}"/>
    <cellStyle name="Comma 4 3 11 5 3" xfId="24133" xr:uid="{693A2EBA-B22F-43C9-B8B3-B82AED6924C5}"/>
    <cellStyle name="Comma 4 3 11 6" xfId="38737" xr:uid="{1F3514C9-2D3E-475D-B4DC-809B0CB36448}"/>
    <cellStyle name="Comma 4 3 11 7" xfId="20483" xr:uid="{6ABC20A3-BD0C-425A-9502-0721AB5E084B}"/>
    <cellStyle name="Comma 4 3 12" xfId="1499" xr:uid="{6E1F904A-9B4A-4F76-BDFE-7744D2C335D4}"/>
    <cellStyle name="Comma 4 3 12 2" xfId="16099" xr:uid="{3C34FF4A-8530-4646-B084-7BCDFEF677BD}"/>
    <cellStyle name="Comma 4 3 12 2 2" xfId="52607" xr:uid="{ED2C1561-1B4C-4731-9448-36CD5033F84D}"/>
    <cellStyle name="Comma 4 3 12 2 3" xfId="34353" xr:uid="{558F9290-84D6-47F6-AFFA-F591B1B4CAD7}"/>
    <cellStyle name="Comma 4 3 12 3" xfId="12449" xr:uid="{B9DC53F9-6C44-4C76-9F63-301ED2CA1B60}"/>
    <cellStyle name="Comma 4 3 12 3 2" xfId="48957" xr:uid="{2D414BAC-ED5A-4B5A-852F-F65532348BD8}"/>
    <cellStyle name="Comma 4 3 12 3 3" xfId="30703" xr:uid="{FA6B4949-E71B-4F3A-A09E-1C3C405BF970}"/>
    <cellStyle name="Comma 4 3 12 4" xfId="8799" xr:uid="{368B39C0-E286-4EC9-B0F3-B971691C790D}"/>
    <cellStyle name="Comma 4 3 12 4 2" xfId="45307" xr:uid="{40C54CFC-34C3-4DC9-873D-81686A71B9EA}"/>
    <cellStyle name="Comma 4 3 12 4 3" xfId="27053" xr:uid="{50F5AD23-32C5-4E2A-96DA-481FEA86808B}"/>
    <cellStyle name="Comma 4 3 12 5" xfId="5149" xr:uid="{A1AD041B-0990-4595-8F17-4451EF03BEF3}"/>
    <cellStyle name="Comma 4 3 12 5 2" xfId="41657" xr:uid="{BBA8BA80-6C79-4B37-BF3D-C7B3A56B8A77}"/>
    <cellStyle name="Comma 4 3 12 5 3" xfId="23403" xr:uid="{DBA669C3-9D17-4A2A-AA4A-388B8F245B81}"/>
    <cellStyle name="Comma 4 3 12 6" xfId="38007" xr:uid="{3BC03904-C77F-4577-8D7A-0D014A7E391C}"/>
    <cellStyle name="Comma 4 3 12 7" xfId="19753" xr:uid="{43118CD0-FEC5-4F50-9E91-84E09FA3517D}"/>
    <cellStyle name="Comma 4 3 13" xfId="769" xr:uid="{C57725F1-FF7A-48FD-9BC7-2400B071B1B8}"/>
    <cellStyle name="Comma 4 3 13 2" xfId="15369" xr:uid="{BE27C82F-C25E-42A8-B066-BC673E579B00}"/>
    <cellStyle name="Comma 4 3 13 2 2" xfId="51877" xr:uid="{548DB6A3-65CC-4DE5-B078-FA90BBCD1DE1}"/>
    <cellStyle name="Comma 4 3 13 2 3" xfId="33623" xr:uid="{1933CF3C-4358-49E2-87F7-0368DEE9D1F5}"/>
    <cellStyle name="Comma 4 3 13 3" xfId="11719" xr:uid="{DAD4B706-AD5E-482F-9FA3-399837345B44}"/>
    <cellStyle name="Comma 4 3 13 3 2" xfId="48227" xr:uid="{0A9B2175-4B11-418C-9E8F-85D6B9B880E9}"/>
    <cellStyle name="Comma 4 3 13 3 3" xfId="29973" xr:uid="{E4741534-12CC-4CBA-9265-8531FEB0A840}"/>
    <cellStyle name="Comma 4 3 13 4" xfId="8069" xr:uid="{C22FF8B9-7B23-4B34-BDE8-871A59A78F37}"/>
    <cellStyle name="Comma 4 3 13 4 2" xfId="44577" xr:uid="{30A0D5E5-343F-4E09-A8C7-2FFA8FAFBFB2}"/>
    <cellStyle name="Comma 4 3 13 4 3" xfId="26323" xr:uid="{944A058C-BE49-4CB2-89F9-13227783DC41}"/>
    <cellStyle name="Comma 4 3 13 5" xfId="4419" xr:uid="{D7FC18B6-6B3F-469B-8B93-6EF52686DCA7}"/>
    <cellStyle name="Comma 4 3 13 5 2" xfId="40927" xr:uid="{41300FF2-DB73-4C73-A455-93F80F900D2D}"/>
    <cellStyle name="Comma 4 3 13 5 3" xfId="22673" xr:uid="{03DB0DD7-6C64-40CB-96CB-1C3F097F0650}"/>
    <cellStyle name="Comma 4 3 13 6" xfId="37277" xr:uid="{B91C3F70-F390-47BC-8AB0-8B7AA9E78FE7}"/>
    <cellStyle name="Comma 4 3 13 7" xfId="19023" xr:uid="{CC7B1456-C6B1-4374-B77A-28A48D74E05F}"/>
    <cellStyle name="Comma 4 3 14" xfId="14639" xr:uid="{38159A96-6BEF-404F-BF73-0A911F4E89E4}"/>
    <cellStyle name="Comma 4 3 14 2" xfId="51147" xr:uid="{3E016048-7413-40AC-A91E-DA3AF2E7F9B9}"/>
    <cellStyle name="Comma 4 3 14 3" xfId="32893" xr:uid="{B9B46F7E-704E-4096-B770-7243130EC143}"/>
    <cellStyle name="Comma 4 3 15" xfId="10989" xr:uid="{9DBAE9B8-A669-4127-AD53-D5829591C2F1}"/>
    <cellStyle name="Comma 4 3 15 2" xfId="47497" xr:uid="{6FE3581A-34F1-47C7-9C52-D9F1336670AA}"/>
    <cellStyle name="Comma 4 3 15 3" xfId="29243" xr:uid="{51FD8ABA-4ECE-4264-AB20-A235DC34D236}"/>
    <cellStyle name="Comma 4 3 16" xfId="7339" xr:uid="{4D13C914-07D6-45DE-B63D-CA1AC5F511D9}"/>
    <cellStyle name="Comma 4 3 16 2" xfId="43847" xr:uid="{AA9BED91-D7A2-4633-95F1-D4231FE644F7}"/>
    <cellStyle name="Comma 4 3 16 3" xfId="25593" xr:uid="{327864CF-FE96-4F1D-AA6C-4E3FD4F5E57E}"/>
    <cellStyle name="Comma 4 3 17" xfId="3689" xr:uid="{8DB810D4-1DEC-4BF5-8554-6A1B5A2E0193}"/>
    <cellStyle name="Comma 4 3 17 2" xfId="40197" xr:uid="{5C42F1F8-0F7B-41A4-83F9-D19B254DBCE7}"/>
    <cellStyle name="Comma 4 3 17 3" xfId="21943" xr:uid="{8A229C07-9251-4CB3-A8B3-5D45D4267E28}"/>
    <cellStyle name="Comma 4 3 18" xfId="36547" xr:uid="{41B63408-6E44-4C61-BCFC-D696144C6D10}"/>
    <cellStyle name="Comma 4 3 19" xfId="18293" xr:uid="{E40EC716-17AF-4318-85AE-87385439A1D7}"/>
    <cellStyle name="Comma 4 3 2" xfId="104" xr:uid="{2BB48895-E54C-46FB-86F0-71C60C98E5E6}"/>
    <cellStyle name="Comma 4 3 2 10" xfId="1563" xr:uid="{97C4EA35-0F6C-4A44-B4EB-EF9C223DDDF2}"/>
    <cellStyle name="Comma 4 3 2 10 2" xfId="16163" xr:uid="{B56B6472-E491-4353-BFBB-D126C8CD1DB7}"/>
    <cellStyle name="Comma 4 3 2 10 2 2" xfId="52671" xr:uid="{A9C1DF1D-FDD3-4D52-B036-CA6D04ACC197}"/>
    <cellStyle name="Comma 4 3 2 10 2 3" xfId="34417" xr:uid="{76926ACD-F238-433D-9CE2-E865B517FCA4}"/>
    <cellStyle name="Comma 4 3 2 10 3" xfId="12513" xr:uid="{3135BEE4-5940-404E-8049-D27D7AE40AE5}"/>
    <cellStyle name="Comma 4 3 2 10 3 2" xfId="49021" xr:uid="{256B7CA1-D64D-4E0B-803D-600E4A2C575A}"/>
    <cellStyle name="Comma 4 3 2 10 3 3" xfId="30767" xr:uid="{4F39A954-0A7E-4E4C-BE6B-1F7AE5D9FAA6}"/>
    <cellStyle name="Comma 4 3 2 10 4" xfId="8863" xr:uid="{0CF88197-B121-4268-A280-7B9333FC339A}"/>
    <cellStyle name="Comma 4 3 2 10 4 2" xfId="45371" xr:uid="{F1A0007F-1A82-4802-899A-E08EC474254F}"/>
    <cellStyle name="Comma 4 3 2 10 4 3" xfId="27117" xr:uid="{DE5D900D-7010-4046-8EBE-ADE26054CE53}"/>
    <cellStyle name="Comma 4 3 2 10 5" xfId="5213" xr:uid="{221A8390-A926-4CE9-BC9B-34A3F0E825CC}"/>
    <cellStyle name="Comma 4 3 2 10 5 2" xfId="41721" xr:uid="{3CC8AFD5-89C3-44FB-A00B-67D24BAD96F0}"/>
    <cellStyle name="Comma 4 3 2 10 5 3" xfId="23467" xr:uid="{0C16D89A-DC38-4EBB-92D6-038A950165EA}"/>
    <cellStyle name="Comma 4 3 2 10 6" xfId="38071" xr:uid="{C628BCA2-AA5A-4575-96B2-B10E02BBE0AC}"/>
    <cellStyle name="Comma 4 3 2 10 7" xfId="19817" xr:uid="{61B5FFBB-3BC9-4246-9456-B2DE1BE6297E}"/>
    <cellStyle name="Comma 4 3 2 11" xfId="833" xr:uid="{5AF6D009-8A70-477F-B882-026C796A3974}"/>
    <cellStyle name="Comma 4 3 2 11 2" xfId="15433" xr:uid="{7CB301B8-5124-4FDF-8079-6CC54DC6F5BD}"/>
    <cellStyle name="Comma 4 3 2 11 2 2" xfId="51941" xr:uid="{D6EEAF77-E37F-4075-B6F5-BAB141D9BAE3}"/>
    <cellStyle name="Comma 4 3 2 11 2 3" xfId="33687" xr:uid="{75638274-1106-4800-9077-8A228D6835A8}"/>
    <cellStyle name="Comma 4 3 2 11 3" xfId="11783" xr:uid="{DAE254DD-8CE3-4CE9-8815-19809010B17A}"/>
    <cellStyle name="Comma 4 3 2 11 3 2" xfId="48291" xr:uid="{8590BBAD-90F5-422E-B90C-DA408F4C2392}"/>
    <cellStyle name="Comma 4 3 2 11 3 3" xfId="30037" xr:uid="{87862F64-5DD0-4F66-8FAF-6589BB958699}"/>
    <cellStyle name="Comma 4 3 2 11 4" xfId="8133" xr:uid="{B11DF0CB-DD26-4437-A3EB-D1DD095EEAF4}"/>
    <cellStyle name="Comma 4 3 2 11 4 2" xfId="44641" xr:uid="{07AD9C5B-8D27-4ABE-8A1A-E2C9A18E79F8}"/>
    <cellStyle name="Comma 4 3 2 11 4 3" xfId="26387" xr:uid="{BFF229CD-37D3-4F62-BE71-1FFD47DD662D}"/>
    <cellStyle name="Comma 4 3 2 11 5" xfId="4483" xr:uid="{CBB23BB7-EB08-4E83-9324-51BE93401BED}"/>
    <cellStyle name="Comma 4 3 2 11 5 2" xfId="40991" xr:uid="{CA47DEA0-A284-4A22-92E0-1C46EFC2D609}"/>
    <cellStyle name="Comma 4 3 2 11 5 3" xfId="22737" xr:uid="{CF1F7AFB-8957-4871-8491-6756ED85A7CC}"/>
    <cellStyle name="Comma 4 3 2 11 6" xfId="37341" xr:uid="{60D428AC-2530-48E4-AC5C-5EBD94395948}"/>
    <cellStyle name="Comma 4 3 2 11 7" xfId="19087" xr:uid="{2A7C0336-7354-47B2-9052-27EAAED95DAB}"/>
    <cellStyle name="Comma 4 3 2 12" xfId="14703" xr:uid="{AF65DBCA-E8B3-4AB1-9323-698D0DE4C55A}"/>
    <cellStyle name="Comma 4 3 2 12 2" xfId="51211" xr:uid="{1EC6E1BF-3DE3-40F1-9926-214E5B9DE701}"/>
    <cellStyle name="Comma 4 3 2 12 3" xfId="32957" xr:uid="{2AA41C28-7284-40BF-8BEA-5983E52FDCC4}"/>
    <cellStyle name="Comma 4 3 2 13" xfId="11053" xr:uid="{DED6A4E3-7D2D-4E48-B250-883537D934AC}"/>
    <cellStyle name="Comma 4 3 2 13 2" xfId="47561" xr:uid="{46A16F29-4D7F-474F-8B9E-E51D15C691E1}"/>
    <cellStyle name="Comma 4 3 2 13 3" xfId="29307" xr:uid="{CAB33DB5-0796-4544-AEC7-C53383297DBC}"/>
    <cellStyle name="Comma 4 3 2 14" xfId="7403" xr:uid="{6BEA2230-E898-4323-8B01-8E85DB531E7E}"/>
    <cellStyle name="Comma 4 3 2 14 2" xfId="43911" xr:uid="{A046665F-C772-4ED5-9740-9BA7D87847EE}"/>
    <cellStyle name="Comma 4 3 2 14 3" xfId="25657" xr:uid="{F05578B5-D731-4549-AFF9-D8D6ACC8BF13}"/>
    <cellStyle name="Comma 4 3 2 15" xfId="3753" xr:uid="{D68AE6ED-EB8C-44FC-943B-5BBE62EAAFE3}"/>
    <cellStyle name="Comma 4 3 2 15 2" xfId="40261" xr:uid="{FA9E522A-A3A8-4D3C-8FBF-F5CA1C1DBF63}"/>
    <cellStyle name="Comma 4 3 2 15 3" xfId="22007" xr:uid="{1D670511-4DC7-4E90-B349-645E72E1544F}"/>
    <cellStyle name="Comma 4 3 2 16" xfId="36611" xr:uid="{1DF3522B-FFBA-4E98-B937-7E8B8D82F756}"/>
    <cellStyle name="Comma 4 3 2 17" xfId="18357" xr:uid="{3E8D84EB-97F9-43FF-911A-EB2A46DF218A}"/>
    <cellStyle name="Comma 4 3 2 2" xfId="727" xr:uid="{D1E6CC6E-A303-473D-ADC1-B65FBDB7CEA1}"/>
    <cellStyle name="Comma 4 3 2 2 10" xfId="37235" xr:uid="{EFE58391-07DD-4D51-AAFD-DC3369FC7B47}"/>
    <cellStyle name="Comma 4 3 2 2 11" xfId="18981" xr:uid="{B9871EB2-C960-4D0B-99A1-50C9117EB515}"/>
    <cellStyle name="Comma 4 3 2 2 2" xfId="3647" xr:uid="{7F598B33-27B3-457A-AD24-26F0DC1A5111}"/>
    <cellStyle name="Comma 4 3 2 2 2 2" xfId="18247" xr:uid="{2AFBAF40-6F35-461D-B450-B96B74353EFD}"/>
    <cellStyle name="Comma 4 3 2 2 2 2 2" xfId="54755" xr:uid="{F083A292-D793-489E-BD37-E22AB6C0CA47}"/>
    <cellStyle name="Comma 4 3 2 2 2 2 3" xfId="36501" xr:uid="{E223D410-0094-4B8A-B2BF-9E40B0CCDAAD}"/>
    <cellStyle name="Comma 4 3 2 2 2 3" xfId="14597" xr:uid="{7E665E91-D753-4ABF-829A-7ADD38B7E3F4}"/>
    <cellStyle name="Comma 4 3 2 2 2 3 2" xfId="51105" xr:uid="{1570157E-8D4B-4668-AE5D-2A15F1B33DCB}"/>
    <cellStyle name="Comma 4 3 2 2 2 3 3" xfId="32851" xr:uid="{224524C9-2F7E-4321-9345-99A9CA64A650}"/>
    <cellStyle name="Comma 4 3 2 2 2 4" xfId="10947" xr:uid="{0B277D59-A68B-4058-BBC5-868163A41EF6}"/>
    <cellStyle name="Comma 4 3 2 2 2 4 2" xfId="47455" xr:uid="{5F477426-A264-4AAD-8979-6394323B7B18}"/>
    <cellStyle name="Comma 4 3 2 2 2 4 3" xfId="29201" xr:uid="{B9EA2EBD-0B32-4044-8FBF-14F767BE1161}"/>
    <cellStyle name="Comma 4 3 2 2 2 5" xfId="7297" xr:uid="{A4F04D5A-51AE-40BF-8AF8-E0FF56FB6160}"/>
    <cellStyle name="Comma 4 3 2 2 2 5 2" xfId="43805" xr:uid="{12F9AF13-689E-49A0-9BB1-7888CF8C8DC4}"/>
    <cellStyle name="Comma 4 3 2 2 2 5 3" xfId="25551" xr:uid="{55DD2F45-9313-432F-A708-C3CC9A2F0F23}"/>
    <cellStyle name="Comma 4 3 2 2 2 6" xfId="40155" xr:uid="{95F86D87-8FCA-4046-8E77-AB4A56D9F432}"/>
    <cellStyle name="Comma 4 3 2 2 2 7" xfId="21901" xr:uid="{92706A42-E31B-4C06-A9A4-84133C9D0DFA}"/>
    <cellStyle name="Comma 4 3 2 2 3" xfId="2917" xr:uid="{A517325C-719F-48A4-92BE-80AD745012C6}"/>
    <cellStyle name="Comma 4 3 2 2 3 2" xfId="17517" xr:uid="{F4235A31-5BAC-468D-A623-F1971B2579F2}"/>
    <cellStyle name="Comma 4 3 2 2 3 2 2" xfId="54025" xr:uid="{962E6A77-356B-4530-A044-5DC405156713}"/>
    <cellStyle name="Comma 4 3 2 2 3 2 3" xfId="35771" xr:uid="{686F3055-6FC7-4719-BE27-B4F6AD410836}"/>
    <cellStyle name="Comma 4 3 2 2 3 3" xfId="13867" xr:uid="{179A34C7-BD89-4752-B2E7-0167548DA928}"/>
    <cellStyle name="Comma 4 3 2 2 3 3 2" xfId="50375" xr:uid="{6BB86E49-10FA-4E50-AB53-31F2244A6D94}"/>
    <cellStyle name="Comma 4 3 2 2 3 3 3" xfId="32121" xr:uid="{F2D207F5-218E-460B-AA28-043DCE47F21B}"/>
    <cellStyle name="Comma 4 3 2 2 3 4" xfId="10217" xr:uid="{4BC5E675-1486-477D-B6F7-FDB7B49A63D2}"/>
    <cellStyle name="Comma 4 3 2 2 3 4 2" xfId="46725" xr:uid="{D413FD83-DACE-402E-A4AE-9A4A879F3AAB}"/>
    <cellStyle name="Comma 4 3 2 2 3 4 3" xfId="28471" xr:uid="{52A48292-9321-4101-AE95-3274B7F07D36}"/>
    <cellStyle name="Comma 4 3 2 2 3 5" xfId="6567" xr:uid="{928B8AC8-0D06-4567-800F-AAD2AAEFD4FF}"/>
    <cellStyle name="Comma 4 3 2 2 3 5 2" xfId="43075" xr:uid="{AE15F579-D2AF-4ABD-9EF9-CD9C7A23A1B1}"/>
    <cellStyle name="Comma 4 3 2 2 3 5 3" xfId="24821" xr:uid="{52E20C5A-28C2-41C2-B44F-BB8FF7D9F287}"/>
    <cellStyle name="Comma 4 3 2 2 3 6" xfId="39425" xr:uid="{2A1ADB54-447B-4F3F-9F95-0380CBD57C8F}"/>
    <cellStyle name="Comma 4 3 2 2 3 7" xfId="21171" xr:uid="{391014EA-6988-42A5-B7E3-C4663E50972A}"/>
    <cellStyle name="Comma 4 3 2 2 4" xfId="2187" xr:uid="{4626FEBB-522D-465F-AAF9-AE2A24A5FBD1}"/>
    <cellStyle name="Comma 4 3 2 2 4 2" xfId="16787" xr:uid="{9BDB328E-B4F6-47C8-B1D9-FB1E6659C5BF}"/>
    <cellStyle name="Comma 4 3 2 2 4 2 2" xfId="53295" xr:uid="{5DACF020-2347-40D7-B58A-86F1FD64758E}"/>
    <cellStyle name="Comma 4 3 2 2 4 2 3" xfId="35041" xr:uid="{AFA0BBF5-38E9-45CD-B3A9-3C8C39F11168}"/>
    <cellStyle name="Comma 4 3 2 2 4 3" xfId="13137" xr:uid="{3F583B8C-A8CC-43B7-95EB-A77C07D43610}"/>
    <cellStyle name="Comma 4 3 2 2 4 3 2" xfId="49645" xr:uid="{096F8F52-E88C-4E7E-8E28-ED66A37F95A7}"/>
    <cellStyle name="Comma 4 3 2 2 4 3 3" xfId="31391" xr:uid="{9B857B60-FC6B-4C81-9C3F-73AC7498154B}"/>
    <cellStyle name="Comma 4 3 2 2 4 4" xfId="9487" xr:uid="{9B4259D7-3413-4BB4-A807-837B00B1BDA5}"/>
    <cellStyle name="Comma 4 3 2 2 4 4 2" xfId="45995" xr:uid="{2C8F8144-6308-4302-9D4A-5AA7C19E0DE0}"/>
    <cellStyle name="Comma 4 3 2 2 4 4 3" xfId="27741" xr:uid="{A6626182-DF63-4E9A-9FE2-45E0984A7DBD}"/>
    <cellStyle name="Comma 4 3 2 2 4 5" xfId="5837" xr:uid="{DD097613-C912-42F9-8401-5D34375926F9}"/>
    <cellStyle name="Comma 4 3 2 2 4 5 2" xfId="42345" xr:uid="{E6D1D799-34C5-47F5-88DF-C27F78F2FF15}"/>
    <cellStyle name="Comma 4 3 2 2 4 5 3" xfId="24091" xr:uid="{8FCF4315-DA4F-440E-9C44-26C4E70A60A4}"/>
    <cellStyle name="Comma 4 3 2 2 4 6" xfId="38695" xr:uid="{5D1C9C29-6A4C-43D6-8269-A0C5D237692C}"/>
    <cellStyle name="Comma 4 3 2 2 4 7" xfId="20441" xr:uid="{9ECF3D0D-8628-4857-976A-503079FCEAC8}"/>
    <cellStyle name="Comma 4 3 2 2 5" xfId="1457" xr:uid="{C903BFB3-D18B-47CE-B5E8-1ECECE5AE081}"/>
    <cellStyle name="Comma 4 3 2 2 5 2" xfId="16057" xr:uid="{E71D4190-0357-4929-9A31-1F0BE17B496C}"/>
    <cellStyle name="Comma 4 3 2 2 5 2 2" xfId="52565" xr:uid="{E09A75D6-A963-494D-8A4D-145D6A9A2F05}"/>
    <cellStyle name="Comma 4 3 2 2 5 2 3" xfId="34311" xr:uid="{4F318950-172C-4E0E-8635-50AC8D0AE108}"/>
    <cellStyle name="Comma 4 3 2 2 5 3" xfId="12407" xr:uid="{EAFB0120-8CDB-4996-AF24-458517660E4D}"/>
    <cellStyle name="Comma 4 3 2 2 5 3 2" xfId="48915" xr:uid="{9CE83A95-D24E-46D9-9491-E267B9B4B4C9}"/>
    <cellStyle name="Comma 4 3 2 2 5 3 3" xfId="30661" xr:uid="{DAE7A06D-05F2-4D46-AB3F-6ABBA378574E}"/>
    <cellStyle name="Comma 4 3 2 2 5 4" xfId="8757" xr:uid="{73273CDB-4CD8-4113-B898-E47FA0B14C1D}"/>
    <cellStyle name="Comma 4 3 2 2 5 4 2" xfId="45265" xr:uid="{FC9B758A-CDBE-4EEC-8C3F-3EC137B06AC6}"/>
    <cellStyle name="Comma 4 3 2 2 5 4 3" xfId="27011" xr:uid="{86940BB9-D5FC-416C-BD76-E1E267C05ABD}"/>
    <cellStyle name="Comma 4 3 2 2 5 5" xfId="5107" xr:uid="{9EBD5E1D-C3C6-4F78-819A-A2912E1DB7FE}"/>
    <cellStyle name="Comma 4 3 2 2 5 5 2" xfId="41615" xr:uid="{E8A2851B-1508-4AF3-B824-314137FC473C}"/>
    <cellStyle name="Comma 4 3 2 2 5 5 3" xfId="23361" xr:uid="{64A58EF2-2621-4AEC-AFEF-568A67BC1730}"/>
    <cellStyle name="Comma 4 3 2 2 5 6" xfId="37965" xr:uid="{F07BB57E-B59D-4C1C-AB32-1D557288E40D}"/>
    <cellStyle name="Comma 4 3 2 2 5 7" xfId="19711" xr:uid="{EF0E1E85-8FE0-408D-9299-D2E2052AEA1E}"/>
    <cellStyle name="Comma 4 3 2 2 6" xfId="15327" xr:uid="{47EE8C83-CD67-4E8C-86FC-5DC0C525B7AF}"/>
    <cellStyle name="Comma 4 3 2 2 6 2" xfId="51835" xr:uid="{F122ACE6-7938-42A6-9A3B-3C74FE85D708}"/>
    <cellStyle name="Comma 4 3 2 2 6 3" xfId="33581" xr:uid="{1A7C764E-85BD-429F-B74A-DCF14124D78E}"/>
    <cellStyle name="Comma 4 3 2 2 7" xfId="11677" xr:uid="{6B9B0336-71C4-4055-8D30-95D9E2FCF79F}"/>
    <cellStyle name="Comma 4 3 2 2 7 2" xfId="48185" xr:uid="{AEC03B88-481D-46C1-AD59-E77C89836E89}"/>
    <cellStyle name="Comma 4 3 2 2 7 3" xfId="29931" xr:uid="{F5E9BFF8-D8E1-4858-A23E-7711E0F15D9C}"/>
    <cellStyle name="Comma 4 3 2 2 8" xfId="8027" xr:uid="{5B91809F-9F7F-4DC7-8F09-C6DF198F04BA}"/>
    <cellStyle name="Comma 4 3 2 2 8 2" xfId="44535" xr:uid="{39DEC25F-CA4C-42A3-9082-5B300572FE89}"/>
    <cellStyle name="Comma 4 3 2 2 8 3" xfId="26281" xr:uid="{79907EC9-7BBD-4CE3-99D0-241BC0C1FF34}"/>
    <cellStyle name="Comma 4 3 2 2 9" xfId="4377" xr:uid="{37E810E5-E6F8-4712-B9BD-6066006D0635}"/>
    <cellStyle name="Comma 4 3 2 2 9 2" xfId="40885" xr:uid="{33CB82D4-D401-4A1E-88E4-E583B50D5DAD}"/>
    <cellStyle name="Comma 4 3 2 2 9 3" xfId="22631" xr:uid="{C5756B2C-6EF0-49BA-BEF3-0E444E5B86DF}"/>
    <cellStyle name="Comma 4 3 2 3" xfId="623" xr:uid="{6E9EEC7D-50A6-47D7-BA10-12B56A217D9C}"/>
    <cellStyle name="Comma 4 3 2 3 10" xfId="37131" xr:uid="{09FD73BD-1C71-4EBA-B4DF-97F837A8B45D}"/>
    <cellStyle name="Comma 4 3 2 3 11" xfId="18877" xr:uid="{83EBC18A-3A30-4BB0-B5C0-C12C0BA666A9}"/>
    <cellStyle name="Comma 4 3 2 3 2" xfId="3543" xr:uid="{1E78EEDF-552D-4E7D-A6A1-82B35BFCCEF6}"/>
    <cellStyle name="Comma 4 3 2 3 2 2" xfId="18143" xr:uid="{8BD90192-E962-43FC-886C-98CAEFC120F5}"/>
    <cellStyle name="Comma 4 3 2 3 2 2 2" xfId="54651" xr:uid="{22789255-1269-4C51-838A-C2CC6A59E128}"/>
    <cellStyle name="Comma 4 3 2 3 2 2 3" xfId="36397" xr:uid="{21B9B794-58F6-46A1-AC1C-FAD50804D7F0}"/>
    <cellStyle name="Comma 4 3 2 3 2 3" xfId="14493" xr:uid="{0973878D-A410-4327-9AC2-78ABB0AE7636}"/>
    <cellStyle name="Comma 4 3 2 3 2 3 2" xfId="51001" xr:uid="{F7AB1C7E-6FCE-4F2D-B2AB-50E6F1979AF4}"/>
    <cellStyle name="Comma 4 3 2 3 2 3 3" xfId="32747" xr:uid="{16F8A0F4-E74B-4AC6-9DDA-A05EB3E58622}"/>
    <cellStyle name="Comma 4 3 2 3 2 4" xfId="10843" xr:uid="{84AAA925-BA12-43AE-BADC-AB8F892DA912}"/>
    <cellStyle name="Comma 4 3 2 3 2 4 2" xfId="47351" xr:uid="{E9B1D613-5DF3-47C2-8D18-9BE0974514A4}"/>
    <cellStyle name="Comma 4 3 2 3 2 4 3" xfId="29097" xr:uid="{76AC70FF-6E65-4A14-9C64-07B75AC5FB2A}"/>
    <cellStyle name="Comma 4 3 2 3 2 5" xfId="7193" xr:uid="{3FD12F48-679B-485B-BA3B-9183157C369A}"/>
    <cellStyle name="Comma 4 3 2 3 2 5 2" xfId="43701" xr:uid="{64B4C700-BD75-4F53-874D-413C795381C1}"/>
    <cellStyle name="Comma 4 3 2 3 2 5 3" xfId="25447" xr:uid="{198CA36D-E148-463C-B19C-F469C906F723}"/>
    <cellStyle name="Comma 4 3 2 3 2 6" xfId="40051" xr:uid="{53126E98-33F7-433B-989D-24B267AF8C27}"/>
    <cellStyle name="Comma 4 3 2 3 2 7" xfId="21797" xr:uid="{32469E5D-95AD-4540-AFDD-131E5444FDE3}"/>
    <cellStyle name="Comma 4 3 2 3 3" xfId="2813" xr:uid="{86DF5E54-0537-47F9-8421-0BF1104C61D4}"/>
    <cellStyle name="Comma 4 3 2 3 3 2" xfId="17413" xr:uid="{1EA72C78-C98F-4F00-BB28-69986A036804}"/>
    <cellStyle name="Comma 4 3 2 3 3 2 2" xfId="53921" xr:uid="{61EEB809-E489-439D-B7FF-49EF2A9B233B}"/>
    <cellStyle name="Comma 4 3 2 3 3 2 3" xfId="35667" xr:uid="{E0BE346C-93C8-486C-AE25-93A007D0F6C7}"/>
    <cellStyle name="Comma 4 3 2 3 3 3" xfId="13763" xr:uid="{0508DAFD-27FF-421C-88E1-90991ECCA9E9}"/>
    <cellStyle name="Comma 4 3 2 3 3 3 2" xfId="50271" xr:uid="{31B8E6A0-938B-4B02-8B0A-433B27437C26}"/>
    <cellStyle name="Comma 4 3 2 3 3 3 3" xfId="32017" xr:uid="{9490509F-DF87-4EC3-89A4-F4D9494CEA8B}"/>
    <cellStyle name="Comma 4 3 2 3 3 4" xfId="10113" xr:uid="{D27CCE73-E0C0-493D-BB4A-BDD0C419FB8D}"/>
    <cellStyle name="Comma 4 3 2 3 3 4 2" xfId="46621" xr:uid="{8615566E-7AA9-4CCE-A1EC-3379BDA3CD0E}"/>
    <cellStyle name="Comma 4 3 2 3 3 4 3" xfId="28367" xr:uid="{31A67E7F-73B8-4553-87B7-DE809836F0AC}"/>
    <cellStyle name="Comma 4 3 2 3 3 5" xfId="6463" xr:uid="{80A4D3C6-B548-4926-B666-6A0288708957}"/>
    <cellStyle name="Comma 4 3 2 3 3 5 2" xfId="42971" xr:uid="{EE016647-4465-4DBD-B935-EE04AEBD4A6E}"/>
    <cellStyle name="Comma 4 3 2 3 3 5 3" xfId="24717" xr:uid="{356C6C32-DC43-4A7A-A9DF-83822DE87CE1}"/>
    <cellStyle name="Comma 4 3 2 3 3 6" xfId="39321" xr:uid="{5D57C24D-3305-4EFC-8B49-07BF29AACF8C}"/>
    <cellStyle name="Comma 4 3 2 3 3 7" xfId="21067" xr:uid="{95372F5C-C378-4384-98C8-6A3A787DE9F3}"/>
    <cellStyle name="Comma 4 3 2 3 4" xfId="2083" xr:uid="{B81798E2-3232-47B6-91A1-92BA322CCCB9}"/>
    <cellStyle name="Comma 4 3 2 3 4 2" xfId="16683" xr:uid="{407ACCE2-2B67-4346-B88B-4745B22ADC80}"/>
    <cellStyle name="Comma 4 3 2 3 4 2 2" xfId="53191" xr:uid="{52205866-49BE-4D87-A8A9-44EC6DB3C125}"/>
    <cellStyle name="Comma 4 3 2 3 4 2 3" xfId="34937" xr:uid="{E5C06F2A-5B7C-400E-9725-A156122DA90B}"/>
    <cellStyle name="Comma 4 3 2 3 4 3" xfId="13033" xr:uid="{F427AD87-3FF6-48DF-842C-301CDABECD2B}"/>
    <cellStyle name="Comma 4 3 2 3 4 3 2" xfId="49541" xr:uid="{1D464381-B066-402E-A7B8-BC769A4FBC4F}"/>
    <cellStyle name="Comma 4 3 2 3 4 3 3" xfId="31287" xr:uid="{7AEA7904-6FFC-406D-B8EB-D512D157CC82}"/>
    <cellStyle name="Comma 4 3 2 3 4 4" xfId="9383" xr:uid="{C1FA53AF-325D-4BE5-89F5-FAA9A8C4531B}"/>
    <cellStyle name="Comma 4 3 2 3 4 4 2" xfId="45891" xr:uid="{341135F4-97A5-4A89-AB5B-73B1EC9E0F5D}"/>
    <cellStyle name="Comma 4 3 2 3 4 4 3" xfId="27637" xr:uid="{6297005B-E12B-4311-8C6E-D84FD8692E3D}"/>
    <cellStyle name="Comma 4 3 2 3 4 5" xfId="5733" xr:uid="{539E6224-2C5C-448B-970A-D3696FFFCC66}"/>
    <cellStyle name="Comma 4 3 2 3 4 5 2" xfId="42241" xr:uid="{A6609534-911D-48D0-910A-1FEFF554CA18}"/>
    <cellStyle name="Comma 4 3 2 3 4 5 3" xfId="23987" xr:uid="{DF0D6666-F43E-4319-8B97-D8192A492A76}"/>
    <cellStyle name="Comma 4 3 2 3 4 6" xfId="38591" xr:uid="{8143EE5F-F47E-4B86-8C5D-A4A6253C3A10}"/>
    <cellStyle name="Comma 4 3 2 3 4 7" xfId="20337" xr:uid="{D4A6712B-D0F8-49F2-8053-70DD1FCBC51C}"/>
    <cellStyle name="Comma 4 3 2 3 5" xfId="1353" xr:uid="{F214D9BB-6490-41D9-9CAD-563FE6179850}"/>
    <cellStyle name="Comma 4 3 2 3 5 2" xfId="15953" xr:uid="{A0DDB27F-6597-4264-80C1-B6AC9FF60B8F}"/>
    <cellStyle name="Comma 4 3 2 3 5 2 2" xfId="52461" xr:uid="{9A4AE3E4-7D68-44F6-B1C6-45F42B8EE670}"/>
    <cellStyle name="Comma 4 3 2 3 5 2 3" xfId="34207" xr:uid="{C7572AE9-716A-496D-A88D-9F948EDA4995}"/>
    <cellStyle name="Comma 4 3 2 3 5 3" xfId="12303" xr:uid="{7D589A6E-D2F1-4B04-8F79-75B05758E6A7}"/>
    <cellStyle name="Comma 4 3 2 3 5 3 2" xfId="48811" xr:uid="{DB7747A4-499B-42C4-84AF-3D5698A07B8E}"/>
    <cellStyle name="Comma 4 3 2 3 5 3 3" xfId="30557" xr:uid="{1C87D029-0D39-4D0C-A053-52D2992A9F40}"/>
    <cellStyle name="Comma 4 3 2 3 5 4" xfId="8653" xr:uid="{BF446FAC-6846-433E-A3DA-D87FDA85DABC}"/>
    <cellStyle name="Comma 4 3 2 3 5 4 2" xfId="45161" xr:uid="{29711615-D8C5-4826-9080-ECA4F938B488}"/>
    <cellStyle name="Comma 4 3 2 3 5 4 3" xfId="26907" xr:uid="{993E1E72-6824-48B6-8A39-06142D8A116E}"/>
    <cellStyle name="Comma 4 3 2 3 5 5" xfId="5003" xr:uid="{CE9113BF-091D-4C89-8759-D79BA7B311E0}"/>
    <cellStyle name="Comma 4 3 2 3 5 5 2" xfId="41511" xr:uid="{1F3F2529-E164-4A5C-BB84-21612C239F0A}"/>
    <cellStyle name="Comma 4 3 2 3 5 5 3" xfId="23257" xr:uid="{6B557C79-0B3F-4533-8365-436E5B26D19B}"/>
    <cellStyle name="Comma 4 3 2 3 5 6" xfId="37861" xr:uid="{3644AF2A-86B4-45C8-B169-BB71F5381F8A}"/>
    <cellStyle name="Comma 4 3 2 3 5 7" xfId="19607" xr:uid="{6BD5640E-6B5C-49EC-A76A-951E74CBCB25}"/>
    <cellStyle name="Comma 4 3 2 3 6" xfId="15223" xr:uid="{8111E412-564D-4010-8831-8A10BD3D5982}"/>
    <cellStyle name="Comma 4 3 2 3 6 2" xfId="51731" xr:uid="{40CB0596-A92D-40CF-971D-5037EF3A8A86}"/>
    <cellStyle name="Comma 4 3 2 3 6 3" xfId="33477" xr:uid="{E8756D37-5D01-4B7E-809E-1D8093F17282}"/>
    <cellStyle name="Comma 4 3 2 3 7" xfId="11573" xr:uid="{E59C916A-9F67-4751-AFAE-DD82DFEBF798}"/>
    <cellStyle name="Comma 4 3 2 3 7 2" xfId="48081" xr:uid="{76DEC257-F8E7-47A4-8C9B-5E7CDA480FDD}"/>
    <cellStyle name="Comma 4 3 2 3 7 3" xfId="29827" xr:uid="{19B4DE22-390A-4D88-8FF3-5C32BFA82FA8}"/>
    <cellStyle name="Comma 4 3 2 3 8" xfId="7923" xr:uid="{94A93B11-0176-45A6-BE7E-96CBE4D1289E}"/>
    <cellStyle name="Comma 4 3 2 3 8 2" xfId="44431" xr:uid="{401D1F7F-1BF6-4C95-9776-0602A3973741}"/>
    <cellStyle name="Comma 4 3 2 3 8 3" xfId="26177" xr:uid="{CE63B006-0577-4264-A6F4-FC990FA0C95D}"/>
    <cellStyle name="Comma 4 3 2 3 9" xfId="4273" xr:uid="{6E7C0048-6225-4D31-A87F-1903B8081C57}"/>
    <cellStyle name="Comma 4 3 2 3 9 2" xfId="40781" xr:uid="{89199B78-D46A-4DC5-A1CA-09A59AADDBE7}"/>
    <cellStyle name="Comma 4 3 2 3 9 3" xfId="22527" xr:uid="{246407BA-EE70-441C-A83B-F8F62F594589}"/>
    <cellStyle name="Comma 4 3 2 4" xfId="519" xr:uid="{452C5CF4-6A12-4975-BDD1-8B606B33E6F1}"/>
    <cellStyle name="Comma 4 3 2 4 10" xfId="37027" xr:uid="{0633CEFB-BD31-4D15-B7A1-113467D560BE}"/>
    <cellStyle name="Comma 4 3 2 4 11" xfId="18773" xr:uid="{A902D6C3-6125-4734-A577-C7FAD91EB14D}"/>
    <cellStyle name="Comma 4 3 2 4 2" xfId="3439" xr:uid="{739EB669-D471-4C7C-B675-DF6310B10B4C}"/>
    <cellStyle name="Comma 4 3 2 4 2 2" xfId="18039" xr:uid="{5AC09FD8-0A87-4094-9FED-7D3F7651F2DE}"/>
    <cellStyle name="Comma 4 3 2 4 2 2 2" xfId="54547" xr:uid="{3DE64FB8-7EAF-4BAA-BABC-3DBB51AC723E}"/>
    <cellStyle name="Comma 4 3 2 4 2 2 3" xfId="36293" xr:uid="{964D8364-EE34-43D9-8A11-2095610C42CC}"/>
    <cellStyle name="Comma 4 3 2 4 2 3" xfId="14389" xr:uid="{9815C9D5-DAFB-49B3-9335-0EF063EAF8F3}"/>
    <cellStyle name="Comma 4 3 2 4 2 3 2" xfId="50897" xr:uid="{021E9272-AB2D-400E-A2C9-F75C27452EDE}"/>
    <cellStyle name="Comma 4 3 2 4 2 3 3" xfId="32643" xr:uid="{3FA15D75-78EC-4123-81B5-681F149C4CF7}"/>
    <cellStyle name="Comma 4 3 2 4 2 4" xfId="10739" xr:uid="{7139BC69-B5A5-4ABB-B2A4-36D27B5E1AA2}"/>
    <cellStyle name="Comma 4 3 2 4 2 4 2" xfId="47247" xr:uid="{BC4BC35E-915B-4EB5-8049-C34A67E3998A}"/>
    <cellStyle name="Comma 4 3 2 4 2 4 3" xfId="28993" xr:uid="{98714225-1FDD-4440-9CC4-3D63DDA1C2DD}"/>
    <cellStyle name="Comma 4 3 2 4 2 5" xfId="7089" xr:uid="{47513D5D-ACEC-44A4-846E-BC34787D43A1}"/>
    <cellStyle name="Comma 4 3 2 4 2 5 2" xfId="43597" xr:uid="{F7B52403-8356-4E3E-A78C-0DE1342B2861}"/>
    <cellStyle name="Comma 4 3 2 4 2 5 3" xfId="25343" xr:uid="{146CABFA-038A-41F8-8C84-F6C1C38B3AC4}"/>
    <cellStyle name="Comma 4 3 2 4 2 6" xfId="39947" xr:uid="{62B09D6D-6E25-4E33-B940-FD1B65E39756}"/>
    <cellStyle name="Comma 4 3 2 4 2 7" xfId="21693" xr:uid="{D1DE4742-12BD-462B-9365-6C2504662B80}"/>
    <cellStyle name="Comma 4 3 2 4 3" xfId="2709" xr:uid="{2B32CEFF-6226-4D01-B4F0-ADCF1B555A19}"/>
    <cellStyle name="Comma 4 3 2 4 3 2" xfId="17309" xr:uid="{C69D542B-8459-485C-8D68-7ACE134C6142}"/>
    <cellStyle name="Comma 4 3 2 4 3 2 2" xfId="53817" xr:uid="{F0F75DFD-3F29-4D1C-BD93-07914B128B7E}"/>
    <cellStyle name="Comma 4 3 2 4 3 2 3" xfId="35563" xr:uid="{B4EDE9A9-0B8C-4A7F-A478-DB34C3664B93}"/>
    <cellStyle name="Comma 4 3 2 4 3 3" xfId="13659" xr:uid="{34EFBB33-18A9-450D-8F26-EBA229E03E8C}"/>
    <cellStyle name="Comma 4 3 2 4 3 3 2" xfId="50167" xr:uid="{50D839C0-A711-4A97-973F-DD663CC7D729}"/>
    <cellStyle name="Comma 4 3 2 4 3 3 3" xfId="31913" xr:uid="{F4B3D49A-743C-43DB-876A-470668CBAFD7}"/>
    <cellStyle name="Comma 4 3 2 4 3 4" xfId="10009" xr:uid="{716BE3D0-DEFD-420A-B891-A629F95CCF30}"/>
    <cellStyle name="Comma 4 3 2 4 3 4 2" xfId="46517" xr:uid="{BB4790B2-1808-48CD-A065-67090E58B42E}"/>
    <cellStyle name="Comma 4 3 2 4 3 4 3" xfId="28263" xr:uid="{FB33C7AA-BAE7-4AB9-8849-04AB93FA03CF}"/>
    <cellStyle name="Comma 4 3 2 4 3 5" xfId="6359" xr:uid="{8CB03EF4-8CE4-4E8F-84B1-AE1210A1851D}"/>
    <cellStyle name="Comma 4 3 2 4 3 5 2" xfId="42867" xr:uid="{C9B4C8BA-9FCD-45B9-9230-5AFC6998F95C}"/>
    <cellStyle name="Comma 4 3 2 4 3 5 3" xfId="24613" xr:uid="{08F34A66-EF87-4724-8386-593B187F42B6}"/>
    <cellStyle name="Comma 4 3 2 4 3 6" xfId="39217" xr:uid="{509F066A-982A-4418-BEA1-4267F975B120}"/>
    <cellStyle name="Comma 4 3 2 4 3 7" xfId="20963" xr:uid="{5559F5E4-D18E-4115-9B98-C83AB1929276}"/>
    <cellStyle name="Comma 4 3 2 4 4" xfId="1979" xr:uid="{E6FEE218-2EDD-4191-A8E7-C183D43D8BB0}"/>
    <cellStyle name="Comma 4 3 2 4 4 2" xfId="16579" xr:uid="{4AF15742-830E-4F7B-AFA3-82AA0BC1A4F6}"/>
    <cellStyle name="Comma 4 3 2 4 4 2 2" xfId="53087" xr:uid="{87438B75-C495-43B9-9F26-5EA68EA0941A}"/>
    <cellStyle name="Comma 4 3 2 4 4 2 3" xfId="34833" xr:uid="{96E85103-1BCE-4819-BB70-8DC20CF95DC6}"/>
    <cellStyle name="Comma 4 3 2 4 4 3" xfId="12929" xr:uid="{4FC0DF2B-FC2A-4A5E-A0AD-641B9A4A2595}"/>
    <cellStyle name="Comma 4 3 2 4 4 3 2" xfId="49437" xr:uid="{F4B3E995-3ACB-42D7-A0DE-658266EA722E}"/>
    <cellStyle name="Comma 4 3 2 4 4 3 3" xfId="31183" xr:uid="{0A89139B-02D2-42D8-8AE3-25E6903F2973}"/>
    <cellStyle name="Comma 4 3 2 4 4 4" xfId="9279" xr:uid="{C8D649DB-70F3-449B-94DE-1FEF3C309300}"/>
    <cellStyle name="Comma 4 3 2 4 4 4 2" xfId="45787" xr:uid="{367A70BA-2D66-4AD1-8197-F58475EACE6E}"/>
    <cellStyle name="Comma 4 3 2 4 4 4 3" xfId="27533" xr:uid="{BF5AFFB0-CE5F-4B1A-8601-71A5AC137AE1}"/>
    <cellStyle name="Comma 4 3 2 4 4 5" xfId="5629" xr:uid="{81CD1D9D-F204-4D72-BDE9-FD9252FF8974}"/>
    <cellStyle name="Comma 4 3 2 4 4 5 2" xfId="42137" xr:uid="{2E0034ED-AD60-45B7-B070-7261DA282507}"/>
    <cellStyle name="Comma 4 3 2 4 4 5 3" xfId="23883" xr:uid="{8B7EFED8-61DC-487B-8983-C8370365BD09}"/>
    <cellStyle name="Comma 4 3 2 4 4 6" xfId="38487" xr:uid="{10CEB6E5-8ACC-499D-8C7B-BC32B6223EC1}"/>
    <cellStyle name="Comma 4 3 2 4 4 7" xfId="20233" xr:uid="{42C907CC-4EE6-440F-B7C4-4E07489FF6CF}"/>
    <cellStyle name="Comma 4 3 2 4 5" xfId="1249" xr:uid="{E5468B5D-DC94-4E3F-A641-D00DAB4CAFAE}"/>
    <cellStyle name="Comma 4 3 2 4 5 2" xfId="15849" xr:uid="{1681A9A8-4E4D-4C77-B557-C5F33809349D}"/>
    <cellStyle name="Comma 4 3 2 4 5 2 2" xfId="52357" xr:uid="{9EEC777C-1297-42C7-B38F-C45FFA0BF0AE}"/>
    <cellStyle name="Comma 4 3 2 4 5 2 3" xfId="34103" xr:uid="{EA563A51-6740-4216-AD7D-0F4D96DCDBE3}"/>
    <cellStyle name="Comma 4 3 2 4 5 3" xfId="12199" xr:uid="{986A4617-5C30-4F95-8115-A209EEA0C8F2}"/>
    <cellStyle name="Comma 4 3 2 4 5 3 2" xfId="48707" xr:uid="{0508B46A-8899-46C4-861B-643FD26D1F03}"/>
    <cellStyle name="Comma 4 3 2 4 5 3 3" xfId="30453" xr:uid="{A2967AE6-A7B9-46AC-9496-14CA4148747D}"/>
    <cellStyle name="Comma 4 3 2 4 5 4" xfId="8549" xr:uid="{2FAC9BD2-9838-471A-A66A-69C56E0E2D9C}"/>
    <cellStyle name="Comma 4 3 2 4 5 4 2" xfId="45057" xr:uid="{DBB81DFA-B3B6-44D2-8E40-99EEC4B93A15}"/>
    <cellStyle name="Comma 4 3 2 4 5 4 3" xfId="26803" xr:uid="{0A22CAAE-BC20-48B4-B352-A0C742A8B692}"/>
    <cellStyle name="Comma 4 3 2 4 5 5" xfId="4899" xr:uid="{EEDBBD88-1DCD-4BB1-B816-D23606E86882}"/>
    <cellStyle name="Comma 4 3 2 4 5 5 2" xfId="41407" xr:uid="{B06F2DCB-B15F-4882-92CE-A1868BD51595}"/>
    <cellStyle name="Comma 4 3 2 4 5 5 3" xfId="23153" xr:uid="{2C9EE99C-DCF8-4BB1-BE9E-4A326774FAD5}"/>
    <cellStyle name="Comma 4 3 2 4 5 6" xfId="37757" xr:uid="{3B723A9F-340B-47A8-B8C6-9F9801C77018}"/>
    <cellStyle name="Comma 4 3 2 4 5 7" xfId="19503" xr:uid="{E0A3411E-C1A8-4EBF-AD55-86DD648EE9AC}"/>
    <cellStyle name="Comma 4 3 2 4 6" xfId="15119" xr:uid="{96BDF51E-DA2F-4AB9-B6DB-DC2B2FC265CF}"/>
    <cellStyle name="Comma 4 3 2 4 6 2" xfId="51627" xr:uid="{29102206-5755-4952-94A3-DD8B367CAB7E}"/>
    <cellStyle name="Comma 4 3 2 4 6 3" xfId="33373" xr:uid="{9B0C6751-3EE7-49E4-A492-D2E46C023E42}"/>
    <cellStyle name="Comma 4 3 2 4 7" xfId="11469" xr:uid="{F01D5D5F-EEBB-4F9D-A6D4-A11814701B30}"/>
    <cellStyle name="Comma 4 3 2 4 7 2" xfId="47977" xr:uid="{89C09911-4772-4DE4-A51A-701E7539B6F1}"/>
    <cellStyle name="Comma 4 3 2 4 7 3" xfId="29723" xr:uid="{B4593EF4-E179-459D-81BD-B2409590B6D3}"/>
    <cellStyle name="Comma 4 3 2 4 8" xfId="7819" xr:uid="{D69AAC00-5256-4040-868D-C2054380AA8A}"/>
    <cellStyle name="Comma 4 3 2 4 8 2" xfId="44327" xr:uid="{10C30BB6-3E38-42B5-AC7B-A0E147525D45}"/>
    <cellStyle name="Comma 4 3 2 4 8 3" xfId="26073" xr:uid="{7A13FB40-5F30-4BA0-88F0-F18C793765DE}"/>
    <cellStyle name="Comma 4 3 2 4 9" xfId="4169" xr:uid="{2C557C9C-E22E-4383-B031-9BBCC06D227A}"/>
    <cellStyle name="Comma 4 3 2 4 9 2" xfId="40677" xr:uid="{6A295245-2CE5-4653-BBAA-13A3E339CAC6}"/>
    <cellStyle name="Comma 4 3 2 4 9 3" xfId="22423" xr:uid="{6D61DF3D-86D4-42F8-98D8-57BD44BEF586}"/>
    <cellStyle name="Comma 4 3 2 5" xfId="415" xr:uid="{66A6A906-5C9A-47E9-AA65-FB3F356DB683}"/>
    <cellStyle name="Comma 4 3 2 5 10" xfId="36923" xr:uid="{6BF215C2-B56A-4621-A405-323667886614}"/>
    <cellStyle name="Comma 4 3 2 5 11" xfId="18669" xr:uid="{B3F6DD81-749E-481F-961F-AACE64D3A3BE}"/>
    <cellStyle name="Comma 4 3 2 5 2" xfId="3335" xr:uid="{C9D3DDEC-526A-4A82-8A3F-1E86E2599E56}"/>
    <cellStyle name="Comma 4 3 2 5 2 2" xfId="17935" xr:uid="{16B6C5EB-9B79-4D33-A134-1AF5A1DB8394}"/>
    <cellStyle name="Comma 4 3 2 5 2 2 2" xfId="54443" xr:uid="{D55F52BB-6F74-41A8-886E-02317AFF343B}"/>
    <cellStyle name="Comma 4 3 2 5 2 2 3" xfId="36189" xr:uid="{7FA51DE6-9186-4C06-9156-3D8D346A7024}"/>
    <cellStyle name="Comma 4 3 2 5 2 3" xfId="14285" xr:uid="{D6AB7A76-FDE5-444C-8F08-EB0E1DC4EFA1}"/>
    <cellStyle name="Comma 4 3 2 5 2 3 2" xfId="50793" xr:uid="{003DB97A-B95F-40E5-B28F-F55F4D17EEA1}"/>
    <cellStyle name="Comma 4 3 2 5 2 3 3" xfId="32539" xr:uid="{7B1AED2B-0498-4C5B-A0F9-40D567873493}"/>
    <cellStyle name="Comma 4 3 2 5 2 4" xfId="10635" xr:uid="{863A1B52-C864-41AA-967F-38ECD69D16AB}"/>
    <cellStyle name="Comma 4 3 2 5 2 4 2" xfId="47143" xr:uid="{CB0ADD32-3E5B-4FD7-A669-2F6DE64F706C}"/>
    <cellStyle name="Comma 4 3 2 5 2 4 3" xfId="28889" xr:uid="{507F4680-D43C-4303-AE3C-8A3D03BA54DC}"/>
    <cellStyle name="Comma 4 3 2 5 2 5" xfId="6985" xr:uid="{AC493F87-BE8A-43D8-82B9-E8E0AA24F5BE}"/>
    <cellStyle name="Comma 4 3 2 5 2 5 2" xfId="43493" xr:uid="{BA6AFA56-BC62-4684-979A-E4B08460724E}"/>
    <cellStyle name="Comma 4 3 2 5 2 5 3" xfId="25239" xr:uid="{078A137E-5038-4B32-BC48-2984DFCEB86A}"/>
    <cellStyle name="Comma 4 3 2 5 2 6" xfId="39843" xr:uid="{F71FEA8B-A894-4C1E-9526-A07BC7DA8DD7}"/>
    <cellStyle name="Comma 4 3 2 5 2 7" xfId="21589" xr:uid="{A563640D-AF4B-4ED2-9DA2-DC4121C41FD9}"/>
    <cellStyle name="Comma 4 3 2 5 3" xfId="2605" xr:uid="{E8BC6C57-CECC-4058-9B84-ADAE31395B5A}"/>
    <cellStyle name="Comma 4 3 2 5 3 2" xfId="17205" xr:uid="{5AA6AE12-6A61-4A55-A2C7-6AF4853A4755}"/>
    <cellStyle name="Comma 4 3 2 5 3 2 2" xfId="53713" xr:uid="{794A614D-591D-43A9-971B-ECD1B924CB22}"/>
    <cellStyle name="Comma 4 3 2 5 3 2 3" xfId="35459" xr:uid="{353B3AB8-2143-4A9A-81A7-547F8CD143EA}"/>
    <cellStyle name="Comma 4 3 2 5 3 3" xfId="13555" xr:uid="{6FF5789D-E1B4-4FD4-BD83-F797BCFF3A9B}"/>
    <cellStyle name="Comma 4 3 2 5 3 3 2" xfId="50063" xr:uid="{5100C6EE-C581-4635-9724-7CB99C1D5F7F}"/>
    <cellStyle name="Comma 4 3 2 5 3 3 3" xfId="31809" xr:uid="{AABA1BAC-68EB-40DA-AE5B-87A8F2B59755}"/>
    <cellStyle name="Comma 4 3 2 5 3 4" xfId="9905" xr:uid="{5D095823-CCCE-4BFC-85C8-2EF8ADD317CE}"/>
    <cellStyle name="Comma 4 3 2 5 3 4 2" xfId="46413" xr:uid="{BF9C0311-FAB4-40EF-A1AE-5E377178BABE}"/>
    <cellStyle name="Comma 4 3 2 5 3 4 3" xfId="28159" xr:uid="{312FA8E5-28F8-439E-8E53-5307C7282F4A}"/>
    <cellStyle name="Comma 4 3 2 5 3 5" xfId="6255" xr:uid="{56992F30-25BA-495A-8F70-B7D68CD3B7FA}"/>
    <cellStyle name="Comma 4 3 2 5 3 5 2" xfId="42763" xr:uid="{377207AF-2DFF-4859-8BAA-BF40EBE06E07}"/>
    <cellStyle name="Comma 4 3 2 5 3 5 3" xfId="24509" xr:uid="{8EFB5B7A-A82A-4383-B444-555A7D887720}"/>
    <cellStyle name="Comma 4 3 2 5 3 6" xfId="39113" xr:uid="{5C8A2FDA-C300-490C-822E-632E3DAD7FE3}"/>
    <cellStyle name="Comma 4 3 2 5 3 7" xfId="20859" xr:uid="{0EA5ECCD-83DC-4455-9753-574C4600271F}"/>
    <cellStyle name="Comma 4 3 2 5 4" xfId="1875" xr:uid="{00AFC65F-CF03-4396-81C2-C715073F99A1}"/>
    <cellStyle name="Comma 4 3 2 5 4 2" xfId="16475" xr:uid="{32B54DFD-8806-45B1-9F89-921BC3BC3CE2}"/>
    <cellStyle name="Comma 4 3 2 5 4 2 2" xfId="52983" xr:uid="{66C1724D-D06F-4DFD-9707-866F83FE1E20}"/>
    <cellStyle name="Comma 4 3 2 5 4 2 3" xfId="34729" xr:uid="{5AAED863-2DD5-4652-BBE8-360BAF1BA6F0}"/>
    <cellStyle name="Comma 4 3 2 5 4 3" xfId="12825" xr:uid="{D0184140-417D-4771-8F1C-EB2FB2BF1272}"/>
    <cellStyle name="Comma 4 3 2 5 4 3 2" xfId="49333" xr:uid="{FF99C441-AD9E-45D4-B2F8-BEA679C0B9A0}"/>
    <cellStyle name="Comma 4 3 2 5 4 3 3" xfId="31079" xr:uid="{50A18F90-5425-4AF1-A62F-4D5361F770CB}"/>
    <cellStyle name="Comma 4 3 2 5 4 4" xfId="9175" xr:uid="{07CE7B8B-3DA6-4AD3-B713-9397AD4A5187}"/>
    <cellStyle name="Comma 4 3 2 5 4 4 2" xfId="45683" xr:uid="{B28C1BE4-24FD-4E28-8E8A-17740ABABD88}"/>
    <cellStyle name="Comma 4 3 2 5 4 4 3" xfId="27429" xr:uid="{CE73B353-6995-4269-99BF-A15DD34C790E}"/>
    <cellStyle name="Comma 4 3 2 5 4 5" xfId="5525" xr:uid="{EA6AC2C2-E0FF-4BD5-B851-2035304AF286}"/>
    <cellStyle name="Comma 4 3 2 5 4 5 2" xfId="42033" xr:uid="{3281F33A-94F9-4430-89F2-DF8837DB0944}"/>
    <cellStyle name="Comma 4 3 2 5 4 5 3" xfId="23779" xr:uid="{4B6E2DE0-80FA-4B21-A1AD-D7EECDE44201}"/>
    <cellStyle name="Comma 4 3 2 5 4 6" xfId="38383" xr:uid="{9379C203-8181-4E3E-8013-00EA666B586E}"/>
    <cellStyle name="Comma 4 3 2 5 4 7" xfId="20129" xr:uid="{C9FDC2CA-7EEB-4A28-8823-7B5FA84ED556}"/>
    <cellStyle name="Comma 4 3 2 5 5" xfId="1145" xr:uid="{49BB2B6D-7F14-4B0A-B1A5-1F3208079E90}"/>
    <cellStyle name="Comma 4 3 2 5 5 2" xfId="15745" xr:uid="{BC81C5A4-5FDB-4961-B82C-A39309499472}"/>
    <cellStyle name="Comma 4 3 2 5 5 2 2" xfId="52253" xr:uid="{1F192DEE-471A-4132-9D12-AA35D768296C}"/>
    <cellStyle name="Comma 4 3 2 5 5 2 3" xfId="33999" xr:uid="{B6D68E49-ED85-444C-A328-AB0975A7796C}"/>
    <cellStyle name="Comma 4 3 2 5 5 3" xfId="12095" xr:uid="{0E86E1C5-5B31-4196-8E8E-9C67743BDC97}"/>
    <cellStyle name="Comma 4 3 2 5 5 3 2" xfId="48603" xr:uid="{FFD9A375-FD81-408F-B185-7CF177ACF725}"/>
    <cellStyle name="Comma 4 3 2 5 5 3 3" xfId="30349" xr:uid="{3C4FB641-9CCA-4FC0-B9A3-77BA450A8CFF}"/>
    <cellStyle name="Comma 4 3 2 5 5 4" xfId="8445" xr:uid="{D0CD7ACC-03AE-43C8-9CED-29802162A699}"/>
    <cellStyle name="Comma 4 3 2 5 5 4 2" xfId="44953" xr:uid="{AD4297C7-334E-44DB-851C-84A989FF9991}"/>
    <cellStyle name="Comma 4 3 2 5 5 4 3" xfId="26699" xr:uid="{0AEEA99E-3E24-49DC-8B92-BAAD9F225F7B}"/>
    <cellStyle name="Comma 4 3 2 5 5 5" xfId="4795" xr:uid="{E37776A5-E103-40CD-A259-FD2659ED5CF0}"/>
    <cellStyle name="Comma 4 3 2 5 5 5 2" xfId="41303" xr:uid="{E6D63B59-3B49-45C9-BA9A-F0F3C1CA5DCF}"/>
    <cellStyle name="Comma 4 3 2 5 5 5 3" xfId="23049" xr:uid="{BBBB312D-F097-4811-B7AD-C7ECBCC92DC5}"/>
    <cellStyle name="Comma 4 3 2 5 5 6" xfId="37653" xr:uid="{AA60490E-8521-4C9B-A572-D3F46CEB505E}"/>
    <cellStyle name="Comma 4 3 2 5 5 7" xfId="19399" xr:uid="{031CD769-E2E2-4F3A-ABE8-7C951A93EEAB}"/>
    <cellStyle name="Comma 4 3 2 5 6" xfId="15015" xr:uid="{0BE1F17B-4EA0-43A1-897A-563B637CB27F}"/>
    <cellStyle name="Comma 4 3 2 5 6 2" xfId="51523" xr:uid="{454760E1-29E4-495C-AB47-EDDED2BF9C94}"/>
    <cellStyle name="Comma 4 3 2 5 6 3" xfId="33269" xr:uid="{E6CEFF86-F0A2-492F-AE65-DD90B575AE89}"/>
    <cellStyle name="Comma 4 3 2 5 7" xfId="11365" xr:uid="{1865EC45-8F25-4385-A5A3-55BA26F3C215}"/>
    <cellStyle name="Comma 4 3 2 5 7 2" xfId="47873" xr:uid="{29D815D7-91A6-4CF1-A797-54263B2CBA30}"/>
    <cellStyle name="Comma 4 3 2 5 7 3" xfId="29619" xr:uid="{43E2B0F1-AAFD-45FF-BABA-B46E81F1E78E}"/>
    <cellStyle name="Comma 4 3 2 5 8" xfId="7715" xr:uid="{F2E4B8A0-2D3E-4A2A-B7D6-3FCEC405D12E}"/>
    <cellStyle name="Comma 4 3 2 5 8 2" xfId="44223" xr:uid="{44D18FA5-48AE-4A19-B10B-DEE168CC639A}"/>
    <cellStyle name="Comma 4 3 2 5 8 3" xfId="25969" xr:uid="{9A686B51-94BC-4BE4-9B5C-B890EBA90B8F}"/>
    <cellStyle name="Comma 4 3 2 5 9" xfId="4065" xr:uid="{6BECCB2C-FB66-4311-AA49-F64C0DEEAEE2}"/>
    <cellStyle name="Comma 4 3 2 5 9 2" xfId="40573" xr:uid="{0FB62259-737C-40C0-925F-58DAF0C66AA3}"/>
    <cellStyle name="Comma 4 3 2 5 9 3" xfId="22319" xr:uid="{9D3958ED-4FE0-4342-8097-15A0B04004B9}"/>
    <cellStyle name="Comma 4 3 2 6" xfId="311" xr:uid="{5EAAB501-6CF2-4CF2-B11B-70B48C491ACD}"/>
    <cellStyle name="Comma 4 3 2 6 10" xfId="36819" xr:uid="{047A625E-8B39-4DDE-A9F6-395027F3DE2E}"/>
    <cellStyle name="Comma 4 3 2 6 11" xfId="18565" xr:uid="{2E602773-3AB0-4402-9025-DA09CDFD3E84}"/>
    <cellStyle name="Comma 4 3 2 6 2" xfId="3231" xr:uid="{3CDFF499-8927-4534-8624-E50F7A6BB81C}"/>
    <cellStyle name="Comma 4 3 2 6 2 2" xfId="17831" xr:uid="{667B064D-8AB4-497F-A558-22DE0A1DE7AB}"/>
    <cellStyle name="Comma 4 3 2 6 2 2 2" xfId="54339" xr:uid="{B1A9278C-61FB-4D66-B5DF-DE892C56B114}"/>
    <cellStyle name="Comma 4 3 2 6 2 2 3" xfId="36085" xr:uid="{9F958676-C362-4BFB-9644-43CE6AA83A38}"/>
    <cellStyle name="Comma 4 3 2 6 2 3" xfId="14181" xr:uid="{E02AF112-2C87-43A9-9995-DE6C1E247998}"/>
    <cellStyle name="Comma 4 3 2 6 2 3 2" xfId="50689" xr:uid="{0990DBD6-766E-48D8-91F3-80A4A76AA626}"/>
    <cellStyle name="Comma 4 3 2 6 2 3 3" xfId="32435" xr:uid="{F0A9991F-7AAB-4EF6-A834-9B3DFABAD90F}"/>
    <cellStyle name="Comma 4 3 2 6 2 4" xfId="10531" xr:uid="{5AAF91F6-D1F8-4BD7-A98D-A973B2EB83F9}"/>
    <cellStyle name="Comma 4 3 2 6 2 4 2" xfId="47039" xr:uid="{940C3CD1-683C-427D-9356-726D9D35E843}"/>
    <cellStyle name="Comma 4 3 2 6 2 4 3" xfId="28785" xr:uid="{561AB8A2-914D-4601-883C-78FAA6D10C9D}"/>
    <cellStyle name="Comma 4 3 2 6 2 5" xfId="6881" xr:uid="{7B8649EC-BBC3-4DC7-AE6B-2178332EF08D}"/>
    <cellStyle name="Comma 4 3 2 6 2 5 2" xfId="43389" xr:uid="{B10217A2-B114-4EDA-B9B2-15233057592E}"/>
    <cellStyle name="Comma 4 3 2 6 2 5 3" xfId="25135" xr:uid="{C2031601-7C6D-44FB-8150-05C90E71C497}"/>
    <cellStyle name="Comma 4 3 2 6 2 6" xfId="39739" xr:uid="{A3BC70DF-FA29-41F4-964E-5A4EC6EF8450}"/>
    <cellStyle name="Comma 4 3 2 6 2 7" xfId="21485" xr:uid="{C4DE1C7A-A3E9-4217-A9B4-F4DE23A8AD98}"/>
    <cellStyle name="Comma 4 3 2 6 3" xfId="2501" xr:uid="{4ACDEF01-ADC8-4D3C-9D0B-ADD81AAC4DFC}"/>
    <cellStyle name="Comma 4 3 2 6 3 2" xfId="17101" xr:uid="{EAD30564-CC5D-4054-8327-A89D2F1BAA7A}"/>
    <cellStyle name="Comma 4 3 2 6 3 2 2" xfId="53609" xr:uid="{E203C02D-39F9-4F0E-ADEE-66F391734A9E}"/>
    <cellStyle name="Comma 4 3 2 6 3 2 3" xfId="35355" xr:uid="{6A6CC46D-9475-4CCB-B2F1-FD6591E25807}"/>
    <cellStyle name="Comma 4 3 2 6 3 3" xfId="13451" xr:uid="{7B407D8E-FFB5-4DF4-8991-7F917395FCA4}"/>
    <cellStyle name="Comma 4 3 2 6 3 3 2" xfId="49959" xr:uid="{77CB38E8-AB55-4855-AB29-3CF51C72CFCB}"/>
    <cellStyle name="Comma 4 3 2 6 3 3 3" xfId="31705" xr:uid="{B0B0009C-DD7C-4839-9338-37AF20DB3CDE}"/>
    <cellStyle name="Comma 4 3 2 6 3 4" xfId="9801" xr:uid="{C523647E-3778-45F3-8B6C-AA36F1E95F03}"/>
    <cellStyle name="Comma 4 3 2 6 3 4 2" xfId="46309" xr:uid="{E1B0D0C2-F800-46C8-9D84-31C9D7F4B3D0}"/>
    <cellStyle name="Comma 4 3 2 6 3 4 3" xfId="28055" xr:uid="{6F033D31-D82C-49CD-AFBD-9F44CD1DCBEA}"/>
    <cellStyle name="Comma 4 3 2 6 3 5" xfId="6151" xr:uid="{46F9F51C-D7CD-445D-82CF-A98015333263}"/>
    <cellStyle name="Comma 4 3 2 6 3 5 2" xfId="42659" xr:uid="{3F965B25-F6B3-4B9B-90D3-C7B691DCB40B}"/>
    <cellStyle name="Comma 4 3 2 6 3 5 3" xfId="24405" xr:uid="{6AC18326-E76D-4572-A811-8CFECB1241B7}"/>
    <cellStyle name="Comma 4 3 2 6 3 6" xfId="39009" xr:uid="{36A03187-170F-48AD-93CB-D9A58221E7DB}"/>
    <cellStyle name="Comma 4 3 2 6 3 7" xfId="20755" xr:uid="{0A6BA663-F5E0-4DA1-A686-27A083C6849C}"/>
    <cellStyle name="Comma 4 3 2 6 4" xfId="1771" xr:uid="{D144E922-4044-469E-B27E-CE6DAFEAD87F}"/>
    <cellStyle name="Comma 4 3 2 6 4 2" xfId="16371" xr:uid="{243A8CAD-D1BD-464E-929F-8597A089D98E}"/>
    <cellStyle name="Comma 4 3 2 6 4 2 2" xfId="52879" xr:uid="{75447AF4-196E-4BCE-AF47-B3E601FA6FC6}"/>
    <cellStyle name="Comma 4 3 2 6 4 2 3" xfId="34625" xr:uid="{B6A6831C-9539-4E26-9108-413C9B2BC372}"/>
    <cellStyle name="Comma 4 3 2 6 4 3" xfId="12721" xr:uid="{736AFC60-9550-401D-9CA4-8598F6015238}"/>
    <cellStyle name="Comma 4 3 2 6 4 3 2" xfId="49229" xr:uid="{596E1453-D5E6-4057-BECA-1203839BE191}"/>
    <cellStyle name="Comma 4 3 2 6 4 3 3" xfId="30975" xr:uid="{7765B8AB-232C-4624-BE50-76442203915B}"/>
    <cellStyle name="Comma 4 3 2 6 4 4" xfId="9071" xr:uid="{54CF81B2-F078-4DDC-B1D6-134AE5A5F40A}"/>
    <cellStyle name="Comma 4 3 2 6 4 4 2" xfId="45579" xr:uid="{01A50F9B-9199-4F5E-9515-D3976B732B0B}"/>
    <cellStyle name="Comma 4 3 2 6 4 4 3" xfId="27325" xr:uid="{39881AA9-4B02-4384-A2FA-FD3E175F42E0}"/>
    <cellStyle name="Comma 4 3 2 6 4 5" xfId="5421" xr:uid="{D12D68C9-8038-43BE-96A3-717251631CF0}"/>
    <cellStyle name="Comma 4 3 2 6 4 5 2" xfId="41929" xr:uid="{DEF5E0D2-5C71-4696-881A-3DB3E44B05D9}"/>
    <cellStyle name="Comma 4 3 2 6 4 5 3" xfId="23675" xr:uid="{2B910739-51C8-48EB-9934-EF3E27E1BE66}"/>
    <cellStyle name="Comma 4 3 2 6 4 6" xfId="38279" xr:uid="{E4A46B11-C6FB-4ADF-9D7F-A5051064FBCE}"/>
    <cellStyle name="Comma 4 3 2 6 4 7" xfId="20025" xr:uid="{7A22A502-2919-49C7-B033-66741C3A53C5}"/>
    <cellStyle name="Comma 4 3 2 6 5" xfId="1041" xr:uid="{E854109D-A594-4A9B-84C2-DE0647CFB27F}"/>
    <cellStyle name="Comma 4 3 2 6 5 2" xfId="15641" xr:uid="{4DB66348-796C-4BFA-A6C0-0DBAAFCA7733}"/>
    <cellStyle name="Comma 4 3 2 6 5 2 2" xfId="52149" xr:uid="{A3DA1EE5-B77A-4333-84D8-D65B03470400}"/>
    <cellStyle name="Comma 4 3 2 6 5 2 3" xfId="33895" xr:uid="{DFBA6B85-2D46-4948-AFC8-34EF9FC37054}"/>
    <cellStyle name="Comma 4 3 2 6 5 3" xfId="11991" xr:uid="{D8483378-C451-41B9-99CF-081807E955D9}"/>
    <cellStyle name="Comma 4 3 2 6 5 3 2" xfId="48499" xr:uid="{E9B63033-90B2-4B73-8942-43A1AA0CA858}"/>
    <cellStyle name="Comma 4 3 2 6 5 3 3" xfId="30245" xr:uid="{29B92E26-6643-47FF-94AB-250FA0AE8F21}"/>
    <cellStyle name="Comma 4 3 2 6 5 4" xfId="8341" xr:uid="{DD6C0900-F35E-4FA3-8D9E-465B8772D6AB}"/>
    <cellStyle name="Comma 4 3 2 6 5 4 2" xfId="44849" xr:uid="{9E399757-68E8-488B-8815-2F9C77BDC5EE}"/>
    <cellStyle name="Comma 4 3 2 6 5 4 3" xfId="26595" xr:uid="{53382A56-B9AA-4CE6-88DC-6143D7E1D0D9}"/>
    <cellStyle name="Comma 4 3 2 6 5 5" xfId="4691" xr:uid="{9C31205C-D71E-450D-8AF7-358E80A69816}"/>
    <cellStyle name="Comma 4 3 2 6 5 5 2" xfId="41199" xr:uid="{34314078-F97F-4124-A8E3-120E86FE6642}"/>
    <cellStyle name="Comma 4 3 2 6 5 5 3" xfId="22945" xr:uid="{9739629E-FBB9-4B17-BB43-7FFD026CD7A4}"/>
    <cellStyle name="Comma 4 3 2 6 5 6" xfId="37549" xr:uid="{F56D885B-55AA-4E95-A8C7-D9D67D8E372B}"/>
    <cellStyle name="Comma 4 3 2 6 5 7" xfId="19295" xr:uid="{352324D1-1A10-4E3A-BBAE-C1C2486D8255}"/>
    <cellStyle name="Comma 4 3 2 6 6" xfId="14911" xr:uid="{DD42F16C-3207-4CC4-A4BC-183C1C4F3888}"/>
    <cellStyle name="Comma 4 3 2 6 6 2" xfId="51419" xr:uid="{0EAE8D06-4418-439F-8B93-06FA6A2A57E6}"/>
    <cellStyle name="Comma 4 3 2 6 6 3" xfId="33165" xr:uid="{3DD858B8-2B90-464D-B743-97F8EC004C07}"/>
    <cellStyle name="Comma 4 3 2 6 7" xfId="11261" xr:uid="{5C7B4B51-0B18-4BB6-919A-4BE69A3A50C1}"/>
    <cellStyle name="Comma 4 3 2 6 7 2" xfId="47769" xr:uid="{E400865D-89B8-4329-8CCF-55502FE2A904}"/>
    <cellStyle name="Comma 4 3 2 6 7 3" xfId="29515" xr:uid="{78ED3339-A9B7-4186-A77B-5E6751611E84}"/>
    <cellStyle name="Comma 4 3 2 6 8" xfId="7611" xr:uid="{38F36C88-3E06-455B-BEBC-314BCA926585}"/>
    <cellStyle name="Comma 4 3 2 6 8 2" xfId="44119" xr:uid="{5725AFCB-15A8-42FD-B967-665CD0BE5A06}"/>
    <cellStyle name="Comma 4 3 2 6 8 3" xfId="25865" xr:uid="{518EEAF1-3E72-4303-A512-023C88AE3522}"/>
    <cellStyle name="Comma 4 3 2 6 9" xfId="3961" xr:uid="{CCCB2D43-A33A-4261-90B0-527E9CF73650}"/>
    <cellStyle name="Comma 4 3 2 6 9 2" xfId="40469" xr:uid="{BA2CF482-70A1-4FCC-A232-43F931BB5D3F}"/>
    <cellStyle name="Comma 4 3 2 6 9 3" xfId="22215" xr:uid="{38D594D3-27B2-4C7D-BC58-7292C331CD7F}"/>
    <cellStyle name="Comma 4 3 2 7" xfId="207" xr:uid="{BCCE72B8-5815-4FDF-AED6-2DBC7D4BC1CA}"/>
    <cellStyle name="Comma 4 3 2 7 10" xfId="36715" xr:uid="{688B9F0D-B43C-448B-9A45-889A80A34762}"/>
    <cellStyle name="Comma 4 3 2 7 11" xfId="18461" xr:uid="{742452BE-2884-4CE5-A66B-9A6E982B3B91}"/>
    <cellStyle name="Comma 4 3 2 7 2" xfId="3127" xr:uid="{5648FBB7-8AF8-4A79-84C1-0AF4189DBE3C}"/>
    <cellStyle name="Comma 4 3 2 7 2 2" xfId="17727" xr:uid="{C09A68E8-26CB-42EC-B584-3C5833780531}"/>
    <cellStyle name="Comma 4 3 2 7 2 2 2" xfId="54235" xr:uid="{5F9BAF0C-E34D-4A3A-80AA-562B1D6878BD}"/>
    <cellStyle name="Comma 4 3 2 7 2 2 3" xfId="35981" xr:uid="{1280AEEC-FE52-4E21-A060-6A5B827EC800}"/>
    <cellStyle name="Comma 4 3 2 7 2 3" xfId="14077" xr:uid="{E4E6AFC1-1C97-4DCE-9B23-2C898AD92BB3}"/>
    <cellStyle name="Comma 4 3 2 7 2 3 2" xfId="50585" xr:uid="{A9065835-E53C-4661-98A2-FD6E7D784A2B}"/>
    <cellStyle name="Comma 4 3 2 7 2 3 3" xfId="32331" xr:uid="{CD7C8975-DEC2-4DAB-84C8-D827F682C641}"/>
    <cellStyle name="Comma 4 3 2 7 2 4" xfId="10427" xr:uid="{EB69ECF2-C570-48E6-99E3-1478DFE62B58}"/>
    <cellStyle name="Comma 4 3 2 7 2 4 2" xfId="46935" xr:uid="{4B69EA83-9AFD-4863-84E9-4D51E1182EA7}"/>
    <cellStyle name="Comma 4 3 2 7 2 4 3" xfId="28681" xr:uid="{4827B010-7592-4C65-84FB-0D072D0B2992}"/>
    <cellStyle name="Comma 4 3 2 7 2 5" xfId="6777" xr:uid="{4C0E1EF5-6018-4C7D-93F1-29D4DEBA2CC7}"/>
    <cellStyle name="Comma 4 3 2 7 2 5 2" xfId="43285" xr:uid="{D6C9EAC6-C5B8-4EAB-BBFE-713F01C97281}"/>
    <cellStyle name="Comma 4 3 2 7 2 5 3" xfId="25031" xr:uid="{521BE7C0-2F77-44FC-9061-4F16D478931B}"/>
    <cellStyle name="Comma 4 3 2 7 2 6" xfId="39635" xr:uid="{003DC0A6-16A1-4735-8D3B-D3A6CF7B27D7}"/>
    <cellStyle name="Comma 4 3 2 7 2 7" xfId="21381" xr:uid="{5529A67B-E215-4603-A55C-429ED579D5EE}"/>
    <cellStyle name="Comma 4 3 2 7 3" xfId="2397" xr:uid="{61329B65-DDCD-4CFD-B5BD-5AE8C1BF008E}"/>
    <cellStyle name="Comma 4 3 2 7 3 2" xfId="16997" xr:uid="{31344969-ABA1-41EE-98CC-7047166412A7}"/>
    <cellStyle name="Comma 4 3 2 7 3 2 2" xfId="53505" xr:uid="{FFA44066-4891-4B44-8C87-542F7B7F9D98}"/>
    <cellStyle name="Comma 4 3 2 7 3 2 3" xfId="35251" xr:uid="{DEF31B64-112F-451E-B2C7-A9B2D9309C8E}"/>
    <cellStyle name="Comma 4 3 2 7 3 3" xfId="13347" xr:uid="{22D1ED93-7A42-4DF8-8493-6DC1DD713776}"/>
    <cellStyle name="Comma 4 3 2 7 3 3 2" xfId="49855" xr:uid="{3AE8B837-1E3B-4D85-9E36-6BCB41118EBD}"/>
    <cellStyle name="Comma 4 3 2 7 3 3 3" xfId="31601" xr:uid="{C617F6FB-4D3E-429A-9F9F-11B801F643FB}"/>
    <cellStyle name="Comma 4 3 2 7 3 4" xfId="9697" xr:uid="{790880A0-F4D0-4EC8-83BB-1C1D99DCD1D9}"/>
    <cellStyle name="Comma 4 3 2 7 3 4 2" xfId="46205" xr:uid="{85C4DE3C-15A9-49E6-BF0B-2C26AF5776CA}"/>
    <cellStyle name="Comma 4 3 2 7 3 4 3" xfId="27951" xr:uid="{30EE6149-3772-4C2A-A52F-64101FE051ED}"/>
    <cellStyle name="Comma 4 3 2 7 3 5" xfId="6047" xr:uid="{84A87EC0-E904-45B7-99B4-4FCFD5125106}"/>
    <cellStyle name="Comma 4 3 2 7 3 5 2" xfId="42555" xr:uid="{E5B54956-B53E-4AD8-9A68-4080727CF501}"/>
    <cellStyle name="Comma 4 3 2 7 3 5 3" xfId="24301" xr:uid="{FB4BA200-74CB-487E-94A1-8AFB5308C938}"/>
    <cellStyle name="Comma 4 3 2 7 3 6" xfId="38905" xr:uid="{23754729-5723-4711-B73A-C661D0BED46E}"/>
    <cellStyle name="Comma 4 3 2 7 3 7" xfId="20651" xr:uid="{AF0372A2-3CE3-453F-9C1F-4D8C2471F780}"/>
    <cellStyle name="Comma 4 3 2 7 4" xfId="1667" xr:uid="{572EB444-D61E-4913-AF01-8AE851EB002B}"/>
    <cellStyle name="Comma 4 3 2 7 4 2" xfId="16267" xr:uid="{F11D2E52-FB86-416D-AEE7-C183F29DE9D3}"/>
    <cellStyle name="Comma 4 3 2 7 4 2 2" xfId="52775" xr:uid="{E117EAFF-635A-4787-A392-6AD85501E5E3}"/>
    <cellStyle name="Comma 4 3 2 7 4 2 3" xfId="34521" xr:uid="{4BC60C85-FB4E-4A9D-80CE-F2D6BE53B05E}"/>
    <cellStyle name="Comma 4 3 2 7 4 3" xfId="12617" xr:uid="{966ADAB5-F5E9-434E-836B-41715E0E13F6}"/>
    <cellStyle name="Comma 4 3 2 7 4 3 2" xfId="49125" xr:uid="{29489213-B77F-40BD-83AE-1A11934C26C4}"/>
    <cellStyle name="Comma 4 3 2 7 4 3 3" xfId="30871" xr:uid="{041918F5-80B9-4F3B-9941-BFEED0FF7C56}"/>
    <cellStyle name="Comma 4 3 2 7 4 4" xfId="8967" xr:uid="{826E5D77-D8FA-4AC9-AF91-13DE937275E1}"/>
    <cellStyle name="Comma 4 3 2 7 4 4 2" xfId="45475" xr:uid="{66D4E354-7FE7-421A-9521-D3DF270C2DA6}"/>
    <cellStyle name="Comma 4 3 2 7 4 4 3" xfId="27221" xr:uid="{365F1985-F685-4AF6-8916-4A6DBED44618}"/>
    <cellStyle name="Comma 4 3 2 7 4 5" xfId="5317" xr:uid="{A1AB6C0E-86A6-4B1B-B530-5968A3AD4E4B}"/>
    <cellStyle name="Comma 4 3 2 7 4 5 2" xfId="41825" xr:uid="{4D7D2C7C-E1CE-4876-B927-C1A0A908C4AE}"/>
    <cellStyle name="Comma 4 3 2 7 4 5 3" xfId="23571" xr:uid="{275BF705-CEB9-45E7-9536-87CA7769743F}"/>
    <cellStyle name="Comma 4 3 2 7 4 6" xfId="38175" xr:uid="{7A4639CE-0813-41B0-B3F5-3ACEE95B5A0C}"/>
    <cellStyle name="Comma 4 3 2 7 4 7" xfId="19921" xr:uid="{0B2F63CD-D1AD-4D81-B992-8EF2AFA8608F}"/>
    <cellStyle name="Comma 4 3 2 7 5" xfId="937" xr:uid="{55B08A43-7A1F-473C-BDD0-038799F9C1C1}"/>
    <cellStyle name="Comma 4 3 2 7 5 2" xfId="15537" xr:uid="{331BE3E9-2AE9-4127-9316-A8E8C8C5FCE4}"/>
    <cellStyle name="Comma 4 3 2 7 5 2 2" xfId="52045" xr:uid="{4A2DF5AF-8A4B-440F-B36E-2037878B2A84}"/>
    <cellStyle name="Comma 4 3 2 7 5 2 3" xfId="33791" xr:uid="{64CB3E84-5BD5-43FB-8ED4-9C236F5D748E}"/>
    <cellStyle name="Comma 4 3 2 7 5 3" xfId="11887" xr:uid="{4816FD35-988D-4DE0-A49E-2AE7EB7AF6D1}"/>
    <cellStyle name="Comma 4 3 2 7 5 3 2" xfId="48395" xr:uid="{AF6CB6B5-F22F-4B14-A045-AE16C2C51A44}"/>
    <cellStyle name="Comma 4 3 2 7 5 3 3" xfId="30141" xr:uid="{6D4C5853-CD0E-4687-BF6A-B7E8A2550AF6}"/>
    <cellStyle name="Comma 4 3 2 7 5 4" xfId="8237" xr:uid="{DEFCED96-5647-494D-9AF9-C21DDCE9D25E}"/>
    <cellStyle name="Comma 4 3 2 7 5 4 2" xfId="44745" xr:uid="{1B78C34E-9F70-4B96-862C-7273AC0A8288}"/>
    <cellStyle name="Comma 4 3 2 7 5 4 3" xfId="26491" xr:uid="{38E66243-AE01-48B6-8DF2-07CF63D70DC7}"/>
    <cellStyle name="Comma 4 3 2 7 5 5" xfId="4587" xr:uid="{BEC54D9E-7CF6-4C24-BAFB-ECF4A6DF94A5}"/>
    <cellStyle name="Comma 4 3 2 7 5 5 2" xfId="41095" xr:uid="{6E86E368-35A9-4073-B4FE-A7F04325F991}"/>
    <cellStyle name="Comma 4 3 2 7 5 5 3" xfId="22841" xr:uid="{039767A9-EDD3-441F-B593-FD283698DA58}"/>
    <cellStyle name="Comma 4 3 2 7 5 6" xfId="37445" xr:uid="{E90EBAED-872B-462E-8641-1A7632191FE1}"/>
    <cellStyle name="Comma 4 3 2 7 5 7" xfId="19191" xr:uid="{F8D63C4F-91F3-42E9-B375-63325207071B}"/>
    <cellStyle name="Comma 4 3 2 7 6" xfId="14807" xr:uid="{57D7214C-BA97-4DA3-8C4A-03CE7EC73455}"/>
    <cellStyle name="Comma 4 3 2 7 6 2" xfId="51315" xr:uid="{041083EF-C8D2-4AF9-984B-E260C6F2DF12}"/>
    <cellStyle name="Comma 4 3 2 7 6 3" xfId="33061" xr:uid="{A19C089C-FD11-4266-98B0-6071760ACA74}"/>
    <cellStyle name="Comma 4 3 2 7 7" xfId="11157" xr:uid="{87E5B836-05C4-421D-9A98-6E04B321727C}"/>
    <cellStyle name="Comma 4 3 2 7 7 2" xfId="47665" xr:uid="{57EE2570-BB22-416C-8F2A-F781BFBC98EF}"/>
    <cellStyle name="Comma 4 3 2 7 7 3" xfId="29411" xr:uid="{60E47AA4-EF95-4C8F-B214-1AAD60D9E2C9}"/>
    <cellStyle name="Comma 4 3 2 7 8" xfId="7507" xr:uid="{69334EAA-B7ED-4C39-9E38-591A4730A5EE}"/>
    <cellStyle name="Comma 4 3 2 7 8 2" xfId="44015" xr:uid="{20F0E8B0-1ECB-4D1A-AB82-0279BA611071}"/>
    <cellStyle name="Comma 4 3 2 7 8 3" xfId="25761" xr:uid="{724293B0-CA17-446F-86D1-6B4E92982814}"/>
    <cellStyle name="Comma 4 3 2 7 9" xfId="3857" xr:uid="{0A3CB8E6-0EC3-466E-934D-07994A870394}"/>
    <cellStyle name="Comma 4 3 2 7 9 2" xfId="40365" xr:uid="{3721789D-DCCE-482D-ADB9-8721908A0FDB}"/>
    <cellStyle name="Comma 4 3 2 7 9 3" xfId="22111" xr:uid="{619D3ED7-EC10-48A2-AA82-CAF285E1EC3C}"/>
    <cellStyle name="Comma 4 3 2 8" xfId="3023" xr:uid="{1DC5A8EC-6D80-4103-BC37-8DBB7CEEDDFB}"/>
    <cellStyle name="Comma 4 3 2 8 2" xfId="17623" xr:uid="{FA161AB0-96E3-49E2-9932-EE7A0606C11F}"/>
    <cellStyle name="Comma 4 3 2 8 2 2" xfId="54131" xr:uid="{070AC6B0-624D-4F39-9B23-9BCAF0BE7971}"/>
    <cellStyle name="Comma 4 3 2 8 2 3" xfId="35877" xr:uid="{DDEA78A8-921A-4C9E-A49C-6122C3E1FD2E}"/>
    <cellStyle name="Comma 4 3 2 8 3" xfId="13973" xr:uid="{F2BEE5FB-9C30-4F0A-B9EE-2632182FF9E4}"/>
    <cellStyle name="Comma 4 3 2 8 3 2" xfId="50481" xr:uid="{C98510D7-99DC-4B38-AA7C-0A6AB79E9CAC}"/>
    <cellStyle name="Comma 4 3 2 8 3 3" xfId="32227" xr:uid="{5AF9F26C-DA6A-4A1F-8B0B-0301DFCDD27A}"/>
    <cellStyle name="Comma 4 3 2 8 4" xfId="10323" xr:uid="{863C2F8C-CF6D-405B-AE56-0A6727293317}"/>
    <cellStyle name="Comma 4 3 2 8 4 2" xfId="46831" xr:uid="{08DD3647-9EB5-4050-A6AE-8298DFDDD2C8}"/>
    <cellStyle name="Comma 4 3 2 8 4 3" xfId="28577" xr:uid="{4DC96F9F-1243-47D4-92B1-1A11A5D05ED0}"/>
    <cellStyle name="Comma 4 3 2 8 5" xfId="6673" xr:uid="{4D7FE493-6A35-4314-AA87-4DE580638056}"/>
    <cellStyle name="Comma 4 3 2 8 5 2" xfId="43181" xr:uid="{5B33C912-ADD7-426C-B491-77DA8943A904}"/>
    <cellStyle name="Comma 4 3 2 8 5 3" xfId="24927" xr:uid="{05B13F82-DB0B-49D8-B340-A31158B25A46}"/>
    <cellStyle name="Comma 4 3 2 8 6" xfId="39531" xr:uid="{D40B3705-EF99-47DE-BD09-09B56FCB17C2}"/>
    <cellStyle name="Comma 4 3 2 8 7" xfId="21277" xr:uid="{0CA0467C-50BA-444A-937A-C7438D386E07}"/>
    <cellStyle name="Comma 4 3 2 9" xfId="2293" xr:uid="{45DA87ED-53AA-4B21-A2D8-230DBBCEDD8A}"/>
    <cellStyle name="Comma 4 3 2 9 2" xfId="16893" xr:uid="{19A51E6F-BB82-4511-A468-8A76E77A6EC2}"/>
    <cellStyle name="Comma 4 3 2 9 2 2" xfId="53401" xr:uid="{E4020D38-00D4-47FF-BD20-FCEE243A8771}"/>
    <cellStyle name="Comma 4 3 2 9 2 3" xfId="35147" xr:uid="{16F92B0D-7F46-4D89-9D3D-EFF223FAD8AD}"/>
    <cellStyle name="Comma 4 3 2 9 3" xfId="13243" xr:uid="{FB7EB1C2-7C9A-4C00-B312-52CB906CC2A8}"/>
    <cellStyle name="Comma 4 3 2 9 3 2" xfId="49751" xr:uid="{0312CAD8-C6F5-4D66-8A73-A70F276954BD}"/>
    <cellStyle name="Comma 4 3 2 9 3 3" xfId="31497" xr:uid="{DA8BFA75-1A91-4C78-8A6F-996752B7DB80}"/>
    <cellStyle name="Comma 4 3 2 9 4" xfId="9593" xr:uid="{354391C8-9C23-4F63-9E9A-8FD5A10DED86}"/>
    <cellStyle name="Comma 4 3 2 9 4 2" xfId="46101" xr:uid="{45E14B86-93DF-4B16-BAD5-4DFA097F269C}"/>
    <cellStyle name="Comma 4 3 2 9 4 3" xfId="27847" xr:uid="{FB0239AD-4E17-4277-A646-087AFF441917}"/>
    <cellStyle name="Comma 4 3 2 9 5" xfId="5943" xr:uid="{42576CE7-6899-4534-AD9A-50107484590F}"/>
    <cellStyle name="Comma 4 3 2 9 5 2" xfId="42451" xr:uid="{B761A555-1C14-4B69-8FBC-D04DD735716A}"/>
    <cellStyle name="Comma 4 3 2 9 5 3" xfId="24197" xr:uid="{6137CCB0-F336-4635-8516-E694E8C86D53}"/>
    <cellStyle name="Comma 4 3 2 9 6" xfId="38801" xr:uid="{600F4A18-4AFC-430D-A54B-CB06AB140260}"/>
    <cellStyle name="Comma 4 3 2 9 7" xfId="20547" xr:uid="{E8FA6360-3F2C-40D7-BBFE-AB2F040A7961}"/>
    <cellStyle name="Comma 4 3 3" xfId="68" xr:uid="{CA46D2FA-6973-42C0-851B-C75C78BA1B74}"/>
    <cellStyle name="Comma 4 3 3 10" xfId="1531" xr:uid="{3AD1E4CB-351D-45B1-8351-B5C48B77369F}"/>
    <cellStyle name="Comma 4 3 3 10 2" xfId="16131" xr:uid="{E62EBE26-FEFD-4DA0-AFAF-77362BDB33BB}"/>
    <cellStyle name="Comma 4 3 3 10 2 2" xfId="52639" xr:uid="{8125D7FE-E39D-4D62-9551-4C2BCEF84052}"/>
    <cellStyle name="Comma 4 3 3 10 2 3" xfId="34385" xr:uid="{107CAC89-6383-483C-8F49-9CAB98E2D389}"/>
    <cellStyle name="Comma 4 3 3 10 3" xfId="12481" xr:uid="{3A8FC025-45AD-4A27-A863-C2008F99C3CE}"/>
    <cellStyle name="Comma 4 3 3 10 3 2" xfId="48989" xr:uid="{5410FA33-12FB-4AF4-B696-F25F413341AA}"/>
    <cellStyle name="Comma 4 3 3 10 3 3" xfId="30735" xr:uid="{1FCC8831-92C3-4F4A-86D5-2E98B1CD0E7C}"/>
    <cellStyle name="Comma 4 3 3 10 4" xfId="8831" xr:uid="{66C609D3-24AC-42F7-9F8E-039A5E729E48}"/>
    <cellStyle name="Comma 4 3 3 10 4 2" xfId="45339" xr:uid="{D3913871-EE3C-438B-9DF6-A43F9759FFD6}"/>
    <cellStyle name="Comma 4 3 3 10 4 3" xfId="27085" xr:uid="{531CBFAF-8CA9-48A8-9C69-649C74BF9284}"/>
    <cellStyle name="Comma 4 3 3 10 5" xfId="5181" xr:uid="{46DE0BA0-8217-4F1D-8A56-56D7A0ECA355}"/>
    <cellStyle name="Comma 4 3 3 10 5 2" xfId="41689" xr:uid="{007B3B5E-A4D0-41B5-BF85-CBE0B8573DDC}"/>
    <cellStyle name="Comma 4 3 3 10 5 3" xfId="23435" xr:uid="{576A4D6D-B594-4C18-BB4B-4A06EA1646D4}"/>
    <cellStyle name="Comma 4 3 3 10 6" xfId="38039" xr:uid="{7057A664-C5ED-4AC5-969B-4F31AD73E46A}"/>
    <cellStyle name="Comma 4 3 3 10 7" xfId="19785" xr:uid="{26E70952-64EB-478F-812C-0E91FD3A4CAD}"/>
    <cellStyle name="Comma 4 3 3 11" xfId="801" xr:uid="{86F5AA42-FCCB-447D-8299-ABCB5C5CC0BF}"/>
    <cellStyle name="Comma 4 3 3 11 2" xfId="15401" xr:uid="{1180A352-F83C-459F-89E0-6ADBF83F72B6}"/>
    <cellStyle name="Comma 4 3 3 11 2 2" xfId="51909" xr:uid="{C654DC4F-5106-4937-8815-AC5AE7F8A202}"/>
    <cellStyle name="Comma 4 3 3 11 2 3" xfId="33655" xr:uid="{C3AE1E78-2F32-472A-873F-60B7A9EFCAB2}"/>
    <cellStyle name="Comma 4 3 3 11 3" xfId="11751" xr:uid="{3A318919-2ABE-4919-9572-74D0D9554695}"/>
    <cellStyle name="Comma 4 3 3 11 3 2" xfId="48259" xr:uid="{8EC820F3-3A8E-4CFB-8499-58CCD9C0CEE7}"/>
    <cellStyle name="Comma 4 3 3 11 3 3" xfId="30005" xr:uid="{D3F35446-5E41-450D-BB63-5DE9A1F32974}"/>
    <cellStyle name="Comma 4 3 3 11 4" xfId="8101" xr:uid="{8C93BB69-65D9-45DD-86A1-91630C516EC3}"/>
    <cellStyle name="Comma 4 3 3 11 4 2" xfId="44609" xr:uid="{A46408C0-17BC-4C84-8995-E26A71F43CFA}"/>
    <cellStyle name="Comma 4 3 3 11 4 3" xfId="26355" xr:uid="{8DEAA8EC-16C2-4901-B12A-E2EEE8CF003F}"/>
    <cellStyle name="Comma 4 3 3 11 5" xfId="4451" xr:uid="{2F81E7BE-F8C6-4645-A79A-4CA0908620BD}"/>
    <cellStyle name="Comma 4 3 3 11 5 2" xfId="40959" xr:uid="{9D1CF310-D91E-4CF1-AE56-B33E6B09256B}"/>
    <cellStyle name="Comma 4 3 3 11 5 3" xfId="22705" xr:uid="{DA7AB4AB-7492-4420-B0C6-4FD5EECD2FF6}"/>
    <cellStyle name="Comma 4 3 3 11 6" xfId="37309" xr:uid="{F9298A45-D2ED-4801-AF63-704CB2931B2F}"/>
    <cellStyle name="Comma 4 3 3 11 7" xfId="19055" xr:uid="{E4D4510A-EAF8-4D51-839F-0CF3CE3BD4DF}"/>
    <cellStyle name="Comma 4 3 3 12" xfId="14671" xr:uid="{709DDD72-7ADC-4A41-9E57-5DE351F40748}"/>
    <cellStyle name="Comma 4 3 3 12 2" xfId="51179" xr:uid="{E9586D53-F398-47EF-BF16-EC83185D4161}"/>
    <cellStyle name="Comma 4 3 3 12 3" xfId="32925" xr:uid="{4EB587F9-9172-4121-82A5-B25669C8BCC5}"/>
    <cellStyle name="Comma 4 3 3 13" xfId="11021" xr:uid="{4E226F87-753D-4A70-9651-79340923F010}"/>
    <cellStyle name="Comma 4 3 3 13 2" xfId="47529" xr:uid="{1137FE25-8CA7-437E-9F3B-D53F1430138C}"/>
    <cellStyle name="Comma 4 3 3 13 3" xfId="29275" xr:uid="{3EE5D53C-723E-4A37-ABA6-A4CB614D9239}"/>
    <cellStyle name="Comma 4 3 3 14" xfId="7371" xr:uid="{AACCE908-5FBB-4334-A804-2A8FAEF18543}"/>
    <cellStyle name="Comma 4 3 3 14 2" xfId="43879" xr:uid="{82FCE2F8-E5D1-4C6A-B4E2-7A03FDB84D6C}"/>
    <cellStyle name="Comma 4 3 3 14 3" xfId="25625" xr:uid="{05BDDFFC-039E-49D0-95B6-A570E99D7D55}"/>
    <cellStyle name="Comma 4 3 3 15" xfId="3721" xr:uid="{51FB234A-2A59-4BB3-A103-378541C55AA2}"/>
    <cellStyle name="Comma 4 3 3 15 2" xfId="40229" xr:uid="{CEF48843-4FC8-4C66-B46A-3939DA635F06}"/>
    <cellStyle name="Comma 4 3 3 15 3" xfId="21975" xr:uid="{FB42A878-BD9E-4276-B4C4-54D5E6664C04}"/>
    <cellStyle name="Comma 4 3 3 16" xfId="36579" xr:uid="{3F6A74FF-431D-4406-856F-9E3735802963}"/>
    <cellStyle name="Comma 4 3 3 17" xfId="18325" xr:uid="{256B3D12-88B9-44DC-9FF9-0B9715061F10}"/>
    <cellStyle name="Comma 4 3 3 2" xfId="695" xr:uid="{2913B7E7-3494-4219-84D5-BED57B7C761E}"/>
    <cellStyle name="Comma 4 3 3 2 10" xfId="37203" xr:uid="{72CD166C-31E1-4A94-A7E5-52A3B068FD99}"/>
    <cellStyle name="Comma 4 3 3 2 11" xfId="18949" xr:uid="{C9DF8BCA-0682-43BD-AF3F-68A2C7D2491F}"/>
    <cellStyle name="Comma 4 3 3 2 2" xfId="3615" xr:uid="{C9862E02-7458-4791-821D-588B0ADB45D6}"/>
    <cellStyle name="Comma 4 3 3 2 2 2" xfId="18215" xr:uid="{A1034468-30E5-4B10-ADCB-19893CCBEDA5}"/>
    <cellStyle name="Comma 4 3 3 2 2 2 2" xfId="54723" xr:uid="{56371B24-F19C-4BE5-8DF5-CED11E2FA9A8}"/>
    <cellStyle name="Comma 4 3 3 2 2 2 3" xfId="36469" xr:uid="{ABE0024A-B790-4533-A409-5109945FD0BD}"/>
    <cellStyle name="Comma 4 3 3 2 2 3" xfId="14565" xr:uid="{EC278F96-0685-469C-BD1D-D26536C93D18}"/>
    <cellStyle name="Comma 4 3 3 2 2 3 2" xfId="51073" xr:uid="{C6B8C09E-B6BA-4A37-A958-CA37FF90CB43}"/>
    <cellStyle name="Comma 4 3 3 2 2 3 3" xfId="32819" xr:uid="{5A6D98EA-4591-4119-8E18-9960144CDF80}"/>
    <cellStyle name="Comma 4 3 3 2 2 4" xfId="10915" xr:uid="{741E5D93-AB9B-41A7-8AE5-A25D6068F3AB}"/>
    <cellStyle name="Comma 4 3 3 2 2 4 2" xfId="47423" xr:uid="{97A1B7DF-296C-4C0D-AD91-E3A792A7041A}"/>
    <cellStyle name="Comma 4 3 3 2 2 4 3" xfId="29169" xr:uid="{4AA845DF-820D-48AF-8709-0E16AF6401CB}"/>
    <cellStyle name="Comma 4 3 3 2 2 5" xfId="7265" xr:uid="{30DD0594-85EF-45A2-AF72-DF09B3EE095F}"/>
    <cellStyle name="Comma 4 3 3 2 2 5 2" xfId="43773" xr:uid="{179C1735-92C7-435C-B614-BDAEE73580C8}"/>
    <cellStyle name="Comma 4 3 3 2 2 5 3" xfId="25519" xr:uid="{F37049EE-0DDC-4E70-A0E2-833CE4B17E00}"/>
    <cellStyle name="Comma 4 3 3 2 2 6" xfId="40123" xr:uid="{001B4DD8-4F98-413E-AEF8-496C7769889B}"/>
    <cellStyle name="Comma 4 3 3 2 2 7" xfId="21869" xr:uid="{F6B7E696-DAB9-4124-904C-911F9982C06E}"/>
    <cellStyle name="Comma 4 3 3 2 3" xfId="2885" xr:uid="{80548020-6BD6-4BE1-ADF1-6E679BBA40A8}"/>
    <cellStyle name="Comma 4 3 3 2 3 2" xfId="17485" xr:uid="{A0EE6F59-BD43-4A9B-8F04-3EC155029E58}"/>
    <cellStyle name="Comma 4 3 3 2 3 2 2" xfId="53993" xr:uid="{CD400FC8-A2BF-402F-923A-2BC87C49B3A3}"/>
    <cellStyle name="Comma 4 3 3 2 3 2 3" xfId="35739" xr:uid="{DF030362-C4FC-4D05-B9BC-020D31ED2D9E}"/>
    <cellStyle name="Comma 4 3 3 2 3 3" xfId="13835" xr:uid="{F0E9E5BE-58CE-4983-AD1D-2B1A1E14F9CB}"/>
    <cellStyle name="Comma 4 3 3 2 3 3 2" xfId="50343" xr:uid="{7AE938CD-475C-46B6-A10D-28D180EE0ECA}"/>
    <cellStyle name="Comma 4 3 3 2 3 3 3" xfId="32089" xr:uid="{D77677FB-04FE-4E7D-B2C9-43B1D54D6E9F}"/>
    <cellStyle name="Comma 4 3 3 2 3 4" xfId="10185" xr:uid="{C145DF7B-E4DD-4B79-8CAE-B9ABD95DB7CE}"/>
    <cellStyle name="Comma 4 3 3 2 3 4 2" xfId="46693" xr:uid="{646B91A1-03A2-4B79-B8D2-E411BAA98A41}"/>
    <cellStyle name="Comma 4 3 3 2 3 4 3" xfId="28439" xr:uid="{AE874A56-4A4A-4919-AB6F-7DA6AF7E1C25}"/>
    <cellStyle name="Comma 4 3 3 2 3 5" xfId="6535" xr:uid="{816C1F7B-415A-4770-8DC4-08B83A258B17}"/>
    <cellStyle name="Comma 4 3 3 2 3 5 2" xfId="43043" xr:uid="{A517625F-0532-4DFA-9E74-803C428F2A75}"/>
    <cellStyle name="Comma 4 3 3 2 3 5 3" xfId="24789" xr:uid="{0FF61E99-1174-4778-800A-A253281FAFF2}"/>
    <cellStyle name="Comma 4 3 3 2 3 6" xfId="39393" xr:uid="{50627DF6-465E-47AB-B787-860827F54989}"/>
    <cellStyle name="Comma 4 3 3 2 3 7" xfId="21139" xr:uid="{5AF20149-C4EB-4A69-BA64-CD0699C35B01}"/>
    <cellStyle name="Comma 4 3 3 2 4" xfId="2155" xr:uid="{70B59F58-666F-4346-9EB2-192E61EF6F45}"/>
    <cellStyle name="Comma 4 3 3 2 4 2" xfId="16755" xr:uid="{D5DA56F3-A1EC-4221-9DBC-E21B49F13EE6}"/>
    <cellStyle name="Comma 4 3 3 2 4 2 2" xfId="53263" xr:uid="{5B05E954-A602-4FF9-8B09-4F7CC80473C8}"/>
    <cellStyle name="Comma 4 3 3 2 4 2 3" xfId="35009" xr:uid="{5B6BD988-DE7B-494B-9FF6-D84CE744B9C9}"/>
    <cellStyle name="Comma 4 3 3 2 4 3" xfId="13105" xr:uid="{1E31F57E-F2F7-4956-A798-DA1A17230BB0}"/>
    <cellStyle name="Comma 4 3 3 2 4 3 2" xfId="49613" xr:uid="{0BCA4F41-B7BC-448D-9285-861D57ECF533}"/>
    <cellStyle name="Comma 4 3 3 2 4 3 3" xfId="31359" xr:uid="{86C13146-D041-40C9-BBDA-351448C62DF4}"/>
    <cellStyle name="Comma 4 3 3 2 4 4" xfId="9455" xr:uid="{063474AC-1DB3-4B64-B132-0545A7486F65}"/>
    <cellStyle name="Comma 4 3 3 2 4 4 2" xfId="45963" xr:uid="{0F2CF16A-A9F9-44FF-B646-7BD8E002776C}"/>
    <cellStyle name="Comma 4 3 3 2 4 4 3" xfId="27709" xr:uid="{F386E3DF-B229-48E6-B2EF-C762D1C389DB}"/>
    <cellStyle name="Comma 4 3 3 2 4 5" xfId="5805" xr:uid="{DDDA4827-570C-485E-801E-024E5F7F57D0}"/>
    <cellStyle name="Comma 4 3 3 2 4 5 2" xfId="42313" xr:uid="{28081768-E2EA-4E21-863F-8638CC6ABF5F}"/>
    <cellStyle name="Comma 4 3 3 2 4 5 3" xfId="24059" xr:uid="{C121511E-7EEE-4310-BE5C-AE1792BE651B}"/>
    <cellStyle name="Comma 4 3 3 2 4 6" xfId="38663" xr:uid="{071F45FD-7914-4565-BBFE-0C64E0054F86}"/>
    <cellStyle name="Comma 4 3 3 2 4 7" xfId="20409" xr:uid="{CD1446D7-CB96-4EE2-8512-6197B4CF171E}"/>
    <cellStyle name="Comma 4 3 3 2 5" xfId="1425" xr:uid="{9529A89D-4C2C-453C-A3F3-F6AC34D4157B}"/>
    <cellStyle name="Comma 4 3 3 2 5 2" xfId="16025" xr:uid="{10B9F26C-7730-4DD7-8FBE-FC0A62758269}"/>
    <cellStyle name="Comma 4 3 3 2 5 2 2" xfId="52533" xr:uid="{15073EA9-7627-4216-9815-EDF7D624C4C7}"/>
    <cellStyle name="Comma 4 3 3 2 5 2 3" xfId="34279" xr:uid="{36538024-4D52-4111-B6E3-1BB38442E5D4}"/>
    <cellStyle name="Comma 4 3 3 2 5 3" xfId="12375" xr:uid="{664B450E-F88C-490D-9FD4-7E29C6BBA42B}"/>
    <cellStyle name="Comma 4 3 3 2 5 3 2" xfId="48883" xr:uid="{64581A63-5EBC-4ACB-98D5-0F3AA374953B}"/>
    <cellStyle name="Comma 4 3 3 2 5 3 3" xfId="30629" xr:uid="{8E502094-1634-4CAB-BB12-2BACCA55B456}"/>
    <cellStyle name="Comma 4 3 3 2 5 4" xfId="8725" xr:uid="{AD4B4BB8-719E-450B-B44E-A7207F3540FF}"/>
    <cellStyle name="Comma 4 3 3 2 5 4 2" xfId="45233" xr:uid="{4F8CA14B-1C15-4297-B383-58B0933CC999}"/>
    <cellStyle name="Comma 4 3 3 2 5 4 3" xfId="26979" xr:uid="{D3EE6F31-3CBA-49E9-9B62-0D6D947BD722}"/>
    <cellStyle name="Comma 4 3 3 2 5 5" xfId="5075" xr:uid="{BA3D2F09-3292-4287-BBC7-739A888C110B}"/>
    <cellStyle name="Comma 4 3 3 2 5 5 2" xfId="41583" xr:uid="{43694213-3228-4044-9DD0-D5B55F1E1891}"/>
    <cellStyle name="Comma 4 3 3 2 5 5 3" xfId="23329" xr:uid="{AE2F8C7B-1E9A-437F-8578-D36250C2B849}"/>
    <cellStyle name="Comma 4 3 3 2 5 6" xfId="37933" xr:uid="{0DFB1144-6B84-46F8-9E65-94EC64D6D10B}"/>
    <cellStyle name="Comma 4 3 3 2 5 7" xfId="19679" xr:uid="{A342F765-503F-4DF7-9CA6-A1DEE55DCB7C}"/>
    <cellStyle name="Comma 4 3 3 2 6" xfId="15295" xr:uid="{C5A36443-968C-44DC-9ECB-325D21062D87}"/>
    <cellStyle name="Comma 4 3 3 2 6 2" xfId="51803" xr:uid="{57C524AF-9FA6-4D26-B9B1-CDC64A005F4D}"/>
    <cellStyle name="Comma 4 3 3 2 6 3" xfId="33549" xr:uid="{703E61A2-B87B-4E4F-B199-43C46B8FF6AB}"/>
    <cellStyle name="Comma 4 3 3 2 7" xfId="11645" xr:uid="{14FB47DB-F354-47D3-8DC6-3402BCB88D3F}"/>
    <cellStyle name="Comma 4 3 3 2 7 2" xfId="48153" xr:uid="{2CC23785-6566-4E78-A9F4-C573177BBDAB}"/>
    <cellStyle name="Comma 4 3 3 2 7 3" xfId="29899" xr:uid="{19D153F6-5AAA-4432-92B0-23A16B4862E3}"/>
    <cellStyle name="Comma 4 3 3 2 8" xfId="7995" xr:uid="{7A36366C-EEA4-4800-9324-DD77DF6BF686}"/>
    <cellStyle name="Comma 4 3 3 2 8 2" xfId="44503" xr:uid="{05E2327A-A24B-44DF-A48D-C5B33435D3C5}"/>
    <cellStyle name="Comma 4 3 3 2 8 3" xfId="26249" xr:uid="{444A8867-7B5E-405E-923F-6DD6033664A1}"/>
    <cellStyle name="Comma 4 3 3 2 9" xfId="4345" xr:uid="{ED7A88E1-3932-428B-B496-DE7F0CF1BFA6}"/>
    <cellStyle name="Comma 4 3 3 2 9 2" xfId="40853" xr:uid="{4394957C-CD1F-4D6E-B0E8-4C993D7736F9}"/>
    <cellStyle name="Comma 4 3 3 2 9 3" xfId="22599" xr:uid="{FA60EC02-06D4-4E72-98CF-043C10610B6E}"/>
    <cellStyle name="Comma 4 3 3 3" xfId="591" xr:uid="{516B9F7F-33C4-4467-AF78-F6EB626BC142}"/>
    <cellStyle name="Comma 4 3 3 3 10" xfId="37099" xr:uid="{07BCB70B-DC7E-42CF-8330-87E1D330118A}"/>
    <cellStyle name="Comma 4 3 3 3 11" xfId="18845" xr:uid="{875401B8-7AD3-4703-9392-53E6F04C5152}"/>
    <cellStyle name="Comma 4 3 3 3 2" xfId="3511" xr:uid="{0C91D832-112A-4FD9-9E0A-516A6C178D48}"/>
    <cellStyle name="Comma 4 3 3 3 2 2" xfId="18111" xr:uid="{5C9A6243-A254-43E9-B633-CDFF67ADEF16}"/>
    <cellStyle name="Comma 4 3 3 3 2 2 2" xfId="54619" xr:uid="{F3E4F4CF-2B16-464D-B8E4-C6B5C08C2E99}"/>
    <cellStyle name="Comma 4 3 3 3 2 2 3" xfId="36365" xr:uid="{47DBD9C0-CB02-4BA0-A15A-F77BD46B08FE}"/>
    <cellStyle name="Comma 4 3 3 3 2 3" xfId="14461" xr:uid="{1256EBA8-F922-4174-A5E4-B15DB4380E8E}"/>
    <cellStyle name="Comma 4 3 3 3 2 3 2" xfId="50969" xr:uid="{16B125D3-E646-43E6-A1D6-11EE6EF67D49}"/>
    <cellStyle name="Comma 4 3 3 3 2 3 3" xfId="32715" xr:uid="{E45D239C-385A-4470-BB62-E9420AB8AEDB}"/>
    <cellStyle name="Comma 4 3 3 3 2 4" xfId="10811" xr:uid="{3682EBFB-04B4-43EA-A50D-799CE91D534B}"/>
    <cellStyle name="Comma 4 3 3 3 2 4 2" xfId="47319" xr:uid="{22D37A84-570A-4C5B-BB2B-3E8C89124803}"/>
    <cellStyle name="Comma 4 3 3 3 2 4 3" xfId="29065" xr:uid="{4D5D6112-E402-418D-A11E-BB4DAFD56EFD}"/>
    <cellStyle name="Comma 4 3 3 3 2 5" xfId="7161" xr:uid="{466567E0-2E4E-43A4-B16C-F217EFF79B7B}"/>
    <cellStyle name="Comma 4 3 3 3 2 5 2" xfId="43669" xr:uid="{92008E67-01EA-4D53-ADAF-62F8AB77E5C8}"/>
    <cellStyle name="Comma 4 3 3 3 2 5 3" xfId="25415" xr:uid="{A5A07789-9C35-4C16-B53D-9C0DB221DE37}"/>
    <cellStyle name="Comma 4 3 3 3 2 6" xfId="40019" xr:uid="{CD09C69C-4325-487A-AA17-56B22492110A}"/>
    <cellStyle name="Comma 4 3 3 3 2 7" xfId="21765" xr:uid="{12BDDA82-8AA1-46C9-8EEB-EC2DE9A7B7B9}"/>
    <cellStyle name="Comma 4 3 3 3 3" xfId="2781" xr:uid="{3CFAEE1D-2AB9-459A-8D5B-68BFF6BCDD2D}"/>
    <cellStyle name="Comma 4 3 3 3 3 2" xfId="17381" xr:uid="{937FC0BC-465F-4DAA-8711-49818D5EC644}"/>
    <cellStyle name="Comma 4 3 3 3 3 2 2" xfId="53889" xr:uid="{6A8B4AB0-EE00-43DB-8EDD-67D43211A48D}"/>
    <cellStyle name="Comma 4 3 3 3 3 2 3" xfId="35635" xr:uid="{A287BE2E-DF63-47BA-925A-16139A6945A1}"/>
    <cellStyle name="Comma 4 3 3 3 3 3" xfId="13731" xr:uid="{C4A97333-0CB4-43DC-84C3-A9138D806666}"/>
    <cellStyle name="Comma 4 3 3 3 3 3 2" xfId="50239" xr:uid="{0BC24CCE-49A7-4C50-86DC-6B637CCE6EA0}"/>
    <cellStyle name="Comma 4 3 3 3 3 3 3" xfId="31985" xr:uid="{D6696C06-5F12-4F03-AED3-0D82C7BAE696}"/>
    <cellStyle name="Comma 4 3 3 3 3 4" xfId="10081" xr:uid="{16385CEB-5239-48E0-AB89-527923E1C975}"/>
    <cellStyle name="Comma 4 3 3 3 3 4 2" xfId="46589" xr:uid="{E81DD8B9-6CEF-493B-950F-7E500D8291AD}"/>
    <cellStyle name="Comma 4 3 3 3 3 4 3" xfId="28335" xr:uid="{17CB029B-D902-4193-9D4E-B2DCF60DB24E}"/>
    <cellStyle name="Comma 4 3 3 3 3 5" xfId="6431" xr:uid="{1AB813B4-CCBD-4465-97E9-822A61AE0C0D}"/>
    <cellStyle name="Comma 4 3 3 3 3 5 2" xfId="42939" xr:uid="{A4B401D2-D7C0-450F-A359-C87309F460AD}"/>
    <cellStyle name="Comma 4 3 3 3 3 5 3" xfId="24685" xr:uid="{AEC3E8C4-DE62-4B88-9328-97F3AEF99F4C}"/>
    <cellStyle name="Comma 4 3 3 3 3 6" xfId="39289" xr:uid="{9EDC8282-104B-443E-9C04-BBA1228E3D18}"/>
    <cellStyle name="Comma 4 3 3 3 3 7" xfId="21035" xr:uid="{8045B1A0-9E3F-40EF-87AC-D38661237F9C}"/>
    <cellStyle name="Comma 4 3 3 3 4" xfId="2051" xr:uid="{AEE6AE35-E849-4D60-9C36-ABC15AF9DA2A}"/>
    <cellStyle name="Comma 4 3 3 3 4 2" xfId="16651" xr:uid="{132D1BD0-0422-465C-827B-540316B1F9DB}"/>
    <cellStyle name="Comma 4 3 3 3 4 2 2" xfId="53159" xr:uid="{B3F64CC9-A02C-4760-9D84-A5479F36BC9A}"/>
    <cellStyle name="Comma 4 3 3 3 4 2 3" xfId="34905" xr:uid="{A00594B6-06BE-4702-A1E7-C9ACDD440120}"/>
    <cellStyle name="Comma 4 3 3 3 4 3" xfId="13001" xr:uid="{0EB0294A-C113-46F0-833E-D3BAFE948950}"/>
    <cellStyle name="Comma 4 3 3 3 4 3 2" xfId="49509" xr:uid="{F8E99BC0-DEFB-4D23-A867-946F604050F1}"/>
    <cellStyle name="Comma 4 3 3 3 4 3 3" xfId="31255" xr:uid="{638A6AE4-0588-4EA2-A1A4-AC840B7DCFE1}"/>
    <cellStyle name="Comma 4 3 3 3 4 4" xfId="9351" xr:uid="{8734D110-B12C-43D9-9450-CBE17E562C99}"/>
    <cellStyle name="Comma 4 3 3 3 4 4 2" xfId="45859" xr:uid="{A5AE5A81-0D9E-4D62-A8C9-D74FD9212FDD}"/>
    <cellStyle name="Comma 4 3 3 3 4 4 3" xfId="27605" xr:uid="{8A264849-1849-458B-8886-2DD055EBDEFE}"/>
    <cellStyle name="Comma 4 3 3 3 4 5" xfId="5701" xr:uid="{2F55EF9F-EBEF-46F0-9340-E9CA260B7472}"/>
    <cellStyle name="Comma 4 3 3 3 4 5 2" xfId="42209" xr:uid="{94895420-97B5-4186-87EF-9B24508B5AC0}"/>
    <cellStyle name="Comma 4 3 3 3 4 5 3" xfId="23955" xr:uid="{6A6938D9-2638-4AC8-9DCD-3FB998987F10}"/>
    <cellStyle name="Comma 4 3 3 3 4 6" xfId="38559" xr:uid="{EC863EBF-6729-478F-A6AD-91EEB1D0712E}"/>
    <cellStyle name="Comma 4 3 3 3 4 7" xfId="20305" xr:uid="{EF1A9006-B990-42CF-9C37-885604351837}"/>
    <cellStyle name="Comma 4 3 3 3 5" xfId="1321" xr:uid="{5432B838-308A-4A58-93BD-07FAF340B44D}"/>
    <cellStyle name="Comma 4 3 3 3 5 2" xfId="15921" xr:uid="{2AB3C11F-02DD-4DCA-B1AC-65F7096BFBF8}"/>
    <cellStyle name="Comma 4 3 3 3 5 2 2" xfId="52429" xr:uid="{F634FCA8-03A9-4F10-A521-67A2DC947AD6}"/>
    <cellStyle name="Comma 4 3 3 3 5 2 3" xfId="34175" xr:uid="{A91414AD-2D5C-410C-912E-38371B0C586F}"/>
    <cellStyle name="Comma 4 3 3 3 5 3" xfId="12271" xr:uid="{555F0F4C-B8EB-4AEF-ABF5-5AD59849BC4B}"/>
    <cellStyle name="Comma 4 3 3 3 5 3 2" xfId="48779" xr:uid="{9DC156CC-D715-4BB2-9491-2EAA763E220A}"/>
    <cellStyle name="Comma 4 3 3 3 5 3 3" xfId="30525" xr:uid="{DBC57342-4CEE-42B9-9958-0FBD7B573C14}"/>
    <cellStyle name="Comma 4 3 3 3 5 4" xfId="8621" xr:uid="{476B003B-CB87-487D-9120-2D99960F8D98}"/>
    <cellStyle name="Comma 4 3 3 3 5 4 2" xfId="45129" xr:uid="{D909FF3D-CAED-4379-ABDC-A87974B735C6}"/>
    <cellStyle name="Comma 4 3 3 3 5 4 3" xfId="26875" xr:uid="{97EFD524-E4FB-44DB-A55E-1034278C646C}"/>
    <cellStyle name="Comma 4 3 3 3 5 5" xfId="4971" xr:uid="{A3876268-2D71-4BFD-A1B0-68B04B2D1115}"/>
    <cellStyle name="Comma 4 3 3 3 5 5 2" xfId="41479" xr:uid="{F3312D8D-430B-4C57-8C9B-B8FF3BEC40A1}"/>
    <cellStyle name="Comma 4 3 3 3 5 5 3" xfId="23225" xr:uid="{2A0A839E-7FF6-47E6-91B1-E24DC4A58808}"/>
    <cellStyle name="Comma 4 3 3 3 5 6" xfId="37829" xr:uid="{65C36500-B26D-436F-9C12-C41580554147}"/>
    <cellStyle name="Comma 4 3 3 3 5 7" xfId="19575" xr:uid="{BE80CE4A-B165-493D-A545-E1DFCC76045B}"/>
    <cellStyle name="Comma 4 3 3 3 6" xfId="15191" xr:uid="{D461999B-6F8F-4CE4-8427-697DE3915942}"/>
    <cellStyle name="Comma 4 3 3 3 6 2" xfId="51699" xr:uid="{AC52A269-C64D-4C15-A355-DAA4416B46F1}"/>
    <cellStyle name="Comma 4 3 3 3 6 3" xfId="33445" xr:uid="{60681ACA-21C0-499F-BAAA-7FEB44A81C04}"/>
    <cellStyle name="Comma 4 3 3 3 7" xfId="11541" xr:uid="{60F11ABA-7AB5-49FE-84DD-B580C4CD1233}"/>
    <cellStyle name="Comma 4 3 3 3 7 2" xfId="48049" xr:uid="{B3CBB172-0C27-428F-802A-C8E294E57878}"/>
    <cellStyle name="Comma 4 3 3 3 7 3" xfId="29795" xr:uid="{07790859-0AEE-43B7-889C-0FB661B2A0C2}"/>
    <cellStyle name="Comma 4 3 3 3 8" xfId="7891" xr:uid="{2B29531B-C719-4197-846B-3E19AF9D3B86}"/>
    <cellStyle name="Comma 4 3 3 3 8 2" xfId="44399" xr:uid="{F2AAFD14-64CE-4447-9094-928E677D87BE}"/>
    <cellStyle name="Comma 4 3 3 3 8 3" xfId="26145" xr:uid="{2B0AE307-D2D6-4B15-8731-BEE53216F885}"/>
    <cellStyle name="Comma 4 3 3 3 9" xfId="4241" xr:uid="{B104BE3E-7764-441B-959E-E9D30258467D}"/>
    <cellStyle name="Comma 4 3 3 3 9 2" xfId="40749" xr:uid="{9D7DD883-1EAD-45CC-BC9C-2D2A8CD6D77B}"/>
    <cellStyle name="Comma 4 3 3 3 9 3" xfId="22495" xr:uid="{56CA84A0-E3DD-4C71-AE91-714F98AFDF4C}"/>
    <cellStyle name="Comma 4 3 3 4" xfId="487" xr:uid="{2FA24383-A50F-42CC-89EF-483A8C9FA522}"/>
    <cellStyle name="Comma 4 3 3 4 10" xfId="36995" xr:uid="{66D3FA17-042D-45CC-B808-1BE2EFE8256C}"/>
    <cellStyle name="Comma 4 3 3 4 11" xfId="18741" xr:uid="{785D36F0-AE57-48E4-9227-7B9CC862176E}"/>
    <cellStyle name="Comma 4 3 3 4 2" xfId="3407" xr:uid="{A70F7523-FECC-4578-B3BC-37683139B478}"/>
    <cellStyle name="Comma 4 3 3 4 2 2" xfId="18007" xr:uid="{C9864AAF-961D-4D4D-ABEC-7DF8DAB5348B}"/>
    <cellStyle name="Comma 4 3 3 4 2 2 2" xfId="54515" xr:uid="{07B3F2E6-CF34-4290-8E57-E21CCC0E38B5}"/>
    <cellStyle name="Comma 4 3 3 4 2 2 3" xfId="36261" xr:uid="{C4012A5D-EC76-448A-A80B-512358C54EE0}"/>
    <cellStyle name="Comma 4 3 3 4 2 3" xfId="14357" xr:uid="{409AD842-65EB-432C-9A67-8EC0149DD10C}"/>
    <cellStyle name="Comma 4 3 3 4 2 3 2" xfId="50865" xr:uid="{8E234460-D794-4442-8521-9FFEE4B0E237}"/>
    <cellStyle name="Comma 4 3 3 4 2 3 3" xfId="32611" xr:uid="{03ACE767-03D2-45A6-A2BC-935EF65B08EC}"/>
    <cellStyle name="Comma 4 3 3 4 2 4" xfId="10707" xr:uid="{F5E04FFD-475F-4DED-A4FB-4CD74C4E734D}"/>
    <cellStyle name="Comma 4 3 3 4 2 4 2" xfId="47215" xr:uid="{112BA18E-EFFF-40F0-AD83-09929CBEC144}"/>
    <cellStyle name="Comma 4 3 3 4 2 4 3" xfId="28961" xr:uid="{208A9924-F48B-4B4D-A116-6BBB53B2FBDF}"/>
    <cellStyle name="Comma 4 3 3 4 2 5" xfId="7057" xr:uid="{7B131197-DDD8-4E26-92D9-675E4DA986E1}"/>
    <cellStyle name="Comma 4 3 3 4 2 5 2" xfId="43565" xr:uid="{6EA8D913-5665-4136-B8E5-80EF1CAD7748}"/>
    <cellStyle name="Comma 4 3 3 4 2 5 3" xfId="25311" xr:uid="{98E95A76-1F8C-48A7-B993-D6741D0BD7D4}"/>
    <cellStyle name="Comma 4 3 3 4 2 6" xfId="39915" xr:uid="{391B32F5-6F8F-4B36-8899-D6E3F62DB4BF}"/>
    <cellStyle name="Comma 4 3 3 4 2 7" xfId="21661" xr:uid="{EE61004C-6873-4AF1-AB90-24A604387DF3}"/>
    <cellStyle name="Comma 4 3 3 4 3" xfId="2677" xr:uid="{A396B214-7A20-4CD1-BDDB-55B4060B2A5B}"/>
    <cellStyle name="Comma 4 3 3 4 3 2" xfId="17277" xr:uid="{3C7B5AF3-ED95-42D3-9B49-B640C4EA4146}"/>
    <cellStyle name="Comma 4 3 3 4 3 2 2" xfId="53785" xr:uid="{D65FB393-B28D-4904-AD99-8D38CD895C49}"/>
    <cellStyle name="Comma 4 3 3 4 3 2 3" xfId="35531" xr:uid="{351F4BFB-886D-4BB4-A326-33CD9C1BB2A4}"/>
    <cellStyle name="Comma 4 3 3 4 3 3" xfId="13627" xr:uid="{01B69775-5758-4170-BE20-0D2732214E77}"/>
    <cellStyle name="Comma 4 3 3 4 3 3 2" xfId="50135" xr:uid="{C7EDC57F-8214-4F5E-A605-F06146B4A2CB}"/>
    <cellStyle name="Comma 4 3 3 4 3 3 3" xfId="31881" xr:uid="{5098002A-F2C5-490D-9E3D-A917DB3213AB}"/>
    <cellStyle name="Comma 4 3 3 4 3 4" xfId="9977" xr:uid="{F6904AF1-6EB9-4911-B647-4F249A777617}"/>
    <cellStyle name="Comma 4 3 3 4 3 4 2" xfId="46485" xr:uid="{3F1179FF-C198-4868-AEA2-28C943CE334E}"/>
    <cellStyle name="Comma 4 3 3 4 3 4 3" xfId="28231" xr:uid="{1BADBE15-F309-4AEB-AA8D-CE8588E9E95A}"/>
    <cellStyle name="Comma 4 3 3 4 3 5" xfId="6327" xr:uid="{6B561E8B-100D-4B03-AB05-29E59AFA9AFF}"/>
    <cellStyle name="Comma 4 3 3 4 3 5 2" xfId="42835" xr:uid="{2B557597-05D7-4E54-B689-615943F8DACE}"/>
    <cellStyle name="Comma 4 3 3 4 3 5 3" xfId="24581" xr:uid="{A26B1CB9-F112-4E58-B9F5-3B12044DF5FC}"/>
    <cellStyle name="Comma 4 3 3 4 3 6" xfId="39185" xr:uid="{9E739518-C7E7-4C0F-BA07-DEA6F8F6D5CB}"/>
    <cellStyle name="Comma 4 3 3 4 3 7" xfId="20931" xr:uid="{75BF8317-5289-4987-BA1C-41D624CE3546}"/>
    <cellStyle name="Comma 4 3 3 4 4" xfId="1947" xr:uid="{E9FC66E7-6263-4CF3-AA16-F05DBC73526B}"/>
    <cellStyle name="Comma 4 3 3 4 4 2" xfId="16547" xr:uid="{336DCF16-578F-4E93-ABF6-FE60FCD393C3}"/>
    <cellStyle name="Comma 4 3 3 4 4 2 2" xfId="53055" xr:uid="{7BEFB77A-10D6-4EC0-8E7E-A579C3B05CAE}"/>
    <cellStyle name="Comma 4 3 3 4 4 2 3" xfId="34801" xr:uid="{4B888C97-73F9-4904-8186-D5D2724ABF06}"/>
    <cellStyle name="Comma 4 3 3 4 4 3" xfId="12897" xr:uid="{7D6ECFE8-0115-4816-9D81-6F076D7DC692}"/>
    <cellStyle name="Comma 4 3 3 4 4 3 2" xfId="49405" xr:uid="{AE95028A-06FE-45BF-8158-10C9B703349F}"/>
    <cellStyle name="Comma 4 3 3 4 4 3 3" xfId="31151" xr:uid="{FECDE099-F15E-459B-ADDF-E23E9BB42CF2}"/>
    <cellStyle name="Comma 4 3 3 4 4 4" xfId="9247" xr:uid="{FE828E82-8794-47C3-95BC-427F787E9067}"/>
    <cellStyle name="Comma 4 3 3 4 4 4 2" xfId="45755" xr:uid="{7EDBCCD2-66DD-4AEB-B2C2-B0517717B7B7}"/>
    <cellStyle name="Comma 4 3 3 4 4 4 3" xfId="27501" xr:uid="{9679BBE6-B257-4776-851F-27ABE29BB3ED}"/>
    <cellStyle name="Comma 4 3 3 4 4 5" xfId="5597" xr:uid="{3CCFBC29-4BC5-482B-A37B-3AF60752E929}"/>
    <cellStyle name="Comma 4 3 3 4 4 5 2" xfId="42105" xr:uid="{181D47B3-022C-42E1-8CF3-7A66D2C82993}"/>
    <cellStyle name="Comma 4 3 3 4 4 5 3" xfId="23851" xr:uid="{755F6B70-71E5-4D0A-9DF9-234E9FC9474C}"/>
    <cellStyle name="Comma 4 3 3 4 4 6" xfId="38455" xr:uid="{09999DD6-F320-43FD-A158-CAB850536F8F}"/>
    <cellStyle name="Comma 4 3 3 4 4 7" xfId="20201" xr:uid="{6F8C8BC6-7882-40A6-AFAC-6B75B343725F}"/>
    <cellStyle name="Comma 4 3 3 4 5" xfId="1217" xr:uid="{64B31461-9639-4580-A0F4-2D87275C0019}"/>
    <cellStyle name="Comma 4 3 3 4 5 2" xfId="15817" xr:uid="{0355E710-2E28-4C80-9C5A-7BC3B60AE06A}"/>
    <cellStyle name="Comma 4 3 3 4 5 2 2" xfId="52325" xr:uid="{D7823421-9E38-4D86-A2C7-6DEA5F0AE984}"/>
    <cellStyle name="Comma 4 3 3 4 5 2 3" xfId="34071" xr:uid="{48783FE6-3159-4F86-9012-5AD3E234222B}"/>
    <cellStyle name="Comma 4 3 3 4 5 3" xfId="12167" xr:uid="{F67C9068-7C53-4E0E-8F2C-FA37971F2366}"/>
    <cellStyle name="Comma 4 3 3 4 5 3 2" xfId="48675" xr:uid="{56DC6A34-7982-4BAE-8D1D-2ED32291DEA9}"/>
    <cellStyle name="Comma 4 3 3 4 5 3 3" xfId="30421" xr:uid="{21F6380D-546A-4B6C-98F7-A40F33F76CC6}"/>
    <cellStyle name="Comma 4 3 3 4 5 4" xfId="8517" xr:uid="{7F400B4C-BBA8-4CD7-A04F-940C5355AE5E}"/>
    <cellStyle name="Comma 4 3 3 4 5 4 2" xfId="45025" xr:uid="{3FF1265D-3F8F-4470-9BAC-B10CB0DEF56A}"/>
    <cellStyle name="Comma 4 3 3 4 5 4 3" xfId="26771" xr:uid="{A65192A1-99E1-418C-A8B2-27EFBAF4EE35}"/>
    <cellStyle name="Comma 4 3 3 4 5 5" xfId="4867" xr:uid="{3EA5B0F7-D5C5-4862-AE1C-C5F7643CC68B}"/>
    <cellStyle name="Comma 4 3 3 4 5 5 2" xfId="41375" xr:uid="{29D0A21C-915C-4195-A613-19C5C9EDBAF6}"/>
    <cellStyle name="Comma 4 3 3 4 5 5 3" xfId="23121" xr:uid="{C2BED675-DC73-46B8-A94F-5456B1D4BBEA}"/>
    <cellStyle name="Comma 4 3 3 4 5 6" xfId="37725" xr:uid="{DBC5CB5F-734D-4DCA-AF50-F8439700F8A4}"/>
    <cellStyle name="Comma 4 3 3 4 5 7" xfId="19471" xr:uid="{5D3B74DF-0D59-4CC0-8F51-5D54F7EA2108}"/>
    <cellStyle name="Comma 4 3 3 4 6" xfId="15087" xr:uid="{B7F08361-772D-42E9-8666-DCEF7E3DDF4F}"/>
    <cellStyle name="Comma 4 3 3 4 6 2" xfId="51595" xr:uid="{2980D634-F29F-4D22-B7BB-A212C3D978A7}"/>
    <cellStyle name="Comma 4 3 3 4 6 3" xfId="33341" xr:uid="{B6FFC887-8076-4C5D-8509-97002DF3F150}"/>
    <cellStyle name="Comma 4 3 3 4 7" xfId="11437" xr:uid="{FE0F99DC-5EF1-4BA9-A80B-09846F678D87}"/>
    <cellStyle name="Comma 4 3 3 4 7 2" xfId="47945" xr:uid="{72DEC247-D095-4D77-BAFD-94F698B8047B}"/>
    <cellStyle name="Comma 4 3 3 4 7 3" xfId="29691" xr:uid="{9963B065-1F12-4E41-86C5-3920F14FB944}"/>
    <cellStyle name="Comma 4 3 3 4 8" xfId="7787" xr:uid="{8AFAFC08-C5C4-4B10-86B8-90F563115C98}"/>
    <cellStyle name="Comma 4 3 3 4 8 2" xfId="44295" xr:uid="{9A994E91-EFC2-4FB8-A74B-1EDF112151CA}"/>
    <cellStyle name="Comma 4 3 3 4 8 3" xfId="26041" xr:uid="{0CC2C7A4-E16E-4DB6-A449-DEAC0638BFE4}"/>
    <cellStyle name="Comma 4 3 3 4 9" xfId="4137" xr:uid="{7D859FA7-1BB5-434F-A1D5-534E3C4019EC}"/>
    <cellStyle name="Comma 4 3 3 4 9 2" xfId="40645" xr:uid="{4A1F866B-007D-4210-9C3C-C1C7C7E7580E}"/>
    <cellStyle name="Comma 4 3 3 4 9 3" xfId="22391" xr:uid="{9FFEE830-ADB6-48AF-9E87-9AAB432E474E}"/>
    <cellStyle name="Comma 4 3 3 5" xfId="383" xr:uid="{59967AAE-A41E-4DE4-B480-4B2C426AF86F}"/>
    <cellStyle name="Comma 4 3 3 5 10" xfId="36891" xr:uid="{421DEB38-5C52-4A19-BC41-D0370404CE82}"/>
    <cellStyle name="Comma 4 3 3 5 11" xfId="18637" xr:uid="{862BF558-FEEE-4F2C-9BCD-1214B3082870}"/>
    <cellStyle name="Comma 4 3 3 5 2" xfId="3303" xr:uid="{0C95F90E-F3E0-4BD5-8578-72521AE7738B}"/>
    <cellStyle name="Comma 4 3 3 5 2 2" xfId="17903" xr:uid="{98D66AE1-59C0-490B-84B2-6FFE501B4B6B}"/>
    <cellStyle name="Comma 4 3 3 5 2 2 2" xfId="54411" xr:uid="{5FB1381B-5EC5-4DF0-AAC7-7E32F98E866E}"/>
    <cellStyle name="Comma 4 3 3 5 2 2 3" xfId="36157" xr:uid="{EE54F7CF-A5AF-4A73-90DC-A3D03F8C4139}"/>
    <cellStyle name="Comma 4 3 3 5 2 3" xfId="14253" xr:uid="{C2D2E91A-D4F5-4F8B-9429-196DB4CD766F}"/>
    <cellStyle name="Comma 4 3 3 5 2 3 2" xfId="50761" xr:uid="{6339F484-BAAF-4D56-AEA1-2810EF1BD57E}"/>
    <cellStyle name="Comma 4 3 3 5 2 3 3" xfId="32507" xr:uid="{361478D6-BFFF-4591-BDCD-EE5D563A8DA3}"/>
    <cellStyle name="Comma 4 3 3 5 2 4" xfId="10603" xr:uid="{E737ED5E-41D1-430F-A79A-DA1F6E611E19}"/>
    <cellStyle name="Comma 4 3 3 5 2 4 2" xfId="47111" xr:uid="{BEF06ED0-0361-40C2-A19A-21C28249CD34}"/>
    <cellStyle name="Comma 4 3 3 5 2 4 3" xfId="28857" xr:uid="{8AE75E6C-4817-4246-A548-9C7C9D6BFD73}"/>
    <cellStyle name="Comma 4 3 3 5 2 5" xfId="6953" xr:uid="{C1335228-694F-4900-A374-3EB913677DDC}"/>
    <cellStyle name="Comma 4 3 3 5 2 5 2" xfId="43461" xr:uid="{48FF9FC2-A150-488B-8142-6A3A45FE0FAC}"/>
    <cellStyle name="Comma 4 3 3 5 2 5 3" xfId="25207" xr:uid="{17B58A5A-051C-4831-97B7-4A8B88106F0B}"/>
    <cellStyle name="Comma 4 3 3 5 2 6" xfId="39811" xr:uid="{48A669AE-DA0E-44D3-86DC-E51045725F97}"/>
    <cellStyle name="Comma 4 3 3 5 2 7" xfId="21557" xr:uid="{48814C8B-8785-41F3-B865-4180F3F9F05B}"/>
    <cellStyle name="Comma 4 3 3 5 3" xfId="2573" xr:uid="{373AA444-D214-42C5-80AD-6DE1DD5461C4}"/>
    <cellStyle name="Comma 4 3 3 5 3 2" xfId="17173" xr:uid="{EB00A3ED-E56D-4876-89A0-7A1A2CB1F639}"/>
    <cellStyle name="Comma 4 3 3 5 3 2 2" xfId="53681" xr:uid="{58624CD2-8BBB-4463-819A-A106652B4D0F}"/>
    <cellStyle name="Comma 4 3 3 5 3 2 3" xfId="35427" xr:uid="{8AE7D9D3-E92C-4077-AA54-958C7BBEA5E4}"/>
    <cellStyle name="Comma 4 3 3 5 3 3" xfId="13523" xr:uid="{8545305A-557F-49C1-A7F4-31CB2CAD12FE}"/>
    <cellStyle name="Comma 4 3 3 5 3 3 2" xfId="50031" xr:uid="{399A0EA8-5BE6-4937-A26D-D3D522935BD5}"/>
    <cellStyle name="Comma 4 3 3 5 3 3 3" xfId="31777" xr:uid="{9859CF62-E80A-4CED-9B31-9307E8A6DB5F}"/>
    <cellStyle name="Comma 4 3 3 5 3 4" xfId="9873" xr:uid="{9D13449A-48E1-4C8F-ADD6-FE336085220A}"/>
    <cellStyle name="Comma 4 3 3 5 3 4 2" xfId="46381" xr:uid="{93E1A228-0F84-47D2-918B-B110D905F553}"/>
    <cellStyle name="Comma 4 3 3 5 3 4 3" xfId="28127" xr:uid="{3634AB57-0950-49F1-8D8E-4D9363977177}"/>
    <cellStyle name="Comma 4 3 3 5 3 5" xfId="6223" xr:uid="{D4F2D36A-7D8B-4B75-AD5E-F035ED4E0AFC}"/>
    <cellStyle name="Comma 4 3 3 5 3 5 2" xfId="42731" xr:uid="{91F64D65-177D-40F8-99F7-8BC2238AF5EC}"/>
    <cellStyle name="Comma 4 3 3 5 3 5 3" xfId="24477" xr:uid="{7D6F0BCB-757D-4B8B-B375-4913F838294C}"/>
    <cellStyle name="Comma 4 3 3 5 3 6" xfId="39081" xr:uid="{11763EC4-7ADF-4D25-929F-F4FC3A72B5A9}"/>
    <cellStyle name="Comma 4 3 3 5 3 7" xfId="20827" xr:uid="{7AA5CAAF-6234-4AA0-A4D1-BFEE9D4BAC5A}"/>
    <cellStyle name="Comma 4 3 3 5 4" xfId="1843" xr:uid="{E83C7F4E-90AC-4B91-BDB6-6C5E4167D289}"/>
    <cellStyle name="Comma 4 3 3 5 4 2" xfId="16443" xr:uid="{6D4342DA-93E9-4F85-A95F-1B20511D881C}"/>
    <cellStyle name="Comma 4 3 3 5 4 2 2" xfId="52951" xr:uid="{A8AC2104-C365-4318-B959-3022D56777F8}"/>
    <cellStyle name="Comma 4 3 3 5 4 2 3" xfId="34697" xr:uid="{408FD5C9-B9F1-4FE6-8250-EA780BA6944B}"/>
    <cellStyle name="Comma 4 3 3 5 4 3" xfId="12793" xr:uid="{99B40B5C-ECB2-4AC8-8566-EAF6640F0476}"/>
    <cellStyle name="Comma 4 3 3 5 4 3 2" xfId="49301" xr:uid="{EAE3A331-3045-42F9-9595-D02592DAA465}"/>
    <cellStyle name="Comma 4 3 3 5 4 3 3" xfId="31047" xr:uid="{45D331EA-2F74-4FBB-ACF1-779EA43731C9}"/>
    <cellStyle name="Comma 4 3 3 5 4 4" xfId="9143" xr:uid="{CE33E738-1F9D-4EBA-A55A-1109B5B2F6D4}"/>
    <cellStyle name="Comma 4 3 3 5 4 4 2" xfId="45651" xr:uid="{393490A5-A366-4719-8E19-C62857C6157A}"/>
    <cellStyle name="Comma 4 3 3 5 4 4 3" xfId="27397" xr:uid="{88CC47CA-BC2D-47CD-BF62-65AE1DAE5E0D}"/>
    <cellStyle name="Comma 4 3 3 5 4 5" xfId="5493" xr:uid="{A68649E9-A128-48F6-94EA-7BF1B2BB254A}"/>
    <cellStyle name="Comma 4 3 3 5 4 5 2" xfId="42001" xr:uid="{707B3DB8-E288-413D-8054-36CDD2CC89A9}"/>
    <cellStyle name="Comma 4 3 3 5 4 5 3" xfId="23747" xr:uid="{04A1F6AD-731E-4C61-8A7E-1D7B1337121D}"/>
    <cellStyle name="Comma 4 3 3 5 4 6" xfId="38351" xr:uid="{730AB02C-B90E-47C6-AEBE-B6A5345CA22A}"/>
    <cellStyle name="Comma 4 3 3 5 4 7" xfId="20097" xr:uid="{1C2CC29E-48FE-41B8-A19A-4FE673B32044}"/>
    <cellStyle name="Comma 4 3 3 5 5" xfId="1113" xr:uid="{A9294FB4-4747-44D7-9D77-37399075F95E}"/>
    <cellStyle name="Comma 4 3 3 5 5 2" xfId="15713" xr:uid="{C0CA684F-FD67-4E8E-B41E-A09515F48C92}"/>
    <cellStyle name="Comma 4 3 3 5 5 2 2" xfId="52221" xr:uid="{409A1A57-0BA4-4EC2-A6EC-44BFA85A0750}"/>
    <cellStyle name="Comma 4 3 3 5 5 2 3" xfId="33967" xr:uid="{84C8D9B1-1B9D-419F-A2E6-A10B1375980F}"/>
    <cellStyle name="Comma 4 3 3 5 5 3" xfId="12063" xr:uid="{70A5A475-1B4F-4895-A527-2D724E38EC97}"/>
    <cellStyle name="Comma 4 3 3 5 5 3 2" xfId="48571" xr:uid="{AA800921-90BC-4662-A36A-2DB11364B24C}"/>
    <cellStyle name="Comma 4 3 3 5 5 3 3" xfId="30317" xr:uid="{E4FE7693-FE3B-4CD2-B749-2FCFA36AAD10}"/>
    <cellStyle name="Comma 4 3 3 5 5 4" xfId="8413" xr:uid="{2DFD450F-00A5-471A-A7F4-2CF65CC46BB0}"/>
    <cellStyle name="Comma 4 3 3 5 5 4 2" xfId="44921" xr:uid="{0E3F2664-EB52-44A7-ADAC-BEC2E52765E4}"/>
    <cellStyle name="Comma 4 3 3 5 5 4 3" xfId="26667" xr:uid="{6D98BCD3-CDB2-427B-B2B4-A38085F02597}"/>
    <cellStyle name="Comma 4 3 3 5 5 5" xfId="4763" xr:uid="{13C7743F-A5F4-4993-BF75-F669158EFF32}"/>
    <cellStyle name="Comma 4 3 3 5 5 5 2" xfId="41271" xr:uid="{77D66BB6-71C4-4C0E-BC7F-7D76D28873C3}"/>
    <cellStyle name="Comma 4 3 3 5 5 5 3" xfId="23017" xr:uid="{AE26829B-3D78-443D-9386-B7941730CA81}"/>
    <cellStyle name="Comma 4 3 3 5 5 6" xfId="37621" xr:uid="{86490847-3212-4A3A-B7B1-0F46E68D0EAE}"/>
    <cellStyle name="Comma 4 3 3 5 5 7" xfId="19367" xr:uid="{70720346-A09D-4DFB-814A-02831A7F9068}"/>
    <cellStyle name="Comma 4 3 3 5 6" xfId="14983" xr:uid="{75C64667-F6EA-426D-B2A3-CA3E5126C860}"/>
    <cellStyle name="Comma 4 3 3 5 6 2" xfId="51491" xr:uid="{55F3BC7B-5728-44ED-99C3-4921BA442FB5}"/>
    <cellStyle name="Comma 4 3 3 5 6 3" xfId="33237" xr:uid="{F7AD52D2-23AB-456B-9ED3-B4E1EFCEB294}"/>
    <cellStyle name="Comma 4 3 3 5 7" xfId="11333" xr:uid="{A3D9C89A-9E4C-4452-BE37-9BD4A38C6E7C}"/>
    <cellStyle name="Comma 4 3 3 5 7 2" xfId="47841" xr:uid="{6317BA58-031B-49DA-9412-35408C8CAD3B}"/>
    <cellStyle name="Comma 4 3 3 5 7 3" xfId="29587" xr:uid="{9F3E8772-91F3-469C-BBD0-833C98F5DF06}"/>
    <cellStyle name="Comma 4 3 3 5 8" xfId="7683" xr:uid="{909C8BBA-4F30-4B3E-A30B-3BFFD670B189}"/>
    <cellStyle name="Comma 4 3 3 5 8 2" xfId="44191" xr:uid="{E495B10B-049A-46A1-BB2C-3FFD5AD69A84}"/>
    <cellStyle name="Comma 4 3 3 5 8 3" xfId="25937" xr:uid="{A2794AAF-0E1D-4246-B036-C237C58E852D}"/>
    <cellStyle name="Comma 4 3 3 5 9" xfId="4033" xr:uid="{4E48227B-15BA-46AB-B9C7-1607ED9B9E94}"/>
    <cellStyle name="Comma 4 3 3 5 9 2" xfId="40541" xr:uid="{993C1CAF-A57C-463E-98F2-043CD59BC45B}"/>
    <cellStyle name="Comma 4 3 3 5 9 3" xfId="22287" xr:uid="{8EB680F4-6513-4887-94C4-9883B28410FD}"/>
    <cellStyle name="Comma 4 3 3 6" xfId="279" xr:uid="{A2DA8B2D-AFFF-47B3-A5E1-2AB7412E1C86}"/>
    <cellStyle name="Comma 4 3 3 6 10" xfId="36787" xr:uid="{AE127051-8265-43F0-BFB6-F71D05EB62D1}"/>
    <cellStyle name="Comma 4 3 3 6 11" xfId="18533" xr:uid="{C70A0C63-191C-4D68-8FAA-0657EAC14B11}"/>
    <cellStyle name="Comma 4 3 3 6 2" xfId="3199" xr:uid="{3D01434E-71E7-4603-B304-1218ABA1D70E}"/>
    <cellStyle name="Comma 4 3 3 6 2 2" xfId="17799" xr:uid="{6978672D-61B6-4D3E-9CDF-5B6CE4957CA7}"/>
    <cellStyle name="Comma 4 3 3 6 2 2 2" xfId="54307" xr:uid="{853AD92F-DD93-42EA-BAB4-885EA56AFB3F}"/>
    <cellStyle name="Comma 4 3 3 6 2 2 3" xfId="36053" xr:uid="{7369AE9B-68B9-4915-BF0D-69D0EDF48DC7}"/>
    <cellStyle name="Comma 4 3 3 6 2 3" xfId="14149" xr:uid="{98195774-454D-4855-B158-EE11A311D722}"/>
    <cellStyle name="Comma 4 3 3 6 2 3 2" xfId="50657" xr:uid="{81A15620-6F0E-4C2B-9FC0-9E74C42CC0D4}"/>
    <cellStyle name="Comma 4 3 3 6 2 3 3" xfId="32403" xr:uid="{00CC18C3-8FD3-4A9C-AA73-DD66D6BF445E}"/>
    <cellStyle name="Comma 4 3 3 6 2 4" xfId="10499" xr:uid="{69DA4A3E-0D8F-4555-A441-670F27527265}"/>
    <cellStyle name="Comma 4 3 3 6 2 4 2" xfId="47007" xr:uid="{ABF29B2E-0F5F-42E7-9F16-1F1016E31AA7}"/>
    <cellStyle name="Comma 4 3 3 6 2 4 3" xfId="28753" xr:uid="{F2A02130-C337-4480-A9E9-00A86DA69AA5}"/>
    <cellStyle name="Comma 4 3 3 6 2 5" xfId="6849" xr:uid="{F166412A-575F-4700-86A0-F41CBF2E20A7}"/>
    <cellStyle name="Comma 4 3 3 6 2 5 2" xfId="43357" xr:uid="{3E45431F-A7C5-43A4-B826-A30442B80D0C}"/>
    <cellStyle name="Comma 4 3 3 6 2 5 3" xfId="25103" xr:uid="{C51FCB41-7711-4EC9-A890-9C01D42694DE}"/>
    <cellStyle name="Comma 4 3 3 6 2 6" xfId="39707" xr:uid="{4CBFF3B0-E056-4EC0-9CE9-F8F6D7774516}"/>
    <cellStyle name="Comma 4 3 3 6 2 7" xfId="21453" xr:uid="{0E304702-E54B-4077-BE74-E8FDFE5F32E1}"/>
    <cellStyle name="Comma 4 3 3 6 3" xfId="2469" xr:uid="{3A6625FB-C4A5-4C00-AB00-6478D7B8FE06}"/>
    <cellStyle name="Comma 4 3 3 6 3 2" xfId="17069" xr:uid="{9DF2C2BE-ACE8-4E09-ADDF-49B8F32D815B}"/>
    <cellStyle name="Comma 4 3 3 6 3 2 2" xfId="53577" xr:uid="{2DFE9EEA-5296-436D-843B-6C13F1F710B7}"/>
    <cellStyle name="Comma 4 3 3 6 3 2 3" xfId="35323" xr:uid="{1BF2C1B2-0B8C-4325-BD1B-7645760B4A23}"/>
    <cellStyle name="Comma 4 3 3 6 3 3" xfId="13419" xr:uid="{A996A906-4250-49A4-93E7-9A1F3200FBD3}"/>
    <cellStyle name="Comma 4 3 3 6 3 3 2" xfId="49927" xr:uid="{ECFB99EB-C3FB-40AB-B2CF-7A113478458E}"/>
    <cellStyle name="Comma 4 3 3 6 3 3 3" xfId="31673" xr:uid="{9FB1A45E-1622-4C48-8A03-F76C8C9097C7}"/>
    <cellStyle name="Comma 4 3 3 6 3 4" xfId="9769" xr:uid="{1D667040-0C1E-4C31-8D2F-67BEDAC08435}"/>
    <cellStyle name="Comma 4 3 3 6 3 4 2" xfId="46277" xr:uid="{B4618B39-2AA4-4D40-BFAD-083EEBE7FB71}"/>
    <cellStyle name="Comma 4 3 3 6 3 4 3" xfId="28023" xr:uid="{071672DF-DCE6-4CA8-A535-06689782BF6E}"/>
    <cellStyle name="Comma 4 3 3 6 3 5" xfId="6119" xr:uid="{53F92B10-8041-4F41-BDC8-BF6A63046597}"/>
    <cellStyle name="Comma 4 3 3 6 3 5 2" xfId="42627" xr:uid="{0CB8533B-F0CF-495F-8689-F015A542B8FA}"/>
    <cellStyle name="Comma 4 3 3 6 3 5 3" xfId="24373" xr:uid="{C2C617FC-A09D-47FC-8343-089C83B42696}"/>
    <cellStyle name="Comma 4 3 3 6 3 6" xfId="38977" xr:uid="{282F951E-D49C-470C-99DA-A1ACB554F8EA}"/>
    <cellStyle name="Comma 4 3 3 6 3 7" xfId="20723" xr:uid="{767F553C-0327-4E83-9B88-1A733471B90E}"/>
    <cellStyle name="Comma 4 3 3 6 4" xfId="1739" xr:uid="{5E7BA53E-FF67-4D52-8660-448F71136C83}"/>
    <cellStyle name="Comma 4 3 3 6 4 2" xfId="16339" xr:uid="{BBE6C244-7212-47E3-B274-3A753E7A0027}"/>
    <cellStyle name="Comma 4 3 3 6 4 2 2" xfId="52847" xr:uid="{7754B51D-DF83-4545-89AC-4AE345339A53}"/>
    <cellStyle name="Comma 4 3 3 6 4 2 3" xfId="34593" xr:uid="{20EEC908-414A-4131-A6B2-5ECF90EF2D95}"/>
    <cellStyle name="Comma 4 3 3 6 4 3" xfId="12689" xr:uid="{828DEF73-14C1-41AA-AA0E-3DE0FD3D1C46}"/>
    <cellStyle name="Comma 4 3 3 6 4 3 2" xfId="49197" xr:uid="{87B64518-B969-4305-99C0-89ED299FAA3F}"/>
    <cellStyle name="Comma 4 3 3 6 4 3 3" xfId="30943" xr:uid="{34A4C007-569C-4E39-B212-F80659C455D7}"/>
    <cellStyle name="Comma 4 3 3 6 4 4" xfId="9039" xr:uid="{B90628C2-4FAF-40AD-A806-E5AFAEEDCCA9}"/>
    <cellStyle name="Comma 4 3 3 6 4 4 2" xfId="45547" xr:uid="{FF4A96EF-0AC3-498E-9144-3CA90F40152C}"/>
    <cellStyle name="Comma 4 3 3 6 4 4 3" xfId="27293" xr:uid="{81051C89-9F2B-424A-B2F8-006EDBDEF923}"/>
    <cellStyle name="Comma 4 3 3 6 4 5" xfId="5389" xr:uid="{8CCBF14F-F0B6-42B2-8DE3-1B0B63A6C234}"/>
    <cellStyle name="Comma 4 3 3 6 4 5 2" xfId="41897" xr:uid="{E14D9322-4B61-4572-8AC3-81540FD4B184}"/>
    <cellStyle name="Comma 4 3 3 6 4 5 3" xfId="23643" xr:uid="{29694A37-E064-4DD2-8282-AE413B5BDE45}"/>
    <cellStyle name="Comma 4 3 3 6 4 6" xfId="38247" xr:uid="{86084E93-3211-4900-B1F1-B7D6F9B19EBF}"/>
    <cellStyle name="Comma 4 3 3 6 4 7" xfId="19993" xr:uid="{B492D9AF-774D-4E8A-9E98-BF8F935275F4}"/>
    <cellStyle name="Comma 4 3 3 6 5" xfId="1009" xr:uid="{CF04A2AC-9969-44E6-8076-FE36FA812CF9}"/>
    <cellStyle name="Comma 4 3 3 6 5 2" xfId="15609" xr:uid="{95E475AE-8017-493F-A2E6-BB7B65FC36F3}"/>
    <cellStyle name="Comma 4 3 3 6 5 2 2" xfId="52117" xr:uid="{A334EEBD-B76E-4357-9123-46016C283900}"/>
    <cellStyle name="Comma 4 3 3 6 5 2 3" xfId="33863" xr:uid="{802425F3-3CC2-4201-AC7F-DDB89C16C837}"/>
    <cellStyle name="Comma 4 3 3 6 5 3" xfId="11959" xr:uid="{F12F0E98-F19A-47A7-952A-FA2710D0C5F0}"/>
    <cellStyle name="Comma 4 3 3 6 5 3 2" xfId="48467" xr:uid="{C50D7D88-3347-41E0-95EE-B3C531B71BF4}"/>
    <cellStyle name="Comma 4 3 3 6 5 3 3" xfId="30213" xr:uid="{18985165-1CB8-4677-AA12-027C3B97E3D0}"/>
    <cellStyle name="Comma 4 3 3 6 5 4" xfId="8309" xr:uid="{3CE5F0FC-1624-402D-BDF9-7C4086A61906}"/>
    <cellStyle name="Comma 4 3 3 6 5 4 2" xfId="44817" xr:uid="{BAEBDA50-5C4D-4156-AC41-0DE3004D5F45}"/>
    <cellStyle name="Comma 4 3 3 6 5 4 3" xfId="26563" xr:uid="{AC494EF1-F43E-496D-9780-F16275C51A59}"/>
    <cellStyle name="Comma 4 3 3 6 5 5" xfId="4659" xr:uid="{6CB0BBB5-FF69-4194-AD81-9349BA768BEB}"/>
    <cellStyle name="Comma 4 3 3 6 5 5 2" xfId="41167" xr:uid="{11AE8CE6-E53B-4B4B-936A-230EA8FBF053}"/>
    <cellStyle name="Comma 4 3 3 6 5 5 3" xfId="22913" xr:uid="{D287E14C-D646-44D7-B2EC-DCD7E1DB82C2}"/>
    <cellStyle name="Comma 4 3 3 6 5 6" xfId="37517" xr:uid="{085FA3BE-2015-4239-A6F5-6606866272CE}"/>
    <cellStyle name="Comma 4 3 3 6 5 7" xfId="19263" xr:uid="{8B0DB071-7BB6-4F15-B3B5-91155DDB6545}"/>
    <cellStyle name="Comma 4 3 3 6 6" xfId="14879" xr:uid="{B6F84BAB-4D32-421E-9732-09FAED81F7B7}"/>
    <cellStyle name="Comma 4 3 3 6 6 2" xfId="51387" xr:uid="{43524C61-72EB-45E9-A72E-AB49A9B4C75D}"/>
    <cellStyle name="Comma 4 3 3 6 6 3" xfId="33133" xr:uid="{DAB8AD89-C62B-485E-9B81-45A09FBFEA35}"/>
    <cellStyle name="Comma 4 3 3 6 7" xfId="11229" xr:uid="{63AE9B20-BA8A-48CF-9050-1B10CFBFE2B7}"/>
    <cellStyle name="Comma 4 3 3 6 7 2" xfId="47737" xr:uid="{67165B4A-7423-40BC-A104-1CB448D4B7CB}"/>
    <cellStyle name="Comma 4 3 3 6 7 3" xfId="29483" xr:uid="{8B0A7F34-4AB1-4FCE-853D-14B178E67663}"/>
    <cellStyle name="Comma 4 3 3 6 8" xfId="7579" xr:uid="{6AE67B9B-C40F-45B8-B5FE-B94CE2BE995F}"/>
    <cellStyle name="Comma 4 3 3 6 8 2" xfId="44087" xr:uid="{8D886E38-BEC6-4B70-A6DD-4C614052A62D}"/>
    <cellStyle name="Comma 4 3 3 6 8 3" xfId="25833" xr:uid="{2C661C7A-DDE4-48B6-8C5A-DE06C89EC64C}"/>
    <cellStyle name="Comma 4 3 3 6 9" xfId="3929" xr:uid="{39179549-C1DD-4FC5-A5B6-37DCFC119821}"/>
    <cellStyle name="Comma 4 3 3 6 9 2" xfId="40437" xr:uid="{F0321EE7-5589-442B-8E7F-555CCEB32C46}"/>
    <cellStyle name="Comma 4 3 3 6 9 3" xfId="22183" xr:uid="{0A4CC2C0-87F9-455A-8A1E-5DF8BB6CACA7}"/>
    <cellStyle name="Comma 4 3 3 7" xfId="175" xr:uid="{DFCF796B-5D69-4B65-96B4-675F564DC758}"/>
    <cellStyle name="Comma 4 3 3 7 10" xfId="36683" xr:uid="{17BE9D98-A17A-4CE1-977C-E6B07C1BED35}"/>
    <cellStyle name="Comma 4 3 3 7 11" xfId="18429" xr:uid="{FCAC1268-9087-4218-B8F9-92B9D631994D}"/>
    <cellStyle name="Comma 4 3 3 7 2" xfId="3095" xr:uid="{2E496DB0-65F4-4DC0-845C-25AF3F179223}"/>
    <cellStyle name="Comma 4 3 3 7 2 2" xfId="17695" xr:uid="{1E8D8466-6F13-42A6-AC2F-4571A8BB25F5}"/>
    <cellStyle name="Comma 4 3 3 7 2 2 2" xfId="54203" xr:uid="{62E847AF-712F-4C61-ABF0-5D8C6857E266}"/>
    <cellStyle name="Comma 4 3 3 7 2 2 3" xfId="35949" xr:uid="{20A7BA2C-19A2-4631-9224-111B0F872AB9}"/>
    <cellStyle name="Comma 4 3 3 7 2 3" xfId="14045" xr:uid="{1F8BAEEE-D35C-41F6-BE59-420055BC36E2}"/>
    <cellStyle name="Comma 4 3 3 7 2 3 2" xfId="50553" xr:uid="{5CA2692E-6634-46D8-A8CC-4DA2CB15DE49}"/>
    <cellStyle name="Comma 4 3 3 7 2 3 3" xfId="32299" xr:uid="{1C4A08DD-F011-4BFD-BD75-447C01C3D78D}"/>
    <cellStyle name="Comma 4 3 3 7 2 4" xfId="10395" xr:uid="{C933D14C-1971-412E-B38F-9B024F5FC108}"/>
    <cellStyle name="Comma 4 3 3 7 2 4 2" xfId="46903" xr:uid="{C02DEF95-72A9-4D6D-8F4C-3DFB594C877E}"/>
    <cellStyle name="Comma 4 3 3 7 2 4 3" xfId="28649" xr:uid="{5501DA62-5918-41F5-84DA-6560B4691A3A}"/>
    <cellStyle name="Comma 4 3 3 7 2 5" xfId="6745" xr:uid="{D5A28EDF-BEA8-4B3F-B861-9B71D9228753}"/>
    <cellStyle name="Comma 4 3 3 7 2 5 2" xfId="43253" xr:uid="{54283819-3BFA-4B45-B49B-50DF3B459198}"/>
    <cellStyle name="Comma 4 3 3 7 2 5 3" xfId="24999" xr:uid="{90F3CD69-5012-4933-AEA9-16CB3F26E6FE}"/>
    <cellStyle name="Comma 4 3 3 7 2 6" xfId="39603" xr:uid="{67C0C1C2-C2EB-475D-A066-4069F3C57AE1}"/>
    <cellStyle name="Comma 4 3 3 7 2 7" xfId="21349" xr:uid="{4823DF7B-FE99-4181-96DC-5041B756D52C}"/>
    <cellStyle name="Comma 4 3 3 7 3" xfId="2365" xr:uid="{7118CC4A-C317-4FD4-892A-90F15AF73189}"/>
    <cellStyle name="Comma 4 3 3 7 3 2" xfId="16965" xr:uid="{C2C81CA5-58A9-4690-92F3-298E11C1B7C9}"/>
    <cellStyle name="Comma 4 3 3 7 3 2 2" xfId="53473" xr:uid="{E503C834-EB8E-4803-BAAF-41B7341BB2F3}"/>
    <cellStyle name="Comma 4 3 3 7 3 2 3" xfId="35219" xr:uid="{CBED1BCB-1464-46F6-9B30-7A5A64C49402}"/>
    <cellStyle name="Comma 4 3 3 7 3 3" xfId="13315" xr:uid="{724F69BB-5631-480C-A2A1-64BA7BB3A99F}"/>
    <cellStyle name="Comma 4 3 3 7 3 3 2" xfId="49823" xr:uid="{3E684F8E-604F-4591-B6E6-7848588154EE}"/>
    <cellStyle name="Comma 4 3 3 7 3 3 3" xfId="31569" xr:uid="{9212CA1E-7C2B-4B12-B9EC-6FCE421B3F97}"/>
    <cellStyle name="Comma 4 3 3 7 3 4" xfId="9665" xr:uid="{47920417-1087-4F98-8B81-269FD305A7F6}"/>
    <cellStyle name="Comma 4 3 3 7 3 4 2" xfId="46173" xr:uid="{B3C2CD98-1CB8-4FA9-ABC3-0E2CF8D3F906}"/>
    <cellStyle name="Comma 4 3 3 7 3 4 3" xfId="27919" xr:uid="{283A5890-4E4C-4956-8E23-79D09F02E093}"/>
    <cellStyle name="Comma 4 3 3 7 3 5" xfId="6015" xr:uid="{C274E7C4-C108-4C6B-BD28-CA941F7C3886}"/>
    <cellStyle name="Comma 4 3 3 7 3 5 2" xfId="42523" xr:uid="{E5059758-F0B4-49DA-B46B-DC72D9AC2D4E}"/>
    <cellStyle name="Comma 4 3 3 7 3 5 3" xfId="24269" xr:uid="{1228D7D0-A33C-4971-8A03-23AB839B8EDE}"/>
    <cellStyle name="Comma 4 3 3 7 3 6" xfId="38873" xr:uid="{B8F88863-0101-4B03-AAA6-8194383DFD5A}"/>
    <cellStyle name="Comma 4 3 3 7 3 7" xfId="20619" xr:uid="{131D6DAA-D67D-4E30-A574-CD878EDCD47D}"/>
    <cellStyle name="Comma 4 3 3 7 4" xfId="1635" xr:uid="{5A8F6740-1DA4-4E28-9474-F66198F4EE8B}"/>
    <cellStyle name="Comma 4 3 3 7 4 2" xfId="16235" xr:uid="{2A4CC815-DD06-472B-ADBD-02E25455FEF6}"/>
    <cellStyle name="Comma 4 3 3 7 4 2 2" xfId="52743" xr:uid="{7199D56E-198C-4F8C-A48C-EDBA349BCA4E}"/>
    <cellStyle name="Comma 4 3 3 7 4 2 3" xfId="34489" xr:uid="{5CA7BCDE-C978-4707-A7A8-D3E9C553514E}"/>
    <cellStyle name="Comma 4 3 3 7 4 3" xfId="12585" xr:uid="{C1C6F001-4192-40E4-8FC2-6571BF2E3E80}"/>
    <cellStyle name="Comma 4 3 3 7 4 3 2" xfId="49093" xr:uid="{CF7948B9-063A-478C-8DA1-A7C00061DBE3}"/>
    <cellStyle name="Comma 4 3 3 7 4 3 3" xfId="30839" xr:uid="{FE9A750F-EE31-45A0-A7AF-5ACAC594F3F3}"/>
    <cellStyle name="Comma 4 3 3 7 4 4" xfId="8935" xr:uid="{33AD277E-4776-4A10-BE65-7C3A01ACF22B}"/>
    <cellStyle name="Comma 4 3 3 7 4 4 2" xfId="45443" xr:uid="{DF3C8D8B-0D56-4E82-A488-D2A7069DD6A7}"/>
    <cellStyle name="Comma 4 3 3 7 4 4 3" xfId="27189" xr:uid="{52DC0120-4B17-4E94-9D58-F4F0D1453CE8}"/>
    <cellStyle name="Comma 4 3 3 7 4 5" xfId="5285" xr:uid="{751866E5-8600-4F9B-82A1-F1300A518D98}"/>
    <cellStyle name="Comma 4 3 3 7 4 5 2" xfId="41793" xr:uid="{FD91D28A-D355-427D-9910-68896DF5BDF2}"/>
    <cellStyle name="Comma 4 3 3 7 4 5 3" xfId="23539" xr:uid="{7B0DB0ED-8CCA-4120-8D44-DD9006EDA435}"/>
    <cellStyle name="Comma 4 3 3 7 4 6" xfId="38143" xr:uid="{E3970B1F-842A-4C23-80BB-4B047D847117}"/>
    <cellStyle name="Comma 4 3 3 7 4 7" xfId="19889" xr:uid="{8E73490B-AC39-4AEC-ADC1-AD4993F6B633}"/>
    <cellStyle name="Comma 4 3 3 7 5" xfId="905" xr:uid="{07AFC261-C9FE-4E51-AF0E-8C9D7051AAAC}"/>
    <cellStyle name="Comma 4 3 3 7 5 2" xfId="15505" xr:uid="{3D28BC05-A0CB-421B-8ACD-35C1C48E521D}"/>
    <cellStyle name="Comma 4 3 3 7 5 2 2" xfId="52013" xr:uid="{5499949F-6730-4CB8-9114-3971698B4BCD}"/>
    <cellStyle name="Comma 4 3 3 7 5 2 3" xfId="33759" xr:uid="{631C70E7-7DDD-49BE-A533-E0E03CC50D0D}"/>
    <cellStyle name="Comma 4 3 3 7 5 3" xfId="11855" xr:uid="{5FB467DC-1B13-4137-B7F1-0F04FB29C000}"/>
    <cellStyle name="Comma 4 3 3 7 5 3 2" xfId="48363" xr:uid="{826F7117-7EE5-4EBD-8AC2-9CA1E020F963}"/>
    <cellStyle name="Comma 4 3 3 7 5 3 3" xfId="30109" xr:uid="{F527EC41-1FED-4005-A28F-09B6F236BAA1}"/>
    <cellStyle name="Comma 4 3 3 7 5 4" xfId="8205" xr:uid="{A2CAC531-C5D0-4432-BE3F-692D4226CDE6}"/>
    <cellStyle name="Comma 4 3 3 7 5 4 2" xfId="44713" xr:uid="{1D880C1A-990B-46B6-A750-D0FDCF76D1CA}"/>
    <cellStyle name="Comma 4 3 3 7 5 4 3" xfId="26459" xr:uid="{EB2F67B4-304D-4B7B-82A2-324EBDF62147}"/>
    <cellStyle name="Comma 4 3 3 7 5 5" xfId="4555" xr:uid="{DABEEC8E-6181-4D19-9CB1-727CAEC9648B}"/>
    <cellStyle name="Comma 4 3 3 7 5 5 2" xfId="41063" xr:uid="{1BA6CC70-C9A0-40CE-8A94-196C8B193043}"/>
    <cellStyle name="Comma 4 3 3 7 5 5 3" xfId="22809" xr:uid="{23B0640E-6878-4966-BE74-9A3460466ECD}"/>
    <cellStyle name="Comma 4 3 3 7 5 6" xfId="37413" xr:uid="{1FFE54F7-E90C-4753-A588-9A5AE46CA41C}"/>
    <cellStyle name="Comma 4 3 3 7 5 7" xfId="19159" xr:uid="{6D07AFD1-6104-49C5-A8B3-FC44642FB2AA}"/>
    <cellStyle name="Comma 4 3 3 7 6" xfId="14775" xr:uid="{CA6B25C8-6212-48EF-AE4C-A93FDA1B961F}"/>
    <cellStyle name="Comma 4 3 3 7 6 2" xfId="51283" xr:uid="{64EB657F-CEDC-43B9-9F39-D703A1C408D4}"/>
    <cellStyle name="Comma 4 3 3 7 6 3" xfId="33029" xr:uid="{A2584371-F32A-4046-9C3B-234CC05347F9}"/>
    <cellStyle name="Comma 4 3 3 7 7" xfId="11125" xr:uid="{6E19D904-BB49-4930-8691-D60C6CAAA7B6}"/>
    <cellStyle name="Comma 4 3 3 7 7 2" xfId="47633" xr:uid="{2996C31C-5705-4747-8002-D6C8ACEF3FCF}"/>
    <cellStyle name="Comma 4 3 3 7 7 3" xfId="29379" xr:uid="{AD4A5F3E-6D9C-47B5-B5A5-A8A5F81A829C}"/>
    <cellStyle name="Comma 4 3 3 7 8" xfId="7475" xr:uid="{07A8EC40-2E0F-4C6C-8A2F-B6FA712EDD8D}"/>
    <cellStyle name="Comma 4 3 3 7 8 2" xfId="43983" xr:uid="{B55D7031-2BE9-47DE-B8C3-B824AA6A4396}"/>
    <cellStyle name="Comma 4 3 3 7 8 3" xfId="25729" xr:uid="{FD2D673D-15B5-4356-8A15-95D873E46C18}"/>
    <cellStyle name="Comma 4 3 3 7 9" xfId="3825" xr:uid="{7FC9F90A-FFEB-4BE1-840E-7545AB88A747}"/>
    <cellStyle name="Comma 4 3 3 7 9 2" xfId="40333" xr:uid="{EB20320C-991C-441C-951F-C840AFE4478B}"/>
    <cellStyle name="Comma 4 3 3 7 9 3" xfId="22079" xr:uid="{341266DA-42E5-4228-AA03-FE07C950214B}"/>
    <cellStyle name="Comma 4 3 3 8" xfId="2991" xr:uid="{8BD8114F-E2C7-4ACD-88B8-13848A67F139}"/>
    <cellStyle name="Comma 4 3 3 8 2" xfId="17591" xr:uid="{D5873775-5415-485C-949D-409888780924}"/>
    <cellStyle name="Comma 4 3 3 8 2 2" xfId="54099" xr:uid="{55086E59-144C-40C0-BFFE-5B53A6780641}"/>
    <cellStyle name="Comma 4 3 3 8 2 3" xfId="35845" xr:uid="{DCA080A6-00E7-4D19-839C-B305DB245D1D}"/>
    <cellStyle name="Comma 4 3 3 8 3" xfId="13941" xr:uid="{20B4398C-A56D-48EE-9D21-B0A5907E6BAA}"/>
    <cellStyle name="Comma 4 3 3 8 3 2" xfId="50449" xr:uid="{E41C74CF-D537-4B93-A5D7-2988F1F3C437}"/>
    <cellStyle name="Comma 4 3 3 8 3 3" xfId="32195" xr:uid="{E628C218-23A1-47A4-8DBF-89EDF9D31808}"/>
    <cellStyle name="Comma 4 3 3 8 4" xfId="10291" xr:uid="{6DC9655A-C8CC-4CA6-965B-8403B7E61A7D}"/>
    <cellStyle name="Comma 4 3 3 8 4 2" xfId="46799" xr:uid="{788242E7-7A4A-45C1-A63D-23F33C734DD0}"/>
    <cellStyle name="Comma 4 3 3 8 4 3" xfId="28545" xr:uid="{51F17385-1EF4-4C84-8E3A-25C4A2B9C87E}"/>
    <cellStyle name="Comma 4 3 3 8 5" xfId="6641" xr:uid="{D6B560B2-26D1-4075-85A1-743CB11B75DE}"/>
    <cellStyle name="Comma 4 3 3 8 5 2" xfId="43149" xr:uid="{D539EBB0-98C7-4637-B5EB-89EA0111FC5A}"/>
    <cellStyle name="Comma 4 3 3 8 5 3" xfId="24895" xr:uid="{78034990-D479-4E3A-B717-5E4348D4D89A}"/>
    <cellStyle name="Comma 4 3 3 8 6" xfId="39499" xr:uid="{E6DD3E59-1912-4122-83F9-56767ED3F08D}"/>
    <cellStyle name="Comma 4 3 3 8 7" xfId="21245" xr:uid="{B4DA13BB-2558-4A1B-B748-7F6C576BD8A7}"/>
    <cellStyle name="Comma 4 3 3 9" xfId="2261" xr:uid="{3F40057A-2913-4912-A474-DA90D0BD16E2}"/>
    <cellStyle name="Comma 4 3 3 9 2" xfId="16861" xr:uid="{2352202D-3FA1-40BA-8953-C98377068130}"/>
    <cellStyle name="Comma 4 3 3 9 2 2" xfId="53369" xr:uid="{F9C7C363-ACCC-4EA9-8B46-FD2E4CCBCC6A}"/>
    <cellStyle name="Comma 4 3 3 9 2 3" xfId="35115" xr:uid="{AA9E9E8D-5F4D-4E80-83CE-0EAEEBBCCB53}"/>
    <cellStyle name="Comma 4 3 3 9 3" xfId="13211" xr:uid="{25585106-F064-4D4A-B1C4-A717ADB0C0AF}"/>
    <cellStyle name="Comma 4 3 3 9 3 2" xfId="49719" xr:uid="{2D103543-2B93-47E0-9CAF-D497F1233B8E}"/>
    <cellStyle name="Comma 4 3 3 9 3 3" xfId="31465" xr:uid="{76E77732-44B6-4CFC-81FF-D569CCB2F66F}"/>
    <cellStyle name="Comma 4 3 3 9 4" xfId="9561" xr:uid="{F22591AE-F7A0-4A6C-BCE0-47370A83CE7B}"/>
    <cellStyle name="Comma 4 3 3 9 4 2" xfId="46069" xr:uid="{12C3DDE2-D728-40CD-AE3D-0B23875C2FB3}"/>
    <cellStyle name="Comma 4 3 3 9 4 3" xfId="27815" xr:uid="{6D8BB889-2BD2-4C84-9E9A-78422FB6FAB3}"/>
    <cellStyle name="Comma 4 3 3 9 5" xfId="5911" xr:uid="{05B98C70-57AC-4AB6-A840-A4CACC1622D4}"/>
    <cellStyle name="Comma 4 3 3 9 5 2" xfId="42419" xr:uid="{995CC6D3-1092-413A-90AC-C10D56DFDB31}"/>
    <cellStyle name="Comma 4 3 3 9 5 3" xfId="24165" xr:uid="{80BD6546-06A3-4562-8C43-98F656A04FC3}"/>
    <cellStyle name="Comma 4 3 3 9 6" xfId="38769" xr:uid="{1F6704D9-FF24-4AEB-8DD9-21EBF7034886}"/>
    <cellStyle name="Comma 4 3 3 9 7" xfId="20515" xr:uid="{2ABE8787-5D9A-421C-B975-C0515813E074}"/>
    <cellStyle name="Comma 4 3 4" xfId="663" xr:uid="{96AAB746-95CC-4CDE-8C43-5D71CDA8812E}"/>
    <cellStyle name="Comma 4 3 4 10" xfId="37171" xr:uid="{701BDCFE-3D2A-416E-9673-B0A0B551C56B}"/>
    <cellStyle name="Comma 4 3 4 11" xfId="18917" xr:uid="{6AA99B11-F767-408D-BB47-2C24B23B3DCC}"/>
    <cellStyle name="Comma 4 3 4 2" xfId="3583" xr:uid="{98786574-EDA2-4E47-8ACB-2B2E449A4E1D}"/>
    <cellStyle name="Comma 4 3 4 2 2" xfId="18183" xr:uid="{9F67AA5C-F690-4033-A683-C89F8F769218}"/>
    <cellStyle name="Comma 4 3 4 2 2 2" xfId="54691" xr:uid="{342B83B1-6CD4-48B9-B531-0C212FB874CA}"/>
    <cellStyle name="Comma 4 3 4 2 2 3" xfId="36437" xr:uid="{A82DF52D-DF69-4A2F-8228-73DB4188D990}"/>
    <cellStyle name="Comma 4 3 4 2 3" xfId="14533" xr:uid="{E6802C6F-6131-48B6-AE1F-FCF6712393D3}"/>
    <cellStyle name="Comma 4 3 4 2 3 2" xfId="51041" xr:uid="{D4B31B5F-5FF2-4C25-8489-3BAD12ED10CE}"/>
    <cellStyle name="Comma 4 3 4 2 3 3" xfId="32787" xr:uid="{3289F525-1135-4CFD-82FB-093C18888524}"/>
    <cellStyle name="Comma 4 3 4 2 4" xfId="10883" xr:uid="{F8680D89-85DA-4BBD-A35E-505ED677EA2F}"/>
    <cellStyle name="Comma 4 3 4 2 4 2" xfId="47391" xr:uid="{F3AF1B88-7CC3-4576-92DA-21757ACD96FC}"/>
    <cellStyle name="Comma 4 3 4 2 4 3" xfId="29137" xr:uid="{16EC9571-4A01-4CF4-A974-E1C3CE798DE9}"/>
    <cellStyle name="Comma 4 3 4 2 5" xfId="7233" xr:uid="{E2615DFD-E2E8-462A-802A-0B35277B4446}"/>
    <cellStyle name="Comma 4 3 4 2 5 2" xfId="43741" xr:uid="{D57D8FFA-9FEA-4DBB-ADFA-E92FF8FA37A9}"/>
    <cellStyle name="Comma 4 3 4 2 5 3" xfId="25487" xr:uid="{0EF822B9-C6B1-4008-9B0D-62606A25F31A}"/>
    <cellStyle name="Comma 4 3 4 2 6" xfId="40091" xr:uid="{AF42AE86-DE6D-40B2-96FF-68B9517D6E91}"/>
    <cellStyle name="Comma 4 3 4 2 7" xfId="21837" xr:uid="{F385753E-EB4B-4F18-83BD-6C24C1D70E61}"/>
    <cellStyle name="Comma 4 3 4 3" xfId="2853" xr:uid="{EAA113CA-E69C-4DEB-9530-043BC2D2C5BF}"/>
    <cellStyle name="Comma 4 3 4 3 2" xfId="17453" xr:uid="{70CC191E-0425-433C-BDED-51A81DC8B2AD}"/>
    <cellStyle name="Comma 4 3 4 3 2 2" xfId="53961" xr:uid="{C9FF78A1-71E3-4041-BF03-4DCBD083B729}"/>
    <cellStyle name="Comma 4 3 4 3 2 3" xfId="35707" xr:uid="{293174A7-E801-4BCD-875F-E7C6BC6FAD8B}"/>
    <cellStyle name="Comma 4 3 4 3 3" xfId="13803" xr:uid="{54865CC7-738A-4581-A5AC-99B850D27CCD}"/>
    <cellStyle name="Comma 4 3 4 3 3 2" xfId="50311" xr:uid="{CB88F365-5FCB-4B8B-AA1B-C66E8926DCA6}"/>
    <cellStyle name="Comma 4 3 4 3 3 3" xfId="32057" xr:uid="{EBA8088A-FD93-4A29-94BA-F2B5D7BA3107}"/>
    <cellStyle name="Comma 4 3 4 3 4" xfId="10153" xr:uid="{413F4891-603E-4A6A-91A6-B6B1723EEC14}"/>
    <cellStyle name="Comma 4 3 4 3 4 2" xfId="46661" xr:uid="{9CD1ED30-D61E-468F-8B36-C8AF41DEEEDE}"/>
    <cellStyle name="Comma 4 3 4 3 4 3" xfId="28407" xr:uid="{61F72E62-9862-44F1-9650-2F65F85E6A31}"/>
    <cellStyle name="Comma 4 3 4 3 5" xfId="6503" xr:uid="{6EFFC9B6-5A35-41A4-8400-590B74443F9E}"/>
    <cellStyle name="Comma 4 3 4 3 5 2" xfId="43011" xr:uid="{D980AF3C-E1E8-47E9-A3D6-FE27C45FBF78}"/>
    <cellStyle name="Comma 4 3 4 3 5 3" xfId="24757" xr:uid="{43A4CE97-51AE-4B93-94F1-187AAEDD0BB5}"/>
    <cellStyle name="Comma 4 3 4 3 6" xfId="39361" xr:uid="{3713174C-B01A-4C9F-9B78-88D2CF722D17}"/>
    <cellStyle name="Comma 4 3 4 3 7" xfId="21107" xr:uid="{ECF367F7-5DE9-447B-AD6A-FFF1E07239A7}"/>
    <cellStyle name="Comma 4 3 4 4" xfId="2123" xr:uid="{C9CE2837-CB42-48B3-91CA-F2421BE2B815}"/>
    <cellStyle name="Comma 4 3 4 4 2" xfId="16723" xr:uid="{456F765C-B09E-4037-BAA9-E9F3FD428F74}"/>
    <cellStyle name="Comma 4 3 4 4 2 2" xfId="53231" xr:uid="{5399B57D-C96C-4C64-9B01-5A08FD041DEA}"/>
    <cellStyle name="Comma 4 3 4 4 2 3" xfId="34977" xr:uid="{603A65D5-9053-4B14-8338-FF5E77EB930B}"/>
    <cellStyle name="Comma 4 3 4 4 3" xfId="13073" xr:uid="{80D2DD01-EA77-4697-98D8-3DC65F14D78B}"/>
    <cellStyle name="Comma 4 3 4 4 3 2" xfId="49581" xr:uid="{B992E8C0-FA28-4CF3-9051-67718D7E2537}"/>
    <cellStyle name="Comma 4 3 4 4 3 3" xfId="31327" xr:uid="{AF942F10-C9FF-4E86-A772-B8074D4A36D1}"/>
    <cellStyle name="Comma 4 3 4 4 4" xfId="9423" xr:uid="{FB4DDE96-D45F-41AC-8C3A-4E812F769A99}"/>
    <cellStyle name="Comma 4 3 4 4 4 2" xfId="45931" xr:uid="{FEE4BF1E-703E-461C-A05E-831D40E2F325}"/>
    <cellStyle name="Comma 4 3 4 4 4 3" xfId="27677" xr:uid="{4F33F843-D68F-4A02-847C-8F3E080D53AD}"/>
    <cellStyle name="Comma 4 3 4 4 5" xfId="5773" xr:uid="{60C9B465-D197-498B-9E42-6F5F40C007AA}"/>
    <cellStyle name="Comma 4 3 4 4 5 2" xfId="42281" xr:uid="{EDFF0328-67C3-4C73-AC59-B816B4D3DC71}"/>
    <cellStyle name="Comma 4 3 4 4 5 3" xfId="24027" xr:uid="{F46D7F1A-3A4E-4BB7-9DC4-BE5E2F6BD52F}"/>
    <cellStyle name="Comma 4 3 4 4 6" xfId="38631" xr:uid="{07A36329-79B0-42F5-8FEE-DCB57A10733D}"/>
    <cellStyle name="Comma 4 3 4 4 7" xfId="20377" xr:uid="{5359EBB4-73D5-43C0-89CA-0BABAD7F0BD0}"/>
    <cellStyle name="Comma 4 3 4 5" xfId="1393" xr:uid="{859C10C0-5C59-4599-9204-C9D52E28FD64}"/>
    <cellStyle name="Comma 4 3 4 5 2" xfId="15993" xr:uid="{5C38559F-3B58-4672-AA5F-B7396886CB14}"/>
    <cellStyle name="Comma 4 3 4 5 2 2" xfId="52501" xr:uid="{536ABDFD-2508-4B30-AB58-012C664C4A98}"/>
    <cellStyle name="Comma 4 3 4 5 2 3" xfId="34247" xr:uid="{AB629055-4CAA-47FE-85DD-E7475749A62F}"/>
    <cellStyle name="Comma 4 3 4 5 3" xfId="12343" xr:uid="{6FBAA6EE-A95F-4E8C-B596-66293C5F91F9}"/>
    <cellStyle name="Comma 4 3 4 5 3 2" xfId="48851" xr:uid="{652C681E-9A85-4B1B-A6B9-E74FDC6DF312}"/>
    <cellStyle name="Comma 4 3 4 5 3 3" xfId="30597" xr:uid="{93292ACC-A189-4928-A776-0615C8BCE737}"/>
    <cellStyle name="Comma 4 3 4 5 4" xfId="8693" xr:uid="{44FA9EF7-EF4D-453D-8576-75067A86E239}"/>
    <cellStyle name="Comma 4 3 4 5 4 2" xfId="45201" xr:uid="{5E0ED215-BF35-447D-AFAD-1999DB7AABF5}"/>
    <cellStyle name="Comma 4 3 4 5 4 3" xfId="26947" xr:uid="{49461DFD-2384-4A87-8FBE-6229188F978E}"/>
    <cellStyle name="Comma 4 3 4 5 5" xfId="5043" xr:uid="{A06F6644-38B4-4CA6-9E3D-AB833307F3DF}"/>
    <cellStyle name="Comma 4 3 4 5 5 2" xfId="41551" xr:uid="{3ABD7C55-39A4-4591-B817-98C2408325AD}"/>
    <cellStyle name="Comma 4 3 4 5 5 3" xfId="23297" xr:uid="{C9D1AA74-D1C4-4A82-90B2-E2D6EE8331AA}"/>
    <cellStyle name="Comma 4 3 4 5 6" xfId="37901" xr:uid="{343C158B-293B-4003-A1D9-35EBFFDC2073}"/>
    <cellStyle name="Comma 4 3 4 5 7" xfId="19647" xr:uid="{72AF31A9-011D-46EA-BAB8-656F555DD76B}"/>
    <cellStyle name="Comma 4 3 4 6" xfId="15263" xr:uid="{407003C3-BB90-4623-9A71-B94E5069099D}"/>
    <cellStyle name="Comma 4 3 4 6 2" xfId="51771" xr:uid="{0C7C050E-95FF-4148-A42E-4C2AF5599B68}"/>
    <cellStyle name="Comma 4 3 4 6 3" xfId="33517" xr:uid="{1FA3D047-EAD0-4DF4-81A6-F4E72E859442}"/>
    <cellStyle name="Comma 4 3 4 7" xfId="11613" xr:uid="{1B6EE177-D45D-4A57-A0EC-DD53B196F6AA}"/>
    <cellStyle name="Comma 4 3 4 7 2" xfId="48121" xr:uid="{62B2A4AA-020E-433C-B97A-2E08FB43CBD1}"/>
    <cellStyle name="Comma 4 3 4 7 3" xfId="29867" xr:uid="{B14D2D98-01A4-45FC-AAA0-A69FA7F93019}"/>
    <cellStyle name="Comma 4 3 4 8" xfId="7963" xr:uid="{832D1CBB-F6CB-44FE-AEE9-D4AECD1C515C}"/>
    <cellStyle name="Comma 4 3 4 8 2" xfId="44471" xr:uid="{0A852206-1EF9-4F52-B088-E0D7C4418F89}"/>
    <cellStyle name="Comma 4 3 4 8 3" xfId="26217" xr:uid="{F0D33D2C-214A-4397-8242-0D5856872F1C}"/>
    <cellStyle name="Comma 4 3 4 9" xfId="4313" xr:uid="{C2C39444-A975-4740-B5BD-AA419325E589}"/>
    <cellStyle name="Comma 4 3 4 9 2" xfId="40821" xr:uid="{E57EE7EB-B21D-4C8E-8B2C-5691213AA361}"/>
    <cellStyle name="Comma 4 3 4 9 3" xfId="22567" xr:uid="{F895A615-5BEF-4E10-8EFB-D4FF986D6086}"/>
    <cellStyle name="Comma 4 3 5" xfId="559" xr:uid="{27E8BF63-08A9-4C39-91BF-A9190A464C4D}"/>
    <cellStyle name="Comma 4 3 5 10" xfId="37067" xr:uid="{BD1994AA-84B2-4C61-91E7-1D7E25DCCE6D}"/>
    <cellStyle name="Comma 4 3 5 11" xfId="18813" xr:uid="{8DC35489-4E1F-48D9-91C5-A3124B12FFA0}"/>
    <cellStyle name="Comma 4 3 5 2" xfId="3479" xr:uid="{68C23279-48F4-4776-A02B-E2B735465A17}"/>
    <cellStyle name="Comma 4 3 5 2 2" xfId="18079" xr:uid="{D9E7EA59-FE6D-4FF0-B468-881C3310F24C}"/>
    <cellStyle name="Comma 4 3 5 2 2 2" xfId="54587" xr:uid="{15A69B70-DF50-4DBF-BE2B-F39D3D29BA0D}"/>
    <cellStyle name="Comma 4 3 5 2 2 3" xfId="36333" xr:uid="{EE4CF11C-C0BA-4C51-802B-028264A5B07D}"/>
    <cellStyle name="Comma 4 3 5 2 3" xfId="14429" xr:uid="{6CCD8990-2053-4E6F-B406-05C9E550DCEF}"/>
    <cellStyle name="Comma 4 3 5 2 3 2" xfId="50937" xr:uid="{65053D6E-9B50-4E6C-832E-A54C20BF327E}"/>
    <cellStyle name="Comma 4 3 5 2 3 3" xfId="32683" xr:uid="{A8C087A2-9FE2-406A-9C09-99D4B4C92F7A}"/>
    <cellStyle name="Comma 4 3 5 2 4" xfId="10779" xr:uid="{A22981E0-F2F3-4704-BB42-83BEA09DA415}"/>
    <cellStyle name="Comma 4 3 5 2 4 2" xfId="47287" xr:uid="{6C77EDF7-F004-44B4-A0D8-384FD6262605}"/>
    <cellStyle name="Comma 4 3 5 2 4 3" xfId="29033" xr:uid="{FF1CE8DA-9C2F-46BB-9631-C40F66B1C606}"/>
    <cellStyle name="Comma 4 3 5 2 5" xfId="7129" xr:uid="{6200D1B6-F18E-450D-BCBF-2FF9B3088FC9}"/>
    <cellStyle name="Comma 4 3 5 2 5 2" xfId="43637" xr:uid="{DA8884D9-DDF5-49DA-A50E-7E15F3DFE061}"/>
    <cellStyle name="Comma 4 3 5 2 5 3" xfId="25383" xr:uid="{3556E7C9-2118-4DD4-A108-8E554051906A}"/>
    <cellStyle name="Comma 4 3 5 2 6" xfId="39987" xr:uid="{63EB5C51-8E81-49CD-A178-F4A02969FBB3}"/>
    <cellStyle name="Comma 4 3 5 2 7" xfId="21733" xr:uid="{4809888D-7B18-436D-A1E7-D06CA5C9C96B}"/>
    <cellStyle name="Comma 4 3 5 3" xfId="2749" xr:uid="{23397534-D332-49BD-9F16-5E1247BEF46E}"/>
    <cellStyle name="Comma 4 3 5 3 2" xfId="17349" xr:uid="{9AE2A0D7-AEB5-4AB6-B092-C0D7F89118EA}"/>
    <cellStyle name="Comma 4 3 5 3 2 2" xfId="53857" xr:uid="{95019B97-A344-4E5F-810A-74A981EAAEBE}"/>
    <cellStyle name="Comma 4 3 5 3 2 3" xfId="35603" xr:uid="{68A87698-2B27-4F77-84DC-2DDB8DB0C0D7}"/>
    <cellStyle name="Comma 4 3 5 3 3" xfId="13699" xr:uid="{BBF3909C-F1F3-448A-836D-20B60A34C98F}"/>
    <cellStyle name="Comma 4 3 5 3 3 2" xfId="50207" xr:uid="{971C205F-3109-467B-96E0-BCF91B760756}"/>
    <cellStyle name="Comma 4 3 5 3 3 3" xfId="31953" xr:uid="{14390EA3-12CF-4D04-A2BE-B58FBDC5B790}"/>
    <cellStyle name="Comma 4 3 5 3 4" xfId="10049" xr:uid="{70451EE3-9EAD-476B-9FA7-351B81EB3177}"/>
    <cellStyle name="Comma 4 3 5 3 4 2" xfId="46557" xr:uid="{CBD5636A-634E-476A-B3E2-4AF4FE8E007D}"/>
    <cellStyle name="Comma 4 3 5 3 4 3" xfId="28303" xr:uid="{D42EB595-2611-4C8F-BFC9-C388FEA022B6}"/>
    <cellStyle name="Comma 4 3 5 3 5" xfId="6399" xr:uid="{EBBDDE54-E0FA-4E8D-AFB3-0D18D57459F9}"/>
    <cellStyle name="Comma 4 3 5 3 5 2" xfId="42907" xr:uid="{47468CD5-84E7-4686-B30E-4077913BC850}"/>
    <cellStyle name="Comma 4 3 5 3 5 3" xfId="24653" xr:uid="{E873C466-C0AD-4B4A-89C4-D3E12C545BF0}"/>
    <cellStyle name="Comma 4 3 5 3 6" xfId="39257" xr:uid="{BEBE383F-FF97-42CC-B690-6240AAEE641B}"/>
    <cellStyle name="Comma 4 3 5 3 7" xfId="21003" xr:uid="{1A589D9C-5881-4CEC-AFB1-1BD33C269FD6}"/>
    <cellStyle name="Comma 4 3 5 4" xfId="2019" xr:uid="{E3951BCB-C306-4854-B904-AE93F803887E}"/>
    <cellStyle name="Comma 4 3 5 4 2" xfId="16619" xr:uid="{2AD43AA2-9284-4E3E-AD78-05D4502FF289}"/>
    <cellStyle name="Comma 4 3 5 4 2 2" xfId="53127" xr:uid="{ABD645A0-D113-4E07-B51B-669BA288F04C}"/>
    <cellStyle name="Comma 4 3 5 4 2 3" xfId="34873" xr:uid="{E766AFD7-C471-4330-88E8-889AF28F37BE}"/>
    <cellStyle name="Comma 4 3 5 4 3" xfId="12969" xr:uid="{0F3240D7-D847-45AF-9B3C-C018622EB087}"/>
    <cellStyle name="Comma 4 3 5 4 3 2" xfId="49477" xr:uid="{D8496CDA-5E44-4BAE-99E8-542D4205B6E0}"/>
    <cellStyle name="Comma 4 3 5 4 3 3" xfId="31223" xr:uid="{1685141A-E8F4-4881-8D00-F17DA4D6864B}"/>
    <cellStyle name="Comma 4 3 5 4 4" xfId="9319" xr:uid="{9D9320B8-61B2-4C7E-8A82-B0BC924BA27B}"/>
    <cellStyle name="Comma 4 3 5 4 4 2" xfId="45827" xr:uid="{45D1A447-E83B-4622-A2EC-828724425023}"/>
    <cellStyle name="Comma 4 3 5 4 4 3" xfId="27573" xr:uid="{05AAE8CB-780C-42F4-A800-431970B70EB7}"/>
    <cellStyle name="Comma 4 3 5 4 5" xfId="5669" xr:uid="{0F964F1C-7EAA-4E08-B33D-956F76907EDC}"/>
    <cellStyle name="Comma 4 3 5 4 5 2" xfId="42177" xr:uid="{6E212EAD-86F6-4798-8105-2841ECDAA000}"/>
    <cellStyle name="Comma 4 3 5 4 5 3" xfId="23923" xr:uid="{2C9FBE12-783A-4BCC-BE34-D7F799126ECD}"/>
    <cellStyle name="Comma 4 3 5 4 6" xfId="38527" xr:uid="{27DFA77D-2DEA-4447-8595-05E079922247}"/>
    <cellStyle name="Comma 4 3 5 4 7" xfId="20273" xr:uid="{B763140E-CDD1-4F93-B38B-C02DB9F962FD}"/>
    <cellStyle name="Comma 4 3 5 5" xfId="1289" xr:uid="{10171D29-7468-42C2-8D36-506A4E0C20E9}"/>
    <cellStyle name="Comma 4 3 5 5 2" xfId="15889" xr:uid="{8A86F8D3-BF24-4302-BDA1-048BEFBC7665}"/>
    <cellStyle name="Comma 4 3 5 5 2 2" xfId="52397" xr:uid="{E78C7819-0F0F-4C8E-8DD7-42545B6E34E4}"/>
    <cellStyle name="Comma 4 3 5 5 2 3" xfId="34143" xr:uid="{EB6B6972-8325-4487-B83C-AC2B661A5B05}"/>
    <cellStyle name="Comma 4 3 5 5 3" xfId="12239" xr:uid="{81BCD250-2C3D-4A83-B0AB-0BB7DD98087D}"/>
    <cellStyle name="Comma 4 3 5 5 3 2" xfId="48747" xr:uid="{090178B6-2DA6-4DF8-AAFE-1AFB90ADF22B}"/>
    <cellStyle name="Comma 4 3 5 5 3 3" xfId="30493" xr:uid="{06408AB6-51C2-4747-9171-A8DEBB5BB348}"/>
    <cellStyle name="Comma 4 3 5 5 4" xfId="8589" xr:uid="{C8FDCF66-641C-4110-BFEA-9AD2E0C44892}"/>
    <cellStyle name="Comma 4 3 5 5 4 2" xfId="45097" xr:uid="{D012DDC2-4734-41E8-B4A6-4A3050952A64}"/>
    <cellStyle name="Comma 4 3 5 5 4 3" xfId="26843" xr:uid="{3641B185-C51C-4D9D-BA16-B49258074A4E}"/>
    <cellStyle name="Comma 4 3 5 5 5" xfId="4939" xr:uid="{7717FD43-E62E-4C3A-8805-7875A12067F1}"/>
    <cellStyle name="Comma 4 3 5 5 5 2" xfId="41447" xr:uid="{1ECCB702-E9B9-4189-A142-3D0642CC71E2}"/>
    <cellStyle name="Comma 4 3 5 5 5 3" xfId="23193" xr:uid="{64D0162B-60E3-4A33-B05C-86DF7C322BDB}"/>
    <cellStyle name="Comma 4 3 5 5 6" xfId="37797" xr:uid="{F2BC53DA-58B8-4670-A460-FFA02ED89EBE}"/>
    <cellStyle name="Comma 4 3 5 5 7" xfId="19543" xr:uid="{24005E2B-FB26-49A4-9F68-88245110B5D0}"/>
    <cellStyle name="Comma 4 3 5 6" xfId="15159" xr:uid="{B7DFB134-D43C-4309-8C74-AE7779DB6409}"/>
    <cellStyle name="Comma 4 3 5 6 2" xfId="51667" xr:uid="{BB13336F-5326-41E4-9E9F-453011DE6E50}"/>
    <cellStyle name="Comma 4 3 5 6 3" xfId="33413" xr:uid="{9EC91D2C-984E-44E3-9745-EF533F876C30}"/>
    <cellStyle name="Comma 4 3 5 7" xfId="11509" xr:uid="{E0130EF9-1377-43F8-A730-5BA295978778}"/>
    <cellStyle name="Comma 4 3 5 7 2" xfId="48017" xr:uid="{E4CA5A85-D866-43D3-9C7B-D5E197F2589C}"/>
    <cellStyle name="Comma 4 3 5 7 3" xfId="29763" xr:uid="{9FC355A7-3B69-415E-A89D-EF331363610A}"/>
    <cellStyle name="Comma 4 3 5 8" xfId="7859" xr:uid="{93425718-C082-4663-BDC6-1EE9728B823A}"/>
    <cellStyle name="Comma 4 3 5 8 2" xfId="44367" xr:uid="{56E12455-7D12-43EC-B690-96046285B063}"/>
    <cellStyle name="Comma 4 3 5 8 3" xfId="26113" xr:uid="{7D29B767-F953-4BCB-883E-731C1C247AF5}"/>
    <cellStyle name="Comma 4 3 5 9" xfId="4209" xr:uid="{98EABAE3-78E3-43F6-B4B5-7BDC14D68FD6}"/>
    <cellStyle name="Comma 4 3 5 9 2" xfId="40717" xr:uid="{792D520C-412B-4105-A751-A25A834D2442}"/>
    <cellStyle name="Comma 4 3 5 9 3" xfId="22463" xr:uid="{E543BA4E-06D3-48FD-A35F-F1F5AD5BEBD5}"/>
    <cellStyle name="Comma 4 3 6" xfId="455" xr:uid="{9B40C8FE-3BB4-42FA-A192-490563135A73}"/>
    <cellStyle name="Comma 4 3 6 10" xfId="36963" xr:uid="{B8B098BB-807C-4E63-89B9-2AC09B189943}"/>
    <cellStyle name="Comma 4 3 6 11" xfId="18709" xr:uid="{24091E0B-8DB9-4081-87CE-340875EE0D4C}"/>
    <cellStyle name="Comma 4 3 6 2" xfId="3375" xr:uid="{4F0604C2-81FF-4675-9CF4-00F0B12384DD}"/>
    <cellStyle name="Comma 4 3 6 2 2" xfId="17975" xr:uid="{E08396C1-2D4E-4A04-A74B-3232FF8D2ABB}"/>
    <cellStyle name="Comma 4 3 6 2 2 2" xfId="54483" xr:uid="{024350EA-333E-4876-B5AA-494FBC6D5BD8}"/>
    <cellStyle name="Comma 4 3 6 2 2 3" xfId="36229" xr:uid="{881C5F06-B452-482D-9117-86686998F85B}"/>
    <cellStyle name="Comma 4 3 6 2 3" xfId="14325" xr:uid="{8BD77628-DB1D-4DD4-BE94-61D6462FC2B6}"/>
    <cellStyle name="Comma 4 3 6 2 3 2" xfId="50833" xr:uid="{F5464213-2C96-418F-8A2E-E6EFD2C81032}"/>
    <cellStyle name="Comma 4 3 6 2 3 3" xfId="32579" xr:uid="{97A80D9A-E3C0-4A31-8152-16DAA9C621B1}"/>
    <cellStyle name="Comma 4 3 6 2 4" xfId="10675" xr:uid="{336D63F6-DA0D-4235-AD61-0693E9043509}"/>
    <cellStyle name="Comma 4 3 6 2 4 2" xfId="47183" xr:uid="{AAF06E31-273B-4FBD-907D-C523BE9FDA7C}"/>
    <cellStyle name="Comma 4 3 6 2 4 3" xfId="28929" xr:uid="{15BEC06B-E80F-4BE3-BEB1-5B15A5BA3588}"/>
    <cellStyle name="Comma 4 3 6 2 5" xfId="7025" xr:uid="{BE81C398-342F-4783-A551-11470272D20F}"/>
    <cellStyle name="Comma 4 3 6 2 5 2" xfId="43533" xr:uid="{6271D2F0-659A-4A6C-9736-BACAD1BE837E}"/>
    <cellStyle name="Comma 4 3 6 2 5 3" xfId="25279" xr:uid="{881525D1-A46D-477E-8803-0B07EF8605AB}"/>
    <cellStyle name="Comma 4 3 6 2 6" xfId="39883" xr:uid="{A802A3CE-C6A2-4869-9D75-FFA6B86C5FF6}"/>
    <cellStyle name="Comma 4 3 6 2 7" xfId="21629" xr:uid="{F700D720-6926-4805-AAAE-F4B455E5E17E}"/>
    <cellStyle name="Comma 4 3 6 3" xfId="2645" xr:uid="{DBBF68DD-C2DC-43FE-BB05-230845D2A593}"/>
    <cellStyle name="Comma 4 3 6 3 2" xfId="17245" xr:uid="{0A734396-1992-4D93-944D-B11FFDE1926A}"/>
    <cellStyle name="Comma 4 3 6 3 2 2" xfId="53753" xr:uid="{5C1C2D39-8E14-4214-8DF4-4150D663ECC4}"/>
    <cellStyle name="Comma 4 3 6 3 2 3" xfId="35499" xr:uid="{184635BA-5E57-4F30-9539-3ABCF9CBB1D2}"/>
    <cellStyle name="Comma 4 3 6 3 3" xfId="13595" xr:uid="{BB3F0914-B5D6-4BD8-B855-D408678F4975}"/>
    <cellStyle name="Comma 4 3 6 3 3 2" xfId="50103" xr:uid="{175FF458-B5EF-476F-B84B-3BF62E74D549}"/>
    <cellStyle name="Comma 4 3 6 3 3 3" xfId="31849" xr:uid="{4B94D1F8-98D6-420C-A516-675E7B5F57FF}"/>
    <cellStyle name="Comma 4 3 6 3 4" xfId="9945" xr:uid="{29E5DCC1-5CA8-4375-B3D7-893C898138DB}"/>
    <cellStyle name="Comma 4 3 6 3 4 2" xfId="46453" xr:uid="{5C1863B8-2491-43AE-93C3-9D6F5393E08C}"/>
    <cellStyle name="Comma 4 3 6 3 4 3" xfId="28199" xr:uid="{D5A49DC8-EC09-4441-9635-865C71E2C38D}"/>
    <cellStyle name="Comma 4 3 6 3 5" xfId="6295" xr:uid="{C02C15F8-8820-4EB6-ADAE-F3B442D75D04}"/>
    <cellStyle name="Comma 4 3 6 3 5 2" xfId="42803" xr:uid="{2BDD723C-7103-405C-8594-65A3137E2EC4}"/>
    <cellStyle name="Comma 4 3 6 3 5 3" xfId="24549" xr:uid="{7EC6B668-3958-44AB-92D8-6FEF0B19B335}"/>
    <cellStyle name="Comma 4 3 6 3 6" xfId="39153" xr:uid="{6021D1E9-2C9C-406D-A7D9-B7E2CF9ADC46}"/>
    <cellStyle name="Comma 4 3 6 3 7" xfId="20899" xr:uid="{945AB479-C617-494E-BBA3-C362D454B993}"/>
    <cellStyle name="Comma 4 3 6 4" xfId="1915" xr:uid="{BF6D7290-402E-494C-BD6E-5BEDBD0B707C}"/>
    <cellStyle name="Comma 4 3 6 4 2" xfId="16515" xr:uid="{0B27F79A-4A8F-457D-953B-2AF41047FD88}"/>
    <cellStyle name="Comma 4 3 6 4 2 2" xfId="53023" xr:uid="{2F0FE3A8-861C-4F44-A614-A17D00EE9480}"/>
    <cellStyle name="Comma 4 3 6 4 2 3" xfId="34769" xr:uid="{C4047883-81E9-4FF0-AA08-13EED06A5BAC}"/>
    <cellStyle name="Comma 4 3 6 4 3" xfId="12865" xr:uid="{C2CFFA99-91BC-4D4C-970E-55C54548E638}"/>
    <cellStyle name="Comma 4 3 6 4 3 2" xfId="49373" xr:uid="{B02D236A-2BB7-4558-B5F0-E5D6175F2A79}"/>
    <cellStyle name="Comma 4 3 6 4 3 3" xfId="31119" xr:uid="{474DA1F7-7C00-42AE-A3CB-15F7E981214B}"/>
    <cellStyle name="Comma 4 3 6 4 4" xfId="9215" xr:uid="{B788BA24-402F-4A2B-AC9F-ADBB849D64BB}"/>
    <cellStyle name="Comma 4 3 6 4 4 2" xfId="45723" xr:uid="{499BECBE-A13B-4A6D-8D83-0C0CCFFC9480}"/>
    <cellStyle name="Comma 4 3 6 4 4 3" xfId="27469" xr:uid="{12850FA0-F6CC-4F0D-989A-E04E3B4317DA}"/>
    <cellStyle name="Comma 4 3 6 4 5" xfId="5565" xr:uid="{5C334061-014D-4A5D-B887-F811EBA877BF}"/>
    <cellStyle name="Comma 4 3 6 4 5 2" xfId="42073" xr:uid="{0175773F-E818-4FA9-A15D-2606DE712437}"/>
    <cellStyle name="Comma 4 3 6 4 5 3" xfId="23819" xr:uid="{96685464-57D9-4551-AB0C-278B37228BA4}"/>
    <cellStyle name="Comma 4 3 6 4 6" xfId="38423" xr:uid="{79D97000-4237-494E-84BD-B35202E60F60}"/>
    <cellStyle name="Comma 4 3 6 4 7" xfId="20169" xr:uid="{D2C857BC-1DB7-463B-8C08-EFF2D8F864FE}"/>
    <cellStyle name="Comma 4 3 6 5" xfId="1185" xr:uid="{5748510F-6EB0-4AB2-9697-FA9FEA2C3C98}"/>
    <cellStyle name="Comma 4 3 6 5 2" xfId="15785" xr:uid="{BCF22862-BDA8-4DEC-8F6D-7769A71E5ACE}"/>
    <cellStyle name="Comma 4 3 6 5 2 2" xfId="52293" xr:uid="{3B69FE5F-A57A-42F4-96D3-640C3B0E6698}"/>
    <cellStyle name="Comma 4 3 6 5 2 3" xfId="34039" xr:uid="{6AEF5F7E-A982-4F98-BE0A-6B3A4DE796F8}"/>
    <cellStyle name="Comma 4 3 6 5 3" xfId="12135" xr:uid="{657FCE62-DCB5-43F0-BACF-D0C2EA9ACF96}"/>
    <cellStyle name="Comma 4 3 6 5 3 2" xfId="48643" xr:uid="{EA25EB09-CA72-4622-B3CA-DC6C6764355E}"/>
    <cellStyle name="Comma 4 3 6 5 3 3" xfId="30389" xr:uid="{5F4D9E3C-3F1C-4E27-BB0A-A8D2BE09DFC6}"/>
    <cellStyle name="Comma 4 3 6 5 4" xfId="8485" xr:uid="{19D6F3B6-0D10-4FA0-BCD2-016E03DD0686}"/>
    <cellStyle name="Comma 4 3 6 5 4 2" xfId="44993" xr:uid="{EC7B8CB5-C24B-4D05-A7AD-8D7F70DE7634}"/>
    <cellStyle name="Comma 4 3 6 5 4 3" xfId="26739" xr:uid="{FD971959-B48E-4DC1-BB0E-FD21CA816D72}"/>
    <cellStyle name="Comma 4 3 6 5 5" xfId="4835" xr:uid="{01DCA20A-7F5F-4475-B7CE-3283A7503F69}"/>
    <cellStyle name="Comma 4 3 6 5 5 2" xfId="41343" xr:uid="{88FECD02-1AE9-429E-8A46-F63EC1BD6E3B}"/>
    <cellStyle name="Comma 4 3 6 5 5 3" xfId="23089" xr:uid="{BA32AAEB-090A-4BB1-83B7-7D875F11959C}"/>
    <cellStyle name="Comma 4 3 6 5 6" xfId="37693" xr:uid="{EEA7EE65-5D3F-4AC7-B42E-1BE674EDDD74}"/>
    <cellStyle name="Comma 4 3 6 5 7" xfId="19439" xr:uid="{2696F0E1-CFE9-409E-A9AD-F5100A2FAF97}"/>
    <cellStyle name="Comma 4 3 6 6" xfId="15055" xr:uid="{92470ADE-7769-432A-91A7-64E1DA547CA0}"/>
    <cellStyle name="Comma 4 3 6 6 2" xfId="51563" xr:uid="{593F8DC0-38FA-4F14-9148-098D3D4E2DC7}"/>
    <cellStyle name="Comma 4 3 6 6 3" xfId="33309" xr:uid="{2B9DF8A0-8A98-4FCD-9970-17BFE604D99F}"/>
    <cellStyle name="Comma 4 3 6 7" xfId="11405" xr:uid="{BB7F5247-A86B-401B-8832-E4C4DE4CA500}"/>
    <cellStyle name="Comma 4 3 6 7 2" xfId="47913" xr:uid="{297F997D-211E-4223-9A3F-5B4C25DA5005}"/>
    <cellStyle name="Comma 4 3 6 7 3" xfId="29659" xr:uid="{A83AC0C4-B151-43BD-83A0-10C082D6910F}"/>
    <cellStyle name="Comma 4 3 6 8" xfId="7755" xr:uid="{155B341B-BF80-45EE-A320-94AAC3720496}"/>
    <cellStyle name="Comma 4 3 6 8 2" xfId="44263" xr:uid="{3D2798BC-3961-4C20-B20F-73A793063E38}"/>
    <cellStyle name="Comma 4 3 6 8 3" xfId="26009" xr:uid="{1B69B41A-4334-4A1B-B986-A708052F48D4}"/>
    <cellStyle name="Comma 4 3 6 9" xfId="4105" xr:uid="{B8C4562A-9B5A-42C2-B6E2-EFE1409CCAD0}"/>
    <cellStyle name="Comma 4 3 6 9 2" xfId="40613" xr:uid="{A1F5BB15-045C-4F04-A946-0D130B9F1A8C}"/>
    <cellStyle name="Comma 4 3 6 9 3" xfId="22359" xr:uid="{25D58447-D8A1-4751-8A8A-D9E8FDA1B664}"/>
    <cellStyle name="Comma 4 3 7" xfId="351" xr:uid="{A65CFF1F-6149-4D27-8022-EF7BB7D382C1}"/>
    <cellStyle name="Comma 4 3 7 10" xfId="36859" xr:uid="{18DEA969-652F-40EA-B0C1-B0D941C231F1}"/>
    <cellStyle name="Comma 4 3 7 11" xfId="18605" xr:uid="{673568E7-91C4-4FC8-8187-012F1D59EEC8}"/>
    <cellStyle name="Comma 4 3 7 2" xfId="3271" xr:uid="{088F8399-699E-466A-8665-5BE9311DAE79}"/>
    <cellStyle name="Comma 4 3 7 2 2" xfId="17871" xr:uid="{5CE906D5-C85D-4368-A539-2614FA1AB0E5}"/>
    <cellStyle name="Comma 4 3 7 2 2 2" xfId="54379" xr:uid="{78E05E01-84A3-4834-B47A-BB27046DBC8F}"/>
    <cellStyle name="Comma 4 3 7 2 2 3" xfId="36125" xr:uid="{EC443FE9-B21B-4CB5-BAB5-FA1BDBF0538F}"/>
    <cellStyle name="Comma 4 3 7 2 3" xfId="14221" xr:uid="{8FAF2331-C619-479D-BED6-43A21A44BD03}"/>
    <cellStyle name="Comma 4 3 7 2 3 2" xfId="50729" xr:uid="{09778D06-E953-4160-B4B8-41500D0D7804}"/>
    <cellStyle name="Comma 4 3 7 2 3 3" xfId="32475" xr:uid="{206E3FA2-FFD6-4EF6-9B5C-E3B5C4859EB9}"/>
    <cellStyle name="Comma 4 3 7 2 4" xfId="10571" xr:uid="{7B09D4A5-DADC-4FF5-9A63-3FC9B3709D59}"/>
    <cellStyle name="Comma 4 3 7 2 4 2" xfId="47079" xr:uid="{FF975CE6-60D4-438D-A2D0-963588F28E36}"/>
    <cellStyle name="Comma 4 3 7 2 4 3" xfId="28825" xr:uid="{36D01C82-7D7B-4AD9-AF40-7C5856026E07}"/>
    <cellStyle name="Comma 4 3 7 2 5" xfId="6921" xr:uid="{ADA8E08B-0832-451A-AF39-E75586156073}"/>
    <cellStyle name="Comma 4 3 7 2 5 2" xfId="43429" xr:uid="{A822CFDF-4BDB-494F-A091-29B154714577}"/>
    <cellStyle name="Comma 4 3 7 2 5 3" xfId="25175" xr:uid="{40DC5CEB-29EA-4454-9419-FC2BA7414E20}"/>
    <cellStyle name="Comma 4 3 7 2 6" xfId="39779" xr:uid="{61F15C59-67F8-4965-9DA1-C9A3099E029D}"/>
    <cellStyle name="Comma 4 3 7 2 7" xfId="21525" xr:uid="{4E0D4E01-35E2-4610-AB85-A6F0BA422F84}"/>
    <cellStyle name="Comma 4 3 7 3" xfId="2541" xr:uid="{D13A2D78-ED00-4640-A69B-7138DEABF4EC}"/>
    <cellStyle name="Comma 4 3 7 3 2" xfId="17141" xr:uid="{B0A7AA52-F91A-4364-88E9-665E968CCDAF}"/>
    <cellStyle name="Comma 4 3 7 3 2 2" xfId="53649" xr:uid="{66910B30-EE80-4017-A887-5765405A8B35}"/>
    <cellStyle name="Comma 4 3 7 3 2 3" xfId="35395" xr:uid="{E413AEEB-BE22-4E6A-849C-857D8C909716}"/>
    <cellStyle name="Comma 4 3 7 3 3" xfId="13491" xr:uid="{2008AC5A-73A0-4906-A526-1FA6920E6D39}"/>
    <cellStyle name="Comma 4 3 7 3 3 2" xfId="49999" xr:uid="{DD2E6C0D-3CF5-448F-A6D9-D4A4220E0FBD}"/>
    <cellStyle name="Comma 4 3 7 3 3 3" xfId="31745" xr:uid="{06ADCAE1-82D9-4C82-855B-784989E7DDF7}"/>
    <cellStyle name="Comma 4 3 7 3 4" xfId="9841" xr:uid="{8A969CCC-92BD-4456-8246-DA93FC879702}"/>
    <cellStyle name="Comma 4 3 7 3 4 2" xfId="46349" xr:uid="{D9273B92-E889-458E-B42D-B2D962AC4231}"/>
    <cellStyle name="Comma 4 3 7 3 4 3" xfId="28095" xr:uid="{B911BDA9-8493-456D-957B-63FDF3DA1A45}"/>
    <cellStyle name="Comma 4 3 7 3 5" xfId="6191" xr:uid="{0CAAA3A8-4D9A-4460-BC0F-DD399203F3D5}"/>
    <cellStyle name="Comma 4 3 7 3 5 2" xfId="42699" xr:uid="{6D98D6A0-7946-4CAB-847F-C6D3388E13D5}"/>
    <cellStyle name="Comma 4 3 7 3 5 3" xfId="24445" xr:uid="{280CA8EC-357E-42F7-9B26-F7C1802E7091}"/>
    <cellStyle name="Comma 4 3 7 3 6" xfId="39049" xr:uid="{41A1BD72-C8C5-4F91-8626-6A22DC3045E6}"/>
    <cellStyle name="Comma 4 3 7 3 7" xfId="20795" xr:uid="{0438C838-A38D-428D-986F-8B4CCCD09ED6}"/>
    <cellStyle name="Comma 4 3 7 4" xfId="1811" xr:uid="{96B66341-79EC-4932-B3D2-5491A639847C}"/>
    <cellStyle name="Comma 4 3 7 4 2" xfId="16411" xr:uid="{7CDE3928-497E-4DBF-A5C3-8127EDC02408}"/>
    <cellStyle name="Comma 4 3 7 4 2 2" xfId="52919" xr:uid="{872AAA4D-5EBD-4756-9DEB-C442EEC187A4}"/>
    <cellStyle name="Comma 4 3 7 4 2 3" xfId="34665" xr:uid="{05D17CE1-1CAB-4453-89E9-14302035F614}"/>
    <cellStyle name="Comma 4 3 7 4 3" xfId="12761" xr:uid="{7C60CD6B-7146-455E-91C9-F9539DF29838}"/>
    <cellStyle name="Comma 4 3 7 4 3 2" xfId="49269" xr:uid="{4EBD7D49-F55D-4923-91AB-14B24D4ECD6C}"/>
    <cellStyle name="Comma 4 3 7 4 3 3" xfId="31015" xr:uid="{D3D62198-4F36-40D7-8DC2-A7D7EE274F8B}"/>
    <cellStyle name="Comma 4 3 7 4 4" xfId="9111" xr:uid="{5CDAFB76-714C-4166-BF7D-6EB0ADD1CBFE}"/>
    <cellStyle name="Comma 4 3 7 4 4 2" xfId="45619" xr:uid="{0D011397-40C9-4A57-977A-682A40CBEAF9}"/>
    <cellStyle name="Comma 4 3 7 4 4 3" xfId="27365" xr:uid="{CB604462-79D4-49F1-AEE4-661318C0CD18}"/>
    <cellStyle name="Comma 4 3 7 4 5" xfId="5461" xr:uid="{1D873378-521C-41AC-9B1F-B981FA7A3B08}"/>
    <cellStyle name="Comma 4 3 7 4 5 2" xfId="41969" xr:uid="{54A8162F-6B05-4DAF-A729-963BC197959E}"/>
    <cellStyle name="Comma 4 3 7 4 5 3" xfId="23715" xr:uid="{1054BDB5-1111-4862-9D0D-A981AAB1996F}"/>
    <cellStyle name="Comma 4 3 7 4 6" xfId="38319" xr:uid="{459E6024-FDE5-4067-A473-0951621B885C}"/>
    <cellStyle name="Comma 4 3 7 4 7" xfId="20065" xr:uid="{A5CE0790-FD59-4BAD-9F51-429780B2AD22}"/>
    <cellStyle name="Comma 4 3 7 5" xfId="1081" xr:uid="{8B36D464-DCBB-4026-9F9F-28F4A9BF670C}"/>
    <cellStyle name="Comma 4 3 7 5 2" xfId="15681" xr:uid="{F2675842-C3A1-41AD-9720-C311401BA421}"/>
    <cellStyle name="Comma 4 3 7 5 2 2" xfId="52189" xr:uid="{E7807A0A-DD37-452C-A15D-A29A7ED7E71F}"/>
    <cellStyle name="Comma 4 3 7 5 2 3" xfId="33935" xr:uid="{24D00B5D-835D-44CA-8F7A-04E121BF5248}"/>
    <cellStyle name="Comma 4 3 7 5 3" xfId="12031" xr:uid="{D061B2C1-DF7F-4502-B956-EDC55B2AB666}"/>
    <cellStyle name="Comma 4 3 7 5 3 2" xfId="48539" xr:uid="{A6620B5E-13E2-408A-9BC0-D8EBED6C3124}"/>
    <cellStyle name="Comma 4 3 7 5 3 3" xfId="30285" xr:uid="{E998FDA1-08E6-4C39-9206-B572D451ED52}"/>
    <cellStyle name="Comma 4 3 7 5 4" xfId="8381" xr:uid="{A9CD504A-5CA4-423E-BD59-CB4152244422}"/>
    <cellStyle name="Comma 4 3 7 5 4 2" xfId="44889" xr:uid="{F4A3CD2A-F972-4F6C-A4BC-0D6B722D630F}"/>
    <cellStyle name="Comma 4 3 7 5 4 3" xfId="26635" xr:uid="{83E63735-78B0-4D95-A69B-2E7870423688}"/>
    <cellStyle name="Comma 4 3 7 5 5" xfId="4731" xr:uid="{8AF6405D-EA14-40AE-B278-41B643777217}"/>
    <cellStyle name="Comma 4 3 7 5 5 2" xfId="41239" xr:uid="{D43E4C8D-8A8A-4193-871A-8C4EDEBA0B8B}"/>
    <cellStyle name="Comma 4 3 7 5 5 3" xfId="22985" xr:uid="{0409B161-5836-437E-8856-6F5DB1DB1F89}"/>
    <cellStyle name="Comma 4 3 7 5 6" xfId="37589" xr:uid="{5CB50885-42FF-4EB0-BC1D-FC96C0B10F77}"/>
    <cellStyle name="Comma 4 3 7 5 7" xfId="19335" xr:uid="{C3598002-407B-4703-8DA7-2F0A6D713AA9}"/>
    <cellStyle name="Comma 4 3 7 6" xfId="14951" xr:uid="{E9AA6191-950C-4B0B-A426-4DF543452E1B}"/>
    <cellStyle name="Comma 4 3 7 6 2" xfId="51459" xr:uid="{E6CBDB70-A577-424A-B047-173B7EAD7850}"/>
    <cellStyle name="Comma 4 3 7 6 3" xfId="33205" xr:uid="{449067B4-001B-410A-9DF0-3C186BE69D24}"/>
    <cellStyle name="Comma 4 3 7 7" xfId="11301" xr:uid="{E9DEC3C3-0206-4A7A-8EB1-4F5EC6B93D30}"/>
    <cellStyle name="Comma 4 3 7 7 2" xfId="47809" xr:uid="{BEE8CD7B-9F98-425A-B694-13FFE932680D}"/>
    <cellStyle name="Comma 4 3 7 7 3" xfId="29555" xr:uid="{D74A3AA5-A7DE-47B8-920E-F9EC1525E0DE}"/>
    <cellStyle name="Comma 4 3 7 8" xfId="7651" xr:uid="{0AB353CB-63DE-4849-B0C8-AC2F6B196D6A}"/>
    <cellStyle name="Comma 4 3 7 8 2" xfId="44159" xr:uid="{7587A6BE-EB02-4098-8B49-2CCF0BAE9DA0}"/>
    <cellStyle name="Comma 4 3 7 8 3" xfId="25905" xr:uid="{F3389535-594D-48EB-BFEE-821AD951877E}"/>
    <cellStyle name="Comma 4 3 7 9" xfId="4001" xr:uid="{319C4345-C3B3-4053-A606-C4DBA7135FAB}"/>
    <cellStyle name="Comma 4 3 7 9 2" xfId="40509" xr:uid="{D985A68A-8D26-4DD8-9904-EFEC4262B05A}"/>
    <cellStyle name="Comma 4 3 7 9 3" xfId="22255" xr:uid="{076C19A4-C063-4AF5-9145-4D4DAF3B9BD6}"/>
    <cellStyle name="Comma 4 3 8" xfId="247" xr:uid="{E068FA87-0919-4706-8345-64B35DDB9AEC}"/>
    <cellStyle name="Comma 4 3 8 10" xfId="36755" xr:uid="{5F0CF13D-2050-4DAD-8B8A-01122324F83B}"/>
    <cellStyle name="Comma 4 3 8 11" xfId="18501" xr:uid="{3E6B7DAD-F1CE-4220-8E69-CA914C1B5250}"/>
    <cellStyle name="Comma 4 3 8 2" xfId="3167" xr:uid="{5392FABA-BBBD-49CE-998B-40CA5B1DE7A1}"/>
    <cellStyle name="Comma 4 3 8 2 2" xfId="17767" xr:uid="{3F2FC297-C9E0-4FFA-B086-FE6A376150B2}"/>
    <cellStyle name="Comma 4 3 8 2 2 2" xfId="54275" xr:uid="{3CCDDE71-2156-40BC-AFBC-9647C6DABA7D}"/>
    <cellStyle name="Comma 4 3 8 2 2 3" xfId="36021" xr:uid="{15560C18-8401-4F97-8B02-4C6E20F028C7}"/>
    <cellStyle name="Comma 4 3 8 2 3" xfId="14117" xr:uid="{704472B9-6B65-4A01-99BB-C4D1DBB4A7E5}"/>
    <cellStyle name="Comma 4 3 8 2 3 2" xfId="50625" xr:uid="{FB2FB236-45A9-4442-B855-8205CF2C1657}"/>
    <cellStyle name="Comma 4 3 8 2 3 3" xfId="32371" xr:uid="{B567AE05-E0DD-40C5-8324-A4BAA8FBF545}"/>
    <cellStyle name="Comma 4 3 8 2 4" xfId="10467" xr:uid="{4A8F5F6B-B715-4F6E-A814-7EA3155D6C6B}"/>
    <cellStyle name="Comma 4 3 8 2 4 2" xfId="46975" xr:uid="{33809882-6CCA-4BB1-82D7-074BF30EEF14}"/>
    <cellStyle name="Comma 4 3 8 2 4 3" xfId="28721" xr:uid="{08542966-6C04-4AD1-8142-C022FEAC058D}"/>
    <cellStyle name="Comma 4 3 8 2 5" xfId="6817" xr:uid="{F3CCD1AB-9C14-458E-9422-1067D2FCF27F}"/>
    <cellStyle name="Comma 4 3 8 2 5 2" xfId="43325" xr:uid="{7E3B4E40-E5B8-4DED-9DE7-E4390BB2554F}"/>
    <cellStyle name="Comma 4 3 8 2 5 3" xfId="25071" xr:uid="{039D2ADB-9E89-4A06-B134-B70B6599F467}"/>
    <cellStyle name="Comma 4 3 8 2 6" xfId="39675" xr:uid="{5538524C-4DE3-4354-91AC-DCA60FD29702}"/>
    <cellStyle name="Comma 4 3 8 2 7" xfId="21421" xr:uid="{3248891E-0F17-4DC4-BB10-5F49D2BEC58C}"/>
    <cellStyle name="Comma 4 3 8 3" xfId="2437" xr:uid="{7F81DE85-FEF8-48C7-AB30-DDF5D9B65E7C}"/>
    <cellStyle name="Comma 4 3 8 3 2" xfId="17037" xr:uid="{1D5177FE-9FA2-4B40-8B5B-F15F79DA3DF4}"/>
    <cellStyle name="Comma 4 3 8 3 2 2" xfId="53545" xr:uid="{C53E1496-558B-463C-B9DA-7CA7A46C30C0}"/>
    <cellStyle name="Comma 4 3 8 3 2 3" xfId="35291" xr:uid="{E945BE6C-F228-4FDC-9340-9FB0E3F605CF}"/>
    <cellStyle name="Comma 4 3 8 3 3" xfId="13387" xr:uid="{30EB5F5C-C8CF-4A97-BB88-F7CFA1B01BAD}"/>
    <cellStyle name="Comma 4 3 8 3 3 2" xfId="49895" xr:uid="{DB4B5BC8-F2F2-4A91-B41F-82BF7BCACEFE}"/>
    <cellStyle name="Comma 4 3 8 3 3 3" xfId="31641" xr:uid="{EE174426-BD6D-4902-869B-59B1FBC4C907}"/>
    <cellStyle name="Comma 4 3 8 3 4" xfId="9737" xr:uid="{783D3528-6A82-46D3-AF8F-283DA68830B3}"/>
    <cellStyle name="Comma 4 3 8 3 4 2" xfId="46245" xr:uid="{F0BFC392-7550-430F-9382-0A06A3417A7F}"/>
    <cellStyle name="Comma 4 3 8 3 4 3" xfId="27991" xr:uid="{B524C6A0-C23F-4EDE-A040-BC34BA6E9E3B}"/>
    <cellStyle name="Comma 4 3 8 3 5" xfId="6087" xr:uid="{8444D1E4-8624-4479-A47A-24F18CA95215}"/>
    <cellStyle name="Comma 4 3 8 3 5 2" xfId="42595" xr:uid="{F82F51CA-8A75-4379-BAEC-80B7B66678E8}"/>
    <cellStyle name="Comma 4 3 8 3 5 3" xfId="24341" xr:uid="{A743E64B-1B44-48F0-B2E3-629673115093}"/>
    <cellStyle name="Comma 4 3 8 3 6" xfId="38945" xr:uid="{B7A3B889-2C85-446E-ADF3-2822C9C458D4}"/>
    <cellStyle name="Comma 4 3 8 3 7" xfId="20691" xr:uid="{446A885C-C7CC-452D-9893-199A378EA838}"/>
    <cellStyle name="Comma 4 3 8 4" xfId="1707" xr:uid="{37228310-F0DA-4AAB-BD03-6972FC8657A2}"/>
    <cellStyle name="Comma 4 3 8 4 2" xfId="16307" xr:uid="{20364997-C042-457D-B6EB-7483D0328B0B}"/>
    <cellStyle name="Comma 4 3 8 4 2 2" xfId="52815" xr:uid="{3FAB531F-5674-4D33-A12B-F1CFC6FCDB67}"/>
    <cellStyle name="Comma 4 3 8 4 2 3" xfId="34561" xr:uid="{0D30B045-5B67-40B0-9C6E-3E98BFCEC06A}"/>
    <cellStyle name="Comma 4 3 8 4 3" xfId="12657" xr:uid="{D7FCA14A-A8E0-4BC9-BFD7-CE18E7F90D92}"/>
    <cellStyle name="Comma 4 3 8 4 3 2" xfId="49165" xr:uid="{FD077C23-48CB-4451-8F73-D944D6CB604A}"/>
    <cellStyle name="Comma 4 3 8 4 3 3" xfId="30911" xr:uid="{A9A32ED7-9641-4E14-A503-44AE68F997DC}"/>
    <cellStyle name="Comma 4 3 8 4 4" xfId="9007" xr:uid="{8DD17BDD-A740-4230-A3BE-6A9B48608858}"/>
    <cellStyle name="Comma 4 3 8 4 4 2" xfId="45515" xr:uid="{84F1A228-3D8C-4B42-9065-6A139A9EA339}"/>
    <cellStyle name="Comma 4 3 8 4 4 3" xfId="27261" xr:uid="{8B8D338F-B395-4038-A6DB-BA69CA3C6A62}"/>
    <cellStyle name="Comma 4 3 8 4 5" xfId="5357" xr:uid="{3D73A3A6-274D-49EB-9951-FB00A0FD4B60}"/>
    <cellStyle name="Comma 4 3 8 4 5 2" xfId="41865" xr:uid="{7378F757-8CCE-4929-BCAF-D325C05F2C88}"/>
    <cellStyle name="Comma 4 3 8 4 5 3" xfId="23611" xr:uid="{B52A3B4E-E428-40AD-8112-A4CB98690795}"/>
    <cellStyle name="Comma 4 3 8 4 6" xfId="38215" xr:uid="{B924252B-1C42-421E-BF94-B871F8F522B7}"/>
    <cellStyle name="Comma 4 3 8 4 7" xfId="19961" xr:uid="{1CE78CAD-F88A-4583-9151-627432F9E6B1}"/>
    <cellStyle name="Comma 4 3 8 5" xfId="977" xr:uid="{E171F137-74EE-4D74-B0E6-3A34E3E16A4D}"/>
    <cellStyle name="Comma 4 3 8 5 2" xfId="15577" xr:uid="{43949994-CE71-42F2-8701-1E980406FEE1}"/>
    <cellStyle name="Comma 4 3 8 5 2 2" xfId="52085" xr:uid="{322EABD2-A3CB-45CB-B240-7C848F036E7B}"/>
    <cellStyle name="Comma 4 3 8 5 2 3" xfId="33831" xr:uid="{1950378D-1BFE-4198-B093-314FC82A381A}"/>
    <cellStyle name="Comma 4 3 8 5 3" xfId="11927" xr:uid="{A063F2FD-E5FB-45EB-8CA0-BB1A94FF08C7}"/>
    <cellStyle name="Comma 4 3 8 5 3 2" xfId="48435" xr:uid="{39366E79-60F7-4FCF-95B4-BFDABA6389DA}"/>
    <cellStyle name="Comma 4 3 8 5 3 3" xfId="30181" xr:uid="{3081AFA1-6F48-4097-9E79-0A78C4FC44AE}"/>
    <cellStyle name="Comma 4 3 8 5 4" xfId="8277" xr:uid="{566838F9-D131-40E5-A96E-50031482511F}"/>
    <cellStyle name="Comma 4 3 8 5 4 2" xfId="44785" xr:uid="{7E152EEC-A6D2-4622-A411-FAEFD22EEDFA}"/>
    <cellStyle name="Comma 4 3 8 5 4 3" xfId="26531" xr:uid="{E2FAC620-8E42-4124-96E4-3C2EF54863A6}"/>
    <cellStyle name="Comma 4 3 8 5 5" xfId="4627" xr:uid="{C6499E5F-776C-4224-8F2E-AD6AD52DF6EA}"/>
    <cellStyle name="Comma 4 3 8 5 5 2" xfId="41135" xr:uid="{920355A0-31BE-4009-B3A5-20007F0DC1AC}"/>
    <cellStyle name="Comma 4 3 8 5 5 3" xfId="22881" xr:uid="{19DF47CA-69CF-4D01-80D6-13E34CC95ACB}"/>
    <cellStyle name="Comma 4 3 8 5 6" xfId="37485" xr:uid="{1086B9DA-B215-48D8-B2AE-107D90A1A804}"/>
    <cellStyle name="Comma 4 3 8 5 7" xfId="19231" xr:uid="{FA649961-287D-47B5-B429-BC6B954DFA7C}"/>
    <cellStyle name="Comma 4 3 8 6" xfId="14847" xr:uid="{F083FACF-C6A3-4B08-BEF8-42A7B3DB3636}"/>
    <cellStyle name="Comma 4 3 8 6 2" xfId="51355" xr:uid="{A63ADCF9-6A97-42C3-9074-697C18CFC298}"/>
    <cellStyle name="Comma 4 3 8 6 3" xfId="33101" xr:uid="{FFE462CF-8457-462E-B1DD-C01F5D174A92}"/>
    <cellStyle name="Comma 4 3 8 7" xfId="11197" xr:uid="{099CB0E5-F152-4B85-ABFB-E1463CA238B3}"/>
    <cellStyle name="Comma 4 3 8 7 2" xfId="47705" xr:uid="{F162498E-BED7-4589-9130-F897D92BC287}"/>
    <cellStyle name="Comma 4 3 8 7 3" xfId="29451" xr:uid="{6894F379-CD1C-408D-8314-0E9D55412E99}"/>
    <cellStyle name="Comma 4 3 8 8" xfId="7547" xr:uid="{146504BE-7EF5-488B-807B-394BE31BFDDE}"/>
    <cellStyle name="Comma 4 3 8 8 2" xfId="44055" xr:uid="{D15B83FB-099C-4259-9A87-A4E311D6F174}"/>
    <cellStyle name="Comma 4 3 8 8 3" xfId="25801" xr:uid="{A690C68D-740F-4387-8752-A4F4C3C0A492}"/>
    <cellStyle name="Comma 4 3 8 9" xfId="3897" xr:uid="{2C218BC4-0DC5-4B28-8A9E-909AECDA5386}"/>
    <cellStyle name="Comma 4 3 8 9 2" xfId="40405" xr:uid="{292D264F-2E11-4C45-A34E-756CD742B933}"/>
    <cellStyle name="Comma 4 3 8 9 3" xfId="22151" xr:uid="{5B24A7E5-5234-496E-BE41-224732B07753}"/>
    <cellStyle name="Comma 4 3 9" xfId="143" xr:uid="{421C8DC3-1448-40C8-9B11-95A6F9DB0E02}"/>
    <cellStyle name="Comma 4 3 9 10" xfId="36651" xr:uid="{75763B2D-9940-437A-B43D-17A43EA97C32}"/>
    <cellStyle name="Comma 4 3 9 11" xfId="18397" xr:uid="{730D5150-4918-4F77-B116-5C5341E28ED8}"/>
    <cellStyle name="Comma 4 3 9 2" xfId="3063" xr:uid="{DC59E358-3E67-42ED-8A23-36E3578AF6F2}"/>
    <cellStyle name="Comma 4 3 9 2 2" xfId="17663" xr:uid="{27C47A8D-DA7F-46FB-91D9-A1308F9E33C2}"/>
    <cellStyle name="Comma 4 3 9 2 2 2" xfId="54171" xr:uid="{C980B06D-306A-4EC3-B1FE-CFC33459A7D4}"/>
    <cellStyle name="Comma 4 3 9 2 2 3" xfId="35917" xr:uid="{E6EAAA7B-2546-48F2-A62F-EA863DD7C9AA}"/>
    <cellStyle name="Comma 4 3 9 2 3" xfId="14013" xr:uid="{C9E53EBA-3E04-4679-8A3F-A8ADAB930F32}"/>
    <cellStyle name="Comma 4 3 9 2 3 2" xfId="50521" xr:uid="{C66C58B5-E0AF-4F24-8931-8DE27E8A9DF1}"/>
    <cellStyle name="Comma 4 3 9 2 3 3" xfId="32267" xr:uid="{0A23E9D7-E52F-4A7B-BB36-17745522BD3D}"/>
    <cellStyle name="Comma 4 3 9 2 4" xfId="10363" xr:uid="{8A7D5388-0B5E-4393-8282-8B943577E5AF}"/>
    <cellStyle name="Comma 4 3 9 2 4 2" xfId="46871" xr:uid="{EBF29AB3-A1A1-4A1C-ACB7-C26D5D93FC63}"/>
    <cellStyle name="Comma 4 3 9 2 4 3" xfId="28617" xr:uid="{AED434F0-B459-44C3-A571-F7262FC16F2C}"/>
    <cellStyle name="Comma 4 3 9 2 5" xfId="6713" xr:uid="{DD5AB42C-AE9E-466D-B86C-664609121900}"/>
    <cellStyle name="Comma 4 3 9 2 5 2" xfId="43221" xr:uid="{6CA88601-4C75-44CC-90AD-DF573D031EB8}"/>
    <cellStyle name="Comma 4 3 9 2 5 3" xfId="24967" xr:uid="{2793BD5C-6D4E-4B47-B77E-A4A43B02E526}"/>
    <cellStyle name="Comma 4 3 9 2 6" xfId="39571" xr:uid="{2E03DA66-735F-4E5D-85B4-3B05868D595D}"/>
    <cellStyle name="Comma 4 3 9 2 7" xfId="21317" xr:uid="{8D050395-8F3D-493C-AE77-0B72BB060748}"/>
    <cellStyle name="Comma 4 3 9 3" xfId="2333" xr:uid="{8F71D87F-04E2-453C-8850-B9A52D4FFCC0}"/>
    <cellStyle name="Comma 4 3 9 3 2" xfId="16933" xr:uid="{F93BE1D5-D126-4FE6-9CA0-6CC196A48300}"/>
    <cellStyle name="Comma 4 3 9 3 2 2" xfId="53441" xr:uid="{38511941-D111-48F7-8E1B-93BBF7E18201}"/>
    <cellStyle name="Comma 4 3 9 3 2 3" xfId="35187" xr:uid="{BDC333B6-9B3C-4C66-B193-B7F01575297B}"/>
    <cellStyle name="Comma 4 3 9 3 3" xfId="13283" xr:uid="{D0F2428B-4DCB-4A6D-AE49-C6B00433C7E1}"/>
    <cellStyle name="Comma 4 3 9 3 3 2" xfId="49791" xr:uid="{EB6E0482-CB2D-4879-A693-F3FA87F11E3E}"/>
    <cellStyle name="Comma 4 3 9 3 3 3" xfId="31537" xr:uid="{0499C0F3-7F26-48DC-8173-3B7A2C325A93}"/>
    <cellStyle name="Comma 4 3 9 3 4" xfId="9633" xr:uid="{B0F74A7F-5C57-4C7D-BF62-96C700B65451}"/>
    <cellStyle name="Comma 4 3 9 3 4 2" xfId="46141" xr:uid="{63CCE555-5B30-4440-8805-9BB1EB5B3133}"/>
    <cellStyle name="Comma 4 3 9 3 4 3" xfId="27887" xr:uid="{0AC409FB-D76B-4614-9074-B2B0D88F2CA5}"/>
    <cellStyle name="Comma 4 3 9 3 5" xfId="5983" xr:uid="{DE2AB669-CD55-4686-A6A0-56317871F97F}"/>
    <cellStyle name="Comma 4 3 9 3 5 2" xfId="42491" xr:uid="{36AF607C-F9DD-44C4-9E05-17F7EEFD39A7}"/>
    <cellStyle name="Comma 4 3 9 3 5 3" xfId="24237" xr:uid="{50DDDC4A-6DDF-4FF1-911C-DC16A31EB12B}"/>
    <cellStyle name="Comma 4 3 9 3 6" xfId="38841" xr:uid="{17BAB87A-68A3-449E-80B9-F1F748ABA766}"/>
    <cellStyle name="Comma 4 3 9 3 7" xfId="20587" xr:uid="{1C115823-7A03-45FA-A7AB-B56FEFD67CA3}"/>
    <cellStyle name="Comma 4 3 9 4" xfId="1603" xr:uid="{F229CAC3-8643-4174-A349-142A098E96A4}"/>
    <cellStyle name="Comma 4 3 9 4 2" xfId="16203" xr:uid="{22FAC9D3-1D65-4052-9672-C8E95F68017C}"/>
    <cellStyle name="Comma 4 3 9 4 2 2" xfId="52711" xr:uid="{DD4140C4-AE85-4C1C-BAEE-A4AE37FD0AC8}"/>
    <cellStyle name="Comma 4 3 9 4 2 3" xfId="34457" xr:uid="{069F0329-55DA-40AC-8D9B-0512CB421731}"/>
    <cellStyle name="Comma 4 3 9 4 3" xfId="12553" xr:uid="{E33A45F6-EE31-46C2-8FB4-242CBFC8C1B1}"/>
    <cellStyle name="Comma 4 3 9 4 3 2" xfId="49061" xr:uid="{1913B543-4C0C-418A-B8F7-AC5E0BAC1689}"/>
    <cellStyle name="Comma 4 3 9 4 3 3" xfId="30807" xr:uid="{318A747C-E465-4471-8DE8-7F76B415EC05}"/>
    <cellStyle name="Comma 4 3 9 4 4" xfId="8903" xr:uid="{4474538F-89C6-4853-A994-2FCE326F99A7}"/>
    <cellStyle name="Comma 4 3 9 4 4 2" xfId="45411" xr:uid="{9E8C0F86-698D-4B43-BF7D-F0A5EDB9AAFC}"/>
    <cellStyle name="Comma 4 3 9 4 4 3" xfId="27157" xr:uid="{8388BB3A-DFB4-440A-BB2D-A7B2A10A3769}"/>
    <cellStyle name="Comma 4 3 9 4 5" xfId="5253" xr:uid="{846FCE12-D785-461C-9841-784EEC4894E9}"/>
    <cellStyle name="Comma 4 3 9 4 5 2" xfId="41761" xr:uid="{1449D5C2-5D74-46DE-8A85-9B8C78C3CC5C}"/>
    <cellStyle name="Comma 4 3 9 4 5 3" xfId="23507" xr:uid="{782368B5-61A1-4113-BB2D-A03CB0CA9AF5}"/>
    <cellStyle name="Comma 4 3 9 4 6" xfId="38111" xr:uid="{8FBEC94B-0D02-4881-9793-536722B6BB75}"/>
    <cellStyle name="Comma 4 3 9 4 7" xfId="19857" xr:uid="{05AB7E8E-2F79-48BB-B43E-B05FC1B0EB91}"/>
    <cellStyle name="Comma 4 3 9 5" xfId="873" xr:uid="{66086970-311A-4550-8A58-017CCA1FA651}"/>
    <cellStyle name="Comma 4 3 9 5 2" xfId="15473" xr:uid="{0FFED0F7-0AB0-4272-8442-D1C44B4D1974}"/>
    <cellStyle name="Comma 4 3 9 5 2 2" xfId="51981" xr:uid="{46C61A93-E1DD-419A-A4ED-BA5518CBAACE}"/>
    <cellStyle name="Comma 4 3 9 5 2 3" xfId="33727" xr:uid="{960C3A8A-645F-4E68-84BC-390167DE6913}"/>
    <cellStyle name="Comma 4 3 9 5 3" xfId="11823" xr:uid="{8C7A5AC0-EA93-4EA0-9078-578702C93002}"/>
    <cellStyle name="Comma 4 3 9 5 3 2" xfId="48331" xr:uid="{0916C1CB-956C-430F-A663-559A49AB8185}"/>
    <cellStyle name="Comma 4 3 9 5 3 3" xfId="30077" xr:uid="{0E19AF33-FCA3-45E9-951E-07AE3D13BC02}"/>
    <cellStyle name="Comma 4 3 9 5 4" xfId="8173" xr:uid="{E0DCC617-5CFA-4CAB-93AB-10D3EB1B136E}"/>
    <cellStyle name="Comma 4 3 9 5 4 2" xfId="44681" xr:uid="{F2B14CCF-A7B3-4DCE-8BD5-7049852ECD9B}"/>
    <cellStyle name="Comma 4 3 9 5 4 3" xfId="26427" xr:uid="{127D00F5-96F7-4D90-AA96-5C9F789CE4C1}"/>
    <cellStyle name="Comma 4 3 9 5 5" xfId="4523" xr:uid="{3A69728F-70D4-4ACD-A01E-1EF6E936B7DD}"/>
    <cellStyle name="Comma 4 3 9 5 5 2" xfId="41031" xr:uid="{FB702DF3-10E1-435B-B91E-E4C2851081C8}"/>
    <cellStyle name="Comma 4 3 9 5 5 3" xfId="22777" xr:uid="{B7D36066-8CAC-483B-A747-26C56D178B80}"/>
    <cellStyle name="Comma 4 3 9 5 6" xfId="37381" xr:uid="{685A3C1B-0752-4A3B-964B-59351E8A0407}"/>
    <cellStyle name="Comma 4 3 9 5 7" xfId="19127" xr:uid="{72618F39-8496-428B-9834-328BCC56925F}"/>
    <cellStyle name="Comma 4 3 9 6" xfId="14743" xr:uid="{A684F322-425D-45C0-82E0-36C9B8A30F18}"/>
    <cellStyle name="Comma 4 3 9 6 2" xfId="51251" xr:uid="{D9FDC569-2620-4D36-AD4D-584982F504AD}"/>
    <cellStyle name="Comma 4 3 9 6 3" xfId="32997" xr:uid="{F0C6ED80-D9BF-4594-BCCA-572AF3A58D70}"/>
    <cellStyle name="Comma 4 3 9 7" xfId="11093" xr:uid="{90AF64E5-07E9-412C-B98B-98B8B7049B37}"/>
    <cellStyle name="Comma 4 3 9 7 2" xfId="47601" xr:uid="{2E288F39-ECFF-4346-B6C6-F1A7B202A92D}"/>
    <cellStyle name="Comma 4 3 9 7 3" xfId="29347" xr:uid="{3F701593-D575-4A56-9917-2A1C495DA118}"/>
    <cellStyle name="Comma 4 3 9 8" xfId="7443" xr:uid="{039F46B8-6EC2-4803-845F-E4AB31DB08E1}"/>
    <cellStyle name="Comma 4 3 9 8 2" xfId="43951" xr:uid="{E86FDC6A-13B6-446C-9676-D0B4EE050EFD}"/>
    <cellStyle name="Comma 4 3 9 8 3" xfId="25697" xr:uid="{9602F1FF-E3DE-4D0D-9F63-7DDB8ADA5D6C}"/>
    <cellStyle name="Comma 4 3 9 9" xfId="3793" xr:uid="{BEA878C1-9A6D-4895-B2C1-5F2D51C00E99}"/>
    <cellStyle name="Comma 4 3 9 9 2" xfId="40301" xr:uid="{0927D2BD-1D0B-4E6E-BD09-6FCB51BE7807}"/>
    <cellStyle name="Comma 4 3 9 9 3" xfId="22047" xr:uid="{6AF23DEB-2091-4DB2-B505-20C8DDE81B40}"/>
    <cellStyle name="Comma 4 4" xfId="87" xr:uid="{18F17EDB-2017-4022-86A9-A37B0C5EAF79}"/>
    <cellStyle name="Comma 4 4 10" xfId="1547" xr:uid="{59912F6B-C099-4E78-B29E-1E9E2D29796F}"/>
    <cellStyle name="Comma 4 4 10 2" xfId="16147" xr:uid="{6F44B91B-7648-4188-9F47-BD9F63BF52C8}"/>
    <cellStyle name="Comma 4 4 10 2 2" xfId="52655" xr:uid="{B175060B-951D-442A-AFBC-F951320BDE07}"/>
    <cellStyle name="Comma 4 4 10 2 3" xfId="34401" xr:uid="{59A559C3-8C1A-45DC-A210-BCE5E74D585A}"/>
    <cellStyle name="Comma 4 4 10 3" xfId="12497" xr:uid="{AD9D11D6-BE97-48A3-9FA8-CC8CCAFB7AD6}"/>
    <cellStyle name="Comma 4 4 10 3 2" xfId="49005" xr:uid="{6FFBA518-D36A-47EE-8B32-6454F7D5D388}"/>
    <cellStyle name="Comma 4 4 10 3 3" xfId="30751" xr:uid="{BB7AB964-4519-46C3-B731-B775411FB5AF}"/>
    <cellStyle name="Comma 4 4 10 4" xfId="8847" xr:uid="{C1F0C5E2-491B-4274-ADB6-DFDA828EFA66}"/>
    <cellStyle name="Comma 4 4 10 4 2" xfId="45355" xr:uid="{590E45D9-19CC-49F0-ADED-AD22961375D1}"/>
    <cellStyle name="Comma 4 4 10 4 3" xfId="27101" xr:uid="{1E588A95-7703-4AB3-875D-F4609F891304}"/>
    <cellStyle name="Comma 4 4 10 5" xfId="5197" xr:uid="{BC50495C-95A7-4551-9A3A-A00C13AFBD92}"/>
    <cellStyle name="Comma 4 4 10 5 2" xfId="41705" xr:uid="{93DB9C70-1522-4770-B934-C18A48EE3DD7}"/>
    <cellStyle name="Comma 4 4 10 5 3" xfId="23451" xr:uid="{E0ED8CB1-27A8-4EC3-BF4C-CBE39F22B02A}"/>
    <cellStyle name="Comma 4 4 10 6" xfId="38055" xr:uid="{79020BE1-8A2A-4A17-B184-DFEDB7D5A2E6}"/>
    <cellStyle name="Comma 4 4 10 7" xfId="19801" xr:uid="{9C0942E4-6AC8-4D35-8B4C-3A83087E690B}"/>
    <cellStyle name="Comma 4 4 11" xfId="817" xr:uid="{76EAC60D-3435-4D93-BE28-99CE821C2E3B}"/>
    <cellStyle name="Comma 4 4 11 2" xfId="15417" xr:uid="{617A97C0-6756-4461-ADC2-C75ECF485DAA}"/>
    <cellStyle name="Comma 4 4 11 2 2" xfId="51925" xr:uid="{FFD3E2E8-BA05-4E39-A786-75E5D7943DF2}"/>
    <cellStyle name="Comma 4 4 11 2 3" xfId="33671" xr:uid="{EA3C7052-6E80-436C-8E3A-B7D2C3CF3399}"/>
    <cellStyle name="Comma 4 4 11 3" xfId="11767" xr:uid="{004B076F-F10B-4519-95E2-E50FA1C9A11C}"/>
    <cellStyle name="Comma 4 4 11 3 2" xfId="48275" xr:uid="{5941E97D-63F0-4C82-9547-23A60CD91014}"/>
    <cellStyle name="Comma 4 4 11 3 3" xfId="30021" xr:uid="{A0CA6AD8-9422-4CA6-8F3B-8A0F36EC3A27}"/>
    <cellStyle name="Comma 4 4 11 4" xfId="8117" xr:uid="{CC006945-2DDA-4D4D-A4A6-6CB2FDC5D590}"/>
    <cellStyle name="Comma 4 4 11 4 2" xfId="44625" xr:uid="{552E5070-488C-4631-A446-F80C92511F76}"/>
    <cellStyle name="Comma 4 4 11 4 3" xfId="26371" xr:uid="{548F3984-4D80-4C03-B628-2DCCF1750369}"/>
    <cellStyle name="Comma 4 4 11 5" xfId="4467" xr:uid="{35E1E550-39CD-4FFC-B31A-C2344D59D95A}"/>
    <cellStyle name="Comma 4 4 11 5 2" xfId="40975" xr:uid="{A45B0D2E-99AF-4D01-9D7F-E2510460CE57}"/>
    <cellStyle name="Comma 4 4 11 5 3" xfId="22721" xr:uid="{0C6444EF-53C4-422F-8710-939860817038}"/>
    <cellStyle name="Comma 4 4 11 6" xfId="37325" xr:uid="{46742CBB-1F1A-447B-91F0-A81A4F3C45C4}"/>
    <cellStyle name="Comma 4 4 11 7" xfId="19071" xr:uid="{819FC849-19C1-4AB1-8A71-4F21C51620BC}"/>
    <cellStyle name="Comma 4 4 12" xfId="14687" xr:uid="{7C74582D-26DC-49AE-BEDA-FAE71BB9DD43}"/>
    <cellStyle name="Comma 4 4 12 2" xfId="51195" xr:uid="{4E41DD86-D40F-497E-AB20-358CB23EFBCF}"/>
    <cellStyle name="Comma 4 4 12 3" xfId="32941" xr:uid="{7BE1F75E-23C2-43DB-8D0D-9119880474B5}"/>
    <cellStyle name="Comma 4 4 13" xfId="11037" xr:uid="{86C496BD-5C73-4AC0-8EC9-AE43411874EC}"/>
    <cellStyle name="Comma 4 4 13 2" xfId="47545" xr:uid="{4C0951B0-ECDC-41AF-954C-31A3731FE8CE}"/>
    <cellStyle name="Comma 4 4 13 3" xfId="29291" xr:uid="{CA5A7A5D-F3A3-48D0-82D3-F3A4FF8ED8CE}"/>
    <cellStyle name="Comma 4 4 14" xfId="7387" xr:uid="{7995C2A1-0643-4792-8E5C-0EA3A945B4CF}"/>
    <cellStyle name="Comma 4 4 14 2" xfId="43895" xr:uid="{95115FE8-ABA7-4581-9A7C-232519113FF5}"/>
    <cellStyle name="Comma 4 4 14 3" xfId="25641" xr:uid="{2E130B27-ABD6-42EC-B8DC-3EAEBC43AFF5}"/>
    <cellStyle name="Comma 4 4 15" xfId="3737" xr:uid="{7FAE2963-BAB7-4C2F-B0C0-214E0F23052F}"/>
    <cellStyle name="Comma 4 4 15 2" xfId="40245" xr:uid="{ABA26F6A-63FD-4B3F-8059-99F61CE287A1}"/>
    <cellStyle name="Comma 4 4 15 3" xfId="21991" xr:uid="{F7259F58-6E5B-438F-97B5-2E1DF0B43053}"/>
    <cellStyle name="Comma 4 4 16" xfId="36595" xr:uid="{D71F699D-F35B-4DC6-A141-D84A9CF735A9}"/>
    <cellStyle name="Comma 4 4 17" xfId="18341" xr:uid="{6861931C-D169-45BB-9C6F-CCA9DD67B041}"/>
    <cellStyle name="Comma 4 4 2" xfId="711" xr:uid="{416A89BF-5D3B-41EC-9165-24F4FF06FDC1}"/>
    <cellStyle name="Comma 4 4 2 10" xfId="37219" xr:uid="{5F54AA1E-95FB-4601-8E5A-29A998794F97}"/>
    <cellStyle name="Comma 4 4 2 11" xfId="18965" xr:uid="{A0269BD3-5E9E-48A1-BDBE-99AFA1FB8794}"/>
    <cellStyle name="Comma 4 4 2 2" xfId="3631" xr:uid="{A1B89997-93C8-4B86-877F-C36F3EDBE6AF}"/>
    <cellStyle name="Comma 4 4 2 2 2" xfId="18231" xr:uid="{AEC2B100-0729-4FEC-8BC6-A4F95A8D7254}"/>
    <cellStyle name="Comma 4 4 2 2 2 2" xfId="54739" xr:uid="{4F14D717-9FEB-4A74-BF05-EDBDAD6F3817}"/>
    <cellStyle name="Comma 4 4 2 2 2 3" xfId="36485" xr:uid="{2A55F2A8-FA0F-473D-B881-45BBD7C8F105}"/>
    <cellStyle name="Comma 4 4 2 2 3" xfId="14581" xr:uid="{FC5DC3CC-00BE-4281-8787-5D151B0279BF}"/>
    <cellStyle name="Comma 4 4 2 2 3 2" xfId="51089" xr:uid="{C8B79B94-F847-4854-BBEF-E7EF80A0F163}"/>
    <cellStyle name="Comma 4 4 2 2 3 3" xfId="32835" xr:uid="{DE15BCE7-AAE6-473F-A791-FEE33D49C661}"/>
    <cellStyle name="Comma 4 4 2 2 4" xfId="10931" xr:uid="{9FC6AFC6-D095-4C2A-9AE0-88B810363C8C}"/>
    <cellStyle name="Comma 4 4 2 2 4 2" xfId="47439" xr:uid="{C915EE24-FF24-4F85-8668-88C36DC009A5}"/>
    <cellStyle name="Comma 4 4 2 2 4 3" xfId="29185" xr:uid="{22D63B61-2984-46FA-97A2-C10AA157ECFF}"/>
    <cellStyle name="Comma 4 4 2 2 5" xfId="7281" xr:uid="{7919DF0F-579A-4371-9637-485B02F89198}"/>
    <cellStyle name="Comma 4 4 2 2 5 2" xfId="43789" xr:uid="{0C47457C-2465-4AC4-ACF9-6DBFDB11511B}"/>
    <cellStyle name="Comma 4 4 2 2 5 3" xfId="25535" xr:uid="{C5AAD952-47D2-4C17-924E-EC3552DA8B2A}"/>
    <cellStyle name="Comma 4 4 2 2 6" xfId="40139" xr:uid="{153354C6-4E95-45C1-A2C8-8A12062A33AF}"/>
    <cellStyle name="Comma 4 4 2 2 7" xfId="21885" xr:uid="{3CA1C4FE-3F77-4AFB-89A5-5D0BE83363E9}"/>
    <cellStyle name="Comma 4 4 2 3" xfId="2901" xr:uid="{94EA732B-EBAE-4D55-9F5F-3682CB885C35}"/>
    <cellStyle name="Comma 4 4 2 3 2" xfId="17501" xr:uid="{395DB0FE-815F-454F-BE17-5049C323CB28}"/>
    <cellStyle name="Comma 4 4 2 3 2 2" xfId="54009" xr:uid="{F05E8CFD-964C-453F-88BB-89586E9566D7}"/>
    <cellStyle name="Comma 4 4 2 3 2 3" xfId="35755" xr:uid="{7C485CDF-18D0-40D1-BB57-1B23792017FE}"/>
    <cellStyle name="Comma 4 4 2 3 3" xfId="13851" xr:uid="{D0FBA616-389F-4B3A-90D4-275F644B0572}"/>
    <cellStyle name="Comma 4 4 2 3 3 2" xfId="50359" xr:uid="{FA3A83D2-77BF-4815-A5ED-70879ED316F4}"/>
    <cellStyle name="Comma 4 4 2 3 3 3" xfId="32105" xr:uid="{934B82E5-5DC1-481E-ACE4-708007AD60EA}"/>
    <cellStyle name="Comma 4 4 2 3 4" xfId="10201" xr:uid="{2282AF45-8388-4F2A-94C9-ABD8EF7A452A}"/>
    <cellStyle name="Comma 4 4 2 3 4 2" xfId="46709" xr:uid="{73741E33-2318-4610-8D90-C1D247A5B4F7}"/>
    <cellStyle name="Comma 4 4 2 3 4 3" xfId="28455" xr:uid="{C42ED95E-0FDC-4803-A310-FA42A84350B8}"/>
    <cellStyle name="Comma 4 4 2 3 5" xfId="6551" xr:uid="{401D22EF-EE3B-4462-8B13-3A05B6BD762B}"/>
    <cellStyle name="Comma 4 4 2 3 5 2" xfId="43059" xr:uid="{071F1779-228B-4122-ACC9-7C527D8DAF35}"/>
    <cellStyle name="Comma 4 4 2 3 5 3" xfId="24805" xr:uid="{9090179E-50AA-40E6-AE8F-183E87F20001}"/>
    <cellStyle name="Comma 4 4 2 3 6" xfId="39409" xr:uid="{621EF423-BE95-4030-8499-C66FD765185A}"/>
    <cellStyle name="Comma 4 4 2 3 7" xfId="21155" xr:uid="{C8723243-126A-4E63-B504-016AAF55909E}"/>
    <cellStyle name="Comma 4 4 2 4" xfId="2171" xr:uid="{E505AA7A-E02B-4DF0-B6CB-CCDB95EAD84E}"/>
    <cellStyle name="Comma 4 4 2 4 2" xfId="16771" xr:uid="{E9E1C5D4-50D6-4F8B-8D8D-9DDB8DCEF900}"/>
    <cellStyle name="Comma 4 4 2 4 2 2" xfId="53279" xr:uid="{EEC667EA-201E-4D27-A875-2B2D8E41FC05}"/>
    <cellStyle name="Comma 4 4 2 4 2 3" xfId="35025" xr:uid="{5A975F14-E31B-4530-91AA-769D0EBFD1D3}"/>
    <cellStyle name="Comma 4 4 2 4 3" xfId="13121" xr:uid="{9C0B327E-3CAF-4E04-8CBB-12F196BBF17E}"/>
    <cellStyle name="Comma 4 4 2 4 3 2" xfId="49629" xr:uid="{99A0D7A4-B1E3-4274-9F2B-16303F2FFB0A}"/>
    <cellStyle name="Comma 4 4 2 4 3 3" xfId="31375" xr:uid="{1C5FD98B-23EE-4169-BFD7-0B7C51E3F7A4}"/>
    <cellStyle name="Comma 4 4 2 4 4" xfId="9471" xr:uid="{D8085DF2-2002-458D-B9B4-80D7A7BA7A86}"/>
    <cellStyle name="Comma 4 4 2 4 4 2" xfId="45979" xr:uid="{9687C2F3-6E73-407B-B901-1722EE309E15}"/>
    <cellStyle name="Comma 4 4 2 4 4 3" xfId="27725" xr:uid="{4BF957CF-AF68-4A6B-B7B9-B8CA4262B3DF}"/>
    <cellStyle name="Comma 4 4 2 4 5" xfId="5821" xr:uid="{56BC15BE-A944-40D0-9D77-C35B00D9DF7B}"/>
    <cellStyle name="Comma 4 4 2 4 5 2" xfId="42329" xr:uid="{9A328799-72CB-4AE9-94A9-CE2EBE5D171B}"/>
    <cellStyle name="Comma 4 4 2 4 5 3" xfId="24075" xr:uid="{B9797E77-B5D4-4D81-919D-8754C26652D5}"/>
    <cellStyle name="Comma 4 4 2 4 6" xfId="38679" xr:uid="{8A4F5D8A-874B-4C2E-9FDD-0E8C564395B7}"/>
    <cellStyle name="Comma 4 4 2 4 7" xfId="20425" xr:uid="{8A74C451-CEF6-43A0-BBD7-0ECAFC631359}"/>
    <cellStyle name="Comma 4 4 2 5" xfId="1441" xr:uid="{F34659B6-30C8-445A-B00D-F407D93FCBE1}"/>
    <cellStyle name="Comma 4 4 2 5 2" xfId="16041" xr:uid="{3F3F5C31-5DB9-4BC6-B9FC-F1DA6BB288FD}"/>
    <cellStyle name="Comma 4 4 2 5 2 2" xfId="52549" xr:uid="{BECED1B2-7D0F-4BD3-8553-9FF4796D77DD}"/>
    <cellStyle name="Comma 4 4 2 5 2 3" xfId="34295" xr:uid="{9AB7356B-3BFA-4478-B67B-47E6025E9F74}"/>
    <cellStyle name="Comma 4 4 2 5 3" xfId="12391" xr:uid="{3CD0C2D2-0083-4FDF-97C7-CA81A1444C1B}"/>
    <cellStyle name="Comma 4 4 2 5 3 2" xfId="48899" xr:uid="{51800C17-2D4E-4659-85EC-17E68BFD36A4}"/>
    <cellStyle name="Comma 4 4 2 5 3 3" xfId="30645" xr:uid="{B2A11983-AE3D-454C-97D8-50A4C88CF466}"/>
    <cellStyle name="Comma 4 4 2 5 4" xfId="8741" xr:uid="{E057EDBA-1CC6-40AB-B0B8-7EDF9D6A8B62}"/>
    <cellStyle name="Comma 4 4 2 5 4 2" xfId="45249" xr:uid="{F97C70D7-8670-418D-87C7-24223C6C3B15}"/>
    <cellStyle name="Comma 4 4 2 5 4 3" xfId="26995" xr:uid="{5327186D-129D-4FCA-B064-E5CD245166D5}"/>
    <cellStyle name="Comma 4 4 2 5 5" xfId="5091" xr:uid="{ADDBE104-773D-4511-8005-F1593FE08876}"/>
    <cellStyle name="Comma 4 4 2 5 5 2" xfId="41599" xr:uid="{E0A435E2-0778-48B6-AEF1-3F14F11EF249}"/>
    <cellStyle name="Comma 4 4 2 5 5 3" xfId="23345" xr:uid="{D96EAE2C-13AE-4F0E-932C-766154B46CED}"/>
    <cellStyle name="Comma 4 4 2 5 6" xfId="37949" xr:uid="{4F1080F6-9ADE-4FDF-A180-0F540823BDFC}"/>
    <cellStyle name="Comma 4 4 2 5 7" xfId="19695" xr:uid="{AB1A450C-110A-4A8B-8A08-FEF45B12ED33}"/>
    <cellStyle name="Comma 4 4 2 6" xfId="15311" xr:uid="{3A5B4BBF-B8AF-4503-8EAF-82D233CBABB3}"/>
    <cellStyle name="Comma 4 4 2 6 2" xfId="51819" xr:uid="{5D15F12E-662E-406E-B725-4EA0FFF1F50F}"/>
    <cellStyle name="Comma 4 4 2 6 3" xfId="33565" xr:uid="{3332D3A2-6D1D-4983-A037-F068F1380C63}"/>
    <cellStyle name="Comma 4 4 2 7" xfId="11661" xr:uid="{5626A853-BD30-4399-9203-7592618C5AB4}"/>
    <cellStyle name="Comma 4 4 2 7 2" xfId="48169" xr:uid="{58ABE94B-C115-42FE-94EB-0D35C4754FEE}"/>
    <cellStyle name="Comma 4 4 2 7 3" xfId="29915" xr:uid="{C61259F3-C019-469F-913A-147193C13C92}"/>
    <cellStyle name="Comma 4 4 2 8" xfId="8011" xr:uid="{04F12AE0-E9A3-4FB8-8E50-24010A1C1FA7}"/>
    <cellStyle name="Comma 4 4 2 8 2" xfId="44519" xr:uid="{046ACBC6-E786-4D59-80B1-77382C3C4E51}"/>
    <cellStyle name="Comma 4 4 2 8 3" xfId="26265" xr:uid="{E8A76368-FCEE-4C12-BC2A-E49BF2F75140}"/>
    <cellStyle name="Comma 4 4 2 9" xfId="4361" xr:uid="{D3617460-526C-420E-A35B-12828F067467}"/>
    <cellStyle name="Comma 4 4 2 9 2" xfId="40869" xr:uid="{F1460D50-9739-4293-86C0-47667755C514}"/>
    <cellStyle name="Comma 4 4 2 9 3" xfId="22615" xr:uid="{32045700-5F37-4539-82F8-498ABC8EEE07}"/>
    <cellStyle name="Comma 4 4 3" xfId="607" xr:uid="{60298910-68CB-4C0E-863E-463FD1F20AAF}"/>
    <cellStyle name="Comma 4 4 3 10" xfId="37115" xr:uid="{D45F2DD9-FFFF-462F-9576-2924B79350F0}"/>
    <cellStyle name="Comma 4 4 3 11" xfId="18861" xr:uid="{53E9FE14-0B17-4BE9-990C-AB6103A302E1}"/>
    <cellStyle name="Comma 4 4 3 2" xfId="3527" xr:uid="{96595820-FE01-46B7-A171-CE52A33CA637}"/>
    <cellStyle name="Comma 4 4 3 2 2" xfId="18127" xr:uid="{C6F437DA-AA85-46A0-ABA3-7E43D08E7F8A}"/>
    <cellStyle name="Comma 4 4 3 2 2 2" xfId="54635" xr:uid="{5DCF2171-626D-4EB1-B057-BD39C262F05F}"/>
    <cellStyle name="Comma 4 4 3 2 2 3" xfId="36381" xr:uid="{8171022C-68FA-4C6F-9B34-2559E6EE8468}"/>
    <cellStyle name="Comma 4 4 3 2 3" xfId="14477" xr:uid="{1523C178-C728-435F-98B3-7F159BE93B37}"/>
    <cellStyle name="Comma 4 4 3 2 3 2" xfId="50985" xr:uid="{9309C3EB-F4E3-497B-AD3C-039384634A9C}"/>
    <cellStyle name="Comma 4 4 3 2 3 3" xfId="32731" xr:uid="{5DD1F016-5BA7-42B9-A0F8-AF68E84BF451}"/>
    <cellStyle name="Comma 4 4 3 2 4" xfId="10827" xr:uid="{0470EBBA-3A85-4412-B686-B0D9C1783677}"/>
    <cellStyle name="Comma 4 4 3 2 4 2" xfId="47335" xr:uid="{5CB93C22-6C92-4A28-83A6-FB2D0E61B853}"/>
    <cellStyle name="Comma 4 4 3 2 4 3" xfId="29081" xr:uid="{D2341095-6C1F-4D90-9F39-DA17A9E8D12D}"/>
    <cellStyle name="Comma 4 4 3 2 5" xfId="7177" xr:uid="{198C8034-B210-497D-A7A2-C7B3AEB2BAC1}"/>
    <cellStyle name="Comma 4 4 3 2 5 2" xfId="43685" xr:uid="{633C4344-9335-419D-8D74-0F1F4719C290}"/>
    <cellStyle name="Comma 4 4 3 2 5 3" xfId="25431" xr:uid="{2D277C1F-FC9E-4E00-8382-FBAED7A038C1}"/>
    <cellStyle name="Comma 4 4 3 2 6" xfId="40035" xr:uid="{B7F9F7BD-F9B8-418A-B37A-1A4DF9199D38}"/>
    <cellStyle name="Comma 4 4 3 2 7" xfId="21781" xr:uid="{4A8C2DB5-997F-490A-AE94-4118F1851AE9}"/>
    <cellStyle name="Comma 4 4 3 3" xfId="2797" xr:uid="{075F3DDA-7A36-4CFC-8776-CA9BCA511B77}"/>
    <cellStyle name="Comma 4 4 3 3 2" xfId="17397" xr:uid="{0E3CEA95-BD36-47AF-8E61-C350EFBD6658}"/>
    <cellStyle name="Comma 4 4 3 3 2 2" xfId="53905" xr:uid="{47BA1565-A51C-46AD-AAF2-DC0E6BE1167A}"/>
    <cellStyle name="Comma 4 4 3 3 2 3" xfId="35651" xr:uid="{D137C3AC-18F4-450E-BA56-33E82A7DD8EB}"/>
    <cellStyle name="Comma 4 4 3 3 3" xfId="13747" xr:uid="{1F975D7E-9992-4EEA-8E84-EB89B1AE345B}"/>
    <cellStyle name="Comma 4 4 3 3 3 2" xfId="50255" xr:uid="{FE76B5C1-34FB-4626-9C7C-4AE05BB21906}"/>
    <cellStyle name="Comma 4 4 3 3 3 3" xfId="32001" xr:uid="{965A6D07-E317-4402-80D8-18EEBB271AFA}"/>
    <cellStyle name="Comma 4 4 3 3 4" xfId="10097" xr:uid="{12290740-3882-40F0-A784-3E0860174CE0}"/>
    <cellStyle name="Comma 4 4 3 3 4 2" xfId="46605" xr:uid="{3FC7D383-6D75-40A6-96F7-2F35B7BC058F}"/>
    <cellStyle name="Comma 4 4 3 3 4 3" xfId="28351" xr:uid="{2BF1CFAA-52AC-457F-9A82-E5439BDB18D1}"/>
    <cellStyle name="Comma 4 4 3 3 5" xfId="6447" xr:uid="{F42E4009-60C8-4F29-8AFB-B409407F8C80}"/>
    <cellStyle name="Comma 4 4 3 3 5 2" xfId="42955" xr:uid="{93EE8B5A-B622-4348-BD86-E24F1F4CEC25}"/>
    <cellStyle name="Comma 4 4 3 3 5 3" xfId="24701" xr:uid="{970B974D-52AA-4CC8-82B0-0382CDE521EA}"/>
    <cellStyle name="Comma 4 4 3 3 6" xfId="39305" xr:uid="{A679CB29-0E97-44FE-A1E2-48546CD0D940}"/>
    <cellStyle name="Comma 4 4 3 3 7" xfId="21051" xr:uid="{ECE2270A-8B3C-46E3-8BA9-93E58CBECACE}"/>
    <cellStyle name="Comma 4 4 3 4" xfId="2067" xr:uid="{B995DFC9-0E2E-445F-82E6-1898E83EB33D}"/>
    <cellStyle name="Comma 4 4 3 4 2" xfId="16667" xr:uid="{47D68056-3A6C-4D24-B27A-3E416DEDE684}"/>
    <cellStyle name="Comma 4 4 3 4 2 2" xfId="53175" xr:uid="{1EF40BF9-5B61-446B-8EEE-9009C2DE3BC8}"/>
    <cellStyle name="Comma 4 4 3 4 2 3" xfId="34921" xr:uid="{87B59C2E-2C23-488B-9E1C-67D37945DCEC}"/>
    <cellStyle name="Comma 4 4 3 4 3" xfId="13017" xr:uid="{18C19D28-DF5A-409A-A78B-4F2CFE5CA9E6}"/>
    <cellStyle name="Comma 4 4 3 4 3 2" xfId="49525" xr:uid="{36CCC440-2515-4E96-A0CE-1AF5EB6A5B73}"/>
    <cellStyle name="Comma 4 4 3 4 3 3" xfId="31271" xr:uid="{E2C302A8-777F-49ED-A01A-AAB8811AD2A2}"/>
    <cellStyle name="Comma 4 4 3 4 4" xfId="9367" xr:uid="{A141A980-0F76-4DCB-AA1F-7DE1CCAAD141}"/>
    <cellStyle name="Comma 4 4 3 4 4 2" xfId="45875" xr:uid="{99E3A1D0-9F23-4413-8FFA-8F086E09BBA6}"/>
    <cellStyle name="Comma 4 4 3 4 4 3" xfId="27621" xr:uid="{2801B2E3-C4BD-4545-90E4-633F7134ADFC}"/>
    <cellStyle name="Comma 4 4 3 4 5" xfId="5717" xr:uid="{DA38F920-E615-42F7-B48C-8ECACA538F4A}"/>
    <cellStyle name="Comma 4 4 3 4 5 2" xfId="42225" xr:uid="{859165BC-416F-474F-B061-0B4DCF2BBFF7}"/>
    <cellStyle name="Comma 4 4 3 4 5 3" xfId="23971" xr:uid="{12647671-8802-411C-BEDB-7BEBF7EC4A68}"/>
    <cellStyle name="Comma 4 4 3 4 6" xfId="38575" xr:uid="{22503293-540B-410F-B030-2A805F9B92CB}"/>
    <cellStyle name="Comma 4 4 3 4 7" xfId="20321" xr:uid="{DA50DE4F-753F-42C5-8A21-C62D9641E164}"/>
    <cellStyle name="Comma 4 4 3 5" xfId="1337" xr:uid="{516B8039-46D9-4E09-B2D1-5EE8D7F6A135}"/>
    <cellStyle name="Comma 4 4 3 5 2" xfId="15937" xr:uid="{82056556-F3A4-48B9-A455-3EE600C33E45}"/>
    <cellStyle name="Comma 4 4 3 5 2 2" xfId="52445" xr:uid="{968178B6-E1F7-437B-A0E7-F94903B6A2CB}"/>
    <cellStyle name="Comma 4 4 3 5 2 3" xfId="34191" xr:uid="{53AFBE6F-1D02-462C-ADDB-166104A2E860}"/>
    <cellStyle name="Comma 4 4 3 5 3" xfId="12287" xr:uid="{47F3D874-0E8B-49E2-9506-292CB2DC0C8D}"/>
    <cellStyle name="Comma 4 4 3 5 3 2" xfId="48795" xr:uid="{6F52382F-0244-43D0-AF24-9E300B6A10D1}"/>
    <cellStyle name="Comma 4 4 3 5 3 3" xfId="30541" xr:uid="{85D36265-4841-40F7-9E90-A0905ED577D6}"/>
    <cellStyle name="Comma 4 4 3 5 4" xfId="8637" xr:uid="{34CD8A37-A23F-48D5-BE46-70F279E330B2}"/>
    <cellStyle name="Comma 4 4 3 5 4 2" xfId="45145" xr:uid="{239E0156-25BF-49C1-BF63-CDFA23938730}"/>
    <cellStyle name="Comma 4 4 3 5 4 3" xfId="26891" xr:uid="{21BE0457-0CCE-497C-897A-5BED2CEAC636}"/>
    <cellStyle name="Comma 4 4 3 5 5" xfId="4987" xr:uid="{1C33D75C-4E40-4BD2-BA0C-81AC088C7FE7}"/>
    <cellStyle name="Comma 4 4 3 5 5 2" xfId="41495" xr:uid="{5F9B7CFE-6EFB-4B4C-9449-38266093044C}"/>
    <cellStyle name="Comma 4 4 3 5 5 3" xfId="23241" xr:uid="{8B3F6292-B239-4055-8CD6-93AEF88C2A1B}"/>
    <cellStyle name="Comma 4 4 3 5 6" xfId="37845" xr:uid="{FD868BE7-57C4-4D71-A38F-FF362059F3C1}"/>
    <cellStyle name="Comma 4 4 3 5 7" xfId="19591" xr:uid="{2C2848DF-3AC7-4524-BE39-9E58E24ADACD}"/>
    <cellStyle name="Comma 4 4 3 6" xfId="15207" xr:uid="{2F943706-F577-4978-AB5F-0555D92F1B66}"/>
    <cellStyle name="Comma 4 4 3 6 2" xfId="51715" xr:uid="{409F3E0B-58D5-48D8-BE9F-975865262DBD}"/>
    <cellStyle name="Comma 4 4 3 6 3" xfId="33461" xr:uid="{9AE4CA47-6DBF-4B69-A8A0-AA6EDD2BF5B9}"/>
    <cellStyle name="Comma 4 4 3 7" xfId="11557" xr:uid="{2EA07D47-5EF6-4A83-A2E5-CF2841063153}"/>
    <cellStyle name="Comma 4 4 3 7 2" xfId="48065" xr:uid="{42F413DD-456E-41E0-8445-5067D8CFA8BF}"/>
    <cellStyle name="Comma 4 4 3 7 3" xfId="29811" xr:uid="{E3835282-0FD8-4BC9-A89F-C5221A5440F8}"/>
    <cellStyle name="Comma 4 4 3 8" xfId="7907" xr:uid="{09D9D41F-1E00-4E8C-B3EB-0F221563C300}"/>
    <cellStyle name="Comma 4 4 3 8 2" xfId="44415" xr:uid="{D1C46F1D-0746-479F-B146-2937BF7FF345}"/>
    <cellStyle name="Comma 4 4 3 8 3" xfId="26161" xr:uid="{A2DB084D-9CAD-4D56-95CA-5CCF371A1C71}"/>
    <cellStyle name="Comma 4 4 3 9" xfId="4257" xr:uid="{69DE55F3-FDF1-4359-8018-8E68B7759C4E}"/>
    <cellStyle name="Comma 4 4 3 9 2" xfId="40765" xr:uid="{66B9980F-1DA5-4C07-9648-6206AB382115}"/>
    <cellStyle name="Comma 4 4 3 9 3" xfId="22511" xr:uid="{0A9C63E1-E082-4151-AC6B-650A2205B647}"/>
    <cellStyle name="Comma 4 4 4" xfId="503" xr:uid="{B3EED024-7863-48CD-B51D-A21C88123490}"/>
    <cellStyle name="Comma 4 4 4 10" xfId="37011" xr:uid="{F66E4101-90FD-4869-9757-4D02E160F380}"/>
    <cellStyle name="Comma 4 4 4 11" xfId="18757" xr:uid="{F4741A71-7225-4A9A-9AB8-3F978D62D150}"/>
    <cellStyle name="Comma 4 4 4 2" xfId="3423" xr:uid="{141B0308-A473-4C2B-92BD-F31900D4EF8D}"/>
    <cellStyle name="Comma 4 4 4 2 2" xfId="18023" xr:uid="{550FD825-8305-4B24-A0A0-02620B8CB19B}"/>
    <cellStyle name="Comma 4 4 4 2 2 2" xfId="54531" xr:uid="{BF2543AB-EC07-4C4F-995D-E16DA5572E41}"/>
    <cellStyle name="Comma 4 4 4 2 2 3" xfId="36277" xr:uid="{38E782BE-B7E0-40C2-A7AE-56DBAB75E05B}"/>
    <cellStyle name="Comma 4 4 4 2 3" xfId="14373" xr:uid="{135B994F-1D2A-4C56-A849-156F2D2A0EE2}"/>
    <cellStyle name="Comma 4 4 4 2 3 2" xfId="50881" xr:uid="{0C607426-9295-45F6-B741-5A466273C093}"/>
    <cellStyle name="Comma 4 4 4 2 3 3" xfId="32627" xr:uid="{F0E8E056-B853-4880-AC6D-F97FAE312399}"/>
    <cellStyle name="Comma 4 4 4 2 4" xfId="10723" xr:uid="{7B5DCCB3-BF74-4D98-8EA8-19BBE6D4D4FF}"/>
    <cellStyle name="Comma 4 4 4 2 4 2" xfId="47231" xr:uid="{47CBCCAD-BAA8-4810-B5C9-C988ECC90E1B}"/>
    <cellStyle name="Comma 4 4 4 2 4 3" xfId="28977" xr:uid="{16AAA314-31BF-4495-95F9-4B893A618A5C}"/>
    <cellStyle name="Comma 4 4 4 2 5" xfId="7073" xr:uid="{62F1CC83-7CA4-435A-AE8A-657300512C00}"/>
    <cellStyle name="Comma 4 4 4 2 5 2" xfId="43581" xr:uid="{AF8CC4AA-6E65-4186-8607-5B27027F8E6F}"/>
    <cellStyle name="Comma 4 4 4 2 5 3" xfId="25327" xr:uid="{AB7FD244-675D-498F-8F5F-6D0A90BC0BBE}"/>
    <cellStyle name="Comma 4 4 4 2 6" xfId="39931" xr:uid="{F8D9BD25-692F-40B8-A3D8-608FAAF1D4EF}"/>
    <cellStyle name="Comma 4 4 4 2 7" xfId="21677" xr:uid="{B7C7FC24-F08B-49E9-AEE3-469A1298AD38}"/>
    <cellStyle name="Comma 4 4 4 3" xfId="2693" xr:uid="{6A620579-9927-43AF-BCA4-EFC7B7F3D864}"/>
    <cellStyle name="Comma 4 4 4 3 2" xfId="17293" xr:uid="{96C04ECF-65CD-4CE2-B027-86BF58FFADF7}"/>
    <cellStyle name="Comma 4 4 4 3 2 2" xfId="53801" xr:uid="{5E72F8BF-6945-4625-ACD3-B284A7C5F78D}"/>
    <cellStyle name="Comma 4 4 4 3 2 3" xfId="35547" xr:uid="{5249BD76-A89E-4ED9-81D9-6EDF448885FF}"/>
    <cellStyle name="Comma 4 4 4 3 3" xfId="13643" xr:uid="{8A7752A8-1392-4D11-9FCD-2D63A3702E98}"/>
    <cellStyle name="Comma 4 4 4 3 3 2" xfId="50151" xr:uid="{50932FDD-4310-454B-9DF3-EDE1BB6C2E9B}"/>
    <cellStyle name="Comma 4 4 4 3 3 3" xfId="31897" xr:uid="{8960B5BB-B076-41C7-86E3-BB0930653BC2}"/>
    <cellStyle name="Comma 4 4 4 3 4" xfId="9993" xr:uid="{82731334-B24B-426E-8FFF-1E4D0C79E529}"/>
    <cellStyle name="Comma 4 4 4 3 4 2" xfId="46501" xr:uid="{D528422A-CAA6-457E-9D3E-9CCF72A2A4BB}"/>
    <cellStyle name="Comma 4 4 4 3 4 3" xfId="28247" xr:uid="{F695D4D5-365D-462B-8DB0-F73798B7761C}"/>
    <cellStyle name="Comma 4 4 4 3 5" xfId="6343" xr:uid="{3F9D9466-3106-4815-AA97-6862E6CECAFB}"/>
    <cellStyle name="Comma 4 4 4 3 5 2" xfId="42851" xr:uid="{2DC6434E-D2A3-4B9C-884D-3FC16A1A7292}"/>
    <cellStyle name="Comma 4 4 4 3 5 3" xfId="24597" xr:uid="{1DE8D5F7-E802-4C10-8FB2-A33D4CB1ACF5}"/>
    <cellStyle name="Comma 4 4 4 3 6" xfId="39201" xr:uid="{88938B3A-4386-4625-9184-4C25665FD6ED}"/>
    <cellStyle name="Comma 4 4 4 3 7" xfId="20947" xr:uid="{945805E2-F793-4953-B7C0-92ABF506E386}"/>
    <cellStyle name="Comma 4 4 4 4" xfId="1963" xr:uid="{092AA07D-C737-49C5-97D6-D78DAACB5BFD}"/>
    <cellStyle name="Comma 4 4 4 4 2" xfId="16563" xr:uid="{2EFD2C43-F1A9-4883-9D20-416BE458E8E8}"/>
    <cellStyle name="Comma 4 4 4 4 2 2" xfId="53071" xr:uid="{10FB8E26-56E7-4606-98BE-426605D1E1E6}"/>
    <cellStyle name="Comma 4 4 4 4 2 3" xfId="34817" xr:uid="{682A2604-905A-471A-8459-5C424041BEDC}"/>
    <cellStyle name="Comma 4 4 4 4 3" xfId="12913" xr:uid="{AAC04D1F-4B86-4C62-956B-19D8426E7142}"/>
    <cellStyle name="Comma 4 4 4 4 3 2" xfId="49421" xr:uid="{FBAFF42E-146A-4624-8E03-48B4FB9FAE41}"/>
    <cellStyle name="Comma 4 4 4 4 3 3" xfId="31167" xr:uid="{1693C0BF-2426-4285-8E76-C8C407F18256}"/>
    <cellStyle name="Comma 4 4 4 4 4" xfId="9263" xr:uid="{265FA8AA-803D-4D28-83B2-C87302BD5F2D}"/>
    <cellStyle name="Comma 4 4 4 4 4 2" xfId="45771" xr:uid="{E093A03F-7D9C-45AF-8634-E53C6CA4A281}"/>
    <cellStyle name="Comma 4 4 4 4 4 3" xfId="27517" xr:uid="{6F8D79B6-C81C-4D29-ADAF-97BFE0262331}"/>
    <cellStyle name="Comma 4 4 4 4 5" xfId="5613" xr:uid="{1069D11F-ADF8-4613-8151-150EA6509141}"/>
    <cellStyle name="Comma 4 4 4 4 5 2" xfId="42121" xr:uid="{12085FAD-4A35-4617-A6FF-66A19DB15723}"/>
    <cellStyle name="Comma 4 4 4 4 5 3" xfId="23867" xr:uid="{F9B5FF43-6242-4954-825B-839B3E8CBE88}"/>
    <cellStyle name="Comma 4 4 4 4 6" xfId="38471" xr:uid="{F366A001-F930-48E5-A87F-C87BCE474032}"/>
    <cellStyle name="Comma 4 4 4 4 7" xfId="20217" xr:uid="{6CEF9BCA-8AF7-4358-B107-F58B42956511}"/>
    <cellStyle name="Comma 4 4 4 5" xfId="1233" xr:uid="{C865A6E8-09BA-46A6-8B23-7F26304AD25A}"/>
    <cellStyle name="Comma 4 4 4 5 2" xfId="15833" xr:uid="{BE815DBE-38C9-4AE6-9B28-0C6F3738BF3D}"/>
    <cellStyle name="Comma 4 4 4 5 2 2" xfId="52341" xr:uid="{DCE16E52-F6C3-4431-9995-E88687EC5862}"/>
    <cellStyle name="Comma 4 4 4 5 2 3" xfId="34087" xr:uid="{DCE37249-C80D-4FC9-A0F2-CE5AB5FC74DD}"/>
    <cellStyle name="Comma 4 4 4 5 3" xfId="12183" xr:uid="{3D5E8EDB-7D6C-4273-9AB0-21483FC037A6}"/>
    <cellStyle name="Comma 4 4 4 5 3 2" xfId="48691" xr:uid="{26D07E79-E9E2-4C77-8B7F-B0769AEE5D82}"/>
    <cellStyle name="Comma 4 4 4 5 3 3" xfId="30437" xr:uid="{348DB5B9-5065-4759-B9A0-9EA2666C606A}"/>
    <cellStyle name="Comma 4 4 4 5 4" xfId="8533" xr:uid="{2063B94F-F965-46B1-B054-24E457AD412B}"/>
    <cellStyle name="Comma 4 4 4 5 4 2" xfId="45041" xr:uid="{6A18C9A1-B9C0-42F0-B0DC-C70BB35779BB}"/>
    <cellStyle name="Comma 4 4 4 5 4 3" xfId="26787" xr:uid="{5D0E516F-F717-4ABF-AC9D-ADDA1034EFAC}"/>
    <cellStyle name="Comma 4 4 4 5 5" xfId="4883" xr:uid="{648771DC-36F6-4C02-8CF7-E05D2038CEEB}"/>
    <cellStyle name="Comma 4 4 4 5 5 2" xfId="41391" xr:uid="{D06509FD-AB32-4C3F-89FD-6CCB16EE400B}"/>
    <cellStyle name="Comma 4 4 4 5 5 3" xfId="23137" xr:uid="{0E780FD2-D186-461D-9F84-659766512A43}"/>
    <cellStyle name="Comma 4 4 4 5 6" xfId="37741" xr:uid="{176214D7-12F1-488E-B34E-2833C7CA83FC}"/>
    <cellStyle name="Comma 4 4 4 5 7" xfId="19487" xr:uid="{88392756-2CED-4819-A41E-BD17557FC1CB}"/>
    <cellStyle name="Comma 4 4 4 6" xfId="15103" xr:uid="{B7962972-4A6C-4ABC-8A84-BDC776E7196B}"/>
    <cellStyle name="Comma 4 4 4 6 2" xfId="51611" xr:uid="{FE4499A5-345D-4C28-9F6D-49FD551A7A6C}"/>
    <cellStyle name="Comma 4 4 4 6 3" xfId="33357" xr:uid="{3F7081AC-F79D-4D2B-8A20-15F2EDAC8F4A}"/>
    <cellStyle name="Comma 4 4 4 7" xfId="11453" xr:uid="{3B33F896-E20E-4158-853E-F8BD771642E3}"/>
    <cellStyle name="Comma 4 4 4 7 2" xfId="47961" xr:uid="{CD90D128-7B14-4750-9C18-FCC7C043E87D}"/>
    <cellStyle name="Comma 4 4 4 7 3" xfId="29707" xr:uid="{8128EE88-1E81-4E73-8E02-2849E44490F6}"/>
    <cellStyle name="Comma 4 4 4 8" xfId="7803" xr:uid="{52F3EB98-8847-4181-82DA-3CA6682E0643}"/>
    <cellStyle name="Comma 4 4 4 8 2" xfId="44311" xr:uid="{B89B0419-4FC3-42C8-A366-E229CFED9386}"/>
    <cellStyle name="Comma 4 4 4 8 3" xfId="26057" xr:uid="{8A60B0B0-0211-4CC4-851B-B868520941BD}"/>
    <cellStyle name="Comma 4 4 4 9" xfId="4153" xr:uid="{4C881D1C-676A-45BA-B2AD-17AC72C34C33}"/>
    <cellStyle name="Comma 4 4 4 9 2" xfId="40661" xr:uid="{F8FF7149-397E-4F28-BD30-8979A859DC0B}"/>
    <cellStyle name="Comma 4 4 4 9 3" xfId="22407" xr:uid="{1A658081-F579-4161-A3A3-94FFB3D0FB2E}"/>
    <cellStyle name="Comma 4 4 5" xfId="399" xr:uid="{06ED1367-D546-4929-8011-D7ACC47C45DD}"/>
    <cellStyle name="Comma 4 4 5 10" xfId="36907" xr:uid="{EAE41264-5154-488B-95FF-B34EA4C5A639}"/>
    <cellStyle name="Comma 4 4 5 11" xfId="18653" xr:uid="{72A057FA-3254-41BC-B6B2-6D5F40598D37}"/>
    <cellStyle name="Comma 4 4 5 2" xfId="3319" xr:uid="{2A987002-C169-428E-AD4A-1FB330F08317}"/>
    <cellStyle name="Comma 4 4 5 2 2" xfId="17919" xr:uid="{1DE8F214-18C9-41C7-9FA6-A07D9D900F06}"/>
    <cellStyle name="Comma 4 4 5 2 2 2" xfId="54427" xr:uid="{53400199-7E6F-4520-B258-28C9279902B2}"/>
    <cellStyle name="Comma 4 4 5 2 2 3" xfId="36173" xr:uid="{EBD30AF6-ADD8-4F1F-9A9D-3519B51C3644}"/>
    <cellStyle name="Comma 4 4 5 2 3" xfId="14269" xr:uid="{8EF07F32-3902-49C7-8404-AB333C3C3918}"/>
    <cellStyle name="Comma 4 4 5 2 3 2" xfId="50777" xr:uid="{CEA8C297-BDA6-496C-990C-EDDEFCC89F03}"/>
    <cellStyle name="Comma 4 4 5 2 3 3" xfId="32523" xr:uid="{ACA7F170-BAE8-4CD5-B2AD-8BC673F08EF9}"/>
    <cellStyle name="Comma 4 4 5 2 4" xfId="10619" xr:uid="{376CE278-1D6F-4588-87E0-FE352B030849}"/>
    <cellStyle name="Comma 4 4 5 2 4 2" xfId="47127" xr:uid="{DC4ADE48-130A-482E-BFE7-25EA5055FEA9}"/>
    <cellStyle name="Comma 4 4 5 2 4 3" xfId="28873" xr:uid="{EDD8A9BE-D8C7-4761-AE27-983A80BEF099}"/>
    <cellStyle name="Comma 4 4 5 2 5" xfId="6969" xr:uid="{75003FA4-3529-4939-BAEC-27C73C6E1199}"/>
    <cellStyle name="Comma 4 4 5 2 5 2" xfId="43477" xr:uid="{B432CEE0-DC32-461B-A910-09DDDFFAE3DE}"/>
    <cellStyle name="Comma 4 4 5 2 5 3" xfId="25223" xr:uid="{FBDA6FFA-C946-4C78-ACFE-2CAC78CC28E6}"/>
    <cellStyle name="Comma 4 4 5 2 6" xfId="39827" xr:uid="{C26CAF02-1919-46CD-9304-05EB9BC598F0}"/>
    <cellStyle name="Comma 4 4 5 2 7" xfId="21573" xr:uid="{8FE46C3B-C1FB-4894-BCFB-3C1E6C588E68}"/>
    <cellStyle name="Comma 4 4 5 3" xfId="2589" xr:uid="{591913D6-6BAE-4300-90FC-7C6CDF34E4ED}"/>
    <cellStyle name="Comma 4 4 5 3 2" xfId="17189" xr:uid="{D7FFF869-F0F0-4B17-9A86-9A631CD249B9}"/>
    <cellStyle name="Comma 4 4 5 3 2 2" xfId="53697" xr:uid="{6EA088D1-4BB3-4297-954A-F3A0D57512C1}"/>
    <cellStyle name="Comma 4 4 5 3 2 3" xfId="35443" xr:uid="{FDFB0025-83B2-4A9E-99D0-6DF63F077C0E}"/>
    <cellStyle name="Comma 4 4 5 3 3" xfId="13539" xr:uid="{5AD820E8-8F46-4949-8478-3676E47FC709}"/>
    <cellStyle name="Comma 4 4 5 3 3 2" xfId="50047" xr:uid="{156AE6D4-642B-4E72-9814-55B5515BA38C}"/>
    <cellStyle name="Comma 4 4 5 3 3 3" xfId="31793" xr:uid="{B3AFB017-FCD0-4D52-962C-DBAF1F27ACA0}"/>
    <cellStyle name="Comma 4 4 5 3 4" xfId="9889" xr:uid="{0B7F9C30-46FD-4B3F-BCBE-B25E66B1C1A0}"/>
    <cellStyle name="Comma 4 4 5 3 4 2" xfId="46397" xr:uid="{1E6B3845-2A6D-4524-98AF-151ADB453D07}"/>
    <cellStyle name="Comma 4 4 5 3 4 3" xfId="28143" xr:uid="{280D831B-4A20-4E99-93D9-C17BF4E9087F}"/>
    <cellStyle name="Comma 4 4 5 3 5" xfId="6239" xr:uid="{B9AF666F-CE00-4064-BAD7-EF0DF45C9602}"/>
    <cellStyle name="Comma 4 4 5 3 5 2" xfId="42747" xr:uid="{F7C8325F-DE7F-42EB-A2A4-9B0D604EB3C2}"/>
    <cellStyle name="Comma 4 4 5 3 5 3" xfId="24493" xr:uid="{EBC8A6F6-7706-4DC5-86F1-DE734E1F0648}"/>
    <cellStyle name="Comma 4 4 5 3 6" xfId="39097" xr:uid="{28990287-68F9-4543-A369-2F2367A969B5}"/>
    <cellStyle name="Comma 4 4 5 3 7" xfId="20843" xr:uid="{58A8E8A3-79A0-4299-80E5-36869FFF1538}"/>
    <cellStyle name="Comma 4 4 5 4" xfId="1859" xr:uid="{9123AEC2-5A11-43EF-8E86-88C978FCB028}"/>
    <cellStyle name="Comma 4 4 5 4 2" xfId="16459" xr:uid="{1D77A614-DD09-4618-8D6C-4871DECB0E03}"/>
    <cellStyle name="Comma 4 4 5 4 2 2" xfId="52967" xr:uid="{6C969E3F-0393-479B-B030-C10D786B7BE2}"/>
    <cellStyle name="Comma 4 4 5 4 2 3" xfId="34713" xr:uid="{9E8943E4-00DE-4C6C-B6BB-B8BCF21069F7}"/>
    <cellStyle name="Comma 4 4 5 4 3" xfId="12809" xr:uid="{201EC91B-B5C5-4221-A955-4ADBA83E3692}"/>
    <cellStyle name="Comma 4 4 5 4 3 2" xfId="49317" xr:uid="{094161B3-7A7B-4D5D-A11E-5734900617E8}"/>
    <cellStyle name="Comma 4 4 5 4 3 3" xfId="31063" xr:uid="{EA700E3B-C672-4D19-82A0-73AB7D2D58CB}"/>
    <cellStyle name="Comma 4 4 5 4 4" xfId="9159" xr:uid="{D3C9F59B-2104-4789-B341-5FCE2336C4BF}"/>
    <cellStyle name="Comma 4 4 5 4 4 2" xfId="45667" xr:uid="{67E04D24-7064-4A0A-BA19-6E9C472FB3D5}"/>
    <cellStyle name="Comma 4 4 5 4 4 3" xfId="27413" xr:uid="{B1DCA690-4E84-4318-84D4-266D62678342}"/>
    <cellStyle name="Comma 4 4 5 4 5" xfId="5509" xr:uid="{5EC80586-F4B0-45D6-B887-BAD181BDFC61}"/>
    <cellStyle name="Comma 4 4 5 4 5 2" xfId="42017" xr:uid="{8BE284F7-0E8A-4E0D-A3F6-42DFDF8F0C28}"/>
    <cellStyle name="Comma 4 4 5 4 5 3" xfId="23763" xr:uid="{AA4E88E5-F390-4C22-9F0C-E9F0B818AFED}"/>
    <cellStyle name="Comma 4 4 5 4 6" xfId="38367" xr:uid="{D9A68473-4823-406B-9DDF-27A809F8308D}"/>
    <cellStyle name="Comma 4 4 5 4 7" xfId="20113" xr:uid="{1806FAC6-7FB1-4BB6-A339-AED40C812312}"/>
    <cellStyle name="Comma 4 4 5 5" xfId="1129" xr:uid="{3980C5F5-8320-4AC9-88B0-6BC238F87435}"/>
    <cellStyle name="Comma 4 4 5 5 2" xfId="15729" xr:uid="{B50FC2A9-EC38-424D-AE1D-BDDF5E96CEF1}"/>
    <cellStyle name="Comma 4 4 5 5 2 2" xfId="52237" xr:uid="{70C7EE7D-CABE-4F2C-9701-37EDCB239144}"/>
    <cellStyle name="Comma 4 4 5 5 2 3" xfId="33983" xr:uid="{12ADB524-A7CE-497E-BFD5-4E7CA9A0ECDF}"/>
    <cellStyle name="Comma 4 4 5 5 3" xfId="12079" xr:uid="{E27DB03D-6F86-45A1-A72B-4CEEB23CBC47}"/>
    <cellStyle name="Comma 4 4 5 5 3 2" xfId="48587" xr:uid="{5AF6ACF4-92E6-409D-A2E2-928158CAE723}"/>
    <cellStyle name="Comma 4 4 5 5 3 3" xfId="30333" xr:uid="{0D6226A5-1B53-4CFA-8B3C-566E6E9247EA}"/>
    <cellStyle name="Comma 4 4 5 5 4" xfId="8429" xr:uid="{400FFDD3-C682-4F7D-8062-7DAF4C1029CC}"/>
    <cellStyle name="Comma 4 4 5 5 4 2" xfId="44937" xr:uid="{E31BC0EE-C46E-43AD-B2B4-C9869B517424}"/>
    <cellStyle name="Comma 4 4 5 5 4 3" xfId="26683" xr:uid="{71B67939-89B1-4CE8-8352-445391CCD2C7}"/>
    <cellStyle name="Comma 4 4 5 5 5" xfId="4779" xr:uid="{A3C6B140-F8E1-4B7F-B97C-BB6D7EF130A4}"/>
    <cellStyle name="Comma 4 4 5 5 5 2" xfId="41287" xr:uid="{38AC25B8-2956-469C-8CB2-1964E34FB3D0}"/>
    <cellStyle name="Comma 4 4 5 5 5 3" xfId="23033" xr:uid="{6512B020-0E71-4A59-88A1-3604E36529B0}"/>
    <cellStyle name="Comma 4 4 5 5 6" xfId="37637" xr:uid="{FD7E1497-95F1-4CBA-B693-96D508FFC1DA}"/>
    <cellStyle name="Comma 4 4 5 5 7" xfId="19383" xr:uid="{EDDB24F1-0119-4175-BB16-3DD21EBF0336}"/>
    <cellStyle name="Comma 4 4 5 6" xfId="14999" xr:uid="{813EF6B7-B195-40AE-AE3A-4152AF3A014E}"/>
    <cellStyle name="Comma 4 4 5 6 2" xfId="51507" xr:uid="{AAF59F5B-DD0B-4FF6-A4FB-8115034CC139}"/>
    <cellStyle name="Comma 4 4 5 6 3" xfId="33253" xr:uid="{1BEA4414-2637-4710-A6D9-087212082A3D}"/>
    <cellStyle name="Comma 4 4 5 7" xfId="11349" xr:uid="{BF1DE906-EED0-4879-9A74-6CFFA951B47C}"/>
    <cellStyle name="Comma 4 4 5 7 2" xfId="47857" xr:uid="{59CEE536-6313-41E1-A3B9-4E09B4770592}"/>
    <cellStyle name="Comma 4 4 5 7 3" xfId="29603" xr:uid="{F5FBB046-D43F-4BF7-A27E-1277689EA77A}"/>
    <cellStyle name="Comma 4 4 5 8" xfId="7699" xr:uid="{62D4DA9E-2667-4B11-905F-84807CAB989B}"/>
    <cellStyle name="Comma 4 4 5 8 2" xfId="44207" xr:uid="{59E2EDB1-23EB-467B-A82F-0DD4BDA367BE}"/>
    <cellStyle name="Comma 4 4 5 8 3" xfId="25953" xr:uid="{A18E9DEC-59EC-4227-80FC-A2FD34870C1E}"/>
    <cellStyle name="Comma 4 4 5 9" xfId="4049" xr:uid="{D087E224-B496-401B-A13F-BD4B13C61828}"/>
    <cellStyle name="Comma 4 4 5 9 2" xfId="40557" xr:uid="{184FFF0E-7D29-4ACA-AA6D-5D4FAA95CD70}"/>
    <cellStyle name="Comma 4 4 5 9 3" xfId="22303" xr:uid="{8368B6E0-CCAA-41CE-A0FC-3BA866AE6259}"/>
    <cellStyle name="Comma 4 4 6" xfId="295" xr:uid="{3BD9D40C-8F38-4D4D-8488-F3BAB74F74FD}"/>
    <cellStyle name="Comma 4 4 6 10" xfId="36803" xr:uid="{CF0EEB96-2743-46D0-8680-CB0BCF7A7884}"/>
    <cellStyle name="Comma 4 4 6 11" xfId="18549" xr:uid="{B404B3E0-044E-48CE-BF1C-74A7CCBC7BCC}"/>
    <cellStyle name="Comma 4 4 6 2" xfId="3215" xr:uid="{50740896-4BB5-44EA-938F-5C425E605544}"/>
    <cellStyle name="Comma 4 4 6 2 2" xfId="17815" xr:uid="{625DC172-695C-41E2-BA3B-ACA6EEFEDB82}"/>
    <cellStyle name="Comma 4 4 6 2 2 2" xfId="54323" xr:uid="{A0191D77-B6E1-4D2A-81D7-D6E7BF3AF601}"/>
    <cellStyle name="Comma 4 4 6 2 2 3" xfId="36069" xr:uid="{0EB39B9C-D030-4AE0-806B-FD77C9F7940C}"/>
    <cellStyle name="Comma 4 4 6 2 3" xfId="14165" xr:uid="{7C2562E4-9A28-427E-8D0D-F596F1BA6915}"/>
    <cellStyle name="Comma 4 4 6 2 3 2" xfId="50673" xr:uid="{169054DF-7FA6-45C8-9508-01C8698B49CC}"/>
    <cellStyle name="Comma 4 4 6 2 3 3" xfId="32419" xr:uid="{82291AF2-ADDD-4764-ABFD-9F4055E014AA}"/>
    <cellStyle name="Comma 4 4 6 2 4" xfId="10515" xr:uid="{8A0E6E4F-49B3-4F97-B629-8AAD9F8ABEAD}"/>
    <cellStyle name="Comma 4 4 6 2 4 2" xfId="47023" xr:uid="{94CE6F9B-097B-47B1-BB2E-F4ADEB9E182F}"/>
    <cellStyle name="Comma 4 4 6 2 4 3" xfId="28769" xr:uid="{B6EE6B3C-BAF2-4A33-9B2D-B9F000D6AE9D}"/>
    <cellStyle name="Comma 4 4 6 2 5" xfId="6865" xr:uid="{08E447AC-8327-4576-950A-D63F52F49A7A}"/>
    <cellStyle name="Comma 4 4 6 2 5 2" xfId="43373" xr:uid="{676B4B49-F287-49C3-8291-6B3CF851C328}"/>
    <cellStyle name="Comma 4 4 6 2 5 3" xfId="25119" xr:uid="{AC337742-6B1A-4ED7-889B-74FBB6FC1432}"/>
    <cellStyle name="Comma 4 4 6 2 6" xfId="39723" xr:uid="{D8511206-ED08-4513-8BAD-F12AC65A4C4B}"/>
    <cellStyle name="Comma 4 4 6 2 7" xfId="21469" xr:uid="{65A7C376-D77C-4897-A5B2-C83331EE23F8}"/>
    <cellStyle name="Comma 4 4 6 3" xfId="2485" xr:uid="{E99D06FC-D0B7-4ADD-9BB0-162B5107CE55}"/>
    <cellStyle name="Comma 4 4 6 3 2" xfId="17085" xr:uid="{33EBA681-C1BA-4772-8441-7515AFB6FEED}"/>
    <cellStyle name="Comma 4 4 6 3 2 2" xfId="53593" xr:uid="{99ACF79A-F64E-4FFC-8BF7-F0426EE0BB2B}"/>
    <cellStyle name="Comma 4 4 6 3 2 3" xfId="35339" xr:uid="{DF037DDD-2C59-4B4C-8400-BA01676DEC8D}"/>
    <cellStyle name="Comma 4 4 6 3 3" xfId="13435" xr:uid="{3B2FC1CE-E86B-4373-AC7D-FFE5A97ACAA5}"/>
    <cellStyle name="Comma 4 4 6 3 3 2" xfId="49943" xr:uid="{334649B6-1DA6-4526-8F73-0F541022D11E}"/>
    <cellStyle name="Comma 4 4 6 3 3 3" xfId="31689" xr:uid="{864BE47A-855B-4FC1-BEBF-F4A91BC2C177}"/>
    <cellStyle name="Comma 4 4 6 3 4" xfId="9785" xr:uid="{25C47691-6BE8-4780-8AB8-CDE889B7241E}"/>
    <cellStyle name="Comma 4 4 6 3 4 2" xfId="46293" xr:uid="{E95A7FE4-BF9E-4E75-B31C-7C8BE908A65C}"/>
    <cellStyle name="Comma 4 4 6 3 4 3" xfId="28039" xr:uid="{E3C9D170-7A79-4FD5-9C35-6B1CC44B88DF}"/>
    <cellStyle name="Comma 4 4 6 3 5" xfId="6135" xr:uid="{14320C75-F0D2-4806-B3C8-13410B66AD9B}"/>
    <cellStyle name="Comma 4 4 6 3 5 2" xfId="42643" xr:uid="{36135D04-01F9-443C-A75D-17A67218293E}"/>
    <cellStyle name="Comma 4 4 6 3 5 3" xfId="24389" xr:uid="{1344E595-CD39-4241-8E59-ABAC3F8E3878}"/>
    <cellStyle name="Comma 4 4 6 3 6" xfId="38993" xr:uid="{7F5A1B92-32AD-49C3-BF71-2563A3A2AAB2}"/>
    <cellStyle name="Comma 4 4 6 3 7" xfId="20739" xr:uid="{78CBA8CA-FEEB-4D37-8B85-B30197951387}"/>
    <cellStyle name="Comma 4 4 6 4" xfId="1755" xr:uid="{5A492158-0483-43C7-8BA7-EB4CC17C9045}"/>
    <cellStyle name="Comma 4 4 6 4 2" xfId="16355" xr:uid="{A8391CAC-ABFA-4248-85B2-3F83B05672B1}"/>
    <cellStyle name="Comma 4 4 6 4 2 2" xfId="52863" xr:uid="{D5FE932C-99D5-470F-A030-8414A25AEC7F}"/>
    <cellStyle name="Comma 4 4 6 4 2 3" xfId="34609" xr:uid="{6418DC4F-0C9D-40FD-A766-DDA1692CB2D5}"/>
    <cellStyle name="Comma 4 4 6 4 3" xfId="12705" xr:uid="{C00C91E4-C02C-4F98-8CA8-9AC5784FE00E}"/>
    <cellStyle name="Comma 4 4 6 4 3 2" xfId="49213" xr:uid="{66190802-CFE1-4A6E-A135-8E581ACEB5EA}"/>
    <cellStyle name="Comma 4 4 6 4 3 3" xfId="30959" xr:uid="{F3BB4E63-CCBB-4994-8E19-FF2A005D3A7C}"/>
    <cellStyle name="Comma 4 4 6 4 4" xfId="9055" xr:uid="{37447599-8EE2-4889-BC74-5F4F51A13D10}"/>
    <cellStyle name="Comma 4 4 6 4 4 2" xfId="45563" xr:uid="{286954D5-87E5-47A8-94DC-1FE9EE3C4DBD}"/>
    <cellStyle name="Comma 4 4 6 4 4 3" xfId="27309" xr:uid="{A6570C41-97BF-4146-9672-1A6246BE3D31}"/>
    <cellStyle name="Comma 4 4 6 4 5" xfId="5405" xr:uid="{F24C4B0E-EEB4-4A8F-83EE-E2ABAA8ED23C}"/>
    <cellStyle name="Comma 4 4 6 4 5 2" xfId="41913" xr:uid="{4323B400-0C6A-476C-B220-FF969BFE68CD}"/>
    <cellStyle name="Comma 4 4 6 4 5 3" xfId="23659" xr:uid="{4D706B86-F89E-4E36-998A-6D79FE81234F}"/>
    <cellStyle name="Comma 4 4 6 4 6" xfId="38263" xr:uid="{A70BB839-8FEF-40DB-A3FE-ADACE24C795F}"/>
    <cellStyle name="Comma 4 4 6 4 7" xfId="20009" xr:uid="{7247C375-AFD6-4048-AF29-BADAEDB61C46}"/>
    <cellStyle name="Comma 4 4 6 5" xfId="1025" xr:uid="{164593D8-D9EE-40A0-86A1-AFA9C769A50C}"/>
    <cellStyle name="Comma 4 4 6 5 2" xfId="15625" xr:uid="{322A5BB4-0821-4132-90F7-0D9A1C39C348}"/>
    <cellStyle name="Comma 4 4 6 5 2 2" xfId="52133" xr:uid="{E3BA81D2-705E-4A4D-82B5-E90FB942AE9B}"/>
    <cellStyle name="Comma 4 4 6 5 2 3" xfId="33879" xr:uid="{819516E1-3765-4326-AB7F-EFE5DF535E6C}"/>
    <cellStyle name="Comma 4 4 6 5 3" xfId="11975" xr:uid="{F3313F4E-4B16-4BB4-904B-38EA8813EA35}"/>
    <cellStyle name="Comma 4 4 6 5 3 2" xfId="48483" xr:uid="{33AA45AD-76A3-4B1E-9693-7FDE2E916AE8}"/>
    <cellStyle name="Comma 4 4 6 5 3 3" xfId="30229" xr:uid="{6B633E87-3E5B-4A3F-8C70-B325F6C307BA}"/>
    <cellStyle name="Comma 4 4 6 5 4" xfId="8325" xr:uid="{6ADF048B-532E-41F7-A282-C9694711CFBC}"/>
    <cellStyle name="Comma 4 4 6 5 4 2" xfId="44833" xr:uid="{3A5A87E5-CB63-45A6-BB3E-50D3D6150E46}"/>
    <cellStyle name="Comma 4 4 6 5 4 3" xfId="26579" xr:uid="{647737A3-61F9-4D67-B49B-78ADBB672970}"/>
    <cellStyle name="Comma 4 4 6 5 5" xfId="4675" xr:uid="{4455CE57-BCA5-4212-BC45-0C8E12C68B7C}"/>
    <cellStyle name="Comma 4 4 6 5 5 2" xfId="41183" xr:uid="{FE1CEC6B-6696-42DB-A8EF-039462569C0A}"/>
    <cellStyle name="Comma 4 4 6 5 5 3" xfId="22929" xr:uid="{7A260EAA-ECF5-435A-8605-0C9A1038F0F4}"/>
    <cellStyle name="Comma 4 4 6 5 6" xfId="37533" xr:uid="{C7265344-A690-44B5-8C26-ADFB8CB0D4C3}"/>
    <cellStyle name="Comma 4 4 6 5 7" xfId="19279" xr:uid="{C6DBE5C3-A0EB-412E-9CEC-EB85C75FDA12}"/>
    <cellStyle name="Comma 4 4 6 6" xfId="14895" xr:uid="{C8A11183-2DE0-4331-8472-78217C643A9B}"/>
    <cellStyle name="Comma 4 4 6 6 2" xfId="51403" xr:uid="{09F73D51-1567-4C55-8E7C-7E6C0BC86B0A}"/>
    <cellStyle name="Comma 4 4 6 6 3" xfId="33149" xr:uid="{664E6A52-3B4C-4E8D-B31A-724D87CD8A01}"/>
    <cellStyle name="Comma 4 4 6 7" xfId="11245" xr:uid="{209415CF-C548-465C-9A70-FF1C6C876B01}"/>
    <cellStyle name="Comma 4 4 6 7 2" xfId="47753" xr:uid="{08707C39-AC85-407B-8D83-E3695F500927}"/>
    <cellStyle name="Comma 4 4 6 7 3" xfId="29499" xr:uid="{4CF4B285-A027-48FE-A119-9D4EDDCB92D6}"/>
    <cellStyle name="Comma 4 4 6 8" xfId="7595" xr:uid="{0413875A-FEC2-482E-96FC-50FEE5FCF9BB}"/>
    <cellStyle name="Comma 4 4 6 8 2" xfId="44103" xr:uid="{DEE6588F-11BC-4CF3-9E39-2162B364F215}"/>
    <cellStyle name="Comma 4 4 6 8 3" xfId="25849" xr:uid="{57161223-59FC-4BE2-B53F-04048700E433}"/>
    <cellStyle name="Comma 4 4 6 9" xfId="3945" xr:uid="{B45ED4D1-8CD8-445B-ADBB-1B4C146507AF}"/>
    <cellStyle name="Comma 4 4 6 9 2" xfId="40453" xr:uid="{A50DF0B8-EF0F-4779-AA39-0E6BF55A0EE0}"/>
    <cellStyle name="Comma 4 4 6 9 3" xfId="22199" xr:uid="{16124A0E-3628-493C-8385-04BD24C7841C}"/>
    <cellStyle name="Comma 4 4 7" xfId="191" xr:uid="{AFDDCF95-2A1C-400B-8452-251655C4AF53}"/>
    <cellStyle name="Comma 4 4 7 10" xfId="36699" xr:uid="{3797CA72-2578-43C9-9593-B67AEABE3DE3}"/>
    <cellStyle name="Comma 4 4 7 11" xfId="18445" xr:uid="{B2E439A7-0C1B-4803-91BE-F7DFB7F4C11D}"/>
    <cellStyle name="Comma 4 4 7 2" xfId="3111" xr:uid="{A24A0558-0899-4212-B1D3-0F5CD8483659}"/>
    <cellStyle name="Comma 4 4 7 2 2" xfId="17711" xr:uid="{395E2FE0-895F-4C50-9514-A8DA7084F1BD}"/>
    <cellStyle name="Comma 4 4 7 2 2 2" xfId="54219" xr:uid="{64C81E95-F7AB-41CE-B1B5-B53541B68120}"/>
    <cellStyle name="Comma 4 4 7 2 2 3" xfId="35965" xr:uid="{4FEC234F-065E-4F8F-A7A6-F6C0296738B1}"/>
    <cellStyle name="Comma 4 4 7 2 3" xfId="14061" xr:uid="{0E014E7A-14FA-4C86-8A9B-0EB05F2F7173}"/>
    <cellStyle name="Comma 4 4 7 2 3 2" xfId="50569" xr:uid="{82F313E2-8EBA-45FB-B450-AD0D58C848F9}"/>
    <cellStyle name="Comma 4 4 7 2 3 3" xfId="32315" xr:uid="{6AF55A1D-FC01-4C93-8EE0-64A5ADF46A8F}"/>
    <cellStyle name="Comma 4 4 7 2 4" xfId="10411" xr:uid="{920E36C0-967B-4F5D-B99F-0F8E4B25ECFB}"/>
    <cellStyle name="Comma 4 4 7 2 4 2" xfId="46919" xr:uid="{F95B8E24-1AD2-4BF0-A818-3ECBB5E3D75C}"/>
    <cellStyle name="Comma 4 4 7 2 4 3" xfId="28665" xr:uid="{EA6ADD4C-B415-4206-85E1-C8363567CA73}"/>
    <cellStyle name="Comma 4 4 7 2 5" xfId="6761" xr:uid="{C35A9950-30FE-443A-8148-2B92530D7328}"/>
    <cellStyle name="Comma 4 4 7 2 5 2" xfId="43269" xr:uid="{4DE2ED29-1E15-4D1B-AA35-3E7926D63E5B}"/>
    <cellStyle name="Comma 4 4 7 2 5 3" xfId="25015" xr:uid="{7200A7B0-E75B-43E0-9C23-372C37513415}"/>
    <cellStyle name="Comma 4 4 7 2 6" xfId="39619" xr:uid="{5BCFBC20-9752-4DA7-B178-C3AAB7199C6D}"/>
    <cellStyle name="Comma 4 4 7 2 7" xfId="21365" xr:uid="{1BBD0884-3910-4812-8A55-1E6FA8681FF3}"/>
    <cellStyle name="Comma 4 4 7 3" xfId="2381" xr:uid="{7E02C1CE-98CD-401F-8BB3-A870A2281622}"/>
    <cellStyle name="Comma 4 4 7 3 2" xfId="16981" xr:uid="{7A5AEABA-5A2E-41BB-A103-98924FBC62EE}"/>
    <cellStyle name="Comma 4 4 7 3 2 2" xfId="53489" xr:uid="{85604533-DFFA-43A6-9861-9AFDF9E02D08}"/>
    <cellStyle name="Comma 4 4 7 3 2 3" xfId="35235" xr:uid="{B9214A67-AD17-4FDE-AA1B-1CC83EADEB2E}"/>
    <cellStyle name="Comma 4 4 7 3 3" xfId="13331" xr:uid="{B804F9B9-B822-45D4-A457-59572B029383}"/>
    <cellStyle name="Comma 4 4 7 3 3 2" xfId="49839" xr:uid="{4BCEA139-F15B-4D64-BCFA-963C0680A89B}"/>
    <cellStyle name="Comma 4 4 7 3 3 3" xfId="31585" xr:uid="{E420CAFE-AEED-4AE1-956F-C1BE731D5600}"/>
    <cellStyle name="Comma 4 4 7 3 4" xfId="9681" xr:uid="{228D7F6F-2B14-46DD-899E-8607A418DAEE}"/>
    <cellStyle name="Comma 4 4 7 3 4 2" xfId="46189" xr:uid="{B204C33C-CB0C-4C5D-87A9-A0E0297CFD91}"/>
    <cellStyle name="Comma 4 4 7 3 4 3" xfId="27935" xr:uid="{77562ACD-0F38-4F1A-BAFC-5A0E020E352D}"/>
    <cellStyle name="Comma 4 4 7 3 5" xfId="6031" xr:uid="{711A1835-BEEC-4BA0-84A3-643C6A5F396B}"/>
    <cellStyle name="Comma 4 4 7 3 5 2" xfId="42539" xr:uid="{B9D7BC9F-40BB-42EE-A23B-D2CF24D105B1}"/>
    <cellStyle name="Comma 4 4 7 3 5 3" xfId="24285" xr:uid="{BF05EC40-8E47-4B6B-831A-8521E0B64E0B}"/>
    <cellStyle name="Comma 4 4 7 3 6" xfId="38889" xr:uid="{4B11B6B0-B5AF-4EF3-B642-EAF3A2FEFBE9}"/>
    <cellStyle name="Comma 4 4 7 3 7" xfId="20635" xr:uid="{AED59891-A681-487F-8711-F51A6021D12F}"/>
    <cellStyle name="Comma 4 4 7 4" xfId="1651" xr:uid="{E5DE026E-917E-430B-8EA3-6F15ADB6D8C9}"/>
    <cellStyle name="Comma 4 4 7 4 2" xfId="16251" xr:uid="{D8686850-A37F-4301-961C-D6825059626D}"/>
    <cellStyle name="Comma 4 4 7 4 2 2" xfId="52759" xr:uid="{8B410B9C-3F84-494E-9249-C785531D73D5}"/>
    <cellStyle name="Comma 4 4 7 4 2 3" xfId="34505" xr:uid="{EDCFD6A4-9A94-45B1-A680-47F0C47B021E}"/>
    <cellStyle name="Comma 4 4 7 4 3" xfId="12601" xr:uid="{FACF5508-EEF9-44CA-A959-CBE97B38A96F}"/>
    <cellStyle name="Comma 4 4 7 4 3 2" xfId="49109" xr:uid="{1A696FBF-3D14-4F30-91B4-37919B76F203}"/>
    <cellStyle name="Comma 4 4 7 4 3 3" xfId="30855" xr:uid="{50EFA5E7-B83D-45DB-A477-0E9FA9AE992F}"/>
    <cellStyle name="Comma 4 4 7 4 4" xfId="8951" xr:uid="{21FEB5AA-6AB6-45CC-A06A-044044265165}"/>
    <cellStyle name="Comma 4 4 7 4 4 2" xfId="45459" xr:uid="{1F3A3F54-6123-4568-AC41-47BE30B24E46}"/>
    <cellStyle name="Comma 4 4 7 4 4 3" xfId="27205" xr:uid="{F6310BC2-6DD6-4F8F-A0DC-BC8818BBE55D}"/>
    <cellStyle name="Comma 4 4 7 4 5" xfId="5301" xr:uid="{A2DA9807-C573-41A5-94A5-A0B034492C1E}"/>
    <cellStyle name="Comma 4 4 7 4 5 2" xfId="41809" xr:uid="{303F02E0-C3CC-4C7D-9DFF-E9D0BBC30EFE}"/>
    <cellStyle name="Comma 4 4 7 4 5 3" xfId="23555" xr:uid="{786FE05C-E031-4F0F-9BEF-BBA02DABE23A}"/>
    <cellStyle name="Comma 4 4 7 4 6" xfId="38159" xr:uid="{5A098D8F-537C-4321-9CA2-9B109C7AC414}"/>
    <cellStyle name="Comma 4 4 7 4 7" xfId="19905" xr:uid="{FF97C818-B6C7-4EAF-822D-839FDCD17840}"/>
    <cellStyle name="Comma 4 4 7 5" xfId="921" xr:uid="{A5B41128-49B1-41DA-9873-59F2F385FF38}"/>
    <cellStyle name="Comma 4 4 7 5 2" xfId="15521" xr:uid="{60CD8E6E-778E-405A-8DE3-FEDFC31AEA83}"/>
    <cellStyle name="Comma 4 4 7 5 2 2" xfId="52029" xr:uid="{5F06FF00-92C4-425C-9F9C-C3399A7EF729}"/>
    <cellStyle name="Comma 4 4 7 5 2 3" xfId="33775" xr:uid="{6B03CCF4-02F7-4A3A-B9BE-6C0B6DE7248B}"/>
    <cellStyle name="Comma 4 4 7 5 3" xfId="11871" xr:uid="{E65917FA-3808-4641-BEC4-FE466AAE12B3}"/>
    <cellStyle name="Comma 4 4 7 5 3 2" xfId="48379" xr:uid="{A6AB1C16-0276-4E9D-87EF-0AAF79F54FB8}"/>
    <cellStyle name="Comma 4 4 7 5 3 3" xfId="30125" xr:uid="{0423428E-FE10-4A81-9E72-53F4DEC3B67D}"/>
    <cellStyle name="Comma 4 4 7 5 4" xfId="8221" xr:uid="{548CA3BA-8F60-4083-93DD-EE39647CAA6B}"/>
    <cellStyle name="Comma 4 4 7 5 4 2" xfId="44729" xr:uid="{9F6A38D7-DC28-448B-B577-CC969C8F2007}"/>
    <cellStyle name="Comma 4 4 7 5 4 3" xfId="26475" xr:uid="{3325139E-34DC-4134-925E-B463A7360C4D}"/>
    <cellStyle name="Comma 4 4 7 5 5" xfId="4571" xr:uid="{450805E4-3007-45B2-97E1-3ED73601B7E2}"/>
    <cellStyle name="Comma 4 4 7 5 5 2" xfId="41079" xr:uid="{2C25A353-FD6E-422C-B8C3-7BE3EDAF3D7B}"/>
    <cellStyle name="Comma 4 4 7 5 5 3" xfId="22825" xr:uid="{DE36EC57-0B13-4BD5-9D0E-73501B06D66D}"/>
    <cellStyle name="Comma 4 4 7 5 6" xfId="37429" xr:uid="{9C27465B-4D06-47D0-A150-A06FA565AA08}"/>
    <cellStyle name="Comma 4 4 7 5 7" xfId="19175" xr:uid="{C947CE71-A24D-4C68-9787-A432A6B190B0}"/>
    <cellStyle name="Comma 4 4 7 6" xfId="14791" xr:uid="{EA8B022A-A163-4037-83D5-9D759A835AB7}"/>
    <cellStyle name="Comma 4 4 7 6 2" xfId="51299" xr:uid="{63EE0B0F-C302-4F9F-B2FA-353C7426E65E}"/>
    <cellStyle name="Comma 4 4 7 6 3" xfId="33045" xr:uid="{C5878020-03D8-44B3-A155-16710113A639}"/>
    <cellStyle name="Comma 4 4 7 7" xfId="11141" xr:uid="{6C33C6FC-1453-42E4-83B9-FE8A3B5F2E6E}"/>
    <cellStyle name="Comma 4 4 7 7 2" xfId="47649" xr:uid="{520B6C9D-5DEF-471D-9D61-4E051B7528A2}"/>
    <cellStyle name="Comma 4 4 7 7 3" xfId="29395" xr:uid="{18D891BD-0189-43EB-80E3-AB92D6DA7644}"/>
    <cellStyle name="Comma 4 4 7 8" xfId="7491" xr:uid="{DF9B217B-CC3D-4276-934B-5AA4DB0C6558}"/>
    <cellStyle name="Comma 4 4 7 8 2" xfId="43999" xr:uid="{44A8C88E-A60B-47BC-8C15-74C91A638FFE}"/>
    <cellStyle name="Comma 4 4 7 8 3" xfId="25745" xr:uid="{21340EA5-3F13-49C1-8DB7-9973E5EC1EC5}"/>
    <cellStyle name="Comma 4 4 7 9" xfId="3841" xr:uid="{C706076B-4D53-4CC4-9037-72145808EA8B}"/>
    <cellStyle name="Comma 4 4 7 9 2" xfId="40349" xr:uid="{DD6DE5A5-48ED-42E5-B752-A1753D4C82BF}"/>
    <cellStyle name="Comma 4 4 7 9 3" xfId="22095" xr:uid="{1CB1EB80-E5EC-4C31-9585-06A4FCF4701C}"/>
    <cellStyle name="Comma 4 4 8" xfId="3007" xr:uid="{D22A003C-7C9B-477F-9B2F-7A0EE893A470}"/>
    <cellStyle name="Comma 4 4 8 2" xfId="17607" xr:uid="{87FC7355-76A7-4826-A743-2A035C8DC9DE}"/>
    <cellStyle name="Comma 4 4 8 2 2" xfId="54115" xr:uid="{488C6778-7F75-40F9-BCED-4051BD9B3144}"/>
    <cellStyle name="Comma 4 4 8 2 3" xfId="35861" xr:uid="{77E1C6CB-0D1D-4366-AEBD-80177FC67EB7}"/>
    <cellStyle name="Comma 4 4 8 3" xfId="13957" xr:uid="{06AFB785-249F-41F1-8897-7F921548579E}"/>
    <cellStyle name="Comma 4 4 8 3 2" xfId="50465" xr:uid="{ECA30932-52E4-4CC7-AA73-A0D6669558A7}"/>
    <cellStyle name="Comma 4 4 8 3 3" xfId="32211" xr:uid="{17B18BF9-9DCA-4910-8E4F-60F89E0FCB12}"/>
    <cellStyle name="Comma 4 4 8 4" xfId="10307" xr:uid="{3B9B7A4B-3B76-490D-985E-EE55F927F601}"/>
    <cellStyle name="Comma 4 4 8 4 2" xfId="46815" xr:uid="{58B3AEB5-5599-41C7-9802-0785F12F8E0B}"/>
    <cellStyle name="Comma 4 4 8 4 3" xfId="28561" xr:uid="{6C3EFDD5-947E-452E-9D70-6024AF22871A}"/>
    <cellStyle name="Comma 4 4 8 5" xfId="6657" xr:uid="{B4A30695-B41C-4CD7-B580-118C60B9AF6A}"/>
    <cellStyle name="Comma 4 4 8 5 2" xfId="43165" xr:uid="{BE5E76ED-7C95-4AF5-8058-2FF4160EAFF2}"/>
    <cellStyle name="Comma 4 4 8 5 3" xfId="24911" xr:uid="{328C6F96-6A16-4171-8893-A96BE83CC91B}"/>
    <cellStyle name="Comma 4 4 8 6" xfId="39515" xr:uid="{3A9A8B10-8C26-42EE-BFB4-C20FA00F7860}"/>
    <cellStyle name="Comma 4 4 8 7" xfId="21261" xr:uid="{190792EA-53FC-4355-8FBA-E3280D236D56}"/>
    <cellStyle name="Comma 4 4 9" xfId="2277" xr:uid="{D1CCC07E-38F5-4630-9076-6EF222CCE167}"/>
    <cellStyle name="Comma 4 4 9 2" xfId="16877" xr:uid="{BBDFCADF-9F14-4EBA-A878-F306C7A0CA00}"/>
    <cellStyle name="Comma 4 4 9 2 2" xfId="53385" xr:uid="{3454C9CA-E4AB-443B-8237-9EA3B06F0A30}"/>
    <cellStyle name="Comma 4 4 9 2 3" xfId="35131" xr:uid="{E972AEF3-BACD-4FBC-953A-EE08D5CB9FFB}"/>
    <cellStyle name="Comma 4 4 9 3" xfId="13227" xr:uid="{11729C61-BEDD-41A0-BC8C-66C1EC89C263}"/>
    <cellStyle name="Comma 4 4 9 3 2" xfId="49735" xr:uid="{5BB66763-4EF4-40FA-9AAA-64B00AB3EFD3}"/>
    <cellStyle name="Comma 4 4 9 3 3" xfId="31481" xr:uid="{DD9697E3-4BF1-40F3-9FCE-2EB9AC7174FF}"/>
    <cellStyle name="Comma 4 4 9 4" xfId="9577" xr:uid="{B9BA6997-98E9-4748-8359-D32674D7FA29}"/>
    <cellStyle name="Comma 4 4 9 4 2" xfId="46085" xr:uid="{8FD3D1F1-E04C-4437-A824-8A612233FAE6}"/>
    <cellStyle name="Comma 4 4 9 4 3" xfId="27831" xr:uid="{B2660F51-D604-43D2-AE95-BEF1DC3F8AE6}"/>
    <cellStyle name="Comma 4 4 9 5" xfId="5927" xr:uid="{46036C36-A6A7-4C3E-80F5-07C39123EC15}"/>
    <cellStyle name="Comma 4 4 9 5 2" xfId="42435" xr:uid="{70483577-39FB-447A-9EA7-2664D85E1EAC}"/>
    <cellStyle name="Comma 4 4 9 5 3" xfId="24181" xr:uid="{38876D28-DDD1-4598-8E5A-1737164C466A}"/>
    <cellStyle name="Comma 4 4 9 6" xfId="38785" xr:uid="{2064AD7B-4425-4C96-95D7-5AF3578421DD}"/>
    <cellStyle name="Comma 4 4 9 7" xfId="20531" xr:uid="{5252AFB0-D6BD-432C-A71F-BB7DB90CCFD7}"/>
    <cellStyle name="Comma 4 5" xfId="49" xr:uid="{E44BC637-6323-4F09-9EE4-0A53B57141F4}"/>
    <cellStyle name="Comma 4 5 10" xfId="1515" xr:uid="{BC4199FC-F03B-461E-914E-2F4AAD8990DE}"/>
    <cellStyle name="Comma 4 5 10 2" xfId="16115" xr:uid="{E6DFBD2E-FA9A-4A69-8B46-D3962226BF87}"/>
    <cellStyle name="Comma 4 5 10 2 2" xfId="52623" xr:uid="{446E1BF5-FC9E-4194-B3B7-37B062444A42}"/>
    <cellStyle name="Comma 4 5 10 2 3" xfId="34369" xr:uid="{382D96D0-918B-44DB-8A17-E08C7E36C6F3}"/>
    <cellStyle name="Comma 4 5 10 3" xfId="12465" xr:uid="{5F218BCA-8459-429B-BAE1-E9352D5807EC}"/>
    <cellStyle name="Comma 4 5 10 3 2" xfId="48973" xr:uid="{6698348F-F3B4-4F06-9AAD-DF23E70FD945}"/>
    <cellStyle name="Comma 4 5 10 3 3" xfId="30719" xr:uid="{DABDDD9F-CB6E-47FF-A8F2-5D294A7FDF1D}"/>
    <cellStyle name="Comma 4 5 10 4" xfId="8815" xr:uid="{DC2933D8-7DE8-4DB3-AFA0-10FBE8B3BD7F}"/>
    <cellStyle name="Comma 4 5 10 4 2" xfId="45323" xr:uid="{02E3B946-4114-4E47-86A5-DAC6E55EEF24}"/>
    <cellStyle name="Comma 4 5 10 4 3" xfId="27069" xr:uid="{5FA5B54F-1FD6-4BE5-8AF0-DC511FA59EC8}"/>
    <cellStyle name="Comma 4 5 10 5" xfId="5165" xr:uid="{374823F3-DD27-45E7-8529-4E12D3CFB5D5}"/>
    <cellStyle name="Comma 4 5 10 5 2" xfId="41673" xr:uid="{D300C9A9-FFB4-4F11-92DD-3FEB4719409C}"/>
    <cellStyle name="Comma 4 5 10 5 3" xfId="23419" xr:uid="{C3D17210-D7B7-4D7E-95B0-A7A0BB093425}"/>
    <cellStyle name="Comma 4 5 10 6" xfId="38023" xr:uid="{5681A0D6-B7D5-47C7-83A0-7D33E459FC3F}"/>
    <cellStyle name="Comma 4 5 10 7" xfId="19769" xr:uid="{A84A00A3-74A6-4CC4-8E76-B74983BD203B}"/>
    <cellStyle name="Comma 4 5 11" xfId="785" xr:uid="{21F37C21-D3FA-4540-841F-473B08DDB9D1}"/>
    <cellStyle name="Comma 4 5 11 2" xfId="15385" xr:uid="{7075311A-D0FA-463F-B535-CA2A6D08734C}"/>
    <cellStyle name="Comma 4 5 11 2 2" xfId="51893" xr:uid="{18BA386F-E4AD-422D-8309-96CD09FB0CBF}"/>
    <cellStyle name="Comma 4 5 11 2 3" xfId="33639" xr:uid="{72C9C48D-6C91-4DC3-9B4B-1D6DF7EAA90C}"/>
    <cellStyle name="Comma 4 5 11 3" xfId="11735" xr:uid="{4DC9256A-57BA-4896-9F68-F92DB9ED2BA2}"/>
    <cellStyle name="Comma 4 5 11 3 2" xfId="48243" xr:uid="{0167C21D-E9FB-4832-A950-1903EF28BA12}"/>
    <cellStyle name="Comma 4 5 11 3 3" xfId="29989" xr:uid="{10754BB0-7504-47FA-B48D-07B93E657047}"/>
    <cellStyle name="Comma 4 5 11 4" xfId="8085" xr:uid="{A95AE325-638D-4B37-9D58-BB366FA0570F}"/>
    <cellStyle name="Comma 4 5 11 4 2" xfId="44593" xr:uid="{59A634C8-6CC0-473B-AF50-9FAB114037CB}"/>
    <cellStyle name="Comma 4 5 11 4 3" xfId="26339" xr:uid="{8396F4FC-F92F-42BB-B40B-EB34B2D37129}"/>
    <cellStyle name="Comma 4 5 11 5" xfId="4435" xr:uid="{8D311173-0D4B-4703-8859-87D6D5D50731}"/>
    <cellStyle name="Comma 4 5 11 5 2" xfId="40943" xr:uid="{1475BECA-8522-44B2-80D6-0958AFCE603D}"/>
    <cellStyle name="Comma 4 5 11 5 3" xfId="22689" xr:uid="{5217D376-5E6D-4E14-BF89-D0CF98CC4720}"/>
    <cellStyle name="Comma 4 5 11 6" xfId="37293" xr:uid="{46DB3628-654F-44B1-A42A-F2E516BA48C3}"/>
    <cellStyle name="Comma 4 5 11 7" xfId="19039" xr:uid="{3EDA9F3B-E290-4E92-A50E-43E408DD88EB}"/>
    <cellStyle name="Comma 4 5 12" xfId="14655" xr:uid="{6AC24542-6C29-4EF1-878F-FBFF0BF87045}"/>
    <cellStyle name="Comma 4 5 12 2" xfId="51163" xr:uid="{74A5F94E-7C75-4454-A43F-3A2E80D9C77D}"/>
    <cellStyle name="Comma 4 5 12 3" xfId="32909" xr:uid="{D4744203-B488-4139-8FCB-85719B0B0386}"/>
    <cellStyle name="Comma 4 5 13" xfId="11005" xr:uid="{E9615808-4AF0-413A-9B32-2C2058713F90}"/>
    <cellStyle name="Comma 4 5 13 2" xfId="47513" xr:uid="{47E16176-CF70-477F-8379-47A85054C129}"/>
    <cellStyle name="Comma 4 5 13 3" xfId="29259" xr:uid="{7EB56824-13EA-4E5A-9F32-69DA09E1B3DF}"/>
    <cellStyle name="Comma 4 5 14" xfId="7355" xr:uid="{D1197D90-9F83-41A3-89C8-0D1CC55D454F}"/>
    <cellStyle name="Comma 4 5 14 2" xfId="43863" xr:uid="{D8311784-B4BC-4DA9-A70D-D7990AD1E51F}"/>
    <cellStyle name="Comma 4 5 14 3" xfId="25609" xr:uid="{7263326A-8EEF-432E-881D-A8154330A587}"/>
    <cellStyle name="Comma 4 5 15" xfId="3705" xr:uid="{BCF3BD19-D34B-4D95-BCB1-2FDB31ECE92A}"/>
    <cellStyle name="Comma 4 5 15 2" xfId="40213" xr:uid="{7EF9DF2C-C6CC-4F4D-8586-E891EEB40112}"/>
    <cellStyle name="Comma 4 5 15 3" xfId="21959" xr:uid="{AC708350-1DCF-4D47-8699-60C2FF180E8C}"/>
    <cellStyle name="Comma 4 5 16" xfId="36563" xr:uid="{AD017315-604E-4313-A635-BC4F2396EC37}"/>
    <cellStyle name="Comma 4 5 17" xfId="18309" xr:uid="{308431DF-CC0D-4314-BE89-2C5D84C45C26}"/>
    <cellStyle name="Comma 4 5 2" xfId="679" xr:uid="{B279225E-449F-4D1C-AF85-DE72456668FD}"/>
    <cellStyle name="Comma 4 5 2 10" xfId="37187" xr:uid="{F15A5930-42D6-4597-AFEB-B8529EAD9ADA}"/>
    <cellStyle name="Comma 4 5 2 11" xfId="18933" xr:uid="{BD679C5D-B5DE-415F-9A47-471730CD022C}"/>
    <cellStyle name="Comma 4 5 2 2" xfId="3599" xr:uid="{ADD80109-C3EB-4D42-B392-C10F74C544D6}"/>
    <cellStyle name="Comma 4 5 2 2 2" xfId="18199" xr:uid="{2C39399F-B282-4678-976E-72BE66D1827E}"/>
    <cellStyle name="Comma 4 5 2 2 2 2" xfId="54707" xr:uid="{D4D302DC-384B-42CA-9BA5-8A1910749CB3}"/>
    <cellStyle name="Comma 4 5 2 2 2 3" xfId="36453" xr:uid="{516698A4-B35A-439C-9E44-006C2FDB98A7}"/>
    <cellStyle name="Comma 4 5 2 2 3" xfId="14549" xr:uid="{199FCE49-6249-433A-9A75-21657872CF04}"/>
    <cellStyle name="Comma 4 5 2 2 3 2" xfId="51057" xr:uid="{8E33E87A-993E-4C72-BBC9-83CD10414C12}"/>
    <cellStyle name="Comma 4 5 2 2 3 3" xfId="32803" xr:uid="{A1EB8E6E-CC63-48D1-B70C-A3253DF7EAD2}"/>
    <cellStyle name="Comma 4 5 2 2 4" xfId="10899" xr:uid="{6ADD9831-5107-4A71-8C2D-7921029B26A9}"/>
    <cellStyle name="Comma 4 5 2 2 4 2" xfId="47407" xr:uid="{354581BF-0876-476E-9BE4-6F5EA39B6CC6}"/>
    <cellStyle name="Comma 4 5 2 2 4 3" xfId="29153" xr:uid="{E14DE15A-4C36-4208-A9A9-14CB603556DA}"/>
    <cellStyle name="Comma 4 5 2 2 5" xfId="7249" xr:uid="{910C7E57-6C24-4BDF-A523-DFC9C19925CB}"/>
    <cellStyle name="Comma 4 5 2 2 5 2" xfId="43757" xr:uid="{150C4417-913C-48CF-ADE3-1FECF68C5625}"/>
    <cellStyle name="Comma 4 5 2 2 5 3" xfId="25503" xr:uid="{36AA3DB3-42C8-4DB6-82E1-2C48AC38987B}"/>
    <cellStyle name="Comma 4 5 2 2 6" xfId="40107" xr:uid="{171332B7-67BE-4BD9-9B78-09134DA6D705}"/>
    <cellStyle name="Comma 4 5 2 2 7" xfId="21853" xr:uid="{A0C3AA0C-4985-4A76-8BDA-224090F1E59E}"/>
    <cellStyle name="Comma 4 5 2 3" xfId="2869" xr:uid="{055ACD6C-BFE3-4A48-9E6E-F614C0747DD9}"/>
    <cellStyle name="Comma 4 5 2 3 2" xfId="17469" xr:uid="{EF397CA6-7668-4263-A8BA-B6D842B1891C}"/>
    <cellStyle name="Comma 4 5 2 3 2 2" xfId="53977" xr:uid="{D5E20B58-542A-4489-B3E9-52B268CB7E88}"/>
    <cellStyle name="Comma 4 5 2 3 2 3" xfId="35723" xr:uid="{2B67E260-3716-4FEF-8474-AEDC603580EA}"/>
    <cellStyle name="Comma 4 5 2 3 3" xfId="13819" xr:uid="{305A6815-A254-41B6-BC18-A4E34F178379}"/>
    <cellStyle name="Comma 4 5 2 3 3 2" xfId="50327" xr:uid="{47288B26-4C3D-4A2A-A913-DB5987818F29}"/>
    <cellStyle name="Comma 4 5 2 3 3 3" xfId="32073" xr:uid="{48F65113-81C0-4A38-A4DF-C0D87B29F446}"/>
    <cellStyle name="Comma 4 5 2 3 4" xfId="10169" xr:uid="{2C1E4B3B-3EDC-4090-A2DC-CA45FF6541A7}"/>
    <cellStyle name="Comma 4 5 2 3 4 2" xfId="46677" xr:uid="{6D443A71-BA2F-4FF7-8EF7-7098430FED1F}"/>
    <cellStyle name="Comma 4 5 2 3 4 3" xfId="28423" xr:uid="{200E37F3-5849-473F-90BD-8D22F9A80F6E}"/>
    <cellStyle name="Comma 4 5 2 3 5" xfId="6519" xr:uid="{2AEB4F33-CF6F-4F7C-86FC-7DDCB26890B1}"/>
    <cellStyle name="Comma 4 5 2 3 5 2" xfId="43027" xr:uid="{AB9CC02A-3CD4-4CF7-A371-87C985916978}"/>
    <cellStyle name="Comma 4 5 2 3 5 3" xfId="24773" xr:uid="{562DD7BF-649C-44B8-8E71-0BA23BD62320}"/>
    <cellStyle name="Comma 4 5 2 3 6" xfId="39377" xr:uid="{E3583065-E4EE-4664-9D91-529F2AB8ABE0}"/>
    <cellStyle name="Comma 4 5 2 3 7" xfId="21123" xr:uid="{8C21A25B-80B9-40C1-8E24-BCA21578A371}"/>
    <cellStyle name="Comma 4 5 2 4" xfId="2139" xr:uid="{A856035D-38FE-4F9A-9E4E-F37B6536BD05}"/>
    <cellStyle name="Comma 4 5 2 4 2" xfId="16739" xr:uid="{E9C1DD8C-CDAD-45BF-BC14-5DAE2576DE5F}"/>
    <cellStyle name="Comma 4 5 2 4 2 2" xfId="53247" xr:uid="{BBD34FCE-1865-455D-9730-5B73C74D8F14}"/>
    <cellStyle name="Comma 4 5 2 4 2 3" xfId="34993" xr:uid="{5A8B0429-B3A3-4CB3-9269-A913D92B8A7C}"/>
    <cellStyle name="Comma 4 5 2 4 3" xfId="13089" xr:uid="{97F868B5-6708-414C-B4AB-BDD95AABF72C}"/>
    <cellStyle name="Comma 4 5 2 4 3 2" xfId="49597" xr:uid="{D0171B2B-5B6C-4B4D-B805-170B7813CA6D}"/>
    <cellStyle name="Comma 4 5 2 4 3 3" xfId="31343" xr:uid="{132157C9-2094-4059-B3C0-326F1F1329EC}"/>
    <cellStyle name="Comma 4 5 2 4 4" xfId="9439" xr:uid="{B81A60EE-E233-423A-9136-FE7F7356CA00}"/>
    <cellStyle name="Comma 4 5 2 4 4 2" xfId="45947" xr:uid="{2414596C-5695-434C-ABB7-F7F23461BDDB}"/>
    <cellStyle name="Comma 4 5 2 4 4 3" xfId="27693" xr:uid="{9401DD76-6CE1-479B-9C98-E9D86AE5E708}"/>
    <cellStyle name="Comma 4 5 2 4 5" xfId="5789" xr:uid="{CFD2BC4B-D20B-4ACD-996F-C2BFF30B5283}"/>
    <cellStyle name="Comma 4 5 2 4 5 2" xfId="42297" xr:uid="{C23689C4-2DE6-48B0-B157-FB64003A6899}"/>
    <cellStyle name="Comma 4 5 2 4 5 3" xfId="24043" xr:uid="{D18F6586-0F9A-40A5-8B48-61439B113EC4}"/>
    <cellStyle name="Comma 4 5 2 4 6" xfId="38647" xr:uid="{F23DDDD0-873B-4C4E-B0E1-61B6674A5B32}"/>
    <cellStyle name="Comma 4 5 2 4 7" xfId="20393" xr:uid="{1A62F3E9-A941-4805-A12C-15B6B74FFD1D}"/>
    <cellStyle name="Comma 4 5 2 5" xfId="1409" xr:uid="{BBF2B5EB-5A2F-42AF-A3A9-6CD5075D2DC2}"/>
    <cellStyle name="Comma 4 5 2 5 2" xfId="16009" xr:uid="{5865EA14-D0F1-444A-850D-E69AABB142FC}"/>
    <cellStyle name="Comma 4 5 2 5 2 2" xfId="52517" xr:uid="{21F1C30F-4FD4-4E48-B06E-F13229075689}"/>
    <cellStyle name="Comma 4 5 2 5 2 3" xfId="34263" xr:uid="{34D955EE-52AE-44DB-ABDF-F4CF047F73B0}"/>
    <cellStyle name="Comma 4 5 2 5 3" xfId="12359" xr:uid="{5402D389-DE32-489F-8F83-53B7FE710979}"/>
    <cellStyle name="Comma 4 5 2 5 3 2" xfId="48867" xr:uid="{868784C1-76F4-45D4-A851-D12C47D050FE}"/>
    <cellStyle name="Comma 4 5 2 5 3 3" xfId="30613" xr:uid="{ACACA585-60C6-42A9-AB2E-9703F465FC9E}"/>
    <cellStyle name="Comma 4 5 2 5 4" xfId="8709" xr:uid="{413ED74A-FBB7-45A4-8BA3-8E27942F7723}"/>
    <cellStyle name="Comma 4 5 2 5 4 2" xfId="45217" xr:uid="{F5EC6467-5CC6-4DBF-B31A-103EB997387B}"/>
    <cellStyle name="Comma 4 5 2 5 4 3" xfId="26963" xr:uid="{89F7A3C8-233E-477F-8E4A-0D673AB5F850}"/>
    <cellStyle name="Comma 4 5 2 5 5" xfId="5059" xr:uid="{7F3F8DBA-DEDB-4ABB-9851-E19719972AB7}"/>
    <cellStyle name="Comma 4 5 2 5 5 2" xfId="41567" xr:uid="{73C353D5-C213-4FA9-95A3-7C0A6A3FFFB7}"/>
    <cellStyle name="Comma 4 5 2 5 5 3" xfId="23313" xr:uid="{D457A2CE-2EFC-4530-B8E1-325A6E3927F7}"/>
    <cellStyle name="Comma 4 5 2 5 6" xfId="37917" xr:uid="{D1684567-0144-4607-8024-C810A32E1635}"/>
    <cellStyle name="Comma 4 5 2 5 7" xfId="19663" xr:uid="{021CFBAF-2F16-4D22-ADFF-459FCAE083CE}"/>
    <cellStyle name="Comma 4 5 2 6" xfId="15279" xr:uid="{11A3A2D4-3A68-4271-A24D-373785C75BCA}"/>
    <cellStyle name="Comma 4 5 2 6 2" xfId="51787" xr:uid="{3A1DEA9C-3CCA-454B-BF20-EFF02B95DAAC}"/>
    <cellStyle name="Comma 4 5 2 6 3" xfId="33533" xr:uid="{39147CB2-5EC3-4AE2-BE10-5FCAAD0A1B8B}"/>
    <cellStyle name="Comma 4 5 2 7" xfId="11629" xr:uid="{F2546E10-4D2E-4DE8-AB5F-8EA08531A0B2}"/>
    <cellStyle name="Comma 4 5 2 7 2" xfId="48137" xr:uid="{BB25930B-7463-4426-99C4-1C95EB5FA254}"/>
    <cellStyle name="Comma 4 5 2 7 3" xfId="29883" xr:uid="{02ACE366-FB0F-4916-9A95-9B045B30681D}"/>
    <cellStyle name="Comma 4 5 2 8" xfId="7979" xr:uid="{1945F3AA-74AA-46EA-9C1D-FE8E6E7F0787}"/>
    <cellStyle name="Comma 4 5 2 8 2" xfId="44487" xr:uid="{53844B3B-AA19-43B1-A149-0C79DA423046}"/>
    <cellStyle name="Comma 4 5 2 8 3" xfId="26233" xr:uid="{459E21EB-31AF-4FAC-A61E-628110F0C274}"/>
    <cellStyle name="Comma 4 5 2 9" xfId="4329" xr:uid="{67AC0B2F-6132-4C6D-AA25-724BDADB925F}"/>
    <cellStyle name="Comma 4 5 2 9 2" xfId="40837" xr:uid="{CB5C646E-7BD9-4713-8DC5-4533FBF098DE}"/>
    <cellStyle name="Comma 4 5 2 9 3" xfId="22583" xr:uid="{2FFEA943-5FFC-434B-BF9F-58093FB0C67D}"/>
    <cellStyle name="Comma 4 5 3" xfId="575" xr:uid="{5C340C72-2FD2-4D67-A912-CDDB4549A19B}"/>
    <cellStyle name="Comma 4 5 3 10" xfId="37083" xr:uid="{D93A55D2-DAFF-400E-A8D3-B0F571685B83}"/>
    <cellStyle name="Comma 4 5 3 11" xfId="18829" xr:uid="{5BF15A2E-A535-45A8-8AB7-EB5014DF0A30}"/>
    <cellStyle name="Comma 4 5 3 2" xfId="3495" xr:uid="{0DB3C721-C9F0-4334-AECD-BEF9E6805354}"/>
    <cellStyle name="Comma 4 5 3 2 2" xfId="18095" xr:uid="{B9F8FBBB-8B48-4ED0-B3F0-2CC6DC29643F}"/>
    <cellStyle name="Comma 4 5 3 2 2 2" xfId="54603" xr:uid="{773BED38-2C0E-4F31-8A58-DCB4C54D04B3}"/>
    <cellStyle name="Comma 4 5 3 2 2 3" xfId="36349" xr:uid="{AB27DEBC-121C-486C-88FB-610286C3F276}"/>
    <cellStyle name="Comma 4 5 3 2 3" xfId="14445" xr:uid="{18C84F6E-4299-44FB-9AE0-BE9BCC58C69F}"/>
    <cellStyle name="Comma 4 5 3 2 3 2" xfId="50953" xr:uid="{7B3B7802-26D0-41E5-9FD7-E41B75B28FF7}"/>
    <cellStyle name="Comma 4 5 3 2 3 3" xfId="32699" xr:uid="{28440C5B-97F3-47B8-8D5C-827CFE56411C}"/>
    <cellStyle name="Comma 4 5 3 2 4" xfId="10795" xr:uid="{020E9221-1709-47F2-A57E-7AE6602E8BFE}"/>
    <cellStyle name="Comma 4 5 3 2 4 2" xfId="47303" xr:uid="{C24F4B42-64B2-463D-9945-61A6A2E9E62F}"/>
    <cellStyle name="Comma 4 5 3 2 4 3" xfId="29049" xr:uid="{5A87960A-DFCD-4C93-B22A-C1C15EF25C2C}"/>
    <cellStyle name="Comma 4 5 3 2 5" xfId="7145" xr:uid="{92D414B7-0981-4985-A9BF-72D7BEDBF430}"/>
    <cellStyle name="Comma 4 5 3 2 5 2" xfId="43653" xr:uid="{7D7A1BCC-74A5-46DC-9BF6-EE8C8D66B383}"/>
    <cellStyle name="Comma 4 5 3 2 5 3" xfId="25399" xr:uid="{8DBD39B2-1D05-4A78-B9D5-673BBD0E8659}"/>
    <cellStyle name="Comma 4 5 3 2 6" xfId="40003" xr:uid="{A888336C-9154-4B9D-B79B-0A9D8FA66F6E}"/>
    <cellStyle name="Comma 4 5 3 2 7" xfId="21749" xr:uid="{55432CEB-9390-43FE-8292-20DD59D01164}"/>
    <cellStyle name="Comma 4 5 3 3" xfId="2765" xr:uid="{B478DEEC-35D6-4FDC-A677-BB86E7217B02}"/>
    <cellStyle name="Comma 4 5 3 3 2" xfId="17365" xr:uid="{D7F31DFC-6072-4E2F-A1BD-176344A8BDFE}"/>
    <cellStyle name="Comma 4 5 3 3 2 2" xfId="53873" xr:uid="{9A707817-2F72-4AD7-A701-D963443C7F67}"/>
    <cellStyle name="Comma 4 5 3 3 2 3" xfId="35619" xr:uid="{FDF28B6B-7493-44FD-A2B7-486301E6276E}"/>
    <cellStyle name="Comma 4 5 3 3 3" xfId="13715" xr:uid="{0CDE7F4A-E71F-4A74-A494-20EFC8997619}"/>
    <cellStyle name="Comma 4 5 3 3 3 2" xfId="50223" xr:uid="{72DC3C5F-EB11-461D-905B-357C39946A21}"/>
    <cellStyle name="Comma 4 5 3 3 3 3" xfId="31969" xr:uid="{1D4A64C1-E24E-4745-B441-25217B2FC771}"/>
    <cellStyle name="Comma 4 5 3 3 4" xfId="10065" xr:uid="{1378A306-28D5-414F-A40F-4FE10F69BC3E}"/>
    <cellStyle name="Comma 4 5 3 3 4 2" xfId="46573" xr:uid="{03008A83-44CC-4226-899D-99C25CF65AF9}"/>
    <cellStyle name="Comma 4 5 3 3 4 3" xfId="28319" xr:uid="{6304D5A8-B0EE-4B88-AC99-E15D7488C05D}"/>
    <cellStyle name="Comma 4 5 3 3 5" xfId="6415" xr:uid="{C98F7FD0-95AC-4561-87AB-AC77B19F7EB7}"/>
    <cellStyle name="Comma 4 5 3 3 5 2" xfId="42923" xr:uid="{1B84FEE7-6407-49F5-A47D-8526491FBA1B}"/>
    <cellStyle name="Comma 4 5 3 3 5 3" xfId="24669" xr:uid="{088B408E-C49B-43DC-A53E-341AD701F44B}"/>
    <cellStyle name="Comma 4 5 3 3 6" xfId="39273" xr:uid="{0662E784-8A2D-42E4-B8EF-DD6DBD42F446}"/>
    <cellStyle name="Comma 4 5 3 3 7" xfId="21019" xr:uid="{C11153D4-8ED6-47DE-A9D5-8D4424541961}"/>
    <cellStyle name="Comma 4 5 3 4" xfId="2035" xr:uid="{371B0547-70C3-457A-8A9C-5C6DE639EFC7}"/>
    <cellStyle name="Comma 4 5 3 4 2" xfId="16635" xr:uid="{8740C52E-5591-4D7A-B735-EB62E55D4D58}"/>
    <cellStyle name="Comma 4 5 3 4 2 2" xfId="53143" xr:uid="{B5AE284C-C1D0-4E69-9CD4-71FF05F3B0E2}"/>
    <cellStyle name="Comma 4 5 3 4 2 3" xfId="34889" xr:uid="{78EF8682-53B8-4163-922B-1451F592C932}"/>
    <cellStyle name="Comma 4 5 3 4 3" xfId="12985" xr:uid="{F636045F-666B-42DC-B02D-62A3002E0EEE}"/>
    <cellStyle name="Comma 4 5 3 4 3 2" xfId="49493" xr:uid="{21010415-7EC2-4234-8FE1-EEE5FC103D56}"/>
    <cellStyle name="Comma 4 5 3 4 3 3" xfId="31239" xr:uid="{70AF68C9-FE0B-4396-9BD3-FF6F367CCE1D}"/>
    <cellStyle name="Comma 4 5 3 4 4" xfId="9335" xr:uid="{E8E22197-823E-4223-93D3-F1A070F9F00C}"/>
    <cellStyle name="Comma 4 5 3 4 4 2" xfId="45843" xr:uid="{C840988F-81C9-4894-9B82-63BD94C424FD}"/>
    <cellStyle name="Comma 4 5 3 4 4 3" xfId="27589" xr:uid="{F7FC5DE2-E317-4ED5-977B-114F2E0AA810}"/>
    <cellStyle name="Comma 4 5 3 4 5" xfId="5685" xr:uid="{B8737DA2-06B4-4206-8285-C17D707BCBB8}"/>
    <cellStyle name="Comma 4 5 3 4 5 2" xfId="42193" xr:uid="{934F1379-FE78-49C2-AFCB-93F0CB807B94}"/>
    <cellStyle name="Comma 4 5 3 4 5 3" xfId="23939" xr:uid="{E97F77D9-27E6-4606-BEA3-4D7D1204F3EA}"/>
    <cellStyle name="Comma 4 5 3 4 6" xfId="38543" xr:uid="{55F5FDC0-5BB0-47C0-8052-063F1A3E69C6}"/>
    <cellStyle name="Comma 4 5 3 4 7" xfId="20289" xr:uid="{EE08F3E0-B97F-448D-9E0A-313BB8F92603}"/>
    <cellStyle name="Comma 4 5 3 5" xfId="1305" xr:uid="{47308992-AB26-4E95-9303-781D0C5270C2}"/>
    <cellStyle name="Comma 4 5 3 5 2" xfId="15905" xr:uid="{9BE351A7-4CC8-46DB-A64F-1AA0CB926FD3}"/>
    <cellStyle name="Comma 4 5 3 5 2 2" xfId="52413" xr:uid="{09A969AB-81A4-4802-893A-0D70156CA3E1}"/>
    <cellStyle name="Comma 4 5 3 5 2 3" xfId="34159" xr:uid="{1A8CCC80-5724-4DA6-9065-6533A5D36D4F}"/>
    <cellStyle name="Comma 4 5 3 5 3" xfId="12255" xr:uid="{64EE631E-5B13-44EA-85B4-76FAB8713E40}"/>
    <cellStyle name="Comma 4 5 3 5 3 2" xfId="48763" xr:uid="{7C0AB736-C6E4-4130-98AF-50659F917742}"/>
    <cellStyle name="Comma 4 5 3 5 3 3" xfId="30509" xr:uid="{9FE13E06-CB93-4E58-ADCE-21F035E2268E}"/>
    <cellStyle name="Comma 4 5 3 5 4" xfId="8605" xr:uid="{C21994EA-707F-4388-B7EB-840C42C8551E}"/>
    <cellStyle name="Comma 4 5 3 5 4 2" xfId="45113" xr:uid="{2EEE2C4F-B813-4BE4-8EE3-155E185E743C}"/>
    <cellStyle name="Comma 4 5 3 5 4 3" xfId="26859" xr:uid="{242DCD2A-0B26-4CBD-961A-C11F8DAA11C7}"/>
    <cellStyle name="Comma 4 5 3 5 5" xfId="4955" xr:uid="{3AA63A6B-E547-45F8-82E8-F04F72412B04}"/>
    <cellStyle name="Comma 4 5 3 5 5 2" xfId="41463" xr:uid="{FAEF2F1C-E8A4-499C-8059-B67046E3C0C3}"/>
    <cellStyle name="Comma 4 5 3 5 5 3" xfId="23209" xr:uid="{498A0496-94DA-415F-99F2-EC1491DDE3E1}"/>
    <cellStyle name="Comma 4 5 3 5 6" xfId="37813" xr:uid="{7F88D54D-C11E-4751-8684-29AED1E11381}"/>
    <cellStyle name="Comma 4 5 3 5 7" xfId="19559" xr:uid="{4AC27C6F-6565-4F55-BDAC-983E6C789F0F}"/>
    <cellStyle name="Comma 4 5 3 6" xfId="15175" xr:uid="{2BBB07AE-A702-437E-BDF8-F9319E3760E1}"/>
    <cellStyle name="Comma 4 5 3 6 2" xfId="51683" xr:uid="{BE4A7F80-34BE-4546-8B0F-2492BC1C3FD2}"/>
    <cellStyle name="Comma 4 5 3 6 3" xfId="33429" xr:uid="{C375CE9D-92B3-45AF-B397-F69ED255F875}"/>
    <cellStyle name="Comma 4 5 3 7" xfId="11525" xr:uid="{711AA10C-6ECF-4B9E-BA5A-10251C11A2F1}"/>
    <cellStyle name="Comma 4 5 3 7 2" xfId="48033" xr:uid="{6146682C-F167-4820-9749-5556173E7E96}"/>
    <cellStyle name="Comma 4 5 3 7 3" xfId="29779" xr:uid="{1962AAAA-57F8-4D69-BC30-89117B54981E}"/>
    <cellStyle name="Comma 4 5 3 8" xfId="7875" xr:uid="{0135ED52-0EB6-4D8F-A86C-C1A17662D85B}"/>
    <cellStyle name="Comma 4 5 3 8 2" xfId="44383" xr:uid="{139CD97E-07BE-4445-8E94-CA935F03EF05}"/>
    <cellStyle name="Comma 4 5 3 8 3" xfId="26129" xr:uid="{07120B00-4143-4810-A89A-5657FC018CDB}"/>
    <cellStyle name="Comma 4 5 3 9" xfId="4225" xr:uid="{437999B5-44D0-43F5-9A55-F1516D68CBC9}"/>
    <cellStyle name="Comma 4 5 3 9 2" xfId="40733" xr:uid="{6D0A61E2-7835-4B3C-90E6-56EF4A056A7A}"/>
    <cellStyle name="Comma 4 5 3 9 3" xfId="22479" xr:uid="{D0533CA6-F999-4680-BF92-B5556924ED23}"/>
    <cellStyle name="Comma 4 5 4" xfId="471" xr:uid="{9A0863C7-090A-4041-9617-3A5DCB1D7D2A}"/>
    <cellStyle name="Comma 4 5 4 10" xfId="36979" xr:uid="{772B5B1F-653F-493D-8904-2CA91BE1710F}"/>
    <cellStyle name="Comma 4 5 4 11" xfId="18725" xr:uid="{AB6EE953-B574-4C70-B3DE-A025B223DFE6}"/>
    <cellStyle name="Comma 4 5 4 2" xfId="3391" xr:uid="{57CD4F9B-220F-43C2-A3D3-D6D6F90D79BE}"/>
    <cellStyle name="Comma 4 5 4 2 2" xfId="17991" xr:uid="{3E5861AE-2D13-4D8C-A886-04FC24D349A7}"/>
    <cellStyle name="Comma 4 5 4 2 2 2" xfId="54499" xr:uid="{7114C0E2-208A-457C-8ACC-B16B5C3FE2A0}"/>
    <cellStyle name="Comma 4 5 4 2 2 3" xfId="36245" xr:uid="{892A8FCC-9880-4342-9FB9-9BD6AEFCAF5F}"/>
    <cellStyle name="Comma 4 5 4 2 3" xfId="14341" xr:uid="{2804124B-E490-4003-B534-443CB84B49E9}"/>
    <cellStyle name="Comma 4 5 4 2 3 2" xfId="50849" xr:uid="{96F26C7C-172B-4C54-B7FF-F3A513742236}"/>
    <cellStyle name="Comma 4 5 4 2 3 3" xfId="32595" xr:uid="{B1318411-62DF-4DEB-9F56-6C48787AB8E1}"/>
    <cellStyle name="Comma 4 5 4 2 4" xfId="10691" xr:uid="{F5D8765A-15CE-4803-ABB3-BB5A39FF844F}"/>
    <cellStyle name="Comma 4 5 4 2 4 2" xfId="47199" xr:uid="{23F3D350-8E96-4227-8487-24FB34ACE4C4}"/>
    <cellStyle name="Comma 4 5 4 2 4 3" xfId="28945" xr:uid="{ED2926E9-7379-4F93-AA50-893103DA2281}"/>
    <cellStyle name="Comma 4 5 4 2 5" xfId="7041" xr:uid="{0D832B2A-7D6F-479E-9F17-2137A364F5CE}"/>
    <cellStyle name="Comma 4 5 4 2 5 2" xfId="43549" xr:uid="{6F71D77C-5B65-4ADC-B052-1129D40EE7A6}"/>
    <cellStyle name="Comma 4 5 4 2 5 3" xfId="25295" xr:uid="{4CB787E5-32B6-4C1F-92BF-C52A3FE9B9C9}"/>
    <cellStyle name="Comma 4 5 4 2 6" xfId="39899" xr:uid="{75628F1A-9241-47A2-A577-1C07CDB07058}"/>
    <cellStyle name="Comma 4 5 4 2 7" xfId="21645" xr:uid="{0B145DF6-9AE6-4E5A-95CC-9FA404BF61D6}"/>
    <cellStyle name="Comma 4 5 4 3" xfId="2661" xr:uid="{FF289611-588B-41CD-9F2E-3CC20BFAC5CB}"/>
    <cellStyle name="Comma 4 5 4 3 2" xfId="17261" xr:uid="{5D00224D-5C7C-4EB4-8C2F-6B16123FD8B4}"/>
    <cellStyle name="Comma 4 5 4 3 2 2" xfId="53769" xr:uid="{A91E2761-FBC1-44BA-BB02-9F0EF334E694}"/>
    <cellStyle name="Comma 4 5 4 3 2 3" xfId="35515" xr:uid="{1F26DA62-A172-49D2-AED4-EE9BA5738D58}"/>
    <cellStyle name="Comma 4 5 4 3 3" xfId="13611" xr:uid="{B3B628BA-8006-4ADF-9D9A-4F5C30EB7440}"/>
    <cellStyle name="Comma 4 5 4 3 3 2" xfId="50119" xr:uid="{AAAE55F0-32C7-4BB9-BC73-4217849493F2}"/>
    <cellStyle name="Comma 4 5 4 3 3 3" xfId="31865" xr:uid="{18FD3E4B-2765-4D2C-A9B2-D8F1C971924E}"/>
    <cellStyle name="Comma 4 5 4 3 4" xfId="9961" xr:uid="{63D12F59-E254-4EE4-B682-0C46BF22910B}"/>
    <cellStyle name="Comma 4 5 4 3 4 2" xfId="46469" xr:uid="{37C504C9-13C0-4F5B-954B-0BA893C32AD1}"/>
    <cellStyle name="Comma 4 5 4 3 4 3" xfId="28215" xr:uid="{4CE9669A-6254-4A1E-9331-80C83AC0F9DC}"/>
    <cellStyle name="Comma 4 5 4 3 5" xfId="6311" xr:uid="{71696A44-5F34-43A0-9E4F-0EC467E73E86}"/>
    <cellStyle name="Comma 4 5 4 3 5 2" xfId="42819" xr:uid="{B8302268-A506-4C5E-A467-BC545BD4C9DE}"/>
    <cellStyle name="Comma 4 5 4 3 5 3" xfId="24565" xr:uid="{86796482-F0D1-428F-B57F-1A833F075103}"/>
    <cellStyle name="Comma 4 5 4 3 6" xfId="39169" xr:uid="{949E6746-E1E6-4B19-AA31-BDAC7EC7B4F3}"/>
    <cellStyle name="Comma 4 5 4 3 7" xfId="20915" xr:uid="{2CCAFE6F-BDF8-4182-BEB4-F640156474DB}"/>
    <cellStyle name="Comma 4 5 4 4" xfId="1931" xr:uid="{3F6B792D-9163-4A63-AFF0-74128D29F054}"/>
    <cellStyle name="Comma 4 5 4 4 2" xfId="16531" xr:uid="{32D6E08F-EA71-4C3C-A8C0-2FDD1BAB612D}"/>
    <cellStyle name="Comma 4 5 4 4 2 2" xfId="53039" xr:uid="{85B702D6-F9AA-46E7-BD6C-6E7BFDC0D16D}"/>
    <cellStyle name="Comma 4 5 4 4 2 3" xfId="34785" xr:uid="{FEFC74E9-625E-43ED-8E36-BD48C1E09D8E}"/>
    <cellStyle name="Comma 4 5 4 4 3" xfId="12881" xr:uid="{EF086E91-277B-47D8-BFFC-634E62861B02}"/>
    <cellStyle name="Comma 4 5 4 4 3 2" xfId="49389" xr:uid="{1EDCFA16-2558-4ACD-B97E-63D6F5FB42FE}"/>
    <cellStyle name="Comma 4 5 4 4 3 3" xfId="31135" xr:uid="{56AA3241-9198-475A-ACF0-51C2D30C6C15}"/>
    <cellStyle name="Comma 4 5 4 4 4" xfId="9231" xr:uid="{E89E510C-4551-4B9B-AC82-AD4AE0E74511}"/>
    <cellStyle name="Comma 4 5 4 4 4 2" xfId="45739" xr:uid="{F186DE53-B2DB-47AB-96F4-3FD684CAB213}"/>
    <cellStyle name="Comma 4 5 4 4 4 3" xfId="27485" xr:uid="{79DF484D-18BC-4FC4-A49C-47F95923D4F2}"/>
    <cellStyle name="Comma 4 5 4 4 5" xfId="5581" xr:uid="{1C6199E9-8663-42EB-8813-8FD7E46EB34D}"/>
    <cellStyle name="Comma 4 5 4 4 5 2" xfId="42089" xr:uid="{71956ECB-E30F-488B-B83F-510BBA246E7A}"/>
    <cellStyle name="Comma 4 5 4 4 5 3" xfId="23835" xr:uid="{1FF03FE3-75F3-4815-9023-4430BAE5827A}"/>
    <cellStyle name="Comma 4 5 4 4 6" xfId="38439" xr:uid="{BAF2E46B-8219-4EE9-95EB-157C78E11DDC}"/>
    <cellStyle name="Comma 4 5 4 4 7" xfId="20185" xr:uid="{0F28E8B0-A6B9-4AE1-A071-E198D2BBDD72}"/>
    <cellStyle name="Comma 4 5 4 5" xfId="1201" xr:uid="{4A9D48B9-31DD-4D13-9852-F7AB3B078E77}"/>
    <cellStyle name="Comma 4 5 4 5 2" xfId="15801" xr:uid="{E3825553-B20E-4F62-8D96-46493B3B46C2}"/>
    <cellStyle name="Comma 4 5 4 5 2 2" xfId="52309" xr:uid="{1863C954-3F47-4B82-AC8F-A22231D19D7C}"/>
    <cellStyle name="Comma 4 5 4 5 2 3" xfId="34055" xr:uid="{BA09AFB4-EE86-4B29-BC54-AC61D865085B}"/>
    <cellStyle name="Comma 4 5 4 5 3" xfId="12151" xr:uid="{9996F577-D3A5-4C54-AB78-BFBA74AB41FF}"/>
    <cellStyle name="Comma 4 5 4 5 3 2" xfId="48659" xr:uid="{92C00915-C1EC-4192-89BF-F825089329D6}"/>
    <cellStyle name="Comma 4 5 4 5 3 3" xfId="30405" xr:uid="{448B86B1-645A-4B92-9B91-D7757772C849}"/>
    <cellStyle name="Comma 4 5 4 5 4" xfId="8501" xr:uid="{14FD0948-5DE6-40BC-A09C-67F72578A140}"/>
    <cellStyle name="Comma 4 5 4 5 4 2" xfId="45009" xr:uid="{39DE27D3-D563-4698-8C3B-C1B246A108FD}"/>
    <cellStyle name="Comma 4 5 4 5 4 3" xfId="26755" xr:uid="{0012D159-341B-4353-906B-5E474FA70BE0}"/>
    <cellStyle name="Comma 4 5 4 5 5" xfId="4851" xr:uid="{147B9DB1-56BC-44C2-B952-216B20239DC0}"/>
    <cellStyle name="Comma 4 5 4 5 5 2" xfId="41359" xr:uid="{CF741AB0-5AF7-46F4-87E9-330AC2D497F2}"/>
    <cellStyle name="Comma 4 5 4 5 5 3" xfId="23105" xr:uid="{1CB255A0-F872-40AB-937C-F028200EC177}"/>
    <cellStyle name="Comma 4 5 4 5 6" xfId="37709" xr:uid="{1C4E6D63-8CF8-4F11-B488-13B85359978E}"/>
    <cellStyle name="Comma 4 5 4 5 7" xfId="19455" xr:uid="{6B82B02C-0C7F-4B3B-B635-D80EFE9D0EB5}"/>
    <cellStyle name="Comma 4 5 4 6" xfId="15071" xr:uid="{D6248877-004C-4921-9973-DC0E1FD30D43}"/>
    <cellStyle name="Comma 4 5 4 6 2" xfId="51579" xr:uid="{159F28DE-5BD0-425A-B32A-F736FD6C2B14}"/>
    <cellStyle name="Comma 4 5 4 6 3" xfId="33325" xr:uid="{AB6E9A2E-FBB8-4AD1-A577-7F00234C644B}"/>
    <cellStyle name="Comma 4 5 4 7" xfId="11421" xr:uid="{009F9FBD-77B1-4077-A58D-76881FF04731}"/>
    <cellStyle name="Comma 4 5 4 7 2" xfId="47929" xr:uid="{46912E68-4829-47D8-8999-DEBD6DBB20FC}"/>
    <cellStyle name="Comma 4 5 4 7 3" xfId="29675" xr:uid="{7DA5E6E7-72F0-47E4-9B8E-DCAF490131B1}"/>
    <cellStyle name="Comma 4 5 4 8" xfId="7771" xr:uid="{98BCC4E4-B26E-4DA4-9008-D8D74980B89B}"/>
    <cellStyle name="Comma 4 5 4 8 2" xfId="44279" xr:uid="{819275E6-912E-4F1D-BEE7-E151620F6541}"/>
    <cellStyle name="Comma 4 5 4 8 3" xfId="26025" xr:uid="{ABFAA0FA-62D8-4AB1-B794-E24EAEB170B3}"/>
    <cellStyle name="Comma 4 5 4 9" xfId="4121" xr:uid="{9FD416C8-2D24-4C32-A8B7-C0570C3F6E8B}"/>
    <cellStyle name="Comma 4 5 4 9 2" xfId="40629" xr:uid="{170C03C3-3D86-4DAE-827E-CF557BCB3EE5}"/>
    <cellStyle name="Comma 4 5 4 9 3" xfId="22375" xr:uid="{98782AAE-8BAB-401D-BFAD-52D31C0BD085}"/>
    <cellStyle name="Comma 4 5 5" xfId="367" xr:uid="{AD3FFBB4-1090-4026-8117-BAB1CF0B3186}"/>
    <cellStyle name="Comma 4 5 5 10" xfId="36875" xr:uid="{CD57EB7F-440B-46DC-98CF-E2388C546A7D}"/>
    <cellStyle name="Comma 4 5 5 11" xfId="18621" xr:uid="{303BBB76-5FFB-439F-913C-9A3A390689AA}"/>
    <cellStyle name="Comma 4 5 5 2" xfId="3287" xr:uid="{CA0BDBBA-5DFB-4BFE-A3B0-D1B99AD65D6E}"/>
    <cellStyle name="Comma 4 5 5 2 2" xfId="17887" xr:uid="{69F65B0C-7A47-43E8-B9D5-F3CDB5175260}"/>
    <cellStyle name="Comma 4 5 5 2 2 2" xfId="54395" xr:uid="{BB4A9FB8-BA51-44DC-95A5-F6F73991004D}"/>
    <cellStyle name="Comma 4 5 5 2 2 3" xfId="36141" xr:uid="{388E189F-3EB6-484A-B9BC-80FF5BF3E8F7}"/>
    <cellStyle name="Comma 4 5 5 2 3" xfId="14237" xr:uid="{F78681E2-372A-48A2-88D4-5EB8ADF7DCD0}"/>
    <cellStyle name="Comma 4 5 5 2 3 2" xfId="50745" xr:uid="{0A3B5040-33BB-442D-913C-20ED81E5B21D}"/>
    <cellStyle name="Comma 4 5 5 2 3 3" xfId="32491" xr:uid="{4D94299A-1802-4F84-B12B-425223E1FC50}"/>
    <cellStyle name="Comma 4 5 5 2 4" xfId="10587" xr:uid="{0B8D6742-6920-4882-AB37-5CDE85C90627}"/>
    <cellStyle name="Comma 4 5 5 2 4 2" xfId="47095" xr:uid="{A94B040B-561C-4280-A095-49591D9F3379}"/>
    <cellStyle name="Comma 4 5 5 2 4 3" xfId="28841" xr:uid="{76431C10-D039-4C8C-A4D9-29BC381729FE}"/>
    <cellStyle name="Comma 4 5 5 2 5" xfId="6937" xr:uid="{CF7F2F10-0189-4298-9B92-B37AC93A2FA7}"/>
    <cellStyle name="Comma 4 5 5 2 5 2" xfId="43445" xr:uid="{F6EE7DF7-A53E-4CB1-BCC6-DFBAE9135BFB}"/>
    <cellStyle name="Comma 4 5 5 2 5 3" xfId="25191" xr:uid="{82151743-731E-4361-A746-6D3AC1A201B3}"/>
    <cellStyle name="Comma 4 5 5 2 6" xfId="39795" xr:uid="{E68FF177-38E9-4EF5-939D-0B4399AB73A0}"/>
    <cellStyle name="Comma 4 5 5 2 7" xfId="21541" xr:uid="{D5DC5789-54CD-4C84-BA3C-6AA1F740F3CB}"/>
    <cellStyle name="Comma 4 5 5 3" xfId="2557" xr:uid="{E43509FA-0284-4D96-AF7F-6C598A34533F}"/>
    <cellStyle name="Comma 4 5 5 3 2" xfId="17157" xr:uid="{061B1D85-BAE9-47E4-A5AE-0F3424DCFEC0}"/>
    <cellStyle name="Comma 4 5 5 3 2 2" xfId="53665" xr:uid="{65F280EA-4E7B-4CA1-B2B4-A881F2DB8919}"/>
    <cellStyle name="Comma 4 5 5 3 2 3" xfId="35411" xr:uid="{FFF0BD70-3FBD-47C9-B6D2-7CB651BC45A6}"/>
    <cellStyle name="Comma 4 5 5 3 3" xfId="13507" xr:uid="{B55CD937-1C67-43A3-A3C8-6A48AA2BB695}"/>
    <cellStyle name="Comma 4 5 5 3 3 2" xfId="50015" xr:uid="{01A63D33-8644-4DB7-BC49-36E1E41587AA}"/>
    <cellStyle name="Comma 4 5 5 3 3 3" xfId="31761" xr:uid="{7EFDFDDB-CB98-4CD5-B4DA-5BC6E51C9760}"/>
    <cellStyle name="Comma 4 5 5 3 4" xfId="9857" xr:uid="{97C22E44-C4D1-43DD-9AED-606F5110C9DE}"/>
    <cellStyle name="Comma 4 5 5 3 4 2" xfId="46365" xr:uid="{F980CFB9-3F14-4441-A67F-DDBC168934F6}"/>
    <cellStyle name="Comma 4 5 5 3 4 3" xfId="28111" xr:uid="{9FE9F009-09BC-4150-ACCC-E95642F65792}"/>
    <cellStyle name="Comma 4 5 5 3 5" xfId="6207" xr:uid="{34B07226-B825-4986-A551-D43A6E8CDEA2}"/>
    <cellStyle name="Comma 4 5 5 3 5 2" xfId="42715" xr:uid="{4CD8791D-9BC7-4717-BF21-57BD37643541}"/>
    <cellStyle name="Comma 4 5 5 3 5 3" xfId="24461" xr:uid="{21800E8F-124B-4F07-AF4F-BCB24EA1E812}"/>
    <cellStyle name="Comma 4 5 5 3 6" xfId="39065" xr:uid="{D23E1552-D613-42F4-9FD3-371EE9CD735F}"/>
    <cellStyle name="Comma 4 5 5 3 7" xfId="20811" xr:uid="{048D8CFE-3793-40C7-937D-36EE9331E9FF}"/>
    <cellStyle name="Comma 4 5 5 4" xfId="1827" xr:uid="{481CA08D-8C2C-4732-85A1-8DDBA5D85859}"/>
    <cellStyle name="Comma 4 5 5 4 2" xfId="16427" xr:uid="{49B9A042-B5A7-4F20-9082-0E8868517CE0}"/>
    <cellStyle name="Comma 4 5 5 4 2 2" xfId="52935" xr:uid="{7E107E91-ABC3-4660-B151-F16578BEEB4D}"/>
    <cellStyle name="Comma 4 5 5 4 2 3" xfId="34681" xr:uid="{0520A07B-1292-49E4-98A6-2288913A5C63}"/>
    <cellStyle name="Comma 4 5 5 4 3" xfId="12777" xr:uid="{B06E5376-147D-48D4-B900-B858D7A541ED}"/>
    <cellStyle name="Comma 4 5 5 4 3 2" xfId="49285" xr:uid="{5F60DECF-7D28-4505-83EC-95A5D1EFD95A}"/>
    <cellStyle name="Comma 4 5 5 4 3 3" xfId="31031" xr:uid="{B92F8C97-62EC-4039-B7EE-9A7557BC4514}"/>
    <cellStyle name="Comma 4 5 5 4 4" xfId="9127" xr:uid="{F67F7439-FDB7-4D61-A7BA-0BDE6EF2F5DB}"/>
    <cellStyle name="Comma 4 5 5 4 4 2" xfId="45635" xr:uid="{50E75977-3B68-4AB1-BBED-9274CDCD8427}"/>
    <cellStyle name="Comma 4 5 5 4 4 3" xfId="27381" xr:uid="{E47B1231-90B5-47D6-AF02-AFC41B1E6E40}"/>
    <cellStyle name="Comma 4 5 5 4 5" xfId="5477" xr:uid="{5A69F988-DA9C-4A88-B5E9-801F62757346}"/>
    <cellStyle name="Comma 4 5 5 4 5 2" xfId="41985" xr:uid="{3785662A-DAE5-4BB1-9F29-23FB95A5D556}"/>
    <cellStyle name="Comma 4 5 5 4 5 3" xfId="23731" xr:uid="{6715BF9E-7DF6-4422-BF77-166AB9670B91}"/>
    <cellStyle name="Comma 4 5 5 4 6" xfId="38335" xr:uid="{0B90A6F1-E863-4ED4-A501-8C0A44DB4D85}"/>
    <cellStyle name="Comma 4 5 5 4 7" xfId="20081" xr:uid="{F5F8331E-E819-4681-A36D-2B3698CAEAB0}"/>
    <cellStyle name="Comma 4 5 5 5" xfId="1097" xr:uid="{A5F590A4-CBFD-4FBB-8903-8001119C6343}"/>
    <cellStyle name="Comma 4 5 5 5 2" xfId="15697" xr:uid="{52AE8979-B0EB-430C-B1DC-7DB0979EFA00}"/>
    <cellStyle name="Comma 4 5 5 5 2 2" xfId="52205" xr:uid="{E73C94DB-CF56-4790-B135-07C70664412E}"/>
    <cellStyle name="Comma 4 5 5 5 2 3" xfId="33951" xr:uid="{18E050DF-0F23-451B-82FE-75B97A26076E}"/>
    <cellStyle name="Comma 4 5 5 5 3" xfId="12047" xr:uid="{57BF84F9-F519-4934-A39B-85F630BA7929}"/>
    <cellStyle name="Comma 4 5 5 5 3 2" xfId="48555" xr:uid="{3236CF18-947C-4EE3-9C26-1B2326B20102}"/>
    <cellStyle name="Comma 4 5 5 5 3 3" xfId="30301" xr:uid="{C491B961-67F0-44AC-830A-82800C92FD4C}"/>
    <cellStyle name="Comma 4 5 5 5 4" xfId="8397" xr:uid="{F4FA65B5-DD37-4CBE-B50A-24574091C7A5}"/>
    <cellStyle name="Comma 4 5 5 5 4 2" xfId="44905" xr:uid="{6D06232A-CF26-4E29-97C7-C3AB8043FB4D}"/>
    <cellStyle name="Comma 4 5 5 5 4 3" xfId="26651" xr:uid="{3A399A6D-643B-457C-A279-EEF4A1950FD7}"/>
    <cellStyle name="Comma 4 5 5 5 5" xfId="4747" xr:uid="{8CA10133-9439-4BB9-AC78-EDFBA5BB0571}"/>
    <cellStyle name="Comma 4 5 5 5 5 2" xfId="41255" xr:uid="{8AC85C0D-1464-449C-9880-8FCDB9EECC4E}"/>
    <cellStyle name="Comma 4 5 5 5 5 3" xfId="23001" xr:uid="{2D8A10E5-31A4-4D88-8498-4CB57692C513}"/>
    <cellStyle name="Comma 4 5 5 5 6" xfId="37605" xr:uid="{0940E70D-1253-4F47-90C8-22DE4CB60873}"/>
    <cellStyle name="Comma 4 5 5 5 7" xfId="19351" xr:uid="{CA3EC3FF-2FB2-49D9-BD23-09640DFDA23A}"/>
    <cellStyle name="Comma 4 5 5 6" xfId="14967" xr:uid="{2FF90B77-D27A-473C-8FD0-60B21BB84A54}"/>
    <cellStyle name="Comma 4 5 5 6 2" xfId="51475" xr:uid="{AC361C2F-28AC-4D44-A8CF-2C5A6BEB435F}"/>
    <cellStyle name="Comma 4 5 5 6 3" xfId="33221" xr:uid="{EE22649D-98CD-4D5F-8E06-85060F453A5D}"/>
    <cellStyle name="Comma 4 5 5 7" xfId="11317" xr:uid="{4DCD375A-B23D-4255-826F-010DF2F9E8D2}"/>
    <cellStyle name="Comma 4 5 5 7 2" xfId="47825" xr:uid="{BB841371-48C3-484A-9F5F-E8681CE33BF8}"/>
    <cellStyle name="Comma 4 5 5 7 3" xfId="29571" xr:uid="{45CBF025-8DB8-4D1C-AD16-30FA98A10F94}"/>
    <cellStyle name="Comma 4 5 5 8" xfId="7667" xr:uid="{539E999B-CD5E-4B96-A2F9-A2E75A62DAA9}"/>
    <cellStyle name="Comma 4 5 5 8 2" xfId="44175" xr:uid="{8DDEC5E4-10B4-4DDF-A847-E1DB4DECF791}"/>
    <cellStyle name="Comma 4 5 5 8 3" xfId="25921" xr:uid="{D51BEB8C-B809-4E6D-8C43-63B5AFD14DF3}"/>
    <cellStyle name="Comma 4 5 5 9" xfId="4017" xr:uid="{554D7B81-D87C-45C4-BC16-13294AE8082E}"/>
    <cellStyle name="Comma 4 5 5 9 2" xfId="40525" xr:uid="{2FD3E126-8B52-4DF9-923C-20F0DC8855D6}"/>
    <cellStyle name="Comma 4 5 5 9 3" xfId="22271" xr:uid="{18CF0E6F-1030-4730-97A8-887B5CDA1FD8}"/>
    <cellStyle name="Comma 4 5 6" xfId="263" xr:uid="{8E5826E8-9384-4873-832D-1B481A8D617A}"/>
    <cellStyle name="Comma 4 5 6 10" xfId="36771" xr:uid="{BFCEEBD4-B723-41F1-968B-EB961D3168ED}"/>
    <cellStyle name="Comma 4 5 6 11" xfId="18517" xr:uid="{523718E2-EC89-4CB9-B6B5-9EB365C39B70}"/>
    <cellStyle name="Comma 4 5 6 2" xfId="3183" xr:uid="{FED25483-499F-43D6-9205-8AC77074105A}"/>
    <cellStyle name="Comma 4 5 6 2 2" xfId="17783" xr:uid="{02D9B3AF-5FC1-413B-BE77-7E858A4E465F}"/>
    <cellStyle name="Comma 4 5 6 2 2 2" xfId="54291" xr:uid="{90CF61F6-6839-42C2-84FC-5F1B3D004DA1}"/>
    <cellStyle name="Comma 4 5 6 2 2 3" xfId="36037" xr:uid="{12E30B25-0F04-4D6A-BE8F-D4BFC2099044}"/>
    <cellStyle name="Comma 4 5 6 2 3" xfId="14133" xr:uid="{93FC8A6F-F6FF-45D4-974C-B28CCD483B91}"/>
    <cellStyle name="Comma 4 5 6 2 3 2" xfId="50641" xr:uid="{E33CCA95-0546-425C-85A5-E7FC69DAA9D7}"/>
    <cellStyle name="Comma 4 5 6 2 3 3" xfId="32387" xr:uid="{D29E8417-E06B-4555-BCEE-74BA5A9C1B5E}"/>
    <cellStyle name="Comma 4 5 6 2 4" xfId="10483" xr:uid="{6D304476-2D67-49AB-A527-0426E7F2FC37}"/>
    <cellStyle name="Comma 4 5 6 2 4 2" xfId="46991" xr:uid="{618CD3CF-8268-48B5-87BC-482B1AA34685}"/>
    <cellStyle name="Comma 4 5 6 2 4 3" xfId="28737" xr:uid="{EF175D54-07AC-4669-8A25-389C49731426}"/>
    <cellStyle name="Comma 4 5 6 2 5" xfId="6833" xr:uid="{0E9CCC02-747E-4B7C-B0D6-1E5F4A551923}"/>
    <cellStyle name="Comma 4 5 6 2 5 2" xfId="43341" xr:uid="{CD8B0128-E054-4A2F-9978-45F7EDFA361D}"/>
    <cellStyle name="Comma 4 5 6 2 5 3" xfId="25087" xr:uid="{2F315FE3-EFDE-4B2C-BF55-5EFE1E4E3D49}"/>
    <cellStyle name="Comma 4 5 6 2 6" xfId="39691" xr:uid="{A0B80088-5FCA-4811-9DC3-9A7C7F757C23}"/>
    <cellStyle name="Comma 4 5 6 2 7" xfId="21437" xr:uid="{7E0479E8-424B-4188-95D0-3AE19F013E05}"/>
    <cellStyle name="Comma 4 5 6 3" xfId="2453" xr:uid="{3BAB67BC-F01B-4DFF-A291-F60E3C030943}"/>
    <cellStyle name="Comma 4 5 6 3 2" xfId="17053" xr:uid="{C5FC544F-21AD-4282-8EFD-7C790B028E1E}"/>
    <cellStyle name="Comma 4 5 6 3 2 2" xfId="53561" xr:uid="{D5AA4F20-2E5F-47DF-9C71-31C0DAB31F03}"/>
    <cellStyle name="Comma 4 5 6 3 2 3" xfId="35307" xr:uid="{E6F784D1-DB0E-4637-B8A6-6B94209BDB94}"/>
    <cellStyle name="Comma 4 5 6 3 3" xfId="13403" xr:uid="{C885AAA8-AF68-4DF4-A80E-72BA3DE99BFB}"/>
    <cellStyle name="Comma 4 5 6 3 3 2" xfId="49911" xr:uid="{4D8B99CE-0D38-4157-BA10-2BC7EB9A5129}"/>
    <cellStyle name="Comma 4 5 6 3 3 3" xfId="31657" xr:uid="{9D4877B2-9866-4A88-9BE0-9D9485B9D94A}"/>
    <cellStyle name="Comma 4 5 6 3 4" xfId="9753" xr:uid="{530580AF-A8E7-4683-A57D-5305DA8B8B5F}"/>
    <cellStyle name="Comma 4 5 6 3 4 2" xfId="46261" xr:uid="{2BFDD5F1-7174-4421-B37B-86580D1E352F}"/>
    <cellStyle name="Comma 4 5 6 3 4 3" xfId="28007" xr:uid="{AC442B4C-5026-452B-9C03-BA7CCE00BFEF}"/>
    <cellStyle name="Comma 4 5 6 3 5" xfId="6103" xr:uid="{028219CE-82C8-451E-BD54-C571AD4B58E3}"/>
    <cellStyle name="Comma 4 5 6 3 5 2" xfId="42611" xr:uid="{C492969D-EB9D-459F-B564-A6A41A637CDA}"/>
    <cellStyle name="Comma 4 5 6 3 5 3" xfId="24357" xr:uid="{4227D484-2C6D-418E-97CB-D8EFD453EAC9}"/>
    <cellStyle name="Comma 4 5 6 3 6" xfId="38961" xr:uid="{5AD70A23-6DDB-42A5-A281-C36B35125FC7}"/>
    <cellStyle name="Comma 4 5 6 3 7" xfId="20707" xr:uid="{26C73E82-E321-4E07-9A81-D4B829115318}"/>
    <cellStyle name="Comma 4 5 6 4" xfId="1723" xr:uid="{CD511CB8-74A5-4811-A11B-891BA1674F9A}"/>
    <cellStyle name="Comma 4 5 6 4 2" xfId="16323" xr:uid="{E1DF2F79-5608-40DD-AA4E-97ABCE7501C5}"/>
    <cellStyle name="Comma 4 5 6 4 2 2" xfId="52831" xr:uid="{ECF123B6-0979-45D5-B04E-BE6D9C7562E7}"/>
    <cellStyle name="Comma 4 5 6 4 2 3" xfId="34577" xr:uid="{3F8F2DED-B9C0-4838-B2A1-11995780A48C}"/>
    <cellStyle name="Comma 4 5 6 4 3" xfId="12673" xr:uid="{D6720B30-788F-43F3-8647-33350DE881E7}"/>
    <cellStyle name="Comma 4 5 6 4 3 2" xfId="49181" xr:uid="{503BE371-679B-485A-A58C-990A5E8BFB39}"/>
    <cellStyle name="Comma 4 5 6 4 3 3" xfId="30927" xr:uid="{E041A7EF-4B35-4D3E-AC97-1B1F2E298B90}"/>
    <cellStyle name="Comma 4 5 6 4 4" xfId="9023" xr:uid="{A2203831-8991-4F00-9876-447956CF5340}"/>
    <cellStyle name="Comma 4 5 6 4 4 2" xfId="45531" xr:uid="{3FD27B96-C372-4647-9467-32C9BFE0D2CE}"/>
    <cellStyle name="Comma 4 5 6 4 4 3" xfId="27277" xr:uid="{7D5B11F7-B0A4-44C7-92C3-73A12E4ABD7B}"/>
    <cellStyle name="Comma 4 5 6 4 5" xfId="5373" xr:uid="{455BE5DC-9C6C-410B-8366-CFC2D082A631}"/>
    <cellStyle name="Comma 4 5 6 4 5 2" xfId="41881" xr:uid="{3800CCB5-6022-4941-9A0B-A3716DED9149}"/>
    <cellStyle name="Comma 4 5 6 4 5 3" xfId="23627" xr:uid="{CB81F1E1-AEF6-441E-8EFA-F161F2C40762}"/>
    <cellStyle name="Comma 4 5 6 4 6" xfId="38231" xr:uid="{43B9917E-E0E0-4643-BE01-A4AE11E491FF}"/>
    <cellStyle name="Comma 4 5 6 4 7" xfId="19977" xr:uid="{2BD1C7FF-6B2A-4DAA-9C65-E37DDC5FFBD5}"/>
    <cellStyle name="Comma 4 5 6 5" xfId="993" xr:uid="{12AEE27D-862B-41D7-A252-9B57B8F0CA3C}"/>
    <cellStyle name="Comma 4 5 6 5 2" xfId="15593" xr:uid="{85C40CAB-1427-457A-8A8F-C59679A7C071}"/>
    <cellStyle name="Comma 4 5 6 5 2 2" xfId="52101" xr:uid="{77058324-9908-47DE-B99C-93F39FAFB9A3}"/>
    <cellStyle name="Comma 4 5 6 5 2 3" xfId="33847" xr:uid="{81508EF7-4498-469C-82B1-3BAADA9F8B25}"/>
    <cellStyle name="Comma 4 5 6 5 3" xfId="11943" xr:uid="{73559365-BBCE-41A9-88CA-64B4B766BC0B}"/>
    <cellStyle name="Comma 4 5 6 5 3 2" xfId="48451" xr:uid="{633275A3-9A30-480E-9BAD-8CD5498A52D2}"/>
    <cellStyle name="Comma 4 5 6 5 3 3" xfId="30197" xr:uid="{7C4650C6-3427-451D-BE5A-BF9F9561AB76}"/>
    <cellStyle name="Comma 4 5 6 5 4" xfId="8293" xr:uid="{2BF6A615-A704-49B5-AA96-54E3390C67AD}"/>
    <cellStyle name="Comma 4 5 6 5 4 2" xfId="44801" xr:uid="{0CDE236D-28E1-40FA-B386-FE499ED412AB}"/>
    <cellStyle name="Comma 4 5 6 5 4 3" xfId="26547" xr:uid="{8096F374-6DA3-4ED4-8971-0CD7C2C9FE2E}"/>
    <cellStyle name="Comma 4 5 6 5 5" xfId="4643" xr:uid="{0DE74231-B73C-4929-AA80-77316C218ECA}"/>
    <cellStyle name="Comma 4 5 6 5 5 2" xfId="41151" xr:uid="{3F62EDB7-DA29-4267-B76B-908378929414}"/>
    <cellStyle name="Comma 4 5 6 5 5 3" xfId="22897" xr:uid="{1FC49A19-E9A5-4CB3-83A5-0948CFA4B22C}"/>
    <cellStyle name="Comma 4 5 6 5 6" xfId="37501" xr:uid="{99F281BC-9E26-492A-A8A1-DD9C3EF08B09}"/>
    <cellStyle name="Comma 4 5 6 5 7" xfId="19247" xr:uid="{2BF66247-A0D6-42BF-886F-183CC2E2DDA2}"/>
    <cellStyle name="Comma 4 5 6 6" xfId="14863" xr:uid="{90EF2EC4-A495-4221-9AE1-5EE25B60DAC4}"/>
    <cellStyle name="Comma 4 5 6 6 2" xfId="51371" xr:uid="{39EEEE93-B0FB-4F98-8400-2DAA29A41332}"/>
    <cellStyle name="Comma 4 5 6 6 3" xfId="33117" xr:uid="{AE5E2A08-C047-4106-ACE5-23441156A742}"/>
    <cellStyle name="Comma 4 5 6 7" xfId="11213" xr:uid="{22B3418E-BF53-4FDB-8C13-590BF8FB4B13}"/>
    <cellStyle name="Comma 4 5 6 7 2" xfId="47721" xr:uid="{0E5AC001-9D4A-46CB-B6CD-560EC6946408}"/>
    <cellStyle name="Comma 4 5 6 7 3" xfId="29467" xr:uid="{8AA59EDF-0895-4F6D-9F68-EC3BDDD954E4}"/>
    <cellStyle name="Comma 4 5 6 8" xfId="7563" xr:uid="{709DE8B3-9D51-415E-8FE3-4142F3026B69}"/>
    <cellStyle name="Comma 4 5 6 8 2" xfId="44071" xr:uid="{41280E4B-A703-46C3-B872-97F60C06B11E}"/>
    <cellStyle name="Comma 4 5 6 8 3" xfId="25817" xr:uid="{C6B90C56-C819-4492-BA8D-C4652FD2B45C}"/>
    <cellStyle name="Comma 4 5 6 9" xfId="3913" xr:uid="{23C37168-D36B-4939-9F3A-5B9EC6B32048}"/>
    <cellStyle name="Comma 4 5 6 9 2" xfId="40421" xr:uid="{91093208-73AF-4043-9350-7C38626BAE2A}"/>
    <cellStyle name="Comma 4 5 6 9 3" xfId="22167" xr:uid="{89712362-2621-4248-A627-2A182805CF0B}"/>
    <cellStyle name="Comma 4 5 7" xfId="159" xr:uid="{1FE333C3-AC7F-4459-B5A6-855CA759A7FC}"/>
    <cellStyle name="Comma 4 5 7 10" xfId="36667" xr:uid="{DC371E2B-E9F1-408F-8A1A-B5BE04BB609E}"/>
    <cellStyle name="Comma 4 5 7 11" xfId="18413" xr:uid="{4DB46A91-336A-44F4-BBE2-0788F631E082}"/>
    <cellStyle name="Comma 4 5 7 2" xfId="3079" xr:uid="{52DA3582-153D-4BF2-AC9D-3D902A3ADFE1}"/>
    <cellStyle name="Comma 4 5 7 2 2" xfId="17679" xr:uid="{A7130C4F-125A-45DD-8FD9-ED741C4528B5}"/>
    <cellStyle name="Comma 4 5 7 2 2 2" xfId="54187" xr:uid="{A8EE2492-D8C9-4E41-B810-29C09DF7FD3B}"/>
    <cellStyle name="Comma 4 5 7 2 2 3" xfId="35933" xr:uid="{DD08334A-2D96-41B9-8859-12105C7D5B43}"/>
    <cellStyle name="Comma 4 5 7 2 3" xfId="14029" xr:uid="{241AD514-7919-4FBA-AE8D-10F218B0C252}"/>
    <cellStyle name="Comma 4 5 7 2 3 2" xfId="50537" xr:uid="{005C6A22-CB9C-4F8D-B5DE-FF9828C08CEF}"/>
    <cellStyle name="Comma 4 5 7 2 3 3" xfId="32283" xr:uid="{46F6BD2A-A413-46A9-8F97-830F975DF8A0}"/>
    <cellStyle name="Comma 4 5 7 2 4" xfId="10379" xr:uid="{F58108AA-7323-4694-9280-86004D19E1E4}"/>
    <cellStyle name="Comma 4 5 7 2 4 2" xfId="46887" xr:uid="{EA3C4A95-F73D-408D-AA22-0B5F6776AE8E}"/>
    <cellStyle name="Comma 4 5 7 2 4 3" xfId="28633" xr:uid="{B7970E7C-9518-40EE-BE87-B2B2B0C3AE0F}"/>
    <cellStyle name="Comma 4 5 7 2 5" xfId="6729" xr:uid="{973A1892-9964-40E6-8807-336C90D0F47E}"/>
    <cellStyle name="Comma 4 5 7 2 5 2" xfId="43237" xr:uid="{FF42C3B3-EA80-4BD7-8ADA-EA205E9CDFA1}"/>
    <cellStyle name="Comma 4 5 7 2 5 3" xfId="24983" xr:uid="{25C33C1B-47C4-4D77-BE17-1B5F89D158FD}"/>
    <cellStyle name="Comma 4 5 7 2 6" xfId="39587" xr:uid="{8B222D6E-A65D-41D0-9B15-523B31875630}"/>
    <cellStyle name="Comma 4 5 7 2 7" xfId="21333" xr:uid="{9850F5C9-B3F2-432B-AB33-2E4F9B49D379}"/>
    <cellStyle name="Comma 4 5 7 3" xfId="2349" xr:uid="{51AA846D-D835-46EF-90C1-ED116620DBA7}"/>
    <cellStyle name="Comma 4 5 7 3 2" xfId="16949" xr:uid="{9E25F21A-6EC8-4751-A3AB-ADE8465775BB}"/>
    <cellStyle name="Comma 4 5 7 3 2 2" xfId="53457" xr:uid="{517E620A-6E53-4790-8C7B-0F7DD7E68896}"/>
    <cellStyle name="Comma 4 5 7 3 2 3" xfId="35203" xr:uid="{34C2FD5A-5CBA-478B-A968-AB5D5DFA7C46}"/>
    <cellStyle name="Comma 4 5 7 3 3" xfId="13299" xr:uid="{A01BB00E-6A77-4F9E-A315-59D22B7471B7}"/>
    <cellStyle name="Comma 4 5 7 3 3 2" xfId="49807" xr:uid="{5E98FA87-B733-4DA4-B8E3-DE05352AEE9D}"/>
    <cellStyle name="Comma 4 5 7 3 3 3" xfId="31553" xr:uid="{75932E48-79DF-4339-BFCB-0849187A5DBD}"/>
    <cellStyle name="Comma 4 5 7 3 4" xfId="9649" xr:uid="{D8C995CB-E85A-4AC2-AD2A-80C89C19DECD}"/>
    <cellStyle name="Comma 4 5 7 3 4 2" xfId="46157" xr:uid="{3E5D12AE-22E9-48DA-BF28-83FFE0502BDB}"/>
    <cellStyle name="Comma 4 5 7 3 4 3" xfId="27903" xr:uid="{2E318C01-D2FA-499C-876C-F4A60CFEE289}"/>
    <cellStyle name="Comma 4 5 7 3 5" xfId="5999" xr:uid="{9231CB8F-5F41-4628-A34E-283D7C942FE3}"/>
    <cellStyle name="Comma 4 5 7 3 5 2" xfId="42507" xr:uid="{21AB6116-FF4E-4117-AE66-01BBBD838785}"/>
    <cellStyle name="Comma 4 5 7 3 5 3" xfId="24253" xr:uid="{7491F79C-C7CC-4E6E-835D-AF808AB7AF66}"/>
    <cellStyle name="Comma 4 5 7 3 6" xfId="38857" xr:uid="{6CB4C767-1368-4B70-9B91-68A6EF10DF11}"/>
    <cellStyle name="Comma 4 5 7 3 7" xfId="20603" xr:uid="{CDABF43F-0664-4DF5-984C-269F2EBA2FEB}"/>
    <cellStyle name="Comma 4 5 7 4" xfId="1619" xr:uid="{51A31799-E940-41CA-966B-4EC0D0CCE555}"/>
    <cellStyle name="Comma 4 5 7 4 2" xfId="16219" xr:uid="{12C691FB-8434-4FED-B71A-D7114CA730D8}"/>
    <cellStyle name="Comma 4 5 7 4 2 2" xfId="52727" xr:uid="{4CC02ACE-58F9-4790-A58D-17E603FE9730}"/>
    <cellStyle name="Comma 4 5 7 4 2 3" xfId="34473" xr:uid="{45B6284D-967C-4B6C-9160-10C7B05D6D20}"/>
    <cellStyle name="Comma 4 5 7 4 3" xfId="12569" xr:uid="{9122BAF0-6C51-488F-8C53-64F6A2A1B382}"/>
    <cellStyle name="Comma 4 5 7 4 3 2" xfId="49077" xr:uid="{E6F01872-528D-4627-9FC9-26C6119E461E}"/>
    <cellStyle name="Comma 4 5 7 4 3 3" xfId="30823" xr:uid="{D9F775C8-1FCD-4AC7-BCD4-F2088369A3C4}"/>
    <cellStyle name="Comma 4 5 7 4 4" xfId="8919" xr:uid="{86F60D92-6282-451F-8D8F-49333D389A8A}"/>
    <cellStyle name="Comma 4 5 7 4 4 2" xfId="45427" xr:uid="{25CF2798-279F-4E31-BA00-B32D1D403EB6}"/>
    <cellStyle name="Comma 4 5 7 4 4 3" xfId="27173" xr:uid="{2EFEAEEE-D982-4962-BF1D-82E5522D1FB3}"/>
    <cellStyle name="Comma 4 5 7 4 5" xfId="5269" xr:uid="{988AEE99-338E-49EF-BD19-72C20F2C3CBF}"/>
    <cellStyle name="Comma 4 5 7 4 5 2" xfId="41777" xr:uid="{33A49AE2-C6AD-4EEA-8F62-299A8D2CECF1}"/>
    <cellStyle name="Comma 4 5 7 4 5 3" xfId="23523" xr:uid="{929CCFE6-EAD4-4CED-928B-8BCB08314F12}"/>
    <cellStyle name="Comma 4 5 7 4 6" xfId="38127" xr:uid="{F5A421A6-01B7-4E37-A1ED-5B0D257139E9}"/>
    <cellStyle name="Comma 4 5 7 4 7" xfId="19873" xr:uid="{BA19FE05-8939-43BE-9B77-0BF40FA3C648}"/>
    <cellStyle name="Comma 4 5 7 5" xfId="889" xr:uid="{19BA4B76-AD62-462C-86DD-24E944544C2E}"/>
    <cellStyle name="Comma 4 5 7 5 2" xfId="15489" xr:uid="{73CB24F5-518C-4855-A2BD-7393A3E8D951}"/>
    <cellStyle name="Comma 4 5 7 5 2 2" xfId="51997" xr:uid="{13AAF8AB-EE03-439B-940B-D7A3A29550F4}"/>
    <cellStyle name="Comma 4 5 7 5 2 3" xfId="33743" xr:uid="{39A3FCD3-FA14-4A6A-9DDC-AA747B1F7DBC}"/>
    <cellStyle name="Comma 4 5 7 5 3" xfId="11839" xr:uid="{4D137095-2E43-4D69-8649-01537E831F7D}"/>
    <cellStyle name="Comma 4 5 7 5 3 2" xfId="48347" xr:uid="{64987E01-203B-4613-B1CA-C48737B376A6}"/>
    <cellStyle name="Comma 4 5 7 5 3 3" xfId="30093" xr:uid="{42F98527-9EAD-41F6-AD91-17A1EDF57B5E}"/>
    <cellStyle name="Comma 4 5 7 5 4" xfId="8189" xr:uid="{FAAA7916-5F33-4EFD-82A4-C0BE13A11D3A}"/>
    <cellStyle name="Comma 4 5 7 5 4 2" xfId="44697" xr:uid="{C5BA365E-0384-4F68-A02D-251070838213}"/>
    <cellStyle name="Comma 4 5 7 5 4 3" xfId="26443" xr:uid="{479BB1D3-95EB-4498-AC78-315F402ED997}"/>
    <cellStyle name="Comma 4 5 7 5 5" xfId="4539" xr:uid="{4E23A39A-B769-4333-8510-5B6ECC405466}"/>
    <cellStyle name="Comma 4 5 7 5 5 2" xfId="41047" xr:uid="{B5BF005A-98FA-49BE-925B-75EB9682645E}"/>
    <cellStyle name="Comma 4 5 7 5 5 3" xfId="22793" xr:uid="{25A85584-4C81-46D7-8A88-A2870A983FAF}"/>
    <cellStyle name="Comma 4 5 7 5 6" xfId="37397" xr:uid="{5E1F3A00-8EB1-41E0-967D-DDA7726C83DF}"/>
    <cellStyle name="Comma 4 5 7 5 7" xfId="19143" xr:uid="{1FD4487A-EA9B-458E-B5AC-28AA3B6ECA9B}"/>
    <cellStyle name="Comma 4 5 7 6" xfId="14759" xr:uid="{1B5FDF5A-0645-4C56-A26E-53F4951A8AE1}"/>
    <cellStyle name="Comma 4 5 7 6 2" xfId="51267" xr:uid="{08563A73-4C83-417D-8D84-73FAF2F4358A}"/>
    <cellStyle name="Comma 4 5 7 6 3" xfId="33013" xr:uid="{B92F147E-F833-4FE9-9812-5EA27D1DE9BE}"/>
    <cellStyle name="Comma 4 5 7 7" xfId="11109" xr:uid="{315EEF49-1780-4B6A-832C-8CB84F05D477}"/>
    <cellStyle name="Comma 4 5 7 7 2" xfId="47617" xr:uid="{297B7F66-6474-45F7-9A64-B32A75A19195}"/>
    <cellStyle name="Comma 4 5 7 7 3" xfId="29363" xr:uid="{256F43CC-E4D1-4920-A471-34D35D0BE63B}"/>
    <cellStyle name="Comma 4 5 7 8" xfId="7459" xr:uid="{1233E9E4-5330-44CB-8162-D2801D3B6CA5}"/>
    <cellStyle name="Comma 4 5 7 8 2" xfId="43967" xr:uid="{6E2F098F-B9D0-46A3-963A-86F4334BE343}"/>
    <cellStyle name="Comma 4 5 7 8 3" xfId="25713" xr:uid="{1549BD48-50E1-475C-90B6-63C62F7E045E}"/>
    <cellStyle name="Comma 4 5 7 9" xfId="3809" xr:uid="{F90EFBC4-1BE6-4F9F-B3B2-C3A53D4FC6C8}"/>
    <cellStyle name="Comma 4 5 7 9 2" xfId="40317" xr:uid="{145BE78F-5F02-41E5-A53C-33B1603AE737}"/>
    <cellStyle name="Comma 4 5 7 9 3" xfId="22063" xr:uid="{9206C950-C594-4E6C-9777-2201456C1015}"/>
    <cellStyle name="Comma 4 5 8" xfId="2975" xr:uid="{2461E91F-12AA-4C77-A7E1-92B7456B3E9A}"/>
    <cellStyle name="Comma 4 5 8 2" xfId="17575" xr:uid="{C9161514-8CD7-4D97-B3BD-4DBFFF9AA4A0}"/>
    <cellStyle name="Comma 4 5 8 2 2" xfId="54083" xr:uid="{D09E6970-AA22-4A33-9B15-0BD2CC8B7183}"/>
    <cellStyle name="Comma 4 5 8 2 3" xfId="35829" xr:uid="{F97EEA85-4C5F-4180-A804-1673FD00C004}"/>
    <cellStyle name="Comma 4 5 8 3" xfId="13925" xr:uid="{D4F1261A-0CD4-4F63-9FB1-7340AD469C4E}"/>
    <cellStyle name="Comma 4 5 8 3 2" xfId="50433" xr:uid="{498CF987-91C3-4B1E-AEFE-7765C279B9A5}"/>
    <cellStyle name="Comma 4 5 8 3 3" xfId="32179" xr:uid="{22EA3A05-8A0B-44F6-9CA7-8AD5AB99A3C1}"/>
    <cellStyle name="Comma 4 5 8 4" xfId="10275" xr:uid="{3646D72D-6D5B-406A-8AB2-8DD28E874E00}"/>
    <cellStyle name="Comma 4 5 8 4 2" xfId="46783" xr:uid="{4ACDE8A5-251F-4ACE-A14A-41B47D012F8F}"/>
    <cellStyle name="Comma 4 5 8 4 3" xfId="28529" xr:uid="{708D1A72-61DC-41A7-8E4B-3191D8F0D3E2}"/>
    <cellStyle name="Comma 4 5 8 5" xfId="6625" xr:uid="{6D437006-3E68-4269-8792-AA4ECEC003E4}"/>
    <cellStyle name="Comma 4 5 8 5 2" xfId="43133" xr:uid="{F5A4D287-A81A-4610-9ACF-7F08AAD8DD7D}"/>
    <cellStyle name="Comma 4 5 8 5 3" xfId="24879" xr:uid="{A270A8A8-A66B-4D68-BFC4-0FAA2722A898}"/>
    <cellStyle name="Comma 4 5 8 6" xfId="39483" xr:uid="{BD6DB476-4794-44B2-87B4-7D552BA92813}"/>
    <cellStyle name="Comma 4 5 8 7" xfId="21229" xr:uid="{EDA13DDF-B923-4620-BF97-2616B0A8D51F}"/>
    <cellStyle name="Comma 4 5 9" xfId="2245" xr:uid="{D48D88FD-2A35-4658-85C1-6C5E20E45F78}"/>
    <cellStyle name="Comma 4 5 9 2" xfId="16845" xr:uid="{12FEC2B2-4A87-4664-81A8-6D3BE4A19358}"/>
    <cellStyle name="Comma 4 5 9 2 2" xfId="53353" xr:uid="{A68802EE-83A2-46B0-A2BE-CADE920E533F}"/>
    <cellStyle name="Comma 4 5 9 2 3" xfId="35099" xr:uid="{6E90DB6B-C715-4A38-831F-4224943CCD4A}"/>
    <cellStyle name="Comma 4 5 9 3" xfId="13195" xr:uid="{AEB1BC52-ECD3-4AB3-A043-5095073AB841}"/>
    <cellStyle name="Comma 4 5 9 3 2" xfId="49703" xr:uid="{F59CACD1-69B1-4A43-890E-3A16D5904357}"/>
    <cellStyle name="Comma 4 5 9 3 3" xfId="31449" xr:uid="{544E68BB-D77D-4C07-AD3C-31A9C00B8F37}"/>
    <cellStyle name="Comma 4 5 9 4" xfId="9545" xr:uid="{3E6851DB-65F9-432B-9118-8A190F2D655C}"/>
    <cellStyle name="Comma 4 5 9 4 2" xfId="46053" xr:uid="{1B767A6D-334A-4C34-AD65-5DF6F76FE6D0}"/>
    <cellStyle name="Comma 4 5 9 4 3" xfId="27799" xr:uid="{08A2A174-35A8-492E-B0AD-E5AA8C6EA7D5}"/>
    <cellStyle name="Comma 4 5 9 5" xfId="5895" xr:uid="{1F0A8EE0-19CA-4BD9-AEC4-5FD6CE42EB8C}"/>
    <cellStyle name="Comma 4 5 9 5 2" xfId="42403" xr:uid="{43B37B0F-E461-4166-B288-ABC6C5179D83}"/>
    <cellStyle name="Comma 4 5 9 5 3" xfId="24149" xr:uid="{2028189B-4E2F-4AF2-BD96-D407556587B2}"/>
    <cellStyle name="Comma 4 5 9 6" xfId="38753" xr:uid="{853A1C61-EC2A-41B0-9D05-0E9A8DFA9B10}"/>
    <cellStyle name="Comma 4 5 9 7" xfId="20499" xr:uid="{FBDBDC1A-17AD-46F4-80F0-3C0A71425959}"/>
    <cellStyle name="Comma 4 6" xfId="647" xr:uid="{C8365A18-CC8B-415D-AB68-5D9A8EE36AD1}"/>
    <cellStyle name="Comma 4 6 10" xfId="37155" xr:uid="{83A45FF3-1209-4877-8B0A-93007A182F5D}"/>
    <cellStyle name="Comma 4 6 11" xfId="18901" xr:uid="{C33834FC-840A-4A1D-BF7D-B38E33B8BE5D}"/>
    <cellStyle name="Comma 4 6 2" xfId="3567" xr:uid="{B2679B6F-0DAA-4626-AD47-F807F64D107F}"/>
    <cellStyle name="Comma 4 6 2 2" xfId="18167" xr:uid="{87E7E929-DD5B-4907-8816-A0D01C7F8C0F}"/>
    <cellStyle name="Comma 4 6 2 2 2" xfId="54675" xr:uid="{07D51052-A1AA-41E5-B757-0EDA2A02B080}"/>
    <cellStyle name="Comma 4 6 2 2 3" xfId="36421" xr:uid="{0F774F8E-3DBB-4009-9430-EE0462243BC3}"/>
    <cellStyle name="Comma 4 6 2 3" xfId="14517" xr:uid="{F3638628-2CAF-4C5B-BCB5-C759083EC6D2}"/>
    <cellStyle name="Comma 4 6 2 3 2" xfId="51025" xr:uid="{05C5B473-9ED1-4722-825D-9E4C80C5C887}"/>
    <cellStyle name="Comma 4 6 2 3 3" xfId="32771" xr:uid="{C5163907-163D-4DF3-9AE6-C02C5B8C5FB1}"/>
    <cellStyle name="Comma 4 6 2 4" xfId="10867" xr:uid="{DE2E6DDA-64CD-44D0-B51A-D1414660A140}"/>
    <cellStyle name="Comma 4 6 2 4 2" xfId="47375" xr:uid="{EBBBC2F0-8207-4921-9A10-5B639BF88FA5}"/>
    <cellStyle name="Comma 4 6 2 4 3" xfId="29121" xr:uid="{60920A5F-D1A8-4892-A90F-672F8180C92F}"/>
    <cellStyle name="Comma 4 6 2 5" xfId="7217" xr:uid="{6C585AF7-8AD8-4FC4-9581-0B365B23F670}"/>
    <cellStyle name="Comma 4 6 2 5 2" xfId="43725" xr:uid="{FAF5EAB7-994C-4753-AF72-00AD27E3CD60}"/>
    <cellStyle name="Comma 4 6 2 5 3" xfId="25471" xr:uid="{FC4A26ED-1AF1-41D7-A315-5AB031A0620D}"/>
    <cellStyle name="Comma 4 6 2 6" xfId="40075" xr:uid="{071DEF95-330B-48F5-91B8-A48D8C8AA135}"/>
    <cellStyle name="Comma 4 6 2 7" xfId="21821" xr:uid="{AC5B61B7-8868-4E52-B66D-6F1B4B7AC8D7}"/>
    <cellStyle name="Comma 4 6 3" xfId="2837" xr:uid="{3C4D8B15-3F79-44B5-BB67-0B5EC7EA4893}"/>
    <cellStyle name="Comma 4 6 3 2" xfId="17437" xr:uid="{D817E5D1-C3D0-4AD5-96BC-C31BD7278C0E}"/>
    <cellStyle name="Comma 4 6 3 2 2" xfId="53945" xr:uid="{BDD82151-4319-4F63-8321-47216D2BF0C7}"/>
    <cellStyle name="Comma 4 6 3 2 3" xfId="35691" xr:uid="{5244D6E3-5939-4F90-8873-0367A9412B95}"/>
    <cellStyle name="Comma 4 6 3 3" xfId="13787" xr:uid="{6675E260-0474-4F39-8F22-CB49060E6F86}"/>
    <cellStyle name="Comma 4 6 3 3 2" xfId="50295" xr:uid="{E5E8B13C-1D2A-48F4-965F-71AF3264BE5A}"/>
    <cellStyle name="Comma 4 6 3 3 3" xfId="32041" xr:uid="{5F5CDE70-2F59-4884-9F72-F70A247AD5E0}"/>
    <cellStyle name="Comma 4 6 3 4" xfId="10137" xr:uid="{AE9E6303-AE1A-4A7A-8E83-DE6F97808410}"/>
    <cellStyle name="Comma 4 6 3 4 2" xfId="46645" xr:uid="{C99BE025-8DF9-4428-B2FD-BC2C4EA7E3FF}"/>
    <cellStyle name="Comma 4 6 3 4 3" xfId="28391" xr:uid="{E96B31BC-40F9-46D8-BDCB-8BC3F35755F7}"/>
    <cellStyle name="Comma 4 6 3 5" xfId="6487" xr:uid="{12A66B42-17D5-4479-9D0E-874FAF316569}"/>
    <cellStyle name="Comma 4 6 3 5 2" xfId="42995" xr:uid="{EAC2CBEB-440D-4ACB-876C-0DEF5CA70C22}"/>
    <cellStyle name="Comma 4 6 3 5 3" xfId="24741" xr:uid="{4FE5EF78-7B1C-48A3-916F-A4E3589F5377}"/>
    <cellStyle name="Comma 4 6 3 6" xfId="39345" xr:uid="{60E08B04-2CAE-4A19-A2AE-261BFB2108BD}"/>
    <cellStyle name="Comma 4 6 3 7" xfId="21091" xr:uid="{10ED6541-11B5-4290-BB3E-7026F25CDD43}"/>
    <cellStyle name="Comma 4 6 4" xfId="2107" xr:uid="{FC4C0A21-E09E-478B-9039-14CA5C00B3B0}"/>
    <cellStyle name="Comma 4 6 4 2" xfId="16707" xr:uid="{09ABDE63-0C89-48EF-A1D8-1DFDA1980D1D}"/>
    <cellStyle name="Comma 4 6 4 2 2" xfId="53215" xr:uid="{F61C81C7-1A57-49C2-9B63-882714A982A7}"/>
    <cellStyle name="Comma 4 6 4 2 3" xfId="34961" xr:uid="{D74C5C14-B1F2-4753-A692-D994E5D093AA}"/>
    <cellStyle name="Comma 4 6 4 3" xfId="13057" xr:uid="{203ED119-B83E-43AF-B19B-1A3F44B380A8}"/>
    <cellStyle name="Comma 4 6 4 3 2" xfId="49565" xr:uid="{488729F0-A379-4167-92D6-9D7BA97AD941}"/>
    <cellStyle name="Comma 4 6 4 3 3" xfId="31311" xr:uid="{2AB5C705-F908-4187-B5F7-369F33685493}"/>
    <cellStyle name="Comma 4 6 4 4" xfId="9407" xr:uid="{37BB066E-79B2-48E1-AA1D-28695BCFCF7F}"/>
    <cellStyle name="Comma 4 6 4 4 2" xfId="45915" xr:uid="{B5142DF6-E800-4F09-B543-94562413BB69}"/>
    <cellStyle name="Comma 4 6 4 4 3" xfId="27661" xr:uid="{D5C49C76-BB84-4DCF-8688-7BECEE843438}"/>
    <cellStyle name="Comma 4 6 4 5" xfId="5757" xr:uid="{800EFCD0-466E-4CBE-AA81-7B1AF9AF40CC}"/>
    <cellStyle name="Comma 4 6 4 5 2" xfId="42265" xr:uid="{FCBBE25A-8566-49FB-85A3-1EE3CEA00608}"/>
    <cellStyle name="Comma 4 6 4 5 3" xfId="24011" xr:uid="{4C337622-E775-46AE-B2CC-2928536C9BE8}"/>
    <cellStyle name="Comma 4 6 4 6" xfId="38615" xr:uid="{47D05ECA-EF44-45BF-8B8A-425BC205CF65}"/>
    <cellStyle name="Comma 4 6 4 7" xfId="20361" xr:uid="{A38E2BC2-D4C6-44D3-B494-4E96CE96B932}"/>
    <cellStyle name="Comma 4 6 5" xfId="1377" xr:uid="{481378FE-30E2-4C8A-A147-0467F75D11E1}"/>
    <cellStyle name="Comma 4 6 5 2" xfId="15977" xr:uid="{73C55A53-9BB6-43AC-8E1B-59BA26961865}"/>
    <cellStyle name="Comma 4 6 5 2 2" xfId="52485" xr:uid="{2CD775D1-1945-4FBC-9B0A-E61B26459C72}"/>
    <cellStyle name="Comma 4 6 5 2 3" xfId="34231" xr:uid="{A3B1114A-D465-4E91-8FB2-31E3BB3F3739}"/>
    <cellStyle name="Comma 4 6 5 3" xfId="12327" xr:uid="{C9841BCD-DF3E-4B1F-8E7A-0A99BEE87494}"/>
    <cellStyle name="Comma 4 6 5 3 2" xfId="48835" xr:uid="{369684F5-3F5A-45CC-9134-DFB60FB93D11}"/>
    <cellStyle name="Comma 4 6 5 3 3" xfId="30581" xr:uid="{AA1AB4CA-C222-4141-8ED3-35796CEA4A91}"/>
    <cellStyle name="Comma 4 6 5 4" xfId="8677" xr:uid="{1A51F7E2-4447-410C-A209-A5573C66C494}"/>
    <cellStyle name="Comma 4 6 5 4 2" xfId="45185" xr:uid="{8CF0E6F5-D9BD-424E-B901-0185FB2D4652}"/>
    <cellStyle name="Comma 4 6 5 4 3" xfId="26931" xr:uid="{80F1A6EB-238A-4CD0-980D-09EF91AF0ED6}"/>
    <cellStyle name="Comma 4 6 5 5" xfId="5027" xr:uid="{C1A686E0-AC8E-4457-864F-1C7FBD9D1AF1}"/>
    <cellStyle name="Comma 4 6 5 5 2" xfId="41535" xr:uid="{CA58D229-5A0F-48E9-81F6-F20A13E2BB4C}"/>
    <cellStyle name="Comma 4 6 5 5 3" xfId="23281" xr:uid="{B24D10F6-C0AF-460E-B00A-4D0F16DF13A8}"/>
    <cellStyle name="Comma 4 6 5 6" xfId="37885" xr:uid="{C0E3C9DF-78AC-4057-BAD8-43DA596BD631}"/>
    <cellStyle name="Comma 4 6 5 7" xfId="19631" xr:uid="{B1CFD07E-24AB-4023-B9C8-D746C708F8E1}"/>
    <cellStyle name="Comma 4 6 6" xfId="15247" xr:uid="{2EEE70A1-E1B6-4EF3-9258-3B1D0952DC40}"/>
    <cellStyle name="Comma 4 6 6 2" xfId="51755" xr:uid="{9CC1AD6D-E4F4-438B-9EC8-31C105A7B8F1}"/>
    <cellStyle name="Comma 4 6 6 3" xfId="33501" xr:uid="{E124827E-FD6E-482A-93E7-880F552BCCED}"/>
    <cellStyle name="Comma 4 6 7" xfId="11597" xr:uid="{AA982F1E-3B3F-41FE-8CC7-A6CC1E3417F0}"/>
    <cellStyle name="Comma 4 6 7 2" xfId="48105" xr:uid="{A28D2DD9-D0CB-4473-AF75-0A3DE9B1E5BE}"/>
    <cellStyle name="Comma 4 6 7 3" xfId="29851" xr:uid="{42DB3949-600E-40C1-B823-ABB388B3D928}"/>
    <cellStyle name="Comma 4 6 8" xfId="7947" xr:uid="{CAA95A89-A2D6-4E44-AE5A-441DC4BACE06}"/>
    <cellStyle name="Comma 4 6 8 2" xfId="44455" xr:uid="{8F58CA29-A335-4AF3-A769-20D1B41D95AB}"/>
    <cellStyle name="Comma 4 6 8 3" xfId="26201" xr:uid="{87F0F323-93FA-4BE2-908E-867409DF478E}"/>
    <cellStyle name="Comma 4 6 9" xfId="4297" xr:uid="{766FEF29-E26A-4631-90A6-10ADB3D480F8}"/>
    <cellStyle name="Comma 4 6 9 2" xfId="40805" xr:uid="{A729B9D5-9AF3-4751-BC88-9DB76E0B47FA}"/>
    <cellStyle name="Comma 4 6 9 3" xfId="22551" xr:uid="{E7A941B0-5D77-44D4-B6C7-9A8DD51380CB}"/>
    <cellStyle name="Comma 4 7" xfId="543" xr:uid="{9948C453-550F-49F8-9502-A7BB58F4D6E2}"/>
    <cellStyle name="Comma 4 7 10" xfId="37051" xr:uid="{9E6D0D53-E24D-4F4C-8C07-1033E1EC034C}"/>
    <cellStyle name="Comma 4 7 11" xfId="18797" xr:uid="{1C0469CD-0FBC-4CCA-9B0A-505644CA01B0}"/>
    <cellStyle name="Comma 4 7 2" xfId="3463" xr:uid="{8E3B30BB-2728-4006-8F8F-6339E0D49325}"/>
    <cellStyle name="Comma 4 7 2 2" xfId="18063" xr:uid="{B49EE320-AA37-4438-B697-99DD521AA9EB}"/>
    <cellStyle name="Comma 4 7 2 2 2" xfId="54571" xr:uid="{836E2CC0-4032-4DE2-ACA0-9F0F67177C72}"/>
    <cellStyle name="Comma 4 7 2 2 3" xfId="36317" xr:uid="{3A045C80-ECBD-4DB2-9D08-64EA16225D3B}"/>
    <cellStyle name="Comma 4 7 2 3" xfId="14413" xr:uid="{65169B25-7255-4768-85B3-BF21D3F5923B}"/>
    <cellStyle name="Comma 4 7 2 3 2" xfId="50921" xr:uid="{F457F9FF-B149-476A-9452-D5DA7B2BBD0B}"/>
    <cellStyle name="Comma 4 7 2 3 3" xfId="32667" xr:uid="{4467B770-8307-4BCD-89BF-A74079F845FA}"/>
    <cellStyle name="Comma 4 7 2 4" xfId="10763" xr:uid="{5BE56500-43AB-42E4-B3EC-EB9D2D41590E}"/>
    <cellStyle name="Comma 4 7 2 4 2" xfId="47271" xr:uid="{43FE034D-0B43-4953-A306-1AB18158BEE3}"/>
    <cellStyle name="Comma 4 7 2 4 3" xfId="29017" xr:uid="{275BE812-9942-4225-8DB8-79FF43720757}"/>
    <cellStyle name="Comma 4 7 2 5" xfId="7113" xr:uid="{95BDEACD-6349-4B23-B0F1-DCF6433050AD}"/>
    <cellStyle name="Comma 4 7 2 5 2" xfId="43621" xr:uid="{C0E44657-E7C8-47CF-AE97-D01333B34476}"/>
    <cellStyle name="Comma 4 7 2 5 3" xfId="25367" xr:uid="{E3145419-804D-4212-AC28-C517AA761041}"/>
    <cellStyle name="Comma 4 7 2 6" xfId="39971" xr:uid="{218A8FFA-51E9-4DBE-82AD-572FA380B4C0}"/>
    <cellStyle name="Comma 4 7 2 7" xfId="21717" xr:uid="{23AFF1DB-4867-4775-8706-BD7443106704}"/>
    <cellStyle name="Comma 4 7 3" xfId="2733" xr:uid="{6FD3FAC8-CAB8-4759-A736-4C7C6672EFFB}"/>
    <cellStyle name="Comma 4 7 3 2" xfId="17333" xr:uid="{3DEED95D-8FE5-4110-8A23-72AFEBFC3BE5}"/>
    <cellStyle name="Comma 4 7 3 2 2" xfId="53841" xr:uid="{1CDD0F33-1DAF-49E3-97C6-2B7C9750C4B5}"/>
    <cellStyle name="Comma 4 7 3 2 3" xfId="35587" xr:uid="{C584F096-80EA-451F-B150-FF763F7D4EC5}"/>
    <cellStyle name="Comma 4 7 3 3" xfId="13683" xr:uid="{510B74F2-BFE7-4FCA-BBB3-2A66EDB7FE55}"/>
    <cellStyle name="Comma 4 7 3 3 2" xfId="50191" xr:uid="{52233704-D933-4638-8856-8A56D3A446D9}"/>
    <cellStyle name="Comma 4 7 3 3 3" xfId="31937" xr:uid="{10A880CB-F9E0-492F-8319-E7AA17CF9C43}"/>
    <cellStyle name="Comma 4 7 3 4" xfId="10033" xr:uid="{31B709BD-7C9A-43B4-A3DB-BF2EFE5C5017}"/>
    <cellStyle name="Comma 4 7 3 4 2" xfId="46541" xr:uid="{FC4B82FB-E1AB-4026-B84A-E06EBEF801BE}"/>
    <cellStyle name="Comma 4 7 3 4 3" xfId="28287" xr:uid="{92C3390A-5BCE-4F1C-8913-6F354F32F7D7}"/>
    <cellStyle name="Comma 4 7 3 5" xfId="6383" xr:uid="{FE7822B7-70A3-4BF7-89B8-91206FE81676}"/>
    <cellStyle name="Comma 4 7 3 5 2" xfId="42891" xr:uid="{39488FB7-39F5-4E88-AC19-3A4F129B3796}"/>
    <cellStyle name="Comma 4 7 3 5 3" xfId="24637" xr:uid="{D335653E-90D8-43ED-9A6B-B0F97AA41B22}"/>
    <cellStyle name="Comma 4 7 3 6" xfId="39241" xr:uid="{8DA04FDF-FC27-4844-939D-D45620A9D890}"/>
    <cellStyle name="Comma 4 7 3 7" xfId="20987" xr:uid="{B46CA202-6FD9-4578-AD4C-E87A9BAA73E8}"/>
    <cellStyle name="Comma 4 7 4" xfId="2003" xr:uid="{BC242056-F7E9-4093-B6FC-79BBB25A8351}"/>
    <cellStyle name="Comma 4 7 4 2" xfId="16603" xr:uid="{2B48C7B4-AB7F-437C-9D14-A9F49B83F0DB}"/>
    <cellStyle name="Comma 4 7 4 2 2" xfId="53111" xr:uid="{8D4D51A8-5698-410D-B392-C063FE03BD91}"/>
    <cellStyle name="Comma 4 7 4 2 3" xfId="34857" xr:uid="{F0FD875A-00BA-4238-AC25-1F1B9273CD51}"/>
    <cellStyle name="Comma 4 7 4 3" xfId="12953" xr:uid="{9A6CA0FC-093C-4F35-81A8-419E174F589E}"/>
    <cellStyle name="Comma 4 7 4 3 2" xfId="49461" xr:uid="{014EDFF2-D691-4D6F-9A6D-2682A8CC998E}"/>
    <cellStyle name="Comma 4 7 4 3 3" xfId="31207" xr:uid="{3EB09636-072D-4225-A19A-EC0269A492B4}"/>
    <cellStyle name="Comma 4 7 4 4" xfId="9303" xr:uid="{7522A941-0AFB-4C06-A21E-2C313D4C7725}"/>
    <cellStyle name="Comma 4 7 4 4 2" xfId="45811" xr:uid="{24499A74-70B5-409C-A8D0-3EAD53FE85DA}"/>
    <cellStyle name="Comma 4 7 4 4 3" xfId="27557" xr:uid="{32DA4BEE-88F5-4EE8-A546-41CCD7747780}"/>
    <cellStyle name="Comma 4 7 4 5" xfId="5653" xr:uid="{D523AD0D-5020-4F12-B1C6-9A28C3EB1071}"/>
    <cellStyle name="Comma 4 7 4 5 2" xfId="42161" xr:uid="{381296D6-569A-4EAF-8141-80DAB9A7D1D4}"/>
    <cellStyle name="Comma 4 7 4 5 3" xfId="23907" xr:uid="{ACF736B0-A08D-4602-9222-C472A8C75278}"/>
    <cellStyle name="Comma 4 7 4 6" xfId="38511" xr:uid="{9168587A-7750-4A6C-A2C4-6271B76A1A44}"/>
    <cellStyle name="Comma 4 7 4 7" xfId="20257" xr:uid="{0B57FD7C-963E-45FF-AC52-80D77C736936}"/>
    <cellStyle name="Comma 4 7 5" xfId="1273" xr:uid="{FEDC36BF-1390-4684-9196-BAE12D19721D}"/>
    <cellStyle name="Comma 4 7 5 2" xfId="15873" xr:uid="{E6D17DC5-9159-4527-A327-748356312EFB}"/>
    <cellStyle name="Comma 4 7 5 2 2" xfId="52381" xr:uid="{26E53474-11C9-4030-8103-5238708869BA}"/>
    <cellStyle name="Comma 4 7 5 2 3" xfId="34127" xr:uid="{4ED2FECC-2CA7-4299-BC3A-0A9A14106B73}"/>
    <cellStyle name="Comma 4 7 5 3" xfId="12223" xr:uid="{F5F33192-7AF9-4272-8A76-7A550FB2B347}"/>
    <cellStyle name="Comma 4 7 5 3 2" xfId="48731" xr:uid="{1ACA74B2-5DD3-4A43-9AB1-64509E5D69E1}"/>
    <cellStyle name="Comma 4 7 5 3 3" xfId="30477" xr:uid="{9BBF5DB8-1A5B-45A8-95EC-4CBBFEA701F6}"/>
    <cellStyle name="Comma 4 7 5 4" xfId="8573" xr:uid="{2B2D4E1F-A4CD-4E26-9543-91DD1E5C87EB}"/>
    <cellStyle name="Comma 4 7 5 4 2" xfId="45081" xr:uid="{C1A9E4F4-073E-4441-AE28-462F5ECF5F37}"/>
    <cellStyle name="Comma 4 7 5 4 3" xfId="26827" xr:uid="{A1EB3065-19DC-4276-A9C6-3455D71B2527}"/>
    <cellStyle name="Comma 4 7 5 5" xfId="4923" xr:uid="{D86373B8-8FE8-48F8-994E-5C8D45126A29}"/>
    <cellStyle name="Comma 4 7 5 5 2" xfId="41431" xr:uid="{54DF2E50-549D-4A4D-B2AC-960935217150}"/>
    <cellStyle name="Comma 4 7 5 5 3" xfId="23177" xr:uid="{7905B207-688B-48C7-A68A-306CBB269F9C}"/>
    <cellStyle name="Comma 4 7 5 6" xfId="37781" xr:uid="{1994EA5B-420F-44A0-852B-D970228FA503}"/>
    <cellStyle name="Comma 4 7 5 7" xfId="19527" xr:uid="{D3458E20-C6BF-4B28-93D5-B396B26DB7FF}"/>
    <cellStyle name="Comma 4 7 6" xfId="15143" xr:uid="{E0F3904C-2DC8-4533-8806-F422EDEF740E}"/>
    <cellStyle name="Comma 4 7 6 2" xfId="51651" xr:uid="{A79D5A4A-2A3F-4880-9074-815A8E752CBA}"/>
    <cellStyle name="Comma 4 7 6 3" xfId="33397" xr:uid="{AC6CB3AD-27D1-471B-B5B9-DC9B6B9C2B8D}"/>
    <cellStyle name="Comma 4 7 7" xfId="11493" xr:uid="{49173560-441E-4B82-9AF0-4051951A14C1}"/>
    <cellStyle name="Comma 4 7 7 2" xfId="48001" xr:uid="{AC20C1C9-67B9-4C33-A801-79617577327F}"/>
    <cellStyle name="Comma 4 7 7 3" xfId="29747" xr:uid="{E7F6A608-DF13-4EE9-B30D-85C7501050D8}"/>
    <cellStyle name="Comma 4 7 8" xfId="7843" xr:uid="{F5D41DAC-1B3E-432E-933A-30AA7A9FA605}"/>
    <cellStyle name="Comma 4 7 8 2" xfId="44351" xr:uid="{7B37BA6B-1C4E-450A-B1D5-9150A9AC17D7}"/>
    <cellStyle name="Comma 4 7 8 3" xfId="26097" xr:uid="{E09E4C8F-150C-4174-847B-9F91B2BFDB1F}"/>
    <cellStyle name="Comma 4 7 9" xfId="4193" xr:uid="{E0F95AC1-560C-4A28-A5AB-FB8ACB9287AB}"/>
    <cellStyle name="Comma 4 7 9 2" xfId="40701" xr:uid="{A21D5EEA-08E1-4494-97A6-549B1E183117}"/>
    <cellStyle name="Comma 4 7 9 3" xfId="22447" xr:uid="{76E93639-4D34-45BE-BB75-2A3064B06B01}"/>
    <cellStyle name="Comma 4 8" xfId="439" xr:uid="{8D0138A7-A002-42F3-A49E-69A259091A62}"/>
    <cellStyle name="Comma 4 8 10" xfId="36947" xr:uid="{CFCF4F6C-F68A-45C3-8F5A-99808CA49E19}"/>
    <cellStyle name="Comma 4 8 11" xfId="18693" xr:uid="{385213BE-DE3A-4E9E-974D-0550DF065F15}"/>
    <cellStyle name="Comma 4 8 2" xfId="3359" xr:uid="{3B132360-3074-4977-9AFA-DAB61ABA9E8D}"/>
    <cellStyle name="Comma 4 8 2 2" xfId="17959" xr:uid="{4E1DA29C-44EB-47D7-B762-8B99236E3387}"/>
    <cellStyle name="Comma 4 8 2 2 2" xfId="54467" xr:uid="{4291804D-32CC-4052-B509-86F97F8334D4}"/>
    <cellStyle name="Comma 4 8 2 2 3" xfId="36213" xr:uid="{691427CD-F20E-419B-B5D5-E7DDB3648C91}"/>
    <cellStyle name="Comma 4 8 2 3" xfId="14309" xr:uid="{208E3CAD-12B3-41AF-BE17-0C1B73093567}"/>
    <cellStyle name="Comma 4 8 2 3 2" xfId="50817" xr:uid="{2A0B4C10-CA62-40F5-8AFF-9F8AA6351E3E}"/>
    <cellStyle name="Comma 4 8 2 3 3" xfId="32563" xr:uid="{78A50359-B456-4B88-A6DB-6841F545F126}"/>
    <cellStyle name="Comma 4 8 2 4" xfId="10659" xr:uid="{A3B2541A-4968-4A34-9499-E3F26291C904}"/>
    <cellStyle name="Comma 4 8 2 4 2" xfId="47167" xr:uid="{52F1DFCD-7343-4DA6-B351-C48114F22939}"/>
    <cellStyle name="Comma 4 8 2 4 3" xfId="28913" xr:uid="{71E2FBE0-59E5-4566-AC15-FF5F59F12382}"/>
    <cellStyle name="Comma 4 8 2 5" xfId="7009" xr:uid="{2FE70237-03BA-4606-8104-7910F6CDC7BB}"/>
    <cellStyle name="Comma 4 8 2 5 2" xfId="43517" xr:uid="{59DFEFAF-D26C-4FD9-99C0-38B53B6DD1BF}"/>
    <cellStyle name="Comma 4 8 2 5 3" xfId="25263" xr:uid="{9297382C-2E7A-4DA7-8824-1B4F602AC76D}"/>
    <cellStyle name="Comma 4 8 2 6" xfId="39867" xr:uid="{3748BFF7-A930-4255-B767-3C3F81089A48}"/>
    <cellStyle name="Comma 4 8 2 7" xfId="21613" xr:uid="{C1228F31-030A-4983-8211-FE12FCC89DDE}"/>
    <cellStyle name="Comma 4 8 3" xfId="2629" xr:uid="{BB225AD0-1E8C-4625-96E7-239597AB0048}"/>
    <cellStyle name="Comma 4 8 3 2" xfId="17229" xr:uid="{B5EBCC49-AE40-4D1F-9A8A-B623D99D2BA4}"/>
    <cellStyle name="Comma 4 8 3 2 2" xfId="53737" xr:uid="{69843E7D-EB5D-414D-9270-D76DA25D5B56}"/>
    <cellStyle name="Comma 4 8 3 2 3" xfId="35483" xr:uid="{87A22009-702B-4216-9020-778FB4AEA2A7}"/>
    <cellStyle name="Comma 4 8 3 3" xfId="13579" xr:uid="{9EBD86AC-2B51-4BDB-BF20-FEE0F959EECB}"/>
    <cellStyle name="Comma 4 8 3 3 2" xfId="50087" xr:uid="{CD722BA4-F79B-4149-9A11-B4ECFB413D7E}"/>
    <cellStyle name="Comma 4 8 3 3 3" xfId="31833" xr:uid="{31A1EDCB-9775-43A2-89D3-8FEEEBEF702F}"/>
    <cellStyle name="Comma 4 8 3 4" xfId="9929" xr:uid="{4F7AD07C-730E-437D-AE9D-7EC6EE4DAC5D}"/>
    <cellStyle name="Comma 4 8 3 4 2" xfId="46437" xr:uid="{B906A77D-E4DA-428F-9CC7-EA0258F63351}"/>
    <cellStyle name="Comma 4 8 3 4 3" xfId="28183" xr:uid="{1BF1932F-01B2-492E-A553-DF2394B96760}"/>
    <cellStyle name="Comma 4 8 3 5" xfId="6279" xr:uid="{205D19CD-F872-4E60-BDAD-6D47DEFEE9C1}"/>
    <cellStyle name="Comma 4 8 3 5 2" xfId="42787" xr:uid="{3A3EE31A-873F-480D-8384-564ABB2B7D30}"/>
    <cellStyle name="Comma 4 8 3 5 3" xfId="24533" xr:uid="{665AB55F-7900-402F-9C8C-1A1C24D719B1}"/>
    <cellStyle name="Comma 4 8 3 6" xfId="39137" xr:uid="{6E743ED0-CB5D-45C9-88F5-2BA18814B9CD}"/>
    <cellStyle name="Comma 4 8 3 7" xfId="20883" xr:uid="{F220081C-4922-4C23-8552-581BC0858887}"/>
    <cellStyle name="Comma 4 8 4" xfId="1899" xr:uid="{DE36DDAC-DB51-43D2-9CCD-26E4DADB230F}"/>
    <cellStyle name="Comma 4 8 4 2" xfId="16499" xr:uid="{43C649DD-7F00-4D7E-AD97-59FB2F01CCB7}"/>
    <cellStyle name="Comma 4 8 4 2 2" xfId="53007" xr:uid="{E3CDC0E5-C4A9-44C9-984B-A002AD469F76}"/>
    <cellStyle name="Comma 4 8 4 2 3" xfId="34753" xr:uid="{66733C40-C2EF-4A5C-9B5D-FD3DC766F2E7}"/>
    <cellStyle name="Comma 4 8 4 3" xfId="12849" xr:uid="{96FF546A-E44A-4CC0-857A-76C94CFDF9C6}"/>
    <cellStyle name="Comma 4 8 4 3 2" xfId="49357" xr:uid="{A8D73B11-BAD7-470D-83CB-30CD44C13E18}"/>
    <cellStyle name="Comma 4 8 4 3 3" xfId="31103" xr:uid="{38E9CCEA-097B-4FE0-A4D1-2B320DA00F33}"/>
    <cellStyle name="Comma 4 8 4 4" xfId="9199" xr:uid="{C47F68A9-B98B-4CCB-A3E9-F4010381E71C}"/>
    <cellStyle name="Comma 4 8 4 4 2" xfId="45707" xr:uid="{59097366-7CE8-4FD2-A1CA-467D1A3BB285}"/>
    <cellStyle name="Comma 4 8 4 4 3" xfId="27453" xr:uid="{BD835158-B516-4E12-B1F2-C2513BAE8384}"/>
    <cellStyle name="Comma 4 8 4 5" xfId="5549" xr:uid="{114AAD4D-AF00-4D13-98B3-55B124A2AB6C}"/>
    <cellStyle name="Comma 4 8 4 5 2" xfId="42057" xr:uid="{F9DE963D-345A-4AC7-A79D-2074A7B01F2F}"/>
    <cellStyle name="Comma 4 8 4 5 3" xfId="23803" xr:uid="{7E7C4820-1AC2-4FA7-99FF-8FB44D63CD61}"/>
    <cellStyle name="Comma 4 8 4 6" xfId="38407" xr:uid="{09F11419-0537-47E9-981B-BFA28A3397CB}"/>
    <cellStyle name="Comma 4 8 4 7" xfId="20153" xr:uid="{8DBEF1AE-0CD4-46DA-91A8-7032765B3453}"/>
    <cellStyle name="Comma 4 8 5" xfId="1169" xr:uid="{8D994478-1EFF-4696-AA97-0D5CA3B16672}"/>
    <cellStyle name="Comma 4 8 5 2" xfId="15769" xr:uid="{7236B538-A25E-4851-8E72-F02C5C5C4342}"/>
    <cellStyle name="Comma 4 8 5 2 2" xfId="52277" xr:uid="{BC1FEF51-B8CD-475C-8431-0BC77D71EE04}"/>
    <cellStyle name="Comma 4 8 5 2 3" xfId="34023" xr:uid="{2DB96BCA-0737-4086-BBAF-1D64549D127C}"/>
    <cellStyle name="Comma 4 8 5 3" xfId="12119" xr:uid="{31391E10-0543-447D-8FFD-AD0844A572C7}"/>
    <cellStyle name="Comma 4 8 5 3 2" xfId="48627" xr:uid="{0A300893-598E-49FC-8078-F86D41E48421}"/>
    <cellStyle name="Comma 4 8 5 3 3" xfId="30373" xr:uid="{2D71DF98-2B8B-4B30-99B8-0A39F0C83C6C}"/>
    <cellStyle name="Comma 4 8 5 4" xfId="8469" xr:uid="{992844A1-2BF9-4AD0-A4EF-F7A033B1E5C4}"/>
    <cellStyle name="Comma 4 8 5 4 2" xfId="44977" xr:uid="{D90A99A0-5DA1-4CAB-8E18-4BE2A394C621}"/>
    <cellStyle name="Comma 4 8 5 4 3" xfId="26723" xr:uid="{C13A5D45-4ACC-4C87-B903-190211DE7622}"/>
    <cellStyle name="Comma 4 8 5 5" xfId="4819" xr:uid="{BCD65A50-A563-4DE1-B915-2FD0E4C77387}"/>
    <cellStyle name="Comma 4 8 5 5 2" xfId="41327" xr:uid="{37B663B1-905F-4744-BD04-5061F47024EE}"/>
    <cellStyle name="Comma 4 8 5 5 3" xfId="23073" xr:uid="{3B94768E-64F2-42FF-8AB6-3ADBA7E1B7E4}"/>
    <cellStyle name="Comma 4 8 5 6" xfId="37677" xr:uid="{5A9C3CE9-0868-4AD5-AB88-08D2B26E2F8D}"/>
    <cellStyle name="Comma 4 8 5 7" xfId="19423" xr:uid="{4ACA7DC7-528E-4156-9646-4B05CE356523}"/>
    <cellStyle name="Comma 4 8 6" xfId="15039" xr:uid="{8022CCE5-1CD9-49F3-8B26-8686118FF343}"/>
    <cellStyle name="Comma 4 8 6 2" xfId="51547" xr:uid="{D68D4B11-75F9-48EB-AE17-BDB4FD6C78D8}"/>
    <cellStyle name="Comma 4 8 6 3" xfId="33293" xr:uid="{DD1215B0-6F2A-45CA-B754-2DA9051FDEF5}"/>
    <cellStyle name="Comma 4 8 7" xfId="11389" xr:uid="{2513411D-74DC-489B-B588-110BFD93EF0A}"/>
    <cellStyle name="Comma 4 8 7 2" xfId="47897" xr:uid="{F2E96D35-5A44-497C-BE1B-7DA849C47D06}"/>
    <cellStyle name="Comma 4 8 7 3" xfId="29643" xr:uid="{6E73A5A8-0EDC-4CE5-8E0A-90A9AF657690}"/>
    <cellStyle name="Comma 4 8 8" xfId="7739" xr:uid="{6A08D9D4-184B-4155-9F75-86F27F2F9A33}"/>
    <cellStyle name="Comma 4 8 8 2" xfId="44247" xr:uid="{F6C57A08-A01D-4824-891E-818824351770}"/>
    <cellStyle name="Comma 4 8 8 3" xfId="25993" xr:uid="{85B36419-CD8B-4913-9C40-5804F1B9542A}"/>
    <cellStyle name="Comma 4 8 9" xfId="4089" xr:uid="{BE356C3A-F95C-4DE3-9D8C-44E203210A75}"/>
    <cellStyle name="Comma 4 8 9 2" xfId="40597" xr:uid="{456BEC2F-D6D3-4EBC-8839-848AA4239D9A}"/>
    <cellStyle name="Comma 4 8 9 3" xfId="22343" xr:uid="{44995922-B2F1-40D7-9E8B-A73C4804F100}"/>
    <cellStyle name="Comma 4 9" xfId="335" xr:uid="{75C6E505-12A8-4C86-9F7A-CFBB1BDEE3DC}"/>
    <cellStyle name="Comma 4 9 10" xfId="36843" xr:uid="{B1C95BB0-C18F-47EC-B63F-5E0DF4DFA66A}"/>
    <cellStyle name="Comma 4 9 11" xfId="18589" xr:uid="{39100F5C-017E-4EA9-92F0-702C072EBCE2}"/>
    <cellStyle name="Comma 4 9 2" xfId="3255" xr:uid="{A693B3B2-AA0B-4054-90BE-9641B5E26E8C}"/>
    <cellStyle name="Comma 4 9 2 2" xfId="17855" xr:uid="{9F3E1E2F-93E1-4A96-B4BF-B6C4680A2CD3}"/>
    <cellStyle name="Comma 4 9 2 2 2" xfId="54363" xr:uid="{691FE321-FE03-4147-8444-5D21FEFF9CFF}"/>
    <cellStyle name="Comma 4 9 2 2 3" xfId="36109" xr:uid="{6AF6C37A-2B15-41B1-8094-31A53A97EDAD}"/>
    <cellStyle name="Comma 4 9 2 3" xfId="14205" xr:uid="{A8C76BB3-4F09-46FE-B5E5-78177B2E5BE3}"/>
    <cellStyle name="Comma 4 9 2 3 2" xfId="50713" xr:uid="{EC655F78-610F-4B14-A619-F69943D83F9B}"/>
    <cellStyle name="Comma 4 9 2 3 3" xfId="32459" xr:uid="{1C6A7CEE-C4FB-433B-A1B6-99740C346380}"/>
    <cellStyle name="Comma 4 9 2 4" xfId="10555" xr:uid="{9031222A-895C-474D-91B5-B07CA94CF828}"/>
    <cellStyle name="Comma 4 9 2 4 2" xfId="47063" xr:uid="{7165F4F9-3ECE-4C94-825F-D73FC3CB842F}"/>
    <cellStyle name="Comma 4 9 2 4 3" xfId="28809" xr:uid="{4A785224-1944-4B0E-973F-FFD71362B9C7}"/>
    <cellStyle name="Comma 4 9 2 5" xfId="6905" xr:uid="{0EB334E9-1DFF-4ED4-A2E2-62D9A57992C3}"/>
    <cellStyle name="Comma 4 9 2 5 2" xfId="43413" xr:uid="{B4AB4D34-1185-4EB0-B9EC-91C23F39E5C5}"/>
    <cellStyle name="Comma 4 9 2 5 3" xfId="25159" xr:uid="{D479BB8F-D178-458A-B77A-5BFC0FB7CA8C}"/>
    <cellStyle name="Comma 4 9 2 6" xfId="39763" xr:uid="{3C30D7F3-A66A-4449-899F-7A583359F1CF}"/>
    <cellStyle name="Comma 4 9 2 7" xfId="21509" xr:uid="{965CACA5-EA8B-4022-B0BA-F791E543D0BA}"/>
    <cellStyle name="Comma 4 9 3" xfId="2525" xr:uid="{778C0418-E3FF-4CBF-9BE4-9621D6785BBB}"/>
    <cellStyle name="Comma 4 9 3 2" xfId="17125" xr:uid="{D643A3CB-D969-43A4-BF58-9740CB269A68}"/>
    <cellStyle name="Comma 4 9 3 2 2" xfId="53633" xr:uid="{CACB940E-7BFF-4240-A6D6-906AFFA01FBA}"/>
    <cellStyle name="Comma 4 9 3 2 3" xfId="35379" xr:uid="{332C372E-E7DD-4655-BB9D-75E0EAEE555A}"/>
    <cellStyle name="Comma 4 9 3 3" xfId="13475" xr:uid="{7B42A515-E376-4B73-9818-969D01F1CC63}"/>
    <cellStyle name="Comma 4 9 3 3 2" xfId="49983" xr:uid="{452167F6-1562-4F57-9DA3-07B7CDAE3D4C}"/>
    <cellStyle name="Comma 4 9 3 3 3" xfId="31729" xr:uid="{DDA5EBEE-DB1B-41A5-8521-F994175A27F7}"/>
    <cellStyle name="Comma 4 9 3 4" xfId="9825" xr:uid="{43260EBE-9124-427C-9624-D8FA9C4E3BD6}"/>
    <cellStyle name="Comma 4 9 3 4 2" xfId="46333" xr:uid="{5D6AE514-E488-4F27-9BC8-B9C864272589}"/>
    <cellStyle name="Comma 4 9 3 4 3" xfId="28079" xr:uid="{5E2F4E6E-8BE4-4FA8-8F33-33443F1D8E90}"/>
    <cellStyle name="Comma 4 9 3 5" xfId="6175" xr:uid="{BAA3DA09-F2EC-4446-8AB3-24062CA45A0B}"/>
    <cellStyle name="Comma 4 9 3 5 2" xfId="42683" xr:uid="{5BB8000D-EDBC-40A4-8401-655A1FA8C2A7}"/>
    <cellStyle name="Comma 4 9 3 5 3" xfId="24429" xr:uid="{C34A29BC-9426-4986-99A1-BFD73DE96641}"/>
    <cellStyle name="Comma 4 9 3 6" xfId="39033" xr:uid="{17D38D21-902A-4D13-A093-3A1622AA098B}"/>
    <cellStyle name="Comma 4 9 3 7" xfId="20779" xr:uid="{A6798821-8EDD-42D3-9D01-C2D3EDEFB02A}"/>
    <cellStyle name="Comma 4 9 4" xfId="1795" xr:uid="{EC83235C-3C46-485B-BEEC-416B46C2F5A8}"/>
    <cellStyle name="Comma 4 9 4 2" xfId="16395" xr:uid="{630F64DF-391D-4B18-AAB6-BFAE92B1EA9A}"/>
    <cellStyle name="Comma 4 9 4 2 2" xfId="52903" xr:uid="{966A1931-88A8-4296-B5E5-607776361096}"/>
    <cellStyle name="Comma 4 9 4 2 3" xfId="34649" xr:uid="{39160E75-AB80-4838-B280-7E2DC1529F50}"/>
    <cellStyle name="Comma 4 9 4 3" xfId="12745" xr:uid="{D87FF3DA-C465-4D63-BEEC-3859F4EDEE08}"/>
    <cellStyle name="Comma 4 9 4 3 2" xfId="49253" xr:uid="{29C36A58-E525-46D0-87D1-D202A94633B4}"/>
    <cellStyle name="Comma 4 9 4 3 3" xfId="30999" xr:uid="{A2A2EA8D-CCF7-4DD9-AAA6-F27F12EC300B}"/>
    <cellStyle name="Comma 4 9 4 4" xfId="9095" xr:uid="{EC92C527-BB68-4D05-8EE2-8DF09734CCC4}"/>
    <cellStyle name="Comma 4 9 4 4 2" xfId="45603" xr:uid="{36C2B1A5-E821-469F-9382-6AC9198B4FBA}"/>
    <cellStyle name="Comma 4 9 4 4 3" xfId="27349" xr:uid="{7AFACAEE-B33A-4115-A0CD-5A6CAFB9A312}"/>
    <cellStyle name="Comma 4 9 4 5" xfId="5445" xr:uid="{7020D089-FCB2-4232-B6DC-3C99C5B89E7D}"/>
    <cellStyle name="Comma 4 9 4 5 2" xfId="41953" xr:uid="{6781178F-28CE-4C8D-90B6-309441D31496}"/>
    <cellStyle name="Comma 4 9 4 5 3" xfId="23699" xr:uid="{71D49873-834B-4B63-BF87-B115DC175ACA}"/>
    <cellStyle name="Comma 4 9 4 6" xfId="38303" xr:uid="{610FA820-2763-4E85-A40E-DCB8FAA05455}"/>
    <cellStyle name="Comma 4 9 4 7" xfId="20049" xr:uid="{7CDFF5BD-9C56-422F-873E-125D26928E70}"/>
    <cellStyle name="Comma 4 9 5" xfId="1065" xr:uid="{D272A3E9-1183-4C3A-8772-3E68D3665B74}"/>
    <cellStyle name="Comma 4 9 5 2" xfId="15665" xr:uid="{B426E9D4-AE60-405B-A262-17D9B3DEE148}"/>
    <cellStyle name="Comma 4 9 5 2 2" xfId="52173" xr:uid="{57D66F3C-D6F3-4B75-9FCA-ED86235AD875}"/>
    <cellStyle name="Comma 4 9 5 2 3" xfId="33919" xr:uid="{ACFADC55-3729-4C23-8887-F25174315E50}"/>
    <cellStyle name="Comma 4 9 5 3" xfId="12015" xr:uid="{6F9D6A9B-6582-4FF1-B72B-C624F547F00E}"/>
    <cellStyle name="Comma 4 9 5 3 2" xfId="48523" xr:uid="{F52ED41D-7DEB-4298-BEC7-2B38FC1D94A1}"/>
    <cellStyle name="Comma 4 9 5 3 3" xfId="30269" xr:uid="{2C16FD9D-5B21-4E4A-A517-DE29F3031BDD}"/>
    <cellStyle name="Comma 4 9 5 4" xfId="8365" xr:uid="{DFAE7B58-9006-40D0-8158-09C811349298}"/>
    <cellStyle name="Comma 4 9 5 4 2" xfId="44873" xr:uid="{BE751F82-3C27-4BD6-93C6-4788846401FE}"/>
    <cellStyle name="Comma 4 9 5 4 3" xfId="26619" xr:uid="{0CA822A2-7517-49B2-91E1-958A802C8273}"/>
    <cellStyle name="Comma 4 9 5 5" xfId="4715" xr:uid="{64129141-0826-47ED-A6C1-F71B6742217F}"/>
    <cellStyle name="Comma 4 9 5 5 2" xfId="41223" xr:uid="{F8DC8DA9-CEE1-4458-8359-AA594854687A}"/>
    <cellStyle name="Comma 4 9 5 5 3" xfId="22969" xr:uid="{A2801965-3100-45CA-BB09-0E642330AAE8}"/>
    <cellStyle name="Comma 4 9 5 6" xfId="37573" xr:uid="{937C8960-3F26-4207-A269-EE59FEA458A7}"/>
    <cellStyle name="Comma 4 9 5 7" xfId="19319" xr:uid="{9278CB43-058E-4657-9DAC-5E209AFB6F37}"/>
    <cellStyle name="Comma 4 9 6" xfId="14935" xr:uid="{B73DE81F-A651-42D0-BE81-96AE960EB7C2}"/>
    <cellStyle name="Comma 4 9 6 2" xfId="51443" xr:uid="{B8AE0F88-666E-4D09-BD97-7352CF513533}"/>
    <cellStyle name="Comma 4 9 6 3" xfId="33189" xr:uid="{B98C1077-8244-4915-BCCF-A0D27EA5A2CE}"/>
    <cellStyle name="Comma 4 9 7" xfId="11285" xr:uid="{A74F55E9-BF52-4354-9717-01706FDDF005}"/>
    <cellStyle name="Comma 4 9 7 2" xfId="47793" xr:uid="{0BFBF1CC-037A-4C07-9EBE-08C145307B0D}"/>
    <cellStyle name="Comma 4 9 7 3" xfId="29539" xr:uid="{54A24714-4BA2-4BF7-83FB-A1367A5DD207}"/>
    <cellStyle name="Comma 4 9 8" xfId="7635" xr:uid="{9256BE26-5F00-4B41-A751-2BDB548E6A7B}"/>
    <cellStyle name="Comma 4 9 8 2" xfId="44143" xr:uid="{DB3CA7CE-A0A6-4CCD-88FD-F8C592E523FC}"/>
    <cellStyle name="Comma 4 9 8 3" xfId="25889" xr:uid="{BE0CA470-AA88-4DDC-83B6-B70CCD256C80}"/>
    <cellStyle name="Comma 4 9 9" xfId="3985" xr:uid="{7AC29723-029A-4CAD-AF36-8CCCC9ED22AC}"/>
    <cellStyle name="Comma 4 9 9 2" xfId="40493" xr:uid="{A29E67B7-589E-40F7-95E9-2BC225ED9AB9}"/>
    <cellStyle name="Comma 4 9 9 3" xfId="22239" xr:uid="{C635B765-B7F1-4420-864B-8B0A9C33BF15}"/>
    <cellStyle name="Comma 40" xfId="18273" xr:uid="{341680D7-6BBC-468D-9034-10EDBEFC700A}"/>
    <cellStyle name="Comma 5" xfId="15" xr:uid="{00000000-0005-0000-0000-00000F000000}"/>
    <cellStyle name="Comma 5 10" xfId="131" xr:uid="{D0CF9729-2C4B-4ED4-A692-0DCD7EFBFCF0}"/>
    <cellStyle name="Comma 5 10 10" xfId="36639" xr:uid="{6964C42D-D501-4CD0-AE92-975E25216108}"/>
    <cellStyle name="Comma 5 10 11" xfId="18385" xr:uid="{716AD366-8BB4-4ABC-AAE4-B55AADF33690}"/>
    <cellStyle name="Comma 5 10 2" xfId="3051" xr:uid="{52757AAC-A026-4165-87CA-8616EC778CFD}"/>
    <cellStyle name="Comma 5 10 2 2" xfId="17651" xr:uid="{DCC0ADAA-4907-485C-9D44-19158F01B53E}"/>
    <cellStyle name="Comma 5 10 2 2 2" xfId="54159" xr:uid="{54A119B9-1E8B-4DCC-BB52-69F1985705B5}"/>
    <cellStyle name="Comma 5 10 2 2 3" xfId="35905" xr:uid="{88640449-70D7-489F-AABB-0CABE1DBB974}"/>
    <cellStyle name="Comma 5 10 2 3" xfId="14001" xr:uid="{171E9616-97AC-47CF-AC75-7310FB94C0EB}"/>
    <cellStyle name="Comma 5 10 2 3 2" xfId="50509" xr:uid="{90C8C1F4-96A4-4FB9-899A-1C60B6D28354}"/>
    <cellStyle name="Comma 5 10 2 3 3" xfId="32255" xr:uid="{7D593EC9-70D1-4A23-9B78-F634E218AC7F}"/>
    <cellStyle name="Comma 5 10 2 4" xfId="10351" xr:uid="{F943A520-FDBB-403E-9FB1-F384D33CE2A1}"/>
    <cellStyle name="Comma 5 10 2 4 2" xfId="46859" xr:uid="{9D92AF86-6985-4369-B82F-5A8A33D40043}"/>
    <cellStyle name="Comma 5 10 2 4 3" xfId="28605" xr:uid="{98828EEF-9546-43E2-AE8F-296D46C01F25}"/>
    <cellStyle name="Comma 5 10 2 5" xfId="6701" xr:uid="{9C893C24-58A2-435D-9A0A-C497270900AA}"/>
    <cellStyle name="Comma 5 10 2 5 2" xfId="43209" xr:uid="{F3619ECF-E4B8-4C2F-B782-2488FE8A4F92}"/>
    <cellStyle name="Comma 5 10 2 5 3" xfId="24955" xr:uid="{ECA18531-2FC1-4387-8E4C-3EECC69D6DDB}"/>
    <cellStyle name="Comma 5 10 2 6" xfId="39559" xr:uid="{077581E1-DC9B-40C5-9498-0D0FE84105CA}"/>
    <cellStyle name="Comma 5 10 2 7" xfId="21305" xr:uid="{AEB16505-E5E1-44BA-A826-6D6E3A8670AB}"/>
    <cellStyle name="Comma 5 10 3" xfId="2321" xr:uid="{4FBED40C-A5F6-4AEF-AC40-A751DBA6892C}"/>
    <cellStyle name="Comma 5 10 3 2" xfId="16921" xr:uid="{D79B3ECF-65ED-460B-87E5-0EF015CDF656}"/>
    <cellStyle name="Comma 5 10 3 2 2" xfId="53429" xr:uid="{32434D9D-36F5-428A-A041-7CD690D6F52D}"/>
    <cellStyle name="Comma 5 10 3 2 3" xfId="35175" xr:uid="{E92FE501-7DE5-412D-BC5C-B428084983FC}"/>
    <cellStyle name="Comma 5 10 3 3" xfId="13271" xr:uid="{E07C36DC-4FFB-40E9-8A2E-CCBB82E20566}"/>
    <cellStyle name="Comma 5 10 3 3 2" xfId="49779" xr:uid="{4CBF41E0-1A35-42A8-9A8C-C0FD598CB2D5}"/>
    <cellStyle name="Comma 5 10 3 3 3" xfId="31525" xr:uid="{39B9B286-0D3F-44CA-AED0-CD49E6F6B1ED}"/>
    <cellStyle name="Comma 5 10 3 4" xfId="9621" xr:uid="{6ABD25FD-A627-4D97-854A-25CA7785B3E6}"/>
    <cellStyle name="Comma 5 10 3 4 2" xfId="46129" xr:uid="{6DE1C0CD-4E33-41EC-AEE3-4DF0CBAA5430}"/>
    <cellStyle name="Comma 5 10 3 4 3" xfId="27875" xr:uid="{6250B30F-E7E5-4E7C-98A9-D03CDE240A7B}"/>
    <cellStyle name="Comma 5 10 3 5" xfId="5971" xr:uid="{06BB9273-8233-42FF-8A5C-DF1568FC373C}"/>
    <cellStyle name="Comma 5 10 3 5 2" xfId="42479" xr:uid="{C492B846-E5CA-4C21-9CB3-C2FCE3945BD2}"/>
    <cellStyle name="Comma 5 10 3 5 3" xfId="24225" xr:uid="{A250BBDC-9C73-4218-B241-37FD57FCB5F7}"/>
    <cellStyle name="Comma 5 10 3 6" xfId="38829" xr:uid="{009CAEB0-8F68-4758-A5FD-CEC14065C396}"/>
    <cellStyle name="Comma 5 10 3 7" xfId="20575" xr:uid="{E53F446C-2760-48A8-9B21-2ADF4E3DE39E}"/>
    <cellStyle name="Comma 5 10 4" xfId="1591" xr:uid="{F683A695-A567-4F2C-A77C-601CD3C2A703}"/>
    <cellStyle name="Comma 5 10 4 2" xfId="16191" xr:uid="{615DB4AD-C341-4971-ACDC-20139A0FED71}"/>
    <cellStyle name="Comma 5 10 4 2 2" xfId="52699" xr:uid="{67DD1BB3-C307-4C8B-87FF-D2278520E2F5}"/>
    <cellStyle name="Comma 5 10 4 2 3" xfId="34445" xr:uid="{32B7A7C4-79E1-4486-BBDB-39105A414DE7}"/>
    <cellStyle name="Comma 5 10 4 3" xfId="12541" xr:uid="{E800BB4D-772D-4455-AF6D-3C1AA0AF7941}"/>
    <cellStyle name="Comma 5 10 4 3 2" xfId="49049" xr:uid="{CD38E16E-C3AB-418B-9BBF-CB3CB78C0684}"/>
    <cellStyle name="Comma 5 10 4 3 3" xfId="30795" xr:uid="{9D741529-6205-48F4-B1E6-F05DCCFC4D1C}"/>
    <cellStyle name="Comma 5 10 4 4" xfId="8891" xr:uid="{908C49D7-80F5-4CA3-A16E-2C13D4FB47CB}"/>
    <cellStyle name="Comma 5 10 4 4 2" xfId="45399" xr:uid="{BF44BFEC-06FC-4992-A891-DD239169CFDF}"/>
    <cellStyle name="Comma 5 10 4 4 3" xfId="27145" xr:uid="{ABCD4983-1CBB-4AF2-88C0-DD53F21B7860}"/>
    <cellStyle name="Comma 5 10 4 5" xfId="5241" xr:uid="{6A70BFE6-5B60-4DAE-9EEC-6D58BE4E9F3A}"/>
    <cellStyle name="Comma 5 10 4 5 2" xfId="41749" xr:uid="{78A562A2-9B44-4B33-BC52-1044DD0C9EAB}"/>
    <cellStyle name="Comma 5 10 4 5 3" xfId="23495" xr:uid="{253CDF75-3899-4382-8F18-5A6E63689389}"/>
    <cellStyle name="Comma 5 10 4 6" xfId="38099" xr:uid="{C48D1769-ADC9-4C3D-AF33-DB6351DF2FCD}"/>
    <cellStyle name="Comma 5 10 4 7" xfId="19845" xr:uid="{464E50D4-E7AC-47F7-AD65-2B15A8CDA01E}"/>
    <cellStyle name="Comma 5 10 5" xfId="861" xr:uid="{E68E1559-13E7-43A6-A418-28856EE82668}"/>
    <cellStyle name="Comma 5 10 5 2" xfId="15461" xr:uid="{27CB8C18-1537-4065-B7F7-E694E92D18F4}"/>
    <cellStyle name="Comma 5 10 5 2 2" xfId="51969" xr:uid="{87770303-4D39-411D-9B08-A5F05BD5284F}"/>
    <cellStyle name="Comma 5 10 5 2 3" xfId="33715" xr:uid="{DD3770F2-4CC4-402C-A2A6-8F6858956E3E}"/>
    <cellStyle name="Comma 5 10 5 3" xfId="11811" xr:uid="{FF391095-1BF0-4376-A504-0D13E2144692}"/>
    <cellStyle name="Comma 5 10 5 3 2" xfId="48319" xr:uid="{40AA1E2B-6D8C-4999-8C81-BB9E58ED6408}"/>
    <cellStyle name="Comma 5 10 5 3 3" xfId="30065" xr:uid="{AC8FBEAF-2C96-472F-9476-37893CCB5D55}"/>
    <cellStyle name="Comma 5 10 5 4" xfId="8161" xr:uid="{BAA95229-09D2-4D12-9C81-5DE2EADF7FB5}"/>
    <cellStyle name="Comma 5 10 5 4 2" xfId="44669" xr:uid="{5A71FF78-2DD9-4DF8-9942-B39FC1F08350}"/>
    <cellStyle name="Comma 5 10 5 4 3" xfId="26415" xr:uid="{4208EC2B-E098-42C2-83E1-4E2B8CF07CFD}"/>
    <cellStyle name="Comma 5 10 5 5" xfId="4511" xr:uid="{C95AF155-8886-4419-A3F7-0A4E590241C2}"/>
    <cellStyle name="Comma 5 10 5 5 2" xfId="41019" xr:uid="{A774D80B-4060-428E-9B97-9FA4298CF215}"/>
    <cellStyle name="Comma 5 10 5 5 3" xfId="22765" xr:uid="{51053DC4-DF06-4871-8C6A-653B0442536A}"/>
    <cellStyle name="Comma 5 10 5 6" xfId="37369" xr:uid="{BE973C56-5941-4FA3-9CEC-E08AB544D6F8}"/>
    <cellStyle name="Comma 5 10 5 7" xfId="19115" xr:uid="{CB397A6D-A9CE-4113-8D33-10D1AB025D32}"/>
    <cellStyle name="Comma 5 10 6" xfId="14731" xr:uid="{7A0821D9-7FC4-4ADD-9450-14C36C989158}"/>
    <cellStyle name="Comma 5 10 6 2" xfId="51239" xr:uid="{B43F32A1-AC59-40F6-A6A6-B59A816D27E3}"/>
    <cellStyle name="Comma 5 10 6 3" xfId="32985" xr:uid="{97EDC73B-7D8B-462F-B605-47C4D694A354}"/>
    <cellStyle name="Comma 5 10 7" xfId="11081" xr:uid="{93ED3181-1F5D-4F03-AF8A-DEDF7C5ABEA3}"/>
    <cellStyle name="Comma 5 10 7 2" xfId="47589" xr:uid="{F67253E7-1314-4489-8575-674B10FC8934}"/>
    <cellStyle name="Comma 5 10 7 3" xfId="29335" xr:uid="{595ED749-65FF-4686-8FE8-72903F36A9F9}"/>
    <cellStyle name="Comma 5 10 8" xfId="7431" xr:uid="{97CAE7B6-1622-4215-B335-CFD19E461F37}"/>
    <cellStyle name="Comma 5 10 8 2" xfId="43939" xr:uid="{F292FC3F-395E-4F9C-A75A-61E2CB6BD95B}"/>
    <cellStyle name="Comma 5 10 8 3" xfId="25685" xr:uid="{89C5BFB9-E22E-43CE-B79D-BB02885F62B6}"/>
    <cellStyle name="Comma 5 10 9" xfId="3781" xr:uid="{506C40FB-0F92-4C81-A854-B004451ABA5D}"/>
    <cellStyle name="Comma 5 10 9 2" xfId="40289" xr:uid="{B328EB39-2953-4857-8AB7-5952E9E98A3F}"/>
    <cellStyle name="Comma 5 10 9 3" xfId="22035" xr:uid="{9EB183F4-0EC1-4A05-9F81-157E687AC5F4}"/>
    <cellStyle name="Comma 5 11" xfId="2947" xr:uid="{7AA9B26E-A4E7-47C3-B89C-9B6A4BC6A0F6}"/>
    <cellStyle name="Comma 5 11 2" xfId="17547" xr:uid="{85527727-E49F-4092-9CDA-765B249FACA2}"/>
    <cellStyle name="Comma 5 11 2 2" xfId="54055" xr:uid="{CBE774D4-086C-4DD5-A0C1-F58DDA2514CA}"/>
    <cellStyle name="Comma 5 11 2 3" xfId="35801" xr:uid="{D929930A-5522-40BC-A87B-0D6A1E11D454}"/>
    <cellStyle name="Comma 5 11 3" xfId="13897" xr:uid="{5CA3D98D-FFE4-45BF-A5CA-A0188CB05E3C}"/>
    <cellStyle name="Comma 5 11 3 2" xfId="50405" xr:uid="{8FFA4D93-9511-47D7-97C1-61F0B9326882}"/>
    <cellStyle name="Comma 5 11 3 3" xfId="32151" xr:uid="{1C188FA8-63AF-449A-86FD-F19B655C8B37}"/>
    <cellStyle name="Comma 5 11 4" xfId="10247" xr:uid="{2617BAF4-06D6-42FD-BA13-4EC62B463328}"/>
    <cellStyle name="Comma 5 11 4 2" xfId="46755" xr:uid="{99D5FF39-C285-440D-8724-E880713C2EE3}"/>
    <cellStyle name="Comma 5 11 4 3" xfId="28501" xr:uid="{95807F9C-331D-43C2-98A9-3D608C5BD535}"/>
    <cellStyle name="Comma 5 11 5" xfId="6597" xr:uid="{497BC5FA-0127-4069-93CE-4A3A4151D9AF}"/>
    <cellStyle name="Comma 5 11 5 2" xfId="43105" xr:uid="{8ECAD689-B0EB-4BAC-B30F-AF4CC1ABA614}"/>
    <cellStyle name="Comma 5 11 5 3" xfId="24851" xr:uid="{411F6364-DCEB-419E-9657-5D72E35C63C2}"/>
    <cellStyle name="Comma 5 11 6" xfId="39455" xr:uid="{02FF9ED0-800C-47F9-86F3-6501AC88D9EF}"/>
    <cellStyle name="Comma 5 11 7" xfId="21201" xr:uid="{30A11509-2FAD-4867-BC2A-6D10ABC70FD0}"/>
    <cellStyle name="Comma 5 12" xfId="2217" xr:uid="{DDB3BF91-9F36-44D6-81B3-D9C08E2683EE}"/>
    <cellStyle name="Comma 5 12 2" xfId="16817" xr:uid="{C092761C-24F5-4A10-907D-D3127451AB54}"/>
    <cellStyle name="Comma 5 12 2 2" xfId="53325" xr:uid="{C75469A7-DB54-427B-9C0E-D45A91CB0E2D}"/>
    <cellStyle name="Comma 5 12 2 3" xfId="35071" xr:uid="{962C4844-8301-4DA8-ACD4-9B3A548FB3EB}"/>
    <cellStyle name="Comma 5 12 3" xfId="13167" xr:uid="{26AAE588-A2A1-4AD3-83F6-016D847FDEBC}"/>
    <cellStyle name="Comma 5 12 3 2" xfId="49675" xr:uid="{AB39343F-01F3-4A9B-BDBB-CA49FA1B2043}"/>
    <cellStyle name="Comma 5 12 3 3" xfId="31421" xr:uid="{366EEA37-BB25-40E1-8D55-3959B136265A}"/>
    <cellStyle name="Comma 5 12 4" xfId="9517" xr:uid="{B3DFF5EB-36FD-45D1-AD6C-9C1B7F02FC62}"/>
    <cellStyle name="Comma 5 12 4 2" xfId="46025" xr:uid="{846B29A9-8FE0-4743-A383-1FCA653CE77E}"/>
    <cellStyle name="Comma 5 12 4 3" xfId="27771" xr:uid="{2A5529EF-5FEF-4DDB-ACEF-F51D5C3F71FD}"/>
    <cellStyle name="Comma 5 12 5" xfId="5867" xr:uid="{8F125307-5402-4B24-85CC-6533E035FD47}"/>
    <cellStyle name="Comma 5 12 5 2" xfId="42375" xr:uid="{59BE9A15-7D5C-41E1-A9D3-AE0B1884EB55}"/>
    <cellStyle name="Comma 5 12 5 3" xfId="24121" xr:uid="{8BD685C0-B844-402F-B3B2-6901D47823A5}"/>
    <cellStyle name="Comma 5 12 6" xfId="38725" xr:uid="{2C23BCE5-1D34-45C8-94D0-E4245F42D3B4}"/>
    <cellStyle name="Comma 5 12 7" xfId="20471" xr:uid="{C68E5B2E-26B1-4B9B-B3B7-1C439E74E9AF}"/>
    <cellStyle name="Comma 5 13" xfId="1487" xr:uid="{0A0F5B9C-BF97-4710-A979-531213756BA9}"/>
    <cellStyle name="Comma 5 13 2" xfId="16087" xr:uid="{71089544-BB35-4AAE-8942-04C383330C11}"/>
    <cellStyle name="Comma 5 13 2 2" xfId="52595" xr:uid="{CD011F3A-D37A-4ACB-BBA2-CAEF78321404}"/>
    <cellStyle name="Comma 5 13 2 3" xfId="34341" xr:uid="{34C20DAA-B29B-4D93-9282-B1AC88F8ED62}"/>
    <cellStyle name="Comma 5 13 3" xfId="12437" xr:uid="{78B42BF5-8CDD-4C33-A880-58117EE13233}"/>
    <cellStyle name="Comma 5 13 3 2" xfId="48945" xr:uid="{13F1A5D9-DB39-4A9B-B7B7-EC4A9936C310}"/>
    <cellStyle name="Comma 5 13 3 3" xfId="30691" xr:uid="{B5257AC3-E8E9-4BD5-A343-B297EA08FD10}"/>
    <cellStyle name="Comma 5 13 4" xfId="8787" xr:uid="{E5D68583-0F95-4861-92D0-0508816787B5}"/>
    <cellStyle name="Comma 5 13 4 2" xfId="45295" xr:uid="{360038A4-21D6-474B-98A2-60E1101F5E26}"/>
    <cellStyle name="Comma 5 13 4 3" xfId="27041" xr:uid="{17C13FDE-80A3-4A74-8E84-5DE68212A0D2}"/>
    <cellStyle name="Comma 5 13 5" xfId="5137" xr:uid="{E2E56679-727D-40AA-95A8-AB082F3ECCFD}"/>
    <cellStyle name="Comma 5 13 5 2" xfId="41645" xr:uid="{CE33E596-3DF8-41C9-90A2-EE69EE923805}"/>
    <cellStyle name="Comma 5 13 5 3" xfId="23391" xr:uid="{4DA44887-36A5-4A14-B8E3-E4C921EC0CE4}"/>
    <cellStyle name="Comma 5 13 6" xfId="37995" xr:uid="{DBF69DA1-2E0E-469E-B901-B37F6AC0C23D}"/>
    <cellStyle name="Comma 5 13 7" xfId="19741" xr:uid="{4214329C-6EEA-4540-88A0-8BCCA0A92FA9}"/>
    <cellStyle name="Comma 5 14" xfId="757" xr:uid="{E54225F5-24FA-40CE-9317-51A714797385}"/>
    <cellStyle name="Comma 5 14 2" xfId="15357" xr:uid="{6F395333-4E2E-4B42-96FA-6F33B342881D}"/>
    <cellStyle name="Comma 5 14 2 2" xfId="51865" xr:uid="{DF67EE39-B163-46CF-9CD5-75591DECEE1D}"/>
    <cellStyle name="Comma 5 14 2 3" xfId="33611" xr:uid="{0C531BD5-43AA-4AA4-B342-83869FB213C3}"/>
    <cellStyle name="Comma 5 14 3" xfId="11707" xr:uid="{821DCC3A-CBA4-48F2-8182-CF2E13444937}"/>
    <cellStyle name="Comma 5 14 3 2" xfId="48215" xr:uid="{8212235E-22C9-496C-95BA-EF21F960D7E9}"/>
    <cellStyle name="Comma 5 14 3 3" xfId="29961" xr:uid="{7F479D3F-FAF0-415A-BBA7-3607EF5743F7}"/>
    <cellStyle name="Comma 5 14 4" xfId="8057" xr:uid="{62E6310A-C6BA-48D7-B575-076D63E19CCF}"/>
    <cellStyle name="Comma 5 14 4 2" xfId="44565" xr:uid="{0E68275D-E78B-428E-A96F-713D6F0D335D}"/>
    <cellStyle name="Comma 5 14 4 3" xfId="26311" xr:uid="{2F3BE4E1-B77B-4A2C-A2D6-51D35C6987F8}"/>
    <cellStyle name="Comma 5 14 5" xfId="4407" xr:uid="{C26530AB-8CF8-4146-895B-74C3BEAFCC2E}"/>
    <cellStyle name="Comma 5 14 5 2" xfId="40915" xr:uid="{04948684-0E35-4D5E-9564-71E3BFB09C30}"/>
    <cellStyle name="Comma 5 14 5 3" xfId="22661" xr:uid="{E3B7ED32-963F-4E87-82FC-D752F85349AB}"/>
    <cellStyle name="Comma 5 14 6" xfId="37265" xr:uid="{AB24F4CF-8BD2-460B-ABDC-73A9D906A349}"/>
    <cellStyle name="Comma 5 14 7" xfId="19011" xr:uid="{7D2453C7-17E5-47BC-BFBF-7C9C4195DB07}"/>
    <cellStyle name="Comma 5 15" xfId="14627" xr:uid="{30FAFDBD-E224-4406-9206-0245906BDB4E}"/>
    <cellStyle name="Comma 5 15 2" xfId="51135" xr:uid="{E2C954E6-94A2-423D-B5F9-5819E63D8D1E}"/>
    <cellStyle name="Comma 5 15 3" xfId="32881" xr:uid="{9DA81691-0CF7-468C-82E0-B0C9926C0440}"/>
    <cellStyle name="Comma 5 16" xfId="10977" xr:uid="{B104D8FC-B818-4CDB-BD2F-6CB564622C9E}"/>
    <cellStyle name="Comma 5 16 2" xfId="47485" xr:uid="{38343EFF-E864-4B31-9B99-F869116DF880}"/>
    <cellStyle name="Comma 5 16 3" xfId="29231" xr:uid="{A5ECEA83-8AE7-452A-AE60-096881268086}"/>
    <cellStyle name="Comma 5 17" xfId="7327" xr:uid="{1A76996A-F0AF-497A-804D-0DA4D5B4AF46}"/>
    <cellStyle name="Comma 5 17 2" xfId="43835" xr:uid="{EADCDC3E-3049-49A0-9525-C86CA5731DD8}"/>
    <cellStyle name="Comma 5 17 3" xfId="25581" xr:uid="{7249D396-F6D4-4887-871B-464D76DDCADE}"/>
    <cellStyle name="Comma 5 18" xfId="3677" xr:uid="{5F747B49-665E-4892-9A2A-D57C57E2D3A6}"/>
    <cellStyle name="Comma 5 18 2" xfId="40185" xr:uid="{7AB238A7-CEAE-4AA1-971A-8A3665CFE4D2}"/>
    <cellStyle name="Comma 5 18 3" xfId="21931" xr:uid="{286C2B0E-E5EB-4F48-92B6-7FD36596BA33}"/>
    <cellStyle name="Comma 5 19" xfId="36535" xr:uid="{A6AA61E2-B250-4FB5-9D54-DBEA30C55672}"/>
    <cellStyle name="Comma 5 2" xfId="34" xr:uid="{F5D58141-D7ED-46AA-BFE1-E66A3BAE9763}"/>
    <cellStyle name="Comma 5 2 10" xfId="2963" xr:uid="{D30CFFBC-B039-4F21-9B2D-58A50AF05099}"/>
    <cellStyle name="Comma 5 2 10 2" xfId="17563" xr:uid="{C048476C-7D4A-4316-8F1D-FD32A1233D16}"/>
    <cellStyle name="Comma 5 2 10 2 2" xfId="54071" xr:uid="{5CF5DAF5-D69A-47F9-AE2B-E555049EF488}"/>
    <cellStyle name="Comma 5 2 10 2 3" xfId="35817" xr:uid="{22F6DF78-719C-4716-9B4B-3A8B9D3C7376}"/>
    <cellStyle name="Comma 5 2 10 3" xfId="13913" xr:uid="{68C3D06B-DD86-4491-9CF8-4781DE73227D}"/>
    <cellStyle name="Comma 5 2 10 3 2" xfId="50421" xr:uid="{226C2D17-BC07-4CA5-94D7-71C8304475B2}"/>
    <cellStyle name="Comma 5 2 10 3 3" xfId="32167" xr:uid="{53217B2B-C785-4187-9DAE-26695CFDEBF8}"/>
    <cellStyle name="Comma 5 2 10 4" xfId="10263" xr:uid="{B5B68D57-3AE5-4CAF-9F65-BE1AFB294655}"/>
    <cellStyle name="Comma 5 2 10 4 2" xfId="46771" xr:uid="{110FF230-15BE-449F-ADEC-397330CECEC3}"/>
    <cellStyle name="Comma 5 2 10 4 3" xfId="28517" xr:uid="{8A9BA8CD-0DFA-4B89-8AFD-E2EE86365FD2}"/>
    <cellStyle name="Comma 5 2 10 5" xfId="6613" xr:uid="{BB4B7103-200A-4C03-A384-84E9D41D0D05}"/>
    <cellStyle name="Comma 5 2 10 5 2" xfId="43121" xr:uid="{2188FCC2-78FB-49FE-882B-E5BB7A0A3403}"/>
    <cellStyle name="Comma 5 2 10 5 3" xfId="24867" xr:uid="{BFD86618-2180-461D-86A9-845A2CC193F4}"/>
    <cellStyle name="Comma 5 2 10 6" xfId="39471" xr:uid="{6F3807F3-5FE5-4318-836C-3D8513F7F5DC}"/>
    <cellStyle name="Comma 5 2 10 7" xfId="21217" xr:uid="{96CDD26D-181F-4465-9AD6-64B480F58B36}"/>
    <cellStyle name="Comma 5 2 11" xfId="2233" xr:uid="{BD18DD7C-9EDF-4313-B32C-FD297B860623}"/>
    <cellStyle name="Comma 5 2 11 2" xfId="16833" xr:uid="{515246F4-A846-4C5D-ACE8-E9FF450F46F0}"/>
    <cellStyle name="Comma 5 2 11 2 2" xfId="53341" xr:uid="{9D0FFDFF-6E0D-47C3-85F6-DF54DD31E0A5}"/>
    <cellStyle name="Comma 5 2 11 2 3" xfId="35087" xr:uid="{2F3677B3-6596-457F-9C02-43FC040014BD}"/>
    <cellStyle name="Comma 5 2 11 3" xfId="13183" xr:uid="{158212C3-948E-4908-BA1F-25BB625E2057}"/>
    <cellStyle name="Comma 5 2 11 3 2" xfId="49691" xr:uid="{41CCB361-6D10-4637-8D0B-EEA645E7568C}"/>
    <cellStyle name="Comma 5 2 11 3 3" xfId="31437" xr:uid="{6A1FB03A-F668-4CD8-879A-BD3EB2CA2F27}"/>
    <cellStyle name="Comma 5 2 11 4" xfId="9533" xr:uid="{D368912D-B7CD-40DE-A9A9-F64452AD31B5}"/>
    <cellStyle name="Comma 5 2 11 4 2" xfId="46041" xr:uid="{4BC009C7-1F02-4BE5-A4A3-2D6BB04AF7D4}"/>
    <cellStyle name="Comma 5 2 11 4 3" xfId="27787" xr:uid="{566E8C55-5EF3-4ACF-99A6-2A7C37163396}"/>
    <cellStyle name="Comma 5 2 11 5" xfId="5883" xr:uid="{AB0446D0-543D-43D0-99FB-9D1F8BDBB165}"/>
    <cellStyle name="Comma 5 2 11 5 2" xfId="42391" xr:uid="{916D8A26-EB4D-4202-BFB3-7AEF6AD380B0}"/>
    <cellStyle name="Comma 5 2 11 5 3" xfId="24137" xr:uid="{00FDB1FB-E629-4410-A709-5C84C2997B15}"/>
    <cellStyle name="Comma 5 2 11 6" xfId="38741" xr:uid="{7CAFD960-8999-41BA-A8CB-D51373374F6C}"/>
    <cellStyle name="Comma 5 2 11 7" xfId="20487" xr:uid="{FB83E703-1A7E-4AB2-8002-E3A34AAA57B6}"/>
    <cellStyle name="Comma 5 2 12" xfId="1503" xr:uid="{BD55134F-FDD1-47A1-93E1-630C3DBAB0D3}"/>
    <cellStyle name="Comma 5 2 12 2" xfId="16103" xr:uid="{E7028A10-3B9B-45CE-AD8C-901CF50D20E3}"/>
    <cellStyle name="Comma 5 2 12 2 2" xfId="52611" xr:uid="{BCBC8F9B-7C84-47D0-9AB9-A026E2BE9CD2}"/>
    <cellStyle name="Comma 5 2 12 2 3" xfId="34357" xr:uid="{7D211EC9-384A-4E53-B4BE-43EB16109D5E}"/>
    <cellStyle name="Comma 5 2 12 3" xfId="12453" xr:uid="{2D03CA25-46FB-4749-9A5F-FAB5EBBB5C6F}"/>
    <cellStyle name="Comma 5 2 12 3 2" xfId="48961" xr:uid="{696CB572-FD35-4CC9-B52A-E81BA88F1196}"/>
    <cellStyle name="Comma 5 2 12 3 3" xfId="30707" xr:uid="{56A85A0F-A9A0-4867-9019-9DC57304EF90}"/>
    <cellStyle name="Comma 5 2 12 4" xfId="8803" xr:uid="{122CA736-8155-4B1D-BF8E-9DECA3BD9EFA}"/>
    <cellStyle name="Comma 5 2 12 4 2" xfId="45311" xr:uid="{74118C28-56FB-4DF8-B0A3-67A17FB2A9A9}"/>
    <cellStyle name="Comma 5 2 12 4 3" xfId="27057" xr:uid="{ABE106A0-2735-4891-B3A8-18D6D68FA3DB}"/>
    <cellStyle name="Comma 5 2 12 5" xfId="5153" xr:uid="{D60C8A37-8C51-43F5-8E4C-FDC23AD9B2A3}"/>
    <cellStyle name="Comma 5 2 12 5 2" xfId="41661" xr:uid="{25D19596-8CB4-46FB-AE41-5536AC51BBDF}"/>
    <cellStyle name="Comma 5 2 12 5 3" xfId="23407" xr:uid="{338D4F4E-DE37-45DC-99C0-62D9C21B1E65}"/>
    <cellStyle name="Comma 5 2 12 6" xfId="38011" xr:uid="{3FD98494-4C39-43EA-9128-E7D6F6FA6348}"/>
    <cellStyle name="Comma 5 2 12 7" xfId="19757" xr:uid="{3F455943-3659-4AFC-B408-877DE736A4B4}"/>
    <cellStyle name="Comma 5 2 13" xfId="773" xr:uid="{52611374-293D-48DE-A6EF-243B9E403D38}"/>
    <cellStyle name="Comma 5 2 13 2" xfId="15373" xr:uid="{9ABEEB6A-7A0E-4DBB-A0F3-817E60259F0A}"/>
    <cellStyle name="Comma 5 2 13 2 2" xfId="51881" xr:uid="{1F5334A1-8A17-446D-8B72-FA67CFEEE4CF}"/>
    <cellStyle name="Comma 5 2 13 2 3" xfId="33627" xr:uid="{158A9D5E-A16D-4F6E-B827-B575B631DB41}"/>
    <cellStyle name="Comma 5 2 13 3" xfId="11723" xr:uid="{CF0C4830-8BD5-446B-B11B-BA6AB5635FCC}"/>
    <cellStyle name="Comma 5 2 13 3 2" xfId="48231" xr:uid="{31DC9C75-15B2-4FC2-BB22-04EF13B0821E}"/>
    <cellStyle name="Comma 5 2 13 3 3" xfId="29977" xr:uid="{30534C6A-23C3-44E9-BF46-587F2B51CF05}"/>
    <cellStyle name="Comma 5 2 13 4" xfId="8073" xr:uid="{361E9A82-A384-48EF-AC87-6E67B7D08507}"/>
    <cellStyle name="Comma 5 2 13 4 2" xfId="44581" xr:uid="{DBD7DC1D-BD66-4807-92DF-07E284EF8C52}"/>
    <cellStyle name="Comma 5 2 13 4 3" xfId="26327" xr:uid="{AA0A562E-7AA2-4686-97D9-045B098E535D}"/>
    <cellStyle name="Comma 5 2 13 5" xfId="4423" xr:uid="{FC392DE5-00BD-4644-B5DC-486E1F3B5BB2}"/>
    <cellStyle name="Comma 5 2 13 5 2" xfId="40931" xr:uid="{CCB74CDC-0DD0-4B42-B46B-47FD85E2A386}"/>
    <cellStyle name="Comma 5 2 13 5 3" xfId="22677" xr:uid="{CA12A0AA-2D7A-405E-86DB-D81B60C541D8}"/>
    <cellStyle name="Comma 5 2 13 6" xfId="37281" xr:uid="{A387A1A2-C206-4CA3-90C7-3907F2EF79F5}"/>
    <cellStyle name="Comma 5 2 13 7" xfId="19027" xr:uid="{AE2BD97F-FFA3-4EBB-BED3-A542AEF00D0C}"/>
    <cellStyle name="Comma 5 2 14" xfId="14643" xr:uid="{088DB90A-72E2-47D0-A9D2-C6678355EBD1}"/>
    <cellStyle name="Comma 5 2 14 2" xfId="51151" xr:uid="{7DA06D05-FB0A-4176-BECF-6973ED653452}"/>
    <cellStyle name="Comma 5 2 14 3" xfId="32897" xr:uid="{9F98E7B3-4DB6-4EFE-B9F3-B2AA70F2BE9E}"/>
    <cellStyle name="Comma 5 2 15" xfId="10993" xr:uid="{883CFEBF-C61B-47FC-8AFF-A65DCE4AA3FC}"/>
    <cellStyle name="Comma 5 2 15 2" xfId="47501" xr:uid="{BDCFE092-C1CD-4BDD-B9CE-07320FADBB69}"/>
    <cellStyle name="Comma 5 2 15 3" xfId="29247" xr:uid="{E10DB910-6AF1-4D10-B4A6-A3DC1457AD36}"/>
    <cellStyle name="Comma 5 2 16" xfId="7343" xr:uid="{6D4208BD-9283-4E0E-A6EA-3FFF5DDEABE3}"/>
    <cellStyle name="Comma 5 2 16 2" xfId="43851" xr:uid="{1C23FA09-2C8B-4EEF-9446-048DBA612C9C}"/>
    <cellStyle name="Comma 5 2 16 3" xfId="25597" xr:uid="{7AD5C264-758B-4299-A271-465F857851B3}"/>
    <cellStyle name="Comma 5 2 17" xfId="3693" xr:uid="{0645B0E3-DA3A-4D4C-95AA-05C237601909}"/>
    <cellStyle name="Comma 5 2 17 2" xfId="40201" xr:uid="{1D8748F7-5A32-42AC-AD4E-D191720851E2}"/>
    <cellStyle name="Comma 5 2 17 3" xfId="21947" xr:uid="{ACB7067F-04B3-45A4-958A-14E7E78F62F7}"/>
    <cellStyle name="Comma 5 2 18" xfId="36551" xr:uid="{16435562-8B18-4D6E-91B3-0FB347A9D152}"/>
    <cellStyle name="Comma 5 2 19" xfId="18297" xr:uid="{714D52D5-84B9-4B81-A264-97C5A23AD138}"/>
    <cellStyle name="Comma 5 2 2" xfId="108" xr:uid="{91AAD47D-CD2B-470E-9A33-8531F6D2C9B6}"/>
    <cellStyle name="Comma 5 2 2 10" xfId="1567" xr:uid="{702550E6-C4C0-40FF-BF30-6F5106DAD653}"/>
    <cellStyle name="Comma 5 2 2 10 2" xfId="16167" xr:uid="{365552F3-832C-4260-95F6-86125E1A85A7}"/>
    <cellStyle name="Comma 5 2 2 10 2 2" xfId="52675" xr:uid="{53D2A9DE-C422-404A-8983-8F97D5B8A0A3}"/>
    <cellStyle name="Comma 5 2 2 10 2 3" xfId="34421" xr:uid="{DD1AC34B-CCF9-48D8-84A7-A43743632EB0}"/>
    <cellStyle name="Comma 5 2 2 10 3" xfId="12517" xr:uid="{70E46FAD-7E7D-45A0-A781-2E3E468776C6}"/>
    <cellStyle name="Comma 5 2 2 10 3 2" xfId="49025" xr:uid="{19627756-74F2-4525-B20D-B006D9A3DA84}"/>
    <cellStyle name="Comma 5 2 2 10 3 3" xfId="30771" xr:uid="{20088EDC-FE6B-4FB4-958D-90B0AD43B01D}"/>
    <cellStyle name="Comma 5 2 2 10 4" xfId="8867" xr:uid="{CCC641EB-36C5-4DB2-972F-71315F5DE6DA}"/>
    <cellStyle name="Comma 5 2 2 10 4 2" xfId="45375" xr:uid="{83D3597A-78E9-4337-9C81-5E01D08D5977}"/>
    <cellStyle name="Comma 5 2 2 10 4 3" xfId="27121" xr:uid="{76406B03-BD8D-48C5-B95C-E07A977B2E80}"/>
    <cellStyle name="Comma 5 2 2 10 5" xfId="5217" xr:uid="{16152CAD-EF8E-40E4-835F-37D98A11B012}"/>
    <cellStyle name="Comma 5 2 2 10 5 2" xfId="41725" xr:uid="{718F2A9D-9F48-48D3-9A27-ADD3D775EAFA}"/>
    <cellStyle name="Comma 5 2 2 10 5 3" xfId="23471" xr:uid="{FDDE00D5-7A37-4265-9CA8-C2B0019FABE1}"/>
    <cellStyle name="Comma 5 2 2 10 6" xfId="38075" xr:uid="{54168737-96FE-4E3A-9DA4-BC387F61C169}"/>
    <cellStyle name="Comma 5 2 2 10 7" xfId="19821" xr:uid="{EAEB4212-C9CD-433B-B70F-DADCD19E9157}"/>
    <cellStyle name="Comma 5 2 2 11" xfId="837" xr:uid="{8DB3830E-F69C-4E23-9FF2-69EA34287EC8}"/>
    <cellStyle name="Comma 5 2 2 11 2" xfId="15437" xr:uid="{E4C3CDE8-C86D-4745-91C1-8E08752C947E}"/>
    <cellStyle name="Comma 5 2 2 11 2 2" xfId="51945" xr:uid="{891C9AFE-EC22-46AD-BA24-E3EE0A097110}"/>
    <cellStyle name="Comma 5 2 2 11 2 3" xfId="33691" xr:uid="{DD798A43-8BFD-4506-8B63-D88D11F3F0EF}"/>
    <cellStyle name="Comma 5 2 2 11 3" xfId="11787" xr:uid="{9312EEF6-897A-444C-AE00-D73655C64D8F}"/>
    <cellStyle name="Comma 5 2 2 11 3 2" xfId="48295" xr:uid="{CB6E692B-2BCA-481C-A9A2-BE7063E80718}"/>
    <cellStyle name="Comma 5 2 2 11 3 3" xfId="30041" xr:uid="{A459249E-0CFE-4EF9-A5D9-10C93641CFB8}"/>
    <cellStyle name="Comma 5 2 2 11 4" xfId="8137" xr:uid="{31BCABE7-CD6F-47FA-A750-17A3A1F023F0}"/>
    <cellStyle name="Comma 5 2 2 11 4 2" xfId="44645" xr:uid="{73F74D6B-6FB8-41FA-B52B-A25DB711270C}"/>
    <cellStyle name="Comma 5 2 2 11 4 3" xfId="26391" xr:uid="{F29D042B-E0A9-4112-B254-55B95D700D4D}"/>
    <cellStyle name="Comma 5 2 2 11 5" xfId="4487" xr:uid="{1741364D-D27A-4A58-9B30-77C481D46E0F}"/>
    <cellStyle name="Comma 5 2 2 11 5 2" xfId="40995" xr:uid="{C8718C6F-EFA0-437E-908C-E5A868260806}"/>
    <cellStyle name="Comma 5 2 2 11 5 3" xfId="22741" xr:uid="{DEA9DFD9-B0B1-4924-9AD4-C3A34C90B35A}"/>
    <cellStyle name="Comma 5 2 2 11 6" xfId="37345" xr:uid="{6E531A0E-485D-455B-AAF8-5AC80BC7A4F3}"/>
    <cellStyle name="Comma 5 2 2 11 7" xfId="19091" xr:uid="{EE860A17-DB43-4DB7-95AA-0325A90D7A0A}"/>
    <cellStyle name="Comma 5 2 2 12" xfId="14707" xr:uid="{4CA140EB-6D77-40EA-ABCF-EADB77002BD8}"/>
    <cellStyle name="Comma 5 2 2 12 2" xfId="51215" xr:uid="{923A32D3-90F0-4E52-8CA2-D52EEDB8CBE6}"/>
    <cellStyle name="Comma 5 2 2 12 3" xfId="32961" xr:uid="{54C43196-B36E-4320-895C-0D41C8619A4D}"/>
    <cellStyle name="Comma 5 2 2 13" xfId="11057" xr:uid="{44155145-4A6F-482D-84AD-98ACD769C145}"/>
    <cellStyle name="Comma 5 2 2 13 2" xfId="47565" xr:uid="{1EA620E5-0FE9-46FB-9F21-F13F627DD42E}"/>
    <cellStyle name="Comma 5 2 2 13 3" xfId="29311" xr:uid="{C425DDC0-9C26-4489-BEA0-701077442823}"/>
    <cellStyle name="Comma 5 2 2 14" xfId="7407" xr:uid="{47586BF8-7526-434E-8E8B-BF6A21C452E0}"/>
    <cellStyle name="Comma 5 2 2 14 2" xfId="43915" xr:uid="{7BB26F71-8CC1-4773-A8ED-D1A3A091D169}"/>
    <cellStyle name="Comma 5 2 2 14 3" xfId="25661" xr:uid="{D6084C17-4F89-45C6-9D3F-4E64DB54B641}"/>
    <cellStyle name="Comma 5 2 2 15" xfId="3757" xr:uid="{3FF96AEE-5825-4254-9A8E-7C9D699BBD0C}"/>
    <cellStyle name="Comma 5 2 2 15 2" xfId="40265" xr:uid="{9FFE7DBA-1598-4B1F-9970-0046B42770A5}"/>
    <cellStyle name="Comma 5 2 2 15 3" xfId="22011" xr:uid="{AE85A991-B621-4BB0-8F70-95CA848CF326}"/>
    <cellStyle name="Comma 5 2 2 16" xfId="36615" xr:uid="{C35DD047-CD5C-418B-8B0E-223F215F56B7}"/>
    <cellStyle name="Comma 5 2 2 17" xfId="18361" xr:uid="{9F93C872-3FB2-4894-A508-F3BFF71F1600}"/>
    <cellStyle name="Comma 5 2 2 2" xfId="731" xr:uid="{E9D734A7-1751-4FE0-BCC1-2574DEDFC81A}"/>
    <cellStyle name="Comma 5 2 2 2 10" xfId="37239" xr:uid="{C31A2510-07EF-4DBF-9C12-4DD7BE27FDAF}"/>
    <cellStyle name="Comma 5 2 2 2 11" xfId="18985" xr:uid="{343166D2-F64B-4942-9791-2AAB14C81AA8}"/>
    <cellStyle name="Comma 5 2 2 2 2" xfId="3651" xr:uid="{2E7C52FC-A3AF-4934-85A4-176DEB437528}"/>
    <cellStyle name="Comma 5 2 2 2 2 2" xfId="18251" xr:uid="{3C8753C1-7617-499B-9337-09CA1A2589D5}"/>
    <cellStyle name="Comma 5 2 2 2 2 2 2" xfId="54759" xr:uid="{714C80D1-E53F-484B-AB7D-01E3BA773EC2}"/>
    <cellStyle name="Comma 5 2 2 2 2 2 3" xfId="36505" xr:uid="{E75D3DE4-9E80-4913-A676-4B4B6DB26F86}"/>
    <cellStyle name="Comma 5 2 2 2 2 3" xfId="14601" xr:uid="{7A018799-1072-4CA1-91F0-C39E84A8CB05}"/>
    <cellStyle name="Comma 5 2 2 2 2 3 2" xfId="51109" xr:uid="{6B7DBAA4-2B52-43E4-81BB-8328E11A0547}"/>
    <cellStyle name="Comma 5 2 2 2 2 3 3" xfId="32855" xr:uid="{E35273FF-B6B3-4EC8-99A4-E220DC4E9E2B}"/>
    <cellStyle name="Comma 5 2 2 2 2 4" xfId="10951" xr:uid="{80CD39FD-70B9-43C4-AD3A-264A6E0B6B86}"/>
    <cellStyle name="Comma 5 2 2 2 2 4 2" xfId="47459" xr:uid="{E3C23B46-960B-48DF-88C1-5035C9135BC3}"/>
    <cellStyle name="Comma 5 2 2 2 2 4 3" xfId="29205" xr:uid="{88B8AC0A-4A9C-4441-88E0-2B2EB07963CA}"/>
    <cellStyle name="Comma 5 2 2 2 2 5" xfId="7301" xr:uid="{3CB1D7EE-E50A-4630-8DE0-FA27B375EECB}"/>
    <cellStyle name="Comma 5 2 2 2 2 5 2" xfId="43809" xr:uid="{3AE55F18-BC6D-4D68-8B64-23FE3B26AA31}"/>
    <cellStyle name="Comma 5 2 2 2 2 5 3" xfId="25555" xr:uid="{83CF7E10-6B93-4553-A72F-BA8734A9866E}"/>
    <cellStyle name="Comma 5 2 2 2 2 6" xfId="40159" xr:uid="{D85FF895-3748-4E98-AAD1-B093D967102C}"/>
    <cellStyle name="Comma 5 2 2 2 2 7" xfId="21905" xr:uid="{3F437603-D480-421B-A643-0901431BD87D}"/>
    <cellStyle name="Comma 5 2 2 2 3" xfId="2921" xr:uid="{A7A87987-A9F7-4670-AAB0-F05AE0D3EAC3}"/>
    <cellStyle name="Comma 5 2 2 2 3 2" xfId="17521" xr:uid="{9CCBA537-BE4B-438D-AB40-CF4F7D15CFB2}"/>
    <cellStyle name="Comma 5 2 2 2 3 2 2" xfId="54029" xr:uid="{82167FCF-EFBA-40D6-B4D8-110B5CE88AF7}"/>
    <cellStyle name="Comma 5 2 2 2 3 2 3" xfId="35775" xr:uid="{C5A4FB77-4257-4310-AC0F-25A90272570D}"/>
    <cellStyle name="Comma 5 2 2 2 3 3" xfId="13871" xr:uid="{59E02CA7-94E8-4C46-9D27-E7A09B97B646}"/>
    <cellStyle name="Comma 5 2 2 2 3 3 2" xfId="50379" xr:uid="{90CA0CAC-CC37-4006-BEEC-18E44A418AD2}"/>
    <cellStyle name="Comma 5 2 2 2 3 3 3" xfId="32125" xr:uid="{6C6C8C5F-A55F-4AA5-B7E3-0031DF0BB0C4}"/>
    <cellStyle name="Comma 5 2 2 2 3 4" xfId="10221" xr:uid="{035C980F-FF83-4A8B-8CDA-CA8DA706310C}"/>
    <cellStyle name="Comma 5 2 2 2 3 4 2" xfId="46729" xr:uid="{2B761728-C5AB-43AC-9C2B-41BD4E62598F}"/>
    <cellStyle name="Comma 5 2 2 2 3 4 3" xfId="28475" xr:uid="{CBBD4A19-43C9-4458-9931-AEE415595D3E}"/>
    <cellStyle name="Comma 5 2 2 2 3 5" xfId="6571" xr:uid="{69555444-8F67-4C64-8F12-9D659D7FBB99}"/>
    <cellStyle name="Comma 5 2 2 2 3 5 2" xfId="43079" xr:uid="{28A8F570-66AC-49C5-AD2F-90F2205B4F4B}"/>
    <cellStyle name="Comma 5 2 2 2 3 5 3" xfId="24825" xr:uid="{503FDAFD-34C7-4DA9-A173-26FDF57E3F5C}"/>
    <cellStyle name="Comma 5 2 2 2 3 6" xfId="39429" xr:uid="{360CF795-1DDB-4BAD-94AB-4931472C8233}"/>
    <cellStyle name="Comma 5 2 2 2 3 7" xfId="21175" xr:uid="{D8225B9D-0D45-4109-9A39-328D5220269B}"/>
    <cellStyle name="Comma 5 2 2 2 4" xfId="2191" xr:uid="{24553342-A8D1-4B0E-B5E7-4E377BB347DA}"/>
    <cellStyle name="Comma 5 2 2 2 4 2" xfId="16791" xr:uid="{5A2357EE-60E4-4C81-9F83-3A077AE957E7}"/>
    <cellStyle name="Comma 5 2 2 2 4 2 2" xfId="53299" xr:uid="{A86B2FCD-CD0F-4B60-B297-EF0BF75DE837}"/>
    <cellStyle name="Comma 5 2 2 2 4 2 3" xfId="35045" xr:uid="{2BAB7482-79D1-4A66-940B-56DC0C023830}"/>
    <cellStyle name="Comma 5 2 2 2 4 3" xfId="13141" xr:uid="{74EA2957-07E1-43CF-9A06-DE5887863CAE}"/>
    <cellStyle name="Comma 5 2 2 2 4 3 2" xfId="49649" xr:uid="{AE25DA9F-34E0-453B-A58A-7B4E1CE12C1F}"/>
    <cellStyle name="Comma 5 2 2 2 4 3 3" xfId="31395" xr:uid="{3439F7D6-AA01-4720-865F-31376C514648}"/>
    <cellStyle name="Comma 5 2 2 2 4 4" xfId="9491" xr:uid="{CE2BAFBA-2410-4A43-8BD4-B88699670B26}"/>
    <cellStyle name="Comma 5 2 2 2 4 4 2" xfId="45999" xr:uid="{F848F394-D75B-4511-A313-DBF6D5C1FA89}"/>
    <cellStyle name="Comma 5 2 2 2 4 4 3" xfId="27745" xr:uid="{5387324E-5D85-474D-A8E5-74A0E8CE0608}"/>
    <cellStyle name="Comma 5 2 2 2 4 5" xfId="5841" xr:uid="{64D6AB13-D9FE-4B79-ABC5-31D3D47F8ED9}"/>
    <cellStyle name="Comma 5 2 2 2 4 5 2" xfId="42349" xr:uid="{8C8EAA3C-CA45-46FC-8126-1DA6813387C1}"/>
    <cellStyle name="Comma 5 2 2 2 4 5 3" xfId="24095" xr:uid="{A681DAB5-197E-4919-82C8-132D4D8D840C}"/>
    <cellStyle name="Comma 5 2 2 2 4 6" xfId="38699" xr:uid="{55929AAD-48D8-4F7F-9B13-F691EB6BB0CD}"/>
    <cellStyle name="Comma 5 2 2 2 4 7" xfId="20445" xr:uid="{C5C81CEE-C72A-46CF-8DE4-990D5E3F0F1D}"/>
    <cellStyle name="Comma 5 2 2 2 5" xfId="1461" xr:uid="{BDBB1632-F263-4AF9-9504-A0E8FD5CD600}"/>
    <cellStyle name="Comma 5 2 2 2 5 2" xfId="16061" xr:uid="{D96E4671-08D1-47B7-9329-9A95C053EF11}"/>
    <cellStyle name="Comma 5 2 2 2 5 2 2" xfId="52569" xr:uid="{A2698F44-260A-4AB1-A73C-9573805FC0CB}"/>
    <cellStyle name="Comma 5 2 2 2 5 2 3" xfId="34315" xr:uid="{C8157011-9831-4AFF-A230-849D50EB99A6}"/>
    <cellStyle name="Comma 5 2 2 2 5 3" xfId="12411" xr:uid="{521FF07E-1488-40E0-A473-ECEF4201DCF2}"/>
    <cellStyle name="Comma 5 2 2 2 5 3 2" xfId="48919" xr:uid="{B1AEE6C7-825B-49FD-9B61-4F4217505958}"/>
    <cellStyle name="Comma 5 2 2 2 5 3 3" xfId="30665" xr:uid="{BDA9A0D8-FE1D-427A-A8BF-1B57ABA2D225}"/>
    <cellStyle name="Comma 5 2 2 2 5 4" xfId="8761" xr:uid="{7B609987-FEA7-4653-8BE3-DE9F6BB4E2D3}"/>
    <cellStyle name="Comma 5 2 2 2 5 4 2" xfId="45269" xr:uid="{50EB9510-2AC3-49E6-8C93-26F3CC8A6B5B}"/>
    <cellStyle name="Comma 5 2 2 2 5 4 3" xfId="27015" xr:uid="{9F7CA95C-4902-414A-83CB-9BF558C47E27}"/>
    <cellStyle name="Comma 5 2 2 2 5 5" xfId="5111" xr:uid="{3D744CEE-8CD8-4C5E-A597-E8B663F8F403}"/>
    <cellStyle name="Comma 5 2 2 2 5 5 2" xfId="41619" xr:uid="{109BF645-6690-4739-9B8D-181E17EE4221}"/>
    <cellStyle name="Comma 5 2 2 2 5 5 3" xfId="23365" xr:uid="{3C0BAB18-3D09-4A60-8062-4F05414868D2}"/>
    <cellStyle name="Comma 5 2 2 2 5 6" xfId="37969" xr:uid="{8C468FE4-837A-4E25-922A-72872CAC03B4}"/>
    <cellStyle name="Comma 5 2 2 2 5 7" xfId="19715" xr:uid="{C1B6903B-7589-4FB8-A027-0C9B57631F70}"/>
    <cellStyle name="Comma 5 2 2 2 6" xfId="15331" xr:uid="{F5E7D5C9-E310-4A5D-84B0-406E2EEE4777}"/>
    <cellStyle name="Comma 5 2 2 2 6 2" xfId="51839" xr:uid="{568E25B0-363E-4342-9875-EEE7E66C63CF}"/>
    <cellStyle name="Comma 5 2 2 2 6 3" xfId="33585" xr:uid="{C2987FF6-F935-42C1-95E1-A6D90CF48B3A}"/>
    <cellStyle name="Comma 5 2 2 2 7" xfId="11681" xr:uid="{AD6CECC8-2689-476A-8B41-418DDF22E293}"/>
    <cellStyle name="Comma 5 2 2 2 7 2" xfId="48189" xr:uid="{49E7A876-C460-421E-9A99-F2083C19967A}"/>
    <cellStyle name="Comma 5 2 2 2 7 3" xfId="29935" xr:uid="{33FD1CD9-0B12-489C-B670-9BA239B51B96}"/>
    <cellStyle name="Comma 5 2 2 2 8" xfId="8031" xr:uid="{BA874D32-D8DF-458D-8E4C-8316FCD0EAEC}"/>
    <cellStyle name="Comma 5 2 2 2 8 2" xfId="44539" xr:uid="{0BB6F358-8EA0-47DA-B7EB-CF26B41FC301}"/>
    <cellStyle name="Comma 5 2 2 2 8 3" xfId="26285" xr:uid="{F229D947-DB96-4DC9-89BE-13B71AA74713}"/>
    <cellStyle name="Comma 5 2 2 2 9" xfId="4381" xr:uid="{ABE1B63A-CA75-48B8-AA93-D297692BD336}"/>
    <cellStyle name="Comma 5 2 2 2 9 2" xfId="40889" xr:uid="{9F4397FD-90E6-418F-8518-A0E3061B9CF2}"/>
    <cellStyle name="Comma 5 2 2 2 9 3" xfId="22635" xr:uid="{EE76ED58-DBDF-4F21-A5A4-3DC2B5B6416A}"/>
    <cellStyle name="Comma 5 2 2 3" xfId="627" xr:uid="{8E985EAD-0779-461B-9818-67DE8AD919D6}"/>
    <cellStyle name="Comma 5 2 2 3 10" xfId="37135" xr:uid="{00E30CF3-8A23-4E18-B541-C2638138AE77}"/>
    <cellStyle name="Comma 5 2 2 3 11" xfId="18881" xr:uid="{C94BEB32-222B-448B-91E7-79F4F6A99721}"/>
    <cellStyle name="Comma 5 2 2 3 2" xfId="3547" xr:uid="{1C700A48-1FA8-4CC6-9408-9EAB70D8EEE9}"/>
    <cellStyle name="Comma 5 2 2 3 2 2" xfId="18147" xr:uid="{31F99F44-7A3C-4C74-B917-78E186995E54}"/>
    <cellStyle name="Comma 5 2 2 3 2 2 2" xfId="54655" xr:uid="{CE79DD82-CE38-495D-9E32-34024DF24400}"/>
    <cellStyle name="Comma 5 2 2 3 2 2 3" xfId="36401" xr:uid="{415926F3-2D31-40C8-9EA6-451019FFB801}"/>
    <cellStyle name="Comma 5 2 2 3 2 3" xfId="14497" xr:uid="{93E23810-B855-49E2-9929-E36BE53AAD71}"/>
    <cellStyle name="Comma 5 2 2 3 2 3 2" xfId="51005" xr:uid="{DE994209-511E-4A0B-A9FE-090B8BD2FB55}"/>
    <cellStyle name="Comma 5 2 2 3 2 3 3" xfId="32751" xr:uid="{4A640A6E-E66B-43E1-9E72-0621AFF77E3C}"/>
    <cellStyle name="Comma 5 2 2 3 2 4" xfId="10847" xr:uid="{9EC0B074-7304-4A6A-BAB6-4922E304CD4B}"/>
    <cellStyle name="Comma 5 2 2 3 2 4 2" xfId="47355" xr:uid="{5A346CEF-DD0A-494C-B632-4A9C37EA84E8}"/>
    <cellStyle name="Comma 5 2 2 3 2 4 3" xfId="29101" xr:uid="{625468CE-DBC1-4B7F-A45C-EBAD1ADDCFB8}"/>
    <cellStyle name="Comma 5 2 2 3 2 5" xfId="7197" xr:uid="{E3756404-0F2F-4662-986D-B270D512860F}"/>
    <cellStyle name="Comma 5 2 2 3 2 5 2" xfId="43705" xr:uid="{00E51B62-5FB0-4523-9E48-BE5240068359}"/>
    <cellStyle name="Comma 5 2 2 3 2 5 3" xfId="25451" xr:uid="{316388AD-9F0C-4B8B-A3CF-4681A59500F2}"/>
    <cellStyle name="Comma 5 2 2 3 2 6" xfId="40055" xr:uid="{C16B7A6B-9F10-4DEB-9A25-F988DD7F4E52}"/>
    <cellStyle name="Comma 5 2 2 3 2 7" xfId="21801" xr:uid="{669A9482-CF38-4097-BE8B-438541A19906}"/>
    <cellStyle name="Comma 5 2 2 3 3" xfId="2817" xr:uid="{C133FA4F-464E-44B7-B185-C9B0A9224CE0}"/>
    <cellStyle name="Comma 5 2 2 3 3 2" xfId="17417" xr:uid="{1095A037-F81B-4352-BF55-A39C01CE9B9A}"/>
    <cellStyle name="Comma 5 2 2 3 3 2 2" xfId="53925" xr:uid="{562EC0BA-74CA-46A0-808B-76528BF995C2}"/>
    <cellStyle name="Comma 5 2 2 3 3 2 3" xfId="35671" xr:uid="{8D7F741E-875C-4D21-8E25-597BD41E32E7}"/>
    <cellStyle name="Comma 5 2 2 3 3 3" xfId="13767" xr:uid="{1DF79A6D-AB5F-4BD9-A28B-07DA4FCB53D7}"/>
    <cellStyle name="Comma 5 2 2 3 3 3 2" xfId="50275" xr:uid="{60A05F5A-E488-456F-BED9-E0693A71DA62}"/>
    <cellStyle name="Comma 5 2 2 3 3 3 3" xfId="32021" xr:uid="{D9211DCC-4763-4F94-BAFC-A7A8CDAD5B6B}"/>
    <cellStyle name="Comma 5 2 2 3 3 4" xfId="10117" xr:uid="{4A9A0FC4-CA99-43B2-A106-9AF92AD0EE9F}"/>
    <cellStyle name="Comma 5 2 2 3 3 4 2" xfId="46625" xr:uid="{69D4BF1F-861F-4C13-A15A-F3C30A6C9728}"/>
    <cellStyle name="Comma 5 2 2 3 3 4 3" xfId="28371" xr:uid="{BE5567E4-8E77-404F-A8F1-F2529B5CF29A}"/>
    <cellStyle name="Comma 5 2 2 3 3 5" xfId="6467" xr:uid="{3DDC796F-6E55-465D-AF52-1D57586E8688}"/>
    <cellStyle name="Comma 5 2 2 3 3 5 2" xfId="42975" xr:uid="{C0C627DD-20B5-4BB4-892A-BC1CE21BE12D}"/>
    <cellStyle name="Comma 5 2 2 3 3 5 3" xfId="24721" xr:uid="{F2BF2F6B-5B63-4EF0-90F5-D7571C14C985}"/>
    <cellStyle name="Comma 5 2 2 3 3 6" xfId="39325" xr:uid="{34CC7A29-6403-476F-BB04-98F68127D3F8}"/>
    <cellStyle name="Comma 5 2 2 3 3 7" xfId="21071" xr:uid="{CDF3A49F-D8B8-442D-9076-8DAEAE46174F}"/>
    <cellStyle name="Comma 5 2 2 3 4" xfId="2087" xr:uid="{2DA5D290-5FE2-4DC4-BA6A-3FA330ECD8F8}"/>
    <cellStyle name="Comma 5 2 2 3 4 2" xfId="16687" xr:uid="{5A32D8AB-993E-47C1-80F9-D28F0AFD4989}"/>
    <cellStyle name="Comma 5 2 2 3 4 2 2" xfId="53195" xr:uid="{DF307895-041D-42FB-B2A2-32F3F8EB070D}"/>
    <cellStyle name="Comma 5 2 2 3 4 2 3" xfId="34941" xr:uid="{06247FC9-F934-4B4B-A76F-AE8D4A108C28}"/>
    <cellStyle name="Comma 5 2 2 3 4 3" xfId="13037" xr:uid="{240AF066-9268-41CA-AA3B-A113A9A55C2D}"/>
    <cellStyle name="Comma 5 2 2 3 4 3 2" xfId="49545" xr:uid="{85430190-2941-472A-8C77-F4A0121EB2CB}"/>
    <cellStyle name="Comma 5 2 2 3 4 3 3" xfId="31291" xr:uid="{9CB7CDB8-F914-4E98-B1CB-D7D6FDFAFFD3}"/>
    <cellStyle name="Comma 5 2 2 3 4 4" xfId="9387" xr:uid="{6F6440D8-271E-4D60-86C9-61422F9CDCE0}"/>
    <cellStyle name="Comma 5 2 2 3 4 4 2" xfId="45895" xr:uid="{4F2BC164-FB56-441F-82F5-D457B0CB627F}"/>
    <cellStyle name="Comma 5 2 2 3 4 4 3" xfId="27641" xr:uid="{8E1ABC02-7951-4A76-AC79-36ECAD76FEEF}"/>
    <cellStyle name="Comma 5 2 2 3 4 5" xfId="5737" xr:uid="{FD7AF274-D083-4AB1-861D-1262FB82B948}"/>
    <cellStyle name="Comma 5 2 2 3 4 5 2" xfId="42245" xr:uid="{59101A07-3887-4B5F-988F-969CC74FC58D}"/>
    <cellStyle name="Comma 5 2 2 3 4 5 3" xfId="23991" xr:uid="{BBAFE92D-D0CF-45CD-8181-B6093CE80FF1}"/>
    <cellStyle name="Comma 5 2 2 3 4 6" xfId="38595" xr:uid="{39F7D46A-6C4F-451C-A4DA-106B4F18634E}"/>
    <cellStyle name="Comma 5 2 2 3 4 7" xfId="20341" xr:uid="{71D4DC5D-0BA9-41CE-BA50-EAFC02AF8767}"/>
    <cellStyle name="Comma 5 2 2 3 5" xfId="1357" xr:uid="{B8D993D1-298B-4AE6-A9CE-D969586BB12F}"/>
    <cellStyle name="Comma 5 2 2 3 5 2" xfId="15957" xr:uid="{5648BE18-B88A-4B33-9733-3A2280CEFC53}"/>
    <cellStyle name="Comma 5 2 2 3 5 2 2" xfId="52465" xr:uid="{0C3C2837-E8CB-4BAB-BF3B-A69AA4EA8E4F}"/>
    <cellStyle name="Comma 5 2 2 3 5 2 3" xfId="34211" xr:uid="{A9895970-8427-4183-82CA-C64C79021458}"/>
    <cellStyle name="Comma 5 2 2 3 5 3" xfId="12307" xr:uid="{C4B8E240-D8E6-4FBE-94A0-412BA5E2557B}"/>
    <cellStyle name="Comma 5 2 2 3 5 3 2" xfId="48815" xr:uid="{F562B118-3967-4A64-BB64-BF2E2C4ACAAA}"/>
    <cellStyle name="Comma 5 2 2 3 5 3 3" xfId="30561" xr:uid="{1758C955-A72F-4A0E-90FD-FC93610208C9}"/>
    <cellStyle name="Comma 5 2 2 3 5 4" xfId="8657" xr:uid="{95AF8609-43CC-4BA8-90D9-4F9DD62F8E33}"/>
    <cellStyle name="Comma 5 2 2 3 5 4 2" xfId="45165" xr:uid="{A1EAF5F4-E34D-4EAF-84AA-FBB8133299BF}"/>
    <cellStyle name="Comma 5 2 2 3 5 4 3" xfId="26911" xr:uid="{07DBC52F-461B-4175-9521-CEB94ED22745}"/>
    <cellStyle name="Comma 5 2 2 3 5 5" xfId="5007" xr:uid="{E61FAA72-3C9A-4222-A882-7745E516E7C1}"/>
    <cellStyle name="Comma 5 2 2 3 5 5 2" xfId="41515" xr:uid="{69E035DB-B7B2-47E5-959C-DACB19262F05}"/>
    <cellStyle name="Comma 5 2 2 3 5 5 3" xfId="23261" xr:uid="{DCF92FA7-1A1E-4110-9A47-06EAFF064904}"/>
    <cellStyle name="Comma 5 2 2 3 5 6" xfId="37865" xr:uid="{579B7960-012E-4B78-8225-6E3442DE4512}"/>
    <cellStyle name="Comma 5 2 2 3 5 7" xfId="19611" xr:uid="{13295A6B-2DE3-4F24-AF45-CA74D26D23EB}"/>
    <cellStyle name="Comma 5 2 2 3 6" xfId="15227" xr:uid="{FAD1245B-C943-438E-9012-F74D972D3EC7}"/>
    <cellStyle name="Comma 5 2 2 3 6 2" xfId="51735" xr:uid="{97F5721B-E68D-4CF6-ABF6-2A8231EDC7A1}"/>
    <cellStyle name="Comma 5 2 2 3 6 3" xfId="33481" xr:uid="{819B9E96-9295-4CAD-8C1E-2DDAD1E5047D}"/>
    <cellStyle name="Comma 5 2 2 3 7" xfId="11577" xr:uid="{56E05B66-B2F4-41F3-9F83-417BCE786A52}"/>
    <cellStyle name="Comma 5 2 2 3 7 2" xfId="48085" xr:uid="{C5C448A8-C0A6-4869-AF44-7C19E39007D8}"/>
    <cellStyle name="Comma 5 2 2 3 7 3" xfId="29831" xr:uid="{6A42FD54-680B-4999-A416-26C4F41FBFFC}"/>
    <cellStyle name="Comma 5 2 2 3 8" xfId="7927" xr:uid="{870E6939-DEAD-4F14-AA5A-749580516169}"/>
    <cellStyle name="Comma 5 2 2 3 8 2" xfId="44435" xr:uid="{35B98489-5972-4DDC-B880-DBD4A1BF5DA6}"/>
    <cellStyle name="Comma 5 2 2 3 8 3" xfId="26181" xr:uid="{6CC54263-6D6A-4924-BFE4-7E29B9863443}"/>
    <cellStyle name="Comma 5 2 2 3 9" xfId="4277" xr:uid="{571EC512-3CE9-470E-8AC7-31853E0F1C66}"/>
    <cellStyle name="Comma 5 2 2 3 9 2" xfId="40785" xr:uid="{EABF6900-9F97-499C-89D5-65F727E1E07B}"/>
    <cellStyle name="Comma 5 2 2 3 9 3" xfId="22531" xr:uid="{4A7B4B63-DE6C-491D-8197-5DBB32C72ACE}"/>
    <cellStyle name="Comma 5 2 2 4" xfId="523" xr:uid="{51C97E58-3C5E-4093-92CF-B0D61D6DF64B}"/>
    <cellStyle name="Comma 5 2 2 4 10" xfId="37031" xr:uid="{6C9E5212-E9E1-413C-BBF5-E4F100B2D1C8}"/>
    <cellStyle name="Comma 5 2 2 4 11" xfId="18777" xr:uid="{4874BFA3-A084-4568-B4E7-01C1CD66A762}"/>
    <cellStyle name="Comma 5 2 2 4 2" xfId="3443" xr:uid="{C3C71DEE-A3BF-423C-B6F2-4539E1697E9B}"/>
    <cellStyle name="Comma 5 2 2 4 2 2" xfId="18043" xr:uid="{66E07227-CB58-41B5-8D97-4D078D68ED4C}"/>
    <cellStyle name="Comma 5 2 2 4 2 2 2" xfId="54551" xr:uid="{EBB9730B-BC6D-486C-92DA-C1B3E1FE32B4}"/>
    <cellStyle name="Comma 5 2 2 4 2 2 3" xfId="36297" xr:uid="{D24EC62B-8EBD-4A1C-BA3D-8C17CD8BD148}"/>
    <cellStyle name="Comma 5 2 2 4 2 3" xfId="14393" xr:uid="{F986AC8E-079A-4839-B9D8-C08047F2179C}"/>
    <cellStyle name="Comma 5 2 2 4 2 3 2" xfId="50901" xr:uid="{6A635643-D15B-4D52-A857-978868A5B075}"/>
    <cellStyle name="Comma 5 2 2 4 2 3 3" xfId="32647" xr:uid="{7A10A9AF-C273-44A1-9A2D-06A420739F6D}"/>
    <cellStyle name="Comma 5 2 2 4 2 4" xfId="10743" xr:uid="{B11E0A51-2C91-4613-BB3C-42D0BF14433D}"/>
    <cellStyle name="Comma 5 2 2 4 2 4 2" xfId="47251" xr:uid="{85068C09-6B36-4BE4-B2E4-F4DE55342B50}"/>
    <cellStyle name="Comma 5 2 2 4 2 4 3" xfId="28997" xr:uid="{B03B1867-8A11-430C-A570-55A39220F646}"/>
    <cellStyle name="Comma 5 2 2 4 2 5" xfId="7093" xr:uid="{A3F388FB-3922-42AF-B011-8B715BDF2658}"/>
    <cellStyle name="Comma 5 2 2 4 2 5 2" xfId="43601" xr:uid="{C090219B-F198-4DE7-9998-3465B9F0E133}"/>
    <cellStyle name="Comma 5 2 2 4 2 5 3" xfId="25347" xr:uid="{8A4ED88E-2817-45E7-B318-C80023BA5036}"/>
    <cellStyle name="Comma 5 2 2 4 2 6" xfId="39951" xr:uid="{C1E6EF03-7C4C-47AA-AAC8-CAA6A113BAA2}"/>
    <cellStyle name="Comma 5 2 2 4 2 7" xfId="21697" xr:uid="{28F22059-50EB-4C30-94CB-4AA5263C5CEC}"/>
    <cellStyle name="Comma 5 2 2 4 3" xfId="2713" xr:uid="{BDCF9131-A163-4838-86DF-F76E82CABDC9}"/>
    <cellStyle name="Comma 5 2 2 4 3 2" xfId="17313" xr:uid="{1521DAF7-737A-42C5-93EE-9511523D7EEA}"/>
    <cellStyle name="Comma 5 2 2 4 3 2 2" xfId="53821" xr:uid="{F66242AC-8375-4244-B639-7D8570F5D0BF}"/>
    <cellStyle name="Comma 5 2 2 4 3 2 3" xfId="35567" xr:uid="{80E91D69-038D-43F9-B30A-DF3335A644D0}"/>
    <cellStyle name="Comma 5 2 2 4 3 3" xfId="13663" xr:uid="{25235FDE-798E-4503-ADB2-E862A27D6416}"/>
    <cellStyle name="Comma 5 2 2 4 3 3 2" xfId="50171" xr:uid="{A4B55A62-70ED-4B57-A330-0B8172B95211}"/>
    <cellStyle name="Comma 5 2 2 4 3 3 3" xfId="31917" xr:uid="{A5085D03-2D90-44A1-832C-69CA5C8F28F5}"/>
    <cellStyle name="Comma 5 2 2 4 3 4" xfId="10013" xr:uid="{2059AFFD-0610-41FD-9E0A-276908A00342}"/>
    <cellStyle name="Comma 5 2 2 4 3 4 2" xfId="46521" xr:uid="{8B557DAD-FA19-43E7-A52C-DE908628BCF4}"/>
    <cellStyle name="Comma 5 2 2 4 3 4 3" xfId="28267" xr:uid="{A2F9F223-F4BB-4451-94C6-F9C4171C48F2}"/>
    <cellStyle name="Comma 5 2 2 4 3 5" xfId="6363" xr:uid="{E666C4C7-BD7F-47DF-9B39-D436EC62E60E}"/>
    <cellStyle name="Comma 5 2 2 4 3 5 2" xfId="42871" xr:uid="{804DC589-1A2F-4CCA-B3BA-10CFE5815821}"/>
    <cellStyle name="Comma 5 2 2 4 3 5 3" xfId="24617" xr:uid="{8DB4111F-77D0-4047-BF47-D06A6236ED35}"/>
    <cellStyle name="Comma 5 2 2 4 3 6" xfId="39221" xr:uid="{DFE6B5FB-60E2-41CC-9AB7-E72004A94EF7}"/>
    <cellStyle name="Comma 5 2 2 4 3 7" xfId="20967" xr:uid="{4B8CDE91-D3BB-4718-90C0-E0AA919C901F}"/>
    <cellStyle name="Comma 5 2 2 4 4" xfId="1983" xr:uid="{FA95C0A4-C689-461A-A2A2-B7B39AB470A7}"/>
    <cellStyle name="Comma 5 2 2 4 4 2" xfId="16583" xr:uid="{7B8EE5F3-2D33-41D2-802D-964FE0F47442}"/>
    <cellStyle name="Comma 5 2 2 4 4 2 2" xfId="53091" xr:uid="{47C81D77-AEE5-4CBD-9372-87CE1B4D5E5E}"/>
    <cellStyle name="Comma 5 2 2 4 4 2 3" xfId="34837" xr:uid="{B11B0213-0E4C-407A-8831-BEEE58E9901E}"/>
    <cellStyle name="Comma 5 2 2 4 4 3" xfId="12933" xr:uid="{F18507B2-C901-4CBF-902A-3601EED89F35}"/>
    <cellStyle name="Comma 5 2 2 4 4 3 2" xfId="49441" xr:uid="{D27026BD-48F9-43D9-9CE0-E8F606347C48}"/>
    <cellStyle name="Comma 5 2 2 4 4 3 3" xfId="31187" xr:uid="{B4DCF5DB-3437-4F3F-AE40-432B13F0582F}"/>
    <cellStyle name="Comma 5 2 2 4 4 4" xfId="9283" xr:uid="{6157437D-9A5F-468A-A788-238C913CF30D}"/>
    <cellStyle name="Comma 5 2 2 4 4 4 2" xfId="45791" xr:uid="{4829BCD8-BA53-4A54-A400-33273E723B02}"/>
    <cellStyle name="Comma 5 2 2 4 4 4 3" xfId="27537" xr:uid="{79834BF8-24FD-491D-B836-C802178636FF}"/>
    <cellStyle name="Comma 5 2 2 4 4 5" xfId="5633" xr:uid="{1C390C93-D9FC-49FA-8F5B-E5AA5D389FF2}"/>
    <cellStyle name="Comma 5 2 2 4 4 5 2" xfId="42141" xr:uid="{A9060500-9717-4731-8778-304819192073}"/>
    <cellStyle name="Comma 5 2 2 4 4 5 3" xfId="23887" xr:uid="{ACA66FFC-837D-4547-82BC-ABEDF1BB0D8B}"/>
    <cellStyle name="Comma 5 2 2 4 4 6" xfId="38491" xr:uid="{10D4C658-76E8-4363-BDC5-C1FFF44280BC}"/>
    <cellStyle name="Comma 5 2 2 4 4 7" xfId="20237" xr:uid="{8E3BFF7D-9CC6-49F8-BCAA-5F9F92C8C38C}"/>
    <cellStyle name="Comma 5 2 2 4 5" xfId="1253" xr:uid="{2B11CABA-E8F7-4BFF-A816-841993E085D0}"/>
    <cellStyle name="Comma 5 2 2 4 5 2" xfId="15853" xr:uid="{02A30540-DC5D-4E9C-BAC7-8BFD4602AAD7}"/>
    <cellStyle name="Comma 5 2 2 4 5 2 2" xfId="52361" xr:uid="{BA06F395-CE1B-4636-818C-B944ED1F3F61}"/>
    <cellStyle name="Comma 5 2 2 4 5 2 3" xfId="34107" xr:uid="{A83A0219-E0E7-4CCB-A76D-A2BDFE4E1E31}"/>
    <cellStyle name="Comma 5 2 2 4 5 3" xfId="12203" xr:uid="{08D2C0F2-01C5-42F1-B4E5-A6EB7917A556}"/>
    <cellStyle name="Comma 5 2 2 4 5 3 2" xfId="48711" xr:uid="{9A4DC9B3-1D1A-46E6-8BD2-72B7CCCC5A9A}"/>
    <cellStyle name="Comma 5 2 2 4 5 3 3" xfId="30457" xr:uid="{33FDFE67-8177-4682-8F4B-7207E47934FE}"/>
    <cellStyle name="Comma 5 2 2 4 5 4" xfId="8553" xr:uid="{D4AA0840-C519-4D2E-8752-1CDB5A59ADB7}"/>
    <cellStyle name="Comma 5 2 2 4 5 4 2" xfId="45061" xr:uid="{8069259B-9C88-4EA4-A657-471DD1E7FC98}"/>
    <cellStyle name="Comma 5 2 2 4 5 4 3" xfId="26807" xr:uid="{D03DDA2B-2257-44A5-91AE-776BAE5EE885}"/>
    <cellStyle name="Comma 5 2 2 4 5 5" xfId="4903" xr:uid="{6D6BF5D7-BBEF-496C-81F4-6A015A033684}"/>
    <cellStyle name="Comma 5 2 2 4 5 5 2" xfId="41411" xr:uid="{5E9544C9-CAAA-49A4-9635-AD88E74E7B7A}"/>
    <cellStyle name="Comma 5 2 2 4 5 5 3" xfId="23157" xr:uid="{191B69CE-5305-4D39-AD8E-25F673823A89}"/>
    <cellStyle name="Comma 5 2 2 4 5 6" xfId="37761" xr:uid="{15FC63AC-E041-4151-8C03-01E3A69C3DA2}"/>
    <cellStyle name="Comma 5 2 2 4 5 7" xfId="19507" xr:uid="{B8B22DBB-BA50-4451-A08C-DA3CAC45FDE7}"/>
    <cellStyle name="Comma 5 2 2 4 6" xfId="15123" xr:uid="{B623E79C-3367-4F18-AE07-7CC14D150057}"/>
    <cellStyle name="Comma 5 2 2 4 6 2" xfId="51631" xr:uid="{207F75E8-6856-4C7D-920D-149016378E12}"/>
    <cellStyle name="Comma 5 2 2 4 6 3" xfId="33377" xr:uid="{F202110E-DAE2-438E-8710-1E11A851C198}"/>
    <cellStyle name="Comma 5 2 2 4 7" xfId="11473" xr:uid="{9E27F10B-464E-4179-B224-604204D73942}"/>
    <cellStyle name="Comma 5 2 2 4 7 2" xfId="47981" xr:uid="{4D023AFA-6DDF-4A04-9757-B5ADF552DA13}"/>
    <cellStyle name="Comma 5 2 2 4 7 3" xfId="29727" xr:uid="{849C9B3C-BDC6-4ED5-B644-0B3D2711A649}"/>
    <cellStyle name="Comma 5 2 2 4 8" xfId="7823" xr:uid="{8C604A2E-0F25-4907-B439-F52DE935D4D7}"/>
    <cellStyle name="Comma 5 2 2 4 8 2" xfId="44331" xr:uid="{BCB8FF08-1FA1-4AE1-ABE7-11FFA9A0136B}"/>
    <cellStyle name="Comma 5 2 2 4 8 3" xfId="26077" xr:uid="{02319F5B-7296-4936-B63F-A8FCF1230E7E}"/>
    <cellStyle name="Comma 5 2 2 4 9" xfId="4173" xr:uid="{350CEE79-ADF1-4AB5-90BD-E3C3329547E0}"/>
    <cellStyle name="Comma 5 2 2 4 9 2" xfId="40681" xr:uid="{AFC2A2D9-4ABA-4CFC-9192-50082DF3A3A4}"/>
    <cellStyle name="Comma 5 2 2 4 9 3" xfId="22427" xr:uid="{28C18B86-0A70-4E35-91E2-437257F73497}"/>
    <cellStyle name="Comma 5 2 2 5" xfId="419" xr:uid="{86EA898F-B58C-4EC4-BEF0-4D369091AD22}"/>
    <cellStyle name="Comma 5 2 2 5 10" xfId="36927" xr:uid="{982F6452-F6B3-4683-AF8D-2CEBF973D6DB}"/>
    <cellStyle name="Comma 5 2 2 5 11" xfId="18673" xr:uid="{A455DC12-E07C-4536-BD88-EBE644BFCD3A}"/>
    <cellStyle name="Comma 5 2 2 5 2" xfId="3339" xr:uid="{7153F27F-238D-4415-BFDE-7894EB08A2BF}"/>
    <cellStyle name="Comma 5 2 2 5 2 2" xfId="17939" xr:uid="{4B03AA5A-8447-487F-A652-5FACD07DF921}"/>
    <cellStyle name="Comma 5 2 2 5 2 2 2" xfId="54447" xr:uid="{884286BF-C567-4800-88F6-5DCED595BAC8}"/>
    <cellStyle name="Comma 5 2 2 5 2 2 3" xfId="36193" xr:uid="{EB5627D8-D5FC-477D-AD2B-1DB0F3933F4C}"/>
    <cellStyle name="Comma 5 2 2 5 2 3" xfId="14289" xr:uid="{FF459017-4567-4C1A-96D2-FFF819424A36}"/>
    <cellStyle name="Comma 5 2 2 5 2 3 2" xfId="50797" xr:uid="{17E8593C-9A3C-4487-9039-CB4514896828}"/>
    <cellStyle name="Comma 5 2 2 5 2 3 3" xfId="32543" xr:uid="{250189DB-6D33-470F-8F42-DAFF58A92454}"/>
    <cellStyle name="Comma 5 2 2 5 2 4" xfId="10639" xr:uid="{F107029B-99F4-4736-9C78-9B439CB7B2BF}"/>
    <cellStyle name="Comma 5 2 2 5 2 4 2" xfId="47147" xr:uid="{B993D19F-7D96-4F0A-B8B3-B8BD2EA163DB}"/>
    <cellStyle name="Comma 5 2 2 5 2 4 3" xfId="28893" xr:uid="{CD3A4FE0-3B83-4F91-8D8A-1E9273B2D536}"/>
    <cellStyle name="Comma 5 2 2 5 2 5" xfId="6989" xr:uid="{BD970359-7D8A-4BD2-B826-A5A4C396DEFD}"/>
    <cellStyle name="Comma 5 2 2 5 2 5 2" xfId="43497" xr:uid="{C49CE90E-C2D0-437A-A917-FCECFF63C5C6}"/>
    <cellStyle name="Comma 5 2 2 5 2 5 3" xfId="25243" xr:uid="{4B8477D8-03BF-4320-90DA-A98022E46C6F}"/>
    <cellStyle name="Comma 5 2 2 5 2 6" xfId="39847" xr:uid="{79A203FD-CE30-4D13-B4B1-759789CFF658}"/>
    <cellStyle name="Comma 5 2 2 5 2 7" xfId="21593" xr:uid="{376E03C8-12EC-48B1-8A28-34DD1FA8F5B8}"/>
    <cellStyle name="Comma 5 2 2 5 3" xfId="2609" xr:uid="{4486F5FC-004D-456E-A827-0AFEBA7D14B8}"/>
    <cellStyle name="Comma 5 2 2 5 3 2" xfId="17209" xr:uid="{20942366-0637-4530-9A1C-A6D59113CC35}"/>
    <cellStyle name="Comma 5 2 2 5 3 2 2" xfId="53717" xr:uid="{AA861D58-7622-46B0-9A51-C4DB265A731E}"/>
    <cellStyle name="Comma 5 2 2 5 3 2 3" xfId="35463" xr:uid="{1196BC32-9334-403B-AE2F-1AF662E6F559}"/>
    <cellStyle name="Comma 5 2 2 5 3 3" xfId="13559" xr:uid="{80D56340-5087-4BD5-843C-A605B63EBBDC}"/>
    <cellStyle name="Comma 5 2 2 5 3 3 2" xfId="50067" xr:uid="{6BAC0A59-6825-444B-8BC3-6F9151787663}"/>
    <cellStyle name="Comma 5 2 2 5 3 3 3" xfId="31813" xr:uid="{12C3299A-930D-4569-A087-B88FECF1FBA8}"/>
    <cellStyle name="Comma 5 2 2 5 3 4" xfId="9909" xr:uid="{58317DFE-9273-4208-AD5A-996454BE06CE}"/>
    <cellStyle name="Comma 5 2 2 5 3 4 2" xfId="46417" xr:uid="{C36FA050-2649-47C7-B794-CE9048D07CC7}"/>
    <cellStyle name="Comma 5 2 2 5 3 4 3" xfId="28163" xr:uid="{48B579F6-3382-4220-83D0-59A00687F334}"/>
    <cellStyle name="Comma 5 2 2 5 3 5" xfId="6259" xr:uid="{EABAD4E7-6BBA-4C63-8CFA-C622F99B5B96}"/>
    <cellStyle name="Comma 5 2 2 5 3 5 2" xfId="42767" xr:uid="{6CA81EE0-8321-459C-8C8F-B104065D0709}"/>
    <cellStyle name="Comma 5 2 2 5 3 5 3" xfId="24513" xr:uid="{CACA042F-AFFE-4EF9-8186-D2EAEA2B34D4}"/>
    <cellStyle name="Comma 5 2 2 5 3 6" xfId="39117" xr:uid="{5B081FFF-7B01-4521-8229-9464F745189E}"/>
    <cellStyle name="Comma 5 2 2 5 3 7" xfId="20863" xr:uid="{C9A90F6E-AEAA-4F11-9B14-E692CB3D687E}"/>
    <cellStyle name="Comma 5 2 2 5 4" xfId="1879" xr:uid="{E298307E-8748-4329-9A2E-5CBF50085E58}"/>
    <cellStyle name="Comma 5 2 2 5 4 2" xfId="16479" xr:uid="{4EDDDCBE-7B1E-419C-8E5B-C5E808440ADD}"/>
    <cellStyle name="Comma 5 2 2 5 4 2 2" xfId="52987" xr:uid="{3AF20D5D-5BEE-47EC-B60D-8E2A2E531084}"/>
    <cellStyle name="Comma 5 2 2 5 4 2 3" xfId="34733" xr:uid="{58AD1DC2-08EA-40E9-9E7C-D1E67CADD0E9}"/>
    <cellStyle name="Comma 5 2 2 5 4 3" xfId="12829" xr:uid="{CAED3D73-98B2-4127-947E-03A51FA7C821}"/>
    <cellStyle name="Comma 5 2 2 5 4 3 2" xfId="49337" xr:uid="{60768F11-151A-47EF-99EE-439CC6797FD9}"/>
    <cellStyle name="Comma 5 2 2 5 4 3 3" xfId="31083" xr:uid="{D5CD8BF0-DB51-4313-823F-A66D1A8B75BD}"/>
    <cellStyle name="Comma 5 2 2 5 4 4" xfId="9179" xr:uid="{A99EA969-6846-41F3-BFB6-452CBDCB2C6A}"/>
    <cellStyle name="Comma 5 2 2 5 4 4 2" xfId="45687" xr:uid="{703AC632-1E02-4241-856C-7D14414D2818}"/>
    <cellStyle name="Comma 5 2 2 5 4 4 3" xfId="27433" xr:uid="{EBFC6C81-D46C-4CE5-985E-37B44AEACF1B}"/>
    <cellStyle name="Comma 5 2 2 5 4 5" xfId="5529" xr:uid="{285E01C9-E91D-4C08-B6F6-A5756B34244B}"/>
    <cellStyle name="Comma 5 2 2 5 4 5 2" xfId="42037" xr:uid="{4FDE65DF-9FCD-479F-A87D-4DADB6601B76}"/>
    <cellStyle name="Comma 5 2 2 5 4 5 3" xfId="23783" xr:uid="{21594699-EA23-451B-AF79-5FBE1DC90E92}"/>
    <cellStyle name="Comma 5 2 2 5 4 6" xfId="38387" xr:uid="{AE6C817D-F9BC-4D48-A320-2262BC982C7D}"/>
    <cellStyle name="Comma 5 2 2 5 4 7" xfId="20133" xr:uid="{CAE1CAB5-F107-45B3-904F-24561DA0E58D}"/>
    <cellStyle name="Comma 5 2 2 5 5" xfId="1149" xr:uid="{69339979-9FC8-4F3C-A4FB-8CC08CF46E1D}"/>
    <cellStyle name="Comma 5 2 2 5 5 2" xfId="15749" xr:uid="{3CED7187-8E47-4DA5-B643-EAE6F2B79562}"/>
    <cellStyle name="Comma 5 2 2 5 5 2 2" xfId="52257" xr:uid="{455F8908-5A72-4A46-BF47-1368128FE0BE}"/>
    <cellStyle name="Comma 5 2 2 5 5 2 3" xfId="34003" xr:uid="{2399B353-FC61-4E05-BDF9-A4EAFCFB9681}"/>
    <cellStyle name="Comma 5 2 2 5 5 3" xfId="12099" xr:uid="{05BB927E-3AD2-4C8D-82DE-426922F94D36}"/>
    <cellStyle name="Comma 5 2 2 5 5 3 2" xfId="48607" xr:uid="{EA9BF201-D9B0-4213-AAE5-582232EF14C2}"/>
    <cellStyle name="Comma 5 2 2 5 5 3 3" xfId="30353" xr:uid="{30B09675-EAE8-41FB-9B11-6FDF587467F1}"/>
    <cellStyle name="Comma 5 2 2 5 5 4" xfId="8449" xr:uid="{53ACDE1F-91FD-4825-868A-D200FEC47FB5}"/>
    <cellStyle name="Comma 5 2 2 5 5 4 2" xfId="44957" xr:uid="{07336B52-AEDE-4DFC-A254-D0C882BCB815}"/>
    <cellStyle name="Comma 5 2 2 5 5 4 3" xfId="26703" xr:uid="{4EA64907-41AB-4123-93F5-F40C2A64B006}"/>
    <cellStyle name="Comma 5 2 2 5 5 5" xfId="4799" xr:uid="{C7E7BFCD-BF0B-4F14-A6D3-019600131B82}"/>
    <cellStyle name="Comma 5 2 2 5 5 5 2" xfId="41307" xr:uid="{73183A92-D7F5-4BD2-8C0A-D1E76BD7AA36}"/>
    <cellStyle name="Comma 5 2 2 5 5 5 3" xfId="23053" xr:uid="{FD98372D-7C03-44ED-90E8-933946744F23}"/>
    <cellStyle name="Comma 5 2 2 5 5 6" xfId="37657" xr:uid="{E4A56378-1C08-43FC-90B6-5A36E116479E}"/>
    <cellStyle name="Comma 5 2 2 5 5 7" xfId="19403" xr:uid="{630D4151-C859-48A3-AD2E-8B057AA9EBC0}"/>
    <cellStyle name="Comma 5 2 2 5 6" xfId="15019" xr:uid="{68512523-BD06-4744-830E-60D7D77726F7}"/>
    <cellStyle name="Comma 5 2 2 5 6 2" xfId="51527" xr:uid="{0B2923F9-C751-47BA-BA35-FB58181F3B95}"/>
    <cellStyle name="Comma 5 2 2 5 6 3" xfId="33273" xr:uid="{EB8AE444-29C3-478C-A7E0-DB4F3C7B2FED}"/>
    <cellStyle name="Comma 5 2 2 5 7" xfId="11369" xr:uid="{AFCAA51B-B7AA-4F06-B27F-E6CE319DBDA8}"/>
    <cellStyle name="Comma 5 2 2 5 7 2" xfId="47877" xr:uid="{D00E3E7C-E975-4D1B-BF84-DC581F496956}"/>
    <cellStyle name="Comma 5 2 2 5 7 3" xfId="29623" xr:uid="{35196AF9-2ECA-4449-B2A7-06694DBD4E4D}"/>
    <cellStyle name="Comma 5 2 2 5 8" xfId="7719" xr:uid="{AA295A59-E211-40DB-9595-A7265D87A524}"/>
    <cellStyle name="Comma 5 2 2 5 8 2" xfId="44227" xr:uid="{141BA39F-64FA-4807-A28C-FCB85DDB86DE}"/>
    <cellStyle name="Comma 5 2 2 5 8 3" xfId="25973" xr:uid="{A2A3914A-49EF-4D53-8164-34465B3D4E66}"/>
    <cellStyle name="Comma 5 2 2 5 9" xfId="4069" xr:uid="{1FD08021-B863-4841-B7F8-CB7CD5889B0C}"/>
    <cellStyle name="Comma 5 2 2 5 9 2" xfId="40577" xr:uid="{A0888A8F-E716-4AEE-B2E9-ACC0B50CC236}"/>
    <cellStyle name="Comma 5 2 2 5 9 3" xfId="22323" xr:uid="{B3444526-13F2-4A8E-9E9A-85BEAD947288}"/>
    <cellStyle name="Comma 5 2 2 6" xfId="315" xr:uid="{1F98A965-C58D-4472-BFAE-7A46662AABBA}"/>
    <cellStyle name="Comma 5 2 2 6 10" xfId="36823" xr:uid="{5EEF627D-2041-47A5-AED2-6252EC2B5B0F}"/>
    <cellStyle name="Comma 5 2 2 6 11" xfId="18569" xr:uid="{0C559E53-4BB2-4E33-9E2A-9C61883D58BD}"/>
    <cellStyle name="Comma 5 2 2 6 2" xfId="3235" xr:uid="{3F5D2BF5-CCD2-4F09-82DA-3034EE720678}"/>
    <cellStyle name="Comma 5 2 2 6 2 2" xfId="17835" xr:uid="{FAB2C8AB-D1D6-4A11-8FAA-AE1E437BA0A4}"/>
    <cellStyle name="Comma 5 2 2 6 2 2 2" xfId="54343" xr:uid="{7DDBE263-9172-481F-A41F-74948EC99B7A}"/>
    <cellStyle name="Comma 5 2 2 6 2 2 3" xfId="36089" xr:uid="{2F4FB580-0641-4EDB-8450-91CE1F890E2D}"/>
    <cellStyle name="Comma 5 2 2 6 2 3" xfId="14185" xr:uid="{A3B8A6DA-311E-4CB8-A27C-9BBC15AA7135}"/>
    <cellStyle name="Comma 5 2 2 6 2 3 2" xfId="50693" xr:uid="{797AA821-8B76-4D60-8374-D532E13D9AE9}"/>
    <cellStyle name="Comma 5 2 2 6 2 3 3" xfId="32439" xr:uid="{368B7234-A80D-44ED-97DE-ED1AB0E4E1FC}"/>
    <cellStyle name="Comma 5 2 2 6 2 4" xfId="10535" xr:uid="{5BCB0C8E-207C-4155-938D-D274F15E5AA1}"/>
    <cellStyle name="Comma 5 2 2 6 2 4 2" xfId="47043" xr:uid="{95923940-C8DB-4E3A-9E03-0EC6033E63EB}"/>
    <cellStyle name="Comma 5 2 2 6 2 4 3" xfId="28789" xr:uid="{038FAFA2-9629-4803-B745-F2CEDBB1201C}"/>
    <cellStyle name="Comma 5 2 2 6 2 5" xfId="6885" xr:uid="{E30DBB6F-8CFE-49CB-9FF8-78A9CDF83B8B}"/>
    <cellStyle name="Comma 5 2 2 6 2 5 2" xfId="43393" xr:uid="{8EA27FF0-2A39-4C3C-868D-6733F571E813}"/>
    <cellStyle name="Comma 5 2 2 6 2 5 3" xfId="25139" xr:uid="{A67914D5-7F55-4AAC-BE34-1A3052F2331F}"/>
    <cellStyle name="Comma 5 2 2 6 2 6" xfId="39743" xr:uid="{FA9349EE-CA73-49DA-ACB9-CBC0FDE9C07C}"/>
    <cellStyle name="Comma 5 2 2 6 2 7" xfId="21489" xr:uid="{F1167AC3-B6E2-4D91-AEBA-15F916F0DF00}"/>
    <cellStyle name="Comma 5 2 2 6 3" xfId="2505" xr:uid="{033DB8F7-8272-4B1D-AECE-30A9EA2F051B}"/>
    <cellStyle name="Comma 5 2 2 6 3 2" xfId="17105" xr:uid="{9F5E2BA9-E065-48CF-B5D4-973A7CA78642}"/>
    <cellStyle name="Comma 5 2 2 6 3 2 2" xfId="53613" xr:uid="{43FCBE54-70BE-43DF-BDC4-4BEE32ACCDEE}"/>
    <cellStyle name="Comma 5 2 2 6 3 2 3" xfId="35359" xr:uid="{A41B4C50-863A-4DE4-ACC7-87E48C6346B1}"/>
    <cellStyle name="Comma 5 2 2 6 3 3" xfId="13455" xr:uid="{3CEB6B25-5DA9-4A50-874C-F6D34062DEC4}"/>
    <cellStyle name="Comma 5 2 2 6 3 3 2" xfId="49963" xr:uid="{B658D68C-BC13-4C96-9798-07206CA352F1}"/>
    <cellStyle name="Comma 5 2 2 6 3 3 3" xfId="31709" xr:uid="{8F2C9629-E3BE-4334-9375-099ADA7E8F3C}"/>
    <cellStyle name="Comma 5 2 2 6 3 4" xfId="9805" xr:uid="{90651930-B481-4863-81BB-EB93B252CC0D}"/>
    <cellStyle name="Comma 5 2 2 6 3 4 2" xfId="46313" xr:uid="{872DB423-65A5-4911-9910-554C894FE9AE}"/>
    <cellStyle name="Comma 5 2 2 6 3 4 3" xfId="28059" xr:uid="{307FAC23-42AA-47E9-A76E-790A3E0AC90E}"/>
    <cellStyle name="Comma 5 2 2 6 3 5" xfId="6155" xr:uid="{B8667574-1AC0-47CB-A280-FBC19101DD2F}"/>
    <cellStyle name="Comma 5 2 2 6 3 5 2" xfId="42663" xr:uid="{27D09719-8712-48A9-A43A-B994B18B188C}"/>
    <cellStyle name="Comma 5 2 2 6 3 5 3" xfId="24409" xr:uid="{E6D0A84A-1469-405A-B2A6-7F112664CA49}"/>
    <cellStyle name="Comma 5 2 2 6 3 6" xfId="39013" xr:uid="{1C84ABC1-BA77-441D-B8AF-773BE1D63B44}"/>
    <cellStyle name="Comma 5 2 2 6 3 7" xfId="20759" xr:uid="{CB0E957E-850C-408D-937C-FA3425AD66BC}"/>
    <cellStyle name="Comma 5 2 2 6 4" xfId="1775" xr:uid="{4E70D69D-2496-474F-8DC8-FFD8696AB1BD}"/>
    <cellStyle name="Comma 5 2 2 6 4 2" xfId="16375" xr:uid="{B9F2FDDF-BF5D-48E2-9D2E-B80AF322480D}"/>
    <cellStyle name="Comma 5 2 2 6 4 2 2" xfId="52883" xr:uid="{DF6569B7-14C2-4B41-A903-CF7F658D61CD}"/>
    <cellStyle name="Comma 5 2 2 6 4 2 3" xfId="34629" xr:uid="{06DD8396-3CD9-46A7-9F1E-A7A92D50862E}"/>
    <cellStyle name="Comma 5 2 2 6 4 3" xfId="12725" xr:uid="{A90D4451-733F-4019-B438-9FCDC51C3123}"/>
    <cellStyle name="Comma 5 2 2 6 4 3 2" xfId="49233" xr:uid="{BCCF6C14-A613-441A-8555-4A0310604713}"/>
    <cellStyle name="Comma 5 2 2 6 4 3 3" xfId="30979" xr:uid="{6751C8C3-EFBA-43DC-8A90-E3D8B4D107BB}"/>
    <cellStyle name="Comma 5 2 2 6 4 4" xfId="9075" xr:uid="{C21FBCA3-FD50-412D-B26C-1DD17BB4CE20}"/>
    <cellStyle name="Comma 5 2 2 6 4 4 2" xfId="45583" xr:uid="{C91C76C3-7D83-4A44-9143-7D057B375ED1}"/>
    <cellStyle name="Comma 5 2 2 6 4 4 3" xfId="27329" xr:uid="{2C375C58-E8E1-4575-B43F-69069CC04226}"/>
    <cellStyle name="Comma 5 2 2 6 4 5" xfId="5425" xr:uid="{55ED63E9-BFAC-46EB-A9F7-84B48B5A323C}"/>
    <cellStyle name="Comma 5 2 2 6 4 5 2" xfId="41933" xr:uid="{35FA5D0F-DF94-4D24-9517-B209317A261A}"/>
    <cellStyle name="Comma 5 2 2 6 4 5 3" xfId="23679" xr:uid="{44AC9012-5A1A-4F80-9C64-3A47E21E602A}"/>
    <cellStyle name="Comma 5 2 2 6 4 6" xfId="38283" xr:uid="{9DACBAA2-C270-447F-B723-2E8277013D0D}"/>
    <cellStyle name="Comma 5 2 2 6 4 7" xfId="20029" xr:uid="{AFB2D6DD-0667-4F32-AA31-05C879DECACA}"/>
    <cellStyle name="Comma 5 2 2 6 5" xfId="1045" xr:uid="{37720231-9431-4B04-A65B-D60959BE06BB}"/>
    <cellStyle name="Comma 5 2 2 6 5 2" xfId="15645" xr:uid="{EE3481AD-6C5E-47AB-A79D-86CB9671792D}"/>
    <cellStyle name="Comma 5 2 2 6 5 2 2" xfId="52153" xr:uid="{A8E39A0D-6026-49DA-9891-530528B494F0}"/>
    <cellStyle name="Comma 5 2 2 6 5 2 3" xfId="33899" xr:uid="{73BFBDE5-3601-4093-BD22-49E5AEC9C034}"/>
    <cellStyle name="Comma 5 2 2 6 5 3" xfId="11995" xr:uid="{DFEBED7C-E3C7-4E89-B51F-7D48A58CA099}"/>
    <cellStyle name="Comma 5 2 2 6 5 3 2" xfId="48503" xr:uid="{297CA447-7533-4969-A951-2AD1A0A99D32}"/>
    <cellStyle name="Comma 5 2 2 6 5 3 3" xfId="30249" xr:uid="{09D0099F-B37C-403C-84AB-C9B9CA6B26AD}"/>
    <cellStyle name="Comma 5 2 2 6 5 4" xfId="8345" xr:uid="{CD1FC862-7719-4D85-9DE3-A42C524D1C9B}"/>
    <cellStyle name="Comma 5 2 2 6 5 4 2" xfId="44853" xr:uid="{3AA51386-D5A5-41C1-AB25-535B2DA9708B}"/>
    <cellStyle name="Comma 5 2 2 6 5 4 3" xfId="26599" xr:uid="{4CA45801-949F-457E-AB20-98EF31F48EBA}"/>
    <cellStyle name="Comma 5 2 2 6 5 5" xfId="4695" xr:uid="{761D77BA-30B5-466B-8965-105022487991}"/>
    <cellStyle name="Comma 5 2 2 6 5 5 2" xfId="41203" xr:uid="{22835E23-D911-45FE-B929-EAD2E4583FEE}"/>
    <cellStyle name="Comma 5 2 2 6 5 5 3" xfId="22949" xr:uid="{312EDFF4-7D25-4B29-85E2-FA3B937C5DB6}"/>
    <cellStyle name="Comma 5 2 2 6 5 6" xfId="37553" xr:uid="{7B00DD6E-D41A-4E35-BEDC-2B414CA902AA}"/>
    <cellStyle name="Comma 5 2 2 6 5 7" xfId="19299" xr:uid="{87BFB994-6D3D-4829-A22F-A485BDADF100}"/>
    <cellStyle name="Comma 5 2 2 6 6" xfId="14915" xr:uid="{38F25D51-FBEE-4DD2-8D7A-40709924B65F}"/>
    <cellStyle name="Comma 5 2 2 6 6 2" xfId="51423" xr:uid="{739B3124-2F86-442C-A3BB-17EB31F334A9}"/>
    <cellStyle name="Comma 5 2 2 6 6 3" xfId="33169" xr:uid="{4D0D3177-2FAB-411D-8242-972ABB1C0EE6}"/>
    <cellStyle name="Comma 5 2 2 6 7" xfId="11265" xr:uid="{9C4429CD-9B71-4986-9A33-9951A803C266}"/>
    <cellStyle name="Comma 5 2 2 6 7 2" xfId="47773" xr:uid="{F81BB320-12C6-4E92-B903-6760FA5A9F15}"/>
    <cellStyle name="Comma 5 2 2 6 7 3" xfId="29519" xr:uid="{78DA86B4-507D-4644-8F86-2ED28A856371}"/>
    <cellStyle name="Comma 5 2 2 6 8" xfId="7615" xr:uid="{3B050B8E-5229-4919-BEBF-320CA5C17D91}"/>
    <cellStyle name="Comma 5 2 2 6 8 2" xfId="44123" xr:uid="{4BF286B1-46EB-40BC-99DC-DA03C68B040C}"/>
    <cellStyle name="Comma 5 2 2 6 8 3" xfId="25869" xr:uid="{C0B9A33F-362D-4CB9-B8BD-647FA818D435}"/>
    <cellStyle name="Comma 5 2 2 6 9" xfId="3965" xr:uid="{4A5BAD46-97C1-4F83-8D92-98FBBC5C26D5}"/>
    <cellStyle name="Comma 5 2 2 6 9 2" xfId="40473" xr:uid="{355700F8-1E67-4450-A614-4F62979D45CB}"/>
    <cellStyle name="Comma 5 2 2 6 9 3" xfId="22219" xr:uid="{8C78614F-82FA-4F96-B176-9949252C627B}"/>
    <cellStyle name="Comma 5 2 2 7" xfId="211" xr:uid="{2BAE3C2E-3DB8-4C62-9AAE-C053560AC0A5}"/>
    <cellStyle name="Comma 5 2 2 7 10" xfId="36719" xr:uid="{5363F8AA-7A3B-4DBE-AE35-18CF92F7ECF2}"/>
    <cellStyle name="Comma 5 2 2 7 11" xfId="18465" xr:uid="{B71626EF-59EE-4FB0-BDD4-0B5CCAC5CCDC}"/>
    <cellStyle name="Comma 5 2 2 7 2" xfId="3131" xr:uid="{B584D676-6525-40D8-9C82-636D479E1CA0}"/>
    <cellStyle name="Comma 5 2 2 7 2 2" xfId="17731" xr:uid="{A64E374E-724F-405E-8629-B3216D92E1CA}"/>
    <cellStyle name="Comma 5 2 2 7 2 2 2" xfId="54239" xr:uid="{A63D1ABE-0B7D-45A6-A004-45D00D74F306}"/>
    <cellStyle name="Comma 5 2 2 7 2 2 3" xfId="35985" xr:uid="{1F3A381B-5B61-4660-B131-4B67EF28D0A0}"/>
    <cellStyle name="Comma 5 2 2 7 2 3" xfId="14081" xr:uid="{61C85DFB-D43C-46B2-8F35-F79378D2BA0B}"/>
    <cellStyle name="Comma 5 2 2 7 2 3 2" xfId="50589" xr:uid="{86CC3281-7468-407E-9272-C52CB9AF9E93}"/>
    <cellStyle name="Comma 5 2 2 7 2 3 3" xfId="32335" xr:uid="{F715522D-846D-4FDE-9E40-A6B6D22D427A}"/>
    <cellStyle name="Comma 5 2 2 7 2 4" xfId="10431" xr:uid="{BEEA554B-BED8-4CDD-B83D-671FB986D64D}"/>
    <cellStyle name="Comma 5 2 2 7 2 4 2" xfId="46939" xr:uid="{C0CDA282-7CB5-4E9F-8907-76E806A7C6F9}"/>
    <cellStyle name="Comma 5 2 2 7 2 4 3" xfId="28685" xr:uid="{996CAE3D-0244-4CE5-BC8E-9D055539EF0F}"/>
    <cellStyle name="Comma 5 2 2 7 2 5" xfId="6781" xr:uid="{098F7C19-1E55-4552-85CB-93C09F943CB8}"/>
    <cellStyle name="Comma 5 2 2 7 2 5 2" xfId="43289" xr:uid="{89A212EB-78DF-4B56-8E28-E6E820DE4F67}"/>
    <cellStyle name="Comma 5 2 2 7 2 5 3" xfId="25035" xr:uid="{9C904B45-78F8-46D1-8F13-E5B3CF38D8DE}"/>
    <cellStyle name="Comma 5 2 2 7 2 6" xfId="39639" xr:uid="{D0C908B6-0130-4942-B574-27C0717D88E4}"/>
    <cellStyle name="Comma 5 2 2 7 2 7" xfId="21385" xr:uid="{45038699-CE2F-48A4-937D-6B6949320DCC}"/>
    <cellStyle name="Comma 5 2 2 7 3" xfId="2401" xr:uid="{2AB08421-0D00-44AF-9C3B-3C47254C56C8}"/>
    <cellStyle name="Comma 5 2 2 7 3 2" xfId="17001" xr:uid="{847FE3CD-D4AD-4133-9615-F88603742943}"/>
    <cellStyle name="Comma 5 2 2 7 3 2 2" xfId="53509" xr:uid="{2E0DC147-900D-4A58-9E0E-909D66BEE063}"/>
    <cellStyle name="Comma 5 2 2 7 3 2 3" xfId="35255" xr:uid="{A9F1DA8F-9512-4028-8464-1FD042179A82}"/>
    <cellStyle name="Comma 5 2 2 7 3 3" xfId="13351" xr:uid="{6F248AC3-62E3-4CA3-8D64-CA75F2F618A0}"/>
    <cellStyle name="Comma 5 2 2 7 3 3 2" xfId="49859" xr:uid="{A225ECB9-5D5C-4CE7-8E8D-1E37A3A0AB03}"/>
    <cellStyle name="Comma 5 2 2 7 3 3 3" xfId="31605" xr:uid="{E78738E8-6F72-4E47-929E-A83810E2F0F6}"/>
    <cellStyle name="Comma 5 2 2 7 3 4" xfId="9701" xr:uid="{FBCF003C-8375-49AA-9EBF-DBE515F3A30E}"/>
    <cellStyle name="Comma 5 2 2 7 3 4 2" xfId="46209" xr:uid="{8FD47256-974F-40CC-B1EE-CBB667759A74}"/>
    <cellStyle name="Comma 5 2 2 7 3 4 3" xfId="27955" xr:uid="{A7E9F80D-5995-463A-901A-2613276ACC52}"/>
    <cellStyle name="Comma 5 2 2 7 3 5" xfId="6051" xr:uid="{AE5D4E71-3380-4857-A93A-A37890E077AA}"/>
    <cellStyle name="Comma 5 2 2 7 3 5 2" xfId="42559" xr:uid="{3FFC4243-B63B-4B9E-9449-EAAA1EE8FE65}"/>
    <cellStyle name="Comma 5 2 2 7 3 5 3" xfId="24305" xr:uid="{C6CF40B6-C20D-45E9-B5B2-E353753B72D8}"/>
    <cellStyle name="Comma 5 2 2 7 3 6" xfId="38909" xr:uid="{E982CF02-2021-4C0F-B260-5175357279D3}"/>
    <cellStyle name="Comma 5 2 2 7 3 7" xfId="20655" xr:uid="{51163535-6E41-49B8-BC3A-E4EB9EF42EB2}"/>
    <cellStyle name="Comma 5 2 2 7 4" xfId="1671" xr:uid="{0619A0DC-D439-4DAA-B60E-E21E47ACA7A1}"/>
    <cellStyle name="Comma 5 2 2 7 4 2" xfId="16271" xr:uid="{D2E7F4D5-87E7-4D44-AE66-7DC8BFF43D67}"/>
    <cellStyle name="Comma 5 2 2 7 4 2 2" xfId="52779" xr:uid="{0C6BC7AC-9BBC-489D-86A6-B627EA56F5E1}"/>
    <cellStyle name="Comma 5 2 2 7 4 2 3" xfId="34525" xr:uid="{7AB38F37-9ABB-4F07-B7B3-39A2F0895932}"/>
    <cellStyle name="Comma 5 2 2 7 4 3" xfId="12621" xr:uid="{052D0072-1DAF-4509-BC0C-20A0644D3224}"/>
    <cellStyle name="Comma 5 2 2 7 4 3 2" xfId="49129" xr:uid="{DC45C8CD-6219-4379-9958-809E8E2258FB}"/>
    <cellStyle name="Comma 5 2 2 7 4 3 3" xfId="30875" xr:uid="{989CD92E-BDF0-41B5-8B25-16C77D4DDF85}"/>
    <cellStyle name="Comma 5 2 2 7 4 4" xfId="8971" xr:uid="{F77B36D4-A9AF-4E28-B7E1-8458054585F1}"/>
    <cellStyle name="Comma 5 2 2 7 4 4 2" xfId="45479" xr:uid="{FB8D7D6E-7079-4379-8141-796F149EE5AD}"/>
    <cellStyle name="Comma 5 2 2 7 4 4 3" xfId="27225" xr:uid="{66F5E789-FDF9-4F13-8F00-634E98239422}"/>
    <cellStyle name="Comma 5 2 2 7 4 5" xfId="5321" xr:uid="{EDB08E02-66D0-41FE-A753-F746B83C471E}"/>
    <cellStyle name="Comma 5 2 2 7 4 5 2" xfId="41829" xr:uid="{2F1654D8-0E52-4B81-BCF1-8B3D0DF125E3}"/>
    <cellStyle name="Comma 5 2 2 7 4 5 3" xfId="23575" xr:uid="{191EB313-1800-48FC-8AA7-CDB4AED72C48}"/>
    <cellStyle name="Comma 5 2 2 7 4 6" xfId="38179" xr:uid="{909784F5-B884-462A-8A96-3035B5355C1A}"/>
    <cellStyle name="Comma 5 2 2 7 4 7" xfId="19925" xr:uid="{EF5B7950-0EF6-4030-8E14-6C7A5563567B}"/>
    <cellStyle name="Comma 5 2 2 7 5" xfId="941" xr:uid="{27E00451-6866-4C6C-A939-58E1160F8322}"/>
    <cellStyle name="Comma 5 2 2 7 5 2" xfId="15541" xr:uid="{95170887-409E-4AC7-B3E7-3CC45E448761}"/>
    <cellStyle name="Comma 5 2 2 7 5 2 2" xfId="52049" xr:uid="{81AB2A6D-2FEF-4CFA-886F-1D132AC85174}"/>
    <cellStyle name="Comma 5 2 2 7 5 2 3" xfId="33795" xr:uid="{CA4E8D39-0C27-4127-B898-F1AF78C9C776}"/>
    <cellStyle name="Comma 5 2 2 7 5 3" xfId="11891" xr:uid="{E8332B52-88FD-40F6-9C81-D7162F97A4E0}"/>
    <cellStyle name="Comma 5 2 2 7 5 3 2" xfId="48399" xr:uid="{9099FB9F-BE62-415E-B0C5-E1730DD2016C}"/>
    <cellStyle name="Comma 5 2 2 7 5 3 3" xfId="30145" xr:uid="{A514376A-1903-4AF1-A3CF-D016E23E1415}"/>
    <cellStyle name="Comma 5 2 2 7 5 4" xfId="8241" xr:uid="{FD65AE78-99A5-42C0-B8EB-B98F2189F8DB}"/>
    <cellStyle name="Comma 5 2 2 7 5 4 2" xfId="44749" xr:uid="{403D0E42-E21A-438F-9CC3-9AE7ED4B529D}"/>
    <cellStyle name="Comma 5 2 2 7 5 4 3" xfId="26495" xr:uid="{6A3AA439-901B-4711-9A10-DB5AFBE58A3B}"/>
    <cellStyle name="Comma 5 2 2 7 5 5" xfId="4591" xr:uid="{DF5D01F2-6328-46BE-BF74-ED64AC877D00}"/>
    <cellStyle name="Comma 5 2 2 7 5 5 2" xfId="41099" xr:uid="{23EC57F2-0D7F-47FD-AA60-25C7AB9AE237}"/>
    <cellStyle name="Comma 5 2 2 7 5 5 3" xfId="22845" xr:uid="{354DBD73-068D-4CFB-8A4B-6AE1B3745681}"/>
    <cellStyle name="Comma 5 2 2 7 5 6" xfId="37449" xr:uid="{634C97EF-366E-4D8E-BABB-E1E16EE9EF0B}"/>
    <cellStyle name="Comma 5 2 2 7 5 7" xfId="19195" xr:uid="{0CD612F9-FDCA-4D5C-937E-4565EDD95BFF}"/>
    <cellStyle name="Comma 5 2 2 7 6" xfId="14811" xr:uid="{0A5D5D22-02C9-4F08-9172-EF8A7918833E}"/>
    <cellStyle name="Comma 5 2 2 7 6 2" xfId="51319" xr:uid="{BC439395-0606-4CC6-8DE2-3EA7B3085746}"/>
    <cellStyle name="Comma 5 2 2 7 6 3" xfId="33065" xr:uid="{CFAFB2B7-7AEC-4C3F-805D-0C89572D8158}"/>
    <cellStyle name="Comma 5 2 2 7 7" xfId="11161" xr:uid="{4521FCD8-C5EE-49AF-B134-6AB105239C8E}"/>
    <cellStyle name="Comma 5 2 2 7 7 2" xfId="47669" xr:uid="{19F1E357-63B5-4483-A0F2-1F58FDBDD4D3}"/>
    <cellStyle name="Comma 5 2 2 7 7 3" xfId="29415" xr:uid="{96B1495A-25A0-4CEF-842C-9811335AA9F2}"/>
    <cellStyle name="Comma 5 2 2 7 8" xfId="7511" xr:uid="{8140A120-93BE-4198-B9C1-BDFE49CED000}"/>
    <cellStyle name="Comma 5 2 2 7 8 2" xfId="44019" xr:uid="{1B3FE3A8-2110-46D7-92CF-B39137910F1A}"/>
    <cellStyle name="Comma 5 2 2 7 8 3" xfId="25765" xr:uid="{DAADC337-FCE0-46C9-A61A-DE7D2C3D2D94}"/>
    <cellStyle name="Comma 5 2 2 7 9" xfId="3861" xr:uid="{3CB38D69-B252-4C3F-9BB5-29AC58D6D7FB}"/>
    <cellStyle name="Comma 5 2 2 7 9 2" xfId="40369" xr:uid="{06F5043E-0ADA-43F9-AC1B-24F6E9DBBB6B}"/>
    <cellStyle name="Comma 5 2 2 7 9 3" xfId="22115" xr:uid="{F473CBCE-0FA3-4D46-BF00-99CC8F8E14FD}"/>
    <cellStyle name="Comma 5 2 2 8" xfId="3027" xr:uid="{F7C45D54-B9A8-488D-883A-FB03BAB68A9B}"/>
    <cellStyle name="Comma 5 2 2 8 2" xfId="17627" xr:uid="{FBB29320-F85A-497C-ABF3-C7C00478073E}"/>
    <cellStyle name="Comma 5 2 2 8 2 2" xfId="54135" xr:uid="{DE64EF1E-FA08-47FB-9BCE-273F0B29255A}"/>
    <cellStyle name="Comma 5 2 2 8 2 3" xfId="35881" xr:uid="{5B6EAE24-F37D-42F6-BFC0-C8480CDAA701}"/>
    <cellStyle name="Comma 5 2 2 8 3" xfId="13977" xr:uid="{F77048AD-02FC-4BB5-AC46-B2A73D698EF6}"/>
    <cellStyle name="Comma 5 2 2 8 3 2" xfId="50485" xr:uid="{26AF9E35-42A1-42C1-B800-4528AE9051A2}"/>
    <cellStyle name="Comma 5 2 2 8 3 3" xfId="32231" xr:uid="{0866F5FC-8341-4366-A4C8-D46E97FE2536}"/>
    <cellStyle name="Comma 5 2 2 8 4" xfId="10327" xr:uid="{6D5892EE-01CF-4371-97D2-5C802E291854}"/>
    <cellStyle name="Comma 5 2 2 8 4 2" xfId="46835" xr:uid="{3447FDA5-E7C9-4BFD-9C48-620EA45F1BF8}"/>
    <cellStyle name="Comma 5 2 2 8 4 3" xfId="28581" xr:uid="{87AF8B57-5D52-4FBC-A9B7-F98D076C0DDF}"/>
    <cellStyle name="Comma 5 2 2 8 5" xfId="6677" xr:uid="{CBD554A0-F0A9-4EDB-A243-262725924490}"/>
    <cellStyle name="Comma 5 2 2 8 5 2" xfId="43185" xr:uid="{A9407C2D-74FB-4344-A9B0-2E86C3A11B30}"/>
    <cellStyle name="Comma 5 2 2 8 5 3" xfId="24931" xr:uid="{964CCAB4-E625-4D5B-8149-AAAD9DBC7755}"/>
    <cellStyle name="Comma 5 2 2 8 6" xfId="39535" xr:uid="{9885DD21-515E-4417-8FBC-1B284B5AFBFF}"/>
    <cellStyle name="Comma 5 2 2 8 7" xfId="21281" xr:uid="{E58B5F33-8E05-467B-9A55-4E1BC0DF13C5}"/>
    <cellStyle name="Comma 5 2 2 9" xfId="2297" xr:uid="{EB1C1B14-7E06-41B4-B931-48CEA20C9AD0}"/>
    <cellStyle name="Comma 5 2 2 9 2" xfId="16897" xr:uid="{2CF2B95C-9700-46B9-B4BD-44E541222EC7}"/>
    <cellStyle name="Comma 5 2 2 9 2 2" xfId="53405" xr:uid="{70C0ABA2-1A4D-4A09-8A11-7C0F3C9333F8}"/>
    <cellStyle name="Comma 5 2 2 9 2 3" xfId="35151" xr:uid="{FC6E8805-F528-4A98-9A1C-7FEFA42E0F6C}"/>
    <cellStyle name="Comma 5 2 2 9 3" xfId="13247" xr:uid="{FC61063B-234A-4245-B97E-34E3A5D82F70}"/>
    <cellStyle name="Comma 5 2 2 9 3 2" xfId="49755" xr:uid="{6E6DDCCF-23D5-4E6B-BECD-434BB195E46C}"/>
    <cellStyle name="Comma 5 2 2 9 3 3" xfId="31501" xr:uid="{41B8192D-6135-473D-AE07-78625A52816F}"/>
    <cellStyle name="Comma 5 2 2 9 4" xfId="9597" xr:uid="{1EF608A4-4C74-4CB2-8935-F764A36E91D9}"/>
    <cellStyle name="Comma 5 2 2 9 4 2" xfId="46105" xr:uid="{6AF84274-0E2D-4467-903D-924516D3D940}"/>
    <cellStyle name="Comma 5 2 2 9 4 3" xfId="27851" xr:uid="{7193BDF7-3C24-4243-9E50-F296D442962B}"/>
    <cellStyle name="Comma 5 2 2 9 5" xfId="5947" xr:uid="{8FF57CFC-B8CD-45B0-BF2F-261EB0690824}"/>
    <cellStyle name="Comma 5 2 2 9 5 2" xfId="42455" xr:uid="{F88BD4C4-BDE0-4B89-9EA6-E818991FFA47}"/>
    <cellStyle name="Comma 5 2 2 9 5 3" xfId="24201" xr:uid="{E7904779-1AC0-4303-8340-D056DBC449B8}"/>
    <cellStyle name="Comma 5 2 2 9 6" xfId="38805" xr:uid="{99E35280-5250-481C-A349-906B1C32563E}"/>
    <cellStyle name="Comma 5 2 2 9 7" xfId="20551" xr:uid="{0AFF1613-0B7F-424B-8F37-D2EE3F80A2BC}"/>
    <cellStyle name="Comma 5 2 3" xfId="72" xr:uid="{FC2F59AA-D53B-43D5-B1C5-234682A96F8D}"/>
    <cellStyle name="Comma 5 2 3 10" xfId="1535" xr:uid="{2717B68A-492E-4486-9926-96B986DB16D5}"/>
    <cellStyle name="Comma 5 2 3 10 2" xfId="16135" xr:uid="{45D52E57-D14E-4968-85B9-446A823035FC}"/>
    <cellStyle name="Comma 5 2 3 10 2 2" xfId="52643" xr:uid="{5576465D-C76D-473D-9FD9-72FC2378C0D4}"/>
    <cellStyle name="Comma 5 2 3 10 2 3" xfId="34389" xr:uid="{04FB5DD8-2693-4098-B65B-767F3CCC99BD}"/>
    <cellStyle name="Comma 5 2 3 10 3" xfId="12485" xr:uid="{FB525274-858C-48B9-9865-399BED967AB4}"/>
    <cellStyle name="Comma 5 2 3 10 3 2" xfId="48993" xr:uid="{5EE4F509-EDA7-4D1F-8A5F-AC3A8E78081D}"/>
    <cellStyle name="Comma 5 2 3 10 3 3" xfId="30739" xr:uid="{06B4A96E-41FF-4371-8706-C7F92DC65E0F}"/>
    <cellStyle name="Comma 5 2 3 10 4" xfId="8835" xr:uid="{4AD7E62C-9BD2-4BEA-89B9-C4745E792262}"/>
    <cellStyle name="Comma 5 2 3 10 4 2" xfId="45343" xr:uid="{AE9AB9DC-55F1-4BEB-BAD7-BD1D98C564A4}"/>
    <cellStyle name="Comma 5 2 3 10 4 3" xfId="27089" xr:uid="{93725B27-82BE-4251-91BD-EC74B535351E}"/>
    <cellStyle name="Comma 5 2 3 10 5" xfId="5185" xr:uid="{32F63E12-9F1F-495F-B8CA-1C15EE9B2F20}"/>
    <cellStyle name="Comma 5 2 3 10 5 2" xfId="41693" xr:uid="{0A6D6456-80A4-46C5-BEA4-FD8E78678419}"/>
    <cellStyle name="Comma 5 2 3 10 5 3" xfId="23439" xr:uid="{94FC4712-2EAD-4209-96BF-4134FCCED1F8}"/>
    <cellStyle name="Comma 5 2 3 10 6" xfId="38043" xr:uid="{899BAE96-C10E-45DF-8356-77F28BA95BC2}"/>
    <cellStyle name="Comma 5 2 3 10 7" xfId="19789" xr:uid="{2DC578EF-F9DC-433E-B98E-293E5BE13539}"/>
    <cellStyle name="Comma 5 2 3 11" xfId="805" xr:uid="{F2B5CB9D-E451-44DE-9129-32528274B5EB}"/>
    <cellStyle name="Comma 5 2 3 11 2" xfId="15405" xr:uid="{484A277F-165B-4ED3-A6FF-BCE5A7A76784}"/>
    <cellStyle name="Comma 5 2 3 11 2 2" xfId="51913" xr:uid="{56B67450-F361-42B3-B288-AFD0C0E7AEB5}"/>
    <cellStyle name="Comma 5 2 3 11 2 3" xfId="33659" xr:uid="{56C16800-47B1-4523-9104-D5E3551618C1}"/>
    <cellStyle name="Comma 5 2 3 11 3" xfId="11755" xr:uid="{18DF979B-5E95-4A46-BA82-11E0DF0997C6}"/>
    <cellStyle name="Comma 5 2 3 11 3 2" xfId="48263" xr:uid="{566C7E05-4119-467D-A346-E32150E9719A}"/>
    <cellStyle name="Comma 5 2 3 11 3 3" xfId="30009" xr:uid="{6BCF21F9-6044-41DD-985F-2FF2D080E007}"/>
    <cellStyle name="Comma 5 2 3 11 4" xfId="8105" xr:uid="{89F45A3D-7300-4F9F-B5E2-B5D2259A925C}"/>
    <cellStyle name="Comma 5 2 3 11 4 2" xfId="44613" xr:uid="{043CF370-D4E0-4B7D-855E-D12B870A6C32}"/>
    <cellStyle name="Comma 5 2 3 11 4 3" xfId="26359" xr:uid="{5934C294-AC9A-4082-949D-C2A5C133C912}"/>
    <cellStyle name="Comma 5 2 3 11 5" xfId="4455" xr:uid="{C5358663-614A-498E-A25E-63EDD33683FD}"/>
    <cellStyle name="Comma 5 2 3 11 5 2" xfId="40963" xr:uid="{DB3317BD-C35E-4BF4-9EB1-F1BF4B94EB7E}"/>
    <cellStyle name="Comma 5 2 3 11 5 3" xfId="22709" xr:uid="{E084CCFC-FABA-481D-8BCB-48285DAA06DB}"/>
    <cellStyle name="Comma 5 2 3 11 6" xfId="37313" xr:uid="{46391A76-DC52-4836-9177-610E65F3E781}"/>
    <cellStyle name="Comma 5 2 3 11 7" xfId="19059" xr:uid="{E3A5E778-83BA-4DC6-ACBB-8C128248D9B8}"/>
    <cellStyle name="Comma 5 2 3 12" xfId="14675" xr:uid="{0694ED85-C497-4A62-B42B-C2F3F18D4C24}"/>
    <cellStyle name="Comma 5 2 3 12 2" xfId="51183" xr:uid="{9E2E9C8C-806D-497D-BD43-C7658C1DEF62}"/>
    <cellStyle name="Comma 5 2 3 12 3" xfId="32929" xr:uid="{ADD8CBC3-B532-4761-92A4-86135FE9B377}"/>
    <cellStyle name="Comma 5 2 3 13" xfId="11025" xr:uid="{9966CE07-7B01-47BC-8600-B4A9BADFB65D}"/>
    <cellStyle name="Comma 5 2 3 13 2" xfId="47533" xr:uid="{39BD0149-BAE2-46EE-BD98-D4B626FC8265}"/>
    <cellStyle name="Comma 5 2 3 13 3" xfId="29279" xr:uid="{7930EC29-F681-4C7A-ACF1-E93D6E6BD1C9}"/>
    <cellStyle name="Comma 5 2 3 14" xfId="7375" xr:uid="{ED7B7A58-43E0-4528-BCB6-03074ABC8910}"/>
    <cellStyle name="Comma 5 2 3 14 2" xfId="43883" xr:uid="{9D93A6B6-05FD-4AF6-AC5A-FE4BB67AE0E2}"/>
    <cellStyle name="Comma 5 2 3 14 3" xfId="25629" xr:uid="{63F2B312-F977-4A98-9310-9CF5B16B9423}"/>
    <cellStyle name="Comma 5 2 3 15" xfId="3725" xr:uid="{088A3FAE-92F6-4891-903B-AA672B9BA4D8}"/>
    <cellStyle name="Comma 5 2 3 15 2" xfId="40233" xr:uid="{AE5476D6-0E77-4F32-BCA2-5468C20B727B}"/>
    <cellStyle name="Comma 5 2 3 15 3" xfId="21979" xr:uid="{6865F347-1890-4B39-B61D-F08D0FDE5B63}"/>
    <cellStyle name="Comma 5 2 3 16" xfId="36583" xr:uid="{AAB35185-BFD8-4DAF-837F-857A519CBA0F}"/>
    <cellStyle name="Comma 5 2 3 17" xfId="18329" xr:uid="{3F60E45C-265C-4C4F-B566-D3D17247574C}"/>
    <cellStyle name="Comma 5 2 3 2" xfId="699" xr:uid="{99C1D981-AFE2-4FDD-A92E-0529FCCF7B4A}"/>
    <cellStyle name="Comma 5 2 3 2 10" xfId="37207" xr:uid="{FAE68360-7D6F-4D28-A2C2-D18BCCD5AAA7}"/>
    <cellStyle name="Comma 5 2 3 2 11" xfId="18953" xr:uid="{C15E9D14-4AA4-4CA4-B5A1-094A3F884550}"/>
    <cellStyle name="Comma 5 2 3 2 2" xfId="3619" xr:uid="{74909F72-DC42-456C-AA82-CD7C1B5262F5}"/>
    <cellStyle name="Comma 5 2 3 2 2 2" xfId="18219" xr:uid="{CF964574-AD21-4F91-8B5A-BA052E100E8C}"/>
    <cellStyle name="Comma 5 2 3 2 2 2 2" xfId="54727" xr:uid="{6A917F94-248C-4E3B-A15B-7E1BD16B916E}"/>
    <cellStyle name="Comma 5 2 3 2 2 2 3" xfId="36473" xr:uid="{E415E4B0-27AF-4A0E-AF29-7EDBE42A7934}"/>
    <cellStyle name="Comma 5 2 3 2 2 3" xfId="14569" xr:uid="{66A74891-BBAA-4FB1-B002-3ACEE1204562}"/>
    <cellStyle name="Comma 5 2 3 2 2 3 2" xfId="51077" xr:uid="{5FF20710-9AF0-4239-B9B1-AE7F034AD2D4}"/>
    <cellStyle name="Comma 5 2 3 2 2 3 3" xfId="32823" xr:uid="{697CE46C-5D7F-4874-9A49-AE58240B8DF2}"/>
    <cellStyle name="Comma 5 2 3 2 2 4" xfId="10919" xr:uid="{4288E112-4373-4BC2-ADD1-808CE1216D33}"/>
    <cellStyle name="Comma 5 2 3 2 2 4 2" xfId="47427" xr:uid="{0C22A83E-12C6-486B-A2B2-7B2D080CD9B7}"/>
    <cellStyle name="Comma 5 2 3 2 2 4 3" xfId="29173" xr:uid="{5972D01F-4800-49A0-8F44-5F5FF88DCBDF}"/>
    <cellStyle name="Comma 5 2 3 2 2 5" xfId="7269" xr:uid="{D372D59A-5A59-4EE7-9E86-C4A533A2FF3C}"/>
    <cellStyle name="Comma 5 2 3 2 2 5 2" xfId="43777" xr:uid="{B1869A73-B41C-45EA-B671-F56AA8A7E470}"/>
    <cellStyle name="Comma 5 2 3 2 2 5 3" xfId="25523" xr:uid="{0E9B05F6-B48D-4898-ABE5-0F26087766E9}"/>
    <cellStyle name="Comma 5 2 3 2 2 6" xfId="40127" xr:uid="{BD8E81F8-7C81-430C-804E-127FDB27B7F8}"/>
    <cellStyle name="Comma 5 2 3 2 2 7" xfId="21873" xr:uid="{6253D90E-B19F-4BE7-8EEF-E6F9F58655F8}"/>
    <cellStyle name="Comma 5 2 3 2 3" xfId="2889" xr:uid="{DB938CCC-67AC-45EC-996D-B5D53C608A54}"/>
    <cellStyle name="Comma 5 2 3 2 3 2" xfId="17489" xr:uid="{E82FD752-62AB-428D-9099-6A4300C689BC}"/>
    <cellStyle name="Comma 5 2 3 2 3 2 2" xfId="53997" xr:uid="{F44E8E23-019F-4DC6-85F6-6BF985DB6E7B}"/>
    <cellStyle name="Comma 5 2 3 2 3 2 3" xfId="35743" xr:uid="{DCB04DDE-03E3-4DB9-9289-E71915E1F832}"/>
    <cellStyle name="Comma 5 2 3 2 3 3" xfId="13839" xr:uid="{2D15AB07-B8BD-46C1-9D55-9B81B9C82A42}"/>
    <cellStyle name="Comma 5 2 3 2 3 3 2" xfId="50347" xr:uid="{86D4E964-8BF9-4ED6-B426-FA294EC5657E}"/>
    <cellStyle name="Comma 5 2 3 2 3 3 3" xfId="32093" xr:uid="{780A4161-1E2D-4ED3-90E4-8F0CE8197A4E}"/>
    <cellStyle name="Comma 5 2 3 2 3 4" xfId="10189" xr:uid="{8C72D523-B03F-4654-AF10-71D54CA3435E}"/>
    <cellStyle name="Comma 5 2 3 2 3 4 2" xfId="46697" xr:uid="{14ACC2DD-89C5-4BEF-B7E0-4F72864473FB}"/>
    <cellStyle name="Comma 5 2 3 2 3 4 3" xfId="28443" xr:uid="{9B0DE65E-D1A1-49A7-992F-E04577A78370}"/>
    <cellStyle name="Comma 5 2 3 2 3 5" xfId="6539" xr:uid="{944A2B25-C156-46D9-A33F-621755009393}"/>
    <cellStyle name="Comma 5 2 3 2 3 5 2" xfId="43047" xr:uid="{72CB5CB7-E3A2-4571-9EDA-647D1D857C47}"/>
    <cellStyle name="Comma 5 2 3 2 3 5 3" xfId="24793" xr:uid="{F27B5E3E-AC2E-4A91-8125-2C15D365F32E}"/>
    <cellStyle name="Comma 5 2 3 2 3 6" xfId="39397" xr:uid="{C372FA45-DBA2-46BD-95B1-26295971F4AD}"/>
    <cellStyle name="Comma 5 2 3 2 3 7" xfId="21143" xr:uid="{14BF1456-CAAE-48FE-977E-1803758164B8}"/>
    <cellStyle name="Comma 5 2 3 2 4" xfId="2159" xr:uid="{AB7EAD39-4137-4A2A-961C-5CC4B775AA3D}"/>
    <cellStyle name="Comma 5 2 3 2 4 2" xfId="16759" xr:uid="{8064C186-28B9-4195-B576-A3BC85BA92A4}"/>
    <cellStyle name="Comma 5 2 3 2 4 2 2" xfId="53267" xr:uid="{90A7E0B2-C776-40A7-A370-833641FFF091}"/>
    <cellStyle name="Comma 5 2 3 2 4 2 3" xfId="35013" xr:uid="{7AABEC63-7E27-450E-8A75-9AF95B68AD3D}"/>
    <cellStyle name="Comma 5 2 3 2 4 3" xfId="13109" xr:uid="{3BA35B67-2AD1-4DE7-AFFD-A40661AB5E7B}"/>
    <cellStyle name="Comma 5 2 3 2 4 3 2" xfId="49617" xr:uid="{DF9A6455-E8B5-4265-BEF0-9CE815CF93C2}"/>
    <cellStyle name="Comma 5 2 3 2 4 3 3" xfId="31363" xr:uid="{160EDF3E-2E40-4453-8D92-EAC62722CC9E}"/>
    <cellStyle name="Comma 5 2 3 2 4 4" xfId="9459" xr:uid="{3649934E-942D-4476-AC1A-0B140B34D2C5}"/>
    <cellStyle name="Comma 5 2 3 2 4 4 2" xfId="45967" xr:uid="{F5716257-CCA2-4086-A3A9-BA53F28D38D2}"/>
    <cellStyle name="Comma 5 2 3 2 4 4 3" xfId="27713" xr:uid="{8D316A1A-C679-4295-A627-4E8B3AB95558}"/>
    <cellStyle name="Comma 5 2 3 2 4 5" xfId="5809" xr:uid="{D8615806-B119-4840-8DCB-3A5E80589EF0}"/>
    <cellStyle name="Comma 5 2 3 2 4 5 2" xfId="42317" xr:uid="{C9B4FEDB-9C6C-4190-BE13-8C54FE5818D1}"/>
    <cellStyle name="Comma 5 2 3 2 4 5 3" xfId="24063" xr:uid="{BF0B3C48-2339-47FD-A32F-AF16819A0907}"/>
    <cellStyle name="Comma 5 2 3 2 4 6" xfId="38667" xr:uid="{624E56D8-5048-4DB0-8E39-BD09FB2F17D9}"/>
    <cellStyle name="Comma 5 2 3 2 4 7" xfId="20413" xr:uid="{ADC69FE2-35CC-435D-80D5-F0E823C54C33}"/>
    <cellStyle name="Comma 5 2 3 2 5" xfId="1429" xr:uid="{C476B56B-5857-4D35-9FCB-7DE5D40C053B}"/>
    <cellStyle name="Comma 5 2 3 2 5 2" xfId="16029" xr:uid="{7529F0CA-8FAA-45DC-8EA0-231677173EF3}"/>
    <cellStyle name="Comma 5 2 3 2 5 2 2" xfId="52537" xr:uid="{C90B7E02-6868-4140-AB35-CFF985CC755F}"/>
    <cellStyle name="Comma 5 2 3 2 5 2 3" xfId="34283" xr:uid="{7BF7A0A5-2428-4AD4-AFD8-C20072C4CBB1}"/>
    <cellStyle name="Comma 5 2 3 2 5 3" xfId="12379" xr:uid="{02F788AF-0419-4948-AA8E-63D4384792BA}"/>
    <cellStyle name="Comma 5 2 3 2 5 3 2" xfId="48887" xr:uid="{A7E2B183-928C-4EE4-B58D-CB320789B3D0}"/>
    <cellStyle name="Comma 5 2 3 2 5 3 3" xfId="30633" xr:uid="{F40CDF3A-B8A2-49F1-BAE0-647D7660124F}"/>
    <cellStyle name="Comma 5 2 3 2 5 4" xfId="8729" xr:uid="{62F9BA49-4B9B-4C1B-B6C1-624CE9D0A826}"/>
    <cellStyle name="Comma 5 2 3 2 5 4 2" xfId="45237" xr:uid="{C13432EC-6B4E-4DE9-8C24-718A07120332}"/>
    <cellStyle name="Comma 5 2 3 2 5 4 3" xfId="26983" xr:uid="{5CAE5630-6D4F-4810-837E-CC7D9FC8D0AE}"/>
    <cellStyle name="Comma 5 2 3 2 5 5" xfId="5079" xr:uid="{56C240BF-3638-447E-A19E-2446B14B4885}"/>
    <cellStyle name="Comma 5 2 3 2 5 5 2" xfId="41587" xr:uid="{55BAFD7B-5978-4301-8500-CB8674B68C32}"/>
    <cellStyle name="Comma 5 2 3 2 5 5 3" xfId="23333" xr:uid="{BF470D8B-6BEC-4CDF-B195-CF26E060C4B8}"/>
    <cellStyle name="Comma 5 2 3 2 5 6" xfId="37937" xr:uid="{4075C3FC-E9DE-443F-9811-9D3D5A1358FB}"/>
    <cellStyle name="Comma 5 2 3 2 5 7" xfId="19683" xr:uid="{26706369-1531-4024-9AA1-D50A9ABBFF0D}"/>
    <cellStyle name="Comma 5 2 3 2 6" xfId="15299" xr:uid="{8B1E5C3A-3C37-429C-A49F-1659CE21DF0B}"/>
    <cellStyle name="Comma 5 2 3 2 6 2" xfId="51807" xr:uid="{03E60097-7513-4FB3-89E9-B29A78A9B104}"/>
    <cellStyle name="Comma 5 2 3 2 6 3" xfId="33553" xr:uid="{D0D62102-E230-486F-93ED-780D1238DDE0}"/>
    <cellStyle name="Comma 5 2 3 2 7" xfId="11649" xr:uid="{B8D21DB0-D647-42D7-98A8-893541F3039B}"/>
    <cellStyle name="Comma 5 2 3 2 7 2" xfId="48157" xr:uid="{AC3F52C8-6269-4DCF-9BD9-9FE5EA426194}"/>
    <cellStyle name="Comma 5 2 3 2 7 3" xfId="29903" xr:uid="{FC86FA5E-C878-4690-A08B-ED74DDB0882E}"/>
    <cellStyle name="Comma 5 2 3 2 8" xfId="7999" xr:uid="{924AA235-5ABE-4ACD-890F-446FE6C03C5C}"/>
    <cellStyle name="Comma 5 2 3 2 8 2" xfId="44507" xr:uid="{E1166725-67B6-43E2-BDD9-A6A0E80D9024}"/>
    <cellStyle name="Comma 5 2 3 2 8 3" xfId="26253" xr:uid="{FA55E27C-3BCB-4861-B161-060058B7CB2D}"/>
    <cellStyle name="Comma 5 2 3 2 9" xfId="4349" xr:uid="{37D03E6C-7FCC-433D-89E7-9E5748F18E13}"/>
    <cellStyle name="Comma 5 2 3 2 9 2" xfId="40857" xr:uid="{B4CE58C7-E0CE-40DE-8B5F-2CEA9A1253FB}"/>
    <cellStyle name="Comma 5 2 3 2 9 3" xfId="22603" xr:uid="{B7DB3AEE-A147-47FB-8401-425E5C1FAB42}"/>
    <cellStyle name="Comma 5 2 3 3" xfId="595" xr:uid="{12943B3D-340C-44C5-B670-CDFCCC6A23C7}"/>
    <cellStyle name="Comma 5 2 3 3 10" xfId="37103" xr:uid="{145CDF91-3AFD-4BE4-991B-D53C881D7148}"/>
    <cellStyle name="Comma 5 2 3 3 11" xfId="18849" xr:uid="{AF6BBB53-A7AD-47C2-8DC8-0CAEFCF23413}"/>
    <cellStyle name="Comma 5 2 3 3 2" xfId="3515" xr:uid="{BC581DA1-6132-4EDE-8834-A4E2DD1B4465}"/>
    <cellStyle name="Comma 5 2 3 3 2 2" xfId="18115" xr:uid="{F5B1418A-C6B6-4D1A-BC9F-FDD0785CB4B7}"/>
    <cellStyle name="Comma 5 2 3 3 2 2 2" xfId="54623" xr:uid="{5F22EABF-ABDF-4826-927F-4C4427FA2D6A}"/>
    <cellStyle name="Comma 5 2 3 3 2 2 3" xfId="36369" xr:uid="{CA8C1A7C-36C4-4026-AF7B-A75E614B2787}"/>
    <cellStyle name="Comma 5 2 3 3 2 3" xfId="14465" xr:uid="{9D3D9B74-6197-4BBF-9CF8-463FA3C576CF}"/>
    <cellStyle name="Comma 5 2 3 3 2 3 2" xfId="50973" xr:uid="{08CE254B-6890-4135-B82F-3726AD31A546}"/>
    <cellStyle name="Comma 5 2 3 3 2 3 3" xfId="32719" xr:uid="{3D665AD6-B079-4345-9521-32820F4BAC05}"/>
    <cellStyle name="Comma 5 2 3 3 2 4" xfId="10815" xr:uid="{8B0E8645-2233-40D2-8D03-57DB12FAA7E1}"/>
    <cellStyle name="Comma 5 2 3 3 2 4 2" xfId="47323" xr:uid="{B80FF995-EC55-405F-BD0E-A7BB569EE9C3}"/>
    <cellStyle name="Comma 5 2 3 3 2 4 3" xfId="29069" xr:uid="{101D309F-829B-40EE-A56F-83C77205ECD6}"/>
    <cellStyle name="Comma 5 2 3 3 2 5" xfId="7165" xr:uid="{E32EEAC2-98AA-46EB-9F08-1CF18D2735D3}"/>
    <cellStyle name="Comma 5 2 3 3 2 5 2" xfId="43673" xr:uid="{702300E6-6BE7-4118-88DB-116200EF2E42}"/>
    <cellStyle name="Comma 5 2 3 3 2 5 3" xfId="25419" xr:uid="{FA75AAD7-A9B2-4E15-8916-ECD61A5374D9}"/>
    <cellStyle name="Comma 5 2 3 3 2 6" xfId="40023" xr:uid="{67B1FAB7-B6BF-4479-80B1-5E062CC84571}"/>
    <cellStyle name="Comma 5 2 3 3 2 7" xfId="21769" xr:uid="{E7604E84-231D-4027-8175-37407CE06B15}"/>
    <cellStyle name="Comma 5 2 3 3 3" xfId="2785" xr:uid="{FDDC542E-4F26-4EF8-AF96-67079EEA87BF}"/>
    <cellStyle name="Comma 5 2 3 3 3 2" xfId="17385" xr:uid="{4183160D-B396-4C79-ACD9-14B7C0DCB255}"/>
    <cellStyle name="Comma 5 2 3 3 3 2 2" xfId="53893" xr:uid="{09895447-C571-4C40-8433-883795533EC1}"/>
    <cellStyle name="Comma 5 2 3 3 3 2 3" xfId="35639" xr:uid="{02C28D53-2A21-4993-B7C7-4114C7145D72}"/>
    <cellStyle name="Comma 5 2 3 3 3 3" xfId="13735" xr:uid="{A1A4DDE6-1E9B-4CFD-B8CB-78AC5B4EE8FC}"/>
    <cellStyle name="Comma 5 2 3 3 3 3 2" xfId="50243" xr:uid="{C18B5EB8-700C-4E5C-AE31-547428629F63}"/>
    <cellStyle name="Comma 5 2 3 3 3 3 3" xfId="31989" xr:uid="{2F5F8EE9-CDD9-4EC6-8254-7AE7ECC68011}"/>
    <cellStyle name="Comma 5 2 3 3 3 4" xfId="10085" xr:uid="{EB101D69-1F11-4D38-8E82-E4FC6E76926C}"/>
    <cellStyle name="Comma 5 2 3 3 3 4 2" xfId="46593" xr:uid="{F17E63EA-648F-4593-8F23-63CFCE8B52BF}"/>
    <cellStyle name="Comma 5 2 3 3 3 4 3" xfId="28339" xr:uid="{EEF6B6E8-EE3E-411E-8DEE-9F1A7B542527}"/>
    <cellStyle name="Comma 5 2 3 3 3 5" xfId="6435" xr:uid="{D2AAEDB8-761D-4F02-9A3B-E0B31A252BB3}"/>
    <cellStyle name="Comma 5 2 3 3 3 5 2" xfId="42943" xr:uid="{2DC22DF8-E7AE-4E7A-9BC1-5DC85A73880D}"/>
    <cellStyle name="Comma 5 2 3 3 3 5 3" xfId="24689" xr:uid="{5D947323-EE63-475B-9517-8AF7DF44353E}"/>
    <cellStyle name="Comma 5 2 3 3 3 6" xfId="39293" xr:uid="{E19DC683-7B10-4A32-9F26-496100A69DB4}"/>
    <cellStyle name="Comma 5 2 3 3 3 7" xfId="21039" xr:uid="{A1F6456D-4BD3-45D8-AB44-254010B74577}"/>
    <cellStyle name="Comma 5 2 3 3 4" xfId="2055" xr:uid="{CF353034-BF44-4BED-9C7E-7B57B01A977C}"/>
    <cellStyle name="Comma 5 2 3 3 4 2" xfId="16655" xr:uid="{625FF71E-6552-43B8-AAB7-B232EDA616A6}"/>
    <cellStyle name="Comma 5 2 3 3 4 2 2" xfId="53163" xr:uid="{0878FCC2-5381-450E-8E83-268C68D6C621}"/>
    <cellStyle name="Comma 5 2 3 3 4 2 3" xfId="34909" xr:uid="{20415AF4-6811-4A98-81A4-11E397DF4C2A}"/>
    <cellStyle name="Comma 5 2 3 3 4 3" xfId="13005" xr:uid="{2521D1FE-ABD9-43F8-B89F-ACDC9955274B}"/>
    <cellStyle name="Comma 5 2 3 3 4 3 2" xfId="49513" xr:uid="{56121E40-6C5F-47C0-BBE4-2E3B1F8CCE65}"/>
    <cellStyle name="Comma 5 2 3 3 4 3 3" xfId="31259" xr:uid="{4C55CDB0-7863-49A6-89D0-8FD4DE402F90}"/>
    <cellStyle name="Comma 5 2 3 3 4 4" xfId="9355" xr:uid="{84EB67CD-6590-4FE6-ACB2-DC40566DC7E4}"/>
    <cellStyle name="Comma 5 2 3 3 4 4 2" xfId="45863" xr:uid="{BADA0CD6-EE97-40FC-BDEA-310CE9032B5D}"/>
    <cellStyle name="Comma 5 2 3 3 4 4 3" xfId="27609" xr:uid="{8AD124B2-713D-43FE-BAD2-8511F139D658}"/>
    <cellStyle name="Comma 5 2 3 3 4 5" xfId="5705" xr:uid="{E6ACE618-2F0E-4496-A0B0-77B1FED5E893}"/>
    <cellStyle name="Comma 5 2 3 3 4 5 2" xfId="42213" xr:uid="{E3B63044-B82C-4FD3-BF84-A6ADE2AE6770}"/>
    <cellStyle name="Comma 5 2 3 3 4 5 3" xfId="23959" xr:uid="{068707FA-5919-4F30-ADC6-038634E6F9F9}"/>
    <cellStyle name="Comma 5 2 3 3 4 6" xfId="38563" xr:uid="{F18A311F-7B7E-450C-869E-0FB996E01FDF}"/>
    <cellStyle name="Comma 5 2 3 3 4 7" xfId="20309" xr:uid="{275B4BF1-D6CD-4204-9885-823614E751BD}"/>
    <cellStyle name="Comma 5 2 3 3 5" xfId="1325" xr:uid="{BB14FBE9-D02E-47EF-85D7-930BF31250BA}"/>
    <cellStyle name="Comma 5 2 3 3 5 2" xfId="15925" xr:uid="{4A7D4F00-37D6-42C2-A7B0-B595C9A1F62A}"/>
    <cellStyle name="Comma 5 2 3 3 5 2 2" xfId="52433" xr:uid="{A54207B1-68B7-4EAE-9A82-2ECE60D3F333}"/>
    <cellStyle name="Comma 5 2 3 3 5 2 3" xfId="34179" xr:uid="{F8AA68C1-20ED-4889-8A83-D0FC34D62F7E}"/>
    <cellStyle name="Comma 5 2 3 3 5 3" xfId="12275" xr:uid="{3E263A32-C985-4BE3-BBAA-6A81B205878D}"/>
    <cellStyle name="Comma 5 2 3 3 5 3 2" xfId="48783" xr:uid="{0AA6FECC-9D38-4AAD-8908-9E92E376C2A6}"/>
    <cellStyle name="Comma 5 2 3 3 5 3 3" xfId="30529" xr:uid="{63EAC7D4-3377-4AA6-869D-5530B0992C24}"/>
    <cellStyle name="Comma 5 2 3 3 5 4" xfId="8625" xr:uid="{001BE267-9B0B-4B78-8265-2F2A3B4573DD}"/>
    <cellStyle name="Comma 5 2 3 3 5 4 2" xfId="45133" xr:uid="{2E442AB7-9BE2-4EB2-B6E8-8C257992B67D}"/>
    <cellStyle name="Comma 5 2 3 3 5 4 3" xfId="26879" xr:uid="{926DDED4-19F8-4506-97BC-788CBDF8A9AF}"/>
    <cellStyle name="Comma 5 2 3 3 5 5" xfId="4975" xr:uid="{5F6123EE-0885-42B4-B726-17C982CC74EB}"/>
    <cellStyle name="Comma 5 2 3 3 5 5 2" xfId="41483" xr:uid="{9B08C9CF-A465-431C-A439-C25694F0B991}"/>
    <cellStyle name="Comma 5 2 3 3 5 5 3" xfId="23229" xr:uid="{95DC6AC4-0DF7-4DFB-9538-B8C888B0CABC}"/>
    <cellStyle name="Comma 5 2 3 3 5 6" xfId="37833" xr:uid="{DF1E380E-2ECE-4146-AF79-2AF9CC02DA05}"/>
    <cellStyle name="Comma 5 2 3 3 5 7" xfId="19579" xr:uid="{8F19CDA3-3464-469F-9AA9-93DFB2EDD404}"/>
    <cellStyle name="Comma 5 2 3 3 6" xfId="15195" xr:uid="{55F5DDC4-CAB3-4E1A-85DA-D7019F4D48E7}"/>
    <cellStyle name="Comma 5 2 3 3 6 2" xfId="51703" xr:uid="{45BB38FE-F053-4310-A83C-C7C71D73DCEE}"/>
    <cellStyle name="Comma 5 2 3 3 6 3" xfId="33449" xr:uid="{83F44B96-BE6A-4A0E-80B1-86BD1CCEA01C}"/>
    <cellStyle name="Comma 5 2 3 3 7" xfId="11545" xr:uid="{9841831F-5789-405D-B11A-68B793370E3F}"/>
    <cellStyle name="Comma 5 2 3 3 7 2" xfId="48053" xr:uid="{67AB9361-37A3-47F5-8EC0-F23C7D697394}"/>
    <cellStyle name="Comma 5 2 3 3 7 3" xfId="29799" xr:uid="{AB25D4F6-1468-45A2-9FD2-2267F18C7915}"/>
    <cellStyle name="Comma 5 2 3 3 8" xfId="7895" xr:uid="{1EBD0CF4-5A36-4F66-8387-04676549836E}"/>
    <cellStyle name="Comma 5 2 3 3 8 2" xfId="44403" xr:uid="{D2A311D2-D373-4111-A3AA-1561C973F6EF}"/>
    <cellStyle name="Comma 5 2 3 3 8 3" xfId="26149" xr:uid="{FBE8C322-F7D0-43F7-806F-72FD4DC411CE}"/>
    <cellStyle name="Comma 5 2 3 3 9" xfId="4245" xr:uid="{7023F859-41D2-4F34-9E65-0550C402DDD3}"/>
    <cellStyle name="Comma 5 2 3 3 9 2" xfId="40753" xr:uid="{34732439-4FB9-4DBA-A3FB-873F5F723719}"/>
    <cellStyle name="Comma 5 2 3 3 9 3" xfId="22499" xr:uid="{90299AED-D101-463F-B827-BE2CD626198D}"/>
    <cellStyle name="Comma 5 2 3 4" xfId="491" xr:uid="{65E827B8-D76C-44AF-9844-CF159451390E}"/>
    <cellStyle name="Comma 5 2 3 4 10" xfId="36999" xr:uid="{2D4B2911-F0DF-4DC9-9657-03627F4503DC}"/>
    <cellStyle name="Comma 5 2 3 4 11" xfId="18745" xr:uid="{8803C203-A6C6-44CE-95B1-984E2B0782D7}"/>
    <cellStyle name="Comma 5 2 3 4 2" xfId="3411" xr:uid="{04174481-3B8C-47A7-AEDC-763AFF3A0888}"/>
    <cellStyle name="Comma 5 2 3 4 2 2" xfId="18011" xr:uid="{37BA55CE-6AA1-4BC4-9B9E-579DD1A6B604}"/>
    <cellStyle name="Comma 5 2 3 4 2 2 2" xfId="54519" xr:uid="{24B032E7-6C26-4478-9848-90B7A0D4454F}"/>
    <cellStyle name="Comma 5 2 3 4 2 2 3" xfId="36265" xr:uid="{23B264D8-DA92-40EE-93FC-E411CE315602}"/>
    <cellStyle name="Comma 5 2 3 4 2 3" xfId="14361" xr:uid="{73D89FAC-6FEE-47C6-BD4D-42BEE116BE3F}"/>
    <cellStyle name="Comma 5 2 3 4 2 3 2" xfId="50869" xr:uid="{79A49C88-31AE-4752-953D-91C04156B329}"/>
    <cellStyle name="Comma 5 2 3 4 2 3 3" xfId="32615" xr:uid="{A60747C0-AAC2-4EDC-9C05-27B50B3C3A51}"/>
    <cellStyle name="Comma 5 2 3 4 2 4" xfId="10711" xr:uid="{A9ECFD78-ADAA-468B-A597-D191E97ABDF8}"/>
    <cellStyle name="Comma 5 2 3 4 2 4 2" xfId="47219" xr:uid="{7831EB8C-8A3A-46B6-A3F4-7FE7358A39F0}"/>
    <cellStyle name="Comma 5 2 3 4 2 4 3" xfId="28965" xr:uid="{F98AB883-7C32-45D8-A2AE-C04F89DE5642}"/>
    <cellStyle name="Comma 5 2 3 4 2 5" xfId="7061" xr:uid="{D6680F9F-E979-490E-BF83-6C5ED7BCD7A7}"/>
    <cellStyle name="Comma 5 2 3 4 2 5 2" xfId="43569" xr:uid="{813507EE-03A4-4897-A413-9B6EB9D6EE86}"/>
    <cellStyle name="Comma 5 2 3 4 2 5 3" xfId="25315" xr:uid="{EA0C5B1C-D66C-42FF-9141-FC5BB2C6523C}"/>
    <cellStyle name="Comma 5 2 3 4 2 6" xfId="39919" xr:uid="{E6EBE657-41D6-4A98-8943-CC8CDBEB7B7F}"/>
    <cellStyle name="Comma 5 2 3 4 2 7" xfId="21665" xr:uid="{59427FC8-B62E-4935-BA57-046632B4CC09}"/>
    <cellStyle name="Comma 5 2 3 4 3" xfId="2681" xr:uid="{7137FFAE-30DD-4154-AC8A-14DF8D16400D}"/>
    <cellStyle name="Comma 5 2 3 4 3 2" xfId="17281" xr:uid="{72EB2E95-5567-48AA-B8C3-406FB320F2E3}"/>
    <cellStyle name="Comma 5 2 3 4 3 2 2" xfId="53789" xr:uid="{75AB4A03-869F-404B-B179-2EB4419F8E6C}"/>
    <cellStyle name="Comma 5 2 3 4 3 2 3" xfId="35535" xr:uid="{CC35DD1E-1536-4383-83EA-9CB542F5E63A}"/>
    <cellStyle name="Comma 5 2 3 4 3 3" xfId="13631" xr:uid="{A6DC4CE1-EEDE-4394-924F-4208EE3049F4}"/>
    <cellStyle name="Comma 5 2 3 4 3 3 2" xfId="50139" xr:uid="{B3DB511F-3AB3-495F-8FE8-7041A7CFD6B0}"/>
    <cellStyle name="Comma 5 2 3 4 3 3 3" xfId="31885" xr:uid="{494B3284-83CC-4041-85D9-4A38F94284EC}"/>
    <cellStyle name="Comma 5 2 3 4 3 4" xfId="9981" xr:uid="{D937AF63-95E5-4E89-863C-06340A17B5FE}"/>
    <cellStyle name="Comma 5 2 3 4 3 4 2" xfId="46489" xr:uid="{BE69B808-52EE-42F2-8E30-AAEB0967A284}"/>
    <cellStyle name="Comma 5 2 3 4 3 4 3" xfId="28235" xr:uid="{D1E770CB-D13C-466B-BCDA-DBE6895FB763}"/>
    <cellStyle name="Comma 5 2 3 4 3 5" xfId="6331" xr:uid="{2824DC4E-EDCC-4856-871D-22B7AD71BDAD}"/>
    <cellStyle name="Comma 5 2 3 4 3 5 2" xfId="42839" xr:uid="{9110EBBA-B32F-405D-929D-92514F092536}"/>
    <cellStyle name="Comma 5 2 3 4 3 5 3" xfId="24585" xr:uid="{28D03D1E-B523-491D-AAE5-AF11E3089255}"/>
    <cellStyle name="Comma 5 2 3 4 3 6" xfId="39189" xr:uid="{B07F4782-32A0-4EFC-B66E-6D64DAC15119}"/>
    <cellStyle name="Comma 5 2 3 4 3 7" xfId="20935" xr:uid="{32EF359F-8B66-4AFA-B7F4-C9FC2AF59F78}"/>
    <cellStyle name="Comma 5 2 3 4 4" xfId="1951" xr:uid="{F205CBB3-8B26-49D3-ADFD-6673F800F78F}"/>
    <cellStyle name="Comma 5 2 3 4 4 2" xfId="16551" xr:uid="{AC9A8A0C-BF0E-417D-AFB2-680318C463A2}"/>
    <cellStyle name="Comma 5 2 3 4 4 2 2" xfId="53059" xr:uid="{056357C4-5304-41F4-B5E6-A634AD7A6CED}"/>
    <cellStyle name="Comma 5 2 3 4 4 2 3" xfId="34805" xr:uid="{2FBC396E-86D3-417F-953F-2E9916324D40}"/>
    <cellStyle name="Comma 5 2 3 4 4 3" xfId="12901" xr:uid="{5BAAB980-C15C-41B2-A47B-906E9B3F83A0}"/>
    <cellStyle name="Comma 5 2 3 4 4 3 2" xfId="49409" xr:uid="{33B92237-C5E1-4B40-B7E1-B93D021CFA2B}"/>
    <cellStyle name="Comma 5 2 3 4 4 3 3" xfId="31155" xr:uid="{D640F5F0-6DAA-4893-A036-3A1266A603A9}"/>
    <cellStyle name="Comma 5 2 3 4 4 4" xfId="9251" xr:uid="{C327F2FC-4A0C-4650-8214-6A31DCC5FC95}"/>
    <cellStyle name="Comma 5 2 3 4 4 4 2" xfId="45759" xr:uid="{FB703259-DB3F-440E-9C2F-D3D76DE5364F}"/>
    <cellStyle name="Comma 5 2 3 4 4 4 3" xfId="27505" xr:uid="{4B7443E0-8712-493F-86CA-F8DF45ADA3D5}"/>
    <cellStyle name="Comma 5 2 3 4 4 5" xfId="5601" xr:uid="{4F53650F-41D0-4443-959B-EE934F4EEB78}"/>
    <cellStyle name="Comma 5 2 3 4 4 5 2" xfId="42109" xr:uid="{E1C8AD81-3F5F-46D4-BAAD-633244A366A2}"/>
    <cellStyle name="Comma 5 2 3 4 4 5 3" xfId="23855" xr:uid="{AEA21693-16AF-48A4-B24A-255B84220CE4}"/>
    <cellStyle name="Comma 5 2 3 4 4 6" xfId="38459" xr:uid="{DDFB0809-899C-469B-AEF8-1C2BC53CE71A}"/>
    <cellStyle name="Comma 5 2 3 4 4 7" xfId="20205" xr:uid="{C2CA6FF9-67C2-44DE-B2BF-206C50DFD99B}"/>
    <cellStyle name="Comma 5 2 3 4 5" xfId="1221" xr:uid="{39DBDCCA-CBCF-478A-9CFD-D7C5CF3D2B79}"/>
    <cellStyle name="Comma 5 2 3 4 5 2" xfId="15821" xr:uid="{3572D084-A97B-4EB0-9BBF-928F9FCD4332}"/>
    <cellStyle name="Comma 5 2 3 4 5 2 2" xfId="52329" xr:uid="{943A1E59-6546-416E-981C-589AF8E839BB}"/>
    <cellStyle name="Comma 5 2 3 4 5 2 3" xfId="34075" xr:uid="{7131D729-AD7C-4DAB-B0AC-F4A5E93318E6}"/>
    <cellStyle name="Comma 5 2 3 4 5 3" xfId="12171" xr:uid="{92AFBEDA-306D-4117-A740-742CD144C608}"/>
    <cellStyle name="Comma 5 2 3 4 5 3 2" xfId="48679" xr:uid="{AF9E4A25-668A-40DE-A1F3-3F0CEB550A85}"/>
    <cellStyle name="Comma 5 2 3 4 5 3 3" xfId="30425" xr:uid="{8DD56509-B210-43AD-BE34-D4AB2A05343A}"/>
    <cellStyle name="Comma 5 2 3 4 5 4" xfId="8521" xr:uid="{D20829A2-12A8-4E39-BA8E-695FDB432A64}"/>
    <cellStyle name="Comma 5 2 3 4 5 4 2" xfId="45029" xr:uid="{115D41A0-96CF-4BDB-A9E7-E81C0950F3A5}"/>
    <cellStyle name="Comma 5 2 3 4 5 4 3" xfId="26775" xr:uid="{0CA2994C-5A13-462D-B4AC-0C557FA7CCCA}"/>
    <cellStyle name="Comma 5 2 3 4 5 5" xfId="4871" xr:uid="{02A0EE57-3D7F-4B40-8360-A570E54D75DD}"/>
    <cellStyle name="Comma 5 2 3 4 5 5 2" xfId="41379" xr:uid="{4F83ED48-6405-42DE-8DC5-959A6BF7817F}"/>
    <cellStyle name="Comma 5 2 3 4 5 5 3" xfId="23125" xr:uid="{68A98861-1492-4834-8D25-A6AB75BF723F}"/>
    <cellStyle name="Comma 5 2 3 4 5 6" xfId="37729" xr:uid="{2CCE9606-8DBF-4E09-B999-EB4696D5AF32}"/>
    <cellStyle name="Comma 5 2 3 4 5 7" xfId="19475" xr:uid="{7ECEC7DF-732C-4F30-B00B-8E7FE3C0C430}"/>
    <cellStyle name="Comma 5 2 3 4 6" xfId="15091" xr:uid="{20EEA31F-96E4-4222-B3FA-BFB95A3748C7}"/>
    <cellStyle name="Comma 5 2 3 4 6 2" xfId="51599" xr:uid="{B41B2AA7-5A0A-4EEB-9F94-472A4DDB31DE}"/>
    <cellStyle name="Comma 5 2 3 4 6 3" xfId="33345" xr:uid="{C6666F82-62E3-4271-AD3F-A6572E5BA69D}"/>
    <cellStyle name="Comma 5 2 3 4 7" xfId="11441" xr:uid="{D236C275-AC46-4E96-BDA7-553124007010}"/>
    <cellStyle name="Comma 5 2 3 4 7 2" xfId="47949" xr:uid="{DF4C0378-EF38-4B2A-BBA1-05F8B180D1FA}"/>
    <cellStyle name="Comma 5 2 3 4 7 3" xfId="29695" xr:uid="{91439289-CC6E-4FF6-9453-6C5EB2FA278E}"/>
    <cellStyle name="Comma 5 2 3 4 8" xfId="7791" xr:uid="{81EBE337-DEBC-4B0B-B570-CFBD69CFDB23}"/>
    <cellStyle name="Comma 5 2 3 4 8 2" xfId="44299" xr:uid="{08C88208-EC76-4673-B275-35313B877F7E}"/>
    <cellStyle name="Comma 5 2 3 4 8 3" xfId="26045" xr:uid="{19DD4B67-67CF-4743-A406-D4171F0EC7D0}"/>
    <cellStyle name="Comma 5 2 3 4 9" xfId="4141" xr:uid="{44D0F2D7-9293-4292-A78D-FC720E07818E}"/>
    <cellStyle name="Comma 5 2 3 4 9 2" xfId="40649" xr:uid="{ED7AD149-53E8-45DE-9B0C-BF743C916C49}"/>
    <cellStyle name="Comma 5 2 3 4 9 3" xfId="22395" xr:uid="{863BE3F2-3B6C-4BFE-98D2-525B5F630502}"/>
    <cellStyle name="Comma 5 2 3 5" xfId="387" xr:uid="{E4A17EAB-8A44-4169-A961-D228C96E37D5}"/>
    <cellStyle name="Comma 5 2 3 5 10" xfId="36895" xr:uid="{39178CF4-2747-423E-948E-6845C4C4508C}"/>
    <cellStyle name="Comma 5 2 3 5 11" xfId="18641" xr:uid="{DD96B414-64B4-4B8F-90CA-6894F6678E44}"/>
    <cellStyle name="Comma 5 2 3 5 2" xfId="3307" xr:uid="{06DCD461-A81E-4D78-9DEB-AF0FB41B2819}"/>
    <cellStyle name="Comma 5 2 3 5 2 2" xfId="17907" xr:uid="{E6F7461D-1E34-4DC1-B6DA-BAB0974DE1BE}"/>
    <cellStyle name="Comma 5 2 3 5 2 2 2" xfId="54415" xr:uid="{8270BCFF-CCFF-41CB-8900-6C09E51D6145}"/>
    <cellStyle name="Comma 5 2 3 5 2 2 3" xfId="36161" xr:uid="{EAF672C4-B43E-4E0E-84CD-FF3686AD7912}"/>
    <cellStyle name="Comma 5 2 3 5 2 3" xfId="14257" xr:uid="{2ED8B245-BB72-42E0-A609-DFD3A4AB3C13}"/>
    <cellStyle name="Comma 5 2 3 5 2 3 2" xfId="50765" xr:uid="{E43EBED5-6307-4D6C-839E-CC2DB128C5D0}"/>
    <cellStyle name="Comma 5 2 3 5 2 3 3" xfId="32511" xr:uid="{0A4CE9D4-28EC-469A-B286-EF71E5B31999}"/>
    <cellStyle name="Comma 5 2 3 5 2 4" xfId="10607" xr:uid="{4C973589-3E3D-45D7-91D5-2C5CC8A6302A}"/>
    <cellStyle name="Comma 5 2 3 5 2 4 2" xfId="47115" xr:uid="{41D6A1A3-0C9D-4C42-9827-640DF68ED927}"/>
    <cellStyle name="Comma 5 2 3 5 2 4 3" xfId="28861" xr:uid="{218BBF4D-D1F1-4815-B8CF-77E744D8389D}"/>
    <cellStyle name="Comma 5 2 3 5 2 5" xfId="6957" xr:uid="{E29F70A1-E22B-4B05-8EC8-B09621F867FB}"/>
    <cellStyle name="Comma 5 2 3 5 2 5 2" xfId="43465" xr:uid="{802E8CAB-CC4A-4BF8-BB76-B9ACB827FEC4}"/>
    <cellStyle name="Comma 5 2 3 5 2 5 3" xfId="25211" xr:uid="{49A7C63B-217A-4368-B4E4-B6BAE9FB2422}"/>
    <cellStyle name="Comma 5 2 3 5 2 6" xfId="39815" xr:uid="{A5D02664-9A42-4B8F-AA0D-616345B3BE2F}"/>
    <cellStyle name="Comma 5 2 3 5 2 7" xfId="21561" xr:uid="{E7ED526F-0093-4215-B9EE-75D7B4CA6C90}"/>
    <cellStyle name="Comma 5 2 3 5 3" xfId="2577" xr:uid="{920874E0-EA04-43EC-8D5D-DA25CF754B4C}"/>
    <cellStyle name="Comma 5 2 3 5 3 2" xfId="17177" xr:uid="{A2C4EEC5-8CB8-4F8C-9CCF-FCF6E83BE203}"/>
    <cellStyle name="Comma 5 2 3 5 3 2 2" xfId="53685" xr:uid="{C78005DA-98A4-4D0A-9D5A-1EACA1CC7F22}"/>
    <cellStyle name="Comma 5 2 3 5 3 2 3" xfId="35431" xr:uid="{ACA47091-9017-4268-849D-71232EAFFBAB}"/>
    <cellStyle name="Comma 5 2 3 5 3 3" xfId="13527" xr:uid="{E7FD9138-D5DC-4E8A-83EA-17F5198D8A89}"/>
    <cellStyle name="Comma 5 2 3 5 3 3 2" xfId="50035" xr:uid="{7364AB6A-FCF9-4267-BC04-E52A4E4B4634}"/>
    <cellStyle name="Comma 5 2 3 5 3 3 3" xfId="31781" xr:uid="{B7761801-7415-46DA-B716-A7FE8B038B2C}"/>
    <cellStyle name="Comma 5 2 3 5 3 4" xfId="9877" xr:uid="{08538343-196D-4D32-A8FE-9EF4E2DD49A3}"/>
    <cellStyle name="Comma 5 2 3 5 3 4 2" xfId="46385" xr:uid="{5E978A24-53C8-49E2-8BC0-9664AFB79B30}"/>
    <cellStyle name="Comma 5 2 3 5 3 4 3" xfId="28131" xr:uid="{0D2AB6FF-A8C7-497F-AA2E-173A89B17E1C}"/>
    <cellStyle name="Comma 5 2 3 5 3 5" xfId="6227" xr:uid="{2039A0F7-D1EA-4CE5-ABFF-B0C775AE74A5}"/>
    <cellStyle name="Comma 5 2 3 5 3 5 2" xfId="42735" xr:uid="{90F1AEE3-9B8D-4DD7-977C-DDC97FDC62A8}"/>
    <cellStyle name="Comma 5 2 3 5 3 5 3" xfId="24481" xr:uid="{873D7872-056E-44C2-9931-E5B034E475DF}"/>
    <cellStyle name="Comma 5 2 3 5 3 6" xfId="39085" xr:uid="{C36E6B98-A25B-49BB-A8E4-B379E0FFDF66}"/>
    <cellStyle name="Comma 5 2 3 5 3 7" xfId="20831" xr:uid="{FC6E16E7-B5D5-4E2C-9C9E-3B6402B566F1}"/>
    <cellStyle name="Comma 5 2 3 5 4" xfId="1847" xr:uid="{945378DA-ADC4-49D6-8814-148024EE47EB}"/>
    <cellStyle name="Comma 5 2 3 5 4 2" xfId="16447" xr:uid="{0543C434-DFDE-4256-80AD-11E2FFDB5CD7}"/>
    <cellStyle name="Comma 5 2 3 5 4 2 2" xfId="52955" xr:uid="{18CE38A7-ACA7-4E5B-8A7A-C08C46614103}"/>
    <cellStyle name="Comma 5 2 3 5 4 2 3" xfId="34701" xr:uid="{A7F541E7-D5BA-4430-8FB8-B2C7A7F8E378}"/>
    <cellStyle name="Comma 5 2 3 5 4 3" xfId="12797" xr:uid="{2A6009E9-7027-4D35-91E5-CB6172EC0385}"/>
    <cellStyle name="Comma 5 2 3 5 4 3 2" xfId="49305" xr:uid="{76FB1B27-74AB-4D36-BBD0-4CE5C301662B}"/>
    <cellStyle name="Comma 5 2 3 5 4 3 3" xfId="31051" xr:uid="{E8B4C669-8B58-4A3E-8C91-49FCE543D7B9}"/>
    <cellStyle name="Comma 5 2 3 5 4 4" xfId="9147" xr:uid="{431ED6C7-069D-44A0-BD7F-F10A3E5EBA44}"/>
    <cellStyle name="Comma 5 2 3 5 4 4 2" xfId="45655" xr:uid="{2E7276A0-6DF2-495B-9C6C-465A97C3C9EB}"/>
    <cellStyle name="Comma 5 2 3 5 4 4 3" xfId="27401" xr:uid="{7EFD1198-6AA0-4431-9ACA-F0CFEEFD99B5}"/>
    <cellStyle name="Comma 5 2 3 5 4 5" xfId="5497" xr:uid="{0526A282-8084-44EE-9D20-38E8F547B729}"/>
    <cellStyle name="Comma 5 2 3 5 4 5 2" xfId="42005" xr:uid="{206D1DCE-0F6F-4F55-A5E1-11F920DD2160}"/>
    <cellStyle name="Comma 5 2 3 5 4 5 3" xfId="23751" xr:uid="{3F8B1B79-0DEC-4A20-8528-9D86822B7225}"/>
    <cellStyle name="Comma 5 2 3 5 4 6" xfId="38355" xr:uid="{5FDA9382-B60A-49CD-885C-0A1B77D6071D}"/>
    <cellStyle name="Comma 5 2 3 5 4 7" xfId="20101" xr:uid="{71DE6837-2B40-4C37-B655-3BB7041799C7}"/>
    <cellStyle name="Comma 5 2 3 5 5" xfId="1117" xr:uid="{457A13B1-C90D-4A1C-BF71-17CD2D20881B}"/>
    <cellStyle name="Comma 5 2 3 5 5 2" xfId="15717" xr:uid="{B6ED7954-704B-4978-94B8-986C54631C18}"/>
    <cellStyle name="Comma 5 2 3 5 5 2 2" xfId="52225" xr:uid="{4D68496A-CC29-40DE-9970-2623F0FFD904}"/>
    <cellStyle name="Comma 5 2 3 5 5 2 3" xfId="33971" xr:uid="{01A916B1-2BB8-4754-8186-0E0543497D11}"/>
    <cellStyle name="Comma 5 2 3 5 5 3" xfId="12067" xr:uid="{732D3B93-467D-41A7-B143-3A5E02F7ED8E}"/>
    <cellStyle name="Comma 5 2 3 5 5 3 2" xfId="48575" xr:uid="{98457D81-47A4-4B7E-8E10-8056DE839A8B}"/>
    <cellStyle name="Comma 5 2 3 5 5 3 3" xfId="30321" xr:uid="{68B57B53-C011-4EA5-83C0-2AA500219B59}"/>
    <cellStyle name="Comma 5 2 3 5 5 4" xfId="8417" xr:uid="{7A157E1C-FC73-4907-9831-FF794C9624B4}"/>
    <cellStyle name="Comma 5 2 3 5 5 4 2" xfId="44925" xr:uid="{2F2AA9E1-D241-4945-81FE-214FB0EC7125}"/>
    <cellStyle name="Comma 5 2 3 5 5 4 3" xfId="26671" xr:uid="{7CF4DD5B-E0CD-4CB3-A644-D4319CF92C0E}"/>
    <cellStyle name="Comma 5 2 3 5 5 5" xfId="4767" xr:uid="{663E0659-797B-4A33-83BE-8E2CDD6DA756}"/>
    <cellStyle name="Comma 5 2 3 5 5 5 2" xfId="41275" xr:uid="{103A99F5-C1CB-47A7-B7E1-B4DB4340117A}"/>
    <cellStyle name="Comma 5 2 3 5 5 5 3" xfId="23021" xr:uid="{DC04E23E-0767-46D1-967F-F8A90926DAAA}"/>
    <cellStyle name="Comma 5 2 3 5 5 6" xfId="37625" xr:uid="{D5EBE4C6-0EB0-4EE4-94D9-DD740BD52651}"/>
    <cellStyle name="Comma 5 2 3 5 5 7" xfId="19371" xr:uid="{F882E11B-BF10-4EC4-8AFC-B481F6D4CC27}"/>
    <cellStyle name="Comma 5 2 3 5 6" xfId="14987" xr:uid="{DD7114C0-E91C-42D2-926A-1FDDD6DFFA8A}"/>
    <cellStyle name="Comma 5 2 3 5 6 2" xfId="51495" xr:uid="{0DB805A8-1663-4C0B-8656-4E4B021CF0B8}"/>
    <cellStyle name="Comma 5 2 3 5 6 3" xfId="33241" xr:uid="{EBA93450-0ADF-4614-82D3-5AB8677B3D77}"/>
    <cellStyle name="Comma 5 2 3 5 7" xfId="11337" xr:uid="{742B4DA1-7BBA-4002-937E-E7D44390908B}"/>
    <cellStyle name="Comma 5 2 3 5 7 2" xfId="47845" xr:uid="{CB6F5030-2D15-4300-B6C2-401F85BD7E94}"/>
    <cellStyle name="Comma 5 2 3 5 7 3" xfId="29591" xr:uid="{91D9F2A5-1743-4800-AA3D-A720116FA9E6}"/>
    <cellStyle name="Comma 5 2 3 5 8" xfId="7687" xr:uid="{D1D6BC6D-220C-4149-842C-B772DDB6A1E6}"/>
    <cellStyle name="Comma 5 2 3 5 8 2" xfId="44195" xr:uid="{10E39B35-A7F2-4134-8692-20E5E45E7C6E}"/>
    <cellStyle name="Comma 5 2 3 5 8 3" xfId="25941" xr:uid="{B58B1180-D808-4E80-83B6-E72C86D4667E}"/>
    <cellStyle name="Comma 5 2 3 5 9" xfId="4037" xr:uid="{2E0CC03E-CF69-42E3-B9D6-F35E5A1AB308}"/>
    <cellStyle name="Comma 5 2 3 5 9 2" xfId="40545" xr:uid="{5B6D1C27-809B-4E00-BF7A-7E8C545183A3}"/>
    <cellStyle name="Comma 5 2 3 5 9 3" xfId="22291" xr:uid="{89F19060-B0C9-46B6-BB01-8277EF238294}"/>
    <cellStyle name="Comma 5 2 3 6" xfId="283" xr:uid="{014C4BF8-C42D-40D2-BDA1-7A0CC4B74707}"/>
    <cellStyle name="Comma 5 2 3 6 10" xfId="36791" xr:uid="{E8B673E0-B545-46F3-89B1-474C20D61217}"/>
    <cellStyle name="Comma 5 2 3 6 11" xfId="18537" xr:uid="{212D2A73-AA63-487B-8F0A-0E26E5D29723}"/>
    <cellStyle name="Comma 5 2 3 6 2" xfId="3203" xr:uid="{E0CFA37E-214A-48D3-A13B-40E4D20218F6}"/>
    <cellStyle name="Comma 5 2 3 6 2 2" xfId="17803" xr:uid="{C64302C3-BA04-4B76-8F0C-DDE27E4D648A}"/>
    <cellStyle name="Comma 5 2 3 6 2 2 2" xfId="54311" xr:uid="{939266DF-1279-4771-9A17-1155A8413422}"/>
    <cellStyle name="Comma 5 2 3 6 2 2 3" xfId="36057" xr:uid="{7B6DB854-E765-44E0-85FD-B2D130EF3627}"/>
    <cellStyle name="Comma 5 2 3 6 2 3" xfId="14153" xr:uid="{0D049AD3-EAB1-41E9-897E-7098E6133E9E}"/>
    <cellStyle name="Comma 5 2 3 6 2 3 2" xfId="50661" xr:uid="{EDD06CA0-BBA3-4948-99BE-61579DFEE443}"/>
    <cellStyle name="Comma 5 2 3 6 2 3 3" xfId="32407" xr:uid="{41D775CC-4398-4786-AF27-B5305ED542A1}"/>
    <cellStyle name="Comma 5 2 3 6 2 4" xfId="10503" xr:uid="{45B90BDB-8F6D-4348-8424-31030B75C892}"/>
    <cellStyle name="Comma 5 2 3 6 2 4 2" xfId="47011" xr:uid="{82FBFF10-0113-4D8D-8BE5-001DC0F858FA}"/>
    <cellStyle name="Comma 5 2 3 6 2 4 3" xfId="28757" xr:uid="{146A274B-F982-481F-9194-F8475D4C8963}"/>
    <cellStyle name="Comma 5 2 3 6 2 5" xfId="6853" xr:uid="{AB667891-CF77-463E-9EA3-9FB854970559}"/>
    <cellStyle name="Comma 5 2 3 6 2 5 2" xfId="43361" xr:uid="{3F460B5B-66A5-44DD-847A-00DCFC2DF983}"/>
    <cellStyle name="Comma 5 2 3 6 2 5 3" xfId="25107" xr:uid="{58CEC657-AE1E-458D-8F07-72EF9B60892C}"/>
    <cellStyle name="Comma 5 2 3 6 2 6" xfId="39711" xr:uid="{21408ECB-A66B-47ED-B591-EC409CA79297}"/>
    <cellStyle name="Comma 5 2 3 6 2 7" xfId="21457" xr:uid="{3F5BD29B-8652-40F8-A2DC-EB406E737415}"/>
    <cellStyle name="Comma 5 2 3 6 3" xfId="2473" xr:uid="{83A2737F-1B27-41A4-B03F-04705A2C13ED}"/>
    <cellStyle name="Comma 5 2 3 6 3 2" xfId="17073" xr:uid="{58AA9D68-D32C-4436-B6D9-107804D930AC}"/>
    <cellStyle name="Comma 5 2 3 6 3 2 2" xfId="53581" xr:uid="{F67F0148-1BD2-4B34-8A53-B3183F839CA5}"/>
    <cellStyle name="Comma 5 2 3 6 3 2 3" xfId="35327" xr:uid="{E5E644AB-16A2-4FF2-9BE1-B23304745271}"/>
    <cellStyle name="Comma 5 2 3 6 3 3" xfId="13423" xr:uid="{B5CCEAD4-1360-49F2-B539-DB57E10BD67F}"/>
    <cellStyle name="Comma 5 2 3 6 3 3 2" xfId="49931" xr:uid="{71A853EF-6233-4CCA-9F8B-35AD41AF2792}"/>
    <cellStyle name="Comma 5 2 3 6 3 3 3" xfId="31677" xr:uid="{DF04781F-1D43-48E5-83A9-8996DCEF664A}"/>
    <cellStyle name="Comma 5 2 3 6 3 4" xfId="9773" xr:uid="{CFB20933-90FA-41CB-88FA-A7DF783319F5}"/>
    <cellStyle name="Comma 5 2 3 6 3 4 2" xfId="46281" xr:uid="{357A16A3-11AA-431E-B1A1-97549D063F70}"/>
    <cellStyle name="Comma 5 2 3 6 3 4 3" xfId="28027" xr:uid="{05C86997-CF0D-4547-8AAF-73651A40B6EF}"/>
    <cellStyle name="Comma 5 2 3 6 3 5" xfId="6123" xr:uid="{4BEF771B-756E-431D-91E6-00CE6E5F1DDB}"/>
    <cellStyle name="Comma 5 2 3 6 3 5 2" xfId="42631" xr:uid="{E498E04A-3538-4974-AC94-8DC7C2CCA6D4}"/>
    <cellStyle name="Comma 5 2 3 6 3 5 3" xfId="24377" xr:uid="{FE954986-1FE1-4C97-95D3-05378AD0F683}"/>
    <cellStyle name="Comma 5 2 3 6 3 6" xfId="38981" xr:uid="{1FE0666D-870E-436C-AEE1-D7D09F432AAD}"/>
    <cellStyle name="Comma 5 2 3 6 3 7" xfId="20727" xr:uid="{98190AA2-0464-45FB-A5FF-659008233DC0}"/>
    <cellStyle name="Comma 5 2 3 6 4" xfId="1743" xr:uid="{5A531AA7-DF93-49B6-A8C8-27EBB2A452B1}"/>
    <cellStyle name="Comma 5 2 3 6 4 2" xfId="16343" xr:uid="{708F648C-8EB4-4EEC-B914-57744F19674E}"/>
    <cellStyle name="Comma 5 2 3 6 4 2 2" xfId="52851" xr:uid="{CE9F9232-0582-49C8-BA74-BAB74F7DF3FC}"/>
    <cellStyle name="Comma 5 2 3 6 4 2 3" xfId="34597" xr:uid="{0F6968E2-151D-450C-8223-1C9B85B28580}"/>
    <cellStyle name="Comma 5 2 3 6 4 3" xfId="12693" xr:uid="{2DF92750-D10F-4C6D-982A-09BFAC7E8721}"/>
    <cellStyle name="Comma 5 2 3 6 4 3 2" xfId="49201" xr:uid="{E0048D68-ECB7-4623-BC6B-67A1312B6F42}"/>
    <cellStyle name="Comma 5 2 3 6 4 3 3" xfId="30947" xr:uid="{BFC9FB16-1062-4149-A9FC-BEFA75B66859}"/>
    <cellStyle name="Comma 5 2 3 6 4 4" xfId="9043" xr:uid="{9D3F12C4-9552-4233-AB46-7B7F1942D58C}"/>
    <cellStyle name="Comma 5 2 3 6 4 4 2" xfId="45551" xr:uid="{AF86A071-44F9-4A70-8AE4-6367D81FA170}"/>
    <cellStyle name="Comma 5 2 3 6 4 4 3" xfId="27297" xr:uid="{CC8D4E7A-77CE-4995-98AA-7700B5CB7622}"/>
    <cellStyle name="Comma 5 2 3 6 4 5" xfId="5393" xr:uid="{128E07AA-2842-455B-8224-5C05D08F81A6}"/>
    <cellStyle name="Comma 5 2 3 6 4 5 2" xfId="41901" xr:uid="{5D06DFAA-EAB5-4053-834B-B0190C85E547}"/>
    <cellStyle name="Comma 5 2 3 6 4 5 3" xfId="23647" xr:uid="{2E0E0AB6-AEA8-42AC-8ABC-E1738280663E}"/>
    <cellStyle name="Comma 5 2 3 6 4 6" xfId="38251" xr:uid="{84ACE408-07A0-4113-B362-1037CCD04D6F}"/>
    <cellStyle name="Comma 5 2 3 6 4 7" xfId="19997" xr:uid="{857DE4F8-A06F-4125-8AAD-8EC8F1253782}"/>
    <cellStyle name="Comma 5 2 3 6 5" xfId="1013" xr:uid="{9CBA8A40-919C-4FDF-9753-30C24C89B283}"/>
    <cellStyle name="Comma 5 2 3 6 5 2" xfId="15613" xr:uid="{FC86E032-A6F8-4A1A-9597-39EFEF390795}"/>
    <cellStyle name="Comma 5 2 3 6 5 2 2" xfId="52121" xr:uid="{93FDF1F1-FBD3-4B10-AA46-C1663900734A}"/>
    <cellStyle name="Comma 5 2 3 6 5 2 3" xfId="33867" xr:uid="{3FE2F08B-0377-4A02-9431-9C3C2406A8E2}"/>
    <cellStyle name="Comma 5 2 3 6 5 3" xfId="11963" xr:uid="{C2D0947C-1CEB-4003-A51D-59E1A7CD05A3}"/>
    <cellStyle name="Comma 5 2 3 6 5 3 2" xfId="48471" xr:uid="{CC67D33D-268D-4049-ADCB-BFABD8F3BB5A}"/>
    <cellStyle name="Comma 5 2 3 6 5 3 3" xfId="30217" xr:uid="{BEF2FE1A-599C-4C62-A721-64B531E904BB}"/>
    <cellStyle name="Comma 5 2 3 6 5 4" xfId="8313" xr:uid="{6DCCB701-403C-49E4-AA61-04C76849A57C}"/>
    <cellStyle name="Comma 5 2 3 6 5 4 2" xfId="44821" xr:uid="{E57A5155-173E-470C-9C44-638B2F99E6ED}"/>
    <cellStyle name="Comma 5 2 3 6 5 4 3" xfId="26567" xr:uid="{9F588EEF-219B-439B-AFA0-E835F28EAC1A}"/>
    <cellStyle name="Comma 5 2 3 6 5 5" xfId="4663" xr:uid="{40278DA7-459B-425A-9059-41CCEAECB5DA}"/>
    <cellStyle name="Comma 5 2 3 6 5 5 2" xfId="41171" xr:uid="{7578C528-BF40-4E2E-8E15-863F4935F0BF}"/>
    <cellStyle name="Comma 5 2 3 6 5 5 3" xfId="22917" xr:uid="{4759F995-2ED0-46B8-A6C4-92A71695F8FF}"/>
    <cellStyle name="Comma 5 2 3 6 5 6" xfId="37521" xr:uid="{039BCB3F-5123-4A4F-B994-01B4D435FAAF}"/>
    <cellStyle name="Comma 5 2 3 6 5 7" xfId="19267" xr:uid="{7C48566D-1744-4289-BA83-792703F2A6A9}"/>
    <cellStyle name="Comma 5 2 3 6 6" xfId="14883" xr:uid="{130752BD-7ADF-49C3-BC6A-F2227070BE08}"/>
    <cellStyle name="Comma 5 2 3 6 6 2" xfId="51391" xr:uid="{FD61F424-9545-461D-A4B7-622383D3596F}"/>
    <cellStyle name="Comma 5 2 3 6 6 3" xfId="33137" xr:uid="{D6149ACB-C5D5-4E65-AD64-0FF97EFC27CA}"/>
    <cellStyle name="Comma 5 2 3 6 7" xfId="11233" xr:uid="{DDD928F0-8E68-4A21-B403-ECC7F1A0B6E3}"/>
    <cellStyle name="Comma 5 2 3 6 7 2" xfId="47741" xr:uid="{1BECE463-B630-438A-9E95-3821C59ABD1B}"/>
    <cellStyle name="Comma 5 2 3 6 7 3" xfId="29487" xr:uid="{CEF4CA21-469F-4451-A88E-A2FEABECE4D4}"/>
    <cellStyle name="Comma 5 2 3 6 8" xfId="7583" xr:uid="{4749A382-D105-4003-8976-65237543258B}"/>
    <cellStyle name="Comma 5 2 3 6 8 2" xfId="44091" xr:uid="{24D91E69-87FC-49B0-AC7E-2F89EF9C4A49}"/>
    <cellStyle name="Comma 5 2 3 6 8 3" xfId="25837" xr:uid="{6DB3380D-43FC-40BE-830F-0649DCE21D5E}"/>
    <cellStyle name="Comma 5 2 3 6 9" xfId="3933" xr:uid="{B3704761-8912-44C0-B43D-92978A20FFB9}"/>
    <cellStyle name="Comma 5 2 3 6 9 2" xfId="40441" xr:uid="{2EBF5C0D-2299-46D7-AFC8-0E8250C938C6}"/>
    <cellStyle name="Comma 5 2 3 6 9 3" xfId="22187" xr:uid="{F93F989E-5C9E-48F5-9E9D-CE1DE74C4581}"/>
    <cellStyle name="Comma 5 2 3 7" xfId="179" xr:uid="{F93EE974-7E27-4BCD-9FBD-AF39D4399E4F}"/>
    <cellStyle name="Comma 5 2 3 7 10" xfId="36687" xr:uid="{C513189B-51EF-401C-B000-F6C02845165F}"/>
    <cellStyle name="Comma 5 2 3 7 11" xfId="18433" xr:uid="{02B1ED77-D084-41CB-A26D-D1458B7D08A7}"/>
    <cellStyle name="Comma 5 2 3 7 2" xfId="3099" xr:uid="{42056440-511F-4CF3-B1A8-F325CD1D871F}"/>
    <cellStyle name="Comma 5 2 3 7 2 2" xfId="17699" xr:uid="{F49DB01B-AD16-4447-BB8E-2DCF2F63E41A}"/>
    <cellStyle name="Comma 5 2 3 7 2 2 2" xfId="54207" xr:uid="{5C71D821-EA6F-4CB9-B414-7FF347507351}"/>
    <cellStyle name="Comma 5 2 3 7 2 2 3" xfId="35953" xr:uid="{5F9C1659-EF95-464D-9346-B6A13AE5FEF0}"/>
    <cellStyle name="Comma 5 2 3 7 2 3" xfId="14049" xr:uid="{52B0CDD1-24B3-449F-B4B7-BAD4C45F099B}"/>
    <cellStyle name="Comma 5 2 3 7 2 3 2" xfId="50557" xr:uid="{4C1CEDDF-EA78-4C37-B03A-EBEA98C4710E}"/>
    <cellStyle name="Comma 5 2 3 7 2 3 3" xfId="32303" xr:uid="{B3004989-EB31-424F-832C-0CCEDBF7C2C4}"/>
    <cellStyle name="Comma 5 2 3 7 2 4" xfId="10399" xr:uid="{7B536D7C-FF5C-43B7-ADC8-BE362F26F09C}"/>
    <cellStyle name="Comma 5 2 3 7 2 4 2" xfId="46907" xr:uid="{245F6285-E934-4273-88A4-2ABC43A91FB0}"/>
    <cellStyle name="Comma 5 2 3 7 2 4 3" xfId="28653" xr:uid="{1CAD2417-BBE2-4154-9C1B-B0B354AB5EB8}"/>
    <cellStyle name="Comma 5 2 3 7 2 5" xfId="6749" xr:uid="{49D2BF4F-3E4E-49E4-9857-509E62148D37}"/>
    <cellStyle name="Comma 5 2 3 7 2 5 2" xfId="43257" xr:uid="{2D40048D-B8A7-4B69-BBDF-65F87912A9EC}"/>
    <cellStyle name="Comma 5 2 3 7 2 5 3" xfId="25003" xr:uid="{B1964D52-344B-47CF-8F0E-4232C0229861}"/>
    <cellStyle name="Comma 5 2 3 7 2 6" xfId="39607" xr:uid="{65E26666-9E40-44C6-8376-E2B89C9E1813}"/>
    <cellStyle name="Comma 5 2 3 7 2 7" xfId="21353" xr:uid="{A42C289E-3560-492D-87BE-AFFAAD32CC2A}"/>
    <cellStyle name="Comma 5 2 3 7 3" xfId="2369" xr:uid="{9DBFADD8-7B18-44BF-882F-F7316558E3E9}"/>
    <cellStyle name="Comma 5 2 3 7 3 2" xfId="16969" xr:uid="{2EBAB0C7-C9F9-4A8A-8CE2-DE3DC1E068F2}"/>
    <cellStyle name="Comma 5 2 3 7 3 2 2" xfId="53477" xr:uid="{822C91DD-A5AF-48C7-A9BA-FF27C79377FF}"/>
    <cellStyle name="Comma 5 2 3 7 3 2 3" xfId="35223" xr:uid="{CFD11448-5DEE-43A6-8112-677F882236A1}"/>
    <cellStyle name="Comma 5 2 3 7 3 3" xfId="13319" xr:uid="{65FB4F70-EEA5-4893-A028-BD0B9CBBCE46}"/>
    <cellStyle name="Comma 5 2 3 7 3 3 2" xfId="49827" xr:uid="{01A9D45D-59A8-428B-B6C9-891C76434656}"/>
    <cellStyle name="Comma 5 2 3 7 3 3 3" xfId="31573" xr:uid="{B0C1FA4A-7819-4B8B-A2C3-32A8F670F141}"/>
    <cellStyle name="Comma 5 2 3 7 3 4" xfId="9669" xr:uid="{98BEEE52-2C76-4F96-A2A9-8FD907DDF592}"/>
    <cellStyle name="Comma 5 2 3 7 3 4 2" xfId="46177" xr:uid="{7459B237-DBC3-40D4-9AFC-A7A3E490680E}"/>
    <cellStyle name="Comma 5 2 3 7 3 4 3" xfId="27923" xr:uid="{61A78C1C-F23B-4F5D-B19E-886E4F30BCCD}"/>
    <cellStyle name="Comma 5 2 3 7 3 5" xfId="6019" xr:uid="{5D774F53-A6E1-4187-B139-DDB58D99A78C}"/>
    <cellStyle name="Comma 5 2 3 7 3 5 2" xfId="42527" xr:uid="{1BFBB6C3-C235-4655-B305-93388FD612AA}"/>
    <cellStyle name="Comma 5 2 3 7 3 5 3" xfId="24273" xr:uid="{C07D2DD6-EA0A-4C92-A92E-CC58283AE560}"/>
    <cellStyle name="Comma 5 2 3 7 3 6" xfId="38877" xr:uid="{5BFE2237-94C7-47E4-962B-E68642CAB027}"/>
    <cellStyle name="Comma 5 2 3 7 3 7" xfId="20623" xr:uid="{EAF6C85C-6344-4211-9645-A78A56B20079}"/>
    <cellStyle name="Comma 5 2 3 7 4" xfId="1639" xr:uid="{4BE2F69A-DC49-4BCB-B1ED-AE53CE8A8205}"/>
    <cellStyle name="Comma 5 2 3 7 4 2" xfId="16239" xr:uid="{E0777695-BBD7-410B-8894-36C66F172F96}"/>
    <cellStyle name="Comma 5 2 3 7 4 2 2" xfId="52747" xr:uid="{F042EECD-5F50-4091-BC93-9055309037DE}"/>
    <cellStyle name="Comma 5 2 3 7 4 2 3" xfId="34493" xr:uid="{C2BC37BD-8795-4659-AF96-4A350DC1AFA5}"/>
    <cellStyle name="Comma 5 2 3 7 4 3" xfId="12589" xr:uid="{4A76C8FB-56B2-44E9-BBBA-A6BEB087BD8E}"/>
    <cellStyle name="Comma 5 2 3 7 4 3 2" xfId="49097" xr:uid="{08877DF6-C4C0-4C90-B19D-7D195E7F1717}"/>
    <cellStyle name="Comma 5 2 3 7 4 3 3" xfId="30843" xr:uid="{C6ABFFA1-B679-457A-9BD1-CE79020BB48B}"/>
    <cellStyle name="Comma 5 2 3 7 4 4" xfId="8939" xr:uid="{859AAFA3-1944-4FA8-87DE-1EE4CCE60733}"/>
    <cellStyle name="Comma 5 2 3 7 4 4 2" xfId="45447" xr:uid="{166C4665-15C0-42B5-B2C2-7279256AE529}"/>
    <cellStyle name="Comma 5 2 3 7 4 4 3" xfId="27193" xr:uid="{AD8CF614-088F-4E5F-A1C2-90D0C0B864A4}"/>
    <cellStyle name="Comma 5 2 3 7 4 5" xfId="5289" xr:uid="{F72BD552-6970-49ED-B50B-AD7C7401A287}"/>
    <cellStyle name="Comma 5 2 3 7 4 5 2" xfId="41797" xr:uid="{C98F778A-7F03-4A8D-87B7-1F2C58A76461}"/>
    <cellStyle name="Comma 5 2 3 7 4 5 3" xfId="23543" xr:uid="{BB731043-67BB-4D30-A4F4-6F58BFD71BE6}"/>
    <cellStyle name="Comma 5 2 3 7 4 6" xfId="38147" xr:uid="{52B7061D-EAB1-405F-BEE2-E3655CB103A6}"/>
    <cellStyle name="Comma 5 2 3 7 4 7" xfId="19893" xr:uid="{D562CA1A-6C12-48AD-924A-9D5BAE772E15}"/>
    <cellStyle name="Comma 5 2 3 7 5" xfId="909" xr:uid="{31CBEFD2-D3EC-47AA-8354-74BDE4E0142B}"/>
    <cellStyle name="Comma 5 2 3 7 5 2" xfId="15509" xr:uid="{4F3E8B99-C590-473F-B0F2-EC1DCC8F1038}"/>
    <cellStyle name="Comma 5 2 3 7 5 2 2" xfId="52017" xr:uid="{B62132FA-E71F-462F-A6BD-4A2E679E741D}"/>
    <cellStyle name="Comma 5 2 3 7 5 2 3" xfId="33763" xr:uid="{4DE01BA5-8270-4333-9577-6C1E4B69306F}"/>
    <cellStyle name="Comma 5 2 3 7 5 3" xfId="11859" xr:uid="{87EAF9EE-A3D1-4309-806B-3DEF3C0BDED6}"/>
    <cellStyle name="Comma 5 2 3 7 5 3 2" xfId="48367" xr:uid="{C0ED2243-1C1D-4818-9D12-281A5A6B3CD5}"/>
    <cellStyle name="Comma 5 2 3 7 5 3 3" xfId="30113" xr:uid="{F5B0F30B-2E4B-4415-9832-24AD4D58E611}"/>
    <cellStyle name="Comma 5 2 3 7 5 4" xfId="8209" xr:uid="{56075650-347C-4844-8AA4-D4D5AC8B72C7}"/>
    <cellStyle name="Comma 5 2 3 7 5 4 2" xfId="44717" xr:uid="{E2F70678-15B3-4F8F-8AC4-84145B777FD7}"/>
    <cellStyle name="Comma 5 2 3 7 5 4 3" xfId="26463" xr:uid="{4A8BA836-7014-4EFA-BA31-8DA2B0998FB5}"/>
    <cellStyle name="Comma 5 2 3 7 5 5" xfId="4559" xr:uid="{29E9C2E4-DA6B-4AAA-BD5C-7C4E873449C7}"/>
    <cellStyle name="Comma 5 2 3 7 5 5 2" xfId="41067" xr:uid="{EDE3624F-EA19-4B9F-A93A-631F29AEEA16}"/>
    <cellStyle name="Comma 5 2 3 7 5 5 3" xfId="22813" xr:uid="{41761F9D-5A8B-42DE-BE85-180D42627C95}"/>
    <cellStyle name="Comma 5 2 3 7 5 6" xfId="37417" xr:uid="{D6BF6A38-B701-4030-B183-B578B50E13F3}"/>
    <cellStyle name="Comma 5 2 3 7 5 7" xfId="19163" xr:uid="{CB92946A-59B8-4A7E-A58C-5BD5D03BE30F}"/>
    <cellStyle name="Comma 5 2 3 7 6" xfId="14779" xr:uid="{B42C6F79-F3F6-46ED-A0D4-C68F0B099739}"/>
    <cellStyle name="Comma 5 2 3 7 6 2" xfId="51287" xr:uid="{2C7DFC51-2EC8-4DC0-8086-6CBECA15C95F}"/>
    <cellStyle name="Comma 5 2 3 7 6 3" xfId="33033" xr:uid="{8B7E9B96-8F0D-458E-A414-27A7A54D3369}"/>
    <cellStyle name="Comma 5 2 3 7 7" xfId="11129" xr:uid="{93DCD1F2-D2D5-47AD-9592-05D8D6B00362}"/>
    <cellStyle name="Comma 5 2 3 7 7 2" xfId="47637" xr:uid="{C51BEFC4-835C-4B88-A59F-24E2B6C1E76C}"/>
    <cellStyle name="Comma 5 2 3 7 7 3" xfId="29383" xr:uid="{D7C2FDDE-8208-4656-AC59-9A8CB38DDD16}"/>
    <cellStyle name="Comma 5 2 3 7 8" xfId="7479" xr:uid="{27A62FD1-6D42-4F6D-9F13-C202477404CE}"/>
    <cellStyle name="Comma 5 2 3 7 8 2" xfId="43987" xr:uid="{156B989C-C8A0-4A73-8650-01B0CEC450F0}"/>
    <cellStyle name="Comma 5 2 3 7 8 3" xfId="25733" xr:uid="{B933B870-B187-493E-BA93-DE771B9D0B23}"/>
    <cellStyle name="Comma 5 2 3 7 9" xfId="3829" xr:uid="{52D9D88F-A34D-41CF-AC2C-0C7A01C30C53}"/>
    <cellStyle name="Comma 5 2 3 7 9 2" xfId="40337" xr:uid="{4CA9CB3E-D464-4337-AAA3-CE05412E6E0E}"/>
    <cellStyle name="Comma 5 2 3 7 9 3" xfId="22083" xr:uid="{C72DE0BF-3A90-45E0-AE40-387C46E2BD98}"/>
    <cellStyle name="Comma 5 2 3 8" xfId="2995" xr:uid="{44608540-6732-41A5-8553-522F8B2F3C7A}"/>
    <cellStyle name="Comma 5 2 3 8 2" xfId="17595" xr:uid="{3D3435F2-A859-48D8-9B4D-E0C02AA55216}"/>
    <cellStyle name="Comma 5 2 3 8 2 2" xfId="54103" xr:uid="{1924060B-DDF5-4004-A64C-74FAF8B6F16F}"/>
    <cellStyle name="Comma 5 2 3 8 2 3" xfId="35849" xr:uid="{4A3D0177-299C-4ED6-BC9A-2E8515EBF42F}"/>
    <cellStyle name="Comma 5 2 3 8 3" xfId="13945" xr:uid="{67D63B21-1051-4054-B75F-F27009A3691D}"/>
    <cellStyle name="Comma 5 2 3 8 3 2" xfId="50453" xr:uid="{208A950B-694A-46A4-BFCC-D2E44AABD028}"/>
    <cellStyle name="Comma 5 2 3 8 3 3" xfId="32199" xr:uid="{321358F3-D561-4A64-9D45-F0555EE9737B}"/>
    <cellStyle name="Comma 5 2 3 8 4" xfId="10295" xr:uid="{73FBE1D5-FFE0-4C9F-AF90-CCCD86B0ECF3}"/>
    <cellStyle name="Comma 5 2 3 8 4 2" xfId="46803" xr:uid="{9690E813-F93D-457A-ADAD-B2848C48A028}"/>
    <cellStyle name="Comma 5 2 3 8 4 3" xfId="28549" xr:uid="{F3C0AFBA-2506-4591-93A8-5752B9547167}"/>
    <cellStyle name="Comma 5 2 3 8 5" xfId="6645" xr:uid="{8CC45317-E702-46CC-8247-8B86486329A9}"/>
    <cellStyle name="Comma 5 2 3 8 5 2" xfId="43153" xr:uid="{1BFC0555-B007-4CE1-8690-4F17667F2939}"/>
    <cellStyle name="Comma 5 2 3 8 5 3" xfId="24899" xr:uid="{3D1800C3-3C42-459C-A969-11802EDFF2C3}"/>
    <cellStyle name="Comma 5 2 3 8 6" xfId="39503" xr:uid="{C458E9F2-0688-468B-BE67-97586B87FCB9}"/>
    <cellStyle name="Comma 5 2 3 8 7" xfId="21249" xr:uid="{48EE2666-5178-422F-9D18-BFEB1A0874A5}"/>
    <cellStyle name="Comma 5 2 3 9" xfId="2265" xr:uid="{2EF6D104-A069-403F-93A1-2627D39AF11D}"/>
    <cellStyle name="Comma 5 2 3 9 2" xfId="16865" xr:uid="{24392DA4-100E-455A-BA8F-0B1A1D55628D}"/>
    <cellStyle name="Comma 5 2 3 9 2 2" xfId="53373" xr:uid="{54385198-E112-4688-A312-F31270AC8BDC}"/>
    <cellStyle name="Comma 5 2 3 9 2 3" xfId="35119" xr:uid="{89687BA8-C5D7-4303-ACB7-41659ADFE6B8}"/>
    <cellStyle name="Comma 5 2 3 9 3" xfId="13215" xr:uid="{87CE42C3-BF9D-4D72-831D-ED89AA3FBC55}"/>
    <cellStyle name="Comma 5 2 3 9 3 2" xfId="49723" xr:uid="{0513A05B-34D6-4C3B-85F7-8BF3D7166624}"/>
    <cellStyle name="Comma 5 2 3 9 3 3" xfId="31469" xr:uid="{8E12354B-B0A2-4793-BAAA-CB6625B9BC1C}"/>
    <cellStyle name="Comma 5 2 3 9 4" xfId="9565" xr:uid="{C030A505-98E9-488A-AB5A-8481DFBDB2CC}"/>
    <cellStyle name="Comma 5 2 3 9 4 2" xfId="46073" xr:uid="{FF848A9C-561C-470B-B53C-8E09EF8FF7CB}"/>
    <cellStyle name="Comma 5 2 3 9 4 3" xfId="27819" xr:uid="{963A48DB-31AC-4BF3-B97B-C74B0E7C5DFC}"/>
    <cellStyle name="Comma 5 2 3 9 5" xfId="5915" xr:uid="{CC55124E-8836-41B8-8D2D-E2A3C3F15882}"/>
    <cellStyle name="Comma 5 2 3 9 5 2" xfId="42423" xr:uid="{ABAD03A3-1B7C-46BB-A72C-69742904C077}"/>
    <cellStyle name="Comma 5 2 3 9 5 3" xfId="24169" xr:uid="{DFA5ED7A-6064-43CA-B0A7-D9B80985B81C}"/>
    <cellStyle name="Comma 5 2 3 9 6" xfId="38773" xr:uid="{38F113C8-19E6-4E74-9549-8383AE886E26}"/>
    <cellStyle name="Comma 5 2 3 9 7" xfId="20519" xr:uid="{6509CA63-C5F5-400B-8733-D4CF1E9356EA}"/>
    <cellStyle name="Comma 5 2 4" xfId="667" xr:uid="{1BC46C45-C993-4CEB-8579-F06F78A43A7C}"/>
    <cellStyle name="Comma 5 2 4 10" xfId="37175" xr:uid="{6F1BECA4-0FED-4F7D-A078-10EC9E143847}"/>
    <cellStyle name="Comma 5 2 4 11" xfId="18921" xr:uid="{11F6EBF0-B2E7-4C34-9309-9BAC4FB4A10D}"/>
    <cellStyle name="Comma 5 2 4 2" xfId="3587" xr:uid="{50325DE0-C48D-40CD-93E6-37E455BC798A}"/>
    <cellStyle name="Comma 5 2 4 2 2" xfId="18187" xr:uid="{83E573AC-1C21-48CE-901A-2225F0876291}"/>
    <cellStyle name="Comma 5 2 4 2 2 2" xfId="54695" xr:uid="{D652B3FC-C9F0-42DF-B9D6-8BC90C4CC9A1}"/>
    <cellStyle name="Comma 5 2 4 2 2 3" xfId="36441" xr:uid="{A8F158A1-98DC-4F0D-B759-AF911B0B2FD9}"/>
    <cellStyle name="Comma 5 2 4 2 3" xfId="14537" xr:uid="{7B6C29E1-97B0-475B-9AA8-29EF5F95C685}"/>
    <cellStyle name="Comma 5 2 4 2 3 2" xfId="51045" xr:uid="{68E46A8F-07C1-452A-8718-2FAFB20526CF}"/>
    <cellStyle name="Comma 5 2 4 2 3 3" xfId="32791" xr:uid="{9BF482CC-D7BC-4C16-8345-1AEB37F7560C}"/>
    <cellStyle name="Comma 5 2 4 2 4" xfId="10887" xr:uid="{E96DBC1E-3841-46C0-B1C8-6554E0488B59}"/>
    <cellStyle name="Comma 5 2 4 2 4 2" xfId="47395" xr:uid="{CDC1E928-EEDC-4186-99B1-4AAF1C2C4ADD}"/>
    <cellStyle name="Comma 5 2 4 2 4 3" xfId="29141" xr:uid="{C433B641-19A6-4EE2-ABB6-E90801C02E5C}"/>
    <cellStyle name="Comma 5 2 4 2 5" xfId="7237" xr:uid="{F4DCEF2E-6E86-4697-B692-6140B94D1E2E}"/>
    <cellStyle name="Comma 5 2 4 2 5 2" xfId="43745" xr:uid="{F7874B15-9BF2-475A-8096-DF7D6AF3693D}"/>
    <cellStyle name="Comma 5 2 4 2 5 3" xfId="25491" xr:uid="{B0F2BFF1-6501-4D25-AAC0-06232CD0AFCC}"/>
    <cellStyle name="Comma 5 2 4 2 6" xfId="40095" xr:uid="{047B9002-11B7-4576-8AEB-38048E9EC2D3}"/>
    <cellStyle name="Comma 5 2 4 2 7" xfId="21841" xr:uid="{F58A3054-94FA-4733-9DE5-B2CE4C2193C0}"/>
    <cellStyle name="Comma 5 2 4 3" xfId="2857" xr:uid="{50889A84-7B5F-4991-A08D-DEC6EF04D9F7}"/>
    <cellStyle name="Comma 5 2 4 3 2" xfId="17457" xr:uid="{8192F8F6-F5E7-4803-BF47-6C4C833C0B63}"/>
    <cellStyle name="Comma 5 2 4 3 2 2" xfId="53965" xr:uid="{FDB01A07-8182-419C-9650-66836C5C1514}"/>
    <cellStyle name="Comma 5 2 4 3 2 3" xfId="35711" xr:uid="{7894AC5C-40CA-426C-90A0-264828AA83C5}"/>
    <cellStyle name="Comma 5 2 4 3 3" xfId="13807" xr:uid="{B2574201-E6AA-4E7E-BE31-38E49224C4E2}"/>
    <cellStyle name="Comma 5 2 4 3 3 2" xfId="50315" xr:uid="{DAE0F00C-6C2E-4F81-93AD-E4158E6DDFB5}"/>
    <cellStyle name="Comma 5 2 4 3 3 3" xfId="32061" xr:uid="{2B4BA4DE-AB00-4B73-9140-9A44BD728E95}"/>
    <cellStyle name="Comma 5 2 4 3 4" xfId="10157" xr:uid="{18E4FC70-E631-4CBE-9D46-47B35E41581D}"/>
    <cellStyle name="Comma 5 2 4 3 4 2" xfId="46665" xr:uid="{EB9477E4-04AF-47DD-88FE-9440841CBD0A}"/>
    <cellStyle name="Comma 5 2 4 3 4 3" xfId="28411" xr:uid="{AFB4E1E7-F7F5-4994-AC1F-80598C5A9204}"/>
    <cellStyle name="Comma 5 2 4 3 5" xfId="6507" xr:uid="{F8333D38-3CB9-47F6-91ED-415D4CE9FF07}"/>
    <cellStyle name="Comma 5 2 4 3 5 2" xfId="43015" xr:uid="{440A1974-B482-4776-951D-B3FBB62DB40D}"/>
    <cellStyle name="Comma 5 2 4 3 5 3" xfId="24761" xr:uid="{E302AA31-A008-4C7B-97A1-0C6605ED460E}"/>
    <cellStyle name="Comma 5 2 4 3 6" xfId="39365" xr:uid="{A76D14D0-A53B-48D5-AA79-5B43A75E644C}"/>
    <cellStyle name="Comma 5 2 4 3 7" xfId="21111" xr:uid="{33AD4DAC-C75D-46B5-B126-723541196C6C}"/>
    <cellStyle name="Comma 5 2 4 4" xfId="2127" xr:uid="{090B8B8D-4EBB-46B7-9889-B4AC9B52FF5B}"/>
    <cellStyle name="Comma 5 2 4 4 2" xfId="16727" xr:uid="{D14479D4-1688-4470-BD92-25F1D0A5C222}"/>
    <cellStyle name="Comma 5 2 4 4 2 2" xfId="53235" xr:uid="{368FA7E4-E1CA-4A84-B077-87A7E4695ACC}"/>
    <cellStyle name="Comma 5 2 4 4 2 3" xfId="34981" xr:uid="{81F5ADDD-DB6E-4432-AD1D-77D0156878CB}"/>
    <cellStyle name="Comma 5 2 4 4 3" xfId="13077" xr:uid="{E0682E3E-0485-4C9B-9C92-D92D4BBD00AF}"/>
    <cellStyle name="Comma 5 2 4 4 3 2" xfId="49585" xr:uid="{1D3143AE-9EC3-4743-9D1E-8EA285910CF6}"/>
    <cellStyle name="Comma 5 2 4 4 3 3" xfId="31331" xr:uid="{79387097-1F11-411F-9B61-6B82E255DC69}"/>
    <cellStyle name="Comma 5 2 4 4 4" xfId="9427" xr:uid="{503A3871-5756-4CE6-95EC-118A1D5ACF90}"/>
    <cellStyle name="Comma 5 2 4 4 4 2" xfId="45935" xr:uid="{1FF9A1FD-FA3F-4F05-962D-E9E3AFDDA0B8}"/>
    <cellStyle name="Comma 5 2 4 4 4 3" xfId="27681" xr:uid="{E6AEDB02-CA22-434C-B8A7-43CE066AA675}"/>
    <cellStyle name="Comma 5 2 4 4 5" xfId="5777" xr:uid="{5D3A7DA4-238D-4D07-A29A-45759A1671CF}"/>
    <cellStyle name="Comma 5 2 4 4 5 2" xfId="42285" xr:uid="{62C8E825-9CFD-488A-92AA-3EB041C59E4F}"/>
    <cellStyle name="Comma 5 2 4 4 5 3" xfId="24031" xr:uid="{F8D3841A-1883-4C10-BEE1-876D0E9BAFDD}"/>
    <cellStyle name="Comma 5 2 4 4 6" xfId="38635" xr:uid="{2EB01BDE-4FB7-43DE-B4B4-D786A1439AF1}"/>
    <cellStyle name="Comma 5 2 4 4 7" xfId="20381" xr:uid="{7172C8B3-AE2F-45C7-8FFC-631220CE157F}"/>
    <cellStyle name="Comma 5 2 4 5" xfId="1397" xr:uid="{70356D71-5C70-4631-9012-C2BF48420576}"/>
    <cellStyle name="Comma 5 2 4 5 2" xfId="15997" xr:uid="{6DC4FF6C-4B91-4562-B956-ACB564214306}"/>
    <cellStyle name="Comma 5 2 4 5 2 2" xfId="52505" xr:uid="{0CA0424F-F853-4445-9C28-9E2FBABA64AD}"/>
    <cellStyle name="Comma 5 2 4 5 2 3" xfId="34251" xr:uid="{26398170-9AAC-4E34-B2DA-AA2D3154E513}"/>
    <cellStyle name="Comma 5 2 4 5 3" xfId="12347" xr:uid="{C7156FFD-3CD0-46F7-B31C-167FF8972B0A}"/>
    <cellStyle name="Comma 5 2 4 5 3 2" xfId="48855" xr:uid="{9062E723-79CD-491A-853A-39FDBF20A66A}"/>
    <cellStyle name="Comma 5 2 4 5 3 3" xfId="30601" xr:uid="{380CEC97-8F0F-4490-B620-44543DAE2AD0}"/>
    <cellStyle name="Comma 5 2 4 5 4" xfId="8697" xr:uid="{04C76580-C72A-41ED-8DEA-CF74016BBFE3}"/>
    <cellStyle name="Comma 5 2 4 5 4 2" xfId="45205" xr:uid="{01BB0A1E-83AA-47FF-9E99-4F21E2947EFF}"/>
    <cellStyle name="Comma 5 2 4 5 4 3" xfId="26951" xr:uid="{9CC64D3F-63FF-4C0A-9915-3484BEBB9601}"/>
    <cellStyle name="Comma 5 2 4 5 5" xfId="5047" xr:uid="{2B80C33B-1348-414D-8A06-AD6A21E60DE2}"/>
    <cellStyle name="Comma 5 2 4 5 5 2" xfId="41555" xr:uid="{32799FA7-8871-4A1F-926F-BCE536F6DCB3}"/>
    <cellStyle name="Comma 5 2 4 5 5 3" xfId="23301" xr:uid="{D4B13FDD-C27C-4E93-BD1F-4F93FA660C6F}"/>
    <cellStyle name="Comma 5 2 4 5 6" xfId="37905" xr:uid="{DA2C447F-F8CE-4E05-B0A7-8C850D8FBBC9}"/>
    <cellStyle name="Comma 5 2 4 5 7" xfId="19651" xr:uid="{85E3841B-96A6-4BBF-B0D9-00D10E51FEBF}"/>
    <cellStyle name="Comma 5 2 4 6" xfId="15267" xr:uid="{B49594B8-9E19-4892-943F-143D2F420F1D}"/>
    <cellStyle name="Comma 5 2 4 6 2" xfId="51775" xr:uid="{649B7D33-7B49-441F-AA22-5520057449CC}"/>
    <cellStyle name="Comma 5 2 4 6 3" xfId="33521" xr:uid="{508A7E54-15CA-4F07-8C8A-40C02923A1EA}"/>
    <cellStyle name="Comma 5 2 4 7" xfId="11617" xr:uid="{4C3AD259-FBCB-4FF1-B1FB-4508216612F2}"/>
    <cellStyle name="Comma 5 2 4 7 2" xfId="48125" xr:uid="{42397C1A-1C78-4E76-86C5-6E31E1DACB3B}"/>
    <cellStyle name="Comma 5 2 4 7 3" xfId="29871" xr:uid="{3099DE95-7B8F-4E72-8B24-152938B73F23}"/>
    <cellStyle name="Comma 5 2 4 8" xfId="7967" xr:uid="{93BD4954-5E7F-4ACF-80BA-C28D0986E62A}"/>
    <cellStyle name="Comma 5 2 4 8 2" xfId="44475" xr:uid="{B85F1F34-9454-44BE-BA99-E460D4DD524A}"/>
    <cellStyle name="Comma 5 2 4 8 3" xfId="26221" xr:uid="{25D4F6FB-8D4C-40CC-BF38-50683B093852}"/>
    <cellStyle name="Comma 5 2 4 9" xfId="4317" xr:uid="{31482CC2-157D-4E50-9F76-EDAEE1CD8564}"/>
    <cellStyle name="Comma 5 2 4 9 2" xfId="40825" xr:uid="{6F500BDE-2D7B-4B6E-BFBD-0DA94856CE04}"/>
    <cellStyle name="Comma 5 2 4 9 3" xfId="22571" xr:uid="{34778FD6-842A-4B12-83C5-1C5F52B21A96}"/>
    <cellStyle name="Comma 5 2 5" xfId="563" xr:uid="{C846ED73-15F7-41DC-8D91-326223BAB6F4}"/>
    <cellStyle name="Comma 5 2 5 10" xfId="37071" xr:uid="{24E72DCE-8054-49C5-AAE9-1DA72067A0F0}"/>
    <cellStyle name="Comma 5 2 5 11" xfId="18817" xr:uid="{66816928-E2EC-49AF-AFFF-1A9F2CF973FE}"/>
    <cellStyle name="Comma 5 2 5 2" xfId="3483" xr:uid="{0037D54B-63BD-437F-B524-3608428F61AD}"/>
    <cellStyle name="Comma 5 2 5 2 2" xfId="18083" xr:uid="{7D070F95-C726-488F-A5D4-30F44124DA7F}"/>
    <cellStyle name="Comma 5 2 5 2 2 2" xfId="54591" xr:uid="{4598AFE0-FF6C-426E-B5BF-FB6CF7BC74F8}"/>
    <cellStyle name="Comma 5 2 5 2 2 3" xfId="36337" xr:uid="{F98E91F5-87A7-4C5E-9C5F-5529DFFF8939}"/>
    <cellStyle name="Comma 5 2 5 2 3" xfId="14433" xr:uid="{6E5A83BE-F47E-4662-B8B1-BA63E211E3E3}"/>
    <cellStyle name="Comma 5 2 5 2 3 2" xfId="50941" xr:uid="{C04CF177-EA16-4CD3-85A8-8FF857CDA2D4}"/>
    <cellStyle name="Comma 5 2 5 2 3 3" xfId="32687" xr:uid="{7327B727-EDBC-4A1C-9244-E4AC50F896B0}"/>
    <cellStyle name="Comma 5 2 5 2 4" xfId="10783" xr:uid="{56A5B794-FD28-4E05-ACF6-DA8C8BED5A09}"/>
    <cellStyle name="Comma 5 2 5 2 4 2" xfId="47291" xr:uid="{667F01D1-88ED-42EB-8E8B-793C77BFA011}"/>
    <cellStyle name="Comma 5 2 5 2 4 3" xfId="29037" xr:uid="{50A18323-5E1F-4EF6-80B8-D35B5D828CD8}"/>
    <cellStyle name="Comma 5 2 5 2 5" xfId="7133" xr:uid="{5F1A7F76-095C-44CE-BD37-4D3454C17277}"/>
    <cellStyle name="Comma 5 2 5 2 5 2" xfId="43641" xr:uid="{03DC6107-6D8B-444F-AF03-A61CF298F0E1}"/>
    <cellStyle name="Comma 5 2 5 2 5 3" xfId="25387" xr:uid="{D31AC7ED-41CB-4CAE-92EE-F7C893C6D28F}"/>
    <cellStyle name="Comma 5 2 5 2 6" xfId="39991" xr:uid="{4B0A8B1A-FA28-4314-918E-15EFB99FAAE3}"/>
    <cellStyle name="Comma 5 2 5 2 7" xfId="21737" xr:uid="{B5844B1A-642E-4333-962F-8655D845646D}"/>
    <cellStyle name="Comma 5 2 5 3" xfId="2753" xr:uid="{90E93F5E-0DC7-4BD8-BF71-A70C49B81C91}"/>
    <cellStyle name="Comma 5 2 5 3 2" xfId="17353" xr:uid="{FF353240-E7E8-4AC7-9C16-C4C27A3DA0DA}"/>
    <cellStyle name="Comma 5 2 5 3 2 2" xfId="53861" xr:uid="{D2C62B91-A139-47CF-8122-7C8049DB95DA}"/>
    <cellStyle name="Comma 5 2 5 3 2 3" xfId="35607" xr:uid="{4C0B1880-78EF-4C7E-B122-3C928D6EE0DE}"/>
    <cellStyle name="Comma 5 2 5 3 3" xfId="13703" xr:uid="{8D17399F-D215-4071-8013-9B673A662376}"/>
    <cellStyle name="Comma 5 2 5 3 3 2" xfId="50211" xr:uid="{E56E8B77-5B39-43AE-8B7A-DD4751B95454}"/>
    <cellStyle name="Comma 5 2 5 3 3 3" xfId="31957" xr:uid="{B996ADA0-8A85-488E-B5F2-EDC66FAD8975}"/>
    <cellStyle name="Comma 5 2 5 3 4" xfId="10053" xr:uid="{36732100-7600-4A36-9215-225BA25E0A40}"/>
    <cellStyle name="Comma 5 2 5 3 4 2" xfId="46561" xr:uid="{E8D91BDE-365B-4281-A9F0-4632AB2E9180}"/>
    <cellStyle name="Comma 5 2 5 3 4 3" xfId="28307" xr:uid="{662A97BA-E363-4724-8ECC-D72B7D2079B9}"/>
    <cellStyle name="Comma 5 2 5 3 5" xfId="6403" xr:uid="{E34D1AA9-D560-4BF2-986D-3B74FDC2EB79}"/>
    <cellStyle name="Comma 5 2 5 3 5 2" xfId="42911" xr:uid="{400EE3E0-BEBE-4728-9FA8-7CE634600325}"/>
    <cellStyle name="Comma 5 2 5 3 5 3" xfId="24657" xr:uid="{8C6FE869-B319-4D7E-AAF2-802E6BFF5C9C}"/>
    <cellStyle name="Comma 5 2 5 3 6" xfId="39261" xr:uid="{BAF5649A-1120-4A90-965F-43B9B32D783A}"/>
    <cellStyle name="Comma 5 2 5 3 7" xfId="21007" xr:uid="{0FE19C19-B531-4BA7-8DFD-2715D6252514}"/>
    <cellStyle name="Comma 5 2 5 4" xfId="2023" xr:uid="{66CB1F26-A24A-40F6-810D-07D11A342C68}"/>
    <cellStyle name="Comma 5 2 5 4 2" xfId="16623" xr:uid="{8F2DE3E2-EDAC-4AE6-9D98-D5582BCA7B21}"/>
    <cellStyle name="Comma 5 2 5 4 2 2" xfId="53131" xr:uid="{23630483-86BC-49EA-89D6-491D93C00B1B}"/>
    <cellStyle name="Comma 5 2 5 4 2 3" xfId="34877" xr:uid="{B90C5E98-EE73-48FF-B3DE-D239D63C7D75}"/>
    <cellStyle name="Comma 5 2 5 4 3" xfId="12973" xr:uid="{D59B1CF2-5D8F-4B25-8EBF-BF219C81D471}"/>
    <cellStyle name="Comma 5 2 5 4 3 2" xfId="49481" xr:uid="{0FB94692-BE8F-43DD-B1F8-DE84CBE39292}"/>
    <cellStyle name="Comma 5 2 5 4 3 3" xfId="31227" xr:uid="{CF205102-5D8C-4878-B9EF-75B5616CA78D}"/>
    <cellStyle name="Comma 5 2 5 4 4" xfId="9323" xr:uid="{4DB036DB-61C9-45EE-A447-169E60F49691}"/>
    <cellStyle name="Comma 5 2 5 4 4 2" xfId="45831" xr:uid="{17C000F6-3A49-4F3E-B80A-1E6B9CC8F905}"/>
    <cellStyle name="Comma 5 2 5 4 4 3" xfId="27577" xr:uid="{885C43BB-AAFB-4F78-9200-0D03F7505432}"/>
    <cellStyle name="Comma 5 2 5 4 5" xfId="5673" xr:uid="{4D66AED2-5282-4BE9-917C-AF2C57450AEE}"/>
    <cellStyle name="Comma 5 2 5 4 5 2" xfId="42181" xr:uid="{D2474500-638E-4ACF-93AA-C21B37C1A394}"/>
    <cellStyle name="Comma 5 2 5 4 5 3" xfId="23927" xr:uid="{ADD0D925-5959-40E7-A8CE-0E3B5EA02291}"/>
    <cellStyle name="Comma 5 2 5 4 6" xfId="38531" xr:uid="{EA08CF27-5869-4215-AB7E-9ABFE8A273CC}"/>
    <cellStyle name="Comma 5 2 5 4 7" xfId="20277" xr:uid="{56594413-24B1-453A-8F96-EB749F2EE10C}"/>
    <cellStyle name="Comma 5 2 5 5" xfId="1293" xr:uid="{5BFC2885-E687-4D90-96E2-C094DB166588}"/>
    <cellStyle name="Comma 5 2 5 5 2" xfId="15893" xr:uid="{A8AF262F-442F-4A4B-B6E5-20902C8493BF}"/>
    <cellStyle name="Comma 5 2 5 5 2 2" xfId="52401" xr:uid="{0F0A4977-6183-4B6A-A655-865D361F7DF7}"/>
    <cellStyle name="Comma 5 2 5 5 2 3" xfId="34147" xr:uid="{324FF003-92F0-4392-AE87-4FA035B8475A}"/>
    <cellStyle name="Comma 5 2 5 5 3" xfId="12243" xr:uid="{DF46E05F-C119-4661-A727-AAF79B2C7F4A}"/>
    <cellStyle name="Comma 5 2 5 5 3 2" xfId="48751" xr:uid="{3612B23C-A381-4611-83AF-6CC441475771}"/>
    <cellStyle name="Comma 5 2 5 5 3 3" xfId="30497" xr:uid="{8B4E9972-923F-446A-B6E6-F3FBC0EB7B7C}"/>
    <cellStyle name="Comma 5 2 5 5 4" xfId="8593" xr:uid="{E4F0C618-90B0-4719-8E50-9DE76BA24E37}"/>
    <cellStyle name="Comma 5 2 5 5 4 2" xfId="45101" xr:uid="{480620F4-5990-4524-9E3B-2474A3A89F7B}"/>
    <cellStyle name="Comma 5 2 5 5 4 3" xfId="26847" xr:uid="{72D82C8E-04DD-427D-AC98-5BDD0F47F7D0}"/>
    <cellStyle name="Comma 5 2 5 5 5" xfId="4943" xr:uid="{01E4E79C-DA42-44A5-80D9-CD462968FEAE}"/>
    <cellStyle name="Comma 5 2 5 5 5 2" xfId="41451" xr:uid="{64C7E421-CDE0-4DAD-9E64-07CAC048A2DC}"/>
    <cellStyle name="Comma 5 2 5 5 5 3" xfId="23197" xr:uid="{58C4D67C-CF97-4E3B-807D-8B74E485F6BD}"/>
    <cellStyle name="Comma 5 2 5 5 6" xfId="37801" xr:uid="{D794D00D-C287-4BA4-AF7B-A0BBCAF5756B}"/>
    <cellStyle name="Comma 5 2 5 5 7" xfId="19547" xr:uid="{CDB63D89-3296-48FE-B31B-60B142F84C9B}"/>
    <cellStyle name="Comma 5 2 5 6" xfId="15163" xr:uid="{D238AABA-3AFB-4574-8C05-0E088968AC9E}"/>
    <cellStyle name="Comma 5 2 5 6 2" xfId="51671" xr:uid="{8FFF1D9E-6E5E-42FA-B5D2-972E30E8E8A0}"/>
    <cellStyle name="Comma 5 2 5 6 3" xfId="33417" xr:uid="{2135CDF6-F008-426F-A34A-7702CFDD61E6}"/>
    <cellStyle name="Comma 5 2 5 7" xfId="11513" xr:uid="{410560A3-96EE-4C31-9B84-1508D5E503AC}"/>
    <cellStyle name="Comma 5 2 5 7 2" xfId="48021" xr:uid="{DA5A49E2-AAC6-4B3B-A3A6-901FE199AD09}"/>
    <cellStyle name="Comma 5 2 5 7 3" xfId="29767" xr:uid="{8AC4AF42-8643-4ADC-9E9E-328728271912}"/>
    <cellStyle name="Comma 5 2 5 8" xfId="7863" xr:uid="{08B36C27-DFFA-41B4-B7EC-D696EEBA490A}"/>
    <cellStyle name="Comma 5 2 5 8 2" xfId="44371" xr:uid="{5A9CF821-3CE7-42ED-B937-4F8A5FB9A899}"/>
    <cellStyle name="Comma 5 2 5 8 3" xfId="26117" xr:uid="{5E939409-7631-4FC8-877D-C85D5DCD6764}"/>
    <cellStyle name="Comma 5 2 5 9" xfId="4213" xr:uid="{81784F0B-E9A3-47DB-9F34-054708A3DB8B}"/>
    <cellStyle name="Comma 5 2 5 9 2" xfId="40721" xr:uid="{EDB1BA03-B5F1-4BFC-9299-648AC2031642}"/>
    <cellStyle name="Comma 5 2 5 9 3" xfId="22467" xr:uid="{6E0FA6D7-BA39-41BD-8046-8D4FC3EF8EA6}"/>
    <cellStyle name="Comma 5 2 6" xfId="459" xr:uid="{C51D1EF9-B2CA-4D7B-BC97-134E8F641F50}"/>
    <cellStyle name="Comma 5 2 6 10" xfId="36967" xr:uid="{22FCA3FE-72E3-4B62-B81B-4FB063B7527B}"/>
    <cellStyle name="Comma 5 2 6 11" xfId="18713" xr:uid="{BB9F0712-1875-40A7-9068-68EB3ADB68DE}"/>
    <cellStyle name="Comma 5 2 6 2" xfId="3379" xr:uid="{E1838060-795D-47D8-A84E-4F54B6ED4F6A}"/>
    <cellStyle name="Comma 5 2 6 2 2" xfId="17979" xr:uid="{3958F9EE-99EB-4E6B-B108-6166CC43A569}"/>
    <cellStyle name="Comma 5 2 6 2 2 2" xfId="54487" xr:uid="{AD765DC6-7C2A-4CFF-85E4-C668F981360A}"/>
    <cellStyle name="Comma 5 2 6 2 2 3" xfId="36233" xr:uid="{F07DDF36-B938-4EF9-8EC1-B0494CADAA20}"/>
    <cellStyle name="Comma 5 2 6 2 3" xfId="14329" xr:uid="{D09AAEC4-E3E1-452F-BDF3-83FB726A7590}"/>
    <cellStyle name="Comma 5 2 6 2 3 2" xfId="50837" xr:uid="{FBF0B3A0-40B6-4495-BA7D-6EDF56FEE0DD}"/>
    <cellStyle name="Comma 5 2 6 2 3 3" xfId="32583" xr:uid="{1C93CD07-528C-4865-9C6F-B44C57147125}"/>
    <cellStyle name="Comma 5 2 6 2 4" xfId="10679" xr:uid="{547582DC-349C-4785-A0FC-2C5B3879B678}"/>
    <cellStyle name="Comma 5 2 6 2 4 2" xfId="47187" xr:uid="{39D6EA50-95F4-43F5-B2E6-AF3EFECD040C}"/>
    <cellStyle name="Comma 5 2 6 2 4 3" xfId="28933" xr:uid="{2E69A8EC-7044-4321-9EE2-AA794C7960C8}"/>
    <cellStyle name="Comma 5 2 6 2 5" xfId="7029" xr:uid="{96392B8E-ABBD-4D99-9930-E1D9705B307F}"/>
    <cellStyle name="Comma 5 2 6 2 5 2" xfId="43537" xr:uid="{D65A6A1D-9E8A-40C8-883A-2F3966307F44}"/>
    <cellStyle name="Comma 5 2 6 2 5 3" xfId="25283" xr:uid="{6CF9BDDF-EE8C-4F84-B707-0B470FC02170}"/>
    <cellStyle name="Comma 5 2 6 2 6" xfId="39887" xr:uid="{E4BD56E7-A8C5-41B1-BFB8-9D8F033DD916}"/>
    <cellStyle name="Comma 5 2 6 2 7" xfId="21633" xr:uid="{E8F799B6-B445-43A5-9512-C7D22281A9E1}"/>
    <cellStyle name="Comma 5 2 6 3" xfId="2649" xr:uid="{1259A90E-6735-42DA-914C-5B3F802DF270}"/>
    <cellStyle name="Comma 5 2 6 3 2" xfId="17249" xr:uid="{9F80B99E-5FE5-49AF-B03B-FE768B6F316E}"/>
    <cellStyle name="Comma 5 2 6 3 2 2" xfId="53757" xr:uid="{7B486F98-9426-4D05-A055-AB96CB867D97}"/>
    <cellStyle name="Comma 5 2 6 3 2 3" xfId="35503" xr:uid="{AEB3689F-6F24-4020-8E22-0AB7A81AF651}"/>
    <cellStyle name="Comma 5 2 6 3 3" xfId="13599" xr:uid="{E14633FB-1B57-449B-B81E-360DFCD72D2A}"/>
    <cellStyle name="Comma 5 2 6 3 3 2" xfId="50107" xr:uid="{1A45B872-B731-4F6C-A579-3EF5F883969A}"/>
    <cellStyle name="Comma 5 2 6 3 3 3" xfId="31853" xr:uid="{77827043-8BF8-4494-A755-DECEB4E9356E}"/>
    <cellStyle name="Comma 5 2 6 3 4" xfId="9949" xr:uid="{A65F66EA-1D1D-4015-9A63-4C43B81FDAA1}"/>
    <cellStyle name="Comma 5 2 6 3 4 2" xfId="46457" xr:uid="{0BA9F002-D9ED-4EE2-8110-533B147F0CD0}"/>
    <cellStyle name="Comma 5 2 6 3 4 3" xfId="28203" xr:uid="{4E8EB408-57F9-4C93-A9C6-DA64E658CA37}"/>
    <cellStyle name="Comma 5 2 6 3 5" xfId="6299" xr:uid="{8916036A-57B8-42E8-B925-4323421E6123}"/>
    <cellStyle name="Comma 5 2 6 3 5 2" xfId="42807" xr:uid="{835F62B9-4AD8-4CAE-A994-19EA92FC9048}"/>
    <cellStyle name="Comma 5 2 6 3 5 3" xfId="24553" xr:uid="{01949645-49E9-485C-84E8-4CE4F4A108C8}"/>
    <cellStyle name="Comma 5 2 6 3 6" xfId="39157" xr:uid="{51425229-41A2-4368-9AA8-F0A35CBE7238}"/>
    <cellStyle name="Comma 5 2 6 3 7" xfId="20903" xr:uid="{11308625-D73A-472C-8959-B59E98FDBAE9}"/>
    <cellStyle name="Comma 5 2 6 4" xfId="1919" xr:uid="{80CDD459-613A-44D7-BB48-0EFC57A4197E}"/>
    <cellStyle name="Comma 5 2 6 4 2" xfId="16519" xr:uid="{BA43A737-8431-4BCE-BD86-8D27744CDCC5}"/>
    <cellStyle name="Comma 5 2 6 4 2 2" xfId="53027" xr:uid="{D7540C63-037E-4B8C-A9CB-4D1341F96C44}"/>
    <cellStyle name="Comma 5 2 6 4 2 3" xfId="34773" xr:uid="{1EBE102D-5E89-486E-B11F-5024B53AC179}"/>
    <cellStyle name="Comma 5 2 6 4 3" xfId="12869" xr:uid="{1D121C27-BFD3-4EB7-A4C1-D4FFF2C5D8E8}"/>
    <cellStyle name="Comma 5 2 6 4 3 2" xfId="49377" xr:uid="{E780130A-8DF4-442C-94DD-35862EA122B7}"/>
    <cellStyle name="Comma 5 2 6 4 3 3" xfId="31123" xr:uid="{21AF0ED0-DF0A-483D-AEB0-116BFDE233E6}"/>
    <cellStyle name="Comma 5 2 6 4 4" xfId="9219" xr:uid="{46404EF8-049F-4C1C-B052-B0BCE13EB98D}"/>
    <cellStyle name="Comma 5 2 6 4 4 2" xfId="45727" xr:uid="{4DD0EBD6-6BC6-4155-BA61-0A02AC1C892B}"/>
    <cellStyle name="Comma 5 2 6 4 4 3" xfId="27473" xr:uid="{78938922-30FC-405C-ABA6-EECA8AF27CDE}"/>
    <cellStyle name="Comma 5 2 6 4 5" xfId="5569" xr:uid="{1881E73B-4B7F-4438-A1A8-A6A6B13E55F8}"/>
    <cellStyle name="Comma 5 2 6 4 5 2" xfId="42077" xr:uid="{3B2308B1-270E-4BAE-967E-E4EB8B4A4B3B}"/>
    <cellStyle name="Comma 5 2 6 4 5 3" xfId="23823" xr:uid="{BF6973D4-1E11-4CF9-844E-2CFC3828117D}"/>
    <cellStyle name="Comma 5 2 6 4 6" xfId="38427" xr:uid="{1BA55405-D974-4E3C-BFEF-3A6007B107DB}"/>
    <cellStyle name="Comma 5 2 6 4 7" xfId="20173" xr:uid="{667C703A-A64D-40C4-A103-52E3C2DD0539}"/>
    <cellStyle name="Comma 5 2 6 5" xfId="1189" xr:uid="{06729832-6AEB-4844-A0F2-0C6BBD951BB6}"/>
    <cellStyle name="Comma 5 2 6 5 2" xfId="15789" xr:uid="{EFD46429-87BC-4203-80AE-26A468A103E4}"/>
    <cellStyle name="Comma 5 2 6 5 2 2" xfId="52297" xr:uid="{7B050244-C7C7-4416-AF11-47A1F7DE7C81}"/>
    <cellStyle name="Comma 5 2 6 5 2 3" xfId="34043" xr:uid="{1851B4A8-0DE6-4CB0-99C1-4DB9F918C8E1}"/>
    <cellStyle name="Comma 5 2 6 5 3" xfId="12139" xr:uid="{43EB2A9D-247F-408A-B8E9-66B5DCC5F172}"/>
    <cellStyle name="Comma 5 2 6 5 3 2" xfId="48647" xr:uid="{5C72C159-4894-4EE6-BF24-BCC9D46FD12B}"/>
    <cellStyle name="Comma 5 2 6 5 3 3" xfId="30393" xr:uid="{83F8EF48-AEC2-45F8-BC49-B585617BB8DB}"/>
    <cellStyle name="Comma 5 2 6 5 4" xfId="8489" xr:uid="{F77503D2-7C97-4026-B444-F97359FE3531}"/>
    <cellStyle name="Comma 5 2 6 5 4 2" xfId="44997" xr:uid="{10B7A6BA-0601-464D-BE03-77B28982161C}"/>
    <cellStyle name="Comma 5 2 6 5 4 3" xfId="26743" xr:uid="{DC0222FA-3AB8-44B1-B714-C95B98994D49}"/>
    <cellStyle name="Comma 5 2 6 5 5" xfId="4839" xr:uid="{A36EF0C2-7AB3-453E-9EB2-26110C7A35E0}"/>
    <cellStyle name="Comma 5 2 6 5 5 2" xfId="41347" xr:uid="{D2AE430E-763F-490C-A7D5-7843D841CEB1}"/>
    <cellStyle name="Comma 5 2 6 5 5 3" xfId="23093" xr:uid="{F3E9E00F-9AC6-40AD-B50A-415CDA77659D}"/>
    <cellStyle name="Comma 5 2 6 5 6" xfId="37697" xr:uid="{F7D2EE7A-045A-44C7-B0C7-D631A68A1D58}"/>
    <cellStyle name="Comma 5 2 6 5 7" xfId="19443" xr:uid="{5DA8ED65-B731-492D-8F0B-FD381B77F4BA}"/>
    <cellStyle name="Comma 5 2 6 6" xfId="15059" xr:uid="{BC8E0107-CA52-4E5C-8567-4F397B9F2C62}"/>
    <cellStyle name="Comma 5 2 6 6 2" xfId="51567" xr:uid="{867617B0-C06D-491B-8C14-096124EFE113}"/>
    <cellStyle name="Comma 5 2 6 6 3" xfId="33313" xr:uid="{8CB7EFB7-7E0D-4CED-B38A-9C063FFD0EF6}"/>
    <cellStyle name="Comma 5 2 6 7" xfId="11409" xr:uid="{649ACE70-3814-4BEB-970D-A132B5703569}"/>
    <cellStyle name="Comma 5 2 6 7 2" xfId="47917" xr:uid="{59E99BBB-2349-40F4-A21A-1F7A3DC92D90}"/>
    <cellStyle name="Comma 5 2 6 7 3" xfId="29663" xr:uid="{E62345A3-1CC6-41B7-92A8-835747AFBA39}"/>
    <cellStyle name="Comma 5 2 6 8" xfId="7759" xr:uid="{A783EF3B-A6AB-43FD-BAA1-711C0562152D}"/>
    <cellStyle name="Comma 5 2 6 8 2" xfId="44267" xr:uid="{862C51FF-17D5-49E4-8219-E7223A2DA711}"/>
    <cellStyle name="Comma 5 2 6 8 3" xfId="26013" xr:uid="{B187F79C-7390-4FB3-B13D-E53B62C32821}"/>
    <cellStyle name="Comma 5 2 6 9" xfId="4109" xr:uid="{3B80F429-FBFF-40D8-B61D-27337873B3DB}"/>
    <cellStyle name="Comma 5 2 6 9 2" xfId="40617" xr:uid="{81668FAE-97B9-425F-9695-6205E8DA1ADF}"/>
    <cellStyle name="Comma 5 2 6 9 3" xfId="22363" xr:uid="{60575884-BE31-4021-8AEC-753C552E842B}"/>
    <cellStyle name="Comma 5 2 7" xfId="355" xr:uid="{6F565127-5316-445C-828A-3696246C85E8}"/>
    <cellStyle name="Comma 5 2 7 10" xfId="36863" xr:uid="{1582D8B6-2AF1-4FCC-8DD0-503787FB0800}"/>
    <cellStyle name="Comma 5 2 7 11" xfId="18609" xr:uid="{E570BC7C-D72A-4D8D-9B34-F764D04130B9}"/>
    <cellStyle name="Comma 5 2 7 2" xfId="3275" xr:uid="{FBEB6E82-E7E7-4CD5-A379-852F0261F77C}"/>
    <cellStyle name="Comma 5 2 7 2 2" xfId="17875" xr:uid="{EB00A48F-01C2-415C-91A9-B6B435138C2C}"/>
    <cellStyle name="Comma 5 2 7 2 2 2" xfId="54383" xr:uid="{9C797F10-23A0-4FA2-BE8A-B1DCAD687821}"/>
    <cellStyle name="Comma 5 2 7 2 2 3" xfId="36129" xr:uid="{7000AC93-69FF-41B7-B65E-70ABF6217759}"/>
    <cellStyle name="Comma 5 2 7 2 3" xfId="14225" xr:uid="{353E6609-8BFB-469D-91D4-0AB1AA59B509}"/>
    <cellStyle name="Comma 5 2 7 2 3 2" xfId="50733" xr:uid="{0F665C42-D174-48E4-B08C-25D327CD9886}"/>
    <cellStyle name="Comma 5 2 7 2 3 3" xfId="32479" xr:uid="{D2044ED5-C8BF-48F0-A398-1CA131C7C365}"/>
    <cellStyle name="Comma 5 2 7 2 4" xfId="10575" xr:uid="{7DCDE6D0-ECCA-48EC-A85E-10C430504B49}"/>
    <cellStyle name="Comma 5 2 7 2 4 2" xfId="47083" xr:uid="{E58B0683-D85B-47A7-8F70-3D2ECD02CD65}"/>
    <cellStyle name="Comma 5 2 7 2 4 3" xfId="28829" xr:uid="{D2C0CF27-CD86-4839-8CE3-D587F5BFBFDB}"/>
    <cellStyle name="Comma 5 2 7 2 5" xfId="6925" xr:uid="{69AA9D64-B1BE-452C-8947-F5A4A38B9B8F}"/>
    <cellStyle name="Comma 5 2 7 2 5 2" xfId="43433" xr:uid="{CBB983CA-1CA2-4CB7-93A5-B42DDC33A1D3}"/>
    <cellStyle name="Comma 5 2 7 2 5 3" xfId="25179" xr:uid="{7BEEAAC7-EBC9-4E9A-B7D2-0FCC628BBC5F}"/>
    <cellStyle name="Comma 5 2 7 2 6" xfId="39783" xr:uid="{AF93EFD1-A34A-4005-9D19-D97FA3239581}"/>
    <cellStyle name="Comma 5 2 7 2 7" xfId="21529" xr:uid="{0CCDA4BC-2CB8-41F5-B003-0535F4216CED}"/>
    <cellStyle name="Comma 5 2 7 3" xfId="2545" xr:uid="{5DF11D76-1303-4391-97AB-D17B9EC8B888}"/>
    <cellStyle name="Comma 5 2 7 3 2" xfId="17145" xr:uid="{C1A3DE53-B7D4-4178-9AF2-20D39F97DC2A}"/>
    <cellStyle name="Comma 5 2 7 3 2 2" xfId="53653" xr:uid="{357C7D32-D2EB-41CB-9C02-2640F8354026}"/>
    <cellStyle name="Comma 5 2 7 3 2 3" xfId="35399" xr:uid="{B4DCE977-C4D5-415C-9BF2-15097E21192A}"/>
    <cellStyle name="Comma 5 2 7 3 3" xfId="13495" xr:uid="{7331FB85-5710-475D-94A1-E1850050F3AF}"/>
    <cellStyle name="Comma 5 2 7 3 3 2" xfId="50003" xr:uid="{F13C2914-1376-4946-8F6E-D6C2B2EA2211}"/>
    <cellStyle name="Comma 5 2 7 3 3 3" xfId="31749" xr:uid="{F2ABBE9B-E7A9-45F2-B08A-197980C14B79}"/>
    <cellStyle name="Comma 5 2 7 3 4" xfId="9845" xr:uid="{BFB53324-C26D-4F91-A12D-662131BEAAB9}"/>
    <cellStyle name="Comma 5 2 7 3 4 2" xfId="46353" xr:uid="{06A965E9-E154-4D71-9391-57AB994E1FAD}"/>
    <cellStyle name="Comma 5 2 7 3 4 3" xfId="28099" xr:uid="{A30BD20A-62EC-4277-A39D-DDE02D798682}"/>
    <cellStyle name="Comma 5 2 7 3 5" xfId="6195" xr:uid="{481EDE63-1EAC-4A7E-9BB5-5F6D6BD2B897}"/>
    <cellStyle name="Comma 5 2 7 3 5 2" xfId="42703" xr:uid="{AE64CDD6-4238-4817-99CB-1377121C94E7}"/>
    <cellStyle name="Comma 5 2 7 3 5 3" xfId="24449" xr:uid="{A8492ADE-776D-415B-A691-102EB0A8176B}"/>
    <cellStyle name="Comma 5 2 7 3 6" xfId="39053" xr:uid="{7452366A-DD29-497B-90FC-ABF48258816B}"/>
    <cellStyle name="Comma 5 2 7 3 7" xfId="20799" xr:uid="{04206311-72E9-4039-AB8C-87D01C190578}"/>
    <cellStyle name="Comma 5 2 7 4" xfId="1815" xr:uid="{34B70BD5-5B41-4C85-A5C2-926DD648C4C1}"/>
    <cellStyle name="Comma 5 2 7 4 2" xfId="16415" xr:uid="{0A96BA6A-F622-45E8-8A1D-DD27EB94395B}"/>
    <cellStyle name="Comma 5 2 7 4 2 2" xfId="52923" xr:uid="{AF9C1E25-05C5-464B-A390-90F7A23D0D68}"/>
    <cellStyle name="Comma 5 2 7 4 2 3" xfId="34669" xr:uid="{13D28029-1C92-4700-B495-568DCCA48044}"/>
    <cellStyle name="Comma 5 2 7 4 3" xfId="12765" xr:uid="{3783F2E0-CF0D-4599-95C0-A50F079FC127}"/>
    <cellStyle name="Comma 5 2 7 4 3 2" xfId="49273" xr:uid="{C8E4B28B-869A-4651-9480-5E83F891F8E3}"/>
    <cellStyle name="Comma 5 2 7 4 3 3" xfId="31019" xr:uid="{8866FE73-2E85-499D-8D99-6B67C58154E2}"/>
    <cellStyle name="Comma 5 2 7 4 4" xfId="9115" xr:uid="{1FB8DEBA-E079-4AEA-B86B-E6CEF12B3D54}"/>
    <cellStyle name="Comma 5 2 7 4 4 2" xfId="45623" xr:uid="{08EB1E33-3A50-4569-B359-C8221EA0104B}"/>
    <cellStyle name="Comma 5 2 7 4 4 3" xfId="27369" xr:uid="{BDB65332-C5F7-4E99-B505-67BD57063807}"/>
    <cellStyle name="Comma 5 2 7 4 5" xfId="5465" xr:uid="{D5C46159-8862-4191-AD72-586BF0DA1D6F}"/>
    <cellStyle name="Comma 5 2 7 4 5 2" xfId="41973" xr:uid="{3680A2EB-6924-41FC-A6B4-1DBFC6E89F21}"/>
    <cellStyle name="Comma 5 2 7 4 5 3" xfId="23719" xr:uid="{B5743E51-FE21-4825-9802-F2BE4E310EA4}"/>
    <cellStyle name="Comma 5 2 7 4 6" xfId="38323" xr:uid="{E5DF2BD9-3491-48DC-92F5-AFDDA68B39C3}"/>
    <cellStyle name="Comma 5 2 7 4 7" xfId="20069" xr:uid="{E5272647-1C45-4999-9C01-ECE4383F25BC}"/>
    <cellStyle name="Comma 5 2 7 5" xfId="1085" xr:uid="{210AFA19-7722-4C75-B794-9AEC5FE7ED25}"/>
    <cellStyle name="Comma 5 2 7 5 2" xfId="15685" xr:uid="{D1CF80D5-0861-4844-880E-B1FFCF169412}"/>
    <cellStyle name="Comma 5 2 7 5 2 2" xfId="52193" xr:uid="{FAA1BB5E-955D-478B-8F51-300A35DC719C}"/>
    <cellStyle name="Comma 5 2 7 5 2 3" xfId="33939" xr:uid="{9129EE07-69B4-46F7-BC2D-98269EEA787C}"/>
    <cellStyle name="Comma 5 2 7 5 3" xfId="12035" xr:uid="{90402375-377A-42CA-9388-FF1891474B98}"/>
    <cellStyle name="Comma 5 2 7 5 3 2" xfId="48543" xr:uid="{9EEA0A55-CFDE-4A2D-99CC-79915124E747}"/>
    <cellStyle name="Comma 5 2 7 5 3 3" xfId="30289" xr:uid="{E57C2402-ED12-4817-BE1B-7C4B38640139}"/>
    <cellStyle name="Comma 5 2 7 5 4" xfId="8385" xr:uid="{873DE300-4BDF-4B85-B3FA-C6A8C5144315}"/>
    <cellStyle name="Comma 5 2 7 5 4 2" xfId="44893" xr:uid="{197D5D42-22BF-4713-8375-BA13F6EFBFFE}"/>
    <cellStyle name="Comma 5 2 7 5 4 3" xfId="26639" xr:uid="{EC603F34-E507-4797-95F4-719867482702}"/>
    <cellStyle name="Comma 5 2 7 5 5" xfId="4735" xr:uid="{1B75B9D9-28EE-4492-A634-72704A75F4FE}"/>
    <cellStyle name="Comma 5 2 7 5 5 2" xfId="41243" xr:uid="{1A1A64BD-6644-4446-B84E-82FEF719BA85}"/>
    <cellStyle name="Comma 5 2 7 5 5 3" xfId="22989" xr:uid="{321508C4-807A-4936-8272-AE0F2198242C}"/>
    <cellStyle name="Comma 5 2 7 5 6" xfId="37593" xr:uid="{680DD7CE-F3B2-42FF-AD43-09C98E4055F9}"/>
    <cellStyle name="Comma 5 2 7 5 7" xfId="19339" xr:uid="{519ECB4B-8A36-4A5D-8F42-24751A9420D4}"/>
    <cellStyle name="Comma 5 2 7 6" xfId="14955" xr:uid="{55CB75E7-7D32-4D3A-B5D8-44AE577C9401}"/>
    <cellStyle name="Comma 5 2 7 6 2" xfId="51463" xr:uid="{DB5FAF5A-1C11-4D46-9CC1-3B3EF0055D13}"/>
    <cellStyle name="Comma 5 2 7 6 3" xfId="33209" xr:uid="{7C872F06-E65F-453C-A94C-86F25CAA2AE3}"/>
    <cellStyle name="Comma 5 2 7 7" xfId="11305" xr:uid="{4C5D6A8E-329A-425B-AFC7-2E7EB1C19E06}"/>
    <cellStyle name="Comma 5 2 7 7 2" xfId="47813" xr:uid="{EF5325DD-E7B1-4F40-B261-5351C8576CBC}"/>
    <cellStyle name="Comma 5 2 7 7 3" xfId="29559" xr:uid="{97556E41-9AC8-4A05-9D7E-0EBCDFEDB556}"/>
    <cellStyle name="Comma 5 2 7 8" xfId="7655" xr:uid="{46EFDF77-3228-4236-B9FB-F7C8A4C1BACF}"/>
    <cellStyle name="Comma 5 2 7 8 2" xfId="44163" xr:uid="{995F7AE7-2D80-45A3-A310-50272D73B7F0}"/>
    <cellStyle name="Comma 5 2 7 8 3" xfId="25909" xr:uid="{BF923A96-00C6-4D66-A751-E753304B93C0}"/>
    <cellStyle name="Comma 5 2 7 9" xfId="4005" xr:uid="{DC25E403-ECF1-45B8-B50E-4397FAF6EF67}"/>
    <cellStyle name="Comma 5 2 7 9 2" xfId="40513" xr:uid="{F937271F-876F-41F0-A089-161766D8731E}"/>
    <cellStyle name="Comma 5 2 7 9 3" xfId="22259" xr:uid="{C39DE8E7-7AB9-406B-8E71-315D34598D00}"/>
    <cellStyle name="Comma 5 2 8" xfId="251" xr:uid="{422E884C-3FF8-420E-B332-18EA54808ED4}"/>
    <cellStyle name="Comma 5 2 8 10" xfId="36759" xr:uid="{FB18ADD7-C6D6-4190-B337-0B3BDED4FC65}"/>
    <cellStyle name="Comma 5 2 8 11" xfId="18505" xr:uid="{DBB5FE33-2AF8-46F3-83FF-4999EFF30A93}"/>
    <cellStyle name="Comma 5 2 8 2" xfId="3171" xr:uid="{5A6FDB0C-3877-45E6-85CA-4BA5F20BF75F}"/>
    <cellStyle name="Comma 5 2 8 2 2" xfId="17771" xr:uid="{C9FB9251-E43E-458B-AC3B-5F263258EA9C}"/>
    <cellStyle name="Comma 5 2 8 2 2 2" xfId="54279" xr:uid="{2EDF968B-BF6D-47D5-A732-F4C4FF757F89}"/>
    <cellStyle name="Comma 5 2 8 2 2 3" xfId="36025" xr:uid="{61274539-F234-415B-8A0C-EF8156CD6A50}"/>
    <cellStyle name="Comma 5 2 8 2 3" xfId="14121" xr:uid="{C3932B5F-11AE-4829-9D2E-B66C126F8D93}"/>
    <cellStyle name="Comma 5 2 8 2 3 2" xfId="50629" xr:uid="{ED16C91B-0AC6-49ED-B9A5-0CC05073A35B}"/>
    <cellStyle name="Comma 5 2 8 2 3 3" xfId="32375" xr:uid="{E0E2DFCD-5073-41BE-B41F-5420D1054094}"/>
    <cellStyle name="Comma 5 2 8 2 4" xfId="10471" xr:uid="{2B13C457-43D9-45A3-BC79-C32EEFED0825}"/>
    <cellStyle name="Comma 5 2 8 2 4 2" xfId="46979" xr:uid="{BC666CAC-CAAD-4EED-B0DF-1913C07F1300}"/>
    <cellStyle name="Comma 5 2 8 2 4 3" xfId="28725" xr:uid="{D0A764CF-EBEA-4CE1-85F5-35259321AD20}"/>
    <cellStyle name="Comma 5 2 8 2 5" xfId="6821" xr:uid="{310E55AF-FD24-49F4-B282-C9C1D0432221}"/>
    <cellStyle name="Comma 5 2 8 2 5 2" xfId="43329" xr:uid="{6B0EC442-297A-4D9D-BB7B-F8C93FAE2208}"/>
    <cellStyle name="Comma 5 2 8 2 5 3" xfId="25075" xr:uid="{9C556CBE-26E1-4D91-BED3-7CED919AB98E}"/>
    <cellStyle name="Comma 5 2 8 2 6" xfId="39679" xr:uid="{3E1F205F-6834-40BB-A45F-F3AC1BE3BD37}"/>
    <cellStyle name="Comma 5 2 8 2 7" xfId="21425" xr:uid="{8E590758-F171-465F-8E6F-876CD13AE1FC}"/>
    <cellStyle name="Comma 5 2 8 3" xfId="2441" xr:uid="{EF25768B-D068-4142-B701-D276EE33970B}"/>
    <cellStyle name="Comma 5 2 8 3 2" xfId="17041" xr:uid="{FDD43A41-69DF-4554-A6DA-9506ED247F23}"/>
    <cellStyle name="Comma 5 2 8 3 2 2" xfId="53549" xr:uid="{28BE4AAB-37D8-4E04-B47D-5195A09842A4}"/>
    <cellStyle name="Comma 5 2 8 3 2 3" xfId="35295" xr:uid="{F6136C61-6BA4-46C6-9C6E-D363A7D37982}"/>
    <cellStyle name="Comma 5 2 8 3 3" xfId="13391" xr:uid="{10F23923-FA8B-4A72-B33B-36BE486CA258}"/>
    <cellStyle name="Comma 5 2 8 3 3 2" xfId="49899" xr:uid="{0B6D8C6B-0CC6-45AC-B3D2-40EC7330BB55}"/>
    <cellStyle name="Comma 5 2 8 3 3 3" xfId="31645" xr:uid="{63E053F5-625A-4F94-9E42-C259B7B0D9F4}"/>
    <cellStyle name="Comma 5 2 8 3 4" xfId="9741" xr:uid="{53F12A03-D573-4259-A259-8B19E1656278}"/>
    <cellStyle name="Comma 5 2 8 3 4 2" xfId="46249" xr:uid="{84C934FB-9AFF-4E5D-B269-02D55E56D6C6}"/>
    <cellStyle name="Comma 5 2 8 3 4 3" xfId="27995" xr:uid="{2171F33B-3111-40B8-AE34-AFC3954CDE33}"/>
    <cellStyle name="Comma 5 2 8 3 5" xfId="6091" xr:uid="{B681D20B-F060-4EAB-8C10-D08A841B1E12}"/>
    <cellStyle name="Comma 5 2 8 3 5 2" xfId="42599" xr:uid="{13F3AA96-DEAE-4482-96D1-7DB3D09CD66D}"/>
    <cellStyle name="Comma 5 2 8 3 5 3" xfId="24345" xr:uid="{F9ECD374-B189-46A7-A534-4D88A92039CC}"/>
    <cellStyle name="Comma 5 2 8 3 6" xfId="38949" xr:uid="{451355DF-8C5B-441B-BF92-11DCED687F5D}"/>
    <cellStyle name="Comma 5 2 8 3 7" xfId="20695" xr:uid="{09D22B8F-C513-4068-AA99-D7347F97F3BC}"/>
    <cellStyle name="Comma 5 2 8 4" xfId="1711" xr:uid="{C48AB1F1-62CF-48B0-989A-24E42FAD0AFF}"/>
    <cellStyle name="Comma 5 2 8 4 2" xfId="16311" xr:uid="{A8CDA323-9220-47B5-85F8-48DE4FB890E5}"/>
    <cellStyle name="Comma 5 2 8 4 2 2" xfId="52819" xr:uid="{12AC5DDC-B478-4842-9052-933382E4BFB8}"/>
    <cellStyle name="Comma 5 2 8 4 2 3" xfId="34565" xr:uid="{5D4595DD-1CD0-4ACE-B01F-C905270FB156}"/>
    <cellStyle name="Comma 5 2 8 4 3" xfId="12661" xr:uid="{24757958-E42C-48D2-A030-97CF58469B77}"/>
    <cellStyle name="Comma 5 2 8 4 3 2" xfId="49169" xr:uid="{01F9B4C9-E2C4-40AB-BC39-707AD12DE10C}"/>
    <cellStyle name="Comma 5 2 8 4 3 3" xfId="30915" xr:uid="{3FEF8A61-9CD8-4EED-8DA0-8FBB7F89F374}"/>
    <cellStyle name="Comma 5 2 8 4 4" xfId="9011" xr:uid="{BEB13CF8-02AC-4E46-A06B-7D52FF50F8C7}"/>
    <cellStyle name="Comma 5 2 8 4 4 2" xfId="45519" xr:uid="{C248D77A-D22A-4423-AC5B-C448A87A2E80}"/>
    <cellStyle name="Comma 5 2 8 4 4 3" xfId="27265" xr:uid="{1BF101D1-C0C2-46C9-A5A4-F57047E11A74}"/>
    <cellStyle name="Comma 5 2 8 4 5" xfId="5361" xr:uid="{0DA1685C-9DF9-476E-A3B1-6FC40744359C}"/>
    <cellStyle name="Comma 5 2 8 4 5 2" xfId="41869" xr:uid="{BBFC86E6-2794-4D99-B776-6AC6B6B9C00E}"/>
    <cellStyle name="Comma 5 2 8 4 5 3" xfId="23615" xr:uid="{7E0D0413-5A36-44F5-AD59-547289AA3029}"/>
    <cellStyle name="Comma 5 2 8 4 6" xfId="38219" xr:uid="{E0B536A6-FF7E-456D-A170-440322AE329A}"/>
    <cellStyle name="Comma 5 2 8 4 7" xfId="19965" xr:uid="{E3325D28-D585-4F80-9625-B112B303DF2D}"/>
    <cellStyle name="Comma 5 2 8 5" xfId="981" xr:uid="{8918D814-B23B-44F4-A46B-B5A146131964}"/>
    <cellStyle name="Comma 5 2 8 5 2" xfId="15581" xr:uid="{596E6252-F628-45D5-A180-D31B86DA381A}"/>
    <cellStyle name="Comma 5 2 8 5 2 2" xfId="52089" xr:uid="{93F8FBB8-92ED-43A9-A093-AE60770C0ED1}"/>
    <cellStyle name="Comma 5 2 8 5 2 3" xfId="33835" xr:uid="{EE90FCF4-508F-470B-9F8F-2F6E0817EC30}"/>
    <cellStyle name="Comma 5 2 8 5 3" xfId="11931" xr:uid="{150790E1-81D1-4AAD-90C9-BDB59EA45E0E}"/>
    <cellStyle name="Comma 5 2 8 5 3 2" xfId="48439" xr:uid="{A9B38B8F-C650-44E2-A53D-C72C63267D64}"/>
    <cellStyle name="Comma 5 2 8 5 3 3" xfId="30185" xr:uid="{8AFECCD0-D8B9-4E45-AD61-96F7B7994B2B}"/>
    <cellStyle name="Comma 5 2 8 5 4" xfId="8281" xr:uid="{8D6F542E-498D-48A0-BC07-DC863D5EB884}"/>
    <cellStyle name="Comma 5 2 8 5 4 2" xfId="44789" xr:uid="{5701ADDA-C2C0-4252-ACA2-6BB13BE6B860}"/>
    <cellStyle name="Comma 5 2 8 5 4 3" xfId="26535" xr:uid="{1CF135B9-F1DB-4B92-A207-FF3FE1B13520}"/>
    <cellStyle name="Comma 5 2 8 5 5" xfId="4631" xr:uid="{47B8BCD9-3A78-40EC-BE5E-2E40AA9DB60A}"/>
    <cellStyle name="Comma 5 2 8 5 5 2" xfId="41139" xr:uid="{E85619AC-51C5-43E9-85B9-A9A82B8AF485}"/>
    <cellStyle name="Comma 5 2 8 5 5 3" xfId="22885" xr:uid="{899399B1-3256-4622-819A-23A91547B758}"/>
    <cellStyle name="Comma 5 2 8 5 6" xfId="37489" xr:uid="{8312E9F7-D8A0-475D-8F73-3437ABCBD0E1}"/>
    <cellStyle name="Comma 5 2 8 5 7" xfId="19235" xr:uid="{FDD74D3C-0E55-4674-AB36-0936E1536576}"/>
    <cellStyle name="Comma 5 2 8 6" xfId="14851" xr:uid="{80F33E50-004E-4BEE-B7B0-7AFFA9A5BA45}"/>
    <cellStyle name="Comma 5 2 8 6 2" xfId="51359" xr:uid="{7CA9E8B9-BD7D-466F-822A-755C967662EC}"/>
    <cellStyle name="Comma 5 2 8 6 3" xfId="33105" xr:uid="{C94079E9-AE76-4EB2-B667-0360E57AE53E}"/>
    <cellStyle name="Comma 5 2 8 7" xfId="11201" xr:uid="{BA7FB7A8-4C8D-4A47-9176-5087B357E621}"/>
    <cellStyle name="Comma 5 2 8 7 2" xfId="47709" xr:uid="{4A8E8784-995C-48FD-9F5A-BD8C9F619962}"/>
    <cellStyle name="Comma 5 2 8 7 3" xfId="29455" xr:uid="{59D3D38E-48C3-4CF0-A9EA-B4670CD9E261}"/>
    <cellStyle name="Comma 5 2 8 8" xfId="7551" xr:uid="{26021D41-6761-48E3-8300-BA3F0B28174F}"/>
    <cellStyle name="Comma 5 2 8 8 2" xfId="44059" xr:uid="{719E900C-F5EE-4FEC-A617-DCC5CC65588D}"/>
    <cellStyle name="Comma 5 2 8 8 3" xfId="25805" xr:uid="{D898CE0F-5490-48E1-9FA7-F04E9DCF01D6}"/>
    <cellStyle name="Comma 5 2 8 9" xfId="3901" xr:uid="{807E531E-8912-4654-B505-5191DF546F18}"/>
    <cellStyle name="Comma 5 2 8 9 2" xfId="40409" xr:uid="{EBDA05CA-9CFE-4619-9C7D-2CE7F793AB40}"/>
    <cellStyle name="Comma 5 2 8 9 3" xfId="22155" xr:uid="{7D2EFE95-B5FD-4FC3-AC5E-7DB6AA89FD60}"/>
    <cellStyle name="Comma 5 2 9" xfId="147" xr:uid="{4695B7B9-B70C-4F15-9540-AA3DBB317EEC}"/>
    <cellStyle name="Comma 5 2 9 10" xfId="36655" xr:uid="{5322089E-FA7B-4AC9-96AF-395B54B05255}"/>
    <cellStyle name="Comma 5 2 9 11" xfId="18401" xr:uid="{1A70A185-5500-4C39-9777-7CEF93CD299D}"/>
    <cellStyle name="Comma 5 2 9 2" xfId="3067" xr:uid="{755D2539-AE31-431F-9052-6D91BB3FAA50}"/>
    <cellStyle name="Comma 5 2 9 2 2" xfId="17667" xr:uid="{BC4227F6-2223-464D-AA0D-E4432FDC5F54}"/>
    <cellStyle name="Comma 5 2 9 2 2 2" xfId="54175" xr:uid="{4AB30422-A4B8-49F1-98DD-BC5DAC9B28DC}"/>
    <cellStyle name="Comma 5 2 9 2 2 3" xfId="35921" xr:uid="{DD78D151-EEE5-4403-B94E-981146948FE3}"/>
    <cellStyle name="Comma 5 2 9 2 3" xfId="14017" xr:uid="{D1352B03-E395-4B5E-A48D-7FD88B7DD424}"/>
    <cellStyle name="Comma 5 2 9 2 3 2" xfId="50525" xr:uid="{DD1A0A72-CD3B-446D-A381-20B4328B5865}"/>
    <cellStyle name="Comma 5 2 9 2 3 3" xfId="32271" xr:uid="{5CB11249-0318-4276-9756-1E7867F457B1}"/>
    <cellStyle name="Comma 5 2 9 2 4" xfId="10367" xr:uid="{E2569A62-C065-4542-8640-582E3507A4A8}"/>
    <cellStyle name="Comma 5 2 9 2 4 2" xfId="46875" xr:uid="{DBF96965-E68D-43EC-98AD-1D525FAF8AA9}"/>
    <cellStyle name="Comma 5 2 9 2 4 3" xfId="28621" xr:uid="{23D75C69-67E5-4E9B-8E01-3FCAFAA59390}"/>
    <cellStyle name="Comma 5 2 9 2 5" xfId="6717" xr:uid="{DA1739BB-B1B2-4C92-8533-449EB049299F}"/>
    <cellStyle name="Comma 5 2 9 2 5 2" xfId="43225" xr:uid="{74612300-2F9B-4433-84E9-5CB5AB524584}"/>
    <cellStyle name="Comma 5 2 9 2 5 3" xfId="24971" xr:uid="{BC79F7CC-CCB3-4F3F-A13A-3D5B4CF4AB03}"/>
    <cellStyle name="Comma 5 2 9 2 6" xfId="39575" xr:uid="{B8BD39A7-BB12-4AA1-9AC9-D294A0BACB56}"/>
    <cellStyle name="Comma 5 2 9 2 7" xfId="21321" xr:uid="{B24D7375-3BE9-4CBE-8569-BEC125AC7EF1}"/>
    <cellStyle name="Comma 5 2 9 3" xfId="2337" xr:uid="{DD510F9D-7956-4F5D-97C2-862284915F24}"/>
    <cellStyle name="Comma 5 2 9 3 2" xfId="16937" xr:uid="{DA054470-9F48-4EF8-BAA7-019635FE422C}"/>
    <cellStyle name="Comma 5 2 9 3 2 2" xfId="53445" xr:uid="{C1BD4C5E-F04D-467D-8C84-B1A7343C3B11}"/>
    <cellStyle name="Comma 5 2 9 3 2 3" xfId="35191" xr:uid="{0A50068A-C05B-45EC-97C3-34169397CA2D}"/>
    <cellStyle name="Comma 5 2 9 3 3" xfId="13287" xr:uid="{FC2E578D-1432-406D-B7B0-1CD39715BA68}"/>
    <cellStyle name="Comma 5 2 9 3 3 2" xfId="49795" xr:uid="{9FE57557-B795-442E-A7A4-1A3DDD271ABC}"/>
    <cellStyle name="Comma 5 2 9 3 3 3" xfId="31541" xr:uid="{247E7761-2D69-409D-94E9-CB7A680C8C27}"/>
    <cellStyle name="Comma 5 2 9 3 4" xfId="9637" xr:uid="{2686EBF3-EBBF-48A7-88FD-47EA044B6519}"/>
    <cellStyle name="Comma 5 2 9 3 4 2" xfId="46145" xr:uid="{95DB7A5D-B1A4-4089-B39E-ED3B2FB1BD82}"/>
    <cellStyle name="Comma 5 2 9 3 4 3" xfId="27891" xr:uid="{414CA6D7-AD49-4D08-A1DF-9A6A00898AFB}"/>
    <cellStyle name="Comma 5 2 9 3 5" xfId="5987" xr:uid="{B5353597-C1F7-40A9-B8E5-D34EB81AFB2A}"/>
    <cellStyle name="Comma 5 2 9 3 5 2" xfId="42495" xr:uid="{4A6B6BB4-A0D1-47DA-9385-5C5B8687DE2E}"/>
    <cellStyle name="Comma 5 2 9 3 5 3" xfId="24241" xr:uid="{2BDBED49-5563-4439-80C0-8DC5E6CFEE7E}"/>
    <cellStyle name="Comma 5 2 9 3 6" xfId="38845" xr:uid="{58E4F93B-29F7-4D69-B80D-304B9370804A}"/>
    <cellStyle name="Comma 5 2 9 3 7" xfId="20591" xr:uid="{3098CFD9-A0D9-4C7B-9276-75CC45DEABEE}"/>
    <cellStyle name="Comma 5 2 9 4" xfId="1607" xr:uid="{C8F01E49-4F26-47AD-8FE9-3389C6324127}"/>
    <cellStyle name="Comma 5 2 9 4 2" xfId="16207" xr:uid="{8B13691F-A4F2-4A69-9C40-4F6ABD9D8172}"/>
    <cellStyle name="Comma 5 2 9 4 2 2" xfId="52715" xr:uid="{5D2D519D-C3E1-4B40-9487-312F5CBF258A}"/>
    <cellStyle name="Comma 5 2 9 4 2 3" xfId="34461" xr:uid="{C6D932D6-BBC5-4395-A5EF-0083307A4764}"/>
    <cellStyle name="Comma 5 2 9 4 3" xfId="12557" xr:uid="{CC326350-398E-43D5-B2A3-267CDB0E5835}"/>
    <cellStyle name="Comma 5 2 9 4 3 2" xfId="49065" xr:uid="{A6BE480E-AFC7-46B2-AB92-603BFBF63D51}"/>
    <cellStyle name="Comma 5 2 9 4 3 3" xfId="30811" xr:uid="{92EEB2F3-D29D-4FCE-B8D2-ECA64781E8A8}"/>
    <cellStyle name="Comma 5 2 9 4 4" xfId="8907" xr:uid="{CBE3E2A0-36B6-4B03-AF2D-22FEE0EAF881}"/>
    <cellStyle name="Comma 5 2 9 4 4 2" xfId="45415" xr:uid="{12FA95ED-E5AC-4A5C-AA7F-F84DD2539BD8}"/>
    <cellStyle name="Comma 5 2 9 4 4 3" xfId="27161" xr:uid="{539D6D40-F705-458B-9B0E-9C6E6E89C4FC}"/>
    <cellStyle name="Comma 5 2 9 4 5" xfId="5257" xr:uid="{0E8227D1-5A1F-4151-96FE-5E8AE9E3814C}"/>
    <cellStyle name="Comma 5 2 9 4 5 2" xfId="41765" xr:uid="{A0FF5B1E-1375-4DAD-9CA4-3C00ED60E408}"/>
    <cellStyle name="Comma 5 2 9 4 5 3" xfId="23511" xr:uid="{31140DD1-254E-43D1-928B-9B8BBAA0285D}"/>
    <cellStyle name="Comma 5 2 9 4 6" xfId="38115" xr:uid="{912EE140-830E-4DA5-9667-696946BCCC3A}"/>
    <cellStyle name="Comma 5 2 9 4 7" xfId="19861" xr:uid="{17D7873C-F349-4938-84FE-14095C888156}"/>
    <cellStyle name="Comma 5 2 9 5" xfId="877" xr:uid="{65CAFD57-59B8-4F9D-9B57-02AEF5CE1DAC}"/>
    <cellStyle name="Comma 5 2 9 5 2" xfId="15477" xr:uid="{EFF12E4B-F063-4B47-873B-86C56DADD2D2}"/>
    <cellStyle name="Comma 5 2 9 5 2 2" xfId="51985" xr:uid="{881EDA98-E071-41AD-B7F5-F8FFF4006BD6}"/>
    <cellStyle name="Comma 5 2 9 5 2 3" xfId="33731" xr:uid="{D516425D-06FA-4CB1-BE65-4FC25B25BC08}"/>
    <cellStyle name="Comma 5 2 9 5 3" xfId="11827" xr:uid="{9900E271-5952-47B4-BF28-65B15C102EFC}"/>
    <cellStyle name="Comma 5 2 9 5 3 2" xfId="48335" xr:uid="{12BA4164-3451-4DC7-8655-33DB670202FE}"/>
    <cellStyle name="Comma 5 2 9 5 3 3" xfId="30081" xr:uid="{1BE056A1-EB91-492F-8C26-EC9C733AC488}"/>
    <cellStyle name="Comma 5 2 9 5 4" xfId="8177" xr:uid="{1E355F11-DC16-4941-B7F8-736FFCBE5571}"/>
    <cellStyle name="Comma 5 2 9 5 4 2" xfId="44685" xr:uid="{BCC5DFD6-C647-4DE7-9F5D-A4AC0DEE67D1}"/>
    <cellStyle name="Comma 5 2 9 5 4 3" xfId="26431" xr:uid="{168BFF6B-12F3-4DCC-92FE-2E62AEA3309A}"/>
    <cellStyle name="Comma 5 2 9 5 5" xfId="4527" xr:uid="{0D53DE39-5983-4ED3-A048-C84AEA1984D7}"/>
    <cellStyle name="Comma 5 2 9 5 5 2" xfId="41035" xr:uid="{77F39268-E085-4210-A2A6-22132E49D954}"/>
    <cellStyle name="Comma 5 2 9 5 5 3" xfId="22781" xr:uid="{7BE61F36-4354-422C-9A1B-68360C41E006}"/>
    <cellStyle name="Comma 5 2 9 5 6" xfId="37385" xr:uid="{81BFD256-144B-4583-965F-78C6BF9F28A2}"/>
    <cellStyle name="Comma 5 2 9 5 7" xfId="19131" xr:uid="{6B5F9F7E-B3BE-4DE9-8431-B95F9D221F37}"/>
    <cellStyle name="Comma 5 2 9 6" xfId="14747" xr:uid="{B11358D1-B3EE-49F0-A7BE-C319275B0B01}"/>
    <cellStyle name="Comma 5 2 9 6 2" xfId="51255" xr:uid="{F57C1DEE-E0E9-4F94-9DEB-A3007F3D4B78}"/>
    <cellStyle name="Comma 5 2 9 6 3" xfId="33001" xr:uid="{345BF23E-E7FF-48C5-B8F0-7D7CF18059AE}"/>
    <cellStyle name="Comma 5 2 9 7" xfId="11097" xr:uid="{980E13D5-D90D-45D0-910C-6367073DC79D}"/>
    <cellStyle name="Comma 5 2 9 7 2" xfId="47605" xr:uid="{684D4EC1-BD94-4B2C-9F1F-A32E06B14DA9}"/>
    <cellStyle name="Comma 5 2 9 7 3" xfId="29351" xr:uid="{1E6728C2-0705-4F1C-9D73-6017F9F9C92F}"/>
    <cellStyle name="Comma 5 2 9 8" xfId="7447" xr:uid="{4D837465-06E7-496E-B33E-9D4F5DCFE413}"/>
    <cellStyle name="Comma 5 2 9 8 2" xfId="43955" xr:uid="{37AEC496-D416-404E-947B-129DE7B99E31}"/>
    <cellStyle name="Comma 5 2 9 8 3" xfId="25701" xr:uid="{615F95E5-7367-4E5F-A28A-6E37C6BA448F}"/>
    <cellStyle name="Comma 5 2 9 9" xfId="3797" xr:uid="{07D61804-E9DA-437B-8459-C4FCBA937CB0}"/>
    <cellStyle name="Comma 5 2 9 9 2" xfId="40305" xr:uid="{F88A843E-897C-4D34-AC9C-EE5BE09AB1D8}"/>
    <cellStyle name="Comma 5 2 9 9 3" xfId="22051" xr:uid="{97C3E04B-79CC-4299-8D42-9C5CFBAD336F}"/>
    <cellStyle name="Comma 5 20" xfId="18281" xr:uid="{6BEE39CE-BEE1-4A82-B593-F2BA8D8CC1B9}"/>
    <cellStyle name="Comma 5 3" xfId="91" xr:uid="{437B87B1-31D2-4A7D-AB26-E657CA3FFF58}"/>
    <cellStyle name="Comma 5 3 10" xfId="1551" xr:uid="{FF10AA6A-435D-4E3C-9E2B-BE3D9B452608}"/>
    <cellStyle name="Comma 5 3 10 2" xfId="16151" xr:uid="{F9840C4E-CB3F-460F-AB71-E8B0396E3E23}"/>
    <cellStyle name="Comma 5 3 10 2 2" xfId="52659" xr:uid="{38A70A26-FD11-4ABA-8E45-255A2F64A2A5}"/>
    <cellStyle name="Comma 5 3 10 2 3" xfId="34405" xr:uid="{C526D3C7-DEAD-4627-B3E9-76CDB8304EDB}"/>
    <cellStyle name="Comma 5 3 10 3" xfId="12501" xr:uid="{021E7455-105F-4E88-B916-49D2E846C109}"/>
    <cellStyle name="Comma 5 3 10 3 2" xfId="49009" xr:uid="{4598E82B-37A2-4176-ACA8-607B995FB9B3}"/>
    <cellStyle name="Comma 5 3 10 3 3" xfId="30755" xr:uid="{BA2709E0-A9F0-46A7-9E40-0D0A1B870C95}"/>
    <cellStyle name="Comma 5 3 10 4" xfId="8851" xr:uid="{BE5CA2DF-7F51-4645-BB56-AD3F17A128D5}"/>
    <cellStyle name="Comma 5 3 10 4 2" xfId="45359" xr:uid="{72A943FE-D750-4F25-A410-5AB6CD973895}"/>
    <cellStyle name="Comma 5 3 10 4 3" xfId="27105" xr:uid="{77B73FFC-80A0-41C8-85E2-72962E6EF41E}"/>
    <cellStyle name="Comma 5 3 10 5" xfId="5201" xr:uid="{D0AB0927-7F85-4086-B044-5A86BFF7481E}"/>
    <cellStyle name="Comma 5 3 10 5 2" xfId="41709" xr:uid="{4F692E31-9973-4FBF-AA87-134A7FA3D50A}"/>
    <cellStyle name="Comma 5 3 10 5 3" xfId="23455" xr:uid="{B38EADFC-36E4-4469-B585-4C42CA525671}"/>
    <cellStyle name="Comma 5 3 10 6" xfId="38059" xr:uid="{A281F5A1-02F6-4F62-807D-200D05E12B5B}"/>
    <cellStyle name="Comma 5 3 10 7" xfId="19805" xr:uid="{29F7439C-4BDE-444D-BB20-F97F783D119B}"/>
    <cellStyle name="Comma 5 3 11" xfId="821" xr:uid="{18A278DD-51E2-4B2D-A122-F450D0E17919}"/>
    <cellStyle name="Comma 5 3 11 2" xfId="15421" xr:uid="{D6AEA0E5-1F68-4B29-ABD0-6F74855A398B}"/>
    <cellStyle name="Comma 5 3 11 2 2" xfId="51929" xr:uid="{4207DB98-AE79-4D45-A07B-29CBAEAD232E}"/>
    <cellStyle name="Comma 5 3 11 2 3" xfId="33675" xr:uid="{62470011-5C49-4932-9791-DB0A5E3C6D98}"/>
    <cellStyle name="Comma 5 3 11 3" xfId="11771" xr:uid="{B9B9731B-801F-4A03-AB68-AE1048B7A15F}"/>
    <cellStyle name="Comma 5 3 11 3 2" xfId="48279" xr:uid="{702E5EAF-439C-4C46-BA20-C2B1400EFBCF}"/>
    <cellStyle name="Comma 5 3 11 3 3" xfId="30025" xr:uid="{78572399-F35C-41A1-8F8A-5018127351E9}"/>
    <cellStyle name="Comma 5 3 11 4" xfId="8121" xr:uid="{F178276D-9DF6-44F2-A32C-5F074B1B7986}"/>
    <cellStyle name="Comma 5 3 11 4 2" xfId="44629" xr:uid="{3175B10C-B861-4A8B-960D-BFAB2C1A7C3C}"/>
    <cellStyle name="Comma 5 3 11 4 3" xfId="26375" xr:uid="{EBC76B66-54E1-4161-870C-04679104688C}"/>
    <cellStyle name="Comma 5 3 11 5" xfId="4471" xr:uid="{14C96FD0-8C7A-417A-A2A0-B12A8D59DF80}"/>
    <cellStyle name="Comma 5 3 11 5 2" xfId="40979" xr:uid="{984EEB96-8391-416C-9AD2-7011106C952D}"/>
    <cellStyle name="Comma 5 3 11 5 3" xfId="22725" xr:uid="{CFD7CF6D-946F-4A8E-A2AB-80D5E0936228}"/>
    <cellStyle name="Comma 5 3 11 6" xfId="37329" xr:uid="{8D6D9DBE-4CB7-4E83-83FA-080091846775}"/>
    <cellStyle name="Comma 5 3 11 7" xfId="19075" xr:uid="{C15D51F1-3650-4758-B51C-6777A63B2F57}"/>
    <cellStyle name="Comma 5 3 12" xfId="14691" xr:uid="{58C082B9-C726-4D2F-BDBD-1D4BA82E12DC}"/>
    <cellStyle name="Comma 5 3 12 2" xfId="51199" xr:uid="{E120404B-C4D3-48FA-BAA4-50918FFA9DF2}"/>
    <cellStyle name="Comma 5 3 12 3" xfId="32945" xr:uid="{23C623D2-7CE1-4B0D-A249-5B1D29E279E9}"/>
    <cellStyle name="Comma 5 3 13" xfId="11041" xr:uid="{FE236D36-B52B-44FF-A147-0C833B8AFF9C}"/>
    <cellStyle name="Comma 5 3 13 2" xfId="47549" xr:uid="{B1410277-0DB7-4985-8394-BD75F07809AA}"/>
    <cellStyle name="Comma 5 3 13 3" xfId="29295" xr:uid="{AEB9EF30-C81A-4957-90A2-46F7412D2CBB}"/>
    <cellStyle name="Comma 5 3 14" xfId="7391" xr:uid="{8A53EACE-ACD2-4C0B-9F0B-004BBA9D5485}"/>
    <cellStyle name="Comma 5 3 14 2" xfId="43899" xr:uid="{F31371DE-1290-4853-9A03-5C018C1FA8AC}"/>
    <cellStyle name="Comma 5 3 14 3" xfId="25645" xr:uid="{D8A27CF4-5F76-43B2-B2E1-C24E353CE781}"/>
    <cellStyle name="Comma 5 3 15" xfId="3741" xr:uid="{65BD7C87-3117-4CE1-BA89-D9EE8842AAF2}"/>
    <cellStyle name="Comma 5 3 15 2" xfId="40249" xr:uid="{7442B175-584A-4F69-9740-B4164C5F4C56}"/>
    <cellStyle name="Comma 5 3 15 3" xfId="21995" xr:uid="{7053782C-D1C2-46F2-8DF9-2E5DDCA4E330}"/>
    <cellStyle name="Comma 5 3 16" xfId="36599" xr:uid="{2CE60BC1-EA29-46F0-92D5-7613872A2332}"/>
    <cellStyle name="Comma 5 3 17" xfId="18345" xr:uid="{E8D79C75-AFA4-4F41-9336-5B1640934DCE}"/>
    <cellStyle name="Comma 5 3 2" xfId="715" xr:uid="{7E016AF3-34B6-4E7D-9260-15E98346D31E}"/>
    <cellStyle name="Comma 5 3 2 10" xfId="37223" xr:uid="{5E05529C-30AD-495D-AEAE-5D8CDD051F50}"/>
    <cellStyle name="Comma 5 3 2 11" xfId="18969" xr:uid="{D6E081E7-DFCD-4C1B-ACFC-1219BC1A7DEC}"/>
    <cellStyle name="Comma 5 3 2 2" xfId="3635" xr:uid="{A7CAFD08-494D-4999-95DA-724815D9C2D1}"/>
    <cellStyle name="Comma 5 3 2 2 2" xfId="18235" xr:uid="{5D70B0D2-475F-4CB8-B8BD-200721F1E81E}"/>
    <cellStyle name="Comma 5 3 2 2 2 2" xfId="54743" xr:uid="{5C97BCCC-E285-4281-B6C1-AF50AF443FF9}"/>
    <cellStyle name="Comma 5 3 2 2 2 3" xfId="36489" xr:uid="{BECB899A-34AA-4D84-9756-43F484BEAACC}"/>
    <cellStyle name="Comma 5 3 2 2 3" xfId="14585" xr:uid="{E9C62F98-3C0B-49C6-A5A3-D4DFC880B674}"/>
    <cellStyle name="Comma 5 3 2 2 3 2" xfId="51093" xr:uid="{4844CA39-ED4A-4234-B078-360FAA609592}"/>
    <cellStyle name="Comma 5 3 2 2 3 3" xfId="32839" xr:uid="{6C28A190-B370-4DD8-96FE-ECB2B69C5600}"/>
    <cellStyle name="Comma 5 3 2 2 4" xfId="10935" xr:uid="{62FC5AEF-0870-449B-9E28-6C054180B9A4}"/>
    <cellStyle name="Comma 5 3 2 2 4 2" xfId="47443" xr:uid="{B59E2B18-8A0F-4D1F-BAFA-6804A598D609}"/>
    <cellStyle name="Comma 5 3 2 2 4 3" xfId="29189" xr:uid="{5A393107-3F4B-4C9E-8098-2A73E55404A0}"/>
    <cellStyle name="Comma 5 3 2 2 5" xfId="7285" xr:uid="{35A8AACA-2FE8-496A-BAC4-9264F1B284DF}"/>
    <cellStyle name="Comma 5 3 2 2 5 2" xfId="43793" xr:uid="{B6E3A3DC-48F1-4109-8179-38537FDB9CA9}"/>
    <cellStyle name="Comma 5 3 2 2 5 3" xfId="25539" xr:uid="{4917E87E-FC32-400A-AF0A-B143E577A6F8}"/>
    <cellStyle name="Comma 5 3 2 2 6" xfId="40143" xr:uid="{6297BAED-0D20-48EB-B1B4-D66606CC691E}"/>
    <cellStyle name="Comma 5 3 2 2 7" xfId="21889" xr:uid="{B661711E-82CD-4C0F-AEEC-64B8279BBA0D}"/>
    <cellStyle name="Comma 5 3 2 3" xfId="2905" xr:uid="{C7E4E872-9EDD-426B-A6B7-7CDBE1157715}"/>
    <cellStyle name="Comma 5 3 2 3 2" xfId="17505" xr:uid="{667FFAF5-2C7F-4898-91D6-F55B3400C288}"/>
    <cellStyle name="Comma 5 3 2 3 2 2" xfId="54013" xr:uid="{236FB624-AD6C-465C-802E-29A0DC29B922}"/>
    <cellStyle name="Comma 5 3 2 3 2 3" xfId="35759" xr:uid="{17C7040C-4A8C-430B-971B-250524028DB4}"/>
    <cellStyle name="Comma 5 3 2 3 3" xfId="13855" xr:uid="{7A9D0F80-00F1-4870-B54F-191D8EDBD7EA}"/>
    <cellStyle name="Comma 5 3 2 3 3 2" xfId="50363" xr:uid="{FED7A54C-AB97-4393-904E-626710B3E432}"/>
    <cellStyle name="Comma 5 3 2 3 3 3" xfId="32109" xr:uid="{BE145496-C666-4290-881A-4ED393356A2D}"/>
    <cellStyle name="Comma 5 3 2 3 4" xfId="10205" xr:uid="{3ADB69A1-8370-4E25-BFA3-BC161D65A8F0}"/>
    <cellStyle name="Comma 5 3 2 3 4 2" xfId="46713" xr:uid="{1CEEFF94-8123-4236-8086-42F83CB1C737}"/>
    <cellStyle name="Comma 5 3 2 3 4 3" xfId="28459" xr:uid="{5BFBACCB-0CC2-4AD8-A1B8-7F214680A5E5}"/>
    <cellStyle name="Comma 5 3 2 3 5" xfId="6555" xr:uid="{452BD0C7-E380-43A3-AFDF-C70C37270816}"/>
    <cellStyle name="Comma 5 3 2 3 5 2" xfId="43063" xr:uid="{8F983262-D5D9-4F8A-8DF9-76A6613522BD}"/>
    <cellStyle name="Comma 5 3 2 3 5 3" xfId="24809" xr:uid="{F110E52F-9FB9-4A4C-89FE-99FEC7D5FA6E}"/>
    <cellStyle name="Comma 5 3 2 3 6" xfId="39413" xr:uid="{D40E8022-E520-40F0-B616-FC7395B1C03F}"/>
    <cellStyle name="Comma 5 3 2 3 7" xfId="21159" xr:uid="{F5136F60-2942-4BF3-A8DB-B08BBF0EABEF}"/>
    <cellStyle name="Comma 5 3 2 4" xfId="2175" xr:uid="{29054453-F35B-403E-87C4-0FFA88DB13DD}"/>
    <cellStyle name="Comma 5 3 2 4 2" xfId="16775" xr:uid="{434844C1-6F78-45C6-A48B-5722105D9684}"/>
    <cellStyle name="Comma 5 3 2 4 2 2" xfId="53283" xr:uid="{E9E0DEF1-595F-4348-A517-FBDD9CF3AF46}"/>
    <cellStyle name="Comma 5 3 2 4 2 3" xfId="35029" xr:uid="{60260D2D-8359-43C2-AE13-1CC6FE7D0EAE}"/>
    <cellStyle name="Comma 5 3 2 4 3" xfId="13125" xr:uid="{0C6ED532-BC06-4E4F-9C3D-4E7ECAB5B3D3}"/>
    <cellStyle name="Comma 5 3 2 4 3 2" xfId="49633" xr:uid="{ABD734EC-FB0A-471B-AD4C-A9FAB4083ED7}"/>
    <cellStyle name="Comma 5 3 2 4 3 3" xfId="31379" xr:uid="{2C990EB8-1E08-4222-B868-A93A6DC9E3DD}"/>
    <cellStyle name="Comma 5 3 2 4 4" xfId="9475" xr:uid="{8A44C564-3D2E-4620-B5FB-A53997E6983C}"/>
    <cellStyle name="Comma 5 3 2 4 4 2" xfId="45983" xr:uid="{7F6BCDDD-F40E-4F2A-BBFF-93A0BC798C6F}"/>
    <cellStyle name="Comma 5 3 2 4 4 3" xfId="27729" xr:uid="{878FB29D-DC1C-440C-A6A0-7E293F0D9492}"/>
    <cellStyle name="Comma 5 3 2 4 5" xfId="5825" xr:uid="{B492D801-DE38-4055-B44E-D61EFD6BBFCB}"/>
    <cellStyle name="Comma 5 3 2 4 5 2" xfId="42333" xr:uid="{DB55B2E1-B3ED-462F-8F0E-5A532E700050}"/>
    <cellStyle name="Comma 5 3 2 4 5 3" xfId="24079" xr:uid="{C4DBB51F-48DF-4759-BB99-D14057A2E6A3}"/>
    <cellStyle name="Comma 5 3 2 4 6" xfId="38683" xr:uid="{C5F53E3A-8A9F-47A2-A583-AAAA1AD186CB}"/>
    <cellStyle name="Comma 5 3 2 4 7" xfId="20429" xr:uid="{A5046E3F-2538-4D1B-B9E5-FC7B93BB0FE4}"/>
    <cellStyle name="Comma 5 3 2 5" xfId="1445" xr:uid="{B7C72A44-560F-49C8-B109-06E481B1026E}"/>
    <cellStyle name="Comma 5 3 2 5 2" xfId="16045" xr:uid="{B0DCAEF8-48C5-400D-BCD6-072BE4F94CA5}"/>
    <cellStyle name="Comma 5 3 2 5 2 2" xfId="52553" xr:uid="{99F8CD67-4A8D-4DBA-A415-8B0F4DD1E561}"/>
    <cellStyle name="Comma 5 3 2 5 2 3" xfId="34299" xr:uid="{36344BFA-CF2A-47CD-B861-8FF1D027762C}"/>
    <cellStyle name="Comma 5 3 2 5 3" xfId="12395" xr:uid="{24F51FAC-E51F-4E2D-A3AC-305624AB9EE1}"/>
    <cellStyle name="Comma 5 3 2 5 3 2" xfId="48903" xr:uid="{74994D7A-DF8D-44BB-BE3A-49B0304FAC74}"/>
    <cellStyle name="Comma 5 3 2 5 3 3" xfId="30649" xr:uid="{C9963F0C-6F8B-413A-97CA-669F4883E665}"/>
    <cellStyle name="Comma 5 3 2 5 4" xfId="8745" xr:uid="{41E4E840-DB46-41CE-B59E-D7051FDFCA51}"/>
    <cellStyle name="Comma 5 3 2 5 4 2" xfId="45253" xr:uid="{041637BC-67AC-4F25-BDB0-B02C90F2BBAE}"/>
    <cellStyle name="Comma 5 3 2 5 4 3" xfId="26999" xr:uid="{C658CD18-16F5-4390-A704-670E05CF4EE5}"/>
    <cellStyle name="Comma 5 3 2 5 5" xfId="5095" xr:uid="{E437DEC7-CB1C-4C0F-996D-80802E5331B9}"/>
    <cellStyle name="Comma 5 3 2 5 5 2" xfId="41603" xr:uid="{AC3A4B2E-E735-4F72-8328-E55F9FE52F01}"/>
    <cellStyle name="Comma 5 3 2 5 5 3" xfId="23349" xr:uid="{C8178805-7569-4580-BCB3-D1803AFD3112}"/>
    <cellStyle name="Comma 5 3 2 5 6" xfId="37953" xr:uid="{3DB7F9EB-E357-48EA-B5BE-D90176EC9AC5}"/>
    <cellStyle name="Comma 5 3 2 5 7" xfId="19699" xr:uid="{158CC7E4-CD61-4E68-BD3C-6F1D022E5571}"/>
    <cellStyle name="Comma 5 3 2 6" xfId="15315" xr:uid="{524DBD8B-E31A-4E1B-881A-80F5C3640AF3}"/>
    <cellStyle name="Comma 5 3 2 6 2" xfId="51823" xr:uid="{5D10220A-007D-403A-B204-0D7765ECB853}"/>
    <cellStyle name="Comma 5 3 2 6 3" xfId="33569" xr:uid="{6B1CA33B-4712-4134-9485-8E18345D0BCF}"/>
    <cellStyle name="Comma 5 3 2 7" xfId="11665" xr:uid="{632D4CBB-D136-419F-BC5A-01456ED8F947}"/>
    <cellStyle name="Comma 5 3 2 7 2" xfId="48173" xr:uid="{61A6B703-0793-4EDA-8777-906213D92A3A}"/>
    <cellStyle name="Comma 5 3 2 7 3" xfId="29919" xr:uid="{C29877C2-DF7D-48EF-9BAD-B36CBE27F8A5}"/>
    <cellStyle name="Comma 5 3 2 8" xfId="8015" xr:uid="{A72812A2-9F3E-488E-8B25-D795FD8336C0}"/>
    <cellStyle name="Comma 5 3 2 8 2" xfId="44523" xr:uid="{B057A8ED-F533-446E-AE1B-03192EB3D161}"/>
    <cellStyle name="Comma 5 3 2 8 3" xfId="26269" xr:uid="{071EC920-1722-4A39-913E-AC71431001A9}"/>
    <cellStyle name="Comma 5 3 2 9" xfId="4365" xr:uid="{4F20F44A-2EDB-4F23-9FC7-4C7A65B445B2}"/>
    <cellStyle name="Comma 5 3 2 9 2" xfId="40873" xr:uid="{39FD3BD6-7841-46A9-85B7-55307048F2AE}"/>
    <cellStyle name="Comma 5 3 2 9 3" xfId="22619" xr:uid="{0D66DBA0-8F13-4F7D-B5E7-45ECFF6BD623}"/>
    <cellStyle name="Comma 5 3 3" xfId="611" xr:uid="{8F84D48C-FD40-40FF-B41D-CD7B42FE6A95}"/>
    <cellStyle name="Comma 5 3 3 10" xfId="37119" xr:uid="{32000A96-13A7-441E-9F7A-0263A47DC726}"/>
    <cellStyle name="Comma 5 3 3 11" xfId="18865" xr:uid="{86693D69-6DDD-4B7B-8709-762F14EB62C2}"/>
    <cellStyle name="Comma 5 3 3 2" xfId="3531" xr:uid="{5BB7DBA6-35E7-4E25-9BFF-B7F49BE7D8DD}"/>
    <cellStyle name="Comma 5 3 3 2 2" xfId="18131" xr:uid="{B6EDBCAE-D93B-4FFC-A115-F20D286C9523}"/>
    <cellStyle name="Comma 5 3 3 2 2 2" xfId="54639" xr:uid="{B159FAF7-E86D-4E72-83AC-94709E3A4EEB}"/>
    <cellStyle name="Comma 5 3 3 2 2 3" xfId="36385" xr:uid="{6D7017D0-E63E-4B9F-83EC-358DB304BB96}"/>
    <cellStyle name="Comma 5 3 3 2 3" xfId="14481" xr:uid="{7D643804-26D9-42C3-B129-EE30E03548DA}"/>
    <cellStyle name="Comma 5 3 3 2 3 2" xfId="50989" xr:uid="{D5347B09-53F5-41A9-8184-9310E67931F0}"/>
    <cellStyle name="Comma 5 3 3 2 3 3" xfId="32735" xr:uid="{1E5A58ED-B33E-4516-9CCF-08FE7FAFCCAF}"/>
    <cellStyle name="Comma 5 3 3 2 4" xfId="10831" xr:uid="{343B35BF-A063-481E-98E3-CB3E9B5C7E72}"/>
    <cellStyle name="Comma 5 3 3 2 4 2" xfId="47339" xr:uid="{B4274002-1CF6-499E-921A-0A53DC35AEB1}"/>
    <cellStyle name="Comma 5 3 3 2 4 3" xfId="29085" xr:uid="{094CC713-4D53-488F-992D-3462FD49480A}"/>
    <cellStyle name="Comma 5 3 3 2 5" xfId="7181" xr:uid="{8E28B09C-9CF8-492C-9BD5-0E7AA8B6391E}"/>
    <cellStyle name="Comma 5 3 3 2 5 2" xfId="43689" xr:uid="{3650E3DC-0B4B-406F-8799-BECBE331AEE8}"/>
    <cellStyle name="Comma 5 3 3 2 5 3" xfId="25435" xr:uid="{9E6F5AEB-F6D9-4263-B4C9-565123031F03}"/>
    <cellStyle name="Comma 5 3 3 2 6" xfId="40039" xr:uid="{3222639F-9A44-499E-9A36-6101CE4B22FC}"/>
    <cellStyle name="Comma 5 3 3 2 7" xfId="21785" xr:uid="{8690A839-8468-4D3F-9E03-13286F37DA6D}"/>
    <cellStyle name="Comma 5 3 3 3" xfId="2801" xr:uid="{60910D14-A228-496D-8AB7-B56C520C81A9}"/>
    <cellStyle name="Comma 5 3 3 3 2" xfId="17401" xr:uid="{A0275679-114C-488B-B5F5-0336FDDBE000}"/>
    <cellStyle name="Comma 5 3 3 3 2 2" xfId="53909" xr:uid="{E163D73E-7829-4656-89EB-E38561AC47E8}"/>
    <cellStyle name="Comma 5 3 3 3 2 3" xfId="35655" xr:uid="{6FCA0B90-CD2E-4F51-8FD6-CE4542829330}"/>
    <cellStyle name="Comma 5 3 3 3 3" xfId="13751" xr:uid="{77628B3C-36DC-46FD-9496-E8A17A022E43}"/>
    <cellStyle name="Comma 5 3 3 3 3 2" xfId="50259" xr:uid="{9831F72C-9139-4FFD-BF72-1CF14C7D6533}"/>
    <cellStyle name="Comma 5 3 3 3 3 3" xfId="32005" xr:uid="{E0BCD07F-273E-4845-BBB7-4A6171F29280}"/>
    <cellStyle name="Comma 5 3 3 3 4" xfId="10101" xr:uid="{0BF30C9B-346F-466A-8738-0EEAAB1DC383}"/>
    <cellStyle name="Comma 5 3 3 3 4 2" xfId="46609" xr:uid="{7C8952C8-0AF1-458E-B5F2-CA090E2849DC}"/>
    <cellStyle name="Comma 5 3 3 3 4 3" xfId="28355" xr:uid="{D9F97396-0990-43E0-8EEF-E7C98FD3F48D}"/>
    <cellStyle name="Comma 5 3 3 3 5" xfId="6451" xr:uid="{5F5C1DA6-E187-48A8-9128-BF695710606C}"/>
    <cellStyle name="Comma 5 3 3 3 5 2" xfId="42959" xr:uid="{B0A1433B-44BC-48F2-97D4-0ABFC7AB671C}"/>
    <cellStyle name="Comma 5 3 3 3 5 3" xfId="24705" xr:uid="{F3E80F63-AC1E-48ED-8D13-BAE0F0F0DE4C}"/>
    <cellStyle name="Comma 5 3 3 3 6" xfId="39309" xr:uid="{B96B255B-E656-40A4-AA05-3D39DF527A76}"/>
    <cellStyle name="Comma 5 3 3 3 7" xfId="21055" xr:uid="{C6ECFF59-9DAB-4C03-A35C-3CCCC0B37877}"/>
    <cellStyle name="Comma 5 3 3 4" xfId="2071" xr:uid="{4CB90D13-448C-4904-806E-3DA317A03DDB}"/>
    <cellStyle name="Comma 5 3 3 4 2" xfId="16671" xr:uid="{CAC55C68-D7EC-432F-BABE-A4C922598AEA}"/>
    <cellStyle name="Comma 5 3 3 4 2 2" xfId="53179" xr:uid="{7B2471B5-1198-41B5-996C-487DCF09DAD4}"/>
    <cellStyle name="Comma 5 3 3 4 2 3" xfId="34925" xr:uid="{BEB81535-204C-4261-9A91-9354CD334E22}"/>
    <cellStyle name="Comma 5 3 3 4 3" xfId="13021" xr:uid="{2E91BE6D-E6DD-4CC5-9282-9DEDDE9367C7}"/>
    <cellStyle name="Comma 5 3 3 4 3 2" xfId="49529" xr:uid="{B15C4DB7-62B0-48C2-9AF3-2C76431D5963}"/>
    <cellStyle name="Comma 5 3 3 4 3 3" xfId="31275" xr:uid="{17C55C84-759E-4F24-9BC8-84C2F5112046}"/>
    <cellStyle name="Comma 5 3 3 4 4" xfId="9371" xr:uid="{8F5EF030-5613-42B5-A2A4-67F0225E73CF}"/>
    <cellStyle name="Comma 5 3 3 4 4 2" xfId="45879" xr:uid="{C8973796-5886-4EF4-8752-9718BA47D472}"/>
    <cellStyle name="Comma 5 3 3 4 4 3" xfId="27625" xr:uid="{DB0B7FC8-AAA1-48F2-8BE6-56FEE535F836}"/>
    <cellStyle name="Comma 5 3 3 4 5" xfId="5721" xr:uid="{C1D8C2E8-296C-4EDA-B7D2-7174122F5868}"/>
    <cellStyle name="Comma 5 3 3 4 5 2" xfId="42229" xr:uid="{5F47B29C-E138-43D1-A85D-20F56B255DCA}"/>
    <cellStyle name="Comma 5 3 3 4 5 3" xfId="23975" xr:uid="{9C392336-7B8A-404C-AFE6-682605BFF657}"/>
    <cellStyle name="Comma 5 3 3 4 6" xfId="38579" xr:uid="{53A71D36-9510-4E8F-83C0-0E57F06C8F71}"/>
    <cellStyle name="Comma 5 3 3 4 7" xfId="20325" xr:uid="{39A80819-33FA-4A28-B661-10D19FEB4BB6}"/>
    <cellStyle name="Comma 5 3 3 5" xfId="1341" xr:uid="{0BD7FDB4-57DF-43C4-83D8-7F49DDCB3F70}"/>
    <cellStyle name="Comma 5 3 3 5 2" xfId="15941" xr:uid="{1473ADDB-D300-47D5-9889-5FB22FC72C5D}"/>
    <cellStyle name="Comma 5 3 3 5 2 2" xfId="52449" xr:uid="{59694CDA-58C3-4C0D-9397-E8429AA4FDD0}"/>
    <cellStyle name="Comma 5 3 3 5 2 3" xfId="34195" xr:uid="{D7B2A90E-0F37-48F8-8D8E-04DE5B37770B}"/>
    <cellStyle name="Comma 5 3 3 5 3" xfId="12291" xr:uid="{CBAF1B7F-0512-4349-AD2C-28C3DB24BB1D}"/>
    <cellStyle name="Comma 5 3 3 5 3 2" xfId="48799" xr:uid="{FFEAB9AB-0962-459B-95C0-EA4EBE411B7D}"/>
    <cellStyle name="Comma 5 3 3 5 3 3" xfId="30545" xr:uid="{412BECE2-C999-4952-8F1F-7D2F1BB3A407}"/>
    <cellStyle name="Comma 5 3 3 5 4" xfId="8641" xr:uid="{5BD3B111-AB9A-415F-97BE-B0820401B001}"/>
    <cellStyle name="Comma 5 3 3 5 4 2" xfId="45149" xr:uid="{28A17558-E5A7-4A4D-B37F-3D8E28E90A58}"/>
    <cellStyle name="Comma 5 3 3 5 4 3" xfId="26895" xr:uid="{AA2DE7AC-4932-4145-8977-8910D8ADD930}"/>
    <cellStyle name="Comma 5 3 3 5 5" xfId="4991" xr:uid="{AA12C1EF-1AA0-4272-B018-9C4E887343C0}"/>
    <cellStyle name="Comma 5 3 3 5 5 2" xfId="41499" xr:uid="{0B23EB9A-7F34-4E96-A5D2-C5BEF698E78C}"/>
    <cellStyle name="Comma 5 3 3 5 5 3" xfId="23245" xr:uid="{3677D981-F4A4-4754-A01D-5F74059265E7}"/>
    <cellStyle name="Comma 5 3 3 5 6" xfId="37849" xr:uid="{B0E08AB9-BC3D-4C6F-BC6A-CA3642BD93DC}"/>
    <cellStyle name="Comma 5 3 3 5 7" xfId="19595" xr:uid="{4BB4C4F4-1EC7-41BA-A837-E850CCCEB903}"/>
    <cellStyle name="Comma 5 3 3 6" xfId="15211" xr:uid="{519906D2-0BC5-4569-A3A9-97BABE3E5CD3}"/>
    <cellStyle name="Comma 5 3 3 6 2" xfId="51719" xr:uid="{392F8D57-C70D-4E94-86B5-7A386E107B2C}"/>
    <cellStyle name="Comma 5 3 3 6 3" xfId="33465" xr:uid="{D3B44267-3249-4605-AB5B-93F7228C58B4}"/>
    <cellStyle name="Comma 5 3 3 7" xfId="11561" xr:uid="{CB5FE148-84C0-453E-88E1-A30E3DF17D93}"/>
    <cellStyle name="Comma 5 3 3 7 2" xfId="48069" xr:uid="{F9A7371A-0383-4060-ABF2-EAB41F2245D0}"/>
    <cellStyle name="Comma 5 3 3 7 3" xfId="29815" xr:uid="{326493EC-A3BC-4851-B08D-84BF3427CCBD}"/>
    <cellStyle name="Comma 5 3 3 8" xfId="7911" xr:uid="{6ABB0BAE-570A-44AB-B754-659D5CD29727}"/>
    <cellStyle name="Comma 5 3 3 8 2" xfId="44419" xr:uid="{B4B20575-3AFE-4796-9C89-DC861A442D10}"/>
    <cellStyle name="Comma 5 3 3 8 3" xfId="26165" xr:uid="{52EDAC30-5ABF-4FAA-8CD8-DB69F2453F5B}"/>
    <cellStyle name="Comma 5 3 3 9" xfId="4261" xr:uid="{84179BA5-8E1B-4478-8A7D-185FEA5230DD}"/>
    <cellStyle name="Comma 5 3 3 9 2" xfId="40769" xr:uid="{A14E4A0A-0755-492B-8707-34468222D9F6}"/>
    <cellStyle name="Comma 5 3 3 9 3" xfId="22515" xr:uid="{9CF1348A-C8BB-45BE-8513-0D54F1011A13}"/>
    <cellStyle name="Comma 5 3 4" xfId="507" xr:uid="{624F9EC1-281E-49FE-9EFF-4857191D4AA2}"/>
    <cellStyle name="Comma 5 3 4 10" xfId="37015" xr:uid="{CA615205-6EA7-4938-B278-938459B676BE}"/>
    <cellStyle name="Comma 5 3 4 11" xfId="18761" xr:uid="{C46296C2-D9B8-449B-864E-A63387CD4A5C}"/>
    <cellStyle name="Comma 5 3 4 2" xfId="3427" xr:uid="{7A0780F8-A8CE-482B-902E-4CDCAFD929B6}"/>
    <cellStyle name="Comma 5 3 4 2 2" xfId="18027" xr:uid="{E94B2A9F-55BF-4EB6-B920-A90737071642}"/>
    <cellStyle name="Comma 5 3 4 2 2 2" xfId="54535" xr:uid="{C30D52BF-2A83-4050-B3B1-47B5AC327021}"/>
    <cellStyle name="Comma 5 3 4 2 2 3" xfId="36281" xr:uid="{BB6235E5-5CD3-4885-9770-9966F5B5D9A6}"/>
    <cellStyle name="Comma 5 3 4 2 3" xfId="14377" xr:uid="{2914C14E-B771-46B9-B1E3-ED079CF07830}"/>
    <cellStyle name="Comma 5 3 4 2 3 2" xfId="50885" xr:uid="{1C8F3FC3-007E-47CF-8328-B4A5B00AE8F4}"/>
    <cellStyle name="Comma 5 3 4 2 3 3" xfId="32631" xr:uid="{3F36F1B0-7FC8-40F8-A544-515B77C4592A}"/>
    <cellStyle name="Comma 5 3 4 2 4" xfId="10727" xr:uid="{7E732FC3-D156-467F-82F3-704F44492821}"/>
    <cellStyle name="Comma 5 3 4 2 4 2" xfId="47235" xr:uid="{F533A2A2-0595-4FB0-A900-A6A59F8BF84C}"/>
    <cellStyle name="Comma 5 3 4 2 4 3" xfId="28981" xr:uid="{C75D28B7-DD00-4AA0-8C55-C843CB14B678}"/>
    <cellStyle name="Comma 5 3 4 2 5" xfId="7077" xr:uid="{5F0281C4-25E4-4388-B9E2-7C392372DE39}"/>
    <cellStyle name="Comma 5 3 4 2 5 2" xfId="43585" xr:uid="{33D35D09-73F6-4E97-8A36-765585D3A34B}"/>
    <cellStyle name="Comma 5 3 4 2 5 3" xfId="25331" xr:uid="{7A51AAA1-EDFB-4DAD-96A3-E2D6E9C86C75}"/>
    <cellStyle name="Comma 5 3 4 2 6" xfId="39935" xr:uid="{72CB5810-1FE8-4D75-AABF-08416748A710}"/>
    <cellStyle name="Comma 5 3 4 2 7" xfId="21681" xr:uid="{CAA0D91E-45BB-4A8F-AEDA-DF41FD671514}"/>
    <cellStyle name="Comma 5 3 4 3" xfId="2697" xr:uid="{E34B361D-2018-4285-9BFC-35825B69762B}"/>
    <cellStyle name="Comma 5 3 4 3 2" xfId="17297" xr:uid="{7DB16E86-3C79-42D6-8672-4438F8831C1D}"/>
    <cellStyle name="Comma 5 3 4 3 2 2" xfId="53805" xr:uid="{ABACC458-7414-4BCC-8192-853D68309BF9}"/>
    <cellStyle name="Comma 5 3 4 3 2 3" xfId="35551" xr:uid="{E5CC5884-99A5-4719-AB52-6B47B648D40D}"/>
    <cellStyle name="Comma 5 3 4 3 3" xfId="13647" xr:uid="{4A9D0B32-8510-4A81-90A1-66F484029D0A}"/>
    <cellStyle name="Comma 5 3 4 3 3 2" xfId="50155" xr:uid="{F0D27F48-C2B9-4630-BC7A-C79E6F4BA270}"/>
    <cellStyle name="Comma 5 3 4 3 3 3" xfId="31901" xr:uid="{F3C8C2FA-FC0A-4545-A392-9CC85A059CD8}"/>
    <cellStyle name="Comma 5 3 4 3 4" xfId="9997" xr:uid="{8BCCE185-26D1-4FEF-BE7D-A6E74610DA83}"/>
    <cellStyle name="Comma 5 3 4 3 4 2" xfId="46505" xr:uid="{F67800BC-0BCA-4A2D-A40A-858884A15E39}"/>
    <cellStyle name="Comma 5 3 4 3 4 3" xfId="28251" xr:uid="{EC08D096-BBD8-4DA4-B1FE-E8E59128CB0A}"/>
    <cellStyle name="Comma 5 3 4 3 5" xfId="6347" xr:uid="{476BEE29-2F30-4365-B9ED-AE413B50EF7E}"/>
    <cellStyle name="Comma 5 3 4 3 5 2" xfId="42855" xr:uid="{D9384FEA-712B-42BF-86B5-BC8853C6D297}"/>
    <cellStyle name="Comma 5 3 4 3 5 3" xfId="24601" xr:uid="{702CA4D5-4181-4D7E-B889-A262994BF84A}"/>
    <cellStyle name="Comma 5 3 4 3 6" xfId="39205" xr:uid="{25F3AF0F-529D-410A-96B4-AC261A21B3F7}"/>
    <cellStyle name="Comma 5 3 4 3 7" xfId="20951" xr:uid="{AE724C25-91D7-4EE8-B03B-BD253769CEF5}"/>
    <cellStyle name="Comma 5 3 4 4" xfId="1967" xr:uid="{EABE8DF8-AED9-4F8A-B902-F039DEE92F16}"/>
    <cellStyle name="Comma 5 3 4 4 2" xfId="16567" xr:uid="{F2D99AC4-16A3-4917-BF55-9D9B37A681B0}"/>
    <cellStyle name="Comma 5 3 4 4 2 2" xfId="53075" xr:uid="{77EBFCD4-307D-4B40-972F-6842900B2FAC}"/>
    <cellStyle name="Comma 5 3 4 4 2 3" xfId="34821" xr:uid="{799959E5-7590-4C33-9CA5-669C3AE84D50}"/>
    <cellStyle name="Comma 5 3 4 4 3" xfId="12917" xr:uid="{941B6E3E-4627-4383-B691-65F0C31C78D0}"/>
    <cellStyle name="Comma 5 3 4 4 3 2" xfId="49425" xr:uid="{66C18F21-8F46-422B-99E6-EA5C8345030A}"/>
    <cellStyle name="Comma 5 3 4 4 3 3" xfId="31171" xr:uid="{BD83AA2C-8B44-4BD6-A25F-7A8670E52867}"/>
    <cellStyle name="Comma 5 3 4 4 4" xfId="9267" xr:uid="{65C9487C-7849-4AC1-9EC2-40C2DD3F07CD}"/>
    <cellStyle name="Comma 5 3 4 4 4 2" xfId="45775" xr:uid="{282EC527-B7D5-4007-BD29-AA2A1C59C909}"/>
    <cellStyle name="Comma 5 3 4 4 4 3" xfId="27521" xr:uid="{21E64258-7A32-41F2-874A-D35BB1DA0FB1}"/>
    <cellStyle name="Comma 5 3 4 4 5" xfId="5617" xr:uid="{3EC79383-7729-4E26-8B57-FCD80F7A25A3}"/>
    <cellStyle name="Comma 5 3 4 4 5 2" xfId="42125" xr:uid="{ED5CADF5-AC3B-42B3-9F9B-AA5D8F05B77B}"/>
    <cellStyle name="Comma 5 3 4 4 5 3" xfId="23871" xr:uid="{3BAB2879-C3DC-4AD9-937C-8E42842985B3}"/>
    <cellStyle name="Comma 5 3 4 4 6" xfId="38475" xr:uid="{5B2ECED6-F79F-4D0E-B3E9-87F1AE871391}"/>
    <cellStyle name="Comma 5 3 4 4 7" xfId="20221" xr:uid="{5DE4F1FD-B5D3-4631-ABE6-0E7928FC73BC}"/>
    <cellStyle name="Comma 5 3 4 5" xfId="1237" xr:uid="{3C2BD8DA-D7AC-42DC-9D24-312B53239BB1}"/>
    <cellStyle name="Comma 5 3 4 5 2" xfId="15837" xr:uid="{36B3C6E6-92D5-4678-8CE4-A559E9B71CEC}"/>
    <cellStyle name="Comma 5 3 4 5 2 2" xfId="52345" xr:uid="{6DBE8E77-854C-4E9B-9A59-224C724802DB}"/>
    <cellStyle name="Comma 5 3 4 5 2 3" xfId="34091" xr:uid="{8C70D521-F379-4FF3-B928-D6A81A2E276A}"/>
    <cellStyle name="Comma 5 3 4 5 3" xfId="12187" xr:uid="{4836A92E-0BE6-46CC-8258-407FC9263E9E}"/>
    <cellStyle name="Comma 5 3 4 5 3 2" xfId="48695" xr:uid="{166AE7BA-A71E-4CEC-901E-375B9D29B76C}"/>
    <cellStyle name="Comma 5 3 4 5 3 3" xfId="30441" xr:uid="{CEE3AA46-EC9C-4354-9EB4-26F749931D9E}"/>
    <cellStyle name="Comma 5 3 4 5 4" xfId="8537" xr:uid="{4C00E090-5BC4-4CD8-AEE3-A68BEC46DF0C}"/>
    <cellStyle name="Comma 5 3 4 5 4 2" xfId="45045" xr:uid="{CF9596FB-0940-4AF3-8310-381BF9BB2704}"/>
    <cellStyle name="Comma 5 3 4 5 4 3" xfId="26791" xr:uid="{F398D807-F3F3-4F82-AA8E-7AC560604CE0}"/>
    <cellStyle name="Comma 5 3 4 5 5" xfId="4887" xr:uid="{9EC35919-1993-4C0F-86AE-4D92A0F05B11}"/>
    <cellStyle name="Comma 5 3 4 5 5 2" xfId="41395" xr:uid="{8801E57E-981C-444F-B789-6BFFC15DE75F}"/>
    <cellStyle name="Comma 5 3 4 5 5 3" xfId="23141" xr:uid="{E1F89277-0CFB-4591-B364-CE94BE3CA864}"/>
    <cellStyle name="Comma 5 3 4 5 6" xfId="37745" xr:uid="{58011002-1C65-4A68-AB6A-522C19702D07}"/>
    <cellStyle name="Comma 5 3 4 5 7" xfId="19491" xr:uid="{078D389F-3CB0-407D-89FB-C534772B8DC3}"/>
    <cellStyle name="Comma 5 3 4 6" xfId="15107" xr:uid="{3AA15489-FB79-4E42-94AA-028ECBFAB7CE}"/>
    <cellStyle name="Comma 5 3 4 6 2" xfId="51615" xr:uid="{ADB042EB-50E9-47E1-9ED2-1364FF7A0871}"/>
    <cellStyle name="Comma 5 3 4 6 3" xfId="33361" xr:uid="{EF6461C8-1732-4B95-8C3B-3F43655B2D9C}"/>
    <cellStyle name="Comma 5 3 4 7" xfId="11457" xr:uid="{BF3CB935-01B7-413A-8064-9A85EE568B70}"/>
    <cellStyle name="Comma 5 3 4 7 2" xfId="47965" xr:uid="{5393C114-0AD8-4CC0-B685-1D03A1FBE936}"/>
    <cellStyle name="Comma 5 3 4 7 3" xfId="29711" xr:uid="{01DE38B6-D31D-442B-94FB-0024F5F3DF9C}"/>
    <cellStyle name="Comma 5 3 4 8" xfId="7807" xr:uid="{EE7329D1-1C4A-4FBF-8A42-017D9A8A0275}"/>
    <cellStyle name="Comma 5 3 4 8 2" xfId="44315" xr:uid="{4A306759-A670-44F7-AF67-B2A042105887}"/>
    <cellStyle name="Comma 5 3 4 8 3" xfId="26061" xr:uid="{A7A5EE56-506E-4266-B0FC-7A789A90E0C4}"/>
    <cellStyle name="Comma 5 3 4 9" xfId="4157" xr:uid="{19968109-A871-4579-8FB0-1F9DB7FEA088}"/>
    <cellStyle name="Comma 5 3 4 9 2" xfId="40665" xr:uid="{AB270933-A19F-4FBC-9DA2-B28615588A68}"/>
    <cellStyle name="Comma 5 3 4 9 3" xfId="22411" xr:uid="{EF9FD0FE-06C6-4DA2-AA5F-94FE729852A6}"/>
    <cellStyle name="Comma 5 3 5" xfId="403" xr:uid="{C83DF917-C763-4E4D-B86E-168A580720EA}"/>
    <cellStyle name="Comma 5 3 5 10" xfId="36911" xr:uid="{5DE7044D-F591-4015-8DE3-421A786E09F1}"/>
    <cellStyle name="Comma 5 3 5 11" xfId="18657" xr:uid="{8EC0FA39-1D03-480A-B0CF-774A4C815517}"/>
    <cellStyle name="Comma 5 3 5 2" xfId="3323" xr:uid="{2F5426B8-AD35-4658-903B-8A8453C43524}"/>
    <cellStyle name="Comma 5 3 5 2 2" xfId="17923" xr:uid="{690FDE2F-02DF-4BD9-9C8D-F2AC1EAFB4FC}"/>
    <cellStyle name="Comma 5 3 5 2 2 2" xfId="54431" xr:uid="{DD9B4238-BCE7-4341-8F31-6393B1B560C1}"/>
    <cellStyle name="Comma 5 3 5 2 2 3" xfId="36177" xr:uid="{57A40846-26A1-4268-8CEA-84DA3B963E8B}"/>
    <cellStyle name="Comma 5 3 5 2 3" xfId="14273" xr:uid="{5DF2329D-D86E-4D79-9491-CD5C63245CC2}"/>
    <cellStyle name="Comma 5 3 5 2 3 2" xfId="50781" xr:uid="{4EF3C849-B15A-4F6C-AAB1-CC8B8167BF59}"/>
    <cellStyle name="Comma 5 3 5 2 3 3" xfId="32527" xr:uid="{1FCA3BBF-F606-4CD3-8B49-C1547C25A16E}"/>
    <cellStyle name="Comma 5 3 5 2 4" xfId="10623" xr:uid="{D9ABCEFF-F63F-47A5-B7E2-1D723A313E47}"/>
    <cellStyle name="Comma 5 3 5 2 4 2" xfId="47131" xr:uid="{9245F7EA-13A7-478B-A6C2-DDF2DCA6BD73}"/>
    <cellStyle name="Comma 5 3 5 2 4 3" xfId="28877" xr:uid="{6AC36BD4-5DE0-4DFE-B9D0-DCA157B0C1A8}"/>
    <cellStyle name="Comma 5 3 5 2 5" xfId="6973" xr:uid="{BAD597A8-C323-4A77-8DF9-E3488047CA57}"/>
    <cellStyle name="Comma 5 3 5 2 5 2" xfId="43481" xr:uid="{A50AA5E5-323A-40F3-93F5-F7CA8AE3AAE5}"/>
    <cellStyle name="Comma 5 3 5 2 5 3" xfId="25227" xr:uid="{F281394E-ABD9-4DD8-9A20-F30E6B004BFA}"/>
    <cellStyle name="Comma 5 3 5 2 6" xfId="39831" xr:uid="{7AAB7D43-4856-4F42-B999-8F6996C0F992}"/>
    <cellStyle name="Comma 5 3 5 2 7" xfId="21577" xr:uid="{C02DE8C8-D41A-4F0A-8787-22D3104F9C38}"/>
    <cellStyle name="Comma 5 3 5 3" xfId="2593" xr:uid="{3C1B8350-A8DB-41C2-A1DD-C2772994B937}"/>
    <cellStyle name="Comma 5 3 5 3 2" xfId="17193" xr:uid="{1C48F522-AB06-4CA0-B80B-22B960D4D442}"/>
    <cellStyle name="Comma 5 3 5 3 2 2" xfId="53701" xr:uid="{EF4CB8F4-1D12-4237-9B44-A9D2E7A50F2D}"/>
    <cellStyle name="Comma 5 3 5 3 2 3" xfId="35447" xr:uid="{9569BC57-0D3F-4136-9236-D0E3B7C7E768}"/>
    <cellStyle name="Comma 5 3 5 3 3" xfId="13543" xr:uid="{10BD2A76-B769-4459-9D94-6ACFBCDF2A1F}"/>
    <cellStyle name="Comma 5 3 5 3 3 2" xfId="50051" xr:uid="{44ED4B16-8B16-4BD3-BFAB-67FF3396C508}"/>
    <cellStyle name="Comma 5 3 5 3 3 3" xfId="31797" xr:uid="{1D2A6B22-9A9B-46A2-A95A-96C8B270B0DD}"/>
    <cellStyle name="Comma 5 3 5 3 4" xfId="9893" xr:uid="{66934A7C-F622-4842-97EB-6554A6D48ED9}"/>
    <cellStyle name="Comma 5 3 5 3 4 2" xfId="46401" xr:uid="{0672CF60-8392-4CEB-9C19-43688F6E95C7}"/>
    <cellStyle name="Comma 5 3 5 3 4 3" xfId="28147" xr:uid="{9B9E249E-0596-42AD-9D58-7EF5611C87F9}"/>
    <cellStyle name="Comma 5 3 5 3 5" xfId="6243" xr:uid="{51AA1682-A0A3-492A-BDB1-36F6578E8D6B}"/>
    <cellStyle name="Comma 5 3 5 3 5 2" xfId="42751" xr:uid="{C0DA9389-789D-4DB5-ACF4-C0667DD671F2}"/>
    <cellStyle name="Comma 5 3 5 3 5 3" xfId="24497" xr:uid="{A55BA1ED-DF1A-48F7-BA0C-589C8C0B2EAF}"/>
    <cellStyle name="Comma 5 3 5 3 6" xfId="39101" xr:uid="{C224C320-B53D-4C30-AB39-901C1D5A903A}"/>
    <cellStyle name="Comma 5 3 5 3 7" xfId="20847" xr:uid="{53993FB2-E416-4615-B6B2-1776B003E2D5}"/>
    <cellStyle name="Comma 5 3 5 4" xfId="1863" xr:uid="{12FD12AB-5966-47BC-98F4-DC7796D5B767}"/>
    <cellStyle name="Comma 5 3 5 4 2" xfId="16463" xr:uid="{C8853A57-B14D-40FD-9906-2262FE085517}"/>
    <cellStyle name="Comma 5 3 5 4 2 2" xfId="52971" xr:uid="{8A1278F8-69CB-4E4C-A36B-FA3E682C87BE}"/>
    <cellStyle name="Comma 5 3 5 4 2 3" xfId="34717" xr:uid="{64B96D8B-1432-4B4E-BAC4-75F92BA9859B}"/>
    <cellStyle name="Comma 5 3 5 4 3" xfId="12813" xr:uid="{B45ABCE4-C7C7-4774-B8CF-6F6C2C978390}"/>
    <cellStyle name="Comma 5 3 5 4 3 2" xfId="49321" xr:uid="{2B978C1A-9766-4BE7-A324-92E8088B47E1}"/>
    <cellStyle name="Comma 5 3 5 4 3 3" xfId="31067" xr:uid="{9F18BE7D-55DC-4633-995A-4EF02B5A4292}"/>
    <cellStyle name="Comma 5 3 5 4 4" xfId="9163" xr:uid="{AFADB4A0-10E0-4524-B969-8C7FDAD3D7AC}"/>
    <cellStyle name="Comma 5 3 5 4 4 2" xfId="45671" xr:uid="{66118802-98FB-411E-B99B-0A9C96053D8E}"/>
    <cellStyle name="Comma 5 3 5 4 4 3" xfId="27417" xr:uid="{E4C9C346-F571-4A1E-BFEC-D63724255F8C}"/>
    <cellStyle name="Comma 5 3 5 4 5" xfId="5513" xr:uid="{98A1D2BE-E3B8-4611-BDD0-012BF5714670}"/>
    <cellStyle name="Comma 5 3 5 4 5 2" xfId="42021" xr:uid="{27FB30B9-1242-4323-8D6F-FAF5568756D0}"/>
    <cellStyle name="Comma 5 3 5 4 5 3" xfId="23767" xr:uid="{D2CEC6D3-89E6-44EF-B155-46A8A235232D}"/>
    <cellStyle name="Comma 5 3 5 4 6" xfId="38371" xr:uid="{8CB47C41-3E17-4CDB-90BB-244CA03C50C7}"/>
    <cellStyle name="Comma 5 3 5 4 7" xfId="20117" xr:uid="{70941781-D4A7-47A2-8623-D972BF8C3C92}"/>
    <cellStyle name="Comma 5 3 5 5" xfId="1133" xr:uid="{0A712B81-BBE9-489B-AECD-840150B8074C}"/>
    <cellStyle name="Comma 5 3 5 5 2" xfId="15733" xr:uid="{93B3F040-035B-48C8-ACD9-A48E4790246B}"/>
    <cellStyle name="Comma 5 3 5 5 2 2" xfId="52241" xr:uid="{380DEB30-0173-4AF7-8E76-14345B2FE2AA}"/>
    <cellStyle name="Comma 5 3 5 5 2 3" xfId="33987" xr:uid="{60E0BE3B-06F9-4267-9CCC-15EA2A9CC24B}"/>
    <cellStyle name="Comma 5 3 5 5 3" xfId="12083" xr:uid="{4BFBDA36-2486-48B1-8298-1A8F99B23D57}"/>
    <cellStyle name="Comma 5 3 5 5 3 2" xfId="48591" xr:uid="{A45F141D-0E10-4DE2-BB8A-30AB8FA62060}"/>
    <cellStyle name="Comma 5 3 5 5 3 3" xfId="30337" xr:uid="{41C0554E-8D5B-40E1-9B09-26CFAE50A088}"/>
    <cellStyle name="Comma 5 3 5 5 4" xfId="8433" xr:uid="{5BF0423D-6D7E-4473-A194-69E6463F8A7B}"/>
    <cellStyle name="Comma 5 3 5 5 4 2" xfId="44941" xr:uid="{9B943163-1A7D-4884-BE77-88E1D81E606C}"/>
    <cellStyle name="Comma 5 3 5 5 4 3" xfId="26687" xr:uid="{178FEEA7-42A4-418C-BDAA-D15843929A1E}"/>
    <cellStyle name="Comma 5 3 5 5 5" xfId="4783" xr:uid="{C5B4DF57-9251-4442-B0A8-B66DFE324233}"/>
    <cellStyle name="Comma 5 3 5 5 5 2" xfId="41291" xr:uid="{50A53CA5-3805-4DD5-86D5-901F0B444235}"/>
    <cellStyle name="Comma 5 3 5 5 5 3" xfId="23037" xr:uid="{B0E00120-CA70-49E5-9A75-B2CC216196BE}"/>
    <cellStyle name="Comma 5 3 5 5 6" xfId="37641" xr:uid="{5DE3E31B-06B7-4EF0-89FA-95456A326F8E}"/>
    <cellStyle name="Comma 5 3 5 5 7" xfId="19387" xr:uid="{761B9E5F-CA1E-4ED2-8158-FA4FA7C50801}"/>
    <cellStyle name="Comma 5 3 5 6" xfId="15003" xr:uid="{CEB6417E-4059-4B3E-B054-31C24C720292}"/>
    <cellStyle name="Comma 5 3 5 6 2" xfId="51511" xr:uid="{EEDB4BF0-2020-48E1-9A0D-9B5F74DDC557}"/>
    <cellStyle name="Comma 5 3 5 6 3" xfId="33257" xr:uid="{0E20B80D-D965-4856-A56C-30943F53327D}"/>
    <cellStyle name="Comma 5 3 5 7" xfId="11353" xr:uid="{C07FB6D4-BFA2-4887-9361-63650496FE06}"/>
    <cellStyle name="Comma 5 3 5 7 2" xfId="47861" xr:uid="{5D5AF72A-398A-479A-856E-FEF07ADBD28E}"/>
    <cellStyle name="Comma 5 3 5 7 3" xfId="29607" xr:uid="{CA91668A-FF2E-422F-9938-DAC77D400665}"/>
    <cellStyle name="Comma 5 3 5 8" xfId="7703" xr:uid="{F5510A55-A813-4069-BDF9-7440D561168D}"/>
    <cellStyle name="Comma 5 3 5 8 2" xfId="44211" xr:uid="{93790F39-CF60-47DB-917E-A4DA39594AD0}"/>
    <cellStyle name="Comma 5 3 5 8 3" xfId="25957" xr:uid="{777F5F9F-F5C1-411C-AF16-4ED792CD7FE6}"/>
    <cellStyle name="Comma 5 3 5 9" xfId="4053" xr:uid="{ACED96B5-6344-400A-A933-13CC3FE1F787}"/>
    <cellStyle name="Comma 5 3 5 9 2" xfId="40561" xr:uid="{A3351323-1622-484C-8D8B-5C3D00F6244A}"/>
    <cellStyle name="Comma 5 3 5 9 3" xfId="22307" xr:uid="{5EA20A00-557E-4828-9500-21EADFD1250F}"/>
    <cellStyle name="Comma 5 3 6" xfId="299" xr:uid="{7B4A15CA-41C1-4717-A568-C70C9F6F61C8}"/>
    <cellStyle name="Comma 5 3 6 10" xfId="36807" xr:uid="{424759C6-D750-4853-9C65-F1E9F3F82967}"/>
    <cellStyle name="Comma 5 3 6 11" xfId="18553" xr:uid="{AE24770A-A51D-488A-B0E8-3747F6F3649D}"/>
    <cellStyle name="Comma 5 3 6 2" xfId="3219" xr:uid="{C3990458-0621-4E0D-8B15-B1318D7A20EF}"/>
    <cellStyle name="Comma 5 3 6 2 2" xfId="17819" xr:uid="{ADE018BD-F55D-41F1-B3CB-B0A6FDF008FF}"/>
    <cellStyle name="Comma 5 3 6 2 2 2" xfId="54327" xr:uid="{25202680-7074-4263-8BED-E84B14C12F41}"/>
    <cellStyle name="Comma 5 3 6 2 2 3" xfId="36073" xr:uid="{6AF0AC95-C963-4EBD-9E37-EB21F971CD9F}"/>
    <cellStyle name="Comma 5 3 6 2 3" xfId="14169" xr:uid="{DD085447-E9DE-42D5-8D97-2E2B125895E1}"/>
    <cellStyle name="Comma 5 3 6 2 3 2" xfId="50677" xr:uid="{5F85333E-7938-4669-9519-0667233B3883}"/>
    <cellStyle name="Comma 5 3 6 2 3 3" xfId="32423" xr:uid="{8880B41B-5A8E-49E7-9F06-E0963D24BCC7}"/>
    <cellStyle name="Comma 5 3 6 2 4" xfId="10519" xr:uid="{47B3D663-CDCA-44F9-B770-E5853FA4FE93}"/>
    <cellStyle name="Comma 5 3 6 2 4 2" xfId="47027" xr:uid="{8BBCB7AC-8443-4739-A97D-E5CA9A655974}"/>
    <cellStyle name="Comma 5 3 6 2 4 3" xfId="28773" xr:uid="{2C8D3C53-5E08-43F8-9113-45013646D428}"/>
    <cellStyle name="Comma 5 3 6 2 5" xfId="6869" xr:uid="{30AC726F-C9DE-40BA-B128-540C803475F9}"/>
    <cellStyle name="Comma 5 3 6 2 5 2" xfId="43377" xr:uid="{601869B7-F529-4F1F-A956-F05A2E7B3860}"/>
    <cellStyle name="Comma 5 3 6 2 5 3" xfId="25123" xr:uid="{C5CEABDD-447F-4629-A100-BF2D56E7BB89}"/>
    <cellStyle name="Comma 5 3 6 2 6" xfId="39727" xr:uid="{313477D6-7EC4-4DD3-B2D8-95385B230518}"/>
    <cellStyle name="Comma 5 3 6 2 7" xfId="21473" xr:uid="{5DD43620-E5AB-444F-A016-3A0E78B9AA59}"/>
    <cellStyle name="Comma 5 3 6 3" xfId="2489" xr:uid="{FD5BDFD1-6200-4CE4-87FF-9D4F32036A13}"/>
    <cellStyle name="Comma 5 3 6 3 2" xfId="17089" xr:uid="{7C18B866-8A22-4481-AB76-7AD68D609C1F}"/>
    <cellStyle name="Comma 5 3 6 3 2 2" xfId="53597" xr:uid="{FDE3810D-2C6D-483B-BCDA-3CF2D60A4310}"/>
    <cellStyle name="Comma 5 3 6 3 2 3" xfId="35343" xr:uid="{7486980D-26BB-40DC-A307-DE649608987D}"/>
    <cellStyle name="Comma 5 3 6 3 3" xfId="13439" xr:uid="{C2008C6F-355C-4D60-A464-E27CD47E4848}"/>
    <cellStyle name="Comma 5 3 6 3 3 2" xfId="49947" xr:uid="{D9F34E72-E06C-40A6-8D15-412ADEA2A4EB}"/>
    <cellStyle name="Comma 5 3 6 3 3 3" xfId="31693" xr:uid="{8CEFC390-7FD2-4F8E-9058-BC3A1EBC39BE}"/>
    <cellStyle name="Comma 5 3 6 3 4" xfId="9789" xr:uid="{DC87A910-0B17-4A23-898D-0A37F84A9BEC}"/>
    <cellStyle name="Comma 5 3 6 3 4 2" xfId="46297" xr:uid="{FF1B84DB-8796-4291-A9D4-D3A92ABBD6F6}"/>
    <cellStyle name="Comma 5 3 6 3 4 3" xfId="28043" xr:uid="{CCB8CCB9-3145-437F-945A-CAD8ED7A6B9F}"/>
    <cellStyle name="Comma 5 3 6 3 5" xfId="6139" xr:uid="{FB26FED3-F14F-49F2-99AE-566AC2FC1FD4}"/>
    <cellStyle name="Comma 5 3 6 3 5 2" xfId="42647" xr:uid="{1C2B6663-5DA8-4B6C-A51D-FE0A4AA4877C}"/>
    <cellStyle name="Comma 5 3 6 3 5 3" xfId="24393" xr:uid="{635CB361-AFA8-4E79-8E86-AF452939A925}"/>
    <cellStyle name="Comma 5 3 6 3 6" xfId="38997" xr:uid="{15735A2C-DF04-4CE0-ACC0-4A1A560CE34C}"/>
    <cellStyle name="Comma 5 3 6 3 7" xfId="20743" xr:uid="{4C992226-2268-47D1-B8A2-C612F7FC6B53}"/>
    <cellStyle name="Comma 5 3 6 4" xfId="1759" xr:uid="{517CA6D4-8538-476E-AF96-AF191D4995D6}"/>
    <cellStyle name="Comma 5 3 6 4 2" xfId="16359" xr:uid="{6401F3C2-63C3-4E50-97DA-B83D7C65EA64}"/>
    <cellStyle name="Comma 5 3 6 4 2 2" xfId="52867" xr:uid="{B9D3C662-0284-46A2-B3C1-075447012106}"/>
    <cellStyle name="Comma 5 3 6 4 2 3" xfId="34613" xr:uid="{4D846D80-BAF1-4683-A860-B62FE3DAF8D0}"/>
    <cellStyle name="Comma 5 3 6 4 3" xfId="12709" xr:uid="{7F9A9C79-1C6F-4B81-8446-289E5D64A7E9}"/>
    <cellStyle name="Comma 5 3 6 4 3 2" xfId="49217" xr:uid="{0F0F473A-3A73-4C58-B5C6-C0B52F0F22FF}"/>
    <cellStyle name="Comma 5 3 6 4 3 3" xfId="30963" xr:uid="{28FA28BC-33CD-4FBC-AFA0-13FC241FBC22}"/>
    <cellStyle name="Comma 5 3 6 4 4" xfId="9059" xr:uid="{5F4A731D-CEF2-49F2-B483-54666ECA5072}"/>
    <cellStyle name="Comma 5 3 6 4 4 2" xfId="45567" xr:uid="{24215D31-539C-45A0-8D79-224276399444}"/>
    <cellStyle name="Comma 5 3 6 4 4 3" xfId="27313" xr:uid="{3F58C949-0D38-4962-B817-F02C28338B06}"/>
    <cellStyle name="Comma 5 3 6 4 5" xfId="5409" xr:uid="{7EFAD221-ECB1-4189-AA54-0E73CFD81AE2}"/>
    <cellStyle name="Comma 5 3 6 4 5 2" xfId="41917" xr:uid="{89428D29-4ECD-4A8E-B0DC-4B2BD41C204C}"/>
    <cellStyle name="Comma 5 3 6 4 5 3" xfId="23663" xr:uid="{2A0533C3-717A-4149-876D-21C22A7A53F5}"/>
    <cellStyle name="Comma 5 3 6 4 6" xfId="38267" xr:uid="{E71EF2E3-3D00-48A7-BF6E-4AE3F99FA1D2}"/>
    <cellStyle name="Comma 5 3 6 4 7" xfId="20013" xr:uid="{7F425EF8-6EE7-4C9D-BADD-473C73D448F5}"/>
    <cellStyle name="Comma 5 3 6 5" xfId="1029" xr:uid="{3DCC5BC2-3AEC-4384-BCA3-093DA0BD44C1}"/>
    <cellStyle name="Comma 5 3 6 5 2" xfId="15629" xr:uid="{266824B8-1E68-4380-AC34-93E64DE72252}"/>
    <cellStyle name="Comma 5 3 6 5 2 2" xfId="52137" xr:uid="{B6A9A2A6-F5B7-4D80-A511-7EEE3FDB7C49}"/>
    <cellStyle name="Comma 5 3 6 5 2 3" xfId="33883" xr:uid="{1D05764C-3D6C-44CF-B238-C3D7EDC5BCC1}"/>
    <cellStyle name="Comma 5 3 6 5 3" xfId="11979" xr:uid="{9939A02D-5941-4128-A750-2A90406C7D9F}"/>
    <cellStyle name="Comma 5 3 6 5 3 2" xfId="48487" xr:uid="{1C787F04-A774-41C6-80B8-37BB0D5F853F}"/>
    <cellStyle name="Comma 5 3 6 5 3 3" xfId="30233" xr:uid="{646ECB42-C870-423D-B04D-BA427302A0FB}"/>
    <cellStyle name="Comma 5 3 6 5 4" xfId="8329" xr:uid="{80BCA011-743E-47F5-9ECE-E6AEA9E3CB8B}"/>
    <cellStyle name="Comma 5 3 6 5 4 2" xfId="44837" xr:uid="{0772AD5B-2B52-447D-B54C-0940A2DA16DD}"/>
    <cellStyle name="Comma 5 3 6 5 4 3" xfId="26583" xr:uid="{26E41F20-FFA4-4736-A6E0-6CF7198ADB77}"/>
    <cellStyle name="Comma 5 3 6 5 5" xfId="4679" xr:uid="{3A7A1898-BA7E-4C03-900A-9B1B01DAEDC3}"/>
    <cellStyle name="Comma 5 3 6 5 5 2" xfId="41187" xr:uid="{051E056E-BEAD-44BA-B4C5-F440A4309AB4}"/>
    <cellStyle name="Comma 5 3 6 5 5 3" xfId="22933" xr:uid="{C3D7A1E6-5D8C-4211-8E46-47861CBD92A5}"/>
    <cellStyle name="Comma 5 3 6 5 6" xfId="37537" xr:uid="{E8FB05AF-633A-4DD3-8CDC-4B5CFE6B6B6C}"/>
    <cellStyle name="Comma 5 3 6 5 7" xfId="19283" xr:uid="{9980B2AE-8650-4D0E-B303-09ED786647E7}"/>
    <cellStyle name="Comma 5 3 6 6" xfId="14899" xr:uid="{D7B1AF91-8665-4CDC-937F-924C1AD7AA12}"/>
    <cellStyle name="Comma 5 3 6 6 2" xfId="51407" xr:uid="{A1D5E7E6-AE92-44CC-87ED-1367DDB6FFFA}"/>
    <cellStyle name="Comma 5 3 6 6 3" xfId="33153" xr:uid="{E23EE559-A609-4E7E-B9BF-7B75DFF1373D}"/>
    <cellStyle name="Comma 5 3 6 7" xfId="11249" xr:uid="{12A0FA35-7387-43B9-B36D-946D89911341}"/>
    <cellStyle name="Comma 5 3 6 7 2" xfId="47757" xr:uid="{8B403464-5CBD-4509-816C-3AC4EA200207}"/>
    <cellStyle name="Comma 5 3 6 7 3" xfId="29503" xr:uid="{3A11D225-3E0A-4625-B633-F51F9CFD224D}"/>
    <cellStyle name="Comma 5 3 6 8" xfId="7599" xr:uid="{4D92785A-B5B7-4344-A3EE-FA4EB60CEB5F}"/>
    <cellStyle name="Comma 5 3 6 8 2" xfId="44107" xr:uid="{5F45D1EB-1971-4758-87BE-5D2B4FBB1379}"/>
    <cellStyle name="Comma 5 3 6 8 3" xfId="25853" xr:uid="{174704E4-D798-4388-AAE4-5A35CEF781F3}"/>
    <cellStyle name="Comma 5 3 6 9" xfId="3949" xr:uid="{459F026D-0A7F-4A7D-8D2C-AD5E9EBC84C0}"/>
    <cellStyle name="Comma 5 3 6 9 2" xfId="40457" xr:uid="{57379B59-30E3-4321-B9BC-1F4D125DBC64}"/>
    <cellStyle name="Comma 5 3 6 9 3" xfId="22203" xr:uid="{F635DEC7-C131-4A73-9A39-8E7822703E17}"/>
    <cellStyle name="Comma 5 3 7" xfId="195" xr:uid="{C1DD6536-251C-4F5A-B9C9-2448F5970D1F}"/>
    <cellStyle name="Comma 5 3 7 10" xfId="36703" xr:uid="{1AEB6B62-0F42-405C-AEFF-5936CAA5DEA9}"/>
    <cellStyle name="Comma 5 3 7 11" xfId="18449" xr:uid="{2677574E-9852-42A2-A621-E64D6C49CB5B}"/>
    <cellStyle name="Comma 5 3 7 2" xfId="3115" xr:uid="{4C184F7D-A269-4210-92BE-0DFDCFB9BD5B}"/>
    <cellStyle name="Comma 5 3 7 2 2" xfId="17715" xr:uid="{1FE68C59-2DE8-4F32-A59C-1490E1271387}"/>
    <cellStyle name="Comma 5 3 7 2 2 2" xfId="54223" xr:uid="{727B7102-C952-4AD9-8176-819D4505F6CF}"/>
    <cellStyle name="Comma 5 3 7 2 2 3" xfId="35969" xr:uid="{0D0D2650-0CEB-4D1A-B20C-39A04AE58D74}"/>
    <cellStyle name="Comma 5 3 7 2 3" xfId="14065" xr:uid="{4D256031-3EEE-42B5-9398-F4773C210AB6}"/>
    <cellStyle name="Comma 5 3 7 2 3 2" xfId="50573" xr:uid="{0ADEC466-96BA-41DD-9C20-F1D3A756D04B}"/>
    <cellStyle name="Comma 5 3 7 2 3 3" xfId="32319" xr:uid="{67F64012-D1D9-4741-887F-2B381EEE47DA}"/>
    <cellStyle name="Comma 5 3 7 2 4" xfId="10415" xr:uid="{5443D954-AB3A-41B8-93D9-105714B5BCEA}"/>
    <cellStyle name="Comma 5 3 7 2 4 2" xfId="46923" xr:uid="{5EC293C7-7FB4-4029-92F2-D1BEA5ABF10A}"/>
    <cellStyle name="Comma 5 3 7 2 4 3" xfId="28669" xr:uid="{DA13F4FD-CEBB-4E5E-B818-0D4021B2EB4C}"/>
    <cellStyle name="Comma 5 3 7 2 5" xfId="6765" xr:uid="{066ECD83-0FE6-4BD6-A1E7-CE11DDF07F2C}"/>
    <cellStyle name="Comma 5 3 7 2 5 2" xfId="43273" xr:uid="{8DFED586-A00B-4FF3-A029-1DAFF6ED6C64}"/>
    <cellStyle name="Comma 5 3 7 2 5 3" xfId="25019" xr:uid="{EF98A7BF-B87A-4ACA-A270-68D4892FEBB0}"/>
    <cellStyle name="Comma 5 3 7 2 6" xfId="39623" xr:uid="{21E4EFAF-635F-46C4-9266-3BF162492D14}"/>
    <cellStyle name="Comma 5 3 7 2 7" xfId="21369" xr:uid="{99E2D662-D03A-44B4-A616-7523B0EE1BBB}"/>
    <cellStyle name="Comma 5 3 7 3" xfId="2385" xr:uid="{7B84D314-24E8-4534-A8F8-FD86B29D806D}"/>
    <cellStyle name="Comma 5 3 7 3 2" xfId="16985" xr:uid="{16309055-D034-404F-99B7-7C71E7C5B773}"/>
    <cellStyle name="Comma 5 3 7 3 2 2" xfId="53493" xr:uid="{7EC2355C-9272-4BEB-91CF-4DC4B28C9FCB}"/>
    <cellStyle name="Comma 5 3 7 3 2 3" xfId="35239" xr:uid="{529601AD-9095-4F57-8D42-11B0DBEC0541}"/>
    <cellStyle name="Comma 5 3 7 3 3" xfId="13335" xr:uid="{5E706B28-1F16-44A8-857A-4919B8F6C46D}"/>
    <cellStyle name="Comma 5 3 7 3 3 2" xfId="49843" xr:uid="{4B543016-E8B1-4D5F-972D-F76A6D8B67A6}"/>
    <cellStyle name="Comma 5 3 7 3 3 3" xfId="31589" xr:uid="{2AC18092-CC23-44C5-B75C-BE12107C9EF1}"/>
    <cellStyle name="Comma 5 3 7 3 4" xfId="9685" xr:uid="{564AB098-A108-4B8A-A32A-CF326EF38E11}"/>
    <cellStyle name="Comma 5 3 7 3 4 2" xfId="46193" xr:uid="{92A16212-C9BF-4CFF-8136-06BFD920F90F}"/>
    <cellStyle name="Comma 5 3 7 3 4 3" xfId="27939" xr:uid="{3E42C627-C544-4743-A88D-FEC61F5DA80C}"/>
    <cellStyle name="Comma 5 3 7 3 5" xfId="6035" xr:uid="{DCB22BE8-CCB2-47E5-ACEF-BA34B4AFFB04}"/>
    <cellStyle name="Comma 5 3 7 3 5 2" xfId="42543" xr:uid="{8386F8F6-0DBF-4D24-B073-E6A0035E09EA}"/>
    <cellStyle name="Comma 5 3 7 3 5 3" xfId="24289" xr:uid="{9DBDBE74-1FB9-4215-8922-4627BB76D1F3}"/>
    <cellStyle name="Comma 5 3 7 3 6" xfId="38893" xr:uid="{C991C623-338B-4F21-891D-098DA9147221}"/>
    <cellStyle name="Comma 5 3 7 3 7" xfId="20639" xr:uid="{8975BA09-9056-4549-BD6F-DDF31025EBBD}"/>
    <cellStyle name="Comma 5 3 7 4" xfId="1655" xr:uid="{D12AC03D-4390-464B-9339-E19775644950}"/>
    <cellStyle name="Comma 5 3 7 4 2" xfId="16255" xr:uid="{CDB2B0AF-DF73-4C19-B94B-29D6D9FC4262}"/>
    <cellStyle name="Comma 5 3 7 4 2 2" xfId="52763" xr:uid="{63713F27-484F-48AE-B6BA-F4F4C056B466}"/>
    <cellStyle name="Comma 5 3 7 4 2 3" xfId="34509" xr:uid="{68918E19-7794-45D7-BAFA-866AFB14F2E1}"/>
    <cellStyle name="Comma 5 3 7 4 3" xfId="12605" xr:uid="{253D3819-E80E-47C3-8AD5-EF35CEA7112F}"/>
    <cellStyle name="Comma 5 3 7 4 3 2" xfId="49113" xr:uid="{52C76BFC-C1E1-47C0-90D2-DD25193BC14B}"/>
    <cellStyle name="Comma 5 3 7 4 3 3" xfId="30859" xr:uid="{27181013-5BF1-47AA-8B0B-EB7B7890F74C}"/>
    <cellStyle name="Comma 5 3 7 4 4" xfId="8955" xr:uid="{FA220323-B57F-4AAB-9A30-E6C04E304746}"/>
    <cellStyle name="Comma 5 3 7 4 4 2" xfId="45463" xr:uid="{2C754D18-48A4-4B59-BD20-C6690061B9C3}"/>
    <cellStyle name="Comma 5 3 7 4 4 3" xfId="27209" xr:uid="{11BFDD40-7B64-45E7-AC3E-2809D7037FFC}"/>
    <cellStyle name="Comma 5 3 7 4 5" xfId="5305" xr:uid="{7FBC1FA2-A8BD-48F9-8299-E6C9DF2288D3}"/>
    <cellStyle name="Comma 5 3 7 4 5 2" xfId="41813" xr:uid="{4E5743F8-2F93-424C-B4F1-27F14BA6B2C9}"/>
    <cellStyle name="Comma 5 3 7 4 5 3" xfId="23559" xr:uid="{9BC3B797-CA23-4EEC-8C71-D02A39EBE7B9}"/>
    <cellStyle name="Comma 5 3 7 4 6" xfId="38163" xr:uid="{175C2C66-1B7A-495B-9B33-FB37A42EC714}"/>
    <cellStyle name="Comma 5 3 7 4 7" xfId="19909" xr:uid="{5FCD0F11-B3D6-45A1-B5FA-94F334C2494E}"/>
    <cellStyle name="Comma 5 3 7 5" xfId="925" xr:uid="{474E18EF-3179-4C7F-A0B4-120FB7EA1165}"/>
    <cellStyle name="Comma 5 3 7 5 2" xfId="15525" xr:uid="{6FDE5656-8B2D-43E6-BAD7-19997E19099E}"/>
    <cellStyle name="Comma 5 3 7 5 2 2" xfId="52033" xr:uid="{E2D204BE-4492-4D55-BE7B-1EE1544E5B3E}"/>
    <cellStyle name="Comma 5 3 7 5 2 3" xfId="33779" xr:uid="{D611B8BA-4F4A-45FB-8C4E-F32CB9E73DE5}"/>
    <cellStyle name="Comma 5 3 7 5 3" xfId="11875" xr:uid="{51599159-2D9F-4E48-AE67-03030C90C53C}"/>
    <cellStyle name="Comma 5 3 7 5 3 2" xfId="48383" xr:uid="{F9C6AC18-8E07-4376-9A01-493BBF01DA60}"/>
    <cellStyle name="Comma 5 3 7 5 3 3" xfId="30129" xr:uid="{E84E187F-E69C-4588-B769-5D73655BC752}"/>
    <cellStyle name="Comma 5 3 7 5 4" xfId="8225" xr:uid="{779664DC-0CD5-44FB-BC1C-69D22DCC48E1}"/>
    <cellStyle name="Comma 5 3 7 5 4 2" xfId="44733" xr:uid="{AF639FDD-5974-476B-AEA9-841FD62147EC}"/>
    <cellStyle name="Comma 5 3 7 5 4 3" xfId="26479" xr:uid="{CFDBD10E-AB65-49A8-8FC8-3CD55F0CB18B}"/>
    <cellStyle name="Comma 5 3 7 5 5" xfId="4575" xr:uid="{639FEF26-9888-4647-A648-A08886FA0371}"/>
    <cellStyle name="Comma 5 3 7 5 5 2" xfId="41083" xr:uid="{E6D15891-FADC-4801-86D2-185D336C1B63}"/>
    <cellStyle name="Comma 5 3 7 5 5 3" xfId="22829" xr:uid="{30AE3EC5-DD4B-4BB8-B9F6-9828DF386CF8}"/>
    <cellStyle name="Comma 5 3 7 5 6" xfId="37433" xr:uid="{17449D0F-F0AD-4DFD-AEFD-C461D79FC977}"/>
    <cellStyle name="Comma 5 3 7 5 7" xfId="19179" xr:uid="{3B54541E-3319-4B26-BFDB-691187641DDF}"/>
    <cellStyle name="Comma 5 3 7 6" xfId="14795" xr:uid="{F4E8B699-C1C8-47F8-9595-B35844033D68}"/>
    <cellStyle name="Comma 5 3 7 6 2" xfId="51303" xr:uid="{6882A77A-89A9-4336-85EC-28C00E5FF479}"/>
    <cellStyle name="Comma 5 3 7 6 3" xfId="33049" xr:uid="{E128D162-95D9-4AC1-8C87-EC1D2BE32F02}"/>
    <cellStyle name="Comma 5 3 7 7" xfId="11145" xr:uid="{93AB86C0-7671-4726-B423-EAE0223B3794}"/>
    <cellStyle name="Comma 5 3 7 7 2" xfId="47653" xr:uid="{5F49AD12-CA5A-475F-9752-148D39BBF5CB}"/>
    <cellStyle name="Comma 5 3 7 7 3" xfId="29399" xr:uid="{7A38084A-5DBC-49ED-8A5D-50F421A3A8AC}"/>
    <cellStyle name="Comma 5 3 7 8" xfId="7495" xr:uid="{CB8033F8-512D-4705-B99F-8A7093AE0D97}"/>
    <cellStyle name="Comma 5 3 7 8 2" xfId="44003" xr:uid="{D7C35AB5-E814-466F-BDA1-B338B05EE258}"/>
    <cellStyle name="Comma 5 3 7 8 3" xfId="25749" xr:uid="{6210D106-46F2-4BD1-8242-6F775C43DFE5}"/>
    <cellStyle name="Comma 5 3 7 9" xfId="3845" xr:uid="{96843847-EF29-49A5-9D3B-62075B84F77E}"/>
    <cellStyle name="Comma 5 3 7 9 2" xfId="40353" xr:uid="{7DDE5BD7-5621-4B93-B1CA-D12C28AD8B48}"/>
    <cellStyle name="Comma 5 3 7 9 3" xfId="22099" xr:uid="{5F077DE2-C3A3-4D02-AF71-D8D40C6D8383}"/>
    <cellStyle name="Comma 5 3 8" xfId="3011" xr:uid="{E78A300A-13A6-4772-822F-AD119CA06A27}"/>
    <cellStyle name="Comma 5 3 8 2" xfId="17611" xr:uid="{68A94077-E8D3-4091-9CB9-0007DBAD2573}"/>
    <cellStyle name="Comma 5 3 8 2 2" xfId="54119" xr:uid="{8373A380-1312-45AC-932C-EF0A3631D9A5}"/>
    <cellStyle name="Comma 5 3 8 2 3" xfId="35865" xr:uid="{2B313E9A-3384-4B68-BD63-B289C824AB8C}"/>
    <cellStyle name="Comma 5 3 8 3" xfId="13961" xr:uid="{1664E801-9A7B-4C9B-A15F-FE9A645E9A1E}"/>
    <cellStyle name="Comma 5 3 8 3 2" xfId="50469" xr:uid="{CE2F0206-77BE-47A4-A7FD-12727003BA6E}"/>
    <cellStyle name="Comma 5 3 8 3 3" xfId="32215" xr:uid="{1A41CBC5-8AD0-463A-B32F-0A607A2EF62D}"/>
    <cellStyle name="Comma 5 3 8 4" xfId="10311" xr:uid="{059EE0F4-56E5-4C23-80AF-1AA9E8C077A8}"/>
    <cellStyle name="Comma 5 3 8 4 2" xfId="46819" xr:uid="{8DF53574-A899-471F-A14B-C5C0C188A412}"/>
    <cellStyle name="Comma 5 3 8 4 3" xfId="28565" xr:uid="{B788F733-D2CF-4218-B935-467049B8DAEE}"/>
    <cellStyle name="Comma 5 3 8 5" xfId="6661" xr:uid="{C3F8D381-9A22-494D-8F84-CEB103F2E581}"/>
    <cellStyle name="Comma 5 3 8 5 2" xfId="43169" xr:uid="{C5ABDE15-60EA-4887-8EF2-F005CE9AB373}"/>
    <cellStyle name="Comma 5 3 8 5 3" xfId="24915" xr:uid="{5D41B65B-4B30-4831-B645-D8CC56855D8F}"/>
    <cellStyle name="Comma 5 3 8 6" xfId="39519" xr:uid="{11E89D2C-203D-44ED-A1AA-F175EE7D7A66}"/>
    <cellStyle name="Comma 5 3 8 7" xfId="21265" xr:uid="{333968A4-9A8C-4001-95A7-BADEE2FF67B4}"/>
    <cellStyle name="Comma 5 3 9" xfId="2281" xr:uid="{635F0F9D-E1F6-4FDD-8417-3B998884739D}"/>
    <cellStyle name="Comma 5 3 9 2" xfId="16881" xr:uid="{DFAC77C5-8177-42FB-8DF9-D3CA1925A062}"/>
    <cellStyle name="Comma 5 3 9 2 2" xfId="53389" xr:uid="{EE8F071D-4FF7-4AC4-98B7-7C0EF238680A}"/>
    <cellStyle name="Comma 5 3 9 2 3" xfId="35135" xr:uid="{CBC38A23-A96C-4DFD-AEE3-F31DD5E7077E}"/>
    <cellStyle name="Comma 5 3 9 3" xfId="13231" xr:uid="{962D9FD3-2C21-4AC3-BADB-5C32A615A0B0}"/>
    <cellStyle name="Comma 5 3 9 3 2" xfId="49739" xr:uid="{F2E1A0D4-65A1-4F9F-95FA-4C314E80CB45}"/>
    <cellStyle name="Comma 5 3 9 3 3" xfId="31485" xr:uid="{CF3D4467-8F84-49B7-A1E6-798933AA8123}"/>
    <cellStyle name="Comma 5 3 9 4" xfId="9581" xr:uid="{66DF6E2F-1345-4EA5-B07F-28882E61481F}"/>
    <cellStyle name="Comma 5 3 9 4 2" xfId="46089" xr:uid="{06191FD7-3CE9-40C2-B7B6-D27C9C7F41C1}"/>
    <cellStyle name="Comma 5 3 9 4 3" xfId="27835" xr:uid="{4089E820-504F-4DC6-8E86-5CB967276359}"/>
    <cellStyle name="Comma 5 3 9 5" xfId="5931" xr:uid="{0B2EA1D0-5F35-47CE-B3FE-2AE003DC311D}"/>
    <cellStyle name="Comma 5 3 9 5 2" xfId="42439" xr:uid="{194AC6C8-59FD-4953-B81B-AB9A8D39FB2C}"/>
    <cellStyle name="Comma 5 3 9 5 3" xfId="24185" xr:uid="{3AD52210-590A-41CE-9DFD-FCC34B4A6D3E}"/>
    <cellStyle name="Comma 5 3 9 6" xfId="38789" xr:uid="{DEEF2E9B-5162-4E94-8691-766A6C6410E0}"/>
    <cellStyle name="Comma 5 3 9 7" xfId="20535" xr:uid="{36A377B4-F651-4200-ACA7-B2AA2F0B2DE7}"/>
    <cellStyle name="Comma 5 4" xfId="53" xr:uid="{F12365A1-3106-49F2-B318-3BD9D14451A5}"/>
    <cellStyle name="Comma 5 4 10" xfId="1519" xr:uid="{30FA62E5-4344-41AD-A68E-172638C190FA}"/>
    <cellStyle name="Comma 5 4 10 2" xfId="16119" xr:uid="{FD967D4F-6B35-4C90-8E0A-EC4D63B64161}"/>
    <cellStyle name="Comma 5 4 10 2 2" xfId="52627" xr:uid="{03521654-11A5-40E0-A3E7-23997ED47309}"/>
    <cellStyle name="Comma 5 4 10 2 3" xfId="34373" xr:uid="{4F1B3BF5-55C5-4E01-BB04-1C3AFFD9EBA9}"/>
    <cellStyle name="Comma 5 4 10 3" xfId="12469" xr:uid="{E86E3A34-3371-4C6A-9583-999AF25D3339}"/>
    <cellStyle name="Comma 5 4 10 3 2" xfId="48977" xr:uid="{5623307B-E49B-4D71-9BAF-6F674B743CD1}"/>
    <cellStyle name="Comma 5 4 10 3 3" xfId="30723" xr:uid="{81133977-1794-4E99-B651-18D2D2CDA5EB}"/>
    <cellStyle name="Comma 5 4 10 4" xfId="8819" xr:uid="{C6EBCD04-1850-418B-B016-1FF039840E2F}"/>
    <cellStyle name="Comma 5 4 10 4 2" xfId="45327" xr:uid="{72FB535A-133C-4DC6-A567-F78B8F7C1626}"/>
    <cellStyle name="Comma 5 4 10 4 3" xfId="27073" xr:uid="{41755C75-E94E-48EF-851E-1FC12A282EAC}"/>
    <cellStyle name="Comma 5 4 10 5" xfId="5169" xr:uid="{B63BB33D-A96C-4E36-BEC6-8B1B3A1825B6}"/>
    <cellStyle name="Comma 5 4 10 5 2" xfId="41677" xr:uid="{395DBBA9-76A0-444D-93BC-49616CA4C702}"/>
    <cellStyle name="Comma 5 4 10 5 3" xfId="23423" xr:uid="{E725510D-6E2E-4263-97E5-B79F664E0A6C}"/>
    <cellStyle name="Comma 5 4 10 6" xfId="38027" xr:uid="{9A6235DF-0CDD-4BD6-986A-D574B7BE4361}"/>
    <cellStyle name="Comma 5 4 10 7" xfId="19773" xr:uid="{87A95CAA-C7BD-4A88-906C-D03327EF1846}"/>
    <cellStyle name="Comma 5 4 11" xfId="789" xr:uid="{2FA74C59-6595-4563-A516-0AD1B83F326F}"/>
    <cellStyle name="Comma 5 4 11 2" xfId="15389" xr:uid="{714F8596-8495-4C67-9BC7-5B94F710AC7C}"/>
    <cellStyle name="Comma 5 4 11 2 2" xfId="51897" xr:uid="{663D8F03-9C38-4014-9DA2-AC8BEE553028}"/>
    <cellStyle name="Comma 5 4 11 2 3" xfId="33643" xr:uid="{DF5B352E-8860-4F99-BB21-F5717B2EFD63}"/>
    <cellStyle name="Comma 5 4 11 3" xfId="11739" xr:uid="{B4676534-E75C-44AC-B5BA-1D999D7D71F0}"/>
    <cellStyle name="Comma 5 4 11 3 2" xfId="48247" xr:uid="{262A3987-4E78-46E8-B04B-D682CC9059F9}"/>
    <cellStyle name="Comma 5 4 11 3 3" xfId="29993" xr:uid="{D41ABF00-645B-4B46-989B-6CCDA5D4342C}"/>
    <cellStyle name="Comma 5 4 11 4" xfId="8089" xr:uid="{797B87FF-8BF8-4F9A-BB12-0B97B293906A}"/>
    <cellStyle name="Comma 5 4 11 4 2" xfId="44597" xr:uid="{3CD992A4-7860-480C-8012-23C02D731A60}"/>
    <cellStyle name="Comma 5 4 11 4 3" xfId="26343" xr:uid="{98E5CA2F-0548-45E5-833D-D253EE0AB934}"/>
    <cellStyle name="Comma 5 4 11 5" xfId="4439" xr:uid="{DCF3E674-690F-40C2-963E-3A4FEC3B687B}"/>
    <cellStyle name="Comma 5 4 11 5 2" xfId="40947" xr:uid="{E3CBF3AD-2781-4C00-8F3F-6001D0BB6F66}"/>
    <cellStyle name="Comma 5 4 11 5 3" xfId="22693" xr:uid="{3C22199B-08A2-40D5-8130-70209AE85474}"/>
    <cellStyle name="Comma 5 4 11 6" xfId="37297" xr:uid="{35A6F33D-BD53-433E-89A5-3EFD6C845B4D}"/>
    <cellStyle name="Comma 5 4 11 7" xfId="19043" xr:uid="{EAB13173-6F84-460D-B86A-13ACD9AB0564}"/>
    <cellStyle name="Comma 5 4 12" xfId="14659" xr:uid="{42B06E1E-3721-4654-AB6E-603F63240A5D}"/>
    <cellStyle name="Comma 5 4 12 2" xfId="51167" xr:uid="{6E01BB44-F5E9-4ED9-AB0C-2A23CE2E9803}"/>
    <cellStyle name="Comma 5 4 12 3" xfId="32913" xr:uid="{684FB9C4-34A5-4A89-9DE6-8BC09115BAF8}"/>
    <cellStyle name="Comma 5 4 13" xfId="11009" xr:uid="{A83CA96C-08D2-4D66-8BC5-F0E2C93036AD}"/>
    <cellStyle name="Comma 5 4 13 2" xfId="47517" xr:uid="{AA54B651-F5F2-40B7-8CB8-915D1975BC9E}"/>
    <cellStyle name="Comma 5 4 13 3" xfId="29263" xr:uid="{7E375124-4AEF-41C3-A0EE-0267C321107A}"/>
    <cellStyle name="Comma 5 4 14" xfId="7359" xr:uid="{29304B28-F97E-4AA4-859C-6E706ED96B28}"/>
    <cellStyle name="Comma 5 4 14 2" xfId="43867" xr:uid="{3E1C787E-B9BC-47B0-A126-7912495253FB}"/>
    <cellStyle name="Comma 5 4 14 3" xfId="25613" xr:uid="{2556B977-0A6A-45FA-8F63-513CD69BC13E}"/>
    <cellStyle name="Comma 5 4 15" xfId="3709" xr:uid="{DADA5236-5CF2-47C3-9F73-DD8597922F51}"/>
    <cellStyle name="Comma 5 4 15 2" xfId="40217" xr:uid="{E145B48B-417D-4AB9-B0DF-0FE78E8D8F63}"/>
    <cellStyle name="Comma 5 4 15 3" xfId="21963" xr:uid="{45887A65-AE8F-48DC-862D-F76C86747995}"/>
    <cellStyle name="Comma 5 4 16" xfId="36567" xr:uid="{679E9915-A969-42D0-A616-3498CE1D7D9F}"/>
    <cellStyle name="Comma 5 4 17" xfId="18313" xr:uid="{BBC8D9FD-FCDA-4E35-929A-94B8498C7ED4}"/>
    <cellStyle name="Comma 5 4 2" xfId="683" xr:uid="{4AA2FA6A-0C06-4EAA-AD75-2F811ECFAB47}"/>
    <cellStyle name="Comma 5 4 2 10" xfId="37191" xr:uid="{1111976C-E3C4-4DD2-8D10-1EF48B20D5C3}"/>
    <cellStyle name="Comma 5 4 2 11" xfId="18937" xr:uid="{5D6228B7-291D-461A-9FA2-4E387388C554}"/>
    <cellStyle name="Comma 5 4 2 2" xfId="3603" xr:uid="{C60D1DDC-7ECB-454F-BFF8-C397B845BC8F}"/>
    <cellStyle name="Comma 5 4 2 2 2" xfId="18203" xr:uid="{F0735A3E-EF96-456E-8A32-D6DC8E49AC7D}"/>
    <cellStyle name="Comma 5 4 2 2 2 2" xfId="54711" xr:uid="{67D09E2B-05C7-4B44-9E1A-0139A545340A}"/>
    <cellStyle name="Comma 5 4 2 2 2 3" xfId="36457" xr:uid="{833A09C6-2A8A-4D19-8F10-DF985966D47D}"/>
    <cellStyle name="Comma 5 4 2 2 3" xfId="14553" xr:uid="{B2310ABA-DA18-4A7E-85DF-5B754F58DCEF}"/>
    <cellStyle name="Comma 5 4 2 2 3 2" xfId="51061" xr:uid="{705CCA45-27CA-4975-ABAF-544D78553917}"/>
    <cellStyle name="Comma 5 4 2 2 3 3" xfId="32807" xr:uid="{1CA5695D-DA1E-45AC-8840-74752254C96F}"/>
    <cellStyle name="Comma 5 4 2 2 4" xfId="10903" xr:uid="{DC40A7C0-F79F-462F-8C74-2B321603DE4E}"/>
    <cellStyle name="Comma 5 4 2 2 4 2" xfId="47411" xr:uid="{F52F0193-BE61-4788-8B0F-8EEE69779A8F}"/>
    <cellStyle name="Comma 5 4 2 2 4 3" xfId="29157" xr:uid="{352C26DA-F6D8-4C32-A3F8-522A5FF47F55}"/>
    <cellStyle name="Comma 5 4 2 2 5" xfId="7253" xr:uid="{9A4E2189-1C68-40A4-9BE7-1FD02A72CA8E}"/>
    <cellStyle name="Comma 5 4 2 2 5 2" xfId="43761" xr:uid="{B030050D-C33B-48C7-A54C-781C2BB2FD17}"/>
    <cellStyle name="Comma 5 4 2 2 5 3" xfId="25507" xr:uid="{DC11EB7E-33A2-4240-8EE4-A25A3ECB17AA}"/>
    <cellStyle name="Comma 5 4 2 2 6" xfId="40111" xr:uid="{C8E0C5A7-60AC-460E-ADB5-D89E4182EDC9}"/>
    <cellStyle name="Comma 5 4 2 2 7" xfId="21857" xr:uid="{69C1FAD0-0149-44E9-B7F3-9999F9D595AB}"/>
    <cellStyle name="Comma 5 4 2 3" xfId="2873" xr:uid="{DE9ABF49-4E3D-4AD9-A104-D4B6EB1B4E11}"/>
    <cellStyle name="Comma 5 4 2 3 2" xfId="17473" xr:uid="{AF9EBFE4-ED7A-4318-BDC1-B7B08C99708C}"/>
    <cellStyle name="Comma 5 4 2 3 2 2" xfId="53981" xr:uid="{AE519202-224D-41E7-B63E-4A6AB6A96192}"/>
    <cellStyle name="Comma 5 4 2 3 2 3" xfId="35727" xr:uid="{9EA7B383-38DF-45F3-A0FF-BEA425374841}"/>
    <cellStyle name="Comma 5 4 2 3 3" xfId="13823" xr:uid="{2F2CA512-BAC8-43FE-8C02-51BBEA77EF02}"/>
    <cellStyle name="Comma 5 4 2 3 3 2" xfId="50331" xr:uid="{3236EF4D-930D-4E7F-8F61-B4DC7844DBCF}"/>
    <cellStyle name="Comma 5 4 2 3 3 3" xfId="32077" xr:uid="{EA8D7141-A8E8-4BAA-851D-04F5DAAA6E79}"/>
    <cellStyle name="Comma 5 4 2 3 4" xfId="10173" xr:uid="{C7272FE5-F6FE-4A3C-A876-CA0BB7100868}"/>
    <cellStyle name="Comma 5 4 2 3 4 2" xfId="46681" xr:uid="{AD7B70E8-AF09-46AF-A2E5-566CD082811F}"/>
    <cellStyle name="Comma 5 4 2 3 4 3" xfId="28427" xr:uid="{40CD6F47-B00F-4B46-8763-F6F17D8AFB8A}"/>
    <cellStyle name="Comma 5 4 2 3 5" xfId="6523" xr:uid="{95AD44C5-4F35-4DE3-8CA4-E6E5AA5B5CDD}"/>
    <cellStyle name="Comma 5 4 2 3 5 2" xfId="43031" xr:uid="{9AF3A07F-E2C4-4447-A232-6991635748C1}"/>
    <cellStyle name="Comma 5 4 2 3 5 3" xfId="24777" xr:uid="{4406417C-25F5-48A0-951F-3571C9BD1926}"/>
    <cellStyle name="Comma 5 4 2 3 6" xfId="39381" xr:uid="{AD378267-FC51-4B44-AF32-081CC70FDA51}"/>
    <cellStyle name="Comma 5 4 2 3 7" xfId="21127" xr:uid="{288C5ECD-88CF-41F4-B1AF-84F4B9CBB082}"/>
    <cellStyle name="Comma 5 4 2 4" xfId="2143" xr:uid="{EAB83749-12C4-45FD-900D-6F234727DE05}"/>
    <cellStyle name="Comma 5 4 2 4 2" xfId="16743" xr:uid="{087051FF-0AF7-4414-B4C7-6773A0659B87}"/>
    <cellStyle name="Comma 5 4 2 4 2 2" xfId="53251" xr:uid="{A0D9277F-E80A-4512-A8F3-07C85C74CCF2}"/>
    <cellStyle name="Comma 5 4 2 4 2 3" xfId="34997" xr:uid="{613F5940-8581-46D1-AA42-E7C63EC1BCBE}"/>
    <cellStyle name="Comma 5 4 2 4 3" xfId="13093" xr:uid="{6DA46A7F-1A20-43F6-B2F2-858631C124D1}"/>
    <cellStyle name="Comma 5 4 2 4 3 2" xfId="49601" xr:uid="{3174EE45-9E4A-4E0D-AA8B-F5546A264FB0}"/>
    <cellStyle name="Comma 5 4 2 4 3 3" xfId="31347" xr:uid="{773C5121-3DD8-4472-BDD8-7EA9A1C1ECFD}"/>
    <cellStyle name="Comma 5 4 2 4 4" xfId="9443" xr:uid="{209E6132-E13F-46D1-8350-F14D8AE97919}"/>
    <cellStyle name="Comma 5 4 2 4 4 2" xfId="45951" xr:uid="{6689D7DF-27B0-4F22-B943-5B9D73CF8B13}"/>
    <cellStyle name="Comma 5 4 2 4 4 3" xfId="27697" xr:uid="{66F35D38-7B6E-457C-A85F-0A4123BB5814}"/>
    <cellStyle name="Comma 5 4 2 4 5" xfId="5793" xr:uid="{A26CE42E-DB26-410B-8B05-99A884C90F4F}"/>
    <cellStyle name="Comma 5 4 2 4 5 2" xfId="42301" xr:uid="{AF159D05-85BB-44B6-9F85-D5C1DE3394D3}"/>
    <cellStyle name="Comma 5 4 2 4 5 3" xfId="24047" xr:uid="{D07072F9-F0FE-4618-A437-4E02E302AD17}"/>
    <cellStyle name="Comma 5 4 2 4 6" xfId="38651" xr:uid="{15CE8756-C115-4D11-8093-BFD492D3B22B}"/>
    <cellStyle name="Comma 5 4 2 4 7" xfId="20397" xr:uid="{5B4A8138-B6E0-4B7F-9E40-C5C6D6534D7A}"/>
    <cellStyle name="Comma 5 4 2 5" xfId="1413" xr:uid="{8DF64250-9056-4CD5-AFE2-8246E93D4E66}"/>
    <cellStyle name="Comma 5 4 2 5 2" xfId="16013" xr:uid="{DC41E0D1-FE41-4AFD-A39A-92E61D806C25}"/>
    <cellStyle name="Comma 5 4 2 5 2 2" xfId="52521" xr:uid="{B093C7CB-5111-4485-94D3-BF98C62E1321}"/>
    <cellStyle name="Comma 5 4 2 5 2 3" xfId="34267" xr:uid="{CBABACA3-3D9E-4227-AA6C-FF0893B778B2}"/>
    <cellStyle name="Comma 5 4 2 5 3" xfId="12363" xr:uid="{0F6B4408-DF6F-4853-9765-4062354F950D}"/>
    <cellStyle name="Comma 5 4 2 5 3 2" xfId="48871" xr:uid="{73AA5AD0-54C8-48B8-98DC-56F51CFD420C}"/>
    <cellStyle name="Comma 5 4 2 5 3 3" xfId="30617" xr:uid="{CDA0AA80-EF66-489D-83F3-4BD33A6BB7B6}"/>
    <cellStyle name="Comma 5 4 2 5 4" xfId="8713" xr:uid="{5BAB6A2D-B991-48E5-BC20-97C2AE4F1D1B}"/>
    <cellStyle name="Comma 5 4 2 5 4 2" xfId="45221" xr:uid="{1E381BBF-6721-449E-A9FC-1A152F4AD2CC}"/>
    <cellStyle name="Comma 5 4 2 5 4 3" xfId="26967" xr:uid="{5836FF07-FE77-4B3A-8049-C7C9ECEB0561}"/>
    <cellStyle name="Comma 5 4 2 5 5" xfId="5063" xr:uid="{520A40B1-4CA7-4842-AB63-4E3236A7A508}"/>
    <cellStyle name="Comma 5 4 2 5 5 2" xfId="41571" xr:uid="{BEA3C7B0-16E4-4B08-B93B-870E838C4A32}"/>
    <cellStyle name="Comma 5 4 2 5 5 3" xfId="23317" xr:uid="{E9BA8D2D-75F1-48AF-B4C7-A24C33C88580}"/>
    <cellStyle name="Comma 5 4 2 5 6" xfId="37921" xr:uid="{58BB4AD0-7633-4B3A-B917-0BC56650FC16}"/>
    <cellStyle name="Comma 5 4 2 5 7" xfId="19667" xr:uid="{535ADAB6-5C4A-46DF-B970-AF8CB12D33AE}"/>
    <cellStyle name="Comma 5 4 2 6" xfId="15283" xr:uid="{6ED52EA8-5DCB-445F-ACF6-8592A0CC3465}"/>
    <cellStyle name="Comma 5 4 2 6 2" xfId="51791" xr:uid="{0A763739-9C71-4164-92AB-5419B3F7610C}"/>
    <cellStyle name="Comma 5 4 2 6 3" xfId="33537" xr:uid="{3A8E2C0F-B097-4C00-B87E-4ACC299C6D6D}"/>
    <cellStyle name="Comma 5 4 2 7" xfId="11633" xr:uid="{A29328EB-794B-448F-B705-48EC67CD0342}"/>
    <cellStyle name="Comma 5 4 2 7 2" xfId="48141" xr:uid="{7CC07AFB-EA6A-4A8D-94F2-AAEF7C6D4514}"/>
    <cellStyle name="Comma 5 4 2 7 3" xfId="29887" xr:uid="{996EE717-9451-4BEF-A3C1-7EFB81A94F9F}"/>
    <cellStyle name="Comma 5 4 2 8" xfId="7983" xr:uid="{68878591-D2B1-4825-921C-00907069F082}"/>
    <cellStyle name="Comma 5 4 2 8 2" xfId="44491" xr:uid="{BFA1EF48-345E-405C-AC9B-FC2BC6138897}"/>
    <cellStyle name="Comma 5 4 2 8 3" xfId="26237" xr:uid="{9B399729-988F-4C6A-905D-244BFEEA3A7B}"/>
    <cellStyle name="Comma 5 4 2 9" xfId="4333" xr:uid="{84E4F787-A1C5-4773-8A78-E1E5BE59B0FA}"/>
    <cellStyle name="Comma 5 4 2 9 2" xfId="40841" xr:uid="{0BCB6DDD-8941-4757-B025-F3C68533473C}"/>
    <cellStyle name="Comma 5 4 2 9 3" xfId="22587" xr:uid="{182E644D-4F54-446F-8C97-2C116CC3100B}"/>
    <cellStyle name="Comma 5 4 3" xfId="579" xr:uid="{7F8A3963-0E32-4E62-87CD-663C949F615A}"/>
    <cellStyle name="Comma 5 4 3 10" xfId="37087" xr:uid="{CC586124-0A19-4402-8AC1-6760A012452B}"/>
    <cellStyle name="Comma 5 4 3 11" xfId="18833" xr:uid="{95D3C9CD-62A6-40BB-BC15-E6E27A8CAC0A}"/>
    <cellStyle name="Comma 5 4 3 2" xfId="3499" xr:uid="{D3D09C6B-26B7-462B-B23E-108E761D0019}"/>
    <cellStyle name="Comma 5 4 3 2 2" xfId="18099" xr:uid="{21734CD3-931E-4A85-9C86-D8C7A7ED7A79}"/>
    <cellStyle name="Comma 5 4 3 2 2 2" xfId="54607" xr:uid="{D6C535DF-8243-4F96-A375-E9CF62DA905E}"/>
    <cellStyle name="Comma 5 4 3 2 2 3" xfId="36353" xr:uid="{101C536F-9858-40A8-9E47-6C4659F727C1}"/>
    <cellStyle name="Comma 5 4 3 2 3" xfId="14449" xr:uid="{B614EE8F-E016-4A61-99CA-257242EDCB70}"/>
    <cellStyle name="Comma 5 4 3 2 3 2" xfId="50957" xr:uid="{B05ED91E-1133-46BE-8EE6-59B54B5DED7D}"/>
    <cellStyle name="Comma 5 4 3 2 3 3" xfId="32703" xr:uid="{C5F9E4DE-888C-411A-9B4C-282641BE9E04}"/>
    <cellStyle name="Comma 5 4 3 2 4" xfId="10799" xr:uid="{296FD260-2AC6-4377-A9F3-727515134343}"/>
    <cellStyle name="Comma 5 4 3 2 4 2" xfId="47307" xr:uid="{E1468DD9-0CCB-4F81-86DF-12E484A1D583}"/>
    <cellStyle name="Comma 5 4 3 2 4 3" xfId="29053" xr:uid="{E2BE240C-EA67-4E74-A68A-10945C6943C2}"/>
    <cellStyle name="Comma 5 4 3 2 5" xfId="7149" xr:uid="{8D120F83-05C3-4F82-B7C8-4E878610BD0A}"/>
    <cellStyle name="Comma 5 4 3 2 5 2" xfId="43657" xr:uid="{2285FCD4-B9EB-4144-9F78-A2A5F0CF9187}"/>
    <cellStyle name="Comma 5 4 3 2 5 3" xfId="25403" xr:uid="{1B29FD5E-FDAC-4689-9364-37723D433BE0}"/>
    <cellStyle name="Comma 5 4 3 2 6" xfId="40007" xr:uid="{2F149CE3-D042-4959-BF91-2A9F93BFCFD4}"/>
    <cellStyle name="Comma 5 4 3 2 7" xfId="21753" xr:uid="{308EC979-7D6F-4F96-9E05-B5D555FB0E32}"/>
    <cellStyle name="Comma 5 4 3 3" xfId="2769" xr:uid="{BAB30153-99AB-45DD-97FD-29913D6CE019}"/>
    <cellStyle name="Comma 5 4 3 3 2" xfId="17369" xr:uid="{2A4BE858-C13A-450E-9D5D-12C4C5745FD7}"/>
    <cellStyle name="Comma 5 4 3 3 2 2" xfId="53877" xr:uid="{E29FE721-0C2C-465E-AE4D-8165B841FE70}"/>
    <cellStyle name="Comma 5 4 3 3 2 3" xfId="35623" xr:uid="{52B6825C-DD78-4170-8C6E-5AA9864AF75A}"/>
    <cellStyle name="Comma 5 4 3 3 3" xfId="13719" xr:uid="{C3EAECD7-B645-44AC-AA6E-2F91A4465B79}"/>
    <cellStyle name="Comma 5 4 3 3 3 2" xfId="50227" xr:uid="{0B05441A-34C4-4153-B7A3-0BFF38BFFADD}"/>
    <cellStyle name="Comma 5 4 3 3 3 3" xfId="31973" xr:uid="{E58E07A3-6A8C-4795-9B1B-DCE2D3E9BFBE}"/>
    <cellStyle name="Comma 5 4 3 3 4" xfId="10069" xr:uid="{365452CE-FCD5-48F8-9738-2042960179C8}"/>
    <cellStyle name="Comma 5 4 3 3 4 2" xfId="46577" xr:uid="{FBF1269A-82E3-453F-B76F-692D72C942F7}"/>
    <cellStyle name="Comma 5 4 3 3 4 3" xfId="28323" xr:uid="{9473C970-10DA-47C0-9CD8-063939124DF8}"/>
    <cellStyle name="Comma 5 4 3 3 5" xfId="6419" xr:uid="{B72223A0-A253-4B74-80E1-AEB1AF0B783D}"/>
    <cellStyle name="Comma 5 4 3 3 5 2" xfId="42927" xr:uid="{A5EC87CF-D99E-41BA-8E80-ECE8EF2B5DDD}"/>
    <cellStyle name="Comma 5 4 3 3 5 3" xfId="24673" xr:uid="{F61C53D7-3E7E-4B78-8B58-8D0238090C1F}"/>
    <cellStyle name="Comma 5 4 3 3 6" xfId="39277" xr:uid="{5BB1DC9E-8F6E-456B-85B1-FF345CA81DCD}"/>
    <cellStyle name="Comma 5 4 3 3 7" xfId="21023" xr:uid="{7C051ED3-7131-408F-BA91-80FC5DEC2870}"/>
    <cellStyle name="Comma 5 4 3 4" xfId="2039" xr:uid="{CAE9B132-E537-4F8D-A43B-37BAE1A16FF2}"/>
    <cellStyle name="Comma 5 4 3 4 2" xfId="16639" xr:uid="{BAD12A0F-A043-4A9D-9A8E-0A7640A126F9}"/>
    <cellStyle name="Comma 5 4 3 4 2 2" xfId="53147" xr:uid="{030805F6-7863-4FDD-8FDD-CCB592DFC4AF}"/>
    <cellStyle name="Comma 5 4 3 4 2 3" xfId="34893" xr:uid="{758B6D56-8507-4677-AC97-D96721B14178}"/>
    <cellStyle name="Comma 5 4 3 4 3" xfId="12989" xr:uid="{C06ED8A2-90BD-4965-81D0-EE8CC9100C43}"/>
    <cellStyle name="Comma 5 4 3 4 3 2" xfId="49497" xr:uid="{2B162AFE-5FF7-4206-BC98-EAC2A8DFCCB3}"/>
    <cellStyle name="Comma 5 4 3 4 3 3" xfId="31243" xr:uid="{4A2BB3F4-5728-4806-9149-4D4FAB8C2186}"/>
    <cellStyle name="Comma 5 4 3 4 4" xfId="9339" xr:uid="{2657B740-5027-401F-993F-A7EDFBF77329}"/>
    <cellStyle name="Comma 5 4 3 4 4 2" xfId="45847" xr:uid="{414EFC81-3881-4A85-A4AC-6B3F3130EE6C}"/>
    <cellStyle name="Comma 5 4 3 4 4 3" xfId="27593" xr:uid="{F4E99316-6EB9-4B4D-A676-1B5E5A99C363}"/>
    <cellStyle name="Comma 5 4 3 4 5" xfId="5689" xr:uid="{54755942-81D4-4E72-90D2-35105A773A7C}"/>
    <cellStyle name="Comma 5 4 3 4 5 2" xfId="42197" xr:uid="{3FF740E3-28E9-4647-BD3B-B1C9ABFAA037}"/>
    <cellStyle name="Comma 5 4 3 4 5 3" xfId="23943" xr:uid="{15F69D6E-2FA5-4208-8641-9E42F347AF72}"/>
    <cellStyle name="Comma 5 4 3 4 6" xfId="38547" xr:uid="{612BB13E-E5FA-49B0-930A-4ED7D3FF200A}"/>
    <cellStyle name="Comma 5 4 3 4 7" xfId="20293" xr:uid="{ACCE9DDF-F426-4D43-A51B-EA02BE84952F}"/>
    <cellStyle name="Comma 5 4 3 5" xfId="1309" xr:uid="{CB9F1892-8A95-4D2C-8108-90F14727FD68}"/>
    <cellStyle name="Comma 5 4 3 5 2" xfId="15909" xr:uid="{EEE94FED-E239-45DD-BAA7-D89DBBAE7477}"/>
    <cellStyle name="Comma 5 4 3 5 2 2" xfId="52417" xr:uid="{00DB3CDB-0F87-47A3-825D-A9E74E6B5F4B}"/>
    <cellStyle name="Comma 5 4 3 5 2 3" xfId="34163" xr:uid="{BA5AE506-4140-403B-81D3-35C4506ED4EC}"/>
    <cellStyle name="Comma 5 4 3 5 3" xfId="12259" xr:uid="{8E5DD57A-9EFA-409F-AD13-EA1C6960E3A9}"/>
    <cellStyle name="Comma 5 4 3 5 3 2" xfId="48767" xr:uid="{9072EB65-2004-4251-A097-D8E79593A005}"/>
    <cellStyle name="Comma 5 4 3 5 3 3" xfId="30513" xr:uid="{A995D48A-7944-4FC8-8D74-9F940C571EEE}"/>
    <cellStyle name="Comma 5 4 3 5 4" xfId="8609" xr:uid="{24A626A2-D33C-4850-ACAD-CDDDC259F328}"/>
    <cellStyle name="Comma 5 4 3 5 4 2" xfId="45117" xr:uid="{580A8947-ACA0-4465-B929-E07BDB15EB59}"/>
    <cellStyle name="Comma 5 4 3 5 4 3" xfId="26863" xr:uid="{46FBA016-044E-4838-A931-905D327203B8}"/>
    <cellStyle name="Comma 5 4 3 5 5" xfId="4959" xr:uid="{C196DE5B-4957-4C38-AB6B-19EFDD1367EB}"/>
    <cellStyle name="Comma 5 4 3 5 5 2" xfId="41467" xr:uid="{3CCDD367-40EE-4824-A708-7EFF08E91745}"/>
    <cellStyle name="Comma 5 4 3 5 5 3" xfId="23213" xr:uid="{BB8D408E-E6C9-4119-A0E4-7026FDC7CE0B}"/>
    <cellStyle name="Comma 5 4 3 5 6" xfId="37817" xr:uid="{9AAE357C-C369-4F87-BF65-E59DDF3AB13D}"/>
    <cellStyle name="Comma 5 4 3 5 7" xfId="19563" xr:uid="{691FCDC1-8A65-4198-A715-3732BAE0441F}"/>
    <cellStyle name="Comma 5 4 3 6" xfId="15179" xr:uid="{6F5EAED7-5875-4E0E-904D-176FDA46F8E8}"/>
    <cellStyle name="Comma 5 4 3 6 2" xfId="51687" xr:uid="{2DFCBA6A-0595-4E61-94B9-F7909C0B31D1}"/>
    <cellStyle name="Comma 5 4 3 6 3" xfId="33433" xr:uid="{0685528C-1271-4682-8E12-267C76FB7E2C}"/>
    <cellStyle name="Comma 5 4 3 7" xfId="11529" xr:uid="{6ECA9F3A-34DB-4430-9745-4FF8C2B78838}"/>
    <cellStyle name="Comma 5 4 3 7 2" xfId="48037" xr:uid="{6D23D568-B0EF-43B9-89F1-122ABDF2DEA7}"/>
    <cellStyle name="Comma 5 4 3 7 3" xfId="29783" xr:uid="{AD57202F-598B-4931-9242-CE77CCDDDA37}"/>
    <cellStyle name="Comma 5 4 3 8" xfId="7879" xr:uid="{1CE167D6-B0C6-4F5B-9322-F1BA653F5227}"/>
    <cellStyle name="Comma 5 4 3 8 2" xfId="44387" xr:uid="{CFDF79EE-94CE-42E8-87A3-D56B496CDA13}"/>
    <cellStyle name="Comma 5 4 3 8 3" xfId="26133" xr:uid="{F634C7EF-005C-43C0-BC23-604669538F42}"/>
    <cellStyle name="Comma 5 4 3 9" xfId="4229" xr:uid="{DA9ABA4B-8066-4F67-AE2F-54608AB5D657}"/>
    <cellStyle name="Comma 5 4 3 9 2" xfId="40737" xr:uid="{1A9C06DB-586E-4A61-8316-5356A3AB96F5}"/>
    <cellStyle name="Comma 5 4 3 9 3" xfId="22483" xr:uid="{11200D2B-E5E5-442F-912D-55ABF41DD9A0}"/>
    <cellStyle name="Comma 5 4 4" xfId="475" xr:uid="{4CAC1654-92CB-41B9-9694-F9AE0FB1E984}"/>
    <cellStyle name="Comma 5 4 4 10" xfId="36983" xr:uid="{D51795C3-EB77-47C6-80D6-AE1F28F4969D}"/>
    <cellStyle name="Comma 5 4 4 11" xfId="18729" xr:uid="{651E23EA-FF82-44FC-80ED-F8C6295E8BDA}"/>
    <cellStyle name="Comma 5 4 4 2" xfId="3395" xr:uid="{20E12B52-455A-4095-B442-4D740DED03FC}"/>
    <cellStyle name="Comma 5 4 4 2 2" xfId="17995" xr:uid="{A0AB3EB9-8BC0-45D9-90F8-0E43E00D01ED}"/>
    <cellStyle name="Comma 5 4 4 2 2 2" xfId="54503" xr:uid="{98F90AA5-33A2-4868-8DD2-55A4D2DDABC0}"/>
    <cellStyle name="Comma 5 4 4 2 2 3" xfId="36249" xr:uid="{B1DB6751-5A96-4D7C-80B5-6D0AFF4B1DEA}"/>
    <cellStyle name="Comma 5 4 4 2 3" xfId="14345" xr:uid="{5284A6D6-DC24-4985-ADEC-8CC8D70AA1A6}"/>
    <cellStyle name="Comma 5 4 4 2 3 2" xfId="50853" xr:uid="{199AC21D-8D4E-4818-ACCD-01B8BF10177A}"/>
    <cellStyle name="Comma 5 4 4 2 3 3" xfId="32599" xr:uid="{E10DF247-CCAD-4524-A3A0-2DC612C3A52E}"/>
    <cellStyle name="Comma 5 4 4 2 4" xfId="10695" xr:uid="{E2020EC8-BF07-417D-BC4F-5F736ED5BD82}"/>
    <cellStyle name="Comma 5 4 4 2 4 2" xfId="47203" xr:uid="{BB8696D2-830A-4A57-915B-35861EBFE8FD}"/>
    <cellStyle name="Comma 5 4 4 2 4 3" xfId="28949" xr:uid="{F52BD95B-CC81-4319-8183-F97B3CE307D5}"/>
    <cellStyle name="Comma 5 4 4 2 5" xfId="7045" xr:uid="{74DC4DDD-BD60-40F8-91A8-177D9293406B}"/>
    <cellStyle name="Comma 5 4 4 2 5 2" xfId="43553" xr:uid="{E320F6DC-7E65-46CB-B2C9-612C2844A604}"/>
    <cellStyle name="Comma 5 4 4 2 5 3" xfId="25299" xr:uid="{DB2E23F4-7F40-47D8-8AE5-E10C8B16A1EA}"/>
    <cellStyle name="Comma 5 4 4 2 6" xfId="39903" xr:uid="{77A6876B-738E-4096-AFB9-496D50E1EB2E}"/>
    <cellStyle name="Comma 5 4 4 2 7" xfId="21649" xr:uid="{7B18DD38-48C1-4028-9CD2-1817FCBD9339}"/>
    <cellStyle name="Comma 5 4 4 3" xfId="2665" xr:uid="{054FC36C-AE23-424D-AED3-7BD16FC92E8D}"/>
    <cellStyle name="Comma 5 4 4 3 2" xfId="17265" xr:uid="{A6229270-5410-4130-BBD8-66B4FCBBF655}"/>
    <cellStyle name="Comma 5 4 4 3 2 2" xfId="53773" xr:uid="{B2FEAF32-F36B-42F5-A8FB-A9F589D62695}"/>
    <cellStyle name="Comma 5 4 4 3 2 3" xfId="35519" xr:uid="{A9A1B535-7A97-4F6A-8825-B3B212332CAF}"/>
    <cellStyle name="Comma 5 4 4 3 3" xfId="13615" xr:uid="{894501B5-C131-42A6-A6C9-9E0E7567064A}"/>
    <cellStyle name="Comma 5 4 4 3 3 2" xfId="50123" xr:uid="{4CB98168-1EA8-4681-AFDB-0B5DAF99E44B}"/>
    <cellStyle name="Comma 5 4 4 3 3 3" xfId="31869" xr:uid="{7786E4BE-C315-476D-A586-C352EC1171C5}"/>
    <cellStyle name="Comma 5 4 4 3 4" xfId="9965" xr:uid="{8BFE52B3-77D6-4FA3-990B-1C7317B38A58}"/>
    <cellStyle name="Comma 5 4 4 3 4 2" xfId="46473" xr:uid="{E4035BB8-1BA3-4399-818A-D73CD18645E6}"/>
    <cellStyle name="Comma 5 4 4 3 4 3" xfId="28219" xr:uid="{70EF472E-574C-419E-BC7D-507D19636607}"/>
    <cellStyle name="Comma 5 4 4 3 5" xfId="6315" xr:uid="{C545CFE6-7D86-4E1F-A845-221A09406A78}"/>
    <cellStyle name="Comma 5 4 4 3 5 2" xfId="42823" xr:uid="{E75E1E50-B776-479D-A1F6-FC661877C8D9}"/>
    <cellStyle name="Comma 5 4 4 3 5 3" xfId="24569" xr:uid="{EAFF45C2-B6F8-4113-9CA8-D496A1DC0744}"/>
    <cellStyle name="Comma 5 4 4 3 6" xfId="39173" xr:uid="{9FC1CEC6-E18C-4E4D-9310-7964EF8C1E18}"/>
    <cellStyle name="Comma 5 4 4 3 7" xfId="20919" xr:uid="{22BD6A28-B029-458F-9B10-0291FD074B67}"/>
    <cellStyle name="Comma 5 4 4 4" xfId="1935" xr:uid="{C0B35E86-6D7B-4054-89EF-C27CC4A9D8EF}"/>
    <cellStyle name="Comma 5 4 4 4 2" xfId="16535" xr:uid="{3474932A-2F56-4BA6-B27F-3238FF860EB7}"/>
    <cellStyle name="Comma 5 4 4 4 2 2" xfId="53043" xr:uid="{FCC5EB0C-18E7-4FCA-9C5E-3DC186D4D7C9}"/>
    <cellStyle name="Comma 5 4 4 4 2 3" xfId="34789" xr:uid="{AF96045F-37F4-49EF-9EE7-9B33FB70F497}"/>
    <cellStyle name="Comma 5 4 4 4 3" xfId="12885" xr:uid="{2A1384F1-5C34-4BCE-9CDE-1CB8C09A8B23}"/>
    <cellStyle name="Comma 5 4 4 4 3 2" xfId="49393" xr:uid="{543097D3-C81E-4A76-9DE4-C52474C9B81C}"/>
    <cellStyle name="Comma 5 4 4 4 3 3" xfId="31139" xr:uid="{A6F47D3F-25C0-4D72-9518-7705439E7207}"/>
    <cellStyle name="Comma 5 4 4 4 4" xfId="9235" xr:uid="{A07F77B9-3343-4DC8-8737-EAB8D6A1C097}"/>
    <cellStyle name="Comma 5 4 4 4 4 2" xfId="45743" xr:uid="{B58B129B-BF16-4F2A-A546-6EA2555DC808}"/>
    <cellStyle name="Comma 5 4 4 4 4 3" xfId="27489" xr:uid="{781C6483-11BB-4768-99AD-90D7038DC449}"/>
    <cellStyle name="Comma 5 4 4 4 5" xfId="5585" xr:uid="{BAAD13CD-5D0A-40BE-A249-EBCA14B7D443}"/>
    <cellStyle name="Comma 5 4 4 4 5 2" xfId="42093" xr:uid="{F1CC59EC-94B7-4899-B268-E4F8A40448BC}"/>
    <cellStyle name="Comma 5 4 4 4 5 3" xfId="23839" xr:uid="{4F3AA849-C0E1-4706-B19F-4F03163B6DFB}"/>
    <cellStyle name="Comma 5 4 4 4 6" xfId="38443" xr:uid="{CCCD890E-9395-4492-B273-005430EF9D9B}"/>
    <cellStyle name="Comma 5 4 4 4 7" xfId="20189" xr:uid="{4DF264C6-BA28-4D5A-9E85-8479561374D0}"/>
    <cellStyle name="Comma 5 4 4 5" xfId="1205" xr:uid="{554F630A-7D86-40C0-9FC8-D99A656C3242}"/>
    <cellStyle name="Comma 5 4 4 5 2" xfId="15805" xr:uid="{8D6A8501-E847-4B3A-92CA-B4BC0EA9DCB8}"/>
    <cellStyle name="Comma 5 4 4 5 2 2" xfId="52313" xr:uid="{3CEB8888-AD76-440A-870A-80E7EF80C6B4}"/>
    <cellStyle name="Comma 5 4 4 5 2 3" xfId="34059" xr:uid="{C6DE8946-2FDE-47B5-B7F8-00C2FD815411}"/>
    <cellStyle name="Comma 5 4 4 5 3" xfId="12155" xr:uid="{3D2158C9-7229-41A9-9226-7C7F16FF9C43}"/>
    <cellStyle name="Comma 5 4 4 5 3 2" xfId="48663" xr:uid="{7C0ED3D2-8E3B-41D5-8AFC-2814A78465F5}"/>
    <cellStyle name="Comma 5 4 4 5 3 3" xfId="30409" xr:uid="{1DE4FE20-D0E2-4EE4-BD19-B0FB5EC7B5DD}"/>
    <cellStyle name="Comma 5 4 4 5 4" xfId="8505" xr:uid="{19AFF630-5E7A-476A-92D8-58CE7C87D30D}"/>
    <cellStyle name="Comma 5 4 4 5 4 2" xfId="45013" xr:uid="{003EA0FD-1C3E-4943-8EEE-432455FB9D12}"/>
    <cellStyle name="Comma 5 4 4 5 4 3" xfId="26759" xr:uid="{F1A2B5BE-A3CC-442F-821E-A087B55F3A59}"/>
    <cellStyle name="Comma 5 4 4 5 5" xfId="4855" xr:uid="{675B2410-BD63-483E-A195-ACE2C1684BDE}"/>
    <cellStyle name="Comma 5 4 4 5 5 2" xfId="41363" xr:uid="{A3D72D0B-3CB6-46FB-AF5E-547EFB33CC29}"/>
    <cellStyle name="Comma 5 4 4 5 5 3" xfId="23109" xr:uid="{B3A3D626-A221-40E7-BA39-31872635922F}"/>
    <cellStyle name="Comma 5 4 4 5 6" xfId="37713" xr:uid="{779AA553-E13F-4E67-9998-9D1C6BA8A1AA}"/>
    <cellStyle name="Comma 5 4 4 5 7" xfId="19459" xr:uid="{2FA9FCFE-9ED2-4C9C-94A4-1D3202EA9455}"/>
    <cellStyle name="Comma 5 4 4 6" xfId="15075" xr:uid="{6EB2EFD8-7CDB-4004-9A0F-21B2D2D72276}"/>
    <cellStyle name="Comma 5 4 4 6 2" xfId="51583" xr:uid="{6549A468-7650-44B5-B31E-FA911FF2BDF2}"/>
    <cellStyle name="Comma 5 4 4 6 3" xfId="33329" xr:uid="{F692AEEA-593F-4D1D-AA72-1437CB7A17F9}"/>
    <cellStyle name="Comma 5 4 4 7" xfId="11425" xr:uid="{7841EFD4-6CC5-49B6-A5A1-7BD5F3113A95}"/>
    <cellStyle name="Comma 5 4 4 7 2" xfId="47933" xr:uid="{94EB2036-1824-4848-A99F-4C57C7DF2637}"/>
    <cellStyle name="Comma 5 4 4 7 3" xfId="29679" xr:uid="{423C60DA-1108-45AC-A93D-8D05B70EBB48}"/>
    <cellStyle name="Comma 5 4 4 8" xfId="7775" xr:uid="{D63095F0-4E11-4BD2-8CED-4851B19A47E2}"/>
    <cellStyle name="Comma 5 4 4 8 2" xfId="44283" xr:uid="{46B1DA47-0185-4530-BF9A-D20552997AF9}"/>
    <cellStyle name="Comma 5 4 4 8 3" xfId="26029" xr:uid="{3D28150C-4BD0-4D8E-A2C7-0D86B5A8D051}"/>
    <cellStyle name="Comma 5 4 4 9" xfId="4125" xr:uid="{37A93C84-5C05-41EB-8293-622BD62963E5}"/>
    <cellStyle name="Comma 5 4 4 9 2" xfId="40633" xr:uid="{ADBB027B-79D0-40A9-81B9-5BD10B099C8B}"/>
    <cellStyle name="Comma 5 4 4 9 3" xfId="22379" xr:uid="{6B12AC54-2F59-48EE-AF2F-83892BFECC68}"/>
    <cellStyle name="Comma 5 4 5" xfId="371" xr:uid="{E322A994-B673-478E-8A70-44E30F5B4614}"/>
    <cellStyle name="Comma 5 4 5 10" xfId="36879" xr:uid="{390CE098-4D7E-416E-89AF-303482A6EBDE}"/>
    <cellStyle name="Comma 5 4 5 11" xfId="18625" xr:uid="{3E0799DE-54FE-4DE5-9565-72569111405E}"/>
    <cellStyle name="Comma 5 4 5 2" xfId="3291" xr:uid="{7BDCDB72-1B38-442B-9B3A-3B469A1C6F93}"/>
    <cellStyle name="Comma 5 4 5 2 2" xfId="17891" xr:uid="{20E3D5C7-2D6F-43EC-8512-B1466F075265}"/>
    <cellStyle name="Comma 5 4 5 2 2 2" xfId="54399" xr:uid="{5D00BDCF-4248-4B03-B733-5B1427C4CDC9}"/>
    <cellStyle name="Comma 5 4 5 2 2 3" xfId="36145" xr:uid="{40471A37-4B0D-420A-B9D4-7DC89FE3DA87}"/>
    <cellStyle name="Comma 5 4 5 2 3" xfId="14241" xr:uid="{F3F9E411-0869-4DE4-AC91-DD320523DF4B}"/>
    <cellStyle name="Comma 5 4 5 2 3 2" xfId="50749" xr:uid="{685A9F7A-C668-4ABC-B088-FB1CE9230731}"/>
    <cellStyle name="Comma 5 4 5 2 3 3" xfId="32495" xr:uid="{546F66D6-5FEB-42B8-806A-A3CA56F7362C}"/>
    <cellStyle name="Comma 5 4 5 2 4" xfId="10591" xr:uid="{759BCAF1-429F-4917-8ED2-8878FEB70533}"/>
    <cellStyle name="Comma 5 4 5 2 4 2" xfId="47099" xr:uid="{14410EB0-6FE4-4FCB-9EFB-24EF5B99D0EA}"/>
    <cellStyle name="Comma 5 4 5 2 4 3" xfId="28845" xr:uid="{90794BB7-CEFE-4224-A404-7445E70F0614}"/>
    <cellStyle name="Comma 5 4 5 2 5" xfId="6941" xr:uid="{EF4BA2C8-2726-4AB1-840F-41F5F886E23B}"/>
    <cellStyle name="Comma 5 4 5 2 5 2" xfId="43449" xr:uid="{8DD0D069-FAD2-4C23-A21B-7E0A65A2205D}"/>
    <cellStyle name="Comma 5 4 5 2 5 3" xfId="25195" xr:uid="{D5DE1B03-1FBA-4631-B8C0-B9BE920AE203}"/>
    <cellStyle name="Comma 5 4 5 2 6" xfId="39799" xr:uid="{8B2D02CC-047D-4BA3-8A7C-2C8CE34F62A9}"/>
    <cellStyle name="Comma 5 4 5 2 7" xfId="21545" xr:uid="{582D7774-2894-41D1-B74F-B15D04617EB1}"/>
    <cellStyle name="Comma 5 4 5 3" xfId="2561" xr:uid="{2BC4040C-FC9E-446A-82E1-6E4A3FE75A1C}"/>
    <cellStyle name="Comma 5 4 5 3 2" xfId="17161" xr:uid="{6598D5DE-FA31-4EB4-8D58-BE31D3D991F3}"/>
    <cellStyle name="Comma 5 4 5 3 2 2" xfId="53669" xr:uid="{4EC19B84-B5C0-4670-AA10-DDAD598340CD}"/>
    <cellStyle name="Comma 5 4 5 3 2 3" xfId="35415" xr:uid="{8EE6D794-F5E4-4B3B-B4D8-B61BDAB4A949}"/>
    <cellStyle name="Comma 5 4 5 3 3" xfId="13511" xr:uid="{89CA3A65-3CFC-4ED7-AD33-780C66B040BB}"/>
    <cellStyle name="Comma 5 4 5 3 3 2" xfId="50019" xr:uid="{AA4164D2-BCCB-414F-8E40-14887B259EE8}"/>
    <cellStyle name="Comma 5 4 5 3 3 3" xfId="31765" xr:uid="{C1BEA9B9-ECC2-4618-8478-B2AAE7E28A86}"/>
    <cellStyle name="Comma 5 4 5 3 4" xfId="9861" xr:uid="{BD3C7A23-ACBF-41CE-97AF-2A1225BD5D4C}"/>
    <cellStyle name="Comma 5 4 5 3 4 2" xfId="46369" xr:uid="{EE87E764-ECD6-4AEC-89DA-E7A501FA6168}"/>
    <cellStyle name="Comma 5 4 5 3 4 3" xfId="28115" xr:uid="{581AD229-0644-4ADA-B3E3-D3B5EB2CA411}"/>
    <cellStyle name="Comma 5 4 5 3 5" xfId="6211" xr:uid="{33117158-CF4E-44E5-AC96-AC9F31D05F65}"/>
    <cellStyle name="Comma 5 4 5 3 5 2" xfId="42719" xr:uid="{13061A3D-9018-4F85-801A-059EEA3EAFC3}"/>
    <cellStyle name="Comma 5 4 5 3 5 3" xfId="24465" xr:uid="{4733CA6F-9B42-4626-954F-5BDBCE6B821B}"/>
    <cellStyle name="Comma 5 4 5 3 6" xfId="39069" xr:uid="{4A569BCE-9EEE-4C5D-B2B0-C07D594A7F49}"/>
    <cellStyle name="Comma 5 4 5 3 7" xfId="20815" xr:uid="{00A827ED-2B88-4555-B7CF-CE55EA68894E}"/>
    <cellStyle name="Comma 5 4 5 4" xfId="1831" xr:uid="{199A1641-6168-4B40-B838-009A33BD47E3}"/>
    <cellStyle name="Comma 5 4 5 4 2" xfId="16431" xr:uid="{2D35F7D6-35C5-4E88-B79A-9AAB0DA45AE0}"/>
    <cellStyle name="Comma 5 4 5 4 2 2" xfId="52939" xr:uid="{3205CBCD-1D34-4BFF-8BC4-BDC7B00F6F1C}"/>
    <cellStyle name="Comma 5 4 5 4 2 3" xfId="34685" xr:uid="{1AAF9E0C-9862-45FF-8DD7-A4F098DFF224}"/>
    <cellStyle name="Comma 5 4 5 4 3" xfId="12781" xr:uid="{9F2AC817-9D6E-4E90-A96F-DD0D19B512EE}"/>
    <cellStyle name="Comma 5 4 5 4 3 2" xfId="49289" xr:uid="{29A32A4C-51A7-484A-B07B-B7D52120B5D0}"/>
    <cellStyle name="Comma 5 4 5 4 3 3" xfId="31035" xr:uid="{E0FEBE56-A841-416C-AB26-65CC695E4392}"/>
    <cellStyle name="Comma 5 4 5 4 4" xfId="9131" xr:uid="{801F8ED0-F1F6-47F4-B782-2139B3D703FE}"/>
    <cellStyle name="Comma 5 4 5 4 4 2" xfId="45639" xr:uid="{64FB4AC9-D960-4695-835D-934F4A6BE8A6}"/>
    <cellStyle name="Comma 5 4 5 4 4 3" xfId="27385" xr:uid="{24F66D07-15DA-4090-A89D-52B6DE409DC7}"/>
    <cellStyle name="Comma 5 4 5 4 5" xfId="5481" xr:uid="{029617F5-D0C8-42C1-89E7-66D974422E86}"/>
    <cellStyle name="Comma 5 4 5 4 5 2" xfId="41989" xr:uid="{29E1027E-4994-40D8-9339-62AC0818961A}"/>
    <cellStyle name="Comma 5 4 5 4 5 3" xfId="23735" xr:uid="{95BA181A-D3F0-45C9-831A-9DC70B08B5E0}"/>
    <cellStyle name="Comma 5 4 5 4 6" xfId="38339" xr:uid="{FE1F3970-4C9C-4F3E-A51F-0349E20BC643}"/>
    <cellStyle name="Comma 5 4 5 4 7" xfId="20085" xr:uid="{B7ABC3E2-1C5B-44C4-BF0E-E96047D97B88}"/>
    <cellStyle name="Comma 5 4 5 5" xfId="1101" xr:uid="{41044D75-2A82-40AB-B713-1F619D60C3D3}"/>
    <cellStyle name="Comma 5 4 5 5 2" xfId="15701" xr:uid="{07E65BCD-272C-41E6-90E0-F687E02DA4EC}"/>
    <cellStyle name="Comma 5 4 5 5 2 2" xfId="52209" xr:uid="{E11F0288-3BDD-45F0-A712-6ED0216E249D}"/>
    <cellStyle name="Comma 5 4 5 5 2 3" xfId="33955" xr:uid="{7299907B-B1F8-4104-98A9-A76F3E56A612}"/>
    <cellStyle name="Comma 5 4 5 5 3" xfId="12051" xr:uid="{F98F5852-7058-4077-B1C7-2EEF81C78A5E}"/>
    <cellStyle name="Comma 5 4 5 5 3 2" xfId="48559" xr:uid="{5960F2AC-55E3-4CF6-B683-403405876C4E}"/>
    <cellStyle name="Comma 5 4 5 5 3 3" xfId="30305" xr:uid="{F79EC023-36BF-4DFF-861F-53508E5CE6EA}"/>
    <cellStyle name="Comma 5 4 5 5 4" xfId="8401" xr:uid="{1394C921-FA16-4350-BE43-52C2F596F0D4}"/>
    <cellStyle name="Comma 5 4 5 5 4 2" xfId="44909" xr:uid="{D21912DF-F872-4135-8E57-A50BB5EF9420}"/>
    <cellStyle name="Comma 5 4 5 5 4 3" xfId="26655" xr:uid="{6D17AB3E-B2D5-417F-8153-BC2E60954B75}"/>
    <cellStyle name="Comma 5 4 5 5 5" xfId="4751" xr:uid="{A4164A68-C125-47D0-A09F-FDC57AF42D75}"/>
    <cellStyle name="Comma 5 4 5 5 5 2" xfId="41259" xr:uid="{94B5D1F4-42AB-4920-A309-B866A2BCE29D}"/>
    <cellStyle name="Comma 5 4 5 5 5 3" xfId="23005" xr:uid="{231265D9-E2E6-4435-8D1B-D5AE26649D4E}"/>
    <cellStyle name="Comma 5 4 5 5 6" xfId="37609" xr:uid="{EF5C1D1E-59D9-4E7F-A5D1-0FB048E0D0DD}"/>
    <cellStyle name="Comma 5 4 5 5 7" xfId="19355" xr:uid="{6EDC87E9-9448-4481-9BE0-CDD81C1F8909}"/>
    <cellStyle name="Comma 5 4 5 6" xfId="14971" xr:uid="{08CD3EDE-89AD-4113-8CA3-7E52C7F85E2C}"/>
    <cellStyle name="Comma 5 4 5 6 2" xfId="51479" xr:uid="{53D2E264-D7AC-4D5F-8A33-8DCDE23EE4D7}"/>
    <cellStyle name="Comma 5 4 5 6 3" xfId="33225" xr:uid="{2649AF81-72C4-4801-8A8C-9DCE05F8B9C8}"/>
    <cellStyle name="Comma 5 4 5 7" xfId="11321" xr:uid="{B4B3753B-F968-4227-903A-0824717CA19F}"/>
    <cellStyle name="Comma 5 4 5 7 2" xfId="47829" xr:uid="{FEB0510D-8A28-482C-B784-5C0677CD53FB}"/>
    <cellStyle name="Comma 5 4 5 7 3" xfId="29575" xr:uid="{9AF85409-FAC3-4176-9DCA-6C82F86CE96F}"/>
    <cellStyle name="Comma 5 4 5 8" xfId="7671" xr:uid="{7D959341-D561-470D-B1CA-678E3174E4F0}"/>
    <cellStyle name="Comma 5 4 5 8 2" xfId="44179" xr:uid="{FC91B25B-C8AD-4A52-83A4-0D4FD91AD931}"/>
    <cellStyle name="Comma 5 4 5 8 3" xfId="25925" xr:uid="{3B1A596C-4BC6-40F5-96EE-899BD19672AF}"/>
    <cellStyle name="Comma 5 4 5 9" xfId="4021" xr:uid="{D144BD75-CDA4-42A0-BB46-20030747CB13}"/>
    <cellStyle name="Comma 5 4 5 9 2" xfId="40529" xr:uid="{660A00C8-4589-4CBA-850D-E2D4B152F487}"/>
    <cellStyle name="Comma 5 4 5 9 3" xfId="22275" xr:uid="{81F13289-8604-4918-B617-4C82B430F77D}"/>
    <cellStyle name="Comma 5 4 6" xfId="267" xr:uid="{490D7405-6F22-4320-90DB-8B70ADA1DD0D}"/>
    <cellStyle name="Comma 5 4 6 10" xfId="36775" xr:uid="{79CBB685-F6F7-4A27-ADA6-9F4517664720}"/>
    <cellStyle name="Comma 5 4 6 11" xfId="18521" xr:uid="{63525369-4A99-418F-8FA0-3872CB85D996}"/>
    <cellStyle name="Comma 5 4 6 2" xfId="3187" xr:uid="{3F80E2F7-51DF-460B-A325-F5A81EDE608F}"/>
    <cellStyle name="Comma 5 4 6 2 2" xfId="17787" xr:uid="{8B734DD9-A344-4CAA-B354-1E7AAA57B522}"/>
    <cellStyle name="Comma 5 4 6 2 2 2" xfId="54295" xr:uid="{4A9C026D-6CE3-4F33-ACCB-9572211D3D3D}"/>
    <cellStyle name="Comma 5 4 6 2 2 3" xfId="36041" xr:uid="{9FD0C8BA-25E2-4C35-AC01-09132390C4A0}"/>
    <cellStyle name="Comma 5 4 6 2 3" xfId="14137" xr:uid="{0BA83419-4CBC-4F58-9ECE-A90CD79724ED}"/>
    <cellStyle name="Comma 5 4 6 2 3 2" xfId="50645" xr:uid="{2A47420F-C1A5-413C-89CD-D82642F660C1}"/>
    <cellStyle name="Comma 5 4 6 2 3 3" xfId="32391" xr:uid="{976B985A-B9C2-4068-9DB3-B9DA0600EDB0}"/>
    <cellStyle name="Comma 5 4 6 2 4" xfId="10487" xr:uid="{7067DD80-8A23-4ADC-9B5F-3FCA6B2A7AE5}"/>
    <cellStyle name="Comma 5 4 6 2 4 2" xfId="46995" xr:uid="{E77B90F9-8EFF-4258-BE29-52DC9520185D}"/>
    <cellStyle name="Comma 5 4 6 2 4 3" xfId="28741" xr:uid="{649E4EDB-BD71-4C0C-99C5-91B54CE751B3}"/>
    <cellStyle name="Comma 5 4 6 2 5" xfId="6837" xr:uid="{6BDF7CBA-254D-4069-AA41-398998D3F931}"/>
    <cellStyle name="Comma 5 4 6 2 5 2" xfId="43345" xr:uid="{0C60E7DC-4825-49DF-BBC4-F2D97F7339D9}"/>
    <cellStyle name="Comma 5 4 6 2 5 3" xfId="25091" xr:uid="{802A1C78-8585-461F-95D9-B4F1AC2642F1}"/>
    <cellStyle name="Comma 5 4 6 2 6" xfId="39695" xr:uid="{CB047396-3D31-4A66-A37F-E5AD56BE4C6F}"/>
    <cellStyle name="Comma 5 4 6 2 7" xfId="21441" xr:uid="{AA549617-D52D-49B9-A91D-1BD6A4C25B78}"/>
    <cellStyle name="Comma 5 4 6 3" xfId="2457" xr:uid="{10FE5F35-E199-4BF1-AA06-DEE68102F2CB}"/>
    <cellStyle name="Comma 5 4 6 3 2" xfId="17057" xr:uid="{86F2E6A5-5F8F-4F53-A8AA-E7D7378EE29D}"/>
    <cellStyle name="Comma 5 4 6 3 2 2" xfId="53565" xr:uid="{A84CF755-227F-41AD-8136-B7A228B8818D}"/>
    <cellStyle name="Comma 5 4 6 3 2 3" xfId="35311" xr:uid="{29E81AEA-0222-47AA-B833-72BB2F647383}"/>
    <cellStyle name="Comma 5 4 6 3 3" xfId="13407" xr:uid="{5D46A0D9-14F4-4EAD-AFAF-0E9901129393}"/>
    <cellStyle name="Comma 5 4 6 3 3 2" xfId="49915" xr:uid="{B2721BEF-8E7E-42A7-A5C9-F3511A2BC5C4}"/>
    <cellStyle name="Comma 5 4 6 3 3 3" xfId="31661" xr:uid="{2D33AB8A-6B3B-4039-880F-BD2141EF9A86}"/>
    <cellStyle name="Comma 5 4 6 3 4" xfId="9757" xr:uid="{930E3377-CA36-4C1D-A4B7-BF427F3E164D}"/>
    <cellStyle name="Comma 5 4 6 3 4 2" xfId="46265" xr:uid="{E3F01FBC-DD5B-4F62-BDF5-C50A70A7DE40}"/>
    <cellStyle name="Comma 5 4 6 3 4 3" xfId="28011" xr:uid="{B8BFA725-C8AC-4317-97E7-BFA7A068C7A7}"/>
    <cellStyle name="Comma 5 4 6 3 5" xfId="6107" xr:uid="{FE7F16E4-74C8-4CC7-B430-E785A79DCA10}"/>
    <cellStyle name="Comma 5 4 6 3 5 2" xfId="42615" xr:uid="{A1D09B5A-C1D6-4A8E-B15E-5FEB809A24BF}"/>
    <cellStyle name="Comma 5 4 6 3 5 3" xfId="24361" xr:uid="{81A4591B-4B53-4F29-B106-0ACBF7EC1869}"/>
    <cellStyle name="Comma 5 4 6 3 6" xfId="38965" xr:uid="{9A3BD359-866B-4B9F-8408-797EC33F3FAB}"/>
    <cellStyle name="Comma 5 4 6 3 7" xfId="20711" xr:uid="{82F3EAF6-57CF-4025-AA73-18C6FFFC5B06}"/>
    <cellStyle name="Comma 5 4 6 4" xfId="1727" xr:uid="{E0BD2D7D-4132-4946-9EBD-92460E6002F6}"/>
    <cellStyle name="Comma 5 4 6 4 2" xfId="16327" xr:uid="{27C2B1E2-1E33-4D06-9478-15D49A3B69CB}"/>
    <cellStyle name="Comma 5 4 6 4 2 2" xfId="52835" xr:uid="{B30355E0-C943-43F1-A843-648B74247D15}"/>
    <cellStyle name="Comma 5 4 6 4 2 3" xfId="34581" xr:uid="{274DD2A8-DF90-4658-AF9A-9D1337395D56}"/>
    <cellStyle name="Comma 5 4 6 4 3" xfId="12677" xr:uid="{264A9D04-5861-45F8-8960-1EF0BE47A8F9}"/>
    <cellStyle name="Comma 5 4 6 4 3 2" xfId="49185" xr:uid="{9E356A88-BE23-4A71-8503-62A16873319F}"/>
    <cellStyle name="Comma 5 4 6 4 3 3" xfId="30931" xr:uid="{CF928813-95B6-4339-A23F-43D04BED5EEA}"/>
    <cellStyle name="Comma 5 4 6 4 4" xfId="9027" xr:uid="{C5F05A36-BB01-4152-9445-E17DE0026F65}"/>
    <cellStyle name="Comma 5 4 6 4 4 2" xfId="45535" xr:uid="{2FAC7DCA-7931-4C8E-BC7E-E4119581709D}"/>
    <cellStyle name="Comma 5 4 6 4 4 3" xfId="27281" xr:uid="{905D8DB6-9F25-48DD-B470-179D1D0725B2}"/>
    <cellStyle name="Comma 5 4 6 4 5" xfId="5377" xr:uid="{874DF9D3-24AF-40DE-A712-37E020EBB6B4}"/>
    <cellStyle name="Comma 5 4 6 4 5 2" xfId="41885" xr:uid="{60C433FD-D05B-4045-9382-B2DE57EE8E80}"/>
    <cellStyle name="Comma 5 4 6 4 5 3" xfId="23631" xr:uid="{2E12BC84-9DAE-4FE8-A408-6DED7181E200}"/>
    <cellStyle name="Comma 5 4 6 4 6" xfId="38235" xr:uid="{151F0740-042D-4BE6-883D-4D58AC23AFF1}"/>
    <cellStyle name="Comma 5 4 6 4 7" xfId="19981" xr:uid="{80BF3FC8-C403-47D5-8D70-3A8F40BFF063}"/>
    <cellStyle name="Comma 5 4 6 5" xfId="997" xr:uid="{962D866E-FC63-47A0-A8F1-7296F2739FFB}"/>
    <cellStyle name="Comma 5 4 6 5 2" xfId="15597" xr:uid="{1CCAFDB1-021A-4D63-AC48-F4319B45B232}"/>
    <cellStyle name="Comma 5 4 6 5 2 2" xfId="52105" xr:uid="{8533B501-783D-4261-8AEF-47C3D8E2C032}"/>
    <cellStyle name="Comma 5 4 6 5 2 3" xfId="33851" xr:uid="{4A2144A8-15A5-4091-B047-E20BD50E0118}"/>
    <cellStyle name="Comma 5 4 6 5 3" xfId="11947" xr:uid="{7F9D7CA8-8754-44C2-9337-89B65525D45A}"/>
    <cellStyle name="Comma 5 4 6 5 3 2" xfId="48455" xr:uid="{C2EA5316-3FD9-4019-88D3-7E61EFEC5CC6}"/>
    <cellStyle name="Comma 5 4 6 5 3 3" xfId="30201" xr:uid="{BB4266C9-4969-4A87-AEAF-6CAE0F17DBE5}"/>
    <cellStyle name="Comma 5 4 6 5 4" xfId="8297" xr:uid="{A17C22FF-37FB-4733-A965-11BF28F50E6B}"/>
    <cellStyle name="Comma 5 4 6 5 4 2" xfId="44805" xr:uid="{EBA1570A-F10E-42F5-814A-D26B138FBCBC}"/>
    <cellStyle name="Comma 5 4 6 5 4 3" xfId="26551" xr:uid="{844E78C7-6827-4F87-A200-3C21C18C13C3}"/>
    <cellStyle name="Comma 5 4 6 5 5" xfId="4647" xr:uid="{3DE2492D-65C3-435C-9B6E-9DADE685074D}"/>
    <cellStyle name="Comma 5 4 6 5 5 2" xfId="41155" xr:uid="{2800AAAB-7E27-45DD-81B1-BF981B1F6192}"/>
    <cellStyle name="Comma 5 4 6 5 5 3" xfId="22901" xr:uid="{D0A7DB8F-6183-4791-9989-D361B2834B12}"/>
    <cellStyle name="Comma 5 4 6 5 6" xfId="37505" xr:uid="{B3B93744-0F6C-421F-939B-31CFB52CC44B}"/>
    <cellStyle name="Comma 5 4 6 5 7" xfId="19251" xr:uid="{D74A6427-674B-4176-A88F-DC9924B2A2AE}"/>
    <cellStyle name="Comma 5 4 6 6" xfId="14867" xr:uid="{3F132FDA-5355-4DEC-8425-BB2D15C3DDAA}"/>
    <cellStyle name="Comma 5 4 6 6 2" xfId="51375" xr:uid="{2D76C0C0-2CA0-4706-9D84-E94C9B1D4156}"/>
    <cellStyle name="Comma 5 4 6 6 3" xfId="33121" xr:uid="{BCC23FE2-A1DA-4A14-9BB7-73C425F363E1}"/>
    <cellStyle name="Comma 5 4 6 7" xfId="11217" xr:uid="{341E657E-4697-45F9-AB35-344F172D403A}"/>
    <cellStyle name="Comma 5 4 6 7 2" xfId="47725" xr:uid="{CB7C320D-3A38-49A8-A9FD-249EEAC360AF}"/>
    <cellStyle name="Comma 5 4 6 7 3" xfId="29471" xr:uid="{511CF743-111D-46C0-A18E-3ED5FD0E3B8E}"/>
    <cellStyle name="Comma 5 4 6 8" xfId="7567" xr:uid="{902B9C78-325D-4C38-B0C9-869E3B2D4284}"/>
    <cellStyle name="Comma 5 4 6 8 2" xfId="44075" xr:uid="{F5C24A98-BEF5-4A25-B132-6A2E10732ED6}"/>
    <cellStyle name="Comma 5 4 6 8 3" xfId="25821" xr:uid="{905634A9-ED72-414E-B37D-D5EEA836EFB4}"/>
    <cellStyle name="Comma 5 4 6 9" xfId="3917" xr:uid="{EF4F157C-9DD7-4CD5-AF79-0EA48E0CBE0F}"/>
    <cellStyle name="Comma 5 4 6 9 2" xfId="40425" xr:uid="{5F75BE3F-BD23-4626-81C5-92651D3BEB7F}"/>
    <cellStyle name="Comma 5 4 6 9 3" xfId="22171" xr:uid="{05A75CC2-F6AD-446D-82BA-DB0719C14D73}"/>
    <cellStyle name="Comma 5 4 7" xfId="163" xr:uid="{B03F310F-4085-40A2-989A-6EC0A0BD4C01}"/>
    <cellStyle name="Comma 5 4 7 10" xfId="36671" xr:uid="{4C012B2E-B508-4E0F-944D-383BEADB2687}"/>
    <cellStyle name="Comma 5 4 7 11" xfId="18417" xr:uid="{9D3CA4C7-0679-4A06-98C8-D58C46106C40}"/>
    <cellStyle name="Comma 5 4 7 2" xfId="3083" xr:uid="{D8D0F041-A600-4B11-9678-6AB3FA2D51BF}"/>
    <cellStyle name="Comma 5 4 7 2 2" xfId="17683" xr:uid="{7A9BBF59-AC8C-437F-9CB7-3FA42CB293EB}"/>
    <cellStyle name="Comma 5 4 7 2 2 2" xfId="54191" xr:uid="{27F3D9CF-B1B2-46CB-8506-378F1AA200C3}"/>
    <cellStyle name="Comma 5 4 7 2 2 3" xfId="35937" xr:uid="{2AD6D7CF-7EE1-4D3B-BEA1-5364A9F5066E}"/>
    <cellStyle name="Comma 5 4 7 2 3" xfId="14033" xr:uid="{5A2304D6-F358-46A9-A60E-0A8940AD0E31}"/>
    <cellStyle name="Comma 5 4 7 2 3 2" xfId="50541" xr:uid="{3E4E0CCC-0CE7-4961-9468-36DFB5A6DCE6}"/>
    <cellStyle name="Comma 5 4 7 2 3 3" xfId="32287" xr:uid="{429F8405-3F5C-47E2-A2C9-4E49C4262E90}"/>
    <cellStyle name="Comma 5 4 7 2 4" xfId="10383" xr:uid="{96129F1D-4323-4F06-8B90-846F601C6330}"/>
    <cellStyle name="Comma 5 4 7 2 4 2" xfId="46891" xr:uid="{6C6CB64E-C09B-41CF-9C00-E0CD36D0F2C2}"/>
    <cellStyle name="Comma 5 4 7 2 4 3" xfId="28637" xr:uid="{309F59D6-5654-4050-8294-E097902F9AC3}"/>
    <cellStyle name="Comma 5 4 7 2 5" xfId="6733" xr:uid="{1EF4AC25-3E74-4033-A0E9-9A217CED9089}"/>
    <cellStyle name="Comma 5 4 7 2 5 2" xfId="43241" xr:uid="{F2C93B2B-74A1-4B9C-9FB3-484D6A4DC0A6}"/>
    <cellStyle name="Comma 5 4 7 2 5 3" xfId="24987" xr:uid="{A53F4171-7F17-474F-8802-2FA0432AD287}"/>
    <cellStyle name="Comma 5 4 7 2 6" xfId="39591" xr:uid="{8AF4856D-1797-45CA-8939-3BD604523D9A}"/>
    <cellStyle name="Comma 5 4 7 2 7" xfId="21337" xr:uid="{340FCB4C-5CFA-4825-8559-96ABC619F622}"/>
    <cellStyle name="Comma 5 4 7 3" xfId="2353" xr:uid="{3654C353-4F20-4132-88D3-6D76D5346F37}"/>
    <cellStyle name="Comma 5 4 7 3 2" xfId="16953" xr:uid="{466361C4-1561-4DED-B82C-9C6B93D2D81C}"/>
    <cellStyle name="Comma 5 4 7 3 2 2" xfId="53461" xr:uid="{3392F2D5-6FEA-4FFF-86D7-2BF4EA284DC2}"/>
    <cellStyle name="Comma 5 4 7 3 2 3" xfId="35207" xr:uid="{9527A9C6-745D-4C82-BB79-9189E85CE86D}"/>
    <cellStyle name="Comma 5 4 7 3 3" xfId="13303" xr:uid="{62543BCE-9C61-4182-934F-C8692A063CDA}"/>
    <cellStyle name="Comma 5 4 7 3 3 2" xfId="49811" xr:uid="{9617F0A3-F2EC-4177-BAFE-FFDA993D7C8D}"/>
    <cellStyle name="Comma 5 4 7 3 3 3" xfId="31557" xr:uid="{B912F9AF-34A6-4B9B-91E2-B494D382B577}"/>
    <cellStyle name="Comma 5 4 7 3 4" xfId="9653" xr:uid="{07886864-EDE0-4F39-BE29-BC7178CB5EE2}"/>
    <cellStyle name="Comma 5 4 7 3 4 2" xfId="46161" xr:uid="{CB519B66-7C5E-499C-A4CF-5B693C12D8A5}"/>
    <cellStyle name="Comma 5 4 7 3 4 3" xfId="27907" xr:uid="{34F5A419-FBF8-4B49-BBAB-50AF099ABC12}"/>
    <cellStyle name="Comma 5 4 7 3 5" xfId="6003" xr:uid="{42DFFCC6-4E9F-4B37-B3DE-01C7D0F669C3}"/>
    <cellStyle name="Comma 5 4 7 3 5 2" xfId="42511" xr:uid="{B4656FDB-0CE2-40AF-A410-106C1CA25F52}"/>
    <cellStyle name="Comma 5 4 7 3 5 3" xfId="24257" xr:uid="{8ADB6E46-C5BD-45F8-9BDD-9597B6615662}"/>
    <cellStyle name="Comma 5 4 7 3 6" xfId="38861" xr:uid="{7D9D71F1-90D3-481B-BA7C-C354F6E50E58}"/>
    <cellStyle name="Comma 5 4 7 3 7" xfId="20607" xr:uid="{D7C2EEDA-B6D4-495C-A0B3-3F912F7BF208}"/>
    <cellStyle name="Comma 5 4 7 4" xfId="1623" xr:uid="{7ABDFEAB-B8B2-42F6-8CB3-192A88A255F7}"/>
    <cellStyle name="Comma 5 4 7 4 2" xfId="16223" xr:uid="{6F7CA73F-FBF6-4FE5-A9B2-4B2B4C06CC8B}"/>
    <cellStyle name="Comma 5 4 7 4 2 2" xfId="52731" xr:uid="{E98503A1-0708-41AD-8CEE-E2955BCA4B7D}"/>
    <cellStyle name="Comma 5 4 7 4 2 3" xfId="34477" xr:uid="{63253935-E479-4115-96A1-72A5B9F09512}"/>
    <cellStyle name="Comma 5 4 7 4 3" xfId="12573" xr:uid="{E1183997-B1DB-4BBD-9EB4-0175384B4A37}"/>
    <cellStyle name="Comma 5 4 7 4 3 2" xfId="49081" xr:uid="{8F55CB26-50B6-454D-B49A-D28C35883B85}"/>
    <cellStyle name="Comma 5 4 7 4 3 3" xfId="30827" xr:uid="{AE43BC0F-F74E-422E-AED5-220284274CBD}"/>
    <cellStyle name="Comma 5 4 7 4 4" xfId="8923" xr:uid="{A33C4ABB-94E4-40D5-9111-FB7F877F4B7E}"/>
    <cellStyle name="Comma 5 4 7 4 4 2" xfId="45431" xr:uid="{BB91729F-F80C-42EB-B1B6-15B6DB2A7C3F}"/>
    <cellStyle name="Comma 5 4 7 4 4 3" xfId="27177" xr:uid="{7ABA6FB8-B7BA-4093-B535-4641105FF745}"/>
    <cellStyle name="Comma 5 4 7 4 5" xfId="5273" xr:uid="{06854C9B-0EF9-4613-9931-D952BF18CD1A}"/>
    <cellStyle name="Comma 5 4 7 4 5 2" xfId="41781" xr:uid="{FBBB1603-30B9-4C90-BB17-6D5B0021249B}"/>
    <cellStyle name="Comma 5 4 7 4 5 3" xfId="23527" xr:uid="{0613D08E-ED68-4397-84F5-2FC39CC1AAAB}"/>
    <cellStyle name="Comma 5 4 7 4 6" xfId="38131" xr:uid="{7323B0BF-88BF-468E-B778-C1A23D2B7284}"/>
    <cellStyle name="Comma 5 4 7 4 7" xfId="19877" xr:uid="{2FCD08F4-91D1-4275-ABA4-CC31DA7F2A17}"/>
    <cellStyle name="Comma 5 4 7 5" xfId="893" xr:uid="{5C6356A4-51AA-4D6E-80B3-47E5BA42E71E}"/>
    <cellStyle name="Comma 5 4 7 5 2" xfId="15493" xr:uid="{16CCDE41-FAC3-4C6D-98F6-14FAB75CDFBF}"/>
    <cellStyle name="Comma 5 4 7 5 2 2" xfId="52001" xr:uid="{C4D80348-8F81-43B0-941D-49BB1783B016}"/>
    <cellStyle name="Comma 5 4 7 5 2 3" xfId="33747" xr:uid="{2BC16A2A-0A70-4CA6-82C8-B00C77163D1F}"/>
    <cellStyle name="Comma 5 4 7 5 3" xfId="11843" xr:uid="{B57B742E-944F-4D68-AA2A-935ABA3FFC0E}"/>
    <cellStyle name="Comma 5 4 7 5 3 2" xfId="48351" xr:uid="{1AB0F69B-0995-4919-9ABD-543F820A3DAB}"/>
    <cellStyle name="Comma 5 4 7 5 3 3" xfId="30097" xr:uid="{CEBDC009-E9A4-4E15-BFA9-CB10E47832FF}"/>
    <cellStyle name="Comma 5 4 7 5 4" xfId="8193" xr:uid="{2E5E687E-FBE7-43C1-8930-F50346BEF9EC}"/>
    <cellStyle name="Comma 5 4 7 5 4 2" xfId="44701" xr:uid="{FC540E4D-1358-43A3-8BF0-35E2BA289039}"/>
    <cellStyle name="Comma 5 4 7 5 4 3" xfId="26447" xr:uid="{534E1389-4B62-4CAE-941E-643502F2D269}"/>
    <cellStyle name="Comma 5 4 7 5 5" xfId="4543" xr:uid="{98ECAD05-B9B7-4FF3-B8D6-8DD7D327C4DB}"/>
    <cellStyle name="Comma 5 4 7 5 5 2" xfId="41051" xr:uid="{23B8FF1C-DD15-4902-9120-EA29DB39B025}"/>
    <cellStyle name="Comma 5 4 7 5 5 3" xfId="22797" xr:uid="{B9D2AF04-495D-43E5-B0D8-0F9E53069F08}"/>
    <cellStyle name="Comma 5 4 7 5 6" xfId="37401" xr:uid="{B2308CBC-6A15-4175-A258-C61048FCD1C7}"/>
    <cellStyle name="Comma 5 4 7 5 7" xfId="19147" xr:uid="{7ED586F6-4210-41DB-92AA-84CB947897E3}"/>
    <cellStyle name="Comma 5 4 7 6" xfId="14763" xr:uid="{D8A9EE31-3425-4802-91CA-C79AFAF7C769}"/>
    <cellStyle name="Comma 5 4 7 6 2" xfId="51271" xr:uid="{3262347B-5529-4A3C-AD2E-8B8EDD915DBD}"/>
    <cellStyle name="Comma 5 4 7 6 3" xfId="33017" xr:uid="{001C5620-7E85-49B3-A812-C7C80834B438}"/>
    <cellStyle name="Comma 5 4 7 7" xfId="11113" xr:uid="{E45EE81F-3277-46D5-9C0A-ED41EB82A2A1}"/>
    <cellStyle name="Comma 5 4 7 7 2" xfId="47621" xr:uid="{C1346DDB-7CC2-476D-882E-2AFD58DA3860}"/>
    <cellStyle name="Comma 5 4 7 7 3" xfId="29367" xr:uid="{DD40F3F0-F6D4-4E92-91F3-033B4131C350}"/>
    <cellStyle name="Comma 5 4 7 8" xfId="7463" xr:uid="{7137ACBD-558D-4282-A34B-53437DAA492C}"/>
    <cellStyle name="Comma 5 4 7 8 2" xfId="43971" xr:uid="{369ECF93-DCB1-4F82-A81A-D3154DBFC2C3}"/>
    <cellStyle name="Comma 5 4 7 8 3" xfId="25717" xr:uid="{1207B5B7-C8BA-4314-99EE-06864966E543}"/>
    <cellStyle name="Comma 5 4 7 9" xfId="3813" xr:uid="{5C128BB1-794A-4924-ABE8-36294F68062C}"/>
    <cellStyle name="Comma 5 4 7 9 2" xfId="40321" xr:uid="{81BB8C46-2773-4EEB-8BAA-A4D11BA3D059}"/>
    <cellStyle name="Comma 5 4 7 9 3" xfId="22067" xr:uid="{9367F439-FA64-4731-9382-516CA970909A}"/>
    <cellStyle name="Comma 5 4 8" xfId="2979" xr:uid="{A1FF4A45-A2B3-4D63-9C0C-A8EAB381A6FD}"/>
    <cellStyle name="Comma 5 4 8 2" xfId="17579" xr:uid="{18EBC60A-3CF0-4CE5-B928-281867B04AC7}"/>
    <cellStyle name="Comma 5 4 8 2 2" xfId="54087" xr:uid="{2741EB06-BB79-4813-B6C0-53BEAC6FB4C4}"/>
    <cellStyle name="Comma 5 4 8 2 3" xfId="35833" xr:uid="{31DC6906-E5FA-43BC-A103-AD64B08E6A00}"/>
    <cellStyle name="Comma 5 4 8 3" xfId="13929" xr:uid="{E38C349C-8252-4E81-AAF4-B331DDB9FFD7}"/>
    <cellStyle name="Comma 5 4 8 3 2" xfId="50437" xr:uid="{4F5974AC-8723-452E-AEF6-292C4488B771}"/>
    <cellStyle name="Comma 5 4 8 3 3" xfId="32183" xr:uid="{2C8AB92B-4F65-4C3B-90ED-1BD556A27674}"/>
    <cellStyle name="Comma 5 4 8 4" xfId="10279" xr:uid="{03474438-0B27-44C2-BB1B-9F3E78A89092}"/>
    <cellStyle name="Comma 5 4 8 4 2" xfId="46787" xr:uid="{AC110609-0FB2-4D28-86FB-81C3584DF7AF}"/>
    <cellStyle name="Comma 5 4 8 4 3" xfId="28533" xr:uid="{4AE9FB8E-DBD0-4B46-9904-F4E9994A3247}"/>
    <cellStyle name="Comma 5 4 8 5" xfId="6629" xr:uid="{62728DF6-B1B3-43BF-A391-4BBBD46ACA98}"/>
    <cellStyle name="Comma 5 4 8 5 2" xfId="43137" xr:uid="{CE05CC66-9B25-4EC0-AEAF-08874BF96426}"/>
    <cellStyle name="Comma 5 4 8 5 3" xfId="24883" xr:uid="{001D0F0C-6AA1-458E-8BAB-3DF127D88995}"/>
    <cellStyle name="Comma 5 4 8 6" xfId="39487" xr:uid="{A82EAEF3-9897-4E33-BC51-D0AE13AADFA0}"/>
    <cellStyle name="Comma 5 4 8 7" xfId="21233" xr:uid="{50045970-1413-4DC0-AB2A-915E9BFFF433}"/>
    <cellStyle name="Comma 5 4 9" xfId="2249" xr:uid="{67609347-D0BB-4BB9-93F9-63417928F2E9}"/>
    <cellStyle name="Comma 5 4 9 2" xfId="16849" xr:uid="{0612F927-FAB6-4676-9E76-47884F46D504}"/>
    <cellStyle name="Comma 5 4 9 2 2" xfId="53357" xr:uid="{B11009C0-56D6-4D33-95BD-32F690A801B3}"/>
    <cellStyle name="Comma 5 4 9 2 3" xfId="35103" xr:uid="{EEF96AF9-5A30-40AA-BE33-A9D811B77CA2}"/>
    <cellStyle name="Comma 5 4 9 3" xfId="13199" xr:uid="{1005086C-3C62-4FBE-BFD2-2841C4BDD245}"/>
    <cellStyle name="Comma 5 4 9 3 2" xfId="49707" xr:uid="{92B824A0-2019-4F24-AE17-DC60A63F19ED}"/>
    <cellStyle name="Comma 5 4 9 3 3" xfId="31453" xr:uid="{7212488F-93F0-4B49-8972-E366A2EF5979}"/>
    <cellStyle name="Comma 5 4 9 4" xfId="9549" xr:uid="{76BF49C4-0DB8-4AD0-9890-8E8008899979}"/>
    <cellStyle name="Comma 5 4 9 4 2" xfId="46057" xr:uid="{A35175C6-A686-416B-A6D8-BD25D0E94A55}"/>
    <cellStyle name="Comma 5 4 9 4 3" xfId="27803" xr:uid="{547B4014-4047-4AC8-A8C8-E0BEB7B61F00}"/>
    <cellStyle name="Comma 5 4 9 5" xfId="5899" xr:uid="{C5F51997-069D-4B6B-B24E-B1EDE1BDE8DA}"/>
    <cellStyle name="Comma 5 4 9 5 2" xfId="42407" xr:uid="{A36B2409-3168-4A78-B8DB-41A46B95AB75}"/>
    <cellStyle name="Comma 5 4 9 5 3" xfId="24153" xr:uid="{A9F45C03-149D-4759-941F-8A6E77CBA7F5}"/>
    <cellStyle name="Comma 5 4 9 6" xfId="38757" xr:uid="{CB9647AB-18CD-4161-9088-309ADDA0B4C2}"/>
    <cellStyle name="Comma 5 4 9 7" xfId="20503" xr:uid="{1ED73DB3-AF28-4D96-88AD-958716A9CC1E}"/>
    <cellStyle name="Comma 5 5" xfId="651" xr:uid="{9C1E5A3A-585C-4FAB-A648-C496C09E1B0A}"/>
    <cellStyle name="Comma 5 5 10" xfId="37159" xr:uid="{4A8E4167-A492-4839-9F73-EB1D3154E6B6}"/>
    <cellStyle name="Comma 5 5 11" xfId="18905" xr:uid="{248BA657-69A3-46EC-9C53-18966AF1F03D}"/>
    <cellStyle name="Comma 5 5 2" xfId="3571" xr:uid="{5649885A-25BA-4085-8151-FB2F8191537A}"/>
    <cellStyle name="Comma 5 5 2 2" xfId="18171" xr:uid="{408870D4-3FF7-41BF-8333-EBA8645E3826}"/>
    <cellStyle name="Comma 5 5 2 2 2" xfId="54679" xr:uid="{8FE578C9-870F-4496-BA42-4CDAB39A89E8}"/>
    <cellStyle name="Comma 5 5 2 2 3" xfId="36425" xr:uid="{69D155C0-05F7-44BD-BF46-FB80C965585C}"/>
    <cellStyle name="Comma 5 5 2 3" xfId="14521" xr:uid="{DDF021BC-91A5-4F09-80BC-EF2AF8B0288F}"/>
    <cellStyle name="Comma 5 5 2 3 2" xfId="51029" xr:uid="{B1B22C57-1B8E-4DE8-A1D5-7EBDDF6410D9}"/>
    <cellStyle name="Comma 5 5 2 3 3" xfId="32775" xr:uid="{F691A667-544B-466C-80BB-201444B11DCB}"/>
    <cellStyle name="Comma 5 5 2 4" xfId="10871" xr:uid="{C0B86879-BE3B-41CC-A84C-FA368AC6D1AA}"/>
    <cellStyle name="Comma 5 5 2 4 2" xfId="47379" xr:uid="{B6984DBB-1424-4E5F-88F2-FA315AC9A27F}"/>
    <cellStyle name="Comma 5 5 2 4 3" xfId="29125" xr:uid="{AB54C68F-8DE2-4561-A511-26692B239A16}"/>
    <cellStyle name="Comma 5 5 2 5" xfId="7221" xr:uid="{8185CE2E-032C-4271-AF7A-B62884CEE3AB}"/>
    <cellStyle name="Comma 5 5 2 5 2" xfId="43729" xr:uid="{1B77E1F6-103B-4BE1-B558-43EFFC641954}"/>
    <cellStyle name="Comma 5 5 2 5 3" xfId="25475" xr:uid="{DA8EE7B1-D88F-49A9-B70A-F5D04F3452B0}"/>
    <cellStyle name="Comma 5 5 2 6" xfId="40079" xr:uid="{A283D69C-E696-4B17-ADB0-1456724C1743}"/>
    <cellStyle name="Comma 5 5 2 7" xfId="21825" xr:uid="{98661E5A-DFF6-4FC7-AB5B-F555575836F8}"/>
    <cellStyle name="Comma 5 5 3" xfId="2841" xr:uid="{4FE53ED1-B0E1-49FA-929C-DCCCCBE84D50}"/>
    <cellStyle name="Comma 5 5 3 2" xfId="17441" xr:uid="{35A37F48-B9D7-43CE-BE3B-D0A08A574F09}"/>
    <cellStyle name="Comma 5 5 3 2 2" xfId="53949" xr:uid="{5EFC4649-091B-47DC-BA52-CA40EE63C721}"/>
    <cellStyle name="Comma 5 5 3 2 3" xfId="35695" xr:uid="{98A16D85-388D-40A6-9A73-2D6341155710}"/>
    <cellStyle name="Comma 5 5 3 3" xfId="13791" xr:uid="{11498B83-0C66-42E6-8D7B-957EA5FF9F2A}"/>
    <cellStyle name="Comma 5 5 3 3 2" xfId="50299" xr:uid="{72BDD195-DB4E-411B-AB94-D5F094FD47B4}"/>
    <cellStyle name="Comma 5 5 3 3 3" xfId="32045" xr:uid="{D9D0D89F-0584-4676-9400-F2E188349CC7}"/>
    <cellStyle name="Comma 5 5 3 4" xfId="10141" xr:uid="{25CE1978-6D88-4E6C-9138-993EA95042F4}"/>
    <cellStyle name="Comma 5 5 3 4 2" xfId="46649" xr:uid="{861223F4-36F6-43B9-9661-425C0E22D552}"/>
    <cellStyle name="Comma 5 5 3 4 3" xfId="28395" xr:uid="{D39D2A00-5F19-42A4-BF11-1999E6A6F3D5}"/>
    <cellStyle name="Comma 5 5 3 5" xfId="6491" xr:uid="{F3083CFF-FBA2-48A4-83D5-9ECF3F9E1A90}"/>
    <cellStyle name="Comma 5 5 3 5 2" xfId="42999" xr:uid="{64FAFB5F-5CDE-48D6-850C-4974FD16047A}"/>
    <cellStyle name="Comma 5 5 3 5 3" xfId="24745" xr:uid="{08ABBA8D-E88A-4CF8-A71C-B306A79C35B3}"/>
    <cellStyle name="Comma 5 5 3 6" xfId="39349" xr:uid="{57A15C1A-B3CE-4A21-9F02-526A4F62B578}"/>
    <cellStyle name="Comma 5 5 3 7" xfId="21095" xr:uid="{BF22FB28-AB27-4DD7-960A-3C7EC7D3BE86}"/>
    <cellStyle name="Comma 5 5 4" xfId="2111" xr:uid="{E80457D0-9684-4212-B720-0F8029C2C99F}"/>
    <cellStyle name="Comma 5 5 4 2" xfId="16711" xr:uid="{6DAC1140-FA16-439B-AD2D-D6D0D8F0C863}"/>
    <cellStyle name="Comma 5 5 4 2 2" xfId="53219" xr:uid="{D1836842-BF24-49AB-9891-E2910FD83818}"/>
    <cellStyle name="Comma 5 5 4 2 3" xfId="34965" xr:uid="{8BAA641E-274D-4769-8818-A57E24C25BC6}"/>
    <cellStyle name="Comma 5 5 4 3" xfId="13061" xr:uid="{5AAB9B2C-AD40-45DA-AEB3-DB7A906FD80A}"/>
    <cellStyle name="Comma 5 5 4 3 2" xfId="49569" xr:uid="{6786A5BE-6CBD-4DF0-8AB5-7CA0D7FD3EF0}"/>
    <cellStyle name="Comma 5 5 4 3 3" xfId="31315" xr:uid="{0D66F8C9-F8B7-414F-ACE8-24360BBF9711}"/>
    <cellStyle name="Comma 5 5 4 4" xfId="9411" xr:uid="{B20F87E9-36D9-430A-BA3D-38AEF88467A1}"/>
    <cellStyle name="Comma 5 5 4 4 2" xfId="45919" xr:uid="{6BAC1AF7-849B-4094-8812-FE4013E311B6}"/>
    <cellStyle name="Comma 5 5 4 4 3" xfId="27665" xr:uid="{C1E8B41A-D3EE-44BA-B294-67C2134423FD}"/>
    <cellStyle name="Comma 5 5 4 5" xfId="5761" xr:uid="{1700A4E9-6C3F-4308-B6A4-6440B6215F5E}"/>
    <cellStyle name="Comma 5 5 4 5 2" xfId="42269" xr:uid="{3D1E483B-E4B8-4AB5-B558-694CF0A436B7}"/>
    <cellStyle name="Comma 5 5 4 5 3" xfId="24015" xr:uid="{34BD4459-698E-42E4-94D9-BEF73CE6E5E5}"/>
    <cellStyle name="Comma 5 5 4 6" xfId="38619" xr:uid="{533B4299-5656-4682-9F41-3E62866D11DF}"/>
    <cellStyle name="Comma 5 5 4 7" xfId="20365" xr:uid="{8621152C-C87D-4AF6-AFBC-3CEE2BEF8B9D}"/>
    <cellStyle name="Comma 5 5 5" xfId="1381" xr:uid="{DAA6AED8-CE35-4309-902F-8173AC4D9A60}"/>
    <cellStyle name="Comma 5 5 5 2" xfId="15981" xr:uid="{83DE86E0-B693-43DD-9822-EA9C6729C721}"/>
    <cellStyle name="Comma 5 5 5 2 2" xfId="52489" xr:uid="{D2F7ECC8-BE9E-4590-9244-5139C3FC175A}"/>
    <cellStyle name="Comma 5 5 5 2 3" xfId="34235" xr:uid="{463F31D3-21C7-46BB-8E56-76F041A5ADB5}"/>
    <cellStyle name="Comma 5 5 5 3" xfId="12331" xr:uid="{D053E631-16FA-4455-9DA6-6572A1F4DF08}"/>
    <cellStyle name="Comma 5 5 5 3 2" xfId="48839" xr:uid="{8745E975-7C45-477C-B1F7-6112C9720746}"/>
    <cellStyle name="Comma 5 5 5 3 3" xfId="30585" xr:uid="{B68DAE2D-DC94-45AE-9151-A3F2C1383D0C}"/>
    <cellStyle name="Comma 5 5 5 4" xfId="8681" xr:uid="{EAF42E48-8A33-4364-8F55-6395D57F467B}"/>
    <cellStyle name="Comma 5 5 5 4 2" xfId="45189" xr:uid="{32F98545-B1F1-4F2F-B6AF-E40C5D319592}"/>
    <cellStyle name="Comma 5 5 5 4 3" xfId="26935" xr:uid="{715880E0-0989-4377-9893-888550B936BA}"/>
    <cellStyle name="Comma 5 5 5 5" xfId="5031" xr:uid="{705F8D16-9B65-4ABB-8FF0-3646ACD1039C}"/>
    <cellStyle name="Comma 5 5 5 5 2" xfId="41539" xr:uid="{2A2AC421-61FC-4B82-8F67-B7A938C0DE27}"/>
    <cellStyle name="Comma 5 5 5 5 3" xfId="23285" xr:uid="{DDB64F76-522C-48B7-9C2A-E163D126E453}"/>
    <cellStyle name="Comma 5 5 5 6" xfId="37889" xr:uid="{4D27F6A2-94AD-4A69-9C31-195AB9731822}"/>
    <cellStyle name="Comma 5 5 5 7" xfId="19635" xr:uid="{099D15C8-9E70-4DBB-A223-35322E54DAC9}"/>
    <cellStyle name="Comma 5 5 6" xfId="15251" xr:uid="{10272C51-FD2C-4561-87B9-9D5DAFC6049A}"/>
    <cellStyle name="Comma 5 5 6 2" xfId="51759" xr:uid="{91F35EE1-F5F3-46DD-908C-991ABE6E7A45}"/>
    <cellStyle name="Comma 5 5 6 3" xfId="33505" xr:uid="{252540F9-3769-4B81-9B7E-F1FE313B7F7D}"/>
    <cellStyle name="Comma 5 5 7" xfId="11601" xr:uid="{D9001999-A7A4-4809-928D-0BB745577816}"/>
    <cellStyle name="Comma 5 5 7 2" xfId="48109" xr:uid="{F0CEEBCE-8BA2-4D0E-B4F5-3F42945B8522}"/>
    <cellStyle name="Comma 5 5 7 3" xfId="29855" xr:uid="{D47D3D38-98CC-4A67-BBCF-214C35468486}"/>
    <cellStyle name="Comma 5 5 8" xfId="7951" xr:uid="{7AC05AC2-018F-4955-B093-666D46D5EBC5}"/>
    <cellStyle name="Comma 5 5 8 2" xfId="44459" xr:uid="{919C725F-2D83-4B39-9BC8-BF6E610E8DE0}"/>
    <cellStyle name="Comma 5 5 8 3" xfId="26205" xr:uid="{EA4EABD3-E869-4A97-9A20-1F91A1A1A97F}"/>
    <cellStyle name="Comma 5 5 9" xfId="4301" xr:uid="{0DEFCE93-8EC2-4FEE-BEC8-13DF7B3AA878}"/>
    <cellStyle name="Comma 5 5 9 2" xfId="40809" xr:uid="{6D9AAC80-9357-414B-B9A8-070B4D6D04F8}"/>
    <cellStyle name="Comma 5 5 9 3" xfId="22555" xr:uid="{EB2F566C-3F0C-4145-ADC7-055ABA00D2F6}"/>
    <cellStyle name="Comma 5 6" xfId="547" xr:uid="{2381502E-9B3E-4418-AE17-D7AEB24017D0}"/>
    <cellStyle name="Comma 5 6 10" xfId="37055" xr:uid="{425A6732-11FB-4539-A869-9C65B7005961}"/>
    <cellStyle name="Comma 5 6 11" xfId="18801" xr:uid="{BB1FD4BF-3F42-4922-8310-10657A7F5ADA}"/>
    <cellStyle name="Comma 5 6 2" xfId="3467" xr:uid="{4064C859-B4C6-4A81-86EE-9D12960327F3}"/>
    <cellStyle name="Comma 5 6 2 2" xfId="18067" xr:uid="{09BCE4B8-B37E-4DFE-B468-6B370382C835}"/>
    <cellStyle name="Comma 5 6 2 2 2" xfId="54575" xr:uid="{8287A169-FE62-4BD0-B1CE-A25F738A14A5}"/>
    <cellStyle name="Comma 5 6 2 2 3" xfId="36321" xr:uid="{95AE52B4-EDFB-4944-A0AE-51AB69717C44}"/>
    <cellStyle name="Comma 5 6 2 3" xfId="14417" xr:uid="{89ECA58E-0CEC-4478-8D19-41768FCCFF07}"/>
    <cellStyle name="Comma 5 6 2 3 2" xfId="50925" xr:uid="{1F5BB0FF-6DB3-479D-B0E8-115FAA0D7D62}"/>
    <cellStyle name="Comma 5 6 2 3 3" xfId="32671" xr:uid="{BFF32424-6616-4B73-A5E9-69DAA2A38C16}"/>
    <cellStyle name="Comma 5 6 2 4" xfId="10767" xr:uid="{5CFDA7C0-4700-40EF-88DC-6D937D850116}"/>
    <cellStyle name="Comma 5 6 2 4 2" xfId="47275" xr:uid="{606EC286-DC1F-4E6C-B5A4-BAC8EE63A476}"/>
    <cellStyle name="Comma 5 6 2 4 3" xfId="29021" xr:uid="{E51AB566-8440-4EF1-A566-A615DA764943}"/>
    <cellStyle name="Comma 5 6 2 5" xfId="7117" xr:uid="{EC38F981-66A4-4F7F-82E2-D4830F85D3C9}"/>
    <cellStyle name="Comma 5 6 2 5 2" xfId="43625" xr:uid="{9463D4F2-4CDA-44A8-8DEC-A3D0B44DF7F3}"/>
    <cellStyle name="Comma 5 6 2 5 3" xfId="25371" xr:uid="{0BAD8F13-9BA4-49DC-854C-9E3C8884B09C}"/>
    <cellStyle name="Comma 5 6 2 6" xfId="39975" xr:uid="{565E0153-B4D0-4B4C-857D-6F6D7E1D4A68}"/>
    <cellStyle name="Comma 5 6 2 7" xfId="21721" xr:uid="{CD51459C-8082-4B8E-8F60-72F8EB46C2F9}"/>
    <cellStyle name="Comma 5 6 3" xfId="2737" xr:uid="{9012A87A-837C-411B-A93E-BFB9FC7E1AC2}"/>
    <cellStyle name="Comma 5 6 3 2" xfId="17337" xr:uid="{49E04E5C-15BE-4E97-9C16-DBD9CFF8FD35}"/>
    <cellStyle name="Comma 5 6 3 2 2" xfId="53845" xr:uid="{5DB4F2AB-859A-459B-91B3-5B3521D2E8D6}"/>
    <cellStyle name="Comma 5 6 3 2 3" xfId="35591" xr:uid="{9297A9C9-848D-488A-9CD5-01F3426D79EF}"/>
    <cellStyle name="Comma 5 6 3 3" xfId="13687" xr:uid="{8D68F4C3-35FF-47DE-B993-9EF73D0F404F}"/>
    <cellStyle name="Comma 5 6 3 3 2" xfId="50195" xr:uid="{AB3B631B-B0F8-4ED2-830B-3973CBD95A81}"/>
    <cellStyle name="Comma 5 6 3 3 3" xfId="31941" xr:uid="{204F42B4-33DA-43FC-B0BD-53BC485CC0B0}"/>
    <cellStyle name="Comma 5 6 3 4" xfId="10037" xr:uid="{93CE849A-43A7-4076-B9E2-2034082B826F}"/>
    <cellStyle name="Comma 5 6 3 4 2" xfId="46545" xr:uid="{BDF52042-98BA-42EB-AC26-804DD70E29FF}"/>
    <cellStyle name="Comma 5 6 3 4 3" xfId="28291" xr:uid="{ED88A74B-7B61-4950-AF76-F579106831FB}"/>
    <cellStyle name="Comma 5 6 3 5" xfId="6387" xr:uid="{3AF84124-A966-4000-B598-41ACFF69278D}"/>
    <cellStyle name="Comma 5 6 3 5 2" xfId="42895" xr:uid="{0C4BDACD-A7FE-4A10-BE96-613D3E121555}"/>
    <cellStyle name="Comma 5 6 3 5 3" xfId="24641" xr:uid="{E264DA31-53C7-493A-8BD0-0CC7254CE274}"/>
    <cellStyle name="Comma 5 6 3 6" xfId="39245" xr:uid="{9E01F6DC-9E38-46C6-87D1-9BFFEF2BD077}"/>
    <cellStyle name="Comma 5 6 3 7" xfId="20991" xr:uid="{B05557D1-EEF6-4A92-AE42-B5FDCAA2ACCD}"/>
    <cellStyle name="Comma 5 6 4" xfId="2007" xr:uid="{304AD254-D4CD-4D0F-BF37-2984AC7B7EE1}"/>
    <cellStyle name="Comma 5 6 4 2" xfId="16607" xr:uid="{34AAD2D7-178E-47E7-89BD-479F1957E404}"/>
    <cellStyle name="Comma 5 6 4 2 2" xfId="53115" xr:uid="{7E8BC00E-6568-46F4-9869-6D3BF8C56E99}"/>
    <cellStyle name="Comma 5 6 4 2 3" xfId="34861" xr:uid="{9C3B4F00-FBFB-48A3-AFDD-A6B872D29BC9}"/>
    <cellStyle name="Comma 5 6 4 3" xfId="12957" xr:uid="{516F70F1-27BD-4671-B92E-8BC8A55A45CA}"/>
    <cellStyle name="Comma 5 6 4 3 2" xfId="49465" xr:uid="{25EFCA1F-8D44-4CE3-ACB1-0EC370987401}"/>
    <cellStyle name="Comma 5 6 4 3 3" xfId="31211" xr:uid="{5D2CB34A-619B-445B-9000-681227B34057}"/>
    <cellStyle name="Comma 5 6 4 4" xfId="9307" xr:uid="{306F5AE5-C611-46FB-BEC3-3D4F91AE27F9}"/>
    <cellStyle name="Comma 5 6 4 4 2" xfId="45815" xr:uid="{8020C5E4-13CA-4B45-8893-40B924CC03D6}"/>
    <cellStyle name="Comma 5 6 4 4 3" xfId="27561" xr:uid="{4E3849AD-22A3-4344-A670-F88DC77463FB}"/>
    <cellStyle name="Comma 5 6 4 5" xfId="5657" xr:uid="{ADA2EA63-919F-4E4B-9C54-0CE97A0CD21A}"/>
    <cellStyle name="Comma 5 6 4 5 2" xfId="42165" xr:uid="{29B06745-C979-40F7-8AA5-93C3DE390976}"/>
    <cellStyle name="Comma 5 6 4 5 3" xfId="23911" xr:uid="{37B616C5-8C2C-4A2E-8A4D-712D238BE437}"/>
    <cellStyle name="Comma 5 6 4 6" xfId="38515" xr:uid="{6C35A7F7-2B2D-4E53-A24F-4C377B9F2485}"/>
    <cellStyle name="Comma 5 6 4 7" xfId="20261" xr:uid="{DD08BA65-7AE2-4108-BBC3-38046AB6977E}"/>
    <cellStyle name="Comma 5 6 5" xfId="1277" xr:uid="{5DF2D304-0AD6-41E0-9291-902C02CE46E9}"/>
    <cellStyle name="Comma 5 6 5 2" xfId="15877" xr:uid="{C863D6DD-4557-4ECC-958A-8FEA553EA9D7}"/>
    <cellStyle name="Comma 5 6 5 2 2" xfId="52385" xr:uid="{7C7D568F-E802-45A5-9082-7B4F0EA611AC}"/>
    <cellStyle name="Comma 5 6 5 2 3" xfId="34131" xr:uid="{16B7DA1D-38C8-4422-B33C-597B4F0467EF}"/>
    <cellStyle name="Comma 5 6 5 3" xfId="12227" xr:uid="{7A970337-6B09-4DDD-9BB2-7D8F9FA4FB7A}"/>
    <cellStyle name="Comma 5 6 5 3 2" xfId="48735" xr:uid="{CA1846B6-AE29-45EB-B96E-241671FCD490}"/>
    <cellStyle name="Comma 5 6 5 3 3" xfId="30481" xr:uid="{C25B1A54-B287-4FB0-A662-3BAC8C3A156D}"/>
    <cellStyle name="Comma 5 6 5 4" xfId="8577" xr:uid="{A720D400-1500-4AFE-A7D7-C3B2BE978474}"/>
    <cellStyle name="Comma 5 6 5 4 2" xfId="45085" xr:uid="{0D4107AE-D87D-463C-8F77-20D226556B87}"/>
    <cellStyle name="Comma 5 6 5 4 3" xfId="26831" xr:uid="{88922BFD-B57B-4D12-B196-4EB3EAD162CA}"/>
    <cellStyle name="Comma 5 6 5 5" xfId="4927" xr:uid="{6D2A8083-8F86-458E-9797-8BD182A39FCD}"/>
    <cellStyle name="Comma 5 6 5 5 2" xfId="41435" xr:uid="{AC9DC684-A43F-4E93-938A-CE361E97E572}"/>
    <cellStyle name="Comma 5 6 5 5 3" xfId="23181" xr:uid="{4C688658-A620-4CA4-BFCB-0AFB0743CA74}"/>
    <cellStyle name="Comma 5 6 5 6" xfId="37785" xr:uid="{3E9CD55D-2F82-4845-8BF9-6AFC5501149C}"/>
    <cellStyle name="Comma 5 6 5 7" xfId="19531" xr:uid="{B54D8C81-0893-4852-8524-AA911C544B53}"/>
    <cellStyle name="Comma 5 6 6" xfId="15147" xr:uid="{233515EC-B2BB-420C-B5C3-D75FC294854D}"/>
    <cellStyle name="Comma 5 6 6 2" xfId="51655" xr:uid="{72C3D4E3-B074-4DCC-AA32-A8FA09387F85}"/>
    <cellStyle name="Comma 5 6 6 3" xfId="33401" xr:uid="{F11DE0EE-C16D-498F-B38C-C250481B5779}"/>
    <cellStyle name="Comma 5 6 7" xfId="11497" xr:uid="{1ACCB6A5-973D-498F-88D8-D70A0F20744B}"/>
    <cellStyle name="Comma 5 6 7 2" xfId="48005" xr:uid="{3E58E20D-3672-4D8E-B9EF-5522D2AC9BBE}"/>
    <cellStyle name="Comma 5 6 7 3" xfId="29751" xr:uid="{C96B5D6C-0D9A-495F-8A50-F29176505223}"/>
    <cellStyle name="Comma 5 6 8" xfId="7847" xr:uid="{EC6A1C9D-9105-43E7-8C22-50C08439E5B5}"/>
    <cellStyle name="Comma 5 6 8 2" xfId="44355" xr:uid="{FC4499B7-8035-4416-B995-7E1FA4290CD1}"/>
    <cellStyle name="Comma 5 6 8 3" xfId="26101" xr:uid="{11420365-1373-4B2D-81BE-D77175E2D264}"/>
    <cellStyle name="Comma 5 6 9" xfId="4197" xr:uid="{DD7D2A23-9327-452C-B659-D4ECE6052C3F}"/>
    <cellStyle name="Comma 5 6 9 2" xfId="40705" xr:uid="{FDE4E05F-6476-4721-9FBD-030DD8E317AB}"/>
    <cellStyle name="Comma 5 6 9 3" xfId="22451" xr:uid="{DE1D8626-7902-48B6-BE55-F2863792A04E}"/>
    <cellStyle name="Comma 5 7" xfId="443" xr:uid="{8F084313-B62F-4281-BDF7-D422083F35A3}"/>
    <cellStyle name="Comma 5 7 10" xfId="36951" xr:uid="{9DA05F2A-ADF2-4BE4-B657-3191FDA27E0B}"/>
    <cellStyle name="Comma 5 7 11" xfId="18697" xr:uid="{8D36B163-C9B7-4AF7-90CA-D7EA7A07BF3F}"/>
    <cellStyle name="Comma 5 7 2" xfId="3363" xr:uid="{E9372D1B-1E66-4043-AFA4-ED0F6D5053E6}"/>
    <cellStyle name="Comma 5 7 2 2" xfId="17963" xr:uid="{75D1E87F-76F6-442B-BA9A-6366EFCEE5A2}"/>
    <cellStyle name="Comma 5 7 2 2 2" xfId="54471" xr:uid="{35F30597-B55C-40B8-B7CD-52309D62C1C4}"/>
    <cellStyle name="Comma 5 7 2 2 3" xfId="36217" xr:uid="{3BC146B7-D6EC-4D34-BE20-5BC093494306}"/>
    <cellStyle name="Comma 5 7 2 3" xfId="14313" xr:uid="{88CE2AE9-49F9-4F24-B571-56FDB98FEB6E}"/>
    <cellStyle name="Comma 5 7 2 3 2" xfId="50821" xr:uid="{5928FF0D-9562-4703-B9DF-E6D5D439AA2A}"/>
    <cellStyle name="Comma 5 7 2 3 3" xfId="32567" xr:uid="{D4245AF3-9DA4-437E-A825-4CC78EE6601E}"/>
    <cellStyle name="Comma 5 7 2 4" xfId="10663" xr:uid="{B47A39EE-5AA3-4510-ACC7-2086D582EEF0}"/>
    <cellStyle name="Comma 5 7 2 4 2" xfId="47171" xr:uid="{AE2FFA81-881A-4925-B126-CF333D0C5628}"/>
    <cellStyle name="Comma 5 7 2 4 3" xfId="28917" xr:uid="{26478796-092A-4EA1-9E66-D2EB37787E3E}"/>
    <cellStyle name="Comma 5 7 2 5" xfId="7013" xr:uid="{F50AA6F0-5BA0-4BB7-9F04-13F977084BDE}"/>
    <cellStyle name="Comma 5 7 2 5 2" xfId="43521" xr:uid="{65E1BA1D-44B5-47F7-BDA6-F340680DE4CF}"/>
    <cellStyle name="Comma 5 7 2 5 3" xfId="25267" xr:uid="{1961C8F2-6462-4CC5-A4A9-2A20DD450FF7}"/>
    <cellStyle name="Comma 5 7 2 6" xfId="39871" xr:uid="{CCD9F84C-41EB-45DB-A942-340472A6F3BB}"/>
    <cellStyle name="Comma 5 7 2 7" xfId="21617" xr:uid="{0D937C64-39A1-40D3-878F-3026E4C2A064}"/>
    <cellStyle name="Comma 5 7 3" xfId="2633" xr:uid="{64F80CF8-B0D3-43F3-B76D-D63D25BCC391}"/>
    <cellStyle name="Comma 5 7 3 2" xfId="17233" xr:uid="{A1C9DDA7-C052-4B52-B823-3E63513CEEBF}"/>
    <cellStyle name="Comma 5 7 3 2 2" xfId="53741" xr:uid="{BA6FE730-EB63-4267-A71C-E4B1F6C82F4A}"/>
    <cellStyle name="Comma 5 7 3 2 3" xfId="35487" xr:uid="{17505141-3123-4D20-A038-034967BF728C}"/>
    <cellStyle name="Comma 5 7 3 3" xfId="13583" xr:uid="{4BA57025-54C7-4F6D-BED7-DD40C0A9238E}"/>
    <cellStyle name="Comma 5 7 3 3 2" xfId="50091" xr:uid="{E0304368-F5F8-4A2E-8CA6-AC2AC1F23F32}"/>
    <cellStyle name="Comma 5 7 3 3 3" xfId="31837" xr:uid="{2722BE74-3789-4A0E-8D5A-4D178658AAAD}"/>
    <cellStyle name="Comma 5 7 3 4" xfId="9933" xr:uid="{41AEC7A8-0D2F-42E4-8135-AFFE0FB30A0F}"/>
    <cellStyle name="Comma 5 7 3 4 2" xfId="46441" xr:uid="{971A053D-83DD-46AD-8772-EB3A489AF44A}"/>
    <cellStyle name="Comma 5 7 3 4 3" xfId="28187" xr:uid="{20383AED-2215-4BA8-ADE2-43764947D0E8}"/>
    <cellStyle name="Comma 5 7 3 5" xfId="6283" xr:uid="{0CE0F787-2B86-4BE1-B6FD-670B2979D979}"/>
    <cellStyle name="Comma 5 7 3 5 2" xfId="42791" xr:uid="{059DF22B-A8B2-4A41-B43A-D1EDA859F06E}"/>
    <cellStyle name="Comma 5 7 3 5 3" xfId="24537" xr:uid="{45B00F15-1F29-4A17-8642-AA81F0BF5787}"/>
    <cellStyle name="Comma 5 7 3 6" xfId="39141" xr:uid="{A6797860-06D6-433B-BCCB-A3FFC8EFF6A4}"/>
    <cellStyle name="Comma 5 7 3 7" xfId="20887" xr:uid="{3B7D7552-E06D-47BB-A2E2-E3713AC9D602}"/>
    <cellStyle name="Comma 5 7 4" xfId="1903" xr:uid="{5CF3C1D8-56D5-4A4B-85D1-2C4F48950A65}"/>
    <cellStyle name="Comma 5 7 4 2" xfId="16503" xr:uid="{C91774C8-6F61-489E-9DB3-C659552658E3}"/>
    <cellStyle name="Comma 5 7 4 2 2" xfId="53011" xr:uid="{F00FA75E-6FE6-4237-B8C9-6630D08E6EA2}"/>
    <cellStyle name="Comma 5 7 4 2 3" xfId="34757" xr:uid="{3DF6B669-69D4-4AAC-AB34-55686C930AC3}"/>
    <cellStyle name="Comma 5 7 4 3" xfId="12853" xr:uid="{B257E92A-D598-4F54-9D1A-C9F75E767D14}"/>
    <cellStyle name="Comma 5 7 4 3 2" xfId="49361" xr:uid="{805EAF73-D10F-4D11-88BC-7E45BE809CEF}"/>
    <cellStyle name="Comma 5 7 4 3 3" xfId="31107" xr:uid="{3DD80C56-F3F9-4865-B92D-519A14BAE87D}"/>
    <cellStyle name="Comma 5 7 4 4" xfId="9203" xr:uid="{6F98C4F1-FD34-4ACC-AFEF-09486C9DCA29}"/>
    <cellStyle name="Comma 5 7 4 4 2" xfId="45711" xr:uid="{68AE624A-A4AE-4C62-987D-C88CE6774D48}"/>
    <cellStyle name="Comma 5 7 4 4 3" xfId="27457" xr:uid="{0E077EF8-883A-4F6B-9BD1-E4779E375C91}"/>
    <cellStyle name="Comma 5 7 4 5" xfId="5553" xr:uid="{65D47D46-32B3-4CE6-BE7D-FD38B6BB34B5}"/>
    <cellStyle name="Comma 5 7 4 5 2" xfId="42061" xr:uid="{5A0AC2E2-BBAC-4551-9590-268E921864DB}"/>
    <cellStyle name="Comma 5 7 4 5 3" xfId="23807" xr:uid="{2C5D7AC8-6746-417E-94E4-467171E2A660}"/>
    <cellStyle name="Comma 5 7 4 6" xfId="38411" xr:uid="{89FF59A1-BD32-4679-9390-DED5240F92AA}"/>
    <cellStyle name="Comma 5 7 4 7" xfId="20157" xr:uid="{CB262E87-B499-40A3-8CC0-62D130112AE4}"/>
    <cellStyle name="Comma 5 7 5" xfId="1173" xr:uid="{200A979B-4D51-4E0F-8A91-28A1686EBEC1}"/>
    <cellStyle name="Comma 5 7 5 2" xfId="15773" xr:uid="{21847101-1DB8-4C31-8998-7F043FD6313A}"/>
    <cellStyle name="Comma 5 7 5 2 2" xfId="52281" xr:uid="{067FEB94-3260-4E90-942B-FAF31A6E80F3}"/>
    <cellStyle name="Comma 5 7 5 2 3" xfId="34027" xr:uid="{D030486E-D529-484B-AD29-820641DBBC60}"/>
    <cellStyle name="Comma 5 7 5 3" xfId="12123" xr:uid="{649E6F22-68AD-4B66-87AB-D92770AE11A1}"/>
    <cellStyle name="Comma 5 7 5 3 2" xfId="48631" xr:uid="{4B178A21-1D03-4A89-AFD8-2938796AE8FB}"/>
    <cellStyle name="Comma 5 7 5 3 3" xfId="30377" xr:uid="{AE0E76DB-6838-4CD2-939F-77E6E3B396F0}"/>
    <cellStyle name="Comma 5 7 5 4" xfId="8473" xr:uid="{E25CC423-7B39-43CF-B450-9D3A76D9E58F}"/>
    <cellStyle name="Comma 5 7 5 4 2" xfId="44981" xr:uid="{575AE57A-FA12-443E-B781-F16109F63BEA}"/>
    <cellStyle name="Comma 5 7 5 4 3" xfId="26727" xr:uid="{9A4F961A-3DEA-4443-B3B7-676916BD05FE}"/>
    <cellStyle name="Comma 5 7 5 5" xfId="4823" xr:uid="{416DCC94-1727-4F4E-9D1F-0126F65BE69F}"/>
    <cellStyle name="Comma 5 7 5 5 2" xfId="41331" xr:uid="{14D0A083-21F5-4DD7-A99D-D9868D0EE151}"/>
    <cellStyle name="Comma 5 7 5 5 3" xfId="23077" xr:uid="{82EEDADF-BA83-43AB-B404-A2DB422B0A15}"/>
    <cellStyle name="Comma 5 7 5 6" xfId="37681" xr:uid="{0D28365A-6A25-4675-A3D8-5608AE19DF58}"/>
    <cellStyle name="Comma 5 7 5 7" xfId="19427" xr:uid="{A896B5DA-C20C-451E-AEF6-A76E3BE7200E}"/>
    <cellStyle name="Comma 5 7 6" xfId="15043" xr:uid="{6CBF6DA3-F868-41A3-B7EC-4F68B2DBE845}"/>
    <cellStyle name="Comma 5 7 6 2" xfId="51551" xr:uid="{B314EA43-55CD-4BF0-AACD-6D7CEDECE1E6}"/>
    <cellStyle name="Comma 5 7 6 3" xfId="33297" xr:uid="{3148AEFB-35D9-428A-8171-070C8E698398}"/>
    <cellStyle name="Comma 5 7 7" xfId="11393" xr:uid="{39445141-1B36-448D-8764-290CB52D7E1B}"/>
    <cellStyle name="Comma 5 7 7 2" xfId="47901" xr:uid="{DE38C2D2-19B7-4719-8448-1334ACE143AE}"/>
    <cellStyle name="Comma 5 7 7 3" xfId="29647" xr:uid="{39DB6B62-AD88-40AE-850B-E35CD35CA552}"/>
    <cellStyle name="Comma 5 7 8" xfId="7743" xr:uid="{28A5E07C-2467-44EE-8D1A-2A2625408068}"/>
    <cellStyle name="Comma 5 7 8 2" xfId="44251" xr:uid="{58D99AB7-FCC2-4A09-A3EC-295953BC1AA4}"/>
    <cellStyle name="Comma 5 7 8 3" xfId="25997" xr:uid="{21865D33-BD49-479F-95D5-66E4F1BA8C38}"/>
    <cellStyle name="Comma 5 7 9" xfId="4093" xr:uid="{E29B5580-C9C6-4400-98EB-3DF963230599}"/>
    <cellStyle name="Comma 5 7 9 2" xfId="40601" xr:uid="{0E18EF57-50F1-4F2F-AB54-24632A123361}"/>
    <cellStyle name="Comma 5 7 9 3" xfId="22347" xr:uid="{1EA4C7DB-8D1F-4CDA-8928-72CEEDB499EE}"/>
    <cellStyle name="Comma 5 8" xfId="339" xr:uid="{D7648E08-99B0-469A-A3F5-4C0ED4ABE4FC}"/>
    <cellStyle name="Comma 5 8 10" xfId="36847" xr:uid="{CF3E5FF2-D731-4BF6-BBAF-59D2E632274F}"/>
    <cellStyle name="Comma 5 8 11" xfId="18593" xr:uid="{ECFECC5A-6F7E-46D9-8AE4-B3828ED9FC18}"/>
    <cellStyle name="Comma 5 8 2" xfId="3259" xr:uid="{69671041-B52D-457C-9CD4-7FF9F35D8ECC}"/>
    <cellStyle name="Comma 5 8 2 2" xfId="17859" xr:uid="{811EB7BF-D951-4358-8575-76022C65F191}"/>
    <cellStyle name="Comma 5 8 2 2 2" xfId="54367" xr:uid="{0763B4D0-DED9-4BA4-AFEE-840893D4896E}"/>
    <cellStyle name="Comma 5 8 2 2 3" xfId="36113" xr:uid="{56110A82-53F8-475C-AB06-4585FFD9CE7A}"/>
    <cellStyle name="Comma 5 8 2 3" xfId="14209" xr:uid="{6DDEBADA-CEC6-4878-9754-CFF8CD64F0E1}"/>
    <cellStyle name="Comma 5 8 2 3 2" xfId="50717" xr:uid="{B231E757-4CF7-4BA3-B928-C024648BBCBC}"/>
    <cellStyle name="Comma 5 8 2 3 3" xfId="32463" xr:uid="{1E4240D0-C49C-4849-9A49-1036956C9E15}"/>
    <cellStyle name="Comma 5 8 2 4" xfId="10559" xr:uid="{816A4BC2-62BF-4377-9899-4DD720F80BF8}"/>
    <cellStyle name="Comma 5 8 2 4 2" xfId="47067" xr:uid="{F590AB47-7A72-4FC8-BFFE-A822793D2966}"/>
    <cellStyle name="Comma 5 8 2 4 3" xfId="28813" xr:uid="{F8D5E325-D558-44E9-B79A-62FEB70A4AEF}"/>
    <cellStyle name="Comma 5 8 2 5" xfId="6909" xr:uid="{51BA9EAA-D41F-4911-9E2E-716800D7B4CD}"/>
    <cellStyle name="Comma 5 8 2 5 2" xfId="43417" xr:uid="{9A604E66-D4D9-4E88-92AE-190AC49E37BA}"/>
    <cellStyle name="Comma 5 8 2 5 3" xfId="25163" xr:uid="{CE9FD683-B1A4-40A5-A0AE-0E1851708827}"/>
    <cellStyle name="Comma 5 8 2 6" xfId="39767" xr:uid="{413F2F81-6AC1-48A0-BD97-EA27EB677FCC}"/>
    <cellStyle name="Comma 5 8 2 7" xfId="21513" xr:uid="{18499949-43B9-4443-AD3C-FA7A29F5226E}"/>
    <cellStyle name="Comma 5 8 3" xfId="2529" xr:uid="{00D2C301-54C5-45ED-A83A-1D4C5D1DB79F}"/>
    <cellStyle name="Comma 5 8 3 2" xfId="17129" xr:uid="{04B4442D-9301-419A-8113-3D8F91E61DEF}"/>
    <cellStyle name="Comma 5 8 3 2 2" xfId="53637" xr:uid="{4A7A96EC-1DDC-4074-A7D5-6B09CC206DF1}"/>
    <cellStyle name="Comma 5 8 3 2 3" xfId="35383" xr:uid="{5CA6FC35-438F-4F86-BA61-8FFCFBA0F7F8}"/>
    <cellStyle name="Comma 5 8 3 3" xfId="13479" xr:uid="{6457A126-6A31-4F41-B6BF-C868AAD81F57}"/>
    <cellStyle name="Comma 5 8 3 3 2" xfId="49987" xr:uid="{46E4B39D-600E-4526-ADD7-AA3D54644FF6}"/>
    <cellStyle name="Comma 5 8 3 3 3" xfId="31733" xr:uid="{036EA1CE-C3C0-416B-867E-A2D44EC663DA}"/>
    <cellStyle name="Comma 5 8 3 4" xfId="9829" xr:uid="{7F70856E-AACB-4B98-B3A1-21B273BE2EC6}"/>
    <cellStyle name="Comma 5 8 3 4 2" xfId="46337" xr:uid="{13DD35DA-8440-4CA0-ABA0-6676C0E28D14}"/>
    <cellStyle name="Comma 5 8 3 4 3" xfId="28083" xr:uid="{F6D34C8F-64EE-4EE0-A4ED-303A8C549C05}"/>
    <cellStyle name="Comma 5 8 3 5" xfId="6179" xr:uid="{EF636C86-8E07-4F42-B45A-7F86CC4CA30E}"/>
    <cellStyle name="Comma 5 8 3 5 2" xfId="42687" xr:uid="{46E367F6-14AF-44A6-A510-46033E84A2E9}"/>
    <cellStyle name="Comma 5 8 3 5 3" xfId="24433" xr:uid="{6AAB52DC-55F3-49E1-ABCA-B66638941452}"/>
    <cellStyle name="Comma 5 8 3 6" xfId="39037" xr:uid="{77050D4E-31C5-4DAF-9FF6-A9574D4DA8B2}"/>
    <cellStyle name="Comma 5 8 3 7" xfId="20783" xr:uid="{7165F92E-AD64-4B7C-9387-C1FB1E84CD76}"/>
    <cellStyle name="Comma 5 8 4" xfId="1799" xr:uid="{BA9738DC-B16E-4F9E-B5FF-D85BA21EE313}"/>
    <cellStyle name="Comma 5 8 4 2" xfId="16399" xr:uid="{F11A5FCA-DA9C-4BCF-A333-8797C8B16BB3}"/>
    <cellStyle name="Comma 5 8 4 2 2" xfId="52907" xr:uid="{BD8D846A-9ED7-43C9-B064-4448DB48C60C}"/>
    <cellStyle name="Comma 5 8 4 2 3" xfId="34653" xr:uid="{CF16D371-255B-4B5C-842B-9A693801776F}"/>
    <cellStyle name="Comma 5 8 4 3" xfId="12749" xr:uid="{8858CB29-872C-417D-B04C-E457EA64FA70}"/>
    <cellStyle name="Comma 5 8 4 3 2" xfId="49257" xr:uid="{A42EA675-1F0A-43BA-819E-FB319D8E9353}"/>
    <cellStyle name="Comma 5 8 4 3 3" xfId="31003" xr:uid="{93137E4E-91F4-41A3-823F-A392106FC620}"/>
    <cellStyle name="Comma 5 8 4 4" xfId="9099" xr:uid="{A3950D7D-E457-4E92-89B8-665EC4583E29}"/>
    <cellStyle name="Comma 5 8 4 4 2" xfId="45607" xr:uid="{8A6A57B1-E9E7-47BD-A26E-738C0B0E5430}"/>
    <cellStyle name="Comma 5 8 4 4 3" xfId="27353" xr:uid="{B9D6C3CE-B16B-4E76-8F22-82B299E41952}"/>
    <cellStyle name="Comma 5 8 4 5" xfId="5449" xr:uid="{2DD6A5D8-5FAD-4524-B765-EEF755A5A6F2}"/>
    <cellStyle name="Comma 5 8 4 5 2" xfId="41957" xr:uid="{4A05B531-712E-46F9-A2F6-E8407EB4C236}"/>
    <cellStyle name="Comma 5 8 4 5 3" xfId="23703" xr:uid="{F1B7E973-E914-4954-A476-229DBB07399D}"/>
    <cellStyle name="Comma 5 8 4 6" xfId="38307" xr:uid="{13B34E2F-698B-4E3B-A450-CEB5758BCF42}"/>
    <cellStyle name="Comma 5 8 4 7" xfId="20053" xr:uid="{5191C9AD-0D39-4D2F-BC2C-A26080BFB258}"/>
    <cellStyle name="Comma 5 8 5" xfId="1069" xr:uid="{FFC2B19D-6021-4161-A821-27BA0997F1FF}"/>
    <cellStyle name="Comma 5 8 5 2" xfId="15669" xr:uid="{07F4B446-2BBF-4818-AE02-46E0E93B6DF3}"/>
    <cellStyle name="Comma 5 8 5 2 2" xfId="52177" xr:uid="{CE3D9659-6D97-4583-A21D-6E2BD03380CD}"/>
    <cellStyle name="Comma 5 8 5 2 3" xfId="33923" xr:uid="{C154F0CA-BBDC-4CA1-B1BA-3F800B07EADD}"/>
    <cellStyle name="Comma 5 8 5 3" xfId="12019" xr:uid="{10BE5CE9-50B1-419A-B4CA-188C087287B9}"/>
    <cellStyle name="Comma 5 8 5 3 2" xfId="48527" xr:uid="{013C5EA8-B4C8-4B6C-809B-B70DB283F89C}"/>
    <cellStyle name="Comma 5 8 5 3 3" xfId="30273" xr:uid="{428FBA5F-AF21-4EDC-9D35-F6E7F42EBD6C}"/>
    <cellStyle name="Comma 5 8 5 4" xfId="8369" xr:uid="{101A52C5-A583-414A-95FC-0051611A9DC6}"/>
    <cellStyle name="Comma 5 8 5 4 2" xfId="44877" xr:uid="{3B50900B-9EFE-42C1-9074-3B2B4DD01A04}"/>
    <cellStyle name="Comma 5 8 5 4 3" xfId="26623" xr:uid="{508251FB-B88E-49C6-906A-A1440ECE57A5}"/>
    <cellStyle name="Comma 5 8 5 5" xfId="4719" xr:uid="{888B8F15-1CB2-407A-BABE-C1F5676ED055}"/>
    <cellStyle name="Comma 5 8 5 5 2" xfId="41227" xr:uid="{524BDD14-7BD8-4641-90CB-26849319A298}"/>
    <cellStyle name="Comma 5 8 5 5 3" xfId="22973" xr:uid="{8492DE0D-E3D5-4A3A-88A5-9DB0B0DC0D66}"/>
    <cellStyle name="Comma 5 8 5 6" xfId="37577" xr:uid="{337D989A-58F9-4C7C-9875-5DDC19D6ADB3}"/>
    <cellStyle name="Comma 5 8 5 7" xfId="19323" xr:uid="{285B10D0-92D8-4FF8-9867-EABB01B2660A}"/>
    <cellStyle name="Comma 5 8 6" xfId="14939" xr:uid="{51066F5C-EEA0-4588-882A-707B2ECAD50B}"/>
    <cellStyle name="Comma 5 8 6 2" xfId="51447" xr:uid="{A6055B16-67E1-45A4-AD59-049B39657AE4}"/>
    <cellStyle name="Comma 5 8 6 3" xfId="33193" xr:uid="{7F62ADCE-B826-4ABD-BA5B-ECFA0E8CF874}"/>
    <cellStyle name="Comma 5 8 7" xfId="11289" xr:uid="{43011401-241F-4516-8DB6-EEB3387DB517}"/>
    <cellStyle name="Comma 5 8 7 2" xfId="47797" xr:uid="{3AC6BB72-6C0B-430C-BD60-D9B75BFE65C5}"/>
    <cellStyle name="Comma 5 8 7 3" xfId="29543" xr:uid="{515E6B86-030F-4BD3-98A6-69F495582D4C}"/>
    <cellStyle name="Comma 5 8 8" xfId="7639" xr:uid="{B826A1E3-BF39-42A1-BD4A-A33579666535}"/>
    <cellStyle name="Comma 5 8 8 2" xfId="44147" xr:uid="{1155ED3A-F68D-479F-9443-C7BDCEFCF7A7}"/>
    <cellStyle name="Comma 5 8 8 3" xfId="25893" xr:uid="{3926537D-B195-4689-AACC-C17A635EC2C5}"/>
    <cellStyle name="Comma 5 8 9" xfId="3989" xr:uid="{06BBD0DE-E9BD-4B9E-82F1-40FD10DAC871}"/>
    <cellStyle name="Comma 5 8 9 2" xfId="40497" xr:uid="{3D7AAEEC-209A-47B1-9E6D-35361AFD30BE}"/>
    <cellStyle name="Comma 5 8 9 3" xfId="22243" xr:uid="{215C5458-0B7F-439D-B55D-DBB4D4974EA7}"/>
    <cellStyle name="Comma 5 9" xfId="235" xr:uid="{CA074CB2-BCFA-4C1B-B10F-52F28BAEF5AD}"/>
    <cellStyle name="Comma 5 9 10" xfId="36743" xr:uid="{3020BC7D-9D60-48F1-A996-CB50521E5124}"/>
    <cellStyle name="Comma 5 9 11" xfId="18489" xr:uid="{8AF814FB-FEDD-483E-8E3E-3DB933D43D90}"/>
    <cellStyle name="Comma 5 9 2" xfId="3155" xr:uid="{AC1ED05F-233B-4EBB-BEBF-A3758F7B317D}"/>
    <cellStyle name="Comma 5 9 2 2" xfId="17755" xr:uid="{83B08312-9928-4CCB-AF53-91A8EFF76043}"/>
    <cellStyle name="Comma 5 9 2 2 2" xfId="54263" xr:uid="{BA1E01BC-724E-4AD9-8B22-E10AAB107E12}"/>
    <cellStyle name="Comma 5 9 2 2 3" xfId="36009" xr:uid="{02077E4F-3E83-4DE5-B17B-CF524729CFDF}"/>
    <cellStyle name="Comma 5 9 2 3" xfId="14105" xr:uid="{B660D2E3-AF2C-4197-94A0-0712A4CF1EA5}"/>
    <cellStyle name="Comma 5 9 2 3 2" xfId="50613" xr:uid="{9D442327-AFB8-480F-B1C7-57A6B70D10CC}"/>
    <cellStyle name="Comma 5 9 2 3 3" xfId="32359" xr:uid="{AA0A5261-8125-4D6C-97C6-73A85ABE5352}"/>
    <cellStyle name="Comma 5 9 2 4" xfId="10455" xr:uid="{21C12FF7-1244-4339-B0BE-8A0B2D0B65A7}"/>
    <cellStyle name="Comma 5 9 2 4 2" xfId="46963" xr:uid="{CCD35A77-2585-438C-8DA8-80C94C81B51A}"/>
    <cellStyle name="Comma 5 9 2 4 3" xfId="28709" xr:uid="{9DA53C0E-E6D8-4FA1-89C0-5838C2178FD2}"/>
    <cellStyle name="Comma 5 9 2 5" xfId="6805" xr:uid="{D72D43CF-F808-4CE2-858E-5FF61780F7A5}"/>
    <cellStyle name="Comma 5 9 2 5 2" xfId="43313" xr:uid="{0EE2D3EC-7281-4036-A432-E9618732F7CE}"/>
    <cellStyle name="Comma 5 9 2 5 3" xfId="25059" xr:uid="{1E0AB6CE-738F-45D1-B970-18F5A268F6D2}"/>
    <cellStyle name="Comma 5 9 2 6" xfId="39663" xr:uid="{01CC1B4E-7A0F-4DD4-9494-4E91275545BE}"/>
    <cellStyle name="Comma 5 9 2 7" xfId="21409" xr:uid="{6007C6DB-8762-40EA-94AB-7D95A31A92E4}"/>
    <cellStyle name="Comma 5 9 3" xfId="2425" xr:uid="{C710D129-D66E-4C03-96D6-D7FC562B75BE}"/>
    <cellStyle name="Comma 5 9 3 2" xfId="17025" xr:uid="{C225A9FB-5381-4ABD-934F-D9D706514178}"/>
    <cellStyle name="Comma 5 9 3 2 2" xfId="53533" xr:uid="{3903AA21-BB5D-4738-B750-2C4094D188AF}"/>
    <cellStyle name="Comma 5 9 3 2 3" xfId="35279" xr:uid="{BA0D7403-1DE9-47FD-AED1-023D228D2A01}"/>
    <cellStyle name="Comma 5 9 3 3" xfId="13375" xr:uid="{247E6725-0121-48B3-BA09-9D28AB7FEB03}"/>
    <cellStyle name="Comma 5 9 3 3 2" xfId="49883" xr:uid="{592E5259-A4CD-4695-8FC9-EEA94BB36E71}"/>
    <cellStyle name="Comma 5 9 3 3 3" xfId="31629" xr:uid="{DE494CBA-1881-468D-9D77-34352B108149}"/>
    <cellStyle name="Comma 5 9 3 4" xfId="9725" xr:uid="{BCC03195-1530-4758-8181-DA9426E7A8D2}"/>
    <cellStyle name="Comma 5 9 3 4 2" xfId="46233" xr:uid="{F94BBF8D-E408-4DE9-9EFA-E22C121B1277}"/>
    <cellStyle name="Comma 5 9 3 4 3" xfId="27979" xr:uid="{8E84322B-D16A-4D3D-808C-68DB503DB9B5}"/>
    <cellStyle name="Comma 5 9 3 5" xfId="6075" xr:uid="{42E24874-CB96-407C-92D6-30584AF8B8A3}"/>
    <cellStyle name="Comma 5 9 3 5 2" xfId="42583" xr:uid="{FD80E35B-804C-4363-BC76-8FA24D98E748}"/>
    <cellStyle name="Comma 5 9 3 5 3" xfId="24329" xr:uid="{F7B98F8E-30ED-4974-9E18-1C80EBDD1614}"/>
    <cellStyle name="Comma 5 9 3 6" xfId="38933" xr:uid="{6D7A6B2C-4652-47F5-9015-ACA6B7EEA032}"/>
    <cellStyle name="Comma 5 9 3 7" xfId="20679" xr:uid="{9302EB22-E7C6-43BC-8171-35968FB896FD}"/>
    <cellStyle name="Comma 5 9 4" xfId="1695" xr:uid="{5B050287-4DCD-4EFC-829C-CD025D7818B0}"/>
    <cellStyle name="Comma 5 9 4 2" xfId="16295" xr:uid="{C645AA03-7357-4355-80F6-1FD558758F52}"/>
    <cellStyle name="Comma 5 9 4 2 2" xfId="52803" xr:uid="{7105A2FD-B5D0-4A67-980B-E53F8F5B63DF}"/>
    <cellStyle name="Comma 5 9 4 2 3" xfId="34549" xr:uid="{51512AD3-53EB-4C24-848B-BEE6E2F92ED0}"/>
    <cellStyle name="Comma 5 9 4 3" xfId="12645" xr:uid="{5E626FA8-7C6F-448E-88B4-C6BA13BCB23A}"/>
    <cellStyle name="Comma 5 9 4 3 2" xfId="49153" xr:uid="{A19652CB-0D90-4819-86B1-282F220CBDC2}"/>
    <cellStyle name="Comma 5 9 4 3 3" xfId="30899" xr:uid="{59A98CF7-336D-477A-9F9C-711F984938CE}"/>
    <cellStyle name="Comma 5 9 4 4" xfId="8995" xr:uid="{EA26780E-8C73-47CF-B377-E1CF0F677980}"/>
    <cellStyle name="Comma 5 9 4 4 2" xfId="45503" xr:uid="{7C159620-11BD-4679-8C60-38983EE2E408}"/>
    <cellStyle name="Comma 5 9 4 4 3" xfId="27249" xr:uid="{880E1FF4-953A-40F2-9985-D1AFAA2235B0}"/>
    <cellStyle name="Comma 5 9 4 5" xfId="5345" xr:uid="{302754B8-CF23-4327-8171-4A1313C2CB3B}"/>
    <cellStyle name="Comma 5 9 4 5 2" xfId="41853" xr:uid="{B1B9F790-CB9A-4303-9EA3-41C23F5957F2}"/>
    <cellStyle name="Comma 5 9 4 5 3" xfId="23599" xr:uid="{FE115096-8950-46EC-A127-E34028F98B68}"/>
    <cellStyle name="Comma 5 9 4 6" xfId="38203" xr:uid="{06AF1AF1-321C-4E74-91FD-DD1E75DDE84B}"/>
    <cellStyle name="Comma 5 9 4 7" xfId="19949" xr:uid="{E36FFDE1-DB9B-4584-9E59-41926F76091F}"/>
    <cellStyle name="Comma 5 9 5" xfId="965" xr:uid="{1F8D4DB2-084E-4D32-80C2-0D7258AE2551}"/>
    <cellStyle name="Comma 5 9 5 2" xfId="15565" xr:uid="{7EF3E8A7-C64F-42CC-B3EB-4ECE774011D4}"/>
    <cellStyle name="Comma 5 9 5 2 2" xfId="52073" xr:uid="{11271723-09E5-4952-9C1C-AE19D2EB7F9B}"/>
    <cellStyle name="Comma 5 9 5 2 3" xfId="33819" xr:uid="{331DA49D-EFBB-4EE6-8151-E2D2F838B2C0}"/>
    <cellStyle name="Comma 5 9 5 3" xfId="11915" xr:uid="{96FCB147-A4AE-44E5-8896-FA6D531A3192}"/>
    <cellStyle name="Comma 5 9 5 3 2" xfId="48423" xr:uid="{D809454D-F352-4EF0-81D5-B4D2B5B57D6B}"/>
    <cellStyle name="Comma 5 9 5 3 3" xfId="30169" xr:uid="{166D0315-DA6D-4953-91B4-67DDA5EAB1CD}"/>
    <cellStyle name="Comma 5 9 5 4" xfId="8265" xr:uid="{370E88E4-ED6B-4742-BEB6-EF1B5192FB37}"/>
    <cellStyle name="Comma 5 9 5 4 2" xfId="44773" xr:uid="{C454D432-6603-497B-A11E-CF7CE273560F}"/>
    <cellStyle name="Comma 5 9 5 4 3" xfId="26519" xr:uid="{45D2619B-2180-4643-A239-C59C9499370A}"/>
    <cellStyle name="Comma 5 9 5 5" xfId="4615" xr:uid="{507AF802-6EDE-45A4-B670-20F8490017B2}"/>
    <cellStyle name="Comma 5 9 5 5 2" xfId="41123" xr:uid="{D26BA2FD-DDF8-41FD-B683-A513B7ED56DB}"/>
    <cellStyle name="Comma 5 9 5 5 3" xfId="22869" xr:uid="{0C65A8D3-E5BE-4035-8EDD-236E8BC28F3E}"/>
    <cellStyle name="Comma 5 9 5 6" xfId="37473" xr:uid="{90FC62F0-724E-4575-A8DE-D23B50CD5F78}"/>
    <cellStyle name="Comma 5 9 5 7" xfId="19219" xr:uid="{38EDC8BF-5864-42F9-B538-802C97EAC2FA}"/>
    <cellStyle name="Comma 5 9 6" xfId="14835" xr:uid="{7CF9F7DC-2E9A-4767-9192-D2A02E0B16C4}"/>
    <cellStyle name="Comma 5 9 6 2" xfId="51343" xr:uid="{375D582B-B40C-4A24-822B-1BB4FF26DC99}"/>
    <cellStyle name="Comma 5 9 6 3" xfId="33089" xr:uid="{0DCFFED2-2EBE-4A72-9E79-4FB11E12D76F}"/>
    <cellStyle name="Comma 5 9 7" xfId="11185" xr:uid="{0205EF44-9D8B-4FF6-BCAC-D87EF921F688}"/>
    <cellStyle name="Comma 5 9 7 2" xfId="47693" xr:uid="{8AD704FD-51FF-4877-B3A8-0BFC6FD0ABD7}"/>
    <cellStyle name="Comma 5 9 7 3" xfId="29439" xr:uid="{BFD382F4-5866-438C-84CA-3C97180F9F55}"/>
    <cellStyle name="Comma 5 9 8" xfId="7535" xr:uid="{09C6938C-063F-466C-8558-F610C831E4BF}"/>
    <cellStyle name="Comma 5 9 8 2" xfId="44043" xr:uid="{22C03CE2-943B-4F12-8BD7-C403B91E4B82}"/>
    <cellStyle name="Comma 5 9 8 3" xfId="25789" xr:uid="{54F7DE2A-0AA3-4F41-90A9-31B7C17E57E3}"/>
    <cellStyle name="Comma 5 9 9" xfId="3885" xr:uid="{28299A6D-D722-45BF-ABBB-EA72B9884EBB}"/>
    <cellStyle name="Comma 5 9 9 2" xfId="40393" xr:uid="{7C9793FC-A5C3-4C06-9DFA-EABB7F796560}"/>
    <cellStyle name="Comma 5 9 9 3" xfId="22139" xr:uid="{F7396938-3495-4C58-A438-4B37BAD3334E}"/>
    <cellStyle name="Comma 6" xfId="23" xr:uid="{EFF01E05-27E9-4055-834A-9287A5BC22C3}"/>
    <cellStyle name="Comma 6 10" xfId="2955" xr:uid="{03B9035F-8EF4-4AED-A93E-1056B338D15E}"/>
    <cellStyle name="Comma 6 10 2" xfId="17555" xr:uid="{BCBE2C3B-C846-440B-A106-3086A0C77670}"/>
    <cellStyle name="Comma 6 10 2 2" xfId="54063" xr:uid="{829063B2-BB8C-42E0-853F-6439B133B229}"/>
    <cellStyle name="Comma 6 10 2 3" xfId="35809" xr:uid="{8B9FC028-9693-4F23-8133-1E412F1115C7}"/>
    <cellStyle name="Comma 6 10 3" xfId="13905" xr:uid="{75EF5534-F196-4B15-AE6C-C919F8BD32CF}"/>
    <cellStyle name="Comma 6 10 3 2" xfId="50413" xr:uid="{DFB3CD6E-5CC7-4289-AF9B-21BD18390B4E}"/>
    <cellStyle name="Comma 6 10 3 3" xfId="32159" xr:uid="{B5770F0E-3B27-4D19-A0CA-CA5864E9AB68}"/>
    <cellStyle name="Comma 6 10 4" xfId="10255" xr:uid="{8E198DB9-AEAF-42F7-B452-35F04DA3486F}"/>
    <cellStyle name="Comma 6 10 4 2" xfId="46763" xr:uid="{5127CC02-42B6-4B7B-8B1E-223FD064AE46}"/>
    <cellStyle name="Comma 6 10 4 3" xfId="28509" xr:uid="{F4905137-3450-4469-B852-EACBB1333ABF}"/>
    <cellStyle name="Comma 6 10 5" xfId="6605" xr:uid="{60F1AF66-B0D5-4BB3-A213-03108D004034}"/>
    <cellStyle name="Comma 6 10 5 2" xfId="43113" xr:uid="{BE6C6B5C-1A38-4BDA-B032-27FDE779EE00}"/>
    <cellStyle name="Comma 6 10 5 3" xfId="24859" xr:uid="{79A34E0D-DF8D-4C0F-9227-B734DF6F44F2}"/>
    <cellStyle name="Comma 6 10 6" xfId="39463" xr:uid="{4F865264-1955-4885-9577-9E72B183119C}"/>
    <cellStyle name="Comma 6 10 7" xfId="21209" xr:uid="{682B4A82-E92E-43F3-82C3-9A94BDB41943}"/>
    <cellStyle name="Comma 6 11" xfId="2225" xr:uid="{0E84736B-9EBB-4E80-9395-02FCE9375C8B}"/>
    <cellStyle name="Comma 6 11 2" xfId="16825" xr:uid="{24187005-7E75-4633-A3CF-39E5DC26763E}"/>
    <cellStyle name="Comma 6 11 2 2" xfId="53333" xr:uid="{CE065585-E1BC-4BE5-9552-917061B6F7F5}"/>
    <cellStyle name="Comma 6 11 2 3" xfId="35079" xr:uid="{F546542A-E49B-495D-9501-BBB0CEC98C70}"/>
    <cellStyle name="Comma 6 11 3" xfId="13175" xr:uid="{33668BFC-DFA7-4C28-BD00-D6A3AACCC012}"/>
    <cellStyle name="Comma 6 11 3 2" xfId="49683" xr:uid="{1B59C0A7-1672-4678-AFE9-6A4697CCDAEE}"/>
    <cellStyle name="Comma 6 11 3 3" xfId="31429" xr:uid="{42B105F8-A003-498D-9FDB-38581E537611}"/>
    <cellStyle name="Comma 6 11 4" xfId="9525" xr:uid="{5377A329-ED39-43A8-BC57-7528B371F965}"/>
    <cellStyle name="Comma 6 11 4 2" xfId="46033" xr:uid="{B3776892-7252-421A-907A-2A62EB5B545D}"/>
    <cellStyle name="Comma 6 11 4 3" xfId="27779" xr:uid="{52E013F3-F3BC-42C6-8B3D-7572D058D442}"/>
    <cellStyle name="Comma 6 11 5" xfId="5875" xr:uid="{ABD3BC46-1F23-49EB-A3A7-C9AF5B9EFA71}"/>
    <cellStyle name="Comma 6 11 5 2" xfId="42383" xr:uid="{1BABED30-F0A2-42C4-92DE-F4BDEA251504}"/>
    <cellStyle name="Comma 6 11 5 3" xfId="24129" xr:uid="{08981200-9F01-4D4E-85E5-E3AD28B0D386}"/>
    <cellStyle name="Comma 6 11 6" xfId="38733" xr:uid="{3F106300-4DD6-487A-85BB-F9C542B809BA}"/>
    <cellStyle name="Comma 6 11 7" xfId="20479" xr:uid="{3EF3CD05-DAC6-4E1B-A37B-A87C96D62C4C}"/>
    <cellStyle name="Comma 6 12" xfId="1495" xr:uid="{8A87F577-DF9F-4F89-9C97-3A01DFD6B8C0}"/>
    <cellStyle name="Comma 6 12 2" xfId="16095" xr:uid="{1DC03AD4-FE3A-4B41-B16E-AD030BBCE13F}"/>
    <cellStyle name="Comma 6 12 2 2" xfId="52603" xr:uid="{E7C6EF93-7183-47BE-8169-BE9AD1F50EC7}"/>
    <cellStyle name="Comma 6 12 2 3" xfId="34349" xr:uid="{55B3D99A-67DE-4260-A14F-B62053706F14}"/>
    <cellStyle name="Comma 6 12 3" xfId="12445" xr:uid="{42FAF248-52B4-4001-A31A-1D04E7E98FC8}"/>
    <cellStyle name="Comma 6 12 3 2" xfId="48953" xr:uid="{75D47D29-7B1B-46CD-A1DC-EAF5CF56776B}"/>
    <cellStyle name="Comma 6 12 3 3" xfId="30699" xr:uid="{F829391F-6E1E-4EB4-8CAF-48EC934E589D}"/>
    <cellStyle name="Comma 6 12 4" xfId="8795" xr:uid="{13B785F3-8F1C-485D-98E4-37470C73FCC7}"/>
    <cellStyle name="Comma 6 12 4 2" xfId="45303" xr:uid="{D6CD0315-FF9B-4CF4-A840-B1F95442B9B5}"/>
    <cellStyle name="Comma 6 12 4 3" xfId="27049" xr:uid="{04546697-84D0-4303-8B01-8B806D25CB52}"/>
    <cellStyle name="Comma 6 12 5" xfId="5145" xr:uid="{81E78230-3D96-4F36-996B-124D6617B81A}"/>
    <cellStyle name="Comma 6 12 5 2" xfId="41653" xr:uid="{17EEC489-1D68-472E-A74C-59F63835B095}"/>
    <cellStyle name="Comma 6 12 5 3" xfId="23399" xr:uid="{DEB80A8D-2409-4022-8F6D-608F9BBC8739}"/>
    <cellStyle name="Comma 6 12 6" xfId="38003" xr:uid="{F29D2E46-7FA5-4EC9-8918-FCE6E4D1D30C}"/>
    <cellStyle name="Comma 6 12 7" xfId="19749" xr:uid="{16F278BB-F9C5-45D2-9C11-D02E34E7B6FC}"/>
    <cellStyle name="Comma 6 13" xfId="765" xr:uid="{B134ECA7-B77D-42DF-8436-84D855E620E5}"/>
    <cellStyle name="Comma 6 13 2" xfId="15365" xr:uid="{298F846B-9A71-48E8-8850-432D0296B822}"/>
    <cellStyle name="Comma 6 13 2 2" xfId="51873" xr:uid="{945F8A4B-662B-47F0-ABEC-67273CAE1BAF}"/>
    <cellStyle name="Comma 6 13 2 3" xfId="33619" xr:uid="{A53098AA-CB3B-40EC-B427-81A86B1F5143}"/>
    <cellStyle name="Comma 6 13 3" xfId="11715" xr:uid="{32147AD3-8AD6-4221-82D3-3B60A56114AC}"/>
    <cellStyle name="Comma 6 13 3 2" xfId="48223" xr:uid="{F6D8231C-5318-47A8-97C2-691F537154F5}"/>
    <cellStyle name="Comma 6 13 3 3" xfId="29969" xr:uid="{AA080C47-C69F-488E-89C6-C4B2C619CC44}"/>
    <cellStyle name="Comma 6 13 4" xfId="8065" xr:uid="{771253FE-F05D-446A-8447-E0DF3B3DD5EE}"/>
    <cellStyle name="Comma 6 13 4 2" xfId="44573" xr:uid="{7E8B5789-32C2-49F1-80BF-44E3D2E1262A}"/>
    <cellStyle name="Comma 6 13 4 3" xfId="26319" xr:uid="{CD64F331-5B1A-4CFF-9C0B-BB84D40B40AF}"/>
    <cellStyle name="Comma 6 13 5" xfId="4415" xr:uid="{7EDB8B03-7691-4375-9666-499EE4B6B329}"/>
    <cellStyle name="Comma 6 13 5 2" xfId="40923" xr:uid="{9E38F598-C5E4-4C89-93FC-225EA292BE1C}"/>
    <cellStyle name="Comma 6 13 5 3" xfId="22669" xr:uid="{E97B362B-81EF-4C0A-A565-FD76BDED4D8F}"/>
    <cellStyle name="Comma 6 13 6" xfId="37273" xr:uid="{1C006EE2-A31A-44E8-86D7-CAA17648169B}"/>
    <cellStyle name="Comma 6 13 7" xfId="19019" xr:uid="{24175256-5CDB-4621-B155-580F22993871}"/>
    <cellStyle name="Comma 6 14" xfId="14635" xr:uid="{B3ACD9AD-8B65-441A-BD12-CC5F3111C0F5}"/>
    <cellStyle name="Comma 6 14 2" xfId="51143" xr:uid="{53634716-7774-46B3-8BBF-ABEF8C918F06}"/>
    <cellStyle name="Comma 6 14 3" xfId="32889" xr:uid="{A6DA589E-8F03-4983-BC57-D659FEDA9C2B}"/>
    <cellStyle name="Comma 6 15" xfId="10985" xr:uid="{6E751D2C-F0B2-493F-87FD-56C84A515688}"/>
    <cellStyle name="Comma 6 15 2" xfId="47493" xr:uid="{D1486B24-D648-4A8D-8821-00710D87B765}"/>
    <cellStyle name="Comma 6 15 3" xfId="29239" xr:uid="{4F37331A-A457-4C15-B6E2-A5B999AA7DF5}"/>
    <cellStyle name="Comma 6 16" xfId="7335" xr:uid="{81CA698D-6DA4-40FE-B89F-96EA7B172B2B}"/>
    <cellStyle name="Comma 6 16 2" xfId="43843" xr:uid="{67539802-B1A3-4600-A304-D35C1588D701}"/>
    <cellStyle name="Comma 6 16 3" xfId="25589" xr:uid="{EF044FF5-E457-4AD4-B266-313DE1AB12F2}"/>
    <cellStyle name="Comma 6 17" xfId="3685" xr:uid="{CA17A37B-2DAD-450B-A79A-4584B791D605}"/>
    <cellStyle name="Comma 6 17 2" xfId="40193" xr:uid="{20D7A63D-FB6F-4AED-9ADF-BD03920C41A7}"/>
    <cellStyle name="Comma 6 17 3" xfId="21939" xr:uid="{EEE41F1E-1812-4218-914E-DCE9BF8D4853}"/>
    <cellStyle name="Comma 6 18" xfId="36543" xr:uid="{6E5D387C-6D9E-4FDA-9E74-CB4148C2F5B9}"/>
    <cellStyle name="Comma 6 19" xfId="18289" xr:uid="{5CDA1BA2-E730-406D-BEAB-4070649F395F}"/>
    <cellStyle name="Comma 6 2" xfId="99" xr:uid="{AC157FDA-3A44-4AB7-AD4C-988DFC86CFBD}"/>
    <cellStyle name="Comma 6 2 10" xfId="1559" xr:uid="{C053ED6A-319A-4408-B4B7-495F7FAD645C}"/>
    <cellStyle name="Comma 6 2 10 2" xfId="16159" xr:uid="{AA0C925E-274B-4441-A413-7B9999A5A762}"/>
    <cellStyle name="Comma 6 2 10 2 2" xfId="52667" xr:uid="{B7FF2B5C-170B-414F-84DF-F315EE1774AD}"/>
    <cellStyle name="Comma 6 2 10 2 3" xfId="34413" xr:uid="{5A03CDFB-46AB-4B76-9744-364A8EDBA5EE}"/>
    <cellStyle name="Comma 6 2 10 3" xfId="12509" xr:uid="{800CAEC6-9FAA-4E28-810E-1F8F309FC375}"/>
    <cellStyle name="Comma 6 2 10 3 2" xfId="49017" xr:uid="{A1277CC9-D5EA-4BA5-AB3B-3CD5E2DBD746}"/>
    <cellStyle name="Comma 6 2 10 3 3" xfId="30763" xr:uid="{8C05A5ED-5312-4D75-B6C3-0C5EFF734DA1}"/>
    <cellStyle name="Comma 6 2 10 4" xfId="8859" xr:uid="{44284070-E115-4797-8083-2E5005CAF1DD}"/>
    <cellStyle name="Comma 6 2 10 4 2" xfId="45367" xr:uid="{21AAD502-4E41-447B-BD5C-5CFFC364CFF2}"/>
    <cellStyle name="Comma 6 2 10 4 3" xfId="27113" xr:uid="{2068A9FC-99A4-4515-8137-980EC07ED6A9}"/>
    <cellStyle name="Comma 6 2 10 5" xfId="5209" xr:uid="{41DAC110-56E4-44FF-9E0D-07B7C808ECF2}"/>
    <cellStyle name="Comma 6 2 10 5 2" xfId="41717" xr:uid="{60CD76D2-B4EB-489B-BB70-289DE8A0C035}"/>
    <cellStyle name="Comma 6 2 10 5 3" xfId="23463" xr:uid="{E6B747A8-004D-4BD3-86D3-FB0F479E0C8C}"/>
    <cellStyle name="Comma 6 2 10 6" xfId="38067" xr:uid="{EA422619-FA70-4EC7-88B1-F11FD79FAADC}"/>
    <cellStyle name="Comma 6 2 10 7" xfId="19813" xr:uid="{61F144D8-7A78-4826-AAD3-43DB089C61D9}"/>
    <cellStyle name="Comma 6 2 11" xfId="829" xr:uid="{A27C900D-300D-453C-B3B1-555AB999C62A}"/>
    <cellStyle name="Comma 6 2 11 2" xfId="15429" xr:uid="{23EA5591-7B8F-433A-A4EC-4434D1B2FDD6}"/>
    <cellStyle name="Comma 6 2 11 2 2" xfId="51937" xr:uid="{29DDAA8A-7BEF-45C5-8562-23DFEF4E726C}"/>
    <cellStyle name="Comma 6 2 11 2 3" xfId="33683" xr:uid="{8A0A244A-731E-4383-9B93-9A83792F9009}"/>
    <cellStyle name="Comma 6 2 11 3" xfId="11779" xr:uid="{63FA0E53-5641-46FF-8F68-D1D53E212614}"/>
    <cellStyle name="Comma 6 2 11 3 2" xfId="48287" xr:uid="{DF2DFD71-BBF5-4B5A-B916-EDB10CBD5D87}"/>
    <cellStyle name="Comma 6 2 11 3 3" xfId="30033" xr:uid="{22C4083A-90D5-49E1-980B-2256E47087C3}"/>
    <cellStyle name="Comma 6 2 11 4" xfId="8129" xr:uid="{189D3FF1-BE83-416C-88EA-055585BD819D}"/>
    <cellStyle name="Comma 6 2 11 4 2" xfId="44637" xr:uid="{CA12FE50-AD3C-4BAB-8668-5CFE3E609FEE}"/>
    <cellStyle name="Comma 6 2 11 4 3" xfId="26383" xr:uid="{56766798-D8DD-4685-B836-B1952D3FEA37}"/>
    <cellStyle name="Comma 6 2 11 5" xfId="4479" xr:uid="{18C5199A-2783-405C-A076-A290B53A4A79}"/>
    <cellStyle name="Comma 6 2 11 5 2" xfId="40987" xr:uid="{6F12630A-1ADB-4E4C-BB33-CAD83AF929A7}"/>
    <cellStyle name="Comma 6 2 11 5 3" xfId="22733" xr:uid="{F86D369D-BC5E-41F7-B277-7A38316C1B2D}"/>
    <cellStyle name="Comma 6 2 11 6" xfId="37337" xr:uid="{14EC0954-4F8B-4C8C-9391-2F477FA17D47}"/>
    <cellStyle name="Comma 6 2 11 7" xfId="19083" xr:uid="{4C36C686-3946-4EFC-95CB-0264FC3B8BC7}"/>
    <cellStyle name="Comma 6 2 12" xfId="14699" xr:uid="{8FCC41BF-81B6-4349-8C10-38AA7BE4F28D}"/>
    <cellStyle name="Comma 6 2 12 2" xfId="51207" xr:uid="{B67ABA6F-78A6-4EC1-B81E-1C4BE417BEE9}"/>
    <cellStyle name="Comma 6 2 12 3" xfId="32953" xr:uid="{3BA7F0F1-4C20-41D3-A881-09376B2E5389}"/>
    <cellStyle name="Comma 6 2 13" xfId="11049" xr:uid="{B20F0277-6E41-415B-8FE1-AE632417FF09}"/>
    <cellStyle name="Comma 6 2 13 2" xfId="47557" xr:uid="{6C3CE3A0-2BEC-41FB-9350-2687F4291814}"/>
    <cellStyle name="Comma 6 2 13 3" xfId="29303" xr:uid="{8BB028D2-ACEC-46B4-A6EA-E8AF9DA47D73}"/>
    <cellStyle name="Comma 6 2 14" xfId="7399" xr:uid="{D2CF1CFD-E7CA-4760-90C5-EAA97C2BDA4E}"/>
    <cellStyle name="Comma 6 2 14 2" xfId="43907" xr:uid="{772223FF-7892-40FA-9855-D126E97F90A1}"/>
    <cellStyle name="Comma 6 2 14 3" xfId="25653" xr:uid="{51AAD7BC-013A-457E-895B-9DEFFE28379D}"/>
    <cellStyle name="Comma 6 2 15" xfId="3749" xr:uid="{1A6E4720-2BE8-47A5-88A0-DDBDB05C80A7}"/>
    <cellStyle name="Comma 6 2 15 2" xfId="40257" xr:uid="{C8487C35-A550-47F1-BB80-BDF00C4EC9B0}"/>
    <cellStyle name="Comma 6 2 15 3" xfId="22003" xr:uid="{AFEDFDD6-6F1D-4660-816D-382BD9A60D2B}"/>
    <cellStyle name="Comma 6 2 16" xfId="36607" xr:uid="{CBD916E8-CE74-4E11-A796-F0D3664ECBBB}"/>
    <cellStyle name="Comma 6 2 17" xfId="18353" xr:uid="{EA6DBB85-C308-4E04-BBA9-F83CA7BD3628}"/>
    <cellStyle name="Comma 6 2 2" xfId="723" xr:uid="{7907D980-F73E-457D-A615-9DCCA5CD9D42}"/>
    <cellStyle name="Comma 6 2 2 10" xfId="37231" xr:uid="{F4745A4B-CCA7-486B-98ED-9A6BBB000FF4}"/>
    <cellStyle name="Comma 6 2 2 11" xfId="18977" xr:uid="{AA001051-654B-46AA-972D-8D871BD744C3}"/>
    <cellStyle name="Comma 6 2 2 2" xfId="3643" xr:uid="{9B69F6B1-3D46-4FDC-BA6E-F656285004F0}"/>
    <cellStyle name="Comma 6 2 2 2 2" xfId="18243" xr:uid="{39DED8D2-829A-4B80-821B-C369EABA27E7}"/>
    <cellStyle name="Comma 6 2 2 2 2 2" xfId="54751" xr:uid="{0F532E01-56F1-4503-825F-B49043928E8A}"/>
    <cellStyle name="Comma 6 2 2 2 2 3" xfId="36497" xr:uid="{E63855E2-3EF2-4F1F-8A88-0CF7FEDBD440}"/>
    <cellStyle name="Comma 6 2 2 2 3" xfId="14593" xr:uid="{351BE586-1ED9-4606-A54A-C2B747991518}"/>
    <cellStyle name="Comma 6 2 2 2 3 2" xfId="51101" xr:uid="{8F26CC85-11E8-4AA0-9906-2957AFFC6D5C}"/>
    <cellStyle name="Comma 6 2 2 2 3 3" xfId="32847" xr:uid="{D9AB8D33-09F0-41AF-A598-0B3E49B38C5F}"/>
    <cellStyle name="Comma 6 2 2 2 4" xfId="10943" xr:uid="{68E103C2-B8A7-478E-9099-7D127593286E}"/>
    <cellStyle name="Comma 6 2 2 2 4 2" xfId="47451" xr:uid="{C6871417-B475-4752-B78E-EEFA3E9CAEC2}"/>
    <cellStyle name="Comma 6 2 2 2 4 3" xfId="29197" xr:uid="{1E173FE6-FC1E-4EE3-BB6B-3063FA0633D3}"/>
    <cellStyle name="Comma 6 2 2 2 5" xfId="7293" xr:uid="{16337557-95CE-40D8-8C94-86C693CA29D1}"/>
    <cellStyle name="Comma 6 2 2 2 5 2" xfId="43801" xr:uid="{DFA5DAF8-D434-4A06-B2BA-A43DB938691F}"/>
    <cellStyle name="Comma 6 2 2 2 5 3" xfId="25547" xr:uid="{6D0D1F6E-CFC8-47B2-BA78-518D558E084C}"/>
    <cellStyle name="Comma 6 2 2 2 6" xfId="40151" xr:uid="{3468F2A4-ACDB-48D8-8C89-029396AFFCDE}"/>
    <cellStyle name="Comma 6 2 2 2 7" xfId="21897" xr:uid="{628EF8C5-AEC3-4E6E-910E-5D89A1906913}"/>
    <cellStyle name="Comma 6 2 2 3" xfId="2913" xr:uid="{8287D5B0-FFC2-4BCA-8087-772FB259DA35}"/>
    <cellStyle name="Comma 6 2 2 3 2" xfId="17513" xr:uid="{74F17B10-8663-487F-936F-611997ABC48B}"/>
    <cellStyle name="Comma 6 2 2 3 2 2" xfId="54021" xr:uid="{89C42C75-2E23-4FBE-81A2-AC1BFEBD69F2}"/>
    <cellStyle name="Comma 6 2 2 3 2 3" xfId="35767" xr:uid="{97A34E8D-4822-444A-8AF2-3F50EB4A2065}"/>
    <cellStyle name="Comma 6 2 2 3 3" xfId="13863" xr:uid="{F54C9D8F-621A-4153-83A7-828BC10F1168}"/>
    <cellStyle name="Comma 6 2 2 3 3 2" xfId="50371" xr:uid="{DA7227CE-17EC-4875-99F0-254F687DF06D}"/>
    <cellStyle name="Comma 6 2 2 3 3 3" xfId="32117" xr:uid="{1F4C3C1E-8994-444D-85EE-1181A12A2E1A}"/>
    <cellStyle name="Comma 6 2 2 3 4" xfId="10213" xr:uid="{BEC9D557-F058-4551-94DE-F1D7A3AD6A1F}"/>
    <cellStyle name="Comma 6 2 2 3 4 2" xfId="46721" xr:uid="{1C548B5E-18EA-4650-80E5-003F00F50DC5}"/>
    <cellStyle name="Comma 6 2 2 3 4 3" xfId="28467" xr:uid="{0073F7DD-9728-475A-94AA-5C3625E8CCD9}"/>
    <cellStyle name="Comma 6 2 2 3 5" xfId="6563" xr:uid="{7278B8F8-F032-4A0F-BE01-56A15A0EF1F1}"/>
    <cellStyle name="Comma 6 2 2 3 5 2" xfId="43071" xr:uid="{DBDA229F-4EFF-49E6-9858-4DD7C3CBCEA9}"/>
    <cellStyle name="Comma 6 2 2 3 5 3" xfId="24817" xr:uid="{A3448028-9272-47F4-A7D5-F3B1B5AC49C3}"/>
    <cellStyle name="Comma 6 2 2 3 6" xfId="39421" xr:uid="{4FC6B707-52EF-4030-B9CE-26A576793B7F}"/>
    <cellStyle name="Comma 6 2 2 3 7" xfId="21167" xr:uid="{4177F21B-5502-4CEB-8D23-2DE4B0B3731E}"/>
    <cellStyle name="Comma 6 2 2 4" xfId="2183" xr:uid="{A19F76ED-0D6B-49CB-8CC3-C50ECC398321}"/>
    <cellStyle name="Comma 6 2 2 4 2" xfId="16783" xr:uid="{79D3A689-5A3D-4455-91A3-3C99CFE2079C}"/>
    <cellStyle name="Comma 6 2 2 4 2 2" xfId="53291" xr:uid="{4A56B797-402B-407F-B6FB-E6F81401E567}"/>
    <cellStyle name="Comma 6 2 2 4 2 3" xfId="35037" xr:uid="{9C2E4EE5-91CF-451F-A362-797824F88EA2}"/>
    <cellStyle name="Comma 6 2 2 4 3" xfId="13133" xr:uid="{3E1E1FE3-B5F8-4543-84FA-80C7FD57F004}"/>
    <cellStyle name="Comma 6 2 2 4 3 2" xfId="49641" xr:uid="{F92C5E0B-D69B-4A04-B618-E831AE28A694}"/>
    <cellStyle name="Comma 6 2 2 4 3 3" xfId="31387" xr:uid="{37654381-B1CB-429F-8A21-B17179AE6BA9}"/>
    <cellStyle name="Comma 6 2 2 4 4" xfId="9483" xr:uid="{F72575FA-A29A-4A6D-8869-5EB78B1D5919}"/>
    <cellStyle name="Comma 6 2 2 4 4 2" xfId="45991" xr:uid="{B257D5C1-10AC-48A5-BF0E-554598D0DD65}"/>
    <cellStyle name="Comma 6 2 2 4 4 3" xfId="27737" xr:uid="{E96DB9D3-0ABD-49BD-9009-200B83D4F65B}"/>
    <cellStyle name="Comma 6 2 2 4 5" xfId="5833" xr:uid="{B1E98596-97DC-49EB-9F28-1C0A9DFAAE00}"/>
    <cellStyle name="Comma 6 2 2 4 5 2" xfId="42341" xr:uid="{44EBE009-71F3-4CC2-877B-82327701C5DC}"/>
    <cellStyle name="Comma 6 2 2 4 5 3" xfId="24087" xr:uid="{851D802C-BD2E-497E-83EA-E4DD356F0397}"/>
    <cellStyle name="Comma 6 2 2 4 6" xfId="38691" xr:uid="{6ED90C7F-A07A-47E3-8E05-C0ECB9E90A63}"/>
    <cellStyle name="Comma 6 2 2 4 7" xfId="20437" xr:uid="{AD22B6CD-6536-4075-AB93-B60F1C1E7710}"/>
    <cellStyle name="Comma 6 2 2 5" xfId="1453" xr:uid="{61A0D401-5ED8-4DB0-A013-1EBC120EC218}"/>
    <cellStyle name="Comma 6 2 2 5 2" xfId="16053" xr:uid="{4CC30E9F-32E3-41C1-B99D-84BACB734C86}"/>
    <cellStyle name="Comma 6 2 2 5 2 2" xfId="52561" xr:uid="{F36D57D1-CCC1-41F8-8548-B3A1CB4C2009}"/>
    <cellStyle name="Comma 6 2 2 5 2 3" xfId="34307" xr:uid="{D9C36E8F-3936-480A-B63E-5F5932B7DB40}"/>
    <cellStyle name="Comma 6 2 2 5 3" xfId="12403" xr:uid="{5351B8F7-BF21-4591-BCA3-42516324BEA9}"/>
    <cellStyle name="Comma 6 2 2 5 3 2" xfId="48911" xr:uid="{090CE4EB-A42A-4C5C-9206-6D7C7A47EF56}"/>
    <cellStyle name="Comma 6 2 2 5 3 3" xfId="30657" xr:uid="{77B84F6D-380D-44E7-92A0-610B5C854C3C}"/>
    <cellStyle name="Comma 6 2 2 5 4" xfId="8753" xr:uid="{069B4CC9-CEA3-46D9-ADF7-5C389F2811FA}"/>
    <cellStyle name="Comma 6 2 2 5 4 2" xfId="45261" xr:uid="{1607C7AC-9FA1-4A6F-B0F5-4C41AE2A0330}"/>
    <cellStyle name="Comma 6 2 2 5 4 3" xfId="27007" xr:uid="{E3809446-E145-47DF-8708-2152DFD98EB6}"/>
    <cellStyle name="Comma 6 2 2 5 5" xfId="5103" xr:uid="{11257D2A-AC19-4E17-94A0-D304458DBAEF}"/>
    <cellStyle name="Comma 6 2 2 5 5 2" xfId="41611" xr:uid="{7F6B8D60-DB7E-431D-A031-AA5811C03376}"/>
    <cellStyle name="Comma 6 2 2 5 5 3" xfId="23357" xr:uid="{5EB2CAF9-D6FC-4680-A0E0-F425CCC41118}"/>
    <cellStyle name="Comma 6 2 2 5 6" xfId="37961" xr:uid="{4098DB1B-BDC7-46EC-9DEE-2D7D91A9961B}"/>
    <cellStyle name="Comma 6 2 2 5 7" xfId="19707" xr:uid="{C8F0380C-CAF3-4C29-92A1-6CC7FC8D0106}"/>
    <cellStyle name="Comma 6 2 2 6" xfId="15323" xr:uid="{71C610E6-5D6F-4FB5-8892-D82C73F7D96A}"/>
    <cellStyle name="Comma 6 2 2 6 2" xfId="51831" xr:uid="{E4659285-7D7F-4DC8-B873-B2DD2E92B14E}"/>
    <cellStyle name="Comma 6 2 2 6 3" xfId="33577" xr:uid="{95DA5FED-D689-4D89-9C43-A3A1DD306407}"/>
    <cellStyle name="Comma 6 2 2 7" xfId="11673" xr:uid="{D4D6008E-2D49-4755-8618-21A21EA8970E}"/>
    <cellStyle name="Comma 6 2 2 7 2" xfId="48181" xr:uid="{B7FB9F15-663F-42A4-9EB5-12BB9CEDC6FD}"/>
    <cellStyle name="Comma 6 2 2 7 3" xfId="29927" xr:uid="{1F1849D1-9DC0-4501-8AD3-7E2FB5A1FD1D}"/>
    <cellStyle name="Comma 6 2 2 8" xfId="8023" xr:uid="{6E797AEA-B8F8-4E08-AF8D-C034D05034C8}"/>
    <cellStyle name="Comma 6 2 2 8 2" xfId="44531" xr:uid="{45C35203-ACEF-4273-8E8A-486EE8AF243F}"/>
    <cellStyle name="Comma 6 2 2 8 3" xfId="26277" xr:uid="{BD920770-D756-47A2-A0DB-E009E4BD507C}"/>
    <cellStyle name="Comma 6 2 2 9" xfId="4373" xr:uid="{744FE21C-1975-4D27-BAE7-24BD827E49B2}"/>
    <cellStyle name="Comma 6 2 2 9 2" xfId="40881" xr:uid="{DE392D7B-D196-41BB-8BC9-D4DC4B8D9D1E}"/>
    <cellStyle name="Comma 6 2 2 9 3" xfId="22627" xr:uid="{DF0B2A57-A596-49FE-B8C3-F38568B1A881}"/>
    <cellStyle name="Comma 6 2 3" xfId="619" xr:uid="{290195A9-2135-419C-9185-A48A8C91BC7B}"/>
    <cellStyle name="Comma 6 2 3 10" xfId="37127" xr:uid="{68FE7A02-5578-403A-A594-3C5551548D86}"/>
    <cellStyle name="Comma 6 2 3 11" xfId="18873" xr:uid="{1B12F73B-9A6D-419F-9B63-B5AC44517715}"/>
    <cellStyle name="Comma 6 2 3 2" xfId="3539" xr:uid="{2BA7E212-D748-4A5A-9816-170BBE95F176}"/>
    <cellStyle name="Comma 6 2 3 2 2" xfId="18139" xr:uid="{DF6CCA23-3A69-4DD3-902A-82CD971529D2}"/>
    <cellStyle name="Comma 6 2 3 2 2 2" xfId="54647" xr:uid="{0D71D5E1-920A-40FD-849F-7CBDA6F49294}"/>
    <cellStyle name="Comma 6 2 3 2 2 3" xfId="36393" xr:uid="{6C40B708-7C7C-42DC-996F-0D8B7CD0B799}"/>
    <cellStyle name="Comma 6 2 3 2 3" xfId="14489" xr:uid="{9E3D994F-0F28-43AF-85A1-F5F348AF372B}"/>
    <cellStyle name="Comma 6 2 3 2 3 2" xfId="50997" xr:uid="{703B9AE9-0C9B-4DDB-BBE0-EE82CA996D6C}"/>
    <cellStyle name="Comma 6 2 3 2 3 3" xfId="32743" xr:uid="{0A2E788F-ACE1-42CC-B412-965731F5B523}"/>
    <cellStyle name="Comma 6 2 3 2 4" xfId="10839" xr:uid="{49D0CB06-88F2-4CBC-BE0B-A19F5881603A}"/>
    <cellStyle name="Comma 6 2 3 2 4 2" xfId="47347" xr:uid="{40F4DC91-A45F-4A35-8EB9-32F3A25A7FF1}"/>
    <cellStyle name="Comma 6 2 3 2 4 3" xfId="29093" xr:uid="{DF041827-381A-4A56-ACDC-01A0867F1B0D}"/>
    <cellStyle name="Comma 6 2 3 2 5" xfId="7189" xr:uid="{7C3FF5F7-4F62-4BB6-811C-E10EA2F160B5}"/>
    <cellStyle name="Comma 6 2 3 2 5 2" xfId="43697" xr:uid="{FAA9FDA8-FFFA-4FFB-AC78-D338F03E0EB5}"/>
    <cellStyle name="Comma 6 2 3 2 5 3" xfId="25443" xr:uid="{8F0FB9A9-1A0E-4DF9-8AD5-6D63F8D7A4CE}"/>
    <cellStyle name="Comma 6 2 3 2 6" xfId="40047" xr:uid="{184E98B0-6453-4DF8-85E1-63198F1A7DF2}"/>
    <cellStyle name="Comma 6 2 3 2 7" xfId="21793" xr:uid="{8613BED8-F8B1-4186-9CF5-EDC9875EBC39}"/>
    <cellStyle name="Comma 6 2 3 3" xfId="2809" xr:uid="{2DFF70A6-39C5-4973-8E7D-E1F7B790E9F1}"/>
    <cellStyle name="Comma 6 2 3 3 2" xfId="17409" xr:uid="{803153D0-09DD-472F-B5F7-F134A42B07CB}"/>
    <cellStyle name="Comma 6 2 3 3 2 2" xfId="53917" xr:uid="{3E66610B-D0FC-48A5-B13E-553D5A8B5B09}"/>
    <cellStyle name="Comma 6 2 3 3 2 3" xfId="35663" xr:uid="{D3D3A2C0-E41D-4350-958E-275EFAE2F9B7}"/>
    <cellStyle name="Comma 6 2 3 3 3" xfId="13759" xr:uid="{9B77250B-8D01-4FD3-8740-D19A4383A58D}"/>
    <cellStyle name="Comma 6 2 3 3 3 2" xfId="50267" xr:uid="{D1325CEC-D60F-4C98-BED9-9A7377501F0E}"/>
    <cellStyle name="Comma 6 2 3 3 3 3" xfId="32013" xr:uid="{E4A5FEC0-F842-4B0F-B881-15FCCCAE38B7}"/>
    <cellStyle name="Comma 6 2 3 3 4" xfId="10109" xr:uid="{3C5FC1E6-ACCD-48E4-9FAC-A09F5D2B60B1}"/>
    <cellStyle name="Comma 6 2 3 3 4 2" xfId="46617" xr:uid="{51DD3B21-1302-4FA5-B884-0010BA114FAC}"/>
    <cellStyle name="Comma 6 2 3 3 4 3" xfId="28363" xr:uid="{C67A52A0-D9CD-4419-89E5-B790604E79A4}"/>
    <cellStyle name="Comma 6 2 3 3 5" xfId="6459" xr:uid="{187723FC-0CE8-4497-971E-9242D7BFE15F}"/>
    <cellStyle name="Comma 6 2 3 3 5 2" xfId="42967" xr:uid="{04F4F6EE-A871-48B0-BC64-DCC1A3876370}"/>
    <cellStyle name="Comma 6 2 3 3 5 3" xfId="24713" xr:uid="{EE8E8882-3259-4536-8768-27867A720527}"/>
    <cellStyle name="Comma 6 2 3 3 6" xfId="39317" xr:uid="{D7B9E117-ED3B-49C2-936F-C517E4C01739}"/>
    <cellStyle name="Comma 6 2 3 3 7" xfId="21063" xr:uid="{CF0828F4-A74F-4769-B816-A07B0B65D160}"/>
    <cellStyle name="Comma 6 2 3 4" xfId="2079" xr:uid="{C536057C-6046-424D-A9B8-09938054D84F}"/>
    <cellStyle name="Comma 6 2 3 4 2" xfId="16679" xr:uid="{E78E5378-9109-47CB-95DA-B7A7E5FBB57F}"/>
    <cellStyle name="Comma 6 2 3 4 2 2" xfId="53187" xr:uid="{7B8247BC-118F-4CBE-B9F8-3AB7FFBEFD36}"/>
    <cellStyle name="Comma 6 2 3 4 2 3" xfId="34933" xr:uid="{A655A1B0-0E0A-423F-BF98-5C31DD5ED495}"/>
    <cellStyle name="Comma 6 2 3 4 3" xfId="13029" xr:uid="{5D1DB844-865D-4A76-A5D7-3251FB1A42D7}"/>
    <cellStyle name="Comma 6 2 3 4 3 2" xfId="49537" xr:uid="{1D1E0F7C-7F75-45E8-988C-990DB7825236}"/>
    <cellStyle name="Comma 6 2 3 4 3 3" xfId="31283" xr:uid="{76E95B43-EEF3-43D9-A0BD-1B086FD0F1FC}"/>
    <cellStyle name="Comma 6 2 3 4 4" xfId="9379" xr:uid="{6902F1E0-DAAD-479F-AF4B-443ACD625865}"/>
    <cellStyle name="Comma 6 2 3 4 4 2" xfId="45887" xr:uid="{9557868E-2EE9-457B-B502-6385839F7A20}"/>
    <cellStyle name="Comma 6 2 3 4 4 3" xfId="27633" xr:uid="{B1C5FFAB-B808-4519-8CC3-0DB3A9AF3B4B}"/>
    <cellStyle name="Comma 6 2 3 4 5" xfId="5729" xr:uid="{9C65C26C-73D3-49F4-862B-D0CAA9D88BE3}"/>
    <cellStyle name="Comma 6 2 3 4 5 2" xfId="42237" xr:uid="{A04D1F75-73E9-4C1F-B8D7-3FF3578D242C}"/>
    <cellStyle name="Comma 6 2 3 4 5 3" xfId="23983" xr:uid="{49131DD6-C68D-4954-9D2F-0EAB259BC9CF}"/>
    <cellStyle name="Comma 6 2 3 4 6" xfId="38587" xr:uid="{0973930E-3906-4E38-8851-9383C4680DC3}"/>
    <cellStyle name="Comma 6 2 3 4 7" xfId="20333" xr:uid="{16ABDBF5-1C40-45BC-ADB9-8BF6DEE5747C}"/>
    <cellStyle name="Comma 6 2 3 5" xfId="1349" xr:uid="{A4E72AF9-7711-4AFA-B443-B39DC05FE034}"/>
    <cellStyle name="Comma 6 2 3 5 2" xfId="15949" xr:uid="{578401FD-2248-41DF-BD78-56BB002E4CC1}"/>
    <cellStyle name="Comma 6 2 3 5 2 2" xfId="52457" xr:uid="{8CA28425-56B1-47F9-B4F4-1442C5787613}"/>
    <cellStyle name="Comma 6 2 3 5 2 3" xfId="34203" xr:uid="{CF570565-C51A-442E-A7E8-31F4C522F932}"/>
    <cellStyle name="Comma 6 2 3 5 3" xfId="12299" xr:uid="{D0ACA63A-BB78-4FC0-8883-D28F432BBFF1}"/>
    <cellStyle name="Comma 6 2 3 5 3 2" xfId="48807" xr:uid="{7ABD5104-6798-4D1F-A23E-FEEC860FCC81}"/>
    <cellStyle name="Comma 6 2 3 5 3 3" xfId="30553" xr:uid="{A79A5CE0-34F5-4F3B-8DFF-5E53FC82F7AA}"/>
    <cellStyle name="Comma 6 2 3 5 4" xfId="8649" xr:uid="{F5F7DA13-1D8D-4054-BE75-9F5791C591BE}"/>
    <cellStyle name="Comma 6 2 3 5 4 2" xfId="45157" xr:uid="{517E8278-48EC-425B-AC45-E072178D4174}"/>
    <cellStyle name="Comma 6 2 3 5 4 3" xfId="26903" xr:uid="{AF5420E1-24D2-4DF2-BC49-6AD7EA8A5EE7}"/>
    <cellStyle name="Comma 6 2 3 5 5" xfId="4999" xr:uid="{523018CC-1AEF-4CF9-AABC-16C4AB28AFF6}"/>
    <cellStyle name="Comma 6 2 3 5 5 2" xfId="41507" xr:uid="{8058E35A-8B3E-4BD7-AABE-7C690D445A52}"/>
    <cellStyle name="Comma 6 2 3 5 5 3" xfId="23253" xr:uid="{A4A8BFEA-DC4B-4548-96CC-6458BF851E20}"/>
    <cellStyle name="Comma 6 2 3 5 6" xfId="37857" xr:uid="{E5A15DE2-98B2-4213-9DBC-3CDA4A78BD38}"/>
    <cellStyle name="Comma 6 2 3 5 7" xfId="19603" xr:uid="{74679A5C-812A-42AA-9479-1D40419AFC61}"/>
    <cellStyle name="Comma 6 2 3 6" xfId="15219" xr:uid="{04F022A7-920A-4FE1-8E51-B4D017E99444}"/>
    <cellStyle name="Comma 6 2 3 6 2" xfId="51727" xr:uid="{2EB10267-C268-4075-8D8F-D3D96E543654}"/>
    <cellStyle name="Comma 6 2 3 6 3" xfId="33473" xr:uid="{21866B8E-3CED-4DC2-970E-36550B39AA47}"/>
    <cellStyle name="Comma 6 2 3 7" xfId="11569" xr:uid="{48AF9047-B2E1-4DFE-8A49-399360C76F01}"/>
    <cellStyle name="Comma 6 2 3 7 2" xfId="48077" xr:uid="{B255F0AA-B6F9-4745-AF68-8D8E043E57E6}"/>
    <cellStyle name="Comma 6 2 3 7 3" xfId="29823" xr:uid="{6C4CA511-BCB8-49A2-985F-5D6F835D3BB2}"/>
    <cellStyle name="Comma 6 2 3 8" xfId="7919" xr:uid="{4E71D247-3C00-4118-8A1B-A67E67DAE038}"/>
    <cellStyle name="Comma 6 2 3 8 2" xfId="44427" xr:uid="{4D9381BA-1E8D-4710-9A1F-9E8640C93950}"/>
    <cellStyle name="Comma 6 2 3 8 3" xfId="26173" xr:uid="{0A0F9C24-946D-4316-9463-1E39C3C715D2}"/>
    <cellStyle name="Comma 6 2 3 9" xfId="4269" xr:uid="{9AE3E041-D09F-4BF1-B693-C02C1AE21136}"/>
    <cellStyle name="Comma 6 2 3 9 2" xfId="40777" xr:uid="{11497B13-1FC9-40C7-967E-E47C49B1B643}"/>
    <cellStyle name="Comma 6 2 3 9 3" xfId="22523" xr:uid="{AEF15C2C-4369-4B08-A11A-7309E5AF05A6}"/>
    <cellStyle name="Comma 6 2 4" xfId="515" xr:uid="{9703995B-46A1-4C5A-944B-5B2A471074F8}"/>
    <cellStyle name="Comma 6 2 4 10" xfId="37023" xr:uid="{1D19C6DE-EBAF-4A63-A1B5-AAD4F5C378FB}"/>
    <cellStyle name="Comma 6 2 4 11" xfId="18769" xr:uid="{866BDE22-F8D1-4742-87D7-0636A158C72A}"/>
    <cellStyle name="Comma 6 2 4 2" xfId="3435" xr:uid="{04AD25EB-4C92-4CC2-98AC-31A94415E83C}"/>
    <cellStyle name="Comma 6 2 4 2 2" xfId="18035" xr:uid="{24BD329A-50C1-4AFE-8101-0C3B7647553E}"/>
    <cellStyle name="Comma 6 2 4 2 2 2" xfId="54543" xr:uid="{5DD79945-FD38-4CDF-8BFD-865C1470BFE9}"/>
    <cellStyle name="Comma 6 2 4 2 2 3" xfId="36289" xr:uid="{08530B17-AC57-4631-8299-E5F8BB9345E5}"/>
    <cellStyle name="Comma 6 2 4 2 3" xfId="14385" xr:uid="{BE479804-7659-4AC1-A0B7-3E58118BF29D}"/>
    <cellStyle name="Comma 6 2 4 2 3 2" xfId="50893" xr:uid="{652D3D8E-CD3E-459C-96AE-AF4EEC56387C}"/>
    <cellStyle name="Comma 6 2 4 2 3 3" xfId="32639" xr:uid="{401B3E80-EDFA-48D2-86D2-3E51851666AF}"/>
    <cellStyle name="Comma 6 2 4 2 4" xfId="10735" xr:uid="{84805937-AA33-4754-A9B6-F26BC6C7C747}"/>
    <cellStyle name="Comma 6 2 4 2 4 2" xfId="47243" xr:uid="{6EC95002-1552-4904-A940-30CFA3EB89D0}"/>
    <cellStyle name="Comma 6 2 4 2 4 3" xfId="28989" xr:uid="{1A037A91-7360-483E-9115-BFEF1E520AFF}"/>
    <cellStyle name="Comma 6 2 4 2 5" xfId="7085" xr:uid="{9EE7766A-B0DD-4B28-B116-CF05991123F7}"/>
    <cellStyle name="Comma 6 2 4 2 5 2" xfId="43593" xr:uid="{8F4461F0-0BEE-449D-A948-3F60E083CF9F}"/>
    <cellStyle name="Comma 6 2 4 2 5 3" xfId="25339" xr:uid="{4FB24B0E-8208-4826-9921-A2123F58F447}"/>
    <cellStyle name="Comma 6 2 4 2 6" xfId="39943" xr:uid="{AA70A5D9-F3F7-436A-AF3A-8FECE5BF1130}"/>
    <cellStyle name="Comma 6 2 4 2 7" xfId="21689" xr:uid="{28014D8E-5637-45C9-BC9E-F15F8350570E}"/>
    <cellStyle name="Comma 6 2 4 3" xfId="2705" xr:uid="{6FC7968D-1A6A-440D-9C13-3C35D144B559}"/>
    <cellStyle name="Comma 6 2 4 3 2" xfId="17305" xr:uid="{9E19A9E1-E503-47F2-A2AC-08238AF753C8}"/>
    <cellStyle name="Comma 6 2 4 3 2 2" xfId="53813" xr:uid="{E7957D9F-12FD-4612-AD22-95A3367E0A7C}"/>
    <cellStyle name="Comma 6 2 4 3 2 3" xfId="35559" xr:uid="{D36978EB-A095-4532-BF7B-E421BDC34150}"/>
    <cellStyle name="Comma 6 2 4 3 3" xfId="13655" xr:uid="{4B513AB4-478D-4E25-AA5C-40A7E2A8C23D}"/>
    <cellStyle name="Comma 6 2 4 3 3 2" xfId="50163" xr:uid="{7E17277B-1810-409D-B19F-F79AB8D003BA}"/>
    <cellStyle name="Comma 6 2 4 3 3 3" xfId="31909" xr:uid="{FAF55704-0B14-4B81-BB92-AB5AE2B17F1C}"/>
    <cellStyle name="Comma 6 2 4 3 4" xfId="10005" xr:uid="{C90793BC-E6A7-4E8C-B932-5B4FA45769FD}"/>
    <cellStyle name="Comma 6 2 4 3 4 2" xfId="46513" xr:uid="{8778BDEB-855C-4B06-AF2A-411FF179417B}"/>
    <cellStyle name="Comma 6 2 4 3 4 3" xfId="28259" xr:uid="{31E63677-9398-4A59-96FF-D946CD9A7753}"/>
    <cellStyle name="Comma 6 2 4 3 5" xfId="6355" xr:uid="{55C651D0-DCA7-43A5-8A23-43B2C67A9981}"/>
    <cellStyle name="Comma 6 2 4 3 5 2" xfId="42863" xr:uid="{C19830EE-06E6-47D8-A0C3-F41173C7B1B2}"/>
    <cellStyle name="Comma 6 2 4 3 5 3" xfId="24609" xr:uid="{92D2200E-B0A5-4233-82D9-6C4A50452BCE}"/>
    <cellStyle name="Comma 6 2 4 3 6" xfId="39213" xr:uid="{BB9E48D8-DA01-4C04-BF65-F8CC1488CCAB}"/>
    <cellStyle name="Comma 6 2 4 3 7" xfId="20959" xr:uid="{B86A3929-6091-46C3-8713-CACC1AB76CFE}"/>
    <cellStyle name="Comma 6 2 4 4" xfId="1975" xr:uid="{0E1F42B1-71F8-4C2D-A64C-A46D5022323C}"/>
    <cellStyle name="Comma 6 2 4 4 2" xfId="16575" xr:uid="{C663429B-822E-4D49-8858-71FC0ED9FC81}"/>
    <cellStyle name="Comma 6 2 4 4 2 2" xfId="53083" xr:uid="{8DEC7779-BB88-4417-B743-E7883ED7DE33}"/>
    <cellStyle name="Comma 6 2 4 4 2 3" xfId="34829" xr:uid="{BBA89AC6-F930-4C4B-9204-D8D91442E094}"/>
    <cellStyle name="Comma 6 2 4 4 3" xfId="12925" xr:uid="{FD0B3E9C-BA1F-4125-9399-C14F5ADDCE67}"/>
    <cellStyle name="Comma 6 2 4 4 3 2" xfId="49433" xr:uid="{4559386E-6816-41A6-B61A-5067D51D9E0A}"/>
    <cellStyle name="Comma 6 2 4 4 3 3" xfId="31179" xr:uid="{5D690722-1FE6-4A9C-836F-E72E80C64742}"/>
    <cellStyle name="Comma 6 2 4 4 4" xfId="9275" xr:uid="{6FBF1DFF-73D7-456B-8096-2974712B6876}"/>
    <cellStyle name="Comma 6 2 4 4 4 2" xfId="45783" xr:uid="{30FE4E89-11AE-4254-AFE6-2220B58CDC40}"/>
    <cellStyle name="Comma 6 2 4 4 4 3" xfId="27529" xr:uid="{4C5BFF03-005C-4D56-AF71-7690FA2495CA}"/>
    <cellStyle name="Comma 6 2 4 4 5" xfId="5625" xr:uid="{51DA1E3C-6C9B-480C-855C-7C667FA6E9C9}"/>
    <cellStyle name="Comma 6 2 4 4 5 2" xfId="42133" xr:uid="{43C6DC6A-A913-497C-BE90-A542904A3D1E}"/>
    <cellStyle name="Comma 6 2 4 4 5 3" xfId="23879" xr:uid="{1DE0D99B-E22F-44B7-993C-EFEB45723D40}"/>
    <cellStyle name="Comma 6 2 4 4 6" xfId="38483" xr:uid="{BFE63431-CDE2-464B-84E2-F26A33AD7004}"/>
    <cellStyle name="Comma 6 2 4 4 7" xfId="20229" xr:uid="{FBA8F251-5E48-46E7-A5AC-D8BBAD4B9C1B}"/>
    <cellStyle name="Comma 6 2 4 5" xfId="1245" xr:uid="{ED499D58-F485-49FA-BB08-458C7A11098E}"/>
    <cellStyle name="Comma 6 2 4 5 2" xfId="15845" xr:uid="{18E8AD24-075E-467E-B6FF-0CCC8643FCDB}"/>
    <cellStyle name="Comma 6 2 4 5 2 2" xfId="52353" xr:uid="{91CE2141-B6C0-44CB-986C-7536CFEFC6C4}"/>
    <cellStyle name="Comma 6 2 4 5 2 3" xfId="34099" xr:uid="{97132A37-F9AB-486B-969C-839A65C128FD}"/>
    <cellStyle name="Comma 6 2 4 5 3" xfId="12195" xr:uid="{3FE6C2CB-28BC-4F9F-8515-01DED2D7C5CC}"/>
    <cellStyle name="Comma 6 2 4 5 3 2" xfId="48703" xr:uid="{58E6459C-BF13-4155-A351-63D3E64A5381}"/>
    <cellStyle name="Comma 6 2 4 5 3 3" xfId="30449" xr:uid="{232983C8-8812-4F90-A632-AC999C8727AE}"/>
    <cellStyle name="Comma 6 2 4 5 4" xfId="8545" xr:uid="{DCD6A2A0-7C27-4DDA-82B7-75F962D69AD5}"/>
    <cellStyle name="Comma 6 2 4 5 4 2" xfId="45053" xr:uid="{44A70424-0D24-4603-A09B-1348493325E3}"/>
    <cellStyle name="Comma 6 2 4 5 4 3" xfId="26799" xr:uid="{D3ACE16E-CA32-4543-8699-C7F953BEA638}"/>
    <cellStyle name="Comma 6 2 4 5 5" xfId="4895" xr:uid="{9586032C-5F92-44DF-8A52-062A022EC24F}"/>
    <cellStyle name="Comma 6 2 4 5 5 2" xfId="41403" xr:uid="{1BB37A8A-DA45-491B-8C11-1657C16AD10A}"/>
    <cellStyle name="Comma 6 2 4 5 5 3" xfId="23149" xr:uid="{9D74929D-D81B-455F-B2D2-31251B304CEC}"/>
    <cellStyle name="Comma 6 2 4 5 6" xfId="37753" xr:uid="{F757F3B3-9A7A-427B-84F9-405FDDB45B96}"/>
    <cellStyle name="Comma 6 2 4 5 7" xfId="19499" xr:uid="{9DF343D3-FB5B-4E8B-AA7D-CA83F9E7C425}"/>
    <cellStyle name="Comma 6 2 4 6" xfId="15115" xr:uid="{1A12BD6E-524C-45BD-83B0-DF268886012B}"/>
    <cellStyle name="Comma 6 2 4 6 2" xfId="51623" xr:uid="{CA106B63-5F12-4FA3-8FAE-BFD5A101A772}"/>
    <cellStyle name="Comma 6 2 4 6 3" xfId="33369" xr:uid="{1BA12003-C786-4C18-94FD-8046ABEAEA33}"/>
    <cellStyle name="Comma 6 2 4 7" xfId="11465" xr:uid="{8433DC33-74BC-4907-BFD0-F845A593197B}"/>
    <cellStyle name="Comma 6 2 4 7 2" xfId="47973" xr:uid="{DC5215CD-F88A-4855-B037-C8D86A7F17B0}"/>
    <cellStyle name="Comma 6 2 4 7 3" xfId="29719" xr:uid="{0976B68A-70A6-4D0B-8460-1C1164E1F1E5}"/>
    <cellStyle name="Comma 6 2 4 8" xfId="7815" xr:uid="{743A9CAE-BCF4-466F-A943-A236E2B1B6BE}"/>
    <cellStyle name="Comma 6 2 4 8 2" xfId="44323" xr:uid="{F7AE5FE4-6362-48FA-A992-865ED3D972BC}"/>
    <cellStyle name="Comma 6 2 4 8 3" xfId="26069" xr:uid="{6ED4048D-92A0-4BB9-88A2-E3B5BD910126}"/>
    <cellStyle name="Comma 6 2 4 9" xfId="4165" xr:uid="{E88FD842-3490-44C9-A423-91EB9FF311CB}"/>
    <cellStyle name="Comma 6 2 4 9 2" xfId="40673" xr:uid="{6B0D5489-817E-4459-A497-4445B9139582}"/>
    <cellStyle name="Comma 6 2 4 9 3" xfId="22419" xr:uid="{D756FFB2-B479-41D0-A590-FA10096BE97B}"/>
    <cellStyle name="Comma 6 2 5" xfId="411" xr:uid="{F2D1DE42-6030-4E3D-8A1F-F544CE95C5B7}"/>
    <cellStyle name="Comma 6 2 5 10" xfId="36919" xr:uid="{8E751804-A709-4823-8876-443CE8B209BE}"/>
    <cellStyle name="Comma 6 2 5 11" xfId="18665" xr:uid="{70DC31A8-13F4-4336-9C48-E19C910307F2}"/>
    <cellStyle name="Comma 6 2 5 2" xfId="3331" xr:uid="{619E224D-7784-450C-ACF4-C1BC21CBBDE9}"/>
    <cellStyle name="Comma 6 2 5 2 2" xfId="17931" xr:uid="{CBEBE529-3589-4CF3-A0F3-C13B83D3A778}"/>
    <cellStyle name="Comma 6 2 5 2 2 2" xfId="54439" xr:uid="{A60DF152-6E09-4FD7-AA04-A9B65DB0439E}"/>
    <cellStyle name="Comma 6 2 5 2 2 3" xfId="36185" xr:uid="{E62FDB4A-7123-4569-9E4F-493C6AF4F938}"/>
    <cellStyle name="Comma 6 2 5 2 3" xfId="14281" xr:uid="{8AEAA5F2-9A1F-4220-B0E7-A4D3F57199DC}"/>
    <cellStyle name="Comma 6 2 5 2 3 2" xfId="50789" xr:uid="{97037272-8DD5-4DE9-B9FA-7FEEF28673D3}"/>
    <cellStyle name="Comma 6 2 5 2 3 3" xfId="32535" xr:uid="{947DC5A0-4A00-4D8E-BBBB-D38F61C59B0F}"/>
    <cellStyle name="Comma 6 2 5 2 4" xfId="10631" xr:uid="{B820D7E6-F155-41AB-AA92-83FB986FFF8A}"/>
    <cellStyle name="Comma 6 2 5 2 4 2" xfId="47139" xr:uid="{2D62AE0C-E0B4-47AA-9AD5-4614C2DF7B55}"/>
    <cellStyle name="Comma 6 2 5 2 4 3" xfId="28885" xr:uid="{34B2426A-DEA7-4FCA-8BFC-3751A31233BC}"/>
    <cellStyle name="Comma 6 2 5 2 5" xfId="6981" xr:uid="{1A398F11-5B0A-41B2-B174-008D1A810A58}"/>
    <cellStyle name="Comma 6 2 5 2 5 2" xfId="43489" xr:uid="{03D100F2-4700-43B0-844D-2777192DBB60}"/>
    <cellStyle name="Comma 6 2 5 2 5 3" xfId="25235" xr:uid="{488DDEE3-2FA2-401F-B2F5-9D29976907DC}"/>
    <cellStyle name="Comma 6 2 5 2 6" xfId="39839" xr:uid="{AECC7D59-22A4-4F91-A747-338AF4A508F4}"/>
    <cellStyle name="Comma 6 2 5 2 7" xfId="21585" xr:uid="{B1AAC847-FD12-41D2-B601-7B2BD2499C5D}"/>
    <cellStyle name="Comma 6 2 5 3" xfId="2601" xr:uid="{FA480FC0-7A14-4C02-8BEB-0C4C2111AFEC}"/>
    <cellStyle name="Comma 6 2 5 3 2" xfId="17201" xr:uid="{745EFA13-15B4-4EE8-B68C-EA6C8450E634}"/>
    <cellStyle name="Comma 6 2 5 3 2 2" xfId="53709" xr:uid="{42BFC04D-87C4-4BBF-A81F-4A8E7EE3EA63}"/>
    <cellStyle name="Comma 6 2 5 3 2 3" xfId="35455" xr:uid="{439A18F1-538F-45CD-96AB-9F8C35693C07}"/>
    <cellStyle name="Comma 6 2 5 3 3" xfId="13551" xr:uid="{205FB485-EABB-4F17-9AAA-90C9AEA1189A}"/>
    <cellStyle name="Comma 6 2 5 3 3 2" xfId="50059" xr:uid="{37AC6129-79F5-4C92-A309-5FD848F0C59B}"/>
    <cellStyle name="Comma 6 2 5 3 3 3" xfId="31805" xr:uid="{F24A8FE8-8463-4C52-823F-92C55D6146D4}"/>
    <cellStyle name="Comma 6 2 5 3 4" xfId="9901" xr:uid="{901C262C-E536-4632-B869-F19D247408BF}"/>
    <cellStyle name="Comma 6 2 5 3 4 2" xfId="46409" xr:uid="{4E70D554-8DEA-4134-B3AB-89D9E21C6787}"/>
    <cellStyle name="Comma 6 2 5 3 4 3" xfId="28155" xr:uid="{0693E090-CE3E-414D-8BEB-7766BAB0DF47}"/>
    <cellStyle name="Comma 6 2 5 3 5" xfId="6251" xr:uid="{A4DEE4A9-8AE4-42B4-BF12-76A7BE499E9C}"/>
    <cellStyle name="Comma 6 2 5 3 5 2" xfId="42759" xr:uid="{02D80798-E817-44DC-BE13-3A633D3C3912}"/>
    <cellStyle name="Comma 6 2 5 3 5 3" xfId="24505" xr:uid="{3D75FAD8-949E-4D2E-9185-F6A3F7EF2EB9}"/>
    <cellStyle name="Comma 6 2 5 3 6" xfId="39109" xr:uid="{016D6B52-2FD6-4ED4-84E1-E20BCA35E0A3}"/>
    <cellStyle name="Comma 6 2 5 3 7" xfId="20855" xr:uid="{CED04EAD-094B-45E5-8A70-6040B324FBDF}"/>
    <cellStyle name="Comma 6 2 5 4" xfId="1871" xr:uid="{E4A12AB7-7717-4A65-97CE-599CAC69B603}"/>
    <cellStyle name="Comma 6 2 5 4 2" xfId="16471" xr:uid="{AFE33699-6DC5-43E8-AEEF-71FD827E37EC}"/>
    <cellStyle name="Comma 6 2 5 4 2 2" xfId="52979" xr:uid="{EB6E9B91-C0C3-466C-8C03-9B7C0A2C35AE}"/>
    <cellStyle name="Comma 6 2 5 4 2 3" xfId="34725" xr:uid="{4A50E8C2-FD91-479B-AE43-4137FA910B26}"/>
    <cellStyle name="Comma 6 2 5 4 3" xfId="12821" xr:uid="{5759F815-D1BF-48E8-B36A-F7B5E519A42C}"/>
    <cellStyle name="Comma 6 2 5 4 3 2" xfId="49329" xr:uid="{D4FFE6D6-9D9A-4292-9495-DFC9CAE43138}"/>
    <cellStyle name="Comma 6 2 5 4 3 3" xfId="31075" xr:uid="{C4BF8C0E-C62B-4271-BC44-E8DD7B2D0A8F}"/>
    <cellStyle name="Comma 6 2 5 4 4" xfId="9171" xr:uid="{77DCA733-C252-49E2-B1A6-9A2219910D83}"/>
    <cellStyle name="Comma 6 2 5 4 4 2" xfId="45679" xr:uid="{DAEA10BB-8179-445E-82EF-0CB81FD5E108}"/>
    <cellStyle name="Comma 6 2 5 4 4 3" xfId="27425" xr:uid="{BF9B2EEA-7DB3-4E7A-9B74-5106C4D57F70}"/>
    <cellStyle name="Comma 6 2 5 4 5" xfId="5521" xr:uid="{058FA818-924B-43E3-B6D7-6D5B741063ED}"/>
    <cellStyle name="Comma 6 2 5 4 5 2" xfId="42029" xr:uid="{1EA78057-F834-4E15-8A93-5C8CC3DAA229}"/>
    <cellStyle name="Comma 6 2 5 4 5 3" xfId="23775" xr:uid="{EC9C8588-08AB-49E6-B59C-636FFA216CE5}"/>
    <cellStyle name="Comma 6 2 5 4 6" xfId="38379" xr:uid="{A43EB13A-7CA3-40DA-B3E0-0EB4ECA08EA3}"/>
    <cellStyle name="Comma 6 2 5 4 7" xfId="20125" xr:uid="{FA45126F-4D8A-42A4-947F-BEBA13C99A66}"/>
    <cellStyle name="Comma 6 2 5 5" xfId="1141" xr:uid="{7ACD78B3-EE41-4FF6-AD8E-442044263A73}"/>
    <cellStyle name="Comma 6 2 5 5 2" xfId="15741" xr:uid="{5896678F-B6C6-4C53-B6BB-86F62CABE190}"/>
    <cellStyle name="Comma 6 2 5 5 2 2" xfId="52249" xr:uid="{B95B4B07-58D3-4E35-9B2D-3491A54E7FF5}"/>
    <cellStyle name="Comma 6 2 5 5 2 3" xfId="33995" xr:uid="{660E3AC9-CFFD-47E3-A467-694A118631F5}"/>
    <cellStyle name="Comma 6 2 5 5 3" xfId="12091" xr:uid="{19919843-7FCB-40BC-AD0D-59BF70B2CEE8}"/>
    <cellStyle name="Comma 6 2 5 5 3 2" xfId="48599" xr:uid="{AE4D4D9D-3615-4A1E-B446-AA134561558C}"/>
    <cellStyle name="Comma 6 2 5 5 3 3" xfId="30345" xr:uid="{9677A50E-D332-4A5F-9213-73D68A9C1033}"/>
    <cellStyle name="Comma 6 2 5 5 4" xfId="8441" xr:uid="{837B31F0-29C4-46E3-B0CD-2274BE2BEC48}"/>
    <cellStyle name="Comma 6 2 5 5 4 2" xfId="44949" xr:uid="{68D97FCD-6C81-4AD4-AD7F-3C9115F64800}"/>
    <cellStyle name="Comma 6 2 5 5 4 3" xfId="26695" xr:uid="{FABA3602-D1D4-403A-8B44-8008BBE49D07}"/>
    <cellStyle name="Comma 6 2 5 5 5" xfId="4791" xr:uid="{D51B3FBA-0E8F-48F0-B5BC-2194D39C8778}"/>
    <cellStyle name="Comma 6 2 5 5 5 2" xfId="41299" xr:uid="{AFEFAF68-13C8-4A08-9838-94DC807BEA6A}"/>
    <cellStyle name="Comma 6 2 5 5 5 3" xfId="23045" xr:uid="{BC7FE11B-64F5-4E64-A1A1-38D937E763AF}"/>
    <cellStyle name="Comma 6 2 5 5 6" xfId="37649" xr:uid="{6E38A2FF-9C94-443C-B075-D15782128CBD}"/>
    <cellStyle name="Comma 6 2 5 5 7" xfId="19395" xr:uid="{CB07A4B5-73BB-4F43-84A7-73EB36030985}"/>
    <cellStyle name="Comma 6 2 5 6" xfId="15011" xr:uid="{4AC4C776-6D67-468F-8749-15AC461A82DC}"/>
    <cellStyle name="Comma 6 2 5 6 2" xfId="51519" xr:uid="{2AEEEE56-CBD1-4A92-90F9-291C0C1B9942}"/>
    <cellStyle name="Comma 6 2 5 6 3" xfId="33265" xr:uid="{B5159A33-633B-4C9A-9CE5-E00041FD358C}"/>
    <cellStyle name="Comma 6 2 5 7" xfId="11361" xr:uid="{91CF5C43-B519-4F41-847E-979DB81B7897}"/>
    <cellStyle name="Comma 6 2 5 7 2" xfId="47869" xr:uid="{6166BE2E-174E-42C8-9126-AC90E599F1FC}"/>
    <cellStyle name="Comma 6 2 5 7 3" xfId="29615" xr:uid="{B1FB98F8-E242-49E8-A3FC-BBF2845A1166}"/>
    <cellStyle name="Comma 6 2 5 8" xfId="7711" xr:uid="{50D94E5D-EFAD-409C-B6CE-DDC2775833EC}"/>
    <cellStyle name="Comma 6 2 5 8 2" xfId="44219" xr:uid="{62CFDDD6-F02C-408A-B312-31C9EAB9B304}"/>
    <cellStyle name="Comma 6 2 5 8 3" xfId="25965" xr:uid="{E7A57CC4-7DF9-416F-AFC6-F9F6ABBC0D79}"/>
    <cellStyle name="Comma 6 2 5 9" xfId="4061" xr:uid="{15C67E21-D673-4BB9-B780-078A0A4D073D}"/>
    <cellStyle name="Comma 6 2 5 9 2" xfId="40569" xr:uid="{C2E50786-A4A6-419B-B472-0E755D5DDE0B}"/>
    <cellStyle name="Comma 6 2 5 9 3" xfId="22315" xr:uid="{A852F296-AE7B-42AA-B102-421C44CFE7A3}"/>
    <cellStyle name="Comma 6 2 6" xfId="307" xr:uid="{37CBC358-3BA4-44BE-AECF-D8B354CED87A}"/>
    <cellStyle name="Comma 6 2 6 10" xfId="36815" xr:uid="{98B1A809-0E4C-4E7A-8DF8-E9F1F6CFA3A3}"/>
    <cellStyle name="Comma 6 2 6 11" xfId="18561" xr:uid="{52841590-55D2-4C74-BBC8-BE70B9C5BE33}"/>
    <cellStyle name="Comma 6 2 6 2" xfId="3227" xr:uid="{59164314-3CD3-4122-863D-CA65EB6BA1D8}"/>
    <cellStyle name="Comma 6 2 6 2 2" xfId="17827" xr:uid="{F533081D-A2BC-4BB1-A3F4-750D7D316EAA}"/>
    <cellStyle name="Comma 6 2 6 2 2 2" xfId="54335" xr:uid="{D6535E9C-0F08-454C-8F78-FAD698E20D3F}"/>
    <cellStyle name="Comma 6 2 6 2 2 3" xfId="36081" xr:uid="{2AC58444-F6D6-4838-866B-3F4249D2573D}"/>
    <cellStyle name="Comma 6 2 6 2 3" xfId="14177" xr:uid="{5AA9379B-1E16-4193-8BEA-AA35601940C4}"/>
    <cellStyle name="Comma 6 2 6 2 3 2" xfId="50685" xr:uid="{0507F674-826A-4A97-94FC-C50EAD090348}"/>
    <cellStyle name="Comma 6 2 6 2 3 3" xfId="32431" xr:uid="{A1112E7A-D141-415A-B338-3239E3E3202F}"/>
    <cellStyle name="Comma 6 2 6 2 4" xfId="10527" xr:uid="{5CD89D37-4048-40B3-870F-29758A43D6A6}"/>
    <cellStyle name="Comma 6 2 6 2 4 2" xfId="47035" xr:uid="{229C98AD-585D-4C1F-B8C2-4439A60CB70A}"/>
    <cellStyle name="Comma 6 2 6 2 4 3" xfId="28781" xr:uid="{609F5674-296D-4FC7-BC3B-2118B5013099}"/>
    <cellStyle name="Comma 6 2 6 2 5" xfId="6877" xr:uid="{90ECDA3B-82E1-4A91-B1A9-0CA521A54D71}"/>
    <cellStyle name="Comma 6 2 6 2 5 2" xfId="43385" xr:uid="{B29EB7D6-672B-4496-B68A-B841487FD816}"/>
    <cellStyle name="Comma 6 2 6 2 5 3" xfId="25131" xr:uid="{B82BE485-61E4-47F8-99F4-8CC98B11B06E}"/>
    <cellStyle name="Comma 6 2 6 2 6" xfId="39735" xr:uid="{1C996A6D-9B0D-4023-9EB7-822BA2DF3FF2}"/>
    <cellStyle name="Comma 6 2 6 2 7" xfId="21481" xr:uid="{44FF9485-5E9F-4E20-B94D-E0390F346F79}"/>
    <cellStyle name="Comma 6 2 6 3" xfId="2497" xr:uid="{B5E4D95D-69C7-479F-84F1-3B74435A1D16}"/>
    <cellStyle name="Comma 6 2 6 3 2" xfId="17097" xr:uid="{A57F17C0-4CAB-4536-B31B-18E722403595}"/>
    <cellStyle name="Comma 6 2 6 3 2 2" xfId="53605" xr:uid="{60BF44D5-AE60-4852-9244-6D7CBC94CF44}"/>
    <cellStyle name="Comma 6 2 6 3 2 3" xfId="35351" xr:uid="{5B9D8208-A289-4A59-AC1E-0A77E9957C31}"/>
    <cellStyle name="Comma 6 2 6 3 3" xfId="13447" xr:uid="{53BF869A-A7AD-4130-A578-029FD024B16B}"/>
    <cellStyle name="Comma 6 2 6 3 3 2" xfId="49955" xr:uid="{662981AC-F1AE-40C5-96E6-1F5DEF73FA03}"/>
    <cellStyle name="Comma 6 2 6 3 3 3" xfId="31701" xr:uid="{60114021-7271-4937-A9C6-E026DB7EFFAE}"/>
    <cellStyle name="Comma 6 2 6 3 4" xfId="9797" xr:uid="{E774D109-CD0F-404E-BBF4-8EEF46336678}"/>
    <cellStyle name="Comma 6 2 6 3 4 2" xfId="46305" xr:uid="{CF60DD25-AF9A-4577-B904-1833CE37EBE4}"/>
    <cellStyle name="Comma 6 2 6 3 4 3" xfId="28051" xr:uid="{315B06CB-4580-4E8C-A08B-B1D6D7866476}"/>
    <cellStyle name="Comma 6 2 6 3 5" xfId="6147" xr:uid="{27AF11D4-C940-4441-AB18-DD3BB8FAE15C}"/>
    <cellStyle name="Comma 6 2 6 3 5 2" xfId="42655" xr:uid="{0C498F46-58D6-4504-B157-70B92778E3A6}"/>
    <cellStyle name="Comma 6 2 6 3 5 3" xfId="24401" xr:uid="{BA1B8568-56F1-4A00-A2E9-6E7E822E9C91}"/>
    <cellStyle name="Comma 6 2 6 3 6" xfId="39005" xr:uid="{56450AEA-3FC0-458A-9A9D-77CB6485FB70}"/>
    <cellStyle name="Comma 6 2 6 3 7" xfId="20751" xr:uid="{956724E6-0C1B-4415-83E4-51CAF9D7202F}"/>
    <cellStyle name="Comma 6 2 6 4" xfId="1767" xr:uid="{8FF48C63-5A97-43B2-9A01-BAF189D0207B}"/>
    <cellStyle name="Comma 6 2 6 4 2" xfId="16367" xr:uid="{FF13E016-3A49-49F4-B82A-E8283035BF38}"/>
    <cellStyle name="Comma 6 2 6 4 2 2" xfId="52875" xr:uid="{2B22036B-C059-4D89-A346-C960D01934D0}"/>
    <cellStyle name="Comma 6 2 6 4 2 3" xfId="34621" xr:uid="{494C315A-AE11-4236-AB06-A2C798396606}"/>
    <cellStyle name="Comma 6 2 6 4 3" xfId="12717" xr:uid="{FEAAC39F-EE5D-47E4-B735-8C47D47666A9}"/>
    <cellStyle name="Comma 6 2 6 4 3 2" xfId="49225" xr:uid="{E772DA86-0E9D-471C-8466-0BBA5B459B1C}"/>
    <cellStyle name="Comma 6 2 6 4 3 3" xfId="30971" xr:uid="{1459FA38-EB73-40ED-80FF-A7E544C8CFFE}"/>
    <cellStyle name="Comma 6 2 6 4 4" xfId="9067" xr:uid="{940DAF4A-99FE-41EA-93CC-81F2E3DBA7DF}"/>
    <cellStyle name="Comma 6 2 6 4 4 2" xfId="45575" xr:uid="{D44CAD5E-2FA2-4125-9C04-0C87A1EF7593}"/>
    <cellStyle name="Comma 6 2 6 4 4 3" xfId="27321" xr:uid="{0A022C89-CC7A-4425-B789-5F6FF05D300A}"/>
    <cellStyle name="Comma 6 2 6 4 5" xfId="5417" xr:uid="{E99E5D04-6242-492E-99A2-FAE605BA8539}"/>
    <cellStyle name="Comma 6 2 6 4 5 2" xfId="41925" xr:uid="{7E3563DB-D213-41DB-AA12-AA16F33890A6}"/>
    <cellStyle name="Comma 6 2 6 4 5 3" xfId="23671" xr:uid="{363F8DA1-DB14-42A7-A6EF-661C3D4E6086}"/>
    <cellStyle name="Comma 6 2 6 4 6" xfId="38275" xr:uid="{8DDA6BBC-7857-4AAC-9CBC-381802FB9B3E}"/>
    <cellStyle name="Comma 6 2 6 4 7" xfId="20021" xr:uid="{9DA78338-C4F3-44AA-BD11-12728F7EF7F6}"/>
    <cellStyle name="Comma 6 2 6 5" xfId="1037" xr:uid="{04E2C8F4-1249-4A18-9BAD-63494C8CBFD3}"/>
    <cellStyle name="Comma 6 2 6 5 2" xfId="15637" xr:uid="{873B4CC1-934A-49B8-8CC5-4B22C2DC4366}"/>
    <cellStyle name="Comma 6 2 6 5 2 2" xfId="52145" xr:uid="{10B96B93-997F-4A54-A383-767248BBF17C}"/>
    <cellStyle name="Comma 6 2 6 5 2 3" xfId="33891" xr:uid="{544720DB-38B3-47AF-8EC9-7862081BE80B}"/>
    <cellStyle name="Comma 6 2 6 5 3" xfId="11987" xr:uid="{47B5FC4C-6263-4766-BBB9-A09350004110}"/>
    <cellStyle name="Comma 6 2 6 5 3 2" xfId="48495" xr:uid="{E473063C-4AB3-45CC-8EAA-02363DE5DA4E}"/>
    <cellStyle name="Comma 6 2 6 5 3 3" xfId="30241" xr:uid="{E8BA85AB-9877-4E38-AFFB-2C3B789771F0}"/>
    <cellStyle name="Comma 6 2 6 5 4" xfId="8337" xr:uid="{C41DFC3C-717C-4C0E-B9F2-42CB6D6B94CA}"/>
    <cellStyle name="Comma 6 2 6 5 4 2" xfId="44845" xr:uid="{F5FAA154-6EBE-479A-A08E-C4128F2F7E06}"/>
    <cellStyle name="Comma 6 2 6 5 4 3" xfId="26591" xr:uid="{97B92944-D6A7-4BD8-BC6A-62F8FF8A34CA}"/>
    <cellStyle name="Comma 6 2 6 5 5" xfId="4687" xr:uid="{317F352C-FB17-478A-8D36-D2E1B4C22A5B}"/>
    <cellStyle name="Comma 6 2 6 5 5 2" xfId="41195" xr:uid="{5BE791AF-9C50-4FC3-B545-DE5ACD181518}"/>
    <cellStyle name="Comma 6 2 6 5 5 3" xfId="22941" xr:uid="{A3125C48-E1C6-4C80-923A-24A1E0ACED86}"/>
    <cellStyle name="Comma 6 2 6 5 6" xfId="37545" xr:uid="{C792AAF9-AA3F-4D06-B70A-4485A9B44769}"/>
    <cellStyle name="Comma 6 2 6 5 7" xfId="19291" xr:uid="{07EB5B2B-B3C4-46F7-8128-CBCB1324E809}"/>
    <cellStyle name="Comma 6 2 6 6" xfId="14907" xr:uid="{125BB47B-4709-48AF-9D0F-594FA95E1498}"/>
    <cellStyle name="Comma 6 2 6 6 2" xfId="51415" xr:uid="{65BA8791-3A7A-461F-9C65-2AF7B446F2AB}"/>
    <cellStyle name="Comma 6 2 6 6 3" xfId="33161" xr:uid="{3C6B0601-0581-4B43-A561-3B54313471C0}"/>
    <cellStyle name="Comma 6 2 6 7" xfId="11257" xr:uid="{BD08E53E-E11F-4010-971B-10CCA29F8E6C}"/>
    <cellStyle name="Comma 6 2 6 7 2" xfId="47765" xr:uid="{C07768A6-8F6A-4E5D-A333-86B88CF80A55}"/>
    <cellStyle name="Comma 6 2 6 7 3" xfId="29511" xr:uid="{CE7FDF97-5496-4570-BC22-4560C65EBE22}"/>
    <cellStyle name="Comma 6 2 6 8" xfId="7607" xr:uid="{C695A041-D764-43F7-8140-C9BFD882971B}"/>
    <cellStyle name="Comma 6 2 6 8 2" xfId="44115" xr:uid="{76EE6091-EC20-4327-83A8-616E044AFC65}"/>
    <cellStyle name="Comma 6 2 6 8 3" xfId="25861" xr:uid="{0A39E030-4961-46DC-9B88-7109955D7796}"/>
    <cellStyle name="Comma 6 2 6 9" xfId="3957" xr:uid="{B728107B-B9B9-48A7-9FB4-9C4FBD9D6B85}"/>
    <cellStyle name="Comma 6 2 6 9 2" xfId="40465" xr:uid="{7EC1902F-9C55-43BC-8441-5696F6376DED}"/>
    <cellStyle name="Comma 6 2 6 9 3" xfId="22211" xr:uid="{5F16B233-A63C-43D8-8536-6608078FAE2F}"/>
    <cellStyle name="Comma 6 2 7" xfId="203" xr:uid="{9D91BC8F-98DA-4DA7-A52B-7CA38396B707}"/>
    <cellStyle name="Comma 6 2 7 10" xfId="36711" xr:uid="{02A19AA3-C697-4590-8355-63D0AE48EAEF}"/>
    <cellStyle name="Comma 6 2 7 11" xfId="18457" xr:uid="{3EB2A64A-DEEF-4F6D-9E31-1F6FEF697421}"/>
    <cellStyle name="Comma 6 2 7 2" xfId="3123" xr:uid="{55767431-C665-458A-8B1B-482C67FD9AF8}"/>
    <cellStyle name="Comma 6 2 7 2 2" xfId="17723" xr:uid="{9C8EFB40-BF3C-4BDD-898B-642C40BDE925}"/>
    <cellStyle name="Comma 6 2 7 2 2 2" xfId="54231" xr:uid="{C6EED87F-27DB-4CAA-A2BC-23451C7012C2}"/>
    <cellStyle name="Comma 6 2 7 2 2 3" xfId="35977" xr:uid="{D99505AA-C3D3-447E-ABDB-B68C82930708}"/>
    <cellStyle name="Comma 6 2 7 2 3" xfId="14073" xr:uid="{0F0F7C6E-4382-4357-B6DB-2C8923EF6084}"/>
    <cellStyle name="Comma 6 2 7 2 3 2" xfId="50581" xr:uid="{D53DA959-B2B1-498F-A8F3-DA8E2D935FEA}"/>
    <cellStyle name="Comma 6 2 7 2 3 3" xfId="32327" xr:uid="{21A48C7F-7C40-436B-B5B0-F2DFB1EDB974}"/>
    <cellStyle name="Comma 6 2 7 2 4" xfId="10423" xr:uid="{B41CD660-262D-475D-B8EB-32B1222943C9}"/>
    <cellStyle name="Comma 6 2 7 2 4 2" xfId="46931" xr:uid="{1B89A6DA-8E0E-4C5C-B31E-166881E13E59}"/>
    <cellStyle name="Comma 6 2 7 2 4 3" xfId="28677" xr:uid="{56D9D4CD-F625-40E8-A70C-EACE6F940C1F}"/>
    <cellStyle name="Comma 6 2 7 2 5" xfId="6773" xr:uid="{3760E186-85AE-43D7-A075-FA9749A6C9CC}"/>
    <cellStyle name="Comma 6 2 7 2 5 2" xfId="43281" xr:uid="{1ABE0C06-05E0-43C7-B144-F9292920F8C0}"/>
    <cellStyle name="Comma 6 2 7 2 5 3" xfId="25027" xr:uid="{7BFB5452-3CEB-4BDE-92B7-BA3F3B21AD73}"/>
    <cellStyle name="Comma 6 2 7 2 6" xfId="39631" xr:uid="{19F50D82-26DB-4A16-BED2-3A4943AD6F15}"/>
    <cellStyle name="Comma 6 2 7 2 7" xfId="21377" xr:uid="{F669C531-6AD4-4413-8544-E8B0D53514C6}"/>
    <cellStyle name="Comma 6 2 7 3" xfId="2393" xr:uid="{38AB1A08-2F58-4B32-9FF7-C4D1CA9B65A0}"/>
    <cellStyle name="Comma 6 2 7 3 2" xfId="16993" xr:uid="{C9E5BE2F-F2F8-4A06-BD73-4F42D9722430}"/>
    <cellStyle name="Comma 6 2 7 3 2 2" xfId="53501" xr:uid="{67FEB6CE-AB59-4A9E-99D6-4D4D37F3166B}"/>
    <cellStyle name="Comma 6 2 7 3 2 3" xfId="35247" xr:uid="{BF01FFCE-BCFA-417A-B80F-8A230836D27A}"/>
    <cellStyle name="Comma 6 2 7 3 3" xfId="13343" xr:uid="{9BF1239F-CED7-48E3-AAFD-10E180DED8E9}"/>
    <cellStyle name="Comma 6 2 7 3 3 2" xfId="49851" xr:uid="{898455E2-E512-48EA-987F-A896C98BF473}"/>
    <cellStyle name="Comma 6 2 7 3 3 3" xfId="31597" xr:uid="{503C921F-4C55-4AA5-B99C-760B8C4801D0}"/>
    <cellStyle name="Comma 6 2 7 3 4" xfId="9693" xr:uid="{156318C7-1143-481B-A5EB-4AD75F59D92B}"/>
    <cellStyle name="Comma 6 2 7 3 4 2" xfId="46201" xr:uid="{92AB973B-416B-4509-81C9-D7C72F313B2D}"/>
    <cellStyle name="Comma 6 2 7 3 4 3" xfId="27947" xr:uid="{5707B1D4-B54A-4252-A9A1-15539EE9C33D}"/>
    <cellStyle name="Comma 6 2 7 3 5" xfId="6043" xr:uid="{828EF767-7B01-49D2-8130-F8135B4A0561}"/>
    <cellStyle name="Comma 6 2 7 3 5 2" xfId="42551" xr:uid="{306038B6-9539-4843-94E8-17C627E77307}"/>
    <cellStyle name="Comma 6 2 7 3 5 3" xfId="24297" xr:uid="{C0E69CA9-052F-4BCC-B372-D4F4D58AA5EA}"/>
    <cellStyle name="Comma 6 2 7 3 6" xfId="38901" xr:uid="{4B2AF4B9-D30A-4639-B526-C5BB038772FF}"/>
    <cellStyle name="Comma 6 2 7 3 7" xfId="20647" xr:uid="{3E0EEFD7-A28F-4F8D-A95E-A47B2FA94769}"/>
    <cellStyle name="Comma 6 2 7 4" xfId="1663" xr:uid="{C7969EAC-65A4-42BE-A18D-6CC534853076}"/>
    <cellStyle name="Comma 6 2 7 4 2" xfId="16263" xr:uid="{5F60D79E-81A9-437A-9944-28F4393E95DD}"/>
    <cellStyle name="Comma 6 2 7 4 2 2" xfId="52771" xr:uid="{CD27A16D-0DC5-47F5-94C2-1544B56F8C30}"/>
    <cellStyle name="Comma 6 2 7 4 2 3" xfId="34517" xr:uid="{7EF8938F-4523-46CC-A399-F7A69C028ECD}"/>
    <cellStyle name="Comma 6 2 7 4 3" xfId="12613" xr:uid="{B71F8DA4-F481-4732-9EE3-4A63FDF0B2E6}"/>
    <cellStyle name="Comma 6 2 7 4 3 2" xfId="49121" xr:uid="{BD0C9F42-1F15-445B-8662-8DB40C90CDFF}"/>
    <cellStyle name="Comma 6 2 7 4 3 3" xfId="30867" xr:uid="{147B0D29-1639-4082-9C4F-A7F0CE09C290}"/>
    <cellStyle name="Comma 6 2 7 4 4" xfId="8963" xr:uid="{A401C9DA-AD62-47F9-818B-E2F2BAB992CC}"/>
    <cellStyle name="Comma 6 2 7 4 4 2" xfId="45471" xr:uid="{326AC684-A798-40FB-9B62-9CCA49273E03}"/>
    <cellStyle name="Comma 6 2 7 4 4 3" xfId="27217" xr:uid="{23A1D2F1-EFB2-44E2-AF85-8FB4647F6E31}"/>
    <cellStyle name="Comma 6 2 7 4 5" xfId="5313" xr:uid="{0E5F2F4D-C6F9-4B61-BFD8-0EDA6F07D1FC}"/>
    <cellStyle name="Comma 6 2 7 4 5 2" xfId="41821" xr:uid="{6864B70A-1874-44E4-B48E-F0B4AEEF8B64}"/>
    <cellStyle name="Comma 6 2 7 4 5 3" xfId="23567" xr:uid="{45006DED-50C3-4F7F-8562-988547D4F65B}"/>
    <cellStyle name="Comma 6 2 7 4 6" xfId="38171" xr:uid="{9D87B53F-D517-4B02-A94E-BBAA3EF8A9B6}"/>
    <cellStyle name="Comma 6 2 7 4 7" xfId="19917" xr:uid="{9B357F76-903C-4972-8E5E-A9CC937BC014}"/>
    <cellStyle name="Comma 6 2 7 5" xfId="933" xr:uid="{3568F608-09ED-4219-89DC-6A4F70B7A651}"/>
    <cellStyle name="Comma 6 2 7 5 2" xfId="15533" xr:uid="{19E2B0CB-020B-4598-9B74-32F15815D085}"/>
    <cellStyle name="Comma 6 2 7 5 2 2" xfId="52041" xr:uid="{816C17C8-6383-44C2-8FA9-3B8944F8EE8E}"/>
    <cellStyle name="Comma 6 2 7 5 2 3" xfId="33787" xr:uid="{121D1E4A-5F9D-40DB-A0C0-9E827B622018}"/>
    <cellStyle name="Comma 6 2 7 5 3" xfId="11883" xr:uid="{19DA4B13-0C46-4F61-AA7A-4CD0C6D98A33}"/>
    <cellStyle name="Comma 6 2 7 5 3 2" xfId="48391" xr:uid="{32080C25-6B86-4A0D-986B-71D5B113F73E}"/>
    <cellStyle name="Comma 6 2 7 5 3 3" xfId="30137" xr:uid="{1561F103-BA3B-410E-B9FB-2DC8BFFB60F6}"/>
    <cellStyle name="Comma 6 2 7 5 4" xfId="8233" xr:uid="{AD6CD2FE-6F20-4B02-BCBF-FFC26003826E}"/>
    <cellStyle name="Comma 6 2 7 5 4 2" xfId="44741" xr:uid="{E02C8060-95CD-4CDB-B443-0E41F27B67F2}"/>
    <cellStyle name="Comma 6 2 7 5 4 3" xfId="26487" xr:uid="{1672584F-079F-43B2-963F-EFBF66753A9C}"/>
    <cellStyle name="Comma 6 2 7 5 5" xfId="4583" xr:uid="{07C3FF20-A355-4F20-A938-8E38B41D207C}"/>
    <cellStyle name="Comma 6 2 7 5 5 2" xfId="41091" xr:uid="{BC00C347-416F-4BF8-B283-1CE010ED1041}"/>
    <cellStyle name="Comma 6 2 7 5 5 3" xfId="22837" xr:uid="{656E110F-A117-4C07-AC8D-772455827B62}"/>
    <cellStyle name="Comma 6 2 7 5 6" xfId="37441" xr:uid="{C29421E6-B615-462B-9B63-96636797C1DC}"/>
    <cellStyle name="Comma 6 2 7 5 7" xfId="19187" xr:uid="{B16182F7-C2B9-4094-A160-E0AEE7AC3468}"/>
    <cellStyle name="Comma 6 2 7 6" xfId="14803" xr:uid="{757AF5AD-AB0B-4026-8270-0DFC7A3CE80F}"/>
    <cellStyle name="Comma 6 2 7 6 2" xfId="51311" xr:uid="{096E0B02-8A97-4321-BCB0-6BC88159ED26}"/>
    <cellStyle name="Comma 6 2 7 6 3" xfId="33057" xr:uid="{8B2E09E8-C3F5-4F92-A9AB-E130AA445DE8}"/>
    <cellStyle name="Comma 6 2 7 7" xfId="11153" xr:uid="{8FF7C8D3-19B0-4BA6-8C14-9106F0E2A1A3}"/>
    <cellStyle name="Comma 6 2 7 7 2" xfId="47661" xr:uid="{43C42D29-A247-4F25-AEFC-4E2539BBD86E}"/>
    <cellStyle name="Comma 6 2 7 7 3" xfId="29407" xr:uid="{4CCE78AA-23BC-44E9-A2E0-B4FECC94145E}"/>
    <cellStyle name="Comma 6 2 7 8" xfId="7503" xr:uid="{DE26887F-F93E-4F7E-B9B1-C4E88E42D64B}"/>
    <cellStyle name="Comma 6 2 7 8 2" xfId="44011" xr:uid="{B15E611F-96C0-4600-9DC9-E1EFD7E67D7E}"/>
    <cellStyle name="Comma 6 2 7 8 3" xfId="25757" xr:uid="{76015F2F-6CEC-4E5D-A3A7-1E54B7D726C4}"/>
    <cellStyle name="Comma 6 2 7 9" xfId="3853" xr:uid="{5F34A8B0-72C1-476E-A591-430B8119616B}"/>
    <cellStyle name="Comma 6 2 7 9 2" xfId="40361" xr:uid="{9CFD017F-9270-4983-8B99-32C9C58FD454}"/>
    <cellStyle name="Comma 6 2 7 9 3" xfId="22107" xr:uid="{AF85F8B4-BE3E-4BD6-B3AE-873724AA4E80}"/>
    <cellStyle name="Comma 6 2 8" xfId="3019" xr:uid="{4BBEE274-C0B6-4FB6-8B3C-CEA938EFF2D9}"/>
    <cellStyle name="Comma 6 2 8 2" xfId="17619" xr:uid="{A4B6BB21-3FCC-4F66-83D1-A877DBB0C982}"/>
    <cellStyle name="Comma 6 2 8 2 2" xfId="54127" xr:uid="{468C1BCA-CAB5-4ABC-9195-0038E4BF4CFD}"/>
    <cellStyle name="Comma 6 2 8 2 3" xfId="35873" xr:uid="{3DBFBE37-46B7-4EC2-B278-E317EA10BEC4}"/>
    <cellStyle name="Comma 6 2 8 3" xfId="13969" xr:uid="{3D255800-D3CF-4539-B12A-E9E8FA827ED5}"/>
    <cellStyle name="Comma 6 2 8 3 2" xfId="50477" xr:uid="{905A5F80-6CFA-4243-8D85-C7C23A15B684}"/>
    <cellStyle name="Comma 6 2 8 3 3" xfId="32223" xr:uid="{70BDBBEC-BC88-4652-A439-9EAEA79BF806}"/>
    <cellStyle name="Comma 6 2 8 4" xfId="10319" xr:uid="{AC08C17A-9D4A-4C45-8379-790E1623385C}"/>
    <cellStyle name="Comma 6 2 8 4 2" xfId="46827" xr:uid="{0CD85F4E-6669-4B1D-9480-78C347D65C8E}"/>
    <cellStyle name="Comma 6 2 8 4 3" xfId="28573" xr:uid="{19EDB483-7918-4163-A544-57A28952CF1D}"/>
    <cellStyle name="Comma 6 2 8 5" xfId="6669" xr:uid="{871ABAE6-4A76-40AD-B6A0-C912334F6F71}"/>
    <cellStyle name="Comma 6 2 8 5 2" xfId="43177" xr:uid="{B493DC75-E1BF-4135-BBE7-5DA5B8F51A37}"/>
    <cellStyle name="Comma 6 2 8 5 3" xfId="24923" xr:uid="{04D00BD0-67D6-4D61-B4E9-F150E9E97DF3}"/>
    <cellStyle name="Comma 6 2 8 6" xfId="39527" xr:uid="{4B37FDA2-6D35-4219-9D9F-7CAFCBC51E1C}"/>
    <cellStyle name="Comma 6 2 8 7" xfId="21273" xr:uid="{2D8FB295-C3ED-47D3-835D-8548A563A3DD}"/>
    <cellStyle name="Comma 6 2 9" xfId="2289" xr:uid="{2D92E769-79CA-4285-8F10-0CD39BD85945}"/>
    <cellStyle name="Comma 6 2 9 2" xfId="16889" xr:uid="{90B65E96-C30B-4ECF-9F22-2EDD41B0CF2C}"/>
    <cellStyle name="Comma 6 2 9 2 2" xfId="53397" xr:uid="{8B2A7957-E4E6-4E04-8A70-C1CDF0042F8C}"/>
    <cellStyle name="Comma 6 2 9 2 3" xfId="35143" xr:uid="{12ADDEC5-7B69-48D2-A0A7-F1C56D2117F2}"/>
    <cellStyle name="Comma 6 2 9 3" xfId="13239" xr:uid="{2E60AC14-4752-46D1-935D-C9DCB726C3B1}"/>
    <cellStyle name="Comma 6 2 9 3 2" xfId="49747" xr:uid="{F8C4B232-472B-45CF-964D-55D3C1F8C813}"/>
    <cellStyle name="Comma 6 2 9 3 3" xfId="31493" xr:uid="{214837BC-1C23-4B4D-A1F4-1CE471C63572}"/>
    <cellStyle name="Comma 6 2 9 4" xfId="9589" xr:uid="{20A88CB4-1119-4834-BB8F-20552A37CA91}"/>
    <cellStyle name="Comma 6 2 9 4 2" xfId="46097" xr:uid="{DF3445E6-52E8-43FC-A314-0730293B8939}"/>
    <cellStyle name="Comma 6 2 9 4 3" xfId="27843" xr:uid="{06762EE3-58A6-4FD3-82E6-3F706D75B551}"/>
    <cellStyle name="Comma 6 2 9 5" xfId="5939" xr:uid="{C7A94F6C-792B-41F5-A375-D67A85F8D516}"/>
    <cellStyle name="Comma 6 2 9 5 2" xfId="42447" xr:uid="{62245C39-A236-4F08-8F3A-1E166724989E}"/>
    <cellStyle name="Comma 6 2 9 5 3" xfId="24193" xr:uid="{4BF26D8A-AD1D-4C7F-A6E5-B5975CF7CEC5}"/>
    <cellStyle name="Comma 6 2 9 6" xfId="38797" xr:uid="{506076E6-85D9-43D7-9D31-8FC261FA2454}"/>
    <cellStyle name="Comma 6 2 9 7" xfId="20543" xr:uid="{38CCAC27-A444-491D-ACCE-C173CF8DBB5B}"/>
    <cellStyle name="Comma 6 3" xfId="61" xr:uid="{423DB4E9-B0AB-467E-8C08-E822BDF27123}"/>
    <cellStyle name="Comma 6 3 10" xfId="1527" xr:uid="{4E6CE6A8-4A96-40C5-8893-50146C3DE6EB}"/>
    <cellStyle name="Comma 6 3 10 2" xfId="16127" xr:uid="{2C3C4BF2-9760-4ADE-9FF1-1862C366725E}"/>
    <cellStyle name="Comma 6 3 10 2 2" xfId="52635" xr:uid="{B5BB8530-9F26-4D94-8AD8-83D436D5CCA0}"/>
    <cellStyle name="Comma 6 3 10 2 3" xfId="34381" xr:uid="{84C87E8D-1CD6-49F9-9FCB-3E0DC4FAF172}"/>
    <cellStyle name="Comma 6 3 10 3" xfId="12477" xr:uid="{D02FA9AF-DEFF-470A-B47A-B3688F5B555E}"/>
    <cellStyle name="Comma 6 3 10 3 2" xfId="48985" xr:uid="{A9A14A77-50AB-4449-B3C3-C2B8477A2AC3}"/>
    <cellStyle name="Comma 6 3 10 3 3" xfId="30731" xr:uid="{C55AC2D1-989E-42C8-BA84-6E19BE68BD3A}"/>
    <cellStyle name="Comma 6 3 10 4" xfId="8827" xr:uid="{B7E868E4-B49C-4A3E-8BF9-00D324319DB8}"/>
    <cellStyle name="Comma 6 3 10 4 2" xfId="45335" xr:uid="{E152999B-8A3E-4FAB-932E-A611FC5BFF6A}"/>
    <cellStyle name="Comma 6 3 10 4 3" xfId="27081" xr:uid="{19B053E7-E35E-4010-B1DB-A9FBC8D4E126}"/>
    <cellStyle name="Comma 6 3 10 5" xfId="5177" xr:uid="{7DFE7471-6D86-4A6E-88BD-8AFC9095A42D}"/>
    <cellStyle name="Comma 6 3 10 5 2" xfId="41685" xr:uid="{44855353-D422-483A-B904-45CAC9E5BCC6}"/>
    <cellStyle name="Comma 6 3 10 5 3" xfId="23431" xr:uid="{BD12AC13-9136-4DA4-B766-34AFBEED2FA4}"/>
    <cellStyle name="Comma 6 3 10 6" xfId="38035" xr:uid="{A8F72495-F718-42E1-87C3-7AD89D245FAB}"/>
    <cellStyle name="Comma 6 3 10 7" xfId="19781" xr:uid="{DB3FB3A0-48E1-48E8-98CC-86D426821231}"/>
    <cellStyle name="Comma 6 3 11" xfId="797" xr:uid="{CE67CCD1-0143-4AC8-9AA6-C26EF46F1E5D}"/>
    <cellStyle name="Comma 6 3 11 2" xfId="15397" xr:uid="{882694C4-5EC4-4DE1-94E3-6F173419055D}"/>
    <cellStyle name="Comma 6 3 11 2 2" xfId="51905" xr:uid="{BCB2E0C4-7735-4913-8EA4-26291502C9B0}"/>
    <cellStyle name="Comma 6 3 11 2 3" xfId="33651" xr:uid="{8C19F081-4120-4FBF-AD23-25CBB84EB993}"/>
    <cellStyle name="Comma 6 3 11 3" xfId="11747" xr:uid="{48153C2F-F4A6-4421-A0D3-C07F90F77EF1}"/>
    <cellStyle name="Comma 6 3 11 3 2" xfId="48255" xr:uid="{22898F3C-1DF1-4949-BB98-52231074E6F0}"/>
    <cellStyle name="Comma 6 3 11 3 3" xfId="30001" xr:uid="{926CF6C7-04FA-4A25-AAAD-0A935C63A673}"/>
    <cellStyle name="Comma 6 3 11 4" xfId="8097" xr:uid="{9769C41C-FAA7-40C8-9D8C-A7CFC917E1FC}"/>
    <cellStyle name="Comma 6 3 11 4 2" xfId="44605" xr:uid="{4B70DAE4-E987-41A1-BE3F-28AC294A96CB}"/>
    <cellStyle name="Comma 6 3 11 4 3" xfId="26351" xr:uid="{E36653CD-3DC0-44A7-BDD3-FF927781C8D2}"/>
    <cellStyle name="Comma 6 3 11 5" xfId="4447" xr:uid="{6BA43D6D-40D4-453F-8B38-61071B1EECD7}"/>
    <cellStyle name="Comma 6 3 11 5 2" xfId="40955" xr:uid="{BF6CBC55-F67B-4F71-873E-256B4AB12EF8}"/>
    <cellStyle name="Comma 6 3 11 5 3" xfId="22701" xr:uid="{2CEB0BF9-0AA5-4154-BE8D-C03DEB980179}"/>
    <cellStyle name="Comma 6 3 11 6" xfId="37305" xr:uid="{6E919FED-EB4C-49C7-8A81-0028277F884B}"/>
    <cellStyle name="Comma 6 3 11 7" xfId="19051" xr:uid="{7DF35CFD-AD87-458D-9C89-2D94052D4A67}"/>
    <cellStyle name="Comma 6 3 12" xfId="14667" xr:uid="{5CACB7F5-7C94-4C05-91DA-E7579A64824B}"/>
    <cellStyle name="Comma 6 3 12 2" xfId="51175" xr:uid="{DBD00FBC-DBA6-4DF7-85CF-9FC973682870}"/>
    <cellStyle name="Comma 6 3 12 3" xfId="32921" xr:uid="{17A79DC1-D821-4671-88F7-3C9769BADC66}"/>
    <cellStyle name="Comma 6 3 13" xfId="11017" xr:uid="{5D4C9805-0377-4E99-B94A-31262A894CEC}"/>
    <cellStyle name="Comma 6 3 13 2" xfId="47525" xr:uid="{68C84A70-FDE3-435A-AA76-D62D076077D8}"/>
    <cellStyle name="Comma 6 3 13 3" xfId="29271" xr:uid="{776809E3-EE4E-49FC-82C3-AE2A873D7AE3}"/>
    <cellStyle name="Comma 6 3 14" xfId="7367" xr:uid="{7023812E-C42F-4CF2-B9F3-59DF0C02C842}"/>
    <cellStyle name="Comma 6 3 14 2" xfId="43875" xr:uid="{E927ED64-48C2-4F84-AAA7-EA54595627FA}"/>
    <cellStyle name="Comma 6 3 14 3" xfId="25621" xr:uid="{DB720ACE-F54B-4B44-BC97-CB31EB6A20BB}"/>
    <cellStyle name="Comma 6 3 15" xfId="3717" xr:uid="{7A21D82C-43FB-433C-B5A4-AA198FEF2AC5}"/>
    <cellStyle name="Comma 6 3 15 2" xfId="40225" xr:uid="{783C7649-6EF1-4776-9303-128DDCF593E3}"/>
    <cellStyle name="Comma 6 3 15 3" xfId="21971" xr:uid="{5EAB526D-22B5-46E2-B83A-EEB767647B95}"/>
    <cellStyle name="Comma 6 3 16" xfId="36575" xr:uid="{E45DDF24-4FED-42B5-A7A2-CE4206B47453}"/>
    <cellStyle name="Comma 6 3 17" xfId="18321" xr:uid="{C1B66EEA-1945-4170-AE9F-20494129DC08}"/>
    <cellStyle name="Comma 6 3 2" xfId="691" xr:uid="{45936613-A0F0-412B-BDA4-336117673F17}"/>
    <cellStyle name="Comma 6 3 2 10" xfId="37199" xr:uid="{C96A0F46-E8EE-418B-9BA1-BDBBA06FC3E6}"/>
    <cellStyle name="Comma 6 3 2 11" xfId="18945" xr:uid="{185CDDA4-2116-4CD2-990D-E4F106E7DB5D}"/>
    <cellStyle name="Comma 6 3 2 2" xfId="3611" xr:uid="{9092E474-F467-44A8-A9E0-FB2B4CDBD409}"/>
    <cellStyle name="Comma 6 3 2 2 2" xfId="18211" xr:uid="{C6D7557A-6A32-4009-8991-05F287DB6994}"/>
    <cellStyle name="Comma 6 3 2 2 2 2" xfId="54719" xr:uid="{23D2DBC9-5A9A-4D68-B58D-0FFE6435FDFA}"/>
    <cellStyle name="Comma 6 3 2 2 2 3" xfId="36465" xr:uid="{D94ED5B8-D3A4-4AAD-8666-E24691C9186A}"/>
    <cellStyle name="Comma 6 3 2 2 3" xfId="14561" xr:uid="{CB6E4D8C-3EAE-4C15-983C-B5722C3A2829}"/>
    <cellStyle name="Comma 6 3 2 2 3 2" xfId="51069" xr:uid="{BA1E63DA-BD4D-467F-8E37-7F56759A5A5A}"/>
    <cellStyle name="Comma 6 3 2 2 3 3" xfId="32815" xr:uid="{93A9EAA2-1286-434A-86A2-4C0D766B40C8}"/>
    <cellStyle name="Comma 6 3 2 2 4" xfId="10911" xr:uid="{D4C5A943-7F6A-4FD1-A921-8449E2AA83AC}"/>
    <cellStyle name="Comma 6 3 2 2 4 2" xfId="47419" xr:uid="{12F53CEB-00D2-46F8-A5EB-75D656E4BCF4}"/>
    <cellStyle name="Comma 6 3 2 2 4 3" xfId="29165" xr:uid="{DDA75D94-CDAA-4A52-8A02-80B68CB19C58}"/>
    <cellStyle name="Comma 6 3 2 2 5" xfId="7261" xr:uid="{8E87CF53-60BB-4876-8AD6-C33C15F078FE}"/>
    <cellStyle name="Comma 6 3 2 2 5 2" xfId="43769" xr:uid="{A75F2252-E68F-4EDC-BDCF-E16C8F10E6E9}"/>
    <cellStyle name="Comma 6 3 2 2 5 3" xfId="25515" xr:uid="{FBAAA9DD-BDDB-41D8-88EA-55B0FEBE4A0B}"/>
    <cellStyle name="Comma 6 3 2 2 6" xfId="40119" xr:uid="{F5446A5F-32E4-4279-A620-B62D1F0A2BCE}"/>
    <cellStyle name="Comma 6 3 2 2 7" xfId="21865" xr:uid="{F9BD9280-EC8C-405E-8F2F-0854FEF346D9}"/>
    <cellStyle name="Comma 6 3 2 3" xfId="2881" xr:uid="{545EFDFE-D36E-446E-9F2B-EF26AB82A83E}"/>
    <cellStyle name="Comma 6 3 2 3 2" xfId="17481" xr:uid="{D3BAC891-C924-406D-B571-E0314D1292BC}"/>
    <cellStyle name="Comma 6 3 2 3 2 2" xfId="53989" xr:uid="{36B28D93-C76B-4954-8E76-C1B9CA69D497}"/>
    <cellStyle name="Comma 6 3 2 3 2 3" xfId="35735" xr:uid="{9FF92D83-44BC-4DE7-A509-4E1FE15687A1}"/>
    <cellStyle name="Comma 6 3 2 3 3" xfId="13831" xr:uid="{692FB16B-B61E-4EA1-82AD-17C33CEF48F0}"/>
    <cellStyle name="Comma 6 3 2 3 3 2" xfId="50339" xr:uid="{F739431E-B16B-41BD-B5B7-AD1D68707CB8}"/>
    <cellStyle name="Comma 6 3 2 3 3 3" xfId="32085" xr:uid="{CE5BE271-50EE-4C04-BD31-51A651157E3D}"/>
    <cellStyle name="Comma 6 3 2 3 4" xfId="10181" xr:uid="{79FD0A11-69D7-416C-A3E7-89883D706C0A}"/>
    <cellStyle name="Comma 6 3 2 3 4 2" xfId="46689" xr:uid="{A867C03E-5BDF-4D3A-8008-83B220CC79A4}"/>
    <cellStyle name="Comma 6 3 2 3 4 3" xfId="28435" xr:uid="{B51763AF-93AF-4A55-A7E4-41AE2ADC14D2}"/>
    <cellStyle name="Comma 6 3 2 3 5" xfId="6531" xr:uid="{378F4A9D-1ACD-4193-B16E-577ACCE30BB0}"/>
    <cellStyle name="Comma 6 3 2 3 5 2" xfId="43039" xr:uid="{6CED1CDF-7FC7-4369-9A9A-A4D10CCA1DC6}"/>
    <cellStyle name="Comma 6 3 2 3 5 3" xfId="24785" xr:uid="{BDB03BE1-B6EC-4E8F-8C37-E374A379CACF}"/>
    <cellStyle name="Comma 6 3 2 3 6" xfId="39389" xr:uid="{2EE0773E-67BA-434C-8273-17E674DA704F}"/>
    <cellStyle name="Comma 6 3 2 3 7" xfId="21135" xr:uid="{25D09EE7-6733-417E-B40D-780717EBDC13}"/>
    <cellStyle name="Comma 6 3 2 4" xfId="2151" xr:uid="{1799133A-1D7E-44A8-986C-7C734496074D}"/>
    <cellStyle name="Comma 6 3 2 4 2" xfId="16751" xr:uid="{84BE7B1F-5868-4B30-BA41-967D3F00342B}"/>
    <cellStyle name="Comma 6 3 2 4 2 2" xfId="53259" xr:uid="{DCD94853-DD52-4ED8-8B67-40073027B3AF}"/>
    <cellStyle name="Comma 6 3 2 4 2 3" xfId="35005" xr:uid="{B092CDEF-7CDA-467C-9841-A112ED41C8AF}"/>
    <cellStyle name="Comma 6 3 2 4 3" xfId="13101" xr:uid="{BBFEB1A8-8477-4B03-9845-55A9A16C6504}"/>
    <cellStyle name="Comma 6 3 2 4 3 2" xfId="49609" xr:uid="{2334AC1D-8A59-4EAC-8822-E8785DAFDE50}"/>
    <cellStyle name="Comma 6 3 2 4 3 3" xfId="31355" xr:uid="{423EE65C-6BBC-4410-9AA7-B0A5A9C62177}"/>
    <cellStyle name="Comma 6 3 2 4 4" xfId="9451" xr:uid="{829FA3A7-2673-47F0-8E06-89CBDFA2930A}"/>
    <cellStyle name="Comma 6 3 2 4 4 2" xfId="45959" xr:uid="{A63D1DD2-C7DB-44C7-90EF-B1DB63A237DB}"/>
    <cellStyle name="Comma 6 3 2 4 4 3" xfId="27705" xr:uid="{37DC76C4-1334-4D27-8781-19EBF3B766BC}"/>
    <cellStyle name="Comma 6 3 2 4 5" xfId="5801" xr:uid="{3F30008B-777B-489D-A3D5-E51108AC3446}"/>
    <cellStyle name="Comma 6 3 2 4 5 2" xfId="42309" xr:uid="{EDA5336F-7639-4AE7-8461-6C706BC67B08}"/>
    <cellStyle name="Comma 6 3 2 4 5 3" xfId="24055" xr:uid="{8A507C25-0354-431B-84CE-DBAD66CBC176}"/>
    <cellStyle name="Comma 6 3 2 4 6" xfId="38659" xr:uid="{725B1455-D5E3-4582-9317-D30B92DE07B1}"/>
    <cellStyle name="Comma 6 3 2 4 7" xfId="20405" xr:uid="{CB464E76-8B56-4F00-850B-0DCD7AFC9372}"/>
    <cellStyle name="Comma 6 3 2 5" xfId="1421" xr:uid="{7DC797DA-50C9-4534-8827-CAE9A7FDC59C}"/>
    <cellStyle name="Comma 6 3 2 5 2" xfId="16021" xr:uid="{150735A9-6F6C-4021-943C-498ECCC7EC71}"/>
    <cellStyle name="Comma 6 3 2 5 2 2" xfId="52529" xr:uid="{1E1133C1-75AB-46A8-8970-B15F64987347}"/>
    <cellStyle name="Comma 6 3 2 5 2 3" xfId="34275" xr:uid="{4F6EB6D4-ADFF-4393-8820-E59D4DE9B6CB}"/>
    <cellStyle name="Comma 6 3 2 5 3" xfId="12371" xr:uid="{158574FF-54C1-4599-8E62-7600B24937F9}"/>
    <cellStyle name="Comma 6 3 2 5 3 2" xfId="48879" xr:uid="{A2488BD1-BADE-4588-A1C0-44923D67DCF3}"/>
    <cellStyle name="Comma 6 3 2 5 3 3" xfId="30625" xr:uid="{7F61BB25-CF6E-4756-9FF4-FD460FC65BE6}"/>
    <cellStyle name="Comma 6 3 2 5 4" xfId="8721" xr:uid="{21DFE6F9-7725-4B0E-B55D-9D3CA1D983B4}"/>
    <cellStyle name="Comma 6 3 2 5 4 2" xfId="45229" xr:uid="{87C93C3C-4D04-4E6B-BDFB-86297E360D75}"/>
    <cellStyle name="Comma 6 3 2 5 4 3" xfId="26975" xr:uid="{F73AA220-C4AF-4226-94F1-2222458D08AA}"/>
    <cellStyle name="Comma 6 3 2 5 5" xfId="5071" xr:uid="{C1782CFF-73A8-4961-877C-E229CF2C69A9}"/>
    <cellStyle name="Comma 6 3 2 5 5 2" xfId="41579" xr:uid="{CF4FD9C6-275B-4F0E-8DE6-05ED586115A7}"/>
    <cellStyle name="Comma 6 3 2 5 5 3" xfId="23325" xr:uid="{28CCAD0B-F1B3-4EDF-A7B6-FBD1B11EAF94}"/>
    <cellStyle name="Comma 6 3 2 5 6" xfId="37929" xr:uid="{64B8D3EE-9A50-461E-A74C-7A2F5014305A}"/>
    <cellStyle name="Comma 6 3 2 5 7" xfId="19675" xr:uid="{D56AD30F-6394-4329-8B45-CCA02F754423}"/>
    <cellStyle name="Comma 6 3 2 6" xfId="15291" xr:uid="{462D18AF-30C9-40ED-8B41-D8C2EC3C277E}"/>
    <cellStyle name="Comma 6 3 2 6 2" xfId="51799" xr:uid="{D0F99172-BB74-4232-8D12-DD86174CF467}"/>
    <cellStyle name="Comma 6 3 2 6 3" xfId="33545" xr:uid="{F448D25E-17C3-497B-8660-F9C98CD15593}"/>
    <cellStyle name="Comma 6 3 2 7" xfId="11641" xr:uid="{0F12DF64-737D-4AE8-9F9F-78E138B7EFE9}"/>
    <cellStyle name="Comma 6 3 2 7 2" xfId="48149" xr:uid="{E169F756-A7E2-41F2-B495-C41B3C66831C}"/>
    <cellStyle name="Comma 6 3 2 7 3" xfId="29895" xr:uid="{A4ADA481-DC69-46CD-BCEC-39AA4EBC052F}"/>
    <cellStyle name="Comma 6 3 2 8" xfId="7991" xr:uid="{2C548CE2-3BAD-40EE-AEC9-28EF111100DE}"/>
    <cellStyle name="Comma 6 3 2 8 2" xfId="44499" xr:uid="{42A54E65-F9BE-4AE8-A949-6089334264D4}"/>
    <cellStyle name="Comma 6 3 2 8 3" xfId="26245" xr:uid="{90E1F134-CF39-41EC-B4B6-9AE2D5F8C7E4}"/>
    <cellStyle name="Comma 6 3 2 9" xfId="4341" xr:uid="{D283A912-7DA8-44E2-B767-385B18D732E9}"/>
    <cellStyle name="Comma 6 3 2 9 2" xfId="40849" xr:uid="{3B361091-61AC-4963-9460-EF5886B61760}"/>
    <cellStyle name="Comma 6 3 2 9 3" xfId="22595" xr:uid="{C560C411-B535-4DBD-AF6B-296F5EB36C0D}"/>
    <cellStyle name="Comma 6 3 3" xfId="587" xr:uid="{36222665-FE0B-42CB-BA74-219B7BA6319E}"/>
    <cellStyle name="Comma 6 3 3 10" xfId="37095" xr:uid="{A7C7C64D-4D17-4A8D-B8D8-BEF22D220757}"/>
    <cellStyle name="Comma 6 3 3 11" xfId="18841" xr:uid="{F9EEB8AC-8E3F-47FB-BFE4-3D40B4E33C1C}"/>
    <cellStyle name="Comma 6 3 3 2" xfId="3507" xr:uid="{823B883B-0DA0-4FB5-BAF1-72FBA155B858}"/>
    <cellStyle name="Comma 6 3 3 2 2" xfId="18107" xr:uid="{94D24E08-8E48-4A9F-BAE5-50A674203761}"/>
    <cellStyle name="Comma 6 3 3 2 2 2" xfId="54615" xr:uid="{BDE3348D-23DE-4ADB-B08C-BF285EE4E646}"/>
    <cellStyle name="Comma 6 3 3 2 2 3" xfId="36361" xr:uid="{15D08B3F-490B-4409-90B9-6F2D1E239180}"/>
    <cellStyle name="Comma 6 3 3 2 3" xfId="14457" xr:uid="{BAFC1EAC-D598-444E-94E4-62FEFE3520EA}"/>
    <cellStyle name="Comma 6 3 3 2 3 2" xfId="50965" xr:uid="{3F3139F4-A671-4ACD-8C20-2441E96294C0}"/>
    <cellStyle name="Comma 6 3 3 2 3 3" xfId="32711" xr:uid="{86764498-982B-4675-838B-2D8E7BBE39A5}"/>
    <cellStyle name="Comma 6 3 3 2 4" xfId="10807" xr:uid="{4F6D5193-077A-417F-9B8D-73733B9A89E3}"/>
    <cellStyle name="Comma 6 3 3 2 4 2" xfId="47315" xr:uid="{3D7E03EA-2C3E-4596-910C-61095FFF784B}"/>
    <cellStyle name="Comma 6 3 3 2 4 3" xfId="29061" xr:uid="{B365D590-B988-4AF2-BFDA-4F54780B1DE7}"/>
    <cellStyle name="Comma 6 3 3 2 5" xfId="7157" xr:uid="{C686D3A4-04F3-48E9-8D40-CA81E3951BCA}"/>
    <cellStyle name="Comma 6 3 3 2 5 2" xfId="43665" xr:uid="{32B65494-5351-439E-AA30-5A656B335F14}"/>
    <cellStyle name="Comma 6 3 3 2 5 3" xfId="25411" xr:uid="{3E684170-DE17-47CD-B287-9ED576F94F03}"/>
    <cellStyle name="Comma 6 3 3 2 6" xfId="40015" xr:uid="{C09D772F-D027-4510-8721-C186528337A0}"/>
    <cellStyle name="Comma 6 3 3 2 7" xfId="21761" xr:uid="{E802C6BD-BF93-4449-B2BD-6D4A93815485}"/>
    <cellStyle name="Comma 6 3 3 3" xfId="2777" xr:uid="{0F4E1F05-F70E-47C7-81ED-89F74DD86980}"/>
    <cellStyle name="Comma 6 3 3 3 2" xfId="17377" xr:uid="{F2AD36B3-863F-4211-BF1F-3C4EA126422A}"/>
    <cellStyle name="Comma 6 3 3 3 2 2" xfId="53885" xr:uid="{29885099-8F22-4251-9AFB-A7AC15F0742D}"/>
    <cellStyle name="Comma 6 3 3 3 2 3" xfId="35631" xr:uid="{25D0770B-3DC1-4D1A-A9D9-EA71AEBA0060}"/>
    <cellStyle name="Comma 6 3 3 3 3" xfId="13727" xr:uid="{4304FEDF-F1F1-4BBB-BA63-C3CC70CD544A}"/>
    <cellStyle name="Comma 6 3 3 3 3 2" xfId="50235" xr:uid="{B133E041-378F-4AAD-B1DB-4F4536CFD153}"/>
    <cellStyle name="Comma 6 3 3 3 3 3" xfId="31981" xr:uid="{63762086-624A-4208-ABD2-56649B7F7FD9}"/>
    <cellStyle name="Comma 6 3 3 3 4" xfId="10077" xr:uid="{10D87B8A-0BAB-4AAC-AE7B-9D0EF9BFA6C7}"/>
    <cellStyle name="Comma 6 3 3 3 4 2" xfId="46585" xr:uid="{0CED4546-73D5-4C15-BAFA-952C9897CB90}"/>
    <cellStyle name="Comma 6 3 3 3 4 3" xfId="28331" xr:uid="{D722674E-C464-4861-9966-3D04B66CBB57}"/>
    <cellStyle name="Comma 6 3 3 3 5" xfId="6427" xr:uid="{FC2E1F37-A3D6-41EF-8400-BAB037EAFF2E}"/>
    <cellStyle name="Comma 6 3 3 3 5 2" xfId="42935" xr:uid="{4F4BBA11-CF48-4C1A-9ABD-383A40EDE691}"/>
    <cellStyle name="Comma 6 3 3 3 5 3" xfId="24681" xr:uid="{3458790D-338D-41CD-8BFE-98CED9496F86}"/>
    <cellStyle name="Comma 6 3 3 3 6" xfId="39285" xr:uid="{AEF3B25C-986E-4351-8DE8-36F25A332F43}"/>
    <cellStyle name="Comma 6 3 3 3 7" xfId="21031" xr:uid="{0F8EB973-7C52-4149-BA11-6F6F10A929DF}"/>
    <cellStyle name="Comma 6 3 3 4" xfId="2047" xr:uid="{A882365D-FBC1-4F1A-8DD5-D45528D87F91}"/>
    <cellStyle name="Comma 6 3 3 4 2" xfId="16647" xr:uid="{089B3F7B-03A2-448C-80A0-198C7E8A9DDE}"/>
    <cellStyle name="Comma 6 3 3 4 2 2" xfId="53155" xr:uid="{1A62A4E6-5AEF-452E-B8AF-623713F2331E}"/>
    <cellStyle name="Comma 6 3 3 4 2 3" xfId="34901" xr:uid="{B775ACDE-6E37-42EC-A53A-2CAB5A1ECBDD}"/>
    <cellStyle name="Comma 6 3 3 4 3" xfId="12997" xr:uid="{B8108A10-82FA-4EE8-AD85-FE4799CD7094}"/>
    <cellStyle name="Comma 6 3 3 4 3 2" xfId="49505" xr:uid="{373BC75D-8599-4B2B-8E3F-8E9045FA4D6C}"/>
    <cellStyle name="Comma 6 3 3 4 3 3" xfId="31251" xr:uid="{9ED1E249-6D66-4170-904B-33C4FC62A206}"/>
    <cellStyle name="Comma 6 3 3 4 4" xfId="9347" xr:uid="{39E94945-BF82-4E1A-84E2-D674DBA9C831}"/>
    <cellStyle name="Comma 6 3 3 4 4 2" xfId="45855" xr:uid="{6E3FD3F5-D6D4-43D0-8278-A20A2C2C6D26}"/>
    <cellStyle name="Comma 6 3 3 4 4 3" xfId="27601" xr:uid="{3DFCB24C-5F37-467E-9EC4-DC28D9BD23A0}"/>
    <cellStyle name="Comma 6 3 3 4 5" xfId="5697" xr:uid="{34BBFAD4-2A33-4C44-B94B-D3122697D197}"/>
    <cellStyle name="Comma 6 3 3 4 5 2" xfId="42205" xr:uid="{947D1612-D6BE-46E7-B62A-F748DC93331B}"/>
    <cellStyle name="Comma 6 3 3 4 5 3" xfId="23951" xr:uid="{8F871FBF-4A15-424B-B7F6-1EA440E294A6}"/>
    <cellStyle name="Comma 6 3 3 4 6" xfId="38555" xr:uid="{A62F367A-F4CC-4196-8973-931F3B73F85C}"/>
    <cellStyle name="Comma 6 3 3 4 7" xfId="20301" xr:uid="{788E9B20-975E-4362-86B5-64304E7FE5F5}"/>
    <cellStyle name="Comma 6 3 3 5" xfId="1317" xr:uid="{15F1E61D-A73F-40B9-B104-B9355ECF86B3}"/>
    <cellStyle name="Comma 6 3 3 5 2" xfId="15917" xr:uid="{DCBFE24D-5B8A-4D71-8C55-0E7CE7C89FFB}"/>
    <cellStyle name="Comma 6 3 3 5 2 2" xfId="52425" xr:uid="{17C520CF-05C9-4585-9F26-37678AD33B9C}"/>
    <cellStyle name="Comma 6 3 3 5 2 3" xfId="34171" xr:uid="{7A3A9703-AEDA-41E9-8F4C-65EA076FA2E5}"/>
    <cellStyle name="Comma 6 3 3 5 3" xfId="12267" xr:uid="{FF285E42-086E-4C2C-A880-E75125E28D3B}"/>
    <cellStyle name="Comma 6 3 3 5 3 2" xfId="48775" xr:uid="{B16D040F-C176-4377-A095-3443842B1461}"/>
    <cellStyle name="Comma 6 3 3 5 3 3" xfId="30521" xr:uid="{4FC2A06F-70F1-4D75-9313-F0B6E6C47477}"/>
    <cellStyle name="Comma 6 3 3 5 4" xfId="8617" xr:uid="{D3E908AB-F583-40E1-A800-8C18621692D1}"/>
    <cellStyle name="Comma 6 3 3 5 4 2" xfId="45125" xr:uid="{4CE6AE96-E97C-4571-AF3B-CCBAE689C702}"/>
    <cellStyle name="Comma 6 3 3 5 4 3" xfId="26871" xr:uid="{1AA6C18A-27C0-47F0-BD1B-183AAF5BABE9}"/>
    <cellStyle name="Comma 6 3 3 5 5" xfId="4967" xr:uid="{9C142DCA-1A9E-43F1-BF72-23F05E6147D6}"/>
    <cellStyle name="Comma 6 3 3 5 5 2" xfId="41475" xr:uid="{7677B9AE-0B61-46E9-8F2E-0E33B64AD1E6}"/>
    <cellStyle name="Comma 6 3 3 5 5 3" xfId="23221" xr:uid="{50A68BBB-DB43-47FD-8D9E-54113BA7C9FA}"/>
    <cellStyle name="Comma 6 3 3 5 6" xfId="37825" xr:uid="{F0632ABF-5EDF-4361-9941-E79C80948A0F}"/>
    <cellStyle name="Comma 6 3 3 5 7" xfId="19571" xr:uid="{4E2DB07A-898E-4E05-862A-D73168C68AE6}"/>
    <cellStyle name="Comma 6 3 3 6" xfId="15187" xr:uid="{8446E3D5-E319-4E3B-A778-FBC9337B0845}"/>
    <cellStyle name="Comma 6 3 3 6 2" xfId="51695" xr:uid="{BEE3EF42-7788-41ED-AE27-3BE46D3FC117}"/>
    <cellStyle name="Comma 6 3 3 6 3" xfId="33441" xr:uid="{D1F8DC77-F1C4-4856-9530-D94CE90D70EC}"/>
    <cellStyle name="Comma 6 3 3 7" xfId="11537" xr:uid="{FE2F3E9B-7A76-4260-9A70-C71006558CA4}"/>
    <cellStyle name="Comma 6 3 3 7 2" xfId="48045" xr:uid="{85106DD8-4C99-4C8C-8F55-A86BDEE1E8F3}"/>
    <cellStyle name="Comma 6 3 3 7 3" xfId="29791" xr:uid="{CADF7A40-3C0E-4508-B1DE-E52238E79A18}"/>
    <cellStyle name="Comma 6 3 3 8" xfId="7887" xr:uid="{F43505A6-8A4D-417C-BF7A-3AB5E5B6D0D4}"/>
    <cellStyle name="Comma 6 3 3 8 2" xfId="44395" xr:uid="{C4386F60-1BA1-4D6F-B6D9-B343641D5F67}"/>
    <cellStyle name="Comma 6 3 3 8 3" xfId="26141" xr:uid="{1F1AA9B3-0D99-4246-A26F-DC51154BBC6F}"/>
    <cellStyle name="Comma 6 3 3 9" xfId="4237" xr:uid="{EDC6D9E2-ED34-4F15-A8BA-2B956998B392}"/>
    <cellStyle name="Comma 6 3 3 9 2" xfId="40745" xr:uid="{8D611B80-4053-4A8A-A718-6D2ECC1ECE33}"/>
    <cellStyle name="Comma 6 3 3 9 3" xfId="22491" xr:uid="{1EDF2047-9806-4ADA-8476-61F5DC56FCC1}"/>
    <cellStyle name="Comma 6 3 4" xfId="483" xr:uid="{FDB6797C-8FA5-4B81-8E90-748831B5355E}"/>
    <cellStyle name="Comma 6 3 4 10" xfId="36991" xr:uid="{1D0613B3-6284-4F68-9683-10252A4F85A0}"/>
    <cellStyle name="Comma 6 3 4 11" xfId="18737" xr:uid="{A7034D77-D269-4562-A94B-8183DCD2D063}"/>
    <cellStyle name="Comma 6 3 4 2" xfId="3403" xr:uid="{2A39ADC2-AB56-4896-B810-E014A084923F}"/>
    <cellStyle name="Comma 6 3 4 2 2" xfId="18003" xr:uid="{B4F50FB2-5989-466A-8DE9-A194C76F6871}"/>
    <cellStyle name="Comma 6 3 4 2 2 2" xfId="54511" xr:uid="{CF970686-B8E1-4EEE-91FE-B6B8EAACCB41}"/>
    <cellStyle name="Comma 6 3 4 2 2 3" xfId="36257" xr:uid="{AEAF3816-B1FC-4603-989B-F8B7EE901911}"/>
    <cellStyle name="Comma 6 3 4 2 3" xfId="14353" xr:uid="{CC329890-048C-4433-B882-BA588000DF44}"/>
    <cellStyle name="Comma 6 3 4 2 3 2" xfId="50861" xr:uid="{EB9F50C7-E89F-450C-B847-5ECB44EDCFC6}"/>
    <cellStyle name="Comma 6 3 4 2 3 3" xfId="32607" xr:uid="{0B839F6D-13AC-4DC5-BBD6-F81909FDEA3E}"/>
    <cellStyle name="Comma 6 3 4 2 4" xfId="10703" xr:uid="{8C5EA867-EE79-4262-A161-10E6157F3832}"/>
    <cellStyle name="Comma 6 3 4 2 4 2" xfId="47211" xr:uid="{CA1A10CC-7D2B-4EFD-A445-F416A1DB1863}"/>
    <cellStyle name="Comma 6 3 4 2 4 3" xfId="28957" xr:uid="{0B457660-2F40-40A9-A258-2D100E91EAA0}"/>
    <cellStyle name="Comma 6 3 4 2 5" xfId="7053" xr:uid="{EE558137-55E9-4A69-A6C5-AF8966B9A328}"/>
    <cellStyle name="Comma 6 3 4 2 5 2" xfId="43561" xr:uid="{41AB1C9B-6ECF-441B-BE39-998713AA59B8}"/>
    <cellStyle name="Comma 6 3 4 2 5 3" xfId="25307" xr:uid="{66BA0FFA-F929-4ABE-B8A3-7AD10A2D7A51}"/>
    <cellStyle name="Comma 6 3 4 2 6" xfId="39911" xr:uid="{7C20F31A-2C22-43C4-B2B1-CC7C779C9AFC}"/>
    <cellStyle name="Comma 6 3 4 2 7" xfId="21657" xr:uid="{F8D52A9A-CB89-41AB-B7B2-4A9851555F88}"/>
    <cellStyle name="Comma 6 3 4 3" xfId="2673" xr:uid="{AD75EEAB-B802-483A-B0A1-60FDBC2E30D9}"/>
    <cellStyle name="Comma 6 3 4 3 2" xfId="17273" xr:uid="{53CC9A63-897E-422F-AEE4-B53A67C284A3}"/>
    <cellStyle name="Comma 6 3 4 3 2 2" xfId="53781" xr:uid="{7B56DDAC-2A6E-48FF-96A1-12346AFBDD55}"/>
    <cellStyle name="Comma 6 3 4 3 2 3" xfId="35527" xr:uid="{D28DE611-4B0E-4C6C-8AAD-F80454FAC13F}"/>
    <cellStyle name="Comma 6 3 4 3 3" xfId="13623" xr:uid="{87052CE7-CAF0-4336-A0DF-5310963DF177}"/>
    <cellStyle name="Comma 6 3 4 3 3 2" xfId="50131" xr:uid="{22B3016B-5CD4-4F7B-A2E8-6B22F8B074C6}"/>
    <cellStyle name="Comma 6 3 4 3 3 3" xfId="31877" xr:uid="{B0D9AD4F-26BB-4854-88CE-9151C9A465F5}"/>
    <cellStyle name="Comma 6 3 4 3 4" xfId="9973" xr:uid="{5E27B893-1E65-4A5B-910F-66044A560EDE}"/>
    <cellStyle name="Comma 6 3 4 3 4 2" xfId="46481" xr:uid="{4FF0AB56-59EC-4592-89DD-6F719F2F2C18}"/>
    <cellStyle name="Comma 6 3 4 3 4 3" xfId="28227" xr:uid="{9BB21B38-60EE-415A-9F65-F277E43EBA76}"/>
    <cellStyle name="Comma 6 3 4 3 5" xfId="6323" xr:uid="{87C0FC08-3DB1-414A-A807-CAEB485B1B68}"/>
    <cellStyle name="Comma 6 3 4 3 5 2" xfId="42831" xr:uid="{15DE2C77-EB53-4883-BB73-C5D8D5C952A7}"/>
    <cellStyle name="Comma 6 3 4 3 5 3" xfId="24577" xr:uid="{39B0D228-F668-446D-B165-57E888C9070B}"/>
    <cellStyle name="Comma 6 3 4 3 6" xfId="39181" xr:uid="{43CF95BA-701D-4899-9E8C-F5F6BC25E55A}"/>
    <cellStyle name="Comma 6 3 4 3 7" xfId="20927" xr:uid="{828FECF9-196E-4819-BDA5-7757A6870191}"/>
    <cellStyle name="Comma 6 3 4 4" xfId="1943" xr:uid="{4B6BFA17-A6DF-4C30-A7A5-972DE194F00F}"/>
    <cellStyle name="Comma 6 3 4 4 2" xfId="16543" xr:uid="{E8AB2D01-A5D0-4877-9595-C1A26EC6348B}"/>
    <cellStyle name="Comma 6 3 4 4 2 2" xfId="53051" xr:uid="{6A698EB5-71CD-421A-A08F-1A34197289CD}"/>
    <cellStyle name="Comma 6 3 4 4 2 3" xfId="34797" xr:uid="{FEFC576B-44D0-4DDA-9358-ECF035AEF2F3}"/>
    <cellStyle name="Comma 6 3 4 4 3" xfId="12893" xr:uid="{3CC9ED99-F2BD-438E-B65F-53C8A0DB95B9}"/>
    <cellStyle name="Comma 6 3 4 4 3 2" xfId="49401" xr:uid="{646C135E-FECC-48CF-BD96-9EF155236D52}"/>
    <cellStyle name="Comma 6 3 4 4 3 3" xfId="31147" xr:uid="{05568CE9-7B32-4F00-BC65-AD69487E928F}"/>
    <cellStyle name="Comma 6 3 4 4 4" xfId="9243" xr:uid="{ACBE3DA7-17D0-4F6D-9B8B-0DB275876947}"/>
    <cellStyle name="Comma 6 3 4 4 4 2" xfId="45751" xr:uid="{5C092211-1AF4-41D5-9C5A-9566A92F84B3}"/>
    <cellStyle name="Comma 6 3 4 4 4 3" xfId="27497" xr:uid="{C06319C6-6EE5-4F46-8BDD-4A4C86B0B6FF}"/>
    <cellStyle name="Comma 6 3 4 4 5" xfId="5593" xr:uid="{11496417-4FAE-40F3-A68F-568ED89B8255}"/>
    <cellStyle name="Comma 6 3 4 4 5 2" xfId="42101" xr:uid="{80995706-2F03-4D21-96DD-2AD8A77B7907}"/>
    <cellStyle name="Comma 6 3 4 4 5 3" xfId="23847" xr:uid="{1E4641B3-C86F-472F-9D16-890F3974AAC3}"/>
    <cellStyle name="Comma 6 3 4 4 6" xfId="38451" xr:uid="{3DB52007-CCF7-49DF-9FD1-0EDC376EF854}"/>
    <cellStyle name="Comma 6 3 4 4 7" xfId="20197" xr:uid="{38A85DE2-20E0-472D-9312-5FEF7B2A6960}"/>
    <cellStyle name="Comma 6 3 4 5" xfId="1213" xr:uid="{6036FA44-9A4E-42F7-BABB-1AFC837CA649}"/>
    <cellStyle name="Comma 6 3 4 5 2" xfId="15813" xr:uid="{13667ACB-0265-48A7-BDD0-1E55B30F497D}"/>
    <cellStyle name="Comma 6 3 4 5 2 2" xfId="52321" xr:uid="{7043F310-8CD6-4C6F-8046-3BA0CF52B846}"/>
    <cellStyle name="Comma 6 3 4 5 2 3" xfId="34067" xr:uid="{92F13689-2667-4FC7-B7BB-519DA4F07410}"/>
    <cellStyle name="Comma 6 3 4 5 3" xfId="12163" xr:uid="{E0D3ED6F-6514-4697-9C30-793BE4CAE782}"/>
    <cellStyle name="Comma 6 3 4 5 3 2" xfId="48671" xr:uid="{753A0B32-9BE3-4082-AFF3-45837A2A259D}"/>
    <cellStyle name="Comma 6 3 4 5 3 3" xfId="30417" xr:uid="{E1C63259-DE57-4994-B045-009AC8CA9FB9}"/>
    <cellStyle name="Comma 6 3 4 5 4" xfId="8513" xr:uid="{EBD6DDD9-7A82-44E6-AECC-096C9935595A}"/>
    <cellStyle name="Comma 6 3 4 5 4 2" xfId="45021" xr:uid="{E999386A-F29E-4D1C-8632-AC7C73124DAA}"/>
    <cellStyle name="Comma 6 3 4 5 4 3" xfId="26767" xr:uid="{7965929A-CCBD-4087-B0B9-67AE6FDD423E}"/>
    <cellStyle name="Comma 6 3 4 5 5" xfId="4863" xr:uid="{38000996-0689-477C-B65B-22985F73EAB7}"/>
    <cellStyle name="Comma 6 3 4 5 5 2" xfId="41371" xr:uid="{7E61B464-0CF5-41DF-882F-A8D40C9349AE}"/>
    <cellStyle name="Comma 6 3 4 5 5 3" xfId="23117" xr:uid="{3456880E-F0FD-43BD-B073-8CA9157F666D}"/>
    <cellStyle name="Comma 6 3 4 5 6" xfId="37721" xr:uid="{CD9AD24E-42FF-478F-95C9-FA65ABA64DD5}"/>
    <cellStyle name="Comma 6 3 4 5 7" xfId="19467" xr:uid="{2D3D5865-4859-4BC2-9C6B-FAA9B86CE7CF}"/>
    <cellStyle name="Comma 6 3 4 6" xfId="15083" xr:uid="{9224584B-B97B-4C67-9770-F4BF1885F1B8}"/>
    <cellStyle name="Comma 6 3 4 6 2" xfId="51591" xr:uid="{BE8AAF04-B165-4336-A760-52269E9BB526}"/>
    <cellStyle name="Comma 6 3 4 6 3" xfId="33337" xr:uid="{937B8A4E-006F-4C9B-BB1C-83E80E6B150D}"/>
    <cellStyle name="Comma 6 3 4 7" xfId="11433" xr:uid="{1BB4B704-AE5F-47BB-8BFE-D5CCE4DEC441}"/>
    <cellStyle name="Comma 6 3 4 7 2" xfId="47941" xr:uid="{5D0BC80D-7694-4847-915E-BE553C281F58}"/>
    <cellStyle name="Comma 6 3 4 7 3" xfId="29687" xr:uid="{E9EDA3B4-B447-4ACD-9AC1-D085ABE3E2DF}"/>
    <cellStyle name="Comma 6 3 4 8" xfId="7783" xr:uid="{4896B537-CC50-4AF1-9A52-A57DAFA134E7}"/>
    <cellStyle name="Comma 6 3 4 8 2" xfId="44291" xr:uid="{D8C2DE10-010D-43F1-B6DC-D7820D302111}"/>
    <cellStyle name="Comma 6 3 4 8 3" xfId="26037" xr:uid="{8FFA3159-6F57-447B-B925-2FFCA841F055}"/>
    <cellStyle name="Comma 6 3 4 9" xfId="4133" xr:uid="{D2881F47-8388-4660-815E-751E941EC3BE}"/>
    <cellStyle name="Comma 6 3 4 9 2" xfId="40641" xr:uid="{DA95CED8-6A8D-4721-9880-63C5F226BE53}"/>
    <cellStyle name="Comma 6 3 4 9 3" xfId="22387" xr:uid="{905E47CE-1448-45A8-AC1F-A6C8B1A32430}"/>
    <cellStyle name="Comma 6 3 5" xfId="379" xr:uid="{1502168A-B040-444D-9D6E-B029EFC0375D}"/>
    <cellStyle name="Comma 6 3 5 10" xfId="36887" xr:uid="{6BDBE369-79D1-4FD6-AEB0-F218BFAC987E}"/>
    <cellStyle name="Comma 6 3 5 11" xfId="18633" xr:uid="{D46AC718-E428-40D4-903A-1D34A5D82A41}"/>
    <cellStyle name="Comma 6 3 5 2" xfId="3299" xr:uid="{4D50FE0F-F0EA-4913-B1F8-0786BA73D047}"/>
    <cellStyle name="Comma 6 3 5 2 2" xfId="17899" xr:uid="{A83C911F-8E7F-4BC0-8E93-31056302E111}"/>
    <cellStyle name="Comma 6 3 5 2 2 2" xfId="54407" xr:uid="{C17B6A19-C7BF-4160-B816-1353282165BB}"/>
    <cellStyle name="Comma 6 3 5 2 2 3" xfId="36153" xr:uid="{2A7AAFA7-0079-4260-9A71-4AA955D414FF}"/>
    <cellStyle name="Comma 6 3 5 2 3" xfId="14249" xr:uid="{D5C6E399-288B-4BC8-8BC4-4792E31ED691}"/>
    <cellStyle name="Comma 6 3 5 2 3 2" xfId="50757" xr:uid="{6B6F55A5-66E6-4230-89BE-23981135DE9C}"/>
    <cellStyle name="Comma 6 3 5 2 3 3" xfId="32503" xr:uid="{6F3185F7-551B-4B00-9B29-CC6EB7795AC6}"/>
    <cellStyle name="Comma 6 3 5 2 4" xfId="10599" xr:uid="{DD0C29C6-B49B-4AE5-93A8-15BDA6293B63}"/>
    <cellStyle name="Comma 6 3 5 2 4 2" xfId="47107" xr:uid="{B8B509ED-FADA-48E0-8B50-F2E39DF3DE2C}"/>
    <cellStyle name="Comma 6 3 5 2 4 3" xfId="28853" xr:uid="{C40C0988-C46E-483C-BFB1-8549592A377D}"/>
    <cellStyle name="Comma 6 3 5 2 5" xfId="6949" xr:uid="{5BCF3E42-1C3D-40C6-8F76-517707AFA082}"/>
    <cellStyle name="Comma 6 3 5 2 5 2" xfId="43457" xr:uid="{201BE610-CF17-4293-A580-BA8BE620DEEC}"/>
    <cellStyle name="Comma 6 3 5 2 5 3" xfId="25203" xr:uid="{8F4AD192-999B-412D-90AB-A9A622855151}"/>
    <cellStyle name="Comma 6 3 5 2 6" xfId="39807" xr:uid="{4B2C8ADA-6451-4D8C-A3D1-655E10E75280}"/>
    <cellStyle name="Comma 6 3 5 2 7" xfId="21553" xr:uid="{874DA5FD-C270-451F-BADE-251BEA4FE3AF}"/>
    <cellStyle name="Comma 6 3 5 3" xfId="2569" xr:uid="{447DC44E-F44D-4201-8478-185C24DF513E}"/>
    <cellStyle name="Comma 6 3 5 3 2" xfId="17169" xr:uid="{E8124735-E8C7-494B-8C48-9BA75CAEA124}"/>
    <cellStyle name="Comma 6 3 5 3 2 2" xfId="53677" xr:uid="{5BE03F93-B112-4042-8A44-7B68F8CBC3D8}"/>
    <cellStyle name="Comma 6 3 5 3 2 3" xfId="35423" xr:uid="{BA1F62D9-97EE-4E88-AC7C-E802C853F98D}"/>
    <cellStyle name="Comma 6 3 5 3 3" xfId="13519" xr:uid="{828B9807-B776-4A4F-9D64-7797342B5F59}"/>
    <cellStyle name="Comma 6 3 5 3 3 2" xfId="50027" xr:uid="{8F167D1E-2D2E-46C5-9AC4-4B95B56E453D}"/>
    <cellStyle name="Comma 6 3 5 3 3 3" xfId="31773" xr:uid="{918B35BA-419A-42AC-8464-AE91DD45EE67}"/>
    <cellStyle name="Comma 6 3 5 3 4" xfId="9869" xr:uid="{5C74FFD7-DD0C-4E0B-ACC2-2BF4EAAFBA29}"/>
    <cellStyle name="Comma 6 3 5 3 4 2" xfId="46377" xr:uid="{1FA9FD59-0E68-4CEF-86D1-4E86724A96BB}"/>
    <cellStyle name="Comma 6 3 5 3 4 3" xfId="28123" xr:uid="{B7395C82-E036-49E0-99F9-0DA2EA7FE590}"/>
    <cellStyle name="Comma 6 3 5 3 5" xfId="6219" xr:uid="{9535B67B-0448-4FFC-8A9C-8B7FBA2AD588}"/>
    <cellStyle name="Comma 6 3 5 3 5 2" xfId="42727" xr:uid="{70656723-70FC-41A5-AEC3-44EEE5602E18}"/>
    <cellStyle name="Comma 6 3 5 3 5 3" xfId="24473" xr:uid="{5B23CD67-7933-4998-A1E8-36B099DB41DE}"/>
    <cellStyle name="Comma 6 3 5 3 6" xfId="39077" xr:uid="{E1A15F0E-5F29-421A-9D4F-BD9C0934FFBA}"/>
    <cellStyle name="Comma 6 3 5 3 7" xfId="20823" xr:uid="{0C45647C-CE63-4F67-8292-F5F4A851285D}"/>
    <cellStyle name="Comma 6 3 5 4" xfId="1839" xr:uid="{B8799B1C-6CB4-4F9A-8799-9C0D729A7F1A}"/>
    <cellStyle name="Comma 6 3 5 4 2" xfId="16439" xr:uid="{46C28837-3360-4479-8E83-ADF3CE5F3894}"/>
    <cellStyle name="Comma 6 3 5 4 2 2" xfId="52947" xr:uid="{34F21D4D-5B1F-4F9C-944A-0E9E77495584}"/>
    <cellStyle name="Comma 6 3 5 4 2 3" xfId="34693" xr:uid="{2F50666E-AC23-4B03-84F0-3F215864CE2D}"/>
    <cellStyle name="Comma 6 3 5 4 3" xfId="12789" xr:uid="{B025D10F-CCDD-40A8-BA28-5A255436D16D}"/>
    <cellStyle name="Comma 6 3 5 4 3 2" xfId="49297" xr:uid="{A637FBFA-0D88-46FB-B73D-0AD45A6ED8E2}"/>
    <cellStyle name="Comma 6 3 5 4 3 3" xfId="31043" xr:uid="{FE09F3EE-07BE-4C64-A1FF-F784CCD060AD}"/>
    <cellStyle name="Comma 6 3 5 4 4" xfId="9139" xr:uid="{D1BAE1AA-4F05-4019-A2C5-A70BDEAE5D23}"/>
    <cellStyle name="Comma 6 3 5 4 4 2" xfId="45647" xr:uid="{5C3B581A-02FD-437D-83A3-011EACFB602B}"/>
    <cellStyle name="Comma 6 3 5 4 4 3" xfId="27393" xr:uid="{289FA1A8-B8AE-4317-AA92-E3BA81286A34}"/>
    <cellStyle name="Comma 6 3 5 4 5" xfId="5489" xr:uid="{0CC9292A-13EC-4701-B107-DD6CE21A2EFC}"/>
    <cellStyle name="Comma 6 3 5 4 5 2" xfId="41997" xr:uid="{82CC1561-0EE7-4DC6-B73C-28064CC92F78}"/>
    <cellStyle name="Comma 6 3 5 4 5 3" xfId="23743" xr:uid="{EA03DB79-0624-421F-8C80-41F9F1140463}"/>
    <cellStyle name="Comma 6 3 5 4 6" xfId="38347" xr:uid="{046832C3-909C-4289-B247-BDA4A0EA4ACC}"/>
    <cellStyle name="Comma 6 3 5 4 7" xfId="20093" xr:uid="{10D83B88-B98D-44B1-968C-013581448F1E}"/>
    <cellStyle name="Comma 6 3 5 5" xfId="1109" xr:uid="{5C4618A5-5611-4BE6-AD1C-0D42BB016166}"/>
    <cellStyle name="Comma 6 3 5 5 2" xfId="15709" xr:uid="{A1706383-2E37-4442-8124-E71881380423}"/>
    <cellStyle name="Comma 6 3 5 5 2 2" xfId="52217" xr:uid="{3F596ADA-784E-4C6F-867C-32F5915B6CAB}"/>
    <cellStyle name="Comma 6 3 5 5 2 3" xfId="33963" xr:uid="{25724D20-FCAD-43E1-BA01-FC89528468D0}"/>
    <cellStyle name="Comma 6 3 5 5 3" xfId="12059" xr:uid="{C628E005-8B35-445B-8830-0E6A0F6566D8}"/>
    <cellStyle name="Comma 6 3 5 5 3 2" xfId="48567" xr:uid="{AFFC0519-E38C-4048-BE5E-59E90BAB7827}"/>
    <cellStyle name="Comma 6 3 5 5 3 3" xfId="30313" xr:uid="{CE823660-D302-4D00-8403-4709F685D631}"/>
    <cellStyle name="Comma 6 3 5 5 4" xfId="8409" xr:uid="{7D679E6B-5009-4A00-8F65-2E8F67D66A67}"/>
    <cellStyle name="Comma 6 3 5 5 4 2" xfId="44917" xr:uid="{C87C56F2-33C0-4F94-ADB4-D211D9C88D56}"/>
    <cellStyle name="Comma 6 3 5 5 4 3" xfId="26663" xr:uid="{7CAFA908-85CC-4D2F-8F9C-072E0986DE60}"/>
    <cellStyle name="Comma 6 3 5 5 5" xfId="4759" xr:uid="{B7709046-3437-48B7-AD15-25F7A0CE1933}"/>
    <cellStyle name="Comma 6 3 5 5 5 2" xfId="41267" xr:uid="{343AB485-364D-4F21-A055-40E66C792BE1}"/>
    <cellStyle name="Comma 6 3 5 5 5 3" xfId="23013" xr:uid="{9EA857A9-CA10-44A7-9B99-9D172DF49F2E}"/>
    <cellStyle name="Comma 6 3 5 5 6" xfId="37617" xr:uid="{6AFF7A57-29D6-4141-8701-8747A6BDD188}"/>
    <cellStyle name="Comma 6 3 5 5 7" xfId="19363" xr:uid="{C47C7745-AF7C-49EA-AC10-3C59AA1E9E15}"/>
    <cellStyle name="Comma 6 3 5 6" xfId="14979" xr:uid="{E6AFD2EA-C3EB-403E-94FE-33342117E775}"/>
    <cellStyle name="Comma 6 3 5 6 2" xfId="51487" xr:uid="{1C97BC46-2C82-44CD-A011-9806B4ADA615}"/>
    <cellStyle name="Comma 6 3 5 6 3" xfId="33233" xr:uid="{F2BCCE8E-06BF-4D8B-8DD0-3556694FF7CE}"/>
    <cellStyle name="Comma 6 3 5 7" xfId="11329" xr:uid="{0B66DDA0-F5E1-42B1-8998-A2BFDBF01FB5}"/>
    <cellStyle name="Comma 6 3 5 7 2" xfId="47837" xr:uid="{2CD6A294-64D9-4B0A-AD8D-BA19FFD9E26B}"/>
    <cellStyle name="Comma 6 3 5 7 3" xfId="29583" xr:uid="{47D014D7-FD57-45A4-B4F5-C9B7EE30B206}"/>
    <cellStyle name="Comma 6 3 5 8" xfId="7679" xr:uid="{1A944CC3-A755-4A53-9AC2-B5F0CE485562}"/>
    <cellStyle name="Comma 6 3 5 8 2" xfId="44187" xr:uid="{CA13F184-0E6A-4C33-BCC0-3BCC0D133411}"/>
    <cellStyle name="Comma 6 3 5 8 3" xfId="25933" xr:uid="{CD21B406-DD92-411E-A97F-B45C3E0FD88D}"/>
    <cellStyle name="Comma 6 3 5 9" xfId="4029" xr:uid="{5DF04D23-E711-4E7B-B5DA-A4668ECB6813}"/>
    <cellStyle name="Comma 6 3 5 9 2" xfId="40537" xr:uid="{509539B8-F2EF-4615-99DE-9109CBADB8FA}"/>
    <cellStyle name="Comma 6 3 5 9 3" xfId="22283" xr:uid="{A974999F-0297-425F-BDB9-BC5E0CB7B9E9}"/>
    <cellStyle name="Comma 6 3 6" xfId="275" xr:uid="{7FCF3EBB-3865-46D4-8788-9AA0283C1568}"/>
    <cellStyle name="Comma 6 3 6 10" xfId="36783" xr:uid="{D7366C11-3C69-4DC1-A20E-755DE00589E9}"/>
    <cellStyle name="Comma 6 3 6 11" xfId="18529" xr:uid="{E0465EC2-6F60-4797-89C4-58674D7E39B0}"/>
    <cellStyle name="Comma 6 3 6 2" xfId="3195" xr:uid="{225AE4E4-0B21-4F55-B0B2-D6B45B537BD7}"/>
    <cellStyle name="Comma 6 3 6 2 2" xfId="17795" xr:uid="{90A311E0-12BE-4A9C-917B-6FE086E1A106}"/>
    <cellStyle name="Comma 6 3 6 2 2 2" xfId="54303" xr:uid="{B68C0D88-FA77-4E7C-8D63-EC794FE152C6}"/>
    <cellStyle name="Comma 6 3 6 2 2 3" xfId="36049" xr:uid="{A794DCA2-CF5E-4DDA-AAFA-D28B2EE94D69}"/>
    <cellStyle name="Comma 6 3 6 2 3" xfId="14145" xr:uid="{4F514E44-0F76-4523-8B1D-860C5CD98AB6}"/>
    <cellStyle name="Comma 6 3 6 2 3 2" xfId="50653" xr:uid="{672E69A7-F0C3-427D-9917-7541FD8E46D8}"/>
    <cellStyle name="Comma 6 3 6 2 3 3" xfId="32399" xr:uid="{FA68A9D5-DAAC-4155-A708-8201AC5D5D1C}"/>
    <cellStyle name="Comma 6 3 6 2 4" xfId="10495" xr:uid="{E1F613AE-7A75-4B0C-84AD-C14BF26E8E62}"/>
    <cellStyle name="Comma 6 3 6 2 4 2" xfId="47003" xr:uid="{F1D1B446-3AD8-4CEF-91AD-4556957335F7}"/>
    <cellStyle name="Comma 6 3 6 2 4 3" xfId="28749" xr:uid="{A79F61FB-FCBC-4E4A-8481-0C8CB6FED0E4}"/>
    <cellStyle name="Comma 6 3 6 2 5" xfId="6845" xr:uid="{D33AA201-3F03-42AD-88DE-4ADE4E0B10DC}"/>
    <cellStyle name="Comma 6 3 6 2 5 2" xfId="43353" xr:uid="{7BF81E26-F0A3-4854-B6A1-AB095A0D09AE}"/>
    <cellStyle name="Comma 6 3 6 2 5 3" xfId="25099" xr:uid="{98E49C98-7AEC-4014-B4D5-78667A640DBE}"/>
    <cellStyle name="Comma 6 3 6 2 6" xfId="39703" xr:uid="{93C05151-902C-4EA3-B3D1-14D13CBBEE86}"/>
    <cellStyle name="Comma 6 3 6 2 7" xfId="21449" xr:uid="{F1C1C238-EF1E-4E64-A795-69F1CC44D313}"/>
    <cellStyle name="Comma 6 3 6 3" xfId="2465" xr:uid="{24EACE56-60D0-4DCE-8358-7C077C0CC48B}"/>
    <cellStyle name="Comma 6 3 6 3 2" xfId="17065" xr:uid="{A79DEBFF-3472-4326-BBB8-EBC21A6FE06D}"/>
    <cellStyle name="Comma 6 3 6 3 2 2" xfId="53573" xr:uid="{B4B5FEDE-EC0D-46C1-A771-FC167E06705D}"/>
    <cellStyle name="Comma 6 3 6 3 2 3" xfId="35319" xr:uid="{3887CB0E-04BC-4563-BFA0-16296EA09E48}"/>
    <cellStyle name="Comma 6 3 6 3 3" xfId="13415" xr:uid="{CD10F56E-69E8-4AC7-A036-599CD84DB21C}"/>
    <cellStyle name="Comma 6 3 6 3 3 2" xfId="49923" xr:uid="{DCC0CB5F-4B38-4FAE-A718-989D5742AB92}"/>
    <cellStyle name="Comma 6 3 6 3 3 3" xfId="31669" xr:uid="{53EEF8A4-CB7E-48EB-91A8-3A2ABA11B6F7}"/>
    <cellStyle name="Comma 6 3 6 3 4" xfId="9765" xr:uid="{055AAF7B-5856-4D5F-90B7-0AA4948A4056}"/>
    <cellStyle name="Comma 6 3 6 3 4 2" xfId="46273" xr:uid="{B30058D6-71B3-43F9-832B-5176492C2650}"/>
    <cellStyle name="Comma 6 3 6 3 4 3" xfId="28019" xr:uid="{2AB571A9-4E88-4CB8-8725-2BB7F0D9AD28}"/>
    <cellStyle name="Comma 6 3 6 3 5" xfId="6115" xr:uid="{7389E5B3-A21A-4380-A39D-1D425F3EF1AF}"/>
    <cellStyle name="Comma 6 3 6 3 5 2" xfId="42623" xr:uid="{FF945E48-5977-4E75-8F53-64F2658D0643}"/>
    <cellStyle name="Comma 6 3 6 3 5 3" xfId="24369" xr:uid="{5C7F4CB3-0F40-448A-9534-913A910394B3}"/>
    <cellStyle name="Comma 6 3 6 3 6" xfId="38973" xr:uid="{75D3ED0A-536A-4ECB-87F4-FCF20FA5B458}"/>
    <cellStyle name="Comma 6 3 6 3 7" xfId="20719" xr:uid="{04DB2928-414E-490D-A3FE-BDF0E85A417A}"/>
    <cellStyle name="Comma 6 3 6 4" xfId="1735" xr:uid="{B59B53CE-31BC-4DA5-A3AE-59F64D8E4FBE}"/>
    <cellStyle name="Comma 6 3 6 4 2" xfId="16335" xr:uid="{783A91C9-6A12-4122-A9B4-8B87A683F288}"/>
    <cellStyle name="Comma 6 3 6 4 2 2" xfId="52843" xr:uid="{9F5E41EF-E37C-41E0-93D1-391C2AB3EB68}"/>
    <cellStyle name="Comma 6 3 6 4 2 3" xfId="34589" xr:uid="{7293019D-FBB0-4E39-AC8A-FC65509F4CEF}"/>
    <cellStyle name="Comma 6 3 6 4 3" xfId="12685" xr:uid="{44D2A232-B60F-47B0-A07D-649CF84152A3}"/>
    <cellStyle name="Comma 6 3 6 4 3 2" xfId="49193" xr:uid="{A6BFDF80-3491-4B01-A93E-E783E90235FD}"/>
    <cellStyle name="Comma 6 3 6 4 3 3" xfId="30939" xr:uid="{4AD9F769-2465-4BC2-B0F9-15F954521B03}"/>
    <cellStyle name="Comma 6 3 6 4 4" xfId="9035" xr:uid="{B25B1BCD-479E-4936-B978-84BA254EC88B}"/>
    <cellStyle name="Comma 6 3 6 4 4 2" xfId="45543" xr:uid="{28C3A123-EB82-4C29-A217-32D6DF3D6A91}"/>
    <cellStyle name="Comma 6 3 6 4 4 3" xfId="27289" xr:uid="{C980E413-5381-4D23-8D06-CEE3FD13FA90}"/>
    <cellStyle name="Comma 6 3 6 4 5" xfId="5385" xr:uid="{6B08EE9C-9D64-4BE1-8875-6988A05E547D}"/>
    <cellStyle name="Comma 6 3 6 4 5 2" xfId="41893" xr:uid="{D2C1B647-E717-4452-94CD-E4323DA39BB8}"/>
    <cellStyle name="Comma 6 3 6 4 5 3" xfId="23639" xr:uid="{86025AC3-ABFE-4E20-BD1F-8BCDE41C4530}"/>
    <cellStyle name="Comma 6 3 6 4 6" xfId="38243" xr:uid="{FDC2E9A1-4B92-467F-9217-6751BF7E452E}"/>
    <cellStyle name="Comma 6 3 6 4 7" xfId="19989" xr:uid="{6C25BF3E-AFC9-4CF4-A400-C67CC3EEE413}"/>
    <cellStyle name="Comma 6 3 6 5" xfId="1005" xr:uid="{A5C69250-D49B-42D1-9812-1AA342C39BA3}"/>
    <cellStyle name="Comma 6 3 6 5 2" xfId="15605" xr:uid="{C7D0A6C3-CDE8-4C30-B22F-B29CB740EA8F}"/>
    <cellStyle name="Comma 6 3 6 5 2 2" xfId="52113" xr:uid="{12D00AFD-542E-43B1-AC08-7A771F127A70}"/>
    <cellStyle name="Comma 6 3 6 5 2 3" xfId="33859" xr:uid="{2F040145-6247-4A6E-AD6B-FCD326E66ADD}"/>
    <cellStyle name="Comma 6 3 6 5 3" xfId="11955" xr:uid="{01E62C37-1B51-4018-9B5A-6F9E3BB9530C}"/>
    <cellStyle name="Comma 6 3 6 5 3 2" xfId="48463" xr:uid="{FAEDAB20-3E73-4C96-813C-C4083F2DD482}"/>
    <cellStyle name="Comma 6 3 6 5 3 3" xfId="30209" xr:uid="{ED58618E-13E4-485B-A0A1-DC91CAF3D282}"/>
    <cellStyle name="Comma 6 3 6 5 4" xfId="8305" xr:uid="{88BD2DA8-1AD1-4471-9916-4EDA18A0B56C}"/>
    <cellStyle name="Comma 6 3 6 5 4 2" xfId="44813" xr:uid="{67C8860F-4AE9-4B05-A65C-4A4F3DDD0C1A}"/>
    <cellStyle name="Comma 6 3 6 5 4 3" xfId="26559" xr:uid="{2014F403-C52F-43FC-B169-F15E85AA67F3}"/>
    <cellStyle name="Comma 6 3 6 5 5" xfId="4655" xr:uid="{DAC4591F-8DE1-49A3-9E9E-62E65DFD287A}"/>
    <cellStyle name="Comma 6 3 6 5 5 2" xfId="41163" xr:uid="{0653C3BE-0ADD-4484-AAEF-FEA4A5433FC6}"/>
    <cellStyle name="Comma 6 3 6 5 5 3" xfId="22909" xr:uid="{A8D2FE08-B0CE-4B9F-B10C-C23E3650991A}"/>
    <cellStyle name="Comma 6 3 6 5 6" xfId="37513" xr:uid="{BB6C9177-A401-40D8-A939-823FFD9461D1}"/>
    <cellStyle name="Comma 6 3 6 5 7" xfId="19259" xr:uid="{939841EC-01C3-45EE-9556-ECF6FF8DCB85}"/>
    <cellStyle name="Comma 6 3 6 6" xfId="14875" xr:uid="{35467021-2FD8-4D0E-B88D-7BEAB51F0923}"/>
    <cellStyle name="Comma 6 3 6 6 2" xfId="51383" xr:uid="{EC0C508E-56C7-43EC-9F55-A299178F371B}"/>
    <cellStyle name="Comma 6 3 6 6 3" xfId="33129" xr:uid="{C4370E2B-0E5F-4886-931F-BD18C4FB652E}"/>
    <cellStyle name="Comma 6 3 6 7" xfId="11225" xr:uid="{9296511A-7C18-429D-B23E-DFB8863574EF}"/>
    <cellStyle name="Comma 6 3 6 7 2" xfId="47733" xr:uid="{AA3B8DD0-FF2B-4F94-8D12-BA7B18B7B1D8}"/>
    <cellStyle name="Comma 6 3 6 7 3" xfId="29479" xr:uid="{B53F23F3-8556-44F2-B3A5-C1A4900939CE}"/>
    <cellStyle name="Comma 6 3 6 8" xfId="7575" xr:uid="{830A4D9F-78B0-408F-B9CC-792C601964AE}"/>
    <cellStyle name="Comma 6 3 6 8 2" xfId="44083" xr:uid="{0D197F0E-9F30-4DB1-8BE9-FD6B6374B5A1}"/>
    <cellStyle name="Comma 6 3 6 8 3" xfId="25829" xr:uid="{395DE1AE-8852-4703-B286-A753EC193D3E}"/>
    <cellStyle name="Comma 6 3 6 9" xfId="3925" xr:uid="{17E56512-26C0-4FDE-A814-17CA0BB299CB}"/>
    <cellStyle name="Comma 6 3 6 9 2" xfId="40433" xr:uid="{EFD1BFA8-A5A1-4FB5-A2C0-78E3F1EFD41E}"/>
    <cellStyle name="Comma 6 3 6 9 3" xfId="22179" xr:uid="{66553FFF-8559-491B-A84E-0246C95276EC}"/>
    <cellStyle name="Comma 6 3 7" xfId="171" xr:uid="{F31E74CE-0205-4391-880F-188CF1677FC9}"/>
    <cellStyle name="Comma 6 3 7 10" xfId="36679" xr:uid="{EA7E4791-660B-4B2D-A253-247BD7724E81}"/>
    <cellStyle name="Comma 6 3 7 11" xfId="18425" xr:uid="{3863DF6B-DF49-4ACF-A56F-31684B01BA6E}"/>
    <cellStyle name="Comma 6 3 7 2" xfId="3091" xr:uid="{F9A643E1-F770-43DB-B155-BF62A0EB206B}"/>
    <cellStyle name="Comma 6 3 7 2 2" xfId="17691" xr:uid="{FAFA3C3E-9F65-4196-A9DB-B636557F0920}"/>
    <cellStyle name="Comma 6 3 7 2 2 2" xfId="54199" xr:uid="{0402091F-D8F4-48C2-BCF1-CED28494CFEE}"/>
    <cellStyle name="Comma 6 3 7 2 2 3" xfId="35945" xr:uid="{F0D8D271-4189-4BD2-A64D-C2CAF613E9BE}"/>
    <cellStyle name="Comma 6 3 7 2 3" xfId="14041" xr:uid="{7B27158C-C9AD-42F5-88FA-D1D10702F9C7}"/>
    <cellStyle name="Comma 6 3 7 2 3 2" xfId="50549" xr:uid="{C10BE23C-4332-4915-94A1-6C139C060EE9}"/>
    <cellStyle name="Comma 6 3 7 2 3 3" xfId="32295" xr:uid="{B1759D21-09A9-4E72-B40E-E3700EA8DE30}"/>
    <cellStyle name="Comma 6 3 7 2 4" xfId="10391" xr:uid="{E19CBD2C-77DB-43BF-AFE5-B27C41FECCB1}"/>
    <cellStyle name="Comma 6 3 7 2 4 2" xfId="46899" xr:uid="{D9B40FB3-65BB-43BD-8651-ABEBE2CE2E8A}"/>
    <cellStyle name="Comma 6 3 7 2 4 3" xfId="28645" xr:uid="{FD695B5F-9914-4F5F-B7D2-B6F653FEDF9D}"/>
    <cellStyle name="Comma 6 3 7 2 5" xfId="6741" xr:uid="{C76FF317-3AFC-4671-917A-99537A3D0C69}"/>
    <cellStyle name="Comma 6 3 7 2 5 2" xfId="43249" xr:uid="{E142646A-EA83-46EA-9B75-21C303C94926}"/>
    <cellStyle name="Comma 6 3 7 2 5 3" xfId="24995" xr:uid="{2C791C61-1110-4EBE-9DEA-EE36A1B75915}"/>
    <cellStyle name="Comma 6 3 7 2 6" xfId="39599" xr:uid="{32408F37-66BB-4E27-A873-5032C33E50E6}"/>
    <cellStyle name="Comma 6 3 7 2 7" xfId="21345" xr:uid="{473B25D0-1BF0-4957-9616-412F4613AB94}"/>
    <cellStyle name="Comma 6 3 7 3" xfId="2361" xr:uid="{665FCAE8-E7BA-41DB-9932-1E580EAB67AD}"/>
    <cellStyle name="Comma 6 3 7 3 2" xfId="16961" xr:uid="{BACF06EA-112A-43C6-93D4-018CE5EE4DA0}"/>
    <cellStyle name="Comma 6 3 7 3 2 2" xfId="53469" xr:uid="{159DFA06-A7BF-4157-88A3-6231E15111D7}"/>
    <cellStyle name="Comma 6 3 7 3 2 3" xfId="35215" xr:uid="{2697FF48-F9ED-4DEE-B94F-2DC642B8ED43}"/>
    <cellStyle name="Comma 6 3 7 3 3" xfId="13311" xr:uid="{6DCBC9E1-1362-4741-AB2F-1EBEE6427589}"/>
    <cellStyle name="Comma 6 3 7 3 3 2" xfId="49819" xr:uid="{67BC9637-7065-4726-8574-821A05F1D96D}"/>
    <cellStyle name="Comma 6 3 7 3 3 3" xfId="31565" xr:uid="{6517D0FD-B3DE-494E-A503-5D9269C95A0D}"/>
    <cellStyle name="Comma 6 3 7 3 4" xfId="9661" xr:uid="{B46F3DA4-38DE-4F29-8B54-74D1DBB42504}"/>
    <cellStyle name="Comma 6 3 7 3 4 2" xfId="46169" xr:uid="{B0338304-54C6-4E50-82C4-48CB481DD929}"/>
    <cellStyle name="Comma 6 3 7 3 4 3" xfId="27915" xr:uid="{547B14FD-C7D5-4CE5-B4FC-30BB7D004761}"/>
    <cellStyle name="Comma 6 3 7 3 5" xfId="6011" xr:uid="{BD0B3AB1-22EE-4FFB-8201-4F2E2B34FA85}"/>
    <cellStyle name="Comma 6 3 7 3 5 2" xfId="42519" xr:uid="{5709F7F6-042B-49D5-8791-1999C2CBF2C7}"/>
    <cellStyle name="Comma 6 3 7 3 5 3" xfId="24265" xr:uid="{838AB035-916A-497E-9E20-EA165389C0F5}"/>
    <cellStyle name="Comma 6 3 7 3 6" xfId="38869" xr:uid="{9443FCC5-A9DE-4F90-AB9A-E7A9894238BA}"/>
    <cellStyle name="Comma 6 3 7 3 7" xfId="20615" xr:uid="{F4CE98BF-DAB5-4D3F-AE96-ABF836D4F563}"/>
    <cellStyle name="Comma 6 3 7 4" xfId="1631" xr:uid="{9999BB9B-F772-4154-9DF0-203F2C46A8A6}"/>
    <cellStyle name="Comma 6 3 7 4 2" xfId="16231" xr:uid="{6BD13CF4-AA8B-4F32-87E2-B9A6A28CB59D}"/>
    <cellStyle name="Comma 6 3 7 4 2 2" xfId="52739" xr:uid="{BE0D55F8-0989-4925-93D4-425485A5388C}"/>
    <cellStyle name="Comma 6 3 7 4 2 3" xfId="34485" xr:uid="{2AAD2AC3-063E-494A-8B76-C35C5D85065C}"/>
    <cellStyle name="Comma 6 3 7 4 3" xfId="12581" xr:uid="{C4F8BA1C-419A-4C12-8A2B-30465789C623}"/>
    <cellStyle name="Comma 6 3 7 4 3 2" xfId="49089" xr:uid="{CE38B38B-72CC-4564-9389-44BBAE8F35D1}"/>
    <cellStyle name="Comma 6 3 7 4 3 3" xfId="30835" xr:uid="{725BAD65-BC6C-443D-B971-E76F056AD016}"/>
    <cellStyle name="Comma 6 3 7 4 4" xfId="8931" xr:uid="{728129A9-8315-4216-8DCC-0211F5415724}"/>
    <cellStyle name="Comma 6 3 7 4 4 2" xfId="45439" xr:uid="{68321D88-E4F9-439F-A09D-D66B866E41AC}"/>
    <cellStyle name="Comma 6 3 7 4 4 3" xfId="27185" xr:uid="{E76825A7-7AF2-4068-8585-EC1FAC6F5C8E}"/>
    <cellStyle name="Comma 6 3 7 4 5" xfId="5281" xr:uid="{739C3706-0460-4CAC-A762-107EC13215CA}"/>
    <cellStyle name="Comma 6 3 7 4 5 2" xfId="41789" xr:uid="{6EEBB52E-6DA7-4D75-9BCA-1A6DA7B62040}"/>
    <cellStyle name="Comma 6 3 7 4 5 3" xfId="23535" xr:uid="{A6FCD43E-34C6-48CC-935C-375744FF0A42}"/>
    <cellStyle name="Comma 6 3 7 4 6" xfId="38139" xr:uid="{95034959-72EE-4F37-8FD6-6AAC5C9C0D55}"/>
    <cellStyle name="Comma 6 3 7 4 7" xfId="19885" xr:uid="{DECFEC5E-EB53-4F35-809A-F1B50EA4A277}"/>
    <cellStyle name="Comma 6 3 7 5" xfId="901" xr:uid="{2D72A06D-96DE-4AD2-B4AD-A291A3B5BBC9}"/>
    <cellStyle name="Comma 6 3 7 5 2" xfId="15501" xr:uid="{DDDB3FE4-9620-4B42-8B82-B5123812547E}"/>
    <cellStyle name="Comma 6 3 7 5 2 2" xfId="52009" xr:uid="{E514A4CD-B33C-411B-BFEA-A0234B414199}"/>
    <cellStyle name="Comma 6 3 7 5 2 3" xfId="33755" xr:uid="{25788772-42E6-45E4-93FF-5339BA265EB5}"/>
    <cellStyle name="Comma 6 3 7 5 3" xfId="11851" xr:uid="{51347AD2-BE49-4484-96AB-A6863DFDC2F4}"/>
    <cellStyle name="Comma 6 3 7 5 3 2" xfId="48359" xr:uid="{7C4F0620-0B50-4207-BDA4-204332317457}"/>
    <cellStyle name="Comma 6 3 7 5 3 3" xfId="30105" xr:uid="{CF70C791-BE7B-4EB3-B2B6-DDE2785E5A9D}"/>
    <cellStyle name="Comma 6 3 7 5 4" xfId="8201" xr:uid="{AFD0C735-E01C-4A0E-8D71-C176C4F0F295}"/>
    <cellStyle name="Comma 6 3 7 5 4 2" xfId="44709" xr:uid="{0E296225-7482-4249-97E6-DABB68260482}"/>
    <cellStyle name="Comma 6 3 7 5 4 3" xfId="26455" xr:uid="{3E500C0B-B9CB-4895-AF93-E23A78BF427B}"/>
    <cellStyle name="Comma 6 3 7 5 5" xfId="4551" xr:uid="{747CECCA-291F-4AC9-9D2E-3E09D94AE894}"/>
    <cellStyle name="Comma 6 3 7 5 5 2" xfId="41059" xr:uid="{71B1FFAB-FBDF-46F1-95B2-4240688A4EFA}"/>
    <cellStyle name="Comma 6 3 7 5 5 3" xfId="22805" xr:uid="{0FF94B34-A742-4F15-8950-D05D49509A77}"/>
    <cellStyle name="Comma 6 3 7 5 6" xfId="37409" xr:uid="{80B6DE9C-E4F3-4797-B332-D23655305EE8}"/>
    <cellStyle name="Comma 6 3 7 5 7" xfId="19155" xr:uid="{4AEB1AD0-334B-407F-B274-6BC7D37D884F}"/>
    <cellStyle name="Comma 6 3 7 6" xfId="14771" xr:uid="{91BC8C32-FD52-4071-9318-D870CDEF88E8}"/>
    <cellStyle name="Comma 6 3 7 6 2" xfId="51279" xr:uid="{78AEDBCF-ABAA-4874-8FE3-B9003136492C}"/>
    <cellStyle name="Comma 6 3 7 6 3" xfId="33025" xr:uid="{083E2220-DE42-40E2-B28F-391B8C0045C2}"/>
    <cellStyle name="Comma 6 3 7 7" xfId="11121" xr:uid="{BCCF9B00-6F0B-4F51-9C93-E2B158552C2C}"/>
    <cellStyle name="Comma 6 3 7 7 2" xfId="47629" xr:uid="{401B7E8F-2E5F-4E6E-A5F8-24E3656994F3}"/>
    <cellStyle name="Comma 6 3 7 7 3" xfId="29375" xr:uid="{CF09BF20-557B-4A31-B54F-80424AFAFDEE}"/>
    <cellStyle name="Comma 6 3 7 8" xfId="7471" xr:uid="{50EE7DD4-BDFB-4592-8F0A-FA778068838B}"/>
    <cellStyle name="Comma 6 3 7 8 2" xfId="43979" xr:uid="{B41FE775-A5DF-4943-A0CD-E9AD16617CBB}"/>
    <cellStyle name="Comma 6 3 7 8 3" xfId="25725" xr:uid="{D6C2F0AB-409B-4DB0-840B-C0FD2219AD2E}"/>
    <cellStyle name="Comma 6 3 7 9" xfId="3821" xr:uid="{66BFC973-7041-4494-B770-3D61244D560F}"/>
    <cellStyle name="Comma 6 3 7 9 2" xfId="40329" xr:uid="{60597A58-FC7B-44E3-BA27-CACD5D5A7595}"/>
    <cellStyle name="Comma 6 3 7 9 3" xfId="22075" xr:uid="{285BA188-D33D-4A89-AFB5-3E833302B76C}"/>
    <cellStyle name="Comma 6 3 8" xfId="2987" xr:uid="{49B2366B-AE58-4F31-A9EB-3E1C446DFD02}"/>
    <cellStyle name="Comma 6 3 8 2" xfId="17587" xr:uid="{C0BB0334-C26B-4F99-84F4-15FAC722ACE6}"/>
    <cellStyle name="Comma 6 3 8 2 2" xfId="54095" xr:uid="{B19ED9BB-C58C-49C2-99BE-2173DBE36645}"/>
    <cellStyle name="Comma 6 3 8 2 3" xfId="35841" xr:uid="{5F38DA60-D5CB-49BF-AC2A-89D01E35516B}"/>
    <cellStyle name="Comma 6 3 8 3" xfId="13937" xr:uid="{50C61E14-CDC5-4E84-B02F-FAF109DE10EF}"/>
    <cellStyle name="Comma 6 3 8 3 2" xfId="50445" xr:uid="{254092D9-7679-496E-81DE-D52B7ECF13F3}"/>
    <cellStyle name="Comma 6 3 8 3 3" xfId="32191" xr:uid="{50864414-09DD-49F2-A615-9F7DDDF6E590}"/>
    <cellStyle name="Comma 6 3 8 4" xfId="10287" xr:uid="{52799F0A-85E8-430D-BB20-A2877BD286A6}"/>
    <cellStyle name="Comma 6 3 8 4 2" xfId="46795" xr:uid="{63DE92FF-3D49-4EE4-994C-360538E07450}"/>
    <cellStyle name="Comma 6 3 8 4 3" xfId="28541" xr:uid="{747CC9A8-1021-41E9-8FB8-8FD6BE13B2BF}"/>
    <cellStyle name="Comma 6 3 8 5" xfId="6637" xr:uid="{5E0217D3-0203-4087-80B6-86B499CD3A36}"/>
    <cellStyle name="Comma 6 3 8 5 2" xfId="43145" xr:uid="{1DCD467E-78C9-47AD-A50F-92D0961ACEF0}"/>
    <cellStyle name="Comma 6 3 8 5 3" xfId="24891" xr:uid="{699D271E-1A7E-4894-88AC-C12595682D62}"/>
    <cellStyle name="Comma 6 3 8 6" xfId="39495" xr:uid="{CCBAE77B-533A-4E55-B3D5-A6253874D692}"/>
    <cellStyle name="Comma 6 3 8 7" xfId="21241" xr:uid="{CF68302B-0F96-4B13-904D-E224F4085FD6}"/>
    <cellStyle name="Comma 6 3 9" xfId="2257" xr:uid="{D9E1B8F7-AE4E-486E-8D35-947968A2B215}"/>
    <cellStyle name="Comma 6 3 9 2" xfId="16857" xr:uid="{9FFE407E-CF52-4AD2-A084-B94A3490F49D}"/>
    <cellStyle name="Comma 6 3 9 2 2" xfId="53365" xr:uid="{56829B3D-387E-416A-9935-55899386071A}"/>
    <cellStyle name="Comma 6 3 9 2 3" xfId="35111" xr:uid="{8774B82A-8933-4BDA-81BD-DBB858A98452}"/>
    <cellStyle name="Comma 6 3 9 3" xfId="13207" xr:uid="{79FF4DC1-1F5D-4B6A-A779-466263690E9B}"/>
    <cellStyle name="Comma 6 3 9 3 2" xfId="49715" xr:uid="{EAC1CAAB-D2B9-4C5C-A8BE-0C0D5478B281}"/>
    <cellStyle name="Comma 6 3 9 3 3" xfId="31461" xr:uid="{B1536E6B-FA69-4A73-BB75-CD73B96A224A}"/>
    <cellStyle name="Comma 6 3 9 4" xfId="9557" xr:uid="{8B288CA7-6DE9-4BF0-8AD8-9D4B93CD4D11}"/>
    <cellStyle name="Comma 6 3 9 4 2" xfId="46065" xr:uid="{C5B361B9-8D9D-4F48-8C7A-80FAFC40FF13}"/>
    <cellStyle name="Comma 6 3 9 4 3" xfId="27811" xr:uid="{C8FC47D3-BC08-4A49-8507-C9D45086F49D}"/>
    <cellStyle name="Comma 6 3 9 5" xfId="5907" xr:uid="{7AE8B31E-D269-4077-A6D8-F7AF6C8E9C1A}"/>
    <cellStyle name="Comma 6 3 9 5 2" xfId="42415" xr:uid="{0AF56511-AECD-4DF8-B4C2-8DCCAEF05153}"/>
    <cellStyle name="Comma 6 3 9 5 3" xfId="24161" xr:uid="{E00D31D6-DEE8-4F79-BE93-63A4398D384B}"/>
    <cellStyle name="Comma 6 3 9 6" xfId="38765" xr:uid="{331BF46D-0CBD-4E48-B4A0-0111A74DAF4C}"/>
    <cellStyle name="Comma 6 3 9 7" xfId="20511" xr:uid="{C969B4C8-6B55-4766-9DF1-E88062F6C49E}"/>
    <cellStyle name="Comma 6 4" xfId="659" xr:uid="{AF736AC0-B557-423E-A871-6D103F691579}"/>
    <cellStyle name="Comma 6 4 10" xfId="37167" xr:uid="{5E0EF199-ECBF-4EF4-8015-D797F0B06580}"/>
    <cellStyle name="Comma 6 4 11" xfId="18913" xr:uid="{4321B306-0F86-4E9D-8EBF-53967991C65C}"/>
    <cellStyle name="Comma 6 4 2" xfId="3579" xr:uid="{680A1663-16A7-418C-BDE0-87564BA8523D}"/>
    <cellStyle name="Comma 6 4 2 2" xfId="18179" xr:uid="{B5BCC685-4AF5-4B87-B04D-A05C2E0D75F4}"/>
    <cellStyle name="Comma 6 4 2 2 2" xfId="54687" xr:uid="{DEEC5C83-F313-4C09-BE59-DB8F10094167}"/>
    <cellStyle name="Comma 6 4 2 2 3" xfId="36433" xr:uid="{C837D178-3575-4C2B-83A0-BE7D94F2D8B6}"/>
    <cellStyle name="Comma 6 4 2 3" xfId="14529" xr:uid="{1D09FB88-9A97-4E40-87DD-760C4CC7BC83}"/>
    <cellStyle name="Comma 6 4 2 3 2" xfId="51037" xr:uid="{97B1DBF0-1EEF-45BA-9E28-A64747AD983F}"/>
    <cellStyle name="Comma 6 4 2 3 3" xfId="32783" xr:uid="{02D1C643-DF8E-4F1C-886C-C0D2173B4A0F}"/>
    <cellStyle name="Comma 6 4 2 4" xfId="10879" xr:uid="{B5109F0B-6FA5-4E0B-AFF1-BB327757F727}"/>
    <cellStyle name="Comma 6 4 2 4 2" xfId="47387" xr:uid="{B53B5543-7C08-4BCD-B2A1-49ED0F1EBCF9}"/>
    <cellStyle name="Comma 6 4 2 4 3" xfId="29133" xr:uid="{B382B088-7071-4BEC-B29E-B5B02E084442}"/>
    <cellStyle name="Comma 6 4 2 5" xfId="7229" xr:uid="{8F23DD16-EDD8-47F5-81DD-7D63DCCC64E1}"/>
    <cellStyle name="Comma 6 4 2 5 2" xfId="43737" xr:uid="{4418CD6D-C900-46C6-940E-194267DE6B1D}"/>
    <cellStyle name="Comma 6 4 2 5 3" xfId="25483" xr:uid="{0DB200EE-013E-48C8-A31E-89065AF7AE16}"/>
    <cellStyle name="Comma 6 4 2 6" xfId="40087" xr:uid="{38D8B909-7FEC-4213-B978-76B8FD4AFEF6}"/>
    <cellStyle name="Comma 6 4 2 7" xfId="21833" xr:uid="{2CF9210C-E2B1-461D-B1B7-78BB8733077E}"/>
    <cellStyle name="Comma 6 4 3" xfId="2849" xr:uid="{1264C9B8-B83F-460A-A311-20F2CAA05D95}"/>
    <cellStyle name="Comma 6 4 3 2" xfId="17449" xr:uid="{F26D1BC7-7D12-47DB-B2D3-A88251C58557}"/>
    <cellStyle name="Comma 6 4 3 2 2" xfId="53957" xr:uid="{3CEA3039-A569-48DA-AB7B-9EC376B53A71}"/>
    <cellStyle name="Comma 6 4 3 2 3" xfId="35703" xr:uid="{1DDFA772-2F15-4549-AF84-24AA575974EC}"/>
    <cellStyle name="Comma 6 4 3 3" xfId="13799" xr:uid="{F7AB544F-CBD9-4F8E-94C0-402A32A94E34}"/>
    <cellStyle name="Comma 6 4 3 3 2" xfId="50307" xr:uid="{AB7A5437-DBD5-49E7-BA1C-0CBC527C8260}"/>
    <cellStyle name="Comma 6 4 3 3 3" xfId="32053" xr:uid="{41F58230-AA68-45FD-BC5D-0424DEFB293E}"/>
    <cellStyle name="Comma 6 4 3 4" xfId="10149" xr:uid="{0B471071-D0C1-4DC6-8FE8-4BC7D2F7943B}"/>
    <cellStyle name="Comma 6 4 3 4 2" xfId="46657" xr:uid="{440AAF6F-92EA-426D-8D40-5442A3DF12F2}"/>
    <cellStyle name="Comma 6 4 3 4 3" xfId="28403" xr:uid="{5554E1C1-A284-47C5-89D8-4D585B60F6EB}"/>
    <cellStyle name="Comma 6 4 3 5" xfId="6499" xr:uid="{6CD2BCDD-3175-4818-962A-038D2E9ECD06}"/>
    <cellStyle name="Comma 6 4 3 5 2" xfId="43007" xr:uid="{C1837892-0728-47EE-9FBE-140AFC65C9DC}"/>
    <cellStyle name="Comma 6 4 3 5 3" xfId="24753" xr:uid="{954571E0-9875-4C59-BE83-195150EFBE24}"/>
    <cellStyle name="Comma 6 4 3 6" xfId="39357" xr:uid="{D0DF3317-D0FD-4403-9276-2F58240772F2}"/>
    <cellStyle name="Comma 6 4 3 7" xfId="21103" xr:uid="{62E25C63-0D94-4C1C-BF08-FB9AA71EA9F4}"/>
    <cellStyle name="Comma 6 4 4" xfId="2119" xr:uid="{7B155213-4DCF-4A38-A0EC-E760B4C74D33}"/>
    <cellStyle name="Comma 6 4 4 2" xfId="16719" xr:uid="{28360A92-86FC-4C73-9F8A-02DB592CFD47}"/>
    <cellStyle name="Comma 6 4 4 2 2" xfId="53227" xr:uid="{080D57AA-92CC-41A2-AD3A-744E3EC3A953}"/>
    <cellStyle name="Comma 6 4 4 2 3" xfId="34973" xr:uid="{D26FF517-329C-443E-AEB3-5CEBE3CB29A2}"/>
    <cellStyle name="Comma 6 4 4 3" xfId="13069" xr:uid="{93D41F73-F662-48DF-B88B-21E2D3BEA0AE}"/>
    <cellStyle name="Comma 6 4 4 3 2" xfId="49577" xr:uid="{A8BD734C-97C3-4489-80D6-F3C2F66DA723}"/>
    <cellStyle name="Comma 6 4 4 3 3" xfId="31323" xr:uid="{28F8048B-7AC1-41B6-B2A0-A8ECE248FE06}"/>
    <cellStyle name="Comma 6 4 4 4" xfId="9419" xr:uid="{EE5C5669-C9C2-4978-B753-2310D70FF3D8}"/>
    <cellStyle name="Comma 6 4 4 4 2" xfId="45927" xr:uid="{E554A5C9-F4EE-4245-96CD-CA5CE87FA011}"/>
    <cellStyle name="Comma 6 4 4 4 3" xfId="27673" xr:uid="{F386616C-6B59-4538-A394-70B5A4180B83}"/>
    <cellStyle name="Comma 6 4 4 5" xfId="5769" xr:uid="{2B96D21E-AD08-48F0-A68F-9C736CE4B096}"/>
    <cellStyle name="Comma 6 4 4 5 2" xfId="42277" xr:uid="{66B4C15A-84D9-4B61-9C44-08027170F999}"/>
    <cellStyle name="Comma 6 4 4 5 3" xfId="24023" xr:uid="{E0224531-588A-4B04-8514-83190EA95EC6}"/>
    <cellStyle name="Comma 6 4 4 6" xfId="38627" xr:uid="{04824BA5-65FE-47AA-8C15-8EE649C7BEA1}"/>
    <cellStyle name="Comma 6 4 4 7" xfId="20373" xr:uid="{F08371F0-49B3-43B9-ACF4-66A31F99EA19}"/>
    <cellStyle name="Comma 6 4 5" xfId="1389" xr:uid="{EA2686F3-D11B-4CF3-8C17-3DBC742C9E23}"/>
    <cellStyle name="Comma 6 4 5 2" xfId="15989" xr:uid="{F4CC4B3B-7C14-4B32-9187-602EF42DF32E}"/>
    <cellStyle name="Comma 6 4 5 2 2" xfId="52497" xr:uid="{42C47288-2A17-4BA9-B35B-136FF13809BC}"/>
    <cellStyle name="Comma 6 4 5 2 3" xfId="34243" xr:uid="{C513658D-E5E9-4558-B4C5-B07C92FB6A9C}"/>
    <cellStyle name="Comma 6 4 5 3" xfId="12339" xr:uid="{74C47E57-964C-4FB4-9A74-7D545FE4182B}"/>
    <cellStyle name="Comma 6 4 5 3 2" xfId="48847" xr:uid="{308DE567-D38D-404A-B0FD-A6899BA19EAC}"/>
    <cellStyle name="Comma 6 4 5 3 3" xfId="30593" xr:uid="{BD4A7B0B-E27E-4595-910E-B01D916209D9}"/>
    <cellStyle name="Comma 6 4 5 4" xfId="8689" xr:uid="{D47D0B6A-1B04-4271-8E53-E9D088FB2F5D}"/>
    <cellStyle name="Comma 6 4 5 4 2" xfId="45197" xr:uid="{AE38BEEF-DF09-4F85-AA85-8A02570A2DDC}"/>
    <cellStyle name="Comma 6 4 5 4 3" xfId="26943" xr:uid="{C3B2B10A-57F3-4694-AF53-239A8C22521F}"/>
    <cellStyle name="Comma 6 4 5 5" xfId="5039" xr:uid="{9BB111E3-5B11-4821-849D-D944C17CBEBF}"/>
    <cellStyle name="Comma 6 4 5 5 2" xfId="41547" xr:uid="{9FCFF648-5A16-4775-8434-5E56F9158BDA}"/>
    <cellStyle name="Comma 6 4 5 5 3" xfId="23293" xr:uid="{E2BE45D4-88D6-40F5-90F2-D46BB77A9403}"/>
    <cellStyle name="Comma 6 4 5 6" xfId="37897" xr:uid="{F6495D6A-1501-45CB-A888-B35303A60E39}"/>
    <cellStyle name="Comma 6 4 5 7" xfId="19643" xr:uid="{26E0DAD1-73D5-4BE2-9EC0-D37BD12155CD}"/>
    <cellStyle name="Comma 6 4 6" xfId="15259" xr:uid="{351407A1-B414-4072-9512-B4BD630A61C8}"/>
    <cellStyle name="Comma 6 4 6 2" xfId="51767" xr:uid="{58631EBF-5A4B-4EF7-9D0A-C0BBEDE1866E}"/>
    <cellStyle name="Comma 6 4 6 3" xfId="33513" xr:uid="{2AA29302-57EF-41A6-8F2F-BEE0DF07EF5C}"/>
    <cellStyle name="Comma 6 4 7" xfId="11609" xr:uid="{11392269-BC68-4807-953C-A57FF5E39332}"/>
    <cellStyle name="Comma 6 4 7 2" xfId="48117" xr:uid="{8518017D-38D9-421D-AD4A-628AA6278C8C}"/>
    <cellStyle name="Comma 6 4 7 3" xfId="29863" xr:uid="{657C0199-D902-40E4-ADB2-4531D231CAA8}"/>
    <cellStyle name="Comma 6 4 8" xfId="7959" xr:uid="{5A569D4E-7AFE-4999-9F19-8A640CC0ED2D}"/>
    <cellStyle name="Comma 6 4 8 2" xfId="44467" xr:uid="{043A8943-D759-4ACD-AA5A-FD1632323CC9}"/>
    <cellStyle name="Comma 6 4 8 3" xfId="26213" xr:uid="{9756950F-02A3-4CD5-8980-AD70DE059C49}"/>
    <cellStyle name="Comma 6 4 9" xfId="4309" xr:uid="{BDB53ED5-58DC-40D8-A49B-580BC8780D0D}"/>
    <cellStyle name="Comma 6 4 9 2" xfId="40817" xr:uid="{37FAE6E5-20DC-4CA6-BBA2-B4535A67E336}"/>
    <cellStyle name="Comma 6 4 9 3" xfId="22563" xr:uid="{8DC7A5E8-A557-4E37-B734-3EB67D4A1686}"/>
    <cellStyle name="Comma 6 5" xfId="555" xr:uid="{64B25A94-D94D-418B-89AF-699BCCCDA17D}"/>
    <cellStyle name="Comma 6 5 10" xfId="37063" xr:uid="{A85BBA12-EED4-4C3C-BE3A-2037E01B29BF}"/>
    <cellStyle name="Comma 6 5 11" xfId="18809" xr:uid="{5F007388-0B61-497A-AFE4-516575C02FEF}"/>
    <cellStyle name="Comma 6 5 2" xfId="3475" xr:uid="{5CD0850B-798A-4ACC-98C1-620158DE4847}"/>
    <cellStyle name="Comma 6 5 2 2" xfId="18075" xr:uid="{A4DF7F42-4A8B-49C1-95F0-36A3A536E0BC}"/>
    <cellStyle name="Comma 6 5 2 2 2" xfId="54583" xr:uid="{D2506677-515D-4761-A1A7-1488650D4594}"/>
    <cellStyle name="Comma 6 5 2 2 3" xfId="36329" xr:uid="{4DD590A3-F85A-4A2A-B9C7-D89FF3CFCB37}"/>
    <cellStyle name="Comma 6 5 2 3" xfId="14425" xr:uid="{9C780AB2-B5D6-48E6-8D06-2189AB32F4FB}"/>
    <cellStyle name="Comma 6 5 2 3 2" xfId="50933" xr:uid="{DF5A2F8A-E5A5-4694-93F9-A8A757CC29EE}"/>
    <cellStyle name="Comma 6 5 2 3 3" xfId="32679" xr:uid="{3DBF138A-DFA1-49CF-BB5D-4225001278E0}"/>
    <cellStyle name="Comma 6 5 2 4" xfId="10775" xr:uid="{0EA215DB-5AEC-4751-80FE-83A6DE936EED}"/>
    <cellStyle name="Comma 6 5 2 4 2" xfId="47283" xr:uid="{383B2736-90BA-4CFA-9DCD-60EC0B2BCE5F}"/>
    <cellStyle name="Comma 6 5 2 4 3" xfId="29029" xr:uid="{58E9E40E-685E-4D03-97ED-817FB1498023}"/>
    <cellStyle name="Comma 6 5 2 5" xfId="7125" xr:uid="{2DC236CE-35BB-4EDF-A5BB-AA3DBB56E6DF}"/>
    <cellStyle name="Comma 6 5 2 5 2" xfId="43633" xr:uid="{2D7D298D-E032-4801-A835-C6994DAF12EB}"/>
    <cellStyle name="Comma 6 5 2 5 3" xfId="25379" xr:uid="{B7FE4E7D-299A-43EC-801B-E65F4F075043}"/>
    <cellStyle name="Comma 6 5 2 6" xfId="39983" xr:uid="{53F93068-B249-4DE8-A818-CAF41A33F454}"/>
    <cellStyle name="Comma 6 5 2 7" xfId="21729" xr:uid="{FD101DA5-05B4-482A-AE58-11F8A15BD487}"/>
    <cellStyle name="Comma 6 5 3" xfId="2745" xr:uid="{9886CBD7-CC41-436B-A9D4-DC2966ADA4D6}"/>
    <cellStyle name="Comma 6 5 3 2" xfId="17345" xr:uid="{1460A81D-B505-4D42-9620-E4D31904F77F}"/>
    <cellStyle name="Comma 6 5 3 2 2" xfId="53853" xr:uid="{0DD549D5-32C9-40FE-8D70-3B3BF0568BAA}"/>
    <cellStyle name="Comma 6 5 3 2 3" xfId="35599" xr:uid="{5B8092B9-785A-4710-A454-FE015E25F6C4}"/>
    <cellStyle name="Comma 6 5 3 3" xfId="13695" xr:uid="{4614C982-D495-411C-97EE-4FA3EB84A6ED}"/>
    <cellStyle name="Comma 6 5 3 3 2" xfId="50203" xr:uid="{CD8AFAFD-E0B3-47B9-88DA-81AC56870FE7}"/>
    <cellStyle name="Comma 6 5 3 3 3" xfId="31949" xr:uid="{901795A6-BC42-4C58-B3AD-12CB3BFBDBC0}"/>
    <cellStyle name="Comma 6 5 3 4" xfId="10045" xr:uid="{454F6D72-05D8-4830-A950-D1C4EF2936F9}"/>
    <cellStyle name="Comma 6 5 3 4 2" xfId="46553" xr:uid="{74D1A838-7637-4195-9257-A0840A8F5580}"/>
    <cellStyle name="Comma 6 5 3 4 3" xfId="28299" xr:uid="{5FE18B0C-75A4-473D-9A17-BFBA6FAABD49}"/>
    <cellStyle name="Comma 6 5 3 5" xfId="6395" xr:uid="{5252C0C2-2BC0-4B6F-96D4-15B48AE8F141}"/>
    <cellStyle name="Comma 6 5 3 5 2" xfId="42903" xr:uid="{5FB7418F-1FEA-46AA-9BB4-F1DDCA32E647}"/>
    <cellStyle name="Comma 6 5 3 5 3" xfId="24649" xr:uid="{C10B84C6-0956-44A2-8D4F-32E488E73876}"/>
    <cellStyle name="Comma 6 5 3 6" xfId="39253" xr:uid="{87ADAC3D-3018-40A1-8FF6-67217F10738D}"/>
    <cellStyle name="Comma 6 5 3 7" xfId="20999" xr:uid="{AF74E0AB-7FD2-414E-BEA5-1886C957F46F}"/>
    <cellStyle name="Comma 6 5 4" xfId="2015" xr:uid="{B4256E29-CE0F-4A38-8D21-F3837C72DD7E}"/>
    <cellStyle name="Comma 6 5 4 2" xfId="16615" xr:uid="{609E7E29-657C-4B0C-8995-D61B037C2D91}"/>
    <cellStyle name="Comma 6 5 4 2 2" xfId="53123" xr:uid="{FE0D2EB8-4D51-45DB-82B5-9685FF74A818}"/>
    <cellStyle name="Comma 6 5 4 2 3" xfId="34869" xr:uid="{EBD3E47E-48C1-4012-BEC0-7621B378E374}"/>
    <cellStyle name="Comma 6 5 4 3" xfId="12965" xr:uid="{C51CE919-6DD5-432E-AA1F-89064AB02ACF}"/>
    <cellStyle name="Comma 6 5 4 3 2" xfId="49473" xr:uid="{5F263E3D-62D4-4AC3-9822-21D1EA851FFA}"/>
    <cellStyle name="Comma 6 5 4 3 3" xfId="31219" xr:uid="{3A43B674-FEF9-4115-B0EB-92EFB931762A}"/>
    <cellStyle name="Comma 6 5 4 4" xfId="9315" xr:uid="{9F4C7D7E-AD78-415C-9DEE-5F83A00CEDE2}"/>
    <cellStyle name="Comma 6 5 4 4 2" xfId="45823" xr:uid="{E037D6D7-1B8C-417C-ADD2-32164EBC52B8}"/>
    <cellStyle name="Comma 6 5 4 4 3" xfId="27569" xr:uid="{71AFBC35-607D-4E84-B195-7C5C256B70CD}"/>
    <cellStyle name="Comma 6 5 4 5" xfId="5665" xr:uid="{1C7992E8-1010-422D-B4F6-38F67EFA167A}"/>
    <cellStyle name="Comma 6 5 4 5 2" xfId="42173" xr:uid="{9250C211-ED90-4C10-B093-EA6AE1426137}"/>
    <cellStyle name="Comma 6 5 4 5 3" xfId="23919" xr:uid="{8FEEDF48-3055-459F-B040-4607D9DFB9D1}"/>
    <cellStyle name="Comma 6 5 4 6" xfId="38523" xr:uid="{0BFE7F66-95B0-4765-B257-FD220223E9F4}"/>
    <cellStyle name="Comma 6 5 4 7" xfId="20269" xr:uid="{FEA7D457-DEEC-4687-A98C-BF7ADBE501B8}"/>
    <cellStyle name="Comma 6 5 5" xfId="1285" xr:uid="{1451C9DA-5896-46BF-9E27-A0ADB9D6491F}"/>
    <cellStyle name="Comma 6 5 5 2" xfId="15885" xr:uid="{F1AE7878-BFDC-4E4A-87FE-FF1FB97B22DC}"/>
    <cellStyle name="Comma 6 5 5 2 2" xfId="52393" xr:uid="{B86046C3-1593-4CD2-9EB0-C5F457EB735C}"/>
    <cellStyle name="Comma 6 5 5 2 3" xfId="34139" xr:uid="{A06A9255-B9FC-4706-8EC7-9F1F9FCB7D55}"/>
    <cellStyle name="Comma 6 5 5 3" xfId="12235" xr:uid="{E661C48D-2716-4936-B24A-C7C54F18A5E6}"/>
    <cellStyle name="Comma 6 5 5 3 2" xfId="48743" xr:uid="{274877B4-4624-4C8F-BC13-84D1A1A8AB8E}"/>
    <cellStyle name="Comma 6 5 5 3 3" xfId="30489" xr:uid="{3111A966-94E8-468F-BAB4-57717DBDC230}"/>
    <cellStyle name="Comma 6 5 5 4" xfId="8585" xr:uid="{A8617C3E-8AB2-482D-824C-9AB8B1568343}"/>
    <cellStyle name="Comma 6 5 5 4 2" xfId="45093" xr:uid="{5A9D86C2-03C9-4AD7-9E19-4DEBE4FF2E20}"/>
    <cellStyle name="Comma 6 5 5 4 3" xfId="26839" xr:uid="{5B5A0FAE-9D5B-4E25-B37C-C825E4B54228}"/>
    <cellStyle name="Comma 6 5 5 5" xfId="4935" xr:uid="{224F7C4A-876D-413B-8A7B-1D1B270E3F7A}"/>
    <cellStyle name="Comma 6 5 5 5 2" xfId="41443" xr:uid="{5F87347E-8983-482F-9C11-9758B5C7349A}"/>
    <cellStyle name="Comma 6 5 5 5 3" xfId="23189" xr:uid="{524CAB81-7B6B-406B-B573-0BC1C77A74AE}"/>
    <cellStyle name="Comma 6 5 5 6" xfId="37793" xr:uid="{1C455037-DA35-4989-8BE7-CED07C0EDE13}"/>
    <cellStyle name="Comma 6 5 5 7" xfId="19539" xr:uid="{9B571967-14A3-46DF-B330-A9129063ACC3}"/>
    <cellStyle name="Comma 6 5 6" xfId="15155" xr:uid="{426C5315-2412-4FBE-AFB2-C6C50DA39D05}"/>
    <cellStyle name="Comma 6 5 6 2" xfId="51663" xr:uid="{7C8BA26C-E200-45F1-A655-C53C4D12EA3A}"/>
    <cellStyle name="Comma 6 5 6 3" xfId="33409" xr:uid="{CE9E1CC8-E2BF-4D19-992A-2CF096BABD39}"/>
    <cellStyle name="Comma 6 5 7" xfId="11505" xr:uid="{401D8F4F-596D-4CC0-B63A-9AD65BF26CE6}"/>
    <cellStyle name="Comma 6 5 7 2" xfId="48013" xr:uid="{ABCE9E05-40D6-4741-8141-A88AB746A5F3}"/>
    <cellStyle name="Comma 6 5 7 3" xfId="29759" xr:uid="{0851A37F-74FF-41AE-9145-53CD50DA4E3B}"/>
    <cellStyle name="Comma 6 5 8" xfId="7855" xr:uid="{99B82C74-01CD-445C-BD3B-00F83E30C726}"/>
    <cellStyle name="Comma 6 5 8 2" xfId="44363" xr:uid="{F4D584E6-7076-45D3-BA09-2D155983E4CC}"/>
    <cellStyle name="Comma 6 5 8 3" xfId="26109" xr:uid="{04E07BE1-A1E3-4553-B7C7-7809096ADF1B}"/>
    <cellStyle name="Comma 6 5 9" xfId="4205" xr:uid="{BF150D53-64D2-4006-B1B2-3B7A853C06A1}"/>
    <cellStyle name="Comma 6 5 9 2" xfId="40713" xr:uid="{A723E012-991D-4988-85CF-5039544F5794}"/>
    <cellStyle name="Comma 6 5 9 3" xfId="22459" xr:uid="{832FC623-46F3-4F7A-AB82-CB2EBEBDD828}"/>
    <cellStyle name="Comma 6 6" xfId="451" xr:uid="{FA7AF4C0-0963-458C-8BAB-F96F99DF162D}"/>
    <cellStyle name="Comma 6 6 10" xfId="36959" xr:uid="{4DCB0E67-18A1-44D7-B09C-4D7DB11C7BAB}"/>
    <cellStyle name="Comma 6 6 11" xfId="18705" xr:uid="{8551B431-943B-4832-89E2-E94365B14DF2}"/>
    <cellStyle name="Comma 6 6 2" xfId="3371" xr:uid="{B256F048-B9FF-437B-92A4-1543085B2AF7}"/>
    <cellStyle name="Comma 6 6 2 2" xfId="17971" xr:uid="{527EC622-ABC9-48A0-A56F-9BE20B6818EB}"/>
    <cellStyle name="Comma 6 6 2 2 2" xfId="54479" xr:uid="{BD7AA3C1-E45F-4258-AE33-C4E1A09BE413}"/>
    <cellStyle name="Comma 6 6 2 2 3" xfId="36225" xr:uid="{DDDFEA69-5058-44A2-B7D0-1F9CBAEE98AD}"/>
    <cellStyle name="Comma 6 6 2 3" xfId="14321" xr:uid="{4018D132-E4D2-42C5-9C56-77795BDE1C0D}"/>
    <cellStyle name="Comma 6 6 2 3 2" xfId="50829" xr:uid="{3A92695C-D4D0-4ACD-8609-BD2F36B2AC54}"/>
    <cellStyle name="Comma 6 6 2 3 3" xfId="32575" xr:uid="{59C74A0B-A26F-43F2-B351-927ECFA695C7}"/>
    <cellStyle name="Comma 6 6 2 4" xfId="10671" xr:uid="{CD53E582-8F0E-4321-B48D-32392EF71938}"/>
    <cellStyle name="Comma 6 6 2 4 2" xfId="47179" xr:uid="{E28AA89E-6C8B-4053-8493-227C27CFBD06}"/>
    <cellStyle name="Comma 6 6 2 4 3" xfId="28925" xr:uid="{9A1CEA04-1366-463A-B7E1-E6B097217411}"/>
    <cellStyle name="Comma 6 6 2 5" xfId="7021" xr:uid="{81C91EAD-BE2E-4F8F-8EA9-F67A6FBD385D}"/>
    <cellStyle name="Comma 6 6 2 5 2" xfId="43529" xr:uid="{42B4FB12-CDDC-4E56-A7D7-0ECCBDC78D41}"/>
    <cellStyle name="Comma 6 6 2 5 3" xfId="25275" xr:uid="{ED4EB0F7-91DB-436C-90E3-1FCF1C16CF52}"/>
    <cellStyle name="Comma 6 6 2 6" xfId="39879" xr:uid="{82E43C66-C914-403E-85D2-D1EA9271DC29}"/>
    <cellStyle name="Comma 6 6 2 7" xfId="21625" xr:uid="{8FB292F9-BE10-4DDE-8EE0-601240DA32D9}"/>
    <cellStyle name="Comma 6 6 3" xfId="2641" xr:uid="{DB2BF12B-4667-412B-8D4D-BB7D21D22302}"/>
    <cellStyle name="Comma 6 6 3 2" xfId="17241" xr:uid="{B7884379-388B-4101-8B7C-70A096D2A780}"/>
    <cellStyle name="Comma 6 6 3 2 2" xfId="53749" xr:uid="{056C944F-83F5-4EEE-AB31-F6126B99BC38}"/>
    <cellStyle name="Comma 6 6 3 2 3" xfId="35495" xr:uid="{3E8E279C-0FAB-4583-BCCE-56C1470A3C7C}"/>
    <cellStyle name="Comma 6 6 3 3" xfId="13591" xr:uid="{AA9912FC-30AF-4AF4-8687-BF9627378521}"/>
    <cellStyle name="Comma 6 6 3 3 2" xfId="50099" xr:uid="{FBEFCE7E-F5E8-4175-B043-40E0FBD28D63}"/>
    <cellStyle name="Comma 6 6 3 3 3" xfId="31845" xr:uid="{CCE2A323-B632-411A-ADB9-EEB995591142}"/>
    <cellStyle name="Comma 6 6 3 4" xfId="9941" xr:uid="{DD31BD4A-6D4D-4C9C-9653-3F513A01978D}"/>
    <cellStyle name="Comma 6 6 3 4 2" xfId="46449" xr:uid="{9D72EA3B-09E3-44B7-BCE7-C966C33722C8}"/>
    <cellStyle name="Comma 6 6 3 4 3" xfId="28195" xr:uid="{1437A6E5-8E0A-4612-82C6-3D804AA2D04E}"/>
    <cellStyle name="Comma 6 6 3 5" xfId="6291" xr:uid="{DEC11C5D-DDBC-4833-B773-E774F3618BB1}"/>
    <cellStyle name="Comma 6 6 3 5 2" xfId="42799" xr:uid="{BC6BA19F-EFF4-4B0D-9E09-AD3F89AAFB2C}"/>
    <cellStyle name="Comma 6 6 3 5 3" xfId="24545" xr:uid="{0C844E1D-C73E-45A0-923B-23B45BE39132}"/>
    <cellStyle name="Comma 6 6 3 6" xfId="39149" xr:uid="{7CBBABE8-FF94-40E0-839E-405BB454E8B7}"/>
    <cellStyle name="Comma 6 6 3 7" xfId="20895" xr:uid="{F0803EB5-F919-4F1C-952D-330C1F6D5CA0}"/>
    <cellStyle name="Comma 6 6 4" xfId="1911" xr:uid="{381CE94F-F56D-4A19-81E5-CF1F3D8E9A9F}"/>
    <cellStyle name="Comma 6 6 4 2" xfId="16511" xr:uid="{32C4470B-E5D1-490A-9526-8A0097711DA1}"/>
    <cellStyle name="Comma 6 6 4 2 2" xfId="53019" xr:uid="{7E3408B1-0218-4FF6-8E4D-E152CF3C0A73}"/>
    <cellStyle name="Comma 6 6 4 2 3" xfId="34765" xr:uid="{CAE6F120-3459-49A3-9CFC-DDDA00A90AD8}"/>
    <cellStyle name="Comma 6 6 4 3" xfId="12861" xr:uid="{D0CA34A4-5892-4A7F-B4B9-05A65608220D}"/>
    <cellStyle name="Comma 6 6 4 3 2" xfId="49369" xr:uid="{AFB2C3B5-2C9E-42FA-B58F-138F95300024}"/>
    <cellStyle name="Comma 6 6 4 3 3" xfId="31115" xr:uid="{18722BC6-C5C5-459A-A874-B0D2CA10D1EE}"/>
    <cellStyle name="Comma 6 6 4 4" xfId="9211" xr:uid="{2AF968B8-4342-480E-A19E-6F3904ECC185}"/>
    <cellStyle name="Comma 6 6 4 4 2" xfId="45719" xr:uid="{829CAB33-8938-4724-97C7-A18816014507}"/>
    <cellStyle name="Comma 6 6 4 4 3" xfId="27465" xr:uid="{9B1E8636-6782-44AC-98A8-47A8E9FA3243}"/>
    <cellStyle name="Comma 6 6 4 5" xfId="5561" xr:uid="{1FF21CDF-3929-48B6-9C7C-270F312F41B7}"/>
    <cellStyle name="Comma 6 6 4 5 2" xfId="42069" xr:uid="{841A8170-8FBE-4BF5-B20B-0AB46D0CDE20}"/>
    <cellStyle name="Comma 6 6 4 5 3" xfId="23815" xr:uid="{717527AD-0B58-48E0-A1D8-3ADEEECF394A}"/>
    <cellStyle name="Comma 6 6 4 6" xfId="38419" xr:uid="{BF87A658-60A1-4466-A24D-FF3B49EC7F98}"/>
    <cellStyle name="Comma 6 6 4 7" xfId="20165" xr:uid="{E5FE908C-C4EC-425E-9E5F-6CE0A54C2AF2}"/>
    <cellStyle name="Comma 6 6 5" xfId="1181" xr:uid="{015DF989-B299-4A67-B268-CFAF43A110BA}"/>
    <cellStyle name="Comma 6 6 5 2" xfId="15781" xr:uid="{17388064-A751-4810-B22A-4A7EF73BA82C}"/>
    <cellStyle name="Comma 6 6 5 2 2" xfId="52289" xr:uid="{954FCFD4-1B0F-4229-B495-D08477948D52}"/>
    <cellStyle name="Comma 6 6 5 2 3" xfId="34035" xr:uid="{90CC1760-C3F4-4509-B224-3542468418EC}"/>
    <cellStyle name="Comma 6 6 5 3" xfId="12131" xr:uid="{93F771E6-8231-44B8-AD57-2865DD4E0F31}"/>
    <cellStyle name="Comma 6 6 5 3 2" xfId="48639" xr:uid="{010841E9-9F47-46BF-AECE-CF6725748CCF}"/>
    <cellStyle name="Comma 6 6 5 3 3" xfId="30385" xr:uid="{84C16846-6DD3-4E3A-B998-07F9E46A0ED5}"/>
    <cellStyle name="Comma 6 6 5 4" xfId="8481" xr:uid="{A9517EBD-D390-4152-A28D-5E5298CC2F5A}"/>
    <cellStyle name="Comma 6 6 5 4 2" xfId="44989" xr:uid="{058C68C7-9CAB-410C-B6A2-F122AF70C465}"/>
    <cellStyle name="Comma 6 6 5 4 3" xfId="26735" xr:uid="{106B7B9C-171B-4DA3-AC25-A0E02824E656}"/>
    <cellStyle name="Comma 6 6 5 5" xfId="4831" xr:uid="{29FA4DD7-E46C-4744-B481-2FE93E2B5875}"/>
    <cellStyle name="Comma 6 6 5 5 2" xfId="41339" xr:uid="{DD69F8DD-439B-412F-AA7C-27038C9EB9E0}"/>
    <cellStyle name="Comma 6 6 5 5 3" xfId="23085" xr:uid="{AEE14A43-C332-445B-953F-8EFE3CE1C129}"/>
    <cellStyle name="Comma 6 6 5 6" xfId="37689" xr:uid="{56A1CD9E-3627-4B04-97C1-A2FD7F47A3AA}"/>
    <cellStyle name="Comma 6 6 5 7" xfId="19435" xr:uid="{7AB6800A-60B6-4C38-B0CB-2BEFF9F70AA5}"/>
    <cellStyle name="Comma 6 6 6" xfId="15051" xr:uid="{C5933E70-6BCE-4FE0-BCA2-AC8D6047F90B}"/>
    <cellStyle name="Comma 6 6 6 2" xfId="51559" xr:uid="{D1A8C4FB-10D2-448E-BAA7-85E01B1C5D99}"/>
    <cellStyle name="Comma 6 6 6 3" xfId="33305" xr:uid="{C404012F-2D75-48C5-87BA-C0F7990B8983}"/>
    <cellStyle name="Comma 6 6 7" xfId="11401" xr:uid="{8224FA02-E1D8-4FB2-9E2A-C8D00EB80219}"/>
    <cellStyle name="Comma 6 6 7 2" xfId="47909" xr:uid="{BB4DB3A4-6C14-444D-B400-40868204C733}"/>
    <cellStyle name="Comma 6 6 7 3" xfId="29655" xr:uid="{6E2F125E-C04D-4BEF-986D-12B8EBB0D8C0}"/>
    <cellStyle name="Comma 6 6 8" xfId="7751" xr:uid="{791C8D2F-60E1-45E4-B31C-8A63B83D6971}"/>
    <cellStyle name="Comma 6 6 8 2" xfId="44259" xr:uid="{F479201D-97CB-4F30-87BA-BE0DFDAFFF1B}"/>
    <cellStyle name="Comma 6 6 8 3" xfId="26005" xr:uid="{10CD60C3-A490-4A23-B3B1-A66FC3B990AA}"/>
    <cellStyle name="Comma 6 6 9" xfId="4101" xr:uid="{8B603052-39ED-4322-AAFC-3B713AE1926C}"/>
    <cellStyle name="Comma 6 6 9 2" xfId="40609" xr:uid="{66EB9485-B492-49C7-B2A3-1ECC6EF07B9A}"/>
    <cellStyle name="Comma 6 6 9 3" xfId="22355" xr:uid="{D46A53BE-F044-4DC1-B1E0-19195F3BF36A}"/>
    <cellStyle name="Comma 6 7" xfId="347" xr:uid="{46D84D3A-3D5F-43ED-A87A-AC8D9FFCB1E0}"/>
    <cellStyle name="Comma 6 7 10" xfId="36855" xr:uid="{B8E66130-7097-48C7-834E-D3A4D0C4741E}"/>
    <cellStyle name="Comma 6 7 11" xfId="18601" xr:uid="{84622F71-9145-495B-90CD-62D1F0E3ACAC}"/>
    <cellStyle name="Comma 6 7 2" xfId="3267" xr:uid="{AB492C2E-5E6C-4CD2-BA8C-564EB551BA6E}"/>
    <cellStyle name="Comma 6 7 2 2" xfId="17867" xr:uid="{52F709FF-6F2F-4EB2-8848-BBF313925602}"/>
    <cellStyle name="Comma 6 7 2 2 2" xfId="54375" xr:uid="{8D176EA2-D5EB-4ACE-8278-7C2DAC9533D2}"/>
    <cellStyle name="Comma 6 7 2 2 3" xfId="36121" xr:uid="{61C1435B-DA8B-468A-A546-1F94346771DA}"/>
    <cellStyle name="Comma 6 7 2 3" xfId="14217" xr:uid="{AA5E7A0E-039E-4880-825B-053094412986}"/>
    <cellStyle name="Comma 6 7 2 3 2" xfId="50725" xr:uid="{8E76DBAE-5023-452C-9536-84A74AA19DD4}"/>
    <cellStyle name="Comma 6 7 2 3 3" xfId="32471" xr:uid="{7393A26E-F5F1-4524-91D5-6B529806E7B8}"/>
    <cellStyle name="Comma 6 7 2 4" xfId="10567" xr:uid="{E1C5C6C5-079C-4BC4-AFBF-EC7115B70F6E}"/>
    <cellStyle name="Comma 6 7 2 4 2" xfId="47075" xr:uid="{66CCFE7F-F1A9-4DAB-BE58-C3BAEB64CAD0}"/>
    <cellStyle name="Comma 6 7 2 4 3" xfId="28821" xr:uid="{32F65C49-B04C-4707-B27E-7691749FFE01}"/>
    <cellStyle name="Comma 6 7 2 5" xfId="6917" xr:uid="{E1E60501-B90F-433F-ACF5-66B11CE7EADE}"/>
    <cellStyle name="Comma 6 7 2 5 2" xfId="43425" xr:uid="{26EE9422-F61A-4D39-8BD5-3A8A96E59FFE}"/>
    <cellStyle name="Comma 6 7 2 5 3" xfId="25171" xr:uid="{2EFAFA3F-4A02-4EAE-B1A2-07097149968E}"/>
    <cellStyle name="Comma 6 7 2 6" xfId="39775" xr:uid="{9AE8C11A-94E8-4324-851A-FBDF84EA648F}"/>
    <cellStyle name="Comma 6 7 2 7" xfId="21521" xr:uid="{16F36749-A8A1-4F4C-AA74-6AFED5F0F45D}"/>
    <cellStyle name="Comma 6 7 3" xfId="2537" xr:uid="{E94DFD0C-0F77-4572-8BC0-7E5DC498586E}"/>
    <cellStyle name="Comma 6 7 3 2" xfId="17137" xr:uid="{327C40EE-01FB-44A6-B154-80B4EDD4CC11}"/>
    <cellStyle name="Comma 6 7 3 2 2" xfId="53645" xr:uid="{02615BAC-4021-4DEA-96EA-42A0BABE2A30}"/>
    <cellStyle name="Comma 6 7 3 2 3" xfId="35391" xr:uid="{6B69F2BB-5B23-47F3-972D-F90C3E6B954D}"/>
    <cellStyle name="Comma 6 7 3 3" xfId="13487" xr:uid="{9B0774DA-001A-4EA0-B286-9206F54D0461}"/>
    <cellStyle name="Comma 6 7 3 3 2" xfId="49995" xr:uid="{241BDEDF-5201-43FE-BD7B-8223C6A2E9C7}"/>
    <cellStyle name="Comma 6 7 3 3 3" xfId="31741" xr:uid="{CB92177B-A5F1-412C-AE48-6CF22FC662C6}"/>
    <cellStyle name="Comma 6 7 3 4" xfId="9837" xr:uid="{8CD6FA55-A23A-445D-B4CA-1EC75315E93B}"/>
    <cellStyle name="Comma 6 7 3 4 2" xfId="46345" xr:uid="{CA394C0C-6364-464E-AA82-CE936CDE050A}"/>
    <cellStyle name="Comma 6 7 3 4 3" xfId="28091" xr:uid="{7E95E9BA-6FEA-40A0-B821-272FFBC99B69}"/>
    <cellStyle name="Comma 6 7 3 5" xfId="6187" xr:uid="{504C6F64-1CC0-4AB2-9F5C-9915B031BDFE}"/>
    <cellStyle name="Comma 6 7 3 5 2" xfId="42695" xr:uid="{CE1A1289-EC48-4D89-B153-1CC89F4E53B5}"/>
    <cellStyle name="Comma 6 7 3 5 3" xfId="24441" xr:uid="{6F92F737-1339-4E0D-8795-9941A84317B6}"/>
    <cellStyle name="Comma 6 7 3 6" xfId="39045" xr:uid="{F9F05393-FC4C-4057-8906-8F4A20B829E4}"/>
    <cellStyle name="Comma 6 7 3 7" xfId="20791" xr:uid="{D2A1C1A8-829E-4641-8551-477AB6BFCF8C}"/>
    <cellStyle name="Comma 6 7 4" xfId="1807" xr:uid="{0ACAE1E2-A6E8-4512-94D5-F9450C052FC2}"/>
    <cellStyle name="Comma 6 7 4 2" xfId="16407" xr:uid="{0FB99230-F3C7-40E0-8823-79A915CD79A4}"/>
    <cellStyle name="Comma 6 7 4 2 2" xfId="52915" xr:uid="{5B7C80F3-6E59-4ADE-A33D-BFA543C1F31E}"/>
    <cellStyle name="Comma 6 7 4 2 3" xfId="34661" xr:uid="{4EE80F3E-6483-4DA4-9EE0-50752871DCC3}"/>
    <cellStyle name="Comma 6 7 4 3" xfId="12757" xr:uid="{07B5A41B-8DDB-4198-B8A6-486F995DF757}"/>
    <cellStyle name="Comma 6 7 4 3 2" xfId="49265" xr:uid="{E529B84F-3870-44DB-874C-B629912AC7AA}"/>
    <cellStyle name="Comma 6 7 4 3 3" xfId="31011" xr:uid="{C51CF34F-6C9C-44AA-B986-BA131ECBAFF4}"/>
    <cellStyle name="Comma 6 7 4 4" xfId="9107" xr:uid="{322D3455-A49E-45F8-949C-9A74312F98DE}"/>
    <cellStyle name="Comma 6 7 4 4 2" xfId="45615" xr:uid="{242FC208-06AD-4379-80BB-9BE4294BC316}"/>
    <cellStyle name="Comma 6 7 4 4 3" xfId="27361" xr:uid="{897B0999-7C8F-48FB-9778-FCF0016D831C}"/>
    <cellStyle name="Comma 6 7 4 5" xfId="5457" xr:uid="{2A9BB77C-75A7-4BDF-9A12-07BE3FBF746E}"/>
    <cellStyle name="Comma 6 7 4 5 2" xfId="41965" xr:uid="{8C1DB7C2-BD46-4D2C-AF6F-FB72B2181E32}"/>
    <cellStyle name="Comma 6 7 4 5 3" xfId="23711" xr:uid="{4CBE327F-F427-4FE8-BDF9-02993166E3BC}"/>
    <cellStyle name="Comma 6 7 4 6" xfId="38315" xr:uid="{339209F7-595A-45FD-A4C4-A732950C2994}"/>
    <cellStyle name="Comma 6 7 4 7" xfId="20061" xr:uid="{BC9BF1FC-C4FF-4A05-A228-673D61979552}"/>
    <cellStyle name="Comma 6 7 5" xfId="1077" xr:uid="{172A705C-DDDB-47D8-8F0B-C15425000B32}"/>
    <cellStyle name="Comma 6 7 5 2" xfId="15677" xr:uid="{01ECC250-575D-41F4-94C7-C9C54A020013}"/>
    <cellStyle name="Comma 6 7 5 2 2" xfId="52185" xr:uid="{6D0B8C46-D7E4-4774-B539-6B64C9DC3183}"/>
    <cellStyle name="Comma 6 7 5 2 3" xfId="33931" xr:uid="{9090210B-517F-4EAE-BDF3-9F9125F73B83}"/>
    <cellStyle name="Comma 6 7 5 3" xfId="12027" xr:uid="{DB45E8A7-86ED-4430-82F3-6BBB328F7B10}"/>
    <cellStyle name="Comma 6 7 5 3 2" xfId="48535" xr:uid="{BD9BD883-A8E1-497C-A229-1531D29C3025}"/>
    <cellStyle name="Comma 6 7 5 3 3" xfId="30281" xr:uid="{03767BB2-A63B-4938-BD80-0C47AF928F18}"/>
    <cellStyle name="Comma 6 7 5 4" xfId="8377" xr:uid="{247763F5-AA39-4BF2-A3F2-4F5A787EED8C}"/>
    <cellStyle name="Comma 6 7 5 4 2" xfId="44885" xr:uid="{137F386E-D56E-4F85-92FB-2A9EDF8387AF}"/>
    <cellStyle name="Comma 6 7 5 4 3" xfId="26631" xr:uid="{298F286F-A568-4281-9264-D09878D39838}"/>
    <cellStyle name="Comma 6 7 5 5" xfId="4727" xr:uid="{2E0EFC37-C033-4CF7-A4C3-75917BDE746C}"/>
    <cellStyle name="Comma 6 7 5 5 2" xfId="41235" xr:uid="{A6B472A5-04D2-4FEE-9559-6A66E586048B}"/>
    <cellStyle name="Comma 6 7 5 5 3" xfId="22981" xr:uid="{6A589DBC-DA80-4306-B85E-FD75CE0E756E}"/>
    <cellStyle name="Comma 6 7 5 6" xfId="37585" xr:uid="{81E06AF4-D2DF-49AE-ABBB-5ABAE5B05D7E}"/>
    <cellStyle name="Comma 6 7 5 7" xfId="19331" xr:uid="{3FAE845F-9C08-4167-ABED-7AAA04328611}"/>
    <cellStyle name="Comma 6 7 6" xfId="14947" xr:uid="{A5D447E7-9286-435D-B47C-D451B75B4D86}"/>
    <cellStyle name="Comma 6 7 6 2" xfId="51455" xr:uid="{0817895E-AE7E-4B44-96C7-A2DB577445E3}"/>
    <cellStyle name="Comma 6 7 6 3" xfId="33201" xr:uid="{FCE0C134-FF60-4EC8-A79B-4ACDB94CBECA}"/>
    <cellStyle name="Comma 6 7 7" xfId="11297" xr:uid="{B27376A2-BE29-4B5A-948F-19808A57AF4B}"/>
    <cellStyle name="Comma 6 7 7 2" xfId="47805" xr:uid="{CFE7C936-A4DA-45E5-AD55-FB4E0726C972}"/>
    <cellStyle name="Comma 6 7 7 3" xfId="29551" xr:uid="{CD07EF68-6C72-4CD6-8BBA-7E7029E8AC5F}"/>
    <cellStyle name="Comma 6 7 8" xfId="7647" xr:uid="{FD12E4E3-AEE2-402C-B6B8-A0E66ABFAA59}"/>
    <cellStyle name="Comma 6 7 8 2" xfId="44155" xr:uid="{9D69983A-F681-47F8-ADF1-942BEEA90E96}"/>
    <cellStyle name="Comma 6 7 8 3" xfId="25901" xr:uid="{99BC12BC-73C3-4C36-B534-7A703E428659}"/>
    <cellStyle name="Comma 6 7 9" xfId="3997" xr:uid="{02D4259B-FEE4-4C01-8352-753511EF3632}"/>
    <cellStyle name="Comma 6 7 9 2" xfId="40505" xr:uid="{74B4E15C-634C-4E16-B38A-87E094C5109C}"/>
    <cellStyle name="Comma 6 7 9 3" xfId="22251" xr:uid="{0D824E64-0ED2-4A57-9C8C-C73A89CCCC3C}"/>
    <cellStyle name="Comma 6 8" xfId="243" xr:uid="{EB539293-8F65-447B-9AA6-2E15D4D424E5}"/>
    <cellStyle name="Comma 6 8 10" xfId="36751" xr:uid="{A9A9CA9F-2E48-42F2-A6D7-0F3034DEDD4A}"/>
    <cellStyle name="Comma 6 8 11" xfId="18497" xr:uid="{59936582-D429-4284-BF45-F54805685E65}"/>
    <cellStyle name="Comma 6 8 2" xfId="3163" xr:uid="{524F4694-88E4-4689-B8D7-6257F2AD1341}"/>
    <cellStyle name="Comma 6 8 2 2" xfId="17763" xr:uid="{02EA317A-9126-4A1E-8EF0-F2EE7DBA8F31}"/>
    <cellStyle name="Comma 6 8 2 2 2" xfId="54271" xr:uid="{8AC9B18A-FFC8-4A4A-ACE9-D6BD9F292008}"/>
    <cellStyle name="Comma 6 8 2 2 3" xfId="36017" xr:uid="{C42B0ACE-885B-4AC6-846F-5424728F4FEE}"/>
    <cellStyle name="Comma 6 8 2 3" xfId="14113" xr:uid="{7467CE1C-C3D1-45A1-A3F4-37BC8FA5D485}"/>
    <cellStyle name="Comma 6 8 2 3 2" xfId="50621" xr:uid="{E10B84AB-DA66-463D-A727-F5408538ED47}"/>
    <cellStyle name="Comma 6 8 2 3 3" xfId="32367" xr:uid="{D962F0BB-374B-4E31-A2EA-EFEEE6C58F68}"/>
    <cellStyle name="Comma 6 8 2 4" xfId="10463" xr:uid="{A8B21572-F750-440F-83AD-79C4AD11D603}"/>
    <cellStyle name="Comma 6 8 2 4 2" xfId="46971" xr:uid="{3D71B2CB-4047-47AC-894A-EB42780E9671}"/>
    <cellStyle name="Comma 6 8 2 4 3" xfId="28717" xr:uid="{4D59364D-0758-42B7-825E-F1D613C1DB29}"/>
    <cellStyle name="Comma 6 8 2 5" xfId="6813" xr:uid="{59CDCDBE-9730-4AEF-9A15-37EDB5CBC1C6}"/>
    <cellStyle name="Comma 6 8 2 5 2" xfId="43321" xr:uid="{1E970526-E2F0-4016-83D3-E146FFC8483A}"/>
    <cellStyle name="Comma 6 8 2 5 3" xfId="25067" xr:uid="{F8B890AA-0BD8-4ED3-8D4F-1F90617AB2A8}"/>
    <cellStyle name="Comma 6 8 2 6" xfId="39671" xr:uid="{B390C3A0-D148-483B-952A-D28D8037CC2F}"/>
    <cellStyle name="Comma 6 8 2 7" xfId="21417" xr:uid="{A07FDED8-B349-4610-8254-3CBA58581971}"/>
    <cellStyle name="Comma 6 8 3" xfId="2433" xr:uid="{B8CB61A8-9010-4591-A27E-5FCAB86E8BD4}"/>
    <cellStyle name="Comma 6 8 3 2" xfId="17033" xr:uid="{A01DFA88-1AD2-42F2-84FC-F467964E0F84}"/>
    <cellStyle name="Comma 6 8 3 2 2" xfId="53541" xr:uid="{061D8847-2467-4095-9268-A33E2F59F742}"/>
    <cellStyle name="Comma 6 8 3 2 3" xfId="35287" xr:uid="{8B5C57FE-9217-4BCA-AE5A-34AEA53748C6}"/>
    <cellStyle name="Comma 6 8 3 3" xfId="13383" xr:uid="{1388D042-4B60-4391-9971-93BD5EB5C376}"/>
    <cellStyle name="Comma 6 8 3 3 2" xfId="49891" xr:uid="{152A7079-32B0-4BAA-81CF-43BA28FB9F71}"/>
    <cellStyle name="Comma 6 8 3 3 3" xfId="31637" xr:uid="{97485C01-05B3-47ED-9264-C82ED3695943}"/>
    <cellStyle name="Comma 6 8 3 4" xfId="9733" xr:uid="{78F2FD82-E286-4628-A3F4-8945F363C487}"/>
    <cellStyle name="Comma 6 8 3 4 2" xfId="46241" xr:uid="{67B18B53-01BF-4B65-8EEB-184BC7103D47}"/>
    <cellStyle name="Comma 6 8 3 4 3" xfId="27987" xr:uid="{A031FC6A-FCBC-47D5-8AC5-66B310B8C69E}"/>
    <cellStyle name="Comma 6 8 3 5" xfId="6083" xr:uid="{4B0F1577-AE69-43B1-87F7-6C8691343E5A}"/>
    <cellStyle name="Comma 6 8 3 5 2" xfId="42591" xr:uid="{F9843168-4AAF-47CA-A91F-6F95F178A784}"/>
    <cellStyle name="Comma 6 8 3 5 3" xfId="24337" xr:uid="{CD804155-61BD-46BD-980E-41D44DBBD2B7}"/>
    <cellStyle name="Comma 6 8 3 6" xfId="38941" xr:uid="{72B7543F-6DDF-45F3-94CC-7526992340D9}"/>
    <cellStyle name="Comma 6 8 3 7" xfId="20687" xr:uid="{5BE7FA11-E037-4574-AF37-8A382FBBAB9E}"/>
    <cellStyle name="Comma 6 8 4" xfId="1703" xr:uid="{F24FEDED-37CE-4409-8868-AD013D0BB575}"/>
    <cellStyle name="Comma 6 8 4 2" xfId="16303" xr:uid="{65731559-CBC7-43DD-8CB8-434B6506C304}"/>
    <cellStyle name="Comma 6 8 4 2 2" xfId="52811" xr:uid="{0D70C28F-8EF5-431C-B273-2A74225A8D7F}"/>
    <cellStyle name="Comma 6 8 4 2 3" xfId="34557" xr:uid="{1E461462-F211-4108-B091-FCE2C7B503A4}"/>
    <cellStyle name="Comma 6 8 4 3" xfId="12653" xr:uid="{4185C55B-EE1F-4267-B2CB-567617395052}"/>
    <cellStyle name="Comma 6 8 4 3 2" xfId="49161" xr:uid="{6A5FA247-75D5-4E93-8CDA-A31705DB9ED5}"/>
    <cellStyle name="Comma 6 8 4 3 3" xfId="30907" xr:uid="{1BB35B16-DE12-42F0-A2EA-594440102B59}"/>
    <cellStyle name="Comma 6 8 4 4" xfId="9003" xr:uid="{1FE96EE5-1ED4-4C87-A7C0-D05B217FA3AE}"/>
    <cellStyle name="Comma 6 8 4 4 2" xfId="45511" xr:uid="{F48BCC57-6353-438E-B284-6883144D642E}"/>
    <cellStyle name="Comma 6 8 4 4 3" xfId="27257" xr:uid="{03DEFBD7-2138-41E2-BA66-2A410A41E648}"/>
    <cellStyle name="Comma 6 8 4 5" xfId="5353" xr:uid="{56C7BF4D-B821-41C0-923F-A2F3190D47F4}"/>
    <cellStyle name="Comma 6 8 4 5 2" xfId="41861" xr:uid="{C36A7DDE-28EE-45F2-AFAA-8B9D9BE6E16E}"/>
    <cellStyle name="Comma 6 8 4 5 3" xfId="23607" xr:uid="{92FA3419-FC19-4ECC-9407-20A0C6DC9150}"/>
    <cellStyle name="Comma 6 8 4 6" xfId="38211" xr:uid="{1283ECF6-15CE-454C-ACDE-7E2B41DCC500}"/>
    <cellStyle name="Comma 6 8 4 7" xfId="19957" xr:uid="{BAD99471-4E10-4D5E-B1F0-3A87FCD9B3A2}"/>
    <cellStyle name="Comma 6 8 5" xfId="973" xr:uid="{26511D32-603E-45F6-AF04-4FE43A025792}"/>
    <cellStyle name="Comma 6 8 5 2" xfId="15573" xr:uid="{A07AF973-4FD5-4480-A411-35283379B9EF}"/>
    <cellStyle name="Comma 6 8 5 2 2" xfId="52081" xr:uid="{C5C9BB15-91F5-41FA-AD3A-237F65A9B8DA}"/>
    <cellStyle name="Comma 6 8 5 2 3" xfId="33827" xr:uid="{257A85C2-0343-4900-92BC-3157850C83D6}"/>
    <cellStyle name="Comma 6 8 5 3" xfId="11923" xr:uid="{E0725B0C-083C-48BF-B3C9-25023D382DA9}"/>
    <cellStyle name="Comma 6 8 5 3 2" xfId="48431" xr:uid="{3A001A6B-C2E1-42FA-BD11-0DB0451F8C8E}"/>
    <cellStyle name="Comma 6 8 5 3 3" xfId="30177" xr:uid="{35F86D74-B827-4C89-8660-EFC08E3EA5F7}"/>
    <cellStyle name="Comma 6 8 5 4" xfId="8273" xr:uid="{F24DF61E-C951-47C3-A41F-CAFA10A0DE04}"/>
    <cellStyle name="Comma 6 8 5 4 2" xfId="44781" xr:uid="{F541401D-8AFA-41B2-96D4-7434B509736F}"/>
    <cellStyle name="Comma 6 8 5 4 3" xfId="26527" xr:uid="{6E6F7F99-1428-44CF-BBF4-CE1D665A7D26}"/>
    <cellStyle name="Comma 6 8 5 5" xfId="4623" xr:uid="{56764611-049E-4DD4-B14C-952A765AF719}"/>
    <cellStyle name="Comma 6 8 5 5 2" xfId="41131" xr:uid="{641D5C2E-43B4-4153-AFE7-A84224DEC56D}"/>
    <cellStyle name="Comma 6 8 5 5 3" xfId="22877" xr:uid="{5C8DB6AD-DE8C-44C6-A36A-983E0E5C378D}"/>
    <cellStyle name="Comma 6 8 5 6" xfId="37481" xr:uid="{E030A827-5037-4D94-A742-13DC3EC88A05}"/>
    <cellStyle name="Comma 6 8 5 7" xfId="19227" xr:uid="{37798C2C-953F-46B4-BBB9-6E4500B62060}"/>
    <cellStyle name="Comma 6 8 6" xfId="14843" xr:uid="{D4D1771A-FCE5-4A63-AD86-797605DA303A}"/>
    <cellStyle name="Comma 6 8 6 2" xfId="51351" xr:uid="{FB496F56-93E7-44C8-A9B6-87F4B1BAE16F}"/>
    <cellStyle name="Comma 6 8 6 3" xfId="33097" xr:uid="{E4C9C524-6C74-4882-BBF6-D40AE220A713}"/>
    <cellStyle name="Comma 6 8 7" xfId="11193" xr:uid="{3650BB64-9A68-4344-997F-AB5B9CDDCA5A}"/>
    <cellStyle name="Comma 6 8 7 2" xfId="47701" xr:uid="{D74BF98C-DB7D-447D-9D2E-2080E4CE39EB}"/>
    <cellStyle name="Comma 6 8 7 3" xfId="29447" xr:uid="{6D6879B7-7873-495F-81E2-EE2EA3EB54C0}"/>
    <cellStyle name="Comma 6 8 8" xfId="7543" xr:uid="{7E596C95-07D4-488F-ADB1-721FDD436F3B}"/>
    <cellStyle name="Comma 6 8 8 2" xfId="44051" xr:uid="{A673D54E-F3EB-4FF4-9BC8-0745FC5AF3FA}"/>
    <cellStyle name="Comma 6 8 8 3" xfId="25797" xr:uid="{39686797-6EE0-43BF-A1F5-A13D1EB052A6}"/>
    <cellStyle name="Comma 6 8 9" xfId="3893" xr:uid="{BBDE4EB4-083F-45CB-9C50-E94EB4ABC31B}"/>
    <cellStyle name="Comma 6 8 9 2" xfId="40401" xr:uid="{C686AA53-A035-4042-B1FA-E42308803B80}"/>
    <cellStyle name="Comma 6 8 9 3" xfId="22147" xr:uid="{19228199-12EB-4A5A-B609-BD28CFD8C189}"/>
    <cellStyle name="Comma 6 9" xfId="139" xr:uid="{02DDD31C-C5E0-48B8-8702-BC84CE33E387}"/>
    <cellStyle name="Comma 6 9 10" xfId="36647" xr:uid="{33DF846B-B2DC-4FEC-A06D-C08B675BA4DD}"/>
    <cellStyle name="Comma 6 9 11" xfId="18393" xr:uid="{C748363F-454C-4BDC-BC29-9256DAF81D7D}"/>
    <cellStyle name="Comma 6 9 2" xfId="3059" xr:uid="{33BE5690-453A-4B1D-AB01-C597420D9FCE}"/>
    <cellStyle name="Comma 6 9 2 2" xfId="17659" xr:uid="{77BF6290-C687-466D-A420-DCE15E989D6B}"/>
    <cellStyle name="Comma 6 9 2 2 2" xfId="54167" xr:uid="{14928D67-9713-4EF9-8E15-EA1DFD6ED3DC}"/>
    <cellStyle name="Comma 6 9 2 2 3" xfId="35913" xr:uid="{4CED9412-EBC1-4D15-952B-17C6707F0FC3}"/>
    <cellStyle name="Comma 6 9 2 3" xfId="14009" xr:uid="{C9991180-6A6D-41DD-A31D-0F11ACE73737}"/>
    <cellStyle name="Comma 6 9 2 3 2" xfId="50517" xr:uid="{C024A7AD-EB70-4823-ACFA-72E076382F7A}"/>
    <cellStyle name="Comma 6 9 2 3 3" xfId="32263" xr:uid="{059AE7BD-CDA5-4E97-B9A1-1931429615C5}"/>
    <cellStyle name="Comma 6 9 2 4" xfId="10359" xr:uid="{58507B7B-9F90-46D1-A134-BD02C86EDE18}"/>
    <cellStyle name="Comma 6 9 2 4 2" xfId="46867" xr:uid="{E082F3E2-D294-48BE-AE6C-D21CA4C7B77E}"/>
    <cellStyle name="Comma 6 9 2 4 3" xfId="28613" xr:uid="{605788CD-D31C-45D1-875D-7383F1628A36}"/>
    <cellStyle name="Comma 6 9 2 5" xfId="6709" xr:uid="{44A56A94-E11A-41F7-8F5B-EC65D5556352}"/>
    <cellStyle name="Comma 6 9 2 5 2" xfId="43217" xr:uid="{B30C2CBF-F329-4916-B977-AC37AF7D12F0}"/>
    <cellStyle name="Comma 6 9 2 5 3" xfId="24963" xr:uid="{C5A630B0-6753-4975-B8A7-97F8AC5629E3}"/>
    <cellStyle name="Comma 6 9 2 6" xfId="39567" xr:uid="{FAC6D5C1-7DE9-428D-8934-21281E248BB5}"/>
    <cellStyle name="Comma 6 9 2 7" xfId="21313" xr:uid="{D877DF8F-DB3F-4EA7-9798-735A5D11553B}"/>
    <cellStyle name="Comma 6 9 3" xfId="2329" xr:uid="{666EBA3B-7659-4F15-8540-F310E33DE493}"/>
    <cellStyle name="Comma 6 9 3 2" xfId="16929" xr:uid="{0CB33F3C-3BD1-4F0C-8F9A-FCD73EEE1C58}"/>
    <cellStyle name="Comma 6 9 3 2 2" xfId="53437" xr:uid="{EEF19618-863E-406E-8740-2A75B8B81848}"/>
    <cellStyle name="Comma 6 9 3 2 3" xfId="35183" xr:uid="{AE2C9F25-4CB5-49FA-BAB0-B2C2E6F82227}"/>
    <cellStyle name="Comma 6 9 3 3" xfId="13279" xr:uid="{F517A22E-024C-4677-A20A-D4BBB8CD7EE0}"/>
    <cellStyle name="Comma 6 9 3 3 2" xfId="49787" xr:uid="{C26CB4C5-40BE-4953-BE22-D5E325C50978}"/>
    <cellStyle name="Comma 6 9 3 3 3" xfId="31533" xr:uid="{A43A3294-9730-4694-B9EB-7ED8D790D1BA}"/>
    <cellStyle name="Comma 6 9 3 4" xfId="9629" xr:uid="{A462643E-A79C-47DD-BA63-72867AEF01D7}"/>
    <cellStyle name="Comma 6 9 3 4 2" xfId="46137" xr:uid="{85E5F4DB-9956-499B-AB94-ABA9BD655D26}"/>
    <cellStyle name="Comma 6 9 3 4 3" xfId="27883" xr:uid="{64A5EF5A-997F-470D-8BAE-4F811B9B1445}"/>
    <cellStyle name="Comma 6 9 3 5" xfId="5979" xr:uid="{226A2F55-885D-4CC8-8815-1664579B0838}"/>
    <cellStyle name="Comma 6 9 3 5 2" xfId="42487" xr:uid="{5C741CB9-0442-43D9-892D-90245DBEC392}"/>
    <cellStyle name="Comma 6 9 3 5 3" xfId="24233" xr:uid="{0A217BDB-21FC-4D31-AADF-F75F0D3B1EAF}"/>
    <cellStyle name="Comma 6 9 3 6" xfId="38837" xr:uid="{00A553D8-FF30-4AB4-9B0B-FB3AC36131B0}"/>
    <cellStyle name="Comma 6 9 3 7" xfId="20583" xr:uid="{1485286F-4921-40DF-97FA-79B9FA1794E8}"/>
    <cellStyle name="Comma 6 9 4" xfId="1599" xr:uid="{144F6F9F-9684-4FEE-B9BD-B2399DCFF78C}"/>
    <cellStyle name="Comma 6 9 4 2" xfId="16199" xr:uid="{55142500-0826-4668-BE9F-BC714E16155D}"/>
    <cellStyle name="Comma 6 9 4 2 2" xfId="52707" xr:uid="{CB5B7073-B441-4AFC-89C1-D5983FCDE8A2}"/>
    <cellStyle name="Comma 6 9 4 2 3" xfId="34453" xr:uid="{9411C553-6F30-49C4-B402-FB9320181017}"/>
    <cellStyle name="Comma 6 9 4 3" xfId="12549" xr:uid="{F4D7ED3F-E48A-422C-B008-2933CA7AE8B0}"/>
    <cellStyle name="Comma 6 9 4 3 2" xfId="49057" xr:uid="{E9E341FA-8A90-4411-A4AD-6E4F777A05B9}"/>
    <cellStyle name="Comma 6 9 4 3 3" xfId="30803" xr:uid="{954BDB63-B121-4EC2-9CD4-D704300300C1}"/>
    <cellStyle name="Comma 6 9 4 4" xfId="8899" xr:uid="{67BFF3D4-476D-4B58-BD6E-866EF7EBD790}"/>
    <cellStyle name="Comma 6 9 4 4 2" xfId="45407" xr:uid="{A855FEF4-48D3-4DB6-85DE-B9766158CCC3}"/>
    <cellStyle name="Comma 6 9 4 4 3" xfId="27153" xr:uid="{E7C4700A-57F5-4854-AE8D-415C52C883DA}"/>
    <cellStyle name="Comma 6 9 4 5" xfId="5249" xr:uid="{285835E0-A878-432B-9A58-8E45865AD97B}"/>
    <cellStyle name="Comma 6 9 4 5 2" xfId="41757" xr:uid="{12B45261-E4EA-4CBB-9DEC-703581D291F9}"/>
    <cellStyle name="Comma 6 9 4 5 3" xfId="23503" xr:uid="{033A4F91-759E-4089-8937-883EFA9284CB}"/>
    <cellStyle name="Comma 6 9 4 6" xfId="38107" xr:uid="{2F810144-519E-4D45-842B-C3064967737B}"/>
    <cellStyle name="Comma 6 9 4 7" xfId="19853" xr:uid="{E6DF51F9-9DDA-4025-B1D1-7BA35AD35F7D}"/>
    <cellStyle name="Comma 6 9 5" xfId="869" xr:uid="{609DBCB9-2FCB-4534-B21E-DC9478EBB412}"/>
    <cellStyle name="Comma 6 9 5 2" xfId="15469" xr:uid="{6B0E12F0-DC67-42F7-BF2F-47610DF48726}"/>
    <cellStyle name="Comma 6 9 5 2 2" xfId="51977" xr:uid="{23E7EB66-035A-4409-9E85-31D5F315BA83}"/>
    <cellStyle name="Comma 6 9 5 2 3" xfId="33723" xr:uid="{E6BB94CB-5371-423C-AA09-B91511D03925}"/>
    <cellStyle name="Comma 6 9 5 3" xfId="11819" xr:uid="{5B16D152-E74A-487E-952E-99CD02828226}"/>
    <cellStyle name="Comma 6 9 5 3 2" xfId="48327" xr:uid="{C0DC1551-9CA9-4329-B673-A60D44172453}"/>
    <cellStyle name="Comma 6 9 5 3 3" xfId="30073" xr:uid="{41FCB35C-5D7C-4492-B248-3BD8AB175F79}"/>
    <cellStyle name="Comma 6 9 5 4" xfId="8169" xr:uid="{93E6C1C4-62D3-4585-AEE0-DD87B50A9E2F}"/>
    <cellStyle name="Comma 6 9 5 4 2" xfId="44677" xr:uid="{EB74EFF9-2391-4163-AEA1-DAFD9779AD08}"/>
    <cellStyle name="Comma 6 9 5 4 3" xfId="26423" xr:uid="{F8D6286F-E1DC-43F5-B371-E683B0153165}"/>
    <cellStyle name="Comma 6 9 5 5" xfId="4519" xr:uid="{07655488-460D-4FF6-A1A4-FD149987565C}"/>
    <cellStyle name="Comma 6 9 5 5 2" xfId="41027" xr:uid="{266F2D12-CEF1-42AC-A48F-E67403046AEB}"/>
    <cellStyle name="Comma 6 9 5 5 3" xfId="22773" xr:uid="{F53526D6-9D77-4C6A-96DE-B3FE235600F2}"/>
    <cellStyle name="Comma 6 9 5 6" xfId="37377" xr:uid="{7D0210FC-D819-49BC-A446-D23BA259EE53}"/>
    <cellStyle name="Comma 6 9 5 7" xfId="19123" xr:uid="{77492153-B5E5-41E9-A6FD-2C2119B5DACC}"/>
    <cellStyle name="Comma 6 9 6" xfId="14739" xr:uid="{1281C136-95BF-4E3E-A0F6-0A6BF0247986}"/>
    <cellStyle name="Comma 6 9 6 2" xfId="51247" xr:uid="{4E9C39B6-33AE-4508-8BFA-F64D0ACF5653}"/>
    <cellStyle name="Comma 6 9 6 3" xfId="32993" xr:uid="{EFC5507F-D9DF-43CE-B1AC-19C2BA60C46A}"/>
    <cellStyle name="Comma 6 9 7" xfId="11089" xr:uid="{8B32C740-AEC2-4C22-9AF1-6DB27381D636}"/>
    <cellStyle name="Comma 6 9 7 2" xfId="47597" xr:uid="{207E70A7-71F7-40CF-B359-B62AEA7674DF}"/>
    <cellStyle name="Comma 6 9 7 3" xfId="29343" xr:uid="{9BCF4749-3075-482A-924F-C3174C047C14}"/>
    <cellStyle name="Comma 6 9 8" xfId="7439" xr:uid="{822F22B9-3D88-4C14-A599-DFA38D65C7A2}"/>
    <cellStyle name="Comma 6 9 8 2" xfId="43947" xr:uid="{9C1D1D54-1E44-4E8E-B373-65E5701807A0}"/>
    <cellStyle name="Comma 6 9 8 3" xfId="25693" xr:uid="{A486D9A9-21A3-49A0-86A8-52AE777E074D}"/>
    <cellStyle name="Comma 6 9 9" xfId="3789" xr:uid="{54D4D6E2-1996-4868-BB6A-1211A16B4B63}"/>
    <cellStyle name="Comma 6 9 9 2" xfId="40297" xr:uid="{9D3231C4-7250-4630-946F-895DEBBF437D}"/>
    <cellStyle name="Comma 6 9 9 3" xfId="22043" xr:uid="{641CEC99-C051-4060-8A4B-6B7BFD1C5D5B}"/>
    <cellStyle name="Comma 7" xfId="80" xr:uid="{616C748E-E5A0-4628-843B-4DF36563B939}"/>
    <cellStyle name="Comma 7 10" xfId="1543" xr:uid="{B6E492B9-4C9C-4F5C-8809-DF396A3F480A}"/>
    <cellStyle name="Comma 7 10 2" xfId="16143" xr:uid="{1C0C534E-0869-4119-BA48-9154FE5B8004}"/>
    <cellStyle name="Comma 7 10 2 2" xfId="52651" xr:uid="{5D182139-8984-4E54-B82D-62D852BC09AE}"/>
    <cellStyle name="Comma 7 10 2 3" xfId="34397" xr:uid="{C6D45192-3E9A-4380-A963-C60080B2E779}"/>
    <cellStyle name="Comma 7 10 3" xfId="12493" xr:uid="{DE1AA994-87AA-4EA8-A76E-DE681C6527AE}"/>
    <cellStyle name="Comma 7 10 3 2" xfId="49001" xr:uid="{9EB7B56C-E260-4CF9-9DD1-8F323EC66351}"/>
    <cellStyle name="Comma 7 10 3 3" xfId="30747" xr:uid="{77E01E63-F20A-48D3-9CB1-03ABFE34D976}"/>
    <cellStyle name="Comma 7 10 4" xfId="8843" xr:uid="{3258BEC7-637B-48F8-9206-673F17E85D42}"/>
    <cellStyle name="Comma 7 10 4 2" xfId="45351" xr:uid="{2753D92C-53A3-4670-A403-8A8CDAF261BF}"/>
    <cellStyle name="Comma 7 10 4 3" xfId="27097" xr:uid="{C5C07569-878E-437D-930C-A9BCA75388DE}"/>
    <cellStyle name="Comma 7 10 5" xfId="5193" xr:uid="{966275FF-D64B-421F-94D8-808783996F35}"/>
    <cellStyle name="Comma 7 10 5 2" xfId="41701" xr:uid="{11C124EA-CB1D-4550-83C9-A3D5D022304E}"/>
    <cellStyle name="Comma 7 10 5 3" xfId="23447" xr:uid="{49C51609-1DB1-4AFC-9069-F03493220D68}"/>
    <cellStyle name="Comma 7 10 6" xfId="38051" xr:uid="{8300BB67-7905-49E5-9CDD-B4A0E4352B7A}"/>
    <cellStyle name="Comma 7 10 7" xfId="19797" xr:uid="{BB2B1A4F-229D-48EB-BA18-0EFE954D0017}"/>
    <cellStyle name="Comma 7 11" xfId="813" xr:uid="{63C33D16-AECE-49A9-82C1-D3013193E515}"/>
    <cellStyle name="Comma 7 11 2" xfId="15413" xr:uid="{1DB5F99F-781C-471C-B949-CC7FF867AC17}"/>
    <cellStyle name="Comma 7 11 2 2" xfId="51921" xr:uid="{C0B292C8-82BC-4B30-8EE6-D9BB3CAA5A07}"/>
    <cellStyle name="Comma 7 11 2 3" xfId="33667" xr:uid="{21928336-C9C6-41FC-9744-C36671D956E0}"/>
    <cellStyle name="Comma 7 11 3" xfId="11763" xr:uid="{BC4396E7-DA32-4E7A-AC58-6CF0B1574FE6}"/>
    <cellStyle name="Comma 7 11 3 2" xfId="48271" xr:uid="{7C7A0D96-CA1A-458B-9560-EB8B885FD01C}"/>
    <cellStyle name="Comma 7 11 3 3" xfId="30017" xr:uid="{979DA546-8EC3-4CC2-8990-359186219E3B}"/>
    <cellStyle name="Comma 7 11 4" xfId="8113" xr:uid="{6D6DB01D-0635-42F4-BF48-8AA75485D524}"/>
    <cellStyle name="Comma 7 11 4 2" xfId="44621" xr:uid="{D25FC798-780D-47A5-B7CA-851EB24DC672}"/>
    <cellStyle name="Comma 7 11 4 3" xfId="26367" xr:uid="{7B1B7108-0018-4F74-B5DE-18D3FBBB1672}"/>
    <cellStyle name="Comma 7 11 5" xfId="4463" xr:uid="{B23F8D3B-23B4-4D66-829C-B069951095B6}"/>
    <cellStyle name="Comma 7 11 5 2" xfId="40971" xr:uid="{6C00EC96-A25D-4357-907A-51E88259BBF4}"/>
    <cellStyle name="Comma 7 11 5 3" xfId="22717" xr:uid="{290CA5D6-3EFC-46EE-84C9-9F3CB42AB3DE}"/>
    <cellStyle name="Comma 7 11 6" xfId="37321" xr:uid="{6F8B86F0-A475-4CB5-AF6D-FC156D37E762}"/>
    <cellStyle name="Comma 7 11 7" xfId="19067" xr:uid="{1430F4E6-AF36-465A-A69D-7BF79D6DD38B}"/>
    <cellStyle name="Comma 7 12" xfId="14683" xr:uid="{72C0DE5E-F2B4-4527-B8A5-04AFB50D2852}"/>
    <cellStyle name="Comma 7 12 2" xfId="51191" xr:uid="{AF3C96E1-7BAE-4388-89B5-C1C61AA6965E}"/>
    <cellStyle name="Comma 7 12 3" xfId="32937" xr:uid="{92737DC8-A1A1-4989-8C8C-488C4A532CCF}"/>
    <cellStyle name="Comma 7 13" xfId="11033" xr:uid="{8041CD06-F9B3-4308-9524-E2E4842920B6}"/>
    <cellStyle name="Comma 7 13 2" xfId="47541" xr:uid="{D4CDC6BE-1B7A-4409-B200-0E538250D7F9}"/>
    <cellStyle name="Comma 7 13 3" xfId="29287" xr:uid="{0483A72F-61D3-43A3-82CC-53FFFEF2DE6E}"/>
    <cellStyle name="Comma 7 14" xfId="7383" xr:uid="{14A8E04E-4241-4659-825E-21A769356087}"/>
    <cellStyle name="Comma 7 14 2" xfId="43891" xr:uid="{5C4A6D67-3C81-4170-A19B-102877FC9F2E}"/>
    <cellStyle name="Comma 7 14 3" xfId="25637" xr:uid="{6E39BA9F-19FB-4FC1-9DB7-CDBE9F22AD9E}"/>
    <cellStyle name="Comma 7 15" xfId="3733" xr:uid="{BC6E429D-DCD0-40B4-9F95-82CC29B3DA7E}"/>
    <cellStyle name="Comma 7 15 2" xfId="40241" xr:uid="{89A08F78-3CFA-449A-B50C-B49CE3F12993}"/>
    <cellStyle name="Comma 7 15 3" xfId="21987" xr:uid="{0B2215F2-C311-4DCB-93C4-BD54ED8E29C5}"/>
    <cellStyle name="Comma 7 16" xfId="36591" xr:uid="{6BA75FCF-2AED-42AB-A459-F87216FDA786}"/>
    <cellStyle name="Comma 7 17" xfId="18337" xr:uid="{C0DEE387-AB23-4C19-A1BD-A9B5342055D7}"/>
    <cellStyle name="Comma 7 2" xfId="707" xr:uid="{558C6D88-18FB-4871-94B8-B2E3E6C2A50E}"/>
    <cellStyle name="Comma 7 2 10" xfId="37215" xr:uid="{EB61DAC9-01AA-4D5B-859F-31F847791F1E}"/>
    <cellStyle name="Comma 7 2 11" xfId="18961" xr:uid="{2E227901-13C5-4A13-A9E2-32E7A85EC5E9}"/>
    <cellStyle name="Comma 7 2 2" xfId="3627" xr:uid="{1FF2AB4B-DBF5-4A23-A997-69E828076C99}"/>
    <cellStyle name="Comma 7 2 2 2" xfId="18227" xr:uid="{E317935D-A184-4266-A1FE-76143C2E01C7}"/>
    <cellStyle name="Comma 7 2 2 2 2" xfId="54735" xr:uid="{54180B84-4EA2-4600-884C-F51B647BDFD5}"/>
    <cellStyle name="Comma 7 2 2 2 3" xfId="36481" xr:uid="{8CCC6EC1-8583-4B9B-B7D2-1587309F02B6}"/>
    <cellStyle name="Comma 7 2 2 3" xfId="14577" xr:uid="{4BCE29FA-E0A6-4C6A-A0CE-902F51700B26}"/>
    <cellStyle name="Comma 7 2 2 3 2" xfId="51085" xr:uid="{50717D1F-4C12-440B-AF13-997312A9EFEB}"/>
    <cellStyle name="Comma 7 2 2 3 3" xfId="32831" xr:uid="{9D6E6AB9-295E-486E-9194-65B50745AA10}"/>
    <cellStyle name="Comma 7 2 2 4" xfId="10927" xr:uid="{070C4798-B435-4FDD-96E0-555180E99FBC}"/>
    <cellStyle name="Comma 7 2 2 4 2" xfId="47435" xr:uid="{2D036F86-8EA2-412A-8E2B-982A5D3F7D70}"/>
    <cellStyle name="Comma 7 2 2 4 3" xfId="29181" xr:uid="{251D7DB7-DD7F-4C9C-B609-48F8F9A0AA32}"/>
    <cellStyle name="Comma 7 2 2 5" xfId="7277" xr:uid="{F4380526-EE1F-485A-BCC0-511635436E6B}"/>
    <cellStyle name="Comma 7 2 2 5 2" xfId="43785" xr:uid="{C5E49470-7347-45CB-81D5-D920DD96DAE4}"/>
    <cellStyle name="Comma 7 2 2 5 3" xfId="25531" xr:uid="{FD0CD8A3-B662-4049-A60F-F272E46500E1}"/>
    <cellStyle name="Comma 7 2 2 6" xfId="40135" xr:uid="{2AB6005F-2449-481A-AD57-3458ED10FB46}"/>
    <cellStyle name="Comma 7 2 2 7" xfId="21881" xr:uid="{EEDC7E3E-4211-4DBF-8A65-4491ACC59FEA}"/>
    <cellStyle name="Comma 7 2 3" xfId="2897" xr:uid="{FCF305DA-EAEA-4850-AE87-1DE0AE33CDC4}"/>
    <cellStyle name="Comma 7 2 3 2" xfId="17497" xr:uid="{DD77F76B-36EA-4736-AE8F-BBAA206C13CA}"/>
    <cellStyle name="Comma 7 2 3 2 2" xfId="54005" xr:uid="{E59FDFD6-8068-428B-AA24-D3824AB69254}"/>
    <cellStyle name="Comma 7 2 3 2 3" xfId="35751" xr:uid="{7065AC69-216D-49C9-8956-65EC7FD82C31}"/>
    <cellStyle name="Comma 7 2 3 3" xfId="13847" xr:uid="{9200A092-5973-474F-92EA-64E8DAA23D09}"/>
    <cellStyle name="Comma 7 2 3 3 2" xfId="50355" xr:uid="{A6BD74E7-C50D-4C57-A6AD-8A05567E89F0}"/>
    <cellStyle name="Comma 7 2 3 3 3" xfId="32101" xr:uid="{FF5CDFD0-81A9-4B98-87BF-6944C474FDE9}"/>
    <cellStyle name="Comma 7 2 3 4" xfId="10197" xr:uid="{2990913D-6140-4708-96F3-2D0E699B38C1}"/>
    <cellStyle name="Comma 7 2 3 4 2" xfId="46705" xr:uid="{7D4B8255-133A-48B4-AD86-938F7677DCF6}"/>
    <cellStyle name="Comma 7 2 3 4 3" xfId="28451" xr:uid="{219D287B-F632-4F7E-B0BE-7D8FA736A559}"/>
    <cellStyle name="Comma 7 2 3 5" xfId="6547" xr:uid="{0B3BF386-A4B1-4441-883E-A1C34E3A0449}"/>
    <cellStyle name="Comma 7 2 3 5 2" xfId="43055" xr:uid="{48FBCE6E-E815-497B-8A61-8E7C77316CE0}"/>
    <cellStyle name="Comma 7 2 3 5 3" xfId="24801" xr:uid="{0439FAF7-D3F7-4CD6-BC45-9DCF77C44B80}"/>
    <cellStyle name="Comma 7 2 3 6" xfId="39405" xr:uid="{874342AA-E85D-4F52-BFCB-E349D393A4CE}"/>
    <cellStyle name="Comma 7 2 3 7" xfId="21151" xr:uid="{CEE8016C-40F1-4A81-B7DC-E2F8AA084BCA}"/>
    <cellStyle name="Comma 7 2 4" xfId="2167" xr:uid="{0E417C2C-B2AC-412B-97C5-EE44867BD9DB}"/>
    <cellStyle name="Comma 7 2 4 2" xfId="16767" xr:uid="{6A2494DA-6EC1-4B16-A0DF-096FBC88F71E}"/>
    <cellStyle name="Comma 7 2 4 2 2" xfId="53275" xr:uid="{3E12822B-DB3D-4AA8-B466-662286A7048F}"/>
    <cellStyle name="Comma 7 2 4 2 3" xfId="35021" xr:uid="{7775E7D8-965D-4A19-9C38-88AF8FF12F73}"/>
    <cellStyle name="Comma 7 2 4 3" xfId="13117" xr:uid="{33792C3B-E4B3-4BB2-8DDA-A3B203E39FE6}"/>
    <cellStyle name="Comma 7 2 4 3 2" xfId="49625" xr:uid="{E705B4A9-151D-4B33-9D2D-8BB68FC64C14}"/>
    <cellStyle name="Comma 7 2 4 3 3" xfId="31371" xr:uid="{216971AF-235B-4E91-9B3C-C35AF7A46FCA}"/>
    <cellStyle name="Comma 7 2 4 4" xfId="9467" xr:uid="{CB2F2D5C-AC23-46E9-920F-D13631EC6EE2}"/>
    <cellStyle name="Comma 7 2 4 4 2" xfId="45975" xr:uid="{0E99D0D9-D1BC-46AB-ADEB-0289665C8A14}"/>
    <cellStyle name="Comma 7 2 4 4 3" xfId="27721" xr:uid="{8C4AFC27-DD4B-4D43-8D89-B60BCB065CF2}"/>
    <cellStyle name="Comma 7 2 4 5" xfId="5817" xr:uid="{8C4CDC3C-9230-46AB-89DF-B65EC48D81CF}"/>
    <cellStyle name="Comma 7 2 4 5 2" xfId="42325" xr:uid="{CA892B40-DAC7-49C2-AF0E-5B2E93D4CCBE}"/>
    <cellStyle name="Comma 7 2 4 5 3" xfId="24071" xr:uid="{4D0FAA38-3FCD-40DA-8DA5-5916BCF11E87}"/>
    <cellStyle name="Comma 7 2 4 6" xfId="38675" xr:uid="{FF1B5E15-6D23-44E9-9CA6-917EF53FD831}"/>
    <cellStyle name="Comma 7 2 4 7" xfId="20421" xr:uid="{8B9520F2-FB18-473E-9EF6-B27DDE9FA4BE}"/>
    <cellStyle name="Comma 7 2 5" xfId="1437" xr:uid="{569517B8-70B8-40BF-87C4-BDAED33BFAF8}"/>
    <cellStyle name="Comma 7 2 5 2" xfId="16037" xr:uid="{6538F296-ECF0-4418-87F1-03D228D20350}"/>
    <cellStyle name="Comma 7 2 5 2 2" xfId="52545" xr:uid="{816A5A16-47F1-4FF7-A94D-E6323F99EC95}"/>
    <cellStyle name="Comma 7 2 5 2 3" xfId="34291" xr:uid="{26B97408-4A6B-410E-B22E-DBA68888A483}"/>
    <cellStyle name="Comma 7 2 5 3" xfId="12387" xr:uid="{A9789777-7A8E-4F37-B679-85844296ED58}"/>
    <cellStyle name="Comma 7 2 5 3 2" xfId="48895" xr:uid="{2DEB04D5-ED4B-4F68-9988-FC8D5E606ADF}"/>
    <cellStyle name="Comma 7 2 5 3 3" xfId="30641" xr:uid="{CD1675DC-6407-4A6E-8DD7-28BDD4BC9D9E}"/>
    <cellStyle name="Comma 7 2 5 4" xfId="8737" xr:uid="{2ACC3EFB-4AED-4EF7-AE86-E91EE4A2E31D}"/>
    <cellStyle name="Comma 7 2 5 4 2" xfId="45245" xr:uid="{AB382DC8-149E-4E84-BD4E-E13E7B963C0F}"/>
    <cellStyle name="Comma 7 2 5 4 3" xfId="26991" xr:uid="{F6F567C7-AA31-44F1-A7C0-0012B6EC8650}"/>
    <cellStyle name="Comma 7 2 5 5" xfId="5087" xr:uid="{1B3B39EC-40EC-433A-ACEA-285E8F76BDD2}"/>
    <cellStyle name="Comma 7 2 5 5 2" xfId="41595" xr:uid="{193855F3-77CB-4A30-939D-29C9FDCD8254}"/>
    <cellStyle name="Comma 7 2 5 5 3" xfId="23341" xr:uid="{A860FB9A-10A4-4FFE-A8BD-D6E74C7D215D}"/>
    <cellStyle name="Comma 7 2 5 6" xfId="37945" xr:uid="{533190AB-430F-4193-82BC-20667FA56B67}"/>
    <cellStyle name="Comma 7 2 5 7" xfId="19691" xr:uid="{11BAFA79-57BB-4043-9A66-00B8329015E3}"/>
    <cellStyle name="Comma 7 2 6" xfId="15307" xr:uid="{9C870263-0688-4E69-A8DB-39FAC3AEA48E}"/>
    <cellStyle name="Comma 7 2 6 2" xfId="51815" xr:uid="{C6DFF845-F151-4BC8-9B70-7A019969975B}"/>
    <cellStyle name="Comma 7 2 6 3" xfId="33561" xr:uid="{A0A9A8D4-B5EF-4E05-99D9-681208161445}"/>
    <cellStyle name="Comma 7 2 7" xfId="11657" xr:uid="{FE08709E-706D-4ADE-8BBA-4B22DB328E20}"/>
    <cellStyle name="Comma 7 2 7 2" xfId="48165" xr:uid="{9EC76C90-EAF3-41B7-B9D4-40EFB3462085}"/>
    <cellStyle name="Comma 7 2 7 3" xfId="29911" xr:uid="{74BA717D-2F2E-4B7F-9765-890F4546981A}"/>
    <cellStyle name="Comma 7 2 8" xfId="8007" xr:uid="{E6FFF804-B4C2-4937-A938-CAF881EF6817}"/>
    <cellStyle name="Comma 7 2 8 2" xfId="44515" xr:uid="{D731F638-C2A5-4B77-BB2F-CB3BB619AC6B}"/>
    <cellStyle name="Comma 7 2 8 3" xfId="26261" xr:uid="{C5457275-133F-470F-9824-D8E913307CFF}"/>
    <cellStyle name="Comma 7 2 9" xfId="4357" xr:uid="{FFF3C946-7932-4A08-AA90-BB53024402D7}"/>
    <cellStyle name="Comma 7 2 9 2" xfId="40865" xr:uid="{929B3412-41A9-415C-BC24-BC87D33EC385}"/>
    <cellStyle name="Comma 7 2 9 3" xfId="22611" xr:uid="{200138BF-920F-4FD1-8624-E9B708AF903F}"/>
    <cellStyle name="Comma 7 3" xfId="603" xr:uid="{47B9FFC5-6C78-4B70-8D9C-E50A9225F1BE}"/>
    <cellStyle name="Comma 7 3 10" xfId="37111" xr:uid="{FCA269E7-6D3D-4D20-82F3-C07D680984B2}"/>
    <cellStyle name="Comma 7 3 11" xfId="18857" xr:uid="{DA0D39E3-569A-449C-83FE-D60C6149C1A1}"/>
    <cellStyle name="Comma 7 3 2" xfId="3523" xr:uid="{56F5D0C3-1558-4D2D-BDE3-CFDED9EBF781}"/>
    <cellStyle name="Comma 7 3 2 2" xfId="18123" xr:uid="{7EA7D139-83E4-4784-A235-8D4A9EB684F0}"/>
    <cellStyle name="Comma 7 3 2 2 2" xfId="54631" xr:uid="{CC329F6D-64E4-41C6-BAE6-EED9AF5898FB}"/>
    <cellStyle name="Comma 7 3 2 2 3" xfId="36377" xr:uid="{4B73EE98-E002-47EE-9596-57D01CDCC4BD}"/>
    <cellStyle name="Comma 7 3 2 3" xfId="14473" xr:uid="{59026487-E708-4966-AFEE-FFF508BE5B78}"/>
    <cellStyle name="Comma 7 3 2 3 2" xfId="50981" xr:uid="{3B5AF4FC-4C62-43CF-8C8E-AA3A62007B09}"/>
    <cellStyle name="Comma 7 3 2 3 3" xfId="32727" xr:uid="{C42C1401-BABC-4FD1-A92E-9FF649351712}"/>
    <cellStyle name="Comma 7 3 2 4" xfId="10823" xr:uid="{6D16F451-D8D7-4944-AF5F-81988BD3508E}"/>
    <cellStyle name="Comma 7 3 2 4 2" xfId="47331" xr:uid="{D510FDD7-E877-4964-A921-9FF7A4F8297A}"/>
    <cellStyle name="Comma 7 3 2 4 3" xfId="29077" xr:uid="{5A538928-09EF-4C5B-997E-A518E796BBB2}"/>
    <cellStyle name="Comma 7 3 2 5" xfId="7173" xr:uid="{18B1566C-A632-41E4-81D6-7014C73BB753}"/>
    <cellStyle name="Comma 7 3 2 5 2" xfId="43681" xr:uid="{F11CFABB-C1E8-4C1C-99FE-C1DA7E8CC639}"/>
    <cellStyle name="Comma 7 3 2 5 3" xfId="25427" xr:uid="{8C24D19C-4B59-45F3-86BA-383048BC7645}"/>
    <cellStyle name="Comma 7 3 2 6" xfId="40031" xr:uid="{C4F4FE7E-1517-4BFE-848B-D69BBA82A412}"/>
    <cellStyle name="Comma 7 3 2 7" xfId="21777" xr:uid="{BD4845D8-9B17-456E-8512-BC168926DAE7}"/>
    <cellStyle name="Comma 7 3 3" xfId="2793" xr:uid="{38E56391-F39A-4E03-B929-4A8BDDB43DAC}"/>
    <cellStyle name="Comma 7 3 3 2" xfId="17393" xr:uid="{9B7CC7DD-73EA-45A5-9A31-58833B23DB16}"/>
    <cellStyle name="Comma 7 3 3 2 2" xfId="53901" xr:uid="{770AFD19-EAAD-4F05-A33C-2F0458A3187B}"/>
    <cellStyle name="Comma 7 3 3 2 3" xfId="35647" xr:uid="{5E49E011-AAE4-4E74-B4B7-E2713F58364F}"/>
    <cellStyle name="Comma 7 3 3 3" xfId="13743" xr:uid="{43A571A9-44A6-4767-8E08-6F779B6ABBCD}"/>
    <cellStyle name="Comma 7 3 3 3 2" xfId="50251" xr:uid="{1E380829-03F1-4BD8-8F94-FFD38F85DBD4}"/>
    <cellStyle name="Comma 7 3 3 3 3" xfId="31997" xr:uid="{B8187374-1FD0-4B7E-BCCF-ECCC3E53621B}"/>
    <cellStyle name="Comma 7 3 3 4" xfId="10093" xr:uid="{DA63FEF8-0CB4-415E-82BB-857FFC185892}"/>
    <cellStyle name="Comma 7 3 3 4 2" xfId="46601" xr:uid="{C753068D-AA4F-4241-93BD-2D68DE57B51C}"/>
    <cellStyle name="Comma 7 3 3 4 3" xfId="28347" xr:uid="{080B4BC0-11C2-489B-8952-5AEC64F2A44B}"/>
    <cellStyle name="Comma 7 3 3 5" xfId="6443" xr:uid="{647692B7-5C9F-4609-B008-09CF0AF2F1CC}"/>
    <cellStyle name="Comma 7 3 3 5 2" xfId="42951" xr:uid="{32651192-A351-4D81-92B7-92C505356174}"/>
    <cellStyle name="Comma 7 3 3 5 3" xfId="24697" xr:uid="{F12438AB-CA2D-4D61-B867-7EB2457DB70F}"/>
    <cellStyle name="Comma 7 3 3 6" xfId="39301" xr:uid="{E9A4BFB5-C72F-4CF3-9E7B-7E74FE83DF8D}"/>
    <cellStyle name="Comma 7 3 3 7" xfId="21047" xr:uid="{717677E8-51BC-4AF9-B9A4-A353B10D28AF}"/>
    <cellStyle name="Comma 7 3 4" xfId="2063" xr:uid="{754D23DD-DD43-45B1-B41D-B1B1060D740D}"/>
    <cellStyle name="Comma 7 3 4 2" xfId="16663" xr:uid="{F7F85EFA-B341-4056-AEFA-E5F3C01099F0}"/>
    <cellStyle name="Comma 7 3 4 2 2" xfId="53171" xr:uid="{E4373750-985E-4945-86C5-78C4280984CE}"/>
    <cellStyle name="Comma 7 3 4 2 3" xfId="34917" xr:uid="{036B1230-BC74-49BC-87C0-BAB1AC57208A}"/>
    <cellStyle name="Comma 7 3 4 3" xfId="13013" xr:uid="{04FBE545-AA53-42B9-8D5F-E3B883AD5D36}"/>
    <cellStyle name="Comma 7 3 4 3 2" xfId="49521" xr:uid="{8834A2B6-164C-4475-8554-61A126BFF8E1}"/>
    <cellStyle name="Comma 7 3 4 3 3" xfId="31267" xr:uid="{089BC49B-FBD5-4611-89E0-76EE0196BF79}"/>
    <cellStyle name="Comma 7 3 4 4" xfId="9363" xr:uid="{C95ACD78-D75C-4077-9391-0168C2084FB9}"/>
    <cellStyle name="Comma 7 3 4 4 2" xfId="45871" xr:uid="{50748FD7-4E58-4427-BA86-00A7A193716A}"/>
    <cellStyle name="Comma 7 3 4 4 3" xfId="27617" xr:uid="{3962CC30-2D26-4C2D-B34D-8F90F0E657B9}"/>
    <cellStyle name="Comma 7 3 4 5" xfId="5713" xr:uid="{8D8FE77C-2775-4A6D-B7E1-9506A45ECA0C}"/>
    <cellStyle name="Comma 7 3 4 5 2" xfId="42221" xr:uid="{4C9ABB1B-3862-453F-BF68-97B617A7EB69}"/>
    <cellStyle name="Comma 7 3 4 5 3" xfId="23967" xr:uid="{72EDCD8D-5703-4459-9BE5-32CED7BA4D6E}"/>
    <cellStyle name="Comma 7 3 4 6" xfId="38571" xr:uid="{E9EB1316-94AD-4136-969A-9B7F81B49AB3}"/>
    <cellStyle name="Comma 7 3 4 7" xfId="20317" xr:uid="{C0FB1530-C7F7-45EA-AB00-D0516B586631}"/>
    <cellStyle name="Comma 7 3 5" xfId="1333" xr:uid="{0670FBD9-3CAF-4F15-86EC-B1D7D406D4E6}"/>
    <cellStyle name="Comma 7 3 5 2" xfId="15933" xr:uid="{DD7D003E-D20C-4B12-97C7-30E94D450C2E}"/>
    <cellStyle name="Comma 7 3 5 2 2" xfId="52441" xr:uid="{CB70C714-C316-4087-87F7-A40764BA4E6C}"/>
    <cellStyle name="Comma 7 3 5 2 3" xfId="34187" xr:uid="{928DDE38-CDD8-4F7F-BE89-0B3E504371D4}"/>
    <cellStyle name="Comma 7 3 5 3" xfId="12283" xr:uid="{5204C5B0-2A13-4CCE-A17B-F24F269B3420}"/>
    <cellStyle name="Comma 7 3 5 3 2" xfId="48791" xr:uid="{007B13D2-AD1C-4789-B4C9-1EEAC1F6AE43}"/>
    <cellStyle name="Comma 7 3 5 3 3" xfId="30537" xr:uid="{513E1D93-2AB4-4FE2-ABCD-CC3A685DC6E7}"/>
    <cellStyle name="Comma 7 3 5 4" xfId="8633" xr:uid="{132B66FA-16B1-44D9-8D35-1B6AF519E2B3}"/>
    <cellStyle name="Comma 7 3 5 4 2" xfId="45141" xr:uid="{5B68F8F2-92F3-45DE-B7C0-0AEDE6561427}"/>
    <cellStyle name="Comma 7 3 5 4 3" xfId="26887" xr:uid="{1CA37BC3-5C6C-467B-BC16-88902CBAE81D}"/>
    <cellStyle name="Comma 7 3 5 5" xfId="4983" xr:uid="{D04F9533-D88A-4BE5-B186-BD1BE97FEF78}"/>
    <cellStyle name="Comma 7 3 5 5 2" xfId="41491" xr:uid="{326811BC-B6A5-40F3-B076-B552DD278E26}"/>
    <cellStyle name="Comma 7 3 5 5 3" xfId="23237" xr:uid="{F91B9DB4-7867-4F5E-BE19-D5494F1D13ED}"/>
    <cellStyle name="Comma 7 3 5 6" xfId="37841" xr:uid="{C3226A9A-A324-4843-866D-A3C1C57C5FF5}"/>
    <cellStyle name="Comma 7 3 5 7" xfId="19587" xr:uid="{C2DD3006-F69D-483C-92C7-2AF5CEE637D5}"/>
    <cellStyle name="Comma 7 3 6" xfId="15203" xr:uid="{C4C387CA-B6A9-4B9B-91A7-FB71E06D1CF5}"/>
    <cellStyle name="Comma 7 3 6 2" xfId="51711" xr:uid="{CF3531BC-1F19-44C9-8D9C-43AB533C642D}"/>
    <cellStyle name="Comma 7 3 6 3" xfId="33457" xr:uid="{DED262D9-D34F-46AA-86E2-DD648727FD0F}"/>
    <cellStyle name="Comma 7 3 7" xfId="11553" xr:uid="{CA7C4B24-4096-4AC6-888D-9DCCFECE2399}"/>
    <cellStyle name="Comma 7 3 7 2" xfId="48061" xr:uid="{9609593A-C1A9-4D46-935D-BF1F9E085837}"/>
    <cellStyle name="Comma 7 3 7 3" xfId="29807" xr:uid="{3E197C10-9D8D-4297-87D0-B208BF614A9C}"/>
    <cellStyle name="Comma 7 3 8" xfId="7903" xr:uid="{FD42D83E-3950-4FCA-875B-3C9515448BE6}"/>
    <cellStyle name="Comma 7 3 8 2" xfId="44411" xr:uid="{AEC635EF-0EE2-4B30-85C1-52D3A651D1D1}"/>
    <cellStyle name="Comma 7 3 8 3" xfId="26157" xr:uid="{41C49F6A-EAA5-4124-A06A-06C614D83CD3}"/>
    <cellStyle name="Comma 7 3 9" xfId="4253" xr:uid="{F435252D-DDCF-4454-BC35-834B84BB0E6C}"/>
    <cellStyle name="Comma 7 3 9 2" xfId="40761" xr:uid="{252F1B43-47AD-4D5D-B7DC-98096D18DA5E}"/>
    <cellStyle name="Comma 7 3 9 3" xfId="22507" xr:uid="{87D73D50-9254-4878-8FED-61D1CE2BF66E}"/>
    <cellStyle name="Comma 7 4" xfId="499" xr:uid="{937C2939-1954-4033-B013-14FE58F43161}"/>
    <cellStyle name="Comma 7 4 10" xfId="37007" xr:uid="{13F3956F-E7FA-4891-B8DB-D28E5DBB88BC}"/>
    <cellStyle name="Comma 7 4 11" xfId="18753" xr:uid="{A86DB747-F504-4821-BAFF-343AA2EED89F}"/>
    <cellStyle name="Comma 7 4 2" xfId="3419" xr:uid="{A74805D8-7FBF-4062-BB27-25476E1261B4}"/>
    <cellStyle name="Comma 7 4 2 2" xfId="18019" xr:uid="{E68EB06F-6E89-4E78-9C6B-1F6B447AB02C}"/>
    <cellStyle name="Comma 7 4 2 2 2" xfId="54527" xr:uid="{7BAEF694-620C-4186-BFAB-818A3D8259C8}"/>
    <cellStyle name="Comma 7 4 2 2 3" xfId="36273" xr:uid="{AE53EB09-DB2C-4780-A919-D03AFBEC5DCB}"/>
    <cellStyle name="Comma 7 4 2 3" xfId="14369" xr:uid="{C7148D65-7910-4796-9B3E-846E112BAE7F}"/>
    <cellStyle name="Comma 7 4 2 3 2" xfId="50877" xr:uid="{9E2CC992-45C4-4F58-8F7A-4898CF604595}"/>
    <cellStyle name="Comma 7 4 2 3 3" xfId="32623" xr:uid="{D028CF96-52FF-4EA8-BF35-4A4A29CFFDF0}"/>
    <cellStyle name="Comma 7 4 2 4" xfId="10719" xr:uid="{77A4019C-6D28-41B3-AC3F-C11B47BD39BC}"/>
    <cellStyle name="Comma 7 4 2 4 2" xfId="47227" xr:uid="{DB731459-4265-4F64-AD6B-8E36ACB8C780}"/>
    <cellStyle name="Comma 7 4 2 4 3" xfId="28973" xr:uid="{ABA170E5-A895-49D6-B013-E4CCBD38291B}"/>
    <cellStyle name="Comma 7 4 2 5" xfId="7069" xr:uid="{F3BD0002-7E9B-43FB-B2D8-EA37EA9DB839}"/>
    <cellStyle name="Comma 7 4 2 5 2" xfId="43577" xr:uid="{20952D56-633B-4869-8ECE-1D7F98BCF8B1}"/>
    <cellStyle name="Comma 7 4 2 5 3" xfId="25323" xr:uid="{DD107D41-B9CD-4F31-8B2E-2E322E34CB19}"/>
    <cellStyle name="Comma 7 4 2 6" xfId="39927" xr:uid="{9EA37987-8BA6-4517-8294-AC5A2E83AAB4}"/>
    <cellStyle name="Comma 7 4 2 7" xfId="21673" xr:uid="{0355BB79-0DFE-4071-8026-7E184CF521A8}"/>
    <cellStyle name="Comma 7 4 3" xfId="2689" xr:uid="{F65BAC56-2951-4644-99EA-9A36BA2BDD7F}"/>
    <cellStyle name="Comma 7 4 3 2" xfId="17289" xr:uid="{C180514B-89AA-4670-AEB2-09736B8BC63B}"/>
    <cellStyle name="Comma 7 4 3 2 2" xfId="53797" xr:uid="{BF69B4EA-22BD-4A79-BF98-B019319EA0AF}"/>
    <cellStyle name="Comma 7 4 3 2 3" xfId="35543" xr:uid="{C61261AF-BC92-4C82-AA3D-71C831EF52BA}"/>
    <cellStyle name="Comma 7 4 3 3" xfId="13639" xr:uid="{9F51C7E2-C960-42C0-8991-D268490DD96D}"/>
    <cellStyle name="Comma 7 4 3 3 2" xfId="50147" xr:uid="{92B17141-0F59-48CC-82CC-C378C859CA38}"/>
    <cellStyle name="Comma 7 4 3 3 3" xfId="31893" xr:uid="{A736E08F-3BD2-4068-BA3A-840452504C87}"/>
    <cellStyle name="Comma 7 4 3 4" xfId="9989" xr:uid="{5FB18E43-9A69-4DD9-B5AB-055DFD4D74D0}"/>
    <cellStyle name="Comma 7 4 3 4 2" xfId="46497" xr:uid="{927C2814-7345-4449-AD93-5FE8EC26523C}"/>
    <cellStyle name="Comma 7 4 3 4 3" xfId="28243" xr:uid="{272E22B2-845A-4AA9-B693-B19B180114FD}"/>
    <cellStyle name="Comma 7 4 3 5" xfId="6339" xr:uid="{130A3011-0236-421B-9E08-A394B2E7717C}"/>
    <cellStyle name="Comma 7 4 3 5 2" xfId="42847" xr:uid="{AAD1B3F8-00E4-435C-AF15-FB2DC339DD1E}"/>
    <cellStyle name="Comma 7 4 3 5 3" xfId="24593" xr:uid="{A4B4729F-0D87-4CDF-93CE-5B30FA77F474}"/>
    <cellStyle name="Comma 7 4 3 6" xfId="39197" xr:uid="{AA56F0E5-DCF7-40EF-B23C-749525E6DF59}"/>
    <cellStyle name="Comma 7 4 3 7" xfId="20943" xr:uid="{A930325C-38EE-4042-8958-487ADF18C9A4}"/>
    <cellStyle name="Comma 7 4 4" xfId="1959" xr:uid="{4D16A56E-730C-4779-AB6B-FA795CD673CF}"/>
    <cellStyle name="Comma 7 4 4 2" xfId="16559" xr:uid="{3F350C0C-0C69-4FE2-9E15-CBF37E036571}"/>
    <cellStyle name="Comma 7 4 4 2 2" xfId="53067" xr:uid="{7FCCA44F-4C40-4845-969E-510363A8C5AD}"/>
    <cellStyle name="Comma 7 4 4 2 3" xfId="34813" xr:uid="{C73C1897-3131-44A4-8632-0669A949015B}"/>
    <cellStyle name="Comma 7 4 4 3" xfId="12909" xr:uid="{BD1C4139-223F-4419-B417-AFF2945D0A39}"/>
    <cellStyle name="Comma 7 4 4 3 2" xfId="49417" xr:uid="{7DCA7023-0EE7-442E-8C35-8CB113F73EE8}"/>
    <cellStyle name="Comma 7 4 4 3 3" xfId="31163" xr:uid="{7170C04C-E549-423E-9064-CD2E79839434}"/>
    <cellStyle name="Comma 7 4 4 4" xfId="9259" xr:uid="{1B54D64D-6A52-4A82-822A-20B11282969F}"/>
    <cellStyle name="Comma 7 4 4 4 2" xfId="45767" xr:uid="{CE927FD0-ED88-445F-B76A-5811ECEFAAAE}"/>
    <cellStyle name="Comma 7 4 4 4 3" xfId="27513" xr:uid="{7B550BFB-6921-4CCA-866A-40A9C35C7305}"/>
    <cellStyle name="Comma 7 4 4 5" xfId="5609" xr:uid="{16B30C79-9462-4EBD-8DA1-8418EC6378F4}"/>
    <cellStyle name="Comma 7 4 4 5 2" xfId="42117" xr:uid="{A7EE93AF-EADB-460E-BA4E-C408420563DD}"/>
    <cellStyle name="Comma 7 4 4 5 3" xfId="23863" xr:uid="{780D113E-EC86-4AF0-85AE-E1FF8C6F1C7A}"/>
    <cellStyle name="Comma 7 4 4 6" xfId="38467" xr:uid="{DA2F354E-C458-4C7A-906E-BFFF410E3F36}"/>
    <cellStyle name="Comma 7 4 4 7" xfId="20213" xr:uid="{813E8316-C28B-4A7B-9752-C0B51FA99ADF}"/>
    <cellStyle name="Comma 7 4 5" xfId="1229" xr:uid="{32A064E3-45AD-4CFE-A497-5556F1275048}"/>
    <cellStyle name="Comma 7 4 5 2" xfId="15829" xr:uid="{A3591E04-14FA-496A-A5E2-223DEC1B5E4A}"/>
    <cellStyle name="Comma 7 4 5 2 2" xfId="52337" xr:uid="{72341651-80E7-441D-A053-798A5B241298}"/>
    <cellStyle name="Comma 7 4 5 2 3" xfId="34083" xr:uid="{5E30ACBA-3DB3-47E8-B01F-00AA8C77155E}"/>
    <cellStyle name="Comma 7 4 5 3" xfId="12179" xr:uid="{6B3DB50C-D821-4680-A27A-20D60223B92F}"/>
    <cellStyle name="Comma 7 4 5 3 2" xfId="48687" xr:uid="{19E059BA-BC6B-4D92-AFD7-C65E9A264D68}"/>
    <cellStyle name="Comma 7 4 5 3 3" xfId="30433" xr:uid="{2D39A2CD-3300-4835-B3F4-AE52E78D18CF}"/>
    <cellStyle name="Comma 7 4 5 4" xfId="8529" xr:uid="{F4B0D086-BEFE-4051-A311-FD2EF214D93A}"/>
    <cellStyle name="Comma 7 4 5 4 2" xfId="45037" xr:uid="{DFC0AC22-D587-4174-A1F3-29FEA0BAD0C3}"/>
    <cellStyle name="Comma 7 4 5 4 3" xfId="26783" xr:uid="{6B4CB781-9CF3-4A4D-AEDC-F1299AAAF09A}"/>
    <cellStyle name="Comma 7 4 5 5" xfId="4879" xr:uid="{8E9C2330-E397-45AB-908A-47C44F975596}"/>
    <cellStyle name="Comma 7 4 5 5 2" xfId="41387" xr:uid="{85E8304D-49AA-48DC-A958-669504B9CF07}"/>
    <cellStyle name="Comma 7 4 5 5 3" xfId="23133" xr:uid="{32E690DA-0C26-4691-B6F9-09DEAFBA92D6}"/>
    <cellStyle name="Comma 7 4 5 6" xfId="37737" xr:uid="{93D222C0-3937-4802-B37B-AD50F039A604}"/>
    <cellStyle name="Comma 7 4 5 7" xfId="19483" xr:uid="{FD7427FA-CE0B-4553-8F43-D3E13D433960}"/>
    <cellStyle name="Comma 7 4 6" xfId="15099" xr:uid="{2D8DAF8D-DE53-49FB-B89C-A40015785B19}"/>
    <cellStyle name="Comma 7 4 6 2" xfId="51607" xr:uid="{49C2186E-AC31-42AD-AFA2-4CC83D68ED3B}"/>
    <cellStyle name="Comma 7 4 6 3" xfId="33353" xr:uid="{10FF92A0-1FE1-49F3-98E7-DCBF31AF03DD}"/>
    <cellStyle name="Comma 7 4 7" xfId="11449" xr:uid="{4749E4A9-7D82-4C00-AFF5-F87F2C4662D4}"/>
    <cellStyle name="Comma 7 4 7 2" xfId="47957" xr:uid="{D54C6AD4-131A-4CF1-B1A0-D0146154E71A}"/>
    <cellStyle name="Comma 7 4 7 3" xfId="29703" xr:uid="{FCD70AE8-251E-436E-BA87-957E15949E30}"/>
    <cellStyle name="Comma 7 4 8" xfId="7799" xr:uid="{A8F70031-C495-47F0-8B98-BE3CF05F885D}"/>
    <cellStyle name="Comma 7 4 8 2" xfId="44307" xr:uid="{7B454C3B-02AD-41D3-B144-F25D4BEA3623}"/>
    <cellStyle name="Comma 7 4 8 3" xfId="26053" xr:uid="{19054699-29F1-4FB3-8F40-A9BB7ADD5657}"/>
    <cellStyle name="Comma 7 4 9" xfId="4149" xr:uid="{5F11B9D3-5B46-4D9C-8E31-E655D0D4DDBC}"/>
    <cellStyle name="Comma 7 4 9 2" xfId="40657" xr:uid="{460FEB75-F6FF-404E-9605-F528E7900A4F}"/>
    <cellStyle name="Comma 7 4 9 3" xfId="22403" xr:uid="{4C00928E-5067-4201-A748-DAB9A73558DE}"/>
    <cellStyle name="Comma 7 5" xfId="395" xr:uid="{770252C7-82EE-4572-A02A-7ED861833B37}"/>
    <cellStyle name="Comma 7 5 10" xfId="36903" xr:uid="{4A152DB8-E8E4-432E-B596-578980A80C3A}"/>
    <cellStyle name="Comma 7 5 11" xfId="18649" xr:uid="{22AF7E03-D685-49ED-80BC-D94AB1C88738}"/>
    <cellStyle name="Comma 7 5 2" xfId="3315" xr:uid="{85ACA328-4893-48D2-A8F0-35B6ED6D4672}"/>
    <cellStyle name="Comma 7 5 2 2" xfId="17915" xr:uid="{85D3DD67-90CD-4130-A6CB-8B52813A95D0}"/>
    <cellStyle name="Comma 7 5 2 2 2" xfId="54423" xr:uid="{3566926B-DA0C-494E-AF8F-566A2146E275}"/>
    <cellStyle name="Comma 7 5 2 2 3" xfId="36169" xr:uid="{CA658E6E-C754-432F-B9C7-CBECE6F7C46D}"/>
    <cellStyle name="Comma 7 5 2 3" xfId="14265" xr:uid="{7955EEA4-0149-48E3-A6ED-BC7B8D5E218F}"/>
    <cellStyle name="Comma 7 5 2 3 2" xfId="50773" xr:uid="{8A75A84F-245A-4B46-BCD9-E96B4708E02E}"/>
    <cellStyle name="Comma 7 5 2 3 3" xfId="32519" xr:uid="{B630088A-7A1E-4BEC-9141-1A2BCB4D110D}"/>
    <cellStyle name="Comma 7 5 2 4" xfId="10615" xr:uid="{FC5F974D-4D96-4D7E-9716-D8D01FF3556F}"/>
    <cellStyle name="Comma 7 5 2 4 2" xfId="47123" xr:uid="{7C1A4343-5BAB-49DC-B197-EBA810258D19}"/>
    <cellStyle name="Comma 7 5 2 4 3" xfId="28869" xr:uid="{140A7B84-5A0F-4007-BC77-3E6F50EA5F60}"/>
    <cellStyle name="Comma 7 5 2 5" xfId="6965" xr:uid="{1CF39648-9BE5-4827-8ECC-736E392EFF7E}"/>
    <cellStyle name="Comma 7 5 2 5 2" xfId="43473" xr:uid="{257A519C-4EBE-483B-9E45-084EFEEC71BF}"/>
    <cellStyle name="Comma 7 5 2 5 3" xfId="25219" xr:uid="{D5CAEB50-C390-4DF8-8E49-783B7E19FD73}"/>
    <cellStyle name="Comma 7 5 2 6" xfId="39823" xr:uid="{A92A2832-85C7-4516-8936-2D757384D572}"/>
    <cellStyle name="Comma 7 5 2 7" xfId="21569" xr:uid="{29A4EAA7-EB40-421C-B4BD-7F5A861DDDDF}"/>
    <cellStyle name="Comma 7 5 3" xfId="2585" xr:uid="{01282B2B-E712-4EE0-970D-A4460BBD9CD9}"/>
    <cellStyle name="Comma 7 5 3 2" xfId="17185" xr:uid="{3947ED21-2FB8-4BD8-92B8-841377ECEFC6}"/>
    <cellStyle name="Comma 7 5 3 2 2" xfId="53693" xr:uid="{CB390385-5F1D-481C-8348-284DFAEDAABB}"/>
    <cellStyle name="Comma 7 5 3 2 3" xfId="35439" xr:uid="{C389BCD7-DDA1-43B6-BA38-397A43464C60}"/>
    <cellStyle name="Comma 7 5 3 3" xfId="13535" xr:uid="{031FF02C-1AE6-4A74-898A-1DE30F743929}"/>
    <cellStyle name="Comma 7 5 3 3 2" xfId="50043" xr:uid="{7BA4ADA8-B2B9-4443-9BB3-433D92905FC0}"/>
    <cellStyle name="Comma 7 5 3 3 3" xfId="31789" xr:uid="{BB374D63-8B94-4381-8B9D-36A285E55F4A}"/>
    <cellStyle name="Comma 7 5 3 4" xfId="9885" xr:uid="{0E4A4600-7831-415A-B939-6C757E6FC1B0}"/>
    <cellStyle name="Comma 7 5 3 4 2" xfId="46393" xr:uid="{F602D523-38AA-4880-AEA8-DF24951B1C5B}"/>
    <cellStyle name="Comma 7 5 3 4 3" xfId="28139" xr:uid="{1236366A-D461-4BB5-9744-D1312B5B493C}"/>
    <cellStyle name="Comma 7 5 3 5" xfId="6235" xr:uid="{5F4F44F5-CB92-4A0B-8C3D-88B6006753BA}"/>
    <cellStyle name="Comma 7 5 3 5 2" xfId="42743" xr:uid="{0813DFFF-496D-4E06-94E7-A573254E2F46}"/>
    <cellStyle name="Comma 7 5 3 5 3" xfId="24489" xr:uid="{A868080F-E090-4C24-A3BF-7C699A2D2A8F}"/>
    <cellStyle name="Comma 7 5 3 6" xfId="39093" xr:uid="{11A470B2-52E6-4A58-B62D-52AAE75AD14F}"/>
    <cellStyle name="Comma 7 5 3 7" xfId="20839" xr:uid="{71A26B3F-D97D-4464-A3BE-BFC530897FB2}"/>
    <cellStyle name="Comma 7 5 4" xfId="1855" xr:uid="{C6372A5F-D776-46A0-B9BF-0BAD83C68968}"/>
    <cellStyle name="Comma 7 5 4 2" xfId="16455" xr:uid="{0AF4F587-6436-4C8E-AA74-D5132344BDE0}"/>
    <cellStyle name="Comma 7 5 4 2 2" xfId="52963" xr:uid="{F1BBC505-04CD-4D85-A5AD-0855549865C3}"/>
    <cellStyle name="Comma 7 5 4 2 3" xfId="34709" xr:uid="{CF05CE97-680A-4A4D-882A-7FAF9493CEC7}"/>
    <cellStyle name="Comma 7 5 4 3" xfId="12805" xr:uid="{0BD09D01-5B0B-475C-8AD7-C1AF54838522}"/>
    <cellStyle name="Comma 7 5 4 3 2" xfId="49313" xr:uid="{74B9C662-C1F9-4D22-B391-0D110589AB7D}"/>
    <cellStyle name="Comma 7 5 4 3 3" xfId="31059" xr:uid="{68BBF8A7-C1A0-4060-AEE4-AA8377FC6B8C}"/>
    <cellStyle name="Comma 7 5 4 4" xfId="9155" xr:uid="{8EC60CE6-9981-4477-8852-5ABC836BA1CB}"/>
    <cellStyle name="Comma 7 5 4 4 2" xfId="45663" xr:uid="{BC4297C4-279B-4A88-9040-55547D8CEBBE}"/>
    <cellStyle name="Comma 7 5 4 4 3" xfId="27409" xr:uid="{98BDD1A0-6B9C-43C6-93E2-B35D51772427}"/>
    <cellStyle name="Comma 7 5 4 5" xfId="5505" xr:uid="{1B022FE2-11BA-4A34-8A14-653DB7A608EA}"/>
    <cellStyle name="Comma 7 5 4 5 2" xfId="42013" xr:uid="{5C6C07DE-7127-4C59-B2FF-3A70027CAC78}"/>
    <cellStyle name="Comma 7 5 4 5 3" xfId="23759" xr:uid="{137E4413-3306-49F8-8A4B-44A8E6CD2653}"/>
    <cellStyle name="Comma 7 5 4 6" xfId="38363" xr:uid="{6863A334-522B-40A9-A328-0F45B2FC1633}"/>
    <cellStyle name="Comma 7 5 4 7" xfId="20109" xr:uid="{38425E75-9ABF-4EFA-83C5-3F0E1DEF46C6}"/>
    <cellStyle name="Comma 7 5 5" xfId="1125" xr:uid="{3F117872-1BB3-4144-8616-418D9126947C}"/>
    <cellStyle name="Comma 7 5 5 2" xfId="15725" xr:uid="{4719C92E-A67A-474E-B26D-929EEA1E4522}"/>
    <cellStyle name="Comma 7 5 5 2 2" xfId="52233" xr:uid="{94786F4F-1EF0-4142-9A0E-92B1FF5FBCD5}"/>
    <cellStyle name="Comma 7 5 5 2 3" xfId="33979" xr:uid="{030A6F63-86AB-4EEA-A074-C19C7FED418C}"/>
    <cellStyle name="Comma 7 5 5 3" xfId="12075" xr:uid="{0D39F586-3BDF-4E35-87C4-CBB5C49109C3}"/>
    <cellStyle name="Comma 7 5 5 3 2" xfId="48583" xr:uid="{E6F8D43A-B861-45DC-9158-A2A716D21243}"/>
    <cellStyle name="Comma 7 5 5 3 3" xfId="30329" xr:uid="{354493D8-5664-4472-BA6F-1EEA9DBFCB48}"/>
    <cellStyle name="Comma 7 5 5 4" xfId="8425" xr:uid="{4DC626D3-4F9C-446C-B0EC-7DFD48CAAE4D}"/>
    <cellStyle name="Comma 7 5 5 4 2" xfId="44933" xr:uid="{227ED1E6-77D6-4539-84D6-B5443EA56C61}"/>
    <cellStyle name="Comma 7 5 5 4 3" xfId="26679" xr:uid="{7FCC3657-488A-48C2-B20E-954A0BE45810}"/>
    <cellStyle name="Comma 7 5 5 5" xfId="4775" xr:uid="{339CB7F4-3D2F-454F-ABBD-21945E01A529}"/>
    <cellStyle name="Comma 7 5 5 5 2" xfId="41283" xr:uid="{7037D2FE-077D-4132-9668-58A28BEDCBF4}"/>
    <cellStyle name="Comma 7 5 5 5 3" xfId="23029" xr:uid="{CB8D9C71-8702-4D1D-9682-CB05F69364E5}"/>
    <cellStyle name="Comma 7 5 5 6" xfId="37633" xr:uid="{A8872DA5-FA78-479B-8BB5-2CDA969D88ED}"/>
    <cellStyle name="Comma 7 5 5 7" xfId="19379" xr:uid="{FFCE92A4-BBAE-4509-AC4F-363C10A84431}"/>
    <cellStyle name="Comma 7 5 6" xfId="14995" xr:uid="{2DEA4DDC-C314-46AD-8723-61CE164F517B}"/>
    <cellStyle name="Comma 7 5 6 2" xfId="51503" xr:uid="{0CF9A7A2-799E-4D1D-AC3F-967548E41F09}"/>
    <cellStyle name="Comma 7 5 6 3" xfId="33249" xr:uid="{CC1D13C8-940F-41C4-BF4A-4000BD11FF0F}"/>
    <cellStyle name="Comma 7 5 7" xfId="11345" xr:uid="{F365006C-0836-423B-93C0-B0FFF396819A}"/>
    <cellStyle name="Comma 7 5 7 2" xfId="47853" xr:uid="{DB60EF6C-3B80-478C-9EA6-C3F6018E0977}"/>
    <cellStyle name="Comma 7 5 7 3" xfId="29599" xr:uid="{98641555-B0F0-4EAC-8FC4-E60C0A28E7A5}"/>
    <cellStyle name="Comma 7 5 8" xfId="7695" xr:uid="{DBB84EE8-1B0A-461F-8BBD-E935D2D8BF6A}"/>
    <cellStyle name="Comma 7 5 8 2" xfId="44203" xr:uid="{BD4B3487-20BD-40CB-A761-8C2FFCD9143C}"/>
    <cellStyle name="Comma 7 5 8 3" xfId="25949" xr:uid="{44A37C6A-B0DC-4E32-BBF3-FAA03D80693A}"/>
    <cellStyle name="Comma 7 5 9" xfId="4045" xr:uid="{48A6BCAA-A97D-469D-9323-5704BFC57C6A}"/>
    <cellStyle name="Comma 7 5 9 2" xfId="40553" xr:uid="{F8721395-2BC5-4947-96E5-DFCE8F676AC0}"/>
    <cellStyle name="Comma 7 5 9 3" xfId="22299" xr:uid="{536D1097-FB7E-4FE2-A9EE-E0F96B31A64B}"/>
    <cellStyle name="Comma 7 6" xfId="291" xr:uid="{772B8000-89B4-41E0-86BC-015342AC3D0C}"/>
    <cellStyle name="Comma 7 6 10" xfId="36799" xr:uid="{86AC4E72-69D7-43A3-ACA4-198442155DA9}"/>
    <cellStyle name="Comma 7 6 11" xfId="18545" xr:uid="{1405DB9C-89B9-4403-8A49-444E4107C2F6}"/>
    <cellStyle name="Comma 7 6 2" xfId="3211" xr:uid="{F43572C5-59B5-44BB-9A6D-55A338E1A904}"/>
    <cellStyle name="Comma 7 6 2 2" xfId="17811" xr:uid="{8E595AE9-3792-49DC-8388-AB6AA7B5F160}"/>
    <cellStyle name="Comma 7 6 2 2 2" xfId="54319" xr:uid="{5071BA69-AE29-49B7-80A2-837BB0E35672}"/>
    <cellStyle name="Comma 7 6 2 2 3" xfId="36065" xr:uid="{0B8C9FF7-DF3A-49BA-9B7A-F524170D1C2F}"/>
    <cellStyle name="Comma 7 6 2 3" xfId="14161" xr:uid="{34F546CD-137E-4EB9-AD1B-84056545F031}"/>
    <cellStyle name="Comma 7 6 2 3 2" xfId="50669" xr:uid="{FCDBDA68-F774-42F4-B950-42D583CDDCE4}"/>
    <cellStyle name="Comma 7 6 2 3 3" xfId="32415" xr:uid="{AA0612B8-12D2-4855-8F12-FDB698243001}"/>
    <cellStyle name="Comma 7 6 2 4" xfId="10511" xr:uid="{A76EA422-CA6E-401B-BEB6-D1D13F22E310}"/>
    <cellStyle name="Comma 7 6 2 4 2" xfId="47019" xr:uid="{AE786AE0-9363-470D-BDF2-34774662805B}"/>
    <cellStyle name="Comma 7 6 2 4 3" xfId="28765" xr:uid="{DCCE22CD-B3F5-4145-BC59-179824218A30}"/>
    <cellStyle name="Comma 7 6 2 5" xfId="6861" xr:uid="{1AFC372D-7F84-4C09-A0A9-90312196E248}"/>
    <cellStyle name="Comma 7 6 2 5 2" xfId="43369" xr:uid="{1AAE5E24-C9C6-445F-AB0C-8DB1AB33586A}"/>
    <cellStyle name="Comma 7 6 2 5 3" xfId="25115" xr:uid="{ABA42A5A-F173-4BE2-A348-425BEE6C2214}"/>
    <cellStyle name="Comma 7 6 2 6" xfId="39719" xr:uid="{C2B0643D-FC1C-4532-84CF-5A11A39AA778}"/>
    <cellStyle name="Comma 7 6 2 7" xfId="21465" xr:uid="{FB527834-36A4-4840-B871-BD2E308A5E1F}"/>
    <cellStyle name="Comma 7 6 3" xfId="2481" xr:uid="{DCA32F78-441D-439A-A4A3-3886DE0203BF}"/>
    <cellStyle name="Comma 7 6 3 2" xfId="17081" xr:uid="{735C60B6-281A-4393-8BDB-7F544590B74D}"/>
    <cellStyle name="Comma 7 6 3 2 2" xfId="53589" xr:uid="{615B270F-C340-49D0-B403-6A696A35C0C0}"/>
    <cellStyle name="Comma 7 6 3 2 3" xfId="35335" xr:uid="{7F8BE295-3CED-40C3-9788-7CDF249A1B6C}"/>
    <cellStyle name="Comma 7 6 3 3" xfId="13431" xr:uid="{07D073A0-AB1E-4997-901B-98A4E4D30A9D}"/>
    <cellStyle name="Comma 7 6 3 3 2" xfId="49939" xr:uid="{323DBA67-FFFE-4065-A0A5-E4AAD6EBF99A}"/>
    <cellStyle name="Comma 7 6 3 3 3" xfId="31685" xr:uid="{9914761E-120A-4C9A-8BAB-1C6CB137BFD1}"/>
    <cellStyle name="Comma 7 6 3 4" xfId="9781" xr:uid="{5F8BD4A4-90BD-49B0-8171-828B9C85AA72}"/>
    <cellStyle name="Comma 7 6 3 4 2" xfId="46289" xr:uid="{2303846A-C2CE-4E03-AF4E-5C56EE73E192}"/>
    <cellStyle name="Comma 7 6 3 4 3" xfId="28035" xr:uid="{4BEC524C-FEBD-4972-87E1-A771DC984EF9}"/>
    <cellStyle name="Comma 7 6 3 5" xfId="6131" xr:uid="{3BFAA42F-1985-427C-95A2-9AA13C346212}"/>
    <cellStyle name="Comma 7 6 3 5 2" xfId="42639" xr:uid="{A4AE3694-68A4-456F-B101-0199823131A4}"/>
    <cellStyle name="Comma 7 6 3 5 3" xfId="24385" xr:uid="{1566DC44-C0C4-446C-B608-470D1CD2BE2D}"/>
    <cellStyle name="Comma 7 6 3 6" xfId="38989" xr:uid="{353BE61E-3405-4357-8F52-47F84ED6EB38}"/>
    <cellStyle name="Comma 7 6 3 7" xfId="20735" xr:uid="{6740F2A8-00F0-413C-A669-E47B17973D17}"/>
    <cellStyle name="Comma 7 6 4" xfId="1751" xr:uid="{1435F67C-FF5A-44CA-B71D-0D46137AB9A3}"/>
    <cellStyle name="Comma 7 6 4 2" xfId="16351" xr:uid="{6E6BDEC4-95AD-45BF-82AE-3667FD9B1262}"/>
    <cellStyle name="Comma 7 6 4 2 2" xfId="52859" xr:uid="{778FE8A9-FE57-498D-81D2-3413BD85D2DE}"/>
    <cellStyle name="Comma 7 6 4 2 3" xfId="34605" xr:uid="{4C65A1D4-C13A-48BB-BEA8-0D3B6A19A08F}"/>
    <cellStyle name="Comma 7 6 4 3" xfId="12701" xr:uid="{F2DC860F-8EFE-47C0-99D9-F081EAFA3207}"/>
    <cellStyle name="Comma 7 6 4 3 2" xfId="49209" xr:uid="{6B0A7A0B-C879-4D83-A823-66D6478B9804}"/>
    <cellStyle name="Comma 7 6 4 3 3" xfId="30955" xr:uid="{68AFE1FD-E30C-44C3-AD08-D0D68D0173A9}"/>
    <cellStyle name="Comma 7 6 4 4" xfId="9051" xr:uid="{66809B46-ED95-49FD-8284-70184DE1B43B}"/>
    <cellStyle name="Comma 7 6 4 4 2" xfId="45559" xr:uid="{AEBCC9B9-C421-4B78-9C1C-7C156DE4C664}"/>
    <cellStyle name="Comma 7 6 4 4 3" xfId="27305" xr:uid="{328710EE-B565-4668-AAD5-37360418ADF7}"/>
    <cellStyle name="Comma 7 6 4 5" xfId="5401" xr:uid="{71A681B7-8F7F-470D-B621-84597DF735C7}"/>
    <cellStyle name="Comma 7 6 4 5 2" xfId="41909" xr:uid="{201BFBB2-13B2-4BB8-94EF-272CCD817B22}"/>
    <cellStyle name="Comma 7 6 4 5 3" xfId="23655" xr:uid="{BE5696BE-D849-4144-81A4-7E39F7499249}"/>
    <cellStyle name="Comma 7 6 4 6" xfId="38259" xr:uid="{D351CEEB-2342-448B-8ABA-FECA772B3504}"/>
    <cellStyle name="Comma 7 6 4 7" xfId="20005" xr:uid="{F7FFD878-57DF-4B1B-96DA-F998AB8FAF89}"/>
    <cellStyle name="Comma 7 6 5" xfId="1021" xr:uid="{09396A30-51EE-45D2-A580-E952DD991434}"/>
    <cellStyle name="Comma 7 6 5 2" xfId="15621" xr:uid="{A972C79E-5CC6-4131-B93D-DB97C570487E}"/>
    <cellStyle name="Comma 7 6 5 2 2" xfId="52129" xr:uid="{B343408B-8DE8-46A6-9784-0E4817121A2C}"/>
    <cellStyle name="Comma 7 6 5 2 3" xfId="33875" xr:uid="{E00BDD6D-4518-4217-ADD3-FDEE84DBE768}"/>
    <cellStyle name="Comma 7 6 5 3" xfId="11971" xr:uid="{E26EBA3E-B624-4BDF-947A-975CC77703AE}"/>
    <cellStyle name="Comma 7 6 5 3 2" xfId="48479" xr:uid="{7454949D-CDFA-456D-83DC-B5F81D366EFE}"/>
    <cellStyle name="Comma 7 6 5 3 3" xfId="30225" xr:uid="{33641ACC-066C-4D98-8FAF-1EFED0871524}"/>
    <cellStyle name="Comma 7 6 5 4" xfId="8321" xr:uid="{37E474F7-2090-4B1A-95F0-FE7DB4DB4A8D}"/>
    <cellStyle name="Comma 7 6 5 4 2" xfId="44829" xr:uid="{26B94151-D67C-47EA-BFAF-E966B15028CA}"/>
    <cellStyle name="Comma 7 6 5 4 3" xfId="26575" xr:uid="{F9976CC3-4D96-49AC-BBCF-C43B5C0AFEE1}"/>
    <cellStyle name="Comma 7 6 5 5" xfId="4671" xr:uid="{AFCA4856-8D9D-4859-AAC4-CDED4DDEC041}"/>
    <cellStyle name="Comma 7 6 5 5 2" xfId="41179" xr:uid="{F22133AF-2544-41CA-AC73-49DB9583A09A}"/>
    <cellStyle name="Comma 7 6 5 5 3" xfId="22925" xr:uid="{10B9DC83-3BA7-4148-B761-3C51B58278ED}"/>
    <cellStyle name="Comma 7 6 5 6" xfId="37529" xr:uid="{C5CDE7B4-EC22-4B94-80C5-AD01A0DB4961}"/>
    <cellStyle name="Comma 7 6 5 7" xfId="19275" xr:uid="{180E020B-D5F0-431C-B17A-07A72D82CDBB}"/>
    <cellStyle name="Comma 7 6 6" xfId="14891" xr:uid="{C6C14C44-6C83-498B-AA92-FE67C8284EC7}"/>
    <cellStyle name="Comma 7 6 6 2" xfId="51399" xr:uid="{510FBD16-6509-4436-8BF1-C3BAFBEB35B3}"/>
    <cellStyle name="Comma 7 6 6 3" xfId="33145" xr:uid="{FCC3DEAA-6FB2-4E6E-BA67-DD0B0AB9FF22}"/>
    <cellStyle name="Comma 7 6 7" xfId="11241" xr:uid="{F4C43663-66D4-44F4-828F-50E71020A514}"/>
    <cellStyle name="Comma 7 6 7 2" xfId="47749" xr:uid="{8B5F0FF4-7B43-4109-995D-0ED2B946F914}"/>
    <cellStyle name="Comma 7 6 7 3" xfId="29495" xr:uid="{5F21A98B-8B70-409A-9FF8-97F59401189F}"/>
    <cellStyle name="Comma 7 6 8" xfId="7591" xr:uid="{B6A01E7C-8C6D-4F77-9357-33E7DA1097F4}"/>
    <cellStyle name="Comma 7 6 8 2" xfId="44099" xr:uid="{B43FFD43-CAAB-4D45-960D-2519B33334EC}"/>
    <cellStyle name="Comma 7 6 8 3" xfId="25845" xr:uid="{BC6CC40B-4319-4DC2-AF91-8E805C6C10AC}"/>
    <cellStyle name="Comma 7 6 9" xfId="3941" xr:uid="{BBA76CA6-F918-46E6-9101-2EC3F3B90743}"/>
    <cellStyle name="Comma 7 6 9 2" xfId="40449" xr:uid="{CC05CF1E-D8F9-403E-B551-45AFE0DE68D5}"/>
    <cellStyle name="Comma 7 6 9 3" xfId="22195" xr:uid="{69FD36E0-8A4B-4BE5-8EE3-F9014B89DD88}"/>
    <cellStyle name="Comma 7 7" xfId="187" xr:uid="{A3D85A6B-C83A-4CD8-B090-B86C220892C1}"/>
    <cellStyle name="Comma 7 7 10" xfId="36695" xr:uid="{BFEC2741-2A5C-48F4-A342-FE4471A85C02}"/>
    <cellStyle name="Comma 7 7 11" xfId="18441" xr:uid="{2A6B9118-B84C-4E42-8722-E1807919F72D}"/>
    <cellStyle name="Comma 7 7 2" xfId="3107" xr:uid="{E1C5F4EC-0AEE-445B-987B-AADD5685EAD9}"/>
    <cellStyle name="Comma 7 7 2 2" xfId="17707" xr:uid="{2730FE68-B67D-435E-9D2D-64B4474C22A1}"/>
    <cellStyle name="Comma 7 7 2 2 2" xfId="54215" xr:uid="{30AB2C6F-7F3E-4439-8574-BEF50EDB55F2}"/>
    <cellStyle name="Comma 7 7 2 2 3" xfId="35961" xr:uid="{AFB7B9EF-7838-4971-9A31-361F13936B1F}"/>
    <cellStyle name="Comma 7 7 2 3" xfId="14057" xr:uid="{B61324C7-0F73-44EB-87F7-C8039A4C61BE}"/>
    <cellStyle name="Comma 7 7 2 3 2" xfId="50565" xr:uid="{D8DB9F28-9235-4DEA-B3AD-B74AB684A4B6}"/>
    <cellStyle name="Comma 7 7 2 3 3" xfId="32311" xr:uid="{2FC5096A-37B4-4714-9B67-5EA1B734AA0B}"/>
    <cellStyle name="Comma 7 7 2 4" xfId="10407" xr:uid="{B9426A3A-7464-4230-9B68-B67C9A7D42C9}"/>
    <cellStyle name="Comma 7 7 2 4 2" xfId="46915" xr:uid="{DAD980E4-8DA4-4C2F-A60F-5F141CED64E3}"/>
    <cellStyle name="Comma 7 7 2 4 3" xfId="28661" xr:uid="{BFACA78F-38B3-4DAE-B97A-683F24DE7656}"/>
    <cellStyle name="Comma 7 7 2 5" xfId="6757" xr:uid="{1AB868D5-7F4F-4F0F-92AD-A579C88C1B38}"/>
    <cellStyle name="Comma 7 7 2 5 2" xfId="43265" xr:uid="{A5BFB8FF-385B-4074-BFA7-A452365B1B95}"/>
    <cellStyle name="Comma 7 7 2 5 3" xfId="25011" xr:uid="{E6AE05FB-9CF9-45EB-9625-26E84AF94EBE}"/>
    <cellStyle name="Comma 7 7 2 6" xfId="39615" xr:uid="{8E28A363-148E-42D7-873B-7560AB2E65CC}"/>
    <cellStyle name="Comma 7 7 2 7" xfId="21361" xr:uid="{1085D2A4-8636-48E2-B0E1-605944130147}"/>
    <cellStyle name="Comma 7 7 3" xfId="2377" xr:uid="{E89C85F9-3A64-4846-BD85-437CC69D3A77}"/>
    <cellStyle name="Comma 7 7 3 2" xfId="16977" xr:uid="{57FB6933-4AAC-4641-8A4D-F4ED1410355A}"/>
    <cellStyle name="Comma 7 7 3 2 2" xfId="53485" xr:uid="{2B0BC05C-4365-4809-A7E9-E29EE4BB3ED3}"/>
    <cellStyle name="Comma 7 7 3 2 3" xfId="35231" xr:uid="{3B94A0B5-86DE-4E98-9703-8D10D9E49840}"/>
    <cellStyle name="Comma 7 7 3 3" xfId="13327" xr:uid="{77DEA395-F357-4CC3-BCFD-043CAE8F4013}"/>
    <cellStyle name="Comma 7 7 3 3 2" xfId="49835" xr:uid="{7412DE2B-6575-4598-8EF3-08C7D87E4827}"/>
    <cellStyle name="Comma 7 7 3 3 3" xfId="31581" xr:uid="{8941548B-E8B5-4882-A5D7-BA21E8285034}"/>
    <cellStyle name="Comma 7 7 3 4" xfId="9677" xr:uid="{38FF90ED-03C2-4D1D-9C89-91965571E576}"/>
    <cellStyle name="Comma 7 7 3 4 2" xfId="46185" xr:uid="{8B18C8B5-447B-4334-B025-B6EC8E095FDC}"/>
    <cellStyle name="Comma 7 7 3 4 3" xfId="27931" xr:uid="{B758DE81-30AC-49C6-B115-7FB75AFA7882}"/>
    <cellStyle name="Comma 7 7 3 5" xfId="6027" xr:uid="{53CC1152-0B23-4C66-8961-F44AF4F573B9}"/>
    <cellStyle name="Comma 7 7 3 5 2" xfId="42535" xr:uid="{89B49382-02D9-47B8-AF34-3304610AF719}"/>
    <cellStyle name="Comma 7 7 3 5 3" xfId="24281" xr:uid="{3DA3A2A5-AD3C-477F-ACF6-F04E0D8A2AD1}"/>
    <cellStyle name="Comma 7 7 3 6" xfId="38885" xr:uid="{E8E94516-8B32-48ED-A722-3B4E08A56109}"/>
    <cellStyle name="Comma 7 7 3 7" xfId="20631" xr:uid="{D673195D-205F-4B3B-8354-2B2936F6EDE8}"/>
    <cellStyle name="Comma 7 7 4" xfId="1647" xr:uid="{C329800F-0465-48BC-8416-A1EA392E0E3B}"/>
    <cellStyle name="Comma 7 7 4 2" xfId="16247" xr:uid="{B989DB42-49BB-4F7C-969F-4EF53926883D}"/>
    <cellStyle name="Comma 7 7 4 2 2" xfId="52755" xr:uid="{128B68D0-1A61-4C38-8493-5C265EFA79A0}"/>
    <cellStyle name="Comma 7 7 4 2 3" xfId="34501" xr:uid="{A12E4CD6-7FD3-4872-B2CA-88827073D2A1}"/>
    <cellStyle name="Comma 7 7 4 3" xfId="12597" xr:uid="{FB4790C2-DA69-4E77-9541-59F080BE3744}"/>
    <cellStyle name="Comma 7 7 4 3 2" xfId="49105" xr:uid="{B80B9326-3C36-4D69-9D00-5BA5572049D9}"/>
    <cellStyle name="Comma 7 7 4 3 3" xfId="30851" xr:uid="{2817BE70-DAE2-4CF3-8A99-74782751DADF}"/>
    <cellStyle name="Comma 7 7 4 4" xfId="8947" xr:uid="{A85C576E-A63B-4F06-9359-1878ED7EB11A}"/>
    <cellStyle name="Comma 7 7 4 4 2" xfId="45455" xr:uid="{9BEEF3E2-0561-4BB7-91B5-81D8CA7483F1}"/>
    <cellStyle name="Comma 7 7 4 4 3" xfId="27201" xr:uid="{9A01898C-F3B3-4EF8-BCF2-AD6BC15B2984}"/>
    <cellStyle name="Comma 7 7 4 5" xfId="5297" xr:uid="{4120718A-AA07-419B-8A77-D316FB553291}"/>
    <cellStyle name="Comma 7 7 4 5 2" xfId="41805" xr:uid="{2CB1035F-9CD6-4E99-9C43-06C0942CABB5}"/>
    <cellStyle name="Comma 7 7 4 5 3" xfId="23551" xr:uid="{986E4680-CABD-43A2-B010-4B91A5A7C857}"/>
    <cellStyle name="Comma 7 7 4 6" xfId="38155" xr:uid="{4E0603F6-588B-4BE7-9EE4-A31292E7D0EE}"/>
    <cellStyle name="Comma 7 7 4 7" xfId="19901" xr:uid="{F3DDA4B1-68D2-4F78-9652-AEF8F4699BFE}"/>
    <cellStyle name="Comma 7 7 5" xfId="917" xr:uid="{953DE4FF-E6CE-4065-94DA-5904DAE4D27B}"/>
    <cellStyle name="Comma 7 7 5 2" xfId="15517" xr:uid="{F6DAA27F-5EF7-494E-BE54-FDC9A4489BCE}"/>
    <cellStyle name="Comma 7 7 5 2 2" xfId="52025" xr:uid="{AA6A261C-3D95-4391-9965-C1040868BBF9}"/>
    <cellStyle name="Comma 7 7 5 2 3" xfId="33771" xr:uid="{ECAAF931-B030-4312-B3C1-B145AF3CFD7D}"/>
    <cellStyle name="Comma 7 7 5 3" xfId="11867" xr:uid="{0066C242-ACBB-455B-9CC7-9C25673E8BEA}"/>
    <cellStyle name="Comma 7 7 5 3 2" xfId="48375" xr:uid="{12765173-170B-486F-A159-50F3E7FB2B47}"/>
    <cellStyle name="Comma 7 7 5 3 3" xfId="30121" xr:uid="{C6A6E37E-F72D-4A2A-A3E4-771676A13958}"/>
    <cellStyle name="Comma 7 7 5 4" xfId="8217" xr:uid="{F7087B2C-5D09-46DC-A3C0-970E80A31FF1}"/>
    <cellStyle name="Comma 7 7 5 4 2" xfId="44725" xr:uid="{BDABDBAF-083E-4AAB-A98D-7A0FFC825548}"/>
    <cellStyle name="Comma 7 7 5 4 3" xfId="26471" xr:uid="{70874B50-15B1-4E34-84B4-B0DD1CF29A39}"/>
    <cellStyle name="Comma 7 7 5 5" xfId="4567" xr:uid="{6F0AE59D-FFFD-4A33-85D4-869869D4F272}"/>
    <cellStyle name="Comma 7 7 5 5 2" xfId="41075" xr:uid="{D806ACDF-7D67-4090-B540-7CA30AB391F7}"/>
    <cellStyle name="Comma 7 7 5 5 3" xfId="22821" xr:uid="{76C628D2-B8CF-4F11-8ABF-6F641DEBEEB7}"/>
    <cellStyle name="Comma 7 7 5 6" xfId="37425" xr:uid="{7A3B4719-7DB1-4B40-AB5C-6D54B70C4B77}"/>
    <cellStyle name="Comma 7 7 5 7" xfId="19171" xr:uid="{FB8292FE-B264-42D3-B483-3EB1EF01312E}"/>
    <cellStyle name="Comma 7 7 6" xfId="14787" xr:uid="{15706AF1-1C57-49B4-8875-7420AF744CC1}"/>
    <cellStyle name="Comma 7 7 6 2" xfId="51295" xr:uid="{26236246-C1F3-49C3-AD10-464445840FFA}"/>
    <cellStyle name="Comma 7 7 6 3" xfId="33041" xr:uid="{9D658A7B-E8F3-40A4-B593-36AB38EBA375}"/>
    <cellStyle name="Comma 7 7 7" xfId="11137" xr:uid="{1DDF3B33-BF58-49F2-B931-C9C993F27B65}"/>
    <cellStyle name="Comma 7 7 7 2" xfId="47645" xr:uid="{C0E967D9-5C2C-4039-B2EA-A5002735F3AB}"/>
    <cellStyle name="Comma 7 7 7 3" xfId="29391" xr:uid="{608EF73B-E973-4F0E-B438-8D91A24C2523}"/>
    <cellStyle name="Comma 7 7 8" xfId="7487" xr:uid="{8985E79F-9E82-4F6A-AE72-1B61D9F45D8B}"/>
    <cellStyle name="Comma 7 7 8 2" xfId="43995" xr:uid="{F370279E-618C-4481-A93E-9B7A34E71066}"/>
    <cellStyle name="Comma 7 7 8 3" xfId="25741" xr:uid="{701C1A14-E625-4C62-8263-A5E4ECD126D7}"/>
    <cellStyle name="Comma 7 7 9" xfId="3837" xr:uid="{C54478C1-9B4F-41BE-9E9D-BC8DC2B7A93A}"/>
    <cellStyle name="Comma 7 7 9 2" xfId="40345" xr:uid="{DC16B4C0-829E-4B1D-A226-3D8522979968}"/>
    <cellStyle name="Comma 7 7 9 3" xfId="22091" xr:uid="{862A593E-4C5D-44D9-854C-569D7E3AB46F}"/>
    <cellStyle name="Comma 7 8" xfId="3003" xr:uid="{57BF9E1A-4D28-4844-BB8D-E57888438946}"/>
    <cellStyle name="Comma 7 8 2" xfId="17603" xr:uid="{F1730F1A-4791-4E1D-B03E-1AEE5B2C455F}"/>
    <cellStyle name="Comma 7 8 2 2" xfId="54111" xr:uid="{38313619-EC3A-481C-8461-237CAEE2AA12}"/>
    <cellStyle name="Comma 7 8 2 3" xfId="35857" xr:uid="{E09FDB60-6C1C-423B-9687-A7C759C57F74}"/>
    <cellStyle name="Comma 7 8 3" xfId="13953" xr:uid="{F16A010D-7D7D-4AC3-B26E-292A2AF2CBB3}"/>
    <cellStyle name="Comma 7 8 3 2" xfId="50461" xr:uid="{F6A6301B-F72A-48B5-831D-98B4B7847B00}"/>
    <cellStyle name="Comma 7 8 3 3" xfId="32207" xr:uid="{9FA4902F-A195-4E7F-A7A3-BBA2925E74E3}"/>
    <cellStyle name="Comma 7 8 4" xfId="10303" xr:uid="{D49F5894-B47D-4DF7-A1B8-5FE0CD1A066C}"/>
    <cellStyle name="Comma 7 8 4 2" xfId="46811" xr:uid="{05B03CF7-0868-4317-B74D-37C10E892F0E}"/>
    <cellStyle name="Comma 7 8 4 3" xfId="28557" xr:uid="{325296F0-33F6-4708-8F6E-0F2E219D6023}"/>
    <cellStyle name="Comma 7 8 5" xfId="6653" xr:uid="{69EFCF90-69E5-4B81-A757-6DBA1FFEFAD5}"/>
    <cellStyle name="Comma 7 8 5 2" xfId="43161" xr:uid="{5BEC4C8C-33F7-42F4-9EF7-9CDF706D7C3E}"/>
    <cellStyle name="Comma 7 8 5 3" xfId="24907" xr:uid="{A7F18F65-CA2B-4B13-9AB0-62BAF120CF1A}"/>
    <cellStyle name="Comma 7 8 6" xfId="39511" xr:uid="{F3178074-1A02-47FE-B9B3-89B2307F3620}"/>
    <cellStyle name="Comma 7 8 7" xfId="21257" xr:uid="{76A32082-9E0C-449B-BD50-06C1F22EC4A2}"/>
    <cellStyle name="Comma 7 9" xfId="2273" xr:uid="{E82F5F6F-6667-430B-8445-598F2E3B0019}"/>
    <cellStyle name="Comma 7 9 2" xfId="16873" xr:uid="{4B1A4BBC-EBF4-4311-9204-94129DFABAEF}"/>
    <cellStyle name="Comma 7 9 2 2" xfId="53381" xr:uid="{6C482ADC-DEAB-4BB2-9EE6-7F18D31A184C}"/>
    <cellStyle name="Comma 7 9 2 3" xfId="35127" xr:uid="{F3CEE9EC-C92C-4CD8-AA44-20E0D7AB3FB2}"/>
    <cellStyle name="Comma 7 9 3" xfId="13223" xr:uid="{63F9DC0C-F01D-41E4-A74C-804163ED19A5}"/>
    <cellStyle name="Comma 7 9 3 2" xfId="49731" xr:uid="{C8257EF3-E101-457B-B6DD-4A821E274754}"/>
    <cellStyle name="Comma 7 9 3 3" xfId="31477" xr:uid="{33513DEB-156A-47EA-8F38-EB3D5D37DDCF}"/>
    <cellStyle name="Comma 7 9 4" xfId="9573" xr:uid="{D4F9CF3B-0737-4A87-9E73-4903FD2ABE1B}"/>
    <cellStyle name="Comma 7 9 4 2" xfId="46081" xr:uid="{635A03D5-969C-4ADD-AA8F-27DB12774D8F}"/>
    <cellStyle name="Comma 7 9 4 3" xfId="27827" xr:uid="{62CA78DD-BDBC-4801-A544-5C15D6F15967}"/>
    <cellStyle name="Comma 7 9 5" xfId="5923" xr:uid="{3E76B9F8-B3AE-4D87-B319-66460580ABE8}"/>
    <cellStyle name="Comma 7 9 5 2" xfId="42431" xr:uid="{6428F7BE-2B0E-4587-B993-B27FC409F065}"/>
    <cellStyle name="Comma 7 9 5 3" xfId="24177" xr:uid="{EB016FD3-97C5-4969-95C8-FDB4F76A81E4}"/>
    <cellStyle name="Comma 7 9 6" xfId="38781" xr:uid="{708793FC-8868-420E-8CF8-5F09293247D7}"/>
    <cellStyle name="Comma 7 9 7" xfId="20527" xr:uid="{0FF73E34-A40D-42C2-8691-EBFDCDC16270}"/>
    <cellStyle name="Comma 8" xfId="42" xr:uid="{93A248C5-0BD2-4C92-B898-E8B528BF6D6B}"/>
    <cellStyle name="Comma 8 10" xfId="1511" xr:uid="{8A0388D8-0DD3-4324-A4E1-CE6B94BBA8AB}"/>
    <cellStyle name="Comma 8 10 2" xfId="16111" xr:uid="{AEC7B224-3C98-482D-ADEE-BF85F6D6337C}"/>
    <cellStyle name="Comma 8 10 2 2" xfId="52619" xr:uid="{C4476434-5F5E-476D-9876-0E98D48EEBE0}"/>
    <cellStyle name="Comma 8 10 2 3" xfId="34365" xr:uid="{ABE5DEC2-B6A1-4AA4-AB88-DB447ACF6904}"/>
    <cellStyle name="Comma 8 10 3" xfId="12461" xr:uid="{4D9983CC-1222-4102-8B54-819B65E36B15}"/>
    <cellStyle name="Comma 8 10 3 2" xfId="48969" xr:uid="{C328F6A5-4C50-45B1-96A1-2049B7AE0993}"/>
    <cellStyle name="Comma 8 10 3 3" xfId="30715" xr:uid="{B6C1596F-DF47-45D7-B556-816675CDD801}"/>
    <cellStyle name="Comma 8 10 4" xfId="8811" xr:uid="{7ECDE23D-B8A6-47E5-A51A-889A8C11CDFB}"/>
    <cellStyle name="Comma 8 10 4 2" xfId="45319" xr:uid="{F6D96538-817E-4A8B-B3FB-56DAEAC17F2A}"/>
    <cellStyle name="Comma 8 10 4 3" xfId="27065" xr:uid="{50ACD095-DC13-4FBA-853C-0DE7E17D0FD7}"/>
    <cellStyle name="Comma 8 10 5" xfId="5161" xr:uid="{CA20BB4F-D5E6-4EF1-8BB5-2E026BF2282E}"/>
    <cellStyle name="Comma 8 10 5 2" xfId="41669" xr:uid="{B3D78213-9B2C-4D52-8EC1-0849A0C99566}"/>
    <cellStyle name="Comma 8 10 5 3" xfId="23415" xr:uid="{81A5B837-19FC-438E-B52F-19F8A5324B3D}"/>
    <cellStyle name="Comma 8 10 6" xfId="38019" xr:uid="{57117B94-A91B-4020-9C4A-F4328B1C04D4}"/>
    <cellStyle name="Comma 8 10 7" xfId="19765" xr:uid="{C4E06C98-236C-4DC4-A703-E97DFA5EA081}"/>
    <cellStyle name="Comma 8 11" xfId="781" xr:uid="{582A3536-4BBD-411A-BA93-B6C193456832}"/>
    <cellStyle name="Comma 8 11 2" xfId="15381" xr:uid="{6B8D7E12-C6AD-498E-B247-BA923837CA20}"/>
    <cellStyle name="Comma 8 11 2 2" xfId="51889" xr:uid="{63EF6C45-C6BF-48C6-AB78-D9C7C4041EE8}"/>
    <cellStyle name="Comma 8 11 2 3" xfId="33635" xr:uid="{FEF03400-122F-41E9-B0C6-4129DAEB5406}"/>
    <cellStyle name="Comma 8 11 3" xfId="11731" xr:uid="{691F1BDC-3E62-4394-8E14-6DF3AC95B137}"/>
    <cellStyle name="Comma 8 11 3 2" xfId="48239" xr:uid="{4427AF7D-5390-480D-BFFA-29523E8881E2}"/>
    <cellStyle name="Comma 8 11 3 3" xfId="29985" xr:uid="{2BC6051F-1B5D-4986-BD4D-1FD0AAEFAD34}"/>
    <cellStyle name="Comma 8 11 4" xfId="8081" xr:uid="{A80D5582-3029-48D7-9885-A65BD2F81F5B}"/>
    <cellStyle name="Comma 8 11 4 2" xfId="44589" xr:uid="{245E1A13-6320-423D-9582-33D33C739E45}"/>
    <cellStyle name="Comma 8 11 4 3" xfId="26335" xr:uid="{800FE384-58DD-43C3-9CFE-4042C24A4969}"/>
    <cellStyle name="Comma 8 11 5" xfId="4431" xr:uid="{304812E6-37F9-4B78-83A2-E2C35B1C570C}"/>
    <cellStyle name="Comma 8 11 5 2" xfId="40939" xr:uid="{C2C2EF31-15E2-4179-90DC-F89C896F5F12}"/>
    <cellStyle name="Comma 8 11 5 3" xfId="22685" xr:uid="{CD4F28B5-F1D9-49BB-B417-BB2C1FC1AD13}"/>
    <cellStyle name="Comma 8 11 6" xfId="37289" xr:uid="{519C005C-EAB9-462E-BD01-C1EF8D224FAF}"/>
    <cellStyle name="Comma 8 11 7" xfId="19035" xr:uid="{519F96B0-7067-4AF3-A712-81152FCFEFD0}"/>
    <cellStyle name="Comma 8 12" xfId="14651" xr:uid="{C1A93D0C-1CD9-45A5-9E6E-922CFE74C9FE}"/>
    <cellStyle name="Comma 8 12 2" xfId="51159" xr:uid="{E4418ADC-548A-44A3-9690-CA27F974AD12}"/>
    <cellStyle name="Comma 8 12 3" xfId="32905" xr:uid="{74A85DCB-8279-4B47-8CF6-50316AD9BFAC}"/>
    <cellStyle name="Comma 8 13" xfId="11001" xr:uid="{0D10E1A1-8D28-4C84-930B-D6F1A8921177}"/>
    <cellStyle name="Comma 8 13 2" xfId="47509" xr:uid="{40DE3DEF-22A2-4B6E-BDBE-5BAF92726468}"/>
    <cellStyle name="Comma 8 13 3" xfId="29255" xr:uid="{17E777E6-3A89-4905-9D38-297CE415878D}"/>
    <cellStyle name="Comma 8 14" xfId="7351" xr:uid="{9726264C-D978-488C-9F8F-B5D970130718}"/>
    <cellStyle name="Comma 8 14 2" xfId="43859" xr:uid="{912BCDD3-94C2-4BAF-8BF7-A5801DE0806B}"/>
    <cellStyle name="Comma 8 14 3" xfId="25605" xr:uid="{3E4B7DDE-37C3-48DD-90F7-752FBBFAA483}"/>
    <cellStyle name="Comma 8 15" xfId="3701" xr:uid="{2382270F-F556-4058-8F9F-D35148FCDB09}"/>
    <cellStyle name="Comma 8 15 2" xfId="40209" xr:uid="{968BF13E-85F6-4E99-B0B6-214C867DE14E}"/>
    <cellStyle name="Comma 8 15 3" xfId="21955" xr:uid="{213CC699-973D-4A14-A600-1ED9E6E934C6}"/>
    <cellStyle name="Comma 8 16" xfId="36559" xr:uid="{1C211185-B254-4E94-BB6D-54C91D5EDB15}"/>
    <cellStyle name="Comma 8 17" xfId="18305" xr:uid="{9A46D1F2-1C25-41FC-AAF5-BD71AB818E27}"/>
    <cellStyle name="Comma 8 2" xfId="675" xr:uid="{F647C752-7530-41B3-B83E-1B0268BAC8D2}"/>
    <cellStyle name="Comma 8 2 10" xfId="37183" xr:uid="{34E97077-ECE0-415A-970D-E5E95EB27EBF}"/>
    <cellStyle name="Comma 8 2 11" xfId="18929" xr:uid="{ADBDF225-C146-4329-A21A-4A0DB58839AE}"/>
    <cellStyle name="Comma 8 2 2" xfId="3595" xr:uid="{6E280627-45DA-4690-B01D-93E1FFC64771}"/>
    <cellStyle name="Comma 8 2 2 2" xfId="18195" xr:uid="{6AB7BB93-2A77-49B2-8F55-90BD51C792E9}"/>
    <cellStyle name="Comma 8 2 2 2 2" xfId="54703" xr:uid="{E8B901A8-1C2D-480A-A7E4-3724B1443227}"/>
    <cellStyle name="Comma 8 2 2 2 3" xfId="36449" xr:uid="{DF9CEB6C-F4A7-4B39-A025-11FED47C3A96}"/>
    <cellStyle name="Comma 8 2 2 3" xfId="14545" xr:uid="{AF44985C-6CAD-4F5F-8FC5-190E1DAE3E5B}"/>
    <cellStyle name="Comma 8 2 2 3 2" xfId="51053" xr:uid="{859957F5-B4B7-4CCE-872F-69D89A63CF8F}"/>
    <cellStyle name="Comma 8 2 2 3 3" xfId="32799" xr:uid="{C04E3B42-2FD9-4D07-AC87-73478550286B}"/>
    <cellStyle name="Comma 8 2 2 4" xfId="10895" xr:uid="{C70677C3-8BF0-4D18-93E6-4110EE6871C1}"/>
    <cellStyle name="Comma 8 2 2 4 2" xfId="47403" xr:uid="{96C27DEC-2097-4C18-9FF1-86CBA11FDEC3}"/>
    <cellStyle name="Comma 8 2 2 4 3" xfId="29149" xr:uid="{6C7FA977-83E9-44FC-B645-378E1D60DD09}"/>
    <cellStyle name="Comma 8 2 2 5" xfId="7245" xr:uid="{76B3E918-058F-4129-B51F-D5BBD4B9EA0B}"/>
    <cellStyle name="Comma 8 2 2 5 2" xfId="43753" xr:uid="{88D7EFF8-FE6A-4FB9-8C19-0A0D970C9621}"/>
    <cellStyle name="Comma 8 2 2 5 3" xfId="25499" xr:uid="{BE256D7F-2035-474C-8F85-C761FDC74E93}"/>
    <cellStyle name="Comma 8 2 2 6" xfId="40103" xr:uid="{00D51112-3A7C-421E-8067-0EAC2B68704F}"/>
    <cellStyle name="Comma 8 2 2 7" xfId="21849" xr:uid="{FB0C2F0B-4B18-4258-A096-E373A11CDE4A}"/>
    <cellStyle name="Comma 8 2 3" xfId="2865" xr:uid="{7EDA6690-84BD-4CFC-9F3D-AFC80331A62E}"/>
    <cellStyle name="Comma 8 2 3 2" xfId="17465" xr:uid="{4C7416DF-9F23-4FBC-921B-CD8A6B5539C9}"/>
    <cellStyle name="Comma 8 2 3 2 2" xfId="53973" xr:uid="{82B32825-A595-421C-9F50-DA553896CE0A}"/>
    <cellStyle name="Comma 8 2 3 2 3" xfId="35719" xr:uid="{19A25FD4-3729-409C-9B2D-92C85565FC2B}"/>
    <cellStyle name="Comma 8 2 3 3" xfId="13815" xr:uid="{0B3637E5-487A-4ECF-84D4-70CDD0B95110}"/>
    <cellStyle name="Comma 8 2 3 3 2" xfId="50323" xr:uid="{0867E27D-79B4-4746-B5F8-63FE8612C6E4}"/>
    <cellStyle name="Comma 8 2 3 3 3" xfId="32069" xr:uid="{3F61D8F4-A51B-401F-958D-BBA0B45AC49C}"/>
    <cellStyle name="Comma 8 2 3 4" xfId="10165" xr:uid="{886E38DB-FDAE-4830-B896-6B90F95A84E3}"/>
    <cellStyle name="Comma 8 2 3 4 2" xfId="46673" xr:uid="{91432F48-D19B-4420-8F96-035BA41F7ACB}"/>
    <cellStyle name="Comma 8 2 3 4 3" xfId="28419" xr:uid="{41516ED5-E56B-4679-BF7C-54B90F619982}"/>
    <cellStyle name="Comma 8 2 3 5" xfId="6515" xr:uid="{09251E59-CA1E-45FF-AD54-E2198F60D32C}"/>
    <cellStyle name="Comma 8 2 3 5 2" xfId="43023" xr:uid="{146CCDDD-81A3-40F1-B9CE-372333678C14}"/>
    <cellStyle name="Comma 8 2 3 5 3" xfId="24769" xr:uid="{AC7118AD-659F-4A36-AD43-CE1DBE696986}"/>
    <cellStyle name="Comma 8 2 3 6" xfId="39373" xr:uid="{6CB1B040-7C86-4279-BC49-388F0AA911CB}"/>
    <cellStyle name="Comma 8 2 3 7" xfId="21119" xr:uid="{755D68C6-3EB1-4B5A-B531-4F85C17DCD38}"/>
    <cellStyle name="Comma 8 2 4" xfId="2135" xr:uid="{076C37CA-557C-4679-A288-B83EE5952B03}"/>
    <cellStyle name="Comma 8 2 4 2" xfId="16735" xr:uid="{1E1E9845-A3E5-43FE-AEC1-5AF0C1DE37BF}"/>
    <cellStyle name="Comma 8 2 4 2 2" xfId="53243" xr:uid="{79FE7615-35DD-40FE-90A4-58F7AB42D08A}"/>
    <cellStyle name="Comma 8 2 4 2 3" xfId="34989" xr:uid="{808F9CDE-23C2-4E4E-919D-FB1C5A6671A9}"/>
    <cellStyle name="Comma 8 2 4 3" xfId="13085" xr:uid="{95F41F12-08E8-4DD7-9972-7BE1CE83CCCC}"/>
    <cellStyle name="Comma 8 2 4 3 2" xfId="49593" xr:uid="{B6894AAC-63E1-4DF6-A98A-DA4FD373D036}"/>
    <cellStyle name="Comma 8 2 4 3 3" xfId="31339" xr:uid="{CBC30C42-7FAD-4691-8710-322547D38379}"/>
    <cellStyle name="Comma 8 2 4 4" xfId="9435" xr:uid="{A80FE5A0-671E-4BD8-803B-5E547D9FCE49}"/>
    <cellStyle name="Comma 8 2 4 4 2" xfId="45943" xr:uid="{5DE55F65-526E-4B0E-A658-9E3D19CE0516}"/>
    <cellStyle name="Comma 8 2 4 4 3" xfId="27689" xr:uid="{363DCE40-2AAD-4553-AC32-D212EF475CC6}"/>
    <cellStyle name="Comma 8 2 4 5" xfId="5785" xr:uid="{64A9B531-94E8-4593-9AB4-4F8B2E70809B}"/>
    <cellStyle name="Comma 8 2 4 5 2" xfId="42293" xr:uid="{CC2C4567-5CD2-4640-ADC4-EC631854DCEB}"/>
    <cellStyle name="Comma 8 2 4 5 3" xfId="24039" xr:uid="{0E9C15C7-1B90-425D-8E8A-65C109DB3BDA}"/>
    <cellStyle name="Comma 8 2 4 6" xfId="38643" xr:uid="{E1988F7D-D649-420D-9C22-0BE42DEA4113}"/>
    <cellStyle name="Comma 8 2 4 7" xfId="20389" xr:uid="{B1234941-48DD-4591-86BA-80B48EF3DEA4}"/>
    <cellStyle name="Comma 8 2 5" xfId="1405" xr:uid="{3BD232EF-7B89-4D91-9685-FC10DD31593A}"/>
    <cellStyle name="Comma 8 2 5 2" xfId="16005" xr:uid="{DB0B7076-EB25-469E-884D-D7B0F2544353}"/>
    <cellStyle name="Comma 8 2 5 2 2" xfId="52513" xr:uid="{2D742ACF-287D-48D1-956A-E3D95867A8A3}"/>
    <cellStyle name="Comma 8 2 5 2 3" xfId="34259" xr:uid="{741B70DC-A21D-4187-86F8-ECBF1FB9348B}"/>
    <cellStyle name="Comma 8 2 5 3" xfId="12355" xr:uid="{AB350B90-B739-4F67-91E7-4D8683DF96D3}"/>
    <cellStyle name="Comma 8 2 5 3 2" xfId="48863" xr:uid="{B4624652-A860-445C-87BF-B7364EC22A24}"/>
    <cellStyle name="Comma 8 2 5 3 3" xfId="30609" xr:uid="{F71ADE49-032F-4166-9E19-1DCEF11692BF}"/>
    <cellStyle name="Comma 8 2 5 4" xfId="8705" xr:uid="{817D25C6-CF4E-4295-858E-BA7BA1B89717}"/>
    <cellStyle name="Comma 8 2 5 4 2" xfId="45213" xr:uid="{FCD55B3A-7C82-4C28-BF41-007175707C50}"/>
    <cellStyle name="Comma 8 2 5 4 3" xfId="26959" xr:uid="{1FF91AE3-B4F4-45F2-8739-109F682FEB81}"/>
    <cellStyle name="Comma 8 2 5 5" xfId="5055" xr:uid="{A6F173E1-45C7-44FC-8A51-3AC8321E09F3}"/>
    <cellStyle name="Comma 8 2 5 5 2" xfId="41563" xr:uid="{1C65CEA7-0136-4A05-BAF2-7D803A535A4B}"/>
    <cellStyle name="Comma 8 2 5 5 3" xfId="23309" xr:uid="{A5A6EDAF-894B-4E84-83FD-5F055B7FDE7A}"/>
    <cellStyle name="Comma 8 2 5 6" xfId="37913" xr:uid="{FDB11B1B-C058-43F9-9675-DA9E46082797}"/>
    <cellStyle name="Comma 8 2 5 7" xfId="19659" xr:uid="{3AD1EAB7-ECEB-4CC9-A402-25E969DFE7D9}"/>
    <cellStyle name="Comma 8 2 6" xfId="15275" xr:uid="{798E00A1-241C-45D3-A1FF-E61CD20AC2F0}"/>
    <cellStyle name="Comma 8 2 6 2" xfId="51783" xr:uid="{6E88B910-0D99-405D-8272-8483834BB450}"/>
    <cellStyle name="Comma 8 2 6 3" xfId="33529" xr:uid="{EAA0112D-8414-4AB1-9283-D9D2001ADBE1}"/>
    <cellStyle name="Comma 8 2 7" xfId="11625" xr:uid="{26A7021E-2EF4-44D8-BB2B-D42F5E723000}"/>
    <cellStyle name="Comma 8 2 7 2" xfId="48133" xr:uid="{242E3E88-50D1-4A1A-BD16-CE9993609389}"/>
    <cellStyle name="Comma 8 2 7 3" xfId="29879" xr:uid="{1EAC58E7-846D-4E1E-BE1D-99CB69F37D0D}"/>
    <cellStyle name="Comma 8 2 8" xfId="7975" xr:uid="{210E5A78-9DE8-4F45-B5F2-72C84B40173B}"/>
    <cellStyle name="Comma 8 2 8 2" xfId="44483" xr:uid="{58EE0300-ACB1-4ABB-A2D5-75DACC9A88B6}"/>
    <cellStyle name="Comma 8 2 8 3" xfId="26229" xr:uid="{EB018750-89D8-42F7-B8F2-CDA18B720904}"/>
    <cellStyle name="Comma 8 2 9" xfId="4325" xr:uid="{8AA009F2-4E30-4865-8EB8-7B655A325B0E}"/>
    <cellStyle name="Comma 8 2 9 2" xfId="40833" xr:uid="{88E1AB42-AAA6-43B2-869A-E603DCDBE7E7}"/>
    <cellStyle name="Comma 8 2 9 3" xfId="22579" xr:uid="{C8A28AA1-BB7D-433A-82C0-89CAD9DA4FDB}"/>
    <cellStyle name="Comma 8 3" xfId="571" xr:uid="{ABEB603A-92FE-41B6-AA1A-0583C9320824}"/>
    <cellStyle name="Comma 8 3 10" xfId="37079" xr:uid="{82C82681-6F75-45AA-B210-3A5C1503DFEE}"/>
    <cellStyle name="Comma 8 3 11" xfId="18825" xr:uid="{E82CC2BD-BCF2-4CA8-8B47-7D48FCFB5CDD}"/>
    <cellStyle name="Comma 8 3 2" xfId="3491" xr:uid="{2E65A181-226D-4BCB-BC42-31667C1DB1AA}"/>
    <cellStyle name="Comma 8 3 2 2" xfId="18091" xr:uid="{8FF7D436-B810-424E-AC9B-E359E3DFD1D4}"/>
    <cellStyle name="Comma 8 3 2 2 2" xfId="54599" xr:uid="{4FA73CFF-DD40-4477-87A7-2FB7DC31153A}"/>
    <cellStyle name="Comma 8 3 2 2 3" xfId="36345" xr:uid="{CF879A2C-5BC6-4F2B-B9C4-23E4CE86C92F}"/>
    <cellStyle name="Comma 8 3 2 3" xfId="14441" xr:uid="{D083F6EF-7825-4CB2-8026-875F0FFB7BB7}"/>
    <cellStyle name="Comma 8 3 2 3 2" xfId="50949" xr:uid="{75A051E3-BADA-4116-9FA4-4820105E1BE3}"/>
    <cellStyle name="Comma 8 3 2 3 3" xfId="32695" xr:uid="{B522D065-87DB-4511-B4E0-EDB7A822CC56}"/>
    <cellStyle name="Comma 8 3 2 4" xfId="10791" xr:uid="{C32876AB-75AC-4CD4-BBF6-C6114C944B3D}"/>
    <cellStyle name="Comma 8 3 2 4 2" xfId="47299" xr:uid="{8D105A0F-D75F-45C1-9C4D-C6CAF30E8939}"/>
    <cellStyle name="Comma 8 3 2 4 3" xfId="29045" xr:uid="{C8B1A95C-C53D-47F0-A1D5-DB16D90D28B6}"/>
    <cellStyle name="Comma 8 3 2 5" xfId="7141" xr:uid="{7AE06D7A-F7B2-44B9-8328-97D63160A0E2}"/>
    <cellStyle name="Comma 8 3 2 5 2" xfId="43649" xr:uid="{FAAF352A-9B03-4AF6-93F2-E25B6FC8D77F}"/>
    <cellStyle name="Comma 8 3 2 5 3" xfId="25395" xr:uid="{7816C1D0-8E55-4A2A-9BD1-14C4B708797E}"/>
    <cellStyle name="Comma 8 3 2 6" xfId="39999" xr:uid="{716A07CE-E40E-4F4F-BF20-21CC60962697}"/>
    <cellStyle name="Comma 8 3 2 7" xfId="21745" xr:uid="{2BBFD68C-33DB-4026-9EC5-0D60F3885322}"/>
    <cellStyle name="Comma 8 3 3" xfId="2761" xr:uid="{9D179353-AEB5-42E4-92BB-C45607F4ADB2}"/>
    <cellStyle name="Comma 8 3 3 2" xfId="17361" xr:uid="{70A9FA45-086B-4BE0-979E-0EBE6112E822}"/>
    <cellStyle name="Comma 8 3 3 2 2" xfId="53869" xr:uid="{490D02CF-B555-4BE2-8BF7-23A8F86540DC}"/>
    <cellStyle name="Comma 8 3 3 2 3" xfId="35615" xr:uid="{3AFE6111-9DAA-43B6-A9C4-3116FDE21E03}"/>
    <cellStyle name="Comma 8 3 3 3" xfId="13711" xr:uid="{1266F041-F519-4C9A-9510-F043B2E2C9B4}"/>
    <cellStyle name="Comma 8 3 3 3 2" xfId="50219" xr:uid="{F9474A3E-8641-4248-AB1F-5AAA241DCF1D}"/>
    <cellStyle name="Comma 8 3 3 3 3" xfId="31965" xr:uid="{7E962C18-88CC-4013-8D56-07B14918BBE0}"/>
    <cellStyle name="Comma 8 3 3 4" xfId="10061" xr:uid="{21195E3F-FE19-41B7-9767-38DA139EBB72}"/>
    <cellStyle name="Comma 8 3 3 4 2" xfId="46569" xr:uid="{9D88671A-F252-4F64-AC02-F746951A184E}"/>
    <cellStyle name="Comma 8 3 3 4 3" xfId="28315" xr:uid="{9818C832-79F3-4D3F-87EF-01BC016643E8}"/>
    <cellStyle name="Comma 8 3 3 5" xfId="6411" xr:uid="{C27F67AB-F98F-40C2-A6C3-3BD326F7693A}"/>
    <cellStyle name="Comma 8 3 3 5 2" xfId="42919" xr:uid="{1400AC23-7FD7-4E72-832B-0A136F272FC5}"/>
    <cellStyle name="Comma 8 3 3 5 3" xfId="24665" xr:uid="{6C5BBA4F-6CF2-4C86-9BDB-ECFB220D2787}"/>
    <cellStyle name="Comma 8 3 3 6" xfId="39269" xr:uid="{E3537B47-BF94-4EA1-BE27-86E3252BF41C}"/>
    <cellStyle name="Comma 8 3 3 7" xfId="21015" xr:uid="{79127DA1-DC5A-419F-B193-6EEAB3F8C4BB}"/>
    <cellStyle name="Comma 8 3 4" xfId="2031" xr:uid="{D9B87719-A884-4FE3-B79A-B970C37A7D7A}"/>
    <cellStyle name="Comma 8 3 4 2" xfId="16631" xr:uid="{7EE0C24F-693F-4F33-81AD-8C3ACBD7050B}"/>
    <cellStyle name="Comma 8 3 4 2 2" xfId="53139" xr:uid="{1352C084-A7B6-424D-B7E4-862637CD872A}"/>
    <cellStyle name="Comma 8 3 4 2 3" xfId="34885" xr:uid="{B6C3A131-553F-427F-AF7D-A01869DAAAAF}"/>
    <cellStyle name="Comma 8 3 4 3" xfId="12981" xr:uid="{A09258E3-35A8-408E-9E2C-9C7EFEC1B22E}"/>
    <cellStyle name="Comma 8 3 4 3 2" xfId="49489" xr:uid="{DF2E3968-CD5D-4B1B-842E-8CB5FCCF194B}"/>
    <cellStyle name="Comma 8 3 4 3 3" xfId="31235" xr:uid="{B30F2865-3107-41FD-BEBE-DCA5FD140161}"/>
    <cellStyle name="Comma 8 3 4 4" xfId="9331" xr:uid="{0DF740BA-33CF-4687-AD25-7B3B69A3A35A}"/>
    <cellStyle name="Comma 8 3 4 4 2" xfId="45839" xr:uid="{28A71188-1F38-4425-B539-F8365076AC11}"/>
    <cellStyle name="Comma 8 3 4 4 3" xfId="27585" xr:uid="{F2549D3A-0B42-4A2A-84F8-D7ED13DB4B53}"/>
    <cellStyle name="Comma 8 3 4 5" xfId="5681" xr:uid="{3A61471D-1960-4647-90E8-7E4B093CFECA}"/>
    <cellStyle name="Comma 8 3 4 5 2" xfId="42189" xr:uid="{EC53E913-766F-40EA-B44E-A2AAA2E8F35E}"/>
    <cellStyle name="Comma 8 3 4 5 3" xfId="23935" xr:uid="{15266436-BC86-4669-A95D-7D92C3C3E0D2}"/>
    <cellStyle name="Comma 8 3 4 6" xfId="38539" xr:uid="{D6C71DB9-0F11-401D-B429-8673A4428DD0}"/>
    <cellStyle name="Comma 8 3 4 7" xfId="20285" xr:uid="{16020A64-9422-45CE-B942-044541AB2BEA}"/>
    <cellStyle name="Comma 8 3 5" xfId="1301" xr:uid="{0B8B6139-C2B8-457C-9508-25BB418A47BC}"/>
    <cellStyle name="Comma 8 3 5 2" xfId="15901" xr:uid="{9163A850-3A70-4535-B118-7414E942CC84}"/>
    <cellStyle name="Comma 8 3 5 2 2" xfId="52409" xr:uid="{719C760A-1501-47F7-803D-E85E42DD92A1}"/>
    <cellStyle name="Comma 8 3 5 2 3" xfId="34155" xr:uid="{3A11B0BB-4E56-442A-95FD-FCCBC8FDAFF3}"/>
    <cellStyle name="Comma 8 3 5 3" xfId="12251" xr:uid="{A402D600-3C49-4CA2-87B8-6EB7FB835CAB}"/>
    <cellStyle name="Comma 8 3 5 3 2" xfId="48759" xr:uid="{D6D9348B-8B6D-41EF-BC8A-9CE5BDC03E2C}"/>
    <cellStyle name="Comma 8 3 5 3 3" xfId="30505" xr:uid="{FE4102FC-394E-47B1-94A6-393855EB9B21}"/>
    <cellStyle name="Comma 8 3 5 4" xfId="8601" xr:uid="{CAFF10BC-B1A0-43D6-9BC7-387288902BF6}"/>
    <cellStyle name="Comma 8 3 5 4 2" xfId="45109" xr:uid="{66F19CFB-DBAA-4B9E-8F88-E4CCFF7D4C86}"/>
    <cellStyle name="Comma 8 3 5 4 3" xfId="26855" xr:uid="{C8816BE7-922C-46EC-A8F0-A34E6C2460C8}"/>
    <cellStyle name="Comma 8 3 5 5" xfId="4951" xr:uid="{C405EC5C-9A41-4492-A6FF-829ED101D1CE}"/>
    <cellStyle name="Comma 8 3 5 5 2" xfId="41459" xr:uid="{88375A09-711A-4702-8AFB-309DB6170CEA}"/>
    <cellStyle name="Comma 8 3 5 5 3" xfId="23205" xr:uid="{9F1B69F3-F9F9-43C9-8355-CC3515467C33}"/>
    <cellStyle name="Comma 8 3 5 6" xfId="37809" xr:uid="{080CE5C7-A5C8-4E20-87DF-3441C8DFD820}"/>
    <cellStyle name="Comma 8 3 5 7" xfId="19555" xr:uid="{FC571BEF-8F22-48BD-9C7E-CECE8B265D66}"/>
    <cellStyle name="Comma 8 3 6" xfId="15171" xr:uid="{AB911518-DEA2-439D-94C9-C11702F5D98C}"/>
    <cellStyle name="Comma 8 3 6 2" xfId="51679" xr:uid="{744C9278-09E3-435D-BB18-133F06A16AC1}"/>
    <cellStyle name="Comma 8 3 6 3" xfId="33425" xr:uid="{AFB5EE9D-5297-4ED6-9213-DA0406EA4C3C}"/>
    <cellStyle name="Comma 8 3 7" xfId="11521" xr:uid="{59EE0E52-BFC1-4066-A67E-7D8E915F6E43}"/>
    <cellStyle name="Comma 8 3 7 2" xfId="48029" xr:uid="{AFB15821-028E-4D85-8532-9C4808566E4C}"/>
    <cellStyle name="Comma 8 3 7 3" xfId="29775" xr:uid="{038F2996-4F64-4EC5-B72B-F8245E5A4AC1}"/>
    <cellStyle name="Comma 8 3 8" xfId="7871" xr:uid="{1C734B53-9760-436E-B6ED-3586925083C3}"/>
    <cellStyle name="Comma 8 3 8 2" xfId="44379" xr:uid="{240D88B7-8849-4E2A-AAAA-13DC534B0DBE}"/>
    <cellStyle name="Comma 8 3 8 3" xfId="26125" xr:uid="{6DBE744C-147B-49E1-917C-AC58181A336E}"/>
    <cellStyle name="Comma 8 3 9" xfId="4221" xr:uid="{8A81060E-8871-4CA9-89F6-AFC9CC5EE278}"/>
    <cellStyle name="Comma 8 3 9 2" xfId="40729" xr:uid="{FFD23521-136A-4B26-A668-FA0F1EF2EDDE}"/>
    <cellStyle name="Comma 8 3 9 3" xfId="22475" xr:uid="{9589F44D-BE2F-42F5-A851-E67E23CCCF69}"/>
    <cellStyle name="Comma 8 4" xfId="467" xr:uid="{FC5DACFA-6EDE-4D9D-85EB-F8C96F34CFBB}"/>
    <cellStyle name="Comma 8 4 10" xfId="36975" xr:uid="{5D221800-C8D5-4219-B4FC-BFB6AEF2288E}"/>
    <cellStyle name="Comma 8 4 11" xfId="18721" xr:uid="{421DC3B9-77CC-460B-BE2C-9072D1F92D07}"/>
    <cellStyle name="Comma 8 4 2" xfId="3387" xr:uid="{88CDBB99-2E2A-4364-A00C-3AC81DDCB007}"/>
    <cellStyle name="Comma 8 4 2 2" xfId="17987" xr:uid="{97CE4991-7337-4B90-964A-01ECF20C0B7C}"/>
    <cellStyle name="Comma 8 4 2 2 2" xfId="54495" xr:uid="{798E94E5-653E-4449-BE54-482791FED527}"/>
    <cellStyle name="Comma 8 4 2 2 3" xfId="36241" xr:uid="{4A42137E-0CA3-4197-A123-2A357816D093}"/>
    <cellStyle name="Comma 8 4 2 3" xfId="14337" xr:uid="{95DE54CA-DF9C-429E-B858-854D364C658B}"/>
    <cellStyle name="Comma 8 4 2 3 2" xfId="50845" xr:uid="{062685E4-60CC-434A-8D95-FFEBEDDFAF4D}"/>
    <cellStyle name="Comma 8 4 2 3 3" xfId="32591" xr:uid="{FA7EF12D-94EC-4191-A17A-42DDA2BCD7D9}"/>
    <cellStyle name="Comma 8 4 2 4" xfId="10687" xr:uid="{7D8483D8-ED05-4C06-8FD6-E83616F63A05}"/>
    <cellStyle name="Comma 8 4 2 4 2" xfId="47195" xr:uid="{5AC7C4B1-2D9F-40B4-87D1-1224B4DB6625}"/>
    <cellStyle name="Comma 8 4 2 4 3" xfId="28941" xr:uid="{85F59E8D-FFDC-4303-BDF5-85B511232CAC}"/>
    <cellStyle name="Comma 8 4 2 5" xfId="7037" xr:uid="{68EBF02E-9B36-40FD-A2B3-75DDB8A8BD5D}"/>
    <cellStyle name="Comma 8 4 2 5 2" xfId="43545" xr:uid="{2A736574-E709-4C58-A992-3CF18BCE6733}"/>
    <cellStyle name="Comma 8 4 2 5 3" xfId="25291" xr:uid="{B5BFC96D-6E50-4D36-82C5-313B25F8C8FB}"/>
    <cellStyle name="Comma 8 4 2 6" xfId="39895" xr:uid="{D3ED59FD-3E00-48D9-BFF2-EB0C989E6502}"/>
    <cellStyle name="Comma 8 4 2 7" xfId="21641" xr:uid="{CE232E4B-8CEC-4764-A70A-58DB8EF40F1A}"/>
    <cellStyle name="Comma 8 4 3" xfId="2657" xr:uid="{A25A16F4-F74B-43C3-B9FB-B011E2318A37}"/>
    <cellStyle name="Comma 8 4 3 2" xfId="17257" xr:uid="{061CC5A3-13A8-48EE-9782-A0D66D4E2B42}"/>
    <cellStyle name="Comma 8 4 3 2 2" xfId="53765" xr:uid="{7A8435F9-AFE2-47E6-9287-57FD5E684388}"/>
    <cellStyle name="Comma 8 4 3 2 3" xfId="35511" xr:uid="{CDD4D865-5A8F-4B10-BBA3-EEE699CCAAF1}"/>
    <cellStyle name="Comma 8 4 3 3" xfId="13607" xr:uid="{860ECAEF-AD0A-41D3-A167-00EDA6378E57}"/>
    <cellStyle name="Comma 8 4 3 3 2" xfId="50115" xr:uid="{68E6B91C-DFAB-41C5-A0CE-274BEC0BD585}"/>
    <cellStyle name="Comma 8 4 3 3 3" xfId="31861" xr:uid="{E21C2AB0-782D-4DE0-891A-721D450C2B44}"/>
    <cellStyle name="Comma 8 4 3 4" xfId="9957" xr:uid="{E39705F6-5A87-4019-A764-A3C8F50F1E17}"/>
    <cellStyle name="Comma 8 4 3 4 2" xfId="46465" xr:uid="{F6581748-C1C3-4C85-8EE7-3481958E3B02}"/>
    <cellStyle name="Comma 8 4 3 4 3" xfId="28211" xr:uid="{FB9F16C9-5207-4868-8BFA-949D1DC6B55F}"/>
    <cellStyle name="Comma 8 4 3 5" xfId="6307" xr:uid="{9639FEC7-F0BF-4F38-98EC-B117AD313FA1}"/>
    <cellStyle name="Comma 8 4 3 5 2" xfId="42815" xr:uid="{B3CFB4D6-5CB1-4BF6-8717-6A9B511A9357}"/>
    <cellStyle name="Comma 8 4 3 5 3" xfId="24561" xr:uid="{FADFCEFF-8C6F-424C-91B4-48B00F30CB80}"/>
    <cellStyle name="Comma 8 4 3 6" xfId="39165" xr:uid="{7C2EA91B-06EC-4861-B078-6916616EAA73}"/>
    <cellStyle name="Comma 8 4 3 7" xfId="20911" xr:uid="{3A4DE6FE-B892-4935-AFB1-B2D40DF33963}"/>
    <cellStyle name="Comma 8 4 4" xfId="1927" xr:uid="{E94F12C6-D159-4C96-BC6A-07BE25975965}"/>
    <cellStyle name="Comma 8 4 4 2" xfId="16527" xr:uid="{099E50EA-B748-4A61-B109-C801DD14D7F3}"/>
    <cellStyle name="Comma 8 4 4 2 2" xfId="53035" xr:uid="{A34D4D82-06ED-4CE7-BB6A-71E735921F2E}"/>
    <cellStyle name="Comma 8 4 4 2 3" xfId="34781" xr:uid="{F23AD886-FE7C-442C-B0B0-236C51ED7494}"/>
    <cellStyle name="Comma 8 4 4 3" xfId="12877" xr:uid="{D672796E-1087-46D0-AF84-04A39FBB89FA}"/>
    <cellStyle name="Comma 8 4 4 3 2" xfId="49385" xr:uid="{C49DF0A1-98D9-4117-A221-9BB4ECCB9FF4}"/>
    <cellStyle name="Comma 8 4 4 3 3" xfId="31131" xr:uid="{7058FFDF-B590-481A-8DE1-33E2E85807E6}"/>
    <cellStyle name="Comma 8 4 4 4" xfId="9227" xr:uid="{E94F0D7A-776F-4C36-BBB6-3776D896131E}"/>
    <cellStyle name="Comma 8 4 4 4 2" xfId="45735" xr:uid="{94A92C0B-CA6C-4837-8002-A86C5EB0440C}"/>
    <cellStyle name="Comma 8 4 4 4 3" xfId="27481" xr:uid="{31DA1976-08E7-4B0E-93E9-781529C8325F}"/>
    <cellStyle name="Comma 8 4 4 5" xfId="5577" xr:uid="{6CEDABC7-E3AD-4D0C-8416-F111EA9BB254}"/>
    <cellStyle name="Comma 8 4 4 5 2" xfId="42085" xr:uid="{A0FA2027-5557-4AD6-8B32-44A299248AA2}"/>
    <cellStyle name="Comma 8 4 4 5 3" xfId="23831" xr:uid="{40D87673-0C2E-4BF9-90B9-80962CEED77C}"/>
    <cellStyle name="Comma 8 4 4 6" xfId="38435" xr:uid="{4484DCA7-F07E-40A5-A8C2-FF72A4F490C6}"/>
    <cellStyle name="Comma 8 4 4 7" xfId="20181" xr:uid="{7939FC19-8715-4385-9E14-BE1222AE8B58}"/>
    <cellStyle name="Comma 8 4 5" xfId="1197" xr:uid="{D7BD1BC7-946D-4D65-9246-AF59F6C3C4D9}"/>
    <cellStyle name="Comma 8 4 5 2" xfId="15797" xr:uid="{2EF028C1-7523-4214-90DD-421727E0B788}"/>
    <cellStyle name="Comma 8 4 5 2 2" xfId="52305" xr:uid="{9FB191A4-AE05-4E2C-ADF1-CFDC99AC1504}"/>
    <cellStyle name="Comma 8 4 5 2 3" xfId="34051" xr:uid="{7521FAFC-E508-4E55-A6E0-D6A0732497D3}"/>
    <cellStyle name="Comma 8 4 5 3" xfId="12147" xr:uid="{1A4E3DB5-ECDF-43D0-90B0-B648FB6F7853}"/>
    <cellStyle name="Comma 8 4 5 3 2" xfId="48655" xr:uid="{51383A7E-DA85-4BFD-BCD1-D818E3FEAB9E}"/>
    <cellStyle name="Comma 8 4 5 3 3" xfId="30401" xr:uid="{3B40B1DC-9456-4860-99CE-F13E2575A719}"/>
    <cellStyle name="Comma 8 4 5 4" xfId="8497" xr:uid="{CCF12E0B-55C7-4A2D-A8D3-4B1F1D2A75FF}"/>
    <cellStyle name="Comma 8 4 5 4 2" xfId="45005" xr:uid="{075876B5-F6EB-44F1-BE47-5C6EB4D9CA3B}"/>
    <cellStyle name="Comma 8 4 5 4 3" xfId="26751" xr:uid="{6EC8091B-3ABE-4A23-8450-578B83481E3D}"/>
    <cellStyle name="Comma 8 4 5 5" xfId="4847" xr:uid="{133AEF99-8670-4FAD-AE92-BF0CFA4B1EBE}"/>
    <cellStyle name="Comma 8 4 5 5 2" xfId="41355" xr:uid="{1297C211-8E1F-4835-8725-CC01B41F0F8C}"/>
    <cellStyle name="Comma 8 4 5 5 3" xfId="23101" xr:uid="{F7CA6F4E-929A-4CA1-9C42-44EBF2F1CC37}"/>
    <cellStyle name="Comma 8 4 5 6" xfId="37705" xr:uid="{0C5EB2F7-926C-4CC7-BEB1-1E516CACB3C2}"/>
    <cellStyle name="Comma 8 4 5 7" xfId="19451" xr:uid="{79267A96-9CB4-40A0-9EA2-4B64B3F4896E}"/>
    <cellStyle name="Comma 8 4 6" xfId="15067" xr:uid="{3C25EA88-D83E-44BE-BDE2-0049E54D093C}"/>
    <cellStyle name="Comma 8 4 6 2" xfId="51575" xr:uid="{FF48FCE6-34EB-4B53-93A7-BE949E598C8F}"/>
    <cellStyle name="Comma 8 4 6 3" xfId="33321" xr:uid="{1A918122-61DD-42C5-A2C2-3B7F0528C1A0}"/>
    <cellStyle name="Comma 8 4 7" xfId="11417" xr:uid="{96DA3780-8EFA-4A8B-A940-7091E866A3ED}"/>
    <cellStyle name="Comma 8 4 7 2" xfId="47925" xr:uid="{7086191D-B97D-4EE3-8194-CC406CA1EE23}"/>
    <cellStyle name="Comma 8 4 7 3" xfId="29671" xr:uid="{511DC62E-EC74-4764-AF0C-06A6ECC9F964}"/>
    <cellStyle name="Comma 8 4 8" xfId="7767" xr:uid="{3E8AE78B-F434-43BD-A211-154EC9BE9592}"/>
    <cellStyle name="Comma 8 4 8 2" xfId="44275" xr:uid="{B521518A-A963-4844-A8FC-AFDD5CB8FFB9}"/>
    <cellStyle name="Comma 8 4 8 3" xfId="26021" xr:uid="{1E24EB91-E537-4030-B390-7CF970078913}"/>
    <cellStyle name="Comma 8 4 9" xfId="4117" xr:uid="{88AA7776-5975-4B6F-B2FD-40112F107B3B}"/>
    <cellStyle name="Comma 8 4 9 2" xfId="40625" xr:uid="{21CFA62A-8D32-48AA-A2B5-9F6AC031E587}"/>
    <cellStyle name="Comma 8 4 9 3" xfId="22371" xr:uid="{5E2805FD-1D22-46DC-A84D-E9E5491CF822}"/>
    <cellStyle name="Comma 8 5" xfId="363" xr:uid="{ED5F889D-4232-4550-8BC5-07FD8A87C65B}"/>
    <cellStyle name="Comma 8 5 10" xfId="36871" xr:uid="{BE05A369-AB40-4C4D-BF77-0A7CD8403F74}"/>
    <cellStyle name="Comma 8 5 11" xfId="18617" xr:uid="{9BCA6E75-D453-4595-9D07-E176807F7ABB}"/>
    <cellStyle name="Comma 8 5 2" xfId="3283" xr:uid="{F304EEAC-794B-44D2-A7E3-2D8BC1FA05C9}"/>
    <cellStyle name="Comma 8 5 2 2" xfId="17883" xr:uid="{FD71ABF7-E5C5-4454-A157-ED1BFCD4B495}"/>
    <cellStyle name="Comma 8 5 2 2 2" xfId="54391" xr:uid="{34DC6A29-7497-42C2-A4B2-BE2DDECB3B4C}"/>
    <cellStyle name="Comma 8 5 2 2 3" xfId="36137" xr:uid="{6F3523D6-7FE4-4650-A179-A1AFF2855CCB}"/>
    <cellStyle name="Comma 8 5 2 3" xfId="14233" xr:uid="{59C41F08-5A27-43EC-8FF7-00855E040C7E}"/>
    <cellStyle name="Comma 8 5 2 3 2" xfId="50741" xr:uid="{3FB7DC5A-5596-40EA-84A5-934CA39BA5D7}"/>
    <cellStyle name="Comma 8 5 2 3 3" xfId="32487" xr:uid="{19707415-E284-49E5-B2B7-8A4D295E5894}"/>
    <cellStyle name="Comma 8 5 2 4" xfId="10583" xr:uid="{A8753470-266D-4899-BC25-AF5E071FD13D}"/>
    <cellStyle name="Comma 8 5 2 4 2" xfId="47091" xr:uid="{BCB1DD24-6DC5-44A9-8D0B-CEB78B1EFDCC}"/>
    <cellStyle name="Comma 8 5 2 4 3" xfId="28837" xr:uid="{422CB22C-B482-4FAE-A94A-FA3F8DB4F733}"/>
    <cellStyle name="Comma 8 5 2 5" xfId="6933" xr:uid="{9E1738FD-011F-4F51-A1B0-CFAECBB7B338}"/>
    <cellStyle name="Comma 8 5 2 5 2" xfId="43441" xr:uid="{740F8011-D184-4D55-900F-49B767027184}"/>
    <cellStyle name="Comma 8 5 2 5 3" xfId="25187" xr:uid="{A76EF766-B407-40E9-8B2E-099CCFEA0864}"/>
    <cellStyle name="Comma 8 5 2 6" xfId="39791" xr:uid="{159E13AA-3F20-4D1D-A54C-F111BB49E2EE}"/>
    <cellStyle name="Comma 8 5 2 7" xfId="21537" xr:uid="{D880DE77-CDCC-49C9-B05E-C736524DB5DD}"/>
    <cellStyle name="Comma 8 5 3" xfId="2553" xr:uid="{ECA05829-7B09-407D-83F2-7B856A9D03FB}"/>
    <cellStyle name="Comma 8 5 3 2" xfId="17153" xr:uid="{DF3EF5FC-44BF-4AF4-9D1B-950B680BD277}"/>
    <cellStyle name="Comma 8 5 3 2 2" xfId="53661" xr:uid="{F508C117-8688-4F82-B57B-4D75740CC8E5}"/>
    <cellStyle name="Comma 8 5 3 2 3" xfId="35407" xr:uid="{022E7B84-B753-4FE5-874F-A4B8A5D1866F}"/>
    <cellStyle name="Comma 8 5 3 3" xfId="13503" xr:uid="{AFE31345-1B6D-42C8-8BCD-9537289A50E8}"/>
    <cellStyle name="Comma 8 5 3 3 2" xfId="50011" xr:uid="{B42D4988-FCB2-4868-B63B-DE431FBF5174}"/>
    <cellStyle name="Comma 8 5 3 3 3" xfId="31757" xr:uid="{90BD17C6-8EE6-4FC9-8091-A89D9FF7511D}"/>
    <cellStyle name="Comma 8 5 3 4" xfId="9853" xr:uid="{6507BF0C-2CD9-4A6D-BEBA-9F2ED01AAD21}"/>
    <cellStyle name="Comma 8 5 3 4 2" xfId="46361" xr:uid="{5FECC8A5-0F6D-4747-AE6C-364F757F7807}"/>
    <cellStyle name="Comma 8 5 3 4 3" xfId="28107" xr:uid="{DE4C30B9-7150-4D1C-864D-C232615D5B47}"/>
    <cellStyle name="Comma 8 5 3 5" xfId="6203" xr:uid="{CA709DA9-16E9-4EF9-9B94-9E3D966CF741}"/>
    <cellStyle name="Comma 8 5 3 5 2" xfId="42711" xr:uid="{84B9861E-DB54-4600-8532-61AB73742B59}"/>
    <cellStyle name="Comma 8 5 3 5 3" xfId="24457" xr:uid="{D5E04817-DDE9-4003-8130-3A6AEF3A6EA4}"/>
    <cellStyle name="Comma 8 5 3 6" xfId="39061" xr:uid="{F26E91F8-BF2A-4EE0-9D14-356F2866B48B}"/>
    <cellStyle name="Comma 8 5 3 7" xfId="20807" xr:uid="{7B45232B-9FE6-4235-B3A9-2BE2FD9AA7EF}"/>
    <cellStyle name="Comma 8 5 4" xfId="1823" xr:uid="{ED74CD9B-C04E-4F22-BFA4-531ABC52B513}"/>
    <cellStyle name="Comma 8 5 4 2" xfId="16423" xr:uid="{B5615111-B6A9-4EDF-A2DA-49EA022F5D2A}"/>
    <cellStyle name="Comma 8 5 4 2 2" xfId="52931" xr:uid="{37B8CBA8-AC4C-4FE5-BF9A-A34773A441F1}"/>
    <cellStyle name="Comma 8 5 4 2 3" xfId="34677" xr:uid="{50180AD7-7B60-43DC-AA85-14DABE2A0104}"/>
    <cellStyle name="Comma 8 5 4 3" xfId="12773" xr:uid="{06A2013B-57D1-4E38-B5B5-700FA4E1B8D1}"/>
    <cellStyle name="Comma 8 5 4 3 2" xfId="49281" xr:uid="{4ECF0FE7-8FDF-4F04-A9C3-B133483592C9}"/>
    <cellStyle name="Comma 8 5 4 3 3" xfId="31027" xr:uid="{052EB7EF-E12C-4EF1-8D66-C0D3976A8CE9}"/>
    <cellStyle name="Comma 8 5 4 4" xfId="9123" xr:uid="{0A2FE737-80EE-4E58-AAC5-50E0D0CBE187}"/>
    <cellStyle name="Comma 8 5 4 4 2" xfId="45631" xr:uid="{13D6201B-9E15-4182-807A-A7D9F7B962F6}"/>
    <cellStyle name="Comma 8 5 4 4 3" xfId="27377" xr:uid="{31B246A1-1CA5-4200-B754-8ED4F1BD64D7}"/>
    <cellStyle name="Comma 8 5 4 5" xfId="5473" xr:uid="{FAB22873-5A97-4541-B48F-95BA113BF09D}"/>
    <cellStyle name="Comma 8 5 4 5 2" xfId="41981" xr:uid="{E201AE54-B75C-4F15-A612-866E2BE6CE34}"/>
    <cellStyle name="Comma 8 5 4 5 3" xfId="23727" xr:uid="{EFA8C1C8-457B-4BC4-B1C7-FBB9891717D4}"/>
    <cellStyle name="Comma 8 5 4 6" xfId="38331" xr:uid="{BB2D50FF-9474-4384-B318-92058B6B1FA6}"/>
    <cellStyle name="Comma 8 5 4 7" xfId="20077" xr:uid="{C08766AC-ABB1-4673-9FA3-D285D494C88E}"/>
    <cellStyle name="Comma 8 5 5" xfId="1093" xr:uid="{81D85674-DE53-45B3-9898-C48E47ED1FDD}"/>
    <cellStyle name="Comma 8 5 5 2" xfId="15693" xr:uid="{7171F3C1-4FC2-4296-8B24-F0590B523C37}"/>
    <cellStyle name="Comma 8 5 5 2 2" xfId="52201" xr:uid="{E02CA5ED-53CE-40D6-9815-454DF9BC7424}"/>
    <cellStyle name="Comma 8 5 5 2 3" xfId="33947" xr:uid="{26D13B3B-9406-4B2D-99E2-3E92A63AFA99}"/>
    <cellStyle name="Comma 8 5 5 3" xfId="12043" xr:uid="{EA294149-E5E7-40AA-9050-1FBBABCF864F}"/>
    <cellStyle name="Comma 8 5 5 3 2" xfId="48551" xr:uid="{CA060420-FA9E-488D-A2C1-650E87F0147E}"/>
    <cellStyle name="Comma 8 5 5 3 3" xfId="30297" xr:uid="{C1ACB1AA-339F-4446-BE76-A411D594C666}"/>
    <cellStyle name="Comma 8 5 5 4" xfId="8393" xr:uid="{CF0EBB40-E9F8-4A71-A040-56A648AD88FF}"/>
    <cellStyle name="Comma 8 5 5 4 2" xfId="44901" xr:uid="{4527DC4C-A82E-451B-BCB3-C3F1A9A86D4D}"/>
    <cellStyle name="Comma 8 5 5 4 3" xfId="26647" xr:uid="{FA2F0E44-AB61-4BC9-895C-8A1E6F12F302}"/>
    <cellStyle name="Comma 8 5 5 5" xfId="4743" xr:uid="{D6A9AE7C-B0B1-4C76-B529-93E6414DA0E0}"/>
    <cellStyle name="Comma 8 5 5 5 2" xfId="41251" xr:uid="{4DF1B73F-9E86-41F2-B332-388C712E4D24}"/>
    <cellStyle name="Comma 8 5 5 5 3" xfId="22997" xr:uid="{9C0A7236-EC1C-473B-9ACF-8FCCD627C70D}"/>
    <cellStyle name="Comma 8 5 5 6" xfId="37601" xr:uid="{CEFEF7F8-0E2F-4B42-B0AD-D8BB76821BC3}"/>
    <cellStyle name="Comma 8 5 5 7" xfId="19347" xr:uid="{DFFA0294-29C7-4DA8-868C-B0A1A6C99F9C}"/>
    <cellStyle name="Comma 8 5 6" xfId="14963" xr:uid="{3BB4191A-DEE0-433C-913B-4D9987E54BB7}"/>
    <cellStyle name="Comma 8 5 6 2" xfId="51471" xr:uid="{21FC2584-A609-4DD4-99C9-191989B38AEE}"/>
    <cellStyle name="Comma 8 5 6 3" xfId="33217" xr:uid="{07D287E9-3BCF-4594-97BD-1D3A5720CE59}"/>
    <cellStyle name="Comma 8 5 7" xfId="11313" xr:uid="{B48E4B64-04C5-4B83-B097-383F71497285}"/>
    <cellStyle name="Comma 8 5 7 2" xfId="47821" xr:uid="{693E2DD2-2D46-4489-BEFA-CD75731DA070}"/>
    <cellStyle name="Comma 8 5 7 3" xfId="29567" xr:uid="{F4F35C3E-F5AF-46E5-9EE2-E7946470CC9A}"/>
    <cellStyle name="Comma 8 5 8" xfId="7663" xr:uid="{C50E0474-3A16-4EAC-BAC5-3E2953444E0C}"/>
    <cellStyle name="Comma 8 5 8 2" xfId="44171" xr:uid="{79F95B71-7D4A-41D0-ADBE-1733E4CA4FC3}"/>
    <cellStyle name="Comma 8 5 8 3" xfId="25917" xr:uid="{56409CCE-E1B9-4255-934A-03B77EB45F85}"/>
    <cellStyle name="Comma 8 5 9" xfId="4013" xr:uid="{D7A7DF36-2C5E-4E9E-A6D0-D82D9DCFEFC8}"/>
    <cellStyle name="Comma 8 5 9 2" xfId="40521" xr:uid="{A934DA7A-6C38-4741-8F27-480AE54568B9}"/>
    <cellStyle name="Comma 8 5 9 3" xfId="22267" xr:uid="{78DCDEFD-2F41-4782-B06E-03B578C5AFE4}"/>
    <cellStyle name="Comma 8 6" xfId="259" xr:uid="{F39AF326-1E29-4A4C-AE7E-37D7895002FE}"/>
    <cellStyle name="Comma 8 6 10" xfId="36767" xr:uid="{B585BEC4-373B-4D72-91F8-2EB42DBD13DF}"/>
    <cellStyle name="Comma 8 6 11" xfId="18513" xr:uid="{B340857F-AA95-4162-91E6-4261CA2D5FD3}"/>
    <cellStyle name="Comma 8 6 2" xfId="3179" xr:uid="{9391CBD4-51B4-4638-B9DB-794981F26671}"/>
    <cellStyle name="Comma 8 6 2 2" xfId="17779" xr:uid="{4E3D0B2C-96B5-465C-80FC-1A3C7353ECAB}"/>
    <cellStyle name="Comma 8 6 2 2 2" xfId="54287" xr:uid="{8107CDBF-208A-4465-B9A3-3E9968340C99}"/>
    <cellStyle name="Comma 8 6 2 2 3" xfId="36033" xr:uid="{8EB4ED4A-C62D-4461-BBA1-51ED064C57F0}"/>
    <cellStyle name="Comma 8 6 2 3" xfId="14129" xr:uid="{C1CAEDC5-635D-4834-9220-6B6A22C398B7}"/>
    <cellStyle name="Comma 8 6 2 3 2" xfId="50637" xr:uid="{089D011F-0C81-4A21-8D57-D40D850475D7}"/>
    <cellStyle name="Comma 8 6 2 3 3" xfId="32383" xr:uid="{E3A8857B-BCF6-48C2-BEFC-9C60B0E1055B}"/>
    <cellStyle name="Comma 8 6 2 4" xfId="10479" xr:uid="{CB532C26-9E6B-4DBE-B9A1-BD56D4483413}"/>
    <cellStyle name="Comma 8 6 2 4 2" xfId="46987" xr:uid="{B3213336-D3F7-44AC-A9CB-685822683F31}"/>
    <cellStyle name="Comma 8 6 2 4 3" xfId="28733" xr:uid="{8982582A-4CB1-4C3E-9486-BCB43F081AED}"/>
    <cellStyle name="Comma 8 6 2 5" xfId="6829" xr:uid="{77ADB4E7-031C-45D7-97F0-25B8BE61556B}"/>
    <cellStyle name="Comma 8 6 2 5 2" xfId="43337" xr:uid="{2C6BA4A3-29D1-4A7A-AE4C-B73B732A111F}"/>
    <cellStyle name="Comma 8 6 2 5 3" xfId="25083" xr:uid="{38DF298D-432B-4363-AB9A-1CAF824AFFB2}"/>
    <cellStyle name="Comma 8 6 2 6" xfId="39687" xr:uid="{D3EF3AE1-D0DD-47E3-8AEB-4FBE3CFB6795}"/>
    <cellStyle name="Comma 8 6 2 7" xfId="21433" xr:uid="{C9FE9E9E-1D02-446E-8BE8-A4BCE33B7241}"/>
    <cellStyle name="Comma 8 6 3" xfId="2449" xr:uid="{ACEA7724-8C2D-4886-865E-9D182362F99C}"/>
    <cellStyle name="Comma 8 6 3 2" xfId="17049" xr:uid="{342111BF-B763-42F6-94D8-A09DBD52EAC9}"/>
    <cellStyle name="Comma 8 6 3 2 2" xfId="53557" xr:uid="{AEA402F7-AE64-478F-A117-36B0BEA12F3E}"/>
    <cellStyle name="Comma 8 6 3 2 3" xfId="35303" xr:uid="{301A1EBD-F564-487D-AD39-65A1B8E55660}"/>
    <cellStyle name="Comma 8 6 3 3" xfId="13399" xr:uid="{F905E729-AA59-4CC1-B683-FB36BE39A2BD}"/>
    <cellStyle name="Comma 8 6 3 3 2" xfId="49907" xr:uid="{4FA4FCF3-3530-497B-8590-6A97555A9FA6}"/>
    <cellStyle name="Comma 8 6 3 3 3" xfId="31653" xr:uid="{41F6402E-196E-4B49-84BA-73566504B1C6}"/>
    <cellStyle name="Comma 8 6 3 4" xfId="9749" xr:uid="{E5F88AA7-C7AD-43C5-973F-5EAAFAF16520}"/>
    <cellStyle name="Comma 8 6 3 4 2" xfId="46257" xr:uid="{06D4D2E2-4E43-4C4E-B503-7FDB74079B62}"/>
    <cellStyle name="Comma 8 6 3 4 3" xfId="28003" xr:uid="{4661E0F2-1CE6-4220-8B5A-F2A4DF599DE8}"/>
    <cellStyle name="Comma 8 6 3 5" xfId="6099" xr:uid="{422A26D3-823D-46BD-8C35-2783EDF7B0E7}"/>
    <cellStyle name="Comma 8 6 3 5 2" xfId="42607" xr:uid="{B7DEE6E0-F9CB-49DF-8DE0-D4895C0031A0}"/>
    <cellStyle name="Comma 8 6 3 5 3" xfId="24353" xr:uid="{0562FCEE-B95C-41CD-BF1B-47BE0837E002}"/>
    <cellStyle name="Comma 8 6 3 6" xfId="38957" xr:uid="{7AC09E84-AA03-41A5-969B-21123BEC94E7}"/>
    <cellStyle name="Comma 8 6 3 7" xfId="20703" xr:uid="{D64D5236-671E-4673-941C-4A4984AA7F02}"/>
    <cellStyle name="Comma 8 6 4" xfId="1719" xr:uid="{83DACD77-62AE-4E72-A9BE-A2BE2323574F}"/>
    <cellStyle name="Comma 8 6 4 2" xfId="16319" xr:uid="{092847A0-06F7-4562-BE73-9F073C7C9236}"/>
    <cellStyle name="Comma 8 6 4 2 2" xfId="52827" xr:uid="{F082C36C-D404-4E26-8827-734DDA5D073F}"/>
    <cellStyle name="Comma 8 6 4 2 3" xfId="34573" xr:uid="{1031763D-C18D-426F-A272-BD0E86551D64}"/>
    <cellStyle name="Comma 8 6 4 3" xfId="12669" xr:uid="{418FF93B-5D92-400F-B95D-1A70ADD67C35}"/>
    <cellStyle name="Comma 8 6 4 3 2" xfId="49177" xr:uid="{C8DECAC1-7304-4FCD-B5ED-3D5FF363C2F1}"/>
    <cellStyle name="Comma 8 6 4 3 3" xfId="30923" xr:uid="{298D1A7A-C57A-422F-8EC8-C08E40822904}"/>
    <cellStyle name="Comma 8 6 4 4" xfId="9019" xr:uid="{7679EDAB-CD8F-4F33-AE20-BEB52D71E4CD}"/>
    <cellStyle name="Comma 8 6 4 4 2" xfId="45527" xr:uid="{76ECA383-6497-4712-A8EF-3DFCDE4AC3C0}"/>
    <cellStyle name="Comma 8 6 4 4 3" xfId="27273" xr:uid="{33BCF596-5A72-4C80-BA17-4292FF60142D}"/>
    <cellStyle name="Comma 8 6 4 5" xfId="5369" xr:uid="{1C20B1B8-9F0C-47A9-ACB5-074B7C781942}"/>
    <cellStyle name="Comma 8 6 4 5 2" xfId="41877" xr:uid="{F74AD4DC-A3A8-4E0B-84F4-C1546699044D}"/>
    <cellStyle name="Comma 8 6 4 5 3" xfId="23623" xr:uid="{01E9F5E1-B46A-44CB-AB84-CF1B59A11EF8}"/>
    <cellStyle name="Comma 8 6 4 6" xfId="38227" xr:uid="{127BBE05-4D78-4F76-B90C-C3C22B187A4B}"/>
    <cellStyle name="Comma 8 6 4 7" xfId="19973" xr:uid="{23601984-7D10-4C8D-8FBA-374386327A78}"/>
    <cellStyle name="Comma 8 6 5" xfId="989" xr:uid="{B2F858CD-F2CD-48AD-A2C0-7E040FFC37BB}"/>
    <cellStyle name="Comma 8 6 5 2" xfId="15589" xr:uid="{98A36BCD-FF34-4F2C-8F00-51080928B1F9}"/>
    <cellStyle name="Comma 8 6 5 2 2" xfId="52097" xr:uid="{AF0FEC6D-FE2A-4F30-97CD-0B807750DA7C}"/>
    <cellStyle name="Comma 8 6 5 2 3" xfId="33843" xr:uid="{FF7E27D5-E574-4F79-952C-1B34CB625EE8}"/>
    <cellStyle name="Comma 8 6 5 3" xfId="11939" xr:uid="{5694FE48-5FA3-4277-A58D-AE393722E4A3}"/>
    <cellStyle name="Comma 8 6 5 3 2" xfId="48447" xr:uid="{BAAA83D1-0117-4D19-9EC7-D501609D1231}"/>
    <cellStyle name="Comma 8 6 5 3 3" xfId="30193" xr:uid="{0B16FF93-D075-4F93-8901-EB6F2AC3601F}"/>
    <cellStyle name="Comma 8 6 5 4" xfId="8289" xr:uid="{1E8B741F-5036-4984-A2D1-047A24D63DE2}"/>
    <cellStyle name="Comma 8 6 5 4 2" xfId="44797" xr:uid="{ED85DE5C-CA00-402A-BE09-AED56AAA64D2}"/>
    <cellStyle name="Comma 8 6 5 4 3" xfId="26543" xr:uid="{81373A08-1B7A-437E-A791-0A106374AA78}"/>
    <cellStyle name="Comma 8 6 5 5" xfId="4639" xr:uid="{FCE9575D-6160-47B7-99CA-ED3F7BA7521B}"/>
    <cellStyle name="Comma 8 6 5 5 2" xfId="41147" xr:uid="{FDF81710-5473-4454-AD84-7FA3165F85DC}"/>
    <cellStyle name="Comma 8 6 5 5 3" xfId="22893" xr:uid="{D01C3766-77C2-4B2B-890F-F54999E0B670}"/>
    <cellStyle name="Comma 8 6 5 6" xfId="37497" xr:uid="{5EF14070-5E89-414E-AD65-128686669574}"/>
    <cellStyle name="Comma 8 6 5 7" xfId="19243" xr:uid="{ABB637CD-45C6-45BC-8548-1BD4C86F7973}"/>
    <cellStyle name="Comma 8 6 6" xfId="14859" xr:uid="{CC0D8558-7716-4DC6-BE31-D618C6C78955}"/>
    <cellStyle name="Comma 8 6 6 2" xfId="51367" xr:uid="{FC464622-8AE8-4B7D-A31C-5F30220716B5}"/>
    <cellStyle name="Comma 8 6 6 3" xfId="33113" xr:uid="{17CF821E-5789-4051-9065-5B2A061F3495}"/>
    <cellStyle name="Comma 8 6 7" xfId="11209" xr:uid="{D412F9E0-22B3-45F3-9554-7B064CF8FE19}"/>
    <cellStyle name="Comma 8 6 7 2" xfId="47717" xr:uid="{43FCE716-6FCE-4AC0-ABC9-CF74322D8F23}"/>
    <cellStyle name="Comma 8 6 7 3" xfId="29463" xr:uid="{DB0C752E-5309-40ED-AED4-A03A5F19674B}"/>
    <cellStyle name="Comma 8 6 8" xfId="7559" xr:uid="{1183239B-E5B5-4FD5-B71A-3BE136131112}"/>
    <cellStyle name="Comma 8 6 8 2" xfId="44067" xr:uid="{F05B69E3-9428-45D5-B478-3E167F93B567}"/>
    <cellStyle name="Comma 8 6 8 3" xfId="25813" xr:uid="{D2B5B0A8-3902-48C2-8C0F-ACBA9776BD82}"/>
    <cellStyle name="Comma 8 6 9" xfId="3909" xr:uid="{360EE654-8537-4536-BEFC-BBF30B265B07}"/>
    <cellStyle name="Comma 8 6 9 2" xfId="40417" xr:uid="{0677FD0A-A55A-456F-B1D2-DAEC720C3172}"/>
    <cellStyle name="Comma 8 6 9 3" xfId="22163" xr:uid="{427BEF19-23C5-4C4D-9EC4-614904422FAA}"/>
    <cellStyle name="Comma 8 7" xfId="155" xr:uid="{54DC9CEF-581F-44B6-97F8-B11068E35054}"/>
    <cellStyle name="Comma 8 7 10" xfId="36663" xr:uid="{CB66D4D2-E7A6-430A-AACD-F03C2DF40F57}"/>
    <cellStyle name="Comma 8 7 11" xfId="18409" xr:uid="{8AD866F5-FBEF-43AC-A4BE-19EA353B969C}"/>
    <cellStyle name="Comma 8 7 2" xfId="3075" xr:uid="{F11A33EB-3985-41EA-87EA-FD119317B4DA}"/>
    <cellStyle name="Comma 8 7 2 2" xfId="17675" xr:uid="{45B01887-DEE7-4117-8C0D-56AB966330BE}"/>
    <cellStyle name="Comma 8 7 2 2 2" xfId="54183" xr:uid="{F215E02C-48B2-4EC4-B1F8-8E4627249301}"/>
    <cellStyle name="Comma 8 7 2 2 3" xfId="35929" xr:uid="{4106D3BD-D6A7-4573-97C4-CC2D24455848}"/>
    <cellStyle name="Comma 8 7 2 3" xfId="14025" xr:uid="{AE887B6B-57F8-48DE-888D-6AC3CABBB4D3}"/>
    <cellStyle name="Comma 8 7 2 3 2" xfId="50533" xr:uid="{CF304B7E-1D2F-499F-BB2E-A75E0AF69C7B}"/>
    <cellStyle name="Comma 8 7 2 3 3" xfId="32279" xr:uid="{4B49972D-4B02-4346-B480-05BF006F48CF}"/>
    <cellStyle name="Comma 8 7 2 4" xfId="10375" xr:uid="{B5D6B025-F9F0-4900-83CE-BEE8B4B482AC}"/>
    <cellStyle name="Comma 8 7 2 4 2" xfId="46883" xr:uid="{89FAE9D1-B18D-4B3E-8AA2-69A0EE150FA3}"/>
    <cellStyle name="Comma 8 7 2 4 3" xfId="28629" xr:uid="{2F34A252-67F2-48D7-A085-8A6E375B7E20}"/>
    <cellStyle name="Comma 8 7 2 5" xfId="6725" xr:uid="{1B9ED5C9-F7A8-4662-A1CA-EAD89E13227A}"/>
    <cellStyle name="Comma 8 7 2 5 2" xfId="43233" xr:uid="{134CBCF2-5E5B-4BF4-A8A5-0EACD5DE7C61}"/>
    <cellStyle name="Comma 8 7 2 5 3" xfId="24979" xr:uid="{AB351467-86C4-41E5-9002-B9B3EA9454D2}"/>
    <cellStyle name="Comma 8 7 2 6" xfId="39583" xr:uid="{DC708642-6081-46CB-BE41-F5CE978262DC}"/>
    <cellStyle name="Comma 8 7 2 7" xfId="21329" xr:uid="{756253CD-E87D-4930-908E-7007AD806358}"/>
    <cellStyle name="Comma 8 7 3" xfId="2345" xr:uid="{84F2D13F-A20F-4D63-9DDA-9EC525222214}"/>
    <cellStyle name="Comma 8 7 3 2" xfId="16945" xr:uid="{B8844782-666B-44B1-9A73-6A65ECBB5790}"/>
    <cellStyle name="Comma 8 7 3 2 2" xfId="53453" xr:uid="{E9CB48CA-C213-43EB-B0A1-06CAE265095B}"/>
    <cellStyle name="Comma 8 7 3 2 3" xfId="35199" xr:uid="{CCB1DEA5-3754-4388-9D46-8F29EA293DF0}"/>
    <cellStyle name="Comma 8 7 3 3" xfId="13295" xr:uid="{4F5A8709-46BB-4A98-A414-23FBE62F4C75}"/>
    <cellStyle name="Comma 8 7 3 3 2" xfId="49803" xr:uid="{72F0829E-A7E5-44C8-9591-B07382B3DCC9}"/>
    <cellStyle name="Comma 8 7 3 3 3" xfId="31549" xr:uid="{3B55F643-3359-44A7-8043-E4FEFE53A118}"/>
    <cellStyle name="Comma 8 7 3 4" xfId="9645" xr:uid="{406E63BF-E56C-4F8C-8746-BC474E4616ED}"/>
    <cellStyle name="Comma 8 7 3 4 2" xfId="46153" xr:uid="{FB38EF8C-53DF-4494-8480-FBCED6DB8EFA}"/>
    <cellStyle name="Comma 8 7 3 4 3" xfId="27899" xr:uid="{28A2FD54-7FBC-4858-AA19-FC3F054004B0}"/>
    <cellStyle name="Comma 8 7 3 5" xfId="5995" xr:uid="{5BB3E7F9-D142-41F3-9951-33F174A032D0}"/>
    <cellStyle name="Comma 8 7 3 5 2" xfId="42503" xr:uid="{25771E14-2127-4E20-B87E-82768EA8367B}"/>
    <cellStyle name="Comma 8 7 3 5 3" xfId="24249" xr:uid="{B9732DA5-5581-494F-899F-9C653E12F0A2}"/>
    <cellStyle name="Comma 8 7 3 6" xfId="38853" xr:uid="{0D6735A8-1EE3-4851-AFA2-BC7469EE0D80}"/>
    <cellStyle name="Comma 8 7 3 7" xfId="20599" xr:uid="{D1AD44A5-C11E-48CE-A639-67207288B002}"/>
    <cellStyle name="Comma 8 7 4" xfId="1615" xr:uid="{FF115FC3-1000-4BFB-A306-439B7CDC3B30}"/>
    <cellStyle name="Comma 8 7 4 2" xfId="16215" xr:uid="{B7C2BD9D-F820-4E80-9F7F-31FC06C3AECA}"/>
    <cellStyle name="Comma 8 7 4 2 2" xfId="52723" xr:uid="{8C773652-A484-40AA-8170-6C8AB8DE5976}"/>
    <cellStyle name="Comma 8 7 4 2 3" xfId="34469" xr:uid="{D9593F1B-FA93-4BAF-8CC9-90291809F4E7}"/>
    <cellStyle name="Comma 8 7 4 3" xfId="12565" xr:uid="{B689CE15-A007-4C60-A1C5-0C864FCBCA96}"/>
    <cellStyle name="Comma 8 7 4 3 2" xfId="49073" xr:uid="{54F99D88-A349-49E0-9DF0-7567B32B6F2B}"/>
    <cellStyle name="Comma 8 7 4 3 3" xfId="30819" xr:uid="{D7AA739A-3C5D-4E2B-8AD2-CD0F0BBE1FC5}"/>
    <cellStyle name="Comma 8 7 4 4" xfId="8915" xr:uid="{F9DE7F7D-0D1C-4C36-9F5F-937C062F4906}"/>
    <cellStyle name="Comma 8 7 4 4 2" xfId="45423" xr:uid="{2743CF0E-0FE8-4197-AFAF-25358C95439C}"/>
    <cellStyle name="Comma 8 7 4 4 3" xfId="27169" xr:uid="{930299F8-BF54-4C17-A222-455DF26D723B}"/>
    <cellStyle name="Comma 8 7 4 5" xfId="5265" xr:uid="{CC0D4E05-4DEB-47F4-BB89-D1A65DD2703C}"/>
    <cellStyle name="Comma 8 7 4 5 2" xfId="41773" xr:uid="{719A0BDF-26ED-4660-9C72-DF45724FAD6B}"/>
    <cellStyle name="Comma 8 7 4 5 3" xfId="23519" xr:uid="{9913E188-C2B9-48DA-B3D2-CB8ECF3F843F}"/>
    <cellStyle name="Comma 8 7 4 6" xfId="38123" xr:uid="{1075D4DA-7816-4473-A4F8-AB56A94ED5CF}"/>
    <cellStyle name="Comma 8 7 4 7" xfId="19869" xr:uid="{33F33B43-095A-4813-A6DA-A4C32CC2C44D}"/>
    <cellStyle name="Comma 8 7 5" xfId="885" xr:uid="{20F1621E-10D0-48EE-97B4-ECB1AC59E6E0}"/>
    <cellStyle name="Comma 8 7 5 2" xfId="15485" xr:uid="{CB424172-53E3-4F73-BC3B-D57F70F03C08}"/>
    <cellStyle name="Comma 8 7 5 2 2" xfId="51993" xr:uid="{8AF30E13-DA73-4113-AF32-D69B2EB5A384}"/>
    <cellStyle name="Comma 8 7 5 2 3" xfId="33739" xr:uid="{CAF98F45-22C3-4F29-B7F0-A50D4F5E1E44}"/>
    <cellStyle name="Comma 8 7 5 3" xfId="11835" xr:uid="{427379E5-DF44-4143-AC6A-C504949F5B6C}"/>
    <cellStyle name="Comma 8 7 5 3 2" xfId="48343" xr:uid="{768F9778-C402-4054-BCF8-29012AA3A07F}"/>
    <cellStyle name="Comma 8 7 5 3 3" xfId="30089" xr:uid="{A1C8799C-22B1-4ABD-9FEF-BA23E9F87FD4}"/>
    <cellStyle name="Comma 8 7 5 4" xfId="8185" xr:uid="{F80AFED6-333A-436A-BDAF-EEED67D59F06}"/>
    <cellStyle name="Comma 8 7 5 4 2" xfId="44693" xr:uid="{AB14B581-C8F0-476B-BDE1-01EB37511980}"/>
    <cellStyle name="Comma 8 7 5 4 3" xfId="26439" xr:uid="{A70BB7C2-4EFD-4B66-BD3E-69DEA4D870EC}"/>
    <cellStyle name="Comma 8 7 5 5" xfId="4535" xr:uid="{5DFA5BA8-075E-48D6-90BB-C634F51B02A5}"/>
    <cellStyle name="Comma 8 7 5 5 2" xfId="41043" xr:uid="{03FD2346-2C5A-42C2-BEF6-283CED8DC9F5}"/>
    <cellStyle name="Comma 8 7 5 5 3" xfId="22789" xr:uid="{E2BB8017-D179-4D0C-871F-67E27CAD2551}"/>
    <cellStyle name="Comma 8 7 5 6" xfId="37393" xr:uid="{417345EF-DD40-4544-AF46-39BA3235BBB9}"/>
    <cellStyle name="Comma 8 7 5 7" xfId="19139" xr:uid="{1E49E260-42B8-49D8-84C1-BEED69067584}"/>
    <cellStyle name="Comma 8 7 6" xfId="14755" xr:uid="{ADD98672-D776-423D-97C8-BA4E650CCAF0}"/>
    <cellStyle name="Comma 8 7 6 2" xfId="51263" xr:uid="{A8C6C3FA-B09A-4807-98B9-933927B4CE99}"/>
    <cellStyle name="Comma 8 7 6 3" xfId="33009" xr:uid="{32399FC3-1D59-4798-9FA0-4982C1327F2B}"/>
    <cellStyle name="Comma 8 7 7" xfId="11105" xr:uid="{DF0FE251-2580-4AD4-AAE4-2B7E6CEA81B0}"/>
    <cellStyle name="Comma 8 7 7 2" xfId="47613" xr:uid="{47CC9733-4CC2-4565-A115-FE11740580CB}"/>
    <cellStyle name="Comma 8 7 7 3" xfId="29359" xr:uid="{F066FC48-657A-4D8B-9635-D470F70AB8FE}"/>
    <cellStyle name="Comma 8 7 8" xfId="7455" xr:uid="{F7F97973-51D9-4F02-9B4A-6A923ADC927E}"/>
    <cellStyle name="Comma 8 7 8 2" xfId="43963" xr:uid="{43127431-49E7-4B87-88A2-0164A468EEAE}"/>
    <cellStyle name="Comma 8 7 8 3" xfId="25709" xr:uid="{54DCF7AA-A4EB-4564-ADDF-33906B32C3F7}"/>
    <cellStyle name="Comma 8 7 9" xfId="3805" xr:uid="{B4669DCD-848A-43C6-86BE-416AE7C4F35C}"/>
    <cellStyle name="Comma 8 7 9 2" xfId="40313" xr:uid="{5BCF4F23-2529-4A71-A646-1E69C7AB1844}"/>
    <cellStyle name="Comma 8 7 9 3" xfId="22059" xr:uid="{62A040E6-B76F-423E-8E3B-BF9714A13E32}"/>
    <cellStyle name="Comma 8 8" xfId="2971" xr:uid="{3628DDE8-EB28-49D0-95BA-B827F8DEE849}"/>
    <cellStyle name="Comma 8 8 2" xfId="17571" xr:uid="{44DFD6E1-5708-4AA3-B9FA-A97CE626A562}"/>
    <cellStyle name="Comma 8 8 2 2" xfId="54079" xr:uid="{CEF2ADFE-1060-449D-B8B9-CF4E4341140E}"/>
    <cellStyle name="Comma 8 8 2 3" xfId="35825" xr:uid="{A0C1C9FC-F4B5-4475-88E5-BBA6882751C4}"/>
    <cellStyle name="Comma 8 8 3" xfId="13921" xr:uid="{236C1078-4C7A-414D-B3D4-759AE29B5E94}"/>
    <cellStyle name="Comma 8 8 3 2" xfId="50429" xr:uid="{77B20E3F-1AD1-466E-9F40-0FBBBDD27616}"/>
    <cellStyle name="Comma 8 8 3 3" xfId="32175" xr:uid="{12ED41E8-4ED6-4C23-AC2A-871C63E2BCC6}"/>
    <cellStyle name="Comma 8 8 4" xfId="10271" xr:uid="{74072359-3437-428D-9EB8-D5203AB13A84}"/>
    <cellStyle name="Comma 8 8 4 2" xfId="46779" xr:uid="{C946E3F2-6E54-4C14-8541-6DF540955385}"/>
    <cellStyle name="Comma 8 8 4 3" xfId="28525" xr:uid="{F67637F6-D804-4097-9F99-CBBFC0992D6D}"/>
    <cellStyle name="Comma 8 8 5" xfId="6621" xr:uid="{CBFDE099-3BEC-4590-BCB5-EF420EEC831F}"/>
    <cellStyle name="Comma 8 8 5 2" xfId="43129" xr:uid="{E06071A3-71D6-4EFE-8651-D5E168D9CE3A}"/>
    <cellStyle name="Comma 8 8 5 3" xfId="24875" xr:uid="{14FD0CD9-4174-456B-ACA2-B6EE94140444}"/>
    <cellStyle name="Comma 8 8 6" xfId="39479" xr:uid="{E3F2058F-5EAF-4828-B0FC-F849474013D4}"/>
    <cellStyle name="Comma 8 8 7" xfId="21225" xr:uid="{D54DA5FF-9FA5-4325-95EB-BFBA8B451D12}"/>
    <cellStyle name="Comma 8 9" xfId="2241" xr:uid="{79C4A0D6-6A90-402D-A6D0-8955ECC41B14}"/>
    <cellStyle name="Comma 8 9 2" xfId="16841" xr:uid="{3218F2B5-FBAC-4BB9-967B-04EECE37D4B2}"/>
    <cellStyle name="Comma 8 9 2 2" xfId="53349" xr:uid="{BB0B0F87-E5E2-44FB-8FB1-D3F6011522CB}"/>
    <cellStyle name="Comma 8 9 2 3" xfId="35095" xr:uid="{0BF9DE29-E5C8-4339-84C6-33F3A4C132DE}"/>
    <cellStyle name="Comma 8 9 3" xfId="13191" xr:uid="{0C6A4A23-13C9-4C5E-A1EC-920C8FB2676D}"/>
    <cellStyle name="Comma 8 9 3 2" xfId="49699" xr:uid="{A68C0C60-FD5C-4C2C-B0DC-D8AC532B0402}"/>
    <cellStyle name="Comma 8 9 3 3" xfId="31445" xr:uid="{B732BE07-E581-4BFE-9F4F-ACC6C56084A4}"/>
    <cellStyle name="Comma 8 9 4" xfId="9541" xr:uid="{92F2786D-8FBB-4EB6-A332-B12BECDB49F3}"/>
    <cellStyle name="Comma 8 9 4 2" xfId="46049" xr:uid="{B84C2D2E-F3D1-4D90-A399-0DF33C7D8E52}"/>
    <cellStyle name="Comma 8 9 4 3" xfId="27795" xr:uid="{84EFE776-DC70-477C-8FA4-0E9E876132AD}"/>
    <cellStyle name="Comma 8 9 5" xfId="5891" xr:uid="{7253E06E-E3C2-470F-80B6-9107B37F4BC9}"/>
    <cellStyle name="Comma 8 9 5 2" xfId="42399" xr:uid="{7EBF4017-9859-406A-9D76-60CB7A5072D4}"/>
    <cellStyle name="Comma 8 9 5 3" xfId="24145" xr:uid="{777129A0-5CE0-4E83-9D9B-9F76F120E2BF}"/>
    <cellStyle name="Comma 8 9 6" xfId="38749" xr:uid="{738927C4-3076-486A-8196-3D83113BC169}"/>
    <cellStyle name="Comma 8 9 7" xfId="20495" xr:uid="{F574027B-F781-4442-B9ED-3299A03E7DDA}"/>
    <cellStyle name="Comma 9" xfId="116" xr:uid="{30489AD0-FCA7-4473-9790-791A281C473B}"/>
    <cellStyle name="Comma 9 10" xfId="1575" xr:uid="{3355EE4A-038A-4106-A26B-D27393FF20AB}"/>
    <cellStyle name="Comma 9 10 2" xfId="16175" xr:uid="{4DA230AD-043C-440E-A2A5-357DBCC10C07}"/>
    <cellStyle name="Comma 9 10 2 2" xfId="52683" xr:uid="{9DEA3523-6C15-4B5F-A60C-13BFBC657A5D}"/>
    <cellStyle name="Comma 9 10 2 3" xfId="34429" xr:uid="{A47969F7-90C2-40AF-8CCD-D95584E59E04}"/>
    <cellStyle name="Comma 9 10 3" xfId="12525" xr:uid="{A96CE88D-533D-46EA-8250-094CDA7B76C6}"/>
    <cellStyle name="Comma 9 10 3 2" xfId="49033" xr:uid="{B539C76D-0165-4ABB-8CBF-F88142F3611F}"/>
    <cellStyle name="Comma 9 10 3 3" xfId="30779" xr:uid="{6248F043-67EE-4F81-BE65-4D7337C6BFDC}"/>
    <cellStyle name="Comma 9 10 4" xfId="8875" xr:uid="{D6EAC05F-7FB5-4B0E-A93E-7D1F7A4F088C}"/>
    <cellStyle name="Comma 9 10 4 2" xfId="45383" xr:uid="{B038F2E8-25E4-44FF-B870-DD8B9FB8E43E}"/>
    <cellStyle name="Comma 9 10 4 3" xfId="27129" xr:uid="{B7BAD5D3-34C5-4DAD-8B5B-4734CF6DE746}"/>
    <cellStyle name="Comma 9 10 5" xfId="5225" xr:uid="{1EBBE492-D34F-4CC8-85FB-035AE1CEDD78}"/>
    <cellStyle name="Comma 9 10 5 2" xfId="41733" xr:uid="{C607FD8F-95C2-42DA-AB9A-62CFB5598CB3}"/>
    <cellStyle name="Comma 9 10 5 3" xfId="23479" xr:uid="{89D5498A-DEA9-40AF-96FB-3D229DC68902}"/>
    <cellStyle name="Comma 9 10 6" xfId="38083" xr:uid="{C26A475B-AB25-4F6A-AF0A-8A940D117688}"/>
    <cellStyle name="Comma 9 10 7" xfId="19829" xr:uid="{A60CED92-FCE6-4184-B6FA-5CE7D6C799A7}"/>
    <cellStyle name="Comma 9 11" xfId="845" xr:uid="{CFE5CFEE-6F31-40AE-80AC-933D7F2378CE}"/>
    <cellStyle name="Comma 9 11 2" xfId="15445" xr:uid="{4F02043B-E825-4E59-8BDF-CE62E594EB1B}"/>
    <cellStyle name="Comma 9 11 2 2" xfId="51953" xr:uid="{20060EF0-F9B2-4606-B26F-E61D2FF406B4}"/>
    <cellStyle name="Comma 9 11 2 3" xfId="33699" xr:uid="{CB837F3B-3BFA-4DD1-816A-9E64F5792E7D}"/>
    <cellStyle name="Comma 9 11 3" xfId="11795" xr:uid="{FCAD61F9-DF8E-434F-8404-95D8F36DDD23}"/>
    <cellStyle name="Comma 9 11 3 2" xfId="48303" xr:uid="{9F57B253-494F-4CB6-8384-E00825FE7F8B}"/>
    <cellStyle name="Comma 9 11 3 3" xfId="30049" xr:uid="{8BCB7ECF-6529-4FF0-903B-9F6DAD0E886C}"/>
    <cellStyle name="Comma 9 11 4" xfId="8145" xr:uid="{70C7E4AE-C2E0-4072-BA9D-36BCA490B4E2}"/>
    <cellStyle name="Comma 9 11 4 2" xfId="44653" xr:uid="{D761FAF5-4E2A-4D7B-9F37-7C908AAEACB0}"/>
    <cellStyle name="Comma 9 11 4 3" xfId="26399" xr:uid="{7A41930C-BB51-435D-BB08-0110AACE2A84}"/>
    <cellStyle name="Comma 9 11 5" xfId="4495" xr:uid="{F0E88A84-D0B1-4CFA-9C14-DFB3DB899D48}"/>
    <cellStyle name="Comma 9 11 5 2" xfId="41003" xr:uid="{B4B98ACC-7A34-4466-9B87-35728D1780D8}"/>
    <cellStyle name="Comma 9 11 5 3" xfId="22749" xr:uid="{A97D3AE0-D512-400C-85E6-D5F355289185}"/>
    <cellStyle name="Comma 9 11 6" xfId="37353" xr:uid="{5A099E8F-F26E-4453-BB6A-BA27FCAC9BFF}"/>
    <cellStyle name="Comma 9 11 7" xfId="19099" xr:uid="{4E734F26-B636-4074-9F25-06CE9A62EA36}"/>
    <cellStyle name="Comma 9 12" xfId="14715" xr:uid="{A64ABCCB-6169-4681-9667-2ACC4647AB69}"/>
    <cellStyle name="Comma 9 12 2" xfId="51223" xr:uid="{093B10EE-6BC1-4041-B2DC-6B2110FD7DB2}"/>
    <cellStyle name="Comma 9 12 3" xfId="32969" xr:uid="{9D4A676D-62BF-4D6F-91E0-9EE7B77884DB}"/>
    <cellStyle name="Comma 9 13" xfId="11065" xr:uid="{6FBA79E8-C91F-4C44-93E6-D1D4C58C38A2}"/>
    <cellStyle name="Comma 9 13 2" xfId="47573" xr:uid="{0E064553-DD9D-441B-B065-9C98CAB7B199}"/>
    <cellStyle name="Comma 9 13 3" xfId="29319" xr:uid="{8ED3571B-D42C-4DB2-B80C-1BA054BDC1B4}"/>
    <cellStyle name="Comma 9 14" xfId="7415" xr:uid="{C552B151-DC86-4E33-BBDA-2792E6E92578}"/>
    <cellStyle name="Comma 9 14 2" xfId="43923" xr:uid="{FAB04244-C825-411B-89C6-D9404CF7DDF9}"/>
    <cellStyle name="Comma 9 14 3" xfId="25669" xr:uid="{9017D924-8852-4792-B0E2-6E7ADBE7807A}"/>
    <cellStyle name="Comma 9 15" xfId="3765" xr:uid="{5CF5F233-739E-4C8F-96A5-FC7809B2BC02}"/>
    <cellStyle name="Comma 9 15 2" xfId="40273" xr:uid="{B5FBC63C-A6DD-4760-8F00-D4AB0944043F}"/>
    <cellStyle name="Comma 9 15 3" xfId="22019" xr:uid="{A8B34525-2EFA-4ABC-BFCA-E410ECD1DCDB}"/>
    <cellStyle name="Comma 9 16" xfId="36623" xr:uid="{32D010A9-4273-478A-8A91-8810AD116E9F}"/>
    <cellStyle name="Comma 9 17" xfId="18369" xr:uid="{12792661-E723-4E7B-9896-811ACD003438}"/>
    <cellStyle name="Comma 9 2" xfId="739" xr:uid="{DB0509F2-67E3-4D65-9799-B2EB23EC4EC0}"/>
    <cellStyle name="Comma 9 2 10" xfId="37247" xr:uid="{C368D5BF-BB68-4E7A-A91B-89648C1594F1}"/>
    <cellStyle name="Comma 9 2 11" xfId="18993" xr:uid="{5FFC4611-5652-4CC1-A7E3-180A5F903A6D}"/>
    <cellStyle name="Comma 9 2 2" xfId="3659" xr:uid="{CC0A9F1C-478B-49A0-980F-49F57B1A1C99}"/>
    <cellStyle name="Comma 9 2 2 2" xfId="18259" xr:uid="{106DC17D-59BA-45A4-A6E5-332D2353E4F1}"/>
    <cellStyle name="Comma 9 2 2 2 2" xfId="54767" xr:uid="{7C74724B-7DBC-4470-BB48-01DB219C96FF}"/>
    <cellStyle name="Comma 9 2 2 2 3" xfId="36513" xr:uid="{DCA3D2BE-1FD8-4966-A716-121C8875D823}"/>
    <cellStyle name="Comma 9 2 2 3" xfId="14609" xr:uid="{E0215823-B6D7-4E49-9F54-59476A5415F2}"/>
    <cellStyle name="Comma 9 2 2 3 2" xfId="51117" xr:uid="{409F4843-619C-408E-90DB-85B35025761D}"/>
    <cellStyle name="Comma 9 2 2 3 3" xfId="32863" xr:uid="{91DD5BE1-0455-45C2-8699-CAD511753947}"/>
    <cellStyle name="Comma 9 2 2 4" xfId="10959" xr:uid="{12DE2722-BEB1-4755-8ED9-42DBD29952A0}"/>
    <cellStyle name="Comma 9 2 2 4 2" xfId="47467" xr:uid="{76FCB07F-52A8-4920-9612-FCE9CFD65D59}"/>
    <cellStyle name="Comma 9 2 2 4 3" xfId="29213" xr:uid="{2E5E1FE0-4DA0-49F2-972D-057F8037577A}"/>
    <cellStyle name="Comma 9 2 2 5" xfId="7309" xr:uid="{A089ADEE-10B8-40AC-874F-2237A0F0548D}"/>
    <cellStyle name="Comma 9 2 2 5 2" xfId="43817" xr:uid="{18A15F87-75B3-40DA-82BC-AC0CBE7A00B9}"/>
    <cellStyle name="Comma 9 2 2 5 3" xfId="25563" xr:uid="{319AAC37-C274-429D-95C8-B305E3E0604B}"/>
    <cellStyle name="Comma 9 2 2 6" xfId="40167" xr:uid="{9830AD5E-C86A-4453-996F-BE5A714A46D9}"/>
    <cellStyle name="Comma 9 2 2 7" xfId="21913" xr:uid="{21904FFD-1E27-4DC9-AF32-4D71218EF0B7}"/>
    <cellStyle name="Comma 9 2 3" xfId="2929" xr:uid="{1DDF8CDD-E591-410D-A9CA-58E86FA30AC4}"/>
    <cellStyle name="Comma 9 2 3 2" xfId="17529" xr:uid="{28921CC2-2721-41FC-8D02-7477FABC6D81}"/>
    <cellStyle name="Comma 9 2 3 2 2" xfId="54037" xr:uid="{2CD0047C-5632-4CC3-B9C4-AA222CBF9704}"/>
    <cellStyle name="Comma 9 2 3 2 3" xfId="35783" xr:uid="{4E7723DA-0847-4833-B294-F12F2C906C48}"/>
    <cellStyle name="Comma 9 2 3 3" xfId="13879" xr:uid="{1BF3783B-5625-4262-BD0A-FC2431C38C31}"/>
    <cellStyle name="Comma 9 2 3 3 2" xfId="50387" xr:uid="{DCF19599-5D19-41CF-BE3C-63B1871DEAB8}"/>
    <cellStyle name="Comma 9 2 3 3 3" xfId="32133" xr:uid="{4BBC1250-5735-44F7-B297-DE85082219DA}"/>
    <cellStyle name="Comma 9 2 3 4" xfId="10229" xr:uid="{C2F7A929-4269-4E19-A44B-015D64FEFDA3}"/>
    <cellStyle name="Comma 9 2 3 4 2" xfId="46737" xr:uid="{38E9E1FF-1C56-4729-8702-23D26D672BF7}"/>
    <cellStyle name="Comma 9 2 3 4 3" xfId="28483" xr:uid="{A88D8429-C49B-417C-89E6-148E6B1E8715}"/>
    <cellStyle name="Comma 9 2 3 5" xfId="6579" xr:uid="{67E3A466-0A69-4D25-8BA3-7A66D033E30D}"/>
    <cellStyle name="Comma 9 2 3 5 2" xfId="43087" xr:uid="{DD6A687B-96CF-4B49-909F-8E8070AA954D}"/>
    <cellStyle name="Comma 9 2 3 5 3" xfId="24833" xr:uid="{30154ECE-35E7-4DA4-9E7C-2D7D451F47D0}"/>
    <cellStyle name="Comma 9 2 3 6" xfId="39437" xr:uid="{DC4C8504-B2ED-47C2-9C9A-23858D554191}"/>
    <cellStyle name="Comma 9 2 3 7" xfId="21183" xr:uid="{83796E8D-BF07-4BA5-9065-44D4F85DD22F}"/>
    <cellStyle name="Comma 9 2 4" xfId="2199" xr:uid="{9CE72E48-98B2-46D4-BE45-0FD89E659A44}"/>
    <cellStyle name="Comma 9 2 4 2" xfId="16799" xr:uid="{19790B39-D589-4553-BDA8-555C66B88A6F}"/>
    <cellStyle name="Comma 9 2 4 2 2" xfId="53307" xr:uid="{F43AC05F-8B44-4CA3-B96D-9E7C5403AA30}"/>
    <cellStyle name="Comma 9 2 4 2 3" xfId="35053" xr:uid="{B4AC5301-2B4D-4B61-BCD3-436C128184C4}"/>
    <cellStyle name="Comma 9 2 4 3" xfId="13149" xr:uid="{E1D022D9-18EA-4733-ADA0-C32AE6F4C46A}"/>
    <cellStyle name="Comma 9 2 4 3 2" xfId="49657" xr:uid="{A90C269D-F898-41FA-9CEF-2F90C38DE402}"/>
    <cellStyle name="Comma 9 2 4 3 3" xfId="31403" xr:uid="{6FC04DE6-576D-4AD9-8D00-0C02555F55EF}"/>
    <cellStyle name="Comma 9 2 4 4" xfId="9499" xr:uid="{838F52A6-B416-49A9-B44A-E7246F1F31F4}"/>
    <cellStyle name="Comma 9 2 4 4 2" xfId="46007" xr:uid="{88C00754-08DC-49D4-B858-9599C5B89EC6}"/>
    <cellStyle name="Comma 9 2 4 4 3" xfId="27753" xr:uid="{C1CC7CA4-5ECC-4433-9E09-1ED287008869}"/>
    <cellStyle name="Comma 9 2 4 5" xfId="5849" xr:uid="{6175CBAC-4D04-46AF-955C-64764FE8D48B}"/>
    <cellStyle name="Comma 9 2 4 5 2" xfId="42357" xr:uid="{0872B322-DD03-457D-885C-418027B709C5}"/>
    <cellStyle name="Comma 9 2 4 5 3" xfId="24103" xr:uid="{F115E973-0139-4CF7-BFCE-FFF7047D96AF}"/>
    <cellStyle name="Comma 9 2 4 6" xfId="38707" xr:uid="{79796D9B-C3BA-4DC0-94EF-CEE537868AF2}"/>
    <cellStyle name="Comma 9 2 4 7" xfId="20453" xr:uid="{3810C659-F99C-4B6D-807E-CDC32656BBF2}"/>
    <cellStyle name="Comma 9 2 5" xfId="1469" xr:uid="{9B7DA358-9148-4C2C-81E7-C98A8F5536C4}"/>
    <cellStyle name="Comma 9 2 5 2" xfId="16069" xr:uid="{F4F90222-90C1-4C90-8969-1D39CBDD89F1}"/>
    <cellStyle name="Comma 9 2 5 2 2" xfId="52577" xr:uid="{E47C960A-FE0E-425D-81E9-9A0D99EBE2CF}"/>
    <cellStyle name="Comma 9 2 5 2 3" xfId="34323" xr:uid="{027FC31A-C0B1-4118-AA23-007129AF6C9B}"/>
    <cellStyle name="Comma 9 2 5 3" xfId="12419" xr:uid="{AA55D389-7CFA-4D37-9AFD-5B62D3838F0F}"/>
    <cellStyle name="Comma 9 2 5 3 2" xfId="48927" xr:uid="{BCF42E1D-AB6A-44CE-A31A-6F1ABA5DA00F}"/>
    <cellStyle name="Comma 9 2 5 3 3" xfId="30673" xr:uid="{B529EA9E-8DA6-4CD9-AC5F-9951407118F8}"/>
    <cellStyle name="Comma 9 2 5 4" xfId="8769" xr:uid="{CB850841-9FB4-4E74-8961-3851B7C6C5A4}"/>
    <cellStyle name="Comma 9 2 5 4 2" xfId="45277" xr:uid="{9B02FF5D-102C-44C4-889A-2E4B2F11794C}"/>
    <cellStyle name="Comma 9 2 5 4 3" xfId="27023" xr:uid="{20F85D61-2469-4715-ADFA-43CD627B66CF}"/>
    <cellStyle name="Comma 9 2 5 5" xfId="5119" xr:uid="{E920DB1B-940E-413C-8A26-9C78D5A8317D}"/>
    <cellStyle name="Comma 9 2 5 5 2" xfId="41627" xr:uid="{E52618A5-8847-47A7-822E-0906C14570DA}"/>
    <cellStyle name="Comma 9 2 5 5 3" xfId="23373" xr:uid="{EE269E65-F1CC-4A1F-852C-B9EEF83209CD}"/>
    <cellStyle name="Comma 9 2 5 6" xfId="37977" xr:uid="{9CA25C74-0B03-4083-AA22-473B732E2ECC}"/>
    <cellStyle name="Comma 9 2 5 7" xfId="19723" xr:uid="{143DBDA7-5051-4D37-B4CD-4E589C3F0165}"/>
    <cellStyle name="Comma 9 2 6" xfId="15339" xr:uid="{8C1730C1-EE49-4E5E-9B60-CDD5D7931EF9}"/>
    <cellStyle name="Comma 9 2 6 2" xfId="51847" xr:uid="{02984D20-D1B2-4035-BFE0-428CF5E5846F}"/>
    <cellStyle name="Comma 9 2 6 3" xfId="33593" xr:uid="{B1BC9C48-AEDB-40CB-88BD-B347FC20B464}"/>
    <cellStyle name="Comma 9 2 7" xfId="11689" xr:uid="{DA38D371-2E1D-44CF-838F-31FE45BF878F}"/>
    <cellStyle name="Comma 9 2 7 2" xfId="48197" xr:uid="{9E5ED0A1-DBBD-4A5E-A4CC-127B0D0FE06B}"/>
    <cellStyle name="Comma 9 2 7 3" xfId="29943" xr:uid="{A3561857-DD54-499F-BAF6-A7938E1A055B}"/>
    <cellStyle name="Comma 9 2 8" xfId="8039" xr:uid="{13CFB262-0E22-4B85-B3E9-F9877469A50E}"/>
    <cellStyle name="Comma 9 2 8 2" xfId="44547" xr:uid="{991EDC2F-330E-4E04-90C3-4ADEED1060AF}"/>
    <cellStyle name="Comma 9 2 8 3" xfId="26293" xr:uid="{5F984599-4138-4E66-915A-37579007EB08}"/>
    <cellStyle name="Comma 9 2 9" xfId="4389" xr:uid="{F40E74BF-BC04-4116-AD9E-5D7D3332D3D7}"/>
    <cellStyle name="Comma 9 2 9 2" xfId="40897" xr:uid="{0B6BD3E8-32B0-4C61-8639-3E12D235AFE4}"/>
    <cellStyle name="Comma 9 2 9 3" xfId="22643" xr:uid="{EB136C24-06AF-4EA6-BEA3-AC02E13A64B0}"/>
    <cellStyle name="Comma 9 3" xfId="635" xr:uid="{B9AF2ACF-92B8-436D-BE31-529EDE38020A}"/>
    <cellStyle name="Comma 9 3 10" xfId="37143" xr:uid="{A956EBC1-13FA-41DC-A87D-1CE8F47C7C2E}"/>
    <cellStyle name="Comma 9 3 11" xfId="18889" xr:uid="{0CC4BE20-2988-4B21-A007-0F6BDC1BA46D}"/>
    <cellStyle name="Comma 9 3 2" xfId="3555" xr:uid="{38D9D06F-4883-41CA-95F4-26396252DEF1}"/>
    <cellStyle name="Comma 9 3 2 2" xfId="18155" xr:uid="{1A3E27E9-186F-4CAD-A24B-71E8878C92F0}"/>
    <cellStyle name="Comma 9 3 2 2 2" xfId="54663" xr:uid="{B823B493-3839-48A6-BF27-A1E767E6388E}"/>
    <cellStyle name="Comma 9 3 2 2 3" xfId="36409" xr:uid="{3644014B-577C-41FC-8041-5F5C5EA2F4E4}"/>
    <cellStyle name="Comma 9 3 2 3" xfId="14505" xr:uid="{45972017-F6F2-42DD-9130-DC640EBC102E}"/>
    <cellStyle name="Comma 9 3 2 3 2" xfId="51013" xr:uid="{75F377E1-D012-49AF-BE5A-17E2685B116C}"/>
    <cellStyle name="Comma 9 3 2 3 3" xfId="32759" xr:uid="{FA4E10DB-91D8-4405-8BCE-1D6DAF40FA18}"/>
    <cellStyle name="Comma 9 3 2 4" xfId="10855" xr:uid="{FB505655-4E01-4BCD-802D-A22708CC133F}"/>
    <cellStyle name="Comma 9 3 2 4 2" xfId="47363" xr:uid="{09F587D6-1C22-4047-891E-B2856FAA6E3E}"/>
    <cellStyle name="Comma 9 3 2 4 3" xfId="29109" xr:uid="{2AB25884-4F98-4758-886C-A30C73977988}"/>
    <cellStyle name="Comma 9 3 2 5" xfId="7205" xr:uid="{46306C32-A7B8-4AB1-B20B-E95C19486E31}"/>
    <cellStyle name="Comma 9 3 2 5 2" xfId="43713" xr:uid="{FFB2DF5B-0F06-4C25-95D5-89C3D9C87732}"/>
    <cellStyle name="Comma 9 3 2 5 3" xfId="25459" xr:uid="{BC130580-E775-401A-8A1E-6AE7B03EA4D9}"/>
    <cellStyle name="Comma 9 3 2 6" xfId="40063" xr:uid="{AC044A36-EFFE-4FE1-B04B-BE266EB50BC8}"/>
    <cellStyle name="Comma 9 3 2 7" xfId="21809" xr:uid="{5FC2CF9C-A334-44CD-9675-FCB279D2A439}"/>
    <cellStyle name="Comma 9 3 3" xfId="2825" xr:uid="{BE61852C-EC67-44B9-B2A5-0EA5CCF97224}"/>
    <cellStyle name="Comma 9 3 3 2" xfId="17425" xr:uid="{5D5B51FA-7F13-45BE-95F5-7C1F532B09A6}"/>
    <cellStyle name="Comma 9 3 3 2 2" xfId="53933" xr:uid="{C5E8BECA-0237-4C7C-872F-FC0D72552FCA}"/>
    <cellStyle name="Comma 9 3 3 2 3" xfId="35679" xr:uid="{6C7060A4-BE53-4B48-A707-3737436FF30E}"/>
    <cellStyle name="Comma 9 3 3 3" xfId="13775" xr:uid="{F0130B69-6B2D-4D34-B338-422377D5CB66}"/>
    <cellStyle name="Comma 9 3 3 3 2" xfId="50283" xr:uid="{41AE5FE5-17D3-4EAA-941A-0A1AB3ABEE37}"/>
    <cellStyle name="Comma 9 3 3 3 3" xfId="32029" xr:uid="{98B58E03-790B-49AA-8DE2-E5AF9B1EB67F}"/>
    <cellStyle name="Comma 9 3 3 4" xfId="10125" xr:uid="{E5AE5502-224C-4764-9150-4A0117165135}"/>
    <cellStyle name="Comma 9 3 3 4 2" xfId="46633" xr:uid="{706B4E38-187B-4074-A741-43C6659B2626}"/>
    <cellStyle name="Comma 9 3 3 4 3" xfId="28379" xr:uid="{6AFBA8BC-35F0-4538-9AFC-F42D7C7A54AA}"/>
    <cellStyle name="Comma 9 3 3 5" xfId="6475" xr:uid="{B1542ACD-7477-4F1C-8551-2DBF0FFA081D}"/>
    <cellStyle name="Comma 9 3 3 5 2" xfId="42983" xr:uid="{B1FA3D20-369D-4733-B18F-8AAAF37ED337}"/>
    <cellStyle name="Comma 9 3 3 5 3" xfId="24729" xr:uid="{580D7402-4C5A-4B29-8910-51EB8513318D}"/>
    <cellStyle name="Comma 9 3 3 6" xfId="39333" xr:uid="{88F99EAF-148A-4453-9F64-1F73BD31EBE6}"/>
    <cellStyle name="Comma 9 3 3 7" xfId="21079" xr:uid="{C3037346-03D3-4885-8510-5393774E4F7D}"/>
    <cellStyle name="Comma 9 3 4" xfId="2095" xr:uid="{4DE3A93B-CC81-48C6-B86D-14BA8A367A29}"/>
    <cellStyle name="Comma 9 3 4 2" xfId="16695" xr:uid="{0119B27F-C247-455E-BCFD-E8C51B4638AD}"/>
    <cellStyle name="Comma 9 3 4 2 2" xfId="53203" xr:uid="{27D2F46F-4565-40C9-B498-EB82BFA2C5DB}"/>
    <cellStyle name="Comma 9 3 4 2 3" xfId="34949" xr:uid="{8A0C8310-91B1-4A42-A120-E7FE571290CB}"/>
    <cellStyle name="Comma 9 3 4 3" xfId="13045" xr:uid="{C5DABFFB-D787-47D3-A51E-342F7E06FCE4}"/>
    <cellStyle name="Comma 9 3 4 3 2" xfId="49553" xr:uid="{38381E24-B0EB-443D-953C-15FD070CFA1C}"/>
    <cellStyle name="Comma 9 3 4 3 3" xfId="31299" xr:uid="{217A892A-E382-4933-9103-403793541A63}"/>
    <cellStyle name="Comma 9 3 4 4" xfId="9395" xr:uid="{4B2284C7-9E7F-4D04-B9AB-6A680FC6834E}"/>
    <cellStyle name="Comma 9 3 4 4 2" xfId="45903" xr:uid="{A2AA9F90-993A-4262-AFFC-7770CCCA4FF4}"/>
    <cellStyle name="Comma 9 3 4 4 3" xfId="27649" xr:uid="{E143A616-8842-4E3A-937F-C19C83C347F4}"/>
    <cellStyle name="Comma 9 3 4 5" xfId="5745" xr:uid="{2224F12C-2709-4892-9169-0B42A0245B98}"/>
    <cellStyle name="Comma 9 3 4 5 2" xfId="42253" xr:uid="{E215D143-6CA2-48BE-B4C4-29DC0D51AB86}"/>
    <cellStyle name="Comma 9 3 4 5 3" xfId="23999" xr:uid="{1050263E-2A8A-4DEA-8480-1E8B573BC51B}"/>
    <cellStyle name="Comma 9 3 4 6" xfId="38603" xr:uid="{CA8F5CB5-C5AF-4642-9106-8F233E11F937}"/>
    <cellStyle name="Comma 9 3 4 7" xfId="20349" xr:uid="{171C9CA5-5457-4BB6-B261-86A1D0ED599E}"/>
    <cellStyle name="Comma 9 3 5" xfId="1365" xr:uid="{2CAAF507-47DD-44E7-8103-3E54F97DECC9}"/>
    <cellStyle name="Comma 9 3 5 2" xfId="15965" xr:uid="{E8036CF5-06C6-4912-A6CD-31A423ADE65F}"/>
    <cellStyle name="Comma 9 3 5 2 2" xfId="52473" xr:uid="{348A5AAE-D7BB-4BC8-B849-F8BA4106D1AD}"/>
    <cellStyle name="Comma 9 3 5 2 3" xfId="34219" xr:uid="{2415F028-3FEE-47C8-8D99-26B693983480}"/>
    <cellStyle name="Comma 9 3 5 3" xfId="12315" xr:uid="{DA0A40F8-1E52-4E66-9AD8-2484955F15B0}"/>
    <cellStyle name="Comma 9 3 5 3 2" xfId="48823" xr:uid="{37BEF850-F9B3-4B09-B20B-4BC29F825472}"/>
    <cellStyle name="Comma 9 3 5 3 3" xfId="30569" xr:uid="{41091805-5964-41B2-92FA-9BC1FAA945CB}"/>
    <cellStyle name="Comma 9 3 5 4" xfId="8665" xr:uid="{099B7132-936A-4D02-89B0-66E331231AA1}"/>
    <cellStyle name="Comma 9 3 5 4 2" xfId="45173" xr:uid="{294C076F-E5C0-479E-A18A-7F60B82301B1}"/>
    <cellStyle name="Comma 9 3 5 4 3" xfId="26919" xr:uid="{3CDCC15D-4CA8-40F4-A936-BAF12ACD670C}"/>
    <cellStyle name="Comma 9 3 5 5" xfId="5015" xr:uid="{1D234922-560F-42C8-ADAF-66B4D904A635}"/>
    <cellStyle name="Comma 9 3 5 5 2" xfId="41523" xr:uid="{0D6F02BD-EF30-457B-BE14-2EB2B9A4F636}"/>
    <cellStyle name="Comma 9 3 5 5 3" xfId="23269" xr:uid="{148C78C1-FC34-40E4-B38F-2B49E7400C44}"/>
    <cellStyle name="Comma 9 3 5 6" xfId="37873" xr:uid="{A73A6DC0-68D7-466B-A924-EDFA3B12023C}"/>
    <cellStyle name="Comma 9 3 5 7" xfId="19619" xr:uid="{BA28B4FA-E9C9-4EEE-93ED-88E1CFE23006}"/>
    <cellStyle name="Comma 9 3 6" xfId="15235" xr:uid="{2B738323-2C50-4E80-A19A-B59FAB1C1415}"/>
    <cellStyle name="Comma 9 3 6 2" xfId="51743" xr:uid="{A2E0A3AF-D38F-48D0-AD01-C34009D0ED71}"/>
    <cellStyle name="Comma 9 3 6 3" xfId="33489" xr:uid="{A890AF00-71B5-4A68-986D-F5F1BA50CBC2}"/>
    <cellStyle name="Comma 9 3 7" xfId="11585" xr:uid="{BD008B8F-747F-4B42-B622-979F7B1B4B2E}"/>
    <cellStyle name="Comma 9 3 7 2" xfId="48093" xr:uid="{BE13AAC8-72C4-4EB1-94A1-6C9125733E1C}"/>
    <cellStyle name="Comma 9 3 7 3" xfId="29839" xr:uid="{AE169006-290D-43ED-9399-FDC5991D3105}"/>
    <cellStyle name="Comma 9 3 8" xfId="7935" xr:uid="{56220593-4AA0-4B85-A262-202E638A464A}"/>
    <cellStyle name="Comma 9 3 8 2" xfId="44443" xr:uid="{3CD21114-53B0-4D5E-8616-B0F7C8E2EDDB}"/>
    <cellStyle name="Comma 9 3 8 3" xfId="26189" xr:uid="{279648DD-51C8-4A77-B947-CE67A546B511}"/>
    <cellStyle name="Comma 9 3 9" xfId="4285" xr:uid="{DD996898-0451-44DF-903E-4AA82515ACCE}"/>
    <cellStyle name="Comma 9 3 9 2" xfId="40793" xr:uid="{E896AA3F-198A-4F66-B9A7-8D56E3C0C527}"/>
    <cellStyle name="Comma 9 3 9 3" xfId="22539" xr:uid="{76FA82D6-51F6-4298-BA20-E4D61ACB786E}"/>
    <cellStyle name="Comma 9 4" xfId="531" xr:uid="{AD8B38B9-1F74-4A39-89C9-88620CE49C64}"/>
    <cellStyle name="Comma 9 4 10" xfId="37039" xr:uid="{08799C24-62FB-4944-9D53-E67E890153D2}"/>
    <cellStyle name="Comma 9 4 11" xfId="18785" xr:uid="{6CAE6A58-2312-4C3C-8F53-0E8578C9C094}"/>
    <cellStyle name="Comma 9 4 2" xfId="3451" xr:uid="{E19498AE-37E1-4023-B92D-566628E4CC1F}"/>
    <cellStyle name="Comma 9 4 2 2" xfId="18051" xr:uid="{C4F74C22-C862-4779-B618-A1169F786947}"/>
    <cellStyle name="Comma 9 4 2 2 2" xfId="54559" xr:uid="{1A56F364-8DE2-4AD6-8087-05572EF45538}"/>
    <cellStyle name="Comma 9 4 2 2 3" xfId="36305" xr:uid="{99B7B128-F657-4C4E-B4C9-84E6FF20D8F4}"/>
    <cellStyle name="Comma 9 4 2 3" xfId="14401" xr:uid="{0D4C4C40-1B49-4D7C-939A-903BE8CC9D0F}"/>
    <cellStyle name="Comma 9 4 2 3 2" xfId="50909" xr:uid="{0EDF3343-C21D-40D5-96E0-B2AED6283E65}"/>
    <cellStyle name="Comma 9 4 2 3 3" xfId="32655" xr:uid="{5DA732CC-B1CC-44D5-A71B-776E081D28E1}"/>
    <cellStyle name="Comma 9 4 2 4" xfId="10751" xr:uid="{971F43D2-F08E-472A-A630-959177B346E9}"/>
    <cellStyle name="Comma 9 4 2 4 2" xfId="47259" xr:uid="{5CCFE13A-B3DE-4338-BA03-A94CAF1B41D0}"/>
    <cellStyle name="Comma 9 4 2 4 3" xfId="29005" xr:uid="{43A11330-D3D7-4652-A95E-438A86161317}"/>
    <cellStyle name="Comma 9 4 2 5" xfId="7101" xr:uid="{DA569F7D-298B-4A21-9B46-C26D64F69ACF}"/>
    <cellStyle name="Comma 9 4 2 5 2" xfId="43609" xr:uid="{8B24BE30-64E5-4693-9BB7-90C90CD4D299}"/>
    <cellStyle name="Comma 9 4 2 5 3" xfId="25355" xr:uid="{455FFE48-BEE2-4095-963C-9C6D4923EC14}"/>
    <cellStyle name="Comma 9 4 2 6" xfId="39959" xr:uid="{1FC9EC5C-D41E-48D0-9D9A-ACCCAE1C37EB}"/>
    <cellStyle name="Comma 9 4 2 7" xfId="21705" xr:uid="{D7AD2E59-626E-4D71-87FE-04B52E3E4E37}"/>
    <cellStyle name="Comma 9 4 3" xfId="2721" xr:uid="{A2B259E5-A7DB-412D-80FF-DA78B7A8E24D}"/>
    <cellStyle name="Comma 9 4 3 2" xfId="17321" xr:uid="{70B09A87-F29F-4730-9768-2D32C7DB0357}"/>
    <cellStyle name="Comma 9 4 3 2 2" xfId="53829" xr:uid="{BC0C15C8-385F-41F0-A69C-F04FD8392E7F}"/>
    <cellStyle name="Comma 9 4 3 2 3" xfId="35575" xr:uid="{760BF57A-B57A-4B5E-9782-367EB0114628}"/>
    <cellStyle name="Comma 9 4 3 3" xfId="13671" xr:uid="{3CBBB206-87A2-476C-BDE2-C825B934C4E3}"/>
    <cellStyle name="Comma 9 4 3 3 2" xfId="50179" xr:uid="{4B119B34-B0EE-423F-8730-9744C5FBA1FE}"/>
    <cellStyle name="Comma 9 4 3 3 3" xfId="31925" xr:uid="{C0168F65-1C16-46A7-A231-295498D8FD5D}"/>
    <cellStyle name="Comma 9 4 3 4" xfId="10021" xr:uid="{03C3977F-5AC1-4B0C-8EB8-A927657A0AFA}"/>
    <cellStyle name="Comma 9 4 3 4 2" xfId="46529" xr:uid="{F4C78DFC-DF97-49E6-9095-775E5ACAD56D}"/>
    <cellStyle name="Comma 9 4 3 4 3" xfId="28275" xr:uid="{BC517B83-A5E8-4FEC-98BE-AB97642BB4DB}"/>
    <cellStyle name="Comma 9 4 3 5" xfId="6371" xr:uid="{4A2F390A-04B2-4F76-BAFF-7827B949B7FC}"/>
    <cellStyle name="Comma 9 4 3 5 2" xfId="42879" xr:uid="{613D38F6-3346-4F30-A75C-8FE67AE247B8}"/>
    <cellStyle name="Comma 9 4 3 5 3" xfId="24625" xr:uid="{25758D6C-13DE-4934-9ACF-4C64D614A23F}"/>
    <cellStyle name="Comma 9 4 3 6" xfId="39229" xr:uid="{05BAC2E5-1E93-4B30-A954-BDFAD6E95F5C}"/>
    <cellStyle name="Comma 9 4 3 7" xfId="20975" xr:uid="{0477BBB3-D8DE-43E4-B199-5E17E0D640E6}"/>
    <cellStyle name="Comma 9 4 4" xfId="1991" xr:uid="{71764CB5-E9C3-473A-97C7-66F9317AA77A}"/>
    <cellStyle name="Comma 9 4 4 2" xfId="16591" xr:uid="{3C8436F7-700B-4312-9965-2375377E5085}"/>
    <cellStyle name="Comma 9 4 4 2 2" xfId="53099" xr:uid="{8DF7C106-5D01-4B5C-A705-F68A7FB0FEB1}"/>
    <cellStyle name="Comma 9 4 4 2 3" xfId="34845" xr:uid="{90A6FF19-39F7-4EE1-86B1-77F4640D7737}"/>
    <cellStyle name="Comma 9 4 4 3" xfId="12941" xr:uid="{41E4A8AF-3ED7-4427-96C3-BC3FB25EAA50}"/>
    <cellStyle name="Comma 9 4 4 3 2" xfId="49449" xr:uid="{925DB6FA-D5DF-473F-A5E8-141168BE27C1}"/>
    <cellStyle name="Comma 9 4 4 3 3" xfId="31195" xr:uid="{56A2207C-C63F-4D3E-9BC4-8CCC1B57E9B7}"/>
    <cellStyle name="Comma 9 4 4 4" xfId="9291" xr:uid="{7EC07B0B-47D9-48C9-8549-628C4CB8176F}"/>
    <cellStyle name="Comma 9 4 4 4 2" xfId="45799" xr:uid="{D034F670-110F-45B0-ACBE-52A66DAA21EC}"/>
    <cellStyle name="Comma 9 4 4 4 3" xfId="27545" xr:uid="{D1FDE2F8-1B64-47E2-8726-610DBD82E620}"/>
    <cellStyle name="Comma 9 4 4 5" xfId="5641" xr:uid="{ECC5D5CD-B09D-4F4F-8BB5-1B1DC43F0409}"/>
    <cellStyle name="Comma 9 4 4 5 2" xfId="42149" xr:uid="{E886E6AF-990F-4C81-B8B5-6F2C32E4104B}"/>
    <cellStyle name="Comma 9 4 4 5 3" xfId="23895" xr:uid="{851E4835-C5A6-40FF-84FA-2A84A2DBD41B}"/>
    <cellStyle name="Comma 9 4 4 6" xfId="38499" xr:uid="{98132A18-37A8-40D5-92AD-9000255605A1}"/>
    <cellStyle name="Comma 9 4 4 7" xfId="20245" xr:uid="{D522BFE4-FEA2-4E54-9DF0-0DE360982119}"/>
    <cellStyle name="Comma 9 4 5" xfId="1261" xr:uid="{150D5622-2A8A-4B30-82E1-C826E2F7C3A0}"/>
    <cellStyle name="Comma 9 4 5 2" xfId="15861" xr:uid="{06B80A12-84FA-4302-B738-8E13E13FECD6}"/>
    <cellStyle name="Comma 9 4 5 2 2" xfId="52369" xr:uid="{71A53718-C283-41CE-AC3F-75608D236083}"/>
    <cellStyle name="Comma 9 4 5 2 3" xfId="34115" xr:uid="{C28A475D-8D90-4953-B39C-480B67097AA3}"/>
    <cellStyle name="Comma 9 4 5 3" xfId="12211" xr:uid="{17198507-7630-4095-99F6-C09DA95420F6}"/>
    <cellStyle name="Comma 9 4 5 3 2" xfId="48719" xr:uid="{80A1D0D6-2894-4613-BF31-8A6844424C53}"/>
    <cellStyle name="Comma 9 4 5 3 3" xfId="30465" xr:uid="{12EF5A94-1408-47EC-BE28-16EE87F87B4B}"/>
    <cellStyle name="Comma 9 4 5 4" xfId="8561" xr:uid="{5520D2C2-3566-41F1-8D2B-4C66FBBD6FD3}"/>
    <cellStyle name="Comma 9 4 5 4 2" xfId="45069" xr:uid="{FA0AC12A-64BA-47DB-B3F4-C38F4DCAE7BD}"/>
    <cellStyle name="Comma 9 4 5 4 3" xfId="26815" xr:uid="{F06FF7A7-DED1-4190-85D3-F99AFCB0526F}"/>
    <cellStyle name="Comma 9 4 5 5" xfId="4911" xr:uid="{C8F328BA-8C00-4B85-8627-6E8023D06D41}"/>
    <cellStyle name="Comma 9 4 5 5 2" xfId="41419" xr:uid="{BDD0B2AA-80D3-401C-A17E-4E2A071CB909}"/>
    <cellStyle name="Comma 9 4 5 5 3" xfId="23165" xr:uid="{0ECC9113-2C0A-41D7-8425-ABD16B5C76A6}"/>
    <cellStyle name="Comma 9 4 5 6" xfId="37769" xr:uid="{A4453C61-CF7B-4C0B-A2D7-8A6498A0516D}"/>
    <cellStyle name="Comma 9 4 5 7" xfId="19515" xr:uid="{DD9606CE-AD31-4EC9-9D54-851D57763524}"/>
    <cellStyle name="Comma 9 4 6" xfId="15131" xr:uid="{9ED249A1-7A5A-406F-B11F-3D7C6191DA52}"/>
    <cellStyle name="Comma 9 4 6 2" xfId="51639" xr:uid="{04DCC10B-EEC0-4A90-9261-E67F393B2DE5}"/>
    <cellStyle name="Comma 9 4 6 3" xfId="33385" xr:uid="{BDC92599-2D8D-41E4-850F-B0637F6D75CA}"/>
    <cellStyle name="Comma 9 4 7" xfId="11481" xr:uid="{B8762C64-6310-4616-AA20-F0214F600D03}"/>
    <cellStyle name="Comma 9 4 7 2" xfId="47989" xr:uid="{63BA4E18-919C-4984-BEFC-9DE8C446A217}"/>
    <cellStyle name="Comma 9 4 7 3" xfId="29735" xr:uid="{7BB5196C-EC99-4A1D-BB1A-074F8569D24B}"/>
    <cellStyle name="Comma 9 4 8" xfId="7831" xr:uid="{98CCA821-107F-4535-9536-9762A059CFE6}"/>
    <cellStyle name="Comma 9 4 8 2" xfId="44339" xr:uid="{82F1C349-E0CB-4D1B-9D8D-4889CDBDF7D2}"/>
    <cellStyle name="Comma 9 4 8 3" xfId="26085" xr:uid="{3F2DA2C9-D899-4C35-BFED-1D3041EF88BE}"/>
    <cellStyle name="Comma 9 4 9" xfId="4181" xr:uid="{74A5BEEF-2906-4326-AAD1-187A0872C37F}"/>
    <cellStyle name="Comma 9 4 9 2" xfId="40689" xr:uid="{D232CB1A-8BD2-4953-B3EF-C08B8E1CE107}"/>
    <cellStyle name="Comma 9 4 9 3" xfId="22435" xr:uid="{F84904B4-20F2-441A-A796-0E71385615E5}"/>
    <cellStyle name="Comma 9 5" xfId="427" xr:uid="{9F9AD4E7-2F81-466F-8113-00704F09B28C}"/>
    <cellStyle name="Comma 9 5 10" xfId="36935" xr:uid="{EAAF62B8-03D6-48AE-A0BA-FB6A42AF0A4D}"/>
    <cellStyle name="Comma 9 5 11" xfId="18681" xr:uid="{4B897158-2060-4DEB-8D34-B49BA5E8AE07}"/>
    <cellStyle name="Comma 9 5 2" xfId="3347" xr:uid="{30037F43-B612-4587-8588-0DC3EA3624E3}"/>
    <cellStyle name="Comma 9 5 2 2" xfId="17947" xr:uid="{0EBDF709-EE44-418C-BF4D-73F602D8566A}"/>
    <cellStyle name="Comma 9 5 2 2 2" xfId="54455" xr:uid="{D47F610E-90BC-4EF0-9B97-C969E73E23F2}"/>
    <cellStyle name="Comma 9 5 2 2 3" xfId="36201" xr:uid="{FBF8DD29-D674-4DCA-A10D-C01267AAB99C}"/>
    <cellStyle name="Comma 9 5 2 3" xfId="14297" xr:uid="{709D8EDC-F464-4640-B60E-00699C49046F}"/>
    <cellStyle name="Comma 9 5 2 3 2" xfId="50805" xr:uid="{CFDC28B6-53F9-4B82-8A1E-EFD434EAA135}"/>
    <cellStyle name="Comma 9 5 2 3 3" xfId="32551" xr:uid="{F4DCA3EC-D4FC-4DCA-B63A-1D35DAD0D503}"/>
    <cellStyle name="Comma 9 5 2 4" xfId="10647" xr:uid="{DFA5978E-B39B-4832-A84A-AD4D22F39E58}"/>
    <cellStyle name="Comma 9 5 2 4 2" xfId="47155" xr:uid="{8C1265BE-301F-4C0C-A420-7991C221DF88}"/>
    <cellStyle name="Comma 9 5 2 4 3" xfId="28901" xr:uid="{5820E8E8-B783-4546-91CE-D3C09C776EB0}"/>
    <cellStyle name="Comma 9 5 2 5" xfId="6997" xr:uid="{1C7755FD-D8CF-4B96-BF1E-009B0AA20ED5}"/>
    <cellStyle name="Comma 9 5 2 5 2" xfId="43505" xr:uid="{79B56015-D171-4134-9D83-C54F2838D0F7}"/>
    <cellStyle name="Comma 9 5 2 5 3" xfId="25251" xr:uid="{6B9C5E75-FADA-4B78-91C3-5D0EE9CFD749}"/>
    <cellStyle name="Comma 9 5 2 6" xfId="39855" xr:uid="{64AAFB53-C0AF-4B9E-B092-47623F051590}"/>
    <cellStyle name="Comma 9 5 2 7" xfId="21601" xr:uid="{9927FE38-0894-4661-A2F5-573B435636B7}"/>
    <cellStyle name="Comma 9 5 3" xfId="2617" xr:uid="{55A08C88-E75D-418F-AD19-6921E13D9C8D}"/>
    <cellStyle name="Comma 9 5 3 2" xfId="17217" xr:uid="{408931FE-365C-4CDD-A7BF-8077798AA516}"/>
    <cellStyle name="Comma 9 5 3 2 2" xfId="53725" xr:uid="{09C74A76-0D18-45FA-ACFC-3FFFDC5BF4B8}"/>
    <cellStyle name="Comma 9 5 3 2 3" xfId="35471" xr:uid="{E520916C-672D-48C1-B5A8-6A6637E85791}"/>
    <cellStyle name="Comma 9 5 3 3" xfId="13567" xr:uid="{C2B23D99-735E-49F9-B042-354019F8D1BB}"/>
    <cellStyle name="Comma 9 5 3 3 2" xfId="50075" xr:uid="{F1BAC684-FBC8-4412-AD1F-059B3636C2AA}"/>
    <cellStyle name="Comma 9 5 3 3 3" xfId="31821" xr:uid="{D5E3A87C-DB4C-4513-9A66-1EFC7F9B7BE9}"/>
    <cellStyle name="Comma 9 5 3 4" xfId="9917" xr:uid="{F59CC9E7-7608-43E2-94EB-742EB73395A5}"/>
    <cellStyle name="Comma 9 5 3 4 2" xfId="46425" xr:uid="{72218C1F-B1AC-443C-A8E6-733545AAA1F9}"/>
    <cellStyle name="Comma 9 5 3 4 3" xfId="28171" xr:uid="{0E22EE2C-79F4-4C8C-95E5-3680F8461E37}"/>
    <cellStyle name="Comma 9 5 3 5" xfId="6267" xr:uid="{3E772857-70E8-4745-B505-A116CF4C6CF3}"/>
    <cellStyle name="Comma 9 5 3 5 2" xfId="42775" xr:uid="{3A061224-1091-4BBC-8BF6-27F2E480E93B}"/>
    <cellStyle name="Comma 9 5 3 5 3" xfId="24521" xr:uid="{09C9ECF9-FD1F-4FD7-9AC2-52C2DD5C6D9D}"/>
    <cellStyle name="Comma 9 5 3 6" xfId="39125" xr:uid="{587FBABC-59B1-4EC9-8F2E-31EAAB5E0D67}"/>
    <cellStyle name="Comma 9 5 3 7" xfId="20871" xr:uid="{B06E5D55-9E2B-4080-B48F-5A1726902D84}"/>
    <cellStyle name="Comma 9 5 4" xfId="1887" xr:uid="{0FABB952-EEF0-4597-B8CE-C0D0B722F3AB}"/>
    <cellStyle name="Comma 9 5 4 2" xfId="16487" xr:uid="{101C42CC-CD80-41E6-98FE-7C1B426651C6}"/>
    <cellStyle name="Comma 9 5 4 2 2" xfId="52995" xr:uid="{99A13D10-514F-4A79-8B29-EAD7D66C871D}"/>
    <cellStyle name="Comma 9 5 4 2 3" xfId="34741" xr:uid="{4BBA822A-DFDA-4000-B96D-B4FFBBA37A23}"/>
    <cellStyle name="Comma 9 5 4 3" xfId="12837" xr:uid="{D6707EE2-5DAE-499D-A687-76EA36C7733D}"/>
    <cellStyle name="Comma 9 5 4 3 2" xfId="49345" xr:uid="{F5C2E9A5-EB42-42A7-BE68-6C30E2B2A871}"/>
    <cellStyle name="Comma 9 5 4 3 3" xfId="31091" xr:uid="{E30CB6B4-A688-47EE-BE16-7EFB2CB45B5B}"/>
    <cellStyle name="Comma 9 5 4 4" xfId="9187" xr:uid="{524FEFEF-FE38-4797-9E73-8C3911EF28C5}"/>
    <cellStyle name="Comma 9 5 4 4 2" xfId="45695" xr:uid="{9B9125B6-F2FC-4B1D-B49A-E98F42EEDC07}"/>
    <cellStyle name="Comma 9 5 4 4 3" xfId="27441" xr:uid="{6792ED4C-57BE-4C04-9386-D9311C05509B}"/>
    <cellStyle name="Comma 9 5 4 5" xfId="5537" xr:uid="{19E5C250-029A-4682-A0C6-AE08C773945E}"/>
    <cellStyle name="Comma 9 5 4 5 2" xfId="42045" xr:uid="{3083E8D0-BB52-4282-B15B-15F8B9D83079}"/>
    <cellStyle name="Comma 9 5 4 5 3" xfId="23791" xr:uid="{377A7641-6D1E-4949-9F4B-F6CA3D606B4D}"/>
    <cellStyle name="Comma 9 5 4 6" xfId="38395" xr:uid="{EB568EA7-E2E1-4A80-9F4D-8363A281CA3E}"/>
    <cellStyle name="Comma 9 5 4 7" xfId="20141" xr:uid="{11685838-C61D-4C43-AB36-A9337A4C369A}"/>
    <cellStyle name="Comma 9 5 5" xfId="1157" xr:uid="{C7999E03-990E-4286-AE38-6E9A4D8B68D2}"/>
    <cellStyle name="Comma 9 5 5 2" xfId="15757" xr:uid="{0C108F83-B60F-4D1A-B3B7-CBE8CB9241FE}"/>
    <cellStyle name="Comma 9 5 5 2 2" xfId="52265" xr:uid="{B8F3BA97-94FD-4F8E-8A7E-8DA299DD3E6B}"/>
    <cellStyle name="Comma 9 5 5 2 3" xfId="34011" xr:uid="{F3CC68AE-238F-4BC3-8AA9-A31D194AFF2D}"/>
    <cellStyle name="Comma 9 5 5 3" xfId="12107" xr:uid="{E6713594-1D4B-46E6-84E4-DD27A8CC6E53}"/>
    <cellStyle name="Comma 9 5 5 3 2" xfId="48615" xr:uid="{DA21F4AB-07C9-4061-A27D-9307BA3B7172}"/>
    <cellStyle name="Comma 9 5 5 3 3" xfId="30361" xr:uid="{6A93231C-B192-4A23-938C-6620F7F62A35}"/>
    <cellStyle name="Comma 9 5 5 4" xfId="8457" xr:uid="{C5F1E621-1E1F-4D88-9D33-57899A95CDD7}"/>
    <cellStyle name="Comma 9 5 5 4 2" xfId="44965" xr:uid="{B39E5E72-1389-4EA6-AC9B-FC0E9D071439}"/>
    <cellStyle name="Comma 9 5 5 4 3" xfId="26711" xr:uid="{CBBFE86D-0953-42EC-B6D7-2AC243F993DD}"/>
    <cellStyle name="Comma 9 5 5 5" xfId="4807" xr:uid="{1BBD0C98-8558-4A26-863F-69D4A2695704}"/>
    <cellStyle name="Comma 9 5 5 5 2" xfId="41315" xr:uid="{37DCA4AD-D13B-4391-B709-03CA9C2C85E0}"/>
    <cellStyle name="Comma 9 5 5 5 3" xfId="23061" xr:uid="{8427DCAA-535B-495C-A426-9DF728109128}"/>
    <cellStyle name="Comma 9 5 5 6" xfId="37665" xr:uid="{60A669EF-DD0D-400A-8304-4405B0267CE9}"/>
    <cellStyle name="Comma 9 5 5 7" xfId="19411" xr:uid="{AC013B1A-22CC-4253-814B-BC99146B6A9C}"/>
    <cellStyle name="Comma 9 5 6" xfId="15027" xr:uid="{A20F93D1-8D2E-405F-AA70-7F36E0F2B4FE}"/>
    <cellStyle name="Comma 9 5 6 2" xfId="51535" xr:uid="{C19C8330-202D-4F23-819A-AC361341AE1A}"/>
    <cellStyle name="Comma 9 5 6 3" xfId="33281" xr:uid="{940ED758-789F-48A4-9236-7153E1035E14}"/>
    <cellStyle name="Comma 9 5 7" xfId="11377" xr:uid="{AB09EEC6-D614-410B-9349-0688A6D37FC6}"/>
    <cellStyle name="Comma 9 5 7 2" xfId="47885" xr:uid="{8D654813-71CA-4490-ADAA-ABB723B12876}"/>
    <cellStyle name="Comma 9 5 7 3" xfId="29631" xr:uid="{CB7699D6-2ED0-4D26-8CB6-7A26C85EFECD}"/>
    <cellStyle name="Comma 9 5 8" xfId="7727" xr:uid="{D6B63F97-35D9-4D7F-9B59-3AF2B00CD69F}"/>
    <cellStyle name="Comma 9 5 8 2" xfId="44235" xr:uid="{931F403C-CCC6-491A-A414-EDBD5A4AC447}"/>
    <cellStyle name="Comma 9 5 8 3" xfId="25981" xr:uid="{4121E0C9-F2DC-4F6B-BC9B-AC8348D13E5E}"/>
    <cellStyle name="Comma 9 5 9" xfId="4077" xr:uid="{E7816659-5E81-42F1-850D-584A603D5ACC}"/>
    <cellStyle name="Comma 9 5 9 2" xfId="40585" xr:uid="{0801B4C3-5D7B-4F5C-B0E2-CBB305DADC67}"/>
    <cellStyle name="Comma 9 5 9 3" xfId="22331" xr:uid="{915F0E64-909D-4872-97EA-B232CB2773CF}"/>
    <cellStyle name="Comma 9 6" xfId="323" xr:uid="{9CE724BA-B3E5-4012-A3A7-F6721D0A8E10}"/>
    <cellStyle name="Comma 9 6 10" xfId="36831" xr:uid="{8142ED99-F799-4861-B953-F3B4B0BF00AF}"/>
    <cellStyle name="Comma 9 6 11" xfId="18577" xr:uid="{71CDC4C1-3E82-460A-A85F-D8E79A7B3083}"/>
    <cellStyle name="Comma 9 6 2" xfId="3243" xr:uid="{53E68F96-A793-4615-9942-2A508AE1B197}"/>
    <cellStyle name="Comma 9 6 2 2" xfId="17843" xr:uid="{A6C4CB1A-E72B-428B-B6E5-AEF878A8EA99}"/>
    <cellStyle name="Comma 9 6 2 2 2" xfId="54351" xr:uid="{C7C0C640-E1E1-443C-95AC-C09DFCE9C5F7}"/>
    <cellStyle name="Comma 9 6 2 2 3" xfId="36097" xr:uid="{9565FE71-A10C-4C63-AB1E-B5A7D7A7CE2D}"/>
    <cellStyle name="Comma 9 6 2 3" xfId="14193" xr:uid="{FE3EEBA0-C7AC-4C74-AF10-3FBC546EA0BC}"/>
    <cellStyle name="Comma 9 6 2 3 2" xfId="50701" xr:uid="{542F5214-26C1-4FF2-BBDB-49848C9D7C3F}"/>
    <cellStyle name="Comma 9 6 2 3 3" xfId="32447" xr:uid="{A376B126-2900-4E3F-835F-84560CFCB5AF}"/>
    <cellStyle name="Comma 9 6 2 4" xfId="10543" xr:uid="{C120F7A0-DD9F-4661-A415-D8C764DB6DDF}"/>
    <cellStyle name="Comma 9 6 2 4 2" xfId="47051" xr:uid="{AB6686A1-3BB4-4905-8BA5-6F5478190566}"/>
    <cellStyle name="Comma 9 6 2 4 3" xfId="28797" xr:uid="{6CD39CE4-2946-42CD-B657-7683A213E855}"/>
    <cellStyle name="Comma 9 6 2 5" xfId="6893" xr:uid="{735380D5-FB8B-4657-A85B-39C74A5C0EA8}"/>
    <cellStyle name="Comma 9 6 2 5 2" xfId="43401" xr:uid="{AD375E84-01BB-4169-BE02-8BD10BBF8DF2}"/>
    <cellStyle name="Comma 9 6 2 5 3" xfId="25147" xr:uid="{4DB9685B-9643-4919-8094-89E1E51250E8}"/>
    <cellStyle name="Comma 9 6 2 6" xfId="39751" xr:uid="{53B873E1-FF73-4127-9641-BC423EECD6F6}"/>
    <cellStyle name="Comma 9 6 2 7" xfId="21497" xr:uid="{3F6429B6-6262-4F8C-8E98-2731C99950F3}"/>
    <cellStyle name="Comma 9 6 3" xfId="2513" xr:uid="{79DEEBC9-4437-494F-A8E5-ABA8583FCE4B}"/>
    <cellStyle name="Comma 9 6 3 2" xfId="17113" xr:uid="{FD6A2D0A-4C3A-4F2C-B0C3-626A29EC83A6}"/>
    <cellStyle name="Comma 9 6 3 2 2" xfId="53621" xr:uid="{2028C47E-3829-4641-9311-F782AC86BB3C}"/>
    <cellStyle name="Comma 9 6 3 2 3" xfId="35367" xr:uid="{A2D9EEFA-6668-4072-BBF2-49CD216B62C3}"/>
    <cellStyle name="Comma 9 6 3 3" xfId="13463" xr:uid="{7A46D84A-863F-40AC-985D-F04FB5951502}"/>
    <cellStyle name="Comma 9 6 3 3 2" xfId="49971" xr:uid="{74C66EBF-3BB6-4CA5-8468-A288F48B4C0D}"/>
    <cellStyle name="Comma 9 6 3 3 3" xfId="31717" xr:uid="{B5F0C901-73A0-4EC2-90F5-695F44D1A543}"/>
    <cellStyle name="Comma 9 6 3 4" xfId="9813" xr:uid="{54738BD8-5DD0-42DE-8FF1-0768C0503003}"/>
    <cellStyle name="Comma 9 6 3 4 2" xfId="46321" xr:uid="{1533F103-A7BB-4ADB-8BF9-44FFEE123939}"/>
    <cellStyle name="Comma 9 6 3 4 3" xfId="28067" xr:uid="{214E968E-64D5-48CD-B97D-7DC9CCDE407C}"/>
    <cellStyle name="Comma 9 6 3 5" xfId="6163" xr:uid="{900607DF-B98C-443D-BD3B-E09494A33870}"/>
    <cellStyle name="Comma 9 6 3 5 2" xfId="42671" xr:uid="{60A765BC-4B6D-4F4A-94E6-B2B4AD905926}"/>
    <cellStyle name="Comma 9 6 3 5 3" xfId="24417" xr:uid="{95B6115A-1FEB-4E67-9B42-A79475660DB0}"/>
    <cellStyle name="Comma 9 6 3 6" xfId="39021" xr:uid="{A5F9983B-28DE-4B6B-9DA3-2DAACC874C73}"/>
    <cellStyle name="Comma 9 6 3 7" xfId="20767" xr:uid="{CAF73775-A27E-4C11-968B-B0BF0FFD069C}"/>
    <cellStyle name="Comma 9 6 4" xfId="1783" xr:uid="{6941FB5E-B271-474B-8242-6F591560A9F4}"/>
    <cellStyle name="Comma 9 6 4 2" xfId="16383" xr:uid="{DC756BC3-9F1D-4A06-A154-19A07C8F7C47}"/>
    <cellStyle name="Comma 9 6 4 2 2" xfId="52891" xr:uid="{5A7CF3FA-8125-4849-82C1-CE5D6810263D}"/>
    <cellStyle name="Comma 9 6 4 2 3" xfId="34637" xr:uid="{25AB9D2D-65FE-41FE-972B-20B3B0BF4530}"/>
    <cellStyle name="Comma 9 6 4 3" xfId="12733" xr:uid="{9295EEB9-DEA7-430D-890C-18C4C8BCDE89}"/>
    <cellStyle name="Comma 9 6 4 3 2" xfId="49241" xr:uid="{FEB5C7C9-D069-451D-A2DA-9634861FD557}"/>
    <cellStyle name="Comma 9 6 4 3 3" xfId="30987" xr:uid="{08BFE2FF-D630-43A9-ABD7-D1F89B173B13}"/>
    <cellStyle name="Comma 9 6 4 4" xfId="9083" xr:uid="{D224D5EE-606E-43D4-BD24-F43FBEE4CAF9}"/>
    <cellStyle name="Comma 9 6 4 4 2" xfId="45591" xr:uid="{8DF61225-9AD3-4C57-9993-004403EA0EE9}"/>
    <cellStyle name="Comma 9 6 4 4 3" xfId="27337" xr:uid="{B91F9630-8AD1-43D9-BFBF-9BFA0D96A830}"/>
    <cellStyle name="Comma 9 6 4 5" xfId="5433" xr:uid="{8DD8836E-EDAB-4B4A-96AD-3621D90BDAA9}"/>
    <cellStyle name="Comma 9 6 4 5 2" xfId="41941" xr:uid="{4485CBB2-A343-4B51-B2AC-FCA9D7DC97AE}"/>
    <cellStyle name="Comma 9 6 4 5 3" xfId="23687" xr:uid="{1FD793B4-2ADB-48C3-9C95-5B1DB10986F5}"/>
    <cellStyle name="Comma 9 6 4 6" xfId="38291" xr:uid="{97F7E01E-52B8-4D48-BFA1-FE8896C72367}"/>
    <cellStyle name="Comma 9 6 4 7" xfId="20037" xr:uid="{EE24147D-80B0-4892-BFBA-7F0D9D470989}"/>
    <cellStyle name="Comma 9 6 5" xfId="1053" xr:uid="{F226E11D-492A-430D-948F-263CFF0941D5}"/>
    <cellStyle name="Comma 9 6 5 2" xfId="15653" xr:uid="{C71B97B6-55C5-4F67-8F55-7B6A75EDF757}"/>
    <cellStyle name="Comma 9 6 5 2 2" xfId="52161" xr:uid="{6DCCED7F-6C71-4BED-867B-756F2385DC35}"/>
    <cellStyle name="Comma 9 6 5 2 3" xfId="33907" xr:uid="{7881C6FA-FAEB-4276-BA20-327FDEBF83AE}"/>
    <cellStyle name="Comma 9 6 5 3" xfId="12003" xr:uid="{14BDF999-E60A-402C-8E11-4CD7F9F5FE7C}"/>
    <cellStyle name="Comma 9 6 5 3 2" xfId="48511" xr:uid="{8A6E2A75-F84D-4E12-851B-BA572CB1B8C5}"/>
    <cellStyle name="Comma 9 6 5 3 3" xfId="30257" xr:uid="{0892CE25-837C-41CC-A895-B3B19E430F24}"/>
    <cellStyle name="Comma 9 6 5 4" xfId="8353" xr:uid="{8FCADCBD-279D-485F-A59C-A2FB0FF31E29}"/>
    <cellStyle name="Comma 9 6 5 4 2" xfId="44861" xr:uid="{50703E72-C749-4222-9E2F-654BF787F340}"/>
    <cellStyle name="Comma 9 6 5 4 3" xfId="26607" xr:uid="{B143CF5F-1736-4500-B9AF-90635AB0E7EC}"/>
    <cellStyle name="Comma 9 6 5 5" xfId="4703" xr:uid="{4BDFD8C4-7D6B-4F3B-BB98-86172B20706D}"/>
    <cellStyle name="Comma 9 6 5 5 2" xfId="41211" xr:uid="{95231A46-6A15-4233-BAE1-6A1DF061740F}"/>
    <cellStyle name="Comma 9 6 5 5 3" xfId="22957" xr:uid="{B4A37C16-A648-4C89-8D30-0846719A4008}"/>
    <cellStyle name="Comma 9 6 5 6" xfId="37561" xr:uid="{CBE7D00A-8538-4128-9EC8-C2E4B11E5EEE}"/>
    <cellStyle name="Comma 9 6 5 7" xfId="19307" xr:uid="{7A4CBDBE-8776-49D2-A2E2-3BCDBE11F9E4}"/>
    <cellStyle name="Comma 9 6 6" xfId="14923" xr:uid="{3CC4973F-46E9-4823-BD7D-45DD42EB9BF6}"/>
    <cellStyle name="Comma 9 6 6 2" xfId="51431" xr:uid="{73AF8D4B-3948-480F-8443-5741B73F3427}"/>
    <cellStyle name="Comma 9 6 6 3" xfId="33177" xr:uid="{B3A624C3-F948-45A3-90B5-F65B6180F065}"/>
    <cellStyle name="Comma 9 6 7" xfId="11273" xr:uid="{BF33BD5D-4D93-41DF-A35D-3A1BE6328C30}"/>
    <cellStyle name="Comma 9 6 7 2" xfId="47781" xr:uid="{55D97D8E-1B82-4233-8A40-53605E9B7D4B}"/>
    <cellStyle name="Comma 9 6 7 3" xfId="29527" xr:uid="{6629D93A-B6F4-4188-9D49-A4EB9D703180}"/>
    <cellStyle name="Comma 9 6 8" xfId="7623" xr:uid="{37B864DF-2628-466A-814D-125268110A13}"/>
    <cellStyle name="Comma 9 6 8 2" xfId="44131" xr:uid="{FF8286D7-8C4F-4ADD-9734-CF128E329161}"/>
    <cellStyle name="Comma 9 6 8 3" xfId="25877" xr:uid="{7E57D82E-37F4-4E01-8DA4-245395C238C0}"/>
    <cellStyle name="Comma 9 6 9" xfId="3973" xr:uid="{6AAB00A2-1724-4488-A5BE-0EC7A2B5D3BD}"/>
    <cellStyle name="Comma 9 6 9 2" xfId="40481" xr:uid="{52902250-226B-4E17-815E-4023060B4C6A}"/>
    <cellStyle name="Comma 9 6 9 3" xfId="22227" xr:uid="{FC73EBF1-048A-4B83-A8B2-45A575B32E4D}"/>
    <cellStyle name="Comma 9 7" xfId="219" xr:uid="{E27D369A-3511-4ACC-A5E9-7F439C695298}"/>
    <cellStyle name="Comma 9 7 10" xfId="36727" xr:uid="{612E1E86-CEF5-4947-8EA1-814EC79231C4}"/>
    <cellStyle name="Comma 9 7 11" xfId="18473" xr:uid="{25CDD123-A0EE-4AF3-98F2-BF2D59A062E5}"/>
    <cellStyle name="Comma 9 7 2" xfId="3139" xr:uid="{4AB18B50-75E7-4672-956B-7BE2AB27D2C4}"/>
    <cellStyle name="Comma 9 7 2 2" xfId="17739" xr:uid="{CFA000C4-28DB-407A-89E4-64F72EB6DADF}"/>
    <cellStyle name="Comma 9 7 2 2 2" xfId="54247" xr:uid="{41136E36-B3B3-4EA6-B1CD-EFD612A87DF4}"/>
    <cellStyle name="Comma 9 7 2 2 3" xfId="35993" xr:uid="{1828E282-E2B6-4F00-A44D-40875B0BD3C7}"/>
    <cellStyle name="Comma 9 7 2 3" xfId="14089" xr:uid="{4A2EE7F3-7E67-4828-B639-1E51BAF59F8E}"/>
    <cellStyle name="Comma 9 7 2 3 2" xfId="50597" xr:uid="{113CA85A-D4FA-4D8E-849C-986AEEE293B4}"/>
    <cellStyle name="Comma 9 7 2 3 3" xfId="32343" xr:uid="{08CF38E7-5B81-4CF2-AD94-E51E02559882}"/>
    <cellStyle name="Comma 9 7 2 4" xfId="10439" xr:uid="{6C6CB415-572C-4BE0-A049-F8D966F59D57}"/>
    <cellStyle name="Comma 9 7 2 4 2" xfId="46947" xr:uid="{2AF94326-DF30-48B5-9AA4-DDAF9C6D7544}"/>
    <cellStyle name="Comma 9 7 2 4 3" xfId="28693" xr:uid="{1209C538-3810-479A-ABAA-927941F4E68F}"/>
    <cellStyle name="Comma 9 7 2 5" xfId="6789" xr:uid="{627D3766-169F-4F24-80DD-B6BF435784C2}"/>
    <cellStyle name="Comma 9 7 2 5 2" xfId="43297" xr:uid="{78FD988B-86FC-4DA0-9E59-974748C0A46E}"/>
    <cellStyle name="Comma 9 7 2 5 3" xfId="25043" xr:uid="{17B093F4-AABD-45DB-8EE7-E3639045DFFF}"/>
    <cellStyle name="Comma 9 7 2 6" xfId="39647" xr:uid="{D950C0CB-18ED-4121-A961-AB91E4065E62}"/>
    <cellStyle name="Comma 9 7 2 7" xfId="21393" xr:uid="{D6B3C3BC-8FCE-4B3D-801E-2AFD623400B8}"/>
    <cellStyle name="Comma 9 7 3" xfId="2409" xr:uid="{F91DD09D-1B3C-4574-A102-917668007BAD}"/>
    <cellStyle name="Comma 9 7 3 2" xfId="17009" xr:uid="{ECF12803-B486-43A3-B90E-9DFB403330BD}"/>
    <cellStyle name="Comma 9 7 3 2 2" xfId="53517" xr:uid="{72099512-11EC-4B27-B65C-BD8BC04D77FC}"/>
    <cellStyle name="Comma 9 7 3 2 3" xfId="35263" xr:uid="{5F220EFD-A6A6-4A0D-BB9C-806798F0A948}"/>
    <cellStyle name="Comma 9 7 3 3" xfId="13359" xr:uid="{894BC106-9C6E-4389-88B2-8A1C3F75427B}"/>
    <cellStyle name="Comma 9 7 3 3 2" xfId="49867" xr:uid="{DB4DF9E0-8296-4B28-A408-04A9E30213F0}"/>
    <cellStyle name="Comma 9 7 3 3 3" xfId="31613" xr:uid="{84337589-5FEE-4055-ACF7-71ABE72E41D3}"/>
    <cellStyle name="Comma 9 7 3 4" xfId="9709" xr:uid="{17FD927F-F2BB-4BC3-A860-8799894F9D68}"/>
    <cellStyle name="Comma 9 7 3 4 2" xfId="46217" xr:uid="{93A97DFD-C955-42FF-A252-D1AEAC425610}"/>
    <cellStyle name="Comma 9 7 3 4 3" xfId="27963" xr:uid="{73CA2712-8E46-47C8-8123-B4266216F3E3}"/>
    <cellStyle name="Comma 9 7 3 5" xfId="6059" xr:uid="{4334F4D9-A614-4FC0-BA8F-8BDD439C31B2}"/>
    <cellStyle name="Comma 9 7 3 5 2" xfId="42567" xr:uid="{7C1BC849-E2CB-412C-BF04-00FD05919AE6}"/>
    <cellStyle name="Comma 9 7 3 5 3" xfId="24313" xr:uid="{F8B53282-E3E4-4792-BD53-0783091B265C}"/>
    <cellStyle name="Comma 9 7 3 6" xfId="38917" xr:uid="{7DF994D8-5C70-4C97-BFB7-1B3D76BB4DAA}"/>
    <cellStyle name="Comma 9 7 3 7" xfId="20663" xr:uid="{BCA71C42-390B-4341-847B-7801BB9C29F4}"/>
    <cellStyle name="Comma 9 7 4" xfId="1679" xr:uid="{A83A125F-F1CA-4025-B214-1A9AFC0CF2E0}"/>
    <cellStyle name="Comma 9 7 4 2" xfId="16279" xr:uid="{E2A8233F-8EC5-457D-BFFF-70392408E4B0}"/>
    <cellStyle name="Comma 9 7 4 2 2" xfId="52787" xr:uid="{E0ADD557-E2F2-438D-9250-69126C5CCEC0}"/>
    <cellStyle name="Comma 9 7 4 2 3" xfId="34533" xr:uid="{5A4AF246-B504-47DA-A557-3DE816BEF57B}"/>
    <cellStyle name="Comma 9 7 4 3" xfId="12629" xr:uid="{337AAA34-9D01-4F96-9969-326EB210B345}"/>
    <cellStyle name="Comma 9 7 4 3 2" xfId="49137" xr:uid="{55E29371-D0AE-4929-8D6E-EA3940B4091A}"/>
    <cellStyle name="Comma 9 7 4 3 3" xfId="30883" xr:uid="{CEB23E7B-2300-462A-800D-75D3DE61E4F2}"/>
    <cellStyle name="Comma 9 7 4 4" xfId="8979" xr:uid="{DBD82E30-D726-4715-A8E7-386D19DF43DA}"/>
    <cellStyle name="Comma 9 7 4 4 2" xfId="45487" xr:uid="{1EFFCAF2-A549-48BD-A0DD-B5972B53AAD4}"/>
    <cellStyle name="Comma 9 7 4 4 3" xfId="27233" xr:uid="{6F2ADDBE-0D5D-4754-A648-D7A6CB3A6988}"/>
    <cellStyle name="Comma 9 7 4 5" xfId="5329" xr:uid="{4BB0C77D-4C7B-4445-A92A-FE438130FBBF}"/>
    <cellStyle name="Comma 9 7 4 5 2" xfId="41837" xr:uid="{D0EE22A9-8E5C-441F-B2FD-409EA57D5C70}"/>
    <cellStyle name="Comma 9 7 4 5 3" xfId="23583" xr:uid="{2BF7DA43-4BB7-493D-AC54-1DFDE986BD82}"/>
    <cellStyle name="Comma 9 7 4 6" xfId="38187" xr:uid="{D9450EE5-29BE-48DF-8AB0-D6ED9F099C43}"/>
    <cellStyle name="Comma 9 7 4 7" xfId="19933" xr:uid="{6A78DAF9-AC42-455D-91A7-98A09C4B3140}"/>
    <cellStyle name="Comma 9 7 5" xfId="949" xr:uid="{3E5BA398-014E-4F0E-9A79-8B446A468D4B}"/>
    <cellStyle name="Comma 9 7 5 2" xfId="15549" xr:uid="{2C12315C-E88F-4A3A-8AC4-303FEE144B73}"/>
    <cellStyle name="Comma 9 7 5 2 2" xfId="52057" xr:uid="{355A810C-74C9-48BE-9F66-03F1D0CD64CA}"/>
    <cellStyle name="Comma 9 7 5 2 3" xfId="33803" xr:uid="{E3AAF29E-8704-4546-B14D-F43D671A519D}"/>
    <cellStyle name="Comma 9 7 5 3" xfId="11899" xr:uid="{C583A21B-6B9D-4837-A6EA-44EC9BD9C70A}"/>
    <cellStyle name="Comma 9 7 5 3 2" xfId="48407" xr:uid="{62C83BE1-B172-4849-986C-B35850834014}"/>
    <cellStyle name="Comma 9 7 5 3 3" xfId="30153" xr:uid="{64F727C7-2BB2-4101-B9D7-137FB3BF3E55}"/>
    <cellStyle name="Comma 9 7 5 4" xfId="8249" xr:uid="{4842ECB0-688A-44A9-ABCC-E3F8F6A062C7}"/>
    <cellStyle name="Comma 9 7 5 4 2" xfId="44757" xr:uid="{5915FB6C-E400-4624-B2C6-99B6623CF986}"/>
    <cellStyle name="Comma 9 7 5 4 3" xfId="26503" xr:uid="{6D5541DA-528F-40F7-8336-43741F529B95}"/>
    <cellStyle name="Comma 9 7 5 5" xfId="4599" xr:uid="{A89BCD6C-6E2C-4AEF-8A84-7798C43BB135}"/>
    <cellStyle name="Comma 9 7 5 5 2" xfId="41107" xr:uid="{EC4907ED-61EE-44AA-B00C-0EE8148E0A6F}"/>
    <cellStyle name="Comma 9 7 5 5 3" xfId="22853" xr:uid="{3074A674-E0B3-4E7E-8109-AEDCD5C77F27}"/>
    <cellStyle name="Comma 9 7 5 6" xfId="37457" xr:uid="{2C8E77A7-56DA-491B-8B38-B7DA227FB92C}"/>
    <cellStyle name="Comma 9 7 5 7" xfId="19203" xr:uid="{1C2531D2-34FB-43CD-8640-D1D5C916B3C6}"/>
    <cellStyle name="Comma 9 7 6" xfId="14819" xr:uid="{E56F5E60-9E7B-4F2B-A36F-8692FF71F736}"/>
    <cellStyle name="Comma 9 7 6 2" xfId="51327" xr:uid="{BFEC2159-3445-455F-8110-E4B90AC773DE}"/>
    <cellStyle name="Comma 9 7 6 3" xfId="33073" xr:uid="{9B691B7C-CCE2-49C3-B88B-B45A69C2A648}"/>
    <cellStyle name="Comma 9 7 7" xfId="11169" xr:uid="{2602FE38-7B7D-49BA-9481-2901ED131CAB}"/>
    <cellStyle name="Comma 9 7 7 2" xfId="47677" xr:uid="{D579E977-6656-49CC-9986-3806F49C8A2F}"/>
    <cellStyle name="Comma 9 7 7 3" xfId="29423" xr:uid="{2CED23CE-47E3-41CB-AC66-0F08C4CA59BA}"/>
    <cellStyle name="Comma 9 7 8" xfId="7519" xr:uid="{9ABCEB6C-FB2D-4BE8-903A-DD561341938D}"/>
    <cellStyle name="Comma 9 7 8 2" xfId="44027" xr:uid="{A1E7F808-9E45-459E-84E9-5BD782D75C53}"/>
    <cellStyle name="Comma 9 7 8 3" xfId="25773" xr:uid="{E8188421-1044-46CE-9C73-AE3453AD4D46}"/>
    <cellStyle name="Comma 9 7 9" xfId="3869" xr:uid="{A855372F-60DD-4F1D-921F-11BB87188E76}"/>
    <cellStyle name="Comma 9 7 9 2" xfId="40377" xr:uid="{10100F12-6752-4670-98F7-E28EFEEA068D}"/>
    <cellStyle name="Comma 9 7 9 3" xfId="22123" xr:uid="{29794B71-1EFA-44CB-ABCA-50499B8CC3ED}"/>
    <cellStyle name="Comma 9 8" xfId="3035" xr:uid="{96053DF1-F8A6-434A-ACE8-C9E407708966}"/>
    <cellStyle name="Comma 9 8 2" xfId="17635" xr:uid="{6E07E545-33C1-4540-B0A3-86C633546431}"/>
    <cellStyle name="Comma 9 8 2 2" xfId="54143" xr:uid="{2226E599-36E9-4F71-A8C0-E7470B6271A1}"/>
    <cellStyle name="Comma 9 8 2 3" xfId="35889" xr:uid="{673560B4-39F9-43C4-94B8-99FDAA421CD0}"/>
    <cellStyle name="Comma 9 8 3" xfId="13985" xr:uid="{E1529318-C47D-40E2-98B0-3770A1F27C42}"/>
    <cellStyle name="Comma 9 8 3 2" xfId="50493" xr:uid="{23264795-CC66-4D79-9D83-C34C43819D21}"/>
    <cellStyle name="Comma 9 8 3 3" xfId="32239" xr:uid="{0C1ECB7F-8E7C-4E5C-BF09-6CE338339978}"/>
    <cellStyle name="Comma 9 8 4" xfId="10335" xr:uid="{57BC3AB3-EB19-464D-B816-32B572488EEC}"/>
    <cellStyle name="Comma 9 8 4 2" xfId="46843" xr:uid="{37BB881A-AE33-4845-88B2-807FC34B6B2A}"/>
    <cellStyle name="Comma 9 8 4 3" xfId="28589" xr:uid="{4A34F24F-7938-4A26-A2B5-1740B260C14D}"/>
    <cellStyle name="Comma 9 8 5" xfId="6685" xr:uid="{5D0D6221-66DB-4076-9987-B988E5048071}"/>
    <cellStyle name="Comma 9 8 5 2" xfId="43193" xr:uid="{0F93E4FF-C3AF-489D-92DA-C9A4975B8399}"/>
    <cellStyle name="Comma 9 8 5 3" xfId="24939" xr:uid="{5B97CE2F-765F-486E-99A0-FD85AAAB50E5}"/>
    <cellStyle name="Comma 9 8 6" xfId="39543" xr:uid="{7BC29D59-9DBC-4241-90AC-3E1D3A8DB7C2}"/>
    <cellStyle name="Comma 9 8 7" xfId="21289" xr:uid="{E6871BAC-066E-4977-9A31-5CA55183CE3B}"/>
    <cellStyle name="Comma 9 9" xfId="2305" xr:uid="{B33A2B16-1906-483B-B5DF-9ABAD90D140D}"/>
    <cellStyle name="Comma 9 9 2" xfId="16905" xr:uid="{EB8DAC5F-3533-4282-A644-36A5D7A8B9FA}"/>
    <cellStyle name="Comma 9 9 2 2" xfId="53413" xr:uid="{D8F93383-CA5B-450C-BA3E-942F6FBAA495}"/>
    <cellStyle name="Comma 9 9 2 3" xfId="35159" xr:uid="{E13E65BB-DFD1-42F2-9B57-CBB91877A057}"/>
    <cellStyle name="Comma 9 9 3" xfId="13255" xr:uid="{CAE127D8-787F-4CB8-A515-F2329C4488E4}"/>
    <cellStyle name="Comma 9 9 3 2" xfId="49763" xr:uid="{35B44C7E-022A-44CD-B7CE-06460609D5B1}"/>
    <cellStyle name="Comma 9 9 3 3" xfId="31509" xr:uid="{6727CFF1-EB99-4A4E-B199-0B0AD02E8D36}"/>
    <cellStyle name="Comma 9 9 4" xfId="9605" xr:uid="{E2EB173F-D030-4328-B8B8-435731916B96}"/>
    <cellStyle name="Comma 9 9 4 2" xfId="46113" xr:uid="{0C01B50C-69DB-497A-B6A4-43D6F33C7899}"/>
    <cellStyle name="Comma 9 9 4 3" xfId="27859" xr:uid="{9B6BAC80-DEA4-41C2-95D7-C858981CEB04}"/>
    <cellStyle name="Comma 9 9 5" xfId="5955" xr:uid="{158ECD36-49E9-4EE9-B7CE-2476911F3AC9}"/>
    <cellStyle name="Comma 9 9 5 2" xfId="42463" xr:uid="{5461555C-BA0C-4C66-BD45-3CF2271290CA}"/>
    <cellStyle name="Comma 9 9 5 3" xfId="24209" xr:uid="{D79E9D37-C582-4D52-B61C-8C9BB2B47A34}"/>
    <cellStyle name="Comma 9 9 6" xfId="38813" xr:uid="{A4547E50-BD46-41C4-BBAC-DCFEB5FDA8E8}"/>
    <cellStyle name="Comma 9 9 7" xfId="20559" xr:uid="{B614FD25-F87A-4BD8-B330-54CF1333FB57}"/>
    <cellStyle name="Good" xfId="54783" builtinId="26"/>
    <cellStyle name="Hyperlink" xfId="5" builtinId="8"/>
    <cellStyle name="Normal" xfId="0" builtinId="0"/>
    <cellStyle name="Normal 2 2" xfId="6" xr:uid="{00000000-0005-0000-0000-000013000000}"/>
    <cellStyle name="Normal 2 3" xfId="8" xr:uid="{00000000-0005-0000-0000-000014000000}"/>
    <cellStyle name="Normal 2 4" xfId="26" xr:uid="{25BAA5A3-A6B6-46CA-82A5-0D279CB8837A}"/>
    <cellStyle name="Normal 2 4 2" xfId="100" xr:uid="{0C0525E5-0FEB-46AE-BE19-2370CD1616A7}"/>
    <cellStyle name="Normal 2 4 3" xfId="64" xr:uid="{72DA5720-D205-4F8E-87AF-705AD95D9C97}"/>
    <cellStyle name="Normal 2 5" xfId="83" xr:uid="{BA574547-43B9-4A56-A405-22478DC3ECFD}"/>
    <cellStyle name="Normal 2 6" xfId="45" xr:uid="{D22D4738-3C77-4674-AECC-8D1F4674A82D}"/>
    <cellStyle name="Normal 26 2" xfId="25" xr:uid="{A4765FB8-93D0-466A-A752-1F56FBA86277}"/>
    <cellStyle name="Normal 26 2 3" xfId="63" xr:uid="{1C9783AC-6BA7-4097-AFE7-C45EE7221F94}"/>
    <cellStyle name="Normal 26 3" xfId="82" xr:uid="{D9EE3D81-C114-4A77-9774-74ACC3F4960E}"/>
    <cellStyle name="Normal 26 4" xfId="44" xr:uid="{7D0E652C-9623-4626-9F85-6E64155BE923}"/>
    <cellStyle name="Normal 27" xfId="4" xr:uid="{00000000-0005-0000-0000-000016000000}"/>
    <cellStyle name="Percent" xfId="2" builtinId="5"/>
    <cellStyle name="Percent 2" xfId="3" xr:uid="{00000000-0005-0000-0000-000018000000}"/>
    <cellStyle name="Percent 3" xfId="24" xr:uid="{7DB74DAF-AB8D-4672-AFF4-A2F93CA916AE}"/>
    <cellStyle name="Percent 3 3" xfId="62" xr:uid="{369113F2-1BF9-407E-B853-FC593ABF8783}"/>
    <cellStyle name="Percent 4" xfId="7" xr:uid="{00000000-0005-0000-0000-000019000000}"/>
    <cellStyle name="Percent 5" xfId="81" xr:uid="{C66D3F74-84E5-471A-ADBF-96F273A4A16F}"/>
    <cellStyle name="Percent 6" xfId="43" xr:uid="{17925956-C1F4-471B-9789-7432695710A4}"/>
  </cellStyles>
  <dxfs count="37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006100"/>
      </font>
      <fill>
        <patternFill>
          <bgColor rgb="FFC6EFCE"/>
        </patternFill>
      </fill>
    </dxf>
    <dxf>
      <font>
        <color rgb="FF9C0006"/>
      </font>
      <fill>
        <patternFill>
          <bgColor rgb="FFFFC7CE"/>
        </patternFill>
      </fill>
    </dxf>
    <dxf>
      <numFmt numFmtId="35" formatCode="_ * #,##0.00_ ;_ * \-#,##0.00_ ;_ * &quot;-&quot;??_ ;_ @_ "/>
    </dxf>
    <dxf>
      <numFmt numFmtId="1" formatCode="0"/>
      <fill>
        <patternFill patternType="solid">
          <fgColor indexed="64"/>
          <bgColor theme="0" tint="-0.14999847407452621"/>
        </patternFill>
      </fill>
      <alignment horizontal="center" vertical="bottom" textRotation="0" wrapText="0" indent="0" justifyLastLine="0" shrinkToFit="0" readingOrder="0"/>
      <border diagonalUp="0" diagonalDown="0">
        <left style="dotted">
          <color theme="2" tint="-9.9948118533890809E-2"/>
        </left>
        <right style="dotted">
          <color theme="2" tint="-9.9948118533890809E-2"/>
        </right>
        <top style="dotted">
          <color theme="2" tint="-9.9948118533890809E-2"/>
        </top>
        <bottom style="dotted">
          <color theme="2" tint="-9.9948118533890809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0" tint="-0.14999847407452621"/>
        </patternFill>
      </fill>
    </dxf>
    <dxf>
      <numFmt numFmtId="169" formatCode="0.0%"/>
      <fill>
        <patternFill patternType="solid">
          <fgColor indexed="64"/>
          <bgColor theme="0" tint="-0.14999847407452621"/>
        </patternFill>
      </fill>
      <border diagonalUp="0" diagonalDown="0">
        <left style="dotted">
          <color theme="2" tint="-9.9948118533890809E-2"/>
        </left>
        <right style="dotted">
          <color theme="2" tint="-9.9948118533890809E-2"/>
        </right>
        <top style="dotted">
          <color theme="2" tint="-9.9948118533890809E-2"/>
        </top>
        <bottom style="dotted">
          <color theme="2" tint="-9.9948118533890809E-2"/>
        </bottom>
        <vertical/>
        <horizontal/>
      </border>
    </dxf>
    <dxf>
      <font>
        <b val="0"/>
        <i val="0"/>
        <strike val="0"/>
        <condense val="0"/>
        <extend val="0"/>
        <outline val="0"/>
        <shadow val="0"/>
        <u val="none"/>
        <vertAlign val="baseline"/>
        <sz val="11"/>
        <color theme="1"/>
        <name val="Calibri"/>
        <scheme val="minor"/>
      </font>
      <numFmt numFmtId="169" formatCode="0.0%"/>
      <fill>
        <patternFill patternType="solid">
          <fgColor indexed="64"/>
          <bgColor theme="0" tint="-0.14999847407452621"/>
        </patternFill>
      </fill>
      <border diagonalUp="0" diagonalDown="0">
        <left style="dotted">
          <color theme="2" tint="-9.9948118533890809E-2"/>
        </left>
        <right style="dotted">
          <color theme="2" tint="-9.9948118533890809E-2"/>
        </right>
        <top style="dotted">
          <color theme="2" tint="-9.9948118533890809E-2"/>
        </top>
        <bottom style="dotted">
          <color theme="2" tint="-9.9948118533890809E-2"/>
        </bottom>
      </border>
    </dxf>
    <dxf>
      <font>
        <b val="0"/>
        <i val="0"/>
        <strike val="0"/>
        <condense val="0"/>
        <extend val="0"/>
        <outline val="0"/>
        <shadow val="0"/>
        <u val="none"/>
        <vertAlign val="baseline"/>
        <sz val="11"/>
        <color theme="1"/>
        <name val="Calibri"/>
        <scheme val="minor"/>
      </font>
      <numFmt numFmtId="169" formatCode="0.0%"/>
      <fill>
        <patternFill patternType="solid">
          <fgColor indexed="64"/>
          <bgColor theme="0" tint="-0.14999847407452621"/>
        </patternFill>
      </fill>
      <border diagonalUp="0" diagonalDown="0">
        <left style="dotted">
          <color theme="2" tint="-9.9948118533890809E-2"/>
        </left>
        <right style="dotted">
          <color theme="2" tint="-9.9948118533890809E-2"/>
        </right>
        <top style="dotted">
          <color theme="2" tint="-9.9948118533890809E-2"/>
        </top>
        <bottom style="dotted">
          <color theme="2" tint="-9.9948118533890809E-2"/>
        </bottom>
      </border>
    </dxf>
    <dxf>
      <numFmt numFmtId="164" formatCode="0.0"/>
      <fill>
        <patternFill patternType="solid">
          <fgColor indexed="64"/>
          <bgColor theme="0" tint="-0.14999847407452621"/>
        </patternFill>
      </fill>
      <alignment horizontal="center" textRotation="0" indent="0" justifyLastLine="0" shrinkToFit="0" readingOrder="0"/>
      <border diagonalUp="0" diagonalDown="0" outline="0">
        <left style="dotted">
          <color theme="2" tint="-9.9948118533890809E-2"/>
        </left>
        <right style="dotted">
          <color theme="2" tint="-9.9948118533890809E-2"/>
        </right>
        <top style="dotted">
          <color theme="2" tint="-9.9948118533890809E-2"/>
        </top>
        <bottom style="dotted">
          <color theme="2" tint="-9.9948118533890809E-2"/>
        </bottom>
      </border>
    </dxf>
    <dxf>
      <numFmt numFmtId="173" formatCode="0.000"/>
      <fill>
        <patternFill patternType="solid">
          <fgColor indexed="64"/>
          <bgColor theme="0" tint="-0.14999847407452621"/>
        </patternFill>
      </fill>
      <alignment horizontal="center" textRotation="0" indent="0" justifyLastLine="0" shrinkToFit="0" readingOrder="0"/>
      <border diagonalUp="0" diagonalDown="0" outline="0">
        <left style="dotted">
          <color theme="2" tint="-9.9948118533890809E-2"/>
        </left>
        <right style="dotted">
          <color theme="2" tint="-9.9948118533890809E-2"/>
        </right>
        <top style="dotted">
          <color theme="2" tint="-9.9948118533890809E-2"/>
        </top>
        <bottom style="dotted">
          <color theme="2" tint="-9.9948118533890809E-2"/>
        </bottom>
      </border>
    </dxf>
    <dxf>
      <numFmt numFmtId="164" formatCode="0.0"/>
      <fill>
        <patternFill patternType="solid">
          <fgColor indexed="64"/>
          <bgColor theme="0" tint="-0.14999847407452621"/>
        </patternFill>
      </fill>
      <alignment horizontal="center" vertical="bottom" textRotation="0" wrapText="0" indent="0" justifyLastLine="0" shrinkToFit="0" readingOrder="0"/>
      <border diagonalUp="0" diagonalDown="0" outline="0">
        <left style="dotted">
          <color theme="2" tint="-9.9948118533890809E-2"/>
        </left>
        <right style="dotted">
          <color theme="2" tint="-9.9948118533890809E-2"/>
        </right>
        <top style="dotted">
          <color theme="2" tint="-9.9948118533890809E-2"/>
        </top>
        <bottom style="dotted">
          <color theme="2" tint="-9.9948118533890809E-2"/>
        </bottom>
      </border>
    </dxf>
    <dxf>
      <numFmt numFmtId="1" formatCode="0"/>
      <fill>
        <patternFill patternType="solid">
          <fgColor indexed="64"/>
          <bgColor theme="0" tint="-0.14999847407452621"/>
        </patternFill>
      </fill>
      <alignment horizontal="center" vertical="bottom" textRotation="0" wrapText="0" indent="0" justifyLastLine="0" shrinkToFit="0" readingOrder="0"/>
      <border diagonalUp="0" diagonalDown="0">
        <left style="dotted">
          <color theme="2" tint="-9.9948118533890809E-2"/>
        </left>
        <right style="dotted">
          <color theme="2" tint="-9.9948118533890809E-2"/>
        </right>
        <top style="dotted">
          <color theme="2" tint="-9.9948118533890809E-2"/>
        </top>
        <bottom style="dotted">
          <color theme="2" tint="-9.9948118533890809E-2"/>
        </bottom>
        <vertical/>
        <horizontal/>
      </border>
    </dxf>
    <dxf>
      <numFmt numFmtId="1" formatCode="0"/>
      <fill>
        <patternFill patternType="solid">
          <fgColor indexed="64"/>
          <bgColor theme="0" tint="-0.14999847407452621"/>
        </patternFill>
      </fill>
      <alignment horizontal="center" vertical="bottom" textRotation="0" wrapText="0" indent="0" justifyLastLine="0" shrinkToFit="0" readingOrder="0"/>
      <border diagonalUp="0" diagonalDown="0">
        <left style="dotted">
          <color theme="2" tint="-9.9948118533890809E-2"/>
        </left>
        <right style="dotted">
          <color theme="2" tint="-9.9948118533890809E-2"/>
        </right>
        <top style="dotted">
          <color theme="2" tint="-9.9948118533890809E-2"/>
        </top>
        <bottom style="dotted">
          <color theme="2" tint="-9.9948118533890809E-2"/>
        </bottom>
      </border>
    </dxf>
    <dxf>
      <numFmt numFmtId="1" formatCode="0"/>
      <fill>
        <patternFill patternType="solid">
          <fgColor indexed="64"/>
          <bgColor theme="0" tint="-0.14999847407452621"/>
        </patternFill>
      </fill>
      <alignment horizontal="center" vertical="bottom" textRotation="0" wrapText="0" indent="0" justifyLastLine="0" shrinkToFit="0" readingOrder="0"/>
      <border diagonalUp="0" diagonalDown="0" outline="0">
        <left style="dotted">
          <color theme="2" tint="-9.9948118533890809E-2"/>
        </left>
        <right style="dotted">
          <color theme="2" tint="-9.9948118533890809E-2"/>
        </right>
        <top style="dotted">
          <color theme="2" tint="-9.9948118533890809E-2"/>
        </top>
        <bottom style="dotted">
          <color theme="2" tint="-9.9948118533890809E-2"/>
        </bottom>
      </border>
    </dxf>
    <dxf>
      <fill>
        <patternFill patternType="solid">
          <fgColor indexed="64"/>
          <bgColor theme="0" tint="-0.14999847407452621"/>
        </patternFill>
      </fill>
      <alignment horizontal="center" vertical="bottom" textRotation="0" wrapText="0" indent="0" justifyLastLine="0" shrinkToFit="0" readingOrder="0"/>
      <border diagonalUp="0" diagonalDown="0" outline="0">
        <left style="dotted">
          <color theme="2" tint="-9.9948118533890809E-2"/>
        </left>
        <right style="dotted">
          <color theme="2" tint="-9.9948118533890809E-2"/>
        </right>
        <top style="dotted">
          <color theme="2" tint="-9.9948118533890809E-2"/>
        </top>
        <bottom style="dotted">
          <color theme="2" tint="-9.9948118533890809E-2"/>
        </bottom>
      </border>
    </dxf>
    <dxf>
      <numFmt numFmtId="22" formatCode="mmm/yy"/>
      <fill>
        <patternFill patternType="solid">
          <fgColor indexed="64"/>
          <bgColor theme="0" tint="-0.14999847407452621"/>
        </patternFill>
      </fill>
      <alignment horizontal="center" vertical="bottom" textRotation="0" wrapText="0" indent="0" justifyLastLine="0" shrinkToFit="0" readingOrder="0"/>
      <border diagonalUp="0" diagonalDown="0" outline="0">
        <left style="dotted">
          <color theme="2" tint="-9.9948118533890809E-2"/>
        </left>
        <right style="dotted">
          <color theme="2" tint="-9.9948118533890809E-2"/>
        </right>
        <top style="dotted">
          <color theme="2" tint="-9.9948118533890809E-2"/>
        </top>
        <bottom style="dotted">
          <color theme="2" tint="-9.9948118533890809E-2"/>
        </bottom>
      </border>
    </dxf>
    <dxf>
      <fill>
        <patternFill patternType="solid">
          <fgColor indexed="64"/>
          <bgColor theme="0" tint="-0.14999847407452621"/>
        </patternFill>
      </fill>
      <alignment horizontal="center" vertical="bottom" textRotation="0" wrapText="0" indent="0" justifyLastLine="0" shrinkToFit="0" readingOrder="0"/>
      <border diagonalUp="0" diagonalDown="0">
        <left style="dotted">
          <color theme="2" tint="-9.9948118533890809E-2"/>
        </left>
        <right style="dotted">
          <color theme="2" tint="-9.9948118533890809E-2"/>
        </right>
        <top style="dotted">
          <color theme="2" tint="-9.9948118533890809E-2"/>
        </top>
        <bottom style="dotted">
          <color theme="2" tint="-9.9948118533890809E-2"/>
        </bottom>
        <vertical/>
        <horizontal/>
      </border>
    </dxf>
    <dxf>
      <numFmt numFmtId="1" formatCode="0"/>
      <fill>
        <patternFill patternType="solid">
          <fgColor indexed="64"/>
          <bgColor theme="0" tint="-0.14999847407452621"/>
        </patternFill>
      </fill>
      <alignment horizontal="center" textRotation="0" wrapText="0" indent="0" justifyLastLine="0" shrinkToFit="0" readingOrder="0"/>
      <border diagonalUp="0" diagonalDown="0" outline="0">
        <left style="dotted">
          <color theme="2" tint="-9.9948118533890809E-2"/>
        </left>
        <right style="dotted">
          <color theme="2" tint="-9.9948118533890809E-2"/>
        </right>
        <top style="dotted">
          <color theme="2" tint="-9.9948118533890809E-2"/>
        </top>
        <bottom style="dotted">
          <color theme="2" tint="-9.9948118533890809E-2"/>
        </bottom>
      </border>
    </dxf>
    <dxf>
      <numFmt numFmtId="19" formatCode="dd/mm/yyyy"/>
      <fill>
        <patternFill patternType="solid">
          <fgColor indexed="64"/>
          <bgColor theme="0" tint="-0.14999847407452621"/>
        </patternFill>
      </fill>
      <alignment horizontal="center" vertical="bottom" textRotation="0" wrapText="0" indent="0" justifyLastLine="0" shrinkToFit="0" readingOrder="0"/>
      <border diagonalUp="0" diagonalDown="0" outline="0">
        <left/>
        <right style="dotted">
          <color theme="2" tint="-9.9948118533890809E-2"/>
        </right>
        <top style="dotted">
          <color theme="2" tint="-9.9948118533890809E-2"/>
        </top>
        <bottom style="dotted">
          <color theme="2" tint="-9.9948118533890809E-2"/>
        </bottom>
      </border>
    </dxf>
    <dxf>
      <border>
        <top style="dotted">
          <color theme="2" tint="-9.9948118533890809E-2"/>
        </top>
      </border>
    </dxf>
    <dxf>
      <border diagonalUp="0" diagonalDown="0">
        <left style="dotted">
          <color theme="2" tint="-9.9948118533890809E-2"/>
        </left>
        <right style="dotted">
          <color theme="2" tint="-9.9948118533890809E-2"/>
        </right>
        <top style="dotted">
          <color theme="2" tint="-9.9948118533890809E-2"/>
        </top>
        <bottom style="dotted">
          <color theme="2" tint="-9.9948118533890809E-2"/>
        </bottom>
      </border>
    </dxf>
    <dxf>
      <border>
        <bottom style="dotted">
          <color theme="2" tint="-9.9948118533890809E-2"/>
        </bottom>
      </border>
    </dxf>
    <dxf>
      <font>
        <b val="0"/>
        <i val="0"/>
        <strike val="0"/>
        <condense val="0"/>
        <extend val="0"/>
        <outline val="0"/>
        <shadow val="0"/>
        <u val="none"/>
        <vertAlign val="baseline"/>
        <sz val="10"/>
        <color auto="1"/>
        <name val="Trebuchet MS"/>
        <scheme val="none"/>
      </font>
      <fill>
        <patternFill patternType="solid">
          <fgColor indexed="64"/>
          <bgColor theme="2" tint="-0.249977111117893"/>
        </patternFill>
      </fill>
      <alignment horizontal="center" vertical="center" textRotation="0" wrapText="1" indent="0" justifyLastLine="0" shrinkToFit="0" readingOrder="0"/>
      <border diagonalUp="0" diagonalDown="0">
        <left style="dotted">
          <color theme="2" tint="-9.9948118533890809E-2"/>
        </left>
        <right style="dotted">
          <color theme="2" tint="-9.9948118533890809E-2"/>
        </right>
        <top/>
        <bottom/>
        <vertical style="dotted">
          <color theme="2" tint="-9.9948118533890809E-2"/>
        </vertical>
        <horizontal style="dotted">
          <color theme="2" tint="-9.9948118533890809E-2"/>
        </horizontal>
      </border>
    </dxf>
    <dxf>
      <font>
        <b/>
        <i val="0"/>
        <strike val="0"/>
        <condense val="0"/>
        <extend val="0"/>
        <outline val="0"/>
        <shadow val="0"/>
        <u val="none"/>
        <vertAlign val="baseline"/>
        <sz val="11"/>
        <color theme="0"/>
        <name val="Calibri"/>
        <family val="2"/>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left/>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left/>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charset val="134"/>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charset val="134"/>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charset val="134"/>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charset val="134"/>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charset val="134"/>
        <scheme val="minor"/>
      </font>
      <numFmt numFmtId="14" formatCode="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charset val="134"/>
        <scheme val="minor"/>
      </font>
      <numFmt numFmtId="14" formatCode="0.00%"/>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charset val="134"/>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family val="2"/>
        <charset val="134"/>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left/>
        <right/>
        <top style="thin">
          <color theme="4" tint="0.39997558519241921"/>
        </top>
        <bottom/>
      </border>
    </dxf>
    <dxf>
      <font>
        <b/>
        <i val="0"/>
        <strike val="0"/>
        <condense val="0"/>
        <extend val="0"/>
        <outline val="0"/>
        <shadow val="0"/>
        <u val="none"/>
        <vertAlign val="baseline"/>
        <sz val="11"/>
        <color theme="0"/>
        <name val="Calibri"/>
        <family val="2"/>
        <scheme val="minor"/>
      </font>
      <numFmt numFmtId="164" formatCode="0.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numFmt numFmtId="164" formatCode="0.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numFmt numFmtId="2" formatCode="0.00"/>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numFmt numFmtId="164" formatCode="0.0"/>
      <fill>
        <patternFill patternType="none">
          <fgColor indexed="64"/>
          <bgColor auto="1"/>
        </patternFill>
      </fill>
      <alignment horizontal="center" vertical="center" textRotation="0" wrapText="0" indent="0" justifyLastLine="0" shrinkToFit="0" readingOrder="0"/>
      <border diagonalUp="0" diagonalDown="0">
        <left/>
        <right/>
        <top style="thin">
          <color theme="4" tint="0.39997558519241921"/>
        </top>
        <bottom/>
      </border>
    </dxf>
    <dxf>
      <numFmt numFmtId="14" formatCode="0.00%"/>
      <fill>
        <patternFill patternType="none">
          <fgColor indexed="64"/>
          <bgColor auto="1"/>
        </patternFill>
      </fill>
      <alignment horizontal="center" vertical="center" textRotation="0" wrapText="0" indent="0" justifyLastLine="0" shrinkToFit="0" readingOrder="0"/>
    </dxf>
    <dxf>
      <numFmt numFmtId="14" formatCode="0.00%"/>
      <fill>
        <patternFill patternType="none">
          <fgColor indexed="64"/>
          <bgColor auto="1"/>
        </patternFill>
      </fill>
      <alignment horizontal="center" vertical="center" textRotation="0" wrapText="0" indent="0" justifyLastLine="0" shrinkToFit="0" readingOrder="0"/>
    </dxf>
    <dxf>
      <numFmt numFmtId="14" formatCode="0.00%"/>
      <fill>
        <patternFill patternType="none">
          <fgColor indexed="64"/>
          <bgColor auto="1"/>
        </patternFill>
      </fill>
      <alignment horizontal="center" vertical="center" textRotation="0" wrapText="0" indent="0" justifyLastLine="0" shrinkToFit="0" readingOrder="0"/>
    </dxf>
    <dxf>
      <numFmt numFmtId="1" formatCode="0"/>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left/>
        <right/>
        <top style="thin">
          <color theme="4" tint="0.39997558519241921"/>
        </top>
        <bottom/>
      </border>
    </dxf>
    <dxf>
      <font>
        <b/>
        <i val="0"/>
        <strike val="0"/>
        <condense val="0"/>
        <extend val="0"/>
        <outline val="0"/>
        <shadow val="0"/>
        <u val="none"/>
        <vertAlign val="baseline"/>
        <sz val="11"/>
        <color theme="0"/>
        <name val="Calibri"/>
        <family val="2"/>
        <scheme val="minor"/>
      </font>
      <numFmt numFmtId="164" formatCode="0.0"/>
      <fill>
        <patternFill patternType="none">
          <fgColor indexed="64"/>
          <bgColor auto="1"/>
        </patternFill>
      </fill>
      <alignment horizontal="center" vertical="center" textRotation="0" wrapText="0" indent="0" justifyLastLine="0" shrinkToFit="0" readingOrder="0"/>
      <border diagonalUp="0" diagonalDown="0">
        <left/>
        <right/>
        <top style="thin">
          <color theme="4" tint="0.39997558519241921"/>
        </top>
        <bottom/>
      </border>
    </dxf>
    <dxf>
      <numFmt numFmtId="1" formatCode="0"/>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right/>
        <top style="thin">
          <color theme="4" tint="0.39997558519241921"/>
        </top>
        <bottom/>
      </border>
    </dxf>
    <dxf>
      <font>
        <b/>
        <i val="0"/>
        <strike val="0"/>
        <condense val="0"/>
        <extend val="0"/>
        <outline val="0"/>
        <shadow val="0"/>
        <u val="none"/>
        <vertAlign val="baseline"/>
        <sz val="11"/>
        <color theme="0"/>
        <name val="Calibri"/>
        <family val="2"/>
        <scheme val="minor"/>
      </font>
      <numFmt numFmtId="164" formatCode="0.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family val="2"/>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family val="2"/>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family val="2"/>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family val="2"/>
        <scheme val="minor"/>
      </font>
      <numFmt numFmtId="164" formatCode="0.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family val="2"/>
        <scheme val="minor"/>
      </font>
      <numFmt numFmtId="22" formatCode="mmm/yy"/>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family val="2"/>
        <charset val="134"/>
        <scheme val="minor"/>
      </font>
      <numFmt numFmtId="22" formatCode="mmm/yy"/>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family val="2"/>
        <charset val="134"/>
        <scheme val="minor"/>
      </font>
      <numFmt numFmtId="22" formatCode="mmm/yy"/>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center" vertical="center"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center" vertical="center" textRotation="0" wrapText="1" indent="0" justifyLastLine="0" shrinkToFit="0" readingOrder="0"/>
    </dxf>
    <dxf>
      <numFmt numFmtId="14" formatCode="0.00%"/>
    </dxf>
    <dxf>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mbria"/>
        <family val="1"/>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mbria"/>
        <family val="1"/>
        <scheme val="none"/>
      </font>
      <numFmt numFmtId="2" formatCode="0.00"/>
      <fill>
        <patternFill patternType="solid">
          <fgColor indexed="64"/>
          <bgColor theme="0" tint="-0.14999847407452621"/>
        </patternFill>
      </fill>
      <alignment horizontal="center" vertical="bottom" textRotation="0" wrapText="0" indent="0" justifyLastLine="0" shrinkToFit="0" readingOrder="0"/>
      <border diagonalUp="0" diagonalDown="0">
        <left style="dotted">
          <color theme="2" tint="-9.9948118533890809E-2"/>
        </left>
        <right style="dotted">
          <color theme="2" tint="-9.9948118533890809E-2"/>
        </right>
        <top style="dotted">
          <color theme="2" tint="-9.9948118533890809E-2"/>
        </top>
        <bottom style="dotted">
          <color theme="2" tint="-9.9948118533890809E-2"/>
        </bottom>
        <vertical/>
        <horizontal/>
      </border>
    </dxf>
    <dxf>
      <font>
        <b val="0"/>
        <i val="0"/>
        <strike val="0"/>
        <condense val="0"/>
        <extend val="0"/>
        <outline val="0"/>
        <shadow val="0"/>
        <u val="none"/>
        <vertAlign val="baseline"/>
        <sz val="11"/>
        <color theme="1"/>
        <name val="Cambria"/>
        <family val="1"/>
        <scheme val="none"/>
      </font>
      <numFmt numFmtId="2" formatCode="0.00"/>
      <fill>
        <patternFill patternType="solid">
          <fgColor indexed="64"/>
          <bgColor theme="0" tint="-0.14999847407452621"/>
        </patternFill>
      </fill>
      <alignment horizontal="center" vertical="bottom" textRotation="0" wrapText="0" indent="0" justifyLastLine="0" shrinkToFit="0" readingOrder="0"/>
      <border diagonalUp="0" diagonalDown="0">
        <left style="dotted">
          <color theme="2" tint="-9.9948118533890809E-2"/>
        </left>
        <right style="dotted">
          <color theme="2" tint="-9.9948118533890809E-2"/>
        </right>
        <top style="dotted">
          <color theme="2" tint="-9.9948118533890809E-2"/>
        </top>
        <bottom style="dotted">
          <color theme="2" tint="-9.9948118533890809E-2"/>
        </bottom>
        <vertical/>
        <horizontal/>
      </border>
    </dxf>
    <dxf>
      <font>
        <b val="0"/>
        <i val="0"/>
        <strike val="0"/>
        <condense val="0"/>
        <extend val="0"/>
        <outline val="0"/>
        <shadow val="0"/>
        <u val="none"/>
        <vertAlign val="baseline"/>
        <sz val="11"/>
        <color theme="1"/>
        <name val="Cambria"/>
        <family val="1"/>
        <scheme val="none"/>
      </font>
      <numFmt numFmtId="2" formatCode="0.00"/>
      <fill>
        <patternFill patternType="solid">
          <fgColor indexed="64"/>
          <bgColor theme="0" tint="-0.14999847407452621"/>
        </patternFill>
      </fill>
      <alignment horizontal="center" vertical="bottom" textRotation="0" wrapText="0" indent="0" justifyLastLine="0" shrinkToFit="0" readingOrder="0"/>
      <border diagonalUp="0" diagonalDown="0">
        <left style="dotted">
          <color theme="2" tint="-9.9948118533890809E-2"/>
        </left>
        <right style="dotted">
          <color theme="2" tint="-9.9948118533890809E-2"/>
        </right>
        <top style="dotted">
          <color theme="2" tint="-9.9948118533890809E-2"/>
        </top>
        <bottom style="dotted">
          <color theme="2" tint="-9.9948118533890809E-2"/>
        </bottom>
        <vertical/>
        <horizontal/>
      </border>
    </dxf>
    <dxf>
      <numFmt numFmtId="25" formatCode="hh:mm"/>
      <alignment horizontal="center" vertical="bottom" textRotation="0" wrapText="0" indent="0" justifyLastLine="0" shrinkToFit="0" readingOrder="0"/>
    </dxf>
    <dxf>
      <numFmt numFmtId="25" formatCode="hh:mm"/>
      <alignment horizontal="center" vertical="bottom" textRotation="0" wrapText="0" indent="0" justifyLastLine="0" shrinkToFit="0" readingOrder="0"/>
    </dxf>
    <dxf>
      <numFmt numFmtId="170" formatCode="h:mm;@"/>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9" formatCode="0.0%"/>
      <fill>
        <patternFill patternType="none">
          <fgColor indexed="64"/>
          <bgColor indexed="65"/>
        </patternFill>
      </fill>
      <alignment horizontal="center" vertical="bottom" textRotation="0" wrapText="0" indent="0" justifyLastLine="0" shrinkToFit="0" readingOrder="0"/>
    </dxf>
    <dxf>
      <numFmt numFmtId="0" formatCode="General"/>
    </dxf>
    <dxf>
      <numFmt numFmtId="0" formatCode="General"/>
    </dxf>
    <dxf>
      <numFmt numFmtId="20" formatCode="dd/mmm/yy"/>
      <alignment horizontal="center" vertical="center" textRotation="0" wrapText="0" indent="0" justifyLastLine="0" shrinkToFit="0" readingOrder="0"/>
    </dxf>
    <dxf>
      <numFmt numFmtId="22" formatCode="mmm/yy"/>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20" formatCode="dd/mmm/yy"/>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9"/>
        <color theme="0"/>
        <name val="Calibri"/>
        <family val="2"/>
        <scheme val="minor"/>
      </font>
      <fill>
        <patternFill patternType="solid">
          <fgColor indexed="64"/>
          <bgColor theme="9"/>
        </patternFill>
      </fill>
      <alignment horizontal="center" vertical="center" textRotation="0" wrapText="1" indent="0" justifyLastLine="0" shrinkToFit="0" readingOrder="0"/>
      <border diagonalUp="0" diagonalDown="0" outline="0">
        <left style="thin">
          <color auto="1"/>
        </left>
        <right style="thin">
          <color auto="1"/>
        </right>
        <top/>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numFmt numFmtId="2" formatCode="0.00"/>
      <fill>
        <patternFill patternType="solid">
          <fgColor indexed="64"/>
          <bgColor theme="0" tint="-0.14999847407452621"/>
        </patternFill>
      </fill>
      <alignment horizontal="center" vertical="bottom" textRotation="0" wrapText="0" indent="0" justifyLastLine="0" shrinkToFit="0" readingOrder="0"/>
      <border diagonalUp="0" diagonalDown="0" outline="0">
        <left style="dotted">
          <color theme="2" tint="-9.9948118533890809E-2"/>
        </left>
        <right/>
        <top style="dotted">
          <color theme="2" tint="-9.9948118533890809E-2"/>
        </top>
        <bottom style="dotted">
          <color theme="2" tint="-9.9948118533890809E-2"/>
        </bottom>
      </border>
    </dxf>
    <dxf>
      <numFmt numFmtId="2" formatCode="0.00"/>
      <fill>
        <patternFill patternType="solid">
          <fgColor indexed="64"/>
          <bgColor theme="0" tint="-0.14999847407452621"/>
        </patternFill>
      </fill>
      <alignment horizontal="center" vertical="bottom" textRotation="0" wrapText="0" indent="0" justifyLastLine="0" shrinkToFit="0" readingOrder="0"/>
      <border diagonalUp="0" diagonalDown="0">
        <left style="dotted">
          <color theme="2" tint="-9.9948118533890809E-2"/>
        </left>
        <right style="dotted">
          <color theme="2" tint="-9.9948118533890809E-2"/>
        </right>
        <top style="dotted">
          <color theme="2" tint="-9.9948118533890809E-2"/>
        </top>
        <bottom style="dotted">
          <color theme="2" tint="-9.9948118533890809E-2"/>
        </bottom>
        <vertical/>
        <horizontal/>
      </border>
    </dxf>
    <dxf>
      <numFmt numFmtId="2" formatCode="0.00"/>
      <fill>
        <patternFill patternType="solid">
          <fgColor indexed="64"/>
          <bgColor theme="0" tint="-0.14999847407452621"/>
        </patternFill>
      </fill>
      <alignment horizontal="center" vertical="bottom" textRotation="0" wrapText="0" indent="0" justifyLastLine="0" shrinkToFit="0" readingOrder="0"/>
      <border diagonalUp="0" diagonalDown="0">
        <left style="dotted">
          <color theme="2" tint="-9.9948118533890809E-2"/>
        </left>
        <right style="dotted">
          <color theme="2" tint="-9.9948118533890809E-2"/>
        </right>
        <top style="dotted">
          <color theme="2" tint="-9.9948118533890809E-2"/>
        </top>
        <bottom style="dotted">
          <color theme="2" tint="-9.9948118533890809E-2"/>
        </bottom>
        <vertical/>
        <horizontal/>
      </border>
    </dxf>
    <dxf>
      <numFmt numFmtId="170" formatCode="h:mm;@"/>
      <alignment horizontal="center" vertical="center" textRotation="0" wrapText="0" indent="0" justifyLastLine="0" shrinkToFit="0" readingOrder="0"/>
    </dxf>
    <dxf>
      <numFmt numFmtId="170" formatCode="h:mm;@"/>
      <alignment horizontal="center" vertical="center" textRotation="0" wrapText="0" indent="0" justifyLastLine="0" shrinkToFit="0" readingOrder="0"/>
    </dxf>
    <dxf>
      <numFmt numFmtId="170" formatCode="h:mm;@"/>
      <alignment horizontal="center" vertical="center"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20" formatCode="dd/mmm/yy"/>
      <alignment horizontal="center" vertical="center" textRotation="0" wrapText="0" indent="0" justifyLastLine="0" shrinkToFit="0" readingOrder="0"/>
    </dxf>
    <dxf>
      <numFmt numFmtId="22" formatCode="mmm/yy"/>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20" formatCode="dd/mmm/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bottom style="thick">
          <color theme="0"/>
        </bottom>
      </border>
    </dxf>
    <dxf>
      <font>
        <b/>
        <i val="0"/>
        <strike val="0"/>
        <condense val="0"/>
        <extend val="0"/>
        <outline val="0"/>
        <shadow val="0"/>
        <u val="none"/>
        <vertAlign val="baseline"/>
        <sz val="9"/>
        <color theme="0"/>
        <name val="Calibri"/>
        <family val="2"/>
        <scheme val="minor"/>
      </font>
      <numFmt numFmtId="165" formatCode="[$-409]d/mmm/yy;@"/>
      <fill>
        <patternFill patternType="solid">
          <fgColor indexed="64"/>
          <bgColor theme="9"/>
        </patternFill>
      </fill>
      <alignment horizontal="center" vertical="center" textRotation="0" wrapText="1" indent="0" justifyLastLine="0" shrinkToFit="0" readingOrder="0"/>
      <border diagonalUp="0" diagonalDown="0" outline="0">
        <left style="thin">
          <color theme="0"/>
        </left>
        <right style="thin">
          <color theme="0"/>
        </right>
        <top/>
        <bottom/>
      </border>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numFmt numFmtId="13"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general" vertical="center" textRotation="0" wrapText="0" indent="0" justifyLastLine="0" shrinkToFit="0" readingOrder="0"/>
    </dxf>
    <dxf>
      <numFmt numFmtId="2" formatCode="0.00"/>
      <fill>
        <patternFill patternType="solid">
          <fgColor indexed="64"/>
          <bgColor theme="0" tint="-0.14999847407452621"/>
        </patternFill>
      </fill>
      <alignment horizontal="center" vertical="center" textRotation="0" wrapText="0" indent="0" justifyLastLine="0" shrinkToFit="0" readingOrder="0"/>
      <border diagonalUp="0" diagonalDown="0">
        <left style="dotted">
          <color theme="2" tint="-9.9948118533890809E-2"/>
        </left>
        <right style="dotted">
          <color theme="2" tint="-9.9948118533890809E-2"/>
        </right>
        <top style="dotted">
          <color theme="2" tint="-9.9948118533890809E-2"/>
        </top>
        <bottom style="dotted">
          <color theme="2" tint="-9.9948118533890809E-2"/>
        </bottom>
        <vertical/>
        <horizontal/>
      </border>
    </dxf>
    <dxf>
      <numFmt numFmtId="2" formatCode="0.00"/>
      <fill>
        <patternFill patternType="solid">
          <fgColor indexed="64"/>
          <bgColor theme="0" tint="-0.14999847407452621"/>
        </patternFill>
      </fill>
      <alignment horizontal="center" vertical="center" textRotation="0" wrapText="0" indent="0" justifyLastLine="0" shrinkToFit="0" readingOrder="0"/>
      <border diagonalUp="0" diagonalDown="0">
        <left style="dotted">
          <color theme="2" tint="-9.9948118533890809E-2"/>
        </left>
        <right style="dotted">
          <color theme="2" tint="-9.9948118533890809E-2"/>
        </right>
        <top style="dotted">
          <color theme="2" tint="-9.9948118533890809E-2"/>
        </top>
        <bottom style="dotted">
          <color theme="2" tint="-9.9948118533890809E-2"/>
        </bottom>
        <vertical/>
        <horizontal/>
      </border>
    </dxf>
    <dxf>
      <numFmt numFmtId="2" formatCode="0.00"/>
      <fill>
        <patternFill patternType="solid">
          <fgColor indexed="64"/>
          <bgColor theme="0" tint="-0.14999847407452621"/>
        </patternFill>
      </fill>
      <alignment horizontal="center" vertical="center" textRotation="0" wrapText="0" indent="0" justifyLastLine="0" shrinkToFit="0" readingOrder="0"/>
      <border diagonalUp="0" diagonalDown="0">
        <left style="dotted">
          <color theme="2" tint="-9.9948118533890809E-2"/>
        </left>
        <right style="dotted">
          <color theme="2" tint="-9.9948118533890809E-2"/>
        </right>
        <top style="dotted">
          <color theme="2" tint="-9.9948118533890809E-2"/>
        </top>
        <bottom style="dotted">
          <color theme="2" tint="-9.9948118533890809E-2"/>
        </bottom>
        <vertical/>
        <horizontal/>
      </border>
    </dxf>
    <dxf>
      <font>
        <b val="0"/>
        <i val="0"/>
        <strike val="0"/>
        <condense val="0"/>
        <extend val="0"/>
        <outline val="0"/>
        <shadow val="0"/>
        <u val="none"/>
        <vertAlign val="baseline"/>
        <sz val="11"/>
        <color theme="1"/>
        <name val="Calibri"/>
        <family val="2"/>
        <scheme val="none"/>
      </font>
      <numFmt numFmtId="170" formatCode="h:mm;@"/>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70" formatCode="h:mm;@"/>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70" formatCode="h:mm;@"/>
      <alignment horizontal="general" vertical="center" textRotation="0" wrapText="0" indent="0" justifyLastLine="0" shrinkToFit="0" readingOrder="0"/>
    </dxf>
    <dxf>
      <numFmt numFmtId="170" formatCode="h:mm;@"/>
      <alignment horizontal="general" vertical="center" textRotation="0" wrapText="0" indent="0" justifyLastLine="0" shrinkToFit="0" readingOrder="0"/>
    </dxf>
    <dxf>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alignment horizontal="center" vertical="center" textRotation="0" wrapText="0" indent="0" justifyLastLine="0" shrinkToFit="0" readingOrder="0"/>
    </dxf>
    <dxf>
      <numFmt numFmtId="169" formatCode="0.0%"/>
      <alignment horizontal="center"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alignment horizontal="general" vertical="center" textRotation="0" wrapText="0" indent="0" justifyLastLine="0" shrinkToFit="0" readingOrder="0"/>
    </dxf>
    <dxf>
      <numFmt numFmtId="20" formatCode="dd/mmm/yy"/>
      <alignment horizontal="center" vertical="center" textRotation="0" wrapText="0" indent="0" justifyLastLine="0" shrinkToFit="0" readingOrder="0"/>
    </dxf>
    <dxf>
      <numFmt numFmtId="22" formatCode="mmm/yy"/>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9"/>
        <color theme="0"/>
        <name val="Calibri"/>
        <family val="2"/>
        <scheme val="minor"/>
      </font>
      <fill>
        <patternFill patternType="solid">
          <fgColor indexed="64"/>
          <bgColor theme="9"/>
        </patternFill>
      </fill>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auto="1"/>
        <name val="Calibri"/>
        <scheme val="minor"/>
      </font>
      <numFmt numFmtId="14" formatCode="0.0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horizontal/>
      </border>
    </dxf>
    <dxf>
      <font>
        <b val="0"/>
        <i val="0"/>
        <strike val="0"/>
        <condense val="0"/>
        <extend val="0"/>
        <outline val="0"/>
        <shadow val="0"/>
        <u val="none"/>
        <vertAlign val="baseline"/>
        <sz val="11"/>
        <color auto="1"/>
        <name val="Calibri"/>
        <scheme val="minor"/>
      </font>
      <numFmt numFmtId="14" formatCode="0.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family val="2"/>
        <scheme val="minor"/>
      </font>
      <numFmt numFmtId="1" formatCode="0"/>
      <fill>
        <patternFill patternType="none">
          <fgColor indexed="64"/>
          <bgColor indexed="65"/>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horizontal/>
      </border>
    </dxf>
    <dxf>
      <font>
        <b val="0"/>
        <i val="0"/>
        <strike val="0"/>
        <condense val="0"/>
        <extend val="0"/>
        <outline val="0"/>
        <shadow val="0"/>
        <u val="none"/>
        <vertAlign val="baseline"/>
        <sz val="11"/>
        <color auto="1"/>
        <name val="Calibri"/>
        <family val="2"/>
        <scheme val="minor"/>
      </font>
      <numFmt numFmtId="13" formatCode="0%"/>
      <fill>
        <patternFill patternType="solid">
          <fgColor indexed="64"/>
          <bgColor theme="0" tint="-0.14999847407452621"/>
        </patternFill>
      </fill>
      <alignment horizontal="center" vertical="bottom" textRotation="0" wrapText="0" indent="0" justifyLastLine="0" shrinkToFit="0" readingOrder="0"/>
      <border diagonalUp="0" diagonalDown="0">
        <left style="dotted">
          <color theme="2" tint="-9.9917600024414813E-2"/>
        </left>
        <right/>
        <top style="dotted">
          <color theme="2" tint="-9.9917600024414813E-2"/>
        </top>
        <bottom style="dotted">
          <color theme="2" tint="-9.9917600024414813E-2"/>
        </bottom>
        <vertical/>
        <horizontal/>
      </border>
    </dxf>
    <dxf>
      <font>
        <b val="0"/>
        <i val="0"/>
        <strike val="0"/>
        <condense val="0"/>
        <extend val="0"/>
        <outline val="0"/>
        <shadow val="0"/>
        <u val="none"/>
        <vertAlign val="baseline"/>
        <sz val="11"/>
        <color auto="1"/>
        <name val="Calibri"/>
        <scheme val="minor"/>
      </font>
      <numFmt numFmtId="168" formatCode="_ * #,##0_ ;_ * \-#,##0_ ;_ * &quot;-&quot;??_ ;_ @_ "/>
      <fill>
        <patternFill patternType="solid">
          <fgColor indexed="64"/>
          <bgColor theme="0" tint="-0.14999847407452621"/>
        </patternFill>
      </fill>
      <alignment horizontal="center" vertical="bottom" textRotation="0" wrapText="0" indent="0" justifyLastLine="0" shrinkToFit="0" readingOrder="0"/>
      <border diagonalUp="0" diagonalDown="0">
        <left style="dotted">
          <color theme="2" tint="-9.9917600024414813E-2"/>
        </left>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8" formatCode="_ * #,##0_ ;_ * \-#,##0_ ;_ * &quot;-&quot;??_ ;_ @_ "/>
      <fill>
        <patternFill patternType="solid">
          <fgColor indexed="64"/>
          <bgColor theme="0" tint="-0.1499984740745262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indexed="65"/>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indexed="65"/>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horizontal/>
      </border>
    </dxf>
    <dxf>
      <font>
        <b val="0"/>
        <i val="0"/>
        <strike val="0"/>
        <condense val="0"/>
        <extend val="0"/>
        <outline val="0"/>
        <shadow val="0"/>
        <u val="none"/>
        <vertAlign val="baseline"/>
        <sz val="11"/>
        <color auto="1"/>
        <name val="Calibri"/>
        <scheme val="minor"/>
      </font>
      <numFmt numFmtId="1" formatCode="0"/>
      <fill>
        <patternFill patternType="solid">
          <fgColor indexed="64"/>
          <bgColor theme="0"/>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solid">
          <fgColor indexed="64"/>
          <bgColor theme="0"/>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solid">
          <fgColor indexed="64"/>
          <bgColor theme="0" tint="-0.1499984740745262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8" formatCode="_ * #,##0_ ;_ * \-#,##0_ ;_ * &quot;-&quot;??_ ;_ @_ "/>
      <fill>
        <patternFill patternType="solid">
          <fgColor indexed="64"/>
          <bgColor theme="0" tint="-0.1499984740745262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strike val="0"/>
        <outline val="0"/>
        <shadow val="0"/>
        <u val="none"/>
        <vertAlign val="baseline"/>
        <color auto="1"/>
      </font>
      <fill>
        <patternFill patternType="solid">
          <fgColor indexed="64"/>
          <bgColor theme="0" tint="-0.1499984740745262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strike val="0"/>
        <outline val="0"/>
        <shadow val="0"/>
        <u val="none"/>
        <vertAlign val="baseline"/>
        <color auto="1"/>
      </font>
      <numFmt numFmtId="166" formatCode="[$-409]mmm/yy;@"/>
      <fill>
        <patternFill patternType="solid">
          <fgColor indexed="64"/>
          <bgColor theme="0" tint="-0.1499984740745262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strike val="0"/>
        <outline val="0"/>
        <shadow val="0"/>
        <u val="none"/>
        <vertAlign val="baseline"/>
        <color auto="1"/>
      </font>
      <fill>
        <patternFill patternType="solid">
          <fgColor indexed="64"/>
          <bgColor theme="0" tint="-0.1499984740745262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strike val="0"/>
        <outline val="0"/>
        <shadow val="0"/>
        <u val="none"/>
        <vertAlign val="baseline"/>
        <color auto="1"/>
      </font>
      <fill>
        <patternFill patternType="solid">
          <fgColor indexed="64"/>
          <bgColor theme="0" tint="-0.1499984740745262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0"/>
        <color auto="1"/>
        <name val="Palatino Linotype"/>
        <scheme val="none"/>
      </font>
      <numFmt numFmtId="167" formatCode="[$-409]d\-mmm\-yy;@"/>
      <fill>
        <patternFill patternType="none">
          <fgColor indexed="64"/>
          <bgColor auto="1"/>
        </patternFill>
      </fill>
      <alignment horizontal="center" vertical="center" textRotation="0" wrapText="0" indent="0" justifyLastLine="0" shrinkToFit="0" readingOrder="0"/>
      <border diagonalUp="0" diagonalDown="0">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border>
        <top style="dotted">
          <color theme="2" tint="-9.9917600024414813E-2"/>
        </top>
      </border>
    </dxf>
    <dxf>
      <border diagonalUp="0" diagonalDown="0">
        <left style="dotted">
          <color theme="2" tint="-9.9917600024414813E-2"/>
        </left>
        <right style="dotted">
          <color theme="2" tint="-9.9917600024414813E-2"/>
        </right>
        <top style="dotted">
          <color theme="2" tint="-9.9917600024414813E-2"/>
        </top>
        <bottom style="dotted">
          <color theme="2" tint="-9.9917600024414813E-2"/>
        </bottom>
      </border>
    </dxf>
    <dxf>
      <font>
        <b val="0"/>
        <i val="0"/>
        <strike val="0"/>
        <condense val="0"/>
        <extend val="0"/>
        <outline val="0"/>
        <shadow val="0"/>
        <u val="none"/>
        <vertAlign val="baseline"/>
        <sz val="11"/>
        <color auto="1"/>
        <name val="Calibri"/>
        <scheme val="minor"/>
      </font>
      <numFmt numFmtId="14" formatCode="0.00%"/>
      <fill>
        <patternFill patternType="none">
          <fgColor indexed="64"/>
          <bgColor auto="1"/>
        </patternFill>
      </fill>
      <alignment horizontal="center" vertical="bottom" textRotation="0" wrapText="0" indent="0" justifyLastLine="0" shrinkToFit="0" readingOrder="0"/>
    </dxf>
    <dxf>
      <border>
        <bottom style="dotted">
          <color theme="2" tint="-9.9917600024414813E-2"/>
        </bottom>
      </border>
    </dxf>
    <dxf>
      <font>
        <b/>
        <i val="0"/>
        <strike val="0"/>
        <condense val="0"/>
        <extend val="0"/>
        <outline val="0"/>
        <shadow val="0"/>
        <u val="none"/>
        <vertAlign val="baseline"/>
        <sz val="9"/>
        <color theme="0"/>
        <name val="Calibri"/>
        <scheme val="minor"/>
      </font>
      <numFmt numFmtId="14" formatCode="0.00%"/>
      <fill>
        <patternFill patternType="solid">
          <fgColor indexed="64"/>
          <bgColor theme="9"/>
        </patternFill>
      </fill>
      <alignment horizontal="center" vertical="center" textRotation="0" wrapText="1" indent="0" justifyLastLine="0" shrinkToFit="0" readingOrder="0"/>
      <border diagonalUp="0" diagonalDown="0">
        <left style="dotted">
          <color theme="2" tint="-9.9917600024414813E-2"/>
        </left>
        <right style="dotted">
          <color theme="2" tint="-9.9917600024414813E-2"/>
        </right>
        <top/>
        <bottom/>
        <vertical style="dotted">
          <color theme="2" tint="-9.9917600024414813E-2"/>
        </vertical>
        <horizontal style="dotted">
          <color theme="2" tint="-9.9917600024414813E-2"/>
        </horizontal>
      </border>
    </dxf>
    <dxf>
      <numFmt numFmtId="0" formatCode="General"/>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font>
        <b val="0"/>
        <i val="0"/>
        <strike val="0"/>
        <condense val="0"/>
        <extend val="0"/>
        <outline val="0"/>
        <shadow val="0"/>
        <u val="none"/>
        <vertAlign val="baseline"/>
        <sz val="11"/>
        <color theme="1"/>
        <name val="Calibri"/>
        <charset val="134"/>
        <scheme val="minor"/>
      </font>
      <numFmt numFmtId="22" formatCode="mmm/yy"/>
      <fill>
        <patternFill patternType="solid">
          <fgColor theme="9" tint="0.79998168889431442"/>
          <bgColor theme="9" tint="0.7999816888943144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charset val="134"/>
        <scheme val="minor"/>
      </font>
      <numFmt numFmtId="0" formatCode="General"/>
      <fill>
        <patternFill patternType="solid">
          <fgColor theme="9" tint="0.79998168889431442"/>
          <bgColor theme="9" tint="0.7999816888943144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charset val="134"/>
        <scheme val="minor"/>
      </font>
      <numFmt numFmtId="1" formatCode="0"/>
      <fill>
        <patternFill patternType="solid">
          <fgColor theme="9" tint="0.79998168889431442"/>
          <bgColor theme="9" tint="0.7999816888943144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charset val="134"/>
        <scheme val="minor"/>
      </font>
      <numFmt numFmtId="20" formatCode="dd/mmm/yy"/>
      <fill>
        <patternFill patternType="solid">
          <fgColor theme="9" tint="0.79998168889431442"/>
          <bgColor theme="9" tint="0.79998168889431442"/>
        </patternFill>
      </fill>
      <alignment horizontal="center" vertical="center" textRotation="0" wrapText="0" indent="0" justifyLastLine="0" shrinkToFit="0" readingOrder="0"/>
      <border diagonalUp="0" diagonalDown="0" outline="0">
        <left/>
        <right style="thin">
          <color theme="0"/>
        </right>
        <top style="thin">
          <color theme="0"/>
        </top>
        <bottom style="thin">
          <color theme="0"/>
        </bottom>
      </border>
    </dxf>
    <dxf>
      <border outline="0">
        <top style="thin">
          <color theme="0"/>
        </top>
      </border>
    </dxf>
    <dxf>
      <border outline="0">
        <left style="dotted">
          <color auto="1"/>
        </left>
        <top style="dotted">
          <color auto="1"/>
        </top>
        <bottom style="thin">
          <color theme="0"/>
        </bottom>
      </border>
    </dxf>
    <dxf>
      <numFmt numFmtId="0" formatCode="General"/>
      <alignment horizontal="center" vertical="center" textRotation="0" indent="0" justifyLastLine="0" shrinkToFit="0" readingOrder="0"/>
    </dxf>
    <dxf>
      <border outline="0">
        <bottom style="dotted">
          <color auto="1"/>
        </bottom>
      </border>
    </dxf>
    <dxf>
      <font>
        <b/>
        <i val="0"/>
        <strike val="0"/>
        <condense val="0"/>
        <extend val="0"/>
        <outline val="0"/>
        <shadow val="0"/>
        <u val="none"/>
        <vertAlign val="baseline"/>
        <sz val="9"/>
        <color theme="0"/>
        <name val="Calibri"/>
        <family val="2"/>
        <scheme val="minor"/>
      </font>
      <numFmt numFmtId="0" formatCode="General"/>
      <fill>
        <patternFill patternType="solid">
          <fgColor indexed="64"/>
          <bgColor theme="9"/>
        </patternFill>
      </fill>
      <alignment horizontal="center" vertical="center" textRotation="0" wrapText="1" indent="0" justifyLastLine="0" shrinkToFit="0" readingOrder="0"/>
      <border diagonalUp="0" diagonalDown="0" outline="0">
        <left style="dotted">
          <color auto="1"/>
        </left>
        <right style="dotted">
          <color auto="1"/>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 formatCode="0"/>
      <fill>
        <patternFill patternType="none">
          <fgColor theme="9"/>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 formatCode="0"/>
      <fill>
        <patternFill patternType="none">
          <fgColor theme="9"/>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charset val="134"/>
        <scheme val="minor"/>
      </font>
      <numFmt numFmtId="14" formatCode="0.00%"/>
      <fill>
        <patternFill patternType="none">
          <fgColor theme="9"/>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charset val="134"/>
        <scheme val="minor"/>
      </font>
      <numFmt numFmtId="14" formatCode="0.00%"/>
      <fill>
        <patternFill patternType="none">
          <fgColor theme="9"/>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charset val="134"/>
        <scheme val="minor"/>
      </font>
      <numFmt numFmtId="14" formatCode="0.00%"/>
      <fill>
        <patternFill patternType="none">
          <fgColor theme="9"/>
          <bgColor auto="1"/>
        </patternFill>
      </fill>
      <alignment horizontal="center" vertical="center" textRotation="0" wrapText="0" indent="0" justifyLastLine="0" shrinkToFit="0" readingOrder="0"/>
      <border diagonalUp="0" diagonalDown="0">
        <left/>
        <right style="dotted">
          <color auto="1"/>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0" indent="0" justifyLastLine="0" shrinkToFit="0" readingOrder="0"/>
      <border diagonalUp="0" diagonalDown="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numFmt numFmtId="13" formatCode="0%"/>
      <fill>
        <patternFill patternType="none">
          <fgColor theme="9"/>
          <bgColor auto="1"/>
        </patternFill>
      </fill>
      <alignment horizontal="center" vertical="center" textRotation="0" wrapText="0" indent="0" justifyLastLine="0" shrinkToFit="0" readingOrder="0"/>
      <border diagonalUp="0" diagonalDown="0">
        <left style="dotted">
          <color auto="1"/>
        </left>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top style="dotted">
          <color auto="1"/>
        </top>
        <bottom/>
      </border>
    </dxf>
    <dxf>
      <font>
        <b/>
        <i val="0"/>
        <strike val="0"/>
        <condense val="0"/>
        <extend val="0"/>
        <outline val="0"/>
        <shadow val="0"/>
        <u val="none"/>
        <vertAlign val="baseline"/>
        <sz val="11"/>
        <color theme="0"/>
        <name val="Calibri"/>
        <family val="2"/>
        <scheme val="minor"/>
      </font>
      <fill>
        <patternFill patternType="none">
          <fgColor theme="9"/>
          <bgColor auto="1"/>
        </patternFill>
      </fill>
      <alignment horizontal="center" vertical="center" textRotation="0" wrapText="0" indent="0" justifyLastLine="0" shrinkToFit="0" readingOrder="0"/>
      <border diagonalUp="0" diagonalDown="0" outline="0">
        <left style="dotted">
          <color auto="1"/>
        </left>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fill>
        <patternFill patternType="none">
          <fgColor theme="9"/>
          <bgColor auto="1"/>
        </patternFill>
      </fill>
      <alignment horizontal="center" vertical="center" textRotation="0" wrapText="0"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fill>
        <patternFill patternType="none">
          <fgColor theme="9"/>
          <bgColor auto="1"/>
        </patternFill>
      </fill>
      <alignment horizontal="center" vertical="center" textRotation="0" wrapText="0"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fill>
        <patternFill patternType="none">
          <fgColor theme="9"/>
          <bgColor auto="1"/>
        </patternFill>
      </fill>
      <alignment horizontal="center" vertical="center" textRotation="0" wrapText="0" indent="0" justifyLastLine="0" shrinkToFit="0" readingOrder="0"/>
      <border diagonalUp="0" diagonalDown="0" outline="0">
        <left/>
        <right style="dotted">
          <color auto="1"/>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numFmt numFmtId="2" formatCode="0.00"/>
      <fill>
        <patternFill patternType="none">
          <fgColor theme="9"/>
          <bgColor auto="1"/>
        </patternFill>
      </fill>
      <alignment horizontal="center" vertical="center" textRotation="0" wrapText="0" indent="0" justifyLastLine="0" shrinkToFit="0" readingOrder="0"/>
      <border diagonalUp="0" diagonalDown="0">
        <left/>
        <right style="dotted">
          <color auto="1"/>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charset val="134"/>
        <scheme val="minor"/>
      </font>
      <numFmt numFmtId="14" formatCode="0.00%"/>
      <fill>
        <patternFill patternType="none">
          <fgColor theme="9"/>
          <bgColor auto="1"/>
        </patternFill>
      </fill>
      <alignment horizontal="center" vertical="center" textRotation="0" wrapText="0" indent="0" justifyLastLine="0" shrinkToFit="0" readingOrder="0"/>
      <border diagonalUp="0" diagonalDown="0">
        <left style="dotted">
          <color auto="1"/>
        </left>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charset val="134"/>
        <scheme val="minor"/>
      </font>
      <numFmt numFmtId="14" formatCode="0.00%"/>
      <fill>
        <patternFill patternType="none">
          <fgColor theme="9"/>
          <bgColor auto="1"/>
        </patternFill>
      </fill>
      <alignment horizontal="center" vertical="center" textRotation="0" wrapText="0" indent="0" justifyLastLine="0" shrinkToFit="0" readingOrder="0"/>
      <border diagonalUp="0" diagonalDown="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numFmt numFmtId="14" formatCode="0.00%"/>
      <fill>
        <patternFill patternType="none">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numFmt numFmtId="14" formatCode="0.00%"/>
      <fill>
        <patternFill patternType="none">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numFmt numFmtId="1" formatCode="0"/>
      <fill>
        <patternFill patternType="none">
          <fgColor theme="9"/>
          <bgColor auto="1"/>
        </patternFill>
      </fill>
      <alignment horizontal="center" vertical="center" textRotation="0" wrapText="0" indent="0" justifyLastLine="0" shrinkToFit="0" readingOrder="0"/>
      <border diagonalUp="0" diagonalDown="0">
        <left/>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numFmt numFmtId="0" formatCode="General"/>
      <fill>
        <patternFill patternType="none">
          <fgColor theme="9"/>
          <bgColor auto="1"/>
        </patternFill>
      </fill>
      <alignment horizontal="center" vertical="center" textRotation="0" wrapText="0" indent="0" justifyLastLine="0" shrinkToFit="0" readingOrder="0"/>
      <border diagonalUp="0" diagonalDown="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numFmt numFmtId="0" formatCode="General"/>
      <fill>
        <patternFill patternType="none">
          <fgColor theme="9"/>
          <bgColor auto="1"/>
        </patternFill>
      </fill>
      <alignment horizontal="center" vertical="center" textRotation="0" wrapText="0" indent="0" justifyLastLine="0" shrinkToFit="0" readingOrder="0"/>
      <border diagonalUp="0" diagonalDown="0">
        <left/>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numFmt numFmtId="1" formatCode="0"/>
      <fill>
        <patternFill patternType="none">
          <fgColor theme="9"/>
          <bgColor auto="1"/>
        </patternFill>
      </fill>
      <alignment horizontal="center" vertical="center" textRotation="0" wrapText="0" indent="0" justifyLastLine="0" shrinkToFit="0" readingOrder="0"/>
      <border diagonalUp="0" diagonalDown="0" outline="0">
        <left/>
        <right style="dotted">
          <color auto="1"/>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numFmt numFmtId="1" formatCode="0"/>
      <fill>
        <patternFill patternType="none">
          <fgColor theme="9"/>
          <bgColor auto="1"/>
        </patternFill>
      </fill>
      <alignment horizontal="center" vertical="center" textRotation="0" wrapText="0" indent="0" justifyLastLine="0" shrinkToFit="0" readingOrder="0"/>
      <border diagonalUp="0" diagonalDown="0" outline="0">
        <left style="dotted">
          <color auto="1"/>
        </left>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numFmt numFmtId="0" formatCode="General"/>
      <fill>
        <patternFill patternType="none">
          <fgColor theme="9"/>
          <bgColor auto="1"/>
        </patternFill>
      </fill>
      <alignment horizontal="center" vertical="center" textRotation="0" wrapText="0" indent="0" justifyLastLine="0" shrinkToFit="0" readingOrder="0"/>
      <border diagonalUp="0" diagonalDown="0">
        <left style="dotted">
          <color auto="1"/>
        </left>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numFmt numFmtId="0" formatCode="General"/>
      <fill>
        <patternFill patternType="none">
          <fgColor theme="9"/>
          <bgColor auto="1"/>
        </patternFill>
      </fill>
      <alignment horizontal="center" vertical="center" textRotation="0" wrapText="0" indent="0" justifyLastLine="0" shrinkToFit="0" readingOrder="0"/>
      <border diagonalUp="0" diagonalDown="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charset val="134"/>
        <scheme val="minor"/>
      </font>
      <numFmt numFmtId="14" formatCode="0.00%"/>
      <fill>
        <patternFill patternType="none">
          <fgColor theme="9"/>
          <bgColor auto="1"/>
        </patternFill>
      </fill>
      <alignment horizontal="center" vertical="center" textRotation="0" wrapText="0" indent="0" justifyLastLine="0" shrinkToFit="0" readingOrder="0"/>
      <border diagonalUp="0" diagonalDown="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fill>
        <patternFill patternType="none">
          <fgColor theme="9"/>
          <bgColor auto="1"/>
        </patternFill>
      </fill>
      <alignment horizontal="center" vertical="center" textRotation="0" wrapText="0"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charset val="134"/>
        <scheme val="minor"/>
      </font>
      <numFmt numFmtId="169" formatCode="0.0%"/>
      <fill>
        <patternFill patternType="none">
          <fgColor theme="9"/>
          <bgColor auto="1"/>
        </patternFill>
      </fill>
      <alignment horizontal="center" vertical="center" textRotation="0" wrapText="0"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none"/>
      </font>
      <numFmt numFmtId="14" formatCode="0.00%"/>
      <fill>
        <patternFill patternType="none">
          <fgColor theme="9"/>
          <bgColor auto="1"/>
        </patternFill>
      </fill>
      <alignment horizontal="center" vertical="center" textRotation="0" wrapText="0"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fill>
        <patternFill patternType="none">
          <fgColor theme="9"/>
          <bgColor auto="1"/>
        </patternFill>
      </fill>
      <alignment horizontal="center" vertical="center" textRotation="0" wrapText="0" indent="0" justifyLastLine="0" shrinkToFit="0" readingOrder="0"/>
      <border diagonalUp="0" diagonalDown="0" outline="0">
        <left/>
        <right style="dotted">
          <color auto="1"/>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charset val="134"/>
        <scheme val="minor"/>
      </font>
      <numFmt numFmtId="169" formatCode="0.0%"/>
      <fill>
        <patternFill patternType="none">
          <fgColor theme="9"/>
          <bgColor auto="1"/>
        </patternFill>
      </fill>
      <alignment horizontal="center" vertical="center" textRotation="0" wrapText="0" indent="0" justifyLastLine="0" shrinkToFit="0" readingOrder="0"/>
      <border diagonalUp="0" diagonalDown="0">
        <left/>
        <right style="dotted">
          <color auto="1"/>
        </right>
        <top style="dotted">
          <color auto="1"/>
        </top>
        <bottom/>
      </border>
    </dxf>
    <dxf>
      <font>
        <b/>
        <i val="0"/>
        <strike val="0"/>
        <condense val="0"/>
        <extend val="0"/>
        <outline val="0"/>
        <shadow val="0"/>
        <u val="none"/>
        <vertAlign val="baseline"/>
        <sz val="11"/>
        <color theme="0"/>
        <name val="Calibri"/>
        <family val="2"/>
        <charset val="134"/>
        <scheme val="minor"/>
      </font>
      <numFmt numFmtId="14" formatCode="0.00%"/>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none"/>
      </font>
      <numFmt numFmtId="169" formatCode="0.0%"/>
      <fill>
        <patternFill patternType="none">
          <fgColor theme="9"/>
          <bgColor auto="1"/>
        </patternFill>
      </fill>
      <alignment horizontal="center" vertical="center" textRotation="0" wrapText="0" indent="0" justifyLastLine="0" shrinkToFit="0" readingOrder="0"/>
      <border diagonalUp="0" diagonalDown="0">
        <left/>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right style="dotted">
          <color auto="1"/>
        </right>
        <top style="dotted">
          <color auto="1"/>
        </top>
        <bottom/>
      </border>
    </dxf>
    <dxf>
      <font>
        <b/>
        <i val="0"/>
        <strike val="0"/>
        <condense val="0"/>
        <extend val="0"/>
        <outline val="0"/>
        <shadow val="0"/>
        <u val="none"/>
        <vertAlign val="baseline"/>
        <sz val="11"/>
        <color theme="0"/>
        <name val="Calibri"/>
        <family val="2"/>
        <charset val="134"/>
        <scheme val="minor"/>
      </font>
      <numFmt numFmtId="169" formatCode="0.0%"/>
      <fill>
        <patternFill patternType="none">
          <fgColor theme="9"/>
          <bgColor auto="1"/>
        </patternFill>
      </fill>
      <alignment horizontal="center" vertical="center" textRotation="0" wrapText="0" indent="0" justifyLastLine="0" shrinkToFit="0" readingOrder="0"/>
      <border diagonalUp="0" diagonalDown="0">
        <left/>
        <right/>
        <top style="dotted">
          <color auto="1"/>
        </top>
        <bottom/>
      </border>
    </dxf>
    <dxf>
      <font>
        <b/>
        <i val="0"/>
        <strike val="0"/>
        <condense val="0"/>
        <extend val="0"/>
        <outline val="0"/>
        <shadow val="0"/>
        <u val="none"/>
        <vertAlign val="baseline"/>
        <sz val="11"/>
        <color theme="0"/>
        <name val="Calibri"/>
        <family val="2"/>
        <scheme val="minor"/>
      </font>
      <numFmt numFmtId="14" formatCode="0.00%"/>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charset val="134"/>
        <scheme val="minor"/>
      </font>
      <numFmt numFmtId="169" formatCode="0.0%"/>
      <fill>
        <patternFill patternType="none">
          <fgColor theme="9"/>
          <bgColor auto="1"/>
        </patternFill>
      </fill>
      <alignment horizontal="center" vertical="center" textRotation="0" wrapText="0" indent="0" justifyLastLine="0" shrinkToFit="0" readingOrder="0"/>
      <border diagonalUp="0" diagonalDown="0" outline="0">
        <left style="dotted">
          <color auto="1"/>
        </left>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top style="dotted">
          <color auto="1"/>
        </top>
        <bottom/>
      </border>
    </dxf>
    <dxf>
      <font>
        <b/>
        <i val="0"/>
        <strike val="0"/>
        <condense val="0"/>
        <extend val="0"/>
        <outline val="0"/>
        <shadow val="0"/>
        <u val="none"/>
        <vertAlign val="baseline"/>
        <sz val="11"/>
        <color theme="0"/>
        <name val="Calibri"/>
        <family val="2"/>
        <charset val="134"/>
        <scheme val="minor"/>
      </font>
      <numFmt numFmtId="164" formatCode="0.0"/>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charset val="134"/>
        <scheme val="minor"/>
      </font>
      <numFmt numFmtId="164" formatCode="0.0"/>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charset val="134"/>
        <scheme val="minor"/>
      </font>
      <numFmt numFmtId="164" formatCode="0.0"/>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charset val="134"/>
        <scheme val="minor"/>
      </font>
      <numFmt numFmtId="2" formatCode="0.00"/>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charset val="134"/>
        <scheme val="minor"/>
      </font>
      <numFmt numFmtId="164" formatCode="0.0"/>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charset val="134"/>
        <scheme val="minor"/>
      </font>
      <numFmt numFmtId="164" formatCode="0.0"/>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charset val="134"/>
        <scheme val="minor"/>
      </font>
      <numFmt numFmtId="164" formatCode="0.0"/>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right style="dotted">
          <color auto="1"/>
        </right>
        <top style="dotted">
          <color auto="1"/>
        </top>
        <bottom/>
      </border>
    </dxf>
    <dxf>
      <font>
        <b/>
        <i val="0"/>
        <strike val="0"/>
        <condense val="0"/>
        <extend val="0"/>
        <outline val="0"/>
        <shadow val="0"/>
        <u val="none"/>
        <vertAlign val="baseline"/>
        <sz val="11"/>
        <color theme="0"/>
        <name val="Calibri"/>
        <family val="2"/>
        <charset val="134"/>
        <scheme val="minor"/>
      </font>
      <numFmt numFmtId="164" formatCode="0.0"/>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charset val="134"/>
        <scheme val="minor"/>
      </font>
      <numFmt numFmtId="2" formatCode="0.00"/>
      <fill>
        <patternFill patternType="none">
          <fgColor indexed="64"/>
          <bgColor auto="1"/>
        </patternFill>
      </fill>
      <alignment horizontal="center" vertical="center" textRotation="0" wrapText="0"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9"/>
        <color theme="0"/>
        <name val="Calibri"/>
        <family val="2"/>
        <scheme val="minor"/>
      </font>
      <numFmt numFmtId="0" formatCode="General"/>
      <fill>
        <patternFill patternType="solid">
          <fgColor indexed="64"/>
          <bgColor theme="9"/>
        </patternFill>
      </fill>
      <alignment horizontal="center" vertical="center" textRotation="0" wrapText="0" indent="0" justifyLastLine="0" shrinkToFit="0" readingOrder="0"/>
      <border diagonalUp="0" diagonalDown="0" outline="0">
        <left style="dotted">
          <color auto="1"/>
        </left>
        <right/>
        <top style="dotted">
          <color auto="1"/>
        </top>
        <bottom/>
      </border>
      <protection locked="1" hidden="0"/>
    </dxf>
    <dxf>
      <font>
        <b/>
        <i val="0"/>
        <strike val="0"/>
        <condense val="0"/>
        <extend val="0"/>
        <outline val="0"/>
        <shadow val="0"/>
        <u val="none"/>
        <vertAlign val="baseline"/>
        <sz val="9"/>
        <color theme="0"/>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dotted">
          <color auto="1"/>
        </left>
        <right/>
        <top style="dotted">
          <color auto="1"/>
        </top>
        <bottom/>
      </border>
    </dxf>
    <dxf>
      <font>
        <b/>
        <i val="0"/>
        <strike val="0"/>
        <condense val="0"/>
        <extend val="0"/>
        <outline val="0"/>
        <shadow val="0"/>
        <u val="none"/>
        <vertAlign val="baseline"/>
        <sz val="9"/>
        <color theme="0"/>
        <name val="Calibri"/>
        <family val="2"/>
        <scheme val="minor"/>
      </font>
      <numFmt numFmtId="22" formatCode="mmm/yy"/>
      <fill>
        <patternFill patternType="solid">
          <fgColor indexed="64"/>
          <bgColor theme="9"/>
        </patternFill>
      </fill>
      <alignment horizontal="center" vertical="center" textRotation="0" wrapText="0" indent="0" justifyLastLine="0" shrinkToFit="0" readingOrder="0"/>
      <border diagonalUp="0" diagonalDown="0" outline="0">
        <left style="dotted">
          <color auto="1"/>
        </left>
        <right style="dotted">
          <color auto="1"/>
        </right>
        <top style="dotted">
          <color auto="1"/>
        </top>
        <bottom/>
      </border>
      <protection locked="1" hidden="0"/>
    </dxf>
    <dxf>
      <font>
        <b/>
        <i val="0"/>
        <strike val="0"/>
        <condense val="0"/>
        <extend val="0"/>
        <outline val="0"/>
        <shadow val="0"/>
        <u val="none"/>
        <vertAlign val="baseline"/>
        <sz val="9"/>
        <color theme="0"/>
        <name val="Calibri"/>
        <family val="2"/>
        <scheme val="minor"/>
      </font>
      <numFmt numFmtId="22" formatCode="mmm/yy"/>
      <fill>
        <patternFill patternType="none">
          <fgColor indexed="64"/>
          <bgColor auto="1"/>
        </patternFill>
      </fill>
      <alignment horizontal="center" vertical="center" textRotation="0" wrapText="0"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9"/>
        <color theme="0"/>
        <name val="Calibri"/>
        <family val="2"/>
        <scheme val="minor"/>
      </font>
      <numFmt numFmtId="0" formatCode="General"/>
      <fill>
        <patternFill patternType="solid">
          <fgColor indexed="64"/>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protection locked="1" hidden="0"/>
    </dxf>
    <dxf>
      <font>
        <b/>
        <i val="0"/>
        <strike val="0"/>
        <condense val="0"/>
        <extend val="0"/>
        <outline val="0"/>
        <shadow val="0"/>
        <u val="none"/>
        <vertAlign val="baseline"/>
        <sz val="9"/>
        <color theme="0"/>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9"/>
        <color theme="0"/>
        <name val="Calibri"/>
        <family val="2"/>
        <scheme val="minor"/>
      </font>
      <numFmt numFmtId="0" formatCode="General"/>
      <fill>
        <patternFill patternType="solid">
          <fgColor indexed="64"/>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protection locked="1" hidden="0"/>
    </dxf>
    <dxf>
      <font>
        <b/>
        <i val="0"/>
        <strike val="0"/>
        <condense val="0"/>
        <extend val="0"/>
        <outline val="0"/>
        <shadow val="0"/>
        <u val="none"/>
        <vertAlign val="baseline"/>
        <sz val="9"/>
        <color theme="0"/>
        <name val="Calibri"/>
        <family val="2"/>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9"/>
        <color theme="0"/>
        <name val="Calibri"/>
        <family val="2"/>
        <scheme val="minor"/>
      </font>
      <numFmt numFmtId="165" formatCode="[$-409]d/mmm/yy;@"/>
      <fill>
        <patternFill patternType="solid">
          <fgColor indexed="64"/>
          <bgColor theme="9"/>
        </patternFill>
      </fill>
      <alignment horizontal="center" vertical="bottom" textRotation="0" wrapText="0" indent="0" justifyLastLine="0" shrinkToFit="0" readingOrder="0"/>
      <border diagonalUp="0" diagonalDown="0" outline="0">
        <left/>
        <right style="dotted">
          <color auto="1"/>
        </right>
        <top style="dotted">
          <color auto="1"/>
        </top>
        <bottom/>
      </border>
      <protection locked="1" hidden="0"/>
    </dxf>
    <dxf>
      <font>
        <b/>
        <i val="0"/>
        <strike val="0"/>
        <condense val="0"/>
        <extend val="0"/>
        <outline val="0"/>
        <shadow val="0"/>
        <u val="none"/>
        <vertAlign val="baseline"/>
        <sz val="9"/>
        <color theme="0"/>
        <name val="Calibri"/>
        <family val="2"/>
        <scheme val="minor"/>
      </font>
      <numFmt numFmtId="20" formatCode="dd/mmm/yy"/>
      <fill>
        <patternFill patternType="none">
          <fgColor indexed="64"/>
          <bgColor auto="1"/>
        </patternFill>
      </fill>
      <alignment horizontal="center" vertical="center" textRotation="0" wrapText="0" indent="0" justifyLastLine="0" shrinkToFit="0" readingOrder="0"/>
      <border diagonalUp="0" diagonalDown="0" outline="0">
        <left/>
        <right style="dotted">
          <color auto="1"/>
        </right>
        <top style="dotted">
          <color auto="1"/>
        </top>
        <bottom/>
      </border>
    </dxf>
    <dxf>
      <border outline="0">
        <top style="dotted">
          <color auto="1"/>
        </top>
      </border>
    </dxf>
    <dxf>
      <alignment horizontal="center" vertical="center" textRotation="0" wrapText="0" indent="0" justifyLastLine="0" shrinkToFit="0" readingOrder="0"/>
    </dxf>
    <dxf>
      <border outline="0">
        <left style="dotted">
          <color auto="1"/>
        </left>
        <right style="dotted">
          <color auto="1"/>
        </right>
        <top style="dotted">
          <color auto="1"/>
        </top>
        <bottom style="dotted">
          <color auto="1"/>
        </bottom>
      </border>
    </dxf>
    <dxf>
      <font>
        <b/>
        <i val="0"/>
        <strike val="0"/>
        <condense val="0"/>
        <extend val="0"/>
        <outline val="0"/>
        <shadow val="0"/>
        <u val="none"/>
        <vertAlign val="baseline"/>
        <sz val="11"/>
        <color theme="0"/>
        <name val="Calibri"/>
        <family val="2"/>
        <scheme val="minor"/>
      </font>
      <fill>
        <patternFill patternType="none">
          <fgColor theme="9"/>
          <bgColor auto="1"/>
        </patternFill>
      </fill>
      <alignment horizontal="center" vertical="center" textRotation="0" wrapText="0" indent="0" justifyLastLine="0" shrinkToFit="0" readingOrder="0"/>
    </dxf>
    <dxf>
      <border outline="0">
        <bottom style="dotted">
          <color auto="1"/>
        </bottom>
      </border>
    </dxf>
    <dxf>
      <font>
        <b/>
        <i val="0"/>
        <strike val="0"/>
        <condense val="0"/>
        <extend val="0"/>
        <outline val="0"/>
        <shadow val="0"/>
        <u val="none"/>
        <vertAlign val="baseline"/>
        <sz val="11"/>
        <color theme="0"/>
        <name val="Calibri"/>
        <family val="2"/>
        <scheme val="minor"/>
      </font>
      <fill>
        <patternFill patternType="none">
          <fgColor theme="9"/>
          <bgColor auto="1"/>
        </patternFill>
      </fill>
      <alignment horizontal="center" vertical="center" textRotation="0" wrapText="1" indent="0" justifyLastLine="0" shrinkToFit="0" readingOrder="0"/>
      <border diagonalUp="0" diagonalDown="0" outline="0">
        <left style="dotted">
          <color auto="1"/>
        </left>
        <right style="dotted">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2.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openxmlformats.org/officeDocument/2006/relationships/sharedStrings" Target="sharedStrings.xml"/><Relationship Id="rId30"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editAs="oneCell">
    <xdr:from>
      <xdr:col>21</xdr:col>
      <xdr:colOff>197882</xdr:colOff>
      <xdr:row>34</xdr:row>
      <xdr:rowOff>344968</xdr:rowOff>
    </xdr:from>
    <xdr:to>
      <xdr:col>24</xdr:col>
      <xdr:colOff>4871</xdr:colOff>
      <xdr:row>41</xdr:row>
      <xdr:rowOff>189535</xdr:rowOff>
    </xdr:to>
    <mc:AlternateContent xmlns:mc="http://schemas.openxmlformats.org/markup-compatibility/2006" xmlns:a14="http://schemas.microsoft.com/office/drawing/2010/main">
      <mc:Choice Requires="a14">
        <xdr:graphicFrame macro="">
          <xdr:nvGraphicFramePr>
            <xdr:cNvPr id="5" name="Month">
              <a:extLst>
                <a:ext uri="{FF2B5EF4-FFF2-40B4-BE49-F238E27FC236}">
                  <a16:creationId xmlns:a16="http://schemas.microsoft.com/office/drawing/2014/main" id="{E7E55CBD-B2F9-7CC6-2761-72530D82C19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3220324" y="9574619"/>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296530</xdr:colOff>
      <xdr:row>34</xdr:row>
      <xdr:rowOff>74429</xdr:rowOff>
    </xdr:from>
    <xdr:to>
      <xdr:col>21</xdr:col>
      <xdr:colOff>54196</xdr:colOff>
      <xdr:row>40</xdr:row>
      <xdr:rowOff>288182</xdr:rowOff>
    </xdr:to>
    <mc:AlternateContent xmlns:mc="http://schemas.openxmlformats.org/markup-compatibility/2006" xmlns:a14="http://schemas.microsoft.com/office/drawing/2010/main">
      <mc:Choice Requires="a14">
        <xdr:graphicFrame macro="">
          <xdr:nvGraphicFramePr>
            <xdr:cNvPr id="6" name="Operating Year">
              <a:extLst>
                <a:ext uri="{FF2B5EF4-FFF2-40B4-BE49-F238E27FC236}">
                  <a16:creationId xmlns:a16="http://schemas.microsoft.com/office/drawing/2014/main" id="{A3CF57B8-1E1E-6804-E18C-6475A702657C}"/>
                </a:ext>
              </a:extLst>
            </xdr:cNvPr>
            <xdr:cNvGraphicFramePr/>
          </xdr:nvGraphicFramePr>
          <xdr:xfrm>
            <a:off x="0" y="0"/>
            <a:ext cx="0" cy="0"/>
          </xdr:xfrm>
          <a:graphic>
            <a:graphicData uri="http://schemas.microsoft.com/office/drawing/2010/slicer">
              <sle:slicer xmlns:sle="http://schemas.microsoft.com/office/drawing/2010/slicer" name="Operating Year"/>
            </a:graphicData>
          </a:graphic>
        </xdr:graphicFrame>
      </mc:Choice>
      <mc:Fallback xmlns="">
        <xdr:sp macro="" textlink="">
          <xdr:nvSpPr>
            <xdr:cNvPr id="0" name=""/>
            <xdr:cNvSpPr>
              <a:spLocks noTextEdit="1"/>
            </xdr:cNvSpPr>
          </xdr:nvSpPr>
          <xdr:spPr>
            <a:xfrm>
              <a:off x="21281065" y="930408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787400</xdr:colOff>
      <xdr:row>24</xdr:row>
      <xdr:rowOff>88900</xdr:rowOff>
    </xdr:from>
    <xdr:to>
      <xdr:col>4</xdr:col>
      <xdr:colOff>977900</xdr:colOff>
      <xdr:row>24</xdr:row>
      <xdr:rowOff>317500</xdr:rowOff>
    </xdr:to>
    <xdr:sp macro="" textlink="">
      <xdr:nvSpPr>
        <xdr:cNvPr id="10" name="Down Arrow 9">
          <a:extLst>
            <a:ext uri="{FF2B5EF4-FFF2-40B4-BE49-F238E27FC236}">
              <a16:creationId xmlns:a16="http://schemas.microsoft.com/office/drawing/2014/main" id="{D969C7AB-31EE-B040-A249-D5DD393D0125}"/>
            </a:ext>
          </a:extLst>
        </xdr:cNvPr>
        <xdr:cNvSpPr/>
      </xdr:nvSpPr>
      <xdr:spPr>
        <a:xfrm>
          <a:off x="7454900" y="5435600"/>
          <a:ext cx="190500" cy="22860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envionwindtechnologypvtltd-my.sharepoint.com/home/armax/Downloads/https:/sterlingwilsoninfra-my.sharepoint.com/home/operator/Downloads/C:/Users/hp/Downloads/DGR_Giriraj_16MW%20of%2019M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senvionwindtechnologypvtltd-my.sharepoint.com/home/armax/Downloads/https:/sterlingwilsoninfra-my.sharepoint.com/home/operator/Downloads/C:/Askandra%20DGR%20november/DGR_Guj_Bhadrada%2030-oct_12%20(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envionwindtechnologypvtltd-my.sharepoint.com/UpdatedO2_DGR_Panama_Mirkala_80MW.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envionwindtechnologypvtltd-my.sharepoint.com/home/armax/Downloads/https:/sterlingwilsoninfra-my.sharepoint.com/home/operator/Downloads/C:/DGR_23052013/DGR_%20Solar/Raj_Askandra_Saidha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DGR"/>
      <sheetName val="DGR Bkup"/>
      <sheetName val="BD_Report"/>
      <sheetName val="Analog Data"/>
      <sheetName val="Basic_Data"/>
      <sheetName val="string cleaning"/>
      <sheetName val="Basic Data"/>
      <sheetName val="behindScenes"/>
      <sheetName val="Plant Master"/>
      <sheetName val="Dashboard"/>
      <sheetName val="Data entry"/>
      <sheetName val="POA Wtg"/>
      <sheetName val="Monthly"/>
      <sheetName val="INV Performance"/>
      <sheetName val="Breakdown Report"/>
      <sheetName val="DataValidation"/>
      <sheetName val="Module cleaning"/>
      <sheetName val="Equipment"/>
      <sheetName val="Maintenance Details"/>
      <sheetName val="Draft"/>
      <sheetName val="DGR SUMr"/>
      <sheetName val="Abbreviation"/>
      <sheetName val="Ex-Summary"/>
      <sheetName val="DGR Summary"/>
      <sheetName val="Sheet1"/>
      <sheetName val="Sheet2"/>
      <sheetName val="Load Shedding"/>
      <sheetName val="DGR "/>
      <sheetName val="Data_Entry"/>
      <sheetName val="33KV Meter Reading "/>
      <sheetName val="Plant Availability"/>
      <sheetName val="Plant BD"/>
      <sheetName val="Plant BD_35MW"/>
      <sheetName val="Grid Down Report"/>
      <sheetName val="DC Load"/>
      <sheetName val="Ex-Summary Sky Power"/>
      <sheetName val="132KV Meter Reading "/>
      <sheetName val="Tracker Report"/>
      <sheetName val="Tracker Availabilty"/>
      <sheetName val="Availability Report"/>
      <sheetName val="Load Shedding Gen Loss Cal"/>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DGR"/>
      <sheetName val="DGR Bkup"/>
      <sheetName val="BD_Report"/>
      <sheetName val="Analog Data"/>
      <sheetName val="Basic_Data"/>
      <sheetName val="string cleaning"/>
      <sheetName val="Abbreviation"/>
      <sheetName val="Ex-Summary"/>
      <sheetName val="DGR Summary"/>
      <sheetName val="Sheet1"/>
      <sheetName val="Sheet2"/>
      <sheetName val="Load Shedding"/>
      <sheetName val="DGR "/>
      <sheetName val="Data_Entry"/>
      <sheetName val="33KV Meter Reading "/>
      <sheetName val="Basic Data"/>
      <sheetName val="Plant Availability"/>
      <sheetName val="Plant BD"/>
      <sheetName val="Plant BD_35MW"/>
      <sheetName val="Grid Down Report"/>
      <sheetName val="DC Load"/>
      <sheetName val="Ex-Summary Sky Power"/>
      <sheetName val="132KV Meter Reading "/>
      <sheetName val="Tracker Report"/>
      <sheetName val="Tracker Availabilty"/>
      <sheetName val="Availability Report"/>
      <sheetName val="Load Shedding Gen Loss Cal"/>
      <sheetName val="Inverter Wise PR"/>
      <sheetName val="PM Schedule"/>
      <sheetName val="SBE-14 Option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breviation"/>
      <sheetName val="O2_Summary"/>
      <sheetName val="Ex-Summary"/>
      <sheetName val="DGR Summary"/>
      <sheetName val="Modelling"/>
      <sheetName val="Sheet1"/>
      <sheetName val="DGR"/>
      <sheetName val="WTG_SY_Deviation"/>
      <sheetName val="WTG SE"/>
      <sheetName val="Data_Entry"/>
      <sheetName val="Inv PR "/>
      <sheetName val="WS"/>
      <sheetName val="GAR"/>
      <sheetName val="GARd"/>
      <sheetName val="AR"/>
      <sheetName val="MARd2"/>
      <sheetName val="MARd"/>
      <sheetName val="All"/>
      <sheetName val="Plant BD"/>
      <sheetName val="Basic Data"/>
      <sheetName val="Availability report"/>
      <sheetName val="Grid Down Report"/>
      <sheetName val="Load Sheddi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DGR"/>
      <sheetName val="DGR Bkup"/>
      <sheetName val="BD_Report"/>
      <sheetName val="Analog Data"/>
      <sheetName val="Basic_Data"/>
      <sheetName val="string cleaning"/>
      <sheetName val="Business"/>
      <sheetName val="Facility"/>
      <sheetName val="Abbreviation"/>
      <sheetName val="Ex-Summary"/>
      <sheetName val="DGR Summary"/>
      <sheetName val="DGR "/>
      <sheetName val="Data_Entry"/>
      <sheetName val="33KV Meter Reading "/>
      <sheetName val="Availability Report"/>
      <sheetName val="Plant BD"/>
      <sheetName val="Plant BD_100MW"/>
      <sheetName val="Basic Data"/>
      <sheetName val="Grid Down Report"/>
      <sheetName val="Load Shedding"/>
      <sheetName val="DC Load"/>
      <sheetName val="Sheet1"/>
      <sheetName val="Sheet2"/>
      <sheetName val="Plant Availability"/>
      <sheetName val="Plant BD_35MW"/>
      <sheetName val="Inverter Wise PR"/>
      <sheetName val="PM Schedule"/>
      <sheetName val="SBE-16 Option1"/>
      <sheetName val="TN State- Employe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nker Kumar Pathe" refreshedDate="45414.54797615741" createdVersion="8" refreshedVersion="8" minRefreshableVersion="3" recordCount="3" xr:uid="{00000000-000A-0000-FFFF-FFFF00000000}">
  <cacheSource type="worksheet">
    <worksheetSource ref="H1:H1048576" sheet="WTG_BD"/>
  </cacheSource>
  <cacheFields count="32">
    <cacheField name="Sr. No." numFmtId="0">
      <sharedItems containsString="0" containsBlank="1" containsNumber="1" containsInteger="1" minValue="1" maxValue="2"/>
    </cacheField>
    <cacheField name="Date" numFmtId="0">
      <sharedItems containsNonDate="0" containsDate="1" containsString="0" containsBlank="1" minDate="2023-02-13T00:00:00" maxDate="2024-07-25T00:00:00" count="215">
        <d v="2024-03-31T00:00:00"/>
        <d v="2024-04-01T00:00:00"/>
        <m/>
        <d v="2023-02-13T00:00:00" u="1"/>
        <d v="2023-02-14T00:00:00" u="1"/>
        <d v="2023-02-15T00:00:00" u="1"/>
        <d v="2023-02-16T00:00:00" u="1"/>
        <d v="2023-02-17T00:00:00" u="1"/>
        <d v="2023-02-18T00:00:00" u="1"/>
        <d v="2023-02-19T00:00:00" u="1"/>
        <d v="2023-02-20T00:00:00" u="1"/>
        <d v="2023-02-21T00:00:00" u="1"/>
        <d v="2023-02-22T00:00:00" u="1"/>
        <d v="2023-02-23T00:00:00" u="1"/>
        <d v="2023-02-24T00:00:00" u="1"/>
        <d v="2023-02-25T00:00:00" u="1"/>
        <d v="2023-02-26T00:00:00" u="1"/>
        <d v="2023-02-27T00:00:00" u="1"/>
        <d v="2023-02-28T00:00:00" u="1"/>
        <d v="2023-03-01T00:00:00" u="1"/>
        <d v="2023-03-02T00:00:00" u="1"/>
        <d v="2023-03-03T00:00:00" u="1"/>
        <d v="2023-03-04T00:00:00" u="1"/>
        <d v="2023-03-05T00:00:00" u="1"/>
        <d v="2023-03-06T00:00:00" u="1"/>
        <d v="2023-03-07T00:00:00" u="1"/>
        <d v="2023-03-08T00:00:00" u="1"/>
        <d v="2023-03-09T00:00:00" u="1"/>
        <d v="2023-03-10T00:00:00" u="1"/>
        <d v="2023-03-11T00:00:00" u="1"/>
        <d v="2023-03-12T00:00:00" u="1"/>
        <d v="2023-03-13T00:00:00" u="1"/>
        <d v="2023-03-14T00:00:00" u="1"/>
        <d v="2023-03-15T00:00:00" u="1"/>
        <d v="2023-03-16T00:00:00" u="1"/>
        <d v="2023-03-17T00:00:00" u="1"/>
        <d v="2023-03-18T00:00:00" u="1"/>
        <d v="2023-03-19T00:00:00" u="1"/>
        <d v="2023-03-20T00:00:00" u="1"/>
        <d v="2023-03-21T00:00:00" u="1"/>
        <d v="2023-03-23T00:00:00" u="1"/>
        <d v="2023-03-24T00:00:00" u="1"/>
        <d v="2023-03-25T00:00:00" u="1"/>
        <d v="2023-03-26T00:00:00" u="1"/>
        <d v="2023-03-27T00:00:00" u="1"/>
        <d v="2023-03-28T00:00:00" u="1"/>
        <d v="2023-03-29T00:00:00" u="1"/>
        <d v="2023-03-30T00:00:00" u="1"/>
        <d v="2023-03-31T00:00:00" u="1"/>
        <d v="2023-04-01T00:00:00" u="1"/>
        <d v="2023-04-02T00:00:00" u="1"/>
        <d v="2023-04-03T00:00:00" u="1"/>
        <d v="2023-04-04T00:00:00" u="1"/>
        <d v="2023-04-05T00:00:00" u="1"/>
        <d v="2023-04-06T00:00:00" u="1"/>
        <d v="2023-04-07T00:00:00" u="1"/>
        <d v="2023-04-08T00:00:00" u="1"/>
        <d v="2023-04-09T00:00:00" u="1"/>
        <d v="2023-04-10T00:00:00" u="1"/>
        <d v="2023-04-11T00:00:00" u="1"/>
        <d v="2023-04-12T00:00:00" u="1"/>
        <d v="2023-04-13T00:00:00" u="1"/>
        <d v="2023-04-14T00:00:00" u="1"/>
        <d v="2023-04-15T00:00:00" u="1"/>
        <d v="2023-04-16T00:00:00" u="1"/>
        <d v="2023-04-17T00:00:00" u="1"/>
        <d v="2023-04-18T00:00:00" u="1"/>
        <d v="2023-04-19T00:00:00" u="1"/>
        <d v="2023-04-20T00:00:00" u="1"/>
        <d v="2023-04-21T00:00:00" u="1"/>
        <d v="2023-04-22T00:00:00" u="1"/>
        <d v="2023-04-23T00:00:00" u="1"/>
        <d v="2023-04-24T00:00:00" u="1"/>
        <d v="2023-04-25T00:00:00" u="1"/>
        <d v="2023-04-26T00:00:00" u="1"/>
        <d v="2023-04-27T00:00:00" u="1"/>
        <d v="2023-04-28T00:00:00" u="1"/>
        <d v="2023-04-29T00:00:00" u="1"/>
        <d v="2023-04-30T00:00:00" u="1"/>
        <d v="2023-05-01T00:00:00" u="1"/>
        <d v="2023-05-02T00:00:00" u="1"/>
        <d v="2023-05-03T00:00:00" u="1"/>
        <d v="2023-05-04T00:00:00" u="1"/>
        <d v="2023-05-05T00:00:00" u="1"/>
        <d v="2023-05-06T00:00:00" u="1"/>
        <d v="2023-05-07T00:00:00" u="1"/>
        <d v="2023-05-08T00:00:00" u="1"/>
        <d v="2023-05-09T00:00:00" u="1"/>
        <d v="2023-05-10T00:00:00" u="1"/>
        <d v="2023-05-11T00:00:00" u="1"/>
        <d v="2023-05-12T00:00:00" u="1"/>
        <d v="2023-05-13T00:00:00" u="1"/>
        <d v="2023-05-14T00:00:00" u="1"/>
        <d v="2023-05-15T00:00:00" u="1"/>
        <d v="2023-05-16T00:00:00" u="1"/>
        <d v="2023-05-17T00:00:00" u="1"/>
        <d v="2023-05-18T00:00:00" u="1"/>
        <d v="2023-05-19T00:00:00" u="1"/>
        <d v="2023-05-20T00:00:00" u="1"/>
        <d v="2023-05-21T00:00:00" u="1"/>
        <d v="2023-05-22T00:00:00" u="1"/>
        <d v="2023-05-23T00:00:00" u="1"/>
        <d v="2023-05-24T00:00:00" u="1"/>
        <d v="2023-05-25T00:00:00" u="1"/>
        <d v="2023-05-26T00:00:00" u="1"/>
        <d v="2023-05-27T00:00:00" u="1"/>
        <d v="2023-05-28T00:00:00" u="1"/>
        <d v="2023-05-29T00:00:00" u="1"/>
        <d v="2023-05-30T00:00:00" u="1"/>
        <d v="2023-05-31T00:00:00" u="1"/>
        <d v="2023-06-01T00:00:00" u="1"/>
        <d v="2023-06-02T00:00:00" u="1"/>
        <d v="2023-06-03T00:00:00" u="1"/>
        <d v="2023-06-04T00:00:00" u="1"/>
        <d v="2023-06-05T00:00:00" u="1"/>
        <d v="2023-06-06T00:00:00" u="1"/>
        <d v="2023-06-07T00:00:00" u="1"/>
        <d v="2023-06-08T00:00:00" u="1"/>
        <d v="2023-06-09T00:00:00" u="1"/>
        <d v="2023-06-10T00:00:00" u="1"/>
        <d v="2023-06-11T00:00:00" u="1"/>
        <d v="2023-06-12T00:00:00" u="1"/>
        <d v="2023-06-13T00:00:00" u="1"/>
        <d v="2023-06-14T00:00:00" u="1"/>
        <d v="2023-06-15T00:00:00" u="1"/>
        <d v="2023-06-16T00:00:00" u="1"/>
        <d v="2023-06-17T00:00:00" u="1"/>
        <d v="2023-06-18T00:00:00" u="1"/>
        <d v="2023-06-19T00:00:00" u="1"/>
        <d v="2023-06-20T00:00:00" u="1"/>
        <d v="2023-06-21T00:00:00" u="1"/>
        <d v="2023-06-22T00:00:00" u="1"/>
        <d v="2023-06-23T00:00:00" u="1"/>
        <d v="2023-06-24T00:00:00" u="1"/>
        <d v="2023-06-25T00:00:00" u="1"/>
        <d v="2023-06-26T00:00:00" u="1"/>
        <d v="2023-06-27T00:00:00" u="1"/>
        <d v="2023-06-28T00:00:00" u="1"/>
        <d v="2023-06-29T00:00:00" u="1"/>
        <d v="2023-06-30T00:00:00" u="1"/>
        <d v="2023-07-01T00:00:00" u="1"/>
        <d v="2023-07-02T00:00:00" u="1"/>
        <d v="2023-07-03T00:00:00" u="1"/>
        <d v="2023-07-04T00:00:00" u="1"/>
        <d v="2023-07-05T00:00:00" u="1"/>
        <d v="2023-07-06T00:00:00" u="1"/>
        <d v="2023-07-07T00:00:00" u="1"/>
        <d v="2023-07-08T00:00:00" u="1"/>
        <d v="2023-07-09T00:00:00" u="1"/>
        <d v="2023-07-10T00:00:00" u="1"/>
        <d v="2023-07-11T00:00:00" u="1"/>
        <d v="2023-07-12T00:00:00" u="1"/>
        <d v="2023-07-13T00:00:00" u="1"/>
        <d v="2023-07-14T00:00:00" u="1"/>
        <d v="2023-07-15T00:00:00" u="1"/>
        <d v="2023-07-16T00:00:00" u="1"/>
        <d v="2023-07-17T00:00:00" u="1"/>
        <d v="2023-07-18T00:00:00" u="1"/>
        <d v="2023-07-20T00:00:00" u="1"/>
        <d v="2023-07-21T00:00:00" u="1"/>
        <d v="2023-07-22T00:00:00" u="1"/>
        <d v="2023-07-23T00:00:00" u="1"/>
        <d v="2024-07-24T00:00:00" u="1"/>
        <d v="2023-07-25T00:00:00" u="1"/>
        <d v="2023-07-26T00:00:00" u="1"/>
        <d v="2023-07-27T00:00:00" u="1"/>
        <d v="2023-07-28T00:00:00" u="1"/>
        <d v="2023-07-30T00:00:00" u="1"/>
        <d v="2023-07-31T00:00:00" u="1"/>
        <d v="2023-08-01T00:00:00" u="1"/>
        <d v="2023-08-02T00:00:00" u="1"/>
        <d v="2023-08-03T00:00:00" u="1"/>
        <d v="2023-08-04T00:00:00" u="1"/>
        <d v="2023-08-05T00:00:00" u="1"/>
        <d v="2023-08-06T00:00:00" u="1"/>
        <d v="2023-08-07T00:00:00" u="1"/>
        <d v="2023-08-08T00:00:00" u="1"/>
        <d v="2023-08-09T00:00:00" u="1"/>
        <d v="2023-08-10T00:00:00" u="1"/>
        <d v="2023-08-11T00:00:00" u="1"/>
        <d v="2023-08-12T00:00:00" u="1"/>
        <d v="2023-08-13T00:00:00" u="1"/>
        <d v="2023-08-14T00:00:00" u="1"/>
        <d v="2023-08-15T00:00:00" u="1"/>
        <d v="2023-08-16T00:00:00" u="1"/>
        <d v="2023-08-17T00:00:00" u="1"/>
        <d v="2023-08-18T00:00:00" u="1"/>
        <d v="2023-08-19T00:00:00" u="1"/>
        <d v="2023-08-20T00:00:00" u="1"/>
        <d v="2023-08-21T00:00:00" u="1"/>
        <d v="2023-08-22T00:00:00" u="1"/>
        <d v="2023-08-23T00:00:00" u="1"/>
        <d v="2023-08-24T00:00:00" u="1"/>
        <d v="2023-08-25T00:00:00" u="1"/>
        <d v="2023-08-26T00:00:00" u="1"/>
        <d v="2023-08-27T00:00:00" u="1"/>
        <d v="2023-08-28T00:00:00" u="1"/>
        <d v="2023-08-29T00:00:00" u="1"/>
        <d v="2023-08-30T00:00:00" u="1"/>
        <d v="2023-08-31T00:00:00" u="1"/>
        <d v="2023-09-01T00:00:00" u="1"/>
        <d v="2023-09-02T00:00:00" u="1"/>
        <d v="2023-09-03T00:00:00" u="1"/>
        <d v="2023-09-04T00:00:00" u="1"/>
        <d v="2023-09-05T00:00:00" u="1"/>
        <d v="2023-09-06T00:00:00" u="1"/>
        <d v="2023-09-07T00:00:00" u="1"/>
        <d v="2023-09-08T00:00:00" u="1"/>
        <d v="2023-09-09T00:00:00" u="1"/>
        <d v="2023-09-10T00:00:00" u="1"/>
        <d v="2023-09-11T00:00:00" u="1"/>
        <d v="2023-09-12T00:00:00" u="1"/>
        <d v="2023-09-13T00:00:00" u="1"/>
        <d v="2023-09-14T00:00:00" u="1"/>
        <d v="2023-09-15T00:00:00" u="1"/>
      </sharedItems>
    </cacheField>
    <cacheField name="Finacial Year" numFmtId="0">
      <sharedItems containsString="0" containsBlank="1" containsNumber="1" containsInteger="1" minValue="2023" maxValue="2025" count="4">
        <n v="2024"/>
        <n v="2025"/>
        <m/>
        <n v="2023" u="1"/>
      </sharedItems>
    </cacheField>
    <cacheField name="Calendor Year" numFmtId="0">
      <sharedItems containsString="0" containsBlank="1" containsNumber="1" containsInteger="1" minValue="2023" maxValue="2024" count="3">
        <n v="2024"/>
        <m/>
        <n v="2023" u="1"/>
      </sharedItems>
    </cacheField>
    <cacheField name="Month" numFmtId="0">
      <sharedItems containsNonDate="0" containsDate="1" containsString="0" containsBlank="1" minDate="1899-12-31T00:00:00" maxDate="2024-07-02T00:00:00" count="13">
        <d v="2024-03-01T00:00:00"/>
        <d v="2024-04-01T00:00:00"/>
        <m/>
        <d v="2023-02-01T00:00:00" u="1"/>
        <d v="2023-03-01T00:00:00" u="1"/>
        <d v="2023-04-01T00:00:00" u="1"/>
        <d v="2023-05-01T00:00:00" u="1"/>
        <d v="2023-06-01T00:00:00" u="1"/>
        <d v="2023-07-01T00:00:00" u="1"/>
        <d v="2024-07-01T00:00:00" u="1"/>
        <d v="2023-08-01T00:00:00" u="1"/>
        <d v="2023-09-01T00:00:00" u="1"/>
        <d v="1899-12-31T00:00:00" u="1"/>
      </sharedItems>
    </cacheField>
    <cacheField name="Operating Year" numFmtId="0">
      <sharedItems containsBlank="1" containsMixedTypes="1" containsNumber="1" containsInteger="1" minValue="1" maxValue="1" count="4">
        <n v="1"/>
        <m/>
        <s v="Year_1" u="1"/>
        <s v="Year_2" u="1"/>
      </sharedItems>
    </cacheField>
    <cacheField name="Affected WTG" numFmtId="0">
      <sharedItems containsNonDate="0" containsBlank="1" count="44">
        <m/>
        <s v="G17" u="1"/>
        <s v="G23" u="1"/>
        <s v="G26" u="1"/>
        <s v="G32" u="1"/>
        <s v="G37" u="1"/>
        <s v="G38" u="1"/>
        <s v="G39" u="1"/>
        <s v="G40" u="1"/>
        <s v="G27" u="1"/>
        <s v="G28" u="1"/>
        <s v="G29" u="1"/>
        <s v="G30" u="1"/>
        <s v="G31" u="1"/>
        <s v="G33" u="1"/>
        <s v="G34" u="1"/>
        <s v="G35" u="1"/>
        <s v="G36" u="1"/>
        <s v="G08" u="1"/>
        <s v="G19" u="1"/>
        <s v="G20" u="1"/>
        <s v="G01" u="1"/>
        <s v="G02" u="1"/>
        <s v="G03" u="1"/>
        <s v="G04" u="1"/>
        <s v="G05" u="1"/>
        <s v="G06" u="1"/>
        <s v="G07" u="1"/>
        <s v="G09" u="1"/>
        <s v="G10" u="1"/>
        <s v="G11" u="1"/>
        <s v="G12" u="1"/>
        <s v="G13" u="1"/>
        <s v="G14" u="1"/>
        <s v="G21" u="1"/>
        <s v="G22" u="1"/>
        <s v="G24" u="1"/>
        <s v="G25" u="1"/>
        <s v="G16" u="1"/>
        <s v="G18" u="1"/>
        <s v="G15" u="1"/>
        <s v="G25 " u="1"/>
        <s v="G30 " u="1"/>
        <s v="G17 " u="1"/>
      </sharedItems>
    </cacheField>
    <cacheField name="SPV" numFmtId="0">
      <sharedItems containsBlank="1"/>
    </cacheField>
    <cacheField name="Concumaer" numFmtId="0">
      <sharedItems containsBlank="1"/>
    </cacheField>
    <cacheField name="Plant Equivalent Weightage" numFmtId="0">
      <sharedItems containsBlank="1"/>
    </cacheField>
    <cacheField name="Error Code" numFmtId="0">
      <sharedItems containsString="0" containsBlank="1" containsNumber="1" containsInteger="1" minValue="0" maxValue="0"/>
    </cacheField>
    <cacheField name="Error Text" numFmtId="0">
      <sharedItems containsBlank="1" containsMixedTypes="1" containsNumber="1" containsInteger="1" minValue="0" maxValue="0" count="384">
        <s v="System OK"/>
        <n v="0"/>
        <m/>
        <s v="Error Code : 5219 - Coolant  of the  coolant circuit failure 00:00 To 09" u="1"/>
        <s v="Error Code : 205 - Low level hydraulic group refrigeration oil From 04:56 To 05:56" u="1"/>
        <s v="Error Code :10007 - Manual stop for TPI Inspection work From 12:00 To 13:05" u="1"/>
        <s v="Error Code : 10007 - Manual stop for TPI inspection work From 11:10 To 11:50" u="1"/>
        <s v="Error Code : 10007 - Manual stop for TPI Inspection work From 16:13 To 16:46" u="1"/>
        <s v="Error Code : 10007 - Manual stop for TPI Inspection work From 15:19 To 15:59" u="1"/>
        <s v="Error Code : 10007 - Manual stop for TPI Inspection work From 14:27 To 15:08" u="1"/>
        <s v="Error Code : 10007 - Manual stop for TPI Inspection work From 13:36 To 14:20" u="1"/>
        <s v="Error Code : 10007 - Manual stop for OFC joint work " u="1"/>
        <s v="Error code : 205 - low level hydraulic group refrigeration oil from 08:52 To 15:54" u="1"/>
        <s v="Error Code : 10007 - Manual stop for TPI inspection work From 16:03 To 16:37" u="1"/>
        <s v="Error Code : 10007 - Manual stop for TPI inspection work From 16:42 To 17:34" u="1"/>
        <s v="Error Code : 10007 - Manual stop for TPI inspection work From 17:17 To 17:52" u="1"/>
        <s v="Error Code : 10007 - Manual stop for TPI Inspection work From 16:15 To 17:01" u="1"/>
        <s v="Error Code : 10007 - Manual stop for OFC joint work From 16:50 To 17:15" u="1"/>
        <s v="Error Code : 10007 - Manual stop for TPI Inspection work From 14:51 To 15:28" u="1"/>
        <s v="Error Code : 10007 - Manual stop for TPI Inspection work From 15:01 To 15:54" u="1"/>
        <s v="Error Code : 10007 - Manual stop for TPI Inspection work From 13:39 To 14:40" u="1"/>
        <s v="Error Code : 10007 - Manual stop for TPI Inspection work From 12:39 To 13:30" u="1"/>
        <s v="Error Code : 208 - HG feedback failure From 12:13 To 15:09" u="1"/>
        <s v="Error Code : 10007 - Manual stop for PLC software update From 16:47 To 17:28" u="1"/>
        <s v="Error Code : 10007 Manual stop for PLC software update From 17:36 To 17:54" u="1"/>
        <s v="Error Code : 5204 - Emergency series not ok From 05:17 To 07:57  " u="1"/>
        <s v="Error Code : 205 - Low level hydraulic group refrigeration oil From 10:10 To 11:51" u="1"/>
        <s v="Error code : 5201 - Magnetothermic trigger of the stator protection From 09:59 To 12:29" u="1"/>
        <s v="Error Code : 5204 - Emergency series not ok From 08:49 To 11:44" u="1"/>
        <s v="Error Code : 10007 - Manual stop for TPI inspection work From 10:48 To 11:39" u="1"/>
        <s v="Error Code : 10007 - Manual stop for TPI inspection work From 10:30 To 11:06" u="1"/>
        <s v="Error Code : 10007 - Manual stop for TPI inspection work From 11:57 To 12:36" u="1"/>
        <s v="Error Code : 10007 - Manual stop for TPI inspection work From 11:36 To 12:14" u="1"/>
        <s v="Error code : 5216 - Grid Voltage failure From 02:03 To 02:07" u="1"/>
        <s v="Error Code : 10007 - Manual stop for TPI inspection work 12:26 To 13:01" u="1"/>
        <s v="Error code : 10007 - Manual stop for TPI inspection work From 10:32 To 11:34" u="1"/>
        <s v="Error  Code : 10007 - Manual stop for TPI inspection work From 12:47 To 13:23" u="1"/>
        <s v="Error Code : 10007 - Manual stop for TPI inspection work From 14:25 To 14:58" u="1"/>
        <s v="Error Code : 10007 - Manual stop for TPI inspection work From 14:49 To 15:21" u="1"/>
        <s v="Error Code : 10007 - Manual stop for TPI inspection work From 14:28 To 15:00" u="1"/>
        <s v="Error Code : 10007 - Manual stop for TPI inspection work From 15:05 To 15:51" u="1"/>
        <s v="Error Code : 10007 - Manual stop for TPI inspection work From 15:41 To 16:17" u="1"/>
        <s v="Error Code : 10007 - Manual stop for TPI inspection work From 15:56 To 16:40" u="1"/>
        <s v="Error code : 5216 - Grid Voltage failure From 02:03 To 02:07 " u="1"/>
        <s v=" Error code : 5216 - Grid Voltage failure from 02:03 To 02:07" u="1"/>
        <s v="Error Code: 907 - Hub Emergency mode triggered From 02:11 to 03:08" u="1"/>
        <s v="Error Code :5201 - Magnetothermic trigger of the stator protection From 12:33 To 15:09 " u="1"/>
        <s v="Error Code : 10007 - Manual stop for TPI inspection work From 12:18 to 13:01" u="1"/>
        <s v="Error code : 552 - Wear brushes generator triggerd too long from 18:30 to 19:04" u="1"/>
        <s v="Error Code : 10007 - Manual stop for TPI inspection work From 12:02 to 12:31" u="1"/>
        <s v="Error Code : 10007 - Manual stop for TPI inspection work From 11:27 to 12:17" u="1"/>
        <s v="Error Code : 10007 - Manual stop for TPI inspection work From 10:58 to 11:44" u="1"/>
        <s v="Error Code : 10007 - Manual stop for TPI inspection work From 13:14 to 13:59" u="1"/>
        <s v="Error Code : 10007 - Manual stop for TPI inspection work From 14:44 to 15:28" u="1"/>
        <s v="Error Code : 10007 - Manual stop for TPI inspection work From 15:12 to 16:14" u="1"/>
        <s v="Error code : 5201 - Magentothermic trigger of the stator protection from 12:46 to 12:52" u="1"/>
        <s v="Error code : 5201 - Magnetothermic trigger of the Line protection From 19:40 To 23:09" u="1"/>
        <s v="Error code : 5203 - Heating Coolant thermal magnetic failure From 00:48 To 02:05" u="1"/>
        <s v="Error Code : 205 - Low level hydraulic group refrigeration oil From 00:59 to 17:29" u="1"/>
        <s v="Error Code : 5200 - Magenetothermic trigger of the line protection From 15:34 to 22:23" u="1"/>
        <s v="Error code : 110 - Error Yaw Sensor Wiring from 00:27 to 03:22" u="1"/>
        <s v="Error code : 800 - Pitch Activation error from 12:10 to 13:51" u="1"/>
        <s v="Error code : 205 - low level hydraulic group refrigeration oil from 05:23 to 07:46" u="1"/>
        <s v="Error Code : 10007 - Manual stop for pitch cylinder oil seal replace work from 10:25 to 18:05" u="1"/>
        <s v="Error code : 205 - low level hydraulic group refrigeration oil from 00:00 to 01:35" u="1"/>
        <s v="Error code : 110 - Error Yaw Sensor Wiring from 03:22 to 06:23" u="1"/>
        <s v="Error code : 110 - Error Yaw Sensor Wiring from 02:47 to 05:42" u="1"/>
        <s v=" Error code : 5202 - stators contactor failure from 18:54 to 23:59" u="1"/>
        <s v="Error Code : 800 - Pitch activation error From 12:52 to 16:07" u="1"/>
        <s v="Error Code : 10007 - Manual stop for yaw caliper oil seal replacement work from 11:09 to 16:49" u="1"/>
        <s v="Error code : 1819 - RC filter failure from 16:07 to 18:12" u="1"/>
        <s v="Error Code : 800 - Pitch activation error From 14:07 TO 16:14" u="1"/>
        <s v="Error code : 205 - low level hydraulic group refrigeration oil from 00:00 to 00:43" u="1"/>
        <s v=" Error Code : 800 - Pitch activation error From 14:55 to 16:48" u="1"/>
        <s v="Error code : 1819 - RC filter failure from 18:14 to 19:27" u="1"/>
        <s v="Error code : 205 - low level hydraulic group refrigeration oil from 22:45 to 23:59" u="1"/>
        <s v="Error Code : 800 - Pitch activation error From 10:17 to 16:41" u="1"/>
        <s v="Error code : 5216 - Grid Voltage failure From 08:29 to 08:32" u="1"/>
        <s v="Error code : 5216 - Grid Voltage failure From 00:26 to 00:27" u="1"/>
        <s v="Error Code: 907 - Hub Emergency mode triggered From 08:39 to 10:22" u="1"/>
        <s v="Error code : 205 - low level hydraulic group refrigeration oil ( yaw caliper oil seal replacement )from 00:00 to 16:44" u="1"/>
        <s v="Error code : 205 - low level hydraulic group refrigeration oil from 04:36 to 08:01" u="1"/>
        <s v="Error Code : 800 - Pitch activation error From 12:19 to 18:20" u="1"/>
        <s v="Error code : 5203 - Heating Coolant thermal magnetic failure From 00:39 to 03:32" u="1"/>
        <s v="Error code :110 - Error yaw sensor wiring from 10:43 to 14:48" u="1"/>
        <s v="Error code : 205 - low level hydraulic group refrigeration oil from 10:12 to 15:56" u="1"/>
        <s v="Error code : 5212 - bus preload protection thermal replay failure from 00:26 to 12:51" u="1"/>
        <s v="Error Code : 800 - Pitch activation error From 12:55 to 13:35" u="1"/>
        <s v="Error Code : 10007 - Manual stop for oil leackage arresting work from 11:25 to 14:54" u="1"/>
        <s v="Error cod : 700 - PLC/converter communication failure from 16:54 to 01:54" u="1"/>
        <s v="Error code : 5216 - Grid Voltage failure From 11:43 to 11:47" u="1"/>
        <s v="Error code : 552 - Wear brushes generator triggerd too long from 00:00 to 02:38" u="1"/>
        <s v="Error code : 1819 - RC filter failure from 16:23 to 17:12" u="1"/>
        <s v="Error Code : 800 - Pitch activation error From 13:00 to 16:43" u="1"/>
        <s v="Error Code : 800 - Pitch activation error From 00:00 to 16:20" u="1"/>
        <s v="Error code : 552 - Wear brushes generator triggerd too long from 10:42 to 11:38" u="1"/>
        <s v="Error code : 1893 - Trafo Fan Thermal Realy triggered too long from 06:26 to 08:12" u="1"/>
        <s v="Error Code : 800 - Pitch activation error From 08:06 to 12:18" u="1"/>
        <s v="Error Code : 800 - Pitch activation error From 12:33 to 14:05" u="1"/>
        <s v="Error Code : 800 - Pitch activation error From 14:48 to 15:40" u="1"/>
        <s v="Error Code : 800 - Pitch activation error From 03:21 to 04:13" u="1"/>
        <s v="Error Code : 800 - Pitch activation error From 14:34 to 16:28" u="1"/>
        <s v="Error Code : 800 - Pitch activation error From 16:41 to 22:55" u="1"/>
        <s v="Error Code : 800 - Pitch activation error From 12:53 to 23:21" u="1"/>
        <s v="Error Code : 800 - Pitch activation error From 03:02 to 04:38" u="1"/>
        <s v="Error Code : 800 - Pitch activation error From 12:32 to 14:54" u="1"/>
        <s v="Error Code : 800 - Pitch activation error From 12:53 to 15:04" u="1"/>
        <s v="Error Code : 800 - Pitch activation error From 14:22 to 16:39" u="1"/>
        <s v="Error code : 500 - High T ( gen coils ) from 23:05 to 23:48" u="1"/>
        <s v="Error code : 800 - pitch activation errror from 14:10 to 16:28" u="1"/>
        <s v=" Error Code : 800 - Pitch activation error From 12:17 to 17:04" u="1"/>
        <s v="Error code : 5216 - Grid Voltage failure From 08:02 to 10:52" u="1"/>
        <s v=" Error code : 5216 - Grid Voltage failure From 08:02 to 10:52" u="1"/>
        <s v="Error code : 500 - High T ( gen coils ) from 06:43 to 08:54" u="1"/>
        <s v="Error code : 800 - pitch activation errror from 08:54 to 11:48 " u="1"/>
        <s v=" Error Code : 800 - Pitch activation error From 12:10 to 14:39" u="1"/>
        <s v="Error Code : 800 - Pitch activation error From 11:32 to 14:52 " u="1"/>
        <s v=" &amp; Error code : 108 - Automatic unwinding from 14:26 to 17:08" u="1"/>
        <s v="Error code : 10007 - Manual stop for gear oil level low from 10:29 to 16:24" u="1"/>
        <s v="Error code : 10007 - Manual stop for gearbox hose replacement work 11:03 to 14:21" u="1"/>
        <s v="Error code : 800 - pitch activation errror from 09:27 to 11:50" u="1"/>
        <s v="Error code : 9922 - LC taken by customer for tree cutting work from 13:45 to 15:07" u="1"/>
        <s v="  Error code : 9922 - LC taken by customer for tree cutting work from 13:45 to 15:07" u="1"/>
        <s v="Error Code : 800 - Pitch activation error From 12:56 to 15:04 " u="1"/>
        <s v="Error code : 800 - pitch activation errror from 02:37 to 04:54 " u="1"/>
        <s v=" Error code : 800 - pitch activation errror from12:53 to 14:46" u="1"/>
        <s v="Error Code : 5200 - Magenetothermic trigger of the line protection From 08:58 to 11:57" u="1"/>
        <s v=" Error Code : 800 - Pitch activation error From 12:46 to 16:32" u="1"/>
        <s v="Error code : 205 - Low level hydraulic group refrigeration oil from 13:27 to 12:41" u="1"/>
        <s v="Error Code : 800 - Pitch activation error From 07:26 to 09:54" u="1"/>
        <s v="Error code : 800 - pitch activation errror from 12:00 to 13:56" u="1"/>
        <s v="Error code : 205 - Low level hydraulic group refrigeration oil from 07:51 to 12:36" u="1"/>
        <s v="Error code : 700 - PLC/converter Communication failure from 10:12 to 13:17" u="1"/>
        <s v=" Error Code : 800 - Pitch activation error From 13:50 to 17:46" u="1"/>
        <s v="Error Code : 804 - Difference between 2 blades very high From 05:37 to 07:12 " u="1"/>
        <s v=" Error code : 800 - pitch activation error from 08:52 to 22:37" u="1"/>
        <s v="Error code : 5216 - Grid Voltage failure From 21:36 to 21:37" u="1"/>
        <s v="Error Code : 800 - Pitch activation error From 02:02 to 12:02" u="1"/>
        <s v="Error code : 205 - Low level hydraulic group refrigeration oil from 10:52 to 11:41 &amp; Error code : 5216 - Grid Voltage failure From 21:36 to 21:37" u="1"/>
        <s v="Error Code: 907 - Hub Emergency mode triggered From 21:39 to 23:59 &amp;Error code : 5216 - Grid Voltage failure From 21:36 to 21:37" u="1"/>
        <s v="Error code : 900 - Top emergency button from 21:50 to 23:59 &amp; Error code : 5216 - Grid Voltage failure From 21:47 to 21:48 &amp; Error code : 5216 - Grid Voltage failure From 23:33 to 23:53" u="1"/>
        <s v="Error code : 205 - low level hydraulic group refrigeration oil from 14:20 to 23:59 &amp; Error code : 5216 - Grid Voltage failure From 21:36 to 21:37" u="1"/>
        <s v="Error code : 800 - pitch activation errror from 08:21 to 12:25 &amp; Error code : 205 - Low level hydraulic group refrigeration oil from 12:36 to 16:16 &amp; Error code : 5216 - Grid Voltage failure From 21:36 to 21:37" u="1"/>
        <s v="Error code : 5216 - Grid Voltage failure From 21:47 to 21:48 &amp; Error code : 5216 - Grid Voltage failure From 23:33 to 23:53" u="1"/>
        <s v=" Error Code : 800 - Pitch activation error From 12:41 to 13:29" u="1"/>
        <s v=" Error code : 800 - pitch activation error from 01:00 to 23:59" u="1"/>
        <s v="Error code : 5212 - Bus preload protection thermal realy failure from 22:11 to 23:59 " u="1"/>
        <s v="Error Code : 800 - Pitch activation error From 05:22 to 10:41" u="1"/>
        <s v="Error code : 5212 - Bus preload protection thermal relay failure from 14:47 to 17:06" u="1"/>
        <s v="Error code : 205 - Low level hydraulic group refrigeration oil from 22:34 to 23:13" u="1"/>
        <s v="Error Code: 907 - Hub Emergency mode triggered From 00:00 to 2:17" u="1"/>
        <s v="Error code : 900 - Top emergency button from 00:00 to 02:45" u="1"/>
        <s v="Error code : 205 - low level hydraulic group refrigeration oil ( Yaw caliper oil seal replacement work ) from 00:00 to 16:12" u="1"/>
        <s v="Error code : 800 - pitch activation errror from 05:02 to 07:28 " u="1"/>
        <s v=" Error code : 800 - pitch activation errror from 13:39 to 14:54" u="1"/>
        <s v=" Error code : 800 - pitch activation error from 00:00 to 07:10" u="1"/>
        <s v="Error code : 5212 - Bus preload protection thermal realy failure from 00:00 to 03:19" u="1"/>
        <s v="Error code : 10007 - Manual stop for yaw caliper oil seal replacement work from 11:11 to 17:31 " u="1"/>
        <s v=" Error code : 2118 - Bus error / interbus failure from 21:52 to 23:59" u="1"/>
        <s v="Error code : 2118 - Bus error / interbus failure from 22:00 to 23:59" u="1"/>
        <s v="Error code : 800 - pitch activation errror from 12:42 to 16:14" u="1"/>
        <s v="Error code : 125 - Yaw motors over current protec. From 13:05 to 23:52" u="1"/>
        <s v="Error code : 101 - Max winding error from 16:49 to 17:32" u="1"/>
        <s v=" Error code : 2118 - Bus error / interbus failure from 00:00 to 01:29" u="1"/>
        <s v="Error code : 2118 - Bus error / interbus failure from 00:00 to 00:49" u="1"/>
        <s v="Error code : 2118 - CAN communication failure from 10:50 to 12:38" u="1"/>
        <s v="Error Code : 10007 - Manual stop for for porportional valve replacement &amp; KM004 From 10:46 To 12:48" u="1"/>
        <s v="Error code : 9922 - LC taken by customer for tree cutting work from 14:15 to 16:10" u="1"/>
        <s v=" Error Code : 9922 - LC taken by customer for tree cutting work From 14:15 To16:10" u="1"/>
        <s v="Error Code : 10007 - Manual stop for porportional valve replacement work &amp; KM004 From 11:12 To 14:06 " u="1"/>
        <s v="Error Code : 412 - Gear box fan thermal relay From 10:47 To 18:27" u="1"/>
        <s v="Error Code : 2102 - PLC module failure From 22:18 To 23:02" u="1"/>
        <s v="Error Code : 10007 - Manual stop for generator fan thermals warning From 12:31 To 12:57" u="1"/>
        <s v="Error Code : 10007 - Manual stop for Gear box manifold valve with washer replacement From 11:53 To 12:16" u="1"/>
        <s v="Error Code : 9922 -LC taken  for Tree trimming work From 12:12 To 12:57" u="1"/>
        <s v="Error Code : 800 - Pitch activation error From 10:31 To 10:59 " u="1"/>
        <s v=" Error Code : 9922 -LC taken  for Tree trimming work From 12:12 To 12:57" u="1"/>
        <s v="Error Code : 700 - PLC/Converter Communication Failure From 15:08 To 23:59 " u="1"/>
        <s v="Error Code : 800 - Pitch activation error From 11:27 To 16:30" u="1"/>
        <s v="Error Code : 700 - PLC/Converter Communication Failure From 00:00 To 23:59" u="1"/>
        <s v="Error Code : 5203 - Heating/coolant thermal magnetic failure From 19:20 To 22:31" u="1"/>
        <s v="Error Code : 108 - Automatic Unwinding From 13:01 To 16:10" u="1"/>
        <s v="Error Code : 205 - Low level hydraulic group refrigeration oil From 15:49 To 23:59" u="1"/>
        <s v="Error Code : 9922 - LC Taken S/D for DP yard yearly maintenance From 11:22 To 15:16" u="1"/>
        <s v="Error Code : 9922 - LC taken DP yard yearly maintenance From 11:22 To 15:16" u="1"/>
        <s v="Error Code : 9922 - LC taken for DP Yard yearly maintenance From 11:22 To 15:16" u="1"/>
        <s v="Error Code : 10007 - Manual stop for 102 PM From 10:46 To 18:20" u="1"/>
        <s v="Error Code : 108 - Automatic unwinding From 12:57 To 13:33" u="1"/>
        <s v="Error Code : 110 - Error Yaw Sensor Wiring From 06:24 To 07:33" u="1"/>
        <s v="Error Code : Low level hydraulic group refrigeration oil From 00:00 To 16:41" u="1"/>
        <s v="Error Code : 907 - HUB emergency - mode trigger From 20:20 To 20:30" u="1"/>
        <s v="Error Code : 550 - Gen. Fans Thermal Relay triggered too long From 02:35 To 04:18" u="1"/>
        <s v="Error Code : 700 - PLC/Converter Communication Failure From 00:00 To 02:53" u="1"/>
        <s v="Error code : 5216 - Grid Voltage failure From 05:35 to 05:38 " u="1"/>
        <s v="Error code : 5216 - Grid voltage failure From 20:52 to 21:21 " u="1"/>
        <s v="Error code : 5216 - Grid voltage failure  from 20:52 To 21:21  " u="1"/>
        <s v="Error code : 5216 - Grid voltage failure From 20:52 to 21:21  " u="1"/>
        <s v="   &amp; Error code : 5216 - Grid voltage failure From 20:52 to 21:21 " u="1"/>
        <s v="Error code : 5216 - Grid Voltage failure From 09:21 to 09:22" u="1"/>
        <s v="Error code : 5216 - Grid Voltage failure From 09:21 to 09:22 " u="1"/>
        <s v=" Error code : 5216 - Grid Voltage failure From 07:43 to 07:48." u="1"/>
        <s v="Error code : 5216 - Grid Voltage failure From 07:43 to 07:48." u="1"/>
        <s v="Error code : 5216 - Grid Voltage failure From 07:43 to 07:48 " u="1"/>
        <s v="Error code : 5216 - Grid Voltage failure From 07:43 to 07:48. " u="1"/>
        <s v=" Error code : 2509 - Communication Error From 05:38 to 08:30" u="1"/>
        <s v=" Error code : 2509 - Communication Error From 05:38 to 08:20" u="1"/>
        <s v="Error code : 2509 - Communication Error From 05:38 to 07:50" u="1"/>
        <s v=" Error code: 5228 - Preload failure from 05:38 to 13:25" u="1"/>
        <s v=" Error code : 2509 - Communication Error From 05:38 to 10:27" u="1"/>
        <s v=" Error code : 2509 - Communication Error From 05:38 to 08:25" u="1"/>
        <s v=" &amp; Error code: 2509- SF6 Breaker T connecter failure From 05:38 to 18:10" u="1"/>
        <s v=" Error code:5222 - Speed reading Incorrectly From 21:45 to 22:54." u="1"/>
        <s v=" Error Code : 205 - Low level hydraulic group refrigeration oil From 00:00 to 16:00 " u="1"/>
        <s v="Error code: 2118- Bus error Interbus Failure from 21:21 to 23:09." u="1"/>
        <s v="Error code : 205 - Low level hydraulic group refrigeration oil from 22:04 to 22:54" u="1"/>
        <s v="Error Code : 907 - HUB emergency - mode trigger From 00:00 to 17:43" u="1"/>
        <s v="&amp; Error Code : 907 - HUB emergency - mode trigger From 21:23 to 23:59." u="1"/>
        <s v="&amp;  Error code : 205 - Low level hydraulic group refrigeration oil from 21:36 to 23:59." u="1"/>
        <s v="&amp; Error Code: 2118 - Bus Error- Inturbus failure From 15:53 to 19:22" u="1"/>
        <s v="Error Code: 2299- LC taken for disc insulator replacement work from 13:20 to 14:34." u="1"/>
        <s v="Error Code: 2299- LC taken for disc insulator replacement work from 13:20 to 14:34 &amp; " u="1"/>
        <s v="Error Code : 205 - Low level hydraulic group refrigeration oil  From 06:33 To 07:26" u="1"/>
        <s v="Error Code : 907 - HUB emergency - mode trigger From 00:00 to 1:04" u="1"/>
        <s v="Error Code : 10007 - Manual stop for 102 PM From 09:45 to 17:00." u="1"/>
        <s v=" Error Code : 205- Low level of hydraulic group refrigeration oil from 07:09 to 12:19" u="1"/>
        <s v="Error code : 205 - Low level hydraulic group refrigeration oil from 00:00 to 01:39." u="1"/>
        <s v="Error code : 110- Yaw Sensor wiring  error from 16:01 to 18:05" u="1"/>
        <s v="Error Code : 205- Low level of hydraulic group refrigeration oil from 09:32 to 11:04." u="1"/>
        <s v="Error Code : 5201- Magnetothermic trigger of the stator protection." u="1"/>
        <s v=" Error code : 2118 - Bus error / interbus failure from 14:34 to 15:36" u="1"/>
        <s v=" &amp; Error code : 2118 - Bus error / interbus failure from 16:01 to 16:43" u="1"/>
        <s v="&amp; Error code : 812 - Error in blade position measurment error from 17:55 to 18:39." u="1"/>
        <s v=" Error code : 2118 - Bus error / interbus failure from 14:51 to 15:38  " u="1"/>
        <s v="&amp; Error code : 2118 - Bus error / interbus failure from 16:37to 17:00" u="1"/>
        <s v="&amp; Error code : 2118 - Bus error / interbus failure from 20:41 to 21:23" u="1"/>
        <s v="&amp;Error Code: 907- Hub Emergency mode triggered from 07:33 to 10:07 " u="1"/>
        <s v="&amp;Error Code: 907- Hub Emergency mode triggered from 10:23 to 11:29 " u="1"/>
        <s v=" &amp; Error Code: 907- Hub Emergency mode triggered From 14:37 to 15:57" u="1"/>
        <s v=" Error Code: 907- Hub Emergency mode triggered from 18:31 to 22:48" u="1"/>
        <s v="&amp; Error code : 205- Low level of hydraulic group refrigeration oil from 23:22 to 23:59." u="1"/>
        <s v="Error Code : 5222- Speed Reading incorrectly from 13:22 to 13:37" u="1"/>
        <s v="Error Code : 5210 - Failure of the contractor rotor power From 15:02 To 17:19" u="1"/>
        <s v="Error Code : 205 - Low level hydraulic roup refrigeration oil From 08:38 To 10:40" u="1"/>
        <s v="Error Code : 102 - CW motor failure From 20:54 To 23:59" u="1"/>
        <s v="Error Code : 205 - Low level hydraulic refrigeration oil From 00:00 To 03:51" u="1"/>
        <s v="Error Code : 110 - Yaw Sensor Wiring From 08:53 To 12:26" u="1"/>
        <s v="Error Code : 110 - Yaw Sensor wiring From 08:58 To 12:18" u="1"/>
        <s v="Error Code : 102 - CW motor failure From 00:00 to 00:59 ." u="1"/>
        <s v="Error Code: 2118- Bus error Inturbus failure From 18:09 to 19:19" u="1"/>
        <s v="Error Code :550- Gen. Fan Thermal Relay triggered to long 11:04 to 12:05" u="1"/>
        <s v="Error Code: 2118- Bus error Inturbus failure From 19:58 to 23:59." u="1"/>
        <s v="Error Code : 205 - Low level hydraulic group refrigeration oil From 13:48 to 22:22" u="1"/>
        <s v="Error code : 552 - Wear brushes generator triggered too long from 04:14 to 06:00" u="1"/>
        <s v="Error Code : 10007 - Manual stop for 102 PM From 09:40 to 17:21" u="1"/>
        <s v="Error Code: 800 - Pitch acitivation error  From 00:00 to 04:52" u="1"/>
        <s v="Error code : 2509 - communication error ( SF6 breaker trip ) from 14:33 to 19:14" u="1"/>
        <s v=" Error code : 9922 - LC tekan by customer DP-Yard yearly maintanance from 13:30 to 15:09" u="1"/>
        <s v=" &amp;  Error code : 9922 - LC tekan by customer DP-Yard yearly maintanance from 13:30 to 15:09" u="1"/>
        <s v="Error code : 800 - Pitch activation error from 20:36 to 23:59" u="1"/>
        <s v="Error code : 10007 - Manual stop for yaw caliper oil seal replacement work from 13:42 to 18:12" u="1"/>
        <s v="Error Code: 2118- Bus error Inturbus failure From 01:44 to 03:27" u="1"/>
        <s v="Error code : 103 - CW motor failure from 12:20 to 15:57" u="1"/>
        <s v="Error code : 2118 - Bus error / interbus failure from 12:36 to 13:49" u="1"/>
        <s v="Error code : 1894 - Automatic Secondaries not ok too long from 11:30 to 12:33" u="1"/>
        <s v=" Error code : 9922 - LC tekan by customer DP-Yard yearly maintanance from 13:24 to 15:42" u="1"/>
        <s v="Error Code: 2118- Bus error Inturbus failure From 06:51 to 07:48 &amp; " u="1"/>
        <s v="Error code : 2118 - Bus error / interbus failure from 10:16 to 13:42" u="1"/>
        <s v="Error Code : 10007 - Manual stop for 102 PM From 10:29 to 17:44" u="1"/>
        <s v="Error code : 416 - Vibrations sensor from 01:35 to 02:30" u="1"/>
        <s v="Error Code: 2118- Bus error Inturbus failure From 07:15 to 08:06 &amp;" u="1"/>
        <s v=" Error Code: 2118- Bus error Inturbus failure From 11:32 to 12:36" u="1"/>
        <s v="Error code : 10007 - Manual stop for generator cooling motor replacement work from 11:16 to 13:33" u="1"/>
        <s v="Error Code : 1894 - Automatic Secondaries not OK too long From 13:29 To 14:55" u="1"/>
        <s v="Error Code : 205 - Low level hydraulic group refrigeration oil From 12:32 To 13:15" u="1"/>
        <s v="Error Code : 10007 - Manual stop for 102 month preventive maintanance From 10:15 To 18:00" u="1"/>
        <s v="Error Code : 2118  - Bus error /Interbus failure From 17:02 To 18:04" u="1"/>
        <s v="Error Code : 9922 - LC Taken by custmour for DP Yard yearly maintanance work From 11:53 To 14:06" u="1"/>
        <s v="Error Code : 9922 - LC taken by customer DP yard yearly maintanance From 11:53 To 14:06" u="1"/>
        <s v="Error Code : 9922 - LC taken by custmour for DP yard yealy maintanance work From 11:53 To 14:06" u="1"/>
        <s v="Error Code : 9922 - LC taken by customer for DP yard yearly maintanance From 11:53 To 14:06" u="1"/>
        <s v="Error Code : 9922 - LC taken by Custmour for DP yard yearly maintanance From 11:53 To 14:06 " u="1"/>
        <s v="Error code : 552 - Wear brushes generator triggered too long from 05:11 To 06:52 /" u="1"/>
        <s v="Error Code : 208 _ HG Feedback failure From 01:17 To 05:22" u="1"/>
        <s v="Error Code : 10007 - Manual stop for 102 month Preventive Maintanance From 09:57 To 17:31" u="1"/>
        <s v="Error Code : 10007 - Manual stop for Bus Interbus failure troubleshooting work From 11:56 To 16:43" u="1"/>
        <s v=" Error Code : 552 - Wear brushes generator triggered too long From 22:18 To 23:19" u="1"/>
        <s v="Error Code : 5204 - Emergency series not ok From 21:40 To 23:59" u="1"/>
        <s v="Error Code : 205 - Low level hydraulic group refigeration oil From 14:18 To 17:23" u="1"/>
        <s v="Error Code : 110 - Error Yaw Sensor Wiring From 12:40 To 14:06" u="1"/>
        <s v="Error Code : 10007 - Manual stop for 102 Month Preventive Maintanance From 09:50 To 16:58" u="1"/>
        <s v="Error Code : 5204 - Emergency series not ok From 00:00 To 13:36" u="1"/>
        <s v="Error Code : 110 - Error Yaw Sensor Wiring From 10:11 To 11:09" u="1"/>
        <s v="Error Code : 10007 - Manual stop for 102 month Preventive Maintanance From 10:02 To 17:52" u="1"/>
        <s v="Error Code : 110 - Error Yaw Sensor Wiring From 14:02 To 16:04" u="1"/>
        <s v="Error Code : 10007 Manual stop For Error : 523 High T of coolant in input of cooling circuit From 16:20 To 16:55" u="1"/>
        <s v="Error Code : 10007 - Manual stop for Ware brush generator From 17:03 To 17:33" u="1"/>
        <s v="Analogue Card Failure" u="1"/>
        <s v="Yaw Sensor Wiring Error" u="1"/>
        <s v="Manual Stop" u="1"/>
        <s v="Heating Protection Triggered" u="1"/>
        <s v="Low Pressure On Hydraulic Group" u="1"/>
        <s v="Emergency Series HUB Trigger" u="1"/>
        <s v="Bus Error - Interbus Failure" u="1"/>
        <s v="Heating/Coolant Thermal Magnetic Failure" u="1"/>
        <e v="#N/A" u="1"/>
        <s v="Generator Fans Thermal Relay Triggered Too Long" u="1"/>
        <s v="Pitch Drive Error" u="1"/>
        <s v="Magnetothermic Trigger Of The Stator Protection" u="1"/>
        <s v="Generator Slipping Ring High Temperature" u="1"/>
        <s v="High Generator Winding Temperature" u="1"/>
        <s v="Yawing Sensor Failure" u="1"/>
        <s v="Wear Brushes Generator Triggered Too Long" u="1"/>
        <s v="Grid Voltage Failure" u="1"/>
        <s v="CCW Feedback Failure" u="1"/>
        <s v="High Yaw Brake Pressure" u="1"/>
        <s v="Hydraulic Oil High Temperature" u="1"/>
        <s v="Automatic Unwinding" u="1"/>
        <s v="CAN Communication Failure" u="1"/>
        <s v="Low Level Hydraulic Group Refrigeration Oil" u="1"/>
        <s v="Yaw Motors Error" u="1"/>
        <s v="Speed Read Incorrectly" u="1"/>
        <s v="Bus Preload Protection Thermal Relay Failure" u="1"/>
        <s v="PLC Module Failure" u="1"/>
        <s v="Temp. Measurement Module Failure" u="1"/>
        <s v="OGS" u="1"/>
        <s v="Very Low Pressure On Hydraulic Unit" u="1"/>
        <s v="Low Pitch Value In Stop Mode (1 Cylinder)" u="1"/>
        <s v="Automatic Secondaries Not OK Too Long" u="1"/>
        <s v="Magnetothermic Of The Stator Protection Failure Or Door Open" u="1"/>
        <s v="Blade Position Meas. Error" u="1"/>
        <s v="Max. Pump time" u="1"/>
        <s v="Top Emergency Button" u="1"/>
        <s v="PLC-Converter Communication Error" u="1"/>
        <s v="DTD Filter Alarm 1" u="1"/>
        <s v="Excessive Temperature Of The Control Module" u="1"/>
        <s v="Vibration Sensor" u="1"/>
        <s v="High Temperature Of Coolant In The Input Of The Cooling Circuit" u="1"/>
        <s v="Gearbox Fan Thermal Relays" u="1"/>
        <s v="CW Feedback Failure" u="1"/>
        <s v="Gearbox Pump Thermal Relay Triggered and High Gearbox Oil Temperature" u="1"/>
        <s v="Frequency Failure" u="1"/>
        <s v="High Grid Harmonic Distortion " u="1"/>
        <s v="Yaw Motors Over Current Protection " u="1"/>
        <s v="Yaw Contactor Active" u="1"/>
        <s v="Change Pause-Remote Control Reset" u="1"/>
        <s v="Preload Failure" u="1"/>
        <s v="Generator NDE Bearing High Temperature Alarm" u="1"/>
        <s v="Excessive Temperature Of Coolant At The Input Of The Cooling Circuit" u="1"/>
        <s v="Error In Phase T Of The Inverter" u="1"/>
        <s v="Controlled Emergency Series Battery Failure" u="1"/>
        <s v="Error In Phase T Of The Rectifier" u="1"/>
        <s v="Rotor Speed Reading Failure" u="1"/>
        <s v="Yawing Motor Thermal Relays" u="1"/>
        <s v="Converter High Ambient Temperature Alarm" u="1"/>
        <s v="Active Crowbar IGBT Errors" u="1"/>
        <s v="Excess Current Phase R Of Stator" u="1"/>
        <s v="Coolant Of The Coolant Circuit Failure" u="1"/>
        <s v="Active Crowbar Failure" u="1"/>
        <s v="High Generator Speed" u="1"/>
        <s v="Orienting and High Yaw Brake Pressure" u="1"/>
        <s v="Trafo Fan Thermal Relay Triggered Too Long" u="1"/>
        <s v="Error In Phase R Of The Inverter" u="1"/>
        <s v="High Gearbox Oil Temperature" u="1"/>
        <s v="HU Pump Drive Failure" u="1"/>
        <s v="Very High Disalignment" u="1"/>
        <s v="Wind Vane Failure Alarm" u="1"/>
        <s v="Emergency Series Not OK" u="1"/>
        <s v="Rotor Or Generator High Speed in STOP Or EMERGENCY" u="1"/>
        <s v="Failure Of The Contactor's Rotor Power" u="1"/>
        <s v="Error In Phase S Of The Inverter" u="1"/>
        <s v="Overheating In The Grid's Inductance" u="1"/>
        <s v="Rotor Protection Thermal Magnetic Failure" u="1"/>
        <s v="Orienting and Low Yaw Brake Pressure" u="1"/>
        <s v="Low Pressure Of Emergency Accumulators" u="1"/>
        <s v="Stator Contactor Failure" u="1"/>
        <s v="Hydraulic Filter Dirty" u="1"/>
        <s v="Slipping Rings Fan Or Heating Resistor Failure" u="1"/>
        <s v="Gearbox Oil High Temperature Warning" u="1"/>
        <s v="Difference Between 2 Blades Too High" u="1"/>
        <s v="Low Bus Voltage" u="1"/>
        <s v="Change Emergency-Local Reset" u="1"/>
        <s v="Trigger Of Overvoltage Protection" u="1"/>
        <s v="Initialization Failure" u="1"/>
        <s v="Gearbox Oil Level Low" u="1"/>
      </sharedItems>
    </cacheField>
    <cacheField name="Breakdown Description" numFmtId="0">
      <sharedItems containsNonDate="0" containsString="0" containsBlank="1"/>
    </cacheField>
    <cacheField name="Fault Start TimeStamp" numFmtId="0">
      <sharedItems containsNonDate="0" containsString="0" containsBlank="1"/>
    </cacheField>
    <cacheField name="Work Start TimeStamp" numFmtId="0">
      <sharedItems containsNonDate="0" containsString="0" containsBlank="1"/>
    </cacheField>
    <cacheField name="Fault Clearance time" numFmtId="0">
      <sharedItems containsNonDate="0" containsString="0" containsBlank="1"/>
    </cacheField>
    <cacheField name="Response Time" numFmtId="0">
      <sharedItems containsBlank="1"/>
    </cacheField>
    <cacheField name="Resolution Time" numFmtId="0">
      <sharedItems containsString="0" containsBlank="1" containsNumber="1" containsInteger="1" minValue="0" maxValue="0"/>
    </cacheField>
    <cacheField name="Breakdown Time" numFmtId="0">
      <sharedItems containsString="0" containsBlank="1" containsNumber="1" containsInteger="1" minValue="0" maxValue="0"/>
    </cacheField>
    <cacheField name="Action taken" numFmtId="0">
      <sharedItems containsNonDate="0" containsString="0" containsBlank="1"/>
    </cacheField>
    <cacheField name="Status" numFmtId="0">
      <sharedItems containsNonDate="0" containsString="0" containsBlank="1"/>
    </cacheField>
    <cacheField name="Plant Equivalent breakdown" numFmtId="0">
      <sharedItems containsBlank="1"/>
    </cacheField>
    <cacheField name="Paired WTG for Enegy based MA" numFmtId="0">
      <sharedItems containsNonDate="0" containsString="0" containsBlank="1"/>
    </cacheField>
    <cacheField name="Energy Production during breakdwon of paired WTG" numFmtId="0">
      <sharedItems containsNonDate="0" containsString="0" containsBlank="1"/>
    </cacheField>
    <cacheField name="Special remarks" numFmtId="0">
      <sharedItems containsNonDate="0" containsString="0" containsBlank="1"/>
    </cacheField>
    <cacheField name="Fault Category" numFmtId="0">
      <sharedItems containsNonDate="0" containsString="0" containsBlank="1"/>
    </cacheField>
    <cacheField name="Paired WTG Generation for loss calculation." numFmtId="0">
      <sharedItems containsNonDate="0" containsString="0" containsBlank="1"/>
    </cacheField>
    <cacheField name="loss" numFmtId="0">
      <sharedItems containsNonDate="0" containsString="0" containsBlank="1"/>
    </cacheField>
    <cacheField name="Column4" numFmtId="0">
      <sharedItems containsNonDate="0" containsString="0" containsBlank="1"/>
    </cacheField>
    <cacheField name="Column5" numFmtId="0">
      <sharedItems containsNonDate="0" containsString="0" containsBlank="1"/>
    </cacheField>
    <cacheField name="Column6" numFmtId="0">
      <sharedItems containsNonDate="0" containsString="0" containsBlank="1"/>
    </cacheField>
    <cacheField name="Column7" numFmtId="0">
      <sharedItems containsNonDate="0" containsString="0" containsBlank="1"/>
    </cacheField>
  </cacheFields>
  <extLst>
    <ext xmlns:x14="http://schemas.microsoft.com/office/spreadsheetml/2009/9/main" uri="{725AE2AE-9491-48be-B2B4-4EB974FC3084}">
      <x14:pivotCacheDefinition pivotCacheId="8610249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n v="1"/>
    <x v="0"/>
    <x v="0"/>
    <x v="0"/>
    <x v="0"/>
    <x v="0"/>
    <x v="0"/>
    <s v=""/>
    <s v=""/>
    <s v=""/>
    <n v="0"/>
    <x v="0"/>
    <m/>
    <m/>
    <m/>
    <m/>
    <s v=""/>
    <n v="0"/>
    <n v="0"/>
    <m/>
    <m/>
    <s v=""/>
    <m/>
    <m/>
    <m/>
    <m/>
    <m/>
    <m/>
    <m/>
    <m/>
    <m/>
    <m/>
  </r>
  <r>
    <n v="2"/>
    <x v="1"/>
    <x v="1"/>
    <x v="0"/>
    <x v="1"/>
    <x v="0"/>
    <x v="0"/>
    <s v=""/>
    <s v=""/>
    <s v=""/>
    <m/>
    <x v="1"/>
    <m/>
    <m/>
    <m/>
    <m/>
    <s v=""/>
    <n v="0"/>
    <n v="0"/>
    <m/>
    <m/>
    <s v=""/>
    <m/>
    <m/>
    <m/>
    <m/>
    <m/>
    <m/>
    <m/>
    <m/>
    <m/>
    <m/>
  </r>
  <r>
    <m/>
    <x v="2"/>
    <x v="2"/>
    <x v="1"/>
    <x v="2"/>
    <x v="1"/>
    <x v="0"/>
    <m/>
    <m/>
    <m/>
    <m/>
    <x v="2"/>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9:C30" firstHeaderRow="0" firstDataRow="1" firstDataCol="1" rowPageCount="1" colPageCount="1"/>
  <pivotFields count="32">
    <pivotField showAll="0"/>
    <pivotField showAll="0">
      <items count="216">
        <item m="1" x="3"/>
        <item m="1" x="4"/>
        <item m="1" x="5"/>
        <item m="1" x="6"/>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136"/>
        <item m="1" x="137"/>
        <item m="1" x="138"/>
        <item m="1" x="139"/>
        <item m="1" x="140"/>
        <item m="1" x="141"/>
        <item m="1" x="142"/>
        <item m="1" x="143"/>
        <item m="1" x="144"/>
        <item m="1" x="145"/>
        <item m="1" x="146"/>
        <item m="1" x="147"/>
        <item m="1" x="148"/>
        <item m="1" x="149"/>
        <item m="1" x="150"/>
        <item m="1" x="151"/>
        <item m="1" x="152"/>
        <item m="1" x="153"/>
        <item m="1" x="154"/>
        <item m="1" x="155"/>
        <item m="1" x="156"/>
        <item m="1" x="157"/>
        <item m="1" x="158"/>
        <item m="1" x="159"/>
        <item m="1" x="160"/>
        <item m="1" x="161"/>
        <item m="1" x="163"/>
        <item m="1" x="164"/>
        <item m="1" x="165"/>
        <item m="1" x="166"/>
        <item m="1" x="167"/>
        <item m="1" x="168"/>
        <item m="1" x="169"/>
        <item m="1" x="170"/>
        <item m="1" x="171"/>
        <item m="1" x="172"/>
        <item m="1" x="173"/>
        <item m="1" x="174"/>
        <item m="1" x="175"/>
        <item m="1" x="176"/>
        <item m="1" x="177"/>
        <item m="1" x="178"/>
        <item m="1" x="179"/>
        <item m="1" x="180"/>
        <item m="1" x="181"/>
        <item m="1" x="182"/>
        <item m="1" x="183"/>
        <item m="1" x="184"/>
        <item m="1" x="185"/>
        <item m="1" x="186"/>
        <item m="1" x="187"/>
        <item m="1" x="188"/>
        <item m="1" x="189"/>
        <item m="1" x="190"/>
        <item m="1" x="191"/>
        <item m="1" x="192"/>
        <item m="1" x="193"/>
        <item m="1" x="194"/>
        <item m="1" x="195"/>
        <item m="1" x="196"/>
        <item m="1" x="197"/>
        <item m="1" x="198"/>
        <item m="1" x="199"/>
        <item m="1" x="200"/>
        <item m="1" x="201"/>
        <item m="1" x="202"/>
        <item m="1" x="203"/>
        <item m="1" x="204"/>
        <item m="1" x="205"/>
        <item m="1" x="206"/>
        <item m="1" x="207"/>
        <item m="1" x="208"/>
        <item m="1" x="209"/>
        <item m="1" x="210"/>
        <item m="1" x="211"/>
        <item m="1" x="212"/>
        <item m="1" x="213"/>
        <item m="1" x="214"/>
        <item x="0"/>
        <item x="1"/>
        <item m="1" x="162"/>
        <item x="2"/>
        <item t="default"/>
      </items>
    </pivotField>
    <pivotField axis="axisPage" multipleItemSelectionAllowed="1" showAll="0">
      <items count="5">
        <item h="1" m="1" x="3"/>
        <item x="0"/>
        <item x="2"/>
        <item h="1" x="1"/>
        <item t="default"/>
      </items>
    </pivotField>
    <pivotField showAll="0">
      <items count="4">
        <item m="1" x="2"/>
        <item x="0"/>
        <item x="1"/>
        <item t="default"/>
      </items>
    </pivotField>
    <pivotField showAll="0">
      <items count="14">
        <item h="1" m="1" x="12"/>
        <item h="1" m="1" x="3"/>
        <item h="1" m="1" x="4"/>
        <item h="1" m="1" x="5"/>
        <item h="1" m="1" x="6"/>
        <item h="1" m="1" x="7"/>
        <item h="1" m="1" x="8"/>
        <item h="1" m="1" x="10"/>
        <item h="1" m="1" x="11"/>
        <item h="1" x="0"/>
        <item h="1" x="1"/>
        <item h="1" m="1" x="9"/>
        <item x="2"/>
        <item t="default"/>
      </items>
    </pivotField>
    <pivotField showAll="0">
      <items count="5">
        <item x="0"/>
        <item m="1" x="2"/>
        <item m="1" x="3"/>
        <item x="1"/>
        <item t="default"/>
      </items>
    </pivotField>
    <pivotField showAll="0">
      <items count="45">
        <item m="1" x="21"/>
        <item m="1" x="22"/>
        <item m="1" x="23"/>
        <item m="1" x="24"/>
        <item m="1" x="25"/>
        <item m="1" x="26"/>
        <item m="1" x="27"/>
        <item m="1" x="18"/>
        <item m="1" x="28"/>
        <item m="1" x="29"/>
        <item m="1" x="30"/>
        <item m="1" x="31"/>
        <item m="1" x="32"/>
        <item m="1" x="33"/>
        <item m="1" x="40"/>
        <item m="1" x="38"/>
        <item m="1" x="1"/>
        <item m="1" x="43"/>
        <item m="1" x="39"/>
        <item m="1" x="19"/>
        <item m="1" x="20"/>
        <item m="1" x="34"/>
        <item m="1" x="35"/>
        <item m="1" x="2"/>
        <item m="1" x="36"/>
        <item m="1" x="37"/>
        <item m="1" x="41"/>
        <item m="1" x="3"/>
        <item m="1" x="9"/>
        <item m="1" x="10"/>
        <item m="1" x="11"/>
        <item m="1" x="12"/>
        <item m="1" x="42"/>
        <item m="1" x="13"/>
        <item m="1" x="4"/>
        <item m="1" x="14"/>
        <item m="1" x="15"/>
        <item m="1" x="16"/>
        <item m="1" x="17"/>
        <item m="1" x="5"/>
        <item m="1" x="6"/>
        <item m="1" x="7"/>
        <item m="1" x="8"/>
        <item x="0"/>
        <item t="default"/>
      </items>
    </pivotField>
    <pivotField showAll="0"/>
    <pivotField showAll="0"/>
    <pivotField showAll="0"/>
    <pivotField showAll="0"/>
    <pivotField axis="axisRow" dataField="1" showAll="0">
      <items count="385">
        <item h="1" m="1" x="197"/>
        <item h="1" m="1" x="122"/>
        <item h="1" m="1" x="257"/>
        <item h="1" m="1" x="117"/>
        <item h="1" m="1" x="230"/>
        <item h="1" m="1" x="210"/>
        <item h="1" m="1" x="237"/>
        <item h="1" m="1" x="212"/>
        <item h="1" m="1" x="224"/>
        <item h="1" m="1" x="163"/>
        <item h="1" m="1" x="229"/>
        <item h="1" m="1" x="232"/>
        <item h="1" m="1" x="158"/>
        <item h="1" m="1" x="205"/>
        <item h="1" m="1" x="209"/>
        <item h="1" m="1" x="204"/>
        <item h="1" m="1" x="208"/>
        <item h="1" m="1" x="67"/>
        <item h="1" m="1" x="44"/>
        <item h="1" m="1" x="200"/>
        <item h="1" m="1" x="112"/>
        <item h="1" m="1" x="285"/>
        <item h="1" m="1" x="155"/>
        <item h="1" m="1" x="145"/>
        <item h="1" m="1" x="135"/>
        <item h="1" m="1" x="115"/>
        <item h="1" m="1" x="110"/>
        <item h="1" m="1" x="144"/>
        <item h="1" m="1" x="127"/>
        <item h="1" m="1" x="133"/>
        <item h="1" m="1" x="73"/>
        <item h="1" m="1" x="154"/>
        <item h="1" m="1" x="125"/>
        <item h="1" m="1" x="168"/>
        <item h="1" m="1" x="264"/>
        <item h="1" m="1" x="256"/>
        <item h="1" m="1" x="176"/>
        <item h="1" m="1" x="270"/>
        <item h="1" m="1" x="207"/>
        <item h="1" m="1" x="238"/>
        <item h="1" m="1" x="211"/>
        <item h="1" m="1" x="217"/>
        <item h="1" m="1" x="239"/>
        <item h="1" m="1" x="233"/>
        <item h="1" m="1" x="234"/>
        <item h="1" m="1" x="231"/>
        <item h="1" m="1" x="216"/>
        <item h="1" m="1" x="218"/>
        <item h="1" m="1" x="235"/>
        <item h="1" m="1" x="236"/>
        <item h="1" m="1" x="357"/>
        <item h="1" m="1" x="354"/>
        <item h="1" m="1" x="296"/>
        <item h="1" m="1" x="327"/>
        <item h="1" m="1" x="316"/>
        <item h="1" m="1" x="329"/>
        <item h="1" m="1" x="302"/>
        <item h="1" m="1" x="321"/>
        <item h="1" m="1" x="317"/>
        <item h="1" m="1" x="313"/>
        <item h="1" m="1" x="344"/>
        <item h="1" m="1" x="349"/>
        <item h="1" m="1" x="353"/>
        <item h="1" m="1" x="356"/>
        <item h="1" m="1" x="338"/>
        <item h="1" m="1" x="333"/>
        <item h="1" m="1" x="301"/>
        <item h="1" m="1" x="366"/>
        <item h="1" m="1" x="36"/>
        <item h="1" m="1" x="89"/>
        <item h="1" m="1" x="289"/>
        <item h="1" m="1" x="283"/>
        <item h="1" m="1" x="292"/>
        <item h="1" m="1" x="274"/>
        <item h="1" m="1" x="253"/>
        <item h="1" m="1" x="223"/>
        <item h="1" m="1" x="267"/>
        <item h="1" m="1" x="186"/>
        <item h="1" m="1" x="284"/>
        <item h="1" m="1" x="166"/>
        <item h="1" m="1" x="173"/>
        <item h="1" m="1" x="118"/>
        <item h="1" m="1" x="119"/>
        <item h="1" m="1" x="271"/>
        <item h="1" m="1" x="172"/>
        <item h="1" m="1" x="11"/>
        <item h="1" m="1" x="17"/>
        <item h="1" m="1" x="88"/>
        <item h="1" m="1" x="63"/>
        <item h="1" m="1" x="23"/>
        <item h="1" m="1" x="169"/>
        <item h="1" m="1" x="34"/>
        <item h="1" m="1" x="30"/>
        <item h="1" m="1" x="35"/>
        <item h="1" m="1" x="29"/>
        <item h="1" m="1" x="51"/>
        <item h="1" m="1" x="6"/>
        <item h="1" m="1" x="50"/>
        <item h="1" m="1" x="32"/>
        <item h="1" m="1" x="31"/>
        <item h="1" m="1" x="49"/>
        <item h="1" m="1" x="47"/>
        <item h="1" m="1" x="21"/>
        <item h="1" m="1" x="52"/>
        <item h="1" m="1" x="10"/>
        <item h="1" m="1" x="20"/>
        <item h="1" m="1" x="37"/>
        <item h="1" m="1" x="9"/>
        <item h="1" m="1" x="39"/>
        <item h="1" m="1" x="53"/>
        <item h="1" m="1" x="38"/>
        <item h="1" m="1" x="18"/>
        <item h="1" m="1" x="19"/>
        <item h="1" m="1" x="40"/>
        <item h="1" m="1" x="54"/>
        <item h="1" m="1" x="8"/>
        <item h="1" m="1" x="41"/>
        <item h="1" m="1" x="42"/>
        <item h="1" m="1" x="13"/>
        <item h="1" m="1" x="7"/>
        <item h="1" m="1" x="16"/>
        <item h="1" m="1" x="14"/>
        <item h="1" m="1" x="15"/>
        <item h="1" m="1" x="295"/>
        <item h="1" m="1" x="69"/>
        <item h="1" m="1" x="157"/>
        <item h="1" m="1" x="259"/>
        <item h="1" m="1" x="294"/>
        <item h="1" m="1" x="24"/>
        <item h="1" m="1" x="162"/>
        <item h="1" m="1" x="247"/>
        <item h="1" m="1" x="243"/>
        <item h="1" m="1" x="261"/>
        <item h="1" m="1" x="187"/>
        <item h="1" m="1" x="181"/>
        <item h="1" m="1" x="60"/>
        <item h="1" m="1" x="66"/>
        <item h="1" m="1" x="65"/>
        <item h="1" m="1" x="188"/>
        <item h="1" m="1" x="291"/>
        <item h="1" m="1" x="288"/>
        <item h="1" m="1" x="293"/>
        <item h="1" m="1" x="245"/>
        <item h="1" m="1" x="246"/>
        <item h="1" m="1" x="226"/>
        <item h="1" m="1" x="161"/>
        <item h="1" m="1" x="70"/>
        <item h="1" m="1" x="92"/>
        <item h="1" m="1" x="74"/>
        <item h="1" m="1" x="96"/>
        <item h="1" m="1" x="263"/>
        <item h="1" m="1" x="272"/>
        <item h="1" m="1" x="287"/>
        <item h="1" m="1" x="221"/>
        <item h="1" m="1" x="80"/>
        <item h="1" m="1" x="152"/>
        <item h="1" m="1" x="72"/>
        <item h="1" m="1" x="64"/>
        <item h="1" m="1" x="225"/>
        <item h="1" m="1" x="58"/>
        <item h="1" m="1" x="81"/>
        <item h="1" m="1" x="4"/>
        <item h="1" m="1" x="62"/>
        <item h="1" m="1" x="131"/>
        <item h="1" m="1" x="12"/>
        <item h="1" m="1" x="26"/>
        <item h="1" m="1" x="85"/>
        <item h="1" m="1" x="138"/>
        <item h="1" m="1" x="273"/>
        <item h="1" m="1" x="128"/>
        <item h="1" m="1" x="251"/>
        <item h="1" m="1" x="141"/>
        <item h="1" m="1" x="182"/>
        <item h="1" m="1" x="214"/>
        <item h="1" m="1" x="149"/>
        <item h="1" m="1" x="75"/>
        <item h="1" m="1" x="244"/>
        <item h="1" m="1" x="242"/>
        <item h="1" m="1" x="227"/>
        <item h="1" m="1" x="282"/>
        <item h="1" m="1" x="22"/>
        <item h="1" m="1" x="171"/>
        <item h="1" m="1" x="275"/>
        <item h="1" m="1" x="164"/>
        <item h="1" m="1" x="266"/>
        <item h="1" m="1" x="262"/>
        <item h="1" m="1" x="159"/>
        <item h="1" m="1" x="165"/>
        <item h="1" m="1" x="255"/>
        <item h="1" m="1" x="206"/>
        <item h="1" m="1" x="170"/>
        <item h="1" m="1" x="268"/>
        <item h="1" m="1" x="113"/>
        <item h="1" m="1" x="108"/>
        <item h="1" m="1" x="126"/>
        <item h="1" m="1" x="59"/>
        <item h="1" m="1" x="55"/>
        <item h="1" m="1" x="56"/>
        <item h="1" m="1" x="27"/>
        <item h="1" m="1" x="228"/>
        <item h="1" m="1" x="83"/>
        <item h="1" m="1" x="57"/>
        <item h="1" m="1" x="180"/>
        <item h="1" m="1" x="290"/>
        <item h="1" m="1" x="25"/>
        <item h="1" m="1" x="28"/>
        <item h="1" m="1" x="286"/>
        <item h="1" m="1" x="241"/>
        <item h="1" m="1" x="156"/>
        <item h="1" m="1" x="146"/>
        <item h="1" m="1" x="148"/>
        <item h="1" m="1" x="86"/>
        <item h="1" m="1" x="195"/>
        <item h="1" m="1" x="78"/>
        <item h="1" m="1" x="33"/>
        <item h="1" m="1" x="43"/>
        <item h="1" m="1" x="193"/>
        <item h="1" m="1" x="202"/>
        <item h="1" m="1" x="201"/>
        <item h="1" m="1" x="203"/>
        <item h="1" m="1" x="111"/>
        <item h="1" m="1" x="77"/>
        <item h="1" m="1" x="198"/>
        <item h="1" m="1" x="199"/>
        <item h="1" m="1" x="90"/>
        <item h="1" m="1" x="194"/>
        <item h="1" m="1" x="196"/>
        <item h="1" m="1" x="136"/>
        <item h="1" m="1" x="143"/>
        <item h="1" m="1" x="3"/>
        <item h="1" m="1" x="240"/>
        <item h="1" m="1" x="191"/>
        <item h="1" m="1" x="91"/>
        <item h="1" m="1" x="95"/>
        <item h="1" m="1" x="48"/>
        <item h="1" m="1" x="252"/>
        <item h="1" m="1" x="281"/>
        <item h="1" m="1" x="192"/>
        <item h="1" m="1" x="179"/>
        <item h="1" m="1" x="132"/>
        <item h="1" m="1" x="177"/>
        <item h="1" m="1" x="94"/>
        <item h="1" m="1" x="137"/>
        <item h="1" m="1" x="104"/>
        <item h="1" m="1" x="100"/>
        <item h="1" m="1" x="147"/>
        <item h="1" m="1" x="129"/>
        <item h="1" m="1" x="97"/>
        <item h="1" m="1" x="76"/>
        <item h="1" m="1" x="175"/>
        <item h="1" m="1" x="178"/>
        <item h="1" m="1" x="116"/>
        <item h="1" m="1" x="61"/>
        <item h="1" m="1" x="82"/>
        <item h="1" m="1" x="105"/>
        <item h="1" m="1" x="98"/>
        <item h="1" m="1" x="68"/>
        <item h="1" m="1" x="106"/>
        <item h="1" m="1" x="103"/>
        <item h="1" m="1" x="87"/>
        <item h="1" m="1" x="123"/>
        <item h="1" m="1" x="93"/>
        <item h="1" m="1" x="71"/>
        <item h="1" m="1" x="107"/>
        <item h="1" m="1" x="101"/>
        <item h="1" m="1" x="99"/>
        <item h="1" m="1" x="102"/>
        <item h="1" m="1" x="258"/>
        <item h="1" m="1" x="124"/>
        <item h="1" m="1" x="153"/>
        <item h="1" m="1" x="142"/>
        <item h="1" m="1" x="114"/>
        <item h="1" m="1" x="120"/>
        <item h="1" m="1" x="130"/>
        <item h="1" m="1" x="160"/>
        <item h="1" m="1" x="109"/>
        <item h="1" m="1" x="134"/>
        <item h="1" m="1" x="151"/>
        <item h="1" m="1" x="140"/>
        <item h="1" m="1" x="222"/>
        <item h="1" m="1" x="215"/>
        <item h="1" m="1" x="190"/>
        <item h="1" m="1" x="278"/>
        <item h="1" m="1" x="280"/>
        <item h="1" m="1" x="276"/>
        <item h="1" m="1" x="277"/>
        <item h="1" m="1" x="279"/>
        <item h="1" m="1" x="121"/>
        <item h="1" m="1" x="167"/>
        <item h="1" m="1" x="184"/>
        <item h="1" m="1" x="185"/>
        <item h="1" m="1" x="183"/>
        <item h="1" m="1" x="174"/>
        <item h="1" m="1" x="189"/>
        <item h="1" m="1" x="5"/>
        <item h="1" m="1" x="84"/>
        <item h="1" m="1" x="46"/>
        <item h="1" m="1" x="249"/>
        <item h="1" m="1" x="213"/>
        <item h="1" m="1" x="260"/>
        <item h="1" m="1" x="265"/>
        <item h="1" m="1" x="269"/>
        <item h="1" m="1" x="248"/>
        <item h="1" m="1" x="250"/>
        <item h="1" m="1" x="220"/>
        <item h="1" m="1" x="219"/>
        <item h="1" m="1" x="254"/>
        <item h="1" m="1" x="150"/>
        <item h="1" m="1" x="45"/>
        <item h="1" m="1" x="79"/>
        <item h="1" m="1" x="139"/>
        <item h="1" m="1" x="361"/>
        <item h="1" m="1" x="369"/>
        <item h="1" m="1" x="348"/>
        <item h="1" m="1" x="350"/>
        <item h="1" m="1" x="355"/>
        <item h="1" m="1" x="347"/>
        <item h="1" m="1" x="334"/>
        <item h="1" m="1" x="368"/>
        <item h="1" m="1" x="340"/>
        <item h="1" m="1" x="337"/>
        <item h="1" m="1" x="339"/>
        <item h="1" m="1" x="305"/>
        <item h="1" m="1" x="346"/>
        <item h="1" m="1" x="308"/>
        <item h="1" m="1" x="312"/>
        <item h="1" m="1" x="299"/>
        <item h="1" m="1" x="303"/>
        <item h="1" m="1" x="362"/>
        <item h="1" m="1" x="358"/>
        <item h="1" m="1" x="309"/>
        <item h="1" m="1" x="341"/>
        <item h="1" m="1" x="336"/>
        <item h="1" m="1" x="314"/>
        <item h="1" m="1" x="363"/>
        <item h="1" m="1" x="315"/>
        <item h="1" m="1" x="318"/>
        <item h="1" m="1" x="326"/>
        <item h="1" m="1" x="373"/>
        <item h="1" m="1" x="300"/>
        <item h="1" m="1" x="328"/>
        <item h="1" m="1" x="307"/>
        <item h="1" m="1" x="298"/>
        <item h="1" m="1" x="330"/>
        <item h="1" m="1" x="324"/>
        <item h="1" m="1" x="359"/>
        <item h="1" m="1" x="372"/>
        <item h="1" m="1" x="370"/>
        <item h="1" m="1" x="306"/>
        <item h="1" m="1" x="322"/>
        <item h="1" m="1" x="332"/>
        <item h="1" m="1" x="345"/>
        <item h="1" m="1" x="367"/>
        <item h="1" m="1" x="371"/>
        <item h="1" m="1" x="351"/>
        <item h="1" m="1" x="320"/>
        <item h="1" m="1" x="323"/>
        <item h="1" m="1" x="331"/>
        <item h="1" m="1" x="360"/>
        <item h="1" m="1" x="364"/>
        <item h="1" m="1" x="325"/>
        <item h="1" m="1" x="335"/>
        <item h="1" m="1" x="311"/>
        <item h="1" m="1" x="365"/>
        <item h="1" m="1" x="343"/>
        <item h="1" m="1" x="319"/>
        <item h="1" m="1" x="342"/>
        <item h="1" m="1" x="297"/>
        <item h="1" m="1" x="352"/>
        <item h="1" m="1" x="310"/>
        <item h="1" m="1" x="304"/>
        <item h="1" x="2"/>
        <item h="1" m="1" x="374"/>
        <item h="1" m="1" x="375"/>
        <item h="1" m="1" x="376"/>
        <item h="1" m="1" x="377"/>
        <item h="1" m="1" x="378"/>
        <item h="1" m="1" x="379"/>
        <item h="1" m="1" x="380"/>
        <item h="1" m="1" x="381"/>
        <item h="1" m="1" x="382"/>
        <item h="1" m="1" x="383"/>
        <item h="1"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1">
    <i t="grand">
      <x/>
    </i>
  </rowItems>
  <colFields count="1">
    <field x="-2"/>
  </colFields>
  <colItems count="2">
    <i>
      <x/>
    </i>
    <i i="1">
      <x v="1"/>
    </i>
  </colItems>
  <pageFields count="1">
    <pageField fld="2" hier="-1"/>
  </pageFields>
  <dataFields count="2">
    <dataField name="Sum of Breakdown Time" fld="18" baseField="0" baseItem="0"/>
    <dataField name="Count of Error Text" fld="11" subtotal="count" baseField="0" baseItem="0"/>
  </dataFields>
  <formats count="8">
    <format dxfId="276">
      <pivotArea collapsedLevelsAreSubtotals="1" fieldPosition="0">
        <references count="1">
          <reference field="11" count="77">
            <x v="50"/>
            <x v="51"/>
            <x v="52"/>
            <x v="53"/>
            <x v="54"/>
            <x v="55"/>
            <x v="56"/>
            <x v="57"/>
            <x v="58"/>
            <x v="59"/>
            <x v="60"/>
            <x v="61"/>
            <x v="62"/>
            <x v="63"/>
            <x v="64"/>
            <x v="65"/>
            <x v="66"/>
            <x v="67"/>
            <x v="311"/>
            <x v="312"/>
            <x v="313"/>
            <x v="314"/>
            <x v="315"/>
            <x v="316"/>
            <x v="317"/>
            <x v="318"/>
            <x v="319"/>
            <x v="320"/>
            <x v="321"/>
            <x v="322"/>
            <x v="323"/>
            <x v="324"/>
            <x v="325"/>
            <x v="327"/>
            <x v="328"/>
            <x v="329"/>
            <x v="330"/>
            <x v="331"/>
            <x v="332"/>
            <x v="333"/>
            <x v="334"/>
            <x v="335"/>
            <x v="336"/>
            <x v="337"/>
            <x v="338"/>
            <x v="339"/>
            <x v="340"/>
            <x v="341"/>
            <x v="342"/>
            <x v="343"/>
            <x v="344"/>
            <x v="345"/>
            <x v="346"/>
            <x v="347"/>
            <x v="348"/>
            <x v="349"/>
            <x v="350"/>
            <x v="351"/>
            <x v="352"/>
            <x v="353"/>
            <x v="354"/>
            <x v="355"/>
            <x v="356"/>
            <x v="357"/>
            <x v="358"/>
            <x v="359"/>
            <x v="360"/>
            <x v="361"/>
            <x v="362"/>
            <x v="363"/>
            <x v="364"/>
            <x v="365"/>
            <x v="366"/>
            <x v="367"/>
            <x v="368"/>
            <x v="369"/>
            <x v="370"/>
          </reference>
        </references>
      </pivotArea>
    </format>
    <format dxfId="275">
      <pivotArea type="all" dataOnly="0" outline="0" fieldPosition="0"/>
    </format>
    <format dxfId="274">
      <pivotArea outline="0" collapsedLevelsAreSubtotals="1" fieldPosition="0"/>
    </format>
    <format dxfId="273">
      <pivotArea field="11" type="button" dataOnly="0" labelOnly="1" outline="0" axis="axisRow" fieldPosition="0"/>
    </format>
    <format dxfId="272">
      <pivotArea dataOnly="0" labelOnly="1" fieldPosition="0">
        <references count="1">
          <reference field="11" count="50">
            <x v="50"/>
            <x v="51"/>
            <x v="52"/>
            <x v="53"/>
            <x v="54"/>
            <x v="55"/>
            <x v="56"/>
            <x v="57"/>
            <x v="58"/>
            <x v="59"/>
            <x v="60"/>
            <x v="61"/>
            <x v="62"/>
            <x v="63"/>
            <x v="64"/>
            <x v="65"/>
            <x v="66"/>
            <x v="67"/>
            <x v="311"/>
            <x v="312"/>
            <x v="313"/>
            <x v="314"/>
            <x v="315"/>
            <x v="316"/>
            <x v="317"/>
            <x v="318"/>
            <x v="319"/>
            <x v="320"/>
            <x v="321"/>
            <x v="322"/>
            <x v="323"/>
            <x v="324"/>
            <x v="325"/>
            <x v="327"/>
            <x v="328"/>
            <x v="329"/>
            <x v="330"/>
            <x v="331"/>
            <x v="332"/>
            <x v="333"/>
            <x v="334"/>
            <x v="335"/>
            <x v="336"/>
            <x v="337"/>
            <x v="338"/>
            <x v="339"/>
            <x v="340"/>
            <x v="341"/>
            <x v="342"/>
            <x v="343"/>
          </reference>
        </references>
      </pivotArea>
    </format>
    <format dxfId="271">
      <pivotArea dataOnly="0" labelOnly="1" fieldPosition="0">
        <references count="1">
          <reference field="11" count="28">
            <x v="344"/>
            <x v="345"/>
            <x v="346"/>
            <x v="347"/>
            <x v="348"/>
            <x v="349"/>
            <x v="350"/>
            <x v="351"/>
            <x v="352"/>
            <x v="353"/>
            <x v="354"/>
            <x v="355"/>
            <x v="356"/>
            <x v="357"/>
            <x v="358"/>
            <x v="359"/>
            <x v="360"/>
            <x v="361"/>
            <x v="362"/>
            <x v="363"/>
            <x v="364"/>
            <x v="365"/>
            <x v="366"/>
            <x v="367"/>
            <x v="368"/>
            <x v="369"/>
            <x v="370"/>
            <x v="371"/>
          </reference>
        </references>
      </pivotArea>
    </format>
    <format dxfId="270">
      <pivotArea dataOnly="0" labelOnly="1" grandRow="1" outline="0" fieldPosition="0"/>
    </format>
    <format dxfId="269">
      <pivotArea dataOnly="0" labelOnly="1" outline="0" fieldPosition="0">
        <references count="1">
          <reference field="4294967294" count="2">
            <x v="0"/>
            <x v="1"/>
          </reference>
        </references>
      </pivotArea>
    </format>
  </formats>
  <chartFormats count="18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1" count="1" selected="0">
            <x v="50"/>
          </reference>
        </references>
      </pivotArea>
    </chartFormat>
    <chartFormat chart="0" format="3">
      <pivotArea type="data" outline="0" fieldPosition="0">
        <references count="2">
          <reference field="4294967294" count="1" selected="0">
            <x v="0"/>
          </reference>
          <reference field="11" count="1" selected="0">
            <x v="51"/>
          </reference>
        </references>
      </pivotArea>
    </chartFormat>
    <chartFormat chart="0" format="4">
      <pivotArea type="data" outline="0" fieldPosition="0">
        <references count="2">
          <reference field="4294967294" count="1" selected="0">
            <x v="0"/>
          </reference>
          <reference field="11" count="1" selected="0">
            <x v="52"/>
          </reference>
        </references>
      </pivotArea>
    </chartFormat>
    <chartFormat chart="0" format="5">
      <pivotArea type="data" outline="0" fieldPosition="0">
        <references count="2">
          <reference field="4294967294" count="1" selected="0">
            <x v="0"/>
          </reference>
          <reference field="11" count="1" selected="0">
            <x v="53"/>
          </reference>
        </references>
      </pivotArea>
    </chartFormat>
    <chartFormat chart="0" format="6">
      <pivotArea type="data" outline="0" fieldPosition="0">
        <references count="2">
          <reference field="4294967294" count="1" selected="0">
            <x v="0"/>
          </reference>
          <reference field="11" count="1" selected="0">
            <x v="54"/>
          </reference>
        </references>
      </pivotArea>
    </chartFormat>
    <chartFormat chart="0" format="7">
      <pivotArea type="data" outline="0" fieldPosition="0">
        <references count="2">
          <reference field="4294967294" count="1" selected="0">
            <x v="0"/>
          </reference>
          <reference field="11" count="1" selected="0">
            <x v="55"/>
          </reference>
        </references>
      </pivotArea>
    </chartFormat>
    <chartFormat chart="0" format="8">
      <pivotArea type="data" outline="0" fieldPosition="0">
        <references count="2">
          <reference field="4294967294" count="1" selected="0">
            <x v="0"/>
          </reference>
          <reference field="11" count="1" selected="0">
            <x v="56"/>
          </reference>
        </references>
      </pivotArea>
    </chartFormat>
    <chartFormat chart="0" format="9">
      <pivotArea type="data" outline="0" fieldPosition="0">
        <references count="2">
          <reference field="4294967294" count="1" selected="0">
            <x v="0"/>
          </reference>
          <reference field="11" count="1" selected="0">
            <x v="57"/>
          </reference>
        </references>
      </pivotArea>
    </chartFormat>
    <chartFormat chart="0" format="10">
      <pivotArea type="data" outline="0" fieldPosition="0">
        <references count="2">
          <reference field="4294967294" count="1" selected="0">
            <x v="0"/>
          </reference>
          <reference field="11" count="1" selected="0">
            <x v="58"/>
          </reference>
        </references>
      </pivotArea>
    </chartFormat>
    <chartFormat chart="0" format="11">
      <pivotArea type="data" outline="0" fieldPosition="0">
        <references count="2">
          <reference field="4294967294" count="1" selected="0">
            <x v="0"/>
          </reference>
          <reference field="11" count="1" selected="0">
            <x v="59"/>
          </reference>
        </references>
      </pivotArea>
    </chartFormat>
    <chartFormat chart="0" format="12">
      <pivotArea type="data" outline="0" fieldPosition="0">
        <references count="2">
          <reference field="4294967294" count="1" selected="0">
            <x v="0"/>
          </reference>
          <reference field="11" count="1" selected="0">
            <x v="60"/>
          </reference>
        </references>
      </pivotArea>
    </chartFormat>
    <chartFormat chart="0" format="13">
      <pivotArea type="data" outline="0" fieldPosition="0">
        <references count="2">
          <reference field="4294967294" count="1" selected="0">
            <x v="0"/>
          </reference>
          <reference field="11" count="1" selected="0">
            <x v="61"/>
          </reference>
        </references>
      </pivotArea>
    </chartFormat>
    <chartFormat chart="0" format="14">
      <pivotArea type="data" outline="0" fieldPosition="0">
        <references count="2">
          <reference field="4294967294" count="1" selected="0">
            <x v="0"/>
          </reference>
          <reference field="11" count="1" selected="0">
            <x v="62"/>
          </reference>
        </references>
      </pivotArea>
    </chartFormat>
    <chartFormat chart="0" format="15">
      <pivotArea type="data" outline="0" fieldPosition="0">
        <references count="2">
          <reference field="4294967294" count="1" selected="0">
            <x v="0"/>
          </reference>
          <reference field="11" count="1" selected="0">
            <x v="63"/>
          </reference>
        </references>
      </pivotArea>
    </chartFormat>
    <chartFormat chart="0" format="16">
      <pivotArea type="data" outline="0" fieldPosition="0">
        <references count="2">
          <reference field="4294967294" count="1" selected="0">
            <x v="0"/>
          </reference>
          <reference field="11" count="1" selected="0">
            <x v="64"/>
          </reference>
        </references>
      </pivotArea>
    </chartFormat>
    <chartFormat chart="0" format="17">
      <pivotArea type="data" outline="0" fieldPosition="0">
        <references count="2">
          <reference field="4294967294" count="1" selected="0">
            <x v="0"/>
          </reference>
          <reference field="11" count="1" selected="0">
            <x v="65"/>
          </reference>
        </references>
      </pivotArea>
    </chartFormat>
    <chartFormat chart="0" format="18">
      <pivotArea type="data" outline="0" fieldPosition="0">
        <references count="2">
          <reference field="4294967294" count="1" selected="0">
            <x v="0"/>
          </reference>
          <reference field="11" count="1" selected="0">
            <x v="66"/>
          </reference>
        </references>
      </pivotArea>
    </chartFormat>
    <chartFormat chart="0" format="19">
      <pivotArea type="data" outline="0" fieldPosition="0">
        <references count="2">
          <reference field="4294967294" count="1" selected="0">
            <x v="0"/>
          </reference>
          <reference field="11" count="1" selected="0">
            <x v="67"/>
          </reference>
        </references>
      </pivotArea>
    </chartFormat>
    <chartFormat chart="0" format="20">
      <pivotArea type="data" outline="0" fieldPosition="0">
        <references count="2">
          <reference field="4294967294" count="1" selected="0">
            <x v="0"/>
          </reference>
          <reference field="11" count="1" selected="0">
            <x v="311"/>
          </reference>
        </references>
      </pivotArea>
    </chartFormat>
    <chartFormat chart="0" format="21">
      <pivotArea type="data" outline="0" fieldPosition="0">
        <references count="2">
          <reference field="4294967294" count="1" selected="0">
            <x v="0"/>
          </reference>
          <reference field="11" count="1" selected="0">
            <x v="312"/>
          </reference>
        </references>
      </pivotArea>
    </chartFormat>
    <chartFormat chart="0" format="22">
      <pivotArea type="data" outline="0" fieldPosition="0">
        <references count="2">
          <reference field="4294967294" count="1" selected="0">
            <x v="0"/>
          </reference>
          <reference field="11" count="1" selected="0">
            <x v="313"/>
          </reference>
        </references>
      </pivotArea>
    </chartFormat>
    <chartFormat chart="0" format="23">
      <pivotArea type="data" outline="0" fieldPosition="0">
        <references count="2">
          <reference field="4294967294" count="1" selected="0">
            <x v="0"/>
          </reference>
          <reference field="11" count="1" selected="0">
            <x v="314"/>
          </reference>
        </references>
      </pivotArea>
    </chartFormat>
    <chartFormat chart="0" format="24">
      <pivotArea type="data" outline="0" fieldPosition="0">
        <references count="2">
          <reference field="4294967294" count="1" selected="0">
            <x v="0"/>
          </reference>
          <reference field="11" count="1" selected="0">
            <x v="315"/>
          </reference>
        </references>
      </pivotArea>
    </chartFormat>
    <chartFormat chart="0" format="25">
      <pivotArea type="data" outline="0" fieldPosition="0">
        <references count="2">
          <reference field="4294967294" count="1" selected="0">
            <x v="0"/>
          </reference>
          <reference field="11" count="1" selected="0">
            <x v="316"/>
          </reference>
        </references>
      </pivotArea>
    </chartFormat>
    <chartFormat chart="0" format="26">
      <pivotArea type="data" outline="0" fieldPosition="0">
        <references count="2">
          <reference field="4294967294" count="1" selected="0">
            <x v="0"/>
          </reference>
          <reference field="11" count="1" selected="0">
            <x v="317"/>
          </reference>
        </references>
      </pivotArea>
    </chartFormat>
    <chartFormat chart="0" format="27">
      <pivotArea type="data" outline="0" fieldPosition="0">
        <references count="2">
          <reference field="4294967294" count="1" selected="0">
            <x v="0"/>
          </reference>
          <reference field="11" count="1" selected="0">
            <x v="318"/>
          </reference>
        </references>
      </pivotArea>
    </chartFormat>
    <chartFormat chart="0" format="28">
      <pivotArea type="data" outline="0" fieldPosition="0">
        <references count="2">
          <reference field="4294967294" count="1" selected="0">
            <x v="0"/>
          </reference>
          <reference field="11" count="1" selected="0">
            <x v="319"/>
          </reference>
        </references>
      </pivotArea>
    </chartFormat>
    <chartFormat chart="0" format="29">
      <pivotArea type="data" outline="0" fieldPosition="0">
        <references count="2">
          <reference field="4294967294" count="1" selected="0">
            <x v="0"/>
          </reference>
          <reference field="11" count="1" selected="0">
            <x v="320"/>
          </reference>
        </references>
      </pivotArea>
    </chartFormat>
    <chartFormat chart="0" format="30">
      <pivotArea type="data" outline="0" fieldPosition="0">
        <references count="2">
          <reference field="4294967294" count="1" selected="0">
            <x v="0"/>
          </reference>
          <reference field="11" count="1" selected="0">
            <x v="321"/>
          </reference>
        </references>
      </pivotArea>
    </chartFormat>
    <chartFormat chart="0" format="31">
      <pivotArea type="data" outline="0" fieldPosition="0">
        <references count="2">
          <reference field="4294967294" count="1" selected="0">
            <x v="0"/>
          </reference>
          <reference field="11" count="1" selected="0">
            <x v="322"/>
          </reference>
        </references>
      </pivotArea>
    </chartFormat>
    <chartFormat chart="0" format="32">
      <pivotArea type="data" outline="0" fieldPosition="0">
        <references count="2">
          <reference field="4294967294" count="1" selected="0">
            <x v="0"/>
          </reference>
          <reference field="11" count="1" selected="0">
            <x v="323"/>
          </reference>
        </references>
      </pivotArea>
    </chartFormat>
    <chartFormat chart="0" format="33">
      <pivotArea type="data" outline="0" fieldPosition="0">
        <references count="2">
          <reference field="4294967294" count="1" selected="0">
            <x v="0"/>
          </reference>
          <reference field="11" count="1" selected="0">
            <x v="324"/>
          </reference>
        </references>
      </pivotArea>
    </chartFormat>
    <chartFormat chart="0" format="34">
      <pivotArea type="data" outline="0" fieldPosition="0">
        <references count="2">
          <reference field="4294967294" count="1" selected="0">
            <x v="0"/>
          </reference>
          <reference field="11" count="1" selected="0">
            <x v="325"/>
          </reference>
        </references>
      </pivotArea>
    </chartFormat>
    <chartFormat chart="0" format="35">
      <pivotArea type="data" outline="0" fieldPosition="0">
        <references count="2">
          <reference field="4294967294" count="1" selected="0">
            <x v="0"/>
          </reference>
          <reference field="11" count="1" selected="0">
            <x v="327"/>
          </reference>
        </references>
      </pivotArea>
    </chartFormat>
    <chartFormat chart="0" format="36">
      <pivotArea type="data" outline="0" fieldPosition="0">
        <references count="2">
          <reference field="4294967294" count="1" selected="0">
            <x v="0"/>
          </reference>
          <reference field="11" count="1" selected="0">
            <x v="328"/>
          </reference>
        </references>
      </pivotArea>
    </chartFormat>
    <chartFormat chart="0" format="37">
      <pivotArea type="data" outline="0" fieldPosition="0">
        <references count="2">
          <reference field="4294967294" count="1" selected="0">
            <x v="0"/>
          </reference>
          <reference field="11" count="1" selected="0">
            <x v="329"/>
          </reference>
        </references>
      </pivotArea>
    </chartFormat>
    <chartFormat chart="0" format="38">
      <pivotArea type="data" outline="0" fieldPosition="0">
        <references count="2">
          <reference field="4294967294" count="1" selected="0">
            <x v="0"/>
          </reference>
          <reference field="11" count="1" selected="0">
            <x v="330"/>
          </reference>
        </references>
      </pivotArea>
    </chartFormat>
    <chartFormat chart="0" format="39">
      <pivotArea type="data" outline="0" fieldPosition="0">
        <references count="2">
          <reference field="4294967294" count="1" selected="0">
            <x v="0"/>
          </reference>
          <reference field="11" count="1" selected="0">
            <x v="331"/>
          </reference>
        </references>
      </pivotArea>
    </chartFormat>
    <chartFormat chart="0" format="40">
      <pivotArea type="data" outline="0" fieldPosition="0">
        <references count="2">
          <reference field="4294967294" count="1" selected="0">
            <x v="0"/>
          </reference>
          <reference field="11" count="1" selected="0">
            <x v="332"/>
          </reference>
        </references>
      </pivotArea>
    </chartFormat>
    <chartFormat chart="0" format="41">
      <pivotArea type="data" outline="0" fieldPosition="0">
        <references count="2">
          <reference field="4294967294" count="1" selected="0">
            <x v="0"/>
          </reference>
          <reference field="11" count="1" selected="0">
            <x v="333"/>
          </reference>
        </references>
      </pivotArea>
    </chartFormat>
    <chartFormat chart="0" format="42">
      <pivotArea type="data" outline="0" fieldPosition="0">
        <references count="2">
          <reference field="4294967294" count="1" selected="0">
            <x v="0"/>
          </reference>
          <reference field="11" count="1" selected="0">
            <x v="334"/>
          </reference>
        </references>
      </pivotArea>
    </chartFormat>
    <chartFormat chart="0" format="43">
      <pivotArea type="data" outline="0" fieldPosition="0">
        <references count="2">
          <reference field="4294967294" count="1" selected="0">
            <x v="0"/>
          </reference>
          <reference field="11" count="1" selected="0">
            <x v="335"/>
          </reference>
        </references>
      </pivotArea>
    </chartFormat>
    <chartFormat chart="0" format="44">
      <pivotArea type="data" outline="0" fieldPosition="0">
        <references count="2">
          <reference field="4294967294" count="1" selected="0">
            <x v="0"/>
          </reference>
          <reference field="11" count="1" selected="0">
            <x v="336"/>
          </reference>
        </references>
      </pivotArea>
    </chartFormat>
    <chartFormat chart="0" format="45">
      <pivotArea type="data" outline="0" fieldPosition="0">
        <references count="2">
          <reference field="4294967294" count="1" selected="0">
            <x v="0"/>
          </reference>
          <reference field="11" count="1" selected="0">
            <x v="337"/>
          </reference>
        </references>
      </pivotArea>
    </chartFormat>
    <chartFormat chart="0" format="46">
      <pivotArea type="data" outline="0" fieldPosition="0">
        <references count="2">
          <reference field="4294967294" count="1" selected="0">
            <x v="0"/>
          </reference>
          <reference field="11" count="1" selected="0">
            <x v="338"/>
          </reference>
        </references>
      </pivotArea>
    </chartFormat>
    <chartFormat chart="0" format="47">
      <pivotArea type="data" outline="0" fieldPosition="0">
        <references count="2">
          <reference field="4294967294" count="1" selected="0">
            <x v="0"/>
          </reference>
          <reference field="11" count="1" selected="0">
            <x v="339"/>
          </reference>
        </references>
      </pivotArea>
    </chartFormat>
    <chartFormat chart="0" format="48">
      <pivotArea type="data" outline="0" fieldPosition="0">
        <references count="2">
          <reference field="4294967294" count="1" selected="0">
            <x v="0"/>
          </reference>
          <reference field="11" count="1" selected="0">
            <x v="340"/>
          </reference>
        </references>
      </pivotArea>
    </chartFormat>
    <chartFormat chart="0" format="49">
      <pivotArea type="data" outline="0" fieldPosition="0">
        <references count="2">
          <reference field="4294967294" count="1" selected="0">
            <x v="0"/>
          </reference>
          <reference field="11" count="1" selected="0">
            <x v="341"/>
          </reference>
        </references>
      </pivotArea>
    </chartFormat>
    <chartFormat chart="0" format="50">
      <pivotArea type="data" outline="0" fieldPosition="0">
        <references count="2">
          <reference field="4294967294" count="1" selected="0">
            <x v="0"/>
          </reference>
          <reference field="11" count="1" selected="0">
            <x v="342"/>
          </reference>
        </references>
      </pivotArea>
    </chartFormat>
    <chartFormat chart="0" format="51">
      <pivotArea type="data" outline="0" fieldPosition="0">
        <references count="2">
          <reference field="4294967294" count="1" selected="0">
            <x v="0"/>
          </reference>
          <reference field="11" count="1" selected="0">
            <x v="343"/>
          </reference>
        </references>
      </pivotArea>
    </chartFormat>
    <chartFormat chart="0" format="52">
      <pivotArea type="data" outline="0" fieldPosition="0">
        <references count="2">
          <reference field="4294967294" count="1" selected="0">
            <x v="0"/>
          </reference>
          <reference field="11" count="1" selected="0">
            <x v="344"/>
          </reference>
        </references>
      </pivotArea>
    </chartFormat>
    <chartFormat chart="0" format="53">
      <pivotArea type="data" outline="0" fieldPosition="0">
        <references count="2">
          <reference field="4294967294" count="1" selected="0">
            <x v="0"/>
          </reference>
          <reference field="11" count="1" selected="0">
            <x v="345"/>
          </reference>
        </references>
      </pivotArea>
    </chartFormat>
    <chartFormat chart="0" format="54">
      <pivotArea type="data" outline="0" fieldPosition="0">
        <references count="2">
          <reference field="4294967294" count="1" selected="0">
            <x v="0"/>
          </reference>
          <reference field="11" count="1" selected="0">
            <x v="346"/>
          </reference>
        </references>
      </pivotArea>
    </chartFormat>
    <chartFormat chart="0" format="55">
      <pivotArea type="data" outline="0" fieldPosition="0">
        <references count="2">
          <reference field="4294967294" count="1" selected="0">
            <x v="0"/>
          </reference>
          <reference field="11" count="1" selected="0">
            <x v="347"/>
          </reference>
        </references>
      </pivotArea>
    </chartFormat>
    <chartFormat chart="0" format="56">
      <pivotArea type="data" outline="0" fieldPosition="0">
        <references count="2">
          <reference field="4294967294" count="1" selected="0">
            <x v="0"/>
          </reference>
          <reference field="11" count="1" selected="0">
            <x v="348"/>
          </reference>
        </references>
      </pivotArea>
    </chartFormat>
    <chartFormat chart="0" format="57">
      <pivotArea type="data" outline="0" fieldPosition="0">
        <references count="2">
          <reference field="4294967294" count="1" selected="0">
            <x v="0"/>
          </reference>
          <reference field="11" count="1" selected="0">
            <x v="349"/>
          </reference>
        </references>
      </pivotArea>
    </chartFormat>
    <chartFormat chart="0" format="58">
      <pivotArea type="data" outline="0" fieldPosition="0">
        <references count="2">
          <reference field="4294967294" count="1" selected="0">
            <x v="0"/>
          </reference>
          <reference field="11" count="1" selected="0">
            <x v="350"/>
          </reference>
        </references>
      </pivotArea>
    </chartFormat>
    <chartFormat chart="0" format="59">
      <pivotArea type="data" outline="0" fieldPosition="0">
        <references count="2">
          <reference field="4294967294" count="1" selected="0">
            <x v="0"/>
          </reference>
          <reference field="11" count="1" selected="0">
            <x v="351"/>
          </reference>
        </references>
      </pivotArea>
    </chartFormat>
    <chartFormat chart="0" format="60">
      <pivotArea type="data" outline="0" fieldPosition="0">
        <references count="2">
          <reference field="4294967294" count="1" selected="0">
            <x v="0"/>
          </reference>
          <reference field="11" count="1" selected="0">
            <x v="352"/>
          </reference>
        </references>
      </pivotArea>
    </chartFormat>
    <chartFormat chart="0" format="61">
      <pivotArea type="data" outline="0" fieldPosition="0">
        <references count="2">
          <reference field="4294967294" count="1" selected="0">
            <x v="0"/>
          </reference>
          <reference field="11" count="1" selected="0">
            <x v="353"/>
          </reference>
        </references>
      </pivotArea>
    </chartFormat>
    <chartFormat chart="0" format="62">
      <pivotArea type="data" outline="0" fieldPosition="0">
        <references count="2">
          <reference field="4294967294" count="1" selected="0">
            <x v="0"/>
          </reference>
          <reference field="11" count="1" selected="0">
            <x v="354"/>
          </reference>
        </references>
      </pivotArea>
    </chartFormat>
    <chartFormat chart="0" format="63">
      <pivotArea type="data" outline="0" fieldPosition="0">
        <references count="2">
          <reference field="4294967294" count="1" selected="0">
            <x v="0"/>
          </reference>
          <reference field="11" count="1" selected="0">
            <x v="355"/>
          </reference>
        </references>
      </pivotArea>
    </chartFormat>
    <chartFormat chart="0" format="64">
      <pivotArea type="data" outline="0" fieldPosition="0">
        <references count="2">
          <reference field="4294967294" count="1" selected="0">
            <x v="0"/>
          </reference>
          <reference field="11" count="1" selected="0">
            <x v="356"/>
          </reference>
        </references>
      </pivotArea>
    </chartFormat>
    <chartFormat chart="0" format="65">
      <pivotArea type="data" outline="0" fieldPosition="0">
        <references count="2">
          <reference field="4294967294" count="1" selected="0">
            <x v="0"/>
          </reference>
          <reference field="11" count="1" selected="0">
            <x v="357"/>
          </reference>
        </references>
      </pivotArea>
    </chartFormat>
    <chartFormat chart="0" format="66">
      <pivotArea type="data" outline="0" fieldPosition="0">
        <references count="2">
          <reference field="4294967294" count="1" selected="0">
            <x v="0"/>
          </reference>
          <reference field="11" count="1" selected="0">
            <x v="358"/>
          </reference>
        </references>
      </pivotArea>
    </chartFormat>
    <chartFormat chart="0" format="67">
      <pivotArea type="data" outline="0" fieldPosition="0">
        <references count="2">
          <reference field="4294967294" count="1" selected="0">
            <x v="0"/>
          </reference>
          <reference field="11" count="1" selected="0">
            <x v="359"/>
          </reference>
        </references>
      </pivotArea>
    </chartFormat>
    <chartFormat chart="0" format="68">
      <pivotArea type="data" outline="0" fieldPosition="0">
        <references count="2">
          <reference field="4294967294" count="1" selected="0">
            <x v="0"/>
          </reference>
          <reference field="11" count="1" selected="0">
            <x v="360"/>
          </reference>
        </references>
      </pivotArea>
    </chartFormat>
    <chartFormat chart="0" format="69">
      <pivotArea type="data" outline="0" fieldPosition="0">
        <references count="2">
          <reference field="4294967294" count="1" selected="0">
            <x v="0"/>
          </reference>
          <reference field="11" count="1" selected="0">
            <x v="361"/>
          </reference>
        </references>
      </pivotArea>
    </chartFormat>
    <chartFormat chart="0" format="70">
      <pivotArea type="data" outline="0" fieldPosition="0">
        <references count="2">
          <reference field="4294967294" count="1" selected="0">
            <x v="0"/>
          </reference>
          <reference field="11" count="1" selected="0">
            <x v="362"/>
          </reference>
        </references>
      </pivotArea>
    </chartFormat>
    <chartFormat chart="0" format="71">
      <pivotArea type="data" outline="0" fieldPosition="0">
        <references count="2">
          <reference field="4294967294" count="1" selected="0">
            <x v="0"/>
          </reference>
          <reference field="11" count="1" selected="0">
            <x v="363"/>
          </reference>
        </references>
      </pivotArea>
    </chartFormat>
    <chartFormat chart="0" format="72">
      <pivotArea type="data" outline="0" fieldPosition="0">
        <references count="2">
          <reference field="4294967294" count="1" selected="0">
            <x v="0"/>
          </reference>
          <reference field="11" count="1" selected="0">
            <x v="364"/>
          </reference>
        </references>
      </pivotArea>
    </chartFormat>
    <chartFormat chart="0" format="73">
      <pivotArea type="data" outline="0" fieldPosition="0">
        <references count="2">
          <reference field="4294967294" count="1" selected="0">
            <x v="0"/>
          </reference>
          <reference field="11" count="1" selected="0">
            <x v="365"/>
          </reference>
        </references>
      </pivotArea>
    </chartFormat>
    <chartFormat chart="0" format="74">
      <pivotArea type="data" outline="0" fieldPosition="0">
        <references count="2">
          <reference field="4294967294" count="1" selected="0">
            <x v="0"/>
          </reference>
          <reference field="11" count="1" selected="0">
            <x v="366"/>
          </reference>
        </references>
      </pivotArea>
    </chartFormat>
    <chartFormat chart="0" format="75">
      <pivotArea type="data" outline="0" fieldPosition="0">
        <references count="2">
          <reference field="4294967294" count="1" selected="0">
            <x v="0"/>
          </reference>
          <reference field="11" count="1" selected="0">
            <x v="367"/>
          </reference>
        </references>
      </pivotArea>
    </chartFormat>
    <chartFormat chart="0" format="76">
      <pivotArea type="data" outline="0" fieldPosition="0">
        <references count="2">
          <reference field="4294967294" count="1" selected="0">
            <x v="0"/>
          </reference>
          <reference field="11" count="1" selected="0">
            <x v="368"/>
          </reference>
        </references>
      </pivotArea>
    </chartFormat>
    <chartFormat chart="0" format="77">
      <pivotArea type="data" outline="0" fieldPosition="0">
        <references count="2">
          <reference field="4294967294" count="1" selected="0">
            <x v="0"/>
          </reference>
          <reference field="11" count="1" selected="0">
            <x v="369"/>
          </reference>
        </references>
      </pivotArea>
    </chartFormat>
    <chartFormat chart="0" format="78">
      <pivotArea type="data" outline="0" fieldPosition="0">
        <references count="2">
          <reference field="4294967294" count="1" selected="0">
            <x v="0"/>
          </reference>
          <reference field="11" count="1" selected="0">
            <x v="370"/>
          </reference>
        </references>
      </pivotArea>
    </chartFormat>
    <chartFormat chart="0" format="79">
      <pivotArea type="data" outline="0" fieldPosition="0">
        <references count="2">
          <reference field="4294967294" count="1" selected="0">
            <x v="0"/>
          </reference>
          <reference field="11" count="1" selected="0">
            <x v="371"/>
          </reference>
        </references>
      </pivotArea>
    </chartFormat>
    <chartFormat chart="0" format="80">
      <pivotArea type="data" outline="0" fieldPosition="0">
        <references count="2">
          <reference field="4294967294" count="1" selected="0">
            <x v="1"/>
          </reference>
          <reference field="11" count="1" selected="0">
            <x v="50"/>
          </reference>
        </references>
      </pivotArea>
    </chartFormat>
    <chartFormat chart="0" format="81">
      <pivotArea type="data" outline="0" fieldPosition="0">
        <references count="2">
          <reference field="4294967294" count="1" selected="0">
            <x v="1"/>
          </reference>
          <reference field="11" count="1" selected="0">
            <x v="51"/>
          </reference>
        </references>
      </pivotArea>
    </chartFormat>
    <chartFormat chart="0" format="82">
      <pivotArea type="data" outline="0" fieldPosition="0">
        <references count="2">
          <reference field="4294967294" count="1" selected="0">
            <x v="1"/>
          </reference>
          <reference field="11" count="1" selected="0">
            <x v="52"/>
          </reference>
        </references>
      </pivotArea>
    </chartFormat>
    <chartFormat chart="0" format="83">
      <pivotArea type="data" outline="0" fieldPosition="0">
        <references count="2">
          <reference field="4294967294" count="1" selected="0">
            <x v="1"/>
          </reference>
          <reference field="11" count="1" selected="0">
            <x v="53"/>
          </reference>
        </references>
      </pivotArea>
    </chartFormat>
    <chartFormat chart="0" format="84">
      <pivotArea type="data" outline="0" fieldPosition="0">
        <references count="2">
          <reference field="4294967294" count="1" selected="0">
            <x v="1"/>
          </reference>
          <reference field="11" count="1" selected="0">
            <x v="54"/>
          </reference>
        </references>
      </pivotArea>
    </chartFormat>
    <chartFormat chart="0" format="85">
      <pivotArea type="data" outline="0" fieldPosition="0">
        <references count="2">
          <reference field="4294967294" count="1" selected="0">
            <x v="1"/>
          </reference>
          <reference field="11" count="1" selected="0">
            <x v="55"/>
          </reference>
        </references>
      </pivotArea>
    </chartFormat>
    <chartFormat chart="0" format="86">
      <pivotArea type="data" outline="0" fieldPosition="0">
        <references count="2">
          <reference field="4294967294" count="1" selected="0">
            <x v="1"/>
          </reference>
          <reference field="11" count="1" selected="0">
            <x v="56"/>
          </reference>
        </references>
      </pivotArea>
    </chartFormat>
    <chartFormat chart="0" format="87">
      <pivotArea type="data" outline="0" fieldPosition="0">
        <references count="2">
          <reference field="4294967294" count="1" selected="0">
            <x v="1"/>
          </reference>
          <reference field="11" count="1" selected="0">
            <x v="57"/>
          </reference>
        </references>
      </pivotArea>
    </chartFormat>
    <chartFormat chart="0" format="88">
      <pivotArea type="data" outline="0" fieldPosition="0">
        <references count="2">
          <reference field="4294967294" count="1" selected="0">
            <x v="1"/>
          </reference>
          <reference field="11" count="1" selected="0">
            <x v="58"/>
          </reference>
        </references>
      </pivotArea>
    </chartFormat>
    <chartFormat chart="0" format="89">
      <pivotArea type="data" outline="0" fieldPosition="0">
        <references count="2">
          <reference field="4294967294" count="1" selected="0">
            <x v="1"/>
          </reference>
          <reference field="11" count="1" selected="0">
            <x v="59"/>
          </reference>
        </references>
      </pivotArea>
    </chartFormat>
    <chartFormat chart="0" format="90">
      <pivotArea type="data" outline="0" fieldPosition="0">
        <references count="2">
          <reference field="4294967294" count="1" selected="0">
            <x v="1"/>
          </reference>
          <reference field="11" count="1" selected="0">
            <x v="60"/>
          </reference>
        </references>
      </pivotArea>
    </chartFormat>
    <chartFormat chart="0" format="91">
      <pivotArea type="data" outline="0" fieldPosition="0">
        <references count="2">
          <reference field="4294967294" count="1" selected="0">
            <x v="1"/>
          </reference>
          <reference field="11" count="1" selected="0">
            <x v="61"/>
          </reference>
        </references>
      </pivotArea>
    </chartFormat>
    <chartFormat chart="0" format="92">
      <pivotArea type="data" outline="0" fieldPosition="0">
        <references count="2">
          <reference field="4294967294" count="1" selected="0">
            <x v="1"/>
          </reference>
          <reference field="11" count="1" selected="0">
            <x v="62"/>
          </reference>
        </references>
      </pivotArea>
    </chartFormat>
    <chartFormat chart="0" format="93">
      <pivotArea type="data" outline="0" fieldPosition="0">
        <references count="2">
          <reference field="4294967294" count="1" selected="0">
            <x v="1"/>
          </reference>
          <reference field="11" count="1" selected="0">
            <x v="63"/>
          </reference>
        </references>
      </pivotArea>
    </chartFormat>
    <chartFormat chart="0" format="94">
      <pivotArea type="data" outline="0" fieldPosition="0">
        <references count="2">
          <reference field="4294967294" count="1" selected="0">
            <x v="1"/>
          </reference>
          <reference field="11" count="1" selected="0">
            <x v="64"/>
          </reference>
        </references>
      </pivotArea>
    </chartFormat>
    <chartFormat chart="0" format="95">
      <pivotArea type="data" outline="0" fieldPosition="0">
        <references count="2">
          <reference field="4294967294" count="1" selected="0">
            <x v="1"/>
          </reference>
          <reference field="11" count="1" selected="0">
            <x v="65"/>
          </reference>
        </references>
      </pivotArea>
    </chartFormat>
    <chartFormat chart="0" format="96">
      <pivotArea type="data" outline="0" fieldPosition="0">
        <references count="2">
          <reference field="4294967294" count="1" selected="0">
            <x v="1"/>
          </reference>
          <reference field="11" count="1" selected="0">
            <x v="66"/>
          </reference>
        </references>
      </pivotArea>
    </chartFormat>
    <chartFormat chart="0" format="97">
      <pivotArea type="data" outline="0" fieldPosition="0">
        <references count="2">
          <reference field="4294967294" count="1" selected="0">
            <x v="1"/>
          </reference>
          <reference field="11" count="1" selected="0">
            <x v="67"/>
          </reference>
        </references>
      </pivotArea>
    </chartFormat>
    <chartFormat chart="0" format="98">
      <pivotArea type="data" outline="0" fieldPosition="0">
        <references count="2">
          <reference field="4294967294" count="1" selected="0">
            <x v="1"/>
          </reference>
          <reference field="11" count="1" selected="0">
            <x v="311"/>
          </reference>
        </references>
      </pivotArea>
    </chartFormat>
    <chartFormat chart="0" format="99">
      <pivotArea type="data" outline="0" fieldPosition="0">
        <references count="2">
          <reference field="4294967294" count="1" selected="0">
            <x v="1"/>
          </reference>
          <reference field="11" count="1" selected="0">
            <x v="312"/>
          </reference>
        </references>
      </pivotArea>
    </chartFormat>
    <chartFormat chart="0" format="100">
      <pivotArea type="data" outline="0" fieldPosition="0">
        <references count="2">
          <reference field="4294967294" count="1" selected="0">
            <x v="1"/>
          </reference>
          <reference field="11" count="1" selected="0">
            <x v="313"/>
          </reference>
        </references>
      </pivotArea>
    </chartFormat>
    <chartFormat chart="0" format="101">
      <pivotArea type="data" outline="0" fieldPosition="0">
        <references count="2">
          <reference field="4294967294" count="1" selected="0">
            <x v="1"/>
          </reference>
          <reference field="11" count="1" selected="0">
            <x v="314"/>
          </reference>
        </references>
      </pivotArea>
    </chartFormat>
    <chartFormat chart="0" format="102">
      <pivotArea type="data" outline="0" fieldPosition="0">
        <references count="2">
          <reference field="4294967294" count="1" selected="0">
            <x v="1"/>
          </reference>
          <reference field="11" count="1" selected="0">
            <x v="315"/>
          </reference>
        </references>
      </pivotArea>
    </chartFormat>
    <chartFormat chart="0" format="103">
      <pivotArea type="data" outline="0" fieldPosition="0">
        <references count="2">
          <reference field="4294967294" count="1" selected="0">
            <x v="1"/>
          </reference>
          <reference field="11" count="1" selected="0">
            <x v="316"/>
          </reference>
        </references>
      </pivotArea>
    </chartFormat>
    <chartFormat chart="0" format="104">
      <pivotArea type="data" outline="0" fieldPosition="0">
        <references count="2">
          <reference field="4294967294" count="1" selected="0">
            <x v="1"/>
          </reference>
          <reference field="11" count="1" selected="0">
            <x v="317"/>
          </reference>
        </references>
      </pivotArea>
    </chartFormat>
    <chartFormat chart="0" format="105">
      <pivotArea type="data" outline="0" fieldPosition="0">
        <references count="2">
          <reference field="4294967294" count="1" selected="0">
            <x v="1"/>
          </reference>
          <reference field="11" count="1" selected="0">
            <x v="318"/>
          </reference>
        </references>
      </pivotArea>
    </chartFormat>
    <chartFormat chart="0" format="106">
      <pivotArea type="data" outline="0" fieldPosition="0">
        <references count="2">
          <reference field="4294967294" count="1" selected="0">
            <x v="1"/>
          </reference>
          <reference field="11" count="1" selected="0">
            <x v="319"/>
          </reference>
        </references>
      </pivotArea>
    </chartFormat>
    <chartFormat chart="0" format="107">
      <pivotArea type="data" outline="0" fieldPosition="0">
        <references count="2">
          <reference field="4294967294" count="1" selected="0">
            <x v="1"/>
          </reference>
          <reference field="11" count="1" selected="0">
            <x v="320"/>
          </reference>
        </references>
      </pivotArea>
    </chartFormat>
    <chartFormat chart="0" format="108">
      <pivotArea type="data" outline="0" fieldPosition="0">
        <references count="2">
          <reference field="4294967294" count="1" selected="0">
            <x v="1"/>
          </reference>
          <reference field="11" count="1" selected="0">
            <x v="321"/>
          </reference>
        </references>
      </pivotArea>
    </chartFormat>
    <chartFormat chart="0" format="109">
      <pivotArea type="data" outline="0" fieldPosition="0">
        <references count="2">
          <reference field="4294967294" count="1" selected="0">
            <x v="1"/>
          </reference>
          <reference field="11" count="1" selected="0">
            <x v="322"/>
          </reference>
        </references>
      </pivotArea>
    </chartFormat>
    <chartFormat chart="0" format="110">
      <pivotArea type="data" outline="0" fieldPosition="0">
        <references count="2">
          <reference field="4294967294" count="1" selected="0">
            <x v="1"/>
          </reference>
          <reference field="11" count="1" selected="0">
            <x v="323"/>
          </reference>
        </references>
      </pivotArea>
    </chartFormat>
    <chartFormat chart="0" format="111">
      <pivotArea type="data" outline="0" fieldPosition="0">
        <references count="2">
          <reference field="4294967294" count="1" selected="0">
            <x v="1"/>
          </reference>
          <reference field="11" count="1" selected="0">
            <x v="324"/>
          </reference>
        </references>
      </pivotArea>
    </chartFormat>
    <chartFormat chart="0" format="112">
      <pivotArea type="data" outline="0" fieldPosition="0">
        <references count="2">
          <reference field="4294967294" count="1" selected="0">
            <x v="1"/>
          </reference>
          <reference field="11" count="1" selected="0">
            <x v="325"/>
          </reference>
        </references>
      </pivotArea>
    </chartFormat>
    <chartFormat chart="0" format="113">
      <pivotArea type="data" outline="0" fieldPosition="0">
        <references count="2">
          <reference field="4294967294" count="1" selected="0">
            <x v="1"/>
          </reference>
          <reference field="11" count="1" selected="0">
            <x v="327"/>
          </reference>
        </references>
      </pivotArea>
    </chartFormat>
    <chartFormat chart="0" format="114">
      <pivotArea type="data" outline="0" fieldPosition="0">
        <references count="2">
          <reference field="4294967294" count="1" selected="0">
            <x v="1"/>
          </reference>
          <reference field="11" count="1" selected="0">
            <x v="328"/>
          </reference>
        </references>
      </pivotArea>
    </chartFormat>
    <chartFormat chart="0" format="115">
      <pivotArea type="data" outline="0" fieldPosition="0">
        <references count="2">
          <reference field="4294967294" count="1" selected="0">
            <x v="1"/>
          </reference>
          <reference field="11" count="1" selected="0">
            <x v="329"/>
          </reference>
        </references>
      </pivotArea>
    </chartFormat>
    <chartFormat chart="0" format="116">
      <pivotArea type="data" outline="0" fieldPosition="0">
        <references count="2">
          <reference field="4294967294" count="1" selected="0">
            <x v="1"/>
          </reference>
          <reference field="11" count="1" selected="0">
            <x v="330"/>
          </reference>
        </references>
      </pivotArea>
    </chartFormat>
    <chartFormat chart="0" format="117">
      <pivotArea type="data" outline="0" fieldPosition="0">
        <references count="2">
          <reference field="4294967294" count="1" selected="0">
            <x v="1"/>
          </reference>
          <reference field="11" count="1" selected="0">
            <x v="331"/>
          </reference>
        </references>
      </pivotArea>
    </chartFormat>
    <chartFormat chart="0" format="118">
      <pivotArea type="data" outline="0" fieldPosition="0">
        <references count="2">
          <reference field="4294967294" count="1" selected="0">
            <x v="1"/>
          </reference>
          <reference field="11" count="1" selected="0">
            <x v="332"/>
          </reference>
        </references>
      </pivotArea>
    </chartFormat>
    <chartFormat chart="0" format="119">
      <pivotArea type="data" outline="0" fieldPosition="0">
        <references count="2">
          <reference field="4294967294" count="1" selected="0">
            <x v="1"/>
          </reference>
          <reference field="11" count="1" selected="0">
            <x v="333"/>
          </reference>
        </references>
      </pivotArea>
    </chartFormat>
    <chartFormat chart="0" format="120">
      <pivotArea type="data" outline="0" fieldPosition="0">
        <references count="2">
          <reference field="4294967294" count="1" selected="0">
            <x v="1"/>
          </reference>
          <reference field="11" count="1" selected="0">
            <x v="334"/>
          </reference>
        </references>
      </pivotArea>
    </chartFormat>
    <chartFormat chart="0" format="121">
      <pivotArea type="data" outline="0" fieldPosition="0">
        <references count="2">
          <reference field="4294967294" count="1" selected="0">
            <x v="1"/>
          </reference>
          <reference field="11" count="1" selected="0">
            <x v="335"/>
          </reference>
        </references>
      </pivotArea>
    </chartFormat>
    <chartFormat chart="0" format="122">
      <pivotArea type="data" outline="0" fieldPosition="0">
        <references count="2">
          <reference field="4294967294" count="1" selected="0">
            <x v="1"/>
          </reference>
          <reference field="11" count="1" selected="0">
            <x v="336"/>
          </reference>
        </references>
      </pivotArea>
    </chartFormat>
    <chartFormat chart="0" format="123">
      <pivotArea type="data" outline="0" fieldPosition="0">
        <references count="2">
          <reference field="4294967294" count="1" selected="0">
            <x v="1"/>
          </reference>
          <reference field="11" count="1" selected="0">
            <x v="337"/>
          </reference>
        </references>
      </pivotArea>
    </chartFormat>
    <chartFormat chart="0" format="124">
      <pivotArea type="data" outline="0" fieldPosition="0">
        <references count="2">
          <reference field="4294967294" count="1" selected="0">
            <x v="1"/>
          </reference>
          <reference field="11" count="1" selected="0">
            <x v="338"/>
          </reference>
        </references>
      </pivotArea>
    </chartFormat>
    <chartFormat chart="0" format="125">
      <pivotArea type="data" outline="0" fieldPosition="0">
        <references count="2">
          <reference field="4294967294" count="1" selected="0">
            <x v="1"/>
          </reference>
          <reference field="11" count="1" selected="0">
            <x v="339"/>
          </reference>
        </references>
      </pivotArea>
    </chartFormat>
    <chartFormat chart="0" format="126">
      <pivotArea type="data" outline="0" fieldPosition="0">
        <references count="2">
          <reference field="4294967294" count="1" selected="0">
            <x v="1"/>
          </reference>
          <reference field="11" count="1" selected="0">
            <x v="340"/>
          </reference>
        </references>
      </pivotArea>
    </chartFormat>
    <chartFormat chart="0" format="127">
      <pivotArea type="data" outline="0" fieldPosition="0">
        <references count="2">
          <reference field="4294967294" count="1" selected="0">
            <x v="1"/>
          </reference>
          <reference field="11" count="1" selected="0">
            <x v="341"/>
          </reference>
        </references>
      </pivotArea>
    </chartFormat>
    <chartFormat chart="0" format="128">
      <pivotArea type="data" outline="0" fieldPosition="0">
        <references count="2">
          <reference field="4294967294" count="1" selected="0">
            <x v="1"/>
          </reference>
          <reference field="11" count="1" selected="0">
            <x v="342"/>
          </reference>
        </references>
      </pivotArea>
    </chartFormat>
    <chartFormat chart="0" format="129">
      <pivotArea type="data" outline="0" fieldPosition="0">
        <references count="2">
          <reference field="4294967294" count="1" selected="0">
            <x v="1"/>
          </reference>
          <reference field="11" count="1" selected="0">
            <x v="343"/>
          </reference>
        </references>
      </pivotArea>
    </chartFormat>
    <chartFormat chart="0" format="130">
      <pivotArea type="data" outline="0" fieldPosition="0">
        <references count="2">
          <reference field="4294967294" count="1" selected="0">
            <x v="1"/>
          </reference>
          <reference field="11" count="1" selected="0">
            <x v="344"/>
          </reference>
        </references>
      </pivotArea>
    </chartFormat>
    <chartFormat chart="0" format="131">
      <pivotArea type="data" outline="0" fieldPosition="0">
        <references count="2">
          <reference field="4294967294" count="1" selected="0">
            <x v="1"/>
          </reference>
          <reference field="11" count="1" selected="0">
            <x v="345"/>
          </reference>
        </references>
      </pivotArea>
    </chartFormat>
    <chartFormat chart="0" format="132">
      <pivotArea type="data" outline="0" fieldPosition="0">
        <references count="2">
          <reference field="4294967294" count="1" selected="0">
            <x v="1"/>
          </reference>
          <reference field="11" count="1" selected="0">
            <x v="346"/>
          </reference>
        </references>
      </pivotArea>
    </chartFormat>
    <chartFormat chart="0" format="133">
      <pivotArea type="data" outline="0" fieldPosition="0">
        <references count="2">
          <reference field="4294967294" count="1" selected="0">
            <x v="1"/>
          </reference>
          <reference field="11" count="1" selected="0">
            <x v="347"/>
          </reference>
        </references>
      </pivotArea>
    </chartFormat>
    <chartFormat chart="0" format="134">
      <pivotArea type="data" outline="0" fieldPosition="0">
        <references count="2">
          <reference field="4294967294" count="1" selected="0">
            <x v="1"/>
          </reference>
          <reference field="11" count="1" selected="0">
            <x v="348"/>
          </reference>
        </references>
      </pivotArea>
    </chartFormat>
    <chartFormat chart="0" format="135">
      <pivotArea type="data" outline="0" fieldPosition="0">
        <references count="2">
          <reference field="4294967294" count="1" selected="0">
            <x v="1"/>
          </reference>
          <reference field="11" count="1" selected="0">
            <x v="349"/>
          </reference>
        </references>
      </pivotArea>
    </chartFormat>
    <chartFormat chart="0" format="136">
      <pivotArea type="data" outline="0" fieldPosition="0">
        <references count="2">
          <reference field="4294967294" count="1" selected="0">
            <x v="1"/>
          </reference>
          <reference field="11" count="1" selected="0">
            <x v="350"/>
          </reference>
        </references>
      </pivotArea>
    </chartFormat>
    <chartFormat chart="0" format="137">
      <pivotArea type="data" outline="0" fieldPosition="0">
        <references count="2">
          <reference field="4294967294" count="1" selected="0">
            <x v="1"/>
          </reference>
          <reference field="11" count="1" selected="0">
            <x v="351"/>
          </reference>
        </references>
      </pivotArea>
    </chartFormat>
    <chartFormat chart="0" format="138">
      <pivotArea type="data" outline="0" fieldPosition="0">
        <references count="2">
          <reference field="4294967294" count="1" selected="0">
            <x v="1"/>
          </reference>
          <reference field="11" count="1" selected="0">
            <x v="352"/>
          </reference>
        </references>
      </pivotArea>
    </chartFormat>
    <chartFormat chart="0" format="139">
      <pivotArea type="data" outline="0" fieldPosition="0">
        <references count="2">
          <reference field="4294967294" count="1" selected="0">
            <x v="1"/>
          </reference>
          <reference field="11" count="1" selected="0">
            <x v="353"/>
          </reference>
        </references>
      </pivotArea>
    </chartFormat>
    <chartFormat chart="0" format="140">
      <pivotArea type="data" outline="0" fieldPosition="0">
        <references count="2">
          <reference field="4294967294" count="1" selected="0">
            <x v="1"/>
          </reference>
          <reference field="11" count="1" selected="0">
            <x v="354"/>
          </reference>
        </references>
      </pivotArea>
    </chartFormat>
    <chartFormat chart="0" format="141">
      <pivotArea type="data" outline="0" fieldPosition="0">
        <references count="2">
          <reference field="4294967294" count="1" selected="0">
            <x v="1"/>
          </reference>
          <reference field="11" count="1" selected="0">
            <x v="355"/>
          </reference>
        </references>
      </pivotArea>
    </chartFormat>
    <chartFormat chart="0" format="142">
      <pivotArea type="data" outline="0" fieldPosition="0">
        <references count="2">
          <reference field="4294967294" count="1" selected="0">
            <x v="1"/>
          </reference>
          <reference field="11" count="1" selected="0">
            <x v="356"/>
          </reference>
        </references>
      </pivotArea>
    </chartFormat>
    <chartFormat chart="0" format="143">
      <pivotArea type="data" outline="0" fieldPosition="0">
        <references count="2">
          <reference field="4294967294" count="1" selected="0">
            <x v="1"/>
          </reference>
          <reference field="11" count="1" selected="0">
            <x v="357"/>
          </reference>
        </references>
      </pivotArea>
    </chartFormat>
    <chartFormat chart="0" format="144">
      <pivotArea type="data" outline="0" fieldPosition="0">
        <references count="2">
          <reference field="4294967294" count="1" selected="0">
            <x v="1"/>
          </reference>
          <reference field="11" count="1" selected="0">
            <x v="358"/>
          </reference>
        </references>
      </pivotArea>
    </chartFormat>
    <chartFormat chart="0" format="145">
      <pivotArea type="data" outline="0" fieldPosition="0">
        <references count="2">
          <reference field="4294967294" count="1" selected="0">
            <x v="1"/>
          </reference>
          <reference field="11" count="1" selected="0">
            <x v="359"/>
          </reference>
        </references>
      </pivotArea>
    </chartFormat>
    <chartFormat chart="0" format="146">
      <pivotArea type="data" outline="0" fieldPosition="0">
        <references count="2">
          <reference field="4294967294" count="1" selected="0">
            <x v="1"/>
          </reference>
          <reference field="11" count="1" selected="0">
            <x v="360"/>
          </reference>
        </references>
      </pivotArea>
    </chartFormat>
    <chartFormat chart="0" format="147">
      <pivotArea type="data" outline="0" fieldPosition="0">
        <references count="2">
          <reference field="4294967294" count="1" selected="0">
            <x v="1"/>
          </reference>
          <reference field="11" count="1" selected="0">
            <x v="361"/>
          </reference>
        </references>
      </pivotArea>
    </chartFormat>
    <chartFormat chart="0" format="148">
      <pivotArea type="data" outline="0" fieldPosition="0">
        <references count="2">
          <reference field="4294967294" count="1" selected="0">
            <x v="1"/>
          </reference>
          <reference field="11" count="1" selected="0">
            <x v="362"/>
          </reference>
        </references>
      </pivotArea>
    </chartFormat>
    <chartFormat chart="0" format="149">
      <pivotArea type="data" outline="0" fieldPosition="0">
        <references count="2">
          <reference field="4294967294" count="1" selected="0">
            <x v="1"/>
          </reference>
          <reference field="11" count="1" selected="0">
            <x v="363"/>
          </reference>
        </references>
      </pivotArea>
    </chartFormat>
    <chartFormat chart="0" format="150">
      <pivotArea type="data" outline="0" fieldPosition="0">
        <references count="2">
          <reference field="4294967294" count="1" selected="0">
            <x v="1"/>
          </reference>
          <reference field="11" count="1" selected="0">
            <x v="364"/>
          </reference>
        </references>
      </pivotArea>
    </chartFormat>
    <chartFormat chart="0" format="151">
      <pivotArea type="data" outline="0" fieldPosition="0">
        <references count="2">
          <reference field="4294967294" count="1" selected="0">
            <x v="1"/>
          </reference>
          <reference field="11" count="1" selected="0">
            <x v="365"/>
          </reference>
        </references>
      </pivotArea>
    </chartFormat>
    <chartFormat chart="0" format="152">
      <pivotArea type="data" outline="0" fieldPosition="0">
        <references count="2">
          <reference field="4294967294" count="1" selected="0">
            <x v="1"/>
          </reference>
          <reference field="11" count="1" selected="0">
            <x v="366"/>
          </reference>
        </references>
      </pivotArea>
    </chartFormat>
    <chartFormat chart="0" format="153">
      <pivotArea type="data" outline="0" fieldPosition="0">
        <references count="2">
          <reference field="4294967294" count="1" selected="0">
            <x v="1"/>
          </reference>
          <reference field="11" count="1" selected="0">
            <x v="367"/>
          </reference>
        </references>
      </pivotArea>
    </chartFormat>
    <chartFormat chart="0" format="154">
      <pivotArea type="data" outline="0" fieldPosition="0">
        <references count="2">
          <reference field="4294967294" count="1" selected="0">
            <x v="1"/>
          </reference>
          <reference field="11" count="1" selected="0">
            <x v="368"/>
          </reference>
        </references>
      </pivotArea>
    </chartFormat>
    <chartFormat chart="0" format="155">
      <pivotArea type="data" outline="0" fieldPosition="0">
        <references count="2">
          <reference field="4294967294" count="1" selected="0">
            <x v="1"/>
          </reference>
          <reference field="11" count="1" selected="0">
            <x v="369"/>
          </reference>
        </references>
      </pivotArea>
    </chartFormat>
    <chartFormat chart="0" format="156">
      <pivotArea type="data" outline="0" fieldPosition="0">
        <references count="2">
          <reference field="4294967294" count="1" selected="0">
            <x v="1"/>
          </reference>
          <reference field="11" count="1" selected="0">
            <x v="370"/>
          </reference>
        </references>
      </pivotArea>
    </chartFormat>
    <chartFormat chart="0" format="157">
      <pivotArea type="data" outline="0" fieldPosition="0">
        <references count="2">
          <reference field="4294967294" count="1" selected="0">
            <x v="1"/>
          </reference>
          <reference field="11" count="1" selected="0">
            <x v="371"/>
          </reference>
        </references>
      </pivotArea>
    </chartFormat>
    <chartFormat chart="0" format="158">
      <pivotArea type="data" outline="0" fieldPosition="0">
        <references count="2">
          <reference field="4294967294" count="1" selected="0">
            <x v="0"/>
          </reference>
          <reference field="11" count="1" selected="0">
            <x v="326"/>
          </reference>
        </references>
      </pivotArea>
    </chartFormat>
    <chartFormat chart="0" format="159">
      <pivotArea type="data" outline="0" fieldPosition="0">
        <references count="2">
          <reference field="4294967294" count="1" selected="0">
            <x v="0"/>
          </reference>
          <reference field="11" count="1" selected="0">
            <x v="372"/>
          </reference>
        </references>
      </pivotArea>
    </chartFormat>
    <chartFormat chart="0" format="160">
      <pivotArea type="data" outline="0" fieldPosition="0">
        <references count="2">
          <reference field="4294967294" count="1" selected="0">
            <x v="0"/>
          </reference>
          <reference field="11" count="1" selected="0">
            <x v="373"/>
          </reference>
        </references>
      </pivotArea>
    </chartFormat>
    <chartFormat chart="0" format="161">
      <pivotArea type="data" outline="0" fieldPosition="0">
        <references count="2">
          <reference field="4294967294" count="1" selected="0">
            <x v="0"/>
          </reference>
          <reference field="11" count="1" selected="0">
            <x v="374"/>
          </reference>
        </references>
      </pivotArea>
    </chartFormat>
    <chartFormat chart="0" format="162">
      <pivotArea type="data" outline="0" fieldPosition="0">
        <references count="2">
          <reference field="4294967294" count="1" selected="0">
            <x v="0"/>
          </reference>
          <reference field="11" count="1" selected="0">
            <x v="375"/>
          </reference>
        </references>
      </pivotArea>
    </chartFormat>
    <chartFormat chart="0" format="163">
      <pivotArea type="data" outline="0" fieldPosition="0">
        <references count="2">
          <reference field="4294967294" count="1" selected="0">
            <x v="0"/>
          </reference>
          <reference field="11" count="1" selected="0">
            <x v="376"/>
          </reference>
        </references>
      </pivotArea>
    </chartFormat>
    <chartFormat chart="0" format="164">
      <pivotArea type="data" outline="0" fieldPosition="0">
        <references count="2">
          <reference field="4294967294" count="1" selected="0">
            <x v="0"/>
          </reference>
          <reference field="11" count="1" selected="0">
            <x v="377"/>
          </reference>
        </references>
      </pivotArea>
    </chartFormat>
    <chartFormat chart="0" format="165">
      <pivotArea type="data" outline="0" fieldPosition="0">
        <references count="2">
          <reference field="4294967294" count="1" selected="0">
            <x v="0"/>
          </reference>
          <reference field="11" count="1" selected="0">
            <x v="378"/>
          </reference>
        </references>
      </pivotArea>
    </chartFormat>
    <chartFormat chart="0" format="166">
      <pivotArea type="data" outline="0" fieldPosition="0">
        <references count="2">
          <reference field="4294967294" count="1" selected="0">
            <x v="0"/>
          </reference>
          <reference field="11" count="1" selected="0">
            <x v="379"/>
          </reference>
        </references>
      </pivotArea>
    </chartFormat>
    <chartFormat chart="0" format="167">
      <pivotArea type="data" outline="0" fieldPosition="0">
        <references count="2">
          <reference field="4294967294" count="1" selected="0">
            <x v="0"/>
          </reference>
          <reference field="11" count="1" selected="0">
            <x v="380"/>
          </reference>
        </references>
      </pivotArea>
    </chartFormat>
    <chartFormat chart="0" format="168">
      <pivotArea type="data" outline="0" fieldPosition="0">
        <references count="2">
          <reference field="4294967294" count="1" selected="0">
            <x v="0"/>
          </reference>
          <reference field="11" count="1" selected="0">
            <x v="381"/>
          </reference>
        </references>
      </pivotArea>
    </chartFormat>
    <chartFormat chart="0" format="169">
      <pivotArea type="data" outline="0" fieldPosition="0">
        <references count="2">
          <reference field="4294967294" count="1" selected="0">
            <x v="1"/>
          </reference>
          <reference field="11" count="1" selected="0">
            <x v="326"/>
          </reference>
        </references>
      </pivotArea>
    </chartFormat>
    <chartFormat chart="0" format="170">
      <pivotArea type="data" outline="0" fieldPosition="0">
        <references count="2">
          <reference field="4294967294" count="1" selected="0">
            <x v="1"/>
          </reference>
          <reference field="11" count="1" selected="0">
            <x v="372"/>
          </reference>
        </references>
      </pivotArea>
    </chartFormat>
    <chartFormat chart="0" format="171">
      <pivotArea type="data" outline="0" fieldPosition="0">
        <references count="2">
          <reference field="4294967294" count="1" selected="0">
            <x v="1"/>
          </reference>
          <reference field="11" count="1" selected="0">
            <x v="373"/>
          </reference>
        </references>
      </pivotArea>
    </chartFormat>
    <chartFormat chart="0" format="172">
      <pivotArea type="data" outline="0" fieldPosition="0">
        <references count="2">
          <reference field="4294967294" count="1" selected="0">
            <x v="1"/>
          </reference>
          <reference field="11" count="1" selected="0">
            <x v="374"/>
          </reference>
        </references>
      </pivotArea>
    </chartFormat>
    <chartFormat chart="0" format="173">
      <pivotArea type="data" outline="0" fieldPosition="0">
        <references count="2">
          <reference field="4294967294" count="1" selected="0">
            <x v="1"/>
          </reference>
          <reference field="11" count="1" selected="0">
            <x v="375"/>
          </reference>
        </references>
      </pivotArea>
    </chartFormat>
    <chartFormat chart="0" format="174">
      <pivotArea type="data" outline="0" fieldPosition="0">
        <references count="2">
          <reference field="4294967294" count="1" selected="0">
            <x v="1"/>
          </reference>
          <reference field="11" count="1" selected="0">
            <x v="376"/>
          </reference>
        </references>
      </pivotArea>
    </chartFormat>
    <chartFormat chart="0" format="175">
      <pivotArea type="data" outline="0" fieldPosition="0">
        <references count="2">
          <reference field="4294967294" count="1" selected="0">
            <x v="1"/>
          </reference>
          <reference field="11" count="1" selected="0">
            <x v="377"/>
          </reference>
        </references>
      </pivotArea>
    </chartFormat>
    <chartFormat chart="0" format="176">
      <pivotArea type="data" outline="0" fieldPosition="0">
        <references count="2">
          <reference field="4294967294" count="1" selected="0">
            <x v="1"/>
          </reference>
          <reference field="11" count="1" selected="0">
            <x v="378"/>
          </reference>
        </references>
      </pivotArea>
    </chartFormat>
    <chartFormat chart="0" format="177">
      <pivotArea type="data" outline="0" fieldPosition="0">
        <references count="2">
          <reference field="4294967294" count="1" selected="0">
            <x v="1"/>
          </reference>
          <reference field="11" count="1" selected="0">
            <x v="379"/>
          </reference>
        </references>
      </pivotArea>
    </chartFormat>
    <chartFormat chart="0" format="178">
      <pivotArea type="data" outline="0" fieldPosition="0">
        <references count="2">
          <reference field="4294967294" count="1" selected="0">
            <x v="1"/>
          </reference>
          <reference field="11" count="1" selected="0">
            <x v="380"/>
          </reference>
        </references>
      </pivotArea>
    </chartFormat>
    <chartFormat chart="0" format="179">
      <pivotArea type="data" outline="0" fieldPosition="0">
        <references count="2">
          <reference field="4294967294" count="1" selected="0">
            <x v="1"/>
          </reference>
          <reference field="11" count="1" selected="0">
            <x v="38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0000000-0013-0000-FFFF-FFFF04000000}" sourceName="Month">
  <pivotTables>
    <pivotTable tabId="12" name="PivotTable3"/>
  </pivotTables>
  <data>
    <tabular pivotCacheId="861024963">
      <items count="13">
        <i x="12" nd="1"/>
        <i x="3" nd="1"/>
        <i x="4" nd="1"/>
        <i x="5" nd="1"/>
        <i x="6" nd="1"/>
        <i x="7" nd="1"/>
        <i x="8" nd="1"/>
        <i x="10" nd="1"/>
        <i x="11" nd="1"/>
        <i x="0" nd="1"/>
        <i x="1" nd="1"/>
        <i x="9" nd="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ting_Year" xr10:uid="{00000000-0013-0000-FFFF-FFFF05000000}" sourceName="Operating Year">
  <pivotTables>
    <pivotTable tabId="12" name="PivotTable3"/>
  </pivotTables>
  <data>
    <tabular pivotCacheId="861024963">
      <items count="4">
        <i x="0" s="1" nd="1"/>
        <i x="2" s="1" nd="1"/>
        <i x="3" s="1" nd="1"/>
        <i x="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00000000-0014-0000-FFFF-FFFF04000000}" cache="Slicer_Month" caption="Month" rowHeight="230716"/>
  <slicer name="Operating Year" xr10:uid="{00000000-0014-0000-FFFF-FFFF05000000}" cache="Slicer_Operating_Year" caption="Operating Year"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3F22B10-41BC-4965-8DD0-8EF497AA0E8E}" name="Table13" displayName="Table13" ref="A1:AS369" totalsRowShown="0" headerRowDxfId="370" dataDxfId="368" totalsRowDxfId="366" headerRowBorderDxfId="369" tableBorderDxfId="367" totalsRowBorderDxfId="365">
  <autoFilter ref="A1:AS369" xr:uid="{3B203726-2095-49D8-A694-A659B4A14C0A}"/>
  <tableColumns count="45">
    <tableColumn id="1" xr3:uid="{705FD7CF-F4D9-4BE9-AB61-F11F2AB5C4B9}" name="Date" dataDxfId="364" totalsRowDxfId="363"/>
    <tableColumn id="2" xr3:uid="{16363D35-8AA0-455E-A1CA-ED847A6C02E3}" name="Financial Year" dataDxfId="362" totalsRowDxfId="361">
      <calculatedColumnFormula>YEAR(Table13[[#This Row],[Date]])+IF(MONTH(Table13[[#This Row],[Date]])&gt;=4,1,0)</calculatedColumnFormula>
    </tableColumn>
    <tableColumn id="3" xr3:uid="{1390B74D-7B2D-42F3-A035-0FBEDF0B10C2}" name="Calendar Year" dataDxfId="360" totalsRowDxfId="359">
      <calculatedColumnFormula>YEAR(Table13[[#This Row],[Date]])</calculatedColumnFormula>
    </tableColumn>
    <tableColumn id="4" xr3:uid="{F2788154-3A0B-4E18-B30E-611DC851EC4C}" name="Month Year" dataDxfId="358" totalsRowDxfId="357">
      <calculatedColumnFormula>Table13[[#This Row],[Date]]-DAY(Table13[[#This Row],[Date]])+1</calculatedColumnFormula>
    </tableColumn>
    <tableColumn id="5" xr3:uid="{40B25B3A-DCDA-488A-B89D-2172FC6E810D}" name="Days" dataDxfId="356" totalsRowDxfId="355">
      <calculatedColumnFormula>DAY(EOMONTH(A2,0))</calculatedColumnFormula>
    </tableColumn>
    <tableColumn id="6" xr3:uid="{3E574EA2-59F5-45E3-B4FD-CD2A8A05CBC7}" name="Operating Hours" dataDxfId="354" dataCellStyle="Percent"/>
    <tableColumn id="7" xr3:uid="{9B04C0E9-9B44-46F2-AAAC-99A13B1D6041}" name="GHI-UP (KWh/m2)" dataDxfId="353" totalsRowDxfId="352" dataCellStyle="Percent"/>
    <tableColumn id="8" xr3:uid="{1373399C-6314-49A4-B026-5F2184F3E97E}" name="GHI-Down(KWh/m2)" dataDxfId="351" totalsRowDxfId="350" dataCellStyle="Percent"/>
    <tableColumn id="9" xr3:uid="{E95C0369-ACF4-42FF-8C92-A919410C1BE0}" name="POA-UP(KWh/m2)" dataDxfId="349" totalsRowDxfId="348" dataCellStyle="Percent"/>
    <tableColumn id="10" xr3:uid="{074FFD75-7963-466E-8F66-6C331B10447F}" name="POA-Down(KWh/m2)" dataDxfId="347" totalsRowDxfId="346" dataCellStyle="Percent"/>
    <tableColumn id="11" xr3:uid="{1DE943E8-31C6-4D50-B608-348FCF8E093F}" name="Amb_Temp(°C)" dataDxfId="345" totalsRowDxfId="344" dataCellStyle="Percent"/>
    <tableColumn id="12" xr3:uid="{EB8E181F-7E07-47AE-A4DD-738DE3B85C3C}" name="Mod_Temp(°C)" dataDxfId="343" totalsRowDxfId="342" dataCellStyle="Percent"/>
    <tableColumn id="13" xr3:uid="{E1CF4A35-DFC3-4868-BAA8-8C7ED9EA0C85}" name="WS_Avg(m/s)" dataDxfId="341" totalsRowDxfId="340" dataCellStyle="Percent">
      <calculatedColumnFormula>IFERROR(_xlfn.XLOOKUP($A2,Input_Raw!$A:$A,Input_Raw!BG:BG),"")</calculatedColumnFormula>
    </tableColumn>
    <tableColumn id="14" xr3:uid="{EE2D8B57-491A-47E5-B6BD-11062961E6F0}" name="WS_Max(m/s)" dataDxfId="339" totalsRowDxfId="338" dataCellStyle="Percent">
      <calculatedColumnFormula>IFERROR(_xlfn.XLOOKUP($A2,Input_Raw!$A:$A,Input_Raw!BH:BH),"")</calculatedColumnFormula>
    </tableColumn>
    <tableColumn id="15" xr3:uid="{49CD36B9-8034-41A6-949A-F33A9C190CAE}" name="PA(%)" dataDxfId="337" totalsRowDxfId="336" dataCellStyle="Percent">
      <calculatedColumnFormula>IFERROR(P2*Q2,"")</calculatedColumnFormula>
    </tableColumn>
    <tableColumn id="16" xr3:uid="{CFFFBF91-C5C4-4EA5-89B6-B4B65554A854}" name="MA (%)" dataDxfId="335" totalsRowDxfId="334" dataCellStyle="Percent">
      <calculatedColumnFormula>IFERROR(1-SUMIF(WTG_BD!$F:$F,$A2,WTG_BD!$AA:$AA)/($AA2+SUMIF(WTG_BD!$F:$F,$A2,WTG_BD!$AA:$AA)),"")</calculatedColumnFormula>
    </tableColumn>
    <tableColumn id="17" xr3:uid="{6EC851D4-317B-45FD-A762-B7EA924F771D}" name="IGA (%)" dataDxfId="333" totalsRowDxfId="332" dataCellStyle="Percent">
      <calculatedColumnFormula>IFERROR(1-SUMIF(IGA_BD!$F:$F,$A2,IGA_BD!$X:$X)/($AA2+SUMIF(IGA_BD!$F:$F,$A2,IGA_BD!$X:$X)),"")</calculatedColumnFormula>
    </tableColumn>
    <tableColumn id="18" xr3:uid="{C2BF5D2C-8FFF-4B03-8D95-1CFC2F9E1C3C}" name="EGA(%)" dataDxfId="331" totalsRowDxfId="330" dataCellStyle="Percent">
      <calculatedColumnFormula>IFERROR(1-SUMIF(Grid_BD!$F:$F,$A2,Grid_BD!$Y:$Y)/($AA2+SUMIF(Grid_BD!$F:$F,$A2,Grid_BD!$Y:$Y)),"")</calculatedColumnFormula>
    </tableColumn>
    <tableColumn id="19" xr3:uid="{566B512C-B113-40A2-94BB-2617AA87E089}" name="EMA (%)" dataDxfId="329" totalsRowDxfId="328"/>
    <tableColumn id="20" xr3:uid="{DE4C2B6D-BC8A-4840-A763-70000C433E49}" name="TA (%)" dataDxfId="327" totalsRowDxfId="326" dataCellStyle="Percent"/>
    <tableColumn id="21" xr3:uid="{F49287D7-24FD-492A-A36B-025592863436}" name="PR(%)" dataDxfId="325" totalsRowDxfId="324" dataCellStyle="Percent"/>
    <tableColumn id="22" xr3:uid="{790135BD-1827-4F48-8C4B-81408FB6FEC8}" name="WPR(%)" dataDxfId="323" totalsRowDxfId="322"/>
    <tableColumn id="23" xr3:uid="{34747593-2E53-47B6-AC4C-50AEFAD7CA1B}" name="CUF(%)" dataDxfId="321" totalsRowDxfId="320" dataCellStyle="Percent">
      <calculatedColumnFormula>IFERROR(AA2/(24*AR2*1000),"")</calculatedColumnFormula>
    </tableColumn>
    <tableColumn id="24" xr3:uid="{DC60EB18-9B4D-43A2-9DCD-BA99856C93CC}" name="Gen_Exp (kWh)" dataDxfId="319" totalsRowDxfId="318">
      <calculatedColumnFormula>IFERROR(_xlfn.XLOOKUP($A2,Input_Raw!$A:$A,Input_Raw!$BF:$BF),"")</calculatedColumnFormula>
    </tableColumn>
    <tableColumn id="25" xr3:uid="{FCB2C3D7-76EC-4403-B7D3-EFFC79DC7BA2}" name="Mtr_Export (kWh)" dataDxfId="317" totalsRowDxfId="316">
      <calculatedColumnFormula>IFERROR(_xlfn.XLOOKUP($A2,Input_Raw!$A:$A,Input_Raw!BJ:BJ),"")</calculatedColumnFormula>
    </tableColumn>
    <tableColumn id="26" xr3:uid="{A380AC68-BAC1-4677-B3C2-0894809CD125}" name="Mtr_Import (kWh)" dataDxfId="315" totalsRowDxfId="314">
      <calculatedColumnFormula>IFERROR(_xlfn.XLOOKUP($A2,Input_Raw!$A:$A,Input_Raw!BK:BK),"")</calculatedColumnFormula>
    </tableColumn>
    <tableColumn id="27" xr3:uid="{FB83C712-41C4-4247-B29A-CE54B551534B}" name="Mtr_Net_Exp (KWh)" dataDxfId="313" totalsRowDxfId="312">
      <calculatedColumnFormula>IFERROR(_xlfn.XLOOKUP($A2,Input_Raw!$A:$A,Input_Raw!BL:BL),"")</calculatedColumnFormula>
    </tableColumn>
    <tableColumn id="28" xr3:uid="{7567A9BC-6328-4031-9C98-102C880E7577}" name="Operational Capacity (MW)" dataDxfId="311" totalsRowDxfId="310">
      <calculatedColumnFormula>IFERROR(_xlfn.XLOOKUP($A2,Input_Raw!$A:$A,Input_Raw!$BO:$BO),"")</calculatedColumnFormula>
    </tableColumn>
    <tableColumn id="29" xr3:uid="{39B755A2-C2AA-40DE-8DED-E1FAD90A52A5}" name="Bugt_Resource" dataDxfId="309" totalsRowDxfId="308">
      <calculatedColumnFormula>IFERROR(_xlfn.XLOOKUP($D2,'Modelling New'!$D:$D,'Modelling New'!$J:$J),"")</calculatedColumnFormula>
    </tableColumn>
    <tableColumn id="30" xr3:uid="{381AFA7E-59C4-43FD-B534-0DF6008B2E88}" name="Bugt_Energy" dataDxfId="307" totalsRowDxfId="306">
      <calculatedColumnFormula>IFERROR(_xlfn.XLOOKUP($D2,'Modelling New'!$D:$D,'Modelling New'!$T:$T)*1000,"")</calculatedColumnFormula>
    </tableColumn>
    <tableColumn id="43" xr3:uid="{E00139FA-9ED7-4115-95B1-11177798B34C}" name="Bugt PR" dataDxfId="305" totalsRowDxfId="304" dataCellStyle="Percent"/>
    <tableColumn id="42" xr3:uid="{C612A941-EAFE-4B11-8D8F-63D54297C987}" name="Bugt CUF" dataDxfId="303" totalsRowDxfId="302" dataCellStyle="Percent">
      <calculatedColumnFormula>IFERROR(_xlfn.XLOOKUP($D2,'Modelling New'!$D:$D,'Modelling New'!$W:$W),"")</calculatedColumnFormula>
    </tableColumn>
    <tableColumn id="31" xr3:uid="{57C61731-0943-47AC-8DB3-61259FFDC808}" name="Bugt_PA" dataDxfId="301" totalsRowDxfId="300" dataCellStyle="Percent">
      <calculatedColumnFormula>IFERROR(_xlfn.XLOOKUP($D2,'Modelling New'!$D:$D,'Modelling New'!$AE:$AE),"")</calculatedColumnFormula>
    </tableColumn>
    <tableColumn id="32" xr3:uid="{C299B541-2E78-49DD-8C21-39C5413D071A}" name="Bugt_EGA" dataDxfId="299" totalsRowDxfId="298" dataCellStyle="Percent">
      <calculatedColumnFormula>IFERROR(_xlfn.XLOOKUP($D2,'Modelling New'!$D:$D,'Modelling New'!$AF:$AF),"")</calculatedColumnFormula>
    </tableColumn>
    <tableColumn id="33" xr3:uid="{4714D985-200B-40F5-8116-57A077631B30}" name="Expected Energy" dataDxfId="297" totalsRowDxfId="296">
      <calculatedColumnFormula>IFERROR(_xlfn.XLOOKUP($A2,Input_Raw!$A:$A,Input_Raw!$BQ:$BQ),"")</calculatedColumnFormula>
    </tableColumn>
    <tableColumn id="34" xr3:uid="{68D11CAE-E236-4ECC-BEAA-217185C7D4D1}" name="Actual Energy WPR" dataDxfId="295" totalsRowDxfId="294"/>
    <tableColumn id="35" xr3:uid="{709793E2-5DB1-426B-807B-D9163BC8FECB}" name="RA (%)" dataDxfId="293" totalsRowDxfId="292"/>
    <tableColumn id="36" xr3:uid="{9D99B4A8-D998-4B32-830F-7D329EDEA246}" name="Mod Clean Dry (Num)" dataDxfId="291" totalsRowDxfId="290"/>
    <tableColumn id="37" xr3:uid="{02AD2357-FB80-4F40-A01C-F728E3C4C416}" name="Mod Clean Wet (Num)" dataDxfId="289" totalsRowDxfId="288"/>
    <tableColumn id="38" xr3:uid="{24D2C4F4-D950-485D-B2B4-CF833F040436}" name="Line Loss(%)" dataDxfId="287" totalsRowDxfId="286" dataCellStyle="Percent">
      <calculatedColumnFormula>IFERROR(_xlfn.XLOOKUP($A2,Input_Raw!$A:$A,Input_Raw!$BN:$BN),"")</calculatedColumnFormula>
    </tableColumn>
    <tableColumn id="39" xr3:uid="{F9570959-FC2B-48EC-908E-E10800BCF798}" name="Reactive Power (%)" dataDxfId="285" dataCellStyle="Percent">
      <calculatedColumnFormula>IFERROR((_xlfn.XLOOKUP($A2,'WTG Reactive Power'!$A:$A,'WTG Reactive Power'!$AE:$AE))/Table13[[#This Row],[Gen_Exp (kWh)]],"")</calculatedColumnFormula>
    </tableColumn>
    <tableColumn id="40" xr3:uid="{83E5D3E3-9409-493A-9B6C-4ADE3C8EF9CC}" name="Bugt Line loss (%) (Wind)" dataDxfId="284" totalsRowDxfId="283" dataCellStyle="Percent">
      <calculatedColumnFormula>IFERROR(_xlfn.XLOOKUP($D2,'Modelling New'!$D:$D,'Modelling New'!$AK:$AK),"")</calculatedColumnFormula>
    </tableColumn>
    <tableColumn id="41" xr3:uid="{8DCD2425-ADE4-4C1C-8933-405229A26755}" name="Bugt Reactive Power (%) (Wind)" dataDxfId="282" totalsRowDxfId="281" dataCellStyle="Percent">
      <calculatedColumnFormula>IFERROR(_xlfn.XLOOKUP($D2,'Modelling New'!$D:$D,'Modelling New'!$AL:$AL),"")</calculatedColumnFormula>
    </tableColumn>
    <tableColumn id="44" xr3:uid="{05591DD1-A073-42EA-A959-07FCFBB8ADE0}" name="Bugt Capacity" dataDxfId="280" totalsRowDxfId="279">
      <calculatedColumnFormula>IFERROR(_xlfn.XLOOKUP($D2,'Modelling New'!$D:$D,'Modelling New'!$N:$N),"")</calculatedColumnFormula>
    </tableColumn>
    <tableColumn id="45" xr3:uid="{7EC4DB5A-A5BC-427B-B698-14E21E469B16}" name="CC*Bugt" dataDxfId="278" totalsRowDxfId="277"/>
  </tableColumns>
  <tableStyleInfo name="TableStyleMedium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DC08A22-E01B-48CE-BE9C-5FC092550DC6}" name="Table7" displayName="Table7" ref="A2:AE1463" totalsRowShown="0" headerRowDxfId="268" dataDxfId="266" headerRowBorderDxfId="267" tableBorderDxfId="265" totalsRowBorderDxfId="264">
  <autoFilter ref="A2:AE1463" xr:uid="{4DC08A22-E01B-48CE-BE9C-5FC092550DC6}"/>
  <tableColumns count="31">
    <tableColumn id="1" xr3:uid="{ACB6CB24-01C3-4845-B48D-85E627AB1A4F}" name="Date" dataDxfId="263"/>
    <tableColumn id="2" xr3:uid="{ABBC9620-5F02-4CF8-9D7F-18C126FFC41C}" name="Financial Year" dataDxfId="262">
      <calculatedColumnFormula>YEAR(Table7[[#This Row],[Date]])+IF(MONTH(Table7[[#This Row],[Date]])&gt;=4,1,0)</calculatedColumnFormula>
    </tableColumn>
    <tableColumn id="3" xr3:uid="{84D5E5CD-4942-41AF-B524-8C256B6D7361}" name="Calendar Year" dataDxfId="261">
      <calculatedColumnFormula>YEAR(Table7[[#This Row],[Date]])</calculatedColumnFormula>
    </tableColumn>
    <tableColumn id="4" xr3:uid="{FDCFEA7C-40C0-47BE-A0AE-A54B0F94824F}" name="Month Year" dataDxfId="260">
      <calculatedColumnFormula>A3-DAY(A3)+1</calculatedColumnFormula>
    </tableColumn>
    <tableColumn id="5" xr3:uid="{75294AFB-21A0-451B-A425-C195445CB294}" name="O2_01 (kVArh)" dataDxfId="259"/>
    <tableColumn id="6" xr3:uid="{29612D5D-2560-4ABD-898B-B540FC202862}" name="O2_02 (kVArh)" dataDxfId="258"/>
    <tableColumn id="7" xr3:uid="{99D9E24D-3581-4232-B3A7-03034AF1B7DE}" name="O2_03 (kVArh)" dataDxfId="257"/>
    <tableColumn id="8" xr3:uid="{6B7D2F3D-4B30-4BA4-A3C2-382FE7F571F3}" name="O2_04 (kVArh)" dataDxfId="256"/>
    <tableColumn id="9" xr3:uid="{28A32976-D1B0-45E8-BEF8-F625AF1ADF94}" name="O2_05 (kVArh)" dataDxfId="255"/>
    <tableColumn id="10" xr3:uid="{959B6CD4-6FD5-4874-A0B1-CCE2AB0AE9E0}" name="O2_06 (kVArh)" dataDxfId="254"/>
    <tableColumn id="11" xr3:uid="{B87B74E5-9519-4F60-BBF5-A3CA4E597E49}" name="O2_07 (kVArh)" dataDxfId="253"/>
    <tableColumn id="12" xr3:uid="{A635D73D-3204-4C8E-B959-D307BDD9E9A3}" name="O2_08 (kVArh)" dataDxfId="252"/>
    <tableColumn id="13" xr3:uid="{FB3CBF94-1329-4A9A-BC83-867331DFAC71}" name="O2_09 (kVArh)" dataDxfId="251"/>
    <tableColumn id="14" xr3:uid="{50DB09C8-7F55-4B9D-976E-4C1D640D8B08}" name="O2_10 (kVArh)" dataDxfId="250"/>
    <tableColumn id="15" xr3:uid="{49A11A47-5C35-4084-BEE2-426A5DA7FF8D}" name="O2_11 (kVArh)" dataDxfId="249"/>
    <tableColumn id="16" xr3:uid="{08249619-8B69-45D3-AA4D-65AFA6D2DA7F}" name="O2_12 (kVArh)" dataDxfId="248"/>
    <tableColumn id="17" xr3:uid="{514D9A36-EC85-40E2-9AF4-71759C9A9D4E}" name="O2_13 (kVArh)" dataDxfId="247"/>
    <tableColumn id="18" xr3:uid="{E899BE02-845D-4D2A-9FD0-C878A8445801}" name="O2_14 (kVArh)" dataDxfId="246"/>
    <tableColumn id="19" xr3:uid="{CAE561BD-4EB1-4C45-A3CB-885E3E9BA77C}" name="O2_15 (kVArh)" dataDxfId="245"/>
    <tableColumn id="20" xr3:uid="{FAE4A78C-462B-4364-B625-6891CF184EFD}" name="O2_16 (kVArh)" dataDxfId="244"/>
    <tableColumn id="21" xr3:uid="{B6EAD221-A25B-4373-9345-BE426F314EB6}" name="O2_17 (kVArh)" dataDxfId="243"/>
    <tableColumn id="22" xr3:uid="{05868037-A13A-4C9A-A200-401D58AF1D0D}" name="O2_18 (kVArh)" dataDxfId="242"/>
    <tableColumn id="23" xr3:uid="{F31A914E-EFBB-4C0E-A2E2-1EE1BA168AF4}" name="O2_19 (kVArh)" dataDxfId="241"/>
    <tableColumn id="24" xr3:uid="{779C400E-DCA5-40DA-912F-B9437C3B36B7}" name="O2_20 (kVArh)" dataDxfId="240"/>
    <tableColumn id="25" xr3:uid="{1C5C5DFB-E3EA-4ECF-B6E5-B84B23C5C620}" name="O2_21 (kVArh)" dataDxfId="239"/>
    <tableColumn id="26" xr3:uid="{312920C7-23F6-4EFD-AA6A-6762AF9DA41D}" name="O2_22 (kVArh)" dataDxfId="238"/>
    <tableColumn id="27" xr3:uid="{926D1C0C-7EB4-4B9F-9565-F4558055BF89}" name="O2_23 (kVArh)" dataDxfId="237"/>
    <tableColumn id="28" xr3:uid="{9CC8DEFA-F976-4DD4-AEB0-9F951DE2FC51}" name="O2_24 (kVArh)" dataDxfId="236"/>
    <tableColumn id="29" xr3:uid="{4E9CC7EF-2B3E-4F59-A168-33588553E7A0}" name="O2_25 (kVArh)" dataDxfId="235"/>
    <tableColumn id="30" xr3:uid="{42FD0C79-3407-4013-A60A-AE42F543EC4F}" name="O2_26 (kVArh)" dataDxfId="234"/>
    <tableColumn id="51" xr3:uid="{6954A3A8-42CB-4A55-931E-846DAA8841FE}" name="Total Reactive Power (kVArh)" dataDxfId="233">
      <calculatedColumnFormula>SUM(E3:AD3)</calculatedColumnFormula>
    </tableColumn>
  </tableColumns>
  <tableStyleInfo name="TableStyleMedium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Input_Raw" displayName="Input_Raw" ref="A4:BR121" totalsRowShown="0" headerRowDxfId="232" dataDxfId="230" headerRowBorderDxfId="231" tableBorderDxfId="229" totalsRowBorderDxfId="228">
  <tableColumns count="70">
    <tableColumn id="5" xr3:uid="{00000000-0010-0000-0100-000005000000}" name="Date" dataDxfId="227" dataCellStyle="Normal 27"/>
    <tableColumn id="1" xr3:uid="{00000000-0010-0000-0100-000001000000}" name="Finacial Year" dataDxfId="226">
      <calculatedColumnFormula>YEAR(Input_Raw[[#This Row],[Date]])+IF(MONTH(Input_Raw[[#This Row],[Date]])&gt;=4,1,0)</calculatedColumnFormula>
    </tableColumn>
    <tableColumn id="2" xr3:uid="{00000000-0010-0000-0100-000002000000}" name="Calendor Year" dataDxfId="225">
      <calculatedColumnFormula>YEAR(Input_Raw[[#This Row],[Date]])</calculatedColumnFormula>
    </tableColumn>
    <tableColumn id="3" xr3:uid="{00000000-0010-0000-0100-000003000000}" name="Month Year" dataDxfId="224">
      <calculatedColumnFormula>A5-DAY(A5)+1</calculatedColumnFormula>
    </tableColumn>
    <tableColumn id="4" xr3:uid="{00000000-0010-0000-0100-000004000000}" name="Days" dataDxfId="223">
      <calculatedColumnFormula>DAY(EOMONTH(Input_Raw[[#This Row],[Date]],0))</calculatedColumnFormula>
    </tableColumn>
    <tableColumn id="6" xr3:uid="{00000000-0010-0000-0100-000006000000}" name="O2_01" dataDxfId="222"/>
    <tableColumn id="7" xr3:uid="{00000000-0010-0000-0100-000007000000}" name="O2_02" dataDxfId="221"/>
    <tableColumn id="8" xr3:uid="{00000000-0010-0000-0100-000008000000}" name="O2_03" dataDxfId="220"/>
    <tableColumn id="9" xr3:uid="{00000000-0010-0000-0100-000009000000}" name="O2_04" dataDxfId="219"/>
    <tableColumn id="10" xr3:uid="{00000000-0010-0000-0100-00000A000000}" name="O2_05" dataDxfId="218"/>
    <tableColumn id="11" xr3:uid="{00000000-0010-0000-0100-00000B000000}" name="O2_06" dataDxfId="217"/>
    <tableColumn id="12" xr3:uid="{00000000-0010-0000-0100-00000C000000}" name="O2_07" dataDxfId="216"/>
    <tableColumn id="13" xr3:uid="{00000000-0010-0000-0100-00000D000000}" name="O2_08" dataDxfId="215"/>
    <tableColumn id="14" xr3:uid="{00000000-0010-0000-0100-00000E000000}" name="O2_09" dataDxfId="214"/>
    <tableColumn id="15" xr3:uid="{00000000-0010-0000-0100-00000F000000}" name="O2_10" dataDxfId="213"/>
    <tableColumn id="16" xr3:uid="{00000000-0010-0000-0100-000010000000}" name="O2_11" dataDxfId="212"/>
    <tableColumn id="17" xr3:uid="{00000000-0010-0000-0100-000011000000}" name="O2_12" dataDxfId="211"/>
    <tableColumn id="18" xr3:uid="{00000000-0010-0000-0100-000012000000}" name="O2_13" dataDxfId="210"/>
    <tableColumn id="19" xr3:uid="{00000000-0010-0000-0100-000013000000}" name="O2_14" dataDxfId="209"/>
    <tableColumn id="20" xr3:uid="{00000000-0010-0000-0100-000014000000}" name="O2_15" dataDxfId="208"/>
    <tableColumn id="21" xr3:uid="{00000000-0010-0000-0100-000015000000}" name="O2_16" dataDxfId="207"/>
    <tableColumn id="22" xr3:uid="{00000000-0010-0000-0100-000016000000}" name="O2_17" dataDxfId="206"/>
    <tableColumn id="23" xr3:uid="{00000000-0010-0000-0100-000017000000}" name="O2_18" dataDxfId="205"/>
    <tableColumn id="24" xr3:uid="{00000000-0010-0000-0100-000018000000}" name="O2_19" dataDxfId="204"/>
    <tableColumn id="25" xr3:uid="{00000000-0010-0000-0100-000019000000}" name="O2_20" dataDxfId="203"/>
    <tableColumn id="26" xr3:uid="{00000000-0010-0000-0100-00001A000000}" name="O2_21" dataDxfId="202"/>
    <tableColumn id="27" xr3:uid="{00000000-0010-0000-0100-00001B000000}" name="O2_22" dataDxfId="201"/>
    <tableColumn id="28" xr3:uid="{00000000-0010-0000-0100-00001C000000}" name="O2_23" dataDxfId="200"/>
    <tableColumn id="78" xr3:uid="{00000000-0010-0000-0100-00004E000000}" name="O2_24" dataDxfId="199" dataCellStyle="Percent 2"/>
    <tableColumn id="79" xr3:uid="{00000000-0010-0000-0100-00004F000000}" name="O2_25" dataDxfId="198" dataCellStyle="Percent 2"/>
    <tableColumn id="80" xr3:uid="{00000000-0010-0000-0100-000050000000}" name="O2_26" dataDxfId="197" dataCellStyle="Percent 2"/>
    <tableColumn id="29" xr3:uid="{00000000-0010-0000-0100-00001D000000}" name="WS_O2_01" dataDxfId="196"/>
    <tableColumn id="30" xr3:uid="{00000000-0010-0000-0100-00001E000000}" name="WS_O2_02" dataDxfId="195"/>
    <tableColumn id="31" xr3:uid="{00000000-0010-0000-0100-00001F000000}" name="WS_O2_03" dataDxfId="194"/>
    <tableColumn id="32" xr3:uid="{00000000-0010-0000-0100-000020000000}" name="WS_O2_04" dataDxfId="193"/>
    <tableColumn id="33" xr3:uid="{00000000-0010-0000-0100-000021000000}" name="WS_O2_05" dataDxfId="192"/>
    <tableColumn id="34" xr3:uid="{00000000-0010-0000-0100-000022000000}" name="WS_O2_06" dataDxfId="191"/>
    <tableColumn id="35" xr3:uid="{00000000-0010-0000-0100-000023000000}" name="WS_O2_07" dataDxfId="190"/>
    <tableColumn id="36" xr3:uid="{00000000-0010-0000-0100-000024000000}" name="WS_O2_08" dataDxfId="189"/>
    <tableColumn id="37" xr3:uid="{00000000-0010-0000-0100-000025000000}" name="WS_O2_09" dataDxfId="188"/>
    <tableColumn id="38" xr3:uid="{00000000-0010-0000-0100-000026000000}" name="WS_O2_10" dataDxfId="187"/>
    <tableColumn id="39" xr3:uid="{00000000-0010-0000-0100-000027000000}" name="WS_O2_11" dataDxfId="186"/>
    <tableColumn id="40" xr3:uid="{00000000-0010-0000-0100-000028000000}" name="WS_O2_12" dataDxfId="185"/>
    <tableColumn id="41" xr3:uid="{00000000-0010-0000-0100-000029000000}" name="WS_O2_13" dataDxfId="184"/>
    <tableColumn id="42" xr3:uid="{00000000-0010-0000-0100-00002A000000}" name="WS_O2_14" dataDxfId="183"/>
    <tableColumn id="43" xr3:uid="{00000000-0010-0000-0100-00002B000000}" name="WS_O2_15" dataDxfId="182"/>
    <tableColumn id="44" xr3:uid="{00000000-0010-0000-0100-00002C000000}" name="WS_O2_16" dataDxfId="181"/>
    <tableColumn id="45" xr3:uid="{00000000-0010-0000-0100-00002D000000}" name="WS_O2_17" dataDxfId="180"/>
    <tableColumn id="46" xr3:uid="{00000000-0010-0000-0100-00002E000000}" name="WS_O2_18" dataDxfId="179"/>
    <tableColumn id="47" xr3:uid="{00000000-0010-0000-0100-00002F000000}" name="WS_O2_19" dataDxfId="178"/>
    <tableColumn id="48" xr3:uid="{00000000-0010-0000-0100-000030000000}" name="WS_O2_20" dataDxfId="177"/>
    <tableColumn id="49" xr3:uid="{00000000-0010-0000-0100-000031000000}" name="WS_O2_21" dataDxfId="176"/>
    <tableColumn id="50" xr3:uid="{00000000-0010-0000-0100-000032000000}" name="WS_O2_22" dataDxfId="175"/>
    <tableColumn id="51" xr3:uid="{00000000-0010-0000-0100-000033000000}" name="WS_O2_23" dataDxfId="174"/>
    <tableColumn id="119" xr3:uid="{00000000-0010-0000-0100-000077000000}" name="WS_O2_24" dataDxfId="173" dataCellStyle="Percent 2"/>
    <tableColumn id="120" xr3:uid="{00000000-0010-0000-0100-000078000000}" name="WS_O2_25" dataDxfId="172" dataCellStyle="Percent 2"/>
    <tableColumn id="121" xr3:uid="{00000000-0010-0000-0100-000079000000}" name="WS_O2_26" dataDxfId="171" dataCellStyle="Percent 2"/>
    <tableColumn id="106" xr3:uid="{00000000-0010-0000-0100-00006A000000}" name="WTG Total Gneration (KWh)" dataDxfId="170">
      <calculatedColumnFormula>SUM(Input_Raw[[#This Row],[O2_01]:[O2_26]])</calculatedColumnFormula>
    </tableColumn>
    <tableColumn id="107" xr3:uid="{00000000-0010-0000-0100-00006B000000}" name="Wind Speed Average cumulative (m/S)2" dataDxfId="169">
      <calculatedColumnFormula>IFERROR(AVERAGE(Input_Raw[[#This Row],[WS_O2_01]:[WS_O2_26]]),"")</calculatedColumnFormula>
    </tableColumn>
    <tableColumn id="108" xr3:uid="{00000000-0010-0000-0100-00006C000000}" name="Wind Speed Max (m/S)" dataDxfId="168"/>
    <tableColumn id="109" xr3:uid="{00000000-0010-0000-0100-00006D000000}" name="Rain (mm)" dataDxfId="167"/>
    <tableColumn id="55" xr3:uid="{A6A75E11-2BDA-4644-B995-2D59ACDA9E94}" name="66 kV_Wind_F1_Export_reading" dataDxfId="166" dataCellStyle="Percent 2"/>
    <tableColumn id="54" xr3:uid="{9ED1A810-6C94-4727-BE14-2E322D5A7920}" name="66 kV_Wind_F1_Import_reading" dataDxfId="165" dataCellStyle="Percent 2"/>
    <tableColumn id="157" xr3:uid="{00000000-0010-0000-0100-00009D000000}" name="66 kV_Wind_Net_Export (KWh)" dataDxfId="164" dataCellStyle="Comma">
      <calculatedColumnFormula>Input_Raw[[#This Row],[66 kV_Wind_F1_Export_reading]]-Input_Raw[[#This Row],[66 kV_Wind_F1_Import_reading]]</calculatedColumnFormula>
    </tableColumn>
    <tableColumn id="105" xr3:uid="{00000000-0010-0000-0100-000069000000}" name="66 kV Line Loss (%)" dataDxfId="163">
      <calculatedColumnFormula>Input_Raw[[#This Row],[WTG Total Gneration (KWh)]]-Input_Raw[[#This Row],[66 kV_Wind_F1_Export_reading]]</calculatedColumnFormula>
    </tableColumn>
    <tableColumn id="52" xr3:uid="{A44405FF-F245-46C9-894C-A2AECCC6C7B8}" name="66 kV Line Loss (%)." dataDxfId="162" dataCellStyle="Percent">
      <calculatedColumnFormula>(Input_Raw[[#This Row],[WTG Total Gneration (KWh)]]-Input_Raw[[#This Row],[66 kV_Wind_F1_Export_reading]])/Input_Raw[[#This Row],[WTG Total Gneration (KWh)]]</calculatedColumnFormula>
    </tableColumn>
    <tableColumn id="53" xr3:uid="{15E27BA4-BE17-4548-932D-83A2FBC382C2}" name="Commissioned Capacity (MW)" dataDxfId="161" dataCellStyle="Comma">
      <calculatedColumnFormula>#REF!/1000</calculatedColumnFormula>
    </tableColumn>
    <tableColumn id="57" xr3:uid="{00000000-0010-0000-0100-000039000000}" name="Forecasting Penalties (INR)" dataDxfId="160" dataCellStyle="Comma"/>
    <tableColumn id="58" xr3:uid="{EB2529EC-424A-471A-A5F0-D17D72C20948}" name="Expected Power as per power curve. (MWh)" dataDxfId="159" dataCellStyle="Comma"/>
    <tableColumn id="56" xr3:uid="{A1891D73-E063-4361-A73E-F02CE65C38DF}" name="Reactive Energy (MVArH)" dataDxfId="15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DAF7152-D30F-4073-B5F4-077C1A879F47}" name="Table6" displayName="Table6" ref="A1:AD1606" totalsRowShown="0" headerRowDxfId="157">
  <autoFilter ref="A1:AD1606" xr:uid="{CDAF7152-D30F-4073-B5F4-077C1A879F47}"/>
  <tableColumns count="30">
    <tableColumn id="1" xr3:uid="{59A4B587-CA65-408A-92FF-86B0FDB0228E}" name="Sr. No." dataDxfId="156"/>
    <tableColumn id="2" xr3:uid="{9317FE46-20A9-4632-A8A1-FEF736E59178}" name="Financial Year" dataDxfId="155">
      <calculatedColumnFormula>YEAR(Table6[[#This Row],[Date]])+IF(MONTH(Table6[[#This Row],[Date]])&gt;=4,1,0)</calculatedColumnFormula>
    </tableColumn>
    <tableColumn id="3" xr3:uid="{4DFE9A25-2C03-4567-B60E-D47773D459A4}" name="Calendar Year" dataDxfId="154">
      <calculatedColumnFormula>YEAR(Table6[[#This Row],[Date]])</calculatedColumnFormula>
    </tableColumn>
    <tableColumn id="4" xr3:uid="{25C6A8BE-8308-489D-B06C-026B5D66DD24}" name="Operating Year" dataDxfId="153"/>
    <tableColumn id="5" xr3:uid="{B4B2FB9F-D8F2-409E-811C-4B050D2C2DFE}" name="Month" dataDxfId="152">
      <calculatedColumnFormula>Table6[[#This Row],[Date]]-DAY(Table6[[#This Row],[Date]])+1</calculatedColumnFormula>
    </tableColumn>
    <tableColumn id="6" xr3:uid="{EF254E6E-4E76-4903-8920-3BDA818C132D}" name="Date" dataDxfId="151"/>
    <tableColumn id="7" xr3:uid="{13985CB1-7725-4015-A485-0E84ABA5DD31}" name="Affected WTG" dataDxfId="150"/>
    <tableColumn id="8" xr3:uid="{A25D901E-D793-481C-97F4-7A27113895AE}" name="SPV" dataDxfId="149">
      <calculatedColumnFormula>IFERROR(_xlfn.XLOOKUP(Table6[[#This Row],[Affected WTG]],'Basic Data'!$A:$A,'Basic Data'!$B:$B),"")</calculatedColumnFormula>
    </tableColumn>
    <tableColumn id="9" xr3:uid="{BF7E0764-6802-4209-A9BE-A913FBF50487}" name="Consumer" dataDxfId="148">
      <calculatedColumnFormula>IFERROR(_xlfn.XLOOKUP(Table6[[#This Row],[Affected WTG]],'Basic Data'!$A:$A,'Basic Data'!$C:$C),"")</calculatedColumnFormula>
    </tableColumn>
    <tableColumn id="10" xr3:uid="{245B5B18-21EB-45B3-822B-2459C27643CE}" name="Plant Equivalent Weightage" dataDxfId="147">
      <calculatedColumnFormula>IFERROR(_xlfn.XLOOKUP(Table6[[#This Row],[Affected WTG]],'Basic Data'!$A:$A,'Basic Data'!$E:$E),"")</calculatedColumnFormula>
    </tableColumn>
    <tableColumn id="11" xr3:uid="{7EA9002D-B4D9-4E8A-AC8E-C420663303B0}" name="Error Code" dataDxfId="146"/>
    <tableColumn id="12" xr3:uid="{47F135E7-FF3B-4DF5-AD33-46302D81E77F}" name="Error Text" dataDxfId="145">
      <calculatedColumnFormula>IFERROR(_xlfn.XLOOKUP(Table6[[#This Row],[Error Code]],'Basic Data'!$AA:$AA,'Basic Data'!$AB:$AB),"Incorrect Error Code")</calculatedColumnFormula>
    </tableColumn>
    <tableColumn id="13" xr3:uid="{85CC91F3-1AD7-4A0E-8C38-9F591156D104}" name="Breakdown Description" dataDxfId="144"/>
    <tableColumn id="14" xr3:uid="{D95626F7-F5BA-4EFE-90CE-D2B52AE9521D}" name="Stoppage Type" dataDxfId="143"/>
    <tableColumn id="15" xr3:uid="{22BB039D-7209-4841-9B37-751BFC35B630}" name="Fault Start TimeStamp" dataDxfId="142"/>
    <tableColumn id="16" xr3:uid="{7198957F-C097-46EC-ADCB-F8C870F30146}" name="Work Start TimeStamp" dataDxfId="141"/>
    <tableColumn id="17" xr3:uid="{A096C516-83D3-477C-A64E-B7B8C3E125C7}" name="Fault Clearance time" dataDxfId="140"/>
    <tableColumn id="18" xr3:uid="{580D313D-095A-4F4E-AE15-8399CB48A6F2}" name="Response Time" dataDxfId="139">
      <calculatedColumnFormula>IF(Table6[[#This Row],[Work Start TimeStamp]]="","",(Table6[[#This Row],[Work Start TimeStamp]]-Table6[[#This Row],[Fault Start TimeStamp]])*24)</calculatedColumnFormula>
    </tableColumn>
    <tableColumn id="19" xr3:uid="{CEB6A735-0A91-42DD-AA1F-98AD8E9BE615}" name="Resolution Time" dataDxfId="138">
      <calculatedColumnFormula>(Table6[[#This Row],[Fault Clearance time]]-Table6[[#This Row],[Work Start TimeStamp]])*24</calculatedColumnFormula>
    </tableColumn>
    <tableColumn id="20" xr3:uid="{72567A33-C5A5-4FDB-934B-D23DAF951CC8}" name="Breakdown Time" dataDxfId="137">
      <calculatedColumnFormula>(Table6[[#This Row],[Fault Clearance time]]-Table6[[#This Row],[Fault Start TimeStamp]])*24</calculatedColumnFormula>
    </tableColumn>
    <tableColumn id="21" xr3:uid="{E802F8B6-7FEE-495F-8799-6A9D8FCB9E16}" name="Action taken" dataDxfId="136"/>
    <tableColumn id="22" xr3:uid="{914C56BC-8559-4DCD-BE27-78B756090213}" name="Status" dataDxfId="135"/>
    <tableColumn id="23" xr3:uid="{458EB129-5578-4488-8969-52143E9BC6FD}" name="Plant Equivalent breakdown" dataDxfId="134">
      <calculatedColumnFormula>IFERROR(Table6[[#This Row],[Breakdown Time]]*Table6[[#This Row],[Plant Equivalent Weightage]],"")</calculatedColumnFormula>
    </tableColumn>
    <tableColumn id="24" xr3:uid="{F6D5A84F-0BE5-4864-9719-94D1DF4A5D62}" name="Fault Category" dataDxfId="133"/>
    <tableColumn id="25" xr3:uid="{714DD876-1B9F-4785-831D-E57A06D3DF04}" name="Paired WTG for Enegy based MA" dataDxfId="132"/>
    <tableColumn id="26" xr3:uid="{0A87C204-08C5-43B0-893F-1D224BA209E6}" name="Paired WTG Generation for loss calculation" dataDxfId="131"/>
    <tableColumn id="27" xr3:uid="{E77115D5-A011-4559-B4C0-A22B69969C79}" name="Estimated Energy Loss (kWh)" dataDxfId="130">
      <calculatedColumnFormula>(Table6[[#This Row],[Paired WTG Generation for loss calculation]]/24)*Table6[[#This Row],[Breakdown Time]]</calculatedColumnFormula>
    </tableColumn>
    <tableColumn id="28" xr3:uid="{A654E51C-9537-408A-B17D-BA7C4589E75E}" name="Special Remarks" dataDxfId="129"/>
    <tableColumn id="29" xr3:uid="{82D4EE00-F0E1-4502-96D3-67F45F17BC83}" name="PTW No." dataDxfId="128"/>
    <tableColumn id="30" xr3:uid="{2876B1B1-3AB1-49F7-A04D-4FC5BC282127}" name="Job Card No." dataDxfId="127"/>
  </tableColumns>
  <tableStyleInfo name="TableStyleMedium1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0B19A6E-4FEA-4966-BE48-B1C8FD5EDFAD}" name="Table10" displayName="Table10" ref="A1:AA157" totalsRowShown="0" headerRowDxfId="126" dataDxfId="124" headerRowBorderDxfId="125">
  <autoFilter ref="A1:AA157" xr:uid="{90B19A6E-4FEA-4966-BE48-B1C8FD5EDFAD}"/>
  <tableColumns count="27">
    <tableColumn id="1" xr3:uid="{ABDD85C5-AE5D-4F7E-A82B-ABD9F6112851}" name="Sr. No." dataDxfId="123"/>
    <tableColumn id="2" xr3:uid="{59A19B14-1E2F-4097-BEE1-8EC68F9936B6}" name="Financial Year" dataDxfId="122">
      <calculatedColumnFormula>YEAR(Table10[[#This Row],[Date]])+IF(MONTH(Table10[[#This Row],[Date]])&gt;=4,1,0)</calculatedColumnFormula>
    </tableColumn>
    <tableColumn id="3" xr3:uid="{49C214C5-F423-423B-B4C9-9AC2B0A417F6}" name="Calendar Year" dataDxfId="121">
      <calculatedColumnFormula>YEAR(Table10[[#This Row],[Date]])</calculatedColumnFormula>
    </tableColumn>
    <tableColumn id="4" xr3:uid="{6AFBFF87-01D6-43F9-8F4C-1C4997EF44ED}" name="Operating Year" dataDxfId="120"/>
    <tableColumn id="5" xr3:uid="{98EE08A6-A204-4913-86EB-F8B4A72E92F9}" name="Month" dataDxfId="119">
      <calculatedColumnFormula>Table10[[#This Row],[Date]]-DAY(Table10[[#This Row],[Date]])+1</calculatedColumnFormula>
    </tableColumn>
    <tableColumn id="6" xr3:uid="{C68BCCF8-615F-47C5-BB55-921F8BC07112}" name="Date" dataDxfId="118"/>
    <tableColumn id="7" xr3:uid="{5E6CA8CB-FBC4-4F92-AA2F-C700ED4D6B05}" name="Affected Feeder " dataDxfId="117"/>
    <tableColumn id="8" xr3:uid="{800AC32F-94ED-45E5-A251-7B94DB4F184D}" name="SPV" dataDxfId="116">
      <calculatedColumnFormula>IFERROR(_xlfn.XLOOKUP(Table10[[#This Row],[Affected Feeder ]],'Basic Data'!$A$43:$A$70,'Basic Data'!$B$43:$B$70),"")</calculatedColumnFormula>
    </tableColumn>
    <tableColumn id="9" xr3:uid="{71E6597E-5F33-43F3-B7D9-289396EAC5A7}" name="Consumer" dataDxfId="115">
      <calculatedColumnFormula>IFERROR(_xlfn.XLOOKUP(Table10[[#This Row],[Affected Feeder ]],'Basic Data'!$A$43:$A$70,'Basic Data'!$C$43:$C$70),"")</calculatedColumnFormula>
    </tableColumn>
    <tableColumn id="10" xr3:uid="{FF39B1F2-AECF-4349-82C5-B6A7EAB3740D}" name="Plant Equivalent Weightage" dataDxfId="114">
      <calculatedColumnFormula>IFERROR(_xlfn.XLOOKUP(Table10[[#This Row],[Affected Feeder ]],'Basic Data'!$A$43:$A$70,'Basic Data'!$E$43:$E$70),"")</calculatedColumnFormula>
    </tableColumn>
    <tableColumn id="11" xr3:uid="{300E1201-2B5B-4BAD-B30C-BBA1A3D7AB4F}" name="Breakdown Description" dataDxfId="113"/>
    <tableColumn id="12" xr3:uid="{8CAA594A-0319-4851-96BF-8D8759A94B9C}" name="Fault Start TimeStamp" dataDxfId="112"/>
    <tableColumn id="13" xr3:uid="{D54BD547-A257-469D-AB89-231C102E10B2}" name="Work Start TimeStamp" dataDxfId="111"/>
    <tableColumn id="14" xr3:uid="{830A0985-7870-48B9-8CDD-48044799C39E}" name="Fault Clearance time" dataDxfId="110"/>
    <tableColumn id="15" xr3:uid="{A0480672-FDDD-42F0-A5F7-83D3D70F2D69}" name="Response Time" dataDxfId="109">
      <calculatedColumnFormula>(Table10[[#This Row],[Work Start TimeStamp]]-Table10[[#This Row],[Fault Start TimeStamp]])*24</calculatedColumnFormula>
    </tableColumn>
    <tableColumn id="16" xr3:uid="{0CD73E3D-7DAE-462B-B883-BD76761DDF92}" name="Resolution Time" dataDxfId="108">
      <calculatedColumnFormula>IF(Table10[[#This Row],[Work Start TimeStamp]]="","",(Table10[[#This Row],[Fault Clearance time]]-Table10[[#This Row],[Work Start TimeStamp]])*24)</calculatedColumnFormula>
    </tableColumn>
    <tableColumn id="17" xr3:uid="{9E4645AB-968B-4173-8912-7A519BCC8D0C}" name="Breakdown Time" dataDxfId="107">
      <calculatedColumnFormula>(Table10[[#This Row],[Fault Clearance time]]-Table10[[#This Row],[Fault Start TimeStamp]])*24</calculatedColumnFormula>
    </tableColumn>
    <tableColumn id="18" xr3:uid="{BABE9442-DD46-45CB-B188-8F364D382079}" name="Action taken" dataDxfId="106"/>
    <tableColumn id="19" xr3:uid="{B51BACA6-B25D-4876-8001-EA5CE1D59C08}" name="Status" dataDxfId="105"/>
    <tableColumn id="20" xr3:uid="{F43EC0A3-EE84-4823-8DFA-E31FDEA6B5CC}" name="Plant Equivalent breakdown" dataDxfId="104">
      <calculatedColumnFormula>IFERROR(Table10[[#This Row],[Breakdown Time]]*Table10[[#This Row],[Plant Equivalent Weightage]],"")</calculatedColumnFormula>
    </tableColumn>
    <tableColumn id="21" xr3:uid="{E0BBAECE-6A93-47DE-8DBD-D43A8E8926BF}" name="Fault Category" dataDxfId="103"/>
    <tableColumn id="27" xr3:uid="{4491C9A4-775D-4CB5-9437-4E88A71A7013}" name="Avg Wind Speed (m/s)" dataDxfId="102">
      <calculatedColumnFormula>IFERROR(_xlfn.XLOOKUP(Table10[[#This Row],[Date]],'Daily KPI'!$A:$A,'Daily KPI'!$M:$M),"")</calculatedColumnFormula>
    </tableColumn>
    <tableColumn id="26" xr3:uid="{3C8E3925-7BBD-454E-A943-64C1F53B8B83}" name="WTG Loss" dataDxfId="101"/>
    <tableColumn id="22" xr3:uid="{201AD2AF-3FFE-44B0-A818-C49DA8122BA9}" name="Estimated Energy Loss (kWh)" dataDxfId="100">
      <calculatedColumnFormula>Table10[[#This Row],[WTG Loss]]*13*Table10[[#This Row],[Breakdown Time]]</calculatedColumnFormula>
    </tableColumn>
    <tableColumn id="23" xr3:uid="{2683EA11-87A0-402E-A50B-902FBB3D1A4D}" name="Scope" dataDxfId="99"/>
    <tableColumn id="24" xr3:uid="{619305FB-E83A-4616-A4CE-8787A2AAF01F}" name="PTW No." dataDxfId="98"/>
    <tableColumn id="25" xr3:uid="{762D92F3-93A7-401D-A76B-F3E9E69EA6A4}" name="Job Card No." dataDxfId="97"/>
  </tableColumns>
  <tableStyleInfo name="TableStyleMedium1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2A21A78-3C3B-4AB6-8D62-D85B42693A51}" name="Table11" displayName="Table11" ref="A1:AC3" totalsRowShown="0" headerRowDxfId="96">
  <autoFilter ref="A1:AC3" xr:uid="{82A21A78-3C3B-4AB6-8D62-D85B42693A51}"/>
  <tableColumns count="29">
    <tableColumn id="1" xr3:uid="{DC70BBA5-85C4-4B98-B743-3774286DAB23}" name="Sr. No." dataDxfId="95"/>
    <tableColumn id="2" xr3:uid="{0EB49E92-A0E1-4B27-B662-8F3AE7607852}" name="Financial Year" dataDxfId="94">
      <calculatedColumnFormula>YEAR(Table11[[#This Row],[Date]])+IF(MONTH(Table11[[#This Row],[Date]])&gt;=4,1,0)</calculatedColumnFormula>
    </tableColumn>
    <tableColumn id="3" xr3:uid="{365A6775-C44F-4942-BB42-69D3FC36AF38}" name="Calendar Year" dataDxfId="93">
      <calculatedColumnFormula>YEAR(Table11[[#This Row],[Date]])</calculatedColumnFormula>
    </tableColumn>
    <tableColumn id="4" xr3:uid="{09FFB000-AFAA-41B6-9506-F14F9DB8C375}" name="Operating Year" dataDxfId="92"/>
    <tableColumn id="5" xr3:uid="{C69F96DA-6685-4CBA-9BEB-1BD608B8970C}" name="Month" dataDxfId="91">
      <calculatedColumnFormula>Table11[[#This Row],[Date]]-DAY(Table11[[#This Row],[Date]])+1</calculatedColumnFormula>
    </tableColumn>
    <tableColumn id="6" xr3:uid="{D6A029A7-760F-484E-BCD5-D0716C4DCDA6}" name="Date" dataDxfId="90"/>
    <tableColumn id="7" xr3:uid="{7BE72951-95C0-483D-8D06-96AAF43AEAD5}" name="Affected Feeder "/>
    <tableColumn id="8" xr3:uid="{10951C08-7D12-4139-9242-26048626934D}" name="SPV" dataDxfId="89">
      <calculatedColumnFormula>IFERROR(_xlfn.XLOOKUP(Table11[[#This Row],[Affected Feeder ]],'Basic Data'!$A$82:$A$83,'Basic Data'!$B$82:$B$83),"")</calculatedColumnFormula>
    </tableColumn>
    <tableColumn id="9" xr3:uid="{0FF06368-5290-4FD6-9E74-5A50FEEC8FAA}" name="Concumaer" dataDxfId="88">
      <calculatedColumnFormula>IFERROR(_xlfn.XLOOKUP(Table11[[#This Row],[Affected Feeder ]],'Basic Data'!$A$82:$A$83,'Basic Data'!$C$82:$C$83),"")</calculatedColumnFormula>
    </tableColumn>
    <tableColumn id="10" xr3:uid="{68093E37-0629-4D48-9292-D3509D73EB20}" name="Plant Equivalent Weightage" dataDxfId="87">
      <calculatedColumnFormula>IFERROR(_xlfn.XLOOKUP(Table11[[#This Row],[Affected Feeder ]],'Basic Data'!$A$82:$A$83,'Basic Data'!$E$82:$E$83),"")</calculatedColumnFormula>
    </tableColumn>
    <tableColumn id="11" xr3:uid="{4EF1BA26-3970-47E5-B2E4-90F061DBFDF3}" name="Breakdown Description"/>
    <tableColumn id="12" xr3:uid="{A665B896-DEC6-46D8-AC4C-7A096B7D3A9D}" name="Breakdown Type"/>
    <tableColumn id="13" xr3:uid="{3D0AFE80-33D1-4B81-878A-DCFBDA82515F}" name="Fault Start TimeStamp" dataDxfId="86"/>
    <tableColumn id="14" xr3:uid="{111F57AF-48BE-4B72-9102-CC1F38666545}" name="Work Start TimeStamp" dataDxfId="85"/>
    <tableColumn id="15" xr3:uid="{07CFFC5F-8917-4521-9F7A-9B9A7FED21E2}" name="Fault Clearance time" dataDxfId="84"/>
    <tableColumn id="16" xr3:uid="{52311DDF-3763-419B-90CD-6C31244C94C6}" name="Response Time" dataDxfId="83">
      <calculatedColumnFormula>(Table11[[#This Row],[Work Start TimeStamp]]-Table11[[#This Row],[Fault Start TimeStamp]])*24</calculatedColumnFormula>
    </tableColumn>
    <tableColumn id="17" xr3:uid="{113582A9-78F5-4F5C-BF39-3375770974B5}" name="Resolution Time" dataDxfId="82">
      <calculatedColumnFormula>IF(Table11[[#This Row],[Work Start TimeStamp]]="","",(Table11[[#This Row],[Fault Clearance time]]-Table11[[#This Row],[Work Start TimeStamp]])*24)</calculatedColumnFormula>
    </tableColumn>
    <tableColumn id="18" xr3:uid="{17E64C6E-10A8-4550-AFA9-CE1069F6C71E}" name="Breakdown Time" dataDxfId="81">
      <calculatedColumnFormula>(Table11[[#This Row],[Fault Clearance time]]-Table11[[#This Row],[Fault Start TimeStamp]])*24</calculatedColumnFormula>
    </tableColumn>
    <tableColumn id="19" xr3:uid="{69FCC2D4-2572-403C-8DE2-96EFEBBF8585}" name="Action taken" dataDxfId="80"/>
    <tableColumn id="20" xr3:uid="{8097CC26-F316-4214-9C7D-AFB45BD4F270}" name="Status" dataDxfId="79"/>
    <tableColumn id="21" xr3:uid="{DD7EC5C5-D1E1-4DD6-8188-B19D2B7947A8}" name="Plant Equivalent breakdown" dataDxfId="78">
      <calculatedColumnFormula>IFERROR(Table11[[#This Row],[Breakdown Time]]*Table11[[#This Row],[Plant Equivalent Weightage]],"")</calculatedColumnFormula>
    </tableColumn>
    <tableColumn id="22" xr3:uid="{A3E15FEE-AB7F-441D-B3C0-A4EC5D22A066}" name="Fault Category" dataDxfId="77"/>
    <tableColumn id="23" xr3:uid="{E0823B4F-BDFA-465B-A645-035CC97E2AF2}" name="Paired WTG for Enegy based MA" dataDxfId="76"/>
    <tableColumn id="29" xr3:uid="{F624405E-B795-47AB-AC7D-E1E775D55EBD}" name="Loss of KWH" dataDxfId="75"/>
    <tableColumn id="24" xr3:uid="{AB70B879-EDE1-4720-B7F3-68CEAF7F8D77}" name="Estimated Energy Loss (kWh)" dataDxfId="74">
      <calculatedColumnFormula>Table11[[#This Row],[Loss of KWH]]*5*Table11[[#This Row],[Breakdown Time]]</calculatedColumnFormula>
    </tableColumn>
    <tableColumn id="25" xr3:uid="{719DC9DD-7E11-418F-9487-88F9E5C777E0}" name="Curtailment Order imit."/>
    <tableColumn id="26" xr3:uid="{5DF1D56F-D1FA-4C43-8C79-460020C144D0}" name="EGA_Including_CurtailmentOrder" dataDxfId="73"/>
    <tableColumn id="27" xr3:uid="{548A3520-0F69-407A-A15D-0E523AFD69D6}" name="PTW No."/>
    <tableColumn id="28" xr3:uid="{F65F19B1-88C4-40CF-85CD-0B6F57A15E99}" name="Job Card No."/>
  </tableColumns>
  <tableStyleInfo name="TableStyleMedium1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5F2A792-2C4A-41F3-AFDD-B30DA9888BA6}" name="Table14" displayName="Table14" ref="A1:AN25" totalsRowShown="0" headerRowDxfId="72" dataDxfId="70" headerRowBorderDxfId="71" tableBorderDxfId="69" totalsRowBorderDxfId="68">
  <tableColumns count="40">
    <tableColumn id="1" xr3:uid="{F3EAD0E3-ABF7-4CDB-A960-698D22A7C417}" name="Sr. No." dataDxfId="67"/>
    <tableColumn id="2" xr3:uid="{B0418144-A78E-4D40-82DA-F0797A0658EE}" name="Month Name" dataDxfId="66"/>
    <tableColumn id="3" xr3:uid="{AD83A0A0-0B3B-44B7-87DC-777728711627}" name="Month Number" dataDxfId="65"/>
    <tableColumn id="4" xr3:uid="{B8409966-3B87-4F3E-8AB4-BBBF13B97CF4}" name="Month" dataDxfId="64"/>
    <tableColumn id="5" xr3:uid="{020A7E51-D788-4A7F-B286-953BF006A013}" name="CY" dataDxfId="63">
      <calculatedColumnFormula>YEAR(D2)</calculatedColumnFormula>
    </tableColumn>
    <tableColumn id="6" xr3:uid="{D8F8960C-185A-4A0C-8CC5-D991E57F98D4}" name="FY" dataDxfId="62"/>
    <tableColumn id="7" xr3:uid="{417B0174-CD1A-40CD-BC93-E0D7DD62FB38}" name="No. of Days in Month" dataDxfId="61">
      <calculatedColumnFormula>DAY(EOMONTH(D2,0))</calculatedColumnFormula>
    </tableColumn>
    <tableColumn id="8" xr3:uid="{3E645F0B-A4D1-41DD-A694-97379182AD95}" name="GHI" dataDxfId="60"/>
    <tableColumn id="9" xr3:uid="{5DB390D2-8A76-40A0-9307-5C1D6F211C19}" name="POA" dataDxfId="59"/>
    <tableColumn id="10" xr3:uid="{D78EE0DB-78A5-412A-B6BF-7BBC695BF3FD}" name="WS" dataDxfId="58"/>
    <tableColumn id="11" xr3:uid="{AED4DA74-841F-472F-AB20-9EFF4203A7FB}" name="Tamb" dataDxfId="57"/>
    <tableColumn id="12" xr3:uid="{F5BBF801-F550-4711-A0E3-A7D7BECD7EE1}" name="Tmod" dataDxfId="56"/>
    <tableColumn id="13" xr3:uid="{7CFAD92B-8CC6-4C09-9D02-7BDBC917F8B8}" name="Egrid (MWh)" dataDxfId="55"/>
    <tableColumn id="14" xr3:uid="{9BE849CD-3487-4CF3-A1D2-2A24370F630B}" name="Bugt_Capacity" dataDxfId="54"/>
    <tableColumn id="15" xr3:uid="{FB833210-75D4-4A91-9FA4-A12E87659459}" name="PR" dataDxfId="53"/>
    <tableColumn id="16" xr3:uid="{9F8724A7-7007-42B9-AE65-78B7958D81F8}" name="Daily POA" dataDxfId="52"/>
    <tableColumn id="17" xr3:uid="{9B00B68D-96A7-4056-B81D-6A390998F3AA}" name="Days Operated" dataDxfId="51">
      <calculatedColumnFormula>COUNTIFS('Daily KPI'!$D:$D,D2,'Daily KPI'!$M:$M,"&gt;0")</calculatedColumnFormula>
    </tableColumn>
    <tableColumn id="18" xr3:uid="{47B38392-BF91-4396-BD38-DB17B7724AC1}" name="MTD POA" dataDxfId="50"/>
    <tableColumn id="27" xr3:uid="{1EF95AD3-2089-4CAD-AC1C-6780FD0FC541}" name="YTD POA" dataDxfId="49"/>
    <tableColumn id="19" xr3:uid="{8A4F8C6F-E3C3-43C3-9C96-E2DEBEBBA816}" name="Daily Energy (MWh)" dataDxfId="48">
      <calculatedColumnFormula>IFERROR(M2/G2,"")</calculatedColumnFormula>
    </tableColumn>
    <tableColumn id="20" xr3:uid="{8D3A9F5A-0A06-4829-B655-974587229718}" name="MTD Energy (MWh)" dataDxfId="47">
      <calculatedColumnFormula>IFERROR(M2/G2*Q2,"")</calculatedColumnFormula>
    </tableColumn>
    <tableColumn id="28" xr3:uid="{0125BB0D-BA97-4D7A-91F1-AE991FF818F5}" name="YTD Energy (MWh)" dataDxfId="46">
      <calculatedColumnFormula>SUMIF($F$2:F2,F2,$U$2:U2)</calculatedColumnFormula>
    </tableColumn>
    <tableColumn id="38" xr3:uid="{DD55C7C7-3436-4C49-B5F2-AAFF7AA20C25}" name="Bugt CUF (%)" dataDxfId="45" dataCellStyle="Percent">
      <calculatedColumnFormula>IFERROR(T2/(24*N2),"")</calculatedColumnFormula>
    </tableColumn>
    <tableColumn id="37" xr3:uid="{B24E7B0E-4AE3-4B81-A6C9-3448BC554FD8}" name="Bugt CUF (%) MTD" dataDxfId="44" dataCellStyle="Percent">
      <calculatedColumnFormula>IFERROR(U2/(24*N2*Q2),"")</calculatedColumnFormula>
    </tableColumn>
    <tableColumn id="36" xr3:uid="{0AC1542C-AEB6-4BDB-897E-D6C42C46B3B9}" name="Bugt CUF (%)YTD" dataDxfId="43" dataCellStyle="Percent">
      <calculatedColumnFormula>IFERROR(V2/(24*N2*SUMIFS($Q:$Q,$F:$F,$F2,$D:$D,"&lt;="&amp;D2)),"")</calculatedColumnFormula>
    </tableColumn>
    <tableColumn id="21" xr3:uid="{7C1B4714-C254-456B-B100-9EC1C72BD599}" name="Ave. Cap MTD" dataDxfId="42">
      <calculatedColumnFormula>IFERROR(AVERAGEIF('Daily KPI'!D:D,Table14[[#This Row],[Month]],'Daily KPI'!AB:AB),"")</calculatedColumnFormula>
    </tableColumn>
    <tableColumn id="29" xr3:uid="{7F2C1AEA-E207-4994-B3DA-BDA20D42FEE5}" name="Ave. Cap YTD" dataDxfId="41">
      <calculatedColumnFormula>IFERROR(AVERAGEIF($F$2:F2,F2,$Z$2:Z2),"")</calculatedColumnFormula>
    </tableColumn>
    <tableColumn id="22" xr3:uid="{27549171-6290-4BB7-963C-DDEFB44328AE}" name="CC Energy MTD" dataDxfId="40"/>
    <tableColumn id="31" xr3:uid="{B5ECE3E1-4173-43BF-B30D-2632825553C7}" name="WS MTD" dataDxfId="39">
      <calculatedColumnFormula>Table14[[#This Row],[WS]]</calculatedColumnFormula>
    </tableColumn>
    <tableColumn id="23" xr3:uid="{CE44927B-EB28-4500-A875-830BB0EDA955}" name="WS YTD" dataDxfId="38">
      <calculatedColumnFormula>AVERAGEIF($F$2:F2,F2,$AC$2:AC2)</calculatedColumnFormula>
    </tableColumn>
    <tableColumn id="24" xr3:uid="{3CA46770-B3A9-4121-9A41-CB5FDADD7A99}" name="Bugt PA" dataDxfId="37">
      <calculatedColumnFormula>IFERROR(AH2*AI2,"")</calculatedColumnFormula>
    </tableColumn>
    <tableColumn id="25" xr3:uid="{27AE7DB1-ADAE-4170-9A8C-9A81C818637A}" name="Bugt EGA" dataDxfId="36"/>
    <tableColumn id="35" xr3:uid="{14F4482D-54A4-43FA-9E36-D5A1F5AB6C01}" name="Bugt TA" dataDxfId="35" dataCellStyle="Percent"/>
    <tableColumn id="26" xr3:uid="{26D16F7D-638E-4781-A79E-286264B083D9}" name="Bugt MA" dataDxfId="34" dataCellStyle="Percent"/>
    <tableColumn id="30" xr3:uid="{D0DFBEA8-C2B4-4D9F-ACA7-4B000241429B}" name="Bugt IGA" dataDxfId="33" dataCellStyle="Percent"/>
    <tableColumn id="32" xr3:uid="{BDEA05FD-D9DB-4545-9B4F-8D011B0EA073}" name="Corelation" dataDxfId="32" dataCellStyle="Percent"/>
    <tableColumn id="33" xr3:uid="{C39425F2-CD42-4837-9608-6796E3119220}" name="Bugt Line loss" dataDxfId="31" dataCellStyle="Percent"/>
    <tableColumn id="34" xr3:uid="{E764C683-347B-45FE-8518-FC18586A1B69}" name="Bugt Reactive Power" dataDxfId="30" dataCellStyle="Percent"/>
    <tableColumn id="39" xr3:uid="{82F4ADC2-8437-4A24-BC06-681830409DE4}" name="Bugt Capacity" dataDxfId="29" dataCellStyle="Percent"/>
    <tableColumn id="40" xr3:uid="{4B56E650-7441-46E9-9963-09648AE0B34D}" name="CC*Bugt" dataDxfId="28" dataCellStyle="Percent"/>
  </tableColumns>
  <tableStyleInfo name="TableStyleMedium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Modelling" displayName="Modelling" ref="B2:R367" totalsRowShown="0" headerRowDxfId="27" headerRowBorderDxfId="26" tableBorderDxfId="25" totalsRowBorderDxfId="24">
  <autoFilter ref="B2:R367" xr:uid="{00000000-0009-0000-0100-000005000000}"/>
  <tableColumns count="17">
    <tableColumn id="5" xr3:uid="{00000000-0010-0000-0500-000005000000}" name="Date" dataDxfId="23"/>
    <tableColumn id="1" xr3:uid="{00000000-0010-0000-0500-000001000000}" name="FY" dataDxfId="22">
      <calculatedColumnFormula>YEAR(Modelling[[#This Row],[Date]])+IF(MONTH(Modelling[[#This Row],[Date]])&gt;=4,1,0)</calculatedColumnFormula>
    </tableColumn>
    <tableColumn id="2" xr3:uid="{00000000-0010-0000-0500-000002000000}" name="Year" dataDxfId="21">
      <calculatedColumnFormula>YEAR(B3)</calculatedColumnFormula>
    </tableColumn>
    <tableColumn id="3" xr3:uid="{00000000-0010-0000-0500-000003000000}" name="Month" dataDxfId="20"/>
    <tableColumn id="4" xr3:uid="{00000000-0010-0000-0500-000004000000}" name="Days" dataDxfId="19">
      <calculatedColumnFormula>DAY(EOMONTH(Modelling[[#This Row],[Date]],0))</calculatedColumnFormula>
    </tableColumn>
    <tableColumn id="9" xr3:uid="{00000000-0010-0000-0500-000009000000}" name="E_Grid daily_x000a_MWh" dataDxfId="18">
      <calculatedColumnFormula>VLOOKUP(MONTH(Modelling[[#This Row],[Date]]),$W$3:$Z$14,4,0)/1000/Modelling[[#This Row],[Days]]</calculatedColumnFormula>
    </tableColumn>
    <tableColumn id="10" xr3:uid="{00000000-0010-0000-0500-00000A000000}" name="E_Grid MTD_x000a_MWh" dataDxfId="17">
      <calculatedColumnFormula>SUM($G$3:G3)</calculatedColumnFormula>
    </tableColumn>
    <tableColumn id="11" xr3:uid="{00000000-0010-0000-0500-00000B000000}" name="E_Grid YTD_x000a_MWh" dataDxfId="16">
      <calculatedColumnFormula>SUM($G$3:G3)</calculatedColumnFormula>
    </tableColumn>
    <tableColumn id="12" xr3:uid="{00000000-0010-0000-0500-00000C000000}" name="WS Daily" dataDxfId="15">
      <calculatedColumnFormula>VLOOKUP(MONTH(Modelling[[#This Row],[Date]]),$W$3:$Y$14,3,0)</calculatedColumnFormula>
    </tableColumn>
    <tableColumn id="13" xr3:uid="{00000000-0010-0000-0500-00000D000000}" name="WS MTD" dataDxfId="14">
      <calculatedColumnFormula>VLOOKUP(MONTH(Modelling[[#This Row],[Date]]),$W$3:$Y$14,3,0)</calculatedColumnFormula>
    </tableColumn>
    <tableColumn id="14" xr3:uid="{00000000-0010-0000-0500-00000E000000}" name="WS YTD" dataDxfId="13">
      <calculatedColumnFormula>AVERAGE(J$3:J3)</calculatedColumnFormula>
    </tableColumn>
    <tableColumn id="15" xr3:uid="{00000000-0010-0000-0500-00000F000000}" name="CUF Daily" dataDxfId="12">
      <calculatedColumnFormula>G3/P3/24</calculatedColumnFormula>
    </tableColumn>
    <tableColumn id="16" xr3:uid="{00000000-0010-0000-0500-000010000000}" name="CUF MTD" dataDxfId="11">
      <calculatedColumnFormula>H3/(24*S3)/Q3</calculatedColumnFormula>
    </tableColumn>
    <tableColumn id="17" xr3:uid="{00000000-0010-0000-0500-000011000000}" name="CUF YTD" dataDxfId="10" dataCellStyle="Percent">
      <calculatedColumnFormula>I3/(24*T3)/R3</calculatedColumnFormula>
    </tableColumn>
    <tableColumn id="8" xr3:uid="{5FDBD18B-4977-43D6-A68F-BC660B0985B2}" name="Day Capacity" dataDxfId="9" dataCellStyle="Comma">
      <calculatedColumnFormula>_xlfn.XLOOKUP(MONTH(B3),W:W,AA:AA)</calculatedColumnFormula>
    </tableColumn>
    <tableColumn id="6" xr3:uid="{7D5C94FB-6082-4947-8B71-814D66EE14FF}" name="MTD Capacity" dataDxfId="8"/>
    <tableColumn id="7" xr3:uid="{8518E365-5C36-471F-94CA-B1844743DC26}" name="YTD Capacity" dataDxfId="7">
      <calculatedColumnFormula>AVERAGE($P$3:P3)</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pivotTable" Target="../pivotTables/pivotTable1.xml"/><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8" Type="http://schemas.openxmlformats.org/officeDocument/2006/relationships/hyperlink" Target="mailto:O@R1" TargetMode="External"/><Relationship Id="rId13" Type="http://schemas.openxmlformats.org/officeDocument/2006/relationships/hyperlink" Target="mailto:O@R1" TargetMode="External"/><Relationship Id="rId18" Type="http://schemas.openxmlformats.org/officeDocument/2006/relationships/hyperlink" Target="mailto:O@R1" TargetMode="External"/><Relationship Id="rId26" Type="http://schemas.openxmlformats.org/officeDocument/2006/relationships/hyperlink" Target="mailto:O@R1" TargetMode="External"/><Relationship Id="rId3" Type="http://schemas.openxmlformats.org/officeDocument/2006/relationships/hyperlink" Target="mailto:O@R1" TargetMode="External"/><Relationship Id="rId21" Type="http://schemas.openxmlformats.org/officeDocument/2006/relationships/hyperlink" Target="mailto:O@R1" TargetMode="External"/><Relationship Id="rId7" Type="http://schemas.openxmlformats.org/officeDocument/2006/relationships/hyperlink" Target="mailto:O@R1" TargetMode="External"/><Relationship Id="rId12" Type="http://schemas.openxmlformats.org/officeDocument/2006/relationships/hyperlink" Target="mailto:O@R1" TargetMode="External"/><Relationship Id="rId17" Type="http://schemas.openxmlformats.org/officeDocument/2006/relationships/hyperlink" Target="mailto:O@R1" TargetMode="External"/><Relationship Id="rId25" Type="http://schemas.openxmlformats.org/officeDocument/2006/relationships/hyperlink" Target="mailto:O@R1" TargetMode="External"/><Relationship Id="rId2" Type="http://schemas.openxmlformats.org/officeDocument/2006/relationships/hyperlink" Target="mailto:O@R1" TargetMode="External"/><Relationship Id="rId16" Type="http://schemas.openxmlformats.org/officeDocument/2006/relationships/hyperlink" Target="mailto:O@R1" TargetMode="External"/><Relationship Id="rId20" Type="http://schemas.openxmlformats.org/officeDocument/2006/relationships/hyperlink" Target="mailto:O@R1" TargetMode="External"/><Relationship Id="rId29" Type="http://schemas.openxmlformats.org/officeDocument/2006/relationships/hyperlink" Target="mailto:O@R1" TargetMode="External"/><Relationship Id="rId1" Type="http://schemas.openxmlformats.org/officeDocument/2006/relationships/hyperlink" Target="mailto:O@R1" TargetMode="External"/><Relationship Id="rId6" Type="http://schemas.openxmlformats.org/officeDocument/2006/relationships/hyperlink" Target="mailto:O@R1" TargetMode="External"/><Relationship Id="rId11" Type="http://schemas.openxmlformats.org/officeDocument/2006/relationships/hyperlink" Target="mailto:O@R1" TargetMode="External"/><Relationship Id="rId24" Type="http://schemas.openxmlformats.org/officeDocument/2006/relationships/hyperlink" Target="mailto:O@R1" TargetMode="External"/><Relationship Id="rId5" Type="http://schemas.openxmlformats.org/officeDocument/2006/relationships/hyperlink" Target="mailto:O@R1" TargetMode="External"/><Relationship Id="rId15" Type="http://schemas.openxmlformats.org/officeDocument/2006/relationships/hyperlink" Target="mailto:O@R1" TargetMode="External"/><Relationship Id="rId23" Type="http://schemas.openxmlformats.org/officeDocument/2006/relationships/hyperlink" Target="mailto:O@R1" TargetMode="External"/><Relationship Id="rId28" Type="http://schemas.openxmlformats.org/officeDocument/2006/relationships/hyperlink" Target="mailto:O@R1" TargetMode="External"/><Relationship Id="rId10" Type="http://schemas.openxmlformats.org/officeDocument/2006/relationships/hyperlink" Target="mailto:O@R1" TargetMode="External"/><Relationship Id="rId19" Type="http://schemas.openxmlformats.org/officeDocument/2006/relationships/hyperlink" Target="mailto:O@R1" TargetMode="External"/><Relationship Id="rId4" Type="http://schemas.openxmlformats.org/officeDocument/2006/relationships/hyperlink" Target="mailto:O@R1" TargetMode="External"/><Relationship Id="rId9" Type="http://schemas.openxmlformats.org/officeDocument/2006/relationships/hyperlink" Target="mailto:O@R1" TargetMode="External"/><Relationship Id="rId14" Type="http://schemas.openxmlformats.org/officeDocument/2006/relationships/hyperlink" Target="mailto:O@R1" TargetMode="External"/><Relationship Id="rId22" Type="http://schemas.openxmlformats.org/officeDocument/2006/relationships/hyperlink" Target="mailto:O@R1" TargetMode="External"/><Relationship Id="rId27" Type="http://schemas.openxmlformats.org/officeDocument/2006/relationships/hyperlink" Target="mailto:O@R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0"/>
  <sheetViews>
    <sheetView showGridLines="0" zoomScale="70" zoomScaleNormal="70" workbookViewId="0">
      <selection activeCell="K11" sqref="K11"/>
    </sheetView>
  </sheetViews>
  <sheetFormatPr defaultColWidth="9" defaultRowHeight="14.5"/>
  <cols>
    <col min="1" max="1" width="30.90625" style="37" bestFit="1" customWidth="1"/>
    <col min="2" max="2" width="22.453125" style="38" customWidth="1"/>
    <col min="3" max="3" width="13.453125" style="38" customWidth="1"/>
    <col min="4" max="4" width="12" style="39" customWidth="1"/>
    <col min="5" max="5" width="22.08984375" style="37" customWidth="1"/>
    <col min="6" max="6" width="31.453125" style="38" customWidth="1"/>
    <col min="7" max="7" width="11.453125" style="38" customWidth="1"/>
    <col min="8" max="8" width="14.453125" style="38" customWidth="1"/>
    <col min="9" max="9" width="11" style="38" customWidth="1"/>
    <col min="10" max="10" width="11.453125" style="38" customWidth="1"/>
    <col min="11" max="11" width="10.453125" style="38" customWidth="1"/>
    <col min="12" max="16384" width="9" style="38"/>
  </cols>
  <sheetData>
    <row r="1" spans="1:18" ht="8.25" customHeight="1" thickBot="1"/>
    <row r="2" spans="1:18" ht="25.5" customHeight="1">
      <c r="A2" s="143" t="s">
        <v>0</v>
      </c>
      <c r="B2" s="144"/>
      <c r="C2" s="144"/>
      <c r="D2" s="144"/>
      <c r="E2" s="144"/>
      <c r="F2" s="145"/>
    </row>
    <row r="3" spans="1:18">
      <c r="A3" s="40" t="s">
        <v>1</v>
      </c>
      <c r="B3" s="232">
        <v>45839</v>
      </c>
      <c r="C3" s="42"/>
      <c r="D3" s="42"/>
      <c r="E3" s="42"/>
      <c r="F3" s="43"/>
    </row>
    <row r="4" spans="1:18">
      <c r="A4" s="40" t="s">
        <v>2</v>
      </c>
      <c r="B4" s="233">
        <v>45861</v>
      </c>
      <c r="C4" s="42"/>
      <c r="D4" s="42"/>
      <c r="E4" s="42"/>
      <c r="F4" s="43"/>
      <c r="G4" s="45"/>
      <c r="H4" s="45"/>
      <c r="I4" s="45"/>
      <c r="J4" s="45"/>
      <c r="K4" s="45"/>
      <c r="L4" s="45"/>
      <c r="M4" s="45"/>
      <c r="N4" s="45"/>
      <c r="O4" s="45"/>
      <c r="P4" s="45"/>
      <c r="Q4" s="45"/>
      <c r="R4" s="45"/>
    </row>
    <row r="5" spans="1:18" s="46" customFormat="1">
      <c r="A5" s="40" t="s">
        <v>3</v>
      </c>
      <c r="B5" s="41" t="s">
        <v>4</v>
      </c>
      <c r="C5" s="42"/>
      <c r="D5" s="42"/>
      <c r="E5" s="42"/>
      <c r="F5" s="43"/>
      <c r="G5" s="38"/>
      <c r="H5" s="38"/>
      <c r="I5" s="38"/>
      <c r="J5" s="38"/>
      <c r="K5" s="38"/>
      <c r="L5" s="38"/>
      <c r="M5" s="38"/>
      <c r="N5" s="38"/>
      <c r="O5" s="38"/>
      <c r="P5" s="38"/>
    </row>
    <row r="6" spans="1:18">
      <c r="A6" s="40" t="s">
        <v>5</v>
      </c>
      <c r="B6" s="44">
        <v>45748</v>
      </c>
      <c r="C6" s="42"/>
      <c r="D6" s="42"/>
      <c r="E6" s="42"/>
      <c r="F6" s="43"/>
    </row>
    <row r="7" spans="1:18" ht="15" thickBot="1">
      <c r="A7" s="47" t="s">
        <v>6</v>
      </c>
      <c r="B7" s="48">
        <v>46112</v>
      </c>
      <c r="C7" s="49"/>
      <c r="D7" s="49"/>
      <c r="E7" s="49"/>
      <c r="F7" s="50"/>
    </row>
    <row r="8" spans="1:18" ht="4.5" customHeight="1" thickBot="1">
      <c r="A8" s="51"/>
      <c r="B8" s="52"/>
      <c r="C8" s="52"/>
      <c r="D8" s="52"/>
      <c r="E8" s="52"/>
      <c r="F8" s="52"/>
    </row>
    <row r="9" spans="1:18" ht="19.5" customHeight="1" thickBot="1">
      <c r="A9" s="53" t="s">
        <v>7</v>
      </c>
      <c r="B9" s="54" t="s">
        <v>8</v>
      </c>
      <c r="C9" s="54" t="s">
        <v>9</v>
      </c>
      <c r="D9" s="54" t="s">
        <v>10</v>
      </c>
      <c r="E9" s="54" t="s">
        <v>11</v>
      </c>
      <c r="F9" s="55" t="s">
        <v>12</v>
      </c>
    </row>
    <row r="10" spans="1:18">
      <c r="A10" s="625">
        <v>1</v>
      </c>
      <c r="B10" s="56" t="s">
        <v>13</v>
      </c>
      <c r="C10" s="57">
        <f>_xlfn.XLOOKUP($B$4,'Daily KPI'!$A:$A,'Daily KPI'!$AD:$AD)/1000</f>
        <v>963.88316796059144</v>
      </c>
      <c r="D10" s="58">
        <f>_xlfn.XLOOKUP($B$4,'Daily KPI'!$A:$A,'Daily KPI'!$AA:$AA)/1000</f>
        <v>921.15</v>
      </c>
      <c r="E10" s="59">
        <f>D10/C10-1</f>
        <v>-4.4334385515837349E-2</v>
      </c>
      <c r="F10" s="234"/>
    </row>
    <row r="11" spans="1:18">
      <c r="A11" s="626"/>
      <c r="B11" s="60" t="s">
        <v>14</v>
      </c>
      <c r="C11" s="61">
        <f>MonthlyKPI!$E$4</f>
        <v>22169.312863093604</v>
      </c>
      <c r="D11" s="62">
        <f>MonthlyKPI!F4</f>
        <v>14165.55</v>
      </c>
      <c r="E11" s="63">
        <f>D11/C11-1</f>
        <v>-0.36102891021119021</v>
      </c>
      <c r="F11" s="235"/>
    </row>
    <row r="12" spans="1:18" ht="15" thickBot="1">
      <c r="A12" s="627"/>
      <c r="B12" s="64" t="s">
        <v>15</v>
      </c>
      <c r="C12" s="65">
        <f>AnnualKPI!$E$4</f>
        <v>95320.580896197062</v>
      </c>
      <c r="D12" s="66">
        <f>AnnualKPI!F4</f>
        <v>78096.600000000006</v>
      </c>
      <c r="E12" s="67">
        <f>D12/C12-1</f>
        <v>-0.1806952993179276</v>
      </c>
      <c r="F12" s="236"/>
    </row>
    <row r="13" spans="1:18">
      <c r="A13" s="625">
        <v>2</v>
      </c>
      <c r="B13" s="56" t="s">
        <v>16</v>
      </c>
      <c r="C13" s="68">
        <f>_xlfn.XLOOKUP($B$3,'Modelling New'!$D:$D,'Modelling New'!$J:$J)</f>
        <v>8.18</v>
      </c>
      <c r="D13" s="69">
        <f>_xlfn.XLOOKUP($B$4,'Daily KPI'!$A:$A,'Daily KPI'!$M:$M)</f>
        <v>7.7791907039717696</v>
      </c>
      <c r="E13" s="59">
        <f t="shared" ref="E13:E39" si="0">(D13-C13)/(C13)</f>
        <v>-4.8998691445993905E-2</v>
      </c>
      <c r="F13" s="234"/>
    </row>
    <row r="14" spans="1:18">
      <c r="A14" s="626"/>
      <c r="B14" s="60" t="s">
        <v>17</v>
      </c>
      <c r="C14" s="70">
        <f>MonthlyKPI!C4</f>
        <v>8.18</v>
      </c>
      <c r="D14" s="71">
        <f>MonthlyKPI!D4</f>
        <v>6.5746368908251229</v>
      </c>
      <c r="E14" s="63">
        <f t="shared" si="0"/>
        <v>-0.19625465882333457</v>
      </c>
      <c r="F14" s="235"/>
    </row>
    <row r="15" spans="1:18" ht="15" thickBot="1">
      <c r="A15" s="627"/>
      <c r="B15" s="64" t="s">
        <v>18</v>
      </c>
      <c r="C15" s="72">
        <f>AnnualKPI!C4</f>
        <v>7.2925000000000004</v>
      </c>
      <c r="D15" s="73">
        <f>AnnualKPI!D4</f>
        <v>6.7911759522265838</v>
      </c>
      <c r="E15" s="67">
        <f t="shared" si="0"/>
        <v>-6.8745155676848357E-2</v>
      </c>
      <c r="F15" s="236"/>
    </row>
    <row r="16" spans="1:18">
      <c r="A16" s="625">
        <v>3</v>
      </c>
      <c r="B16" s="56" t="s">
        <v>19</v>
      </c>
      <c r="C16" s="74">
        <f>_xlfn.XLOOKUP($B$3,'Modelling New'!$D:$D,'Modelling New'!$AE:$AE)</f>
        <v>0.96029999999999993</v>
      </c>
      <c r="D16" s="75">
        <f>_xlfn.XLOOKUP($B$4,'Daily KPI'!$A:$A,'Daily KPI'!$O:$O)</f>
        <v>0.99812909938644223</v>
      </c>
      <c r="E16" s="59">
        <f t="shared" si="0"/>
        <v>3.9393001547893679E-2</v>
      </c>
      <c r="F16" s="234"/>
      <c r="H16" s="100"/>
    </row>
    <row r="17" spans="1:6">
      <c r="A17" s="626"/>
      <c r="B17" s="60" t="s">
        <v>20</v>
      </c>
      <c r="C17" s="76">
        <f>_xlfn.XLOOKUP($B$3,'Modelling New'!$D:$D,'Modelling New'!$AE:$AE)</f>
        <v>0.96029999999999993</v>
      </c>
      <c r="D17" s="77">
        <f>MonthlyKPI!P4</f>
        <v>0.96580179273813982</v>
      </c>
      <c r="E17" s="63">
        <f t="shared" si="0"/>
        <v>5.7292437135685603E-3</v>
      </c>
      <c r="F17" s="235"/>
    </row>
    <row r="18" spans="1:6" ht="15" thickBot="1">
      <c r="A18" s="627"/>
      <c r="B18" s="64" t="s">
        <v>21</v>
      </c>
      <c r="C18" s="78">
        <f>_xlfn.XLOOKUP($B$3,'Modelling New'!$D:$D,'Modelling New'!$AE:$AE)</f>
        <v>0.96029999999999993</v>
      </c>
      <c r="D18" s="79">
        <f>AnnualKPI!P4</f>
        <v>0.94492141361053772</v>
      </c>
      <c r="E18" s="67">
        <f t="shared" si="0"/>
        <v>-1.601435633600147E-2</v>
      </c>
      <c r="F18" s="236"/>
    </row>
    <row r="19" spans="1:6">
      <c r="A19" s="625">
        <v>4</v>
      </c>
      <c r="B19" s="56" t="s">
        <v>22</v>
      </c>
      <c r="C19" s="74">
        <f>_xlfn.XLOOKUP($B$3,'Modelling New'!$D:$D,'Modelling New'!$AF:$AF)</f>
        <v>0.995</v>
      </c>
      <c r="D19" s="75">
        <f>_xlfn.XLOOKUP($B$4,'Daily KPI'!$A:$A,'Daily KPI'!$R:$R)</f>
        <v>1</v>
      </c>
      <c r="E19" s="59">
        <f t="shared" si="0"/>
        <v>5.0251256281407079E-3</v>
      </c>
      <c r="F19" s="234"/>
    </row>
    <row r="20" spans="1:6">
      <c r="A20" s="626"/>
      <c r="B20" s="60" t="s">
        <v>23</v>
      </c>
      <c r="C20" s="76">
        <f>_xlfn.XLOOKUP($B$3,'Modelling New'!$D:$D,'Modelling New'!$AF:$AF)</f>
        <v>0.995</v>
      </c>
      <c r="D20" s="77">
        <f>MonthlyKPI!J4</f>
        <v>1</v>
      </c>
      <c r="E20" s="63">
        <f t="shared" si="0"/>
        <v>5.0251256281407079E-3</v>
      </c>
      <c r="F20" s="235"/>
    </row>
    <row r="21" spans="1:6" ht="15" thickBot="1">
      <c r="A21" s="627"/>
      <c r="B21" s="64" t="s">
        <v>24</v>
      </c>
      <c r="C21" s="78">
        <f>_xlfn.XLOOKUP($B$3,'Modelling New'!$D:$D,'Modelling New'!$AF:$AF)</f>
        <v>0.995</v>
      </c>
      <c r="D21" s="79">
        <f>AnnualKPI!J4</f>
        <v>1</v>
      </c>
      <c r="E21" s="67">
        <f t="shared" si="0"/>
        <v>5.0251256281407079E-3</v>
      </c>
      <c r="F21" s="236"/>
    </row>
    <row r="22" spans="1:6">
      <c r="A22" s="625">
        <v>5</v>
      </c>
      <c r="B22" s="56" t="s">
        <v>25</v>
      </c>
      <c r="C22" s="74">
        <f>_xlfn.XLOOKUP($B$3,'Modelling New'!$D:$D,'Modelling New'!$AI:$AI)</f>
        <v>0.99</v>
      </c>
      <c r="D22" s="75">
        <f>_xlfn.XLOOKUP($B$4,'Daily KPI'!$A:$A,'Daily KPI'!$Q:$Q)</f>
        <v>1</v>
      </c>
      <c r="E22" s="59">
        <f t="shared" si="0"/>
        <v>1.0101010101010111E-2</v>
      </c>
      <c r="F22" s="234"/>
    </row>
    <row r="23" spans="1:6">
      <c r="A23" s="626"/>
      <c r="B23" s="60" t="s">
        <v>26</v>
      </c>
      <c r="C23" s="76">
        <f>_xlfn.XLOOKUP($B$3,'Modelling New'!$D:$D,'Modelling New'!$AI:$AI)</f>
        <v>0.99</v>
      </c>
      <c r="D23" s="77">
        <f>MonthlyKPI!N4</f>
        <v>0.9954906757296188</v>
      </c>
      <c r="E23" s="63">
        <f t="shared" si="0"/>
        <v>5.5461371006250608E-3</v>
      </c>
      <c r="F23" s="235"/>
    </row>
    <row r="24" spans="1:6" ht="15" thickBot="1">
      <c r="A24" s="627"/>
      <c r="B24" s="64" t="s">
        <v>27</v>
      </c>
      <c r="C24" s="78">
        <f>_xlfn.XLOOKUP($B$3,'Modelling New'!$D:$D,'Modelling New'!$AI:$AI)</f>
        <v>0.99</v>
      </c>
      <c r="D24" s="79">
        <f>AnnualKPI!N4</f>
        <v>0.97397843820212515</v>
      </c>
      <c r="E24" s="67">
        <f t="shared" si="0"/>
        <v>-1.6183395755429132E-2</v>
      </c>
      <c r="F24" s="236"/>
    </row>
    <row r="25" spans="1:6">
      <c r="A25" s="625">
        <v>6</v>
      </c>
      <c r="B25" s="56" t="s">
        <v>28</v>
      </c>
      <c r="C25" s="75">
        <f>_xlfn.XLOOKUP($B$3,'Modelling New'!$D:$D,'Modelling New'!$AH:$AH)</f>
        <v>0.97</v>
      </c>
      <c r="D25" s="75">
        <f>_xlfn.XLOOKUP($B$4,'Daily KPI'!$A:$A,'Daily KPI'!$P:$P)</f>
        <v>0.99812909938644223</v>
      </c>
      <c r="E25" s="59">
        <f t="shared" ref="E25:E27" si="1">(D25-C25)/(C25)</f>
        <v>2.89990715324147E-2</v>
      </c>
      <c r="F25" s="234"/>
    </row>
    <row r="26" spans="1:6">
      <c r="A26" s="626"/>
      <c r="B26" s="60" t="s">
        <v>29</v>
      </c>
      <c r="C26" s="77">
        <f>_xlfn.XLOOKUP($B$3,'Modelling New'!$D:$D,'Modelling New'!$AH:$AH)</f>
        <v>0.97</v>
      </c>
      <c r="D26" s="77">
        <f>MonthlyKPI!$L$4</f>
        <v>0.970176633779398</v>
      </c>
      <c r="E26" s="63">
        <f t="shared" si="1"/>
        <v>1.8209667979178116E-4</v>
      </c>
      <c r="F26" s="235"/>
    </row>
    <row r="27" spans="1:6" ht="15" thickBot="1">
      <c r="A27" s="627"/>
      <c r="B27" s="64" t="s">
        <v>30</v>
      </c>
      <c r="C27" s="79">
        <f>_xlfn.XLOOKUP($B$3,'Modelling New'!$D:$D,'Modelling New'!$AH:$AH)</f>
        <v>0.97</v>
      </c>
      <c r="D27" s="79">
        <f>AnnualKPI!$L$4</f>
        <v>0.97016666544977725</v>
      </c>
      <c r="E27" s="67">
        <f t="shared" si="1"/>
        <v>1.718200513167848E-4</v>
      </c>
      <c r="F27" s="236"/>
    </row>
    <row r="28" spans="1:6">
      <c r="A28" s="625">
        <v>7</v>
      </c>
      <c r="B28" s="56" t="s">
        <v>31</v>
      </c>
      <c r="C28" s="74">
        <f>_xlfn.XLOOKUP($B$4,'Daily KPI'!$A:$A,'Daily KPI'!$AF:$AF)</f>
        <v>0.57210539408867012</v>
      </c>
      <c r="D28" s="75">
        <f>_xlfn.XLOOKUP($B$4,'Daily KPI'!$A:$A,'Daily KPI'!$W:$W)</f>
        <v>0.54674145299145294</v>
      </c>
      <c r="E28" s="59">
        <f t="shared" si="0"/>
        <v>-4.4334385515837391E-2</v>
      </c>
      <c r="F28" s="234"/>
    </row>
    <row r="29" spans="1:6">
      <c r="A29" s="626"/>
      <c r="B29" s="60" t="s">
        <v>32</v>
      </c>
      <c r="C29" s="76">
        <f>MonthlyKPI!$G$4</f>
        <v>0.57210539408867012</v>
      </c>
      <c r="D29" s="77">
        <f>MonthlyKPI!H4</f>
        <v>0.36555880713489408</v>
      </c>
      <c r="E29" s="63">
        <f t="shared" si="0"/>
        <v>-0.36102891021119016</v>
      </c>
      <c r="F29" s="235"/>
    </row>
    <row r="30" spans="1:6" ht="15" thickBot="1">
      <c r="A30" s="627"/>
      <c r="B30" s="64" t="s">
        <v>33</v>
      </c>
      <c r="C30" s="78">
        <f>AnnualKPI!$G$4</f>
        <v>0.49628765815400577</v>
      </c>
      <c r="D30" s="79">
        <f>AnnualKPI!H4</f>
        <v>0.4066108112160744</v>
      </c>
      <c r="E30" s="67">
        <f t="shared" si="0"/>
        <v>-0.18069529931792755</v>
      </c>
      <c r="F30" s="236"/>
    </row>
    <row r="31" spans="1:6">
      <c r="A31" s="625">
        <v>8</v>
      </c>
      <c r="B31" s="56" t="s">
        <v>34</v>
      </c>
      <c r="C31" s="210">
        <f>_xlfn.XLOOKUP($B$4,'Daily KPI'!$A:$A,'Daily KPI'!$AP:$AP)</f>
        <v>0.05</v>
      </c>
      <c r="D31" s="211">
        <f>_xlfn.XLOOKUP($B$4,'Daily KPI'!$A:$A,'Daily KPI'!$AN:$AN)</f>
        <v>2.806749874175812E-2</v>
      </c>
      <c r="E31" s="59">
        <f>-(D31-C31)/(C31)</f>
        <v>0.43865002516483764</v>
      </c>
      <c r="F31" s="237"/>
    </row>
    <row r="32" spans="1:6">
      <c r="A32" s="626"/>
      <c r="B32" s="60" t="s">
        <v>35</v>
      </c>
      <c r="C32" s="212">
        <f>_xlfn.XLOOKUP($B$3,'Modelling New'!$D:$D,'Modelling New'!$AK:$AK)</f>
        <v>0.05</v>
      </c>
      <c r="D32" s="213">
        <f>MonthlyKPI!$U$4</f>
        <v>2.5885789642795358E-2</v>
      </c>
      <c r="E32" s="63">
        <f t="shared" ref="E32:E33" si="2">-(D32-C32)/(C32)</f>
        <v>0.48228420714409287</v>
      </c>
      <c r="F32" s="238"/>
    </row>
    <row r="33" spans="1:7" ht="15" thickBot="1">
      <c r="A33" s="627"/>
      <c r="B33" s="64" t="s">
        <v>36</v>
      </c>
      <c r="C33" s="214">
        <f>_xlfn.XLOOKUP($B$3,'Modelling New'!$D:$D,'Modelling New'!$AK:$AK)</f>
        <v>0.05</v>
      </c>
      <c r="D33" s="215">
        <f>AnnualKPI!$R$4</f>
        <v>3.43142594698315E-2</v>
      </c>
      <c r="E33" s="67">
        <f t="shared" si="2"/>
        <v>0.31371481060337003</v>
      </c>
      <c r="F33" s="239"/>
      <c r="G33" s="209"/>
    </row>
    <row r="34" spans="1:7">
      <c r="A34" s="625">
        <v>9</v>
      </c>
      <c r="B34" s="56" t="s">
        <v>37</v>
      </c>
      <c r="C34" s="74">
        <f>_xlfn.XLOOKUP($B$4,'Daily KPI'!$A:$A,'Daily KPI'!$AQ:$AQ)</f>
        <v>0.05</v>
      </c>
      <c r="D34" s="211">
        <f>_xlfn.XLOOKUP($B$4,'Daily KPI'!$A:$A,'Daily KPI'!$AO:$AO)</f>
        <v>2.2315945854976663E-2</v>
      </c>
      <c r="E34" s="59">
        <f>-(D34-C34)/(C34)</f>
        <v>0.5536810829004668</v>
      </c>
      <c r="F34" s="237"/>
      <c r="G34" s="209"/>
    </row>
    <row r="35" spans="1:7">
      <c r="A35" s="626"/>
      <c r="B35" s="60" t="s">
        <v>38</v>
      </c>
      <c r="C35" s="76">
        <f>_xlfn.XLOOKUP($B$3,'Modelling New'!$D:$D,'Modelling New'!$AL:$AL)</f>
        <v>0.05</v>
      </c>
      <c r="D35" s="217">
        <f>MonthlyKPI!$V$4</f>
        <v>9.4907557211779178E-3</v>
      </c>
      <c r="E35" s="63">
        <f>-(D35-C35)/(C35)</f>
        <v>0.81018488557644164</v>
      </c>
      <c r="F35" s="238"/>
      <c r="G35" s="209"/>
    </row>
    <row r="36" spans="1:7" ht="15" thickBot="1">
      <c r="A36" s="627"/>
      <c r="B36" s="64" t="s">
        <v>39</v>
      </c>
      <c r="C36" s="78">
        <f>_xlfn.XLOOKUP($B$3,'Modelling New'!$D:$D,'Modelling New'!$AL:$AL)</f>
        <v>0.05</v>
      </c>
      <c r="D36" s="215">
        <f>AnnualKPI!$S$4</f>
        <v>7.9531023515452947E-3</v>
      </c>
      <c r="E36" s="67">
        <f>-(D36-C36)/(C36)</f>
        <v>0.84093795296909413</v>
      </c>
      <c r="F36" s="239"/>
      <c r="G36" s="209"/>
    </row>
    <row r="37" spans="1:7">
      <c r="A37" s="625">
        <v>10</v>
      </c>
      <c r="B37" s="56" t="s">
        <v>40</v>
      </c>
      <c r="C37" s="201">
        <f>IFERROR(_xlfn.XLOOKUP($B$4,'Daily KPI'!$A:$A,'Daily KPI'!$AI:$AI),"")</f>
        <v>986.77</v>
      </c>
      <c r="D37" s="202">
        <f>IFERROR(_xlfn.XLOOKUP($B$4,'Daily KPI'!A:A,'Daily KPI'!$X:$X)/1000,"")</f>
        <v>947.75099999999998</v>
      </c>
      <c r="E37" s="59">
        <f t="shared" si="0"/>
        <v>-3.9542142545882022E-2</v>
      </c>
      <c r="F37" s="237"/>
      <c r="G37" s="209"/>
    </row>
    <row r="38" spans="1:7">
      <c r="A38" s="626"/>
      <c r="B38" s="60" t="s">
        <v>41</v>
      </c>
      <c r="C38" s="203">
        <f>MonthlyKPI!$T$4</f>
        <v>15451.860000000002</v>
      </c>
      <c r="D38" s="204">
        <f>IFERROR(SUMIF('Daily KPI'!D:D,$B$3,'Daily KPI'!$X:$X)/1000,"")</f>
        <v>14543.762000000001</v>
      </c>
      <c r="E38" s="63">
        <f t="shared" si="0"/>
        <v>-5.8769494416853481E-2</v>
      </c>
      <c r="F38" s="238"/>
      <c r="G38" s="209"/>
    </row>
    <row r="39" spans="1:7" ht="15" thickBot="1">
      <c r="A39" s="627"/>
      <c r="B39" s="64" t="s">
        <v>42</v>
      </c>
      <c r="C39" s="205">
        <f>AnnualKPI!$Q$4</f>
        <v>84876.064499999993</v>
      </c>
      <c r="D39" s="206">
        <f>IFERROR(SUMIFS('Daily KPI'!$X:$X,'Daily KPI'!$A:$A,"&gt;="&amp;O2Summary!$B$6,'Daily KPI'!$A:$A,"&lt;="&amp;O2Summary!$B$4)/1000,"")</f>
        <v>80683.688999999998</v>
      </c>
      <c r="E39" s="67">
        <f t="shared" si="0"/>
        <v>-4.9394084477137778E-2</v>
      </c>
      <c r="F39" s="239"/>
      <c r="G39" s="209"/>
    </row>
    <row r="40" spans="1:7">
      <c r="G40" s="209"/>
    </row>
  </sheetData>
  <sheetProtection algorithmName="SHA-512" hashValue="mBinp+o7DyOhDAhIk2WcEiErb2rFBHNE6m39HbNk9rOU/5fvjoyWN/d0YPa7zn7UQyqihLdiy1iSZJX1KGa7Fg==" saltValue="q5+3i6QT18/ffTQUH7Bd7A==" spinCount="100000" sheet="1" objects="1" scenarios="1"/>
  <mergeCells count="10">
    <mergeCell ref="A31:A33"/>
    <mergeCell ref="A34:A36"/>
    <mergeCell ref="A37:A39"/>
    <mergeCell ref="A10:A12"/>
    <mergeCell ref="A13:A15"/>
    <mergeCell ref="A16:A18"/>
    <mergeCell ref="A19:A21"/>
    <mergeCell ref="A22:A24"/>
    <mergeCell ref="A28:A30"/>
    <mergeCell ref="A25:A27"/>
  </mergeCells>
  <conditionalFormatting sqref="E10:E12">
    <cfRule type="iconSet" priority="5">
      <iconSet iconSet="3Arrows">
        <cfvo type="percent" val="0"/>
        <cfvo type="num" val="-5.0000000000000001E-3"/>
        <cfvo type="num" val="0"/>
      </iconSet>
    </cfRule>
    <cfRule type="dataBar" priority="6">
      <dataBar>
        <cfvo type="min"/>
        <cfvo type="max"/>
        <color theme="4" tint="0.79998168889431442"/>
      </dataBar>
      <extLst>
        <ext xmlns:x14="http://schemas.microsoft.com/office/spreadsheetml/2009/9/main" uri="{B025F937-C7B1-47D3-B67F-A62EFF666E3E}">
          <x14:id>{0CDAAF3D-1E52-4ABC-8604-42670B0F20E4}</x14:id>
        </ext>
      </extLst>
    </cfRule>
  </conditionalFormatting>
  <conditionalFormatting sqref="E13:E18">
    <cfRule type="iconSet" priority="3">
      <iconSet iconSet="3Arrows">
        <cfvo type="percent" val="0"/>
        <cfvo type="num" val="-5.0000000000000001E-3"/>
        <cfvo type="num" val="0"/>
      </iconSet>
    </cfRule>
    <cfRule type="dataBar" priority="4">
      <dataBar>
        <cfvo type="min"/>
        <cfvo type="max"/>
        <color theme="4" tint="0.79998168889431442"/>
      </dataBar>
      <extLst>
        <ext xmlns:x14="http://schemas.microsoft.com/office/spreadsheetml/2009/9/main" uri="{B025F937-C7B1-47D3-B67F-A62EFF666E3E}">
          <x14:id>{84AF0654-84D7-4FA4-961D-0CA16FF97C2D}</x14:id>
        </ext>
      </extLst>
    </cfRule>
  </conditionalFormatting>
  <conditionalFormatting sqref="E19:E39">
    <cfRule type="iconSet" priority="1">
      <iconSet iconSet="3Arrows">
        <cfvo type="percent" val="0"/>
        <cfvo type="num" val="-5.0000000000000001E-3"/>
        <cfvo type="num" val="0"/>
      </iconSet>
    </cfRule>
    <cfRule type="dataBar" priority="2">
      <dataBar>
        <cfvo type="min"/>
        <cfvo type="max"/>
        <color theme="4" tint="0.79998168889431442"/>
      </dataBar>
      <extLst>
        <ext xmlns:x14="http://schemas.microsoft.com/office/spreadsheetml/2009/9/main" uri="{B025F937-C7B1-47D3-B67F-A62EFF666E3E}">
          <x14:id>{0DFB348C-A3EE-48FB-89DE-A4D51344A007}</x14:id>
        </ext>
      </extLs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0CDAAF3D-1E52-4ABC-8604-42670B0F20E4}">
            <x14:dataBar minLength="0" maxLength="100" border="1" negativeBarBorderColorSameAsPositive="0">
              <x14:cfvo type="autoMin"/>
              <x14:cfvo type="autoMax"/>
              <x14:borderColor theme="4" tint="0.79998168889431442"/>
              <x14:negativeFillColor theme="5" tint="0.79998168889431442"/>
              <x14:negativeBorderColor theme="5" tint="0.79998168889431442"/>
              <x14:axisColor rgb="FF000000"/>
            </x14:dataBar>
          </x14:cfRule>
          <xm:sqref>E10:E12</xm:sqref>
        </x14:conditionalFormatting>
        <x14:conditionalFormatting xmlns:xm="http://schemas.microsoft.com/office/excel/2006/main">
          <x14:cfRule type="dataBar" id="{84AF0654-84D7-4FA4-961D-0CA16FF97C2D}">
            <x14:dataBar minLength="0" maxLength="100" border="1" negativeBarBorderColorSameAsPositive="0">
              <x14:cfvo type="autoMin"/>
              <x14:cfvo type="autoMax"/>
              <x14:borderColor theme="4" tint="0.79998168889431442"/>
              <x14:negativeFillColor theme="5" tint="0.79998168889431442"/>
              <x14:negativeBorderColor theme="5" tint="0.79998168889431442"/>
              <x14:axisColor rgb="FF000000"/>
            </x14:dataBar>
          </x14:cfRule>
          <xm:sqref>E13:E18</xm:sqref>
        </x14:conditionalFormatting>
        <x14:conditionalFormatting xmlns:xm="http://schemas.microsoft.com/office/excel/2006/main">
          <x14:cfRule type="dataBar" id="{0DFB348C-A3EE-48FB-89DE-A4D51344A007}">
            <x14:dataBar minLength="0" maxLength="100" border="1" negativeBarBorderColorSameAsPositive="0">
              <x14:cfvo type="autoMin"/>
              <x14:cfvo type="autoMax"/>
              <x14:borderColor theme="4" tint="0.79998168889431442"/>
              <x14:negativeFillColor theme="5" tint="0.79998168889431442"/>
              <x14:negativeBorderColor theme="5" tint="0.79998168889431442"/>
              <x14:axisColor rgb="FF000000"/>
            </x14:dataBar>
          </x14:cfRule>
          <xm:sqref>E19:E39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8"/>
  <sheetViews>
    <sheetView zoomScale="78" workbookViewId="0">
      <selection activeCell="U4" sqref="U4"/>
    </sheetView>
  </sheetViews>
  <sheetFormatPr defaultColWidth="8.453125" defaultRowHeight="29.25" customHeight="1"/>
  <cols>
    <col min="1" max="1" width="15" bestFit="1" customWidth="1"/>
    <col min="2" max="3" width="12.453125" customWidth="1"/>
    <col min="4" max="4" width="12" customWidth="1"/>
    <col min="5" max="5" width="14.453125" customWidth="1"/>
    <col min="6" max="16" width="12.453125" customWidth="1"/>
    <col min="17" max="17" width="12" customWidth="1"/>
    <col min="18" max="18" width="14.453125" bestFit="1" customWidth="1"/>
    <col min="19" max="19" width="10.08984375" customWidth="1"/>
    <col min="20" max="20" width="12.453125" customWidth="1"/>
  </cols>
  <sheetData>
    <row r="1" spans="1:22" ht="29.25" customHeight="1">
      <c r="A1" s="32" t="s">
        <v>43</v>
      </c>
      <c r="B1" s="33">
        <f>O2Summary!B4</f>
        <v>45861</v>
      </c>
      <c r="C1" s="34">
        <v>0</v>
      </c>
      <c r="D1" s="34">
        <v>0</v>
      </c>
      <c r="E1" s="34">
        <v>0</v>
      </c>
      <c r="F1" s="34">
        <v>0</v>
      </c>
    </row>
    <row r="2" spans="1:22" ht="29.25" customHeight="1">
      <c r="A2" s="628" t="s">
        <v>64</v>
      </c>
      <c r="B2" s="629"/>
      <c r="C2" s="629"/>
      <c r="D2" s="629"/>
      <c r="E2" s="629"/>
      <c r="F2" s="629"/>
      <c r="G2" s="629"/>
      <c r="H2" s="629"/>
      <c r="I2" s="629"/>
      <c r="J2" s="629"/>
      <c r="K2" s="629"/>
      <c r="L2" s="629"/>
      <c r="M2" s="629"/>
      <c r="N2" s="629"/>
      <c r="O2" s="629"/>
      <c r="P2" s="629"/>
      <c r="Q2" s="629"/>
      <c r="R2" s="629"/>
    </row>
    <row r="3" spans="1:22" ht="29.25" customHeight="1">
      <c r="A3" s="113" t="s">
        <v>45</v>
      </c>
      <c r="B3" s="113" t="s">
        <v>46</v>
      </c>
      <c r="C3" s="114" t="s">
        <v>47</v>
      </c>
      <c r="D3" s="114" t="s">
        <v>48</v>
      </c>
      <c r="E3" s="114" t="s">
        <v>49</v>
      </c>
      <c r="F3" s="114" t="s">
        <v>50</v>
      </c>
      <c r="G3" s="114" t="s">
        <v>51</v>
      </c>
      <c r="H3" s="114" t="s">
        <v>52</v>
      </c>
      <c r="I3" s="114" t="s">
        <v>53</v>
      </c>
      <c r="J3" s="114" t="s">
        <v>54</v>
      </c>
      <c r="K3" s="114" t="s">
        <v>55</v>
      </c>
      <c r="L3" s="114" t="s">
        <v>56</v>
      </c>
      <c r="M3" s="114" t="s">
        <v>65</v>
      </c>
      <c r="N3" s="114" t="s">
        <v>58</v>
      </c>
      <c r="O3" s="114" t="s">
        <v>59</v>
      </c>
      <c r="P3" s="114" t="s">
        <v>60</v>
      </c>
      <c r="Q3" s="114" t="s">
        <v>66</v>
      </c>
      <c r="R3" s="114" t="s">
        <v>67</v>
      </c>
      <c r="S3" s="114" t="s">
        <v>68</v>
      </c>
      <c r="T3" s="198" t="s">
        <v>61</v>
      </c>
      <c r="U3" s="198" t="s">
        <v>62</v>
      </c>
      <c r="V3" s="198" t="s">
        <v>63</v>
      </c>
    </row>
    <row r="4" spans="1:22" s="35" customFormat="1" ht="29.25" customHeight="1">
      <c r="A4" s="115">
        <f>O2Summary!B3</f>
        <v>45839</v>
      </c>
      <c r="B4" s="116">
        <f>DAY(B1)</f>
        <v>23</v>
      </c>
      <c r="C4" s="117">
        <f>IFERROR(_xlfn.XLOOKUP($A$4,'Modelling New'!$D:$D,'Modelling New'!$AC:$AC),"")</f>
        <v>8.18</v>
      </c>
      <c r="D4" s="118">
        <f>AVERAGEIF('Daily KPI'!$D:$D,$A$4,'Daily KPI'!$M:$M)</f>
        <v>6.5746368908251229</v>
      </c>
      <c r="E4" s="116">
        <f>IFERROR(_xlfn.XLOOKUP($A$4,'Modelling New'!$D:$D,'Modelling New'!$U:$U),"")</f>
        <v>22169.312863093604</v>
      </c>
      <c r="F4" s="119">
        <f>SUMIFS('Daily KPI'!$AA:$AA,'Daily KPI'!$D:$D,$A$4)/1000</f>
        <v>14165.55</v>
      </c>
      <c r="G4" s="120">
        <f>IFERROR(_xlfn.XLOOKUP($A$4,'Modelling New'!$D:$D,'Modelling New'!$X:$X),"")</f>
        <v>0.57210539408867012</v>
      </c>
      <c r="H4" s="121">
        <f>F4/(24*B4*(_xlfn.XLOOKUP($B$1,'Daily KPI'!$A:$A,'Daily KPI'!$AR:$AR)))</f>
        <v>0.36555880713489408</v>
      </c>
      <c r="I4" s="120">
        <f>_xlfn.XLOOKUP($A$4,'Modelling New'!$D:$D,'Modelling New'!$AF:$AF)</f>
        <v>0.995</v>
      </c>
      <c r="J4" s="121">
        <f>AVERAGEIFS('Daily KPI'!$R:$R,'Daily KPI'!$A:$A,"&lt;="&amp;MonthlyKPI!$B$1,'Daily KPI'!$D:$D,$A$4)</f>
        <v>1</v>
      </c>
      <c r="K4" s="120">
        <f>_xlfn.XLOOKUP($A$4,'Modelling New'!$D:$D,'Modelling New'!$AH:$AH)</f>
        <v>0.97</v>
      </c>
      <c r="L4" s="121">
        <f>AVERAGEIFS('Daily KPI'!$P:$P,'Daily KPI'!$A:$A,"&lt;="&amp;MonthlyKPI!$B$1,'Daily KPI'!$D:$D,$A$4)</f>
        <v>0.970176633779398</v>
      </c>
      <c r="M4" s="120">
        <f>_xlfn.XLOOKUP($A$4,'Modelling New'!$D:$D,'Modelling New'!$AI:$AI)</f>
        <v>0.99</v>
      </c>
      <c r="N4" s="121">
        <f>AVERAGEIFS('Daily KPI'!$Q:$Q,'Daily KPI'!$A:$A,"&lt;="&amp;MonthlyKPI!$B$1,'Daily KPI'!$D:$D,$A$4)</f>
        <v>0.9954906757296188</v>
      </c>
      <c r="O4" s="120">
        <f>K4*M4</f>
        <v>0.96029999999999993</v>
      </c>
      <c r="P4" s="122">
        <f>L4*N4</f>
        <v>0.96580179273813982</v>
      </c>
      <c r="Q4" s="116">
        <f>SUMIFS('Daily KPI'!$X:$X,'Daily KPI'!$D:$D,$A$4)/1000</f>
        <v>14543.762000000001</v>
      </c>
      <c r="R4" s="122">
        <f>Q4/F4-1</f>
        <v>2.6699422189749189E-2</v>
      </c>
      <c r="S4" s="116">
        <f>SUMIFS(Input_Raw!BQ:BQ,Input_Raw!A:A,"&gt;="&amp;A4,Input_Raw!A:A,"&lt;="&amp;B1)</f>
        <v>15451.860000000002</v>
      </c>
      <c r="T4" s="119">
        <f>SUMIFS('Daily KPI'!$AI:$AI,'Daily KPI'!$D:$D,$A$4)</f>
        <v>15451.860000000002</v>
      </c>
      <c r="U4" s="200">
        <f>IFERROR(AVERAGEIFS('Daily KPI'!$AN:$AN,'Daily KPI'!$D:$D,MonthlyKPI!$A$4,'Daily KPI'!$A:$A,"&lt;="&amp;MonthlyKPI!$B$1),"")</f>
        <v>2.5885789642795358E-2</v>
      </c>
      <c r="V4" s="199">
        <f>AVERAGEIFS('Daily KPI'!$AO:$AO,'Daily KPI'!$A:$A,"&lt;="&amp;MonthlyKPI!$B$1,'Daily KPI'!$D:$D,$A$4)</f>
        <v>9.4907557211779178E-3</v>
      </c>
    </row>
    <row r="6" spans="1:22" ht="29.25" customHeight="1">
      <c r="Q6" s="2"/>
    </row>
    <row r="7" spans="1:22" ht="29.25" customHeight="1">
      <c r="A7" s="32" t="s">
        <v>69</v>
      </c>
      <c r="B7" s="33">
        <f>B8-6</f>
        <v>45855</v>
      </c>
      <c r="D7" s="36"/>
      <c r="F7" s="36"/>
    </row>
    <row r="8" spans="1:22" ht="29.25" customHeight="1">
      <c r="A8" s="32" t="s">
        <v>70</v>
      </c>
      <c r="B8" s="33">
        <f>B1</f>
        <v>45861</v>
      </c>
    </row>
    <row r="9" spans="1:22" ht="29.25" customHeight="1">
      <c r="A9" s="628" t="s">
        <v>71</v>
      </c>
      <c r="B9" s="629"/>
      <c r="C9" s="629"/>
      <c r="D9" s="629"/>
      <c r="E9" s="629"/>
      <c r="F9" s="629"/>
      <c r="G9" s="629"/>
      <c r="H9" s="629"/>
      <c r="I9" s="629"/>
      <c r="J9" s="629"/>
      <c r="K9" s="629"/>
      <c r="L9" s="629"/>
      <c r="M9" s="629"/>
      <c r="N9" s="629"/>
      <c r="O9" s="629"/>
      <c r="P9" s="629"/>
    </row>
    <row r="10" spans="1:22" ht="29.25" customHeight="1">
      <c r="A10" s="113" t="s">
        <v>45</v>
      </c>
      <c r="B10" s="113" t="s">
        <v>46</v>
      </c>
      <c r="C10" s="114" t="s">
        <v>47</v>
      </c>
      <c r="D10" s="114" t="s">
        <v>48</v>
      </c>
      <c r="E10" s="114" t="s">
        <v>49</v>
      </c>
      <c r="F10" s="114" t="s">
        <v>50</v>
      </c>
      <c r="G10" s="114" t="s">
        <v>51</v>
      </c>
      <c r="H10" s="114" t="s">
        <v>52</v>
      </c>
      <c r="I10" s="114" t="s">
        <v>53</v>
      </c>
      <c r="J10" s="114" t="s">
        <v>54</v>
      </c>
      <c r="K10" s="114" t="s">
        <v>55</v>
      </c>
      <c r="L10" s="114" t="s">
        <v>56</v>
      </c>
      <c r="M10" s="114" t="s">
        <v>65</v>
      </c>
      <c r="N10" s="114" t="s">
        <v>58</v>
      </c>
      <c r="O10" s="114" t="s">
        <v>59</v>
      </c>
      <c r="P10" s="114" t="s">
        <v>60</v>
      </c>
      <c r="Q10" s="114" t="s">
        <v>68</v>
      </c>
    </row>
    <row r="11" spans="1:22" s="35" customFormat="1" ht="29.25" customHeight="1">
      <c r="A11" s="115">
        <f>A4</f>
        <v>45839</v>
      </c>
      <c r="B11" s="116">
        <f>(B8-B7)+1</f>
        <v>7</v>
      </c>
      <c r="C11" s="117">
        <f>IFERROR(_xlfn.XLOOKUP($A$11,'Modelling New'!$D:$D,'Modelling New'!$AC:$AC),"")</f>
        <v>8.18</v>
      </c>
      <c r="D11" s="118">
        <f>AVERAGEIFS('Daily KPI'!$M:$M,'Daily KPI'!$A:$A,"&gt;="&amp;$B$7,'Daily KPI'!$A:$A,"&lt;="&amp;$B$8)</f>
        <v>6.1080528339731774</v>
      </c>
      <c r="E11" s="116">
        <f>SUMIFS('Daily KPI'!$AD:$AD,'Daily KPI'!$A:$A,"&gt;="&amp;$B$7,'Daily KPI'!$A:$A,"&lt;="&amp;$B$8)/1000</f>
        <v>6747.1821757241405</v>
      </c>
      <c r="F11" s="119">
        <f>SUMIFS('Daily KPI'!$AA:$AA,'Daily KPI'!$A:$A,"&gt;="&amp;$B$7,'Daily KPI'!$A:$A,"&lt;="&amp;$B$8)/1000</f>
        <v>3759.3</v>
      </c>
      <c r="G11" s="120">
        <f>E11/(24*$B$11*'Basic Data'!$K$3)</f>
        <v>0.57210539408866989</v>
      </c>
      <c r="H11" s="121">
        <f>F11/(24*B11*'Basic Data'!$K$3)</f>
        <v>0.31875763125763112</v>
      </c>
      <c r="I11" s="120">
        <f>_xlfn.XLOOKUP($A$4,'Modelling New'!$D:$D,'Modelling New'!$AF:$AF)</f>
        <v>0.995</v>
      </c>
      <c r="J11" s="121">
        <f>AVERAGEIFS('Daily KPI'!$R:$R,'Daily KPI'!$A:$A,"&gt;="&amp;$B$7,'Daily KPI'!$A:$A,"&lt;="&amp;$B$8)</f>
        <v>1</v>
      </c>
      <c r="K11" s="120">
        <f>_xlfn.XLOOKUP($A$4,'Modelling New'!$D:$D,'Modelling New'!$AH:$AH)</f>
        <v>0.97</v>
      </c>
      <c r="L11" s="121">
        <f>AVERAGEIFS('Daily KPI'!$P:$P,'Daily KPI'!$A:$A,"&gt;="&amp;$B$7,'Daily KPI'!$A:$A,"&lt;="&amp;$B$8)</f>
        <v>0.99038662244758591</v>
      </c>
      <c r="M11" s="120">
        <f>_xlfn.XLOOKUP($A$4,'Modelling New'!$D:$D,'Modelling New'!$AI:$AI)</f>
        <v>0.99</v>
      </c>
      <c r="N11" s="121">
        <f>AVERAGEIFS('Daily KPI'!$Q:$Q,'Daily KPI'!$A:$A,"&gt;="&amp;$B$7,'Daily KPI'!$A:$A,"&lt;="&amp;$B$8)</f>
        <v>0.99766863844210119</v>
      </c>
      <c r="O11" s="120">
        <f>K11*M11</f>
        <v>0.96029999999999993</v>
      </c>
      <c r="P11" s="122">
        <f>L11*N11</f>
        <v>0.98807767314855433</v>
      </c>
      <c r="Q11" s="116">
        <f>SUMIFS(Input_Raw!BQ:BQ,Input_Raw!A:A,"&gt;="&amp;B7,Input_Raw!A:A,"&lt;="&amp;B8)</f>
        <v>4009.94</v>
      </c>
    </row>
    <row r="14" spans="1:22" ht="29.25" customHeight="1">
      <c r="A14" s="32" t="s">
        <v>69</v>
      </c>
      <c r="B14" s="33">
        <f>B15-29</f>
        <v>45832</v>
      </c>
      <c r="D14" s="36"/>
      <c r="F14" s="36"/>
    </row>
    <row r="15" spans="1:22" ht="29.25" customHeight="1">
      <c r="A15" s="32" t="s">
        <v>70</v>
      </c>
      <c r="B15" s="33">
        <f>B8</f>
        <v>45861</v>
      </c>
    </row>
    <row r="16" spans="1:22" ht="29.25" customHeight="1">
      <c r="A16" s="628" t="s">
        <v>72</v>
      </c>
      <c r="B16" s="629"/>
      <c r="C16" s="629"/>
      <c r="D16" s="629"/>
      <c r="E16" s="629"/>
      <c r="F16" s="629"/>
      <c r="G16" s="629"/>
      <c r="H16" s="629"/>
      <c r="I16" s="629"/>
      <c r="J16" s="629"/>
      <c r="K16" s="629"/>
      <c r="L16" s="629"/>
      <c r="M16" s="629"/>
      <c r="N16" s="629"/>
      <c r="O16" s="629"/>
      <c r="P16" s="629"/>
    </row>
    <row r="17" spans="1:18" ht="29.25" customHeight="1">
      <c r="A17" s="113" t="s">
        <v>45</v>
      </c>
      <c r="B17" s="113" t="s">
        <v>46</v>
      </c>
      <c r="C17" s="114" t="s">
        <v>47</v>
      </c>
      <c r="D17" s="114" t="s">
        <v>48</v>
      </c>
      <c r="E17" s="114" t="s">
        <v>49</v>
      </c>
      <c r="F17" s="114" t="s">
        <v>50</v>
      </c>
      <c r="G17" s="114" t="s">
        <v>51</v>
      </c>
      <c r="H17" s="114" t="s">
        <v>52</v>
      </c>
      <c r="I17" s="114" t="s">
        <v>53</v>
      </c>
      <c r="J17" s="114" t="s">
        <v>54</v>
      </c>
      <c r="K17" s="114" t="s">
        <v>55</v>
      </c>
      <c r="L17" s="114" t="s">
        <v>56</v>
      </c>
      <c r="M17" s="114" t="s">
        <v>65</v>
      </c>
      <c r="N17" s="114" t="s">
        <v>58</v>
      </c>
      <c r="O17" s="114" t="s">
        <v>59</v>
      </c>
      <c r="P17" s="114" t="s">
        <v>60</v>
      </c>
    </row>
    <row r="18" spans="1:18" s="35" customFormat="1" ht="29.25" customHeight="1">
      <c r="A18" s="115">
        <f>A11</f>
        <v>45839</v>
      </c>
      <c r="B18" s="116">
        <f>(B15-B14)+1</f>
        <v>30</v>
      </c>
      <c r="C18" s="117">
        <f>_xlfn.XLOOKUP($A$18,'Modelling New'!$D:$D,'Modelling New'!$AC:$AC)</f>
        <v>8.18</v>
      </c>
      <c r="D18" s="118">
        <f>AVERAGEIFS('Daily KPI'!$M:$M,'Daily KPI'!$A:$A,"&gt;="&amp;$B$14,'Daily KPI'!$A:$A,"&lt;="&amp;$B$15)</f>
        <v>6.8225917890197953</v>
      </c>
      <c r="E18" s="116">
        <f>SUMIFS('Daily KPI'!$AD:$AD,'Daily KPI'!$A:$A,"&gt;="&amp;$B$14,'Daily KPI'!$A:$A,"&lt;="&amp;$B$15)/1000</f>
        <v>27780.605783645333</v>
      </c>
      <c r="F18" s="119">
        <f>SUMIFS('Daily KPI'!$X:$X,'Daily KPI'!$A:$A,"&gt;="&amp;$B$14,'Daily KPI'!$A:$A,"&lt;="&amp;$B$15)/1000</f>
        <v>21028.026999999998</v>
      </c>
      <c r="G18" s="120">
        <f>E18/(24*$B$18*'Basic Data'!$K$3)</f>
        <v>0.54963211822660096</v>
      </c>
      <c r="H18" s="121">
        <f>F18/(24*B18*'Basic Data'!$K$3)</f>
        <v>0.41603408911047779</v>
      </c>
      <c r="I18" s="120">
        <v>0.997</v>
      </c>
      <c r="J18" s="121">
        <f>AVERAGEIFS('Daily KPI'!$R:$R,'Daily KPI'!$A:$A,"&gt;="&amp;$B$14,'Daily KPI'!$A:$A,"&lt;="&amp;$B$15)</f>
        <v>1</v>
      </c>
      <c r="K18" s="120">
        <v>0.98599999999999999</v>
      </c>
      <c r="L18" s="121">
        <f>AVERAGEIFS('Daily KPI'!$P:$P,'Daily KPI'!$A:$A,"&gt;="&amp;$B$14,'Daily KPI'!$A:$A,"&lt;="&amp;$B$15)</f>
        <v>0.9657083210494265</v>
      </c>
      <c r="M18" s="120">
        <v>0.995</v>
      </c>
      <c r="N18" s="121">
        <f>AVERAGEIFS('Daily KPI'!$Q:$Q,'Daily KPI'!$A:$A,"&gt;="&amp;$B$14,'Daily KPI'!$A:$A,"&lt;="&amp;$B$15)</f>
        <v>0.99654285139270771</v>
      </c>
      <c r="O18" s="120">
        <f>K18*M18</f>
        <v>0.98107</v>
      </c>
      <c r="P18" s="122">
        <f>L18*N18</f>
        <v>0.96236972387225994</v>
      </c>
      <c r="Q18"/>
      <c r="R18"/>
    </row>
  </sheetData>
  <sheetProtection algorithmName="SHA-512" hashValue="eCyzRAan98giFw6SLRRev3ndripuLqljlkzbJ2WV9uzNae6w5+Qd7IIaVX6DYcwS4j4HzK0qGe23N/QbE5LKIA==" saltValue="Y+Vmu9+qwZ/+icpoDmfHzw==" spinCount="100000" sheet="1" objects="1" scenarios="1"/>
  <mergeCells count="3">
    <mergeCell ref="A2:R2"/>
    <mergeCell ref="A9:P9"/>
    <mergeCell ref="A16:P16"/>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585DA-BB73-459D-8817-EAA249AB5326}">
  <dimension ref="A1:AS369"/>
  <sheetViews>
    <sheetView zoomScale="78" zoomScaleNormal="90" workbookViewId="0">
      <pane xSplit="1" ySplit="1" topLeftCell="C107" activePane="bottomRight" state="frozen"/>
      <selection pane="topRight" activeCell="AB39" sqref="AB39"/>
      <selection pane="bottomLeft" activeCell="AB39" sqref="AB39"/>
      <selection pane="bottomRight" activeCell="A118" sqref="A118:XFD118"/>
    </sheetView>
  </sheetViews>
  <sheetFormatPr defaultColWidth="8.90625" defaultRowHeight="14.5"/>
  <cols>
    <col min="1" max="1" width="9.90625" style="164" bestFit="1" customWidth="1"/>
    <col min="2" max="5" width="9" style="164" customWidth="1"/>
    <col min="6" max="9" width="10.08984375" style="164" customWidth="1"/>
    <col min="10" max="12" width="11.08984375" style="164" customWidth="1"/>
    <col min="13" max="13" width="15.08984375" style="164" bestFit="1" customWidth="1"/>
    <col min="14" max="39" width="11.08984375" style="164" customWidth="1"/>
    <col min="40" max="40" width="11.08984375" style="178" customWidth="1"/>
    <col min="41" max="43" width="11.08984375" style="164" customWidth="1"/>
    <col min="44" max="16384" width="8.90625" style="164"/>
  </cols>
  <sheetData>
    <row r="1" spans="1:45" ht="58">
      <c r="A1" s="160" t="s">
        <v>128</v>
      </c>
      <c r="B1" s="161" t="s">
        <v>3</v>
      </c>
      <c r="C1" s="161" t="s">
        <v>129</v>
      </c>
      <c r="D1" s="161" t="s">
        <v>130</v>
      </c>
      <c r="E1" s="161" t="s">
        <v>46</v>
      </c>
      <c r="F1" s="162" t="s">
        <v>131</v>
      </c>
      <c r="G1" s="162" t="s">
        <v>132</v>
      </c>
      <c r="H1" s="162" t="s">
        <v>133</v>
      </c>
      <c r="I1" s="162" t="s">
        <v>134</v>
      </c>
      <c r="J1" s="162" t="s">
        <v>135</v>
      </c>
      <c r="K1" s="162" t="s">
        <v>136</v>
      </c>
      <c r="L1" s="162" t="s">
        <v>137</v>
      </c>
      <c r="M1" s="162" t="s">
        <v>138</v>
      </c>
      <c r="N1" s="162" t="s">
        <v>139</v>
      </c>
      <c r="O1" s="162" t="s">
        <v>140</v>
      </c>
      <c r="P1" s="162" t="s">
        <v>141</v>
      </c>
      <c r="Q1" s="162" t="s">
        <v>142</v>
      </c>
      <c r="R1" s="162" t="s">
        <v>143</v>
      </c>
      <c r="S1" s="162" t="s">
        <v>144</v>
      </c>
      <c r="T1" s="162" t="s">
        <v>145</v>
      </c>
      <c r="U1" s="162" t="s">
        <v>146</v>
      </c>
      <c r="V1" s="162" t="s">
        <v>147</v>
      </c>
      <c r="W1" s="162" t="s">
        <v>148</v>
      </c>
      <c r="X1" s="162" t="s">
        <v>149</v>
      </c>
      <c r="Y1" s="162" t="s">
        <v>150</v>
      </c>
      <c r="Z1" s="162" t="s">
        <v>151</v>
      </c>
      <c r="AA1" s="162" t="s">
        <v>152</v>
      </c>
      <c r="AB1" s="162" t="s">
        <v>153</v>
      </c>
      <c r="AC1" s="162" t="s">
        <v>154</v>
      </c>
      <c r="AD1" s="162" t="s">
        <v>155</v>
      </c>
      <c r="AE1" s="162" t="s">
        <v>156</v>
      </c>
      <c r="AF1" s="162" t="s">
        <v>157</v>
      </c>
      <c r="AG1" s="162" t="s">
        <v>158</v>
      </c>
      <c r="AH1" s="162" t="s">
        <v>159</v>
      </c>
      <c r="AI1" s="162" t="s">
        <v>61</v>
      </c>
      <c r="AJ1" s="162" t="s">
        <v>160</v>
      </c>
      <c r="AK1" s="162" t="s">
        <v>161</v>
      </c>
      <c r="AL1" s="162" t="s">
        <v>162</v>
      </c>
      <c r="AM1" s="162" t="s">
        <v>163</v>
      </c>
      <c r="AN1" s="163" t="s">
        <v>164</v>
      </c>
      <c r="AO1" s="162" t="s">
        <v>63</v>
      </c>
      <c r="AP1" s="162" t="s">
        <v>165</v>
      </c>
      <c r="AQ1" s="162" t="s">
        <v>166</v>
      </c>
      <c r="AR1" s="162" t="s">
        <v>204</v>
      </c>
      <c r="AS1" s="162" t="s">
        <v>205</v>
      </c>
    </row>
    <row r="2" spans="1:45">
      <c r="A2" s="165">
        <v>45745</v>
      </c>
      <c r="B2" s="166">
        <f>YEAR(Table13[[#This Row],[Date]])+IF(MONTH(Table13[[#This Row],[Date]])&gt;=4,1,0)</f>
        <v>2025</v>
      </c>
      <c r="C2" s="167">
        <f>YEAR(Table13[[#This Row],[Date]])</f>
        <v>2025</v>
      </c>
      <c r="D2" s="168">
        <f>Table13[[#This Row],[Date]]-DAY(Table13[[#This Row],[Date]])+1</f>
        <v>45717</v>
      </c>
      <c r="E2" s="167">
        <f t="shared" ref="E2:E23" si="0">DAY(EOMONTH(A2,0))</f>
        <v>31</v>
      </c>
      <c r="F2" s="169"/>
      <c r="G2" s="170"/>
      <c r="H2" s="170"/>
      <c r="I2" s="170"/>
      <c r="J2" s="170"/>
      <c r="K2" s="171"/>
      <c r="L2" s="170"/>
      <c r="M2" s="170">
        <f>IFERROR(_xlfn.XLOOKUP($A2,Input_Raw!$A:$A,Input_Raw!BG:BG),"")</f>
        <v>7.1400000000000006</v>
      </c>
      <c r="N2" s="170">
        <f>IFERROR(_xlfn.XLOOKUP($A2,Input_Raw!$A:$A,Input_Raw!BH:BH),"")</f>
        <v>0</v>
      </c>
      <c r="O2" s="173">
        <f t="shared" ref="O2:O23" si="1">IFERROR(P2*Q2,"")</f>
        <v>1</v>
      </c>
      <c r="P2" s="173">
        <f>IFERROR(1-SUMIF(WTG_BD!$F:$F,$A2,WTG_BD!$AA:$AA)/($AA2+SUMIF(WTG_BD!$F:$F,$A2,WTG_BD!$AA:$AA)),"")</f>
        <v>1</v>
      </c>
      <c r="Q2" s="173">
        <f>IFERROR(1-SUMIF(IGA_BD!$F:$F,$A2,IGA_BD!$X:$X)/($AA2+SUMIF(IGA_BD!$F:$F,$A2,IGA_BD!$X:$X)),"")</f>
        <v>1</v>
      </c>
      <c r="R2" s="173">
        <f>IFERROR(1-SUMIF(Grid_BD!$F:$F,$A2,Grid_BD!$Y:$Y)/($AA2+SUMIF(Grid_BD!$F:$F,$A2,Grid_BD!$Y:$Y)),"")</f>
        <v>1</v>
      </c>
      <c r="S2" s="167"/>
      <c r="T2" s="172"/>
      <c r="U2" s="173"/>
      <c r="V2" s="167"/>
      <c r="W2" s="174">
        <f t="shared" ref="W2:W23" si="2">IFERROR(AA2/(24*AR2*1000),"")</f>
        <v>0.45806623931623924</v>
      </c>
      <c r="X2" s="167">
        <f>IFERROR(_xlfn.XLOOKUP($A2,Input_Raw!$A:$A,Input_Raw!$BF:$BF),"")</f>
        <v>801666</v>
      </c>
      <c r="Y2" s="167">
        <f>IFERROR(_xlfn.XLOOKUP($A2,Input_Raw!$A:$A,Input_Raw!BJ:BJ),"")</f>
        <v>771750</v>
      </c>
      <c r="Z2" s="167">
        <f>IFERROR(_xlfn.XLOOKUP($A2,Input_Raw!$A:$A,Input_Raw!BK:BK),"")</f>
        <v>0</v>
      </c>
      <c r="AA2" s="167">
        <f>IFERROR(_xlfn.XLOOKUP($A2,Input_Raw!$A:$A,Input_Raw!BL:BL),"")</f>
        <v>771750</v>
      </c>
      <c r="AB2" s="167">
        <f>IFERROR(_xlfn.XLOOKUP($A2,Input_Raw!$A:$A,Input_Raw!$BO:$BO),"")</f>
        <v>70.2</v>
      </c>
      <c r="AC2" s="176">
        <f>IFERROR(_xlfn.XLOOKUP($D2,'Modelling New'!$D:$D,'Modelling New'!$J:$J),"")</f>
        <v>6.89</v>
      </c>
      <c r="AD2" s="166">
        <f>IFERROR(_xlfn.XLOOKUP($D2,'Modelling New'!$D:$D,'Modelling New'!$T:$T)*1000,"")</f>
        <v>632771.03225806449</v>
      </c>
      <c r="AE2" s="174"/>
      <c r="AF2" s="174">
        <f>IFERROR(_xlfn.XLOOKUP($D2,'Modelling New'!$D:$D,'Modelling New'!$W:$W),"")</f>
        <v>0.37557634868118733</v>
      </c>
      <c r="AG2" s="174">
        <f>IFERROR(_xlfn.XLOOKUP($D2,'Modelling New'!$D:$D,'Modelling New'!$AE:$AE),"")</f>
        <v>0.96029999999999993</v>
      </c>
      <c r="AH2" s="174">
        <f>IFERROR(_xlfn.XLOOKUP($D2,'Modelling New'!$D:$D,'Modelling New'!$AF:$AF),"")</f>
        <v>0.995</v>
      </c>
      <c r="AI2" s="177">
        <f>IFERROR(_xlfn.XLOOKUP($A2,Input_Raw!$A:$A,Input_Raw!$BQ:$BQ),"")</f>
        <v>843.53353333333143</v>
      </c>
      <c r="AJ2" s="167"/>
      <c r="AK2" s="167"/>
      <c r="AL2" s="167"/>
      <c r="AM2" s="167"/>
      <c r="AN2" s="175">
        <f>IFERROR(_xlfn.XLOOKUP($A2,Input_Raw!$A:$A,Input_Raw!$BN:$BN),"")</f>
        <v>3.7317286750342411E-2</v>
      </c>
      <c r="AO2" s="174">
        <f>IFERROR((_xlfn.XLOOKUP($A2,'WTG Reactive Power'!$A:$A,'WTG Reactive Power'!$AE:$AE))/Table13[[#This Row],[Gen_Exp (kWh)]],"")</f>
        <v>0</v>
      </c>
      <c r="AP2" s="174">
        <f>IFERROR(_xlfn.XLOOKUP($D2,'Modelling New'!$D:$D,'Modelling New'!$AK:$AK),"")</f>
        <v>0.05</v>
      </c>
      <c r="AQ2" s="174">
        <f>IFERROR(_xlfn.XLOOKUP($D2,'Modelling New'!$D:$D,'Modelling New'!$AL:$AL),"")</f>
        <v>0.05</v>
      </c>
      <c r="AR2" s="276">
        <f>IFERROR(_xlfn.XLOOKUP($D2,'Modelling New'!$D:$D,'Modelling New'!$N:$N),"")</f>
        <v>70.2</v>
      </c>
      <c r="AS2" s="276"/>
    </row>
    <row r="3" spans="1:45">
      <c r="A3" s="165">
        <f t="shared" ref="A3:A25" si="3">A2+1</f>
        <v>45746</v>
      </c>
      <c r="B3" s="166">
        <f>YEAR(Table13[[#This Row],[Date]])+IF(MONTH(Table13[[#This Row],[Date]])&gt;=4,1,0)</f>
        <v>2025</v>
      </c>
      <c r="C3" s="167">
        <f>YEAR(Table13[[#This Row],[Date]])</f>
        <v>2025</v>
      </c>
      <c r="D3" s="168">
        <f>Table13[[#This Row],[Date]]-DAY(Table13[[#This Row],[Date]])+1</f>
        <v>45717</v>
      </c>
      <c r="E3" s="167">
        <f t="shared" si="0"/>
        <v>31</v>
      </c>
      <c r="F3" s="169"/>
      <c r="G3" s="176"/>
      <c r="H3" s="176"/>
      <c r="I3" s="176"/>
      <c r="J3" s="176"/>
      <c r="K3" s="171"/>
      <c r="L3" s="170"/>
      <c r="M3" s="170">
        <f>IFERROR(_xlfn.XLOOKUP($A3,Input_Raw!$A:$A,Input_Raw!BG:BG),"")</f>
        <v>5.9436965821804399</v>
      </c>
      <c r="N3" s="170">
        <f>IFERROR(_xlfn.XLOOKUP($A3,Input_Raw!$A:$A,Input_Raw!BH:BH),"")</f>
        <v>0</v>
      </c>
      <c r="O3" s="173">
        <f t="shared" si="1"/>
        <v>1</v>
      </c>
      <c r="P3" s="173">
        <f>IFERROR(1-SUMIF(WTG_BD!$F:$F,$A3,WTG_BD!$AA:$AA)/($AA3+SUMIF(WTG_BD!$F:$F,$A3,WTG_BD!$AA:$AA)),"")</f>
        <v>1</v>
      </c>
      <c r="Q3" s="173">
        <f>IFERROR(1-SUMIF(IGA_BD!$F:$F,$A3,IGA_BD!$X:$X)/($AA3+SUMIF(IGA_BD!$F:$F,$A3,IGA_BD!$X:$X)),"")</f>
        <v>1</v>
      </c>
      <c r="R3" s="173">
        <f>IFERROR(1-SUMIF(Grid_BD!$F:$F,$A3,Grid_BD!$Y:$Y)/($AA3+SUMIF(Grid_BD!$F:$F,$A3,Grid_BD!$Y:$Y)),"")</f>
        <v>1</v>
      </c>
      <c r="S3" s="167"/>
      <c r="T3" s="172"/>
      <c r="U3" s="173"/>
      <c r="V3" s="167"/>
      <c r="W3" s="174">
        <f t="shared" si="2"/>
        <v>0.31784188034188032</v>
      </c>
      <c r="X3" s="167">
        <f>IFERROR(_xlfn.XLOOKUP($A3,Input_Raw!$A:$A,Input_Raw!$BF:$BF),"")</f>
        <v>552111</v>
      </c>
      <c r="Y3" s="167">
        <f>IFERROR(_xlfn.XLOOKUP($A3,Input_Raw!$A:$A,Input_Raw!BJ:BJ),"")</f>
        <v>535500</v>
      </c>
      <c r="Z3" s="167">
        <f>IFERROR(_xlfn.XLOOKUP($A3,Input_Raw!$A:$A,Input_Raw!BK:BK),"")</f>
        <v>0</v>
      </c>
      <c r="AA3" s="167">
        <f>IFERROR(_xlfn.XLOOKUP($A3,Input_Raw!$A:$A,Input_Raw!BL:BL),"")</f>
        <v>535500</v>
      </c>
      <c r="AB3" s="167">
        <f>IFERROR(_xlfn.XLOOKUP($A3,Input_Raw!$A:$A,Input_Raw!$BO:$BO),"")</f>
        <v>70.2</v>
      </c>
      <c r="AC3" s="176">
        <f>IFERROR(_xlfn.XLOOKUP($D3,'Modelling New'!$D:$D,'Modelling New'!$J:$J),"")</f>
        <v>6.89</v>
      </c>
      <c r="AD3" s="166">
        <f>IFERROR(_xlfn.XLOOKUP($D3,'Modelling New'!$D:$D,'Modelling New'!$T:$T)*1000,"")</f>
        <v>632771.03225806449</v>
      </c>
      <c r="AE3" s="174"/>
      <c r="AF3" s="174">
        <f>IFERROR(_xlfn.XLOOKUP($D3,'Modelling New'!$D:$D,'Modelling New'!$W:$W),"")</f>
        <v>0.37557634868118733</v>
      </c>
      <c r="AG3" s="174">
        <f>IFERROR(_xlfn.XLOOKUP($D3,'Modelling New'!$D:$D,'Modelling New'!$AE:$AE),"")</f>
        <v>0.96029999999999993</v>
      </c>
      <c r="AH3" s="174">
        <f>IFERROR(_xlfn.XLOOKUP($D3,'Modelling New'!$D:$D,'Modelling New'!$AF:$AF),"")</f>
        <v>0.995</v>
      </c>
      <c r="AI3" s="177">
        <f>IFERROR(_xlfn.XLOOKUP($A3,Input_Raw!$A:$A,Input_Raw!$BQ:$BQ),"")</f>
        <v>562.59158333333312</v>
      </c>
      <c r="AJ3" s="167"/>
      <c r="AK3" s="167"/>
      <c r="AL3" s="167"/>
      <c r="AM3" s="167"/>
      <c r="AN3" s="175">
        <f>IFERROR(_xlfn.XLOOKUP($A3,Input_Raw!$A:$A,Input_Raw!$BN:$BN),"")</f>
        <v>3.0086341333536191E-2</v>
      </c>
      <c r="AO3" s="174">
        <f>IFERROR((_xlfn.XLOOKUP($A3,'WTG Reactive Power'!$A:$A,'WTG Reactive Power'!$AE:$AE))/Table13[[#This Row],[Gen_Exp (kWh)]],"")</f>
        <v>0</v>
      </c>
      <c r="AP3" s="174">
        <f>IFERROR(_xlfn.XLOOKUP($D3,'Modelling New'!$D:$D,'Modelling New'!$AK:$AK),"")</f>
        <v>0.05</v>
      </c>
      <c r="AQ3" s="174">
        <f>IFERROR(_xlfn.XLOOKUP($D3,'Modelling New'!$D:$D,'Modelling New'!$AL:$AL),"")</f>
        <v>0.05</v>
      </c>
      <c r="AR3" s="276">
        <f>IFERROR(_xlfn.XLOOKUP($D3,'Modelling New'!$D:$D,'Modelling New'!$N:$N),"")</f>
        <v>70.2</v>
      </c>
      <c r="AS3" s="276"/>
    </row>
    <row r="4" spans="1:45">
      <c r="A4" s="165">
        <f t="shared" si="3"/>
        <v>45747</v>
      </c>
      <c r="B4" s="166">
        <f>YEAR(Table13[[#This Row],[Date]])+IF(MONTH(Table13[[#This Row],[Date]])&gt;=4,1,0)</f>
        <v>2025</v>
      </c>
      <c r="C4" s="167">
        <f>YEAR(Table13[[#This Row],[Date]])</f>
        <v>2025</v>
      </c>
      <c r="D4" s="168">
        <f>Table13[[#This Row],[Date]]-DAY(Table13[[#This Row],[Date]])+1</f>
        <v>45717</v>
      </c>
      <c r="E4" s="167">
        <f t="shared" si="0"/>
        <v>31</v>
      </c>
      <c r="F4" s="169"/>
      <c r="G4" s="170"/>
      <c r="H4" s="170"/>
      <c r="I4" s="170"/>
      <c r="J4" s="170"/>
      <c r="K4" s="171"/>
      <c r="L4" s="170"/>
      <c r="M4" s="170">
        <f>IFERROR(_xlfn.XLOOKUP($A4,Input_Raw!$A:$A,Input_Raw!BG:BG),"")</f>
        <v>6.5130021386166925</v>
      </c>
      <c r="N4" s="170">
        <f>IFERROR(_xlfn.XLOOKUP($A4,Input_Raw!$A:$A,Input_Raw!BH:BH),"")</f>
        <v>0</v>
      </c>
      <c r="O4" s="173">
        <f t="shared" si="1"/>
        <v>1</v>
      </c>
      <c r="P4" s="173">
        <f>IFERROR(1-SUMIF(WTG_BD!$F:$F,$A4,WTG_BD!$AA:$AA)/($AA4+SUMIF(WTG_BD!$F:$F,$A4,WTG_BD!$AA:$AA)),"")</f>
        <v>1</v>
      </c>
      <c r="Q4" s="173">
        <f>IFERROR(1-SUMIF(IGA_BD!$F:$F,$A4,IGA_BD!$X:$X)/($AA4+SUMIF(IGA_BD!$F:$F,$A4,IGA_BD!$X:$X)),"")</f>
        <v>1</v>
      </c>
      <c r="R4" s="173">
        <f>IFERROR(1-SUMIF(Grid_BD!$F:$F,$A4,Grid_BD!$Y:$Y)/($AA4+SUMIF(Grid_BD!$F:$F,$A4,Grid_BD!$Y:$Y)),"")</f>
        <v>1</v>
      </c>
      <c r="S4" s="167"/>
      <c r="T4" s="172"/>
      <c r="U4" s="173"/>
      <c r="V4" s="167"/>
      <c r="W4" s="174">
        <f t="shared" si="2"/>
        <v>0.38381410256410253</v>
      </c>
      <c r="X4" s="167">
        <f>IFERROR(_xlfn.XLOOKUP($A4,Input_Raw!$A:$A,Input_Raw!$BF:$BF),"")</f>
        <v>667722</v>
      </c>
      <c r="Y4" s="167">
        <f>IFERROR(_xlfn.XLOOKUP($A4,Input_Raw!$A:$A,Input_Raw!BJ:BJ),"")</f>
        <v>646650</v>
      </c>
      <c r="Z4" s="167">
        <f>IFERROR(_xlfn.XLOOKUP($A4,Input_Raw!$A:$A,Input_Raw!BK:BK),"")</f>
        <v>0</v>
      </c>
      <c r="AA4" s="167">
        <f>IFERROR(_xlfn.XLOOKUP($A4,Input_Raw!$A:$A,Input_Raw!BL:BL),"")</f>
        <v>646650</v>
      </c>
      <c r="AB4" s="167">
        <f>IFERROR(_xlfn.XLOOKUP($A4,Input_Raw!$A:$A,Input_Raw!$BO:$BO),"")</f>
        <v>70.2</v>
      </c>
      <c r="AC4" s="176">
        <f>IFERROR(_xlfn.XLOOKUP($D4,'Modelling New'!$D:$D,'Modelling New'!$J:$J),"")</f>
        <v>6.89</v>
      </c>
      <c r="AD4" s="166">
        <f>IFERROR(_xlfn.XLOOKUP($D4,'Modelling New'!$D:$D,'Modelling New'!$T:$T)*1000,"")</f>
        <v>632771.03225806449</v>
      </c>
      <c r="AE4" s="174"/>
      <c r="AF4" s="174">
        <f>IFERROR(_xlfn.XLOOKUP($D4,'Modelling New'!$D:$D,'Modelling New'!$W:$W),"")</f>
        <v>0.37557634868118733</v>
      </c>
      <c r="AG4" s="174">
        <f>IFERROR(_xlfn.XLOOKUP($D4,'Modelling New'!$D:$D,'Modelling New'!$AE:$AE),"")</f>
        <v>0.96029999999999993</v>
      </c>
      <c r="AH4" s="174">
        <f>IFERROR(_xlfn.XLOOKUP($D4,'Modelling New'!$D:$D,'Modelling New'!$AF:$AF),"")</f>
        <v>0.995</v>
      </c>
      <c r="AI4" s="177">
        <f>IFERROR(_xlfn.XLOOKUP($A4,Input_Raw!$A:$A,Input_Raw!$BQ:$BQ),"")</f>
        <v>675.40492499999823</v>
      </c>
      <c r="AJ4" s="167"/>
      <c r="AK4" s="167"/>
      <c r="AL4" s="167"/>
      <c r="AM4" s="167"/>
      <c r="AN4" s="175">
        <f>IFERROR(_xlfn.XLOOKUP($A4,Input_Raw!$A:$A,Input_Raw!$BN:$BN),"")</f>
        <v>3.1558043616954363E-2</v>
      </c>
      <c r="AO4" s="174">
        <f>IFERROR((_xlfn.XLOOKUP($A4,'WTG Reactive Power'!$A:$A,'WTG Reactive Power'!$AE:$AE))/Table13[[#This Row],[Gen_Exp (kWh)]],"")</f>
        <v>0</v>
      </c>
      <c r="AP4" s="174">
        <f>IFERROR(_xlfn.XLOOKUP($D4,'Modelling New'!$D:$D,'Modelling New'!$AK:$AK),"")</f>
        <v>0.05</v>
      </c>
      <c r="AQ4" s="174">
        <f>IFERROR(_xlfn.XLOOKUP($D4,'Modelling New'!$D:$D,'Modelling New'!$AL:$AL),"")</f>
        <v>0.05</v>
      </c>
      <c r="AR4" s="276">
        <f>IFERROR(_xlfn.XLOOKUP($D4,'Modelling New'!$D:$D,'Modelling New'!$N:$N),"")</f>
        <v>70.2</v>
      </c>
      <c r="AS4" s="276"/>
    </row>
    <row r="5" spans="1:45">
      <c r="A5" s="165">
        <f t="shared" si="3"/>
        <v>45748</v>
      </c>
      <c r="B5" s="166">
        <f>YEAR(Table13[[#This Row],[Date]])+IF(MONTH(Table13[[#This Row],[Date]])&gt;=4,1,0)</f>
        <v>2026</v>
      </c>
      <c r="C5" s="167">
        <f>YEAR(Table13[[#This Row],[Date]])</f>
        <v>2025</v>
      </c>
      <c r="D5" s="168">
        <f>Table13[[#This Row],[Date]]-DAY(Table13[[#This Row],[Date]])+1</f>
        <v>45748</v>
      </c>
      <c r="E5" s="167">
        <f t="shared" si="0"/>
        <v>30</v>
      </c>
      <c r="F5" s="169"/>
      <c r="G5" s="176"/>
      <c r="H5" s="176"/>
      <c r="I5" s="176"/>
      <c r="J5" s="176"/>
      <c r="K5" s="171"/>
      <c r="L5" s="170"/>
      <c r="M5" s="170">
        <f>IFERROR(_xlfn.XLOOKUP($A5,Input_Raw!$A:$A,Input_Raw!BG:BG),"")</f>
        <v>6.0269097167138863</v>
      </c>
      <c r="N5" s="170">
        <f>IFERROR(_xlfn.XLOOKUP($A5,Input_Raw!$A:$A,Input_Raw!BH:BH),"")</f>
        <v>0</v>
      </c>
      <c r="O5" s="173">
        <f t="shared" si="1"/>
        <v>0.98286450896846134</v>
      </c>
      <c r="P5" s="173">
        <f>IFERROR(1-SUMIF(WTG_BD!$F:$F,$A5,WTG_BD!$AA:$AA)/($AA5+SUMIF(WTG_BD!$F:$F,$A5,WTG_BD!$AA:$AA)),"")</f>
        <v>0.98286450896846134</v>
      </c>
      <c r="Q5" s="173">
        <f>IFERROR(1-SUMIF(IGA_BD!$F:$F,$A5,IGA_BD!$X:$X)/($AA5+SUMIF(IGA_BD!$F:$F,$A5,IGA_BD!$X:$X)),"")</f>
        <v>1</v>
      </c>
      <c r="R5" s="173">
        <f>IFERROR(1-SUMIF(Grid_BD!$F:$F,$A5,Grid_BD!$Y:$Y)/($AA5+SUMIF(Grid_BD!$F:$F,$A5,Grid_BD!$Y:$Y)),"")</f>
        <v>1</v>
      </c>
      <c r="S5" s="167"/>
      <c r="T5" s="172"/>
      <c r="U5" s="173"/>
      <c r="V5" s="167"/>
      <c r="W5" s="174">
        <f t="shared" si="2"/>
        <v>0.31196581196581191</v>
      </c>
      <c r="X5" s="167">
        <f>IFERROR(_xlfn.XLOOKUP($A5,Input_Raw!$A:$A,Input_Raw!$BF:$BF),"")</f>
        <v>544118</v>
      </c>
      <c r="Y5" s="167">
        <f>IFERROR(_xlfn.XLOOKUP($A5,Input_Raw!$A:$A,Input_Raw!BJ:BJ),"")</f>
        <v>525600</v>
      </c>
      <c r="Z5" s="167">
        <f>IFERROR(_xlfn.XLOOKUP($A5,Input_Raw!$A:$A,Input_Raw!BK:BK),"")</f>
        <v>0</v>
      </c>
      <c r="AA5" s="167">
        <f>IFERROR(_xlfn.XLOOKUP($A5,Input_Raw!$A:$A,Input_Raw!BL:BL),"")</f>
        <v>525600</v>
      </c>
      <c r="AB5" s="167">
        <f>IFERROR(_xlfn.XLOOKUP($A5,Input_Raw!$A:$A,Input_Raw!$BO:$BO),"")</f>
        <v>70.2</v>
      </c>
      <c r="AC5" s="176">
        <f>IFERROR(_xlfn.XLOOKUP($D5,'Modelling New'!$D:$D,'Modelling New'!$J:$J),"")</f>
        <v>6.65</v>
      </c>
      <c r="AD5" s="166">
        <f>IFERROR(_xlfn.XLOOKUP($D5,'Modelling New'!$D:$D,'Modelling New'!$T:$T)*1000,"")</f>
        <v>697760.5424630543</v>
      </c>
      <c r="AE5" s="174"/>
      <c r="AF5" s="174">
        <f>IFERROR(_xlfn.XLOOKUP($D5,'Modelling New'!$D:$D,'Modelling New'!$W:$W),"")</f>
        <v>0.41415036945812811</v>
      </c>
      <c r="AG5" s="174">
        <f>IFERROR(_xlfn.XLOOKUP($D5,'Modelling New'!$D:$D,'Modelling New'!$AE:$AE),"")</f>
        <v>0.96029999999999993</v>
      </c>
      <c r="AH5" s="174">
        <f>IFERROR(_xlfn.XLOOKUP($D5,'Modelling New'!$D:$D,'Modelling New'!$AF:$AF),"")</f>
        <v>0.995</v>
      </c>
      <c r="AI5" s="177">
        <f>IFERROR(_xlfn.XLOOKUP($A5,Input_Raw!$A:$A,Input_Raw!$BQ:$BQ),"")</f>
        <v>664.42114166666602</v>
      </c>
      <c r="AJ5" s="167"/>
      <c r="AK5" s="167"/>
      <c r="AL5" s="167"/>
      <c r="AM5" s="167"/>
      <c r="AN5" s="216">
        <f>IFERROR(_xlfn.XLOOKUP($A5,Input_Raw!$A:$A,Input_Raw!$BN:$BN),"")</f>
        <v>3.4033059005583351E-2</v>
      </c>
      <c r="AO5" s="174">
        <f>IFERROR((_xlfn.XLOOKUP($A5,'WTG Reactive Power'!$A:$A,'WTG Reactive Power'!$AE:$AE))/Table13[[#This Row],[Gen_Exp (kWh)]],"")</f>
        <v>0</v>
      </c>
      <c r="AP5" s="174">
        <f>IFERROR(_xlfn.XLOOKUP($D5,'Modelling New'!$D:$D,'Modelling New'!$AK:$AK),"")</f>
        <v>0.05</v>
      </c>
      <c r="AQ5" s="174">
        <f>IFERROR(_xlfn.XLOOKUP($D5,'Modelling New'!$D:$D,'Modelling New'!$AL:$AL),"")</f>
        <v>0.05</v>
      </c>
      <c r="AR5" s="276">
        <f>IFERROR(_xlfn.XLOOKUP($D5,'Modelling New'!$D:$D,'Modelling New'!$N:$N),"")</f>
        <v>70.2</v>
      </c>
      <c r="AS5" s="276"/>
    </row>
    <row r="6" spans="1:45">
      <c r="A6" s="165">
        <f t="shared" si="3"/>
        <v>45749</v>
      </c>
      <c r="B6" s="166">
        <f>YEAR(Table13[[#This Row],[Date]])+IF(MONTH(Table13[[#This Row],[Date]])&gt;=4,1,0)</f>
        <v>2026</v>
      </c>
      <c r="C6" s="167">
        <f>YEAR(Table13[[#This Row],[Date]])</f>
        <v>2025</v>
      </c>
      <c r="D6" s="168">
        <f>Table13[[#This Row],[Date]]-DAY(Table13[[#This Row],[Date]])+1</f>
        <v>45748</v>
      </c>
      <c r="E6" s="167">
        <f t="shared" si="0"/>
        <v>30</v>
      </c>
      <c r="F6" s="169"/>
      <c r="G6" s="170"/>
      <c r="H6" s="170"/>
      <c r="I6" s="170"/>
      <c r="J6" s="170"/>
      <c r="K6" s="171"/>
      <c r="L6" s="170"/>
      <c r="M6" s="170">
        <f>IFERROR(_xlfn.XLOOKUP($A6,Input_Raw!$A:$A,Input_Raw!BG:BG),"")</f>
        <v>4.4381925953095074</v>
      </c>
      <c r="N6" s="170">
        <f>IFERROR(_xlfn.XLOOKUP($A6,Input_Raw!$A:$A,Input_Raw!BH:BH),"")</f>
        <v>0</v>
      </c>
      <c r="O6" s="173">
        <f t="shared" si="1"/>
        <v>0.98144556581332343</v>
      </c>
      <c r="P6" s="173">
        <f>IFERROR(1-SUMIF(WTG_BD!$F:$F,$A6,WTG_BD!$AA:$AA)/($AA6+SUMIF(WTG_BD!$F:$F,$A6,WTG_BD!$AA:$AA)),"")</f>
        <v>0.98144556581332343</v>
      </c>
      <c r="Q6" s="173">
        <f>IFERROR(1-SUMIF(IGA_BD!$F:$F,$A6,IGA_BD!$X:$X)/($AA6+SUMIF(IGA_BD!$F:$F,$A6,IGA_BD!$X:$X)),"")</f>
        <v>1</v>
      </c>
      <c r="R6" s="173">
        <f>IFERROR(1-SUMIF(Grid_BD!$F:$F,$A6,Grid_BD!$Y:$Y)/($AA6+SUMIF(Grid_BD!$F:$F,$A6,Grid_BD!$Y:$Y)),"")</f>
        <v>1</v>
      </c>
      <c r="S6" s="167"/>
      <c r="T6" s="172"/>
      <c r="U6" s="173"/>
      <c r="V6" s="167"/>
      <c r="W6" s="174">
        <f t="shared" si="2"/>
        <v>0.16372863247863245</v>
      </c>
      <c r="X6" s="167">
        <f>IFERROR(_xlfn.XLOOKUP($A6,Input_Raw!$A:$A,Input_Raw!$BF:$BF),"")</f>
        <v>285682</v>
      </c>
      <c r="Y6" s="167">
        <f>IFERROR(_xlfn.XLOOKUP($A6,Input_Raw!$A:$A,Input_Raw!BJ:BJ),"")</f>
        <v>275850</v>
      </c>
      <c r="Z6" s="167">
        <f>IFERROR(_xlfn.XLOOKUP($A6,Input_Raw!$A:$A,Input_Raw!BK:BK),"")</f>
        <v>0</v>
      </c>
      <c r="AA6" s="167">
        <f>IFERROR(_xlfn.XLOOKUP($A6,Input_Raw!$A:$A,Input_Raw!BL:BL),"")</f>
        <v>275850</v>
      </c>
      <c r="AB6" s="167">
        <f>IFERROR(_xlfn.XLOOKUP($A6,Input_Raw!$A:$A,Input_Raw!$BO:$BO),"")</f>
        <v>70.2</v>
      </c>
      <c r="AC6" s="176">
        <f>IFERROR(_xlfn.XLOOKUP($D6,'Modelling New'!$D:$D,'Modelling New'!$J:$J),"")</f>
        <v>6.65</v>
      </c>
      <c r="AD6" s="166">
        <f>IFERROR(_xlfn.XLOOKUP($D6,'Modelling New'!$D:$D,'Modelling New'!$T:$T)*1000,"")</f>
        <v>697760.5424630543</v>
      </c>
      <c r="AE6" s="174"/>
      <c r="AF6" s="174">
        <f>IFERROR(_xlfn.XLOOKUP($D6,'Modelling New'!$D:$D,'Modelling New'!$W:$W),"")</f>
        <v>0.41415036945812811</v>
      </c>
      <c r="AG6" s="174">
        <f>IFERROR(_xlfn.XLOOKUP($D6,'Modelling New'!$D:$D,'Modelling New'!$AE:$AE),"")</f>
        <v>0.96029999999999993</v>
      </c>
      <c r="AH6" s="174">
        <f>IFERROR(_xlfn.XLOOKUP($D6,'Modelling New'!$D:$D,'Modelling New'!$AF:$AF),"")</f>
        <v>0.995</v>
      </c>
      <c r="AI6" s="177">
        <f>IFERROR(_xlfn.XLOOKUP($A6,Input_Raw!$A:$A,Input_Raw!$BQ:$BQ),"")</f>
        <v>294.64035833333321</v>
      </c>
      <c r="AJ6" s="167"/>
      <c r="AK6" s="167"/>
      <c r="AL6" s="167"/>
      <c r="AM6" s="167"/>
      <c r="AN6" s="216">
        <f>IFERROR(_xlfn.XLOOKUP($A6,Input_Raw!$A:$A,Input_Raw!$BN:$BN),"")</f>
        <v>3.4415888995456487E-2</v>
      </c>
      <c r="AO6" s="174">
        <f>IFERROR((_xlfn.XLOOKUP($A6,'WTG Reactive Power'!$A:$A,'WTG Reactive Power'!$AE:$AE))/Table13[[#This Row],[Gen_Exp (kWh)]],"")</f>
        <v>0</v>
      </c>
      <c r="AP6" s="174">
        <f>IFERROR(_xlfn.XLOOKUP($D6,'Modelling New'!$D:$D,'Modelling New'!$AK:$AK),"")</f>
        <v>0.05</v>
      </c>
      <c r="AQ6" s="174">
        <f>IFERROR(_xlfn.XLOOKUP($D6,'Modelling New'!$D:$D,'Modelling New'!$AL:$AL),"")</f>
        <v>0.05</v>
      </c>
      <c r="AR6" s="276">
        <f>IFERROR(_xlfn.XLOOKUP($D6,'Modelling New'!$D:$D,'Modelling New'!$N:$N),"")</f>
        <v>70.2</v>
      </c>
      <c r="AS6" s="276"/>
    </row>
    <row r="7" spans="1:45">
      <c r="A7" s="165">
        <f t="shared" si="3"/>
        <v>45750</v>
      </c>
      <c r="B7" s="166">
        <f>YEAR(Table13[[#This Row],[Date]])+IF(MONTH(Table13[[#This Row],[Date]])&gt;=4,1,0)</f>
        <v>2026</v>
      </c>
      <c r="C7" s="167">
        <f>YEAR(Table13[[#This Row],[Date]])</f>
        <v>2025</v>
      </c>
      <c r="D7" s="168">
        <f>Table13[[#This Row],[Date]]-DAY(Table13[[#This Row],[Date]])+1</f>
        <v>45748</v>
      </c>
      <c r="E7" s="167">
        <f t="shared" si="0"/>
        <v>30</v>
      </c>
      <c r="F7" s="169"/>
      <c r="G7" s="176"/>
      <c r="H7" s="176"/>
      <c r="I7" s="176"/>
      <c r="J7" s="176"/>
      <c r="K7" s="171"/>
      <c r="L7" s="170"/>
      <c r="M7" s="170">
        <f>IFERROR(_xlfn.XLOOKUP($A7,Input_Raw!$A:$A,Input_Raw!BG:BG),"")</f>
        <v>4.848190264908002</v>
      </c>
      <c r="N7" s="170">
        <f>IFERROR(_xlfn.XLOOKUP($A7,Input_Raw!$A:$A,Input_Raw!BH:BH),"")</f>
        <v>0</v>
      </c>
      <c r="O7" s="173">
        <f t="shared" si="1"/>
        <v>0.97615984929805177</v>
      </c>
      <c r="P7" s="173">
        <f>IFERROR(1-SUMIF(WTG_BD!$F:$F,$A7,WTG_BD!$AA:$AA)/($AA7+SUMIF(WTG_BD!$F:$F,$A7,WTG_BD!$AA:$AA)),"")</f>
        <v>0.97651771808539567</v>
      </c>
      <c r="Q7" s="173">
        <f>IFERROR(1-SUMIF(IGA_BD!$F:$F,$A7,IGA_BD!$X:$X)/($AA7+SUMIF(IGA_BD!$F:$F,$A7,IGA_BD!$X:$X)),"")</f>
        <v>0.99963352555645835</v>
      </c>
      <c r="R7" s="173">
        <f>IFERROR(1-SUMIF(Grid_BD!$F:$F,$A7,Grid_BD!$Y:$Y)/($AA7+SUMIF(Grid_BD!$F:$F,$A7,Grid_BD!$Y:$Y)),"")</f>
        <v>1</v>
      </c>
      <c r="S7" s="167"/>
      <c r="T7" s="172"/>
      <c r="U7" s="173"/>
      <c r="V7" s="167"/>
      <c r="W7" s="174">
        <f t="shared" si="2"/>
        <v>0.20512820512820509</v>
      </c>
      <c r="X7" s="167">
        <f>IFERROR(_xlfn.XLOOKUP($A7,Input_Raw!$A:$A,Input_Raw!$BF:$BF),"")</f>
        <v>357239</v>
      </c>
      <c r="Y7" s="167">
        <f>IFERROR(_xlfn.XLOOKUP($A7,Input_Raw!$A:$A,Input_Raw!BJ:BJ),"")</f>
        <v>346050</v>
      </c>
      <c r="Z7" s="167">
        <f>IFERROR(_xlfn.XLOOKUP($A7,Input_Raw!$A:$A,Input_Raw!BK:BK),"")</f>
        <v>450</v>
      </c>
      <c r="AA7" s="167">
        <f>IFERROR(_xlfn.XLOOKUP($A7,Input_Raw!$A:$A,Input_Raw!BL:BL),"")</f>
        <v>345600</v>
      </c>
      <c r="AB7" s="167">
        <f>IFERROR(_xlfn.XLOOKUP($A7,Input_Raw!$A:$A,Input_Raw!$BO:$BO),"")</f>
        <v>70.2</v>
      </c>
      <c r="AC7" s="176">
        <f>IFERROR(_xlfn.XLOOKUP($D7,'Modelling New'!$D:$D,'Modelling New'!$J:$J),"")</f>
        <v>6.65</v>
      </c>
      <c r="AD7" s="166">
        <f>IFERROR(_xlfn.XLOOKUP($D7,'Modelling New'!$D:$D,'Modelling New'!$T:$T)*1000,"")</f>
        <v>697760.5424630543</v>
      </c>
      <c r="AE7" s="174"/>
      <c r="AF7" s="174">
        <f>IFERROR(_xlfn.XLOOKUP($D7,'Modelling New'!$D:$D,'Modelling New'!$W:$W),"")</f>
        <v>0.41415036945812811</v>
      </c>
      <c r="AG7" s="174">
        <f>IFERROR(_xlfn.XLOOKUP($D7,'Modelling New'!$D:$D,'Modelling New'!$AE:$AE),"")</f>
        <v>0.96029999999999993</v>
      </c>
      <c r="AH7" s="174">
        <f>IFERROR(_xlfn.XLOOKUP($D7,'Modelling New'!$D:$D,'Modelling New'!$AF:$AF),"")</f>
        <v>0.995</v>
      </c>
      <c r="AI7" s="177">
        <f>IFERROR(_xlfn.XLOOKUP($A7,Input_Raw!$A:$A,Input_Raw!$BQ:$BQ),"")</f>
        <v>371.21</v>
      </c>
      <c r="AJ7" s="167"/>
      <c r="AK7" s="167"/>
      <c r="AL7" s="167"/>
      <c r="AM7" s="167"/>
      <c r="AN7" s="216">
        <f>IFERROR(_xlfn.XLOOKUP($A7,Input_Raw!$A:$A,Input_Raw!$BN:$BN),"")</f>
        <v>3.1320768449133493E-2</v>
      </c>
      <c r="AO7" s="174">
        <f>IFERROR((_xlfn.XLOOKUP($A7,'WTG Reactive Power'!$A:$A,'WTG Reactive Power'!$AE:$AE))/Table13[[#This Row],[Gen_Exp (kWh)]],"")</f>
        <v>0</v>
      </c>
      <c r="AP7" s="174">
        <f>IFERROR(_xlfn.XLOOKUP($D7,'Modelling New'!$D:$D,'Modelling New'!$AK:$AK),"")</f>
        <v>0.05</v>
      </c>
      <c r="AQ7" s="174">
        <f>IFERROR(_xlfn.XLOOKUP($D7,'Modelling New'!$D:$D,'Modelling New'!$AL:$AL),"")</f>
        <v>0.05</v>
      </c>
      <c r="AR7" s="276">
        <f>IFERROR(_xlfn.XLOOKUP($D7,'Modelling New'!$D:$D,'Modelling New'!$N:$N),"")</f>
        <v>70.2</v>
      </c>
      <c r="AS7" s="276"/>
    </row>
    <row r="8" spans="1:45">
      <c r="A8" s="165">
        <f t="shared" si="3"/>
        <v>45751</v>
      </c>
      <c r="B8" s="166">
        <f>YEAR(Table13[[#This Row],[Date]])+IF(MONTH(Table13[[#This Row],[Date]])&gt;=4,1,0)</f>
        <v>2026</v>
      </c>
      <c r="C8" s="167">
        <f>YEAR(Table13[[#This Row],[Date]])</f>
        <v>2025</v>
      </c>
      <c r="D8" s="168">
        <f>Table13[[#This Row],[Date]]-DAY(Table13[[#This Row],[Date]])+1</f>
        <v>45748</v>
      </c>
      <c r="E8" s="167">
        <f t="shared" si="0"/>
        <v>30</v>
      </c>
      <c r="F8" s="169"/>
      <c r="G8" s="170"/>
      <c r="H8" s="170"/>
      <c r="I8" s="170"/>
      <c r="J8" s="170"/>
      <c r="K8" s="171"/>
      <c r="L8" s="170"/>
      <c r="M8" s="170">
        <f>IFERROR(_xlfn.XLOOKUP($A8,Input_Raw!$A:$A,Input_Raw!BG:BG),"")</f>
        <v>4.2849993333425322</v>
      </c>
      <c r="N8" s="170">
        <f>IFERROR(_xlfn.XLOOKUP($A8,Input_Raw!$A:$A,Input_Raw!BH:BH),"")</f>
        <v>0</v>
      </c>
      <c r="O8" s="173">
        <f t="shared" si="1"/>
        <v>0.97590520002321868</v>
      </c>
      <c r="P8" s="173">
        <f>IFERROR(1-SUMIF(WTG_BD!$F:$F,$A8,WTG_BD!$AA:$AA)/($AA8+SUMIF(WTG_BD!$F:$F,$A8,WTG_BD!$AA:$AA)),"")</f>
        <v>0.97590520002321868</v>
      </c>
      <c r="Q8" s="173">
        <f>IFERROR(1-SUMIF(IGA_BD!$F:$F,$A8,IGA_BD!$X:$X)/($AA8+SUMIF(IGA_BD!$F:$F,$A8,IGA_BD!$X:$X)),"")</f>
        <v>1</v>
      </c>
      <c r="R8" s="173">
        <f>IFERROR(1-SUMIF(Grid_BD!$F:$F,$A8,Grid_BD!$Y:$Y)/($AA8+SUMIF(Grid_BD!$F:$F,$A8,Grid_BD!$Y:$Y)),"")</f>
        <v>1</v>
      </c>
      <c r="S8" s="167"/>
      <c r="T8" s="172"/>
      <c r="U8" s="173"/>
      <c r="V8" s="167"/>
      <c r="W8" s="174">
        <f t="shared" si="2"/>
        <v>0.15251068376068375</v>
      </c>
      <c r="X8" s="167">
        <f>IFERROR(_xlfn.XLOOKUP($A8,Input_Raw!$A:$A,Input_Raw!$BF:$BF),"")</f>
        <v>269263</v>
      </c>
      <c r="Y8" s="167">
        <f>IFERROR(_xlfn.XLOOKUP($A8,Input_Raw!$A:$A,Input_Raw!BJ:BJ),"")</f>
        <v>257400</v>
      </c>
      <c r="Z8" s="167">
        <f>IFERROR(_xlfn.XLOOKUP($A8,Input_Raw!$A:$A,Input_Raw!BK:BK),"")</f>
        <v>450</v>
      </c>
      <c r="AA8" s="167">
        <f>IFERROR(_xlfn.XLOOKUP($A8,Input_Raw!$A:$A,Input_Raw!BL:BL),"")</f>
        <v>256950</v>
      </c>
      <c r="AB8" s="167">
        <f>IFERROR(_xlfn.XLOOKUP($A8,Input_Raw!$A:$A,Input_Raw!$BO:$BO),"")</f>
        <v>70.2</v>
      </c>
      <c r="AC8" s="176">
        <f>IFERROR(_xlfn.XLOOKUP($D8,'Modelling New'!$D:$D,'Modelling New'!$J:$J),"")</f>
        <v>6.65</v>
      </c>
      <c r="AD8" s="166">
        <f>IFERROR(_xlfn.XLOOKUP($D8,'Modelling New'!$D:$D,'Modelling New'!$T:$T)*1000,"")</f>
        <v>697760.5424630543</v>
      </c>
      <c r="AE8" s="174"/>
      <c r="AF8" s="174">
        <f>IFERROR(_xlfn.XLOOKUP($D8,'Modelling New'!$D:$D,'Modelling New'!$W:$W),"")</f>
        <v>0.41415036945812811</v>
      </c>
      <c r="AG8" s="174">
        <f>IFERROR(_xlfn.XLOOKUP($D8,'Modelling New'!$D:$D,'Modelling New'!$AE:$AE),"")</f>
        <v>0.96029999999999993</v>
      </c>
      <c r="AH8" s="174">
        <f>IFERROR(_xlfn.XLOOKUP($D8,'Modelling New'!$D:$D,'Modelling New'!$AF:$AF),"")</f>
        <v>0.995</v>
      </c>
      <c r="AI8" s="177">
        <f>IFERROR(_xlfn.XLOOKUP($A8,Input_Raw!$A:$A,Input_Raw!$BQ:$BQ),"")</f>
        <v>281.07</v>
      </c>
      <c r="AJ8" s="167"/>
      <c r="AK8" s="167"/>
      <c r="AL8" s="167"/>
      <c r="AM8" s="167"/>
      <c r="AN8" s="216">
        <f>IFERROR(_xlfn.XLOOKUP($A8,Input_Raw!$A:$A,Input_Raw!$BN:$BN),"")</f>
        <v>4.4057297140713728E-2</v>
      </c>
      <c r="AO8" s="174">
        <f>IFERROR((_xlfn.XLOOKUP($A8,'WTG Reactive Power'!$A:$A,'WTG Reactive Power'!$AE:$AE))/Table13[[#This Row],[Gen_Exp (kWh)]],"")</f>
        <v>4.8463398238896569E-3</v>
      </c>
      <c r="AP8" s="174">
        <f>IFERROR(_xlfn.XLOOKUP($D8,'Modelling New'!$D:$D,'Modelling New'!$AK:$AK),"")</f>
        <v>0.05</v>
      </c>
      <c r="AQ8" s="174">
        <f>IFERROR(_xlfn.XLOOKUP($D8,'Modelling New'!$D:$D,'Modelling New'!$AL:$AL),"")</f>
        <v>0.05</v>
      </c>
      <c r="AR8" s="276">
        <f>IFERROR(_xlfn.XLOOKUP($D8,'Modelling New'!$D:$D,'Modelling New'!$N:$N),"")</f>
        <v>70.2</v>
      </c>
      <c r="AS8" s="276"/>
    </row>
    <row r="9" spans="1:45">
      <c r="A9" s="165">
        <f t="shared" si="3"/>
        <v>45752</v>
      </c>
      <c r="B9" s="166">
        <f>YEAR(Table13[[#This Row],[Date]])+IF(MONTH(Table13[[#This Row],[Date]])&gt;=4,1,0)</f>
        <v>2026</v>
      </c>
      <c r="C9" s="167">
        <f>YEAR(Table13[[#This Row],[Date]])</f>
        <v>2025</v>
      </c>
      <c r="D9" s="168">
        <f>Table13[[#This Row],[Date]]-DAY(Table13[[#This Row],[Date]])+1</f>
        <v>45748</v>
      </c>
      <c r="E9" s="167">
        <f t="shared" si="0"/>
        <v>30</v>
      </c>
      <c r="F9" s="169"/>
      <c r="G9" s="176"/>
      <c r="H9" s="176"/>
      <c r="I9" s="176"/>
      <c r="J9" s="176"/>
      <c r="K9" s="171"/>
      <c r="L9" s="170"/>
      <c r="M9" s="170">
        <f>IFERROR(_xlfn.XLOOKUP($A9,Input_Raw!$A:$A,Input_Raw!BG:BG),"")</f>
        <v>4.3638956124082213</v>
      </c>
      <c r="N9" s="170">
        <f>IFERROR(_xlfn.XLOOKUP($A9,Input_Raw!$A:$A,Input_Raw!BH:BH),"")</f>
        <v>0</v>
      </c>
      <c r="O9" s="173">
        <f t="shared" si="1"/>
        <v>0.94684072820535292</v>
      </c>
      <c r="P9" s="173">
        <f>IFERROR(1-SUMIF(WTG_BD!$F:$F,$A9,WTG_BD!$AA:$AA)/($AA9+SUMIF(WTG_BD!$F:$F,$A9,WTG_BD!$AA:$AA)),"")</f>
        <v>0.95602549583571095</v>
      </c>
      <c r="Q9" s="173">
        <f>IFERROR(1-SUMIF(IGA_BD!$F:$F,$A9,IGA_BD!$X:$X)/($AA9+SUMIF(IGA_BD!$F:$F,$A9,IGA_BD!$X:$X)),"")</f>
        <v>0.99039275869695387</v>
      </c>
      <c r="R9" s="173">
        <f>IFERROR(1-SUMIF(Grid_BD!$F:$F,$A9,Grid_BD!$Y:$Y)/($AA9+SUMIF(Grid_BD!$F:$F,$A9,Grid_BD!$Y:$Y)),"")</f>
        <v>1</v>
      </c>
      <c r="S9" s="167"/>
      <c r="T9" s="172"/>
      <c r="U9" s="173"/>
      <c r="V9" s="167"/>
      <c r="W9" s="174">
        <f t="shared" si="2"/>
        <v>0.12713675213675213</v>
      </c>
      <c r="X9" s="167">
        <f>IFERROR(_xlfn.XLOOKUP($A9,Input_Raw!$A:$A,Input_Raw!$BF:$BF),"")</f>
        <v>223271</v>
      </c>
      <c r="Y9" s="167">
        <f>IFERROR(_xlfn.XLOOKUP($A9,Input_Raw!$A:$A,Input_Raw!BJ:BJ),"")</f>
        <v>214200</v>
      </c>
      <c r="Z9" s="167">
        <f>IFERROR(_xlfn.XLOOKUP($A9,Input_Raw!$A:$A,Input_Raw!BK:BK),"")</f>
        <v>0</v>
      </c>
      <c r="AA9" s="167">
        <f>IFERROR(_xlfn.XLOOKUP($A9,Input_Raw!$A:$A,Input_Raw!BL:BL),"")</f>
        <v>214200</v>
      </c>
      <c r="AB9" s="167">
        <f>IFERROR(_xlfn.XLOOKUP($A9,Input_Raw!$A:$A,Input_Raw!$BO:$BO),"")</f>
        <v>70.2</v>
      </c>
      <c r="AC9" s="176">
        <f>IFERROR(_xlfn.XLOOKUP($D9,'Modelling New'!$D:$D,'Modelling New'!$J:$J),"")</f>
        <v>6.65</v>
      </c>
      <c r="AD9" s="166">
        <f>IFERROR(_xlfn.XLOOKUP($D9,'Modelling New'!$D:$D,'Modelling New'!$T:$T)*1000,"")</f>
        <v>697760.5424630543</v>
      </c>
      <c r="AE9" s="174"/>
      <c r="AF9" s="174">
        <f>IFERROR(_xlfn.XLOOKUP($D9,'Modelling New'!$D:$D,'Modelling New'!$W:$W),"")</f>
        <v>0.41415036945812811</v>
      </c>
      <c r="AG9" s="174">
        <f>IFERROR(_xlfn.XLOOKUP($D9,'Modelling New'!$D:$D,'Modelling New'!$AE:$AE),"")</f>
        <v>0.96029999999999993</v>
      </c>
      <c r="AH9" s="174">
        <f>IFERROR(_xlfn.XLOOKUP($D9,'Modelling New'!$D:$D,'Modelling New'!$AF:$AF),"")</f>
        <v>0.995</v>
      </c>
      <c r="AI9" s="177">
        <f>IFERROR(_xlfn.XLOOKUP($A9,Input_Raw!$A:$A,Input_Raw!$BQ:$BQ),"")</f>
        <v>230.95</v>
      </c>
      <c r="AJ9" s="167"/>
      <c r="AK9" s="167"/>
      <c r="AL9" s="167"/>
      <c r="AM9" s="167"/>
      <c r="AN9" s="175">
        <f>IFERROR(_xlfn.XLOOKUP($A9,Input_Raw!$A:$A,Input_Raw!$BN:$BN),"")</f>
        <v>4.062775729942536E-2</v>
      </c>
      <c r="AO9" s="174">
        <f>IFERROR((_xlfn.XLOOKUP($A9,'WTG Reactive Power'!$A:$A,'WTG Reactive Power'!$AE:$AE))/Table13[[#This Row],[Gen_Exp (kWh)]],"")</f>
        <v>4.0303487689847773E-3</v>
      </c>
      <c r="AP9" s="174">
        <f>IFERROR(_xlfn.XLOOKUP($D9,'Modelling New'!$D:$D,'Modelling New'!$AK:$AK),"")</f>
        <v>0.05</v>
      </c>
      <c r="AQ9" s="174">
        <f>IFERROR(_xlfn.XLOOKUP($D9,'Modelling New'!$D:$D,'Modelling New'!$AL:$AL),"")</f>
        <v>0.05</v>
      </c>
      <c r="AR9" s="276">
        <f>IFERROR(_xlfn.XLOOKUP($D9,'Modelling New'!$D:$D,'Modelling New'!$N:$N),"")</f>
        <v>70.2</v>
      </c>
      <c r="AS9" s="276"/>
    </row>
    <row r="10" spans="1:45">
      <c r="A10" s="165">
        <f t="shared" si="3"/>
        <v>45753</v>
      </c>
      <c r="B10" s="166">
        <f>YEAR(Table13[[#This Row],[Date]])+IF(MONTH(Table13[[#This Row],[Date]])&gt;=4,1,0)</f>
        <v>2026</v>
      </c>
      <c r="C10" s="167">
        <f>YEAR(Table13[[#This Row],[Date]])</f>
        <v>2025</v>
      </c>
      <c r="D10" s="168">
        <f>Table13[[#This Row],[Date]]-DAY(Table13[[#This Row],[Date]])+1</f>
        <v>45748</v>
      </c>
      <c r="E10" s="167">
        <f t="shared" si="0"/>
        <v>30</v>
      </c>
      <c r="F10" s="169"/>
      <c r="G10" s="170"/>
      <c r="H10" s="170"/>
      <c r="I10" s="170"/>
      <c r="J10" s="170"/>
      <c r="K10" s="171"/>
      <c r="L10" s="170"/>
      <c r="M10" s="170">
        <f>IFERROR(_xlfn.XLOOKUP($A10,Input_Raw!$A:$A,Input_Raw!BG:BG),"")</f>
        <v>6.43857639103524</v>
      </c>
      <c r="N10" s="170">
        <f>IFERROR(_xlfn.XLOOKUP($A10,Input_Raw!$A:$A,Input_Raw!BH:BH),"")</f>
        <v>0</v>
      </c>
      <c r="O10" s="173">
        <f t="shared" si="1"/>
        <v>0.98397972291934666</v>
      </c>
      <c r="P10" s="173">
        <f>IFERROR(1-SUMIF(WTG_BD!$F:$F,$A10,WTG_BD!$AA:$AA)/($AA10+SUMIF(WTG_BD!$F:$F,$A10,WTG_BD!$AA:$AA)),"")</f>
        <v>0.98397972291934666</v>
      </c>
      <c r="Q10" s="173">
        <f>IFERROR(1-SUMIF(IGA_BD!$F:$F,$A10,IGA_BD!$X:$X)/($AA10+SUMIF(IGA_BD!$F:$F,$A10,IGA_BD!$X:$X)),"")</f>
        <v>1</v>
      </c>
      <c r="R10" s="173">
        <f>IFERROR(1-SUMIF(Grid_BD!$F:$F,$A10,Grid_BD!$Y:$Y)/($AA10+SUMIF(Grid_BD!$F:$F,$A10,Grid_BD!$Y:$Y)),"")</f>
        <v>1</v>
      </c>
      <c r="S10" s="167"/>
      <c r="T10" s="172"/>
      <c r="U10" s="173"/>
      <c r="V10" s="167"/>
      <c r="W10" s="174">
        <f t="shared" si="2"/>
        <v>0.35790598290598286</v>
      </c>
      <c r="X10" s="167">
        <f>IFERROR(_xlfn.XLOOKUP($A10,Input_Raw!$A:$A,Input_Raw!$BF:$BF),"")</f>
        <v>620284</v>
      </c>
      <c r="Y10" s="167">
        <f>IFERROR(_xlfn.XLOOKUP($A10,Input_Raw!$A:$A,Input_Raw!BJ:BJ),"")</f>
        <v>603000</v>
      </c>
      <c r="Z10" s="167">
        <f>IFERROR(_xlfn.XLOOKUP($A10,Input_Raw!$A:$A,Input_Raw!BK:BK),"")</f>
        <v>0</v>
      </c>
      <c r="AA10" s="167">
        <f>IFERROR(_xlfn.XLOOKUP($A10,Input_Raw!$A:$A,Input_Raw!BL:BL),"")</f>
        <v>603000</v>
      </c>
      <c r="AB10" s="167">
        <f>IFERROR(_xlfn.XLOOKUP($A10,Input_Raw!$A:$A,Input_Raw!$BO:$BO),"")</f>
        <v>70.2</v>
      </c>
      <c r="AC10" s="176">
        <f>IFERROR(_xlfn.XLOOKUP($D10,'Modelling New'!$D:$D,'Modelling New'!$J:$J),"")</f>
        <v>6.65</v>
      </c>
      <c r="AD10" s="166">
        <f>IFERROR(_xlfn.XLOOKUP($D10,'Modelling New'!$D:$D,'Modelling New'!$T:$T)*1000,"")</f>
        <v>697760.5424630543</v>
      </c>
      <c r="AE10" s="174"/>
      <c r="AF10" s="174">
        <f>IFERROR(_xlfn.XLOOKUP($D10,'Modelling New'!$D:$D,'Modelling New'!$W:$W),"")</f>
        <v>0.41415036945812811</v>
      </c>
      <c r="AG10" s="174">
        <f>IFERROR(_xlfn.XLOOKUP($D10,'Modelling New'!$D:$D,'Modelling New'!$AE:$AE),"")</f>
        <v>0.96029999999999993</v>
      </c>
      <c r="AH10" s="174">
        <f>IFERROR(_xlfn.XLOOKUP($D10,'Modelling New'!$D:$D,'Modelling New'!$AF:$AF),"")</f>
        <v>0.995</v>
      </c>
      <c r="AI10" s="177">
        <f>IFERROR(_xlfn.XLOOKUP($A10,Input_Raw!$A:$A,Input_Raw!$BQ:$BQ),"")</f>
        <v>667.03</v>
      </c>
      <c r="AJ10" s="167"/>
      <c r="AK10" s="167"/>
      <c r="AL10" s="167"/>
      <c r="AM10" s="167"/>
      <c r="AN10" s="175">
        <f>IFERROR(_xlfn.XLOOKUP($A10,Input_Raw!$A:$A,Input_Raw!$BN:$BN),"")</f>
        <v>2.7864655544879442E-2</v>
      </c>
      <c r="AO10" s="174">
        <f>IFERROR((_xlfn.XLOOKUP($A10,'WTG Reactive Power'!$A:$A,'WTG Reactive Power'!$AE:$AE))/Table13[[#This Row],[Gen_Exp (kWh)]],"")</f>
        <v>5.0781577470964939E-3</v>
      </c>
      <c r="AP10" s="174">
        <f>IFERROR(_xlfn.XLOOKUP($D10,'Modelling New'!$D:$D,'Modelling New'!$AK:$AK),"")</f>
        <v>0.05</v>
      </c>
      <c r="AQ10" s="174">
        <f>IFERROR(_xlfn.XLOOKUP($D10,'Modelling New'!$D:$D,'Modelling New'!$AL:$AL),"")</f>
        <v>0.05</v>
      </c>
      <c r="AR10" s="276">
        <f>IFERROR(_xlfn.XLOOKUP($D10,'Modelling New'!$D:$D,'Modelling New'!$N:$N),"")</f>
        <v>70.2</v>
      </c>
      <c r="AS10" s="276"/>
    </row>
    <row r="11" spans="1:45">
      <c r="A11" s="165">
        <f t="shared" si="3"/>
        <v>45754</v>
      </c>
      <c r="B11" s="166">
        <f>YEAR(Table13[[#This Row],[Date]])+IF(MONTH(Table13[[#This Row],[Date]])&gt;=4,1,0)</f>
        <v>2026</v>
      </c>
      <c r="C11" s="167">
        <f>YEAR(Table13[[#This Row],[Date]])</f>
        <v>2025</v>
      </c>
      <c r="D11" s="168">
        <f>Table13[[#This Row],[Date]]-DAY(Table13[[#This Row],[Date]])+1</f>
        <v>45748</v>
      </c>
      <c r="E11" s="167">
        <f t="shared" si="0"/>
        <v>30</v>
      </c>
      <c r="F11" s="169"/>
      <c r="G11" s="176"/>
      <c r="H11" s="176"/>
      <c r="I11" s="176"/>
      <c r="J11" s="176"/>
      <c r="K11" s="171"/>
      <c r="L11" s="170"/>
      <c r="M11" s="170">
        <f>IFERROR(_xlfn.XLOOKUP($A11,Input_Raw!$A:$A,Input_Raw!BG:BG),"")</f>
        <v>7.1744298151518429</v>
      </c>
      <c r="N11" s="170">
        <f>IFERROR(_xlfn.XLOOKUP($A11,Input_Raw!$A:$A,Input_Raw!BH:BH),"")</f>
        <v>0</v>
      </c>
      <c r="O11" s="173">
        <f t="shared" si="1"/>
        <v>0.96775064542953471</v>
      </c>
      <c r="P11" s="173">
        <f>IFERROR(1-SUMIF(WTG_BD!$F:$F,$A11,WTG_BD!$AA:$AA)/($AA11+SUMIF(WTG_BD!$F:$F,$A11,WTG_BD!$AA:$AA)),"")</f>
        <v>0.9754159023894845</v>
      </c>
      <c r="Q11" s="173">
        <f>IFERROR(1-SUMIF(IGA_BD!$F:$F,$A11,IGA_BD!$X:$X)/($AA11+SUMIF(IGA_BD!$F:$F,$A11,IGA_BD!$X:$X)),"")</f>
        <v>0.99214155014166561</v>
      </c>
      <c r="R11" s="173">
        <f>IFERROR(1-SUMIF(Grid_BD!$F:$F,$A11,Grid_BD!$Y:$Y)/($AA11+SUMIF(Grid_BD!$F:$F,$A11,Grid_BD!$Y:$Y)),"")</f>
        <v>1</v>
      </c>
      <c r="S11" s="167"/>
      <c r="T11" s="172"/>
      <c r="U11" s="173"/>
      <c r="V11" s="167"/>
      <c r="W11" s="174">
        <f t="shared" si="2"/>
        <v>0.47649572649572641</v>
      </c>
      <c r="X11" s="167">
        <f>IFERROR(_xlfn.XLOOKUP($A11,Input_Raw!$A:$A,Input_Raw!$BF:$BF),"")</f>
        <v>834723</v>
      </c>
      <c r="Y11" s="167">
        <f>IFERROR(_xlfn.XLOOKUP($A11,Input_Raw!$A:$A,Input_Raw!BJ:BJ),"")</f>
        <v>802800</v>
      </c>
      <c r="Z11" s="167">
        <f>IFERROR(_xlfn.XLOOKUP($A11,Input_Raw!$A:$A,Input_Raw!BK:BK),"")</f>
        <v>0</v>
      </c>
      <c r="AA11" s="167">
        <f>IFERROR(_xlfn.XLOOKUP($A11,Input_Raw!$A:$A,Input_Raw!BL:BL),"")</f>
        <v>802800</v>
      </c>
      <c r="AB11" s="167">
        <f>IFERROR(_xlfn.XLOOKUP($A11,Input_Raw!$A:$A,Input_Raw!$BO:$BO),"")</f>
        <v>70.2</v>
      </c>
      <c r="AC11" s="176">
        <f>IFERROR(_xlfn.XLOOKUP($D11,'Modelling New'!$D:$D,'Modelling New'!$J:$J),"")</f>
        <v>6.65</v>
      </c>
      <c r="AD11" s="166">
        <f>IFERROR(_xlfn.XLOOKUP($D11,'Modelling New'!$D:$D,'Modelling New'!$T:$T)*1000,"")</f>
        <v>697760.5424630543</v>
      </c>
      <c r="AE11" s="174"/>
      <c r="AF11" s="174">
        <f>IFERROR(_xlfn.XLOOKUP($D11,'Modelling New'!$D:$D,'Modelling New'!$W:$W),"")</f>
        <v>0.41415036945812811</v>
      </c>
      <c r="AG11" s="174">
        <f>IFERROR(_xlfn.XLOOKUP($D11,'Modelling New'!$D:$D,'Modelling New'!$AE:$AE),"")</f>
        <v>0.96029999999999993</v>
      </c>
      <c r="AH11" s="174">
        <f>IFERROR(_xlfn.XLOOKUP($D11,'Modelling New'!$D:$D,'Modelling New'!$AF:$AF),"")</f>
        <v>0.995</v>
      </c>
      <c r="AI11" s="177">
        <f>IFERROR(_xlfn.XLOOKUP($A11,Input_Raw!$A:$A,Input_Raw!$BQ:$BQ),"")</f>
        <v>890.54</v>
      </c>
      <c r="AJ11" s="167"/>
      <c r="AK11" s="167"/>
      <c r="AL11" s="167"/>
      <c r="AM11" s="167"/>
      <c r="AN11" s="175">
        <f>IFERROR(_xlfn.XLOOKUP($A11,Input_Raw!$A:$A,Input_Raw!$BN:$BN),"")</f>
        <v>3.8243824598100211E-2</v>
      </c>
      <c r="AO11" s="174">
        <f>IFERROR((_xlfn.XLOOKUP($A11,'WTG Reactive Power'!$A:$A,'WTG Reactive Power'!$AE:$AE))/Table13[[#This Row],[Gen_Exp (kWh)]],"")</f>
        <v>3.8275978977457194E-2</v>
      </c>
      <c r="AP11" s="174">
        <f>IFERROR(_xlfn.XLOOKUP($D11,'Modelling New'!$D:$D,'Modelling New'!$AK:$AK),"")</f>
        <v>0.05</v>
      </c>
      <c r="AQ11" s="174">
        <f>IFERROR(_xlfn.XLOOKUP($D11,'Modelling New'!$D:$D,'Modelling New'!$AL:$AL),"")</f>
        <v>0.05</v>
      </c>
      <c r="AR11" s="276">
        <f>IFERROR(_xlfn.XLOOKUP($D11,'Modelling New'!$D:$D,'Modelling New'!$N:$N),"")</f>
        <v>70.2</v>
      </c>
      <c r="AS11" s="276"/>
    </row>
    <row r="12" spans="1:45">
      <c r="A12" s="165">
        <f t="shared" si="3"/>
        <v>45755</v>
      </c>
      <c r="B12" s="166">
        <f>YEAR(Table13[[#This Row],[Date]])+IF(MONTH(Table13[[#This Row],[Date]])&gt;=4,1,0)</f>
        <v>2026</v>
      </c>
      <c r="C12" s="167">
        <f>YEAR(Table13[[#This Row],[Date]])</f>
        <v>2025</v>
      </c>
      <c r="D12" s="168">
        <f>Table13[[#This Row],[Date]]-DAY(Table13[[#This Row],[Date]])+1</f>
        <v>45748</v>
      </c>
      <c r="E12" s="167">
        <f t="shared" si="0"/>
        <v>30</v>
      </c>
      <c r="F12" s="169"/>
      <c r="G12" s="170"/>
      <c r="H12" s="170"/>
      <c r="I12" s="170"/>
      <c r="J12" s="170"/>
      <c r="K12" s="171"/>
      <c r="L12" s="170"/>
      <c r="M12" s="170">
        <f>IFERROR(_xlfn.XLOOKUP($A12,Input_Raw!$A:$A,Input_Raw!BG:BG),"")</f>
        <v>7.0790919906407161</v>
      </c>
      <c r="N12" s="170">
        <f>IFERROR(_xlfn.XLOOKUP($A12,Input_Raw!$A:$A,Input_Raw!BH:BH),"")</f>
        <v>0</v>
      </c>
      <c r="O12" s="173">
        <f t="shared" si="1"/>
        <v>0.97183444830491272</v>
      </c>
      <c r="P12" s="173">
        <f>IFERROR(1-SUMIF(WTG_BD!$F:$F,$A12,WTG_BD!$AA:$AA)/($AA12+SUMIF(WTG_BD!$F:$F,$A12,WTG_BD!$AA:$AA)),"")</f>
        <v>0.97183444830491272</v>
      </c>
      <c r="Q12" s="173">
        <f>IFERROR(1-SUMIF(IGA_BD!$F:$F,$A12,IGA_BD!$X:$X)/($AA12+SUMIF(IGA_BD!$F:$F,$A12,IGA_BD!$X:$X)),"")</f>
        <v>1</v>
      </c>
      <c r="R12" s="173">
        <f>IFERROR(1-SUMIF(Grid_BD!$F:$F,$A12,Grid_BD!$Y:$Y)/($AA12+SUMIF(Grid_BD!$F:$F,$A12,Grid_BD!$Y:$Y)),"")</f>
        <v>1</v>
      </c>
      <c r="S12" s="167"/>
      <c r="T12" s="172"/>
      <c r="U12" s="173"/>
      <c r="V12" s="167"/>
      <c r="W12" s="174">
        <f t="shared" si="2"/>
        <v>0.47088675213675207</v>
      </c>
      <c r="X12" s="167">
        <f>IFERROR(_xlfn.XLOOKUP($A12,Input_Raw!$A:$A,Input_Raw!$BF:$BF),"")</f>
        <v>823138</v>
      </c>
      <c r="Y12" s="167">
        <f>IFERROR(_xlfn.XLOOKUP($A12,Input_Raw!$A:$A,Input_Raw!BJ:BJ),"")</f>
        <v>793800</v>
      </c>
      <c r="Z12" s="167">
        <f>IFERROR(_xlfn.XLOOKUP($A12,Input_Raw!$A:$A,Input_Raw!BK:BK),"")</f>
        <v>450</v>
      </c>
      <c r="AA12" s="167">
        <f>IFERROR(_xlfn.XLOOKUP($A12,Input_Raw!$A:$A,Input_Raw!BL:BL),"")</f>
        <v>793350</v>
      </c>
      <c r="AB12" s="167">
        <f>IFERROR(_xlfn.XLOOKUP($A12,Input_Raw!$A:$A,Input_Raw!$BO:$BO),"")</f>
        <v>70.2</v>
      </c>
      <c r="AC12" s="176">
        <f>IFERROR(_xlfn.XLOOKUP($D12,'Modelling New'!$D:$D,'Modelling New'!$J:$J),"")</f>
        <v>6.65</v>
      </c>
      <c r="AD12" s="166">
        <f>IFERROR(_xlfn.XLOOKUP($D12,'Modelling New'!$D:$D,'Modelling New'!$T:$T)*1000,"")</f>
        <v>697760.5424630543</v>
      </c>
      <c r="AE12" s="174"/>
      <c r="AF12" s="174">
        <f>IFERROR(_xlfn.XLOOKUP($D12,'Modelling New'!$D:$D,'Modelling New'!$W:$W),"")</f>
        <v>0.41415036945812811</v>
      </c>
      <c r="AG12" s="174">
        <f>IFERROR(_xlfn.XLOOKUP($D12,'Modelling New'!$D:$D,'Modelling New'!$AE:$AE),"")</f>
        <v>0.96029999999999993</v>
      </c>
      <c r="AH12" s="174">
        <f>IFERROR(_xlfn.XLOOKUP($D12,'Modelling New'!$D:$D,'Modelling New'!$AF:$AF),"")</f>
        <v>0.995</v>
      </c>
      <c r="AI12" s="177">
        <f>IFERROR(_xlfn.XLOOKUP($A12,Input_Raw!$A:$A,Input_Raw!$BQ:$BQ),"")</f>
        <v>885.16</v>
      </c>
      <c r="AJ12" s="167"/>
      <c r="AK12" s="167"/>
      <c r="AL12" s="167"/>
      <c r="AM12" s="167"/>
      <c r="AN12" s="175">
        <f>IFERROR(_xlfn.XLOOKUP($A12,Input_Raw!$A:$A,Input_Raw!$BN:$BN),"")</f>
        <v>3.5641654254815108E-2</v>
      </c>
      <c r="AO12" s="174">
        <f>IFERROR((_xlfn.XLOOKUP($A12,'WTG Reactive Power'!$A:$A,'WTG Reactive Power'!$AE:$AE))/Table13[[#This Row],[Gen_Exp (kWh)]],"")</f>
        <v>3.279936049605291E-3</v>
      </c>
      <c r="AP12" s="174">
        <f>IFERROR(_xlfn.XLOOKUP($D12,'Modelling New'!$D:$D,'Modelling New'!$AK:$AK),"")</f>
        <v>0.05</v>
      </c>
      <c r="AQ12" s="174">
        <f>IFERROR(_xlfn.XLOOKUP($D12,'Modelling New'!$D:$D,'Modelling New'!$AL:$AL),"")</f>
        <v>0.05</v>
      </c>
      <c r="AR12" s="276">
        <f>IFERROR(_xlfn.XLOOKUP($D12,'Modelling New'!$D:$D,'Modelling New'!$N:$N),"")</f>
        <v>70.2</v>
      </c>
      <c r="AS12" s="276"/>
    </row>
    <row r="13" spans="1:45">
      <c r="A13" s="165">
        <f t="shared" si="3"/>
        <v>45756</v>
      </c>
      <c r="B13" s="166">
        <f>YEAR(Table13[[#This Row],[Date]])+IF(MONTH(Table13[[#This Row],[Date]])&gt;=4,1,0)</f>
        <v>2026</v>
      </c>
      <c r="C13" s="167">
        <f>YEAR(Table13[[#This Row],[Date]])</f>
        <v>2025</v>
      </c>
      <c r="D13" s="168">
        <f>Table13[[#This Row],[Date]]-DAY(Table13[[#This Row],[Date]])+1</f>
        <v>45748</v>
      </c>
      <c r="E13" s="167">
        <f t="shared" si="0"/>
        <v>30</v>
      </c>
      <c r="F13" s="169"/>
      <c r="G13" s="176"/>
      <c r="H13" s="176"/>
      <c r="I13" s="176"/>
      <c r="J13" s="176"/>
      <c r="K13" s="171"/>
      <c r="L13" s="170"/>
      <c r="M13" s="170">
        <f>IFERROR(_xlfn.XLOOKUP($A13,Input_Raw!$A:$A,Input_Raw!BG:BG),"")</f>
        <v>7.0899600119265944</v>
      </c>
      <c r="N13" s="170">
        <f>IFERROR(_xlfn.XLOOKUP($A13,Input_Raw!$A:$A,Input_Raw!BH:BH),"")</f>
        <v>0</v>
      </c>
      <c r="O13" s="173">
        <f t="shared" si="1"/>
        <v>0.98745153570407818</v>
      </c>
      <c r="P13" s="173">
        <f>IFERROR(1-SUMIF(WTG_BD!$F:$F,$A13,WTG_BD!$AA:$AA)/($AA13+SUMIF(WTG_BD!$F:$F,$A13,WTG_BD!$AA:$AA)),"")</f>
        <v>0.98745153570407818</v>
      </c>
      <c r="Q13" s="173">
        <f>IFERROR(1-SUMIF(IGA_BD!$F:$F,$A13,IGA_BD!$X:$X)/($AA13+SUMIF(IGA_BD!$F:$F,$A13,IGA_BD!$X:$X)),"")</f>
        <v>1</v>
      </c>
      <c r="R13" s="173">
        <f>IFERROR(1-SUMIF(Grid_BD!$F:$F,$A13,Grid_BD!$Y:$Y)/($AA13+SUMIF(Grid_BD!$F:$F,$A13,Grid_BD!$Y:$Y)),"")</f>
        <v>1</v>
      </c>
      <c r="S13" s="167"/>
      <c r="T13" s="172"/>
      <c r="U13" s="173"/>
      <c r="V13" s="167"/>
      <c r="W13" s="174">
        <f t="shared" si="2"/>
        <v>0.44070512820512814</v>
      </c>
      <c r="X13" s="167">
        <f>IFERROR(_xlfn.XLOOKUP($A13,Input_Raw!$A:$A,Input_Raw!$BF:$BF),"")</f>
        <v>766278</v>
      </c>
      <c r="Y13" s="167">
        <f>IFERROR(_xlfn.XLOOKUP($A13,Input_Raw!$A:$A,Input_Raw!BJ:BJ),"")</f>
        <v>742500</v>
      </c>
      <c r="Z13" s="167">
        <f>IFERROR(_xlfn.XLOOKUP($A13,Input_Raw!$A:$A,Input_Raw!BK:BK),"")</f>
        <v>0</v>
      </c>
      <c r="AA13" s="167">
        <f>IFERROR(_xlfn.XLOOKUP($A13,Input_Raw!$A:$A,Input_Raw!BL:BL),"")</f>
        <v>742500</v>
      </c>
      <c r="AB13" s="167">
        <f>IFERROR(_xlfn.XLOOKUP($A13,Input_Raw!$A:$A,Input_Raw!$BO:$BO),"")</f>
        <v>70.2</v>
      </c>
      <c r="AC13" s="176">
        <f>IFERROR(_xlfn.XLOOKUP($D13,'Modelling New'!$D:$D,'Modelling New'!$J:$J),"")</f>
        <v>6.65</v>
      </c>
      <c r="AD13" s="166">
        <f>IFERROR(_xlfn.XLOOKUP($D13,'Modelling New'!$D:$D,'Modelling New'!$T:$T)*1000,"")</f>
        <v>697760.5424630543</v>
      </c>
      <c r="AE13" s="174"/>
      <c r="AF13" s="174">
        <f>IFERROR(_xlfn.XLOOKUP($D13,'Modelling New'!$D:$D,'Modelling New'!$W:$W),"")</f>
        <v>0.41415036945812811</v>
      </c>
      <c r="AG13" s="174">
        <f>IFERROR(_xlfn.XLOOKUP($D13,'Modelling New'!$D:$D,'Modelling New'!$AE:$AE),"")</f>
        <v>0.96029999999999993</v>
      </c>
      <c r="AH13" s="174">
        <f>IFERROR(_xlfn.XLOOKUP($D13,'Modelling New'!$D:$D,'Modelling New'!$AF:$AF),"")</f>
        <v>0.995</v>
      </c>
      <c r="AI13" s="177">
        <f>IFERROR(_xlfn.XLOOKUP($A13,Input_Raw!$A:$A,Input_Raw!$BQ:$BQ),"")</f>
        <v>808</v>
      </c>
      <c r="AJ13" s="167"/>
      <c r="AK13" s="167"/>
      <c r="AL13" s="167"/>
      <c r="AM13" s="167"/>
      <c r="AN13" s="175">
        <f>IFERROR(_xlfn.XLOOKUP($A13,Input_Raw!$A:$A,Input_Raw!$BN:$BN),"")</f>
        <v>3.1030513730003994E-2</v>
      </c>
      <c r="AO13" s="174">
        <f>IFERROR((_xlfn.XLOOKUP($A13,'WTG Reactive Power'!$A:$A,'WTG Reactive Power'!$AE:$AE))/Table13[[#This Row],[Gen_Exp (kWh)]],"")</f>
        <v>3.5233166031127085E-3</v>
      </c>
      <c r="AP13" s="174">
        <f>IFERROR(_xlfn.XLOOKUP($D13,'Modelling New'!$D:$D,'Modelling New'!$AK:$AK),"")</f>
        <v>0.05</v>
      </c>
      <c r="AQ13" s="174">
        <f>IFERROR(_xlfn.XLOOKUP($D13,'Modelling New'!$D:$D,'Modelling New'!$AL:$AL),"")</f>
        <v>0.05</v>
      </c>
      <c r="AR13" s="276">
        <f>IFERROR(_xlfn.XLOOKUP($D13,'Modelling New'!$D:$D,'Modelling New'!$N:$N),"")</f>
        <v>70.2</v>
      </c>
      <c r="AS13" s="276"/>
    </row>
    <row r="14" spans="1:45">
      <c r="A14" s="165">
        <f t="shared" si="3"/>
        <v>45757</v>
      </c>
      <c r="B14" s="166">
        <f>YEAR(Table13[[#This Row],[Date]])+IF(MONTH(Table13[[#This Row],[Date]])&gt;=4,1,0)</f>
        <v>2026</v>
      </c>
      <c r="C14" s="167">
        <f>YEAR(Table13[[#This Row],[Date]])</f>
        <v>2025</v>
      </c>
      <c r="D14" s="168">
        <f>Table13[[#This Row],[Date]]-DAY(Table13[[#This Row],[Date]])+1</f>
        <v>45748</v>
      </c>
      <c r="E14" s="167">
        <f t="shared" si="0"/>
        <v>30</v>
      </c>
      <c r="F14" s="169"/>
      <c r="G14" s="170"/>
      <c r="H14" s="170"/>
      <c r="I14" s="170"/>
      <c r="J14" s="170"/>
      <c r="K14" s="171"/>
      <c r="L14" s="170"/>
      <c r="M14" s="170">
        <f>IFERROR(_xlfn.XLOOKUP($A14,Input_Raw!$A:$A,Input_Raw!BG:BG),"")</f>
        <v>8.2136084425907825</v>
      </c>
      <c r="N14" s="170">
        <f>IFERROR(_xlfn.XLOOKUP($A14,Input_Raw!$A:$A,Input_Raw!BH:BH),"")</f>
        <v>0</v>
      </c>
      <c r="O14" s="173">
        <f t="shared" si="1"/>
        <v>0.98076312257540421</v>
      </c>
      <c r="P14" s="173">
        <f>IFERROR(1-SUMIF(WTG_BD!$F:$F,$A14,WTG_BD!$AA:$AA)/($AA14+SUMIF(WTG_BD!$F:$F,$A14,WTG_BD!$AA:$AA)),"")</f>
        <v>0.98076312257540421</v>
      </c>
      <c r="Q14" s="173">
        <f>IFERROR(1-SUMIF(IGA_BD!$F:$F,$A14,IGA_BD!$X:$X)/($AA14+SUMIF(IGA_BD!$F:$F,$A14,IGA_BD!$X:$X)),"")</f>
        <v>1</v>
      </c>
      <c r="R14" s="173">
        <f>IFERROR(1-SUMIF(Grid_BD!$F:$F,$A14,Grid_BD!$Y:$Y)/($AA14+SUMIF(Grid_BD!$F:$F,$A14,Grid_BD!$Y:$Y)),"")</f>
        <v>1</v>
      </c>
      <c r="S14" s="167"/>
      <c r="T14" s="172"/>
      <c r="U14" s="173"/>
      <c r="V14" s="167"/>
      <c r="W14" s="174">
        <f t="shared" si="2"/>
        <v>0.57852564102564097</v>
      </c>
      <c r="X14" s="167">
        <f>IFERROR(_xlfn.XLOOKUP($A14,Input_Raw!$A:$A,Input_Raw!$BF:$BF),"")</f>
        <v>1006142</v>
      </c>
      <c r="Y14" s="167">
        <f>IFERROR(_xlfn.XLOOKUP($A14,Input_Raw!$A:$A,Input_Raw!BJ:BJ),"")</f>
        <v>974700</v>
      </c>
      <c r="Z14" s="167">
        <f>IFERROR(_xlfn.XLOOKUP($A14,Input_Raw!$A:$A,Input_Raw!BK:BK),"")</f>
        <v>0</v>
      </c>
      <c r="AA14" s="167">
        <f>IFERROR(_xlfn.XLOOKUP($A14,Input_Raw!$A:$A,Input_Raw!BL:BL),"")</f>
        <v>974700</v>
      </c>
      <c r="AB14" s="167">
        <f>IFERROR(_xlfn.XLOOKUP($A14,Input_Raw!$A:$A,Input_Raw!$BO:$BO),"")</f>
        <v>70.2</v>
      </c>
      <c r="AC14" s="176">
        <f>IFERROR(_xlfn.XLOOKUP($D14,'Modelling New'!$D:$D,'Modelling New'!$J:$J),"")</f>
        <v>6.65</v>
      </c>
      <c r="AD14" s="166">
        <f>IFERROR(_xlfn.XLOOKUP($D14,'Modelling New'!$D:$D,'Modelling New'!$T:$T)*1000,"")</f>
        <v>697760.5424630543</v>
      </c>
      <c r="AE14" s="174"/>
      <c r="AF14" s="174">
        <f>IFERROR(_xlfn.XLOOKUP($D14,'Modelling New'!$D:$D,'Modelling New'!$W:$W),"")</f>
        <v>0.41415036945812811</v>
      </c>
      <c r="AG14" s="174">
        <f>IFERROR(_xlfn.XLOOKUP($D14,'Modelling New'!$D:$D,'Modelling New'!$AE:$AE),"")</f>
        <v>0.96029999999999993</v>
      </c>
      <c r="AH14" s="174">
        <f>IFERROR(_xlfn.XLOOKUP($D14,'Modelling New'!$D:$D,'Modelling New'!$AF:$AF),"")</f>
        <v>0.995</v>
      </c>
      <c r="AI14" s="177">
        <f>IFERROR(_xlfn.XLOOKUP($A14,Input_Raw!$A:$A,Input_Raw!$BQ:$BQ),"")</f>
        <v>1103.33</v>
      </c>
      <c r="AJ14" s="167"/>
      <c r="AK14" s="167"/>
      <c r="AL14" s="167"/>
      <c r="AM14" s="167"/>
      <c r="AN14" s="175">
        <f>IFERROR(_xlfn.XLOOKUP($A14,Input_Raw!$A:$A,Input_Raw!$BN:$BN),"")</f>
        <v>3.1250062118468369E-2</v>
      </c>
      <c r="AO14" s="174">
        <f>IFERROR((_xlfn.XLOOKUP($A14,'WTG Reactive Power'!$A:$A,'WTG Reactive Power'!$AE:$AE))/Table13[[#This Row],[Gen_Exp (kWh)]],"")</f>
        <v>1.6548240705586279E-2</v>
      </c>
      <c r="AP14" s="174">
        <f>IFERROR(_xlfn.XLOOKUP($D14,'Modelling New'!$D:$D,'Modelling New'!$AK:$AK),"")</f>
        <v>0.05</v>
      </c>
      <c r="AQ14" s="174">
        <f>IFERROR(_xlfn.XLOOKUP($D14,'Modelling New'!$D:$D,'Modelling New'!$AL:$AL),"")</f>
        <v>0.05</v>
      </c>
      <c r="AR14" s="276">
        <f>IFERROR(_xlfn.XLOOKUP($D14,'Modelling New'!$D:$D,'Modelling New'!$N:$N),"")</f>
        <v>70.2</v>
      </c>
      <c r="AS14" s="276"/>
    </row>
    <row r="15" spans="1:45">
      <c r="A15" s="165">
        <f t="shared" si="3"/>
        <v>45758</v>
      </c>
      <c r="B15" s="166">
        <f>YEAR(Table13[[#This Row],[Date]])+IF(MONTH(Table13[[#This Row],[Date]])&gt;=4,1,0)</f>
        <v>2026</v>
      </c>
      <c r="C15" s="167">
        <f>YEAR(Table13[[#This Row],[Date]])</f>
        <v>2025</v>
      </c>
      <c r="D15" s="168">
        <f>Table13[[#This Row],[Date]]-DAY(Table13[[#This Row],[Date]])+1</f>
        <v>45748</v>
      </c>
      <c r="E15" s="167">
        <f t="shared" si="0"/>
        <v>30</v>
      </c>
      <c r="F15" s="169"/>
      <c r="G15" s="176"/>
      <c r="H15" s="176"/>
      <c r="I15" s="176"/>
      <c r="J15" s="176"/>
      <c r="K15" s="171"/>
      <c r="L15" s="170"/>
      <c r="M15" s="170">
        <f>IFERROR(_xlfn.XLOOKUP($A15,Input_Raw!$A:$A,Input_Raw!BG:BG),"")</f>
        <v>8.1076084877697365</v>
      </c>
      <c r="N15" s="170">
        <f>IFERROR(_xlfn.XLOOKUP($A15,Input_Raw!$A:$A,Input_Raw!BH:BH),"")</f>
        <v>0</v>
      </c>
      <c r="O15" s="173">
        <f t="shared" si="1"/>
        <v>0.96147714696504882</v>
      </c>
      <c r="P15" s="173">
        <f>IFERROR(1-SUMIF(WTG_BD!$F:$F,$A15,WTG_BD!$AA:$AA)/($AA15+SUMIF(WTG_BD!$F:$F,$A15,WTG_BD!$AA:$AA)),"")</f>
        <v>0.96147714696504882</v>
      </c>
      <c r="Q15" s="173">
        <f>IFERROR(1-SUMIF(IGA_BD!$F:$F,$A15,IGA_BD!$X:$X)/($AA15+SUMIF(IGA_BD!$F:$F,$A15,IGA_BD!$X:$X)),"")</f>
        <v>1</v>
      </c>
      <c r="R15" s="173">
        <f>IFERROR(1-SUMIF(Grid_BD!$F:$F,$A15,Grid_BD!$Y:$Y)/($AA15+SUMIF(Grid_BD!$F:$F,$A15,Grid_BD!$Y:$Y)),"")</f>
        <v>1</v>
      </c>
      <c r="S15" s="167"/>
      <c r="T15" s="172"/>
      <c r="U15" s="173"/>
      <c r="V15" s="167"/>
      <c r="W15" s="174">
        <f t="shared" si="2"/>
        <v>0.59615384615384603</v>
      </c>
      <c r="X15" s="167">
        <f>IFERROR(_xlfn.XLOOKUP($A15,Input_Raw!$A:$A,Input_Raw!$BF:$BF),"")</f>
        <v>1041716</v>
      </c>
      <c r="Y15" s="167">
        <f>IFERROR(_xlfn.XLOOKUP($A15,Input_Raw!$A:$A,Input_Raw!BJ:BJ),"")</f>
        <v>1004400</v>
      </c>
      <c r="Z15" s="167">
        <f>IFERROR(_xlfn.XLOOKUP($A15,Input_Raw!$A:$A,Input_Raw!BK:BK),"")</f>
        <v>0</v>
      </c>
      <c r="AA15" s="167">
        <f>IFERROR(_xlfn.XLOOKUP($A15,Input_Raw!$A:$A,Input_Raw!BL:BL),"")</f>
        <v>1004400</v>
      </c>
      <c r="AB15" s="167">
        <f>IFERROR(_xlfn.XLOOKUP($A15,Input_Raw!$A:$A,Input_Raw!$BO:$BO),"")</f>
        <v>70.2</v>
      </c>
      <c r="AC15" s="176">
        <f>IFERROR(_xlfn.XLOOKUP($D15,'Modelling New'!$D:$D,'Modelling New'!$J:$J),"")</f>
        <v>6.65</v>
      </c>
      <c r="AD15" s="166">
        <f>IFERROR(_xlfn.XLOOKUP($D15,'Modelling New'!$D:$D,'Modelling New'!$T:$T)*1000,"")</f>
        <v>697760.5424630543</v>
      </c>
      <c r="AE15" s="174"/>
      <c r="AF15" s="174">
        <f>IFERROR(_xlfn.XLOOKUP($D15,'Modelling New'!$D:$D,'Modelling New'!$W:$W),"")</f>
        <v>0.41415036945812811</v>
      </c>
      <c r="AG15" s="174">
        <f>IFERROR(_xlfn.XLOOKUP($D15,'Modelling New'!$D:$D,'Modelling New'!$AE:$AE),"")</f>
        <v>0.96029999999999993</v>
      </c>
      <c r="AH15" s="174">
        <f>IFERROR(_xlfn.XLOOKUP($D15,'Modelling New'!$D:$D,'Modelling New'!$AF:$AF),"")</f>
        <v>0.995</v>
      </c>
      <c r="AI15" s="177">
        <f>IFERROR(_xlfn.XLOOKUP($A15,Input_Raw!$A:$A,Input_Raw!$BQ:$BQ),"")</f>
        <v>1083.02</v>
      </c>
      <c r="AJ15" s="167"/>
      <c r="AK15" s="167"/>
      <c r="AL15" s="167"/>
      <c r="AM15" s="167"/>
      <c r="AN15" s="175">
        <f>IFERROR(_xlfn.XLOOKUP($A15,Input_Raw!$A:$A,Input_Raw!$BN:$BN),"")</f>
        <v>3.5821663486017299E-2</v>
      </c>
      <c r="AO15" s="174">
        <f>IFERROR((_xlfn.XLOOKUP($A15,'WTG Reactive Power'!$A:$A,'WTG Reactive Power'!$AE:$AE))/Table13[[#This Row],[Gen_Exp (kWh)]],"")</f>
        <v>5.183696900114808E-3</v>
      </c>
      <c r="AP15" s="174">
        <f>IFERROR(_xlfn.XLOOKUP($D15,'Modelling New'!$D:$D,'Modelling New'!$AK:$AK),"")</f>
        <v>0.05</v>
      </c>
      <c r="AQ15" s="174">
        <f>IFERROR(_xlfn.XLOOKUP($D15,'Modelling New'!$D:$D,'Modelling New'!$AL:$AL),"")</f>
        <v>0.05</v>
      </c>
      <c r="AR15" s="276">
        <f>IFERROR(_xlfn.XLOOKUP($D15,'Modelling New'!$D:$D,'Modelling New'!$N:$N),"")</f>
        <v>70.2</v>
      </c>
      <c r="AS15" s="276"/>
    </row>
    <row r="16" spans="1:45">
      <c r="A16" s="165">
        <f t="shared" si="3"/>
        <v>45759</v>
      </c>
      <c r="B16" s="166">
        <f>YEAR(Table13[[#This Row],[Date]])+IF(MONTH(Table13[[#This Row],[Date]])&gt;=4,1,0)</f>
        <v>2026</v>
      </c>
      <c r="C16" s="167">
        <f>YEAR(Table13[[#This Row],[Date]])</f>
        <v>2025</v>
      </c>
      <c r="D16" s="168">
        <f>Table13[[#This Row],[Date]]-DAY(Table13[[#This Row],[Date]])+1</f>
        <v>45748</v>
      </c>
      <c r="E16" s="167">
        <f t="shared" si="0"/>
        <v>30</v>
      </c>
      <c r="F16" s="169"/>
      <c r="G16" s="170"/>
      <c r="H16" s="170"/>
      <c r="I16" s="170"/>
      <c r="J16" s="170"/>
      <c r="K16" s="171"/>
      <c r="L16" s="170"/>
      <c r="M16" s="170">
        <f>IFERROR(_xlfn.XLOOKUP($A16,Input_Raw!$A:$A,Input_Raw!BG:BG),"")</f>
        <v>4.983076923076923</v>
      </c>
      <c r="N16" s="170">
        <f>IFERROR(_xlfn.XLOOKUP($A16,Input_Raw!$A:$A,Input_Raw!BH:BH),"")</f>
        <v>0</v>
      </c>
      <c r="O16" s="173">
        <f t="shared" si="1"/>
        <v>0.56475494393588377</v>
      </c>
      <c r="P16" s="173">
        <f>IFERROR(1-SUMIF(WTG_BD!$F:$F,$A16,WTG_BD!$AA:$AA)/($AA16+SUMIF(WTG_BD!$F:$F,$A16,WTG_BD!$AA:$AA)),"")</f>
        <v>0.98704670994792909</v>
      </c>
      <c r="Q16" s="173">
        <f>IFERROR(1-SUMIF(IGA_BD!$F:$F,$A16,IGA_BD!$X:$X)/($AA16+SUMIF(IGA_BD!$F:$F,$A16,IGA_BD!$X:$X)),"")</f>
        <v>0.57216638102737505</v>
      </c>
      <c r="R16" s="173">
        <f>IFERROR(1-SUMIF(Grid_BD!$F:$F,$A16,Grid_BD!$Y:$Y)/($AA16+SUMIF(Grid_BD!$F:$F,$A16,Grid_BD!$Y:$Y)),"")</f>
        <v>1</v>
      </c>
      <c r="S16" s="167"/>
      <c r="T16" s="172"/>
      <c r="U16" s="173"/>
      <c r="V16" s="167"/>
      <c r="W16" s="174">
        <f t="shared" si="2"/>
        <v>9.7756410256410242E-2</v>
      </c>
      <c r="X16" s="167">
        <f>IFERROR(_xlfn.XLOOKUP($A16,Input_Raw!$A:$A,Input_Raw!$BF:$BF),"")</f>
        <v>173786</v>
      </c>
      <c r="Y16" s="167">
        <f>IFERROR(_xlfn.XLOOKUP($A16,Input_Raw!$A:$A,Input_Raw!BJ:BJ),"")</f>
        <v>164700</v>
      </c>
      <c r="Z16" s="167">
        <f>IFERROR(_xlfn.XLOOKUP($A16,Input_Raw!$A:$A,Input_Raw!BK:BK),"")</f>
        <v>0</v>
      </c>
      <c r="AA16" s="167">
        <f>IFERROR(_xlfn.XLOOKUP($A16,Input_Raw!$A:$A,Input_Raw!BL:BL),"")</f>
        <v>164700</v>
      </c>
      <c r="AB16" s="167">
        <f>IFERROR(_xlfn.XLOOKUP($A16,Input_Raw!$A:$A,Input_Raw!$BO:$BO),"")</f>
        <v>70.2</v>
      </c>
      <c r="AC16" s="176">
        <f>IFERROR(_xlfn.XLOOKUP($D16,'Modelling New'!$D:$D,'Modelling New'!$J:$J),"")</f>
        <v>6.65</v>
      </c>
      <c r="AD16" s="166">
        <f>IFERROR(_xlfn.XLOOKUP($D16,'Modelling New'!$D:$D,'Modelling New'!$T:$T)*1000,"")</f>
        <v>697760.5424630543</v>
      </c>
      <c r="AE16" s="174"/>
      <c r="AF16" s="174">
        <f>IFERROR(_xlfn.XLOOKUP($D16,'Modelling New'!$D:$D,'Modelling New'!$W:$W),"")</f>
        <v>0.41415036945812811</v>
      </c>
      <c r="AG16" s="174">
        <f>IFERROR(_xlfn.XLOOKUP($D16,'Modelling New'!$D:$D,'Modelling New'!$AE:$AE),"")</f>
        <v>0.96029999999999993</v>
      </c>
      <c r="AH16" s="174">
        <f>IFERROR(_xlfn.XLOOKUP($D16,'Modelling New'!$D:$D,'Modelling New'!$AF:$AF),"")</f>
        <v>0.995</v>
      </c>
      <c r="AI16" s="177">
        <f>IFERROR(_xlfn.XLOOKUP($A16,Input_Raw!$A:$A,Input_Raw!$BQ:$BQ),"")</f>
        <v>176.01</v>
      </c>
      <c r="AJ16" s="167"/>
      <c r="AK16" s="167"/>
      <c r="AL16" s="167"/>
      <c r="AM16" s="167"/>
      <c r="AN16" s="175">
        <f>IFERROR(_xlfn.XLOOKUP($A16,Input_Raw!$A:$A,Input_Raw!$BN:$BN),"")</f>
        <v>5.2282692506876276E-2</v>
      </c>
      <c r="AO16" s="174">
        <f>IFERROR((_xlfn.XLOOKUP($A16,'WTG Reactive Power'!$A:$A,'WTG Reactive Power'!$AE:$AE))/Table13[[#This Row],[Gen_Exp (kWh)]],"")</f>
        <v>2.5882407098385381E-3</v>
      </c>
      <c r="AP16" s="174">
        <f>IFERROR(_xlfn.XLOOKUP($D16,'Modelling New'!$D:$D,'Modelling New'!$AK:$AK),"")</f>
        <v>0.05</v>
      </c>
      <c r="AQ16" s="174">
        <f>IFERROR(_xlfn.XLOOKUP($D16,'Modelling New'!$D:$D,'Modelling New'!$AL:$AL),"")</f>
        <v>0.05</v>
      </c>
      <c r="AR16" s="276">
        <f>IFERROR(_xlfn.XLOOKUP($D16,'Modelling New'!$D:$D,'Modelling New'!$N:$N),"")</f>
        <v>70.2</v>
      </c>
      <c r="AS16" s="276"/>
    </row>
    <row r="17" spans="1:45">
      <c r="A17" s="165">
        <f t="shared" si="3"/>
        <v>45760</v>
      </c>
      <c r="B17" s="166">
        <f>YEAR(Table13[[#This Row],[Date]])+IF(MONTH(Table13[[#This Row],[Date]])&gt;=4,1,0)</f>
        <v>2026</v>
      </c>
      <c r="C17" s="167">
        <f>YEAR(Table13[[#This Row],[Date]])</f>
        <v>2025</v>
      </c>
      <c r="D17" s="168">
        <f>Table13[[#This Row],[Date]]-DAY(Table13[[#This Row],[Date]])+1</f>
        <v>45748</v>
      </c>
      <c r="E17" s="167">
        <f t="shared" si="0"/>
        <v>30</v>
      </c>
      <c r="F17" s="169"/>
      <c r="G17" s="176"/>
      <c r="H17" s="176"/>
      <c r="I17" s="176"/>
      <c r="J17" s="176"/>
      <c r="K17" s="171"/>
      <c r="L17" s="170"/>
      <c r="M17" s="170">
        <f>IFERROR(_xlfn.XLOOKUP($A17,Input_Raw!$A:$A,Input_Raw!BG:BG),"")</f>
        <v>7.6407920586270697</v>
      </c>
      <c r="N17" s="170">
        <f>IFERROR(_xlfn.XLOOKUP($A17,Input_Raw!$A:$A,Input_Raw!BH:BH),"")</f>
        <v>0</v>
      </c>
      <c r="O17" s="173">
        <f t="shared" si="1"/>
        <v>0.65173781622925875</v>
      </c>
      <c r="P17" s="173">
        <f>IFERROR(1-SUMIF(WTG_BD!$F:$F,$A17,WTG_BD!$AA:$AA)/($AA17+SUMIF(WTG_BD!$F:$F,$A17,WTG_BD!$AA:$AA)),"")</f>
        <v>0.95417273874545816</v>
      </c>
      <c r="Q17" s="173">
        <f>IFERROR(1-SUMIF(IGA_BD!$F:$F,$A17,IGA_BD!$X:$X)/($AA17+SUMIF(IGA_BD!$F:$F,$A17,IGA_BD!$X:$X)),"")</f>
        <v>0.68303965284751333</v>
      </c>
      <c r="R17" s="173">
        <f>IFERROR(1-SUMIF(Grid_BD!$F:$F,$A17,Grid_BD!$Y:$Y)/($AA17+SUMIF(Grid_BD!$F:$F,$A17,Grid_BD!$Y:$Y)),"")</f>
        <v>1</v>
      </c>
      <c r="S17" s="167"/>
      <c r="T17" s="172"/>
      <c r="U17" s="173"/>
      <c r="V17" s="167"/>
      <c r="W17" s="174">
        <f t="shared" si="2"/>
        <v>0.35016025641025639</v>
      </c>
      <c r="X17" s="167">
        <f>IFERROR(_xlfn.XLOOKUP($A17,Input_Raw!$A:$A,Input_Raw!$BF:$BF),"")</f>
        <v>607437</v>
      </c>
      <c r="Y17" s="167">
        <f>IFERROR(_xlfn.XLOOKUP($A17,Input_Raw!$A:$A,Input_Raw!BJ:BJ),"")</f>
        <v>589950</v>
      </c>
      <c r="Z17" s="167">
        <f>IFERROR(_xlfn.XLOOKUP($A17,Input_Raw!$A:$A,Input_Raw!BK:BK),"")</f>
        <v>0</v>
      </c>
      <c r="AA17" s="167">
        <f>IFERROR(_xlfn.XLOOKUP($A17,Input_Raw!$A:$A,Input_Raw!BL:BL),"")</f>
        <v>589950</v>
      </c>
      <c r="AB17" s="167">
        <f>IFERROR(_xlfn.XLOOKUP($A17,Input_Raw!$A:$A,Input_Raw!$BO:$BO),"")</f>
        <v>70.2</v>
      </c>
      <c r="AC17" s="176">
        <f>IFERROR(_xlfn.XLOOKUP($D17,'Modelling New'!$D:$D,'Modelling New'!$J:$J),"")</f>
        <v>6.65</v>
      </c>
      <c r="AD17" s="166">
        <f>IFERROR(_xlfn.XLOOKUP($D17,'Modelling New'!$D:$D,'Modelling New'!$T:$T)*1000,"")</f>
        <v>697760.5424630543</v>
      </c>
      <c r="AE17" s="174"/>
      <c r="AF17" s="174">
        <f>IFERROR(_xlfn.XLOOKUP($D17,'Modelling New'!$D:$D,'Modelling New'!$W:$W),"")</f>
        <v>0.41415036945812811</v>
      </c>
      <c r="AG17" s="174">
        <f>IFERROR(_xlfn.XLOOKUP($D17,'Modelling New'!$D:$D,'Modelling New'!$AE:$AE),"")</f>
        <v>0.96029999999999993</v>
      </c>
      <c r="AH17" s="174">
        <f>IFERROR(_xlfn.XLOOKUP($D17,'Modelling New'!$D:$D,'Modelling New'!$AF:$AF),"")</f>
        <v>0.995</v>
      </c>
      <c r="AI17" s="177">
        <f>IFERROR(_xlfn.XLOOKUP($A17,Input_Raw!$A:$A,Input_Raw!$BQ:$BQ),"")</f>
        <v>682.2</v>
      </c>
      <c r="AJ17" s="167"/>
      <c r="AK17" s="167"/>
      <c r="AL17" s="167"/>
      <c r="AM17" s="167"/>
      <c r="AN17" s="175">
        <f>IFERROR(_xlfn.XLOOKUP($A17,Input_Raw!$A:$A,Input_Raw!$BN:$BN),"")</f>
        <v>2.8788170625101861E-2</v>
      </c>
      <c r="AO17" s="174">
        <f>IFERROR((_xlfn.XLOOKUP($A17,'WTG Reactive Power'!$A:$A,'WTG Reactive Power'!$AE:$AE))/Table13[[#This Row],[Gen_Exp (kWh)]],"")</f>
        <v>3.7037256538538154E-3</v>
      </c>
      <c r="AP17" s="174">
        <f>IFERROR(_xlfn.XLOOKUP($D17,'Modelling New'!$D:$D,'Modelling New'!$AK:$AK),"")</f>
        <v>0.05</v>
      </c>
      <c r="AQ17" s="174">
        <f>IFERROR(_xlfn.XLOOKUP($D17,'Modelling New'!$D:$D,'Modelling New'!$AL:$AL),"")</f>
        <v>0.05</v>
      </c>
      <c r="AR17" s="276">
        <f>IFERROR(_xlfn.XLOOKUP($D17,'Modelling New'!$D:$D,'Modelling New'!$N:$N),"")</f>
        <v>70.2</v>
      </c>
      <c r="AS17" s="276"/>
    </row>
    <row r="18" spans="1:45">
      <c r="A18" s="165">
        <f t="shared" si="3"/>
        <v>45761</v>
      </c>
      <c r="B18" s="166">
        <f>YEAR(Table13[[#This Row],[Date]])+IF(MONTH(Table13[[#This Row],[Date]])&gt;=4,1,0)</f>
        <v>2026</v>
      </c>
      <c r="C18" s="167">
        <f>YEAR(Table13[[#This Row],[Date]])</f>
        <v>2025</v>
      </c>
      <c r="D18" s="168">
        <f>Table13[[#This Row],[Date]]-DAY(Table13[[#This Row],[Date]])+1</f>
        <v>45748</v>
      </c>
      <c r="E18" s="167">
        <f t="shared" si="0"/>
        <v>30</v>
      </c>
      <c r="F18" s="169"/>
      <c r="G18" s="170"/>
      <c r="H18" s="170"/>
      <c r="I18" s="170"/>
      <c r="J18" s="170"/>
      <c r="K18" s="171"/>
      <c r="L18" s="170"/>
      <c r="M18" s="170">
        <f>IFERROR(_xlfn.XLOOKUP($A18,Input_Raw!$A:$A,Input_Raw!BG:BG),"")</f>
        <v>8.9526900483064686</v>
      </c>
      <c r="N18" s="170">
        <f>IFERROR(_xlfn.XLOOKUP($A18,Input_Raw!$A:$A,Input_Raw!BH:BH),"")</f>
        <v>0</v>
      </c>
      <c r="O18" s="173">
        <f t="shared" si="1"/>
        <v>0.95989079084779227</v>
      </c>
      <c r="P18" s="173">
        <f>IFERROR(1-SUMIF(WTG_BD!$F:$F,$A18,WTG_BD!$AA:$AA)/($AA18+SUMIF(WTG_BD!$F:$F,$A18,WTG_BD!$AA:$AA)),"")</f>
        <v>0.95989079084779227</v>
      </c>
      <c r="Q18" s="173">
        <f>IFERROR(1-SUMIF(IGA_BD!$F:$F,$A18,IGA_BD!$X:$X)/($AA18+SUMIF(IGA_BD!$F:$F,$A18,IGA_BD!$X:$X)),"")</f>
        <v>1</v>
      </c>
      <c r="R18" s="173">
        <f>IFERROR(1-SUMIF(Grid_BD!$F:$F,$A18,Grid_BD!$Y:$Y)/($AA18+SUMIF(Grid_BD!$F:$F,$A18,Grid_BD!$Y:$Y)),"")</f>
        <v>1</v>
      </c>
      <c r="S18" s="167"/>
      <c r="T18" s="172"/>
      <c r="U18" s="173"/>
      <c r="V18" s="167"/>
      <c r="W18" s="174">
        <f t="shared" si="2"/>
        <v>0.67174145299145294</v>
      </c>
      <c r="X18" s="167">
        <f>IFERROR(_xlfn.XLOOKUP($A18,Input_Raw!$A:$A,Input_Raw!$BF:$BF),"")</f>
        <v>1174575</v>
      </c>
      <c r="Y18" s="167">
        <f>IFERROR(_xlfn.XLOOKUP($A18,Input_Raw!$A:$A,Input_Raw!BJ:BJ),"")</f>
        <v>1131750</v>
      </c>
      <c r="Z18" s="167">
        <f>IFERROR(_xlfn.XLOOKUP($A18,Input_Raw!$A:$A,Input_Raw!BK:BK),"")</f>
        <v>0</v>
      </c>
      <c r="AA18" s="167">
        <f>IFERROR(_xlfn.XLOOKUP($A18,Input_Raw!$A:$A,Input_Raw!BL:BL),"")</f>
        <v>1131750</v>
      </c>
      <c r="AB18" s="167">
        <f>IFERROR(_xlfn.XLOOKUP($A18,Input_Raw!$A:$A,Input_Raw!$BO:$BO),"")</f>
        <v>70.2</v>
      </c>
      <c r="AC18" s="176">
        <f>IFERROR(_xlfn.XLOOKUP($D18,'Modelling New'!$D:$D,'Modelling New'!$J:$J),"")</f>
        <v>6.65</v>
      </c>
      <c r="AD18" s="166">
        <f>IFERROR(_xlfn.XLOOKUP($D18,'Modelling New'!$D:$D,'Modelling New'!$T:$T)*1000,"")</f>
        <v>697760.5424630543</v>
      </c>
      <c r="AE18" s="174"/>
      <c r="AF18" s="174">
        <f>IFERROR(_xlfn.XLOOKUP($D18,'Modelling New'!$D:$D,'Modelling New'!$W:$W),"")</f>
        <v>0.41415036945812811</v>
      </c>
      <c r="AG18" s="174">
        <f>IFERROR(_xlfn.XLOOKUP($D18,'Modelling New'!$D:$D,'Modelling New'!$AE:$AE),"")</f>
        <v>0.96029999999999993</v>
      </c>
      <c r="AH18" s="174">
        <f>IFERROR(_xlfn.XLOOKUP($D18,'Modelling New'!$D:$D,'Modelling New'!$AF:$AF),"")</f>
        <v>0.995</v>
      </c>
      <c r="AI18" s="177">
        <f>IFERROR(_xlfn.XLOOKUP($A18,Input_Raw!$A:$A,Input_Raw!$BQ:$BQ),"")</f>
        <v>1310.71</v>
      </c>
      <c r="AJ18" s="167"/>
      <c r="AK18" s="167"/>
      <c r="AL18" s="167"/>
      <c r="AM18" s="167"/>
      <c r="AN18" s="175">
        <f>IFERROR(_xlfn.XLOOKUP($A18,Input_Raw!$A:$A,Input_Raw!$BN:$BN),"")</f>
        <v>3.6459996168827023E-2</v>
      </c>
      <c r="AO18" s="174">
        <f>IFERROR((_xlfn.XLOOKUP($A18,'WTG Reactive Power'!$A:$A,'WTG Reactive Power'!$AE:$AE))/Table13[[#This Row],[Gen_Exp (kWh)]],"")</f>
        <v>1.3025954068492851E-2</v>
      </c>
      <c r="AP18" s="174">
        <f>IFERROR(_xlfn.XLOOKUP($D18,'Modelling New'!$D:$D,'Modelling New'!$AK:$AK),"")</f>
        <v>0.05</v>
      </c>
      <c r="AQ18" s="174">
        <f>IFERROR(_xlfn.XLOOKUP($D18,'Modelling New'!$D:$D,'Modelling New'!$AL:$AL),"")</f>
        <v>0.05</v>
      </c>
      <c r="AR18" s="276">
        <f>IFERROR(_xlfn.XLOOKUP($D18,'Modelling New'!$D:$D,'Modelling New'!$N:$N),"")</f>
        <v>70.2</v>
      </c>
      <c r="AS18" s="276"/>
    </row>
    <row r="19" spans="1:45">
      <c r="A19" s="165">
        <f t="shared" si="3"/>
        <v>45762</v>
      </c>
      <c r="B19" s="166">
        <f>YEAR(Table13[[#This Row],[Date]])+IF(MONTH(Table13[[#This Row],[Date]])&gt;=4,1,0)</f>
        <v>2026</v>
      </c>
      <c r="C19" s="167">
        <f>YEAR(Table13[[#This Row],[Date]])</f>
        <v>2025</v>
      </c>
      <c r="D19" s="168">
        <f>Table13[[#This Row],[Date]]-DAY(Table13[[#This Row],[Date]])+1</f>
        <v>45748</v>
      </c>
      <c r="E19" s="167">
        <f t="shared" si="0"/>
        <v>30</v>
      </c>
      <c r="F19" s="169"/>
      <c r="G19" s="176"/>
      <c r="H19" s="176"/>
      <c r="I19" s="176"/>
      <c r="J19" s="176"/>
      <c r="K19" s="171"/>
      <c r="L19" s="170"/>
      <c r="M19" s="170">
        <f>IFERROR(_xlfn.XLOOKUP($A19,Input_Raw!$A:$A,Input_Raw!BG:BG),"")</f>
        <v>8.6513936270192335</v>
      </c>
      <c r="N19" s="170">
        <f>IFERROR(_xlfn.XLOOKUP($A19,Input_Raw!$A:$A,Input_Raw!BH:BH),"")</f>
        <v>0</v>
      </c>
      <c r="O19" s="173">
        <f t="shared" si="1"/>
        <v>0.93616354486619657</v>
      </c>
      <c r="P19" s="173">
        <f>IFERROR(1-SUMIF(WTG_BD!$F:$F,$A19,WTG_BD!$AA:$AA)/($AA19+SUMIF(WTG_BD!$F:$F,$A19,WTG_BD!$AA:$AA)),"")</f>
        <v>0.93616354486619657</v>
      </c>
      <c r="Q19" s="173">
        <f>IFERROR(1-SUMIF(IGA_BD!$F:$F,$A19,IGA_BD!$X:$X)/($AA19+SUMIF(IGA_BD!$F:$F,$A19,IGA_BD!$X:$X)),"")</f>
        <v>1</v>
      </c>
      <c r="R19" s="173">
        <f>IFERROR(1-SUMIF(Grid_BD!$F:$F,$A19,Grid_BD!$Y:$Y)/($AA19+SUMIF(Grid_BD!$F:$F,$A19,Grid_BD!$Y:$Y)),"")</f>
        <v>1</v>
      </c>
      <c r="S19" s="167"/>
      <c r="T19" s="172"/>
      <c r="U19" s="173"/>
      <c r="V19" s="167"/>
      <c r="W19" s="174">
        <f t="shared" si="2"/>
        <v>0.62927350427350415</v>
      </c>
      <c r="X19" s="167">
        <f>IFERROR(_xlfn.XLOOKUP($A19,Input_Raw!$A:$A,Input_Raw!$BF:$BF),"")</f>
        <v>1098717</v>
      </c>
      <c r="Y19" s="167">
        <f>IFERROR(_xlfn.XLOOKUP($A19,Input_Raw!$A:$A,Input_Raw!BJ:BJ),"")</f>
        <v>1060200</v>
      </c>
      <c r="Z19" s="167">
        <f>IFERROR(_xlfn.XLOOKUP($A19,Input_Raw!$A:$A,Input_Raw!BK:BK),"")</f>
        <v>0</v>
      </c>
      <c r="AA19" s="167">
        <f>IFERROR(_xlfn.XLOOKUP($A19,Input_Raw!$A:$A,Input_Raw!BL:BL),"")</f>
        <v>1060200</v>
      </c>
      <c r="AB19" s="167">
        <f>IFERROR(_xlfn.XLOOKUP($A19,Input_Raw!$A:$A,Input_Raw!$BO:$BO),"")</f>
        <v>70.2</v>
      </c>
      <c r="AC19" s="176">
        <f>IFERROR(_xlfn.XLOOKUP($D19,'Modelling New'!$D:$D,'Modelling New'!$J:$J),"")</f>
        <v>6.65</v>
      </c>
      <c r="AD19" s="166">
        <f>IFERROR(_xlfn.XLOOKUP($D19,'Modelling New'!$D:$D,'Modelling New'!$T:$T)*1000,"")</f>
        <v>697760.5424630543</v>
      </c>
      <c r="AE19" s="174"/>
      <c r="AF19" s="174">
        <f>IFERROR(_xlfn.XLOOKUP($D19,'Modelling New'!$D:$D,'Modelling New'!$W:$W),"")</f>
        <v>0.41415036945812811</v>
      </c>
      <c r="AG19" s="174">
        <f>IFERROR(_xlfn.XLOOKUP($D19,'Modelling New'!$D:$D,'Modelling New'!$AE:$AE),"")</f>
        <v>0.96029999999999993</v>
      </c>
      <c r="AH19" s="174">
        <f>IFERROR(_xlfn.XLOOKUP($D19,'Modelling New'!$D:$D,'Modelling New'!$AF:$AF),"")</f>
        <v>0.995</v>
      </c>
      <c r="AI19" s="177">
        <f>IFERROR(_xlfn.XLOOKUP($A19,Input_Raw!$A:$A,Input_Raw!$BQ:$BQ),"")</f>
        <v>1204.55</v>
      </c>
      <c r="AJ19" s="167"/>
      <c r="AK19" s="167"/>
      <c r="AL19" s="167"/>
      <c r="AM19" s="167"/>
      <c r="AN19" s="175">
        <f>IFERROR(_xlfn.XLOOKUP($A19,Input_Raw!$A:$A,Input_Raw!$BN:$BN),"")</f>
        <v>3.5056342989140968E-2</v>
      </c>
      <c r="AO19" s="174">
        <f>IFERROR((_xlfn.XLOOKUP($A19,'WTG Reactive Power'!$A:$A,'WTG Reactive Power'!$AE:$AE))/Table13[[#This Row],[Gen_Exp (kWh)]],"")</f>
        <v>1.679218579488622E-2</v>
      </c>
      <c r="AP19" s="174">
        <f>IFERROR(_xlfn.XLOOKUP($D19,'Modelling New'!$D:$D,'Modelling New'!$AK:$AK),"")</f>
        <v>0.05</v>
      </c>
      <c r="AQ19" s="174">
        <f>IFERROR(_xlfn.XLOOKUP($D19,'Modelling New'!$D:$D,'Modelling New'!$AL:$AL),"")</f>
        <v>0.05</v>
      </c>
      <c r="AR19" s="276">
        <f>IFERROR(_xlfn.XLOOKUP($D19,'Modelling New'!$D:$D,'Modelling New'!$N:$N),"")</f>
        <v>70.2</v>
      </c>
      <c r="AS19" s="276"/>
    </row>
    <row r="20" spans="1:45">
      <c r="A20" s="165">
        <f t="shared" si="3"/>
        <v>45763</v>
      </c>
      <c r="B20" s="166">
        <f>YEAR(Table13[[#This Row],[Date]])+IF(MONTH(Table13[[#This Row],[Date]])&gt;=4,1,0)</f>
        <v>2026</v>
      </c>
      <c r="C20" s="167">
        <f>YEAR(Table13[[#This Row],[Date]])</f>
        <v>2025</v>
      </c>
      <c r="D20" s="168">
        <f>Table13[[#This Row],[Date]]-DAY(Table13[[#This Row],[Date]])+1</f>
        <v>45748</v>
      </c>
      <c r="E20" s="167">
        <f t="shared" si="0"/>
        <v>30</v>
      </c>
      <c r="F20" s="169"/>
      <c r="G20" s="170"/>
      <c r="H20" s="170"/>
      <c r="I20" s="170"/>
      <c r="J20" s="170"/>
      <c r="K20" s="171"/>
      <c r="L20" s="170"/>
      <c r="M20" s="170">
        <f>IFERROR(_xlfn.XLOOKUP($A20,Input_Raw!$A:$A,Input_Raw!BG:BG),"")</f>
        <v>7.9018868801493038</v>
      </c>
      <c r="N20" s="170">
        <f>IFERROR(_xlfn.XLOOKUP($A20,Input_Raw!$A:$A,Input_Raw!BH:BH),"")</f>
        <v>0</v>
      </c>
      <c r="O20" s="173">
        <f t="shared" si="1"/>
        <v>0.9254197239579246</v>
      </c>
      <c r="P20" s="173">
        <f>IFERROR(1-SUMIF(WTG_BD!$F:$F,$A20,WTG_BD!$AA:$AA)/($AA20+SUMIF(WTG_BD!$F:$F,$A20,WTG_BD!$AA:$AA)),"")</f>
        <v>0.92586538079674296</v>
      </c>
      <c r="Q20" s="173">
        <f>IFERROR(1-SUMIF(IGA_BD!$F:$F,$A20,IGA_BD!$X:$X)/($AA20+SUMIF(IGA_BD!$F:$F,$A20,IGA_BD!$X:$X)),"")</f>
        <v>0.99951865913980409</v>
      </c>
      <c r="R20" s="173">
        <f>IFERROR(1-SUMIF(Grid_BD!$F:$F,$A20,Grid_BD!$Y:$Y)/($AA20+SUMIF(Grid_BD!$F:$F,$A20,Grid_BD!$Y:$Y)),"")</f>
        <v>1</v>
      </c>
      <c r="S20" s="167"/>
      <c r="T20" s="172"/>
      <c r="U20" s="173"/>
      <c r="V20" s="167"/>
      <c r="W20" s="174">
        <f t="shared" si="2"/>
        <v>0.54246794871794868</v>
      </c>
      <c r="X20" s="167">
        <f>IFERROR(_xlfn.XLOOKUP($A20,Input_Raw!$A:$A,Input_Raw!$BF:$BF),"")</f>
        <v>947749</v>
      </c>
      <c r="Y20" s="167">
        <f>IFERROR(_xlfn.XLOOKUP($A20,Input_Raw!$A:$A,Input_Raw!BJ:BJ),"")</f>
        <v>913950</v>
      </c>
      <c r="Z20" s="167">
        <f>IFERROR(_xlfn.XLOOKUP($A20,Input_Raw!$A:$A,Input_Raw!BK:BK),"")</f>
        <v>0</v>
      </c>
      <c r="AA20" s="167">
        <f>IFERROR(_xlfn.XLOOKUP($A20,Input_Raw!$A:$A,Input_Raw!BL:BL),"")</f>
        <v>913950</v>
      </c>
      <c r="AB20" s="167">
        <f>IFERROR(_xlfn.XLOOKUP($A20,Input_Raw!$A:$A,Input_Raw!$BO:$BO),"")</f>
        <v>70.2</v>
      </c>
      <c r="AC20" s="176">
        <f>IFERROR(_xlfn.XLOOKUP($D20,'Modelling New'!$D:$D,'Modelling New'!$J:$J),"")</f>
        <v>6.65</v>
      </c>
      <c r="AD20" s="166">
        <f>IFERROR(_xlfn.XLOOKUP($D20,'Modelling New'!$D:$D,'Modelling New'!$T:$T)*1000,"")</f>
        <v>697760.5424630543</v>
      </c>
      <c r="AE20" s="174"/>
      <c r="AF20" s="174">
        <f>IFERROR(_xlfn.XLOOKUP($D20,'Modelling New'!$D:$D,'Modelling New'!$W:$W),"")</f>
        <v>0.41415036945812811</v>
      </c>
      <c r="AG20" s="174">
        <f>IFERROR(_xlfn.XLOOKUP($D20,'Modelling New'!$D:$D,'Modelling New'!$AE:$AE),"")</f>
        <v>0.96029999999999993</v>
      </c>
      <c r="AH20" s="174">
        <f>IFERROR(_xlfn.XLOOKUP($D20,'Modelling New'!$D:$D,'Modelling New'!$AF:$AF),"")</f>
        <v>0.995</v>
      </c>
      <c r="AI20" s="177">
        <f>IFERROR(_xlfn.XLOOKUP($A20,Input_Raw!$A:$A,Input_Raw!$BQ:$BQ),"")</f>
        <v>1042.18</v>
      </c>
      <c r="AJ20" s="167"/>
      <c r="AK20" s="167"/>
      <c r="AL20" s="167"/>
      <c r="AM20" s="167"/>
      <c r="AN20" s="175">
        <f>IFERROR(_xlfn.XLOOKUP($A20,Input_Raw!$A:$A,Input_Raw!$BN:$BN),"")</f>
        <v>3.5662395845313472E-2</v>
      </c>
      <c r="AO20" s="174">
        <f>IFERROR((_xlfn.XLOOKUP($A20,'WTG Reactive Power'!$A:$A,'WTG Reactive Power'!$AE:$AE))/Table13[[#This Row],[Gen_Exp (kWh)]],"")</f>
        <v>2.9437984107606546E-2</v>
      </c>
      <c r="AP20" s="174">
        <f>IFERROR(_xlfn.XLOOKUP($D20,'Modelling New'!$D:$D,'Modelling New'!$AK:$AK),"")</f>
        <v>0.05</v>
      </c>
      <c r="AQ20" s="174">
        <f>IFERROR(_xlfn.XLOOKUP($D20,'Modelling New'!$D:$D,'Modelling New'!$AL:$AL),"")</f>
        <v>0.05</v>
      </c>
      <c r="AR20" s="276">
        <f>IFERROR(_xlfn.XLOOKUP($D20,'Modelling New'!$D:$D,'Modelling New'!$N:$N),"")</f>
        <v>70.2</v>
      </c>
      <c r="AS20" s="276"/>
    </row>
    <row r="21" spans="1:45">
      <c r="A21" s="165">
        <f t="shared" si="3"/>
        <v>45764</v>
      </c>
      <c r="B21" s="166">
        <f>YEAR(Table13[[#This Row],[Date]])+IF(MONTH(Table13[[#This Row],[Date]])&gt;=4,1,0)</f>
        <v>2026</v>
      </c>
      <c r="C21" s="167">
        <f>YEAR(Table13[[#This Row],[Date]])</f>
        <v>2025</v>
      </c>
      <c r="D21" s="168">
        <f>Table13[[#This Row],[Date]]-DAY(Table13[[#This Row],[Date]])+1</f>
        <v>45748</v>
      </c>
      <c r="E21" s="167">
        <f t="shared" si="0"/>
        <v>30</v>
      </c>
      <c r="F21" s="169"/>
      <c r="G21" s="176"/>
      <c r="H21" s="176"/>
      <c r="I21" s="176"/>
      <c r="J21" s="176"/>
      <c r="K21" s="171"/>
      <c r="L21" s="170"/>
      <c r="M21" s="170">
        <f>IFERROR(_xlfn.XLOOKUP($A21,Input_Raw!$A:$A,Input_Raw!BG:BG),"")</f>
        <v>7.2235294332983582</v>
      </c>
      <c r="N21" s="170">
        <f>IFERROR(_xlfn.XLOOKUP($A21,Input_Raw!$A:$A,Input_Raw!BH:BH),"")</f>
        <v>0</v>
      </c>
      <c r="O21" s="173">
        <f t="shared" si="1"/>
        <v>0.97170926712397088</v>
      </c>
      <c r="P21" s="173">
        <f>IFERROR(1-SUMIF(WTG_BD!$F:$F,$A21,WTG_BD!$AA:$AA)/($AA21+SUMIF(WTG_BD!$F:$F,$A21,WTG_BD!$AA:$AA)),"")</f>
        <v>0.97170926712397088</v>
      </c>
      <c r="Q21" s="173">
        <f>IFERROR(1-SUMIF(IGA_BD!$F:$F,$A21,IGA_BD!$X:$X)/($AA21+SUMIF(IGA_BD!$F:$F,$A21,IGA_BD!$X:$X)),"")</f>
        <v>1</v>
      </c>
      <c r="R21" s="173">
        <f>IFERROR(1-SUMIF(Grid_BD!$F:$F,$A21,Grid_BD!$Y:$Y)/($AA21+SUMIF(Grid_BD!$F:$F,$A21,Grid_BD!$Y:$Y)),"")</f>
        <v>1</v>
      </c>
      <c r="S21" s="167"/>
      <c r="T21" s="172"/>
      <c r="U21" s="173"/>
      <c r="V21" s="167"/>
      <c r="W21" s="174">
        <f t="shared" si="2"/>
        <v>0.50133547008546997</v>
      </c>
      <c r="X21" s="167">
        <f>IFERROR(_xlfn.XLOOKUP($A21,Input_Raw!$A:$A,Input_Raw!$BF:$BF),"")</f>
        <v>875991</v>
      </c>
      <c r="Y21" s="167">
        <f>IFERROR(_xlfn.XLOOKUP($A21,Input_Raw!$A:$A,Input_Raw!BJ:BJ),"")</f>
        <v>845100</v>
      </c>
      <c r="Z21" s="167">
        <f>IFERROR(_xlfn.XLOOKUP($A21,Input_Raw!$A:$A,Input_Raw!BK:BK),"")</f>
        <v>450</v>
      </c>
      <c r="AA21" s="167">
        <f>IFERROR(_xlfn.XLOOKUP($A21,Input_Raw!$A:$A,Input_Raw!BL:BL),"")</f>
        <v>844650</v>
      </c>
      <c r="AB21" s="167">
        <f>IFERROR(_xlfn.XLOOKUP($A21,Input_Raw!$A:$A,Input_Raw!$BO:$BO),"")</f>
        <v>70.2</v>
      </c>
      <c r="AC21" s="176">
        <f>IFERROR(_xlfn.XLOOKUP($D21,'Modelling New'!$D:$D,'Modelling New'!$J:$J),"")</f>
        <v>6.65</v>
      </c>
      <c r="AD21" s="166">
        <f>IFERROR(_xlfn.XLOOKUP($D21,'Modelling New'!$D:$D,'Modelling New'!$T:$T)*1000,"")</f>
        <v>697760.5424630543</v>
      </c>
      <c r="AE21" s="174"/>
      <c r="AF21" s="174">
        <f>IFERROR(_xlfn.XLOOKUP($D21,'Modelling New'!$D:$D,'Modelling New'!$W:$W),"")</f>
        <v>0.41415036945812811</v>
      </c>
      <c r="AG21" s="174">
        <f>IFERROR(_xlfn.XLOOKUP($D21,'Modelling New'!$D:$D,'Modelling New'!$AE:$AE),"")</f>
        <v>0.96029999999999993</v>
      </c>
      <c r="AH21" s="174">
        <f>IFERROR(_xlfn.XLOOKUP($D21,'Modelling New'!$D:$D,'Modelling New'!$AF:$AF),"")</f>
        <v>0.995</v>
      </c>
      <c r="AI21" s="177">
        <f>IFERROR(_xlfn.XLOOKUP($A21,Input_Raw!$A:$A,Input_Raw!$BQ:$BQ),"")</f>
        <v>924.98</v>
      </c>
      <c r="AJ21" s="167"/>
      <c r="AK21" s="167"/>
      <c r="AL21" s="167"/>
      <c r="AM21" s="167"/>
      <c r="AN21" s="175">
        <f>IFERROR(_xlfn.XLOOKUP($A21,Input_Raw!$A:$A,Input_Raw!$BN:$BN),"")</f>
        <v>3.5264060932132864E-2</v>
      </c>
      <c r="AO21" s="174">
        <f>IFERROR((_xlfn.XLOOKUP($A21,'WTG Reactive Power'!$A:$A,'WTG Reactive Power'!$AE:$AE))/Table13[[#This Row],[Gen_Exp (kWh)]],"")</f>
        <v>4.2123697617897901E-2</v>
      </c>
      <c r="AP21" s="174">
        <f>IFERROR(_xlfn.XLOOKUP($D21,'Modelling New'!$D:$D,'Modelling New'!$AK:$AK),"")</f>
        <v>0.05</v>
      </c>
      <c r="AQ21" s="174">
        <f>IFERROR(_xlfn.XLOOKUP($D21,'Modelling New'!$D:$D,'Modelling New'!$AL:$AL),"")</f>
        <v>0.05</v>
      </c>
      <c r="AR21" s="276">
        <f>IFERROR(_xlfn.XLOOKUP($D21,'Modelling New'!$D:$D,'Modelling New'!$N:$N),"")</f>
        <v>70.2</v>
      </c>
      <c r="AS21" s="276"/>
    </row>
    <row r="22" spans="1:45">
      <c r="A22" s="165">
        <f t="shared" si="3"/>
        <v>45765</v>
      </c>
      <c r="B22" s="166">
        <f>YEAR(Table13[[#This Row],[Date]])+IF(MONTH(Table13[[#This Row],[Date]])&gt;=4,1,0)</f>
        <v>2026</v>
      </c>
      <c r="C22" s="167">
        <f>YEAR(Table13[[#This Row],[Date]])</f>
        <v>2025</v>
      </c>
      <c r="D22" s="168">
        <f>Table13[[#This Row],[Date]]-DAY(Table13[[#This Row],[Date]])+1</f>
        <v>45748</v>
      </c>
      <c r="E22" s="167">
        <f t="shared" si="0"/>
        <v>30</v>
      </c>
      <c r="F22" s="169"/>
      <c r="G22" s="170"/>
      <c r="H22" s="170"/>
      <c r="I22" s="170"/>
      <c r="J22" s="170"/>
      <c r="K22" s="171"/>
      <c r="L22" s="170"/>
      <c r="M22" s="170">
        <f>IFERROR(_xlfn.XLOOKUP($A22,Input_Raw!$A:$A,Input_Raw!BG:BG),"")</f>
        <v>7.6607104748264545</v>
      </c>
      <c r="N22" s="170">
        <f>IFERROR(_xlfn.XLOOKUP($A22,Input_Raw!$A:$A,Input_Raw!BH:BH),"")</f>
        <v>0</v>
      </c>
      <c r="O22" s="173">
        <f t="shared" si="1"/>
        <v>0.96459575211034543</v>
      </c>
      <c r="P22" s="173">
        <f>IFERROR(1-SUMIF(WTG_BD!$F:$F,$A22,WTG_BD!$AA:$AA)/($AA22+SUMIF(WTG_BD!$F:$F,$A22,WTG_BD!$AA:$AA)),"")</f>
        <v>0.96459575211034543</v>
      </c>
      <c r="Q22" s="173">
        <f>IFERROR(1-SUMIF(IGA_BD!$F:$F,$A22,IGA_BD!$X:$X)/($AA22+SUMIF(IGA_BD!$F:$F,$A22,IGA_BD!$X:$X)),"")</f>
        <v>1</v>
      </c>
      <c r="R22" s="173">
        <f>IFERROR(1-SUMIF(Grid_BD!$F:$F,$A22,Grid_BD!$Y:$Y)/($AA22+SUMIF(Grid_BD!$F:$F,$A22,Grid_BD!$Y:$Y)),"")</f>
        <v>1</v>
      </c>
      <c r="S22" s="167"/>
      <c r="T22" s="172"/>
      <c r="U22" s="173"/>
      <c r="V22" s="167"/>
      <c r="W22" s="174">
        <f t="shared" si="2"/>
        <v>0.49652777777777773</v>
      </c>
      <c r="X22" s="167">
        <f>IFERROR(_xlfn.XLOOKUP($A22,Input_Raw!$A:$A,Input_Raw!$BF:$BF),"")</f>
        <v>864039</v>
      </c>
      <c r="Y22" s="167">
        <f>IFERROR(_xlfn.XLOOKUP($A22,Input_Raw!$A:$A,Input_Raw!BJ:BJ),"")</f>
        <v>836550</v>
      </c>
      <c r="Z22" s="167">
        <f>IFERROR(_xlfn.XLOOKUP($A22,Input_Raw!$A:$A,Input_Raw!BK:BK),"")</f>
        <v>0</v>
      </c>
      <c r="AA22" s="167">
        <f>IFERROR(_xlfn.XLOOKUP($A22,Input_Raw!$A:$A,Input_Raw!BL:BL),"")</f>
        <v>836550</v>
      </c>
      <c r="AB22" s="167">
        <f>IFERROR(_xlfn.XLOOKUP($A22,Input_Raw!$A:$A,Input_Raw!$BO:$BO),"")</f>
        <v>70.2</v>
      </c>
      <c r="AC22" s="176">
        <f>IFERROR(_xlfn.XLOOKUP($D22,'Modelling New'!$D:$D,'Modelling New'!$J:$J),"")</f>
        <v>6.65</v>
      </c>
      <c r="AD22" s="166">
        <f>IFERROR(_xlfn.XLOOKUP($D22,'Modelling New'!$D:$D,'Modelling New'!$T:$T)*1000,"")</f>
        <v>697760.5424630543</v>
      </c>
      <c r="AE22" s="174"/>
      <c r="AF22" s="174">
        <f>IFERROR(_xlfn.XLOOKUP($D22,'Modelling New'!$D:$D,'Modelling New'!$W:$W),"")</f>
        <v>0.41415036945812811</v>
      </c>
      <c r="AG22" s="174">
        <f>IFERROR(_xlfn.XLOOKUP($D22,'Modelling New'!$D:$D,'Modelling New'!$AE:$AE),"")</f>
        <v>0.96029999999999993</v>
      </c>
      <c r="AH22" s="174">
        <f>IFERROR(_xlfn.XLOOKUP($D22,'Modelling New'!$D:$D,'Modelling New'!$AF:$AF),"")</f>
        <v>0.995</v>
      </c>
      <c r="AI22" s="177">
        <f>IFERROR(_xlfn.XLOOKUP($A22,Input_Raw!$A:$A,Input_Raw!$BQ:$BQ),"")</f>
        <v>946.76</v>
      </c>
      <c r="AJ22" s="167"/>
      <c r="AK22" s="167"/>
      <c r="AL22" s="167"/>
      <c r="AM22" s="167"/>
      <c r="AN22" s="175">
        <f>IFERROR(_xlfn.XLOOKUP($A22,Input_Raw!$A:$A,Input_Raw!$BN:$BN),"")</f>
        <v>3.1814536149409919E-2</v>
      </c>
      <c r="AO22" s="174">
        <f>IFERROR((_xlfn.XLOOKUP($A22,'WTG Reactive Power'!$A:$A,'WTG Reactive Power'!$AE:$AE))/Table13[[#This Row],[Gen_Exp (kWh)]],"")</f>
        <v>2.6037945046462024E-3</v>
      </c>
      <c r="AP22" s="174">
        <f>IFERROR(_xlfn.XLOOKUP($D22,'Modelling New'!$D:$D,'Modelling New'!$AK:$AK),"")</f>
        <v>0.05</v>
      </c>
      <c r="AQ22" s="174">
        <f>IFERROR(_xlfn.XLOOKUP($D22,'Modelling New'!$D:$D,'Modelling New'!$AL:$AL),"")</f>
        <v>0.05</v>
      </c>
      <c r="AR22" s="276">
        <f>IFERROR(_xlfn.XLOOKUP($D22,'Modelling New'!$D:$D,'Modelling New'!$N:$N),"")</f>
        <v>70.2</v>
      </c>
      <c r="AS22" s="276"/>
    </row>
    <row r="23" spans="1:45">
      <c r="A23" s="165">
        <f t="shared" si="3"/>
        <v>45766</v>
      </c>
      <c r="B23" s="166">
        <f>YEAR(Table13[[#This Row],[Date]])+IF(MONTH(Table13[[#This Row],[Date]])&gt;=4,1,0)</f>
        <v>2026</v>
      </c>
      <c r="C23" s="167">
        <f>YEAR(Table13[[#This Row],[Date]])</f>
        <v>2025</v>
      </c>
      <c r="D23" s="168">
        <f>Table13[[#This Row],[Date]]-DAY(Table13[[#This Row],[Date]])+1</f>
        <v>45748</v>
      </c>
      <c r="E23" s="167">
        <f t="shared" si="0"/>
        <v>30</v>
      </c>
      <c r="F23" s="169"/>
      <c r="G23" s="176"/>
      <c r="H23" s="176"/>
      <c r="I23" s="176"/>
      <c r="J23" s="176"/>
      <c r="K23" s="171"/>
      <c r="L23" s="170"/>
      <c r="M23" s="170">
        <f>IFERROR(_xlfn.XLOOKUP($A23,Input_Raw!$A:$A,Input_Raw!BG:BG),"")</f>
        <v>8.9049759635176322</v>
      </c>
      <c r="N23" s="170">
        <f>IFERROR(_xlfn.XLOOKUP($A23,Input_Raw!$A:$A,Input_Raw!BH:BH),"")</f>
        <v>0</v>
      </c>
      <c r="O23" s="173">
        <f t="shared" si="1"/>
        <v>0.9694238098439133</v>
      </c>
      <c r="P23" s="173">
        <f>IFERROR(1-SUMIF(WTG_BD!$F:$F,$A23,WTG_BD!$AA:$AA)/($AA23+SUMIF(WTG_BD!$F:$F,$A23,WTG_BD!$AA:$AA)),"")</f>
        <v>0.9694238098439133</v>
      </c>
      <c r="Q23" s="173">
        <f>IFERROR(1-SUMIF(IGA_BD!$F:$F,$A23,IGA_BD!$X:$X)/($AA23+SUMIF(IGA_BD!$F:$F,$A23,IGA_BD!$X:$X)),"")</f>
        <v>1</v>
      </c>
      <c r="R23" s="173">
        <f>IFERROR(1-SUMIF(Grid_BD!$F:$F,$A23,Grid_BD!$Y:$Y)/($AA23+SUMIF(Grid_BD!$F:$F,$A23,Grid_BD!$Y:$Y)),"")</f>
        <v>1</v>
      </c>
      <c r="S23" s="167"/>
      <c r="T23" s="172"/>
      <c r="U23" s="173"/>
      <c r="V23" s="167"/>
      <c r="W23" s="174">
        <f t="shared" si="2"/>
        <v>0.66399572649572636</v>
      </c>
      <c r="X23" s="167">
        <f>IFERROR(_xlfn.XLOOKUP($A23,Input_Raw!$A:$A,Input_Raw!$BF:$BF),"")</f>
        <v>1158786</v>
      </c>
      <c r="Y23" s="167">
        <f>IFERROR(_xlfn.XLOOKUP($A23,Input_Raw!$A:$A,Input_Raw!BJ:BJ),"")</f>
        <v>1118700</v>
      </c>
      <c r="Z23" s="167">
        <f>IFERROR(_xlfn.XLOOKUP($A23,Input_Raw!$A:$A,Input_Raw!BK:BK),"")</f>
        <v>0</v>
      </c>
      <c r="AA23" s="167">
        <f>IFERROR(_xlfn.XLOOKUP($A23,Input_Raw!$A:$A,Input_Raw!BL:BL),"")</f>
        <v>1118700</v>
      </c>
      <c r="AB23" s="167">
        <f>IFERROR(_xlfn.XLOOKUP($A23,Input_Raw!$A:$A,Input_Raw!$BO:$BO),"")</f>
        <v>70.2</v>
      </c>
      <c r="AC23" s="176">
        <f>IFERROR(_xlfn.XLOOKUP($D23,'Modelling New'!$D:$D,'Modelling New'!$J:$J),"")</f>
        <v>6.65</v>
      </c>
      <c r="AD23" s="166">
        <f>IFERROR(_xlfn.XLOOKUP($D23,'Modelling New'!$D:$D,'Modelling New'!$T:$T)*1000,"")</f>
        <v>697760.5424630543</v>
      </c>
      <c r="AE23" s="174"/>
      <c r="AF23" s="174">
        <f>IFERROR(_xlfn.XLOOKUP($D23,'Modelling New'!$D:$D,'Modelling New'!$W:$W),"")</f>
        <v>0.41415036945812811</v>
      </c>
      <c r="AG23" s="174">
        <f>IFERROR(_xlfn.XLOOKUP($D23,'Modelling New'!$D:$D,'Modelling New'!$AE:$AE),"")</f>
        <v>0.96029999999999993</v>
      </c>
      <c r="AH23" s="174">
        <f>IFERROR(_xlfn.XLOOKUP($D23,'Modelling New'!$D:$D,'Modelling New'!$AF:$AF),"")</f>
        <v>0.995</v>
      </c>
      <c r="AI23" s="177">
        <f>IFERROR(_xlfn.XLOOKUP($A23,Input_Raw!$A:$A,Input_Raw!$BQ:$BQ),"")</f>
        <v>1285.97</v>
      </c>
      <c r="AJ23" s="167"/>
      <c r="AK23" s="167"/>
      <c r="AL23" s="167"/>
      <c r="AM23" s="167"/>
      <c r="AN23" s="175">
        <f>IFERROR(_xlfn.XLOOKUP($A23,Input_Raw!$A:$A,Input_Raw!$BN:$BN),"")</f>
        <v>3.459310002019355E-2</v>
      </c>
      <c r="AO23" s="174">
        <f>IFERROR((_xlfn.XLOOKUP($A23,'WTG Reactive Power'!$A:$A,'WTG Reactive Power'!$AE:$AE))/Table13[[#This Row],[Gen_Exp (kWh)]],"")</f>
        <v>8.5432167803200978E-3</v>
      </c>
      <c r="AP23" s="174">
        <f>IFERROR(_xlfn.XLOOKUP($D23,'Modelling New'!$D:$D,'Modelling New'!$AK:$AK),"")</f>
        <v>0.05</v>
      </c>
      <c r="AQ23" s="174">
        <f>IFERROR(_xlfn.XLOOKUP($D23,'Modelling New'!$D:$D,'Modelling New'!$AL:$AL),"")</f>
        <v>0.05</v>
      </c>
      <c r="AR23" s="276">
        <f>IFERROR(_xlfn.XLOOKUP($D23,'Modelling New'!$D:$D,'Modelling New'!$N:$N),"")</f>
        <v>70.2</v>
      </c>
      <c r="AS23" s="276"/>
    </row>
    <row r="24" spans="1:45">
      <c r="A24" s="165">
        <f t="shared" si="3"/>
        <v>45767</v>
      </c>
      <c r="B24" s="166">
        <f>YEAR(Table13[[#This Row],[Date]])+IF(MONTH(Table13[[#This Row],[Date]])&gt;=4,1,0)</f>
        <v>2026</v>
      </c>
      <c r="C24" s="167">
        <f>YEAR(Table13[[#This Row],[Date]])</f>
        <v>2025</v>
      </c>
      <c r="D24" s="168">
        <f>Table13[[#This Row],[Date]]-DAY(Table13[[#This Row],[Date]])+1</f>
        <v>45748</v>
      </c>
      <c r="E24" s="167">
        <f t="shared" ref="E24:E87" si="4">DAY(EOMONTH(A24,0))</f>
        <v>30</v>
      </c>
      <c r="F24" s="169"/>
      <c r="G24" s="170"/>
      <c r="H24" s="170"/>
      <c r="I24" s="170"/>
      <c r="J24" s="170"/>
      <c r="K24" s="171"/>
      <c r="L24" s="170"/>
      <c r="M24" s="170">
        <f>IFERROR(_xlfn.XLOOKUP($A24,Input_Raw!$A:$A,Input_Raw!BG:BG),"")</f>
        <v>6.856387018638447</v>
      </c>
      <c r="N24" s="170">
        <f>IFERROR(_xlfn.XLOOKUP($A24,Input_Raw!$A:$A,Input_Raw!BH:BH),"")</f>
        <v>0</v>
      </c>
      <c r="O24" s="173">
        <f t="shared" ref="O24:O87" si="5">IFERROR(P24*Q24,"")</f>
        <v>0.98176055473103263</v>
      </c>
      <c r="P24" s="173">
        <f>IFERROR(1-SUMIF(WTG_BD!$F:$F,$A24,WTG_BD!$AA:$AA)/($AA24+SUMIF(WTG_BD!$F:$F,$A24,WTG_BD!$AA:$AA)),"")</f>
        <v>0.98176055473103263</v>
      </c>
      <c r="Q24" s="173">
        <f>IFERROR(1-SUMIF(IGA_BD!$F:$F,$A24,IGA_BD!$X:$X)/($AA24+SUMIF(IGA_BD!$F:$F,$A24,IGA_BD!$X:$X)),"")</f>
        <v>1</v>
      </c>
      <c r="R24" s="173">
        <f>IFERROR(1-SUMIF(Grid_BD!$F:$F,$A24,Grid_BD!$Y:$Y)/($AA24+SUMIF(Grid_BD!$F:$F,$A24,Grid_BD!$Y:$Y)),"")</f>
        <v>1</v>
      </c>
      <c r="S24" s="167"/>
      <c r="T24" s="172"/>
      <c r="U24" s="173"/>
      <c r="V24" s="167"/>
      <c r="W24" s="174">
        <f t="shared" ref="W24:W87" si="6">IFERROR(AA24/(24*AR24*1000),"")</f>
        <v>0.40785256410256404</v>
      </c>
      <c r="X24" s="167">
        <f>IFERROR(_xlfn.XLOOKUP($A24,Input_Raw!$A:$A,Input_Raw!$BF:$BF),"")</f>
        <v>708938</v>
      </c>
      <c r="Y24" s="167">
        <f>IFERROR(_xlfn.XLOOKUP($A24,Input_Raw!$A:$A,Input_Raw!BJ:BJ),"")</f>
        <v>687150</v>
      </c>
      <c r="Z24" s="167">
        <f>IFERROR(_xlfn.XLOOKUP($A24,Input_Raw!$A:$A,Input_Raw!BK:BK),"")</f>
        <v>0</v>
      </c>
      <c r="AA24" s="167">
        <f>IFERROR(_xlfn.XLOOKUP($A24,Input_Raw!$A:$A,Input_Raw!BL:BL),"")</f>
        <v>687150</v>
      </c>
      <c r="AB24" s="167">
        <f>IFERROR(_xlfn.XLOOKUP($A24,Input_Raw!$A:$A,Input_Raw!$BO:$BO),"")</f>
        <v>70.2</v>
      </c>
      <c r="AC24" s="176">
        <f>IFERROR(_xlfn.XLOOKUP($D24,'Modelling New'!$D:$D,'Modelling New'!$J:$J),"")</f>
        <v>6.65</v>
      </c>
      <c r="AD24" s="166">
        <f>IFERROR(_xlfn.XLOOKUP($D24,'Modelling New'!$D:$D,'Modelling New'!$T:$T)*1000,"")</f>
        <v>697760.5424630543</v>
      </c>
      <c r="AE24" s="174"/>
      <c r="AF24" s="174">
        <f>IFERROR(_xlfn.XLOOKUP($D24,'Modelling New'!$D:$D,'Modelling New'!$W:$W),"")</f>
        <v>0.41415036945812811</v>
      </c>
      <c r="AG24" s="174">
        <f>IFERROR(_xlfn.XLOOKUP($D24,'Modelling New'!$D:$D,'Modelling New'!$AE:$AE),"")</f>
        <v>0.96029999999999993</v>
      </c>
      <c r="AH24" s="174">
        <f>IFERROR(_xlfn.XLOOKUP($D24,'Modelling New'!$D:$D,'Modelling New'!$AF:$AF),"")</f>
        <v>0.995</v>
      </c>
      <c r="AI24" s="177">
        <f>IFERROR(_xlfn.XLOOKUP($A24,Input_Raw!$A:$A,Input_Raw!$BQ:$BQ),"")</f>
        <v>742.63</v>
      </c>
      <c r="AJ24" s="167"/>
      <c r="AK24" s="167"/>
      <c r="AL24" s="167"/>
      <c r="AM24" s="167"/>
      <c r="AN24" s="175">
        <f>IFERROR(_xlfn.XLOOKUP($A24,Input_Raw!$A:$A,Input_Raw!$BN:$BN),"")</f>
        <v>3.0733294025711698E-2</v>
      </c>
      <c r="AO24" s="174">
        <f>IFERROR((_xlfn.XLOOKUP($A24,'WTG Reactive Power'!$A:$A,'WTG Reactive Power'!$AE:$AE))/Table13[[#This Row],[Gen_Exp (kWh)]],"")</f>
        <v>1.9041439448865768E-3</v>
      </c>
      <c r="AP24" s="174">
        <f>IFERROR(_xlfn.XLOOKUP($D24,'Modelling New'!$D:$D,'Modelling New'!$AK:$AK),"")</f>
        <v>0.05</v>
      </c>
      <c r="AQ24" s="174">
        <f>IFERROR(_xlfn.XLOOKUP($D24,'Modelling New'!$D:$D,'Modelling New'!$AL:$AL),"")</f>
        <v>0.05</v>
      </c>
      <c r="AR24" s="276">
        <f>IFERROR(_xlfn.XLOOKUP($D24,'Modelling New'!$D:$D,'Modelling New'!$N:$N),"")</f>
        <v>70.2</v>
      </c>
      <c r="AS24" s="276"/>
    </row>
    <row r="25" spans="1:45">
      <c r="A25" s="165">
        <f t="shared" si="3"/>
        <v>45768</v>
      </c>
      <c r="B25" s="166">
        <f>YEAR(Table13[[#This Row],[Date]])+IF(MONTH(Table13[[#This Row],[Date]])&gt;=4,1,0)</f>
        <v>2026</v>
      </c>
      <c r="C25" s="167">
        <f>YEAR(Table13[[#This Row],[Date]])</f>
        <v>2025</v>
      </c>
      <c r="D25" s="168">
        <f>Table13[[#This Row],[Date]]-DAY(Table13[[#This Row],[Date]])+1</f>
        <v>45748</v>
      </c>
      <c r="E25" s="167">
        <f t="shared" si="4"/>
        <v>30</v>
      </c>
      <c r="F25" s="169"/>
      <c r="G25" s="176"/>
      <c r="H25" s="176"/>
      <c r="I25" s="176"/>
      <c r="J25" s="176"/>
      <c r="K25" s="171"/>
      <c r="L25" s="170"/>
      <c r="M25" s="170">
        <f>IFERROR(_xlfn.XLOOKUP($A25,Input_Raw!$A:$A,Input_Raw!BG:BG),"")</f>
        <v>4.9753116044268859</v>
      </c>
      <c r="N25" s="170">
        <f>IFERROR(_xlfn.XLOOKUP($A25,Input_Raw!$A:$A,Input_Raw!BH:BH),"")</f>
        <v>0</v>
      </c>
      <c r="O25" s="173">
        <f t="shared" si="5"/>
        <v>0.6647993842450477</v>
      </c>
      <c r="P25" s="173">
        <f>IFERROR(1-SUMIF(WTG_BD!$F:$F,$A25,WTG_BD!$AA:$AA)/($AA25+SUMIF(WTG_BD!$F:$F,$A25,WTG_BD!$AA:$AA)),"")</f>
        <v>0.97807707836619462</v>
      </c>
      <c r="Q25" s="173">
        <f>IFERROR(1-SUMIF(IGA_BD!$F:$F,$A25,IGA_BD!$X:$X)/($AA25+SUMIF(IGA_BD!$F:$F,$A25,IGA_BD!$X:$X)),"")</f>
        <v>0.67970040291256584</v>
      </c>
      <c r="R25" s="173">
        <f>IFERROR(1-SUMIF(Grid_BD!$F:$F,$A25,Grid_BD!$Y:$Y)/($AA25+SUMIF(Grid_BD!$F:$F,$A25,Grid_BD!$Y:$Y)),"")</f>
        <v>1</v>
      </c>
      <c r="S25" s="167"/>
      <c r="T25" s="172"/>
      <c r="U25" s="173"/>
      <c r="V25" s="167"/>
      <c r="W25" s="174">
        <f t="shared" si="6"/>
        <v>0.15865384615384615</v>
      </c>
      <c r="X25" s="167">
        <f>IFERROR(_xlfn.XLOOKUP($A25,Input_Raw!$A:$A,Input_Raw!$BF:$BF),"")</f>
        <v>276454</v>
      </c>
      <c r="Y25" s="167">
        <f>IFERROR(_xlfn.XLOOKUP($A25,Input_Raw!$A:$A,Input_Raw!BJ:BJ),"")</f>
        <v>267300</v>
      </c>
      <c r="Z25" s="167">
        <f>IFERROR(_xlfn.XLOOKUP($A25,Input_Raw!$A:$A,Input_Raw!BK:BK),"")</f>
        <v>0</v>
      </c>
      <c r="AA25" s="167">
        <f>IFERROR(_xlfn.XLOOKUP($A25,Input_Raw!$A:$A,Input_Raw!BL:BL),"")</f>
        <v>267300</v>
      </c>
      <c r="AB25" s="167">
        <f>IFERROR(_xlfn.XLOOKUP($A25,Input_Raw!$A:$A,Input_Raw!$BO:$BO),"")</f>
        <v>70.2</v>
      </c>
      <c r="AC25" s="176">
        <f>IFERROR(_xlfn.XLOOKUP($D25,'Modelling New'!$D:$D,'Modelling New'!$J:$J),"")</f>
        <v>6.65</v>
      </c>
      <c r="AD25" s="166">
        <f>IFERROR(_xlfn.XLOOKUP($D25,'Modelling New'!$D:$D,'Modelling New'!$T:$T)*1000,"")</f>
        <v>697760.5424630543</v>
      </c>
      <c r="AE25" s="174"/>
      <c r="AF25" s="174">
        <f>IFERROR(_xlfn.XLOOKUP($D25,'Modelling New'!$D:$D,'Modelling New'!$W:$W),"")</f>
        <v>0.41415036945812811</v>
      </c>
      <c r="AG25" s="174">
        <f>IFERROR(_xlfn.XLOOKUP($D25,'Modelling New'!$D:$D,'Modelling New'!$AE:$AE),"")</f>
        <v>0.96029999999999993</v>
      </c>
      <c r="AH25" s="174">
        <f>IFERROR(_xlfn.XLOOKUP($D25,'Modelling New'!$D:$D,'Modelling New'!$AF:$AF),"")</f>
        <v>0.995</v>
      </c>
      <c r="AI25" s="177">
        <f>IFERROR(_xlfn.XLOOKUP($A25,Input_Raw!$A:$A,Input_Raw!$BQ:$BQ),"")</f>
        <v>287.24</v>
      </c>
      <c r="AJ25" s="167"/>
      <c r="AK25" s="167"/>
      <c r="AL25" s="167"/>
      <c r="AM25" s="167"/>
      <c r="AN25" s="175">
        <f>IFERROR(_xlfn.XLOOKUP($A25,Input_Raw!$A:$A,Input_Raw!$BN:$BN),"")</f>
        <v>3.3112199497927319E-2</v>
      </c>
      <c r="AO25" s="174">
        <f>IFERROR((_xlfn.XLOOKUP($A25,'WTG Reactive Power'!$A:$A,'WTG Reactive Power'!$AE:$AE))/Table13[[#This Row],[Gen_Exp (kWh)]],"")</f>
        <v>1.6270337922403011E-3</v>
      </c>
      <c r="AP25" s="174">
        <f>IFERROR(_xlfn.XLOOKUP($D25,'Modelling New'!$D:$D,'Modelling New'!$AK:$AK),"")</f>
        <v>0.05</v>
      </c>
      <c r="AQ25" s="174">
        <f>IFERROR(_xlfn.XLOOKUP($D25,'Modelling New'!$D:$D,'Modelling New'!$AL:$AL),"")</f>
        <v>0.05</v>
      </c>
      <c r="AR25" s="276">
        <f>IFERROR(_xlfn.XLOOKUP($D25,'Modelling New'!$D:$D,'Modelling New'!$N:$N),"")</f>
        <v>70.2</v>
      </c>
      <c r="AS25" s="276"/>
    </row>
    <row r="26" spans="1:45">
      <c r="A26" s="165">
        <f t="shared" ref="A26:A89" si="7">A25+1</f>
        <v>45769</v>
      </c>
      <c r="B26" s="166">
        <f>YEAR(Table13[[#This Row],[Date]])+IF(MONTH(Table13[[#This Row],[Date]])&gt;=4,1,0)</f>
        <v>2026</v>
      </c>
      <c r="C26" s="167">
        <f>YEAR(Table13[[#This Row],[Date]])</f>
        <v>2025</v>
      </c>
      <c r="D26" s="168">
        <f>Table13[[#This Row],[Date]]-DAY(Table13[[#This Row],[Date]])+1</f>
        <v>45748</v>
      </c>
      <c r="E26" s="167">
        <f t="shared" si="4"/>
        <v>30</v>
      </c>
      <c r="F26" s="169"/>
      <c r="G26" s="170"/>
      <c r="H26" s="170"/>
      <c r="I26" s="170"/>
      <c r="J26" s="170"/>
      <c r="K26" s="171"/>
      <c r="L26" s="170"/>
      <c r="M26" s="170">
        <f>IFERROR(_xlfn.XLOOKUP($A26,Input_Raw!$A:$A,Input_Raw!BG:BG),"")</f>
        <v>5.2119762384735528</v>
      </c>
      <c r="N26" s="170">
        <f>IFERROR(_xlfn.XLOOKUP($A26,Input_Raw!$A:$A,Input_Raw!BH:BH),"")</f>
        <v>0</v>
      </c>
      <c r="O26" s="173">
        <f t="shared" si="5"/>
        <v>0.92930489317932308</v>
      </c>
      <c r="P26" s="173">
        <f>IFERROR(1-SUMIF(WTG_BD!$F:$F,$A26,WTG_BD!$AA:$AA)/($AA26+SUMIF(WTG_BD!$F:$F,$A26,WTG_BD!$AA:$AA)),"")</f>
        <v>0.96332472776719391</v>
      </c>
      <c r="Q26" s="173">
        <f>IFERROR(1-SUMIF(IGA_BD!$F:$F,$A26,IGA_BD!$X:$X)/($AA26+SUMIF(IGA_BD!$F:$F,$A26,IGA_BD!$X:$X)),"")</f>
        <v>0.96468497734224845</v>
      </c>
      <c r="R26" s="173">
        <f>IFERROR(1-SUMIF(Grid_BD!$F:$F,$A26,Grid_BD!$Y:$Y)/($AA26+SUMIF(Grid_BD!$F:$F,$A26,Grid_BD!$Y:$Y)),"")</f>
        <v>1</v>
      </c>
      <c r="S26" s="167"/>
      <c r="T26" s="172"/>
      <c r="U26" s="173"/>
      <c r="V26" s="167"/>
      <c r="W26" s="174">
        <f t="shared" si="6"/>
        <v>0.19711538461538458</v>
      </c>
      <c r="X26" s="167">
        <f>IFERROR(_xlfn.XLOOKUP($A26,Input_Raw!$A:$A,Input_Raw!$BF:$BF),"")</f>
        <v>342173</v>
      </c>
      <c r="Y26" s="167">
        <f>IFERROR(_xlfn.XLOOKUP($A26,Input_Raw!$A:$A,Input_Raw!BJ:BJ),"")</f>
        <v>332100</v>
      </c>
      <c r="Z26" s="167">
        <f>IFERROR(_xlfn.XLOOKUP($A26,Input_Raw!$A:$A,Input_Raw!BK:BK),"")</f>
        <v>0</v>
      </c>
      <c r="AA26" s="167">
        <f>IFERROR(_xlfn.XLOOKUP($A26,Input_Raw!$A:$A,Input_Raw!BL:BL),"")</f>
        <v>332100</v>
      </c>
      <c r="AB26" s="167">
        <f>IFERROR(_xlfn.XLOOKUP($A26,Input_Raw!$A:$A,Input_Raw!$BO:$BO),"")</f>
        <v>70.2</v>
      </c>
      <c r="AC26" s="176">
        <f>IFERROR(_xlfn.XLOOKUP($D26,'Modelling New'!$D:$D,'Modelling New'!$J:$J),"")</f>
        <v>6.65</v>
      </c>
      <c r="AD26" s="166">
        <f>IFERROR(_xlfn.XLOOKUP($D26,'Modelling New'!$D:$D,'Modelling New'!$T:$T)*1000,"")</f>
        <v>697760.5424630543</v>
      </c>
      <c r="AE26" s="174"/>
      <c r="AF26" s="174">
        <f>IFERROR(_xlfn.XLOOKUP($D26,'Modelling New'!$D:$D,'Modelling New'!$W:$W),"")</f>
        <v>0.41415036945812811</v>
      </c>
      <c r="AG26" s="174">
        <f>IFERROR(_xlfn.XLOOKUP($D26,'Modelling New'!$D:$D,'Modelling New'!$AE:$AE),"")</f>
        <v>0.96029999999999993</v>
      </c>
      <c r="AH26" s="174">
        <f>IFERROR(_xlfn.XLOOKUP($D26,'Modelling New'!$D:$D,'Modelling New'!$AF:$AF),"")</f>
        <v>0.995</v>
      </c>
      <c r="AI26" s="177">
        <f>IFERROR(_xlfn.XLOOKUP($A26,Input_Raw!$A:$A,Input_Raw!$BQ:$BQ),"")</f>
        <v>353.11</v>
      </c>
      <c r="AJ26" s="167"/>
      <c r="AK26" s="167"/>
      <c r="AL26" s="167"/>
      <c r="AM26" s="167"/>
      <c r="AN26" s="175">
        <f>IFERROR(_xlfn.XLOOKUP($A26,Input_Raw!$A:$A,Input_Raw!$BN:$BN),"")</f>
        <v>2.9438325057792404E-2</v>
      </c>
      <c r="AO26" s="174">
        <f>IFERROR((_xlfn.XLOOKUP($A26,'WTG Reactive Power'!$A:$A,'WTG Reactive Power'!$AE:$AE))/Table13[[#This Row],[Gen_Exp (kWh)]],"")</f>
        <v>1.3145397211352158E-3</v>
      </c>
      <c r="AP26" s="174">
        <f>IFERROR(_xlfn.XLOOKUP($D26,'Modelling New'!$D:$D,'Modelling New'!$AK:$AK),"")</f>
        <v>0.05</v>
      </c>
      <c r="AQ26" s="174">
        <f>IFERROR(_xlfn.XLOOKUP($D26,'Modelling New'!$D:$D,'Modelling New'!$AL:$AL),"")</f>
        <v>0.05</v>
      </c>
      <c r="AR26" s="276">
        <f>IFERROR(_xlfn.XLOOKUP($D26,'Modelling New'!$D:$D,'Modelling New'!$N:$N),"")</f>
        <v>70.2</v>
      </c>
      <c r="AS26" s="276"/>
    </row>
    <row r="27" spans="1:45">
      <c r="A27" s="165">
        <f t="shared" si="7"/>
        <v>45770</v>
      </c>
      <c r="B27" s="166">
        <f>YEAR(Table13[[#This Row],[Date]])+IF(MONTH(Table13[[#This Row],[Date]])&gt;=4,1,0)</f>
        <v>2026</v>
      </c>
      <c r="C27" s="167">
        <f>YEAR(Table13[[#This Row],[Date]])</f>
        <v>2025</v>
      </c>
      <c r="D27" s="168">
        <f>Table13[[#This Row],[Date]]-DAY(Table13[[#This Row],[Date]])+1</f>
        <v>45748</v>
      </c>
      <c r="E27" s="167">
        <f t="shared" si="4"/>
        <v>30</v>
      </c>
      <c r="F27" s="169"/>
      <c r="G27" s="176"/>
      <c r="H27" s="176"/>
      <c r="I27" s="176"/>
      <c r="J27" s="176"/>
      <c r="K27" s="171"/>
      <c r="L27" s="170"/>
      <c r="M27" s="170">
        <f>IFERROR(_xlfn.XLOOKUP($A27,Input_Raw!$A:$A,Input_Raw!BG:BG),"")</f>
        <v>5.6524656965473854</v>
      </c>
      <c r="N27" s="170">
        <f>IFERROR(_xlfn.XLOOKUP($A27,Input_Raw!$A:$A,Input_Raw!BH:BH),"")</f>
        <v>0</v>
      </c>
      <c r="O27" s="173">
        <f t="shared" si="5"/>
        <v>0.96835840657720074</v>
      </c>
      <c r="P27" s="173">
        <f>IFERROR(1-SUMIF(WTG_BD!$F:$F,$A27,WTG_BD!$AA:$AA)/($AA27+SUMIF(WTG_BD!$F:$F,$A27,WTG_BD!$AA:$AA)),"")</f>
        <v>0.96835840657720074</v>
      </c>
      <c r="Q27" s="173">
        <f>IFERROR(1-SUMIF(IGA_BD!$F:$F,$A27,IGA_BD!$X:$X)/($AA27+SUMIF(IGA_BD!$F:$F,$A27,IGA_BD!$X:$X)),"")</f>
        <v>1</v>
      </c>
      <c r="R27" s="173">
        <f>IFERROR(1-SUMIF(Grid_BD!$F:$F,$A27,Grid_BD!$Y:$Y)/($AA27+SUMIF(Grid_BD!$F:$F,$A27,Grid_BD!$Y:$Y)),"")</f>
        <v>1</v>
      </c>
      <c r="S27" s="167"/>
      <c r="T27" s="172"/>
      <c r="U27" s="173"/>
      <c r="V27" s="167"/>
      <c r="W27" s="174">
        <f t="shared" si="6"/>
        <v>0.27564102564102561</v>
      </c>
      <c r="X27" s="167">
        <f>IFERROR(_xlfn.XLOOKUP($A27,Input_Raw!$A:$A,Input_Raw!$BF:$BF),"")</f>
        <v>480100</v>
      </c>
      <c r="Y27" s="167">
        <f>IFERROR(_xlfn.XLOOKUP($A27,Input_Raw!$A:$A,Input_Raw!BJ:BJ),"")</f>
        <v>464400</v>
      </c>
      <c r="Z27" s="167">
        <f>IFERROR(_xlfn.XLOOKUP($A27,Input_Raw!$A:$A,Input_Raw!BK:BK),"")</f>
        <v>0</v>
      </c>
      <c r="AA27" s="167">
        <f>IFERROR(_xlfn.XLOOKUP($A27,Input_Raw!$A:$A,Input_Raw!BL:BL),"")</f>
        <v>464400</v>
      </c>
      <c r="AB27" s="167">
        <f>IFERROR(_xlfn.XLOOKUP($A27,Input_Raw!$A:$A,Input_Raw!$BO:$BO),"")</f>
        <v>70.2</v>
      </c>
      <c r="AC27" s="176">
        <f>IFERROR(_xlfn.XLOOKUP($D27,'Modelling New'!$D:$D,'Modelling New'!$J:$J),"")</f>
        <v>6.65</v>
      </c>
      <c r="AD27" s="166">
        <f>IFERROR(_xlfn.XLOOKUP($D27,'Modelling New'!$D:$D,'Modelling New'!$T:$T)*1000,"")</f>
        <v>697760.5424630543</v>
      </c>
      <c r="AE27" s="174"/>
      <c r="AF27" s="174">
        <f>IFERROR(_xlfn.XLOOKUP($D27,'Modelling New'!$D:$D,'Modelling New'!$W:$W),"")</f>
        <v>0.41415036945812811</v>
      </c>
      <c r="AG27" s="174">
        <f>IFERROR(_xlfn.XLOOKUP($D27,'Modelling New'!$D:$D,'Modelling New'!$AE:$AE),"")</f>
        <v>0.96029999999999993</v>
      </c>
      <c r="AH27" s="174">
        <f>IFERROR(_xlfn.XLOOKUP($D27,'Modelling New'!$D:$D,'Modelling New'!$AF:$AF),"")</f>
        <v>0.995</v>
      </c>
      <c r="AI27" s="177">
        <f>IFERROR(_xlfn.XLOOKUP($A27,Input_Raw!$A:$A,Input_Raw!$BQ:$BQ),"")</f>
        <v>502.87</v>
      </c>
      <c r="AJ27" s="167"/>
      <c r="AK27" s="167"/>
      <c r="AL27" s="167"/>
      <c r="AM27" s="167"/>
      <c r="AN27" s="175">
        <f>IFERROR(_xlfn.XLOOKUP($A27,Input_Raw!$A:$A,Input_Raw!$BN:$BN),"")</f>
        <v>3.270152051655905E-2</v>
      </c>
      <c r="AO27" s="174">
        <f>IFERROR((_xlfn.XLOOKUP($A27,'WTG Reactive Power'!$A:$A,'WTG Reactive Power'!$AE:$AE))/Table13[[#This Row],[Gen_Exp (kWh)]],"")</f>
        <v>1.8743178504478238E-3</v>
      </c>
      <c r="AP27" s="174">
        <f>IFERROR(_xlfn.XLOOKUP($D27,'Modelling New'!$D:$D,'Modelling New'!$AK:$AK),"")</f>
        <v>0.05</v>
      </c>
      <c r="AQ27" s="174">
        <f>IFERROR(_xlfn.XLOOKUP($D27,'Modelling New'!$D:$D,'Modelling New'!$AL:$AL),"")</f>
        <v>0.05</v>
      </c>
      <c r="AR27" s="276">
        <f>IFERROR(_xlfn.XLOOKUP($D27,'Modelling New'!$D:$D,'Modelling New'!$N:$N),"")</f>
        <v>70.2</v>
      </c>
      <c r="AS27" s="276"/>
    </row>
    <row r="28" spans="1:45">
      <c r="A28" s="165">
        <f t="shared" si="7"/>
        <v>45771</v>
      </c>
      <c r="B28" s="166">
        <f>YEAR(Table13[[#This Row],[Date]])+IF(MONTH(Table13[[#This Row],[Date]])&gt;=4,1,0)</f>
        <v>2026</v>
      </c>
      <c r="C28" s="167">
        <f>YEAR(Table13[[#This Row],[Date]])</f>
        <v>2025</v>
      </c>
      <c r="D28" s="168">
        <f>Table13[[#This Row],[Date]]-DAY(Table13[[#This Row],[Date]])+1</f>
        <v>45748</v>
      </c>
      <c r="E28" s="167">
        <f t="shared" si="4"/>
        <v>30</v>
      </c>
      <c r="F28" s="169"/>
      <c r="G28" s="170"/>
      <c r="H28" s="170"/>
      <c r="I28" s="170"/>
      <c r="J28" s="170"/>
      <c r="K28" s="171"/>
      <c r="L28" s="170"/>
      <c r="M28" s="170">
        <f>IFERROR(_xlfn.XLOOKUP($A28,Input_Raw!$A:$A,Input_Raw!BG:BG),"")</f>
        <v>5.8494524607737333</v>
      </c>
      <c r="N28" s="170">
        <f>IFERROR(_xlfn.XLOOKUP($A28,Input_Raw!$A:$A,Input_Raw!BH:BH),"")</f>
        <v>0</v>
      </c>
      <c r="O28" s="173">
        <f t="shared" si="5"/>
        <v>0.97626825695534014</v>
      </c>
      <c r="P28" s="173">
        <f>IFERROR(1-SUMIF(WTG_BD!$F:$F,$A28,WTG_BD!$AA:$AA)/($AA28+SUMIF(WTG_BD!$F:$F,$A28,WTG_BD!$AA:$AA)),"")</f>
        <v>0.97626825695534014</v>
      </c>
      <c r="Q28" s="173">
        <f>IFERROR(1-SUMIF(IGA_BD!$F:$F,$A28,IGA_BD!$X:$X)/($AA28+SUMIF(IGA_BD!$F:$F,$A28,IGA_BD!$X:$X)),"")</f>
        <v>1</v>
      </c>
      <c r="R28" s="173">
        <f>IFERROR(1-SUMIF(Grid_BD!$F:$F,$A28,Grid_BD!$Y:$Y)/($AA28+SUMIF(Grid_BD!$F:$F,$A28,Grid_BD!$Y:$Y)),"")</f>
        <v>1</v>
      </c>
      <c r="S28" s="167"/>
      <c r="T28" s="172"/>
      <c r="U28" s="173"/>
      <c r="V28" s="167"/>
      <c r="W28" s="174">
        <f t="shared" si="6"/>
        <v>0.29006410256410253</v>
      </c>
      <c r="X28" s="167">
        <f>IFERROR(_xlfn.XLOOKUP($A28,Input_Raw!$A:$A,Input_Raw!$BF:$BF),"")</f>
        <v>502706</v>
      </c>
      <c r="Y28" s="167">
        <f>IFERROR(_xlfn.XLOOKUP($A28,Input_Raw!$A:$A,Input_Raw!BJ:BJ),"")</f>
        <v>488700</v>
      </c>
      <c r="Z28" s="167">
        <f>IFERROR(_xlfn.XLOOKUP($A28,Input_Raw!$A:$A,Input_Raw!BK:BK),"")</f>
        <v>0</v>
      </c>
      <c r="AA28" s="167">
        <f>IFERROR(_xlfn.XLOOKUP($A28,Input_Raw!$A:$A,Input_Raw!BL:BL),"")</f>
        <v>488700</v>
      </c>
      <c r="AB28" s="167">
        <f>IFERROR(_xlfn.XLOOKUP($A28,Input_Raw!$A:$A,Input_Raw!$BO:$BO),"")</f>
        <v>70.2</v>
      </c>
      <c r="AC28" s="176">
        <f>IFERROR(_xlfn.XLOOKUP($D28,'Modelling New'!$D:$D,'Modelling New'!$J:$J),"")</f>
        <v>6.65</v>
      </c>
      <c r="AD28" s="166">
        <f>IFERROR(_xlfn.XLOOKUP($D28,'Modelling New'!$D:$D,'Modelling New'!$T:$T)*1000,"")</f>
        <v>697760.5424630543</v>
      </c>
      <c r="AE28" s="174"/>
      <c r="AF28" s="174">
        <f>IFERROR(_xlfn.XLOOKUP($D28,'Modelling New'!$D:$D,'Modelling New'!$W:$W),"")</f>
        <v>0.41415036945812811</v>
      </c>
      <c r="AG28" s="174">
        <f>IFERROR(_xlfn.XLOOKUP($D28,'Modelling New'!$D:$D,'Modelling New'!$AE:$AE),"")</f>
        <v>0.96029999999999993</v>
      </c>
      <c r="AH28" s="174">
        <f>IFERROR(_xlfn.XLOOKUP($D28,'Modelling New'!$D:$D,'Modelling New'!$AF:$AF),"")</f>
        <v>0.995</v>
      </c>
      <c r="AI28" s="177">
        <f>IFERROR(_xlfn.XLOOKUP($A28,Input_Raw!$A:$A,Input_Raw!$BQ:$BQ),"")</f>
        <v>510</v>
      </c>
      <c r="AJ28" s="167"/>
      <c r="AK28" s="167"/>
      <c r="AL28" s="167"/>
      <c r="AM28" s="167"/>
      <c r="AN28" s="175">
        <f>IFERROR(_xlfn.XLOOKUP($A28,Input_Raw!$A:$A,Input_Raw!$BN:$BN),"")</f>
        <v>2.786121510385792E-2</v>
      </c>
      <c r="AO28" s="174">
        <f>IFERROR((_xlfn.XLOOKUP($A28,'WTG Reactive Power'!$A:$A,'WTG Reactive Power'!$AE:$AE))/Table13[[#This Row],[Gen_Exp (kWh)]],"")</f>
        <v>1.7900323449491357E-3</v>
      </c>
      <c r="AP28" s="174">
        <f>IFERROR(_xlfn.XLOOKUP($D28,'Modelling New'!$D:$D,'Modelling New'!$AK:$AK),"")</f>
        <v>0.05</v>
      </c>
      <c r="AQ28" s="174">
        <f>IFERROR(_xlfn.XLOOKUP($D28,'Modelling New'!$D:$D,'Modelling New'!$AL:$AL),"")</f>
        <v>0.05</v>
      </c>
      <c r="AR28" s="276">
        <f>IFERROR(_xlfn.XLOOKUP($D28,'Modelling New'!$D:$D,'Modelling New'!$N:$N),"")</f>
        <v>70.2</v>
      </c>
      <c r="AS28" s="276"/>
    </row>
    <row r="29" spans="1:45">
      <c r="A29" s="165">
        <f t="shared" si="7"/>
        <v>45772</v>
      </c>
      <c r="B29" s="166">
        <f>YEAR(Table13[[#This Row],[Date]])+IF(MONTH(Table13[[#This Row],[Date]])&gt;=4,1,0)</f>
        <v>2026</v>
      </c>
      <c r="C29" s="167">
        <f>YEAR(Table13[[#This Row],[Date]])</f>
        <v>2025</v>
      </c>
      <c r="D29" s="168">
        <f>Table13[[#This Row],[Date]]-DAY(Table13[[#This Row],[Date]])+1</f>
        <v>45748</v>
      </c>
      <c r="E29" s="167">
        <f t="shared" si="4"/>
        <v>30</v>
      </c>
      <c r="F29" s="169"/>
      <c r="G29" s="176"/>
      <c r="H29" s="176"/>
      <c r="I29" s="176"/>
      <c r="J29" s="176"/>
      <c r="K29" s="171"/>
      <c r="L29" s="170"/>
      <c r="M29" s="170">
        <f>IFERROR(_xlfn.XLOOKUP($A29,Input_Raw!$A:$A,Input_Raw!BG:BG),"")</f>
        <v>6.1728103735871196</v>
      </c>
      <c r="N29" s="170">
        <f>IFERROR(_xlfn.XLOOKUP($A29,Input_Raw!$A:$A,Input_Raw!BH:BH),"")</f>
        <v>0</v>
      </c>
      <c r="O29" s="173">
        <f t="shared" si="5"/>
        <v>0.95962664670496189</v>
      </c>
      <c r="P29" s="173">
        <f>IFERROR(1-SUMIF(WTG_BD!$F:$F,$A29,WTG_BD!$AA:$AA)/($AA29+SUMIF(WTG_BD!$F:$F,$A29,WTG_BD!$AA:$AA)),"")</f>
        <v>0.95962664670496189</v>
      </c>
      <c r="Q29" s="173">
        <f>IFERROR(1-SUMIF(IGA_BD!$F:$F,$A29,IGA_BD!$X:$X)/($AA29+SUMIF(IGA_BD!$F:$F,$A29,IGA_BD!$X:$X)),"")</f>
        <v>1</v>
      </c>
      <c r="R29" s="173">
        <f>IFERROR(1-SUMIF(Grid_BD!$F:$F,$A29,Grid_BD!$Y:$Y)/($AA29+SUMIF(Grid_BD!$F:$F,$A29,Grid_BD!$Y:$Y)),"")</f>
        <v>1</v>
      </c>
      <c r="S29" s="167"/>
      <c r="T29" s="172"/>
      <c r="U29" s="173"/>
      <c r="V29" s="167"/>
      <c r="W29" s="174">
        <f t="shared" si="6"/>
        <v>0.34027777777777773</v>
      </c>
      <c r="X29" s="167">
        <f>IFERROR(_xlfn.XLOOKUP($A29,Input_Raw!$A:$A,Input_Raw!$BF:$BF),"")</f>
        <v>592507</v>
      </c>
      <c r="Y29" s="167">
        <f>IFERROR(_xlfn.XLOOKUP($A29,Input_Raw!$A:$A,Input_Raw!BJ:BJ),"")</f>
        <v>573300</v>
      </c>
      <c r="Z29" s="167">
        <f>IFERROR(_xlfn.XLOOKUP($A29,Input_Raw!$A:$A,Input_Raw!BK:BK),"")</f>
        <v>0</v>
      </c>
      <c r="AA29" s="167">
        <f>IFERROR(_xlfn.XLOOKUP($A29,Input_Raw!$A:$A,Input_Raw!BL:BL),"")</f>
        <v>573300</v>
      </c>
      <c r="AB29" s="167">
        <f>IFERROR(_xlfn.XLOOKUP($A29,Input_Raw!$A:$A,Input_Raw!$BO:$BO),"")</f>
        <v>70.2</v>
      </c>
      <c r="AC29" s="176">
        <f>IFERROR(_xlfn.XLOOKUP($D29,'Modelling New'!$D:$D,'Modelling New'!$J:$J),"")</f>
        <v>6.65</v>
      </c>
      <c r="AD29" s="166">
        <f>IFERROR(_xlfn.XLOOKUP($D29,'Modelling New'!$D:$D,'Modelling New'!$T:$T)*1000,"")</f>
        <v>697760.5424630543</v>
      </c>
      <c r="AE29" s="174"/>
      <c r="AF29" s="174">
        <f>IFERROR(_xlfn.XLOOKUP($D29,'Modelling New'!$D:$D,'Modelling New'!$W:$W),"")</f>
        <v>0.41415036945812811</v>
      </c>
      <c r="AG29" s="174">
        <f>IFERROR(_xlfn.XLOOKUP($D29,'Modelling New'!$D:$D,'Modelling New'!$AE:$AE),"")</f>
        <v>0.96029999999999993</v>
      </c>
      <c r="AH29" s="174">
        <f>IFERROR(_xlfn.XLOOKUP($D29,'Modelling New'!$D:$D,'Modelling New'!$AF:$AF),"")</f>
        <v>0.995</v>
      </c>
      <c r="AI29" s="177">
        <f>IFERROR(_xlfn.XLOOKUP($A29,Input_Raw!$A:$A,Input_Raw!$BQ:$BQ),"")</f>
        <v>628.86</v>
      </c>
      <c r="AJ29" s="167"/>
      <c r="AK29" s="167"/>
      <c r="AL29" s="167"/>
      <c r="AM29" s="167"/>
      <c r="AN29" s="175">
        <f>IFERROR(_xlfn.XLOOKUP($A29,Input_Raw!$A:$A,Input_Raw!$BN:$BN),"")</f>
        <v>3.2416494657447087E-2</v>
      </c>
      <c r="AO29" s="174">
        <f>IFERROR((_xlfn.XLOOKUP($A29,'WTG Reactive Power'!$A:$A,'WTG Reactive Power'!$AE:$AE))/Table13[[#This Row],[Gen_Exp (kWh)]],"")</f>
        <v>2.2783190747113539E-3</v>
      </c>
      <c r="AP29" s="174">
        <f>IFERROR(_xlfn.XLOOKUP($D29,'Modelling New'!$D:$D,'Modelling New'!$AK:$AK),"")</f>
        <v>0.05</v>
      </c>
      <c r="AQ29" s="174">
        <f>IFERROR(_xlfn.XLOOKUP($D29,'Modelling New'!$D:$D,'Modelling New'!$AL:$AL),"")</f>
        <v>0.05</v>
      </c>
      <c r="AR29" s="276">
        <f>IFERROR(_xlfn.XLOOKUP($D29,'Modelling New'!$D:$D,'Modelling New'!$N:$N),"")</f>
        <v>70.2</v>
      </c>
      <c r="AS29" s="276"/>
    </row>
    <row r="30" spans="1:45">
      <c r="A30" s="165">
        <f t="shared" si="7"/>
        <v>45773</v>
      </c>
      <c r="B30" s="166">
        <f>YEAR(Table13[[#This Row],[Date]])+IF(MONTH(Table13[[#This Row],[Date]])&gt;=4,1,0)</f>
        <v>2026</v>
      </c>
      <c r="C30" s="167">
        <f>YEAR(Table13[[#This Row],[Date]])</f>
        <v>2025</v>
      </c>
      <c r="D30" s="168">
        <f>Table13[[#This Row],[Date]]-DAY(Table13[[#This Row],[Date]])+1</f>
        <v>45748</v>
      </c>
      <c r="E30" s="167">
        <f t="shared" si="4"/>
        <v>30</v>
      </c>
      <c r="F30" s="169"/>
      <c r="G30" s="170"/>
      <c r="H30" s="170"/>
      <c r="I30" s="170"/>
      <c r="J30" s="170"/>
      <c r="K30" s="171"/>
      <c r="L30" s="170"/>
      <c r="M30" s="170">
        <f>IFERROR(_xlfn.XLOOKUP($A30,Input_Raw!$A:$A,Input_Raw!BG:BG),"")</f>
        <v>6.2132799161964192</v>
      </c>
      <c r="N30" s="170">
        <f>IFERROR(_xlfn.XLOOKUP($A30,Input_Raw!$A:$A,Input_Raw!BH:BH),"")</f>
        <v>0</v>
      </c>
      <c r="O30" s="173">
        <f t="shared" si="5"/>
        <v>0.95370571718648556</v>
      </c>
      <c r="P30" s="173">
        <f>IFERROR(1-SUMIF(WTG_BD!$F:$F,$A30,WTG_BD!$AA:$AA)/($AA30+SUMIF(WTG_BD!$F:$F,$A30,WTG_BD!$AA:$AA)),"")</f>
        <v>0.95370571718648556</v>
      </c>
      <c r="Q30" s="173">
        <f>IFERROR(1-SUMIF(IGA_BD!$F:$F,$A30,IGA_BD!$X:$X)/($AA30+SUMIF(IGA_BD!$F:$F,$A30,IGA_BD!$X:$X)),"")</f>
        <v>1</v>
      </c>
      <c r="R30" s="173">
        <f>IFERROR(1-SUMIF(Grid_BD!$F:$F,$A30,Grid_BD!$Y:$Y)/($AA30+SUMIF(Grid_BD!$F:$F,$A30,Grid_BD!$Y:$Y)),"")</f>
        <v>1</v>
      </c>
      <c r="S30" s="167"/>
      <c r="T30" s="172"/>
      <c r="U30" s="173"/>
      <c r="V30" s="167"/>
      <c r="W30" s="174">
        <f t="shared" si="6"/>
        <v>0.35122863247863245</v>
      </c>
      <c r="X30" s="167">
        <f>IFERROR(_xlfn.XLOOKUP($A30,Input_Raw!$A:$A,Input_Raw!$BF:$BF),"")</f>
        <v>613361</v>
      </c>
      <c r="Y30" s="167">
        <f>IFERROR(_xlfn.XLOOKUP($A30,Input_Raw!$A:$A,Input_Raw!BJ:BJ),"")</f>
        <v>591750</v>
      </c>
      <c r="Z30" s="167">
        <f>IFERROR(_xlfn.XLOOKUP($A30,Input_Raw!$A:$A,Input_Raw!BK:BK),"")</f>
        <v>0</v>
      </c>
      <c r="AA30" s="167">
        <f>IFERROR(_xlfn.XLOOKUP($A30,Input_Raw!$A:$A,Input_Raw!BL:BL),"")</f>
        <v>591750</v>
      </c>
      <c r="AB30" s="167">
        <f>IFERROR(_xlfn.XLOOKUP($A30,Input_Raw!$A:$A,Input_Raw!$BO:$BO),"")</f>
        <v>70.2</v>
      </c>
      <c r="AC30" s="176">
        <f>IFERROR(_xlfn.XLOOKUP($D30,'Modelling New'!$D:$D,'Modelling New'!$J:$J),"")</f>
        <v>6.65</v>
      </c>
      <c r="AD30" s="166">
        <f>IFERROR(_xlfn.XLOOKUP($D30,'Modelling New'!$D:$D,'Modelling New'!$T:$T)*1000,"")</f>
        <v>697760.5424630543</v>
      </c>
      <c r="AE30" s="174"/>
      <c r="AF30" s="174">
        <f>IFERROR(_xlfn.XLOOKUP($D30,'Modelling New'!$D:$D,'Modelling New'!$W:$W),"")</f>
        <v>0.41415036945812811</v>
      </c>
      <c r="AG30" s="174">
        <f>IFERROR(_xlfn.XLOOKUP($D30,'Modelling New'!$D:$D,'Modelling New'!$AE:$AE),"")</f>
        <v>0.96029999999999993</v>
      </c>
      <c r="AH30" s="174">
        <f>IFERROR(_xlfn.XLOOKUP($D30,'Modelling New'!$D:$D,'Modelling New'!$AF:$AF),"")</f>
        <v>0.995</v>
      </c>
      <c r="AI30" s="177">
        <f>IFERROR(_xlfn.XLOOKUP($A30,Input_Raw!$A:$A,Input_Raw!$BQ:$BQ),"")</f>
        <v>645.69000000000005</v>
      </c>
      <c r="AJ30" s="167"/>
      <c r="AK30" s="167"/>
      <c r="AL30" s="167"/>
      <c r="AM30" s="167"/>
      <c r="AN30" s="175">
        <f>IFERROR(_xlfn.XLOOKUP($A30,Input_Raw!$A:$A,Input_Raw!$BN:$BN),"")</f>
        <v>3.5233736739049268E-2</v>
      </c>
      <c r="AO30" s="174">
        <f>IFERROR((_xlfn.XLOOKUP($A30,'WTG Reactive Power'!$A:$A,'WTG Reactive Power'!$AE:$AE))/Table13[[#This Row],[Gen_Exp (kWh)]],"")</f>
        <v>1.7607705739360664E-2</v>
      </c>
      <c r="AP30" s="174">
        <f>IFERROR(_xlfn.XLOOKUP($D30,'Modelling New'!$D:$D,'Modelling New'!$AK:$AK),"")</f>
        <v>0.05</v>
      </c>
      <c r="AQ30" s="174">
        <f>IFERROR(_xlfn.XLOOKUP($D30,'Modelling New'!$D:$D,'Modelling New'!$AL:$AL),"")</f>
        <v>0.05</v>
      </c>
      <c r="AR30" s="276">
        <f>IFERROR(_xlfn.XLOOKUP($D30,'Modelling New'!$D:$D,'Modelling New'!$N:$N),"")</f>
        <v>70.2</v>
      </c>
      <c r="AS30" s="276"/>
    </row>
    <row r="31" spans="1:45">
      <c r="A31" s="165">
        <f t="shared" si="7"/>
        <v>45774</v>
      </c>
      <c r="B31" s="166">
        <f>YEAR(Table13[[#This Row],[Date]])+IF(MONTH(Table13[[#This Row],[Date]])&gt;=4,1,0)</f>
        <v>2026</v>
      </c>
      <c r="C31" s="167">
        <f>YEAR(Table13[[#This Row],[Date]])</f>
        <v>2025</v>
      </c>
      <c r="D31" s="168">
        <f>Table13[[#This Row],[Date]]-DAY(Table13[[#This Row],[Date]])+1</f>
        <v>45748</v>
      </c>
      <c r="E31" s="167">
        <f t="shared" si="4"/>
        <v>30</v>
      </c>
      <c r="F31" s="169"/>
      <c r="G31" s="176"/>
      <c r="H31" s="176"/>
      <c r="I31" s="176"/>
      <c r="J31" s="176"/>
      <c r="K31" s="171"/>
      <c r="L31" s="170"/>
      <c r="M31" s="170">
        <f>IFERROR(_xlfn.XLOOKUP($A31,Input_Raw!$A:$A,Input_Raw!BG:BG),"")</f>
        <v>5.6679992988412149</v>
      </c>
      <c r="N31" s="170">
        <f>IFERROR(_xlfn.XLOOKUP($A31,Input_Raw!$A:$A,Input_Raw!BH:BH),"")</f>
        <v>0</v>
      </c>
      <c r="O31" s="173">
        <f t="shared" si="5"/>
        <v>0.95750140948884965</v>
      </c>
      <c r="P31" s="173">
        <f>IFERROR(1-SUMIF(WTG_BD!$F:$F,$A31,WTG_BD!$AA:$AA)/($AA31+SUMIF(WTG_BD!$F:$F,$A31,WTG_BD!$AA:$AA)),"")</f>
        <v>0.95750140948884965</v>
      </c>
      <c r="Q31" s="173">
        <f>IFERROR(1-SUMIF(IGA_BD!$F:$F,$A31,IGA_BD!$X:$X)/($AA31+SUMIF(IGA_BD!$F:$F,$A31,IGA_BD!$X:$X)),"")</f>
        <v>1</v>
      </c>
      <c r="R31" s="173">
        <f>IFERROR(1-SUMIF(Grid_BD!$F:$F,$A31,Grid_BD!$Y:$Y)/($AA31+SUMIF(Grid_BD!$F:$F,$A31,Grid_BD!$Y:$Y)),"")</f>
        <v>1</v>
      </c>
      <c r="S31" s="167"/>
      <c r="T31" s="172"/>
      <c r="U31" s="173"/>
      <c r="V31" s="167"/>
      <c r="W31" s="174">
        <f t="shared" si="6"/>
        <v>0.30074786324786318</v>
      </c>
      <c r="X31" s="167">
        <f>IFERROR(_xlfn.XLOOKUP($A31,Input_Raw!$A:$A,Input_Raw!$BF:$BF),"")</f>
        <v>525996</v>
      </c>
      <c r="Y31" s="167">
        <f>IFERROR(_xlfn.XLOOKUP($A31,Input_Raw!$A:$A,Input_Raw!BJ:BJ),"")</f>
        <v>507150</v>
      </c>
      <c r="Z31" s="167">
        <f>IFERROR(_xlfn.XLOOKUP($A31,Input_Raw!$A:$A,Input_Raw!BK:BK),"")</f>
        <v>450</v>
      </c>
      <c r="AA31" s="167">
        <f>IFERROR(_xlfn.XLOOKUP($A31,Input_Raw!$A:$A,Input_Raw!BL:BL),"")</f>
        <v>506700</v>
      </c>
      <c r="AB31" s="167">
        <f>IFERROR(_xlfn.XLOOKUP($A31,Input_Raw!$A:$A,Input_Raw!$BO:$BO),"")</f>
        <v>70.2</v>
      </c>
      <c r="AC31" s="176">
        <f>IFERROR(_xlfn.XLOOKUP($D31,'Modelling New'!$D:$D,'Modelling New'!$J:$J),"")</f>
        <v>6.65</v>
      </c>
      <c r="AD31" s="166">
        <f>IFERROR(_xlfn.XLOOKUP($D31,'Modelling New'!$D:$D,'Modelling New'!$T:$T)*1000,"")</f>
        <v>697760.5424630543</v>
      </c>
      <c r="AE31" s="174"/>
      <c r="AF31" s="174">
        <f>IFERROR(_xlfn.XLOOKUP($D31,'Modelling New'!$D:$D,'Modelling New'!$W:$W),"")</f>
        <v>0.41415036945812811</v>
      </c>
      <c r="AG31" s="174">
        <f>IFERROR(_xlfn.XLOOKUP($D31,'Modelling New'!$D:$D,'Modelling New'!$AE:$AE),"")</f>
        <v>0.96029999999999993</v>
      </c>
      <c r="AH31" s="174">
        <f>IFERROR(_xlfn.XLOOKUP($D31,'Modelling New'!$D:$D,'Modelling New'!$AF:$AF),"")</f>
        <v>0.995</v>
      </c>
      <c r="AI31" s="177">
        <f>IFERROR(_xlfn.XLOOKUP($A31,Input_Raw!$A:$A,Input_Raw!$BQ:$BQ),"")</f>
        <v>546.95000000000005</v>
      </c>
      <c r="AJ31" s="167"/>
      <c r="AK31" s="167"/>
      <c r="AL31" s="167"/>
      <c r="AM31" s="167"/>
      <c r="AN31" s="175">
        <f>IFERROR(_xlfn.XLOOKUP($A31,Input_Raw!$A:$A,Input_Raw!$BN:$BN),"")</f>
        <v>3.5829169803572654E-2</v>
      </c>
      <c r="AO31" s="174">
        <f>IFERROR((_xlfn.XLOOKUP($A31,'WTG Reactive Power'!$A:$A,'WTG Reactive Power'!$AE:$AE))/Table13[[#This Row],[Gen_Exp (kWh)]],"")</f>
        <v>2.5664073491053164E-3</v>
      </c>
      <c r="AP31" s="174">
        <f>IFERROR(_xlfn.XLOOKUP($D31,'Modelling New'!$D:$D,'Modelling New'!$AK:$AK),"")</f>
        <v>0.05</v>
      </c>
      <c r="AQ31" s="174">
        <f>IFERROR(_xlfn.XLOOKUP($D31,'Modelling New'!$D:$D,'Modelling New'!$AL:$AL),"")</f>
        <v>0.05</v>
      </c>
      <c r="AR31" s="276">
        <f>IFERROR(_xlfn.XLOOKUP($D31,'Modelling New'!$D:$D,'Modelling New'!$N:$N),"")</f>
        <v>70.2</v>
      </c>
      <c r="AS31" s="276"/>
    </row>
    <row r="32" spans="1:45">
      <c r="A32" s="165">
        <f t="shared" si="7"/>
        <v>45775</v>
      </c>
      <c r="B32" s="166">
        <f>YEAR(Table13[[#This Row],[Date]])+IF(MONTH(Table13[[#This Row],[Date]])&gt;=4,1,0)</f>
        <v>2026</v>
      </c>
      <c r="C32" s="167">
        <f>YEAR(Table13[[#This Row],[Date]])</f>
        <v>2025</v>
      </c>
      <c r="D32" s="168">
        <f>Table13[[#This Row],[Date]]-DAY(Table13[[#This Row],[Date]])+1</f>
        <v>45748</v>
      </c>
      <c r="E32" s="167">
        <f t="shared" si="4"/>
        <v>30</v>
      </c>
      <c r="F32" s="169"/>
      <c r="G32" s="170"/>
      <c r="H32" s="170"/>
      <c r="I32" s="170"/>
      <c r="J32" s="170"/>
      <c r="K32" s="171"/>
      <c r="L32" s="170"/>
      <c r="M32" s="170">
        <f>IFERROR(_xlfn.XLOOKUP($A32,Input_Raw!$A:$A,Input_Raw!BG:BG),"")</f>
        <v>6.610001795649624</v>
      </c>
      <c r="N32" s="170">
        <f>IFERROR(_xlfn.XLOOKUP($A32,Input_Raw!$A:$A,Input_Raw!BH:BH),"")</f>
        <v>0</v>
      </c>
      <c r="O32" s="173">
        <f t="shared" si="5"/>
        <v>0.95895085693524129</v>
      </c>
      <c r="P32" s="173">
        <f>IFERROR(1-SUMIF(WTG_BD!$F:$F,$A32,WTG_BD!$AA:$AA)/($AA32+SUMIF(WTG_BD!$F:$F,$A32,WTG_BD!$AA:$AA)),"")</f>
        <v>0.96390967884362777</v>
      </c>
      <c r="Q32" s="173">
        <f>IFERROR(1-SUMIF(IGA_BD!$F:$F,$A32,IGA_BD!$X:$X)/($AA32+SUMIF(IGA_BD!$F:$F,$A32,IGA_BD!$X:$X)),"")</f>
        <v>0.99485551186254773</v>
      </c>
      <c r="R32" s="173">
        <f>IFERROR(1-SUMIF(Grid_BD!$F:$F,$A32,Grid_BD!$Y:$Y)/($AA32+SUMIF(Grid_BD!$F:$F,$A32,Grid_BD!$Y:$Y)),"")</f>
        <v>1</v>
      </c>
      <c r="S32" s="167"/>
      <c r="T32" s="172"/>
      <c r="U32" s="173"/>
      <c r="V32" s="167"/>
      <c r="W32" s="174">
        <f t="shared" si="6"/>
        <v>0.37900641025641019</v>
      </c>
      <c r="X32" s="167">
        <f>IFERROR(_xlfn.XLOOKUP($A32,Input_Raw!$A:$A,Input_Raw!$BF:$BF),"")</f>
        <v>659514</v>
      </c>
      <c r="Y32" s="167">
        <f>IFERROR(_xlfn.XLOOKUP($A32,Input_Raw!$A:$A,Input_Raw!BJ:BJ),"")</f>
        <v>638550</v>
      </c>
      <c r="Z32" s="167">
        <f>IFERROR(_xlfn.XLOOKUP($A32,Input_Raw!$A:$A,Input_Raw!BK:BK),"")</f>
        <v>0</v>
      </c>
      <c r="AA32" s="167">
        <f>IFERROR(_xlfn.XLOOKUP($A32,Input_Raw!$A:$A,Input_Raw!BL:BL),"")</f>
        <v>638550</v>
      </c>
      <c r="AB32" s="167">
        <f>IFERROR(_xlfn.XLOOKUP($A32,Input_Raw!$A:$A,Input_Raw!$BO:$BO),"")</f>
        <v>70.2</v>
      </c>
      <c r="AC32" s="176">
        <f>IFERROR(_xlfn.XLOOKUP($D32,'Modelling New'!$D:$D,'Modelling New'!$J:$J),"")</f>
        <v>6.65</v>
      </c>
      <c r="AD32" s="166">
        <f>IFERROR(_xlfn.XLOOKUP($D32,'Modelling New'!$D:$D,'Modelling New'!$T:$T)*1000,"")</f>
        <v>697760.5424630543</v>
      </c>
      <c r="AE32" s="174"/>
      <c r="AF32" s="174">
        <f>IFERROR(_xlfn.XLOOKUP($D32,'Modelling New'!$D:$D,'Modelling New'!$W:$W),"")</f>
        <v>0.41415036945812811</v>
      </c>
      <c r="AG32" s="174">
        <f>IFERROR(_xlfn.XLOOKUP($D32,'Modelling New'!$D:$D,'Modelling New'!$AE:$AE),"")</f>
        <v>0.96029999999999993</v>
      </c>
      <c r="AH32" s="174">
        <f>IFERROR(_xlfn.XLOOKUP($D32,'Modelling New'!$D:$D,'Modelling New'!$AF:$AF),"")</f>
        <v>0.995</v>
      </c>
      <c r="AI32" s="177">
        <f>IFERROR(_xlfn.XLOOKUP($A32,Input_Raw!$A:$A,Input_Raw!$BQ:$BQ),"")</f>
        <v>695.35</v>
      </c>
      <c r="AJ32" s="167"/>
      <c r="AK32" s="167"/>
      <c r="AL32" s="167"/>
      <c r="AM32" s="167"/>
      <c r="AN32" s="175">
        <f>IFERROR(_xlfn.XLOOKUP($A32,Input_Raw!$A:$A,Input_Raw!$BN:$BN),"")</f>
        <v>3.1787043186346307E-2</v>
      </c>
      <c r="AO32" s="174">
        <f>IFERROR((_xlfn.XLOOKUP($A32,'WTG Reactive Power'!$A:$A,'WTG Reactive Power'!$AE:$AE))/Table13[[#This Row],[Gen_Exp (kWh)]],"")</f>
        <v>2.7292521462774109E-3</v>
      </c>
      <c r="AP32" s="174">
        <f>IFERROR(_xlfn.XLOOKUP($D32,'Modelling New'!$D:$D,'Modelling New'!$AK:$AK),"")</f>
        <v>0.05</v>
      </c>
      <c r="AQ32" s="174">
        <f>IFERROR(_xlfn.XLOOKUP($D32,'Modelling New'!$D:$D,'Modelling New'!$AL:$AL),"")</f>
        <v>0.05</v>
      </c>
      <c r="AR32" s="276">
        <f>IFERROR(_xlfn.XLOOKUP($D32,'Modelling New'!$D:$D,'Modelling New'!$N:$N),"")</f>
        <v>70.2</v>
      </c>
      <c r="AS32" s="276"/>
    </row>
    <row r="33" spans="1:45">
      <c r="A33" s="165">
        <f t="shared" si="7"/>
        <v>45776</v>
      </c>
      <c r="B33" s="166">
        <f>YEAR(Table13[[#This Row],[Date]])+IF(MONTH(Table13[[#This Row],[Date]])&gt;=4,1,0)</f>
        <v>2026</v>
      </c>
      <c r="C33" s="167">
        <f>YEAR(Table13[[#This Row],[Date]])</f>
        <v>2025</v>
      </c>
      <c r="D33" s="168">
        <f>Table13[[#This Row],[Date]]-DAY(Table13[[#This Row],[Date]])+1</f>
        <v>45748</v>
      </c>
      <c r="E33" s="167">
        <f t="shared" si="4"/>
        <v>30</v>
      </c>
      <c r="F33" s="169"/>
      <c r="G33" s="176"/>
      <c r="H33" s="176"/>
      <c r="I33" s="176"/>
      <c r="J33" s="176"/>
      <c r="K33" s="171"/>
      <c r="L33" s="170"/>
      <c r="M33" s="170">
        <f>IFERROR(_xlfn.XLOOKUP($A33,Input_Raw!$A:$A,Input_Raw!BG:BG),"")</f>
        <v>8.3966689759497797</v>
      </c>
      <c r="N33" s="170">
        <f>IFERROR(_xlfn.XLOOKUP($A33,Input_Raw!$A:$A,Input_Raw!BH:BH),"")</f>
        <v>0</v>
      </c>
      <c r="O33" s="173">
        <f t="shared" si="5"/>
        <v>0.95431274584987613</v>
      </c>
      <c r="P33" s="173">
        <f>IFERROR(1-SUMIF(WTG_BD!$F:$F,$A33,WTG_BD!$AA:$AA)/($AA33+SUMIF(WTG_BD!$F:$F,$A33,WTG_BD!$AA:$AA)),"")</f>
        <v>0.95431274584987613</v>
      </c>
      <c r="Q33" s="173">
        <f>IFERROR(1-SUMIF(IGA_BD!$F:$F,$A33,IGA_BD!$X:$X)/($AA33+SUMIF(IGA_BD!$F:$F,$A33,IGA_BD!$X:$X)),"")</f>
        <v>1</v>
      </c>
      <c r="R33" s="173">
        <f>IFERROR(1-SUMIF(Grid_BD!$F:$F,$A33,Grid_BD!$Y:$Y)/($AA33+SUMIF(Grid_BD!$F:$F,$A33,Grid_BD!$Y:$Y)),"")</f>
        <v>1</v>
      </c>
      <c r="S33" s="167"/>
      <c r="T33" s="172"/>
      <c r="U33" s="173"/>
      <c r="V33" s="167"/>
      <c r="W33" s="174">
        <f t="shared" si="6"/>
        <v>0.58680555555555547</v>
      </c>
      <c r="X33" s="167">
        <f>IFERROR(_xlfn.XLOOKUP($A33,Input_Raw!$A:$A,Input_Raw!$BF:$BF),"")</f>
        <v>1021944</v>
      </c>
      <c r="Y33" s="167">
        <f>IFERROR(_xlfn.XLOOKUP($A33,Input_Raw!$A:$A,Input_Raw!BJ:BJ),"")</f>
        <v>988650</v>
      </c>
      <c r="Z33" s="167">
        <f>IFERROR(_xlfn.XLOOKUP($A33,Input_Raw!$A:$A,Input_Raw!BK:BK),"")</f>
        <v>0</v>
      </c>
      <c r="AA33" s="167">
        <f>IFERROR(_xlfn.XLOOKUP($A33,Input_Raw!$A:$A,Input_Raw!BL:BL),"")</f>
        <v>988650</v>
      </c>
      <c r="AB33" s="167">
        <f>IFERROR(_xlfn.XLOOKUP($A33,Input_Raw!$A:$A,Input_Raw!$BO:$BO),"")</f>
        <v>70.2</v>
      </c>
      <c r="AC33" s="176">
        <f>IFERROR(_xlfn.XLOOKUP($D33,'Modelling New'!$D:$D,'Modelling New'!$J:$J),"")</f>
        <v>6.65</v>
      </c>
      <c r="AD33" s="166">
        <f>IFERROR(_xlfn.XLOOKUP($D33,'Modelling New'!$D:$D,'Modelling New'!$T:$T)*1000,"")</f>
        <v>697760.5424630543</v>
      </c>
      <c r="AE33" s="174"/>
      <c r="AF33" s="174">
        <f>IFERROR(_xlfn.XLOOKUP($D33,'Modelling New'!$D:$D,'Modelling New'!$W:$W),"")</f>
        <v>0.41415036945812811</v>
      </c>
      <c r="AG33" s="174">
        <f>IFERROR(_xlfn.XLOOKUP($D33,'Modelling New'!$D:$D,'Modelling New'!$AE:$AE),"")</f>
        <v>0.96029999999999993</v>
      </c>
      <c r="AH33" s="174">
        <f>IFERROR(_xlfn.XLOOKUP($D33,'Modelling New'!$D:$D,'Modelling New'!$AF:$AF),"")</f>
        <v>0.995</v>
      </c>
      <c r="AI33" s="177">
        <f>IFERROR(_xlfn.XLOOKUP($A33,Input_Raw!$A:$A,Input_Raw!$BQ:$BQ),"")</f>
        <v>1133.8399999999999</v>
      </c>
      <c r="AJ33" s="167"/>
      <c r="AK33" s="167"/>
      <c r="AL33" s="167"/>
      <c r="AM33" s="167"/>
      <c r="AN33" s="175">
        <f>IFERROR(_xlfn.XLOOKUP($A33,Input_Raw!$A:$A,Input_Raw!$BN:$BN),"")</f>
        <v>3.2579084568234662E-2</v>
      </c>
      <c r="AO33" s="174">
        <f>IFERROR((_xlfn.XLOOKUP($A33,'WTG Reactive Power'!$A:$A,'WTG Reactive Power'!$AE:$AE))/Table13[[#This Row],[Gen_Exp (kWh)]],"")</f>
        <v>2.6418668733316111E-3</v>
      </c>
      <c r="AP33" s="174">
        <f>IFERROR(_xlfn.XLOOKUP($D33,'Modelling New'!$D:$D,'Modelling New'!$AK:$AK),"")</f>
        <v>0.05</v>
      </c>
      <c r="AQ33" s="174">
        <f>IFERROR(_xlfn.XLOOKUP($D33,'Modelling New'!$D:$D,'Modelling New'!$AL:$AL),"")</f>
        <v>0.05</v>
      </c>
      <c r="AR33" s="276">
        <f>IFERROR(_xlfn.XLOOKUP($D33,'Modelling New'!$D:$D,'Modelling New'!$N:$N),"")</f>
        <v>70.2</v>
      </c>
      <c r="AS33" s="276"/>
    </row>
    <row r="34" spans="1:45">
      <c r="A34" s="165">
        <f t="shared" si="7"/>
        <v>45777</v>
      </c>
      <c r="B34" s="166">
        <f>YEAR(Table13[[#This Row],[Date]])+IF(MONTH(Table13[[#This Row],[Date]])&gt;=4,1,0)</f>
        <v>2026</v>
      </c>
      <c r="C34" s="167">
        <f>YEAR(Table13[[#This Row],[Date]])</f>
        <v>2025</v>
      </c>
      <c r="D34" s="168">
        <f>Table13[[#This Row],[Date]]-DAY(Table13[[#This Row],[Date]])+1</f>
        <v>45748</v>
      </c>
      <c r="E34" s="167">
        <f t="shared" si="4"/>
        <v>30</v>
      </c>
      <c r="F34" s="169"/>
      <c r="G34" s="170"/>
      <c r="H34" s="170"/>
      <c r="I34" s="170"/>
      <c r="J34" s="170"/>
      <c r="K34" s="171"/>
      <c r="L34" s="170"/>
      <c r="M34" s="170">
        <f>IFERROR(_xlfn.XLOOKUP($A34,Input_Raw!$A:$A,Input_Raw!BG:BG),"")</f>
        <v>8.1799799650984433</v>
      </c>
      <c r="N34" s="170">
        <f>IFERROR(_xlfn.XLOOKUP($A34,Input_Raw!$A:$A,Input_Raw!BH:BH),"")</f>
        <v>0</v>
      </c>
      <c r="O34" s="173">
        <f t="shared" si="5"/>
        <v>0.96881643144566598</v>
      </c>
      <c r="P34" s="173">
        <f>IFERROR(1-SUMIF(WTG_BD!$F:$F,$A34,WTG_BD!$AA:$AA)/($AA34+SUMIF(WTG_BD!$F:$F,$A34,WTG_BD!$AA:$AA)),"")</f>
        <v>0.96881643144566598</v>
      </c>
      <c r="Q34" s="173">
        <f>IFERROR(1-SUMIF(IGA_BD!$F:$F,$A34,IGA_BD!$X:$X)/($AA34+SUMIF(IGA_BD!$F:$F,$A34,IGA_BD!$X:$X)),"")</f>
        <v>1</v>
      </c>
      <c r="R34" s="173">
        <f>IFERROR(1-SUMIF(Grid_BD!$F:$F,$A34,Grid_BD!$Y:$Y)/($AA34+SUMIF(Grid_BD!$F:$F,$A34,Grid_BD!$Y:$Y)),"")</f>
        <v>1</v>
      </c>
      <c r="S34" s="167"/>
      <c r="T34" s="172"/>
      <c r="U34" s="173"/>
      <c r="V34" s="167"/>
      <c r="W34" s="174">
        <f t="shared" si="6"/>
        <v>0.579059829059829</v>
      </c>
      <c r="X34" s="167">
        <f>IFERROR(_xlfn.XLOOKUP($A34,Input_Raw!$A:$A,Input_Raw!$BF:$BF),"")</f>
        <v>1009423</v>
      </c>
      <c r="Y34" s="167">
        <f>IFERROR(_xlfn.XLOOKUP($A34,Input_Raw!$A:$A,Input_Raw!BJ:BJ),"")</f>
        <v>975600</v>
      </c>
      <c r="Z34" s="167">
        <f>IFERROR(_xlfn.XLOOKUP($A34,Input_Raw!$A:$A,Input_Raw!BK:BK),"")</f>
        <v>0</v>
      </c>
      <c r="AA34" s="167">
        <f>IFERROR(_xlfn.XLOOKUP($A34,Input_Raw!$A:$A,Input_Raw!BL:BL),"")</f>
        <v>975600</v>
      </c>
      <c r="AB34" s="167">
        <f>IFERROR(_xlfn.XLOOKUP($A34,Input_Raw!$A:$A,Input_Raw!$BO:$BO),"")</f>
        <v>70.2</v>
      </c>
      <c r="AC34" s="176">
        <f>IFERROR(_xlfn.XLOOKUP($D34,'Modelling New'!$D:$D,'Modelling New'!$J:$J),"")</f>
        <v>6.65</v>
      </c>
      <c r="AD34" s="166">
        <f>IFERROR(_xlfn.XLOOKUP($D34,'Modelling New'!$D:$D,'Modelling New'!$T:$T)*1000,"")</f>
        <v>697760.5424630543</v>
      </c>
      <c r="AE34" s="174"/>
      <c r="AF34" s="174">
        <f>IFERROR(_xlfn.XLOOKUP($D34,'Modelling New'!$D:$D,'Modelling New'!$W:$W),"")</f>
        <v>0.41415036945812811</v>
      </c>
      <c r="AG34" s="174">
        <f>IFERROR(_xlfn.XLOOKUP($D34,'Modelling New'!$D:$D,'Modelling New'!$AE:$AE),"")</f>
        <v>0.96029999999999993</v>
      </c>
      <c r="AH34" s="174">
        <f>IFERROR(_xlfn.XLOOKUP($D34,'Modelling New'!$D:$D,'Modelling New'!$AF:$AF),"")</f>
        <v>0.995</v>
      </c>
      <c r="AI34" s="177">
        <f>IFERROR(_xlfn.XLOOKUP($A34,Input_Raw!$A:$A,Input_Raw!$BQ:$BQ),"")</f>
        <v>1088.32</v>
      </c>
      <c r="AJ34" s="167"/>
      <c r="AK34" s="167"/>
      <c r="AL34" s="167"/>
      <c r="AM34" s="167"/>
      <c r="AN34" s="175">
        <f>IFERROR(_xlfn.XLOOKUP($A34,Input_Raw!$A:$A,Input_Raw!$BN:$BN),"")</f>
        <v>3.3507261078853962E-2</v>
      </c>
      <c r="AO34" s="174">
        <f>IFERROR((_xlfn.XLOOKUP($A34,'WTG Reactive Power'!$A:$A,'WTG Reactive Power'!$AE:$AE))/Table13[[#This Row],[Gen_Exp (kWh)]],"")</f>
        <v>2.674636896524054E-3</v>
      </c>
      <c r="AP34" s="174">
        <f>IFERROR(_xlfn.XLOOKUP($D34,'Modelling New'!$D:$D,'Modelling New'!$AK:$AK),"")</f>
        <v>0.05</v>
      </c>
      <c r="AQ34" s="174">
        <f>IFERROR(_xlfn.XLOOKUP($D34,'Modelling New'!$D:$D,'Modelling New'!$AL:$AL),"")</f>
        <v>0.05</v>
      </c>
      <c r="AR34" s="276">
        <f>IFERROR(_xlfn.XLOOKUP($D34,'Modelling New'!$D:$D,'Modelling New'!$N:$N),"")</f>
        <v>70.2</v>
      </c>
      <c r="AS34" s="276"/>
    </row>
    <row r="35" spans="1:45">
      <c r="A35" s="165">
        <f t="shared" si="7"/>
        <v>45778</v>
      </c>
      <c r="B35" s="166">
        <f>YEAR(Table13[[#This Row],[Date]])+IF(MONTH(Table13[[#This Row],[Date]])&gt;=4,1,0)</f>
        <v>2026</v>
      </c>
      <c r="C35" s="167">
        <f>YEAR(Table13[[#This Row],[Date]])</f>
        <v>2025</v>
      </c>
      <c r="D35" s="168">
        <f>Table13[[#This Row],[Date]]-DAY(Table13[[#This Row],[Date]])+1</f>
        <v>45778</v>
      </c>
      <c r="E35" s="167">
        <f t="shared" si="4"/>
        <v>31</v>
      </c>
      <c r="F35" s="169"/>
      <c r="G35" s="176"/>
      <c r="H35" s="176"/>
      <c r="I35" s="176"/>
      <c r="J35" s="176"/>
      <c r="K35" s="171"/>
      <c r="L35" s="170"/>
      <c r="M35" s="170">
        <f>IFERROR(_xlfn.XLOOKUP($A35,Input_Raw!$A:$A,Input_Raw!BG:BG),"")</f>
        <v>8.4492067365437453</v>
      </c>
      <c r="N35" s="170">
        <f>IFERROR(_xlfn.XLOOKUP($A35,Input_Raw!$A:$A,Input_Raw!BH:BH),"")</f>
        <v>0</v>
      </c>
      <c r="O35" s="173">
        <f t="shared" si="5"/>
        <v>0.98607250943152791</v>
      </c>
      <c r="P35" s="173">
        <f>IFERROR(1-SUMIF(WTG_BD!$F:$F,$A35,WTG_BD!$AA:$AA)/($AA35+SUMIF(WTG_BD!$F:$F,$A35,WTG_BD!$AA:$AA)),"")</f>
        <v>0.98607250943152791</v>
      </c>
      <c r="Q35" s="173">
        <f>IFERROR(1-SUMIF(IGA_BD!$F:$F,$A35,IGA_BD!$X:$X)/($AA35+SUMIF(IGA_BD!$F:$F,$A35,IGA_BD!$X:$X)),"")</f>
        <v>1</v>
      </c>
      <c r="R35" s="173">
        <f>IFERROR(1-SUMIF(Grid_BD!$F:$F,$A35,Grid_BD!$Y:$Y)/($AA35+SUMIF(Grid_BD!$F:$F,$A35,Grid_BD!$Y:$Y)),"")</f>
        <v>1</v>
      </c>
      <c r="S35" s="167"/>
      <c r="T35" s="172"/>
      <c r="U35" s="173"/>
      <c r="V35" s="167"/>
      <c r="W35" s="174">
        <f t="shared" si="6"/>
        <v>0.64262820512820507</v>
      </c>
      <c r="X35" s="167">
        <f>IFERROR(_xlfn.XLOOKUP($A35,Input_Raw!$A:$A,Input_Raw!$BF:$BF),"")</f>
        <v>1122695</v>
      </c>
      <c r="Y35" s="167">
        <f>IFERROR(_xlfn.XLOOKUP($A35,Input_Raw!$A:$A,Input_Raw!BJ:BJ),"")</f>
        <v>1082700</v>
      </c>
      <c r="Z35" s="167">
        <f>IFERROR(_xlfn.XLOOKUP($A35,Input_Raw!$A:$A,Input_Raw!BK:BK),"")</f>
        <v>0</v>
      </c>
      <c r="AA35" s="167">
        <f>IFERROR(_xlfn.XLOOKUP($A35,Input_Raw!$A:$A,Input_Raw!BL:BL),"")</f>
        <v>1082700</v>
      </c>
      <c r="AB35" s="167">
        <f>IFERROR(_xlfn.XLOOKUP($A35,Input_Raw!$A:$A,Input_Raw!$BO:$BO),"")</f>
        <v>70.2</v>
      </c>
      <c r="AC35" s="176">
        <f>IFERROR(_xlfn.XLOOKUP($D35,'Modelling New'!$D:$D,'Modelling New'!$J:$J),"")</f>
        <v>7.19</v>
      </c>
      <c r="AD35" s="166">
        <f>IFERROR(_xlfn.XLOOKUP($D35,'Modelling New'!$D:$D,'Modelling New'!$T:$T)*1000,"")</f>
        <v>908711.4041379313</v>
      </c>
      <c r="AE35" s="174"/>
      <c r="AF35" s="174">
        <f>IFERROR(_xlfn.XLOOKUP($D35,'Modelling New'!$D:$D,'Modelling New'!$W:$W),"")</f>
        <v>0.53935862068965523</v>
      </c>
      <c r="AG35" s="174">
        <f>IFERROR(_xlfn.XLOOKUP($D35,'Modelling New'!$D:$D,'Modelling New'!$AE:$AE),"")</f>
        <v>0.96029999999999993</v>
      </c>
      <c r="AH35" s="174">
        <f>IFERROR(_xlfn.XLOOKUP($D35,'Modelling New'!$D:$D,'Modelling New'!$AF:$AF),"")</f>
        <v>0.995</v>
      </c>
      <c r="AI35" s="177">
        <f>IFERROR(_xlfn.XLOOKUP($A35,Input_Raw!$A:$A,Input_Raw!$BQ:$BQ),"")</f>
        <v>1190.71</v>
      </c>
      <c r="AJ35" s="167"/>
      <c r="AK35" s="167"/>
      <c r="AL35" s="167"/>
      <c r="AM35" s="167"/>
      <c r="AN35" s="175">
        <f>IFERROR(_xlfn.XLOOKUP($A35,Input_Raw!$A:$A,Input_Raw!$BN:$BN),"")</f>
        <v>3.5624100935694909E-2</v>
      </c>
      <c r="AO35" s="174">
        <f>IFERROR((_xlfn.XLOOKUP($A35,'WTG Reactive Power'!$A:$A,'WTG Reactive Power'!$AE:$AE))/Table13[[#This Row],[Gen_Exp (kWh)]],"")</f>
        <v>2.4047849148700227E-3</v>
      </c>
      <c r="AP35" s="174">
        <f>IFERROR(_xlfn.XLOOKUP($D35,'Modelling New'!$D:$D,'Modelling New'!$AK:$AK),"")</f>
        <v>0.05</v>
      </c>
      <c r="AQ35" s="174">
        <f>IFERROR(_xlfn.XLOOKUP($D35,'Modelling New'!$D:$D,'Modelling New'!$AL:$AL),"")</f>
        <v>0.05</v>
      </c>
      <c r="AR35" s="276">
        <f>IFERROR(_xlfn.XLOOKUP($D35,'Modelling New'!$D:$D,'Modelling New'!$N:$N),"")</f>
        <v>70.2</v>
      </c>
      <c r="AS35" s="276"/>
    </row>
    <row r="36" spans="1:45">
      <c r="A36" s="165">
        <f t="shared" si="7"/>
        <v>45779</v>
      </c>
      <c r="B36" s="166">
        <f>YEAR(Table13[[#This Row],[Date]])+IF(MONTH(Table13[[#This Row],[Date]])&gt;=4,1,0)</f>
        <v>2026</v>
      </c>
      <c r="C36" s="167">
        <f>YEAR(Table13[[#This Row],[Date]])</f>
        <v>2025</v>
      </c>
      <c r="D36" s="168">
        <f>Table13[[#This Row],[Date]]-DAY(Table13[[#This Row],[Date]])+1</f>
        <v>45778</v>
      </c>
      <c r="E36" s="167">
        <f t="shared" si="4"/>
        <v>31</v>
      </c>
      <c r="F36" s="169"/>
      <c r="G36" s="170"/>
      <c r="H36" s="170"/>
      <c r="I36" s="170"/>
      <c r="J36" s="170"/>
      <c r="K36" s="171"/>
      <c r="L36" s="170"/>
      <c r="M36" s="170">
        <f>IFERROR(_xlfn.XLOOKUP($A36,Input_Raw!$A:$A,Input_Raw!BG:BG),"")</f>
        <v>6.8016639977980118</v>
      </c>
      <c r="N36" s="170">
        <f>IFERROR(_xlfn.XLOOKUP($A36,Input_Raw!$A:$A,Input_Raw!BH:BH),"")</f>
        <v>0</v>
      </c>
      <c r="O36" s="173">
        <f t="shared" si="5"/>
        <v>0.98160365542674055</v>
      </c>
      <c r="P36" s="173">
        <f>IFERROR(1-SUMIF(WTG_BD!$F:$F,$A36,WTG_BD!$AA:$AA)/($AA36+SUMIF(WTG_BD!$F:$F,$A36,WTG_BD!$AA:$AA)),"")</f>
        <v>0.98160365542674055</v>
      </c>
      <c r="Q36" s="173">
        <f>IFERROR(1-SUMIF(IGA_BD!$F:$F,$A36,IGA_BD!$X:$X)/($AA36+SUMIF(IGA_BD!$F:$F,$A36,IGA_BD!$X:$X)),"")</f>
        <v>1</v>
      </c>
      <c r="R36" s="173">
        <f>IFERROR(1-SUMIF(Grid_BD!$F:$F,$A36,Grid_BD!$Y:$Y)/($AA36+SUMIF(Grid_BD!$F:$F,$A36,Grid_BD!$Y:$Y)),"")</f>
        <v>1</v>
      </c>
      <c r="S36" s="167"/>
      <c r="T36" s="172"/>
      <c r="U36" s="173"/>
      <c r="V36" s="167"/>
      <c r="W36" s="174">
        <f t="shared" si="6"/>
        <v>0.40464743589743585</v>
      </c>
      <c r="X36" s="167">
        <f>IFERROR(_xlfn.XLOOKUP($A36,Input_Raw!$A:$A,Input_Raw!$BF:$BF),"")</f>
        <v>732600</v>
      </c>
      <c r="Y36" s="167">
        <f>IFERROR(_xlfn.XLOOKUP($A36,Input_Raw!$A:$A,Input_Raw!BJ:BJ),"")</f>
        <v>681750</v>
      </c>
      <c r="Z36" s="167">
        <f>IFERROR(_xlfn.XLOOKUP($A36,Input_Raw!$A:$A,Input_Raw!BK:BK),"")</f>
        <v>0</v>
      </c>
      <c r="AA36" s="167">
        <f>IFERROR(_xlfn.XLOOKUP($A36,Input_Raw!$A:$A,Input_Raw!BL:BL),"")</f>
        <v>681750</v>
      </c>
      <c r="AB36" s="167">
        <f>IFERROR(_xlfn.XLOOKUP($A36,Input_Raw!$A:$A,Input_Raw!$BO:$BO),"")</f>
        <v>70.2</v>
      </c>
      <c r="AC36" s="176">
        <f>IFERROR(_xlfn.XLOOKUP($D36,'Modelling New'!$D:$D,'Modelling New'!$J:$J),"")</f>
        <v>7.19</v>
      </c>
      <c r="AD36" s="166">
        <f>IFERROR(_xlfn.XLOOKUP($D36,'Modelling New'!$D:$D,'Modelling New'!$T:$T)*1000,"")</f>
        <v>908711.4041379313</v>
      </c>
      <c r="AE36" s="174"/>
      <c r="AF36" s="174">
        <f>IFERROR(_xlfn.XLOOKUP($D36,'Modelling New'!$D:$D,'Modelling New'!$W:$W),"")</f>
        <v>0.53935862068965523</v>
      </c>
      <c r="AG36" s="174">
        <f>IFERROR(_xlfn.XLOOKUP($D36,'Modelling New'!$D:$D,'Modelling New'!$AE:$AE),"")</f>
        <v>0.96029999999999993</v>
      </c>
      <c r="AH36" s="174">
        <f>IFERROR(_xlfn.XLOOKUP($D36,'Modelling New'!$D:$D,'Modelling New'!$AF:$AF),"")</f>
        <v>0.995</v>
      </c>
      <c r="AI36" s="177">
        <f>IFERROR(_xlfn.XLOOKUP($A36,Input_Raw!$A:$A,Input_Raw!$BQ:$BQ),"")</f>
        <v>781.68</v>
      </c>
      <c r="AJ36" s="167"/>
      <c r="AK36" s="167"/>
      <c r="AL36" s="167"/>
      <c r="AM36" s="167"/>
      <c r="AN36" s="175">
        <f>IFERROR(_xlfn.XLOOKUP($A36,Input_Raw!$A:$A,Input_Raw!$BN:$BN),"")</f>
        <v>6.9410319410319415E-2</v>
      </c>
      <c r="AO36" s="174">
        <f>IFERROR((_xlfn.XLOOKUP($A36,'WTG Reactive Power'!$A:$A,'WTG Reactive Power'!$AE:$AE))/Table13[[#This Row],[Gen_Exp (kWh)]],"")</f>
        <v>3.0709527709527713E-3</v>
      </c>
      <c r="AP36" s="174">
        <f>IFERROR(_xlfn.XLOOKUP($D36,'Modelling New'!$D:$D,'Modelling New'!$AK:$AK),"")</f>
        <v>0.05</v>
      </c>
      <c r="AQ36" s="174">
        <f>IFERROR(_xlfn.XLOOKUP($D36,'Modelling New'!$D:$D,'Modelling New'!$AL:$AL),"")</f>
        <v>0.05</v>
      </c>
      <c r="AR36" s="276">
        <f>IFERROR(_xlfn.XLOOKUP($D36,'Modelling New'!$D:$D,'Modelling New'!$N:$N),"")</f>
        <v>70.2</v>
      </c>
      <c r="AS36" s="276"/>
    </row>
    <row r="37" spans="1:45">
      <c r="A37" s="165">
        <f t="shared" si="7"/>
        <v>45780</v>
      </c>
      <c r="B37" s="166">
        <f>YEAR(Table13[[#This Row],[Date]])+IF(MONTH(Table13[[#This Row],[Date]])&gt;=4,1,0)</f>
        <v>2026</v>
      </c>
      <c r="C37" s="167">
        <f>YEAR(Table13[[#This Row],[Date]])</f>
        <v>2025</v>
      </c>
      <c r="D37" s="168">
        <f>Table13[[#This Row],[Date]]-DAY(Table13[[#This Row],[Date]])+1</f>
        <v>45778</v>
      </c>
      <c r="E37" s="167">
        <f t="shared" si="4"/>
        <v>31</v>
      </c>
      <c r="F37" s="169"/>
      <c r="G37" s="176"/>
      <c r="H37" s="176"/>
      <c r="I37" s="176"/>
      <c r="J37" s="176"/>
      <c r="K37" s="171"/>
      <c r="L37" s="170"/>
      <c r="M37" s="170">
        <f>IFERROR(_xlfn.XLOOKUP($A37,Input_Raw!$A:$A,Input_Raw!BG:BG),"")</f>
        <v>8.656769918903624</v>
      </c>
      <c r="N37" s="170">
        <f>IFERROR(_xlfn.XLOOKUP($A37,Input_Raw!$A:$A,Input_Raw!BH:BH),"")</f>
        <v>0</v>
      </c>
      <c r="O37" s="173">
        <f t="shared" si="5"/>
        <v>0.95584783816208319</v>
      </c>
      <c r="P37" s="173">
        <f>IFERROR(1-SUMIF(WTG_BD!$F:$F,$A37,WTG_BD!$AA:$AA)/($AA37+SUMIF(WTG_BD!$F:$F,$A37,WTG_BD!$AA:$AA)),"")</f>
        <v>0.95584783816208319</v>
      </c>
      <c r="Q37" s="173">
        <f>IFERROR(1-SUMIF(IGA_BD!$F:$F,$A37,IGA_BD!$X:$X)/($AA37+SUMIF(IGA_BD!$F:$F,$A37,IGA_BD!$X:$X)),"")</f>
        <v>1</v>
      </c>
      <c r="R37" s="173">
        <f>IFERROR(1-SUMIF(Grid_BD!$F:$F,$A37,Grid_BD!$Y:$Y)/($AA37+SUMIF(Grid_BD!$F:$F,$A37,Grid_BD!$Y:$Y)),"")</f>
        <v>1</v>
      </c>
      <c r="S37" s="167"/>
      <c r="T37" s="172"/>
      <c r="U37" s="173"/>
      <c r="V37" s="167"/>
      <c r="W37" s="174">
        <f t="shared" si="6"/>
        <v>0.63755341880341876</v>
      </c>
      <c r="X37" s="167">
        <f>IFERROR(_xlfn.XLOOKUP($A37,Input_Raw!$A:$A,Input_Raw!$BF:$BF),"")</f>
        <v>1085131</v>
      </c>
      <c r="Y37" s="167">
        <f>IFERROR(_xlfn.XLOOKUP($A37,Input_Raw!$A:$A,Input_Raw!BJ:BJ),"")</f>
        <v>1074150</v>
      </c>
      <c r="Z37" s="167">
        <f>IFERROR(_xlfn.XLOOKUP($A37,Input_Raw!$A:$A,Input_Raw!BK:BK),"")</f>
        <v>0</v>
      </c>
      <c r="AA37" s="167">
        <f>IFERROR(_xlfn.XLOOKUP($A37,Input_Raw!$A:$A,Input_Raw!BL:BL),"")</f>
        <v>1074150</v>
      </c>
      <c r="AB37" s="167">
        <f>IFERROR(_xlfn.XLOOKUP($A37,Input_Raw!$A:$A,Input_Raw!$BO:$BO),"")</f>
        <v>70.2</v>
      </c>
      <c r="AC37" s="176">
        <f>IFERROR(_xlfn.XLOOKUP($D37,'Modelling New'!$D:$D,'Modelling New'!$J:$J),"")</f>
        <v>7.19</v>
      </c>
      <c r="AD37" s="166">
        <f>IFERROR(_xlfn.XLOOKUP($D37,'Modelling New'!$D:$D,'Modelling New'!$T:$T)*1000,"")</f>
        <v>908711.4041379313</v>
      </c>
      <c r="AE37" s="174"/>
      <c r="AF37" s="174">
        <f>IFERROR(_xlfn.XLOOKUP($D37,'Modelling New'!$D:$D,'Modelling New'!$W:$W),"")</f>
        <v>0.53935862068965523</v>
      </c>
      <c r="AG37" s="174">
        <f>IFERROR(_xlfn.XLOOKUP($D37,'Modelling New'!$D:$D,'Modelling New'!$AE:$AE),"")</f>
        <v>0.96029999999999993</v>
      </c>
      <c r="AH37" s="174">
        <f>IFERROR(_xlfn.XLOOKUP($D37,'Modelling New'!$D:$D,'Modelling New'!$AF:$AF),"")</f>
        <v>0.995</v>
      </c>
      <c r="AI37" s="177">
        <f>IFERROR(_xlfn.XLOOKUP($A37,Input_Raw!$A:$A,Input_Raw!$BQ:$BQ),"")</f>
        <v>1224.47</v>
      </c>
      <c r="AJ37" s="167"/>
      <c r="AK37" s="167"/>
      <c r="AL37" s="167"/>
      <c r="AM37" s="167"/>
      <c r="AN37" s="175">
        <f>IFERROR(_xlfn.XLOOKUP($A37,Input_Raw!$A:$A,Input_Raw!$BN:$BN),"")</f>
        <v>1.0119515523932133E-2</v>
      </c>
      <c r="AO37" s="174">
        <f>IFERROR((_xlfn.XLOOKUP($A37,'WTG Reactive Power'!$A:$A,'WTG Reactive Power'!$AE:$AE))/Table13[[#This Row],[Gen_Exp (kWh)]],"")</f>
        <v>2.6540519070969305E-2</v>
      </c>
      <c r="AP37" s="174">
        <f>IFERROR(_xlfn.XLOOKUP($D37,'Modelling New'!$D:$D,'Modelling New'!$AK:$AK),"")</f>
        <v>0.05</v>
      </c>
      <c r="AQ37" s="174">
        <f>IFERROR(_xlfn.XLOOKUP($D37,'Modelling New'!$D:$D,'Modelling New'!$AL:$AL),"")</f>
        <v>0.05</v>
      </c>
      <c r="AR37" s="276">
        <f>IFERROR(_xlfn.XLOOKUP($D37,'Modelling New'!$D:$D,'Modelling New'!$N:$N),"")</f>
        <v>70.2</v>
      </c>
      <c r="AS37" s="276"/>
    </row>
    <row r="38" spans="1:45">
      <c r="A38" s="165">
        <f t="shared" si="7"/>
        <v>45781</v>
      </c>
      <c r="B38" s="166">
        <f>YEAR(Table13[[#This Row],[Date]])+IF(MONTH(Table13[[#This Row],[Date]])&gt;=4,1,0)</f>
        <v>2026</v>
      </c>
      <c r="C38" s="167">
        <f>YEAR(Table13[[#This Row],[Date]])</f>
        <v>2025</v>
      </c>
      <c r="D38" s="168">
        <f>Table13[[#This Row],[Date]]-DAY(Table13[[#This Row],[Date]])+1</f>
        <v>45778</v>
      </c>
      <c r="E38" s="167">
        <f t="shared" si="4"/>
        <v>31</v>
      </c>
      <c r="F38" s="169"/>
      <c r="G38" s="170"/>
      <c r="H38" s="170"/>
      <c r="I38" s="170"/>
      <c r="J38" s="170"/>
      <c r="K38" s="171"/>
      <c r="L38" s="170"/>
      <c r="M38" s="170">
        <f>IFERROR(_xlfn.XLOOKUP($A38,Input_Raw!$A:$A,Input_Raw!BG:BG),"")</f>
        <v>6.7651995991986684</v>
      </c>
      <c r="N38" s="170">
        <f>IFERROR(_xlfn.XLOOKUP($A38,Input_Raw!$A:$A,Input_Raw!BH:BH),"")</f>
        <v>0</v>
      </c>
      <c r="O38" s="173">
        <f t="shared" si="5"/>
        <v>0.96806163003973555</v>
      </c>
      <c r="P38" s="173">
        <f>IFERROR(1-SUMIF(WTG_BD!$F:$F,$A38,WTG_BD!$AA:$AA)/($AA38+SUMIF(WTG_BD!$F:$F,$A38,WTG_BD!$AA:$AA)),"")</f>
        <v>0.96806163003973555</v>
      </c>
      <c r="Q38" s="173">
        <f>IFERROR(1-SUMIF(IGA_BD!$F:$F,$A38,IGA_BD!$X:$X)/($AA38+SUMIF(IGA_BD!$F:$F,$A38,IGA_BD!$X:$X)),"")</f>
        <v>1</v>
      </c>
      <c r="R38" s="173">
        <f>IFERROR(1-SUMIF(Grid_BD!$F:$F,$A38,Grid_BD!$Y:$Y)/($AA38+SUMIF(Grid_BD!$F:$F,$A38,Grid_BD!$Y:$Y)),"")</f>
        <v>1</v>
      </c>
      <c r="S38" s="167"/>
      <c r="T38" s="172"/>
      <c r="U38" s="173"/>
      <c r="V38" s="167"/>
      <c r="W38" s="174">
        <f t="shared" si="6"/>
        <v>0.40678418803418798</v>
      </c>
      <c r="X38" s="167">
        <f>IFERROR(_xlfn.XLOOKUP($A38,Input_Raw!$A:$A,Input_Raw!$BF:$BF),"")</f>
        <v>711947</v>
      </c>
      <c r="Y38" s="167">
        <f>IFERROR(_xlfn.XLOOKUP($A38,Input_Raw!$A:$A,Input_Raw!BJ:BJ),"")</f>
        <v>685800</v>
      </c>
      <c r="Z38" s="167">
        <f>IFERROR(_xlfn.XLOOKUP($A38,Input_Raw!$A:$A,Input_Raw!BK:BK),"")</f>
        <v>450</v>
      </c>
      <c r="AA38" s="167">
        <f>IFERROR(_xlfn.XLOOKUP($A38,Input_Raw!$A:$A,Input_Raw!BL:BL),"")</f>
        <v>685350</v>
      </c>
      <c r="AB38" s="167">
        <f>IFERROR(_xlfn.XLOOKUP($A38,Input_Raw!$A:$A,Input_Raw!$BO:$BO),"")</f>
        <v>70.2</v>
      </c>
      <c r="AC38" s="176">
        <f>IFERROR(_xlfn.XLOOKUP($D38,'Modelling New'!$D:$D,'Modelling New'!$J:$J),"")</f>
        <v>7.19</v>
      </c>
      <c r="AD38" s="166">
        <f>IFERROR(_xlfn.XLOOKUP($D38,'Modelling New'!$D:$D,'Modelling New'!$T:$T)*1000,"")</f>
        <v>908711.4041379313</v>
      </c>
      <c r="AE38" s="174"/>
      <c r="AF38" s="174">
        <f>IFERROR(_xlfn.XLOOKUP($D38,'Modelling New'!$D:$D,'Modelling New'!$W:$W),"")</f>
        <v>0.53935862068965523</v>
      </c>
      <c r="AG38" s="174">
        <f>IFERROR(_xlfn.XLOOKUP($D38,'Modelling New'!$D:$D,'Modelling New'!$AE:$AE),"")</f>
        <v>0.96029999999999993</v>
      </c>
      <c r="AH38" s="174">
        <f>IFERROR(_xlfn.XLOOKUP($D38,'Modelling New'!$D:$D,'Modelling New'!$AF:$AF),"")</f>
        <v>0.995</v>
      </c>
      <c r="AI38" s="177">
        <f>IFERROR(_xlfn.XLOOKUP($A38,Input_Raw!$A:$A,Input_Raw!$BQ:$BQ),"")</f>
        <v>773.86</v>
      </c>
      <c r="AJ38" s="167"/>
      <c r="AK38" s="167"/>
      <c r="AL38" s="167"/>
      <c r="AM38" s="167"/>
      <c r="AN38" s="175">
        <f>IFERROR(_xlfn.XLOOKUP($A38,Input_Raw!$A:$A,Input_Raw!$BN:$BN),"")</f>
        <v>3.6726048427762177E-2</v>
      </c>
      <c r="AO38" s="174">
        <f>IFERROR((_xlfn.XLOOKUP($A38,'WTG Reactive Power'!$A:$A,'WTG Reactive Power'!$AE:$AE))/Table13[[#This Row],[Gen_Exp (kWh)]],"")</f>
        <v>2.9075057553441482E-2</v>
      </c>
      <c r="AP38" s="174">
        <f>IFERROR(_xlfn.XLOOKUP($D38,'Modelling New'!$D:$D,'Modelling New'!$AK:$AK),"")</f>
        <v>0.05</v>
      </c>
      <c r="AQ38" s="174">
        <f>IFERROR(_xlfn.XLOOKUP($D38,'Modelling New'!$D:$D,'Modelling New'!$AL:$AL),"")</f>
        <v>0.05</v>
      </c>
      <c r="AR38" s="276">
        <f>IFERROR(_xlfn.XLOOKUP($D38,'Modelling New'!$D:$D,'Modelling New'!$N:$N),"")</f>
        <v>70.2</v>
      </c>
      <c r="AS38" s="276"/>
    </row>
    <row r="39" spans="1:45">
      <c r="A39" s="165">
        <f t="shared" si="7"/>
        <v>45782</v>
      </c>
      <c r="B39" s="166">
        <f>YEAR(Table13[[#This Row],[Date]])+IF(MONTH(Table13[[#This Row],[Date]])&gt;=4,1,0)</f>
        <v>2026</v>
      </c>
      <c r="C39" s="167">
        <f>YEAR(Table13[[#This Row],[Date]])</f>
        <v>2025</v>
      </c>
      <c r="D39" s="168">
        <f>Table13[[#This Row],[Date]]-DAY(Table13[[#This Row],[Date]])+1</f>
        <v>45778</v>
      </c>
      <c r="E39" s="167">
        <f t="shared" si="4"/>
        <v>31</v>
      </c>
      <c r="F39" s="169"/>
      <c r="G39" s="176"/>
      <c r="H39" s="176"/>
      <c r="I39" s="176"/>
      <c r="J39" s="176"/>
      <c r="K39" s="171"/>
      <c r="L39" s="170"/>
      <c r="M39" s="170">
        <f>IFERROR(_xlfn.XLOOKUP($A39,Input_Raw!$A:$A,Input_Raw!BG:BG),"")</f>
        <v>7.2849465804731652</v>
      </c>
      <c r="N39" s="170">
        <f>IFERROR(_xlfn.XLOOKUP($A39,Input_Raw!$A:$A,Input_Raw!BH:BH),"")</f>
        <v>0</v>
      </c>
      <c r="O39" s="173">
        <f t="shared" si="5"/>
        <v>0.98302808596824287</v>
      </c>
      <c r="P39" s="173">
        <f>IFERROR(1-SUMIF(WTG_BD!$F:$F,$A39,WTG_BD!$AA:$AA)/($AA39+SUMIF(WTG_BD!$F:$F,$A39,WTG_BD!$AA:$AA)),"")</f>
        <v>0.98302808596824287</v>
      </c>
      <c r="Q39" s="173">
        <f>IFERROR(1-SUMIF(IGA_BD!$F:$F,$A39,IGA_BD!$X:$X)/($AA39+SUMIF(IGA_BD!$F:$F,$A39,IGA_BD!$X:$X)),"")</f>
        <v>1</v>
      </c>
      <c r="R39" s="173">
        <f>IFERROR(1-SUMIF(Grid_BD!$F:$F,$A39,Grid_BD!$Y:$Y)/($AA39+SUMIF(Grid_BD!$F:$F,$A39,Grid_BD!$Y:$Y)),"")</f>
        <v>1</v>
      </c>
      <c r="S39" s="167"/>
      <c r="T39" s="172"/>
      <c r="U39" s="173"/>
      <c r="V39" s="167"/>
      <c r="W39" s="174">
        <f t="shared" si="6"/>
        <v>0.44017094017094011</v>
      </c>
      <c r="X39" s="167">
        <f>IFERROR(_xlfn.XLOOKUP($A39,Input_Raw!$A:$A,Input_Raw!$BF:$BF),"")</f>
        <v>767792</v>
      </c>
      <c r="Y39" s="167">
        <f>IFERROR(_xlfn.XLOOKUP($A39,Input_Raw!$A:$A,Input_Raw!BJ:BJ),"")</f>
        <v>741600</v>
      </c>
      <c r="Z39" s="167">
        <f>IFERROR(_xlfn.XLOOKUP($A39,Input_Raw!$A:$A,Input_Raw!BK:BK),"")</f>
        <v>0</v>
      </c>
      <c r="AA39" s="167">
        <f>IFERROR(_xlfn.XLOOKUP($A39,Input_Raw!$A:$A,Input_Raw!BL:BL),"")</f>
        <v>741600</v>
      </c>
      <c r="AB39" s="167">
        <f>IFERROR(_xlfn.XLOOKUP($A39,Input_Raw!$A:$A,Input_Raw!$BO:$BO),"")</f>
        <v>70.2</v>
      </c>
      <c r="AC39" s="176">
        <f>IFERROR(_xlfn.XLOOKUP($D39,'Modelling New'!$D:$D,'Modelling New'!$J:$J),"")</f>
        <v>7.19</v>
      </c>
      <c r="AD39" s="166">
        <f>IFERROR(_xlfn.XLOOKUP($D39,'Modelling New'!$D:$D,'Modelling New'!$T:$T)*1000,"")</f>
        <v>908711.4041379313</v>
      </c>
      <c r="AE39" s="174"/>
      <c r="AF39" s="174">
        <f>IFERROR(_xlfn.XLOOKUP($D39,'Modelling New'!$D:$D,'Modelling New'!$W:$W),"")</f>
        <v>0.53935862068965523</v>
      </c>
      <c r="AG39" s="174">
        <f>IFERROR(_xlfn.XLOOKUP($D39,'Modelling New'!$D:$D,'Modelling New'!$AE:$AE),"")</f>
        <v>0.96029999999999993</v>
      </c>
      <c r="AH39" s="174">
        <f>IFERROR(_xlfn.XLOOKUP($D39,'Modelling New'!$D:$D,'Modelling New'!$AF:$AF),"")</f>
        <v>0.995</v>
      </c>
      <c r="AI39" s="177">
        <f>IFERROR(_xlfn.XLOOKUP($A39,Input_Raw!$A:$A,Input_Raw!$BQ:$BQ),"")</f>
        <v>837.33</v>
      </c>
      <c r="AJ39" s="167"/>
      <c r="AK39" s="167"/>
      <c r="AL39" s="167"/>
      <c r="AM39" s="167"/>
      <c r="AN39" s="175">
        <f>IFERROR(_xlfn.XLOOKUP($A39,Input_Raw!$A:$A,Input_Raw!$BN:$BN),"")</f>
        <v>3.4113405714047557E-2</v>
      </c>
      <c r="AO39" s="174">
        <f>IFERROR((_xlfn.XLOOKUP($A39,'WTG Reactive Power'!$A:$A,'WTG Reactive Power'!$AE:$AE))/Table13[[#This Row],[Gen_Exp (kWh)]],"")</f>
        <v>2.9304655427511619E-2</v>
      </c>
      <c r="AP39" s="174">
        <f>IFERROR(_xlfn.XLOOKUP($D39,'Modelling New'!$D:$D,'Modelling New'!$AK:$AK),"")</f>
        <v>0.05</v>
      </c>
      <c r="AQ39" s="174">
        <f>IFERROR(_xlfn.XLOOKUP($D39,'Modelling New'!$D:$D,'Modelling New'!$AL:$AL),"")</f>
        <v>0.05</v>
      </c>
      <c r="AR39" s="276">
        <f>IFERROR(_xlfn.XLOOKUP($D39,'Modelling New'!$D:$D,'Modelling New'!$N:$N),"")</f>
        <v>70.2</v>
      </c>
      <c r="AS39" s="276"/>
    </row>
    <row r="40" spans="1:45">
      <c r="A40" s="165">
        <f t="shared" si="7"/>
        <v>45783</v>
      </c>
      <c r="B40" s="166">
        <f>YEAR(Table13[[#This Row],[Date]])+IF(MONTH(Table13[[#This Row],[Date]])&gt;=4,1,0)</f>
        <v>2026</v>
      </c>
      <c r="C40" s="167">
        <f>YEAR(Table13[[#This Row],[Date]])</f>
        <v>2025</v>
      </c>
      <c r="D40" s="168">
        <f>Table13[[#This Row],[Date]]-DAY(Table13[[#This Row],[Date]])+1</f>
        <v>45778</v>
      </c>
      <c r="E40" s="167">
        <f t="shared" si="4"/>
        <v>31</v>
      </c>
      <c r="F40" s="169"/>
      <c r="G40" s="170"/>
      <c r="H40" s="170"/>
      <c r="I40" s="170"/>
      <c r="J40" s="170"/>
      <c r="K40" s="171"/>
      <c r="L40" s="170"/>
      <c r="M40" s="170">
        <f>IFERROR(_xlfn.XLOOKUP($A40,Input_Raw!$A:$A,Input_Raw!BG:BG),"")</f>
        <v>6.8863246513857428</v>
      </c>
      <c r="N40" s="170">
        <f>IFERROR(_xlfn.XLOOKUP($A40,Input_Raw!$A:$A,Input_Raw!BH:BH),"")</f>
        <v>0</v>
      </c>
      <c r="O40" s="173">
        <f t="shared" si="5"/>
        <v>0.64525909754317412</v>
      </c>
      <c r="P40" s="173">
        <f>IFERROR(1-SUMIF(WTG_BD!$F:$F,$A40,WTG_BD!$AA:$AA)/($AA40+SUMIF(WTG_BD!$F:$F,$A40,WTG_BD!$AA:$AA)),"")</f>
        <v>0.89999581790383898</v>
      </c>
      <c r="Q40" s="173">
        <f>IFERROR(1-SUMIF(IGA_BD!$F:$F,$A40,IGA_BD!$X:$X)/($AA40+SUMIF(IGA_BD!$F:$F,$A40,IGA_BD!$X:$X)),"")</f>
        <v>0.71695788436665553</v>
      </c>
      <c r="R40" s="173">
        <f>IFERROR(1-SUMIF(Grid_BD!$F:$F,$A40,Grid_BD!$Y:$Y)/($AA40+SUMIF(Grid_BD!$F:$F,$A40,Grid_BD!$Y:$Y)),"")</f>
        <v>1</v>
      </c>
      <c r="S40" s="167"/>
      <c r="T40" s="172"/>
      <c r="U40" s="173"/>
      <c r="V40" s="167"/>
      <c r="W40" s="174">
        <f t="shared" si="6"/>
        <v>0.24492521367521364</v>
      </c>
      <c r="X40" s="167">
        <f>IFERROR(_xlfn.XLOOKUP($A40,Input_Raw!$A:$A,Input_Raw!$BF:$BF),"")</f>
        <v>425147</v>
      </c>
      <c r="Y40" s="167">
        <f>IFERROR(_xlfn.XLOOKUP($A40,Input_Raw!$A:$A,Input_Raw!BJ:BJ),"")</f>
        <v>412650</v>
      </c>
      <c r="Z40" s="167">
        <f>IFERROR(_xlfn.XLOOKUP($A40,Input_Raw!$A:$A,Input_Raw!BK:BK),"")</f>
        <v>0</v>
      </c>
      <c r="AA40" s="167">
        <f>IFERROR(_xlfn.XLOOKUP($A40,Input_Raw!$A:$A,Input_Raw!BL:BL),"")</f>
        <v>412650</v>
      </c>
      <c r="AB40" s="167">
        <f>IFERROR(_xlfn.XLOOKUP($A40,Input_Raw!$A:$A,Input_Raw!$BO:$BO),"")</f>
        <v>70.2</v>
      </c>
      <c r="AC40" s="176">
        <f>IFERROR(_xlfn.XLOOKUP($D40,'Modelling New'!$D:$D,'Modelling New'!$J:$J),"")</f>
        <v>7.19</v>
      </c>
      <c r="AD40" s="166">
        <f>IFERROR(_xlfn.XLOOKUP($D40,'Modelling New'!$D:$D,'Modelling New'!$T:$T)*1000,"")</f>
        <v>908711.4041379313</v>
      </c>
      <c r="AE40" s="174"/>
      <c r="AF40" s="174">
        <f>IFERROR(_xlfn.XLOOKUP($D40,'Modelling New'!$D:$D,'Modelling New'!$W:$W),"")</f>
        <v>0.53935862068965523</v>
      </c>
      <c r="AG40" s="174">
        <f>IFERROR(_xlfn.XLOOKUP($D40,'Modelling New'!$D:$D,'Modelling New'!$AE:$AE),"")</f>
        <v>0.96029999999999993</v>
      </c>
      <c r="AH40" s="174">
        <f>IFERROR(_xlfn.XLOOKUP($D40,'Modelling New'!$D:$D,'Modelling New'!$AF:$AF),"")</f>
        <v>0.995</v>
      </c>
      <c r="AI40" s="177">
        <f>IFERROR(_xlfn.XLOOKUP($A40,Input_Raw!$A:$A,Input_Raw!$BQ:$BQ),"")</f>
        <v>541.99</v>
      </c>
      <c r="AJ40" s="167"/>
      <c r="AK40" s="167"/>
      <c r="AL40" s="167"/>
      <c r="AM40" s="167"/>
      <c r="AN40" s="175">
        <f>IFERROR(_xlfn.XLOOKUP($A40,Input_Raw!$A:$A,Input_Raw!$BN:$BN),"")</f>
        <v>2.9394538830098765E-2</v>
      </c>
      <c r="AO40" s="174">
        <f>IFERROR((_xlfn.XLOOKUP($A40,'WTG Reactive Power'!$A:$A,'WTG Reactive Power'!$AE:$AE))/Table13[[#This Row],[Gen_Exp (kWh)]],"")</f>
        <v>5.2917696702552298E-3</v>
      </c>
      <c r="AP40" s="174">
        <f>IFERROR(_xlfn.XLOOKUP($D40,'Modelling New'!$D:$D,'Modelling New'!$AK:$AK),"")</f>
        <v>0.05</v>
      </c>
      <c r="AQ40" s="174">
        <f>IFERROR(_xlfn.XLOOKUP($D40,'Modelling New'!$D:$D,'Modelling New'!$AL:$AL),"")</f>
        <v>0.05</v>
      </c>
      <c r="AR40" s="276">
        <f>IFERROR(_xlfn.XLOOKUP($D40,'Modelling New'!$D:$D,'Modelling New'!$N:$N),"")</f>
        <v>70.2</v>
      </c>
      <c r="AS40" s="276"/>
    </row>
    <row r="41" spans="1:45">
      <c r="A41" s="165">
        <f t="shared" si="7"/>
        <v>45784</v>
      </c>
      <c r="B41" s="166">
        <f>YEAR(Table13[[#This Row],[Date]])+IF(MONTH(Table13[[#This Row],[Date]])&gt;=4,1,0)</f>
        <v>2026</v>
      </c>
      <c r="C41" s="167">
        <f>YEAR(Table13[[#This Row],[Date]])</f>
        <v>2025</v>
      </c>
      <c r="D41" s="168">
        <f>Table13[[#This Row],[Date]]-DAY(Table13[[#This Row],[Date]])+1</f>
        <v>45778</v>
      </c>
      <c r="E41" s="167">
        <f t="shared" si="4"/>
        <v>31</v>
      </c>
      <c r="F41" s="169"/>
      <c r="G41" s="176"/>
      <c r="H41" s="176"/>
      <c r="I41" s="176"/>
      <c r="J41" s="176"/>
      <c r="K41" s="171"/>
      <c r="L41" s="170"/>
      <c r="M41" s="170">
        <f>IFERROR(_xlfn.XLOOKUP($A41,Input_Raw!$A:$A,Input_Raw!BG:BG),"")</f>
        <v>5.8334462271515468</v>
      </c>
      <c r="N41" s="170">
        <f>IFERROR(_xlfn.XLOOKUP($A41,Input_Raw!$A:$A,Input_Raw!BH:BH),"")</f>
        <v>0</v>
      </c>
      <c r="O41" s="173">
        <f t="shared" si="5"/>
        <v>0.81494218235608573</v>
      </c>
      <c r="P41" s="173">
        <f>IFERROR(1-SUMIF(WTG_BD!$F:$F,$A41,WTG_BD!$AA:$AA)/($AA41+SUMIF(WTG_BD!$F:$F,$A41,WTG_BD!$AA:$AA)),"")</f>
        <v>0.87464463196849862</v>
      </c>
      <c r="Q41" s="173">
        <f>IFERROR(1-SUMIF(IGA_BD!$F:$F,$A41,IGA_BD!$X:$X)/($AA41+SUMIF(IGA_BD!$F:$F,$A41,IGA_BD!$X:$X)),"")</f>
        <v>0.93174090661478715</v>
      </c>
      <c r="R41" s="173">
        <f>IFERROR(1-SUMIF(Grid_BD!$F:$F,$A41,Grid_BD!$Y:$Y)/($AA41+SUMIF(Grid_BD!$F:$F,$A41,Grid_BD!$Y:$Y)),"")</f>
        <v>1</v>
      </c>
      <c r="S41" s="167"/>
      <c r="T41" s="172"/>
      <c r="U41" s="173"/>
      <c r="V41" s="167"/>
      <c r="W41" s="174">
        <f t="shared" si="6"/>
        <v>0.22382478632478631</v>
      </c>
      <c r="X41" s="167">
        <f>IFERROR(_xlfn.XLOOKUP($A41,Input_Raw!$A:$A,Input_Raw!$BF:$BF),"")</f>
        <v>391213</v>
      </c>
      <c r="Y41" s="167">
        <f>IFERROR(_xlfn.XLOOKUP($A41,Input_Raw!$A:$A,Input_Raw!BJ:BJ),"")</f>
        <v>377100</v>
      </c>
      <c r="Z41" s="167">
        <f>IFERROR(_xlfn.XLOOKUP($A41,Input_Raw!$A:$A,Input_Raw!BK:BK),"")</f>
        <v>0</v>
      </c>
      <c r="AA41" s="167">
        <f>IFERROR(_xlfn.XLOOKUP($A41,Input_Raw!$A:$A,Input_Raw!BL:BL),"")</f>
        <v>377100</v>
      </c>
      <c r="AB41" s="167">
        <f>IFERROR(_xlfn.XLOOKUP($A41,Input_Raw!$A:$A,Input_Raw!$BO:$BO),"")</f>
        <v>70.2</v>
      </c>
      <c r="AC41" s="176">
        <f>IFERROR(_xlfn.XLOOKUP($D41,'Modelling New'!$D:$D,'Modelling New'!$J:$J),"")</f>
        <v>7.19</v>
      </c>
      <c r="AD41" s="166">
        <f>IFERROR(_xlfn.XLOOKUP($D41,'Modelling New'!$D:$D,'Modelling New'!$T:$T)*1000,"")</f>
        <v>908711.4041379313</v>
      </c>
      <c r="AE41" s="174"/>
      <c r="AF41" s="174">
        <f>IFERROR(_xlfn.XLOOKUP($D41,'Modelling New'!$D:$D,'Modelling New'!$W:$W),"")</f>
        <v>0.53935862068965523</v>
      </c>
      <c r="AG41" s="174">
        <f>IFERROR(_xlfn.XLOOKUP($D41,'Modelling New'!$D:$D,'Modelling New'!$AE:$AE),"")</f>
        <v>0.96029999999999993</v>
      </c>
      <c r="AH41" s="174">
        <f>IFERROR(_xlfn.XLOOKUP($D41,'Modelling New'!$D:$D,'Modelling New'!$AF:$AF),"")</f>
        <v>0.995</v>
      </c>
      <c r="AI41" s="177">
        <f>IFERROR(_xlfn.XLOOKUP($A41,Input_Raw!$A:$A,Input_Raw!$BQ:$BQ),"")</f>
        <v>371.67</v>
      </c>
      <c r="AJ41" s="167"/>
      <c r="AK41" s="167"/>
      <c r="AL41" s="167"/>
      <c r="AM41" s="167"/>
      <c r="AN41" s="175">
        <f>IFERROR(_xlfn.XLOOKUP($A41,Input_Raw!$A:$A,Input_Raw!$BN:$BN),"")</f>
        <v>3.6074977058533332E-2</v>
      </c>
      <c r="AO41" s="174">
        <f>IFERROR((_xlfn.XLOOKUP($A41,'WTG Reactive Power'!$A:$A,'WTG Reactive Power'!$AE:$AE))/Table13[[#This Row],[Gen_Exp (kWh)]],"")</f>
        <v>5.4062518372344444E-2</v>
      </c>
      <c r="AP41" s="174">
        <f>IFERROR(_xlfn.XLOOKUP($D41,'Modelling New'!$D:$D,'Modelling New'!$AK:$AK),"")</f>
        <v>0.05</v>
      </c>
      <c r="AQ41" s="174">
        <f>IFERROR(_xlfn.XLOOKUP($D41,'Modelling New'!$D:$D,'Modelling New'!$AL:$AL),"")</f>
        <v>0.05</v>
      </c>
      <c r="AR41" s="276">
        <f>IFERROR(_xlfn.XLOOKUP($D41,'Modelling New'!$D:$D,'Modelling New'!$N:$N),"")</f>
        <v>70.2</v>
      </c>
      <c r="AS41" s="276"/>
    </row>
    <row r="42" spans="1:45">
      <c r="A42" s="165">
        <f t="shared" si="7"/>
        <v>45785</v>
      </c>
      <c r="B42" s="166">
        <f>YEAR(Table13[[#This Row],[Date]])+IF(MONTH(Table13[[#This Row],[Date]])&gt;=4,1,0)</f>
        <v>2026</v>
      </c>
      <c r="C42" s="167">
        <f>YEAR(Table13[[#This Row],[Date]])</f>
        <v>2025</v>
      </c>
      <c r="D42" s="168">
        <f>Table13[[#This Row],[Date]]-DAY(Table13[[#This Row],[Date]])+1</f>
        <v>45778</v>
      </c>
      <c r="E42" s="167">
        <f t="shared" si="4"/>
        <v>31</v>
      </c>
      <c r="F42" s="169"/>
      <c r="G42" s="170"/>
      <c r="H42" s="170"/>
      <c r="I42" s="170"/>
      <c r="J42" s="170"/>
      <c r="K42" s="171"/>
      <c r="L42" s="170"/>
      <c r="M42" s="170">
        <f>IFERROR(_xlfn.XLOOKUP($A42,Input_Raw!$A:$A,Input_Raw!BG:BG),"")</f>
        <v>4.1440249624271237</v>
      </c>
      <c r="N42" s="170">
        <f>IFERROR(_xlfn.XLOOKUP($A42,Input_Raw!$A:$A,Input_Raw!BH:BH),"")</f>
        <v>0</v>
      </c>
      <c r="O42" s="173">
        <f t="shared" si="5"/>
        <v>0.96717003076525665</v>
      </c>
      <c r="P42" s="173">
        <f>IFERROR(1-SUMIF(WTG_BD!$F:$F,$A42,WTG_BD!$AA:$AA)/($AA42+SUMIF(WTG_BD!$F:$F,$A42,WTG_BD!$AA:$AA)),"")</f>
        <v>0.98117392775689927</v>
      </c>
      <c r="Q42" s="173">
        <f>IFERROR(1-SUMIF(IGA_BD!$F:$F,$A42,IGA_BD!$X:$X)/($AA42+SUMIF(IGA_BD!$F:$F,$A42,IGA_BD!$X:$X)),"")</f>
        <v>0.98572740612496967</v>
      </c>
      <c r="R42" s="173">
        <f>IFERROR(1-SUMIF(Grid_BD!$F:$F,$A42,Grid_BD!$Y:$Y)/($AA42+SUMIF(Grid_BD!$F:$F,$A42,Grid_BD!$Y:$Y)),"")</f>
        <v>1</v>
      </c>
      <c r="S42" s="167"/>
      <c r="T42" s="172"/>
      <c r="U42" s="173"/>
      <c r="V42" s="167"/>
      <c r="W42" s="174">
        <f t="shared" si="6"/>
        <v>0.11084401709401707</v>
      </c>
      <c r="X42" s="167">
        <f>IFERROR(_xlfn.XLOOKUP($A42,Input_Raw!$A:$A,Input_Raw!$BF:$BF),"")</f>
        <v>194603</v>
      </c>
      <c r="Y42" s="167">
        <f>IFERROR(_xlfn.XLOOKUP($A42,Input_Raw!$A:$A,Input_Raw!BJ:BJ),"")</f>
        <v>187200</v>
      </c>
      <c r="Z42" s="167">
        <f>IFERROR(_xlfn.XLOOKUP($A42,Input_Raw!$A:$A,Input_Raw!BK:BK),"")</f>
        <v>450</v>
      </c>
      <c r="AA42" s="167">
        <f>IFERROR(_xlfn.XLOOKUP($A42,Input_Raw!$A:$A,Input_Raw!BL:BL),"")</f>
        <v>186750</v>
      </c>
      <c r="AB42" s="167">
        <f>IFERROR(_xlfn.XLOOKUP($A42,Input_Raw!$A:$A,Input_Raw!$BO:$BO),"")</f>
        <v>70.2</v>
      </c>
      <c r="AC42" s="176">
        <f>IFERROR(_xlfn.XLOOKUP($D42,'Modelling New'!$D:$D,'Modelling New'!$J:$J),"")</f>
        <v>7.19</v>
      </c>
      <c r="AD42" s="166">
        <f>IFERROR(_xlfn.XLOOKUP($D42,'Modelling New'!$D:$D,'Modelling New'!$T:$T)*1000,"")</f>
        <v>908711.4041379313</v>
      </c>
      <c r="AE42" s="174"/>
      <c r="AF42" s="174">
        <f>IFERROR(_xlfn.XLOOKUP($D42,'Modelling New'!$D:$D,'Modelling New'!$W:$W),"")</f>
        <v>0.53935862068965523</v>
      </c>
      <c r="AG42" s="174">
        <f>IFERROR(_xlfn.XLOOKUP($D42,'Modelling New'!$D:$D,'Modelling New'!$AE:$AE),"")</f>
        <v>0.96029999999999993</v>
      </c>
      <c r="AH42" s="174">
        <f>IFERROR(_xlfn.XLOOKUP($D42,'Modelling New'!$D:$D,'Modelling New'!$AF:$AF),"")</f>
        <v>0.995</v>
      </c>
      <c r="AI42" s="177">
        <f>IFERROR(_xlfn.XLOOKUP($A42,Input_Raw!$A:$A,Input_Raw!$BQ:$BQ),"")</f>
        <v>194.40299999999999</v>
      </c>
      <c r="AJ42" s="167"/>
      <c r="AK42" s="167"/>
      <c r="AL42" s="167"/>
      <c r="AM42" s="167"/>
      <c r="AN42" s="175">
        <f>IFERROR(_xlfn.XLOOKUP($A42,Input_Raw!$A:$A,Input_Raw!$BN:$BN),"")</f>
        <v>3.8041551260771932E-2</v>
      </c>
      <c r="AO42" s="174">
        <f>IFERROR((_xlfn.XLOOKUP($A42,'WTG Reactive Power'!$A:$A,'WTG Reactive Power'!$AE:$AE))/Table13[[#This Row],[Gen_Exp (kWh)]],"")</f>
        <v>2.3113723837762017E-3</v>
      </c>
      <c r="AP42" s="174">
        <f>IFERROR(_xlfn.XLOOKUP($D42,'Modelling New'!$D:$D,'Modelling New'!$AK:$AK),"")</f>
        <v>0.05</v>
      </c>
      <c r="AQ42" s="174">
        <f>IFERROR(_xlfn.XLOOKUP($D42,'Modelling New'!$D:$D,'Modelling New'!$AL:$AL),"")</f>
        <v>0.05</v>
      </c>
      <c r="AR42" s="276">
        <f>IFERROR(_xlfn.XLOOKUP($D42,'Modelling New'!$D:$D,'Modelling New'!$N:$N),"")</f>
        <v>70.2</v>
      </c>
      <c r="AS42" s="276"/>
    </row>
    <row r="43" spans="1:45">
      <c r="A43" s="165">
        <f t="shared" si="7"/>
        <v>45786</v>
      </c>
      <c r="B43" s="166">
        <f>YEAR(Table13[[#This Row],[Date]])+IF(MONTH(Table13[[#This Row],[Date]])&gt;=4,1,0)</f>
        <v>2026</v>
      </c>
      <c r="C43" s="167">
        <f>YEAR(Table13[[#This Row],[Date]])</f>
        <v>2025</v>
      </c>
      <c r="D43" s="168">
        <f>Table13[[#This Row],[Date]]-DAY(Table13[[#This Row],[Date]])+1</f>
        <v>45778</v>
      </c>
      <c r="E43" s="167">
        <f t="shared" si="4"/>
        <v>31</v>
      </c>
      <c r="F43" s="169"/>
      <c r="G43" s="176"/>
      <c r="H43" s="176"/>
      <c r="I43" s="176"/>
      <c r="J43" s="176"/>
      <c r="K43" s="171"/>
      <c r="L43" s="170"/>
      <c r="M43" s="170">
        <f>IFERROR(_xlfn.XLOOKUP($A43,Input_Raw!$A:$A,Input_Raw!BG:BG),"")</f>
        <v>4.2123076923076939</v>
      </c>
      <c r="N43" s="170">
        <f>IFERROR(_xlfn.XLOOKUP($A43,Input_Raw!$A:$A,Input_Raw!BH:BH),"")</f>
        <v>0</v>
      </c>
      <c r="O43" s="173">
        <f t="shared" si="5"/>
        <v>0.95958561016616717</v>
      </c>
      <c r="P43" s="173">
        <f>IFERROR(1-SUMIF(WTG_BD!$F:$F,$A43,WTG_BD!$AA:$AA)/($AA43+SUMIF(WTG_BD!$F:$F,$A43,WTG_BD!$AA:$AA)),"")</f>
        <v>0.99714864176786566</v>
      </c>
      <c r="Q43" s="173">
        <f>IFERROR(1-SUMIF(IGA_BD!$F:$F,$A43,IGA_BD!$X:$X)/($AA43+SUMIF(IGA_BD!$F:$F,$A43,IGA_BD!$X:$X)),"")</f>
        <v>0.96232955646903129</v>
      </c>
      <c r="R43" s="173">
        <f>IFERROR(1-SUMIF(Grid_BD!$F:$F,$A43,Grid_BD!$Y:$Y)/($AA43+SUMIF(Grid_BD!$F:$F,$A43,Grid_BD!$Y:$Y)),"")</f>
        <v>1</v>
      </c>
      <c r="S43" s="167"/>
      <c r="T43" s="172"/>
      <c r="U43" s="173"/>
      <c r="V43" s="167"/>
      <c r="W43" s="174">
        <f t="shared" si="6"/>
        <v>0.12473290598290597</v>
      </c>
      <c r="X43" s="167">
        <f>IFERROR(_xlfn.XLOOKUP($A43,Input_Raw!$A:$A,Input_Raw!$BF:$BF),"")</f>
        <v>218799</v>
      </c>
      <c r="Y43" s="167">
        <f>IFERROR(_xlfn.XLOOKUP($A43,Input_Raw!$A:$A,Input_Raw!BJ:BJ),"")</f>
        <v>210150</v>
      </c>
      <c r="Z43" s="167">
        <f>IFERROR(_xlfn.XLOOKUP($A43,Input_Raw!$A:$A,Input_Raw!BK:BK),"")</f>
        <v>0</v>
      </c>
      <c r="AA43" s="167">
        <f>IFERROR(_xlfn.XLOOKUP($A43,Input_Raw!$A:$A,Input_Raw!BL:BL),"")</f>
        <v>210150</v>
      </c>
      <c r="AB43" s="167">
        <f>IFERROR(_xlfn.XLOOKUP($A43,Input_Raw!$A:$A,Input_Raw!$BO:$BO),"")</f>
        <v>70.2</v>
      </c>
      <c r="AC43" s="176">
        <f>IFERROR(_xlfn.XLOOKUP($D43,'Modelling New'!$D:$D,'Modelling New'!$J:$J),"")</f>
        <v>7.19</v>
      </c>
      <c r="AD43" s="166">
        <f>IFERROR(_xlfn.XLOOKUP($D43,'Modelling New'!$D:$D,'Modelling New'!$T:$T)*1000,"")</f>
        <v>908711.4041379313</v>
      </c>
      <c r="AE43" s="174"/>
      <c r="AF43" s="174">
        <f>IFERROR(_xlfn.XLOOKUP($D43,'Modelling New'!$D:$D,'Modelling New'!$W:$W),"")</f>
        <v>0.53935862068965523</v>
      </c>
      <c r="AG43" s="174">
        <f>IFERROR(_xlfn.XLOOKUP($D43,'Modelling New'!$D:$D,'Modelling New'!$AE:$AE),"")</f>
        <v>0.96029999999999993</v>
      </c>
      <c r="AH43" s="174">
        <f>IFERROR(_xlfn.XLOOKUP($D43,'Modelling New'!$D:$D,'Modelling New'!$AF:$AF),"")</f>
        <v>0.995</v>
      </c>
      <c r="AI43" s="177">
        <f>IFERROR(_xlfn.XLOOKUP($A43,Input_Raw!$A:$A,Input_Raw!$BQ:$BQ),"")</f>
        <v>215.78</v>
      </c>
      <c r="AJ43" s="167"/>
      <c r="AK43" s="167"/>
      <c r="AL43" s="167"/>
      <c r="AM43" s="167"/>
      <c r="AN43" s="175">
        <f>IFERROR(_xlfn.XLOOKUP($A43,Input_Raw!$A:$A,Input_Raw!$BN:$BN),"")</f>
        <v>3.9529431121714448E-2</v>
      </c>
      <c r="AO43" s="174">
        <f>IFERROR((_xlfn.XLOOKUP($A43,'WTG Reactive Power'!$A:$A,'WTG Reactive Power'!$AE:$AE))/Table13[[#This Row],[Gen_Exp (kWh)]],"")</f>
        <v>2.0557680793787912E-3</v>
      </c>
      <c r="AP43" s="174">
        <f>IFERROR(_xlfn.XLOOKUP($D43,'Modelling New'!$D:$D,'Modelling New'!$AK:$AK),"")</f>
        <v>0.05</v>
      </c>
      <c r="AQ43" s="174">
        <f>IFERROR(_xlfn.XLOOKUP($D43,'Modelling New'!$D:$D,'Modelling New'!$AL:$AL),"")</f>
        <v>0.05</v>
      </c>
      <c r="AR43" s="276">
        <f>IFERROR(_xlfn.XLOOKUP($D43,'Modelling New'!$D:$D,'Modelling New'!$N:$N),"")</f>
        <v>70.2</v>
      </c>
      <c r="AS43" s="276"/>
    </row>
    <row r="44" spans="1:45">
      <c r="A44" s="165">
        <f t="shared" si="7"/>
        <v>45787</v>
      </c>
      <c r="B44" s="166">
        <f>YEAR(Table13[[#This Row],[Date]])+IF(MONTH(Table13[[#This Row],[Date]])&gt;=4,1,0)</f>
        <v>2026</v>
      </c>
      <c r="C44" s="167">
        <f>YEAR(Table13[[#This Row],[Date]])</f>
        <v>2025</v>
      </c>
      <c r="D44" s="168">
        <f>Table13[[#This Row],[Date]]-DAY(Table13[[#This Row],[Date]])+1</f>
        <v>45778</v>
      </c>
      <c r="E44" s="167">
        <f t="shared" si="4"/>
        <v>31</v>
      </c>
      <c r="F44" s="169"/>
      <c r="G44" s="170"/>
      <c r="H44" s="170"/>
      <c r="I44" s="170"/>
      <c r="J44" s="170"/>
      <c r="K44" s="171"/>
      <c r="L44" s="170"/>
      <c r="M44" s="170">
        <f>IFERROR(_xlfn.XLOOKUP($A44,Input_Raw!$A:$A,Input_Raw!BG:BG),"")</f>
        <v>4.9289662776948795</v>
      </c>
      <c r="N44" s="170">
        <f>IFERROR(_xlfn.XLOOKUP($A44,Input_Raw!$A:$A,Input_Raw!BH:BH),"")</f>
        <v>0</v>
      </c>
      <c r="O44" s="173">
        <f t="shared" si="5"/>
        <v>0.92997769955818066</v>
      </c>
      <c r="P44" s="173">
        <f>IFERROR(1-SUMIF(WTG_BD!$F:$F,$A44,WTG_BD!$AA:$AA)/($AA44+SUMIF(WTG_BD!$F:$F,$A44,WTG_BD!$AA:$AA)),"")</f>
        <v>0.98536383891240076</v>
      </c>
      <c r="Q44" s="173">
        <f>IFERROR(1-SUMIF(IGA_BD!$F:$F,$A44,IGA_BD!$X:$X)/($AA44+SUMIF(IGA_BD!$F:$F,$A44,IGA_BD!$X:$X)),"")</f>
        <v>0.94379117929134404</v>
      </c>
      <c r="R44" s="173">
        <f>IFERROR(1-SUMIF(Grid_BD!$F:$F,$A44,Grid_BD!$Y:$Y)/($AA44+SUMIF(Grid_BD!$F:$F,$A44,Grid_BD!$Y:$Y)),"")</f>
        <v>1</v>
      </c>
      <c r="S44" s="167"/>
      <c r="T44" s="172"/>
      <c r="U44" s="173"/>
      <c r="V44" s="167"/>
      <c r="W44" s="174">
        <f t="shared" si="6"/>
        <v>0.20219017094017092</v>
      </c>
      <c r="X44" s="167">
        <f>IFERROR(_xlfn.XLOOKUP($A44,Input_Raw!$A:$A,Input_Raw!$BF:$BF),"")</f>
        <v>352993</v>
      </c>
      <c r="Y44" s="167">
        <f>IFERROR(_xlfn.XLOOKUP($A44,Input_Raw!$A:$A,Input_Raw!BJ:BJ),"")</f>
        <v>341550</v>
      </c>
      <c r="Z44" s="167">
        <f>IFERROR(_xlfn.XLOOKUP($A44,Input_Raw!$A:$A,Input_Raw!BK:BK),"")</f>
        <v>900</v>
      </c>
      <c r="AA44" s="167">
        <f>IFERROR(_xlfn.XLOOKUP($A44,Input_Raw!$A:$A,Input_Raw!BL:BL),"")</f>
        <v>340650</v>
      </c>
      <c r="AB44" s="167">
        <f>IFERROR(_xlfn.XLOOKUP($A44,Input_Raw!$A:$A,Input_Raw!$BO:$BO),"")</f>
        <v>70.2</v>
      </c>
      <c r="AC44" s="176">
        <f>IFERROR(_xlfn.XLOOKUP($D44,'Modelling New'!$D:$D,'Modelling New'!$J:$J),"")</f>
        <v>7.19</v>
      </c>
      <c r="AD44" s="166">
        <f>IFERROR(_xlfn.XLOOKUP($D44,'Modelling New'!$D:$D,'Modelling New'!$T:$T)*1000,"")</f>
        <v>908711.4041379313</v>
      </c>
      <c r="AE44" s="174"/>
      <c r="AF44" s="174">
        <f>IFERROR(_xlfn.XLOOKUP($D44,'Modelling New'!$D:$D,'Modelling New'!$W:$W),"")</f>
        <v>0.53935862068965523</v>
      </c>
      <c r="AG44" s="174">
        <f>IFERROR(_xlfn.XLOOKUP($D44,'Modelling New'!$D:$D,'Modelling New'!$AE:$AE),"")</f>
        <v>0.96029999999999993</v>
      </c>
      <c r="AH44" s="174">
        <f>IFERROR(_xlfn.XLOOKUP($D44,'Modelling New'!$D:$D,'Modelling New'!$AF:$AF),"")</f>
        <v>0.995</v>
      </c>
      <c r="AI44" s="177">
        <f>IFERROR(_xlfn.XLOOKUP($A44,Input_Raw!$A:$A,Input_Raw!$BQ:$BQ),"")</f>
        <v>361.29</v>
      </c>
      <c r="AJ44" s="167"/>
      <c r="AK44" s="167"/>
      <c r="AL44" s="167"/>
      <c r="AM44" s="167"/>
      <c r="AN44" s="175">
        <f>IFERROR(_xlfn.XLOOKUP($A44,Input_Raw!$A:$A,Input_Raw!$BN:$BN),"")</f>
        <v>3.2417073426385223E-2</v>
      </c>
      <c r="AO44" s="174">
        <f>IFERROR((_xlfn.XLOOKUP($A44,'WTG Reactive Power'!$A:$A,'WTG Reactive Power'!$AE:$AE))/Table13[[#This Row],[Gen_Exp (kWh)]],"")</f>
        <v>2.5492290215386715E-3</v>
      </c>
      <c r="AP44" s="174">
        <f>IFERROR(_xlfn.XLOOKUP($D44,'Modelling New'!$D:$D,'Modelling New'!$AK:$AK),"")</f>
        <v>0.05</v>
      </c>
      <c r="AQ44" s="174">
        <f>IFERROR(_xlfn.XLOOKUP($D44,'Modelling New'!$D:$D,'Modelling New'!$AL:$AL),"")</f>
        <v>0.05</v>
      </c>
      <c r="AR44" s="276">
        <f>IFERROR(_xlfn.XLOOKUP($D44,'Modelling New'!$D:$D,'Modelling New'!$N:$N),"")</f>
        <v>70.2</v>
      </c>
      <c r="AS44" s="276"/>
    </row>
    <row r="45" spans="1:45">
      <c r="A45" s="165">
        <f t="shared" si="7"/>
        <v>45788</v>
      </c>
      <c r="B45" s="166">
        <f>YEAR(Table13[[#This Row],[Date]])+IF(MONTH(Table13[[#This Row],[Date]])&gt;=4,1,0)</f>
        <v>2026</v>
      </c>
      <c r="C45" s="167">
        <f>YEAR(Table13[[#This Row],[Date]])</f>
        <v>2025</v>
      </c>
      <c r="D45" s="168">
        <f>Table13[[#This Row],[Date]]-DAY(Table13[[#This Row],[Date]])+1</f>
        <v>45778</v>
      </c>
      <c r="E45" s="167">
        <f t="shared" si="4"/>
        <v>31</v>
      </c>
      <c r="F45" s="169"/>
      <c r="G45" s="176"/>
      <c r="H45" s="176"/>
      <c r="I45" s="176"/>
      <c r="J45" s="176"/>
      <c r="K45" s="171"/>
      <c r="L45" s="170"/>
      <c r="M45" s="170">
        <f>IFERROR(_xlfn.XLOOKUP($A45,Input_Raw!$A:$A,Input_Raw!BG:BG),"")</f>
        <v>4.7261538461538457</v>
      </c>
      <c r="N45" s="170">
        <f>IFERROR(_xlfn.XLOOKUP($A45,Input_Raw!$A:$A,Input_Raw!BH:BH),"")</f>
        <v>0</v>
      </c>
      <c r="O45" s="173">
        <f t="shared" si="5"/>
        <v>0.95264088273342973</v>
      </c>
      <c r="P45" s="173">
        <f>IFERROR(1-SUMIF(WTG_BD!$F:$F,$A45,WTG_BD!$AA:$AA)/($AA45+SUMIF(WTG_BD!$F:$F,$A45,WTG_BD!$AA:$AA)),"")</f>
        <v>0.9788940053376336</v>
      </c>
      <c r="Q45" s="173">
        <f>IFERROR(1-SUMIF(IGA_BD!$F:$F,$A45,IGA_BD!$X:$X)/($AA45+SUMIF(IGA_BD!$F:$F,$A45,IGA_BD!$X:$X)),"")</f>
        <v>0.97318083218300144</v>
      </c>
      <c r="R45" s="173">
        <f>IFERROR(1-SUMIF(Grid_BD!$F:$F,$A45,Grid_BD!$Y:$Y)/($AA45+SUMIF(Grid_BD!$F:$F,$A45,Grid_BD!$Y:$Y)),"")</f>
        <v>1</v>
      </c>
      <c r="S45" s="167"/>
      <c r="T45" s="172"/>
      <c r="U45" s="173"/>
      <c r="V45" s="167"/>
      <c r="W45" s="174">
        <f t="shared" si="6"/>
        <v>0.17574786324786323</v>
      </c>
      <c r="X45" s="167">
        <f>IFERROR(_xlfn.XLOOKUP($A45,Input_Raw!$A:$A,Input_Raw!$BF:$BF),"")</f>
        <v>305561</v>
      </c>
      <c r="Y45" s="167">
        <f>IFERROR(_xlfn.XLOOKUP($A45,Input_Raw!$A:$A,Input_Raw!BJ:BJ),"")</f>
        <v>296550</v>
      </c>
      <c r="Z45" s="167">
        <f>IFERROR(_xlfn.XLOOKUP($A45,Input_Raw!$A:$A,Input_Raw!BK:BK),"")</f>
        <v>450</v>
      </c>
      <c r="AA45" s="167">
        <f>IFERROR(_xlfn.XLOOKUP($A45,Input_Raw!$A:$A,Input_Raw!BL:BL),"")</f>
        <v>296100</v>
      </c>
      <c r="AB45" s="167">
        <f>IFERROR(_xlfn.XLOOKUP($A45,Input_Raw!$A:$A,Input_Raw!$BO:$BO),"")</f>
        <v>70.2</v>
      </c>
      <c r="AC45" s="176">
        <f>IFERROR(_xlfn.XLOOKUP($D45,'Modelling New'!$D:$D,'Modelling New'!$J:$J),"")</f>
        <v>7.19</v>
      </c>
      <c r="AD45" s="166">
        <f>IFERROR(_xlfn.XLOOKUP($D45,'Modelling New'!$D:$D,'Modelling New'!$T:$T)*1000,"")</f>
        <v>908711.4041379313</v>
      </c>
      <c r="AE45" s="174"/>
      <c r="AF45" s="174">
        <f>IFERROR(_xlfn.XLOOKUP($D45,'Modelling New'!$D:$D,'Modelling New'!$W:$W),"")</f>
        <v>0.53935862068965523</v>
      </c>
      <c r="AG45" s="174">
        <f>IFERROR(_xlfn.XLOOKUP($D45,'Modelling New'!$D:$D,'Modelling New'!$AE:$AE),"")</f>
        <v>0.96029999999999993</v>
      </c>
      <c r="AH45" s="174">
        <f>IFERROR(_xlfn.XLOOKUP($D45,'Modelling New'!$D:$D,'Modelling New'!$AF:$AF),"")</f>
        <v>0.995</v>
      </c>
      <c r="AI45" s="177">
        <f>IFERROR(_xlfn.XLOOKUP($A45,Input_Raw!$A:$A,Input_Raw!$BQ:$BQ),"")</f>
        <v>313.27999999999997</v>
      </c>
      <c r="AJ45" s="167"/>
      <c r="AK45" s="167"/>
      <c r="AL45" s="167"/>
      <c r="AM45" s="167"/>
      <c r="AN45" s="175">
        <f>IFERROR(_xlfn.XLOOKUP($A45,Input_Raw!$A:$A,Input_Raw!$BN:$BN),"")</f>
        <v>2.9490019996007345E-2</v>
      </c>
      <c r="AO45" s="174">
        <f>IFERROR((_xlfn.XLOOKUP($A45,'WTG Reactive Power'!$A:$A,'WTG Reactive Power'!$AE:$AE))/Table13[[#This Row],[Gen_Exp (kWh)]],"")</f>
        <v>1.4720464980805803E-3</v>
      </c>
      <c r="AP45" s="174">
        <f>IFERROR(_xlfn.XLOOKUP($D45,'Modelling New'!$D:$D,'Modelling New'!$AK:$AK),"")</f>
        <v>0.05</v>
      </c>
      <c r="AQ45" s="174">
        <f>IFERROR(_xlfn.XLOOKUP($D45,'Modelling New'!$D:$D,'Modelling New'!$AL:$AL),"")</f>
        <v>0.05</v>
      </c>
      <c r="AR45" s="276">
        <f>IFERROR(_xlfn.XLOOKUP($D45,'Modelling New'!$D:$D,'Modelling New'!$N:$N),"")</f>
        <v>70.2</v>
      </c>
      <c r="AS45" s="276"/>
    </row>
    <row r="46" spans="1:45">
      <c r="A46" s="165">
        <f t="shared" si="7"/>
        <v>45789</v>
      </c>
      <c r="B46" s="166">
        <f>YEAR(Table13[[#This Row],[Date]])+IF(MONTH(Table13[[#This Row],[Date]])&gt;=4,1,0)</f>
        <v>2026</v>
      </c>
      <c r="C46" s="167">
        <f>YEAR(Table13[[#This Row],[Date]])</f>
        <v>2025</v>
      </c>
      <c r="D46" s="168">
        <f>Table13[[#This Row],[Date]]-DAY(Table13[[#This Row],[Date]])+1</f>
        <v>45778</v>
      </c>
      <c r="E46" s="167">
        <f t="shared" si="4"/>
        <v>31</v>
      </c>
      <c r="F46" s="169"/>
      <c r="G46" s="170"/>
      <c r="H46" s="170"/>
      <c r="I46" s="170"/>
      <c r="J46" s="170"/>
      <c r="K46" s="171"/>
      <c r="L46" s="170"/>
      <c r="M46" s="170">
        <f>IFERROR(_xlfn.XLOOKUP($A46,Input_Raw!$A:$A,Input_Raw!BG:BG),"")</f>
        <v>4.9300000000000006</v>
      </c>
      <c r="N46" s="170">
        <f>IFERROR(_xlfn.XLOOKUP($A46,Input_Raw!$A:$A,Input_Raw!BH:BH),"")</f>
        <v>0</v>
      </c>
      <c r="O46" s="173">
        <f t="shared" si="5"/>
        <v>0.97078726672190208</v>
      </c>
      <c r="P46" s="173">
        <f>IFERROR(1-SUMIF(WTG_BD!$F:$F,$A46,WTG_BD!$AA:$AA)/($AA46+SUMIF(WTG_BD!$F:$F,$A46,WTG_BD!$AA:$AA)),"")</f>
        <v>0.99444148195287763</v>
      </c>
      <c r="Q46" s="173">
        <f>IFERROR(1-SUMIF(IGA_BD!$F:$F,$A46,IGA_BD!$X:$X)/($AA46+SUMIF(IGA_BD!$F:$F,$A46,IGA_BD!$X:$X)),"")</f>
        <v>0.97621356745444332</v>
      </c>
      <c r="R46" s="173">
        <f>IFERROR(1-SUMIF(Grid_BD!$F:$F,$A46,Grid_BD!$Y:$Y)/($AA46+SUMIF(Grid_BD!$F:$F,$A46,Grid_BD!$Y:$Y)),"")</f>
        <v>1</v>
      </c>
      <c r="S46" s="167"/>
      <c r="T46" s="172"/>
      <c r="U46" s="173"/>
      <c r="V46" s="167"/>
      <c r="W46" s="174">
        <f t="shared" si="6"/>
        <v>0.18162393162393159</v>
      </c>
      <c r="X46" s="167">
        <f>IFERROR(_xlfn.XLOOKUP($A46,Input_Raw!$A:$A,Input_Raw!$BF:$BF),"")</f>
        <v>314946</v>
      </c>
      <c r="Y46" s="167">
        <f>IFERROR(_xlfn.XLOOKUP($A46,Input_Raw!$A:$A,Input_Raw!BJ:BJ),"")</f>
        <v>306000</v>
      </c>
      <c r="Z46" s="167">
        <f>IFERROR(_xlfn.XLOOKUP($A46,Input_Raw!$A:$A,Input_Raw!BK:BK),"")</f>
        <v>0</v>
      </c>
      <c r="AA46" s="167">
        <f>IFERROR(_xlfn.XLOOKUP($A46,Input_Raw!$A:$A,Input_Raw!BL:BL),"")</f>
        <v>306000</v>
      </c>
      <c r="AB46" s="167">
        <f>IFERROR(_xlfn.XLOOKUP($A46,Input_Raw!$A:$A,Input_Raw!$BO:$BO),"")</f>
        <v>70.2</v>
      </c>
      <c r="AC46" s="176">
        <f>IFERROR(_xlfn.XLOOKUP($D46,'Modelling New'!$D:$D,'Modelling New'!$J:$J),"")</f>
        <v>7.19</v>
      </c>
      <c r="AD46" s="166">
        <f>IFERROR(_xlfn.XLOOKUP($D46,'Modelling New'!$D:$D,'Modelling New'!$T:$T)*1000,"")</f>
        <v>908711.4041379313</v>
      </c>
      <c r="AE46" s="174"/>
      <c r="AF46" s="174">
        <f>IFERROR(_xlfn.XLOOKUP($D46,'Modelling New'!$D:$D,'Modelling New'!$W:$W),"")</f>
        <v>0.53935862068965523</v>
      </c>
      <c r="AG46" s="174">
        <f>IFERROR(_xlfn.XLOOKUP($D46,'Modelling New'!$D:$D,'Modelling New'!$AE:$AE),"")</f>
        <v>0.96029999999999993</v>
      </c>
      <c r="AH46" s="174">
        <f>IFERROR(_xlfn.XLOOKUP($D46,'Modelling New'!$D:$D,'Modelling New'!$AF:$AF),"")</f>
        <v>0.995</v>
      </c>
      <c r="AI46" s="177">
        <f>IFERROR(_xlfn.XLOOKUP($A46,Input_Raw!$A:$A,Input_Raw!$BQ:$BQ),"")</f>
        <v>314.91000000000003</v>
      </c>
      <c r="AJ46" s="167"/>
      <c r="AK46" s="167"/>
      <c r="AL46" s="167"/>
      <c r="AM46" s="167"/>
      <c r="AN46" s="175">
        <f>IFERROR(_xlfn.XLOOKUP($A46,Input_Raw!$A:$A,Input_Raw!$BN:$BN),"")</f>
        <v>2.8404869406183916E-2</v>
      </c>
      <c r="AO46" s="174">
        <f>IFERROR((_xlfn.XLOOKUP($A46,'WTG Reactive Power'!$A:$A,'WTG Reactive Power'!$AE:$AE))/Table13[[#This Row],[Gen_Exp (kWh)]],"")</f>
        <v>2.8571882163926521E-3</v>
      </c>
      <c r="AP46" s="174">
        <f>IFERROR(_xlfn.XLOOKUP($D46,'Modelling New'!$D:$D,'Modelling New'!$AK:$AK),"")</f>
        <v>0.05</v>
      </c>
      <c r="AQ46" s="174">
        <f>IFERROR(_xlfn.XLOOKUP($D46,'Modelling New'!$D:$D,'Modelling New'!$AL:$AL),"")</f>
        <v>0.05</v>
      </c>
      <c r="AR46" s="276">
        <f>IFERROR(_xlfn.XLOOKUP($D46,'Modelling New'!$D:$D,'Modelling New'!$N:$N),"")</f>
        <v>70.2</v>
      </c>
      <c r="AS46" s="276"/>
    </row>
    <row r="47" spans="1:45">
      <c r="A47" s="165">
        <f t="shared" si="7"/>
        <v>45790</v>
      </c>
      <c r="B47" s="166">
        <f>YEAR(Table13[[#This Row],[Date]])+IF(MONTH(Table13[[#This Row],[Date]])&gt;=4,1,0)</f>
        <v>2026</v>
      </c>
      <c r="C47" s="167">
        <f>YEAR(Table13[[#This Row],[Date]])</f>
        <v>2025</v>
      </c>
      <c r="D47" s="168">
        <f>Table13[[#This Row],[Date]]-DAY(Table13[[#This Row],[Date]])+1</f>
        <v>45778</v>
      </c>
      <c r="E47" s="167">
        <f t="shared" si="4"/>
        <v>31</v>
      </c>
      <c r="F47" s="169"/>
      <c r="G47" s="176"/>
      <c r="H47" s="176"/>
      <c r="I47" s="176"/>
      <c r="J47" s="176"/>
      <c r="K47" s="171"/>
      <c r="L47" s="170"/>
      <c r="M47" s="170">
        <f>IFERROR(_xlfn.XLOOKUP($A47,Input_Raw!$A:$A,Input_Raw!BG:BG),"")</f>
        <v>5.2229000333455513</v>
      </c>
      <c r="N47" s="170">
        <f>IFERROR(_xlfn.XLOOKUP($A47,Input_Raw!$A:$A,Input_Raw!BH:BH),"")</f>
        <v>0</v>
      </c>
      <c r="O47" s="173">
        <f t="shared" si="5"/>
        <v>0.98289613996494951</v>
      </c>
      <c r="P47" s="173">
        <f>IFERROR(1-SUMIF(WTG_BD!$F:$F,$A47,WTG_BD!$AA:$AA)/($AA47+SUMIF(WTG_BD!$F:$F,$A47,WTG_BD!$AA:$AA)),"")</f>
        <v>0.98464104216609361</v>
      </c>
      <c r="Q47" s="173">
        <f>IFERROR(1-SUMIF(IGA_BD!$F:$F,$A47,IGA_BD!$X:$X)/($AA47+SUMIF(IGA_BD!$F:$F,$A47,IGA_BD!$X:$X)),"")</f>
        <v>0.99822787988066641</v>
      </c>
      <c r="R47" s="173">
        <f>IFERROR(1-SUMIF(Grid_BD!$F:$F,$A47,Grid_BD!$Y:$Y)/($AA47+SUMIF(Grid_BD!$F:$F,$A47,Grid_BD!$Y:$Y)),"")</f>
        <v>1</v>
      </c>
      <c r="S47" s="167"/>
      <c r="T47" s="172"/>
      <c r="U47" s="173"/>
      <c r="V47" s="167"/>
      <c r="W47" s="174">
        <f t="shared" si="6"/>
        <v>0.23798076923076919</v>
      </c>
      <c r="X47" s="167">
        <f>IFERROR(_xlfn.XLOOKUP($A47,Input_Raw!$A:$A,Input_Raw!$BF:$BF),"")</f>
        <v>415674</v>
      </c>
      <c r="Y47" s="167">
        <f>IFERROR(_xlfn.XLOOKUP($A47,Input_Raw!$A:$A,Input_Raw!BJ:BJ),"")</f>
        <v>400950</v>
      </c>
      <c r="Z47" s="167">
        <f>IFERROR(_xlfn.XLOOKUP($A47,Input_Raw!$A:$A,Input_Raw!BK:BK),"")</f>
        <v>0</v>
      </c>
      <c r="AA47" s="167">
        <f>IFERROR(_xlfn.XLOOKUP($A47,Input_Raw!$A:$A,Input_Raw!BL:BL),"")</f>
        <v>400950</v>
      </c>
      <c r="AB47" s="167">
        <f>IFERROR(_xlfn.XLOOKUP($A47,Input_Raw!$A:$A,Input_Raw!$BO:$BO),"")</f>
        <v>70.2</v>
      </c>
      <c r="AC47" s="176">
        <f>IFERROR(_xlfn.XLOOKUP($D47,'Modelling New'!$D:$D,'Modelling New'!$J:$J),"")</f>
        <v>7.19</v>
      </c>
      <c r="AD47" s="166">
        <f>IFERROR(_xlfn.XLOOKUP($D47,'Modelling New'!$D:$D,'Modelling New'!$T:$T)*1000,"")</f>
        <v>908711.4041379313</v>
      </c>
      <c r="AE47" s="174"/>
      <c r="AF47" s="174">
        <f>IFERROR(_xlfn.XLOOKUP($D47,'Modelling New'!$D:$D,'Modelling New'!$W:$W),"")</f>
        <v>0.53935862068965523</v>
      </c>
      <c r="AG47" s="174">
        <f>IFERROR(_xlfn.XLOOKUP($D47,'Modelling New'!$D:$D,'Modelling New'!$AE:$AE),"")</f>
        <v>0.96029999999999993</v>
      </c>
      <c r="AH47" s="174">
        <f>IFERROR(_xlfn.XLOOKUP($D47,'Modelling New'!$D:$D,'Modelling New'!$AF:$AF),"")</f>
        <v>0.995</v>
      </c>
      <c r="AI47" s="177">
        <f>IFERROR(_xlfn.XLOOKUP($A47,Input_Raw!$A:$A,Input_Raw!$BQ:$BQ),"")</f>
        <v>410.17</v>
      </c>
      <c r="AJ47" s="167"/>
      <c r="AK47" s="167"/>
      <c r="AL47" s="167"/>
      <c r="AM47" s="167"/>
      <c r="AN47" s="175">
        <f>IFERROR(_xlfn.XLOOKUP($A47,Input_Raw!$A:$A,Input_Raw!$BN:$BN),"")</f>
        <v>3.5421989347421294E-2</v>
      </c>
      <c r="AO47" s="174">
        <f>IFERROR((_xlfn.XLOOKUP($A47,'WTG Reactive Power'!$A:$A,'WTG Reactive Power'!$AE:$AE))/Table13[[#This Row],[Gen_Exp (kWh)]],"")</f>
        <v>3.2475449510914805E-3</v>
      </c>
      <c r="AP47" s="174">
        <f>IFERROR(_xlfn.XLOOKUP($D47,'Modelling New'!$D:$D,'Modelling New'!$AK:$AK),"")</f>
        <v>0.05</v>
      </c>
      <c r="AQ47" s="174">
        <f>IFERROR(_xlfn.XLOOKUP($D47,'Modelling New'!$D:$D,'Modelling New'!$AL:$AL),"")</f>
        <v>0.05</v>
      </c>
      <c r="AR47" s="276">
        <f>IFERROR(_xlfn.XLOOKUP($D47,'Modelling New'!$D:$D,'Modelling New'!$N:$N),"")</f>
        <v>70.2</v>
      </c>
      <c r="AS47" s="276"/>
    </row>
    <row r="48" spans="1:45">
      <c r="A48" s="165">
        <f t="shared" si="7"/>
        <v>45791</v>
      </c>
      <c r="B48" s="166">
        <f>YEAR(Table13[[#This Row],[Date]])+IF(MONTH(Table13[[#This Row],[Date]])&gt;=4,1,0)</f>
        <v>2026</v>
      </c>
      <c r="C48" s="167">
        <f>YEAR(Table13[[#This Row],[Date]])</f>
        <v>2025</v>
      </c>
      <c r="D48" s="168">
        <f>Table13[[#This Row],[Date]]-DAY(Table13[[#This Row],[Date]])+1</f>
        <v>45778</v>
      </c>
      <c r="E48" s="167">
        <f t="shared" si="4"/>
        <v>31</v>
      </c>
      <c r="F48" s="169"/>
      <c r="G48" s="170"/>
      <c r="H48" s="170"/>
      <c r="I48" s="170"/>
      <c r="J48" s="170"/>
      <c r="K48" s="171"/>
      <c r="L48" s="170"/>
      <c r="M48" s="170">
        <f>IFERROR(_xlfn.XLOOKUP($A48,Input_Raw!$A:$A,Input_Raw!BG:BG),"")</f>
        <v>5.1362116483646725</v>
      </c>
      <c r="N48" s="170">
        <f>IFERROR(_xlfn.XLOOKUP($A48,Input_Raw!$A:$A,Input_Raw!BH:BH),"")</f>
        <v>0</v>
      </c>
      <c r="O48" s="173">
        <f t="shared" si="5"/>
        <v>0.98826091654161841</v>
      </c>
      <c r="P48" s="173">
        <f>IFERROR(1-SUMIF(WTG_BD!$F:$F,$A48,WTG_BD!$AA:$AA)/($AA48+SUMIF(WTG_BD!$F:$F,$A48,WTG_BD!$AA:$AA)),"")</f>
        <v>0.99009966831435392</v>
      </c>
      <c r="Q48" s="173">
        <f>IFERROR(1-SUMIF(IGA_BD!$F:$F,$A48,IGA_BD!$X:$X)/($AA48+SUMIF(IGA_BD!$F:$F,$A48,IGA_BD!$X:$X)),"")</f>
        <v>0.99814286194452928</v>
      </c>
      <c r="R48" s="173">
        <f>IFERROR(1-SUMIF(Grid_BD!$F:$F,$A48,Grid_BD!$Y:$Y)/($AA48+SUMIF(Grid_BD!$F:$F,$A48,Grid_BD!$Y:$Y)),"")</f>
        <v>1</v>
      </c>
      <c r="S48" s="167"/>
      <c r="T48" s="172"/>
      <c r="U48" s="173"/>
      <c r="V48" s="167"/>
      <c r="W48" s="174">
        <f t="shared" si="6"/>
        <v>0.23504273504273501</v>
      </c>
      <c r="X48" s="167">
        <f>IFERROR(_xlfn.XLOOKUP($A48,Input_Raw!$A:$A,Input_Raw!$BF:$BF),"")</f>
        <v>410395</v>
      </c>
      <c r="Y48" s="167">
        <f>IFERROR(_xlfn.XLOOKUP($A48,Input_Raw!$A:$A,Input_Raw!BJ:BJ),"")</f>
        <v>396450</v>
      </c>
      <c r="Z48" s="167">
        <f>IFERROR(_xlfn.XLOOKUP($A48,Input_Raw!$A:$A,Input_Raw!BK:BK),"")</f>
        <v>450</v>
      </c>
      <c r="AA48" s="167">
        <f>IFERROR(_xlfn.XLOOKUP($A48,Input_Raw!$A:$A,Input_Raw!BL:BL),"")</f>
        <v>396000</v>
      </c>
      <c r="AB48" s="167">
        <f>IFERROR(_xlfn.XLOOKUP($A48,Input_Raw!$A:$A,Input_Raw!$BO:$BO),"")</f>
        <v>70.2</v>
      </c>
      <c r="AC48" s="176">
        <f>IFERROR(_xlfn.XLOOKUP($D48,'Modelling New'!$D:$D,'Modelling New'!$J:$J),"")</f>
        <v>7.19</v>
      </c>
      <c r="AD48" s="166">
        <f>IFERROR(_xlfn.XLOOKUP($D48,'Modelling New'!$D:$D,'Modelling New'!$T:$T)*1000,"")</f>
        <v>908711.4041379313</v>
      </c>
      <c r="AE48" s="174"/>
      <c r="AF48" s="174">
        <f>IFERROR(_xlfn.XLOOKUP($D48,'Modelling New'!$D:$D,'Modelling New'!$W:$W),"")</f>
        <v>0.53935862068965523</v>
      </c>
      <c r="AG48" s="174">
        <f>IFERROR(_xlfn.XLOOKUP($D48,'Modelling New'!$D:$D,'Modelling New'!$AE:$AE),"")</f>
        <v>0.96029999999999993</v>
      </c>
      <c r="AH48" s="174">
        <f>IFERROR(_xlfn.XLOOKUP($D48,'Modelling New'!$D:$D,'Modelling New'!$AF:$AF),"")</f>
        <v>0.995</v>
      </c>
      <c r="AI48" s="177">
        <f>IFERROR(_xlfn.XLOOKUP($A48,Input_Raw!$A:$A,Input_Raw!$BQ:$BQ),"")</f>
        <v>415.16</v>
      </c>
      <c r="AJ48" s="167"/>
      <c r="AK48" s="167"/>
      <c r="AL48" s="167"/>
      <c r="AM48" s="167"/>
      <c r="AN48" s="175">
        <f>IFERROR(_xlfn.XLOOKUP($A48,Input_Raw!$A:$A,Input_Raw!$BN:$BN),"")</f>
        <v>3.3979458814069372E-2</v>
      </c>
      <c r="AO48" s="174">
        <f>IFERROR((_xlfn.XLOOKUP($A48,'WTG Reactive Power'!$A:$A,'WTG Reactive Power'!$AE:$AE))/Table13[[#This Row],[Gen_Exp (kWh)]],"")</f>
        <v>3.2893188269837595E-3</v>
      </c>
      <c r="AP48" s="174">
        <f>IFERROR(_xlfn.XLOOKUP($D48,'Modelling New'!$D:$D,'Modelling New'!$AK:$AK),"")</f>
        <v>0.05</v>
      </c>
      <c r="AQ48" s="174">
        <f>IFERROR(_xlfn.XLOOKUP($D48,'Modelling New'!$D:$D,'Modelling New'!$AL:$AL),"")</f>
        <v>0.05</v>
      </c>
      <c r="AR48" s="276">
        <f>IFERROR(_xlfn.XLOOKUP($D48,'Modelling New'!$D:$D,'Modelling New'!$N:$N),"")</f>
        <v>70.2</v>
      </c>
      <c r="AS48" s="276"/>
    </row>
    <row r="49" spans="1:45">
      <c r="A49" s="165">
        <f t="shared" si="7"/>
        <v>45792</v>
      </c>
      <c r="B49" s="166">
        <f>YEAR(Table13[[#This Row],[Date]])+IF(MONTH(Table13[[#This Row],[Date]])&gt;=4,1,0)</f>
        <v>2026</v>
      </c>
      <c r="C49" s="167">
        <f>YEAR(Table13[[#This Row],[Date]])</f>
        <v>2025</v>
      </c>
      <c r="D49" s="168">
        <f>Table13[[#This Row],[Date]]-DAY(Table13[[#This Row],[Date]])+1</f>
        <v>45778</v>
      </c>
      <c r="E49" s="167">
        <f t="shared" si="4"/>
        <v>31</v>
      </c>
      <c r="F49" s="169"/>
      <c r="G49" s="176"/>
      <c r="H49" s="176"/>
      <c r="I49" s="176"/>
      <c r="J49" s="176"/>
      <c r="K49" s="171"/>
      <c r="L49" s="170"/>
      <c r="M49" s="170">
        <f>IFERROR(_xlfn.XLOOKUP($A49,Input_Raw!$A:$A,Input_Raw!BG:BG),"")</f>
        <v>4.5068744442425146</v>
      </c>
      <c r="N49" s="170">
        <f>IFERROR(_xlfn.XLOOKUP($A49,Input_Raw!$A:$A,Input_Raw!BH:BH),"")</f>
        <v>0</v>
      </c>
      <c r="O49" s="173">
        <f t="shared" si="5"/>
        <v>0.94271828125014401</v>
      </c>
      <c r="P49" s="173">
        <f>IFERROR(1-SUMIF(WTG_BD!$F:$F,$A49,WTG_BD!$AA:$AA)/($AA49+SUMIF(WTG_BD!$F:$F,$A49,WTG_BD!$AA:$AA)),"")</f>
        <v>0.95975602925319947</v>
      </c>
      <c r="Q49" s="173">
        <f>IFERROR(1-SUMIF(IGA_BD!$F:$F,$A49,IGA_BD!$X:$X)/($AA49+SUMIF(IGA_BD!$F:$F,$A49,IGA_BD!$X:$X)),"")</f>
        <v>0.98224783436232976</v>
      </c>
      <c r="R49" s="173">
        <f>IFERROR(1-SUMIF(Grid_BD!$F:$F,$A49,Grid_BD!$Y:$Y)/($AA49+SUMIF(Grid_BD!$F:$F,$A49,Grid_BD!$Y:$Y)),"")</f>
        <v>1</v>
      </c>
      <c r="S49" s="167"/>
      <c r="T49" s="172"/>
      <c r="U49" s="173"/>
      <c r="V49" s="167"/>
      <c r="W49" s="174">
        <f t="shared" si="6"/>
        <v>0.14743589743589741</v>
      </c>
      <c r="X49" s="167">
        <f>IFERROR(_xlfn.XLOOKUP($A49,Input_Raw!$A:$A,Input_Raw!$BF:$BF),"")</f>
        <v>258268</v>
      </c>
      <c r="Y49" s="167">
        <f>IFERROR(_xlfn.XLOOKUP($A49,Input_Raw!$A:$A,Input_Raw!BJ:BJ),"")</f>
        <v>248850</v>
      </c>
      <c r="Z49" s="167">
        <f>IFERROR(_xlfn.XLOOKUP($A49,Input_Raw!$A:$A,Input_Raw!BK:BK),"")</f>
        <v>450</v>
      </c>
      <c r="AA49" s="167">
        <f>IFERROR(_xlfn.XLOOKUP($A49,Input_Raw!$A:$A,Input_Raw!BL:BL),"")</f>
        <v>248400</v>
      </c>
      <c r="AB49" s="167">
        <f>IFERROR(_xlfn.XLOOKUP($A49,Input_Raw!$A:$A,Input_Raw!$BO:$BO),"")</f>
        <v>70.2</v>
      </c>
      <c r="AC49" s="176">
        <f>IFERROR(_xlfn.XLOOKUP($D49,'Modelling New'!$D:$D,'Modelling New'!$J:$J),"")</f>
        <v>7.19</v>
      </c>
      <c r="AD49" s="166">
        <f>IFERROR(_xlfn.XLOOKUP($D49,'Modelling New'!$D:$D,'Modelling New'!$T:$T)*1000,"")</f>
        <v>908711.4041379313</v>
      </c>
      <c r="AE49" s="174"/>
      <c r="AF49" s="174">
        <f>IFERROR(_xlfn.XLOOKUP($D49,'Modelling New'!$D:$D,'Modelling New'!$W:$W),"")</f>
        <v>0.53935862068965523</v>
      </c>
      <c r="AG49" s="174">
        <f>IFERROR(_xlfn.XLOOKUP($D49,'Modelling New'!$D:$D,'Modelling New'!$AE:$AE),"")</f>
        <v>0.96029999999999993</v>
      </c>
      <c r="AH49" s="174">
        <f>IFERROR(_xlfn.XLOOKUP($D49,'Modelling New'!$D:$D,'Modelling New'!$AF:$AF),"")</f>
        <v>0.995</v>
      </c>
      <c r="AI49" s="177">
        <f>IFERROR(_xlfn.XLOOKUP($A49,Input_Raw!$A:$A,Input_Raw!$BQ:$BQ),"")</f>
        <v>270.48</v>
      </c>
      <c r="AJ49" s="167"/>
      <c r="AK49" s="167"/>
      <c r="AL49" s="167"/>
      <c r="AM49" s="167"/>
      <c r="AN49" s="175">
        <f>IFERROR(_xlfn.XLOOKUP($A49,Input_Raw!$A:$A,Input_Raw!$BN:$BN),"")</f>
        <v>3.6465996561711088E-2</v>
      </c>
      <c r="AO49" s="174">
        <f>IFERROR((_xlfn.XLOOKUP($A49,'WTG Reactive Power'!$A:$A,'WTG Reactive Power'!$AE:$AE))/Table13[[#This Row],[Gen_Exp (kWh)]],"")</f>
        <v>1.2196245760218074E-2</v>
      </c>
      <c r="AP49" s="174">
        <f>IFERROR(_xlfn.XLOOKUP($D49,'Modelling New'!$D:$D,'Modelling New'!$AK:$AK),"")</f>
        <v>0.05</v>
      </c>
      <c r="AQ49" s="174">
        <f>IFERROR(_xlfn.XLOOKUP($D49,'Modelling New'!$D:$D,'Modelling New'!$AL:$AL),"")</f>
        <v>0.05</v>
      </c>
      <c r="AR49" s="276">
        <f>IFERROR(_xlfn.XLOOKUP($D49,'Modelling New'!$D:$D,'Modelling New'!$N:$N),"")</f>
        <v>70.2</v>
      </c>
      <c r="AS49" s="276"/>
    </row>
    <row r="50" spans="1:45">
      <c r="A50" s="165">
        <f t="shared" si="7"/>
        <v>45793</v>
      </c>
      <c r="B50" s="166">
        <f>YEAR(Table13[[#This Row],[Date]])+IF(MONTH(Table13[[#This Row],[Date]])&gt;=4,1,0)</f>
        <v>2026</v>
      </c>
      <c r="C50" s="167">
        <f>YEAR(Table13[[#This Row],[Date]])</f>
        <v>2025</v>
      </c>
      <c r="D50" s="168">
        <f>Table13[[#This Row],[Date]]-DAY(Table13[[#This Row],[Date]])+1</f>
        <v>45778</v>
      </c>
      <c r="E50" s="167">
        <f t="shared" si="4"/>
        <v>31</v>
      </c>
      <c r="F50" s="169"/>
      <c r="G50" s="170"/>
      <c r="H50" s="170"/>
      <c r="I50" s="170"/>
      <c r="J50" s="170"/>
      <c r="K50" s="171"/>
      <c r="L50" s="170"/>
      <c r="M50" s="170">
        <f>IFERROR(_xlfn.XLOOKUP($A50,Input_Raw!$A:$A,Input_Raw!BG:BG),"")</f>
        <v>5.4679982613248184</v>
      </c>
      <c r="N50" s="170">
        <f>IFERROR(_xlfn.XLOOKUP($A50,Input_Raw!$A:$A,Input_Raw!BH:BH),"")</f>
        <v>0</v>
      </c>
      <c r="O50" s="173">
        <f t="shared" si="5"/>
        <v>0.90999558580042827</v>
      </c>
      <c r="P50" s="173">
        <f>IFERROR(1-SUMIF(WTG_BD!$F:$F,$A50,WTG_BD!$AA:$AA)/($AA50+SUMIF(WTG_BD!$F:$F,$A50,WTG_BD!$AA:$AA)),"")</f>
        <v>0.94609034438706119</v>
      </c>
      <c r="Q50" s="173">
        <f>IFERROR(1-SUMIF(IGA_BD!$F:$F,$A50,IGA_BD!$X:$X)/($AA50+SUMIF(IGA_BD!$F:$F,$A50,IGA_BD!$X:$X)),"")</f>
        <v>0.96184850759679041</v>
      </c>
      <c r="R50" s="173">
        <f>IFERROR(1-SUMIF(Grid_BD!$F:$F,$A50,Grid_BD!$Y:$Y)/($AA50+SUMIF(Grid_BD!$F:$F,$A50,Grid_BD!$Y:$Y)),"")</f>
        <v>1</v>
      </c>
      <c r="S50" s="167"/>
      <c r="T50" s="172"/>
      <c r="U50" s="173"/>
      <c r="V50" s="167"/>
      <c r="W50" s="174">
        <f t="shared" si="6"/>
        <v>0.22596153846153844</v>
      </c>
      <c r="X50" s="167">
        <f>IFERROR(_xlfn.XLOOKUP($A50,Input_Raw!$A:$A,Input_Raw!$BF:$BF),"")</f>
        <v>394190</v>
      </c>
      <c r="Y50" s="167">
        <f>IFERROR(_xlfn.XLOOKUP($A50,Input_Raw!$A:$A,Input_Raw!BJ:BJ),"")</f>
        <v>380700</v>
      </c>
      <c r="Z50" s="167">
        <f>IFERROR(_xlfn.XLOOKUP($A50,Input_Raw!$A:$A,Input_Raw!BK:BK),"")</f>
        <v>0</v>
      </c>
      <c r="AA50" s="167">
        <f>IFERROR(_xlfn.XLOOKUP($A50,Input_Raw!$A:$A,Input_Raw!BL:BL),"")</f>
        <v>380700</v>
      </c>
      <c r="AB50" s="167">
        <f>IFERROR(_xlfn.XLOOKUP($A50,Input_Raw!$A:$A,Input_Raw!$BO:$BO),"")</f>
        <v>70.2</v>
      </c>
      <c r="AC50" s="176">
        <f>IFERROR(_xlfn.XLOOKUP($D50,'Modelling New'!$D:$D,'Modelling New'!$J:$J),"")</f>
        <v>7.19</v>
      </c>
      <c r="AD50" s="166">
        <f>IFERROR(_xlfn.XLOOKUP($D50,'Modelling New'!$D:$D,'Modelling New'!$T:$T)*1000,"")</f>
        <v>908711.4041379313</v>
      </c>
      <c r="AE50" s="174"/>
      <c r="AF50" s="174">
        <f>IFERROR(_xlfn.XLOOKUP($D50,'Modelling New'!$D:$D,'Modelling New'!$W:$W),"")</f>
        <v>0.53935862068965523</v>
      </c>
      <c r="AG50" s="174">
        <f>IFERROR(_xlfn.XLOOKUP($D50,'Modelling New'!$D:$D,'Modelling New'!$AE:$AE),"")</f>
        <v>0.96029999999999993</v>
      </c>
      <c r="AH50" s="174">
        <f>IFERROR(_xlfn.XLOOKUP($D50,'Modelling New'!$D:$D,'Modelling New'!$AF:$AF),"")</f>
        <v>0.995</v>
      </c>
      <c r="AI50" s="177">
        <f>IFERROR(_xlfn.XLOOKUP($A50,Input_Raw!$A:$A,Input_Raw!$BQ:$BQ),"")</f>
        <v>429.76</v>
      </c>
      <c r="AJ50" s="167"/>
      <c r="AK50" s="167"/>
      <c r="AL50" s="167"/>
      <c r="AM50" s="167"/>
      <c r="AN50" s="175">
        <f>IFERROR(_xlfn.XLOOKUP($A50,Input_Raw!$A:$A,Input_Raw!$BN:$BN),"")</f>
        <v>3.4222075648798804E-2</v>
      </c>
      <c r="AO50" s="174">
        <f>IFERROR((_xlfn.XLOOKUP($A50,'WTG Reactive Power'!$A:$A,'WTG Reactive Power'!$AE:$AE))/Table13[[#This Row],[Gen_Exp (kWh)]],"")</f>
        <v>7.8769070752682691E-2</v>
      </c>
      <c r="AP50" s="174">
        <f>IFERROR(_xlfn.XLOOKUP($D50,'Modelling New'!$D:$D,'Modelling New'!$AK:$AK),"")</f>
        <v>0.05</v>
      </c>
      <c r="AQ50" s="174">
        <f>IFERROR(_xlfn.XLOOKUP($D50,'Modelling New'!$D:$D,'Modelling New'!$AL:$AL),"")</f>
        <v>0.05</v>
      </c>
      <c r="AR50" s="276">
        <f>IFERROR(_xlfn.XLOOKUP($D50,'Modelling New'!$D:$D,'Modelling New'!$N:$N),"")</f>
        <v>70.2</v>
      </c>
      <c r="AS50" s="276"/>
    </row>
    <row r="51" spans="1:45">
      <c r="A51" s="165">
        <f t="shared" si="7"/>
        <v>45794</v>
      </c>
      <c r="B51" s="166">
        <f>YEAR(Table13[[#This Row],[Date]])+IF(MONTH(Table13[[#This Row],[Date]])&gt;=4,1,0)</f>
        <v>2026</v>
      </c>
      <c r="C51" s="167">
        <f>YEAR(Table13[[#This Row],[Date]])</f>
        <v>2025</v>
      </c>
      <c r="D51" s="168">
        <f>Table13[[#This Row],[Date]]-DAY(Table13[[#This Row],[Date]])+1</f>
        <v>45778</v>
      </c>
      <c r="E51" s="167">
        <f t="shared" si="4"/>
        <v>31</v>
      </c>
      <c r="F51" s="169"/>
      <c r="G51" s="176"/>
      <c r="H51" s="176"/>
      <c r="I51" s="176"/>
      <c r="J51" s="176"/>
      <c r="K51" s="171"/>
      <c r="L51" s="170"/>
      <c r="M51" s="170">
        <f>IFERROR(_xlfn.XLOOKUP($A51,Input_Raw!$A:$A,Input_Raw!BG:BG),"")</f>
        <v>5.164970831219434</v>
      </c>
      <c r="N51" s="170">
        <f>IFERROR(_xlfn.XLOOKUP($A51,Input_Raw!$A:$A,Input_Raw!BH:BH),"")</f>
        <v>0</v>
      </c>
      <c r="O51" s="173">
        <f t="shared" si="5"/>
        <v>0.92764847056891164</v>
      </c>
      <c r="P51" s="173">
        <f>IFERROR(1-SUMIF(WTG_BD!$F:$F,$A51,WTG_BD!$AA:$AA)/($AA51+SUMIF(WTG_BD!$F:$F,$A51,WTG_BD!$AA:$AA)),"")</f>
        <v>0.93133659037357119</v>
      </c>
      <c r="Q51" s="173">
        <f>IFERROR(1-SUMIF(IGA_BD!$F:$F,$A51,IGA_BD!$X:$X)/($AA51+SUMIF(IGA_BD!$F:$F,$A51,IGA_BD!$X:$X)),"")</f>
        <v>0.99603997110949949</v>
      </c>
      <c r="R51" s="173">
        <f>IFERROR(1-SUMIF(Grid_BD!$F:$F,$A51,Grid_BD!$Y:$Y)/($AA51+SUMIF(Grid_BD!$F:$F,$A51,Grid_BD!$Y:$Y)),"")</f>
        <v>1</v>
      </c>
      <c r="S51" s="167"/>
      <c r="T51" s="172"/>
      <c r="U51" s="173"/>
      <c r="V51" s="167"/>
      <c r="W51" s="174">
        <f t="shared" si="6"/>
        <v>0.1973824786324786</v>
      </c>
      <c r="X51" s="167">
        <f>IFERROR(_xlfn.XLOOKUP($A51,Input_Raw!$A:$A,Input_Raw!$BF:$BF),"")</f>
        <v>342930</v>
      </c>
      <c r="Y51" s="167">
        <f>IFERROR(_xlfn.XLOOKUP($A51,Input_Raw!$A:$A,Input_Raw!BJ:BJ),"")</f>
        <v>332550</v>
      </c>
      <c r="Z51" s="167">
        <f>IFERROR(_xlfn.XLOOKUP($A51,Input_Raw!$A:$A,Input_Raw!BK:BK),"")</f>
        <v>0</v>
      </c>
      <c r="AA51" s="167">
        <f>IFERROR(_xlfn.XLOOKUP($A51,Input_Raw!$A:$A,Input_Raw!BL:BL),"")</f>
        <v>332550</v>
      </c>
      <c r="AB51" s="167">
        <f>IFERROR(_xlfn.XLOOKUP($A51,Input_Raw!$A:$A,Input_Raw!$BO:$BO),"")</f>
        <v>70.2</v>
      </c>
      <c r="AC51" s="176">
        <f>IFERROR(_xlfn.XLOOKUP($D51,'Modelling New'!$D:$D,'Modelling New'!$J:$J),"")</f>
        <v>7.19</v>
      </c>
      <c r="AD51" s="166">
        <f>IFERROR(_xlfn.XLOOKUP($D51,'Modelling New'!$D:$D,'Modelling New'!$T:$T)*1000,"")</f>
        <v>908711.4041379313</v>
      </c>
      <c r="AE51" s="174"/>
      <c r="AF51" s="174">
        <f>IFERROR(_xlfn.XLOOKUP($D51,'Modelling New'!$D:$D,'Modelling New'!$W:$W),"")</f>
        <v>0.53935862068965523</v>
      </c>
      <c r="AG51" s="174">
        <f>IFERROR(_xlfn.XLOOKUP($D51,'Modelling New'!$D:$D,'Modelling New'!$AE:$AE),"")</f>
        <v>0.96029999999999993</v>
      </c>
      <c r="AH51" s="174">
        <f>IFERROR(_xlfn.XLOOKUP($D51,'Modelling New'!$D:$D,'Modelling New'!$AF:$AF),"")</f>
        <v>0.995</v>
      </c>
      <c r="AI51" s="177">
        <f>IFERROR(_xlfn.XLOOKUP($A51,Input_Raw!$A:$A,Input_Raw!$BQ:$BQ),"")</f>
        <v>357.08</v>
      </c>
      <c r="AJ51" s="167"/>
      <c r="AK51" s="167"/>
      <c r="AL51" s="167"/>
      <c r="AM51" s="167"/>
      <c r="AN51" s="175">
        <f>IFERROR(_xlfn.XLOOKUP($A51,Input_Raw!$A:$A,Input_Raw!$BN:$BN),"")</f>
        <v>3.026856792931502E-2</v>
      </c>
      <c r="AO51" s="174">
        <f>IFERROR((_xlfn.XLOOKUP($A51,'WTG Reactive Power'!$A:$A,'WTG Reactive Power'!$AE:$AE))/Table13[[#This Row],[Gen_Exp (kWh)]],"")</f>
        <v>6.0361881433528712E-2</v>
      </c>
      <c r="AP51" s="174">
        <f>IFERROR(_xlfn.XLOOKUP($D51,'Modelling New'!$D:$D,'Modelling New'!$AK:$AK),"")</f>
        <v>0.05</v>
      </c>
      <c r="AQ51" s="174">
        <f>IFERROR(_xlfn.XLOOKUP($D51,'Modelling New'!$D:$D,'Modelling New'!$AL:$AL),"")</f>
        <v>0.05</v>
      </c>
      <c r="AR51" s="276">
        <f>IFERROR(_xlfn.XLOOKUP($D51,'Modelling New'!$D:$D,'Modelling New'!$N:$N),"")</f>
        <v>70.2</v>
      </c>
      <c r="AS51" s="276"/>
    </row>
    <row r="52" spans="1:45">
      <c r="A52" s="165">
        <f t="shared" si="7"/>
        <v>45795</v>
      </c>
      <c r="B52" s="166">
        <f>YEAR(Table13[[#This Row],[Date]])+IF(MONTH(Table13[[#This Row],[Date]])&gt;=4,1,0)</f>
        <v>2026</v>
      </c>
      <c r="C52" s="167">
        <f>YEAR(Table13[[#This Row],[Date]])</f>
        <v>2025</v>
      </c>
      <c r="D52" s="168">
        <f>Table13[[#This Row],[Date]]-DAY(Table13[[#This Row],[Date]])+1</f>
        <v>45778</v>
      </c>
      <c r="E52" s="167">
        <f t="shared" si="4"/>
        <v>31</v>
      </c>
      <c r="F52" s="169"/>
      <c r="G52" s="170"/>
      <c r="H52" s="170"/>
      <c r="I52" s="170"/>
      <c r="J52" s="170"/>
      <c r="K52" s="171"/>
      <c r="L52" s="170"/>
      <c r="M52" s="170">
        <f>IFERROR(_xlfn.XLOOKUP($A52,Input_Raw!$A:$A,Input_Raw!BG:BG),"")</f>
        <v>5.0871620374231474</v>
      </c>
      <c r="N52" s="170">
        <f>IFERROR(_xlfn.XLOOKUP($A52,Input_Raw!$A:$A,Input_Raw!BH:BH),"")</f>
        <v>0</v>
      </c>
      <c r="O52" s="173">
        <f t="shared" si="5"/>
        <v>0.96421372281024675</v>
      </c>
      <c r="P52" s="173">
        <f>IFERROR(1-SUMIF(WTG_BD!$F:$F,$A52,WTG_BD!$AA:$AA)/($AA52+SUMIF(WTG_BD!$F:$F,$A52,WTG_BD!$AA:$AA)),"")</f>
        <v>0.98504059083671813</v>
      </c>
      <c r="Q52" s="173">
        <f>IFERROR(1-SUMIF(IGA_BD!$F:$F,$A52,IGA_BD!$X:$X)/($AA52+SUMIF(IGA_BD!$F:$F,$A52,IGA_BD!$X:$X)),"")</f>
        <v>0.97885684283448615</v>
      </c>
      <c r="R52" s="173">
        <f>IFERROR(1-SUMIF(Grid_BD!$F:$F,$A52,Grid_BD!$Y:$Y)/($AA52+SUMIF(Grid_BD!$F:$F,$A52,Grid_BD!$Y:$Y)),"")</f>
        <v>1</v>
      </c>
      <c r="S52" s="167"/>
      <c r="T52" s="172"/>
      <c r="U52" s="173"/>
      <c r="V52" s="167"/>
      <c r="W52" s="174">
        <f t="shared" si="6"/>
        <v>0.19284188034188032</v>
      </c>
      <c r="X52" s="167">
        <f>IFERROR(_xlfn.XLOOKUP($A52,Input_Raw!$A:$A,Input_Raw!$BF:$BF),"")</f>
        <v>334985</v>
      </c>
      <c r="Y52" s="167">
        <f>IFERROR(_xlfn.XLOOKUP($A52,Input_Raw!$A:$A,Input_Raw!BJ:BJ),"")</f>
        <v>324900</v>
      </c>
      <c r="Z52" s="167">
        <f>IFERROR(_xlfn.XLOOKUP($A52,Input_Raw!$A:$A,Input_Raw!BK:BK),"")</f>
        <v>0</v>
      </c>
      <c r="AA52" s="167">
        <f>IFERROR(_xlfn.XLOOKUP($A52,Input_Raw!$A:$A,Input_Raw!BL:BL),"")</f>
        <v>324900</v>
      </c>
      <c r="AB52" s="167">
        <f>IFERROR(_xlfn.XLOOKUP($A52,Input_Raw!$A:$A,Input_Raw!$BO:$BO),"")</f>
        <v>70.2</v>
      </c>
      <c r="AC52" s="176">
        <f>IFERROR(_xlfn.XLOOKUP($D52,'Modelling New'!$D:$D,'Modelling New'!$J:$J),"")</f>
        <v>7.19</v>
      </c>
      <c r="AD52" s="166">
        <f>IFERROR(_xlfn.XLOOKUP($D52,'Modelling New'!$D:$D,'Modelling New'!$T:$T)*1000,"")</f>
        <v>908711.4041379313</v>
      </c>
      <c r="AE52" s="174"/>
      <c r="AF52" s="174">
        <f>IFERROR(_xlfn.XLOOKUP($D52,'Modelling New'!$D:$D,'Modelling New'!$W:$W),"")</f>
        <v>0.53935862068965523</v>
      </c>
      <c r="AG52" s="174">
        <f>IFERROR(_xlfn.XLOOKUP($D52,'Modelling New'!$D:$D,'Modelling New'!$AE:$AE),"")</f>
        <v>0.96029999999999993</v>
      </c>
      <c r="AH52" s="174">
        <f>IFERROR(_xlfn.XLOOKUP($D52,'Modelling New'!$D:$D,'Modelling New'!$AF:$AF),"")</f>
        <v>0.995</v>
      </c>
      <c r="AI52" s="177">
        <f>IFERROR(_xlfn.XLOOKUP($A52,Input_Raw!$A:$A,Input_Raw!$BQ:$BQ),"")</f>
        <v>337.37</v>
      </c>
      <c r="AJ52" s="167"/>
      <c r="AK52" s="167"/>
      <c r="AL52" s="167"/>
      <c r="AM52" s="167"/>
      <c r="AN52" s="175">
        <f>IFERROR(_xlfn.XLOOKUP($A52,Input_Raw!$A:$A,Input_Raw!$BN:$BN),"")</f>
        <v>3.0105825633983611E-2</v>
      </c>
      <c r="AO52" s="174">
        <f>IFERROR((_xlfn.XLOOKUP($A52,'WTG Reactive Power'!$A:$A,'WTG Reactive Power'!$AE:$AE))/Table13[[#This Row],[Gen_Exp (kWh)]],"")</f>
        <v>4.0297923787632282E-3</v>
      </c>
      <c r="AP52" s="174">
        <f>IFERROR(_xlfn.XLOOKUP($D52,'Modelling New'!$D:$D,'Modelling New'!$AK:$AK),"")</f>
        <v>0.05</v>
      </c>
      <c r="AQ52" s="174">
        <f>IFERROR(_xlfn.XLOOKUP($D52,'Modelling New'!$D:$D,'Modelling New'!$AL:$AL),"")</f>
        <v>0.05</v>
      </c>
      <c r="AR52" s="276">
        <f>IFERROR(_xlfn.XLOOKUP($D52,'Modelling New'!$D:$D,'Modelling New'!$N:$N),"")</f>
        <v>70.2</v>
      </c>
      <c r="AS52" s="276"/>
    </row>
    <row r="53" spans="1:45">
      <c r="A53" s="165">
        <f t="shared" si="7"/>
        <v>45796</v>
      </c>
      <c r="B53" s="166">
        <f>YEAR(Table13[[#This Row],[Date]])+IF(MONTH(Table13[[#This Row],[Date]])&gt;=4,1,0)</f>
        <v>2026</v>
      </c>
      <c r="C53" s="167">
        <f>YEAR(Table13[[#This Row],[Date]])</f>
        <v>2025</v>
      </c>
      <c r="D53" s="168">
        <f>Table13[[#This Row],[Date]]-DAY(Table13[[#This Row],[Date]])+1</f>
        <v>45778</v>
      </c>
      <c r="E53" s="167">
        <f t="shared" si="4"/>
        <v>31</v>
      </c>
      <c r="F53" s="169"/>
      <c r="G53" s="176"/>
      <c r="H53" s="176"/>
      <c r="I53" s="176"/>
      <c r="J53" s="176"/>
      <c r="K53" s="171"/>
      <c r="L53" s="170"/>
      <c r="M53" s="170">
        <f>IFERROR(_xlfn.XLOOKUP($A53,Input_Raw!$A:$A,Input_Raw!BG:BG),"")</f>
        <v>5.1563194470766645</v>
      </c>
      <c r="N53" s="170">
        <f>IFERROR(_xlfn.XLOOKUP($A53,Input_Raw!$A:$A,Input_Raw!BH:BH),"")</f>
        <v>0</v>
      </c>
      <c r="O53" s="173">
        <f t="shared" si="5"/>
        <v>0.98661653702096019</v>
      </c>
      <c r="P53" s="173">
        <f>IFERROR(1-SUMIF(WTG_BD!$F:$F,$A53,WTG_BD!$AA:$AA)/($AA53+SUMIF(WTG_BD!$F:$F,$A53,WTG_BD!$AA:$AA)),"")</f>
        <v>0.98661653702096019</v>
      </c>
      <c r="Q53" s="173">
        <f>IFERROR(1-SUMIF(IGA_BD!$F:$F,$A53,IGA_BD!$X:$X)/($AA53+SUMIF(IGA_BD!$F:$F,$A53,IGA_BD!$X:$X)),"")</f>
        <v>1</v>
      </c>
      <c r="R53" s="173">
        <f>IFERROR(1-SUMIF(Grid_BD!$F:$F,$A53,Grid_BD!$Y:$Y)/($AA53+SUMIF(Grid_BD!$F:$F,$A53,Grid_BD!$Y:$Y)),"")</f>
        <v>1</v>
      </c>
      <c r="S53" s="167"/>
      <c r="T53" s="172"/>
      <c r="U53" s="173"/>
      <c r="V53" s="167"/>
      <c r="W53" s="174">
        <f t="shared" si="6"/>
        <v>0.22409188034188032</v>
      </c>
      <c r="X53" s="167">
        <f>IFERROR(_xlfn.XLOOKUP($A53,Input_Raw!$A:$A,Input_Raw!$BF:$BF),"")</f>
        <v>390622</v>
      </c>
      <c r="Y53" s="167">
        <f>IFERROR(_xlfn.XLOOKUP($A53,Input_Raw!$A:$A,Input_Raw!BJ:BJ),"")</f>
        <v>377550</v>
      </c>
      <c r="Z53" s="167">
        <f>IFERROR(_xlfn.XLOOKUP($A53,Input_Raw!$A:$A,Input_Raw!BK:BK),"")</f>
        <v>0</v>
      </c>
      <c r="AA53" s="167">
        <f>IFERROR(_xlfn.XLOOKUP($A53,Input_Raw!$A:$A,Input_Raw!BL:BL),"")</f>
        <v>377550</v>
      </c>
      <c r="AB53" s="167">
        <f>IFERROR(_xlfn.XLOOKUP($A53,Input_Raw!$A:$A,Input_Raw!$BO:$BO),"")</f>
        <v>70.2</v>
      </c>
      <c r="AC53" s="176">
        <f>IFERROR(_xlfn.XLOOKUP($D53,'Modelling New'!$D:$D,'Modelling New'!$J:$J),"")</f>
        <v>7.19</v>
      </c>
      <c r="AD53" s="166">
        <f>IFERROR(_xlfn.XLOOKUP($D53,'Modelling New'!$D:$D,'Modelling New'!$T:$T)*1000,"")</f>
        <v>908711.4041379313</v>
      </c>
      <c r="AE53" s="174"/>
      <c r="AF53" s="174">
        <f>IFERROR(_xlfn.XLOOKUP($D53,'Modelling New'!$D:$D,'Modelling New'!$W:$W),"")</f>
        <v>0.53935862068965523</v>
      </c>
      <c r="AG53" s="174">
        <f>IFERROR(_xlfn.XLOOKUP($D53,'Modelling New'!$D:$D,'Modelling New'!$AE:$AE),"")</f>
        <v>0.96029999999999993</v>
      </c>
      <c r="AH53" s="174">
        <f>IFERROR(_xlfn.XLOOKUP($D53,'Modelling New'!$D:$D,'Modelling New'!$AF:$AF),"")</f>
        <v>0.995</v>
      </c>
      <c r="AI53" s="177">
        <f>IFERROR(_xlfn.XLOOKUP($A53,Input_Raw!$A:$A,Input_Raw!$BQ:$BQ),"")</f>
        <v>390.56</v>
      </c>
      <c r="AJ53" s="167"/>
      <c r="AK53" s="167"/>
      <c r="AL53" s="167"/>
      <c r="AM53" s="167"/>
      <c r="AN53" s="175">
        <f>IFERROR(_xlfn.XLOOKUP($A53,Input_Raw!$A:$A,Input_Raw!$BN:$BN),"")</f>
        <v>3.346457700795142E-2</v>
      </c>
      <c r="AO53" s="174">
        <f>IFERROR((_xlfn.XLOOKUP($A53,'WTG Reactive Power'!$A:$A,'WTG Reactive Power'!$AE:$AE))/Table13[[#This Row],[Gen_Exp (kWh)]],"")</f>
        <v>2.3036592921033641E-3</v>
      </c>
      <c r="AP53" s="174">
        <f>IFERROR(_xlfn.XLOOKUP($D53,'Modelling New'!$D:$D,'Modelling New'!$AK:$AK),"")</f>
        <v>0.05</v>
      </c>
      <c r="AQ53" s="174">
        <f>IFERROR(_xlfn.XLOOKUP($D53,'Modelling New'!$D:$D,'Modelling New'!$AL:$AL),"")</f>
        <v>0.05</v>
      </c>
      <c r="AR53" s="276">
        <f>IFERROR(_xlfn.XLOOKUP($D53,'Modelling New'!$D:$D,'Modelling New'!$N:$N),"")</f>
        <v>70.2</v>
      </c>
      <c r="AS53" s="276"/>
    </row>
    <row r="54" spans="1:45">
      <c r="A54" s="165">
        <f t="shared" si="7"/>
        <v>45797</v>
      </c>
      <c r="B54" s="166">
        <f>YEAR(Table13[[#This Row],[Date]])+IF(MONTH(Table13[[#This Row],[Date]])&gt;=4,1,0)</f>
        <v>2026</v>
      </c>
      <c r="C54" s="167">
        <f>YEAR(Table13[[#This Row],[Date]])</f>
        <v>2025</v>
      </c>
      <c r="D54" s="168">
        <f>Table13[[#This Row],[Date]]-DAY(Table13[[#This Row],[Date]])+1</f>
        <v>45778</v>
      </c>
      <c r="E54" s="167">
        <f t="shared" si="4"/>
        <v>31</v>
      </c>
      <c r="F54" s="169"/>
      <c r="G54" s="170"/>
      <c r="H54" s="170"/>
      <c r="I54" s="170"/>
      <c r="J54" s="170"/>
      <c r="K54" s="171"/>
      <c r="L54" s="170"/>
      <c r="M54" s="170">
        <f>IFERROR(_xlfn.XLOOKUP($A54,Input_Raw!$A:$A,Input_Raw!BG:BG),"")</f>
        <v>5.2799223096243102</v>
      </c>
      <c r="N54" s="170">
        <f>IFERROR(_xlfn.XLOOKUP($A54,Input_Raw!$A:$A,Input_Raw!BH:BH),"")</f>
        <v>0</v>
      </c>
      <c r="O54" s="173">
        <f t="shared" si="5"/>
        <v>0.97920404903053382</v>
      </c>
      <c r="P54" s="173">
        <f>IFERROR(1-SUMIF(WTG_BD!$F:$F,$A54,WTG_BD!$AA:$AA)/($AA54+SUMIF(WTG_BD!$F:$F,$A54,WTG_BD!$AA:$AA)),"")</f>
        <v>0.98972421738323324</v>
      </c>
      <c r="Q54" s="173">
        <f>IFERROR(1-SUMIF(IGA_BD!$F:$F,$A54,IGA_BD!$X:$X)/($AA54+SUMIF(IGA_BD!$F:$F,$A54,IGA_BD!$X:$X)),"")</f>
        <v>0.98937060630837748</v>
      </c>
      <c r="R54" s="173">
        <f>IFERROR(1-SUMIF(Grid_BD!$F:$F,$A54,Grid_BD!$Y:$Y)/($AA54+SUMIF(Grid_BD!$F:$F,$A54,Grid_BD!$Y:$Y)),"")</f>
        <v>1</v>
      </c>
      <c r="S54" s="167"/>
      <c r="T54" s="172"/>
      <c r="U54" s="173"/>
      <c r="V54" s="167"/>
      <c r="W54" s="174">
        <f t="shared" si="6"/>
        <v>0.20993589743589741</v>
      </c>
      <c r="X54" s="167">
        <f>IFERROR(_xlfn.XLOOKUP($A54,Input_Raw!$A:$A,Input_Raw!$BF:$BF),"")</f>
        <v>366523</v>
      </c>
      <c r="Y54" s="167">
        <f>IFERROR(_xlfn.XLOOKUP($A54,Input_Raw!$A:$A,Input_Raw!BJ:BJ),"")</f>
        <v>354150</v>
      </c>
      <c r="Z54" s="167">
        <f>IFERROR(_xlfn.XLOOKUP($A54,Input_Raw!$A:$A,Input_Raw!BK:BK),"")</f>
        <v>450</v>
      </c>
      <c r="AA54" s="167">
        <f>IFERROR(_xlfn.XLOOKUP($A54,Input_Raw!$A:$A,Input_Raw!BL:BL),"")</f>
        <v>353700</v>
      </c>
      <c r="AB54" s="167">
        <f>IFERROR(_xlfn.XLOOKUP($A54,Input_Raw!$A:$A,Input_Raw!$BO:$BO),"")</f>
        <v>70.2</v>
      </c>
      <c r="AC54" s="176">
        <f>IFERROR(_xlfn.XLOOKUP($D54,'Modelling New'!$D:$D,'Modelling New'!$J:$J),"")</f>
        <v>7.19</v>
      </c>
      <c r="AD54" s="166">
        <f>IFERROR(_xlfn.XLOOKUP($D54,'Modelling New'!$D:$D,'Modelling New'!$T:$T)*1000,"")</f>
        <v>908711.4041379313</v>
      </c>
      <c r="AE54" s="174"/>
      <c r="AF54" s="174">
        <f>IFERROR(_xlfn.XLOOKUP($D54,'Modelling New'!$D:$D,'Modelling New'!$W:$W),"")</f>
        <v>0.53935862068965523</v>
      </c>
      <c r="AG54" s="174">
        <f>IFERROR(_xlfn.XLOOKUP($D54,'Modelling New'!$D:$D,'Modelling New'!$AE:$AE),"")</f>
        <v>0.96029999999999993</v>
      </c>
      <c r="AH54" s="174">
        <f>IFERROR(_xlfn.XLOOKUP($D54,'Modelling New'!$D:$D,'Modelling New'!$AF:$AF),"")</f>
        <v>0.995</v>
      </c>
      <c r="AI54" s="177">
        <f>IFERROR(_xlfn.XLOOKUP($A54,Input_Raw!$A:$A,Input_Raw!$BQ:$BQ),"")</f>
        <v>390.19</v>
      </c>
      <c r="AJ54" s="167"/>
      <c r="AK54" s="167"/>
      <c r="AL54" s="167"/>
      <c r="AM54" s="167"/>
      <c r="AN54" s="175">
        <f>IFERROR(_xlfn.XLOOKUP($A54,Input_Raw!$A:$A,Input_Raw!$BN:$BN),"")</f>
        <v>3.3757772363535166E-2</v>
      </c>
      <c r="AO54" s="174">
        <f>IFERROR((_xlfn.XLOOKUP($A54,'WTG Reactive Power'!$A:$A,'WTG Reactive Power'!$AE:$AE))/Table13[[#This Row],[Gen_Exp (kWh)]],"")</f>
        <v>2.4551255992120557E-3</v>
      </c>
      <c r="AP54" s="174">
        <f>IFERROR(_xlfn.XLOOKUP($D54,'Modelling New'!$D:$D,'Modelling New'!$AK:$AK),"")</f>
        <v>0.05</v>
      </c>
      <c r="AQ54" s="174">
        <f>IFERROR(_xlfn.XLOOKUP($D54,'Modelling New'!$D:$D,'Modelling New'!$AL:$AL),"")</f>
        <v>0.05</v>
      </c>
      <c r="AR54" s="276">
        <f>IFERROR(_xlfn.XLOOKUP($D54,'Modelling New'!$D:$D,'Modelling New'!$N:$N),"")</f>
        <v>70.2</v>
      </c>
      <c r="AS54" s="276"/>
    </row>
    <row r="55" spans="1:45">
      <c r="A55" s="165">
        <f t="shared" si="7"/>
        <v>45798</v>
      </c>
      <c r="B55" s="166">
        <f>YEAR(Table13[[#This Row],[Date]])+IF(MONTH(Table13[[#This Row],[Date]])&gt;=4,1,0)</f>
        <v>2026</v>
      </c>
      <c r="C55" s="167">
        <f>YEAR(Table13[[#This Row],[Date]])</f>
        <v>2025</v>
      </c>
      <c r="D55" s="168">
        <f>Table13[[#This Row],[Date]]-DAY(Table13[[#This Row],[Date]])+1</f>
        <v>45778</v>
      </c>
      <c r="E55" s="167">
        <f t="shared" si="4"/>
        <v>31</v>
      </c>
      <c r="F55" s="169"/>
      <c r="G55" s="176"/>
      <c r="H55" s="176"/>
      <c r="I55" s="176"/>
      <c r="J55" s="176"/>
      <c r="K55" s="171"/>
      <c r="L55" s="170"/>
      <c r="M55" s="170">
        <f>IFERROR(_xlfn.XLOOKUP($A55,Input_Raw!$A:$A,Input_Raw!BG:BG),"")</f>
        <v>4.5324132546722824</v>
      </c>
      <c r="N55" s="170">
        <f>IFERROR(_xlfn.XLOOKUP($A55,Input_Raw!$A:$A,Input_Raw!BH:BH),"")</f>
        <v>0</v>
      </c>
      <c r="O55" s="173">
        <f t="shared" si="5"/>
        <v>0.75061044665631904</v>
      </c>
      <c r="P55" s="173">
        <f>IFERROR(1-SUMIF(WTG_BD!$F:$F,$A55,WTG_BD!$AA:$AA)/($AA55+SUMIF(WTG_BD!$F:$F,$A55,WTG_BD!$AA:$AA)),"")</f>
        <v>0.9612111724006549</v>
      </c>
      <c r="Q55" s="173">
        <f>IFERROR(1-SUMIF(IGA_BD!$F:$F,$A55,IGA_BD!$X:$X)/($AA55+SUMIF(IGA_BD!$F:$F,$A55,IGA_BD!$X:$X)),"")</f>
        <v>0.78090066804118186</v>
      </c>
      <c r="R55" s="173">
        <f>IFERROR(1-SUMIF(Grid_BD!$F:$F,$A55,Grid_BD!$Y:$Y)/($AA55+SUMIF(Grid_BD!$F:$F,$A55,Grid_BD!$Y:$Y)),"")</f>
        <v>1</v>
      </c>
      <c r="S55" s="167"/>
      <c r="T55" s="172"/>
      <c r="U55" s="173"/>
      <c r="V55" s="167"/>
      <c r="W55" s="174">
        <f t="shared" si="6"/>
        <v>0.11084401709401707</v>
      </c>
      <c r="X55" s="167">
        <f>IFERROR(_xlfn.XLOOKUP($A55,Input_Raw!$A:$A,Input_Raw!$BF:$BF),"")</f>
        <v>193560</v>
      </c>
      <c r="Y55" s="167">
        <f>IFERROR(_xlfn.XLOOKUP($A55,Input_Raw!$A:$A,Input_Raw!BJ:BJ),"")</f>
        <v>186750</v>
      </c>
      <c r="Z55" s="167">
        <f>IFERROR(_xlfn.XLOOKUP($A55,Input_Raw!$A:$A,Input_Raw!BK:BK),"")</f>
        <v>0</v>
      </c>
      <c r="AA55" s="167">
        <f>IFERROR(_xlfn.XLOOKUP($A55,Input_Raw!$A:$A,Input_Raw!BL:BL),"")</f>
        <v>186750</v>
      </c>
      <c r="AB55" s="167">
        <f>IFERROR(_xlfn.XLOOKUP($A55,Input_Raw!$A:$A,Input_Raw!$BO:$BO),"")</f>
        <v>70.2</v>
      </c>
      <c r="AC55" s="176">
        <f>IFERROR(_xlfn.XLOOKUP($D55,'Modelling New'!$D:$D,'Modelling New'!$J:$J),"")</f>
        <v>7.19</v>
      </c>
      <c r="AD55" s="166">
        <f>IFERROR(_xlfn.XLOOKUP($D55,'Modelling New'!$D:$D,'Modelling New'!$T:$T)*1000,"")</f>
        <v>908711.4041379313</v>
      </c>
      <c r="AE55" s="174"/>
      <c r="AF55" s="174">
        <f>IFERROR(_xlfn.XLOOKUP($D55,'Modelling New'!$D:$D,'Modelling New'!$W:$W),"")</f>
        <v>0.53935862068965523</v>
      </c>
      <c r="AG55" s="174">
        <f>IFERROR(_xlfn.XLOOKUP($D55,'Modelling New'!$D:$D,'Modelling New'!$AE:$AE),"")</f>
        <v>0.96029999999999993</v>
      </c>
      <c r="AH55" s="174">
        <f>IFERROR(_xlfn.XLOOKUP($D55,'Modelling New'!$D:$D,'Modelling New'!$AF:$AF),"")</f>
        <v>0.995</v>
      </c>
      <c r="AI55" s="177">
        <f>IFERROR(_xlfn.XLOOKUP($A55,Input_Raw!$A:$A,Input_Raw!$BQ:$BQ),"")</f>
        <v>202.65</v>
      </c>
      <c r="AJ55" s="167"/>
      <c r="AK55" s="167"/>
      <c r="AL55" s="167"/>
      <c r="AM55" s="167"/>
      <c r="AN55" s="175">
        <f>IFERROR(_xlfn.XLOOKUP($A55,Input_Raw!$A:$A,Input_Raw!$BN:$BN),"")</f>
        <v>3.51828890266584E-2</v>
      </c>
      <c r="AO55" s="174">
        <f>IFERROR((_xlfn.XLOOKUP($A55,'WTG Reactive Power'!$A:$A,'WTG Reactive Power'!$AE:$AE))/Table13[[#This Row],[Gen_Exp (kWh)]],"")</f>
        <v>2.3238272370324459E-3</v>
      </c>
      <c r="AP55" s="174">
        <f>IFERROR(_xlfn.XLOOKUP($D55,'Modelling New'!$D:$D,'Modelling New'!$AK:$AK),"")</f>
        <v>0.05</v>
      </c>
      <c r="AQ55" s="174">
        <f>IFERROR(_xlfn.XLOOKUP($D55,'Modelling New'!$D:$D,'Modelling New'!$AL:$AL),"")</f>
        <v>0.05</v>
      </c>
      <c r="AR55" s="276">
        <f>IFERROR(_xlfn.XLOOKUP($D55,'Modelling New'!$D:$D,'Modelling New'!$N:$N),"")</f>
        <v>70.2</v>
      </c>
      <c r="AS55" s="276"/>
    </row>
    <row r="56" spans="1:45">
      <c r="A56" s="165">
        <f t="shared" si="7"/>
        <v>45799</v>
      </c>
      <c r="B56" s="166">
        <f>YEAR(Table13[[#This Row],[Date]])+IF(MONTH(Table13[[#This Row],[Date]])&gt;=4,1,0)</f>
        <v>2026</v>
      </c>
      <c r="C56" s="167">
        <f>YEAR(Table13[[#This Row],[Date]])</f>
        <v>2025</v>
      </c>
      <c r="D56" s="168">
        <f>Table13[[#This Row],[Date]]-DAY(Table13[[#This Row],[Date]])+1</f>
        <v>45778</v>
      </c>
      <c r="E56" s="167">
        <f t="shared" si="4"/>
        <v>31</v>
      </c>
      <c r="F56" s="169"/>
      <c r="G56" s="170"/>
      <c r="H56" s="170"/>
      <c r="I56" s="170"/>
      <c r="J56" s="170"/>
      <c r="K56" s="171"/>
      <c r="L56" s="170"/>
      <c r="M56" s="170">
        <f>IFERROR(_xlfn.XLOOKUP($A56,Input_Raw!$A:$A,Input_Raw!BG:BG),"")</f>
        <v>3.7634574295913192</v>
      </c>
      <c r="N56" s="170">
        <f>IFERROR(_xlfn.XLOOKUP($A56,Input_Raw!$A:$A,Input_Raw!BH:BH),"")</f>
        <v>0</v>
      </c>
      <c r="O56" s="173">
        <f t="shared" si="5"/>
        <v>0.85067376526430749</v>
      </c>
      <c r="P56" s="173">
        <f>IFERROR(1-SUMIF(WTG_BD!$F:$F,$A56,WTG_BD!$AA:$AA)/($AA56+SUMIF(WTG_BD!$F:$F,$A56,WTG_BD!$AA:$AA)),"")</f>
        <v>0.99006238092196408</v>
      </c>
      <c r="Q56" s="173">
        <f>IFERROR(1-SUMIF(IGA_BD!$F:$F,$A56,IGA_BD!$X:$X)/($AA56+SUMIF(IGA_BD!$F:$F,$A56,IGA_BD!$X:$X)),"")</f>
        <v>0.85921228970657848</v>
      </c>
      <c r="R56" s="173">
        <f>IFERROR(1-SUMIF(Grid_BD!$F:$F,$A56,Grid_BD!$Y:$Y)/($AA56+SUMIF(Grid_BD!$F:$F,$A56,Grid_BD!$Y:$Y)),"")</f>
        <v>1</v>
      </c>
      <c r="S56" s="167"/>
      <c r="T56" s="172"/>
      <c r="U56" s="173"/>
      <c r="V56" s="167"/>
      <c r="W56" s="174">
        <f t="shared" si="6"/>
        <v>7.8792735042735026E-2</v>
      </c>
      <c r="X56" s="167">
        <f>IFERROR(_xlfn.XLOOKUP($A56,Input_Raw!$A:$A,Input_Raw!$BF:$BF),"")</f>
        <v>139747</v>
      </c>
      <c r="Y56" s="167">
        <f>IFERROR(_xlfn.XLOOKUP($A56,Input_Raw!$A:$A,Input_Raw!BJ:BJ),"")</f>
        <v>134100</v>
      </c>
      <c r="Z56" s="167">
        <f>IFERROR(_xlfn.XLOOKUP($A56,Input_Raw!$A:$A,Input_Raw!BK:BK),"")</f>
        <v>1350</v>
      </c>
      <c r="AA56" s="167">
        <f>IFERROR(_xlfn.XLOOKUP($A56,Input_Raw!$A:$A,Input_Raw!BL:BL),"")</f>
        <v>132750</v>
      </c>
      <c r="AB56" s="167">
        <f>IFERROR(_xlfn.XLOOKUP($A56,Input_Raw!$A:$A,Input_Raw!$BO:$BO),"")</f>
        <v>70.2</v>
      </c>
      <c r="AC56" s="176">
        <f>IFERROR(_xlfn.XLOOKUP($D56,'Modelling New'!$D:$D,'Modelling New'!$J:$J),"")</f>
        <v>7.19</v>
      </c>
      <c r="AD56" s="166">
        <f>IFERROR(_xlfn.XLOOKUP($D56,'Modelling New'!$D:$D,'Modelling New'!$T:$T)*1000,"")</f>
        <v>908711.4041379313</v>
      </c>
      <c r="AE56" s="174"/>
      <c r="AF56" s="174">
        <f>IFERROR(_xlfn.XLOOKUP($D56,'Modelling New'!$D:$D,'Modelling New'!$W:$W),"")</f>
        <v>0.53935862068965523</v>
      </c>
      <c r="AG56" s="174">
        <f>IFERROR(_xlfn.XLOOKUP($D56,'Modelling New'!$D:$D,'Modelling New'!$AE:$AE),"")</f>
        <v>0.96029999999999993</v>
      </c>
      <c r="AH56" s="174">
        <f>IFERROR(_xlfn.XLOOKUP($D56,'Modelling New'!$D:$D,'Modelling New'!$AF:$AF),"")</f>
        <v>0.995</v>
      </c>
      <c r="AI56" s="177">
        <f>IFERROR(_xlfn.XLOOKUP($A56,Input_Raw!$A:$A,Input_Raw!$BQ:$BQ),"")</f>
        <v>158.54</v>
      </c>
      <c r="AJ56" s="167"/>
      <c r="AK56" s="167"/>
      <c r="AL56" s="167"/>
      <c r="AM56" s="167"/>
      <c r="AN56" s="175">
        <f>IFERROR(_xlfn.XLOOKUP($A56,Input_Raw!$A:$A,Input_Raw!$BN:$BN),"")</f>
        <v>4.0408738649130214E-2</v>
      </c>
      <c r="AO56" s="174">
        <f>IFERROR((_xlfn.XLOOKUP($A56,'WTG Reactive Power'!$A:$A,'WTG Reactive Power'!$AE:$AE))/Table13[[#This Row],[Gen_Exp (kWh)]],"")</f>
        <v>6.4392079973094249E-3</v>
      </c>
      <c r="AP56" s="174">
        <f>IFERROR(_xlfn.XLOOKUP($D56,'Modelling New'!$D:$D,'Modelling New'!$AK:$AK),"")</f>
        <v>0.05</v>
      </c>
      <c r="AQ56" s="174">
        <f>IFERROR(_xlfn.XLOOKUP($D56,'Modelling New'!$D:$D,'Modelling New'!$AL:$AL),"")</f>
        <v>0.05</v>
      </c>
      <c r="AR56" s="276">
        <f>IFERROR(_xlfn.XLOOKUP($D56,'Modelling New'!$D:$D,'Modelling New'!$N:$N),"")</f>
        <v>70.2</v>
      </c>
      <c r="AS56" s="276"/>
    </row>
    <row r="57" spans="1:45">
      <c r="A57" s="165">
        <f t="shared" si="7"/>
        <v>45800</v>
      </c>
      <c r="B57" s="166">
        <f>YEAR(Table13[[#This Row],[Date]])+IF(MONTH(Table13[[#This Row],[Date]])&gt;=4,1,0)</f>
        <v>2026</v>
      </c>
      <c r="C57" s="167">
        <f>YEAR(Table13[[#This Row],[Date]])</f>
        <v>2025</v>
      </c>
      <c r="D57" s="168">
        <f>Table13[[#This Row],[Date]]-DAY(Table13[[#This Row],[Date]])+1</f>
        <v>45778</v>
      </c>
      <c r="E57" s="167">
        <f t="shared" si="4"/>
        <v>31</v>
      </c>
      <c r="F57" s="169"/>
      <c r="G57" s="176"/>
      <c r="H57" s="176"/>
      <c r="I57" s="176"/>
      <c r="J57" s="176"/>
      <c r="K57" s="171"/>
      <c r="L57" s="170"/>
      <c r="M57" s="170">
        <f>IFERROR(_xlfn.XLOOKUP($A57,Input_Raw!$A:$A,Input_Raw!BG:BG),"")</f>
        <v>4.8978954647090855</v>
      </c>
      <c r="N57" s="170">
        <f>IFERROR(_xlfn.XLOOKUP($A57,Input_Raw!$A:$A,Input_Raw!BH:BH),"")</f>
        <v>0</v>
      </c>
      <c r="O57" s="173">
        <f t="shared" si="5"/>
        <v>0.99215278310887234</v>
      </c>
      <c r="P57" s="173">
        <f>IFERROR(1-SUMIF(WTG_BD!$F:$F,$A57,WTG_BD!$AA:$AA)/($AA57+SUMIF(WTG_BD!$F:$F,$A57,WTG_BD!$AA:$AA)),"")</f>
        <v>0.99703795023742137</v>
      </c>
      <c r="Q57" s="173">
        <f>IFERROR(1-SUMIF(IGA_BD!$F:$F,$A57,IGA_BD!$X:$X)/($AA57+SUMIF(IGA_BD!$F:$F,$A57,IGA_BD!$X:$X)),"")</f>
        <v>0.99510031977480318</v>
      </c>
      <c r="R57" s="173">
        <f>IFERROR(1-SUMIF(Grid_BD!$F:$F,$A57,Grid_BD!$Y:$Y)/($AA57+SUMIF(Grid_BD!$F:$F,$A57,Grid_BD!$Y:$Y)),"")</f>
        <v>1</v>
      </c>
      <c r="S57" s="167"/>
      <c r="T57" s="172"/>
      <c r="U57" s="173"/>
      <c r="V57" s="167"/>
      <c r="W57" s="174">
        <f t="shared" si="6"/>
        <v>0.20058760683760682</v>
      </c>
      <c r="X57" s="167">
        <f>IFERROR(_xlfn.XLOOKUP($A57,Input_Raw!$A:$A,Input_Raw!$BF:$BF),"")</f>
        <v>350115</v>
      </c>
      <c r="Y57" s="167">
        <f>IFERROR(_xlfn.XLOOKUP($A57,Input_Raw!$A:$A,Input_Raw!BJ:BJ),"")</f>
        <v>337950</v>
      </c>
      <c r="Z57" s="167">
        <f>IFERROR(_xlfn.XLOOKUP($A57,Input_Raw!$A:$A,Input_Raw!BK:BK),"")</f>
        <v>0</v>
      </c>
      <c r="AA57" s="167">
        <f>IFERROR(_xlfn.XLOOKUP($A57,Input_Raw!$A:$A,Input_Raw!BL:BL),"")</f>
        <v>337950</v>
      </c>
      <c r="AB57" s="167">
        <f>IFERROR(_xlfn.XLOOKUP($A57,Input_Raw!$A:$A,Input_Raw!$BO:$BO),"")</f>
        <v>70.2</v>
      </c>
      <c r="AC57" s="176">
        <f>IFERROR(_xlfn.XLOOKUP($D57,'Modelling New'!$D:$D,'Modelling New'!$J:$J),"")</f>
        <v>7.19</v>
      </c>
      <c r="AD57" s="166">
        <f>IFERROR(_xlfn.XLOOKUP($D57,'Modelling New'!$D:$D,'Modelling New'!$T:$T)*1000,"")</f>
        <v>908711.4041379313</v>
      </c>
      <c r="AE57" s="174"/>
      <c r="AF57" s="174">
        <f>IFERROR(_xlfn.XLOOKUP($D57,'Modelling New'!$D:$D,'Modelling New'!$W:$W),"")</f>
        <v>0.53935862068965523</v>
      </c>
      <c r="AG57" s="174">
        <f>IFERROR(_xlfn.XLOOKUP($D57,'Modelling New'!$D:$D,'Modelling New'!$AE:$AE),"")</f>
        <v>0.96029999999999993</v>
      </c>
      <c r="AH57" s="174">
        <f>IFERROR(_xlfn.XLOOKUP($D57,'Modelling New'!$D:$D,'Modelling New'!$AF:$AF),"")</f>
        <v>0.995</v>
      </c>
      <c r="AI57" s="177">
        <f>IFERROR(_xlfn.XLOOKUP($A57,Input_Raw!$A:$A,Input_Raw!$BQ:$BQ),"")</f>
        <v>371.21</v>
      </c>
      <c r="AJ57" s="167"/>
      <c r="AK57" s="167"/>
      <c r="AL57" s="167"/>
      <c r="AM57" s="167"/>
      <c r="AN57" s="175">
        <f>IFERROR(_xlfn.XLOOKUP($A57,Input_Raw!$A:$A,Input_Raw!$BN:$BN),"")</f>
        <v>3.4745726404181485E-2</v>
      </c>
      <c r="AO57" s="174">
        <f>IFERROR((_xlfn.XLOOKUP($A57,'WTG Reactive Power'!$A:$A,'WTG Reactive Power'!$AE:$AE))/Table13[[#This Row],[Gen_Exp (kWh)]],"")</f>
        <v>2.5701840823729354E-3</v>
      </c>
      <c r="AP57" s="174">
        <f>IFERROR(_xlfn.XLOOKUP($D57,'Modelling New'!$D:$D,'Modelling New'!$AK:$AK),"")</f>
        <v>0.05</v>
      </c>
      <c r="AQ57" s="174">
        <f>IFERROR(_xlfn.XLOOKUP($D57,'Modelling New'!$D:$D,'Modelling New'!$AL:$AL),"")</f>
        <v>0.05</v>
      </c>
      <c r="AR57" s="276">
        <f>IFERROR(_xlfn.XLOOKUP($D57,'Modelling New'!$D:$D,'Modelling New'!$N:$N),"")</f>
        <v>70.2</v>
      </c>
      <c r="AS57" s="276"/>
    </row>
    <row r="58" spans="1:45">
      <c r="A58" s="165">
        <f t="shared" si="7"/>
        <v>45801</v>
      </c>
      <c r="B58" s="166">
        <f>YEAR(Table13[[#This Row],[Date]])+IF(MONTH(Table13[[#This Row],[Date]])&gt;=4,1,0)</f>
        <v>2026</v>
      </c>
      <c r="C58" s="167">
        <f>YEAR(Table13[[#This Row],[Date]])</f>
        <v>2025</v>
      </c>
      <c r="D58" s="168">
        <f>Table13[[#This Row],[Date]]-DAY(Table13[[#This Row],[Date]])+1</f>
        <v>45778</v>
      </c>
      <c r="E58" s="167">
        <f t="shared" si="4"/>
        <v>31</v>
      </c>
      <c r="F58" s="169"/>
      <c r="G58" s="170"/>
      <c r="H58" s="170"/>
      <c r="I58" s="170"/>
      <c r="J58" s="170"/>
      <c r="K58" s="171"/>
      <c r="L58" s="170"/>
      <c r="M58" s="170">
        <f>IFERROR(_xlfn.XLOOKUP($A58,Input_Raw!$A:$A,Input_Raw!BG:BG),"")</f>
        <v>7.5679809963237359</v>
      </c>
      <c r="N58" s="170">
        <f>IFERROR(_xlfn.XLOOKUP($A58,Input_Raw!$A:$A,Input_Raw!BH:BH),"")</f>
        <v>0</v>
      </c>
      <c r="O58" s="173">
        <f t="shared" si="5"/>
        <v>0.85415678760706337</v>
      </c>
      <c r="P58" s="173">
        <f>IFERROR(1-SUMIF(WTG_BD!$F:$F,$A58,WTG_BD!$AA:$AA)/($AA58+SUMIF(WTG_BD!$F:$F,$A58,WTG_BD!$AA:$AA)),"")</f>
        <v>0.98235807997329183</v>
      </c>
      <c r="Q58" s="173">
        <f>IFERROR(1-SUMIF(IGA_BD!$F:$F,$A58,IGA_BD!$X:$X)/($AA58+SUMIF(IGA_BD!$F:$F,$A58,IGA_BD!$X:$X)),"")</f>
        <v>0.86949637308453354</v>
      </c>
      <c r="R58" s="173">
        <f>IFERROR(1-SUMIF(Grid_BD!$F:$F,$A58,Grid_BD!$Y:$Y)/($AA58+SUMIF(Grid_BD!$F:$F,$A58,Grid_BD!$Y:$Y)),"")</f>
        <v>1</v>
      </c>
      <c r="S58" s="167"/>
      <c r="T58" s="172"/>
      <c r="U58" s="173"/>
      <c r="V58" s="167"/>
      <c r="W58" s="174">
        <f t="shared" si="6"/>
        <v>0.46607905982905978</v>
      </c>
      <c r="X58" s="167">
        <f>IFERROR(_xlfn.XLOOKUP($A58,Input_Raw!$A:$A,Input_Raw!$BF:$BF),"")</f>
        <v>814043</v>
      </c>
      <c r="Y58" s="167">
        <f>IFERROR(_xlfn.XLOOKUP($A58,Input_Raw!$A:$A,Input_Raw!BJ:BJ),"")</f>
        <v>785250</v>
      </c>
      <c r="Z58" s="167">
        <f>IFERROR(_xlfn.XLOOKUP($A58,Input_Raw!$A:$A,Input_Raw!BK:BK),"")</f>
        <v>0</v>
      </c>
      <c r="AA58" s="167">
        <f>IFERROR(_xlfn.XLOOKUP($A58,Input_Raw!$A:$A,Input_Raw!BL:BL),"")</f>
        <v>785250</v>
      </c>
      <c r="AB58" s="167">
        <f>IFERROR(_xlfn.XLOOKUP($A58,Input_Raw!$A:$A,Input_Raw!$BO:$BO),"")</f>
        <v>70.2</v>
      </c>
      <c r="AC58" s="176">
        <f>IFERROR(_xlfn.XLOOKUP($D58,'Modelling New'!$D:$D,'Modelling New'!$J:$J),"")</f>
        <v>7.19</v>
      </c>
      <c r="AD58" s="166">
        <f>IFERROR(_xlfn.XLOOKUP($D58,'Modelling New'!$D:$D,'Modelling New'!$T:$T)*1000,"")</f>
        <v>908711.4041379313</v>
      </c>
      <c r="AE58" s="174"/>
      <c r="AF58" s="174">
        <f>IFERROR(_xlfn.XLOOKUP($D58,'Modelling New'!$D:$D,'Modelling New'!$W:$W),"")</f>
        <v>0.53935862068965523</v>
      </c>
      <c r="AG58" s="174">
        <f>IFERROR(_xlfn.XLOOKUP($D58,'Modelling New'!$D:$D,'Modelling New'!$AE:$AE),"")</f>
        <v>0.96029999999999993</v>
      </c>
      <c r="AH58" s="174">
        <f>IFERROR(_xlfn.XLOOKUP($D58,'Modelling New'!$D:$D,'Modelling New'!$AF:$AF),"")</f>
        <v>0.995</v>
      </c>
      <c r="AI58" s="177">
        <f>IFERROR(_xlfn.XLOOKUP($A58,Input_Raw!$A:$A,Input_Raw!$BQ:$BQ),"")</f>
        <v>847.72</v>
      </c>
      <c r="AJ58" s="167"/>
      <c r="AK58" s="167"/>
      <c r="AL58" s="167"/>
      <c r="AM58" s="167"/>
      <c r="AN58" s="175">
        <f>IFERROR(_xlfn.XLOOKUP($A58,Input_Raw!$A:$A,Input_Raw!$BN:$BN),"")</f>
        <v>3.5370367413023636E-2</v>
      </c>
      <c r="AO58" s="174">
        <f>IFERROR((_xlfn.XLOOKUP($A58,'WTG Reactive Power'!$A:$A,'WTG Reactive Power'!$AE:$AE))/Table13[[#This Row],[Gen_Exp (kWh)]],"")</f>
        <v>2.2111608354841209E-3</v>
      </c>
      <c r="AP58" s="174">
        <f>IFERROR(_xlfn.XLOOKUP($D58,'Modelling New'!$D:$D,'Modelling New'!$AK:$AK),"")</f>
        <v>0.05</v>
      </c>
      <c r="AQ58" s="174">
        <f>IFERROR(_xlfn.XLOOKUP($D58,'Modelling New'!$D:$D,'Modelling New'!$AL:$AL),"")</f>
        <v>0.05</v>
      </c>
      <c r="AR58" s="276">
        <f>IFERROR(_xlfn.XLOOKUP($D58,'Modelling New'!$D:$D,'Modelling New'!$N:$N),"")</f>
        <v>70.2</v>
      </c>
      <c r="AS58" s="276"/>
    </row>
    <row r="59" spans="1:45">
      <c r="A59" s="165">
        <f t="shared" si="7"/>
        <v>45802</v>
      </c>
      <c r="B59" s="166">
        <f>YEAR(Table13[[#This Row],[Date]])+IF(MONTH(Table13[[#This Row],[Date]])&gt;=4,1,0)</f>
        <v>2026</v>
      </c>
      <c r="C59" s="167">
        <f>YEAR(Table13[[#This Row],[Date]])</f>
        <v>2025</v>
      </c>
      <c r="D59" s="168">
        <f>Table13[[#This Row],[Date]]-DAY(Table13[[#This Row],[Date]])+1</f>
        <v>45778</v>
      </c>
      <c r="E59" s="167">
        <f t="shared" si="4"/>
        <v>31</v>
      </c>
      <c r="F59" s="169"/>
      <c r="G59" s="176"/>
      <c r="H59" s="176"/>
      <c r="I59" s="176"/>
      <c r="J59" s="176"/>
      <c r="K59" s="171"/>
      <c r="L59" s="170"/>
      <c r="M59" s="170">
        <f>IFERROR(_xlfn.XLOOKUP($A59,Input_Raw!$A:$A,Input_Raw!BG:BG),"")</f>
        <v>7.6819230769230789</v>
      </c>
      <c r="N59" s="170">
        <f>IFERROR(_xlfn.XLOOKUP($A59,Input_Raw!$A:$A,Input_Raw!BH:BH),"")</f>
        <v>0</v>
      </c>
      <c r="O59" s="173">
        <f t="shared" si="5"/>
        <v>0.88823128249509964</v>
      </c>
      <c r="P59" s="173">
        <f>IFERROR(1-SUMIF(WTG_BD!$F:$F,$A59,WTG_BD!$AA:$AA)/($AA59+SUMIF(WTG_BD!$F:$F,$A59,WTG_BD!$AA:$AA)),"")</f>
        <v>0.96075409546568347</v>
      </c>
      <c r="Q59" s="173">
        <f>IFERROR(1-SUMIF(IGA_BD!$F:$F,$A59,IGA_BD!$X:$X)/($AA59+SUMIF(IGA_BD!$F:$F,$A59,IGA_BD!$X:$X)),"")</f>
        <v>0.92451469807637765</v>
      </c>
      <c r="R59" s="173">
        <f>IFERROR(1-SUMIF(Grid_BD!$F:$F,$A59,Grid_BD!$Y:$Y)/($AA59+SUMIF(Grid_BD!$F:$F,$A59,Grid_BD!$Y:$Y)),"")</f>
        <v>1</v>
      </c>
      <c r="S59" s="167"/>
      <c r="T59" s="172"/>
      <c r="U59" s="173"/>
      <c r="V59" s="167"/>
      <c r="W59" s="174">
        <f t="shared" si="6"/>
        <v>0.48210470085470081</v>
      </c>
      <c r="X59" s="167">
        <f>IFERROR(_xlfn.XLOOKUP($A59,Input_Raw!$A:$A,Input_Raw!$BF:$BF),"")</f>
        <v>841018</v>
      </c>
      <c r="Y59" s="167">
        <f>IFERROR(_xlfn.XLOOKUP($A59,Input_Raw!$A:$A,Input_Raw!BJ:BJ),"")</f>
        <v>812250</v>
      </c>
      <c r="Z59" s="167">
        <f>IFERROR(_xlfn.XLOOKUP($A59,Input_Raw!$A:$A,Input_Raw!BK:BK),"")</f>
        <v>0</v>
      </c>
      <c r="AA59" s="167">
        <f>IFERROR(_xlfn.XLOOKUP($A59,Input_Raw!$A:$A,Input_Raw!BL:BL),"")</f>
        <v>812250</v>
      </c>
      <c r="AB59" s="167">
        <f>IFERROR(_xlfn.XLOOKUP($A59,Input_Raw!$A:$A,Input_Raw!$BO:$BO),"")</f>
        <v>70.2</v>
      </c>
      <c r="AC59" s="176">
        <f>IFERROR(_xlfn.XLOOKUP($D59,'Modelling New'!$D:$D,'Modelling New'!$J:$J),"")</f>
        <v>7.19</v>
      </c>
      <c r="AD59" s="166">
        <f>IFERROR(_xlfn.XLOOKUP($D59,'Modelling New'!$D:$D,'Modelling New'!$T:$T)*1000,"")</f>
        <v>908711.4041379313</v>
      </c>
      <c r="AE59" s="174"/>
      <c r="AF59" s="174">
        <f>IFERROR(_xlfn.XLOOKUP($D59,'Modelling New'!$D:$D,'Modelling New'!$W:$W),"")</f>
        <v>0.53935862068965523</v>
      </c>
      <c r="AG59" s="174">
        <f>IFERROR(_xlfn.XLOOKUP($D59,'Modelling New'!$D:$D,'Modelling New'!$AE:$AE),"")</f>
        <v>0.96029999999999993</v>
      </c>
      <c r="AH59" s="174">
        <f>IFERROR(_xlfn.XLOOKUP($D59,'Modelling New'!$D:$D,'Modelling New'!$AF:$AF),"")</f>
        <v>0.995</v>
      </c>
      <c r="AI59" s="177">
        <f>IFERROR(_xlfn.XLOOKUP($A59,Input_Raw!$A:$A,Input_Raw!$BQ:$BQ),"")</f>
        <v>893.8</v>
      </c>
      <c r="AJ59" s="167"/>
      <c r="AK59" s="167"/>
      <c r="AL59" s="167"/>
      <c r="AM59" s="167"/>
      <c r="AN59" s="175">
        <f>IFERROR(_xlfn.XLOOKUP($A59,Input_Raw!$A:$A,Input_Raw!$BN:$BN),"")</f>
        <v>3.4206164434054921E-2</v>
      </c>
      <c r="AO59" s="174">
        <f>IFERROR((_xlfn.XLOOKUP($A59,'WTG Reactive Power'!$A:$A,'WTG Reactive Power'!$AE:$AE))/Table13[[#This Row],[Gen_Exp (kWh)]],"")</f>
        <v>1.8192190892466025E-2</v>
      </c>
      <c r="AP59" s="174">
        <f>IFERROR(_xlfn.XLOOKUP($D59,'Modelling New'!$D:$D,'Modelling New'!$AK:$AK),"")</f>
        <v>0.05</v>
      </c>
      <c r="AQ59" s="174">
        <f>IFERROR(_xlfn.XLOOKUP($D59,'Modelling New'!$D:$D,'Modelling New'!$AL:$AL),"")</f>
        <v>0.05</v>
      </c>
      <c r="AR59" s="276">
        <f>IFERROR(_xlfn.XLOOKUP($D59,'Modelling New'!$D:$D,'Modelling New'!$N:$N),"")</f>
        <v>70.2</v>
      </c>
      <c r="AS59" s="276"/>
    </row>
    <row r="60" spans="1:45">
      <c r="A60" s="165">
        <f t="shared" si="7"/>
        <v>45803</v>
      </c>
      <c r="B60" s="166">
        <f>YEAR(Table13[[#This Row],[Date]])+IF(MONTH(Table13[[#This Row],[Date]])&gt;=4,1,0)</f>
        <v>2026</v>
      </c>
      <c r="C60" s="167">
        <f>YEAR(Table13[[#This Row],[Date]])</f>
        <v>2025</v>
      </c>
      <c r="D60" s="168">
        <f>Table13[[#This Row],[Date]]-DAY(Table13[[#This Row],[Date]])+1</f>
        <v>45778</v>
      </c>
      <c r="E60" s="167">
        <f t="shared" si="4"/>
        <v>31</v>
      </c>
      <c r="F60" s="169"/>
      <c r="G60" s="170"/>
      <c r="H60" s="170"/>
      <c r="I60" s="170"/>
      <c r="J60" s="170"/>
      <c r="K60" s="171"/>
      <c r="L60" s="170"/>
      <c r="M60" s="170">
        <f>IFERROR(_xlfn.XLOOKUP($A60,Input_Raw!$A:$A,Input_Raw!BG:BG),"")</f>
        <v>7.1199999999999992</v>
      </c>
      <c r="N60" s="170">
        <f>IFERROR(_xlfn.XLOOKUP($A60,Input_Raw!$A:$A,Input_Raw!BH:BH),"")</f>
        <v>0</v>
      </c>
      <c r="O60" s="173">
        <f t="shared" si="5"/>
        <v>0.95534256616693869</v>
      </c>
      <c r="P60" s="173">
        <f>IFERROR(1-SUMIF(WTG_BD!$F:$F,$A60,WTG_BD!$AA:$AA)/($AA60+SUMIF(WTG_BD!$F:$F,$A60,WTG_BD!$AA:$AA)),"")</f>
        <v>0.97747590931530814</v>
      </c>
      <c r="Q60" s="173">
        <f>IFERROR(1-SUMIF(IGA_BD!$F:$F,$A60,IGA_BD!$X:$X)/($AA60+SUMIF(IGA_BD!$F:$F,$A60,IGA_BD!$X:$X)),"")</f>
        <v>0.97735663565982589</v>
      </c>
      <c r="R60" s="173">
        <f>IFERROR(1-SUMIF(Grid_BD!$F:$F,$A60,Grid_BD!$Y:$Y)/($AA60+SUMIF(Grid_BD!$F:$F,$A60,Grid_BD!$Y:$Y)),"")</f>
        <v>1</v>
      </c>
      <c r="S60" s="167"/>
      <c r="T60" s="172"/>
      <c r="U60" s="173"/>
      <c r="V60" s="167"/>
      <c r="W60" s="174">
        <f t="shared" si="6"/>
        <v>0.43429487179487175</v>
      </c>
      <c r="X60" s="167">
        <f>IFERROR(_xlfn.XLOOKUP($A60,Input_Raw!$A:$A,Input_Raw!$BF:$BF),"")</f>
        <v>755322</v>
      </c>
      <c r="Y60" s="167">
        <f>IFERROR(_xlfn.XLOOKUP($A60,Input_Raw!$A:$A,Input_Raw!BJ:BJ),"")</f>
        <v>731700</v>
      </c>
      <c r="Z60" s="167">
        <f>IFERROR(_xlfn.XLOOKUP($A60,Input_Raw!$A:$A,Input_Raw!BK:BK),"")</f>
        <v>0</v>
      </c>
      <c r="AA60" s="167">
        <f>IFERROR(_xlfn.XLOOKUP($A60,Input_Raw!$A:$A,Input_Raw!BL:BL),"")</f>
        <v>731700</v>
      </c>
      <c r="AB60" s="167">
        <f>IFERROR(_xlfn.XLOOKUP($A60,Input_Raw!$A:$A,Input_Raw!$BO:$BO),"")</f>
        <v>70.2</v>
      </c>
      <c r="AC60" s="176">
        <f>IFERROR(_xlfn.XLOOKUP($D60,'Modelling New'!$D:$D,'Modelling New'!$J:$J),"")</f>
        <v>7.19</v>
      </c>
      <c r="AD60" s="166">
        <f>IFERROR(_xlfn.XLOOKUP($D60,'Modelling New'!$D:$D,'Modelling New'!$T:$T)*1000,"")</f>
        <v>908711.4041379313</v>
      </c>
      <c r="AE60" s="174"/>
      <c r="AF60" s="174">
        <f>IFERROR(_xlfn.XLOOKUP($D60,'Modelling New'!$D:$D,'Modelling New'!$W:$W),"")</f>
        <v>0.53935862068965523</v>
      </c>
      <c r="AG60" s="174">
        <f>IFERROR(_xlfn.XLOOKUP($D60,'Modelling New'!$D:$D,'Modelling New'!$AE:$AE),"")</f>
        <v>0.96029999999999993</v>
      </c>
      <c r="AH60" s="174">
        <f>IFERROR(_xlfn.XLOOKUP($D60,'Modelling New'!$D:$D,'Modelling New'!$AF:$AF),"")</f>
        <v>0.995</v>
      </c>
      <c r="AI60" s="177">
        <f>IFERROR(_xlfn.XLOOKUP($A60,Input_Raw!$A:$A,Input_Raw!$BQ:$BQ),"")</f>
        <v>797.2</v>
      </c>
      <c r="AJ60" s="167"/>
      <c r="AK60" s="167"/>
      <c r="AL60" s="167"/>
      <c r="AM60" s="167"/>
      <c r="AN60" s="175">
        <f>IFERROR(_xlfn.XLOOKUP($A60,Input_Raw!$A:$A,Input_Raw!$BN:$BN),"")</f>
        <v>3.1274079134461862E-2</v>
      </c>
      <c r="AO60" s="174">
        <f>IFERROR((_xlfn.XLOOKUP($A60,'WTG Reactive Power'!$A:$A,'WTG Reactive Power'!$AE:$AE))/Table13[[#This Row],[Gen_Exp (kWh)]],"")</f>
        <v>4.7661262349037899E-3</v>
      </c>
      <c r="AP60" s="174">
        <f>IFERROR(_xlfn.XLOOKUP($D60,'Modelling New'!$D:$D,'Modelling New'!$AK:$AK),"")</f>
        <v>0.05</v>
      </c>
      <c r="AQ60" s="174">
        <f>IFERROR(_xlfn.XLOOKUP($D60,'Modelling New'!$D:$D,'Modelling New'!$AL:$AL),"")</f>
        <v>0.05</v>
      </c>
      <c r="AR60" s="276">
        <f>IFERROR(_xlfn.XLOOKUP($D60,'Modelling New'!$D:$D,'Modelling New'!$N:$N),"")</f>
        <v>70.2</v>
      </c>
      <c r="AS60" s="276"/>
    </row>
    <row r="61" spans="1:45">
      <c r="A61" s="165">
        <f t="shared" si="7"/>
        <v>45804</v>
      </c>
      <c r="B61" s="166">
        <f>YEAR(Table13[[#This Row],[Date]])+IF(MONTH(Table13[[#This Row],[Date]])&gt;=4,1,0)</f>
        <v>2026</v>
      </c>
      <c r="C61" s="167">
        <f>YEAR(Table13[[#This Row],[Date]])</f>
        <v>2025</v>
      </c>
      <c r="D61" s="168">
        <f>Table13[[#This Row],[Date]]-DAY(Table13[[#This Row],[Date]])+1</f>
        <v>45778</v>
      </c>
      <c r="E61" s="167">
        <f t="shared" si="4"/>
        <v>31</v>
      </c>
      <c r="F61" s="169"/>
      <c r="G61" s="176"/>
      <c r="H61" s="176"/>
      <c r="I61" s="176"/>
      <c r="J61" s="176"/>
      <c r="K61" s="171"/>
      <c r="L61" s="170"/>
      <c r="M61" s="170">
        <f>IFERROR(_xlfn.XLOOKUP($A61,Input_Raw!$A:$A,Input_Raw!BG:BG),"")</f>
        <v>9.4784615384615396</v>
      </c>
      <c r="N61" s="170">
        <f>IFERROR(_xlfn.XLOOKUP($A61,Input_Raw!$A:$A,Input_Raw!BH:BH),"")</f>
        <v>0</v>
      </c>
      <c r="O61" s="173">
        <f t="shared" si="5"/>
        <v>0.88076847919797985</v>
      </c>
      <c r="P61" s="173">
        <f>IFERROR(1-SUMIF(WTG_BD!$F:$F,$A61,WTG_BD!$AA:$AA)/($AA61+SUMIF(WTG_BD!$F:$F,$A61,WTG_BD!$AA:$AA)),"")</f>
        <v>0.95173555222435513</v>
      </c>
      <c r="Q61" s="173">
        <f>IFERROR(1-SUMIF(IGA_BD!$F:$F,$A61,IGA_BD!$X:$X)/($AA61+SUMIF(IGA_BD!$F:$F,$A61,IGA_BD!$X:$X)),"")</f>
        <v>0.9254340421974212</v>
      </c>
      <c r="R61" s="173">
        <f>IFERROR(1-SUMIF(Grid_BD!$F:$F,$A61,Grid_BD!$Y:$Y)/($AA61+SUMIF(Grid_BD!$F:$F,$A61,Grid_BD!$Y:$Y)),"")</f>
        <v>1</v>
      </c>
      <c r="S61" s="167"/>
      <c r="T61" s="172"/>
      <c r="U61" s="173"/>
      <c r="V61" s="167"/>
      <c r="W61" s="174">
        <f t="shared" si="6"/>
        <v>0.68803418803418792</v>
      </c>
      <c r="X61" s="167">
        <f>IFERROR(_xlfn.XLOOKUP($A61,Input_Raw!$A:$A,Input_Raw!$BF:$BF),"")</f>
        <v>1203107</v>
      </c>
      <c r="Y61" s="167">
        <f>IFERROR(_xlfn.XLOOKUP($A61,Input_Raw!$A:$A,Input_Raw!BJ:BJ),"")</f>
        <v>1159200</v>
      </c>
      <c r="Z61" s="167">
        <f>IFERROR(_xlfn.XLOOKUP($A61,Input_Raw!$A:$A,Input_Raw!BK:BK),"")</f>
        <v>0</v>
      </c>
      <c r="AA61" s="167">
        <f>IFERROR(_xlfn.XLOOKUP($A61,Input_Raw!$A:$A,Input_Raw!BL:BL),"")</f>
        <v>1159200</v>
      </c>
      <c r="AB61" s="167">
        <f>IFERROR(_xlfn.XLOOKUP($A61,Input_Raw!$A:$A,Input_Raw!$BO:$BO),"")</f>
        <v>70.2</v>
      </c>
      <c r="AC61" s="176">
        <f>IFERROR(_xlfn.XLOOKUP($D61,'Modelling New'!$D:$D,'Modelling New'!$J:$J),"")</f>
        <v>7.19</v>
      </c>
      <c r="AD61" s="166">
        <f>IFERROR(_xlfn.XLOOKUP($D61,'Modelling New'!$D:$D,'Modelling New'!$T:$T)*1000,"")</f>
        <v>908711.4041379313</v>
      </c>
      <c r="AE61" s="174"/>
      <c r="AF61" s="174">
        <f>IFERROR(_xlfn.XLOOKUP($D61,'Modelling New'!$D:$D,'Modelling New'!$W:$W),"")</f>
        <v>0.53935862068965523</v>
      </c>
      <c r="AG61" s="174">
        <f>IFERROR(_xlfn.XLOOKUP($D61,'Modelling New'!$D:$D,'Modelling New'!$AE:$AE),"")</f>
        <v>0.96029999999999993</v>
      </c>
      <c r="AH61" s="174">
        <f>IFERROR(_xlfn.XLOOKUP($D61,'Modelling New'!$D:$D,'Modelling New'!$AF:$AF),"")</f>
        <v>0.995</v>
      </c>
      <c r="AI61" s="177">
        <f>IFERROR(_xlfn.XLOOKUP($A61,Input_Raw!$A:$A,Input_Raw!$BQ:$BQ),"")</f>
        <v>1294.8800000000001</v>
      </c>
      <c r="AJ61" s="167"/>
      <c r="AK61" s="167"/>
      <c r="AL61" s="167"/>
      <c r="AM61" s="167"/>
      <c r="AN61" s="175">
        <f>IFERROR(_xlfn.XLOOKUP($A61,Input_Raw!$A:$A,Input_Raw!$BN:$BN),"")</f>
        <v>3.6494675868397407E-2</v>
      </c>
      <c r="AO61" s="174">
        <f>IFERROR((_xlfn.XLOOKUP($A61,'WTG Reactive Power'!$A:$A,'WTG Reactive Power'!$AE:$AE))/Table13[[#This Row],[Gen_Exp (kWh)]],"")</f>
        <v>8.9766579364927608E-3</v>
      </c>
      <c r="AP61" s="174">
        <f>IFERROR(_xlfn.XLOOKUP($D61,'Modelling New'!$D:$D,'Modelling New'!$AK:$AK),"")</f>
        <v>0.05</v>
      </c>
      <c r="AQ61" s="174">
        <f>IFERROR(_xlfn.XLOOKUP($D61,'Modelling New'!$D:$D,'Modelling New'!$AL:$AL),"")</f>
        <v>0.05</v>
      </c>
      <c r="AR61" s="276">
        <f>IFERROR(_xlfn.XLOOKUP($D61,'Modelling New'!$D:$D,'Modelling New'!$N:$N),"")</f>
        <v>70.2</v>
      </c>
      <c r="AS61" s="276"/>
    </row>
    <row r="62" spans="1:45">
      <c r="A62" s="165">
        <f t="shared" si="7"/>
        <v>45805</v>
      </c>
      <c r="B62" s="166">
        <f>YEAR(Table13[[#This Row],[Date]])+IF(MONTH(Table13[[#This Row],[Date]])&gt;=4,1,0)</f>
        <v>2026</v>
      </c>
      <c r="C62" s="167">
        <f>YEAR(Table13[[#This Row],[Date]])</f>
        <v>2025</v>
      </c>
      <c r="D62" s="168">
        <f>Table13[[#This Row],[Date]]-DAY(Table13[[#This Row],[Date]])+1</f>
        <v>45778</v>
      </c>
      <c r="E62" s="167">
        <f t="shared" si="4"/>
        <v>31</v>
      </c>
      <c r="F62" s="169"/>
      <c r="G62" s="170"/>
      <c r="H62" s="170"/>
      <c r="I62" s="170"/>
      <c r="J62" s="170"/>
      <c r="K62" s="171"/>
      <c r="L62" s="170"/>
      <c r="M62" s="170">
        <f>IFERROR(_xlfn.XLOOKUP($A62,Input_Raw!$A:$A,Input_Raw!BG:BG),"")</f>
        <v>8.4200000000000017</v>
      </c>
      <c r="N62" s="170">
        <f>IFERROR(_xlfn.XLOOKUP($A62,Input_Raw!$A:$A,Input_Raw!BH:BH),"")</f>
        <v>0</v>
      </c>
      <c r="O62" s="173">
        <f t="shared" si="5"/>
        <v>0.82606588818631221</v>
      </c>
      <c r="P62" s="173">
        <f>IFERROR(1-SUMIF(WTG_BD!$F:$F,$A62,WTG_BD!$AA:$AA)/($AA62+SUMIF(WTG_BD!$F:$F,$A62,WTG_BD!$AA:$AA)),"")</f>
        <v>0.9914548796162479</v>
      </c>
      <c r="Q62" s="173">
        <f>IFERROR(1-SUMIF(IGA_BD!$F:$F,$A62,IGA_BD!$X:$X)/($AA62+SUMIF(IGA_BD!$F:$F,$A62,IGA_BD!$X:$X)),"")</f>
        <v>0.83318555909074643</v>
      </c>
      <c r="R62" s="173">
        <f>IFERROR(1-SUMIF(Grid_BD!$F:$F,$A62,Grid_BD!$Y:$Y)/($AA62+SUMIF(Grid_BD!$F:$F,$A62,Grid_BD!$Y:$Y)),"")</f>
        <v>1</v>
      </c>
      <c r="S62" s="167"/>
      <c r="T62" s="172"/>
      <c r="U62" s="173"/>
      <c r="V62" s="167"/>
      <c r="W62" s="174">
        <f t="shared" si="6"/>
        <v>0.55795940170940161</v>
      </c>
      <c r="X62" s="167">
        <f>IFERROR(_xlfn.XLOOKUP($A62,Input_Raw!$A:$A,Input_Raw!$BF:$BF),"")</f>
        <v>971819</v>
      </c>
      <c r="Y62" s="167">
        <f>IFERROR(_xlfn.XLOOKUP($A62,Input_Raw!$A:$A,Input_Raw!BJ:BJ),"")</f>
        <v>940050</v>
      </c>
      <c r="Z62" s="167">
        <f>IFERROR(_xlfn.XLOOKUP($A62,Input_Raw!$A:$A,Input_Raw!BK:BK),"")</f>
        <v>0</v>
      </c>
      <c r="AA62" s="167">
        <f>IFERROR(_xlfn.XLOOKUP($A62,Input_Raw!$A:$A,Input_Raw!BL:BL),"")</f>
        <v>940050</v>
      </c>
      <c r="AB62" s="167">
        <f>IFERROR(_xlfn.XLOOKUP($A62,Input_Raw!$A:$A,Input_Raw!$BO:$BO),"")</f>
        <v>70.2</v>
      </c>
      <c r="AC62" s="176">
        <f>IFERROR(_xlfn.XLOOKUP($D62,'Modelling New'!$D:$D,'Modelling New'!$J:$J),"")</f>
        <v>7.19</v>
      </c>
      <c r="AD62" s="166">
        <f>IFERROR(_xlfn.XLOOKUP($D62,'Modelling New'!$D:$D,'Modelling New'!$T:$T)*1000,"")</f>
        <v>908711.4041379313</v>
      </c>
      <c r="AE62" s="174"/>
      <c r="AF62" s="174">
        <f>IFERROR(_xlfn.XLOOKUP($D62,'Modelling New'!$D:$D,'Modelling New'!$W:$W),"")</f>
        <v>0.53935862068965523</v>
      </c>
      <c r="AG62" s="174">
        <f>IFERROR(_xlfn.XLOOKUP($D62,'Modelling New'!$D:$D,'Modelling New'!$AE:$AE),"")</f>
        <v>0.96029999999999993</v>
      </c>
      <c r="AH62" s="174">
        <f>IFERROR(_xlfn.XLOOKUP($D62,'Modelling New'!$D:$D,'Modelling New'!$AF:$AF),"")</f>
        <v>0.995</v>
      </c>
      <c r="AI62" s="177">
        <f>IFERROR(_xlfn.XLOOKUP($A62,Input_Raw!$A:$A,Input_Raw!$BQ:$BQ),"")</f>
        <v>1024.6199999999999</v>
      </c>
      <c r="AJ62" s="167"/>
      <c r="AK62" s="167"/>
      <c r="AL62" s="167"/>
      <c r="AM62" s="167"/>
      <c r="AN62" s="175">
        <f>IFERROR(_xlfn.XLOOKUP($A62,Input_Raw!$A:$A,Input_Raw!$BN:$BN),"")</f>
        <v>3.2690243759383175E-2</v>
      </c>
      <c r="AO62" s="174">
        <f>IFERROR((_xlfn.XLOOKUP($A62,'WTG Reactive Power'!$A:$A,'WTG Reactive Power'!$AE:$AE))/Table13[[#This Row],[Gen_Exp (kWh)]],"")</f>
        <v>3.7043523536790294E-3</v>
      </c>
      <c r="AP62" s="174">
        <f>IFERROR(_xlfn.XLOOKUP($D62,'Modelling New'!$D:$D,'Modelling New'!$AK:$AK),"")</f>
        <v>0.05</v>
      </c>
      <c r="AQ62" s="174">
        <f>IFERROR(_xlfn.XLOOKUP($D62,'Modelling New'!$D:$D,'Modelling New'!$AL:$AL),"")</f>
        <v>0.05</v>
      </c>
      <c r="AR62" s="276">
        <f>IFERROR(_xlfn.XLOOKUP($D62,'Modelling New'!$D:$D,'Modelling New'!$N:$N),"")</f>
        <v>70.2</v>
      </c>
      <c r="AS62" s="276"/>
    </row>
    <row r="63" spans="1:45">
      <c r="A63" s="165">
        <f t="shared" si="7"/>
        <v>45806</v>
      </c>
      <c r="B63" s="166">
        <f>YEAR(Table13[[#This Row],[Date]])+IF(MONTH(Table13[[#This Row],[Date]])&gt;=4,1,0)</f>
        <v>2026</v>
      </c>
      <c r="C63" s="167">
        <f>YEAR(Table13[[#This Row],[Date]])</f>
        <v>2025</v>
      </c>
      <c r="D63" s="168">
        <f>Table13[[#This Row],[Date]]-DAY(Table13[[#This Row],[Date]])+1</f>
        <v>45778</v>
      </c>
      <c r="E63" s="167">
        <f t="shared" si="4"/>
        <v>31</v>
      </c>
      <c r="F63" s="169"/>
      <c r="G63" s="176"/>
      <c r="H63" s="176"/>
      <c r="I63" s="176"/>
      <c r="J63" s="176"/>
      <c r="K63" s="171"/>
      <c r="L63" s="170"/>
      <c r="M63" s="170">
        <f>IFERROR(_xlfn.XLOOKUP($A63,Input_Raw!$A:$A,Input_Raw!BG:BG),"")</f>
        <v>7.4665384615384625</v>
      </c>
      <c r="N63" s="170">
        <f>IFERROR(_xlfn.XLOOKUP($A63,Input_Raw!$A:$A,Input_Raw!BH:BH),"")</f>
        <v>0</v>
      </c>
      <c r="O63" s="173">
        <f t="shared" si="5"/>
        <v>0.98631774414767226</v>
      </c>
      <c r="P63" s="173">
        <f>IFERROR(1-SUMIF(WTG_BD!$F:$F,$A63,WTG_BD!$AA:$AA)/($AA63+SUMIF(WTG_BD!$F:$F,$A63,WTG_BD!$AA:$AA)),"")</f>
        <v>0.98631774414767226</v>
      </c>
      <c r="Q63" s="173">
        <f>IFERROR(1-SUMIF(IGA_BD!$F:$F,$A63,IGA_BD!$X:$X)/($AA63+SUMIF(IGA_BD!$F:$F,$A63,IGA_BD!$X:$X)),"")</f>
        <v>1</v>
      </c>
      <c r="R63" s="173">
        <f>IFERROR(1-SUMIF(Grid_BD!$F:$F,$A63,Grid_BD!$Y:$Y)/($AA63+SUMIF(Grid_BD!$F:$F,$A63,Grid_BD!$Y:$Y)),"")</f>
        <v>1</v>
      </c>
      <c r="S63" s="167"/>
      <c r="T63" s="172"/>
      <c r="U63" s="173"/>
      <c r="V63" s="167"/>
      <c r="W63" s="174">
        <f t="shared" si="6"/>
        <v>0.53498931623931612</v>
      </c>
      <c r="X63" s="167">
        <f>IFERROR(_xlfn.XLOOKUP($A63,Input_Raw!$A:$A,Input_Raw!$BF:$BF),"")</f>
        <v>932530</v>
      </c>
      <c r="Y63" s="167">
        <f>IFERROR(_xlfn.XLOOKUP($A63,Input_Raw!$A:$A,Input_Raw!BJ:BJ),"")</f>
        <v>901800</v>
      </c>
      <c r="Z63" s="167">
        <f>IFERROR(_xlfn.XLOOKUP($A63,Input_Raw!$A:$A,Input_Raw!BK:BK),"")</f>
        <v>450</v>
      </c>
      <c r="AA63" s="167">
        <f>IFERROR(_xlfn.XLOOKUP($A63,Input_Raw!$A:$A,Input_Raw!BL:BL),"")</f>
        <v>901350</v>
      </c>
      <c r="AB63" s="167">
        <f>IFERROR(_xlfn.XLOOKUP($A63,Input_Raw!$A:$A,Input_Raw!$BO:$BO),"")</f>
        <v>70.2</v>
      </c>
      <c r="AC63" s="176">
        <f>IFERROR(_xlfn.XLOOKUP($D63,'Modelling New'!$D:$D,'Modelling New'!$J:$J),"")</f>
        <v>7.19</v>
      </c>
      <c r="AD63" s="166">
        <f>IFERROR(_xlfn.XLOOKUP($D63,'Modelling New'!$D:$D,'Modelling New'!$T:$T)*1000,"")</f>
        <v>908711.4041379313</v>
      </c>
      <c r="AE63" s="174"/>
      <c r="AF63" s="174">
        <f>IFERROR(_xlfn.XLOOKUP($D63,'Modelling New'!$D:$D,'Modelling New'!$W:$W),"")</f>
        <v>0.53935862068965523</v>
      </c>
      <c r="AG63" s="174">
        <f>IFERROR(_xlfn.XLOOKUP($D63,'Modelling New'!$D:$D,'Modelling New'!$AE:$AE),"")</f>
        <v>0.96029999999999993</v>
      </c>
      <c r="AH63" s="174">
        <f>IFERROR(_xlfn.XLOOKUP($D63,'Modelling New'!$D:$D,'Modelling New'!$AF:$AF),"")</f>
        <v>0.995</v>
      </c>
      <c r="AI63" s="177">
        <f>IFERROR(_xlfn.XLOOKUP($A63,Input_Raw!$A:$A,Input_Raw!$BQ:$BQ),"")</f>
        <v>986.68</v>
      </c>
      <c r="AJ63" s="167"/>
      <c r="AK63" s="167"/>
      <c r="AL63" s="167"/>
      <c r="AM63" s="167"/>
      <c r="AN63" s="175">
        <f>IFERROR(_xlfn.XLOOKUP($A63,Input_Raw!$A:$A,Input_Raw!$BN:$BN),"")</f>
        <v>3.2953363430667112E-2</v>
      </c>
      <c r="AO63" s="174">
        <f>IFERROR((_xlfn.XLOOKUP($A63,'WTG Reactive Power'!$A:$A,'WTG Reactive Power'!$AE:$AE))/Table13[[#This Row],[Gen_Exp (kWh)]],"")</f>
        <v>7.7208454419696966E-3</v>
      </c>
      <c r="AP63" s="174">
        <f>IFERROR(_xlfn.XLOOKUP($D63,'Modelling New'!$D:$D,'Modelling New'!$AK:$AK),"")</f>
        <v>0.05</v>
      </c>
      <c r="AQ63" s="174">
        <f>IFERROR(_xlfn.XLOOKUP($D63,'Modelling New'!$D:$D,'Modelling New'!$AL:$AL),"")</f>
        <v>0.05</v>
      </c>
      <c r="AR63" s="276">
        <f>IFERROR(_xlfn.XLOOKUP($D63,'Modelling New'!$D:$D,'Modelling New'!$N:$N),"")</f>
        <v>70.2</v>
      </c>
      <c r="AS63" s="276"/>
    </row>
    <row r="64" spans="1:45">
      <c r="A64" s="165">
        <f t="shared" si="7"/>
        <v>45807</v>
      </c>
      <c r="B64" s="166">
        <f>YEAR(Table13[[#This Row],[Date]])+IF(MONTH(Table13[[#This Row],[Date]])&gt;=4,1,0)</f>
        <v>2026</v>
      </c>
      <c r="C64" s="167">
        <f>YEAR(Table13[[#This Row],[Date]])</f>
        <v>2025</v>
      </c>
      <c r="D64" s="168">
        <f>Table13[[#This Row],[Date]]-DAY(Table13[[#This Row],[Date]])+1</f>
        <v>45778</v>
      </c>
      <c r="E64" s="167">
        <f t="shared" si="4"/>
        <v>31</v>
      </c>
      <c r="F64" s="169"/>
      <c r="G64" s="170"/>
      <c r="H64" s="170"/>
      <c r="I64" s="170"/>
      <c r="J64" s="170"/>
      <c r="K64" s="171"/>
      <c r="L64" s="170"/>
      <c r="M64" s="170">
        <f>IFERROR(_xlfn.XLOOKUP($A64,Input_Raw!$A:$A,Input_Raw!BG:BG),"")</f>
        <v>9.8923076923076891</v>
      </c>
      <c r="N64" s="170">
        <f>IFERROR(_xlfn.XLOOKUP($A64,Input_Raw!$A:$A,Input_Raw!BH:BH),"")</f>
        <v>0</v>
      </c>
      <c r="O64" s="173">
        <f t="shared" si="5"/>
        <v>0.98481491114417496</v>
      </c>
      <c r="P64" s="173">
        <f>IFERROR(1-SUMIF(WTG_BD!$F:$F,$A64,WTG_BD!$AA:$AA)/($AA64+SUMIF(WTG_BD!$F:$F,$A64,WTG_BD!$AA:$AA)),"")</f>
        <v>0.98481491114417496</v>
      </c>
      <c r="Q64" s="173">
        <f>IFERROR(1-SUMIF(IGA_BD!$F:$F,$A64,IGA_BD!$X:$X)/($AA64+SUMIF(IGA_BD!$F:$F,$A64,IGA_BD!$X:$X)),"")</f>
        <v>1</v>
      </c>
      <c r="R64" s="173">
        <f>IFERROR(1-SUMIF(Grid_BD!$F:$F,$A64,Grid_BD!$Y:$Y)/($AA64+SUMIF(Grid_BD!$F:$F,$A64,Grid_BD!$Y:$Y)),"")</f>
        <v>1</v>
      </c>
      <c r="S64" s="167"/>
      <c r="T64" s="172"/>
      <c r="U64" s="173"/>
      <c r="V64" s="167"/>
      <c r="W64" s="174">
        <f t="shared" si="6"/>
        <v>0.81356837606837595</v>
      </c>
      <c r="X64" s="167">
        <f>IFERROR(_xlfn.XLOOKUP($A64,Input_Raw!$A:$A,Input_Raw!$BF:$BF),"")</f>
        <v>1422464</v>
      </c>
      <c r="Y64" s="167">
        <f>IFERROR(_xlfn.XLOOKUP($A64,Input_Raw!$A:$A,Input_Raw!BJ:BJ),"")</f>
        <v>1370700</v>
      </c>
      <c r="Z64" s="167">
        <f>IFERROR(_xlfn.XLOOKUP($A64,Input_Raw!$A:$A,Input_Raw!BK:BK),"")</f>
        <v>0</v>
      </c>
      <c r="AA64" s="167">
        <f>IFERROR(_xlfn.XLOOKUP($A64,Input_Raw!$A:$A,Input_Raw!BL:BL),"")</f>
        <v>1370700</v>
      </c>
      <c r="AB64" s="167">
        <f>IFERROR(_xlfn.XLOOKUP($A64,Input_Raw!$A:$A,Input_Raw!$BO:$BO),"")</f>
        <v>70.2</v>
      </c>
      <c r="AC64" s="176">
        <f>IFERROR(_xlfn.XLOOKUP($D64,'Modelling New'!$D:$D,'Modelling New'!$J:$J),"")</f>
        <v>7.19</v>
      </c>
      <c r="AD64" s="166">
        <f>IFERROR(_xlfn.XLOOKUP($D64,'Modelling New'!$D:$D,'Modelling New'!$T:$T)*1000,"")</f>
        <v>908711.4041379313</v>
      </c>
      <c r="AE64" s="174"/>
      <c r="AF64" s="174">
        <f>IFERROR(_xlfn.XLOOKUP($D64,'Modelling New'!$D:$D,'Modelling New'!$W:$W),"")</f>
        <v>0.53935862068965523</v>
      </c>
      <c r="AG64" s="174">
        <f>IFERROR(_xlfn.XLOOKUP($D64,'Modelling New'!$D:$D,'Modelling New'!$AE:$AE),"")</f>
        <v>0.96029999999999993</v>
      </c>
      <c r="AH64" s="174">
        <f>IFERROR(_xlfn.XLOOKUP($D64,'Modelling New'!$D:$D,'Modelling New'!$AF:$AF),"")</f>
        <v>0.995</v>
      </c>
      <c r="AI64" s="177">
        <f>IFERROR(_xlfn.XLOOKUP($A64,Input_Raw!$A:$A,Input_Raw!$BQ:$BQ),"")</f>
        <v>1505.57</v>
      </c>
      <c r="AJ64" s="167"/>
      <c r="AK64" s="167"/>
      <c r="AL64" s="167"/>
      <c r="AM64" s="167"/>
      <c r="AN64" s="175">
        <f>IFERROR(_xlfn.XLOOKUP($A64,Input_Raw!$A:$A,Input_Raw!$BN:$BN),"")</f>
        <v>3.6390376136056869E-2</v>
      </c>
      <c r="AO64" s="174">
        <f>IFERROR((_xlfn.XLOOKUP($A64,'WTG Reactive Power'!$A:$A,'WTG Reactive Power'!$AE:$AE))/Table13[[#This Row],[Gen_Exp (kWh)]],"")</f>
        <v>2.3726308715018445E-2</v>
      </c>
      <c r="AP64" s="174">
        <f>IFERROR(_xlfn.XLOOKUP($D64,'Modelling New'!$D:$D,'Modelling New'!$AK:$AK),"")</f>
        <v>0.05</v>
      </c>
      <c r="AQ64" s="174">
        <f>IFERROR(_xlfn.XLOOKUP($D64,'Modelling New'!$D:$D,'Modelling New'!$AL:$AL),"")</f>
        <v>0.05</v>
      </c>
      <c r="AR64" s="276">
        <f>IFERROR(_xlfn.XLOOKUP($D64,'Modelling New'!$D:$D,'Modelling New'!$N:$N),"")</f>
        <v>70.2</v>
      </c>
      <c r="AS64" s="276"/>
    </row>
    <row r="65" spans="1:45">
      <c r="A65" s="165">
        <f t="shared" si="7"/>
        <v>45808</v>
      </c>
      <c r="B65" s="166">
        <f>YEAR(Table13[[#This Row],[Date]])+IF(MONTH(Table13[[#This Row],[Date]])&gt;=4,1,0)</f>
        <v>2026</v>
      </c>
      <c r="C65" s="167">
        <f>YEAR(Table13[[#This Row],[Date]])</f>
        <v>2025</v>
      </c>
      <c r="D65" s="168">
        <f>Table13[[#This Row],[Date]]-DAY(Table13[[#This Row],[Date]])+1</f>
        <v>45778</v>
      </c>
      <c r="E65" s="167">
        <f t="shared" si="4"/>
        <v>31</v>
      </c>
      <c r="F65" s="169"/>
      <c r="G65" s="176"/>
      <c r="H65" s="176"/>
      <c r="I65" s="176"/>
      <c r="J65" s="176"/>
      <c r="K65" s="171"/>
      <c r="L65" s="170"/>
      <c r="M65" s="170">
        <f>IFERROR(_xlfn.XLOOKUP($A65,Input_Raw!$A:$A,Input_Raw!BG:BG),"")</f>
        <v>9.6238461538461557</v>
      </c>
      <c r="N65" s="170">
        <f>IFERROR(_xlfn.XLOOKUP($A65,Input_Raw!$A:$A,Input_Raw!BH:BH),"")</f>
        <v>0</v>
      </c>
      <c r="O65" s="173">
        <f t="shared" si="5"/>
        <v>0.97167133316612453</v>
      </c>
      <c r="P65" s="173">
        <f>IFERROR(1-SUMIF(WTG_BD!$F:$F,$A65,WTG_BD!$AA:$AA)/($AA65+SUMIF(WTG_BD!$F:$F,$A65,WTG_BD!$AA:$AA)),"")</f>
        <v>0.99229723583521312</v>
      </c>
      <c r="Q65" s="173">
        <f>IFERROR(1-SUMIF(IGA_BD!$F:$F,$A65,IGA_BD!$X:$X)/($AA65+SUMIF(IGA_BD!$F:$F,$A65,IGA_BD!$X:$X)),"")</f>
        <v>0.97921398757930844</v>
      </c>
      <c r="R65" s="173">
        <f>IFERROR(1-SUMIF(Grid_BD!$F:$F,$A65,Grid_BD!$Y:$Y)/($AA65+SUMIF(Grid_BD!$F:$F,$A65,Grid_BD!$Y:$Y)),"")</f>
        <v>1</v>
      </c>
      <c r="S65" s="167"/>
      <c r="T65" s="172"/>
      <c r="U65" s="173"/>
      <c r="V65" s="167"/>
      <c r="W65" s="174">
        <f t="shared" si="6"/>
        <v>0.76736111111111105</v>
      </c>
      <c r="X65" s="167">
        <f>IFERROR(_xlfn.XLOOKUP($A65,Input_Raw!$A:$A,Input_Raw!$BF:$BF),"")</f>
        <v>1341161</v>
      </c>
      <c r="Y65" s="167">
        <f>IFERROR(_xlfn.XLOOKUP($A65,Input_Raw!$A:$A,Input_Raw!BJ:BJ),"")</f>
        <v>1292850</v>
      </c>
      <c r="Z65" s="167">
        <f>IFERROR(_xlfn.XLOOKUP($A65,Input_Raw!$A:$A,Input_Raw!BK:BK),"")</f>
        <v>0</v>
      </c>
      <c r="AA65" s="167">
        <f>IFERROR(_xlfn.XLOOKUP($A65,Input_Raw!$A:$A,Input_Raw!BL:BL),"")</f>
        <v>1292850</v>
      </c>
      <c r="AB65" s="167">
        <f>IFERROR(_xlfn.XLOOKUP($A65,Input_Raw!$A:$A,Input_Raw!$BO:$BO),"")</f>
        <v>70.2</v>
      </c>
      <c r="AC65" s="176">
        <f>IFERROR(_xlfn.XLOOKUP($D65,'Modelling New'!$D:$D,'Modelling New'!$J:$J),"")</f>
        <v>7.19</v>
      </c>
      <c r="AD65" s="166">
        <f>IFERROR(_xlfn.XLOOKUP($D65,'Modelling New'!$D:$D,'Modelling New'!$T:$T)*1000,"")</f>
        <v>908711.4041379313</v>
      </c>
      <c r="AE65" s="174"/>
      <c r="AF65" s="174">
        <f>IFERROR(_xlfn.XLOOKUP($D65,'Modelling New'!$D:$D,'Modelling New'!$W:$W),"")</f>
        <v>0.53935862068965523</v>
      </c>
      <c r="AG65" s="174">
        <f>IFERROR(_xlfn.XLOOKUP($D65,'Modelling New'!$D:$D,'Modelling New'!$AE:$AE),"")</f>
        <v>0.96029999999999993</v>
      </c>
      <c r="AH65" s="174">
        <f>IFERROR(_xlfn.XLOOKUP($D65,'Modelling New'!$D:$D,'Modelling New'!$AF:$AF),"")</f>
        <v>0.995</v>
      </c>
      <c r="AI65" s="177">
        <f>IFERROR(_xlfn.XLOOKUP($A65,Input_Raw!$A:$A,Input_Raw!$BQ:$BQ),"")</f>
        <v>1438.1</v>
      </c>
      <c r="AJ65" s="167"/>
      <c r="AK65" s="167"/>
      <c r="AL65" s="167"/>
      <c r="AM65" s="167"/>
      <c r="AN65" s="175">
        <f>IFERROR(_xlfn.XLOOKUP($A65,Input_Raw!$A:$A,Input_Raw!$BN:$BN),"")</f>
        <v>3.602177516345912E-2</v>
      </c>
      <c r="AO65" s="174">
        <f>IFERROR((_xlfn.XLOOKUP($A65,'WTG Reactive Power'!$A:$A,'WTG Reactive Power'!$AE:$AE))/Table13[[#This Row],[Gen_Exp (kWh)]],"")</f>
        <v>2.5164629749895799E-2</v>
      </c>
      <c r="AP65" s="174">
        <f>IFERROR(_xlfn.XLOOKUP($D65,'Modelling New'!$D:$D,'Modelling New'!$AK:$AK),"")</f>
        <v>0.05</v>
      </c>
      <c r="AQ65" s="174">
        <f>IFERROR(_xlfn.XLOOKUP($D65,'Modelling New'!$D:$D,'Modelling New'!$AL:$AL),"")</f>
        <v>0.05</v>
      </c>
      <c r="AR65" s="276">
        <f>IFERROR(_xlfn.XLOOKUP($D65,'Modelling New'!$D:$D,'Modelling New'!$N:$N),"")</f>
        <v>70.2</v>
      </c>
      <c r="AS65" s="276"/>
    </row>
    <row r="66" spans="1:45">
      <c r="A66" s="165">
        <f t="shared" si="7"/>
        <v>45809</v>
      </c>
      <c r="B66" s="166">
        <f>YEAR(Table13[[#This Row],[Date]])+IF(MONTH(Table13[[#This Row],[Date]])&gt;=4,1,0)</f>
        <v>2026</v>
      </c>
      <c r="C66" s="167">
        <f>YEAR(Table13[[#This Row],[Date]])</f>
        <v>2025</v>
      </c>
      <c r="D66" s="168">
        <f>Table13[[#This Row],[Date]]-DAY(Table13[[#This Row],[Date]])+1</f>
        <v>45809</v>
      </c>
      <c r="E66" s="167">
        <f t="shared" si="4"/>
        <v>30</v>
      </c>
      <c r="F66" s="169"/>
      <c r="G66" s="170"/>
      <c r="H66" s="170"/>
      <c r="I66" s="170"/>
      <c r="J66" s="170"/>
      <c r="K66" s="171"/>
      <c r="L66" s="170"/>
      <c r="M66" s="170">
        <f>IFERROR(_xlfn.XLOOKUP($A66,Input_Raw!$A:$A,Input_Raw!BG:BG),"")</f>
        <v>9.6657692307692322</v>
      </c>
      <c r="N66" s="170">
        <f>IFERROR(_xlfn.XLOOKUP($A66,Input_Raw!$A:$A,Input_Raw!BH:BH),"")</f>
        <v>0</v>
      </c>
      <c r="O66" s="173">
        <f t="shared" si="5"/>
        <v>0.99293084129382181</v>
      </c>
      <c r="P66" s="173">
        <f>IFERROR(1-SUMIF(WTG_BD!$F:$F,$A66,WTG_BD!$AA:$AA)/($AA66+SUMIF(WTG_BD!$F:$F,$A66,WTG_BD!$AA:$AA)),"")</f>
        <v>0.99293084129382181</v>
      </c>
      <c r="Q66" s="173">
        <f>IFERROR(1-SUMIF(IGA_BD!$F:$F,$A66,IGA_BD!$X:$X)/($AA66+SUMIF(IGA_BD!$F:$F,$A66,IGA_BD!$X:$X)),"")</f>
        <v>1</v>
      </c>
      <c r="R66" s="173">
        <f>IFERROR(1-SUMIF(Grid_BD!$F:$F,$A66,Grid_BD!$Y:$Y)/($AA66+SUMIF(Grid_BD!$F:$F,$A66,Grid_BD!$Y:$Y)),"")</f>
        <v>1</v>
      </c>
      <c r="S66" s="167"/>
      <c r="T66" s="172"/>
      <c r="U66" s="173"/>
      <c r="V66" s="167"/>
      <c r="W66" s="174">
        <f t="shared" si="6"/>
        <v>0.78098290598290587</v>
      </c>
      <c r="X66" s="167">
        <f>IFERROR(_xlfn.XLOOKUP($A66,Input_Raw!$A:$A,Input_Raw!$BF:$BF),"")</f>
        <v>1362401</v>
      </c>
      <c r="Y66" s="167">
        <f>IFERROR(_xlfn.XLOOKUP($A66,Input_Raw!$A:$A,Input_Raw!BJ:BJ),"")</f>
        <v>1315800</v>
      </c>
      <c r="Z66" s="167">
        <f>IFERROR(_xlfn.XLOOKUP($A66,Input_Raw!$A:$A,Input_Raw!BK:BK),"")</f>
        <v>0</v>
      </c>
      <c r="AA66" s="167">
        <f>IFERROR(_xlfn.XLOOKUP($A66,Input_Raw!$A:$A,Input_Raw!BL:BL),"")</f>
        <v>1315800</v>
      </c>
      <c r="AB66" s="167">
        <f>IFERROR(_xlfn.XLOOKUP($A66,Input_Raw!$A:$A,Input_Raw!$BO:$BO),"")</f>
        <v>70.2</v>
      </c>
      <c r="AC66" s="176">
        <f>IFERROR(_xlfn.XLOOKUP($D66,'Modelling New'!$D:$D,'Modelling New'!$J:$J),"")</f>
        <v>7.15</v>
      </c>
      <c r="AD66" s="166">
        <f>IFERROR(_xlfn.XLOOKUP($D66,'Modelling New'!$D:$D,'Modelling New'!$T:$T)*1000,"")</f>
        <v>801613.2743645322</v>
      </c>
      <c r="AE66" s="174"/>
      <c r="AF66" s="174">
        <f>IFERROR(_xlfn.XLOOKUP($D66,'Modelling New'!$D:$D,'Modelling New'!$W:$W),"")</f>
        <v>0.47579135467980305</v>
      </c>
      <c r="AG66" s="174">
        <f>IFERROR(_xlfn.XLOOKUP($D66,'Modelling New'!$D:$D,'Modelling New'!$AE:$AE),"")</f>
        <v>0.96029999999999993</v>
      </c>
      <c r="AH66" s="174">
        <f>IFERROR(_xlfn.XLOOKUP($D66,'Modelling New'!$D:$D,'Modelling New'!$AF:$AF),"")</f>
        <v>0.995</v>
      </c>
      <c r="AI66" s="177">
        <f>IFERROR(_xlfn.XLOOKUP($A66,Input_Raw!$A:$A,Input_Raw!$BQ:$BQ),"")</f>
        <v>1430.08</v>
      </c>
      <c r="AJ66" s="167"/>
      <c r="AK66" s="167"/>
      <c r="AL66" s="167"/>
      <c r="AM66" s="167"/>
      <c r="AN66" s="175">
        <f>IFERROR(_xlfn.XLOOKUP($A66,Input_Raw!$A:$A,Input_Raw!$BN:$BN),"")</f>
        <v>3.4205054165403578E-2</v>
      </c>
      <c r="AO66" s="174">
        <f>IFERROR((_xlfn.XLOOKUP($A66,'WTG Reactive Power'!$A:$A,'WTG Reactive Power'!$AE:$AE))/Table13[[#This Row],[Gen_Exp (kWh)]],"")</f>
        <v>1.9817924384964474E-2</v>
      </c>
      <c r="AP66" s="174">
        <f>IFERROR(_xlfn.XLOOKUP($D66,'Modelling New'!$D:$D,'Modelling New'!$AK:$AK),"")</f>
        <v>0.05</v>
      </c>
      <c r="AQ66" s="174">
        <f>IFERROR(_xlfn.XLOOKUP($D66,'Modelling New'!$D:$D,'Modelling New'!$AL:$AL),"")</f>
        <v>0.05</v>
      </c>
      <c r="AR66" s="276">
        <f>IFERROR(_xlfn.XLOOKUP($D66,'Modelling New'!$D:$D,'Modelling New'!$N:$N),"")</f>
        <v>70.2</v>
      </c>
      <c r="AS66" s="276"/>
    </row>
    <row r="67" spans="1:45">
      <c r="A67" s="165">
        <f t="shared" si="7"/>
        <v>45810</v>
      </c>
      <c r="B67" s="166">
        <f>YEAR(Table13[[#This Row],[Date]])+IF(MONTH(Table13[[#This Row],[Date]])&gt;=4,1,0)</f>
        <v>2026</v>
      </c>
      <c r="C67" s="167">
        <f>YEAR(Table13[[#This Row],[Date]])</f>
        <v>2025</v>
      </c>
      <c r="D67" s="168">
        <f>Table13[[#This Row],[Date]]-DAY(Table13[[#This Row],[Date]])+1</f>
        <v>45809</v>
      </c>
      <c r="E67" s="167">
        <f t="shared" si="4"/>
        <v>30</v>
      </c>
      <c r="F67" s="169"/>
      <c r="G67" s="176"/>
      <c r="H67" s="176"/>
      <c r="I67" s="176"/>
      <c r="J67" s="176"/>
      <c r="K67" s="171"/>
      <c r="L67" s="170"/>
      <c r="M67" s="170">
        <f>IFERROR(_xlfn.XLOOKUP($A67,Input_Raw!$A:$A,Input_Raw!BG:BG),"")</f>
        <v>8.838846153846152</v>
      </c>
      <c r="N67" s="170">
        <f>IFERROR(_xlfn.XLOOKUP($A67,Input_Raw!$A:$A,Input_Raw!BH:BH),"")</f>
        <v>0</v>
      </c>
      <c r="O67" s="173">
        <f t="shared" si="5"/>
        <v>0.99385101539320742</v>
      </c>
      <c r="P67" s="173">
        <f>IFERROR(1-SUMIF(WTG_BD!$F:$F,$A67,WTG_BD!$AA:$AA)/($AA67+SUMIF(WTG_BD!$F:$F,$A67,WTG_BD!$AA:$AA)),"")</f>
        <v>0.99385101539320742</v>
      </c>
      <c r="Q67" s="173">
        <f>IFERROR(1-SUMIF(IGA_BD!$F:$F,$A67,IGA_BD!$X:$X)/($AA67+SUMIF(IGA_BD!$F:$F,$A67,IGA_BD!$X:$X)),"")</f>
        <v>1</v>
      </c>
      <c r="R67" s="173">
        <f>IFERROR(1-SUMIF(Grid_BD!$F:$F,$A67,Grid_BD!$Y:$Y)/($AA67+SUMIF(Grid_BD!$F:$F,$A67,Grid_BD!$Y:$Y)),"")</f>
        <v>1</v>
      </c>
      <c r="S67" s="167"/>
      <c r="T67" s="172"/>
      <c r="U67" s="173"/>
      <c r="V67" s="167"/>
      <c r="W67" s="174">
        <f t="shared" si="6"/>
        <v>0.66212606837606824</v>
      </c>
      <c r="X67" s="167">
        <f>IFERROR(_xlfn.XLOOKUP($A67,Input_Raw!$A:$A,Input_Raw!$BF:$BF),"")</f>
        <v>1153366</v>
      </c>
      <c r="Y67" s="167">
        <f>IFERROR(_xlfn.XLOOKUP($A67,Input_Raw!$A:$A,Input_Raw!BJ:BJ),"")</f>
        <v>1115550</v>
      </c>
      <c r="Z67" s="167">
        <f>IFERROR(_xlfn.XLOOKUP($A67,Input_Raw!$A:$A,Input_Raw!BK:BK),"")</f>
        <v>0</v>
      </c>
      <c r="AA67" s="167">
        <f>IFERROR(_xlfn.XLOOKUP($A67,Input_Raw!$A:$A,Input_Raw!BL:BL),"")</f>
        <v>1115550</v>
      </c>
      <c r="AB67" s="167">
        <f>IFERROR(_xlfn.XLOOKUP($A67,Input_Raw!$A:$A,Input_Raw!$BO:$BO),"")</f>
        <v>70.2</v>
      </c>
      <c r="AC67" s="176">
        <f>IFERROR(_xlfn.XLOOKUP($D67,'Modelling New'!$D:$D,'Modelling New'!$J:$J),"")</f>
        <v>7.15</v>
      </c>
      <c r="AD67" s="166">
        <f>IFERROR(_xlfn.XLOOKUP($D67,'Modelling New'!$D:$D,'Modelling New'!$T:$T)*1000,"")</f>
        <v>801613.2743645322</v>
      </c>
      <c r="AE67" s="174"/>
      <c r="AF67" s="174">
        <f>IFERROR(_xlfn.XLOOKUP($D67,'Modelling New'!$D:$D,'Modelling New'!$W:$W),"")</f>
        <v>0.47579135467980305</v>
      </c>
      <c r="AG67" s="174">
        <f>IFERROR(_xlfn.XLOOKUP($D67,'Modelling New'!$D:$D,'Modelling New'!$AE:$AE),"")</f>
        <v>0.96029999999999993</v>
      </c>
      <c r="AH67" s="174">
        <f>IFERROR(_xlfn.XLOOKUP($D67,'Modelling New'!$D:$D,'Modelling New'!$AF:$AF),"")</f>
        <v>0.995</v>
      </c>
      <c r="AI67" s="177">
        <f>IFERROR(_xlfn.XLOOKUP($A67,Input_Raw!$A:$A,Input_Raw!$BQ:$BQ),"")</f>
        <v>1231.2</v>
      </c>
      <c r="AJ67" s="167"/>
      <c r="AK67" s="167"/>
      <c r="AL67" s="167"/>
      <c r="AM67" s="167"/>
      <c r="AN67" s="175">
        <f>IFERROR(_xlfn.XLOOKUP($A67,Input_Raw!$A:$A,Input_Raw!$BN:$BN),"")</f>
        <v>3.2787510642762141E-2</v>
      </c>
      <c r="AO67" s="174">
        <f>IFERROR((_xlfn.XLOOKUP($A67,'WTG Reactive Power'!$A:$A,'WTG Reactive Power'!$AE:$AE))/Table13[[#This Row],[Gen_Exp (kWh)]],"")</f>
        <v>2.3409706892694934E-2</v>
      </c>
      <c r="AP67" s="174">
        <f>IFERROR(_xlfn.XLOOKUP($D67,'Modelling New'!$D:$D,'Modelling New'!$AK:$AK),"")</f>
        <v>0.05</v>
      </c>
      <c r="AQ67" s="174">
        <f>IFERROR(_xlfn.XLOOKUP($D67,'Modelling New'!$D:$D,'Modelling New'!$AL:$AL),"")</f>
        <v>0.05</v>
      </c>
      <c r="AR67" s="276">
        <f>IFERROR(_xlfn.XLOOKUP($D67,'Modelling New'!$D:$D,'Modelling New'!$N:$N),"")</f>
        <v>70.2</v>
      </c>
      <c r="AS67" s="276"/>
    </row>
    <row r="68" spans="1:45">
      <c r="A68" s="165">
        <f t="shared" si="7"/>
        <v>45811</v>
      </c>
      <c r="B68" s="166">
        <f>YEAR(Table13[[#This Row],[Date]])+IF(MONTH(Table13[[#This Row],[Date]])&gt;=4,1,0)</f>
        <v>2026</v>
      </c>
      <c r="C68" s="167">
        <f>YEAR(Table13[[#This Row],[Date]])</f>
        <v>2025</v>
      </c>
      <c r="D68" s="168">
        <f>Table13[[#This Row],[Date]]-DAY(Table13[[#This Row],[Date]])+1</f>
        <v>45809</v>
      </c>
      <c r="E68" s="167">
        <f t="shared" si="4"/>
        <v>30</v>
      </c>
      <c r="F68" s="169"/>
      <c r="G68" s="170"/>
      <c r="H68" s="170"/>
      <c r="I68" s="170"/>
      <c r="J68" s="170"/>
      <c r="K68" s="171"/>
      <c r="L68" s="170"/>
      <c r="M68" s="170">
        <f>IFERROR(_xlfn.XLOOKUP($A68,Input_Raw!$A:$A,Input_Raw!BG:BG),"")</f>
        <v>8.4554725520298923</v>
      </c>
      <c r="N68" s="170">
        <f>IFERROR(_xlfn.XLOOKUP($A68,Input_Raw!$A:$A,Input_Raw!BH:BH),"")</f>
        <v>0</v>
      </c>
      <c r="O68" s="173">
        <f t="shared" si="5"/>
        <v>0.99220575430626723</v>
      </c>
      <c r="P68" s="173">
        <f>IFERROR(1-SUMIF(WTG_BD!$F:$F,$A68,WTG_BD!$AA:$AA)/($AA68+SUMIF(WTG_BD!$F:$F,$A68,WTG_BD!$AA:$AA)),"")</f>
        <v>0.99271166346270168</v>
      </c>
      <c r="Q68" s="173">
        <f>IFERROR(1-SUMIF(IGA_BD!$F:$F,$A68,IGA_BD!$X:$X)/($AA68+SUMIF(IGA_BD!$F:$F,$A68,IGA_BD!$X:$X)),"")</f>
        <v>0.9994903765362545</v>
      </c>
      <c r="R68" s="173">
        <f>IFERROR(1-SUMIF(Grid_BD!$F:$F,$A68,Grid_BD!$Y:$Y)/($AA68+SUMIF(Grid_BD!$F:$F,$A68,Grid_BD!$Y:$Y)),"")</f>
        <v>1</v>
      </c>
      <c r="S68" s="167"/>
      <c r="T68" s="172"/>
      <c r="U68" s="173"/>
      <c r="V68" s="167"/>
      <c r="W68" s="174">
        <f t="shared" si="6"/>
        <v>0.63327991452991439</v>
      </c>
      <c r="X68" s="167">
        <f>IFERROR(_xlfn.XLOOKUP($A68,Input_Raw!$A:$A,Input_Raw!$BF:$BF),"")</f>
        <v>1102681</v>
      </c>
      <c r="Y68" s="167">
        <f>IFERROR(_xlfn.XLOOKUP($A68,Input_Raw!$A:$A,Input_Raw!BJ:BJ),"")</f>
        <v>1066950</v>
      </c>
      <c r="Z68" s="167">
        <f>IFERROR(_xlfn.XLOOKUP($A68,Input_Raw!$A:$A,Input_Raw!BK:BK),"")</f>
        <v>0</v>
      </c>
      <c r="AA68" s="167">
        <f>IFERROR(_xlfn.XLOOKUP($A68,Input_Raw!$A:$A,Input_Raw!BL:BL),"")</f>
        <v>1066950</v>
      </c>
      <c r="AB68" s="167">
        <f>IFERROR(_xlfn.XLOOKUP($A68,Input_Raw!$A:$A,Input_Raw!$BO:$BO),"")</f>
        <v>70.2</v>
      </c>
      <c r="AC68" s="176">
        <f>IFERROR(_xlfn.XLOOKUP($D68,'Modelling New'!$D:$D,'Modelling New'!$J:$J),"")</f>
        <v>7.15</v>
      </c>
      <c r="AD68" s="166">
        <f>IFERROR(_xlfn.XLOOKUP($D68,'Modelling New'!$D:$D,'Modelling New'!$T:$T)*1000,"")</f>
        <v>801613.2743645322</v>
      </c>
      <c r="AE68" s="174"/>
      <c r="AF68" s="174">
        <f>IFERROR(_xlfn.XLOOKUP($D68,'Modelling New'!$D:$D,'Modelling New'!$W:$W),"")</f>
        <v>0.47579135467980305</v>
      </c>
      <c r="AG68" s="174">
        <f>IFERROR(_xlfn.XLOOKUP($D68,'Modelling New'!$D:$D,'Modelling New'!$AE:$AE),"")</f>
        <v>0.96029999999999993</v>
      </c>
      <c r="AH68" s="174">
        <f>IFERROR(_xlfn.XLOOKUP($D68,'Modelling New'!$D:$D,'Modelling New'!$AF:$AF),"")</f>
        <v>0.995</v>
      </c>
      <c r="AI68" s="177">
        <f>IFERROR(_xlfn.XLOOKUP($A68,Input_Raw!$A:$A,Input_Raw!$BQ:$BQ),"")</f>
        <v>1108.56</v>
      </c>
      <c r="AJ68" s="167"/>
      <c r="AK68" s="167"/>
      <c r="AL68" s="167"/>
      <c r="AM68" s="167"/>
      <c r="AN68" s="175">
        <f>IFERROR(_xlfn.XLOOKUP($A68,Input_Raw!$A:$A,Input_Raw!$BN:$BN),"")</f>
        <v>3.2403750495383521E-2</v>
      </c>
      <c r="AO68" s="174">
        <f>IFERROR((_xlfn.XLOOKUP($A68,'WTG Reactive Power'!$A:$A,'WTG Reactive Power'!$AE:$AE))/Table13[[#This Row],[Gen_Exp (kWh)]],"")</f>
        <v>3.6726487533565938E-3</v>
      </c>
      <c r="AP68" s="174">
        <f>IFERROR(_xlfn.XLOOKUP($D68,'Modelling New'!$D:$D,'Modelling New'!$AK:$AK),"")</f>
        <v>0.05</v>
      </c>
      <c r="AQ68" s="174">
        <f>IFERROR(_xlfn.XLOOKUP($D68,'Modelling New'!$D:$D,'Modelling New'!$AL:$AL),"")</f>
        <v>0.05</v>
      </c>
      <c r="AR68" s="276">
        <f>IFERROR(_xlfn.XLOOKUP($D68,'Modelling New'!$D:$D,'Modelling New'!$N:$N),"")</f>
        <v>70.2</v>
      </c>
      <c r="AS68" s="276"/>
    </row>
    <row r="69" spans="1:45">
      <c r="A69" s="165">
        <f t="shared" si="7"/>
        <v>45812</v>
      </c>
      <c r="B69" s="166">
        <f>YEAR(Table13[[#This Row],[Date]])+IF(MONTH(Table13[[#This Row],[Date]])&gt;=4,1,0)</f>
        <v>2026</v>
      </c>
      <c r="C69" s="167">
        <f>YEAR(Table13[[#This Row],[Date]])</f>
        <v>2025</v>
      </c>
      <c r="D69" s="168">
        <f>Table13[[#This Row],[Date]]-DAY(Table13[[#This Row],[Date]])+1</f>
        <v>45809</v>
      </c>
      <c r="E69" s="167">
        <f t="shared" si="4"/>
        <v>30</v>
      </c>
      <c r="F69" s="169"/>
      <c r="G69" s="176"/>
      <c r="H69" s="176"/>
      <c r="I69" s="176"/>
      <c r="J69" s="176"/>
      <c r="K69" s="171"/>
      <c r="L69" s="170"/>
      <c r="M69" s="170">
        <f>IFERROR(_xlfn.XLOOKUP($A69,Input_Raw!$A:$A,Input_Raw!BG:BG),"")</f>
        <v>6.5476816228439612</v>
      </c>
      <c r="N69" s="170">
        <f>IFERROR(_xlfn.XLOOKUP($A69,Input_Raw!$A:$A,Input_Raw!BH:BH),"")</f>
        <v>0</v>
      </c>
      <c r="O69" s="173">
        <f t="shared" si="5"/>
        <v>0.99816576328501561</v>
      </c>
      <c r="P69" s="173">
        <f>IFERROR(1-SUMIF(WTG_BD!$F:$F,$A69,WTG_BD!$AA:$AA)/($AA69+SUMIF(WTG_BD!$F:$F,$A69,WTG_BD!$AA:$AA)),"")</f>
        <v>0.99816576328501561</v>
      </c>
      <c r="Q69" s="173">
        <f>IFERROR(1-SUMIF(IGA_BD!$F:$F,$A69,IGA_BD!$X:$X)/($AA69+SUMIF(IGA_BD!$F:$F,$A69,IGA_BD!$X:$X)),"")</f>
        <v>1</v>
      </c>
      <c r="R69" s="173">
        <f>IFERROR(1-SUMIF(Grid_BD!$F:$F,$A69,Grid_BD!$Y:$Y)/($AA69+SUMIF(Grid_BD!$F:$F,$A69,Grid_BD!$Y:$Y)),"")</f>
        <v>1</v>
      </c>
      <c r="S69" s="167"/>
      <c r="T69" s="172"/>
      <c r="U69" s="173"/>
      <c r="V69" s="167"/>
      <c r="W69" s="174">
        <f t="shared" si="6"/>
        <v>0.39289529914529908</v>
      </c>
      <c r="X69" s="167">
        <f>IFERROR(_xlfn.XLOOKUP($A69,Input_Raw!$A:$A,Input_Raw!$BF:$BF),"")</f>
        <v>681987</v>
      </c>
      <c r="Y69" s="167">
        <f>IFERROR(_xlfn.XLOOKUP($A69,Input_Raw!$A:$A,Input_Raw!BJ:BJ),"")</f>
        <v>661950</v>
      </c>
      <c r="Z69" s="167">
        <f>IFERROR(_xlfn.XLOOKUP($A69,Input_Raw!$A:$A,Input_Raw!BK:BK),"")</f>
        <v>0</v>
      </c>
      <c r="AA69" s="167">
        <f>IFERROR(_xlfn.XLOOKUP($A69,Input_Raw!$A:$A,Input_Raw!BL:BL),"")</f>
        <v>661950</v>
      </c>
      <c r="AB69" s="167">
        <f>IFERROR(_xlfn.XLOOKUP($A69,Input_Raw!$A:$A,Input_Raw!$BO:$BO),"")</f>
        <v>70.2</v>
      </c>
      <c r="AC69" s="176">
        <f>IFERROR(_xlfn.XLOOKUP($D69,'Modelling New'!$D:$D,'Modelling New'!$J:$J),"")</f>
        <v>7.15</v>
      </c>
      <c r="AD69" s="166">
        <f>IFERROR(_xlfn.XLOOKUP($D69,'Modelling New'!$D:$D,'Modelling New'!$T:$T)*1000,"")</f>
        <v>801613.2743645322</v>
      </c>
      <c r="AE69" s="174"/>
      <c r="AF69" s="174">
        <f>IFERROR(_xlfn.XLOOKUP($D69,'Modelling New'!$D:$D,'Modelling New'!$W:$W),"")</f>
        <v>0.47579135467980305</v>
      </c>
      <c r="AG69" s="174">
        <f>IFERROR(_xlfn.XLOOKUP($D69,'Modelling New'!$D:$D,'Modelling New'!$AE:$AE),"")</f>
        <v>0.96029999999999993</v>
      </c>
      <c r="AH69" s="174">
        <f>IFERROR(_xlfn.XLOOKUP($D69,'Modelling New'!$D:$D,'Modelling New'!$AF:$AF),"")</f>
        <v>0.995</v>
      </c>
      <c r="AI69" s="177">
        <f>IFERROR(_xlfn.XLOOKUP($A69,Input_Raw!$A:$A,Input_Raw!$BQ:$BQ),"")</f>
        <v>27.04</v>
      </c>
      <c r="AJ69" s="167"/>
      <c r="AK69" s="167"/>
      <c r="AL69" s="167"/>
      <c r="AM69" s="167"/>
      <c r="AN69" s="175">
        <f>IFERROR(_xlfn.XLOOKUP($A69,Input_Raw!$A:$A,Input_Raw!$BN:$BN),"")</f>
        <v>2.9380325431423181E-2</v>
      </c>
      <c r="AO69" s="174">
        <f>IFERROR((_xlfn.XLOOKUP($A69,'WTG Reactive Power'!$A:$A,'WTG Reactive Power'!$AE:$AE))/Table13[[#This Row],[Gen_Exp (kWh)]],"")</f>
        <v>3.2988605354647526E-3</v>
      </c>
      <c r="AP69" s="174">
        <f>IFERROR(_xlfn.XLOOKUP($D69,'Modelling New'!$D:$D,'Modelling New'!$AK:$AK),"")</f>
        <v>0.05</v>
      </c>
      <c r="AQ69" s="174">
        <f>IFERROR(_xlfn.XLOOKUP($D69,'Modelling New'!$D:$D,'Modelling New'!$AL:$AL),"")</f>
        <v>0.05</v>
      </c>
      <c r="AR69" s="276">
        <f>IFERROR(_xlfn.XLOOKUP($D69,'Modelling New'!$D:$D,'Modelling New'!$N:$N),"")</f>
        <v>70.2</v>
      </c>
      <c r="AS69" s="276"/>
    </row>
    <row r="70" spans="1:45">
      <c r="A70" s="165">
        <f t="shared" si="7"/>
        <v>45813</v>
      </c>
      <c r="B70" s="166">
        <f>YEAR(Table13[[#This Row],[Date]])+IF(MONTH(Table13[[#This Row],[Date]])&gt;=4,1,0)</f>
        <v>2026</v>
      </c>
      <c r="C70" s="167">
        <f>YEAR(Table13[[#This Row],[Date]])</f>
        <v>2025</v>
      </c>
      <c r="D70" s="168">
        <f>Table13[[#This Row],[Date]]-DAY(Table13[[#This Row],[Date]])+1</f>
        <v>45809</v>
      </c>
      <c r="E70" s="167">
        <f t="shared" si="4"/>
        <v>30</v>
      </c>
      <c r="F70" s="169"/>
      <c r="G70" s="170"/>
      <c r="H70" s="170"/>
      <c r="I70" s="170"/>
      <c r="J70" s="170"/>
      <c r="K70" s="171"/>
      <c r="L70" s="170"/>
      <c r="M70" s="170">
        <f>IFERROR(_xlfn.XLOOKUP($A70,Input_Raw!$A:$A,Input_Raw!BG:BG),"")</f>
        <v>5.1218669886390362</v>
      </c>
      <c r="N70" s="170">
        <f>IFERROR(_xlfn.XLOOKUP($A70,Input_Raw!$A:$A,Input_Raw!BH:BH),"")</f>
        <v>0</v>
      </c>
      <c r="O70" s="173">
        <f t="shared" si="5"/>
        <v>0.9920348945024462</v>
      </c>
      <c r="P70" s="173">
        <f>IFERROR(1-SUMIF(WTG_BD!$F:$F,$A70,WTG_BD!$AA:$AA)/($AA70+SUMIF(WTG_BD!$F:$F,$A70,WTG_BD!$AA:$AA)),"")</f>
        <v>0.9920348945024462</v>
      </c>
      <c r="Q70" s="173">
        <f>IFERROR(1-SUMIF(IGA_BD!$F:$F,$A70,IGA_BD!$X:$X)/($AA70+SUMIF(IGA_BD!$F:$F,$A70,IGA_BD!$X:$X)),"")</f>
        <v>1</v>
      </c>
      <c r="R70" s="173">
        <f>IFERROR(1-SUMIF(Grid_BD!$F:$F,$A70,Grid_BD!$Y:$Y)/($AA70+SUMIF(Grid_BD!$F:$F,$A70,Grid_BD!$Y:$Y)),"")</f>
        <v>1</v>
      </c>
      <c r="S70" s="167"/>
      <c r="T70" s="172"/>
      <c r="U70" s="173"/>
      <c r="V70" s="167"/>
      <c r="W70" s="174">
        <f t="shared" si="6"/>
        <v>0.21768162393162391</v>
      </c>
      <c r="X70" s="167">
        <f>IFERROR(_xlfn.XLOOKUP($A70,Input_Raw!$A:$A,Input_Raw!$BF:$BF),"")</f>
        <v>379657</v>
      </c>
      <c r="Y70" s="167">
        <f>IFERROR(_xlfn.XLOOKUP($A70,Input_Raw!$A:$A,Input_Raw!BJ:BJ),"")</f>
        <v>367200</v>
      </c>
      <c r="Z70" s="167">
        <f>IFERROR(_xlfn.XLOOKUP($A70,Input_Raw!$A:$A,Input_Raw!BK:BK),"")</f>
        <v>450</v>
      </c>
      <c r="AA70" s="167">
        <f>IFERROR(_xlfn.XLOOKUP($A70,Input_Raw!$A:$A,Input_Raw!BL:BL),"")</f>
        <v>366750</v>
      </c>
      <c r="AB70" s="167">
        <f>IFERROR(_xlfn.XLOOKUP($A70,Input_Raw!$A:$A,Input_Raw!$BO:$BO),"")</f>
        <v>70.2</v>
      </c>
      <c r="AC70" s="176">
        <f>IFERROR(_xlfn.XLOOKUP($D70,'Modelling New'!$D:$D,'Modelling New'!$J:$J),"")</f>
        <v>7.15</v>
      </c>
      <c r="AD70" s="166">
        <f>IFERROR(_xlfn.XLOOKUP($D70,'Modelling New'!$D:$D,'Modelling New'!$T:$T)*1000,"")</f>
        <v>801613.2743645322</v>
      </c>
      <c r="AE70" s="174"/>
      <c r="AF70" s="174">
        <f>IFERROR(_xlfn.XLOOKUP($D70,'Modelling New'!$D:$D,'Modelling New'!$W:$W),"")</f>
        <v>0.47579135467980305</v>
      </c>
      <c r="AG70" s="174">
        <f>IFERROR(_xlfn.XLOOKUP($D70,'Modelling New'!$D:$D,'Modelling New'!$AE:$AE),"")</f>
        <v>0.96029999999999993</v>
      </c>
      <c r="AH70" s="174">
        <f>IFERROR(_xlfn.XLOOKUP($D70,'Modelling New'!$D:$D,'Modelling New'!$AF:$AF),"")</f>
        <v>0.995</v>
      </c>
      <c r="AI70" s="177">
        <f>IFERROR(_xlfn.XLOOKUP($A70,Input_Raw!$A:$A,Input_Raw!$BQ:$BQ),"")</f>
        <v>385.8</v>
      </c>
      <c r="AJ70" s="167"/>
      <c r="AK70" s="167"/>
      <c r="AL70" s="167"/>
      <c r="AM70" s="167"/>
      <c r="AN70" s="175">
        <f>IFERROR(_xlfn.XLOOKUP($A70,Input_Raw!$A:$A,Input_Raw!$BN:$BN),"")</f>
        <v>3.2811195368450993E-2</v>
      </c>
      <c r="AO70" s="174">
        <f>IFERROR((_xlfn.XLOOKUP($A70,'WTG Reactive Power'!$A:$A,'WTG Reactive Power'!$AE:$AE))/Table13[[#This Row],[Gen_Exp (kWh)]],"")</f>
        <v>2.6075536602775673E-2</v>
      </c>
      <c r="AP70" s="174">
        <f>IFERROR(_xlfn.XLOOKUP($D70,'Modelling New'!$D:$D,'Modelling New'!$AK:$AK),"")</f>
        <v>0.05</v>
      </c>
      <c r="AQ70" s="174">
        <f>IFERROR(_xlfn.XLOOKUP($D70,'Modelling New'!$D:$D,'Modelling New'!$AL:$AL),"")</f>
        <v>0.05</v>
      </c>
      <c r="AR70" s="276">
        <f>IFERROR(_xlfn.XLOOKUP($D70,'Modelling New'!$D:$D,'Modelling New'!$N:$N),"")</f>
        <v>70.2</v>
      </c>
      <c r="AS70" s="276"/>
    </row>
    <row r="71" spans="1:45">
      <c r="A71" s="165">
        <f t="shared" si="7"/>
        <v>45814</v>
      </c>
      <c r="B71" s="166">
        <f>YEAR(Table13[[#This Row],[Date]])+IF(MONTH(Table13[[#This Row],[Date]])&gt;=4,1,0)</f>
        <v>2026</v>
      </c>
      <c r="C71" s="167">
        <f>YEAR(Table13[[#This Row],[Date]])</f>
        <v>2025</v>
      </c>
      <c r="D71" s="168">
        <f>Table13[[#This Row],[Date]]-DAY(Table13[[#This Row],[Date]])+1</f>
        <v>45809</v>
      </c>
      <c r="E71" s="167">
        <f t="shared" si="4"/>
        <v>30</v>
      </c>
      <c r="F71" s="169"/>
      <c r="G71" s="176"/>
      <c r="H71" s="176"/>
      <c r="I71" s="176"/>
      <c r="J71" s="176"/>
      <c r="K71" s="171"/>
      <c r="L71" s="170"/>
      <c r="M71" s="170">
        <f>IFERROR(_xlfn.XLOOKUP($A71,Input_Raw!$A:$A,Input_Raw!BG:BG),"")</f>
        <v>6.127184657855695</v>
      </c>
      <c r="N71" s="170">
        <f>IFERROR(_xlfn.XLOOKUP($A71,Input_Raw!$A:$A,Input_Raw!BH:BH),"")</f>
        <v>0</v>
      </c>
      <c r="O71" s="173">
        <f t="shared" si="5"/>
        <v>0.98051502644950794</v>
      </c>
      <c r="P71" s="173">
        <f>IFERROR(1-SUMIF(WTG_BD!$F:$F,$A71,WTG_BD!$AA:$AA)/($AA71+SUMIF(WTG_BD!$F:$F,$A71,WTG_BD!$AA:$AA)),"")</f>
        <v>0.98051502644950794</v>
      </c>
      <c r="Q71" s="173">
        <f>IFERROR(1-SUMIF(IGA_BD!$F:$F,$A71,IGA_BD!$X:$X)/($AA71+SUMIF(IGA_BD!$F:$F,$A71,IGA_BD!$X:$X)),"")</f>
        <v>1</v>
      </c>
      <c r="R71" s="173">
        <f>IFERROR(1-SUMIF(Grid_BD!$F:$F,$A71,Grid_BD!$Y:$Y)/($AA71+SUMIF(Grid_BD!$F:$F,$A71,Grid_BD!$Y:$Y)),"")</f>
        <v>1</v>
      </c>
      <c r="S71" s="167"/>
      <c r="T71" s="172"/>
      <c r="U71" s="173"/>
      <c r="V71" s="167"/>
      <c r="W71" s="174">
        <f t="shared" si="6"/>
        <v>0.33413461538461536</v>
      </c>
      <c r="X71" s="167">
        <f>IFERROR(_xlfn.XLOOKUP($A71,Input_Raw!$A:$A,Input_Raw!$BF:$BF),"")</f>
        <v>580148</v>
      </c>
      <c r="Y71" s="167">
        <f>IFERROR(_xlfn.XLOOKUP($A71,Input_Raw!$A:$A,Input_Raw!BJ:BJ),"")</f>
        <v>562950</v>
      </c>
      <c r="Z71" s="167">
        <f>IFERROR(_xlfn.XLOOKUP($A71,Input_Raw!$A:$A,Input_Raw!BK:BK),"")</f>
        <v>0</v>
      </c>
      <c r="AA71" s="167">
        <f>IFERROR(_xlfn.XLOOKUP($A71,Input_Raw!$A:$A,Input_Raw!BL:BL),"")</f>
        <v>562950</v>
      </c>
      <c r="AB71" s="167">
        <f>IFERROR(_xlfn.XLOOKUP($A71,Input_Raw!$A:$A,Input_Raw!$BO:$BO),"")</f>
        <v>70.2</v>
      </c>
      <c r="AC71" s="176">
        <f>IFERROR(_xlfn.XLOOKUP($D71,'Modelling New'!$D:$D,'Modelling New'!$J:$J),"")</f>
        <v>7.15</v>
      </c>
      <c r="AD71" s="166">
        <f>IFERROR(_xlfn.XLOOKUP($D71,'Modelling New'!$D:$D,'Modelling New'!$T:$T)*1000,"")</f>
        <v>801613.2743645322</v>
      </c>
      <c r="AE71" s="174"/>
      <c r="AF71" s="174">
        <f>IFERROR(_xlfn.XLOOKUP($D71,'Modelling New'!$D:$D,'Modelling New'!$W:$W),"")</f>
        <v>0.47579135467980305</v>
      </c>
      <c r="AG71" s="174">
        <f>IFERROR(_xlfn.XLOOKUP($D71,'Modelling New'!$D:$D,'Modelling New'!$AE:$AE),"")</f>
        <v>0.96029999999999993</v>
      </c>
      <c r="AH71" s="174">
        <f>IFERROR(_xlfn.XLOOKUP($D71,'Modelling New'!$D:$D,'Modelling New'!$AF:$AF),"")</f>
        <v>0.995</v>
      </c>
      <c r="AI71" s="177">
        <f>IFERROR(_xlfn.XLOOKUP($A71,Input_Raw!$A:$A,Input_Raw!$BQ:$BQ),"")</f>
        <v>593.58000000000004</v>
      </c>
      <c r="AJ71" s="167"/>
      <c r="AK71" s="167"/>
      <c r="AL71" s="167"/>
      <c r="AM71" s="167"/>
      <c r="AN71" s="175">
        <f>IFERROR(_xlfn.XLOOKUP($A71,Input_Raw!$A:$A,Input_Raw!$BN:$BN),"")</f>
        <v>2.9644159766128643E-2</v>
      </c>
      <c r="AO71" s="174">
        <f>IFERROR((_xlfn.XLOOKUP($A71,'WTG Reactive Power'!$A:$A,'WTG Reactive Power'!$AE:$AE))/Table13[[#This Row],[Gen_Exp (kWh)]],"")</f>
        <v>4.6537090535518529E-3</v>
      </c>
      <c r="AP71" s="174">
        <f>IFERROR(_xlfn.XLOOKUP($D71,'Modelling New'!$D:$D,'Modelling New'!$AK:$AK),"")</f>
        <v>0.05</v>
      </c>
      <c r="AQ71" s="174">
        <f>IFERROR(_xlfn.XLOOKUP($D71,'Modelling New'!$D:$D,'Modelling New'!$AL:$AL),"")</f>
        <v>0.05</v>
      </c>
      <c r="AR71" s="276">
        <f>IFERROR(_xlfn.XLOOKUP($D71,'Modelling New'!$D:$D,'Modelling New'!$N:$N),"")</f>
        <v>70.2</v>
      </c>
      <c r="AS71" s="276"/>
    </row>
    <row r="72" spans="1:45">
      <c r="A72" s="165">
        <f t="shared" si="7"/>
        <v>45815</v>
      </c>
      <c r="B72" s="166">
        <f>YEAR(Table13[[#This Row],[Date]])+IF(MONTH(Table13[[#This Row],[Date]])&gt;=4,1,0)</f>
        <v>2026</v>
      </c>
      <c r="C72" s="167">
        <f>YEAR(Table13[[#This Row],[Date]])</f>
        <v>2025</v>
      </c>
      <c r="D72" s="168">
        <f>Table13[[#This Row],[Date]]-DAY(Table13[[#This Row],[Date]])+1</f>
        <v>45809</v>
      </c>
      <c r="E72" s="167">
        <f t="shared" si="4"/>
        <v>30</v>
      </c>
      <c r="F72" s="169"/>
      <c r="G72" s="170"/>
      <c r="H72" s="170"/>
      <c r="I72" s="170"/>
      <c r="J72" s="170"/>
      <c r="K72" s="171"/>
      <c r="L72" s="170"/>
      <c r="M72" s="170">
        <f>IFERROR(_xlfn.XLOOKUP($A72,Input_Raw!$A:$A,Input_Raw!BG:BG),"")</f>
        <v>7.5198626282949839</v>
      </c>
      <c r="N72" s="170">
        <f>IFERROR(_xlfn.XLOOKUP($A72,Input_Raw!$A:$A,Input_Raw!BH:BH),"")</f>
        <v>0</v>
      </c>
      <c r="O72" s="173">
        <f t="shared" si="5"/>
        <v>0.98114198596420932</v>
      </c>
      <c r="P72" s="173">
        <f>IFERROR(1-SUMIF(WTG_BD!$F:$F,$A72,WTG_BD!$AA:$AA)/($AA72+SUMIF(WTG_BD!$F:$F,$A72,WTG_BD!$AA:$AA)),"")</f>
        <v>0.98114198596420932</v>
      </c>
      <c r="Q72" s="173">
        <f>IFERROR(1-SUMIF(IGA_BD!$F:$F,$A72,IGA_BD!$X:$X)/($AA72+SUMIF(IGA_BD!$F:$F,$A72,IGA_BD!$X:$X)),"")</f>
        <v>1</v>
      </c>
      <c r="R72" s="173">
        <f>IFERROR(1-SUMIF(Grid_BD!$F:$F,$A72,Grid_BD!$Y:$Y)/($AA72+SUMIF(Grid_BD!$F:$F,$A72,Grid_BD!$Y:$Y)),"")</f>
        <v>1</v>
      </c>
      <c r="S72" s="167"/>
      <c r="T72" s="172"/>
      <c r="U72" s="173"/>
      <c r="V72" s="167"/>
      <c r="W72" s="174">
        <f t="shared" si="6"/>
        <v>0.51068376068376065</v>
      </c>
      <c r="X72" s="167">
        <f>IFERROR(_xlfn.XLOOKUP($A72,Input_Raw!$A:$A,Input_Raw!$BF:$BF),"")</f>
        <v>886785</v>
      </c>
      <c r="Y72" s="167">
        <f>IFERROR(_xlfn.XLOOKUP($A72,Input_Raw!$A:$A,Input_Raw!BJ:BJ),"")</f>
        <v>860400</v>
      </c>
      <c r="Z72" s="167">
        <f>IFERROR(_xlfn.XLOOKUP($A72,Input_Raw!$A:$A,Input_Raw!BK:BK),"")</f>
        <v>0</v>
      </c>
      <c r="AA72" s="167">
        <f>IFERROR(_xlfn.XLOOKUP($A72,Input_Raw!$A:$A,Input_Raw!BL:BL),"")</f>
        <v>860400</v>
      </c>
      <c r="AB72" s="167">
        <f>IFERROR(_xlfn.XLOOKUP($A72,Input_Raw!$A:$A,Input_Raw!$BO:$BO),"")</f>
        <v>70.2</v>
      </c>
      <c r="AC72" s="176">
        <f>IFERROR(_xlfn.XLOOKUP($D72,'Modelling New'!$D:$D,'Modelling New'!$J:$J),"")</f>
        <v>7.15</v>
      </c>
      <c r="AD72" s="166">
        <f>IFERROR(_xlfn.XLOOKUP($D72,'Modelling New'!$D:$D,'Modelling New'!$T:$T)*1000,"")</f>
        <v>801613.2743645322</v>
      </c>
      <c r="AE72" s="174"/>
      <c r="AF72" s="174">
        <f>IFERROR(_xlfn.XLOOKUP($D72,'Modelling New'!$D:$D,'Modelling New'!$W:$W),"")</f>
        <v>0.47579135467980305</v>
      </c>
      <c r="AG72" s="174">
        <f>IFERROR(_xlfn.XLOOKUP($D72,'Modelling New'!$D:$D,'Modelling New'!$AE:$AE),"")</f>
        <v>0.96029999999999993</v>
      </c>
      <c r="AH72" s="174">
        <f>IFERROR(_xlfn.XLOOKUP($D72,'Modelling New'!$D:$D,'Modelling New'!$AF:$AF),"")</f>
        <v>0.995</v>
      </c>
      <c r="AI72" s="177">
        <f>IFERROR(_xlfn.XLOOKUP($A72,Input_Raw!$A:$A,Input_Raw!$BQ:$BQ),"")</f>
        <v>899.42</v>
      </c>
      <c r="AJ72" s="167"/>
      <c r="AK72" s="167"/>
      <c r="AL72" s="167"/>
      <c r="AM72" s="167"/>
      <c r="AN72" s="175">
        <f>IFERROR(_xlfn.XLOOKUP($A72,Input_Raw!$A:$A,Input_Raw!$BN:$BN),"")</f>
        <v>2.9753547928753871E-2</v>
      </c>
      <c r="AO72" s="174">
        <f>IFERROR((_xlfn.XLOOKUP($A72,'WTG Reactive Power'!$A:$A,'WTG Reactive Power'!$AE:$AE))/Table13[[#This Row],[Gen_Exp (kWh)]],"")</f>
        <v>3.0445260125058497E-3</v>
      </c>
      <c r="AP72" s="174">
        <f>IFERROR(_xlfn.XLOOKUP($D72,'Modelling New'!$D:$D,'Modelling New'!$AK:$AK),"")</f>
        <v>0.05</v>
      </c>
      <c r="AQ72" s="174">
        <f>IFERROR(_xlfn.XLOOKUP($D72,'Modelling New'!$D:$D,'Modelling New'!$AL:$AL),"")</f>
        <v>0.05</v>
      </c>
      <c r="AR72" s="276">
        <f>IFERROR(_xlfn.XLOOKUP($D72,'Modelling New'!$D:$D,'Modelling New'!$N:$N),"")</f>
        <v>70.2</v>
      </c>
      <c r="AS72" s="276"/>
    </row>
    <row r="73" spans="1:45">
      <c r="A73" s="165">
        <f t="shared" si="7"/>
        <v>45816</v>
      </c>
      <c r="B73" s="166">
        <f>YEAR(Table13[[#This Row],[Date]])+IF(MONTH(Table13[[#This Row],[Date]])&gt;=4,1,0)</f>
        <v>2026</v>
      </c>
      <c r="C73" s="167">
        <f>YEAR(Table13[[#This Row],[Date]])</f>
        <v>2025</v>
      </c>
      <c r="D73" s="168">
        <f>Table13[[#This Row],[Date]]-DAY(Table13[[#This Row],[Date]])+1</f>
        <v>45809</v>
      </c>
      <c r="E73" s="167">
        <f t="shared" si="4"/>
        <v>30</v>
      </c>
      <c r="F73" s="169"/>
      <c r="G73" s="176"/>
      <c r="H73" s="176"/>
      <c r="I73" s="176"/>
      <c r="J73" s="176"/>
      <c r="K73" s="171"/>
      <c r="L73" s="170"/>
      <c r="M73" s="170">
        <f>IFERROR(_xlfn.XLOOKUP($A73,Input_Raw!$A:$A,Input_Raw!BG:BG),"")</f>
        <v>7.3033566252473445</v>
      </c>
      <c r="N73" s="170">
        <f>IFERROR(_xlfn.XLOOKUP($A73,Input_Raw!$A:$A,Input_Raw!BH:BH),"")</f>
        <v>0</v>
      </c>
      <c r="O73" s="173">
        <f t="shared" si="5"/>
        <v>0.9625826509024854</v>
      </c>
      <c r="P73" s="173">
        <f>IFERROR(1-SUMIF(WTG_BD!$F:$F,$A73,WTG_BD!$AA:$AA)/($AA73+SUMIF(WTG_BD!$F:$F,$A73,WTG_BD!$AA:$AA)),"")</f>
        <v>0.9625826509024854</v>
      </c>
      <c r="Q73" s="173">
        <f>IFERROR(1-SUMIF(IGA_BD!$F:$F,$A73,IGA_BD!$X:$X)/($AA73+SUMIF(IGA_BD!$F:$F,$A73,IGA_BD!$X:$X)),"")</f>
        <v>1</v>
      </c>
      <c r="R73" s="173">
        <f>IFERROR(1-SUMIF(Grid_BD!$F:$F,$A73,Grid_BD!$Y:$Y)/($AA73+SUMIF(Grid_BD!$F:$F,$A73,Grid_BD!$Y:$Y)),"")</f>
        <v>1</v>
      </c>
      <c r="S73" s="167"/>
      <c r="T73" s="172"/>
      <c r="U73" s="173"/>
      <c r="V73" s="167"/>
      <c r="W73" s="174">
        <f t="shared" si="6"/>
        <v>0.4730235042735042</v>
      </c>
      <c r="X73" s="167">
        <f>IFERROR(_xlfn.XLOOKUP($A73,Input_Raw!$A:$A,Input_Raw!$BF:$BF),"")</f>
        <v>820968</v>
      </c>
      <c r="Y73" s="167">
        <f>IFERROR(_xlfn.XLOOKUP($A73,Input_Raw!$A:$A,Input_Raw!BJ:BJ),"")</f>
        <v>796950</v>
      </c>
      <c r="Z73" s="167">
        <f>IFERROR(_xlfn.XLOOKUP($A73,Input_Raw!$A:$A,Input_Raw!BK:BK),"")</f>
        <v>0</v>
      </c>
      <c r="AA73" s="167">
        <f>IFERROR(_xlfn.XLOOKUP($A73,Input_Raw!$A:$A,Input_Raw!BL:BL),"")</f>
        <v>796950</v>
      </c>
      <c r="AB73" s="167">
        <f>IFERROR(_xlfn.XLOOKUP($A73,Input_Raw!$A:$A,Input_Raw!$BO:$BO),"")</f>
        <v>70.2</v>
      </c>
      <c r="AC73" s="176">
        <f>IFERROR(_xlfn.XLOOKUP($D73,'Modelling New'!$D:$D,'Modelling New'!$J:$J),"")</f>
        <v>7.15</v>
      </c>
      <c r="AD73" s="166">
        <f>IFERROR(_xlfn.XLOOKUP($D73,'Modelling New'!$D:$D,'Modelling New'!$T:$T)*1000,"")</f>
        <v>801613.2743645322</v>
      </c>
      <c r="AE73" s="174"/>
      <c r="AF73" s="174">
        <f>IFERROR(_xlfn.XLOOKUP($D73,'Modelling New'!$D:$D,'Modelling New'!$W:$W),"")</f>
        <v>0.47579135467980305</v>
      </c>
      <c r="AG73" s="174">
        <f>IFERROR(_xlfn.XLOOKUP($D73,'Modelling New'!$D:$D,'Modelling New'!$AE:$AE),"")</f>
        <v>0.96029999999999993</v>
      </c>
      <c r="AH73" s="174">
        <f>IFERROR(_xlfn.XLOOKUP($D73,'Modelling New'!$D:$D,'Modelling New'!$AF:$AF),"")</f>
        <v>0.995</v>
      </c>
      <c r="AI73" s="177">
        <f>IFERROR(_xlfn.XLOOKUP($A73,Input_Raw!$A:$A,Input_Raw!$BQ:$BQ),"")</f>
        <v>846.28</v>
      </c>
      <c r="AJ73" s="167"/>
      <c r="AK73" s="167"/>
      <c r="AL73" s="167"/>
      <c r="AM73" s="167"/>
      <c r="AN73" s="175">
        <f>IFERROR(_xlfn.XLOOKUP($A73,Input_Raw!$A:$A,Input_Raw!$BN:$BN),"")</f>
        <v>2.9255707896044668E-2</v>
      </c>
      <c r="AO73" s="174">
        <f>IFERROR((_xlfn.XLOOKUP($A73,'WTG Reactive Power'!$A:$A,'WTG Reactive Power'!$AE:$AE))/Table13[[#This Row],[Gen_Exp (kWh)]],"")</f>
        <v>1.6991868136151476E-2</v>
      </c>
      <c r="AP73" s="174">
        <f>IFERROR(_xlfn.XLOOKUP($D73,'Modelling New'!$D:$D,'Modelling New'!$AK:$AK),"")</f>
        <v>0.05</v>
      </c>
      <c r="AQ73" s="174">
        <f>IFERROR(_xlfn.XLOOKUP($D73,'Modelling New'!$D:$D,'Modelling New'!$AL:$AL),"")</f>
        <v>0.05</v>
      </c>
      <c r="AR73" s="276">
        <f>IFERROR(_xlfn.XLOOKUP($D73,'Modelling New'!$D:$D,'Modelling New'!$N:$N),"")</f>
        <v>70.2</v>
      </c>
      <c r="AS73" s="276"/>
    </row>
    <row r="74" spans="1:45">
      <c r="A74" s="165">
        <f t="shared" si="7"/>
        <v>45817</v>
      </c>
      <c r="B74" s="166">
        <f>YEAR(Table13[[#This Row],[Date]])+IF(MONTH(Table13[[#This Row],[Date]])&gt;=4,1,0)</f>
        <v>2026</v>
      </c>
      <c r="C74" s="167">
        <f>YEAR(Table13[[#This Row],[Date]])</f>
        <v>2025</v>
      </c>
      <c r="D74" s="168">
        <f>Table13[[#This Row],[Date]]-DAY(Table13[[#This Row],[Date]])+1</f>
        <v>45809</v>
      </c>
      <c r="E74" s="167">
        <f t="shared" si="4"/>
        <v>30</v>
      </c>
      <c r="F74" s="169"/>
      <c r="G74" s="170"/>
      <c r="H74" s="170"/>
      <c r="I74" s="170"/>
      <c r="J74" s="170"/>
      <c r="K74" s="171"/>
      <c r="L74" s="170"/>
      <c r="M74" s="170">
        <f>IFERROR(_xlfn.XLOOKUP($A74,Input_Raw!$A:$A,Input_Raw!BG:BG),"")</f>
        <v>7.9526228602880016</v>
      </c>
      <c r="N74" s="170">
        <f>IFERROR(_xlfn.XLOOKUP($A74,Input_Raw!$A:$A,Input_Raw!BH:BH),"")</f>
        <v>0</v>
      </c>
      <c r="O74" s="173">
        <f t="shared" si="5"/>
        <v>0.99897719573640853</v>
      </c>
      <c r="P74" s="173">
        <f>IFERROR(1-SUMIF(WTG_BD!$F:$F,$A74,WTG_BD!$AA:$AA)/($AA74+SUMIF(WTG_BD!$F:$F,$A74,WTG_BD!$AA:$AA)),"")</f>
        <v>0.99897719573640853</v>
      </c>
      <c r="Q74" s="173">
        <f>IFERROR(1-SUMIF(IGA_BD!$F:$F,$A74,IGA_BD!$X:$X)/($AA74+SUMIF(IGA_BD!$F:$F,$A74,IGA_BD!$X:$X)),"")</f>
        <v>1</v>
      </c>
      <c r="R74" s="173">
        <f>IFERROR(1-SUMIF(Grid_BD!$F:$F,$A74,Grid_BD!$Y:$Y)/($AA74+SUMIF(Grid_BD!$F:$F,$A74,Grid_BD!$Y:$Y)),"")</f>
        <v>1</v>
      </c>
      <c r="S74" s="167"/>
      <c r="T74" s="172"/>
      <c r="U74" s="173"/>
      <c r="V74" s="167"/>
      <c r="W74" s="174">
        <f t="shared" si="6"/>
        <v>0.58547008547008539</v>
      </c>
      <c r="X74" s="167">
        <f>IFERROR(_xlfn.XLOOKUP($A74,Input_Raw!$A:$A,Input_Raw!$BF:$BF),"")</f>
        <v>1019022</v>
      </c>
      <c r="Y74" s="167">
        <f>IFERROR(_xlfn.XLOOKUP($A74,Input_Raw!$A:$A,Input_Raw!BJ:BJ),"")</f>
        <v>986400</v>
      </c>
      <c r="Z74" s="167">
        <f>IFERROR(_xlfn.XLOOKUP($A74,Input_Raw!$A:$A,Input_Raw!BK:BK),"")</f>
        <v>0</v>
      </c>
      <c r="AA74" s="167">
        <f>IFERROR(_xlfn.XLOOKUP($A74,Input_Raw!$A:$A,Input_Raw!BL:BL),"")</f>
        <v>986400</v>
      </c>
      <c r="AB74" s="167">
        <f>IFERROR(_xlfn.XLOOKUP($A74,Input_Raw!$A:$A,Input_Raw!$BO:$BO),"")</f>
        <v>70.2</v>
      </c>
      <c r="AC74" s="176">
        <f>IFERROR(_xlfn.XLOOKUP($D74,'Modelling New'!$D:$D,'Modelling New'!$J:$J),"")</f>
        <v>7.15</v>
      </c>
      <c r="AD74" s="166">
        <f>IFERROR(_xlfn.XLOOKUP($D74,'Modelling New'!$D:$D,'Modelling New'!$T:$T)*1000,"")</f>
        <v>801613.2743645322</v>
      </c>
      <c r="AE74" s="174"/>
      <c r="AF74" s="174">
        <f>IFERROR(_xlfn.XLOOKUP($D74,'Modelling New'!$D:$D,'Modelling New'!$W:$W),"")</f>
        <v>0.47579135467980305</v>
      </c>
      <c r="AG74" s="174">
        <f>IFERROR(_xlfn.XLOOKUP($D74,'Modelling New'!$D:$D,'Modelling New'!$AE:$AE),"")</f>
        <v>0.96029999999999993</v>
      </c>
      <c r="AH74" s="174">
        <f>IFERROR(_xlfn.XLOOKUP($D74,'Modelling New'!$D:$D,'Modelling New'!$AF:$AF),"")</f>
        <v>0.995</v>
      </c>
      <c r="AI74" s="177">
        <f>IFERROR(_xlfn.XLOOKUP($A74,Input_Raw!$A:$A,Input_Raw!$BQ:$BQ),"")</f>
        <v>1032.83</v>
      </c>
      <c r="AJ74" s="167"/>
      <c r="AK74" s="167"/>
      <c r="AL74" s="167"/>
      <c r="AM74" s="167"/>
      <c r="AN74" s="175">
        <f>IFERROR(_xlfn.XLOOKUP($A74,Input_Raw!$A:$A,Input_Raw!$BN:$BN),"")</f>
        <v>3.2013047804659765E-2</v>
      </c>
      <c r="AO74" s="174">
        <f>IFERROR((_xlfn.XLOOKUP($A74,'WTG Reactive Power'!$A:$A,'WTG Reactive Power'!$AE:$AE))/Table13[[#This Row],[Gen_Exp (kWh)]],"")</f>
        <v>9.7149619929697336E-3</v>
      </c>
      <c r="AP74" s="174">
        <f>IFERROR(_xlfn.XLOOKUP($D74,'Modelling New'!$D:$D,'Modelling New'!$AK:$AK),"")</f>
        <v>0.05</v>
      </c>
      <c r="AQ74" s="174">
        <f>IFERROR(_xlfn.XLOOKUP($D74,'Modelling New'!$D:$D,'Modelling New'!$AL:$AL),"")</f>
        <v>0.05</v>
      </c>
      <c r="AR74" s="276">
        <f>IFERROR(_xlfn.XLOOKUP($D74,'Modelling New'!$D:$D,'Modelling New'!$N:$N),"")</f>
        <v>70.2</v>
      </c>
      <c r="AS74" s="276"/>
    </row>
    <row r="75" spans="1:45">
      <c r="A75" s="165">
        <f t="shared" si="7"/>
        <v>45818</v>
      </c>
      <c r="B75" s="166">
        <f>YEAR(Table13[[#This Row],[Date]])+IF(MONTH(Table13[[#This Row],[Date]])&gt;=4,1,0)</f>
        <v>2026</v>
      </c>
      <c r="C75" s="167">
        <f>YEAR(Table13[[#This Row],[Date]])</f>
        <v>2025</v>
      </c>
      <c r="D75" s="168">
        <f>Table13[[#This Row],[Date]]-DAY(Table13[[#This Row],[Date]])+1</f>
        <v>45809</v>
      </c>
      <c r="E75" s="167">
        <f t="shared" si="4"/>
        <v>30</v>
      </c>
      <c r="F75" s="169"/>
      <c r="G75" s="176"/>
      <c r="H75" s="176"/>
      <c r="I75" s="176"/>
      <c r="J75" s="176"/>
      <c r="K75" s="171"/>
      <c r="L75" s="170"/>
      <c r="M75" s="170">
        <f>IFERROR(_xlfn.XLOOKUP($A75,Input_Raw!$A:$A,Input_Raw!BG:BG),"")</f>
        <v>8.1788643714640052</v>
      </c>
      <c r="N75" s="170">
        <f>IFERROR(_xlfn.XLOOKUP($A75,Input_Raw!$A:$A,Input_Raw!BH:BH),"")</f>
        <v>0</v>
      </c>
      <c r="O75" s="173">
        <f t="shared" si="5"/>
        <v>0.9747683626068635</v>
      </c>
      <c r="P75" s="173">
        <f>IFERROR(1-SUMIF(WTG_BD!$F:$F,$A75,WTG_BD!$AA:$AA)/($AA75+SUMIF(WTG_BD!$F:$F,$A75,WTG_BD!$AA:$AA)),"")</f>
        <v>0.9747683626068635</v>
      </c>
      <c r="Q75" s="173">
        <f>IFERROR(1-SUMIF(IGA_BD!$F:$F,$A75,IGA_BD!$X:$X)/($AA75+SUMIF(IGA_BD!$F:$F,$A75,IGA_BD!$X:$X)),"")</f>
        <v>1</v>
      </c>
      <c r="R75" s="173">
        <f>IFERROR(1-SUMIF(Grid_BD!$F:$F,$A75,Grid_BD!$Y:$Y)/($AA75+SUMIF(Grid_BD!$F:$F,$A75,Grid_BD!$Y:$Y)),"")</f>
        <v>1</v>
      </c>
      <c r="S75" s="167"/>
      <c r="T75" s="172"/>
      <c r="U75" s="173"/>
      <c r="V75" s="167"/>
      <c r="W75" s="174">
        <f t="shared" si="6"/>
        <v>0.61725427350427342</v>
      </c>
      <c r="X75" s="167">
        <f>IFERROR(_xlfn.XLOOKUP($A75,Input_Raw!$A:$A,Input_Raw!$BF:$BF),"")</f>
        <v>1075551</v>
      </c>
      <c r="Y75" s="167">
        <f>IFERROR(_xlfn.XLOOKUP($A75,Input_Raw!$A:$A,Input_Raw!BJ:BJ),"")</f>
        <v>1039950</v>
      </c>
      <c r="Z75" s="167">
        <f>IFERROR(_xlfn.XLOOKUP($A75,Input_Raw!$A:$A,Input_Raw!BK:BK),"")</f>
        <v>0</v>
      </c>
      <c r="AA75" s="167">
        <f>IFERROR(_xlfn.XLOOKUP($A75,Input_Raw!$A:$A,Input_Raw!BL:BL),"")</f>
        <v>1039950</v>
      </c>
      <c r="AB75" s="167">
        <f>IFERROR(_xlfn.XLOOKUP($A75,Input_Raw!$A:$A,Input_Raw!$BO:$BO),"")</f>
        <v>70.2</v>
      </c>
      <c r="AC75" s="176">
        <f>IFERROR(_xlfn.XLOOKUP($D75,'Modelling New'!$D:$D,'Modelling New'!$J:$J),"")</f>
        <v>7.15</v>
      </c>
      <c r="AD75" s="166">
        <f>IFERROR(_xlfn.XLOOKUP($D75,'Modelling New'!$D:$D,'Modelling New'!$T:$T)*1000,"")</f>
        <v>801613.2743645322</v>
      </c>
      <c r="AE75" s="174"/>
      <c r="AF75" s="174">
        <f>IFERROR(_xlfn.XLOOKUP($D75,'Modelling New'!$D:$D,'Modelling New'!$W:$W),"")</f>
        <v>0.47579135467980305</v>
      </c>
      <c r="AG75" s="174">
        <f>IFERROR(_xlfn.XLOOKUP($D75,'Modelling New'!$D:$D,'Modelling New'!$AE:$AE),"")</f>
        <v>0.96029999999999993</v>
      </c>
      <c r="AH75" s="174">
        <f>IFERROR(_xlfn.XLOOKUP($D75,'Modelling New'!$D:$D,'Modelling New'!$AF:$AF),"")</f>
        <v>0.995</v>
      </c>
      <c r="AI75" s="177">
        <f>IFERROR(_xlfn.XLOOKUP($A75,Input_Raw!$A:$A,Input_Raw!$BQ:$BQ),"")</f>
        <v>1108.3499999999999</v>
      </c>
      <c r="AJ75" s="167"/>
      <c r="AK75" s="167"/>
      <c r="AL75" s="167"/>
      <c r="AM75" s="167"/>
      <c r="AN75" s="175">
        <f>IFERROR(_xlfn.XLOOKUP($A75,Input_Raw!$A:$A,Input_Raw!$BN:$BN),"")</f>
        <v>3.3100243503097482E-2</v>
      </c>
      <c r="AO75" s="174">
        <f>IFERROR((_xlfn.XLOOKUP($A75,'WTG Reactive Power'!$A:$A,'WTG Reactive Power'!$AE:$AE))/Table13[[#This Row],[Gen_Exp (kWh)]],"")</f>
        <v>3.7652886752929447E-3</v>
      </c>
      <c r="AP75" s="174">
        <f>IFERROR(_xlfn.XLOOKUP($D75,'Modelling New'!$D:$D,'Modelling New'!$AK:$AK),"")</f>
        <v>0.05</v>
      </c>
      <c r="AQ75" s="174">
        <f>IFERROR(_xlfn.XLOOKUP($D75,'Modelling New'!$D:$D,'Modelling New'!$AL:$AL),"")</f>
        <v>0.05</v>
      </c>
      <c r="AR75" s="276">
        <f>IFERROR(_xlfn.XLOOKUP($D75,'Modelling New'!$D:$D,'Modelling New'!$N:$N),"")</f>
        <v>70.2</v>
      </c>
      <c r="AS75" s="276"/>
    </row>
    <row r="76" spans="1:45">
      <c r="A76" s="165">
        <f t="shared" si="7"/>
        <v>45819</v>
      </c>
      <c r="B76" s="166">
        <f>YEAR(Table13[[#This Row],[Date]])+IF(MONTH(Table13[[#This Row],[Date]])&gt;=4,1,0)</f>
        <v>2026</v>
      </c>
      <c r="C76" s="167">
        <f>YEAR(Table13[[#This Row],[Date]])</f>
        <v>2025</v>
      </c>
      <c r="D76" s="168">
        <f>Table13[[#This Row],[Date]]-DAY(Table13[[#This Row],[Date]])+1</f>
        <v>45809</v>
      </c>
      <c r="E76" s="167">
        <f t="shared" si="4"/>
        <v>30</v>
      </c>
      <c r="F76" s="169"/>
      <c r="G76" s="170"/>
      <c r="H76" s="170"/>
      <c r="I76" s="170"/>
      <c r="J76" s="170"/>
      <c r="K76" s="171"/>
      <c r="L76" s="170"/>
      <c r="M76" s="170">
        <f>IFERROR(_xlfn.XLOOKUP($A76,Input_Raw!$A:$A,Input_Raw!BG:BG),"")</f>
        <v>7.2928491135361435</v>
      </c>
      <c r="N76" s="170">
        <f>IFERROR(_xlfn.XLOOKUP($A76,Input_Raw!$A:$A,Input_Raw!BH:BH),"")</f>
        <v>0</v>
      </c>
      <c r="O76" s="173">
        <f t="shared" si="5"/>
        <v>0.97726494012987197</v>
      </c>
      <c r="P76" s="173">
        <f>IFERROR(1-SUMIF(WTG_BD!$F:$F,$A76,WTG_BD!$AA:$AA)/($AA76+SUMIF(WTG_BD!$F:$F,$A76,WTG_BD!$AA:$AA)),"")</f>
        <v>0.97726494012987197</v>
      </c>
      <c r="Q76" s="173">
        <f>IFERROR(1-SUMIF(IGA_BD!$F:$F,$A76,IGA_BD!$X:$X)/($AA76+SUMIF(IGA_BD!$F:$F,$A76,IGA_BD!$X:$X)),"")</f>
        <v>1</v>
      </c>
      <c r="R76" s="173">
        <f>IFERROR(1-SUMIF(Grid_BD!$F:$F,$A76,Grid_BD!$Y:$Y)/($AA76+SUMIF(Grid_BD!$F:$F,$A76,Grid_BD!$Y:$Y)),"")</f>
        <v>1</v>
      </c>
      <c r="S76" s="167"/>
      <c r="T76" s="172"/>
      <c r="U76" s="173"/>
      <c r="V76" s="167"/>
      <c r="W76" s="174">
        <f t="shared" si="6"/>
        <v>0.50293803418803407</v>
      </c>
      <c r="X76" s="167">
        <f>IFERROR(_xlfn.XLOOKUP($A76,Input_Raw!$A:$A,Input_Raw!$BF:$BF),"")</f>
        <v>875379</v>
      </c>
      <c r="Y76" s="167">
        <f>IFERROR(_xlfn.XLOOKUP($A76,Input_Raw!$A:$A,Input_Raw!BJ:BJ),"")</f>
        <v>847350</v>
      </c>
      <c r="Z76" s="167">
        <f>IFERROR(_xlfn.XLOOKUP($A76,Input_Raw!$A:$A,Input_Raw!BK:BK),"")</f>
        <v>0</v>
      </c>
      <c r="AA76" s="167">
        <f>IFERROR(_xlfn.XLOOKUP($A76,Input_Raw!$A:$A,Input_Raw!BL:BL),"")</f>
        <v>847350</v>
      </c>
      <c r="AB76" s="167">
        <f>IFERROR(_xlfn.XLOOKUP($A76,Input_Raw!$A:$A,Input_Raw!$BO:$BO),"")</f>
        <v>70.2</v>
      </c>
      <c r="AC76" s="176">
        <f>IFERROR(_xlfn.XLOOKUP($D76,'Modelling New'!$D:$D,'Modelling New'!$J:$J),"")</f>
        <v>7.15</v>
      </c>
      <c r="AD76" s="166">
        <f>IFERROR(_xlfn.XLOOKUP($D76,'Modelling New'!$D:$D,'Modelling New'!$T:$T)*1000,"")</f>
        <v>801613.2743645322</v>
      </c>
      <c r="AE76" s="174"/>
      <c r="AF76" s="174">
        <f>IFERROR(_xlfn.XLOOKUP($D76,'Modelling New'!$D:$D,'Modelling New'!$W:$W),"")</f>
        <v>0.47579135467980305</v>
      </c>
      <c r="AG76" s="174">
        <f>IFERROR(_xlfn.XLOOKUP($D76,'Modelling New'!$D:$D,'Modelling New'!$AE:$AE),"")</f>
        <v>0.96029999999999993</v>
      </c>
      <c r="AH76" s="174">
        <f>IFERROR(_xlfn.XLOOKUP($D76,'Modelling New'!$D:$D,'Modelling New'!$AF:$AF),"")</f>
        <v>0.995</v>
      </c>
      <c r="AI76" s="177">
        <f>IFERROR(_xlfn.XLOOKUP($A76,Input_Raw!$A:$A,Input_Raw!$BQ:$BQ),"")</f>
        <v>911.21</v>
      </c>
      <c r="AJ76" s="167"/>
      <c r="AK76" s="167"/>
      <c r="AL76" s="167"/>
      <c r="AM76" s="167"/>
      <c r="AN76" s="175">
        <f>IFERROR(_xlfn.XLOOKUP($A76,Input_Raw!$A:$A,Input_Raw!$BN:$BN),"")</f>
        <v>3.2019273937345993E-2</v>
      </c>
      <c r="AO76" s="174">
        <f>IFERROR((_xlfn.XLOOKUP($A76,'WTG Reactive Power'!$A:$A,'WTG Reactive Power'!$AE:$AE))/Table13[[#This Row],[Gen_Exp (kWh)]],"")</f>
        <v>1.233737615364316E-2</v>
      </c>
      <c r="AP76" s="174">
        <f>IFERROR(_xlfn.XLOOKUP($D76,'Modelling New'!$D:$D,'Modelling New'!$AK:$AK),"")</f>
        <v>0.05</v>
      </c>
      <c r="AQ76" s="174">
        <f>IFERROR(_xlfn.XLOOKUP($D76,'Modelling New'!$D:$D,'Modelling New'!$AL:$AL),"")</f>
        <v>0.05</v>
      </c>
      <c r="AR76" s="276">
        <f>IFERROR(_xlfn.XLOOKUP($D76,'Modelling New'!$D:$D,'Modelling New'!$N:$N),"")</f>
        <v>70.2</v>
      </c>
      <c r="AS76" s="276"/>
    </row>
    <row r="77" spans="1:45">
      <c r="A77" s="165">
        <f t="shared" si="7"/>
        <v>45820</v>
      </c>
      <c r="B77" s="166">
        <f>YEAR(Table13[[#This Row],[Date]])+IF(MONTH(Table13[[#This Row],[Date]])&gt;=4,1,0)</f>
        <v>2026</v>
      </c>
      <c r="C77" s="167">
        <f>YEAR(Table13[[#This Row],[Date]])</f>
        <v>2025</v>
      </c>
      <c r="D77" s="168">
        <f>Table13[[#This Row],[Date]]-DAY(Table13[[#This Row],[Date]])+1</f>
        <v>45809</v>
      </c>
      <c r="E77" s="167">
        <f t="shared" si="4"/>
        <v>30</v>
      </c>
      <c r="F77" s="169"/>
      <c r="G77" s="176"/>
      <c r="H77" s="176"/>
      <c r="I77" s="176"/>
      <c r="J77" s="176"/>
      <c r="K77" s="171"/>
      <c r="L77" s="170"/>
      <c r="M77" s="170">
        <f>IFERROR(_xlfn.XLOOKUP($A77,Input_Raw!$A:$A,Input_Raw!BG:BG),"")</f>
        <v>7.6640865436603827</v>
      </c>
      <c r="N77" s="170">
        <f>IFERROR(_xlfn.XLOOKUP($A77,Input_Raw!$A:$A,Input_Raw!BH:BH),"")</f>
        <v>0</v>
      </c>
      <c r="O77" s="173">
        <f t="shared" si="5"/>
        <v>0.99747816624688823</v>
      </c>
      <c r="P77" s="173">
        <f>IFERROR(1-SUMIF(WTG_BD!$F:$F,$A77,WTG_BD!$AA:$AA)/($AA77+SUMIF(WTG_BD!$F:$F,$A77,WTG_BD!$AA:$AA)),"")</f>
        <v>0.99747816624688823</v>
      </c>
      <c r="Q77" s="173">
        <f>IFERROR(1-SUMIF(IGA_BD!$F:$F,$A77,IGA_BD!$X:$X)/($AA77+SUMIF(IGA_BD!$F:$F,$A77,IGA_BD!$X:$X)),"")</f>
        <v>1</v>
      </c>
      <c r="R77" s="173">
        <f>IFERROR(1-SUMIF(Grid_BD!$F:$F,$A77,Grid_BD!$Y:$Y)/($AA77+SUMIF(Grid_BD!$F:$F,$A77,Grid_BD!$Y:$Y)),"")</f>
        <v>1</v>
      </c>
      <c r="S77" s="167"/>
      <c r="T77" s="172"/>
      <c r="U77" s="173"/>
      <c r="V77" s="167"/>
      <c r="W77" s="174">
        <f t="shared" si="6"/>
        <v>0.53659188034188032</v>
      </c>
      <c r="X77" s="167">
        <f>IFERROR(_xlfn.XLOOKUP($A77,Input_Raw!$A:$A,Input_Raw!$BF:$BF),"")</f>
        <v>934724</v>
      </c>
      <c r="Y77" s="167">
        <f>IFERROR(_xlfn.XLOOKUP($A77,Input_Raw!$A:$A,Input_Raw!BJ:BJ),"")</f>
        <v>904050</v>
      </c>
      <c r="Z77" s="167">
        <f>IFERROR(_xlfn.XLOOKUP($A77,Input_Raw!$A:$A,Input_Raw!BK:BK),"")</f>
        <v>0</v>
      </c>
      <c r="AA77" s="167">
        <f>IFERROR(_xlfn.XLOOKUP($A77,Input_Raw!$A:$A,Input_Raw!BL:BL),"")</f>
        <v>904050</v>
      </c>
      <c r="AB77" s="167">
        <f>IFERROR(_xlfn.XLOOKUP($A77,Input_Raw!$A:$A,Input_Raw!$BO:$BO),"")</f>
        <v>70.2</v>
      </c>
      <c r="AC77" s="176">
        <f>IFERROR(_xlfn.XLOOKUP($D77,'Modelling New'!$D:$D,'Modelling New'!$J:$J),"")</f>
        <v>7.15</v>
      </c>
      <c r="AD77" s="166">
        <f>IFERROR(_xlfn.XLOOKUP($D77,'Modelling New'!$D:$D,'Modelling New'!$T:$T)*1000,"")</f>
        <v>801613.2743645322</v>
      </c>
      <c r="AE77" s="174"/>
      <c r="AF77" s="174">
        <f>IFERROR(_xlfn.XLOOKUP($D77,'Modelling New'!$D:$D,'Modelling New'!$W:$W),"")</f>
        <v>0.47579135467980305</v>
      </c>
      <c r="AG77" s="174">
        <f>IFERROR(_xlfn.XLOOKUP($D77,'Modelling New'!$D:$D,'Modelling New'!$AE:$AE),"")</f>
        <v>0.96029999999999993</v>
      </c>
      <c r="AH77" s="174">
        <f>IFERROR(_xlfn.XLOOKUP($D77,'Modelling New'!$D:$D,'Modelling New'!$AF:$AF),"")</f>
        <v>0.995</v>
      </c>
      <c r="AI77" s="177">
        <f>IFERROR(_xlfn.XLOOKUP($A77,Input_Raw!$A:$A,Input_Raw!$BQ:$BQ),"")</f>
        <v>956.64</v>
      </c>
      <c r="AJ77" s="167"/>
      <c r="AK77" s="167"/>
      <c r="AL77" s="167"/>
      <c r="AM77" s="167"/>
      <c r="AN77" s="175">
        <f>IFERROR(_xlfn.XLOOKUP($A77,Input_Raw!$A:$A,Input_Raw!$BN:$BN),"")</f>
        <v>3.2816104005032501E-2</v>
      </c>
      <c r="AO77" s="174">
        <f>IFERROR((_xlfn.XLOOKUP($A77,'WTG Reactive Power'!$A:$A,'WTG Reactive Power'!$AE:$AE))/Table13[[#This Row],[Gen_Exp (kWh)]],"")</f>
        <v>2.8883820250683624E-3</v>
      </c>
      <c r="AP77" s="174">
        <f>IFERROR(_xlfn.XLOOKUP($D77,'Modelling New'!$D:$D,'Modelling New'!$AK:$AK),"")</f>
        <v>0.05</v>
      </c>
      <c r="AQ77" s="174">
        <f>IFERROR(_xlfn.XLOOKUP($D77,'Modelling New'!$D:$D,'Modelling New'!$AL:$AL),"")</f>
        <v>0.05</v>
      </c>
      <c r="AR77" s="276">
        <f>IFERROR(_xlfn.XLOOKUP($D77,'Modelling New'!$D:$D,'Modelling New'!$N:$N),"")</f>
        <v>70.2</v>
      </c>
      <c r="AS77" s="276"/>
    </row>
    <row r="78" spans="1:45">
      <c r="A78" s="165">
        <f t="shared" si="7"/>
        <v>45821</v>
      </c>
      <c r="B78" s="166">
        <f>YEAR(Table13[[#This Row],[Date]])+IF(MONTH(Table13[[#This Row],[Date]])&gt;=4,1,0)</f>
        <v>2026</v>
      </c>
      <c r="C78" s="167">
        <f>YEAR(Table13[[#This Row],[Date]])</f>
        <v>2025</v>
      </c>
      <c r="D78" s="168">
        <f>Table13[[#This Row],[Date]]-DAY(Table13[[#This Row],[Date]])+1</f>
        <v>45809</v>
      </c>
      <c r="E78" s="167">
        <f t="shared" si="4"/>
        <v>30</v>
      </c>
      <c r="F78" s="169"/>
      <c r="G78" s="170"/>
      <c r="H78" s="170"/>
      <c r="I78" s="170"/>
      <c r="J78" s="170"/>
      <c r="K78" s="171"/>
      <c r="L78" s="170"/>
      <c r="M78" s="170">
        <f>IFERROR(_xlfn.XLOOKUP($A78,Input_Raw!$A:$A,Input_Raw!BG:BG),"")</f>
        <v>7.5996287966400979</v>
      </c>
      <c r="N78" s="170">
        <f>IFERROR(_xlfn.XLOOKUP($A78,Input_Raw!$A:$A,Input_Raw!BH:BH),"")</f>
        <v>0</v>
      </c>
      <c r="O78" s="173">
        <f t="shared" si="5"/>
        <v>0.99270273123350272</v>
      </c>
      <c r="P78" s="173">
        <f>IFERROR(1-SUMIF(WTG_BD!$F:$F,$A78,WTG_BD!$AA:$AA)/($AA78+SUMIF(WTG_BD!$F:$F,$A78,WTG_BD!$AA:$AA)),"")</f>
        <v>0.99270273123350272</v>
      </c>
      <c r="Q78" s="173">
        <f>IFERROR(1-SUMIF(IGA_BD!$F:$F,$A78,IGA_BD!$X:$X)/($AA78+SUMIF(IGA_BD!$F:$F,$A78,IGA_BD!$X:$X)),"")</f>
        <v>1</v>
      </c>
      <c r="R78" s="173">
        <f>IFERROR(1-SUMIF(Grid_BD!$F:$F,$A78,Grid_BD!$Y:$Y)/($AA78+SUMIF(Grid_BD!$F:$F,$A78,Grid_BD!$Y:$Y)),"")</f>
        <v>1</v>
      </c>
      <c r="S78" s="167"/>
      <c r="T78" s="172"/>
      <c r="U78" s="173"/>
      <c r="V78" s="167"/>
      <c r="W78" s="174">
        <f t="shared" si="6"/>
        <v>0.54460470085470081</v>
      </c>
      <c r="X78" s="167">
        <f>IFERROR(_xlfn.XLOOKUP($A78,Input_Raw!$A:$A,Input_Raw!$BF:$BF),"")</f>
        <v>924705</v>
      </c>
      <c r="Y78" s="167">
        <f>IFERROR(_xlfn.XLOOKUP($A78,Input_Raw!$A:$A,Input_Raw!BJ:BJ),"")</f>
        <v>917550</v>
      </c>
      <c r="Z78" s="167">
        <f>IFERROR(_xlfn.XLOOKUP($A78,Input_Raw!$A:$A,Input_Raw!BK:BK),"")</f>
        <v>0</v>
      </c>
      <c r="AA78" s="167">
        <f>IFERROR(_xlfn.XLOOKUP($A78,Input_Raw!$A:$A,Input_Raw!BL:BL),"")</f>
        <v>917550</v>
      </c>
      <c r="AB78" s="167">
        <f>IFERROR(_xlfn.XLOOKUP($A78,Input_Raw!$A:$A,Input_Raw!$BO:$BO),"")</f>
        <v>70.2</v>
      </c>
      <c r="AC78" s="176">
        <f>IFERROR(_xlfn.XLOOKUP($D78,'Modelling New'!$D:$D,'Modelling New'!$J:$J),"")</f>
        <v>7.15</v>
      </c>
      <c r="AD78" s="166">
        <f>IFERROR(_xlfn.XLOOKUP($D78,'Modelling New'!$D:$D,'Modelling New'!$T:$T)*1000,"")</f>
        <v>801613.2743645322</v>
      </c>
      <c r="AE78" s="174"/>
      <c r="AF78" s="174">
        <f>IFERROR(_xlfn.XLOOKUP($D78,'Modelling New'!$D:$D,'Modelling New'!$W:$W),"")</f>
        <v>0.47579135467980305</v>
      </c>
      <c r="AG78" s="174">
        <f>IFERROR(_xlfn.XLOOKUP($D78,'Modelling New'!$D:$D,'Modelling New'!$AE:$AE),"")</f>
        <v>0.96029999999999993</v>
      </c>
      <c r="AH78" s="174">
        <f>IFERROR(_xlfn.XLOOKUP($D78,'Modelling New'!$D:$D,'Modelling New'!$AF:$AF),"")</f>
        <v>0.995</v>
      </c>
      <c r="AI78" s="177">
        <f>IFERROR(_xlfn.XLOOKUP($A78,Input_Raw!$A:$A,Input_Raw!$BQ:$BQ),"")</f>
        <v>974.61</v>
      </c>
      <c r="AJ78" s="167"/>
      <c r="AK78" s="167"/>
      <c r="AL78" s="167"/>
      <c r="AM78" s="167"/>
      <c r="AN78" s="175">
        <f>IFERROR(_xlfn.XLOOKUP($A78,Input_Raw!$A:$A,Input_Raw!$BN:$BN),"")</f>
        <v>7.73760280305611E-3</v>
      </c>
      <c r="AO78" s="174">
        <f>IFERROR((_xlfn.XLOOKUP($A78,'WTG Reactive Power'!$A:$A,'WTG Reactive Power'!$AE:$AE))/Table13[[#This Row],[Gen_Exp (kWh)]],"")</f>
        <v>2.4329705149209752E-3</v>
      </c>
      <c r="AP78" s="174">
        <f>IFERROR(_xlfn.XLOOKUP($D78,'Modelling New'!$D:$D,'Modelling New'!$AK:$AK),"")</f>
        <v>0.05</v>
      </c>
      <c r="AQ78" s="174">
        <f>IFERROR(_xlfn.XLOOKUP($D78,'Modelling New'!$D:$D,'Modelling New'!$AL:$AL),"")</f>
        <v>0.05</v>
      </c>
      <c r="AR78" s="276">
        <f>IFERROR(_xlfn.XLOOKUP($D78,'Modelling New'!$D:$D,'Modelling New'!$N:$N),"")</f>
        <v>70.2</v>
      </c>
      <c r="AS78" s="276"/>
    </row>
    <row r="79" spans="1:45">
      <c r="A79" s="165">
        <f t="shared" si="7"/>
        <v>45822</v>
      </c>
      <c r="B79" s="166">
        <f>YEAR(Table13[[#This Row],[Date]])+IF(MONTH(Table13[[#This Row],[Date]])&gt;=4,1,0)</f>
        <v>2026</v>
      </c>
      <c r="C79" s="167">
        <f>YEAR(Table13[[#This Row],[Date]])</f>
        <v>2025</v>
      </c>
      <c r="D79" s="168">
        <f>Table13[[#This Row],[Date]]-DAY(Table13[[#This Row],[Date]])+1</f>
        <v>45809</v>
      </c>
      <c r="E79" s="167">
        <f t="shared" si="4"/>
        <v>30</v>
      </c>
      <c r="F79" s="169"/>
      <c r="G79" s="176"/>
      <c r="H79" s="176"/>
      <c r="I79" s="176"/>
      <c r="J79" s="176"/>
      <c r="K79" s="171"/>
      <c r="L79" s="170"/>
      <c r="M79" s="170">
        <f>IFERROR(_xlfn.XLOOKUP($A79,Input_Raw!$A:$A,Input_Raw!BG:BG),"")</f>
        <v>5.4571030507578548</v>
      </c>
      <c r="N79" s="170">
        <f>IFERROR(_xlfn.XLOOKUP($A79,Input_Raw!$A:$A,Input_Raw!BH:BH),"")</f>
        <v>0</v>
      </c>
      <c r="O79" s="173">
        <f t="shared" si="5"/>
        <v>0.94979626756093294</v>
      </c>
      <c r="P79" s="173">
        <f>IFERROR(1-SUMIF(WTG_BD!$F:$F,$A79,WTG_BD!$AA:$AA)/($AA79+SUMIF(WTG_BD!$F:$F,$A79,WTG_BD!$AA:$AA)),"")</f>
        <v>0.97878070463357159</v>
      </c>
      <c r="Q79" s="173">
        <f>IFERROR(1-SUMIF(IGA_BD!$F:$F,$A79,IGA_BD!$X:$X)/($AA79+SUMIF(IGA_BD!$F:$F,$A79,IGA_BD!$X:$X)),"")</f>
        <v>0.97038720018138325</v>
      </c>
      <c r="R79" s="173">
        <f>IFERROR(1-SUMIF(Grid_BD!$F:$F,$A79,Grid_BD!$Y:$Y)/($AA79+SUMIF(Grid_BD!$F:$F,$A79,Grid_BD!$Y:$Y)),"")</f>
        <v>1</v>
      </c>
      <c r="S79" s="167"/>
      <c r="T79" s="172"/>
      <c r="U79" s="173"/>
      <c r="V79" s="167"/>
      <c r="W79" s="174">
        <f t="shared" si="6"/>
        <v>0.25454059829059827</v>
      </c>
      <c r="X79" s="167">
        <f>IFERROR(_xlfn.XLOOKUP($A79,Input_Raw!$A:$A,Input_Raw!$BF:$BF),"")</f>
        <v>463367</v>
      </c>
      <c r="Y79" s="167">
        <f>IFERROR(_xlfn.XLOOKUP($A79,Input_Raw!$A:$A,Input_Raw!BJ:BJ),"")</f>
        <v>429300</v>
      </c>
      <c r="Z79" s="167">
        <f>IFERROR(_xlfn.XLOOKUP($A79,Input_Raw!$A:$A,Input_Raw!BK:BK),"")</f>
        <v>450</v>
      </c>
      <c r="AA79" s="167">
        <f>IFERROR(_xlfn.XLOOKUP($A79,Input_Raw!$A:$A,Input_Raw!BL:BL),"")</f>
        <v>428850</v>
      </c>
      <c r="AB79" s="167">
        <f>IFERROR(_xlfn.XLOOKUP($A79,Input_Raw!$A:$A,Input_Raw!$BO:$BO),"")</f>
        <v>70.2</v>
      </c>
      <c r="AC79" s="176">
        <f>IFERROR(_xlfn.XLOOKUP($D79,'Modelling New'!$D:$D,'Modelling New'!$J:$J),"")</f>
        <v>7.15</v>
      </c>
      <c r="AD79" s="166">
        <f>IFERROR(_xlfn.XLOOKUP($D79,'Modelling New'!$D:$D,'Modelling New'!$T:$T)*1000,"")</f>
        <v>801613.2743645322</v>
      </c>
      <c r="AE79" s="174"/>
      <c r="AF79" s="174">
        <f>IFERROR(_xlfn.XLOOKUP($D79,'Modelling New'!$D:$D,'Modelling New'!$W:$W),"")</f>
        <v>0.47579135467980305</v>
      </c>
      <c r="AG79" s="174">
        <f>IFERROR(_xlfn.XLOOKUP($D79,'Modelling New'!$D:$D,'Modelling New'!$AE:$AE),"")</f>
        <v>0.96029999999999993</v>
      </c>
      <c r="AH79" s="174">
        <f>IFERROR(_xlfn.XLOOKUP($D79,'Modelling New'!$D:$D,'Modelling New'!$AF:$AF),"")</f>
        <v>0.995</v>
      </c>
      <c r="AI79" s="177">
        <f>IFERROR(_xlfn.XLOOKUP($A79,Input_Raw!$A:$A,Input_Raw!$BQ:$BQ),"")</f>
        <v>487.83</v>
      </c>
      <c r="AJ79" s="167"/>
      <c r="AK79" s="167"/>
      <c r="AL79" s="167"/>
      <c r="AM79" s="167"/>
      <c r="AN79" s="175">
        <f>IFERROR(_xlfn.XLOOKUP($A79,Input_Raw!$A:$A,Input_Raw!$BN:$BN),"")</f>
        <v>7.3520557139373333E-2</v>
      </c>
      <c r="AO79" s="174">
        <f>IFERROR((_xlfn.XLOOKUP($A79,'WTG Reactive Power'!$A:$A,'WTG Reactive Power'!$AE:$AE))/Table13[[#This Row],[Gen_Exp (kWh)]],"")</f>
        <v>3.8845666609836271E-3</v>
      </c>
      <c r="AP79" s="174">
        <f>IFERROR(_xlfn.XLOOKUP($D79,'Modelling New'!$D:$D,'Modelling New'!$AK:$AK),"")</f>
        <v>0.05</v>
      </c>
      <c r="AQ79" s="174">
        <f>IFERROR(_xlfn.XLOOKUP($D79,'Modelling New'!$D:$D,'Modelling New'!$AL:$AL),"")</f>
        <v>0.05</v>
      </c>
      <c r="AR79" s="276">
        <f>IFERROR(_xlfn.XLOOKUP($D79,'Modelling New'!$D:$D,'Modelling New'!$N:$N),"")</f>
        <v>70.2</v>
      </c>
      <c r="AS79" s="276"/>
    </row>
    <row r="80" spans="1:45">
      <c r="A80" s="165">
        <f t="shared" si="7"/>
        <v>45823</v>
      </c>
      <c r="B80" s="166">
        <f>YEAR(Table13[[#This Row],[Date]])+IF(MONTH(Table13[[#This Row],[Date]])&gt;=4,1,0)</f>
        <v>2026</v>
      </c>
      <c r="C80" s="167">
        <f>YEAR(Table13[[#This Row],[Date]])</f>
        <v>2025</v>
      </c>
      <c r="D80" s="168">
        <f>Table13[[#This Row],[Date]]-DAY(Table13[[#This Row],[Date]])+1</f>
        <v>45809</v>
      </c>
      <c r="E80" s="167">
        <f t="shared" si="4"/>
        <v>30</v>
      </c>
      <c r="F80" s="169"/>
      <c r="G80" s="170"/>
      <c r="H80" s="170"/>
      <c r="I80" s="170"/>
      <c r="J80" s="170"/>
      <c r="K80" s="171"/>
      <c r="L80" s="170"/>
      <c r="M80" s="170">
        <f>IFERROR(_xlfn.XLOOKUP($A80,Input_Raw!$A:$A,Input_Raw!BG:BG),"")</f>
        <v>3.5274332281297589</v>
      </c>
      <c r="N80" s="170">
        <f>IFERROR(_xlfn.XLOOKUP($A80,Input_Raw!$A:$A,Input_Raw!BH:BH),"")</f>
        <v>0</v>
      </c>
      <c r="O80" s="173">
        <f t="shared" si="5"/>
        <v>0.99931478892712311</v>
      </c>
      <c r="P80" s="173">
        <f>IFERROR(1-SUMIF(WTG_BD!$F:$F,$A80,WTG_BD!$AA:$AA)/($AA80+SUMIF(WTG_BD!$F:$F,$A80,WTG_BD!$AA:$AA)),"")</f>
        <v>0.99931478892712311</v>
      </c>
      <c r="Q80" s="173">
        <f>IFERROR(1-SUMIF(IGA_BD!$F:$F,$A80,IGA_BD!$X:$X)/($AA80+SUMIF(IGA_BD!$F:$F,$A80,IGA_BD!$X:$X)),"")</f>
        <v>1</v>
      </c>
      <c r="R80" s="173">
        <f>IFERROR(1-SUMIF(Grid_BD!$F:$F,$A80,Grid_BD!$Y:$Y)/($AA80+SUMIF(Grid_BD!$F:$F,$A80,Grid_BD!$Y:$Y)),"")</f>
        <v>1</v>
      </c>
      <c r="S80" s="167"/>
      <c r="T80" s="172"/>
      <c r="U80" s="173"/>
      <c r="V80" s="167"/>
      <c r="W80" s="174">
        <f t="shared" si="6"/>
        <v>9.5619658119658113E-2</v>
      </c>
      <c r="X80" s="167">
        <f>IFERROR(_xlfn.XLOOKUP($A80,Input_Raw!$A:$A,Input_Raw!$BF:$BF),"")</f>
        <v>169966</v>
      </c>
      <c r="Y80" s="167">
        <f>IFERROR(_xlfn.XLOOKUP($A80,Input_Raw!$A:$A,Input_Raw!BJ:BJ),"")</f>
        <v>162900</v>
      </c>
      <c r="Z80" s="167">
        <f>IFERROR(_xlfn.XLOOKUP($A80,Input_Raw!$A:$A,Input_Raw!BK:BK),"")</f>
        <v>1800</v>
      </c>
      <c r="AA80" s="167">
        <f>IFERROR(_xlfn.XLOOKUP($A80,Input_Raw!$A:$A,Input_Raw!BL:BL),"")</f>
        <v>161100</v>
      </c>
      <c r="AB80" s="167">
        <f>IFERROR(_xlfn.XLOOKUP($A80,Input_Raw!$A:$A,Input_Raw!$BO:$BO),"")</f>
        <v>70.2</v>
      </c>
      <c r="AC80" s="176">
        <f>IFERROR(_xlfn.XLOOKUP($D80,'Modelling New'!$D:$D,'Modelling New'!$J:$J),"")</f>
        <v>7.15</v>
      </c>
      <c r="AD80" s="166">
        <f>IFERROR(_xlfn.XLOOKUP($D80,'Modelling New'!$D:$D,'Modelling New'!$T:$T)*1000,"")</f>
        <v>801613.2743645322</v>
      </c>
      <c r="AE80" s="174"/>
      <c r="AF80" s="174">
        <f>IFERROR(_xlfn.XLOOKUP($D80,'Modelling New'!$D:$D,'Modelling New'!$W:$W),"")</f>
        <v>0.47579135467980305</v>
      </c>
      <c r="AG80" s="174">
        <f>IFERROR(_xlfn.XLOOKUP($D80,'Modelling New'!$D:$D,'Modelling New'!$AE:$AE),"")</f>
        <v>0.96029999999999993</v>
      </c>
      <c r="AH80" s="174">
        <f>IFERROR(_xlfn.XLOOKUP($D80,'Modelling New'!$D:$D,'Modelling New'!$AF:$AF),"")</f>
        <v>0.995</v>
      </c>
      <c r="AI80" s="177">
        <f>IFERROR(_xlfn.XLOOKUP($A80,Input_Raw!$A:$A,Input_Raw!$BQ:$BQ),"")</f>
        <v>170.73</v>
      </c>
      <c r="AJ80" s="167"/>
      <c r="AK80" s="167"/>
      <c r="AL80" s="167"/>
      <c r="AM80" s="167"/>
      <c r="AN80" s="175">
        <f>IFERROR(_xlfn.XLOOKUP($A80,Input_Raw!$A:$A,Input_Raw!$BN:$BN),"")</f>
        <v>4.157302048645023E-2</v>
      </c>
      <c r="AO80" s="174">
        <f>IFERROR((_xlfn.XLOOKUP($A80,'WTG Reactive Power'!$A:$A,'WTG Reactive Power'!$AE:$AE))/Table13[[#This Row],[Gen_Exp (kWh)]],"")</f>
        <v>5.2943529882447096E-3</v>
      </c>
      <c r="AP80" s="174">
        <f>IFERROR(_xlfn.XLOOKUP($D80,'Modelling New'!$D:$D,'Modelling New'!$AK:$AK),"")</f>
        <v>0.05</v>
      </c>
      <c r="AQ80" s="174">
        <f>IFERROR(_xlfn.XLOOKUP($D80,'Modelling New'!$D:$D,'Modelling New'!$AL:$AL),"")</f>
        <v>0.05</v>
      </c>
      <c r="AR80" s="276">
        <f>IFERROR(_xlfn.XLOOKUP($D80,'Modelling New'!$D:$D,'Modelling New'!$N:$N),"")</f>
        <v>70.2</v>
      </c>
      <c r="AS80" s="276"/>
    </row>
    <row r="81" spans="1:45">
      <c r="A81" s="165">
        <f t="shared" si="7"/>
        <v>45824</v>
      </c>
      <c r="B81" s="166">
        <f>YEAR(Table13[[#This Row],[Date]])+IF(MONTH(Table13[[#This Row],[Date]])&gt;=4,1,0)</f>
        <v>2026</v>
      </c>
      <c r="C81" s="167">
        <f>YEAR(Table13[[#This Row],[Date]])</f>
        <v>2025</v>
      </c>
      <c r="D81" s="168">
        <f>Table13[[#This Row],[Date]]-DAY(Table13[[#This Row],[Date]])+1</f>
        <v>45809</v>
      </c>
      <c r="E81" s="167">
        <f t="shared" si="4"/>
        <v>30</v>
      </c>
      <c r="F81" s="169"/>
      <c r="G81" s="176"/>
      <c r="H81" s="176"/>
      <c r="I81" s="176"/>
      <c r="J81" s="176"/>
      <c r="K81" s="171"/>
      <c r="L81" s="170"/>
      <c r="M81" s="170">
        <f>IFERROR(_xlfn.XLOOKUP($A81,Input_Raw!$A:$A,Input_Raw!BG:BG),"")</f>
        <v>8.2050000000000001</v>
      </c>
      <c r="N81" s="170">
        <f>IFERROR(_xlfn.XLOOKUP($A81,Input_Raw!$A:$A,Input_Raw!BH:BH),"")</f>
        <v>0</v>
      </c>
      <c r="O81" s="173">
        <f t="shared" si="5"/>
        <v>0.90728981079501669</v>
      </c>
      <c r="P81" s="173">
        <f>IFERROR(1-SUMIF(WTG_BD!$F:$F,$A81,WTG_BD!$AA:$AA)/($AA81+SUMIF(WTG_BD!$F:$F,$A81,WTG_BD!$AA:$AA)),"")</f>
        <v>0.96676214829263629</v>
      </c>
      <c r="Q81" s="173">
        <f>IFERROR(1-SUMIF(IGA_BD!$F:$F,$A81,IGA_BD!$X:$X)/($AA81+SUMIF(IGA_BD!$F:$F,$A81,IGA_BD!$X:$X)),"")</f>
        <v>0.93848296853300317</v>
      </c>
      <c r="R81" s="173">
        <f>IFERROR(1-SUMIF(Grid_BD!$F:$F,$A81,Grid_BD!$Y:$Y)/($AA81+SUMIF(Grid_BD!$F:$F,$A81,Grid_BD!$Y:$Y)),"")</f>
        <v>1</v>
      </c>
      <c r="S81" s="167"/>
      <c r="T81" s="172"/>
      <c r="U81" s="173"/>
      <c r="V81" s="167"/>
      <c r="W81" s="174">
        <f t="shared" si="6"/>
        <v>0.53365384615384603</v>
      </c>
      <c r="X81" s="167">
        <f>IFERROR(_xlfn.XLOOKUP($A81,Input_Raw!$A:$A,Input_Raw!$BF:$BF),"")</f>
        <v>924330</v>
      </c>
      <c r="Y81" s="167">
        <f>IFERROR(_xlfn.XLOOKUP($A81,Input_Raw!$A:$A,Input_Raw!BJ:BJ),"")</f>
        <v>899100</v>
      </c>
      <c r="Z81" s="167">
        <f>IFERROR(_xlfn.XLOOKUP($A81,Input_Raw!$A:$A,Input_Raw!BK:BK),"")</f>
        <v>0</v>
      </c>
      <c r="AA81" s="167">
        <f>IFERROR(_xlfn.XLOOKUP($A81,Input_Raw!$A:$A,Input_Raw!BL:BL),"")</f>
        <v>899100</v>
      </c>
      <c r="AB81" s="167">
        <f>IFERROR(_xlfn.XLOOKUP($A81,Input_Raw!$A:$A,Input_Raw!$BO:$BO),"")</f>
        <v>70.2</v>
      </c>
      <c r="AC81" s="176">
        <f>IFERROR(_xlfn.XLOOKUP($D81,'Modelling New'!$D:$D,'Modelling New'!$J:$J),"")</f>
        <v>7.15</v>
      </c>
      <c r="AD81" s="166">
        <f>IFERROR(_xlfn.XLOOKUP($D81,'Modelling New'!$D:$D,'Modelling New'!$T:$T)*1000,"")</f>
        <v>801613.2743645322</v>
      </c>
      <c r="AE81" s="174"/>
      <c r="AF81" s="174">
        <f>IFERROR(_xlfn.XLOOKUP($D81,'Modelling New'!$D:$D,'Modelling New'!$W:$W),"")</f>
        <v>0.47579135467980305</v>
      </c>
      <c r="AG81" s="174">
        <f>IFERROR(_xlfn.XLOOKUP($D81,'Modelling New'!$D:$D,'Modelling New'!$AE:$AE),"")</f>
        <v>0.96029999999999993</v>
      </c>
      <c r="AH81" s="174">
        <f>IFERROR(_xlfn.XLOOKUP($D81,'Modelling New'!$D:$D,'Modelling New'!$AF:$AF),"")</f>
        <v>0.995</v>
      </c>
      <c r="AI81" s="177">
        <f>IFERROR(_xlfn.XLOOKUP($A81,Input_Raw!$A:$A,Input_Raw!$BQ:$BQ),"")</f>
        <v>988.32</v>
      </c>
      <c r="AJ81" s="167"/>
      <c r="AK81" s="167"/>
      <c r="AL81" s="167"/>
      <c r="AM81" s="167"/>
      <c r="AN81" s="175">
        <f>IFERROR(_xlfn.XLOOKUP($A81,Input_Raw!$A:$A,Input_Raw!$BN:$BN),"")</f>
        <v>2.7295446431469281E-2</v>
      </c>
      <c r="AO81" s="174">
        <f>IFERROR((_xlfn.XLOOKUP($A81,'WTG Reactive Power'!$A:$A,'WTG Reactive Power'!$AE:$AE))/Table13[[#This Row],[Gen_Exp (kWh)]],"")</f>
        <v>2.3854921943461747E-2</v>
      </c>
      <c r="AP81" s="174">
        <f>IFERROR(_xlfn.XLOOKUP($D81,'Modelling New'!$D:$D,'Modelling New'!$AK:$AK),"")</f>
        <v>0.05</v>
      </c>
      <c r="AQ81" s="174">
        <f>IFERROR(_xlfn.XLOOKUP($D81,'Modelling New'!$D:$D,'Modelling New'!$AL:$AL),"")</f>
        <v>0.05</v>
      </c>
      <c r="AR81" s="276">
        <f>IFERROR(_xlfn.XLOOKUP($D81,'Modelling New'!$D:$D,'Modelling New'!$N:$N),"")</f>
        <v>70.2</v>
      </c>
      <c r="AS81" s="276"/>
    </row>
    <row r="82" spans="1:45">
      <c r="A82" s="165">
        <f t="shared" si="7"/>
        <v>45825</v>
      </c>
      <c r="B82" s="166">
        <f>YEAR(Table13[[#This Row],[Date]])+IF(MONTH(Table13[[#This Row],[Date]])&gt;=4,1,0)</f>
        <v>2026</v>
      </c>
      <c r="C82" s="167">
        <f>YEAR(Table13[[#This Row],[Date]])</f>
        <v>2025</v>
      </c>
      <c r="D82" s="168">
        <f>Table13[[#This Row],[Date]]-DAY(Table13[[#This Row],[Date]])+1</f>
        <v>45809</v>
      </c>
      <c r="E82" s="167">
        <f t="shared" si="4"/>
        <v>30</v>
      </c>
      <c r="F82" s="169"/>
      <c r="G82" s="170"/>
      <c r="H82" s="170"/>
      <c r="I82" s="170"/>
      <c r="J82" s="170"/>
      <c r="K82" s="171"/>
      <c r="L82" s="170"/>
      <c r="M82" s="170">
        <f>IFERROR(_xlfn.XLOOKUP($A82,Input_Raw!$A:$A,Input_Raw!BG:BG),"")</f>
        <v>7.8157692307692308</v>
      </c>
      <c r="N82" s="170">
        <f>IFERROR(_xlfn.XLOOKUP($A82,Input_Raw!$A:$A,Input_Raw!BH:BH),"")</f>
        <v>0</v>
      </c>
      <c r="O82" s="173">
        <f t="shared" si="5"/>
        <v>0.95676698511849434</v>
      </c>
      <c r="P82" s="173">
        <f>IFERROR(1-SUMIF(WTG_BD!$F:$F,$A82,WTG_BD!$AA:$AA)/($AA82+SUMIF(WTG_BD!$F:$F,$A82,WTG_BD!$AA:$AA)),"")</f>
        <v>0.95676698511849434</v>
      </c>
      <c r="Q82" s="173">
        <f>IFERROR(1-SUMIF(IGA_BD!$F:$F,$A82,IGA_BD!$X:$X)/($AA82+SUMIF(IGA_BD!$F:$F,$A82,IGA_BD!$X:$X)),"")</f>
        <v>1</v>
      </c>
      <c r="R82" s="173">
        <f>IFERROR(1-SUMIF(Grid_BD!$F:$F,$A82,Grid_BD!$Y:$Y)/($AA82+SUMIF(Grid_BD!$F:$F,$A82,Grid_BD!$Y:$Y)),"")</f>
        <v>1</v>
      </c>
      <c r="S82" s="167"/>
      <c r="T82" s="172"/>
      <c r="U82" s="173"/>
      <c r="V82" s="167"/>
      <c r="W82" s="174">
        <f t="shared" si="6"/>
        <v>0.54540598290598286</v>
      </c>
      <c r="X82" s="167">
        <f>IFERROR(_xlfn.XLOOKUP($A82,Input_Raw!$A:$A,Input_Raw!$BF:$BF),"")</f>
        <v>950793</v>
      </c>
      <c r="Y82" s="167">
        <f>IFERROR(_xlfn.XLOOKUP($A82,Input_Raw!$A:$A,Input_Raw!BJ:BJ),"")</f>
        <v>919350</v>
      </c>
      <c r="Z82" s="167">
        <f>IFERROR(_xlfn.XLOOKUP($A82,Input_Raw!$A:$A,Input_Raw!BK:BK),"")</f>
        <v>450</v>
      </c>
      <c r="AA82" s="167">
        <f>IFERROR(_xlfn.XLOOKUP($A82,Input_Raw!$A:$A,Input_Raw!BL:BL),"")</f>
        <v>918900</v>
      </c>
      <c r="AB82" s="167">
        <f>IFERROR(_xlfn.XLOOKUP($A82,Input_Raw!$A:$A,Input_Raw!$BO:$BO),"")</f>
        <v>70.2</v>
      </c>
      <c r="AC82" s="176">
        <f>IFERROR(_xlfn.XLOOKUP($D82,'Modelling New'!$D:$D,'Modelling New'!$J:$J),"")</f>
        <v>7.15</v>
      </c>
      <c r="AD82" s="166">
        <f>IFERROR(_xlfn.XLOOKUP($D82,'Modelling New'!$D:$D,'Modelling New'!$T:$T)*1000,"")</f>
        <v>801613.2743645322</v>
      </c>
      <c r="AE82" s="174"/>
      <c r="AF82" s="174">
        <f>IFERROR(_xlfn.XLOOKUP($D82,'Modelling New'!$D:$D,'Modelling New'!$W:$W),"")</f>
        <v>0.47579135467980305</v>
      </c>
      <c r="AG82" s="174">
        <f>IFERROR(_xlfn.XLOOKUP($D82,'Modelling New'!$D:$D,'Modelling New'!$AE:$AE),"")</f>
        <v>0.96029999999999993</v>
      </c>
      <c r="AH82" s="174">
        <f>IFERROR(_xlfn.XLOOKUP($D82,'Modelling New'!$D:$D,'Modelling New'!$AF:$AF),"")</f>
        <v>0.995</v>
      </c>
      <c r="AI82" s="177">
        <f>IFERROR(_xlfn.XLOOKUP($A82,Input_Raw!$A:$A,Input_Raw!$BQ:$BQ),"")</f>
        <v>991.84</v>
      </c>
      <c r="AJ82" s="167"/>
      <c r="AK82" s="167"/>
      <c r="AL82" s="167"/>
      <c r="AM82" s="167"/>
      <c r="AN82" s="175">
        <f>IFERROR(_xlfn.XLOOKUP($A82,Input_Raw!$A:$A,Input_Raw!$BN:$BN),"")</f>
        <v>3.3070289747610677E-2</v>
      </c>
      <c r="AO82" s="174">
        <f>IFERROR((_xlfn.XLOOKUP($A82,'WTG Reactive Power'!$A:$A,'WTG Reactive Power'!$AE:$AE))/Table13[[#This Row],[Gen_Exp (kWh)]],"")</f>
        <v>8.992325353678457E-3</v>
      </c>
      <c r="AP82" s="174">
        <f>IFERROR(_xlfn.XLOOKUP($D82,'Modelling New'!$D:$D,'Modelling New'!$AK:$AK),"")</f>
        <v>0.05</v>
      </c>
      <c r="AQ82" s="174">
        <f>IFERROR(_xlfn.XLOOKUP($D82,'Modelling New'!$D:$D,'Modelling New'!$AL:$AL),"")</f>
        <v>0.05</v>
      </c>
      <c r="AR82" s="276">
        <f>IFERROR(_xlfn.XLOOKUP($D82,'Modelling New'!$D:$D,'Modelling New'!$N:$N),"")</f>
        <v>70.2</v>
      </c>
      <c r="AS82" s="276"/>
    </row>
    <row r="83" spans="1:45">
      <c r="A83" s="165">
        <f t="shared" si="7"/>
        <v>45826</v>
      </c>
      <c r="B83" s="166">
        <f>YEAR(Table13[[#This Row],[Date]])+IF(MONTH(Table13[[#This Row],[Date]])&gt;=4,1,0)</f>
        <v>2026</v>
      </c>
      <c r="C83" s="167">
        <f>YEAR(Table13[[#This Row],[Date]])</f>
        <v>2025</v>
      </c>
      <c r="D83" s="168">
        <f>Table13[[#This Row],[Date]]-DAY(Table13[[#This Row],[Date]])+1</f>
        <v>45809</v>
      </c>
      <c r="E83" s="167">
        <f t="shared" si="4"/>
        <v>30</v>
      </c>
      <c r="F83" s="169"/>
      <c r="G83" s="176"/>
      <c r="H83" s="176"/>
      <c r="I83" s="176"/>
      <c r="J83" s="176"/>
      <c r="K83" s="171"/>
      <c r="L83" s="170"/>
      <c r="M83" s="170">
        <f>IFERROR(_xlfn.XLOOKUP($A83,Input_Raw!$A:$A,Input_Raw!BG:BG),"")</f>
        <v>8.5203846153846161</v>
      </c>
      <c r="N83" s="170">
        <f>IFERROR(_xlfn.XLOOKUP($A83,Input_Raw!$A:$A,Input_Raw!BH:BH),"")</f>
        <v>0</v>
      </c>
      <c r="O83" s="173">
        <f t="shared" si="5"/>
        <v>0.95445775530514709</v>
      </c>
      <c r="P83" s="173">
        <f>IFERROR(1-SUMIF(WTG_BD!$F:$F,$A83,WTG_BD!$AA:$AA)/($AA83+SUMIF(WTG_BD!$F:$F,$A83,WTG_BD!$AA:$AA)),"")</f>
        <v>0.95445775530514709</v>
      </c>
      <c r="Q83" s="173">
        <f>IFERROR(1-SUMIF(IGA_BD!$F:$F,$A83,IGA_BD!$X:$X)/($AA83+SUMIF(IGA_BD!$F:$F,$A83,IGA_BD!$X:$X)),"")</f>
        <v>1</v>
      </c>
      <c r="R83" s="173">
        <f>IFERROR(1-SUMIF(Grid_BD!$F:$F,$A83,Grid_BD!$Y:$Y)/($AA83+SUMIF(Grid_BD!$F:$F,$A83,Grid_BD!$Y:$Y)),"")</f>
        <v>1</v>
      </c>
      <c r="S83" s="167"/>
      <c r="T83" s="172"/>
      <c r="U83" s="173"/>
      <c r="V83" s="167"/>
      <c r="W83" s="174">
        <f t="shared" si="6"/>
        <v>0.64663461538461531</v>
      </c>
      <c r="X83" s="167">
        <f>IFERROR(_xlfn.XLOOKUP($A83,Input_Raw!$A:$A,Input_Raw!$BF:$BF),"")</f>
        <v>1124055</v>
      </c>
      <c r="Y83" s="167">
        <f>IFERROR(_xlfn.XLOOKUP($A83,Input_Raw!$A:$A,Input_Raw!BJ:BJ),"")</f>
        <v>1089450</v>
      </c>
      <c r="Z83" s="167">
        <f>IFERROR(_xlfn.XLOOKUP($A83,Input_Raw!$A:$A,Input_Raw!BK:BK),"")</f>
        <v>0</v>
      </c>
      <c r="AA83" s="167">
        <f>IFERROR(_xlfn.XLOOKUP($A83,Input_Raw!$A:$A,Input_Raw!BL:BL),"")</f>
        <v>1089450</v>
      </c>
      <c r="AB83" s="167">
        <f>IFERROR(_xlfn.XLOOKUP($A83,Input_Raw!$A:$A,Input_Raw!$BO:$BO),"")</f>
        <v>70.2</v>
      </c>
      <c r="AC83" s="176">
        <f>IFERROR(_xlfn.XLOOKUP($D83,'Modelling New'!$D:$D,'Modelling New'!$J:$J),"")</f>
        <v>7.15</v>
      </c>
      <c r="AD83" s="166">
        <f>IFERROR(_xlfn.XLOOKUP($D83,'Modelling New'!$D:$D,'Modelling New'!$T:$T)*1000,"")</f>
        <v>801613.2743645322</v>
      </c>
      <c r="AE83" s="174"/>
      <c r="AF83" s="174">
        <f>IFERROR(_xlfn.XLOOKUP($D83,'Modelling New'!$D:$D,'Modelling New'!$W:$W),"")</f>
        <v>0.47579135467980305</v>
      </c>
      <c r="AG83" s="174">
        <f>IFERROR(_xlfn.XLOOKUP($D83,'Modelling New'!$D:$D,'Modelling New'!$AE:$AE),"")</f>
        <v>0.96029999999999993</v>
      </c>
      <c r="AH83" s="174">
        <f>IFERROR(_xlfn.XLOOKUP($D83,'Modelling New'!$D:$D,'Modelling New'!$AF:$AF),"")</f>
        <v>0.995</v>
      </c>
      <c r="AI83" s="177">
        <f>IFERROR(_xlfn.XLOOKUP($A83,Input_Raw!$A:$A,Input_Raw!$BQ:$BQ),"")</f>
        <v>1202.27</v>
      </c>
      <c r="AJ83" s="167"/>
      <c r="AK83" s="167"/>
      <c r="AL83" s="167"/>
      <c r="AM83" s="167"/>
      <c r="AN83" s="175">
        <f>IFERROR(_xlfn.XLOOKUP($A83,Input_Raw!$A:$A,Input_Raw!$BN:$BN),"")</f>
        <v>3.0785860122502902E-2</v>
      </c>
      <c r="AO83" s="174">
        <f>IFERROR((_xlfn.XLOOKUP($A83,'WTG Reactive Power'!$A:$A,'WTG Reactive Power'!$AE:$AE))/Table13[[#This Row],[Gen_Exp (kWh)]],"")</f>
        <v>2.4018753530743605E-3</v>
      </c>
      <c r="AP83" s="174">
        <f>IFERROR(_xlfn.XLOOKUP($D83,'Modelling New'!$D:$D,'Modelling New'!$AK:$AK),"")</f>
        <v>0.05</v>
      </c>
      <c r="AQ83" s="174">
        <f>IFERROR(_xlfn.XLOOKUP($D83,'Modelling New'!$D:$D,'Modelling New'!$AL:$AL),"")</f>
        <v>0.05</v>
      </c>
      <c r="AR83" s="276">
        <f>IFERROR(_xlfn.XLOOKUP($D83,'Modelling New'!$D:$D,'Modelling New'!$N:$N),"")</f>
        <v>70.2</v>
      </c>
      <c r="AS83" s="276"/>
    </row>
    <row r="84" spans="1:45">
      <c r="A84" s="165">
        <f t="shared" si="7"/>
        <v>45827</v>
      </c>
      <c r="B84" s="166">
        <f>YEAR(Table13[[#This Row],[Date]])+IF(MONTH(Table13[[#This Row],[Date]])&gt;=4,1,0)</f>
        <v>2026</v>
      </c>
      <c r="C84" s="167">
        <f>YEAR(Table13[[#This Row],[Date]])</f>
        <v>2025</v>
      </c>
      <c r="D84" s="168">
        <f>Table13[[#This Row],[Date]]-DAY(Table13[[#This Row],[Date]])+1</f>
        <v>45809</v>
      </c>
      <c r="E84" s="167">
        <f t="shared" si="4"/>
        <v>30</v>
      </c>
      <c r="F84" s="169"/>
      <c r="G84" s="170"/>
      <c r="H84" s="170"/>
      <c r="I84" s="170"/>
      <c r="J84" s="170"/>
      <c r="K84" s="171"/>
      <c r="L84" s="170"/>
      <c r="M84" s="170">
        <f>IFERROR(_xlfn.XLOOKUP($A84,Input_Raw!$A:$A,Input_Raw!BG:BG),"")</f>
        <v>10.461153846153847</v>
      </c>
      <c r="N84" s="170">
        <f>IFERROR(_xlfn.XLOOKUP($A84,Input_Raw!$A:$A,Input_Raw!BH:BH),"")</f>
        <v>0</v>
      </c>
      <c r="O84" s="173">
        <f t="shared" si="5"/>
        <v>0.95647278687826454</v>
      </c>
      <c r="P84" s="173">
        <f>IFERROR(1-SUMIF(WTG_BD!$F:$F,$A84,WTG_BD!$AA:$AA)/($AA84+SUMIF(WTG_BD!$F:$F,$A84,WTG_BD!$AA:$AA)),"")</f>
        <v>0.95647278687826454</v>
      </c>
      <c r="Q84" s="173">
        <f>IFERROR(1-SUMIF(IGA_BD!$F:$F,$A84,IGA_BD!$X:$X)/($AA84+SUMIF(IGA_BD!$F:$F,$A84,IGA_BD!$X:$X)),"")</f>
        <v>1</v>
      </c>
      <c r="R84" s="173">
        <f>IFERROR(1-SUMIF(Grid_BD!$F:$F,$A84,Grid_BD!$Y:$Y)/($AA84+SUMIF(Grid_BD!$F:$F,$A84,Grid_BD!$Y:$Y)),"")</f>
        <v>1</v>
      </c>
      <c r="S84" s="167"/>
      <c r="T84" s="172"/>
      <c r="U84" s="173"/>
      <c r="V84" s="167"/>
      <c r="W84" s="174">
        <f t="shared" si="6"/>
        <v>0.87660256410256399</v>
      </c>
      <c r="X84" s="167">
        <f>IFERROR(_xlfn.XLOOKUP($A84,Input_Raw!$A:$A,Input_Raw!$BF:$BF),"")</f>
        <v>1534182</v>
      </c>
      <c r="Y84" s="167">
        <f>IFERROR(_xlfn.XLOOKUP($A84,Input_Raw!$A:$A,Input_Raw!BJ:BJ),"")</f>
        <v>1476900</v>
      </c>
      <c r="Z84" s="167">
        <f>IFERROR(_xlfn.XLOOKUP($A84,Input_Raw!$A:$A,Input_Raw!BK:BK),"")</f>
        <v>0</v>
      </c>
      <c r="AA84" s="167">
        <f>IFERROR(_xlfn.XLOOKUP($A84,Input_Raw!$A:$A,Input_Raw!BL:BL),"")</f>
        <v>1476900</v>
      </c>
      <c r="AB84" s="167">
        <f>IFERROR(_xlfn.XLOOKUP($A84,Input_Raw!$A:$A,Input_Raw!$BO:$BO),"")</f>
        <v>70.2</v>
      </c>
      <c r="AC84" s="176">
        <f>IFERROR(_xlfn.XLOOKUP($D84,'Modelling New'!$D:$D,'Modelling New'!$J:$J),"")</f>
        <v>7.15</v>
      </c>
      <c r="AD84" s="166">
        <f>IFERROR(_xlfn.XLOOKUP($D84,'Modelling New'!$D:$D,'Modelling New'!$T:$T)*1000,"")</f>
        <v>801613.2743645322</v>
      </c>
      <c r="AE84" s="174"/>
      <c r="AF84" s="174">
        <f>IFERROR(_xlfn.XLOOKUP($D84,'Modelling New'!$D:$D,'Modelling New'!$W:$W),"")</f>
        <v>0.47579135467980305</v>
      </c>
      <c r="AG84" s="174">
        <f>IFERROR(_xlfn.XLOOKUP($D84,'Modelling New'!$D:$D,'Modelling New'!$AE:$AE),"")</f>
        <v>0.96029999999999993</v>
      </c>
      <c r="AH84" s="174">
        <f>IFERROR(_xlfn.XLOOKUP($D84,'Modelling New'!$D:$D,'Modelling New'!$AF:$AF),"")</f>
        <v>0.995</v>
      </c>
      <c r="AI84" s="177">
        <f>IFERROR(_xlfn.XLOOKUP($A84,Input_Raw!$A:$A,Input_Raw!$BQ:$BQ),"")</f>
        <v>1596.54</v>
      </c>
      <c r="AJ84" s="167"/>
      <c r="AK84" s="167"/>
      <c r="AL84" s="167"/>
      <c r="AM84" s="167"/>
      <c r="AN84" s="175">
        <f>IFERROR(_xlfn.XLOOKUP($A84,Input_Raw!$A:$A,Input_Raw!$BN:$BN),"")</f>
        <v>3.7337160780142119E-2</v>
      </c>
      <c r="AO84" s="174">
        <f>IFERROR((_xlfn.XLOOKUP($A84,'WTG Reactive Power'!$A:$A,'WTG Reactive Power'!$AE:$AE))/Table13[[#This Row],[Gen_Exp (kWh)]],"")</f>
        <v>4.3996474994492168E-3</v>
      </c>
      <c r="AP84" s="174">
        <f>IFERROR(_xlfn.XLOOKUP($D84,'Modelling New'!$D:$D,'Modelling New'!$AK:$AK),"")</f>
        <v>0.05</v>
      </c>
      <c r="AQ84" s="174">
        <f>IFERROR(_xlfn.XLOOKUP($D84,'Modelling New'!$D:$D,'Modelling New'!$AL:$AL),"")</f>
        <v>0.05</v>
      </c>
      <c r="AR84" s="276">
        <f>IFERROR(_xlfn.XLOOKUP($D84,'Modelling New'!$D:$D,'Modelling New'!$N:$N),"")</f>
        <v>70.2</v>
      </c>
      <c r="AS84" s="276"/>
    </row>
    <row r="85" spans="1:45">
      <c r="A85" s="165">
        <f t="shared" si="7"/>
        <v>45828</v>
      </c>
      <c r="B85" s="166">
        <f>YEAR(Table13[[#This Row],[Date]])+IF(MONTH(Table13[[#This Row],[Date]])&gt;=4,1,0)</f>
        <v>2026</v>
      </c>
      <c r="C85" s="167">
        <f>YEAR(Table13[[#This Row],[Date]])</f>
        <v>2025</v>
      </c>
      <c r="D85" s="168">
        <f>Table13[[#This Row],[Date]]-DAY(Table13[[#This Row],[Date]])+1</f>
        <v>45809</v>
      </c>
      <c r="E85" s="167">
        <f t="shared" si="4"/>
        <v>30</v>
      </c>
      <c r="F85" s="169"/>
      <c r="G85" s="176"/>
      <c r="H85" s="176"/>
      <c r="I85" s="176"/>
      <c r="J85" s="176"/>
      <c r="K85" s="171"/>
      <c r="L85" s="170"/>
      <c r="M85" s="170">
        <f>IFERROR(_xlfn.XLOOKUP($A85,Input_Raw!$A:$A,Input_Raw!BG:BG),"")</f>
        <v>8.8839391657087781</v>
      </c>
      <c r="N85" s="170">
        <f>IFERROR(_xlfn.XLOOKUP($A85,Input_Raw!$A:$A,Input_Raw!BH:BH),"")</f>
        <v>0</v>
      </c>
      <c r="O85" s="173">
        <f t="shared" si="5"/>
        <v>0.77215933517244373</v>
      </c>
      <c r="P85" s="173">
        <f>IFERROR(1-SUMIF(WTG_BD!$F:$F,$A85,WTG_BD!$AA:$AA)/($AA85+SUMIF(WTG_BD!$F:$F,$A85,WTG_BD!$AA:$AA)),"")</f>
        <v>0.94898103709717507</v>
      </c>
      <c r="Q85" s="173">
        <f>IFERROR(1-SUMIF(IGA_BD!$F:$F,$A85,IGA_BD!$X:$X)/($AA85+SUMIF(IGA_BD!$F:$F,$A85,IGA_BD!$X:$X)),"")</f>
        <v>0.8136720387315548</v>
      </c>
      <c r="R85" s="173">
        <f>IFERROR(1-SUMIF(Grid_BD!$F:$F,$A85,Grid_BD!$Y:$Y)/($AA85+SUMIF(Grid_BD!$F:$F,$A85,Grid_BD!$Y:$Y)),"")</f>
        <v>1</v>
      </c>
      <c r="S85" s="167"/>
      <c r="T85" s="172"/>
      <c r="U85" s="173"/>
      <c r="V85" s="167"/>
      <c r="W85" s="174">
        <f t="shared" si="6"/>
        <v>0.5675747863247862</v>
      </c>
      <c r="X85" s="167">
        <f>IFERROR(_xlfn.XLOOKUP($A85,Input_Raw!$A:$A,Input_Raw!$BF:$BF),"")</f>
        <v>989072</v>
      </c>
      <c r="Y85" s="167">
        <f>IFERROR(_xlfn.XLOOKUP($A85,Input_Raw!$A:$A,Input_Raw!BJ:BJ),"")</f>
        <v>956250</v>
      </c>
      <c r="Z85" s="167">
        <f>IFERROR(_xlfn.XLOOKUP($A85,Input_Raw!$A:$A,Input_Raw!BK:BK),"")</f>
        <v>0</v>
      </c>
      <c r="AA85" s="167">
        <f>IFERROR(_xlfn.XLOOKUP($A85,Input_Raw!$A:$A,Input_Raw!BL:BL),"")</f>
        <v>956250</v>
      </c>
      <c r="AB85" s="167">
        <f>IFERROR(_xlfn.XLOOKUP($A85,Input_Raw!$A:$A,Input_Raw!$BO:$BO),"")</f>
        <v>70.2</v>
      </c>
      <c r="AC85" s="176">
        <f>IFERROR(_xlfn.XLOOKUP($D85,'Modelling New'!$D:$D,'Modelling New'!$J:$J),"")</f>
        <v>7.15</v>
      </c>
      <c r="AD85" s="166">
        <f>IFERROR(_xlfn.XLOOKUP($D85,'Modelling New'!$D:$D,'Modelling New'!$T:$T)*1000,"")</f>
        <v>801613.2743645322</v>
      </c>
      <c r="AE85" s="174"/>
      <c r="AF85" s="174">
        <f>IFERROR(_xlfn.XLOOKUP($D85,'Modelling New'!$D:$D,'Modelling New'!$W:$W),"")</f>
        <v>0.47579135467980305</v>
      </c>
      <c r="AG85" s="174">
        <f>IFERROR(_xlfn.XLOOKUP($D85,'Modelling New'!$D:$D,'Modelling New'!$AE:$AE),"")</f>
        <v>0.96029999999999993</v>
      </c>
      <c r="AH85" s="174">
        <f>IFERROR(_xlfn.XLOOKUP($D85,'Modelling New'!$D:$D,'Modelling New'!$AF:$AF),"")</f>
        <v>0.995</v>
      </c>
      <c r="AI85" s="177">
        <f>IFERROR(_xlfn.XLOOKUP($A85,Input_Raw!$A:$A,Input_Raw!$BQ:$BQ),"")</f>
        <v>1078.22</v>
      </c>
      <c r="AJ85" s="167"/>
      <c r="AK85" s="167"/>
      <c r="AL85" s="167"/>
      <c r="AM85" s="167"/>
      <c r="AN85" s="175">
        <f>IFERROR(_xlfn.XLOOKUP($A85,Input_Raw!$A:$A,Input_Raw!$BN:$BN),"")</f>
        <v>3.3184641765210215E-2</v>
      </c>
      <c r="AO85" s="174">
        <f>IFERROR((_xlfn.XLOOKUP($A85,'WTG Reactive Power'!$A:$A,'WTG Reactive Power'!$AE:$AE))/Table13[[#This Row],[Gen_Exp (kWh)]],"")</f>
        <v>6.8244374524807066E-3</v>
      </c>
      <c r="AP85" s="174">
        <f>IFERROR(_xlfn.XLOOKUP($D85,'Modelling New'!$D:$D,'Modelling New'!$AK:$AK),"")</f>
        <v>0.05</v>
      </c>
      <c r="AQ85" s="174">
        <f>IFERROR(_xlfn.XLOOKUP($D85,'Modelling New'!$D:$D,'Modelling New'!$AL:$AL),"")</f>
        <v>0.05</v>
      </c>
      <c r="AR85" s="276">
        <f>IFERROR(_xlfn.XLOOKUP($D85,'Modelling New'!$D:$D,'Modelling New'!$N:$N),"")</f>
        <v>70.2</v>
      </c>
      <c r="AS85" s="276"/>
    </row>
    <row r="86" spans="1:45">
      <c r="A86" s="165">
        <f t="shared" si="7"/>
        <v>45829</v>
      </c>
      <c r="B86" s="166">
        <f>YEAR(Table13[[#This Row],[Date]])+IF(MONTH(Table13[[#This Row],[Date]])&gt;=4,1,0)</f>
        <v>2026</v>
      </c>
      <c r="C86" s="167">
        <f>YEAR(Table13[[#This Row],[Date]])</f>
        <v>2025</v>
      </c>
      <c r="D86" s="168">
        <f>Table13[[#This Row],[Date]]-DAY(Table13[[#This Row],[Date]])+1</f>
        <v>45809</v>
      </c>
      <c r="E86" s="167">
        <f t="shared" si="4"/>
        <v>30</v>
      </c>
      <c r="F86" s="169"/>
      <c r="G86" s="170"/>
      <c r="H86" s="170"/>
      <c r="I86" s="170"/>
      <c r="J86" s="170"/>
      <c r="K86" s="171"/>
      <c r="L86" s="170"/>
      <c r="M86" s="170">
        <f>IFERROR(_xlfn.XLOOKUP($A86,Input_Raw!$A:$A,Input_Raw!BG:BG),"")</f>
        <v>8.8357692307692322</v>
      </c>
      <c r="N86" s="170">
        <f>IFERROR(_xlfn.XLOOKUP($A86,Input_Raw!$A:$A,Input_Raw!BH:BH),"")</f>
        <v>0</v>
      </c>
      <c r="O86" s="173">
        <f t="shared" si="5"/>
        <v>0.95463360533206976</v>
      </c>
      <c r="P86" s="173">
        <f>IFERROR(1-SUMIF(WTG_BD!$F:$F,$A86,WTG_BD!$AA:$AA)/($AA86+SUMIF(WTG_BD!$F:$F,$A86,WTG_BD!$AA:$AA)),"")</f>
        <v>0.95463360533206976</v>
      </c>
      <c r="Q86" s="173">
        <f>IFERROR(1-SUMIF(IGA_BD!$F:$F,$A86,IGA_BD!$X:$X)/($AA86+SUMIF(IGA_BD!$F:$F,$A86,IGA_BD!$X:$X)),"")</f>
        <v>1</v>
      </c>
      <c r="R86" s="173">
        <f>IFERROR(1-SUMIF(Grid_BD!$F:$F,$A86,Grid_BD!$Y:$Y)/($AA86+SUMIF(Grid_BD!$F:$F,$A86,Grid_BD!$Y:$Y)),"")</f>
        <v>1</v>
      </c>
      <c r="S86" s="167"/>
      <c r="T86" s="172"/>
      <c r="U86" s="173"/>
      <c r="V86" s="167"/>
      <c r="W86" s="174">
        <f t="shared" si="6"/>
        <v>0.69177350427350415</v>
      </c>
      <c r="X86" s="167">
        <f>IFERROR(_xlfn.XLOOKUP($A86,Input_Raw!$A:$A,Input_Raw!$BF:$BF),"")</f>
        <v>1204238</v>
      </c>
      <c r="Y86" s="167">
        <f>IFERROR(_xlfn.XLOOKUP($A86,Input_Raw!$A:$A,Input_Raw!BJ:BJ),"")</f>
        <v>1165500</v>
      </c>
      <c r="Z86" s="167">
        <f>IFERROR(_xlfn.XLOOKUP($A86,Input_Raw!$A:$A,Input_Raw!BK:BK),"")</f>
        <v>0</v>
      </c>
      <c r="AA86" s="167">
        <f>IFERROR(_xlfn.XLOOKUP($A86,Input_Raw!$A:$A,Input_Raw!BL:BL),"")</f>
        <v>1165500</v>
      </c>
      <c r="AB86" s="167">
        <f>IFERROR(_xlfn.XLOOKUP($A86,Input_Raw!$A:$A,Input_Raw!$BO:$BO),"")</f>
        <v>70.2</v>
      </c>
      <c r="AC86" s="176">
        <f>IFERROR(_xlfn.XLOOKUP($D86,'Modelling New'!$D:$D,'Modelling New'!$J:$J),"")</f>
        <v>7.15</v>
      </c>
      <c r="AD86" s="166">
        <f>IFERROR(_xlfn.XLOOKUP($D86,'Modelling New'!$D:$D,'Modelling New'!$T:$T)*1000,"")</f>
        <v>801613.2743645322</v>
      </c>
      <c r="AE86" s="174"/>
      <c r="AF86" s="174">
        <f>IFERROR(_xlfn.XLOOKUP($D86,'Modelling New'!$D:$D,'Modelling New'!$W:$W),"")</f>
        <v>0.47579135467980305</v>
      </c>
      <c r="AG86" s="174">
        <f>IFERROR(_xlfn.XLOOKUP($D86,'Modelling New'!$D:$D,'Modelling New'!$AE:$AE),"")</f>
        <v>0.96029999999999993</v>
      </c>
      <c r="AH86" s="174">
        <f>IFERROR(_xlfn.XLOOKUP($D86,'Modelling New'!$D:$D,'Modelling New'!$AF:$AF),"")</f>
        <v>0.995</v>
      </c>
      <c r="AI86" s="177">
        <f>IFERROR(_xlfn.XLOOKUP($A86,Input_Raw!$A:$A,Input_Raw!$BQ:$BQ),"")</f>
        <v>1261.1600000000001</v>
      </c>
      <c r="AJ86" s="167"/>
      <c r="AK86" s="167"/>
      <c r="AL86" s="167"/>
      <c r="AM86" s="167"/>
      <c r="AN86" s="175">
        <f>IFERROR(_xlfn.XLOOKUP($A86,Input_Raw!$A:$A,Input_Raw!$BN:$BN),"")</f>
        <v>3.2168059802132137E-2</v>
      </c>
      <c r="AO86" s="174">
        <f>IFERROR((_xlfn.XLOOKUP($A86,'WTG Reactive Power'!$A:$A,'WTG Reactive Power'!$AE:$AE))/Table13[[#This Row],[Gen_Exp (kWh)]],"")</f>
        <v>2.9894090703000572E-3</v>
      </c>
      <c r="AP86" s="174">
        <f>IFERROR(_xlfn.XLOOKUP($D86,'Modelling New'!$D:$D,'Modelling New'!$AK:$AK),"")</f>
        <v>0.05</v>
      </c>
      <c r="AQ86" s="174">
        <f>IFERROR(_xlfn.XLOOKUP($D86,'Modelling New'!$D:$D,'Modelling New'!$AL:$AL),"")</f>
        <v>0.05</v>
      </c>
      <c r="AR86" s="276">
        <f>IFERROR(_xlfn.XLOOKUP($D86,'Modelling New'!$D:$D,'Modelling New'!$N:$N),"")</f>
        <v>70.2</v>
      </c>
      <c r="AS86" s="276"/>
    </row>
    <row r="87" spans="1:45">
      <c r="A87" s="165">
        <f t="shared" si="7"/>
        <v>45830</v>
      </c>
      <c r="B87" s="166">
        <f>YEAR(Table13[[#This Row],[Date]])+IF(MONTH(Table13[[#This Row],[Date]])&gt;=4,1,0)</f>
        <v>2026</v>
      </c>
      <c r="C87" s="167">
        <f>YEAR(Table13[[#This Row],[Date]])</f>
        <v>2025</v>
      </c>
      <c r="D87" s="168">
        <f>Table13[[#This Row],[Date]]-DAY(Table13[[#This Row],[Date]])+1</f>
        <v>45809</v>
      </c>
      <c r="E87" s="167">
        <f t="shared" si="4"/>
        <v>30</v>
      </c>
      <c r="F87" s="169"/>
      <c r="G87" s="176"/>
      <c r="H87" s="176"/>
      <c r="I87" s="176"/>
      <c r="J87" s="176"/>
      <c r="K87" s="171"/>
      <c r="L87" s="170"/>
      <c r="M87" s="170">
        <f>IFERROR(_xlfn.XLOOKUP($A87,Input_Raw!$A:$A,Input_Raw!BG:BG),"")</f>
        <v>7.0880769230769243</v>
      </c>
      <c r="N87" s="170">
        <f>IFERROR(_xlfn.XLOOKUP($A87,Input_Raw!$A:$A,Input_Raw!BH:BH),"")</f>
        <v>0</v>
      </c>
      <c r="O87" s="173">
        <f t="shared" si="5"/>
        <v>0.95631733453483692</v>
      </c>
      <c r="P87" s="173">
        <f>IFERROR(1-SUMIF(WTG_BD!$F:$F,$A87,WTG_BD!$AA:$AA)/($AA87+SUMIF(WTG_BD!$F:$F,$A87,WTG_BD!$AA:$AA)),"")</f>
        <v>0.95631733453483692</v>
      </c>
      <c r="Q87" s="173">
        <f>IFERROR(1-SUMIF(IGA_BD!$F:$F,$A87,IGA_BD!$X:$X)/($AA87+SUMIF(IGA_BD!$F:$F,$A87,IGA_BD!$X:$X)),"")</f>
        <v>1</v>
      </c>
      <c r="R87" s="173">
        <f>IFERROR(1-SUMIF(Grid_BD!$F:$F,$A87,Grid_BD!$Y:$Y)/($AA87+SUMIF(Grid_BD!$F:$F,$A87,Grid_BD!$Y:$Y)),"")</f>
        <v>1</v>
      </c>
      <c r="S87" s="167"/>
      <c r="T87" s="172"/>
      <c r="U87" s="173"/>
      <c r="V87" s="167"/>
      <c r="W87" s="174">
        <f t="shared" si="6"/>
        <v>0.43322649572649569</v>
      </c>
      <c r="X87" s="167">
        <f>IFERROR(_xlfn.XLOOKUP($A87,Input_Raw!$A:$A,Input_Raw!$BF:$BF),"")</f>
        <v>749752</v>
      </c>
      <c r="Y87" s="167">
        <f>IFERROR(_xlfn.XLOOKUP($A87,Input_Raw!$A:$A,Input_Raw!BJ:BJ),"")</f>
        <v>729900</v>
      </c>
      <c r="Z87" s="167">
        <f>IFERROR(_xlfn.XLOOKUP($A87,Input_Raw!$A:$A,Input_Raw!BK:BK),"")</f>
        <v>0</v>
      </c>
      <c r="AA87" s="167">
        <f>IFERROR(_xlfn.XLOOKUP($A87,Input_Raw!$A:$A,Input_Raw!BL:BL),"")</f>
        <v>729900</v>
      </c>
      <c r="AB87" s="167">
        <f>IFERROR(_xlfn.XLOOKUP($A87,Input_Raw!$A:$A,Input_Raw!$BO:$BO),"")</f>
        <v>70.2</v>
      </c>
      <c r="AC87" s="176">
        <f>IFERROR(_xlfn.XLOOKUP($D87,'Modelling New'!$D:$D,'Modelling New'!$J:$J),"")</f>
        <v>7.15</v>
      </c>
      <c r="AD87" s="166">
        <f>IFERROR(_xlfn.XLOOKUP($D87,'Modelling New'!$D:$D,'Modelling New'!$T:$T)*1000,"")</f>
        <v>801613.2743645322</v>
      </c>
      <c r="AE87" s="174"/>
      <c r="AF87" s="174">
        <f>IFERROR(_xlfn.XLOOKUP($D87,'Modelling New'!$D:$D,'Modelling New'!$W:$W),"")</f>
        <v>0.47579135467980305</v>
      </c>
      <c r="AG87" s="174">
        <f>IFERROR(_xlfn.XLOOKUP($D87,'Modelling New'!$D:$D,'Modelling New'!$AE:$AE),"")</f>
        <v>0.96029999999999993</v>
      </c>
      <c r="AH87" s="174">
        <f>IFERROR(_xlfn.XLOOKUP($D87,'Modelling New'!$D:$D,'Modelling New'!$AF:$AF),"")</f>
        <v>0.995</v>
      </c>
      <c r="AI87" s="177">
        <f>IFERROR(_xlfn.XLOOKUP($A87,Input_Raw!$A:$A,Input_Raw!$BQ:$BQ),"")</f>
        <v>790.8</v>
      </c>
      <c r="AJ87" s="167"/>
      <c r="AK87" s="167"/>
      <c r="AL87" s="167"/>
      <c r="AM87" s="167"/>
      <c r="AN87" s="175">
        <f>IFERROR(_xlfn.XLOOKUP($A87,Input_Raw!$A:$A,Input_Raw!$BN:$BN),"")</f>
        <v>2.6478088754681547E-2</v>
      </c>
      <c r="AO87" s="174">
        <f>IFERROR((_xlfn.XLOOKUP($A87,'WTG Reactive Power'!$A:$A,'WTG Reactive Power'!$AE:$AE))/Table13[[#This Row],[Gen_Exp (kWh)]],"")</f>
        <v>2.4007671870165071E-3</v>
      </c>
      <c r="AP87" s="174">
        <f>IFERROR(_xlfn.XLOOKUP($D87,'Modelling New'!$D:$D,'Modelling New'!$AK:$AK),"")</f>
        <v>0.05</v>
      </c>
      <c r="AQ87" s="174">
        <f>IFERROR(_xlfn.XLOOKUP($D87,'Modelling New'!$D:$D,'Modelling New'!$AL:$AL),"")</f>
        <v>0.05</v>
      </c>
      <c r="AR87" s="276">
        <f>IFERROR(_xlfn.XLOOKUP($D87,'Modelling New'!$D:$D,'Modelling New'!$N:$N),"")</f>
        <v>70.2</v>
      </c>
      <c r="AS87" s="276"/>
    </row>
    <row r="88" spans="1:45">
      <c r="A88" s="165">
        <f t="shared" si="7"/>
        <v>45831</v>
      </c>
      <c r="B88" s="166">
        <f>YEAR(Table13[[#This Row],[Date]])+IF(MONTH(Table13[[#This Row],[Date]])&gt;=4,1,0)</f>
        <v>2026</v>
      </c>
      <c r="C88" s="167">
        <f>YEAR(Table13[[#This Row],[Date]])</f>
        <v>2025</v>
      </c>
      <c r="D88" s="168">
        <f>Table13[[#This Row],[Date]]-DAY(Table13[[#This Row],[Date]])+1</f>
        <v>45809</v>
      </c>
      <c r="E88" s="167">
        <f t="shared" ref="E88:E151" si="8">DAY(EOMONTH(A88,0))</f>
        <v>30</v>
      </c>
      <c r="F88" s="169"/>
      <c r="G88" s="170"/>
      <c r="H88" s="170"/>
      <c r="I88" s="170"/>
      <c r="J88" s="170"/>
      <c r="K88" s="171"/>
      <c r="L88" s="170"/>
      <c r="M88" s="170">
        <f>IFERROR(_xlfn.XLOOKUP($A88,Input_Raw!$A:$A,Input_Raw!BG:BG),"")</f>
        <v>7.5965384615384624</v>
      </c>
      <c r="N88" s="170">
        <f>IFERROR(_xlfn.XLOOKUP($A88,Input_Raw!$A:$A,Input_Raw!BH:BH),"")</f>
        <v>0</v>
      </c>
      <c r="O88" s="173">
        <f t="shared" ref="O88:O151" si="9">IFERROR(P88*Q88,"")</f>
        <v>0.95682683503691235</v>
      </c>
      <c r="P88" s="173">
        <f>IFERROR(1-SUMIF(WTG_BD!$F:$F,$A88,WTG_BD!$AA:$AA)/($AA88+SUMIF(WTG_BD!$F:$F,$A88,WTG_BD!$AA:$AA)),"")</f>
        <v>0.95682683503691235</v>
      </c>
      <c r="Q88" s="173">
        <f>IFERROR(1-SUMIF(IGA_BD!$F:$F,$A88,IGA_BD!$X:$X)/($AA88+SUMIF(IGA_BD!$F:$F,$A88,IGA_BD!$X:$X)),"")</f>
        <v>1</v>
      </c>
      <c r="R88" s="173">
        <f>IFERROR(1-SUMIF(Grid_BD!$F:$F,$A88,Grid_BD!$Y:$Y)/($AA88+SUMIF(Grid_BD!$F:$F,$A88,Grid_BD!$Y:$Y)),"")</f>
        <v>1</v>
      </c>
      <c r="S88" s="167"/>
      <c r="T88" s="172"/>
      <c r="U88" s="173"/>
      <c r="V88" s="167"/>
      <c r="W88" s="174">
        <f t="shared" ref="W88:W151" si="10">IFERROR(AA88/(24*AR88*1000),"")</f>
        <v>0.4869123931623931</v>
      </c>
      <c r="X88" s="167">
        <f>IFERROR(_xlfn.XLOOKUP($A88,Input_Raw!$A:$A,Input_Raw!$BF:$BF),"")</f>
        <v>840583</v>
      </c>
      <c r="Y88" s="167">
        <f>IFERROR(_xlfn.XLOOKUP($A88,Input_Raw!$A:$A,Input_Raw!BJ:BJ),"")</f>
        <v>820350</v>
      </c>
      <c r="Z88" s="167">
        <f>IFERROR(_xlfn.XLOOKUP($A88,Input_Raw!$A:$A,Input_Raw!BK:BK),"")</f>
        <v>0</v>
      </c>
      <c r="AA88" s="167">
        <f>IFERROR(_xlfn.XLOOKUP($A88,Input_Raw!$A:$A,Input_Raw!BL:BL),"")</f>
        <v>820350</v>
      </c>
      <c r="AB88" s="167">
        <f>IFERROR(_xlfn.XLOOKUP($A88,Input_Raw!$A:$A,Input_Raw!$BO:$BO),"")</f>
        <v>70.2</v>
      </c>
      <c r="AC88" s="176">
        <f>IFERROR(_xlfn.XLOOKUP($D88,'Modelling New'!$D:$D,'Modelling New'!$J:$J),"")</f>
        <v>7.15</v>
      </c>
      <c r="AD88" s="166">
        <f>IFERROR(_xlfn.XLOOKUP($D88,'Modelling New'!$D:$D,'Modelling New'!$T:$T)*1000,"")</f>
        <v>801613.2743645322</v>
      </c>
      <c r="AE88" s="174"/>
      <c r="AF88" s="174">
        <f>IFERROR(_xlfn.XLOOKUP($D88,'Modelling New'!$D:$D,'Modelling New'!$W:$W),"")</f>
        <v>0.47579135467980305</v>
      </c>
      <c r="AG88" s="174">
        <f>IFERROR(_xlfn.XLOOKUP($D88,'Modelling New'!$D:$D,'Modelling New'!$AE:$AE),"")</f>
        <v>0.96029999999999993</v>
      </c>
      <c r="AH88" s="174">
        <f>IFERROR(_xlfn.XLOOKUP($D88,'Modelling New'!$D:$D,'Modelling New'!$AF:$AF),"")</f>
        <v>0.995</v>
      </c>
      <c r="AI88" s="177">
        <f>IFERROR(_xlfn.XLOOKUP($A88,Input_Raw!$A:$A,Input_Raw!$BQ:$BQ),"")</f>
        <v>894.97</v>
      </c>
      <c r="AJ88" s="167"/>
      <c r="AK88" s="167"/>
      <c r="AL88" s="167"/>
      <c r="AM88" s="167"/>
      <c r="AN88" s="175">
        <f>IFERROR(_xlfn.XLOOKUP($A88,Input_Raw!$A:$A,Input_Raw!$BN:$BN),"")</f>
        <v>2.4070198897669832E-2</v>
      </c>
      <c r="AO88" s="174">
        <f>IFERROR((_xlfn.XLOOKUP($A88,'WTG Reactive Power'!$A:$A,'WTG Reactive Power'!$AE:$AE))/Table13[[#This Row],[Gen_Exp (kWh)]],"")</f>
        <v>2.141347136451725E-3</v>
      </c>
      <c r="AP88" s="174">
        <f>IFERROR(_xlfn.XLOOKUP($D88,'Modelling New'!$D:$D,'Modelling New'!$AK:$AK),"")</f>
        <v>0.05</v>
      </c>
      <c r="AQ88" s="174">
        <f>IFERROR(_xlfn.XLOOKUP($D88,'Modelling New'!$D:$D,'Modelling New'!$AL:$AL),"")</f>
        <v>0.05</v>
      </c>
      <c r="AR88" s="276">
        <f>IFERROR(_xlfn.XLOOKUP($D88,'Modelling New'!$D:$D,'Modelling New'!$N:$N),"")</f>
        <v>70.2</v>
      </c>
      <c r="AS88" s="276"/>
    </row>
    <row r="89" spans="1:45">
      <c r="A89" s="165">
        <f t="shared" si="7"/>
        <v>45832</v>
      </c>
      <c r="B89" s="166">
        <f>YEAR(Table13[[#This Row],[Date]])+IF(MONTH(Table13[[#This Row],[Date]])&gt;=4,1,0)</f>
        <v>2026</v>
      </c>
      <c r="C89" s="167">
        <f>YEAR(Table13[[#This Row],[Date]])</f>
        <v>2025</v>
      </c>
      <c r="D89" s="168">
        <f>Table13[[#This Row],[Date]]-DAY(Table13[[#This Row],[Date]])+1</f>
        <v>45809</v>
      </c>
      <c r="E89" s="167">
        <f t="shared" si="8"/>
        <v>30</v>
      </c>
      <c r="F89" s="169"/>
      <c r="G89" s="176"/>
      <c r="H89" s="176"/>
      <c r="I89" s="176"/>
      <c r="J89" s="176"/>
      <c r="K89" s="171"/>
      <c r="L89" s="170"/>
      <c r="M89" s="170">
        <f>IFERROR(_xlfn.XLOOKUP($A89,Input_Raw!$A:$A,Input_Raw!BG:BG),"")</f>
        <v>8.3515384615384622</v>
      </c>
      <c r="N89" s="170">
        <f>IFERROR(_xlfn.XLOOKUP($A89,Input_Raw!$A:$A,Input_Raw!BH:BH),"")</f>
        <v>0</v>
      </c>
      <c r="O89" s="173">
        <f t="shared" si="9"/>
        <v>0.95524815674881003</v>
      </c>
      <c r="P89" s="173">
        <f>IFERROR(1-SUMIF(WTG_BD!$F:$F,$A89,WTG_BD!$AA:$AA)/($AA89+SUMIF(WTG_BD!$F:$F,$A89,WTG_BD!$AA:$AA)),"")</f>
        <v>0.95524815674881003</v>
      </c>
      <c r="Q89" s="173">
        <f>IFERROR(1-SUMIF(IGA_BD!$F:$F,$A89,IGA_BD!$X:$X)/($AA89+SUMIF(IGA_BD!$F:$F,$A89,IGA_BD!$X:$X)),"")</f>
        <v>1</v>
      </c>
      <c r="R89" s="173">
        <f>IFERROR(1-SUMIF(Grid_BD!$F:$F,$A89,Grid_BD!$Y:$Y)/($AA89+SUMIF(Grid_BD!$F:$F,$A89,Grid_BD!$Y:$Y)),"")</f>
        <v>1</v>
      </c>
      <c r="S89" s="167"/>
      <c r="T89" s="172"/>
      <c r="U89" s="173"/>
      <c r="V89" s="167"/>
      <c r="W89" s="174">
        <f t="shared" si="10"/>
        <v>0.62713675213675202</v>
      </c>
      <c r="X89" s="167">
        <f>IFERROR(_xlfn.XLOOKUP($A89,Input_Raw!$A:$A,Input_Raw!$BF:$BF),"")</f>
        <v>1091775</v>
      </c>
      <c r="Y89" s="167">
        <f>IFERROR(_xlfn.XLOOKUP($A89,Input_Raw!$A:$A,Input_Raw!BJ:BJ),"")</f>
        <v>1056600</v>
      </c>
      <c r="Z89" s="167">
        <f>IFERROR(_xlfn.XLOOKUP($A89,Input_Raw!$A:$A,Input_Raw!BK:BK),"")</f>
        <v>0</v>
      </c>
      <c r="AA89" s="167">
        <f>IFERROR(_xlfn.XLOOKUP($A89,Input_Raw!$A:$A,Input_Raw!BL:BL),"")</f>
        <v>1056600</v>
      </c>
      <c r="AB89" s="167">
        <f>IFERROR(_xlfn.XLOOKUP($A89,Input_Raw!$A:$A,Input_Raw!$BO:$BO),"")</f>
        <v>70.2</v>
      </c>
      <c r="AC89" s="176">
        <f>IFERROR(_xlfn.XLOOKUP($D89,'Modelling New'!$D:$D,'Modelling New'!$J:$J),"")</f>
        <v>7.15</v>
      </c>
      <c r="AD89" s="166">
        <f>IFERROR(_xlfn.XLOOKUP($D89,'Modelling New'!$D:$D,'Modelling New'!$T:$T)*1000,"")</f>
        <v>801613.2743645322</v>
      </c>
      <c r="AE89" s="174"/>
      <c r="AF89" s="174">
        <f>IFERROR(_xlfn.XLOOKUP($D89,'Modelling New'!$D:$D,'Modelling New'!$W:$W),"")</f>
        <v>0.47579135467980305</v>
      </c>
      <c r="AG89" s="174">
        <f>IFERROR(_xlfn.XLOOKUP($D89,'Modelling New'!$D:$D,'Modelling New'!$AE:$AE),"")</f>
        <v>0.96029999999999993</v>
      </c>
      <c r="AH89" s="174">
        <f>IFERROR(_xlfn.XLOOKUP($D89,'Modelling New'!$D:$D,'Modelling New'!$AF:$AF),"")</f>
        <v>0.995</v>
      </c>
      <c r="AI89" s="177">
        <f>IFERROR(_xlfn.XLOOKUP($A89,Input_Raw!$A:$A,Input_Raw!$BQ:$BQ),"")</f>
        <v>1165.22</v>
      </c>
      <c r="AJ89" s="167"/>
      <c r="AK89" s="167"/>
      <c r="AL89" s="167"/>
      <c r="AM89" s="167"/>
      <c r="AN89" s="175">
        <f>IFERROR(_xlfn.XLOOKUP($A89,Input_Raw!$A:$A,Input_Raw!$BN:$BN),"")</f>
        <v>3.2218176822147421E-2</v>
      </c>
      <c r="AO89" s="174">
        <f>IFERROR((_xlfn.XLOOKUP($A89,'WTG Reactive Power'!$A:$A,'WTG Reactive Power'!$AE:$AE))/Table13[[#This Row],[Gen_Exp (kWh)]],"")</f>
        <v>3.709335714776398E-3</v>
      </c>
      <c r="AP89" s="174">
        <f>IFERROR(_xlfn.XLOOKUP($D89,'Modelling New'!$D:$D,'Modelling New'!$AK:$AK),"")</f>
        <v>0.05</v>
      </c>
      <c r="AQ89" s="174">
        <f>IFERROR(_xlfn.XLOOKUP($D89,'Modelling New'!$D:$D,'Modelling New'!$AL:$AL),"")</f>
        <v>0.05</v>
      </c>
      <c r="AR89" s="276">
        <f>IFERROR(_xlfn.XLOOKUP($D89,'Modelling New'!$D:$D,'Modelling New'!$N:$N),"")</f>
        <v>70.2</v>
      </c>
      <c r="AS89" s="276"/>
    </row>
    <row r="90" spans="1:45">
      <c r="A90" s="165">
        <f t="shared" ref="A90:A153" si="11">A89+1</f>
        <v>45833</v>
      </c>
      <c r="B90" s="166">
        <f>YEAR(Table13[[#This Row],[Date]])+IF(MONTH(Table13[[#This Row],[Date]])&gt;=4,1,0)</f>
        <v>2026</v>
      </c>
      <c r="C90" s="167">
        <f>YEAR(Table13[[#This Row],[Date]])</f>
        <v>2025</v>
      </c>
      <c r="D90" s="168">
        <f>Table13[[#This Row],[Date]]-DAY(Table13[[#This Row],[Date]])+1</f>
        <v>45809</v>
      </c>
      <c r="E90" s="167">
        <f t="shared" si="8"/>
        <v>30</v>
      </c>
      <c r="F90" s="169"/>
      <c r="G90" s="170"/>
      <c r="H90" s="170"/>
      <c r="I90" s="170"/>
      <c r="J90" s="170"/>
      <c r="K90" s="171"/>
      <c r="L90" s="170"/>
      <c r="M90" s="170">
        <f>IFERROR(_xlfn.XLOOKUP($A90,Input_Raw!$A:$A,Input_Raw!BG:BG),"")</f>
        <v>4.9557692307692314</v>
      </c>
      <c r="N90" s="170">
        <f>IFERROR(_xlfn.XLOOKUP($A90,Input_Raw!$A:$A,Input_Raw!BH:BH),"")</f>
        <v>0</v>
      </c>
      <c r="O90" s="173">
        <f t="shared" si="9"/>
        <v>0.96213285522004999</v>
      </c>
      <c r="P90" s="173">
        <f>IFERROR(1-SUMIF(WTG_BD!$F:$F,$A90,WTG_BD!$AA:$AA)/($AA90+SUMIF(WTG_BD!$F:$F,$A90,WTG_BD!$AA:$AA)),"")</f>
        <v>0.96213285522004999</v>
      </c>
      <c r="Q90" s="173">
        <f>IFERROR(1-SUMIF(IGA_BD!$F:$F,$A90,IGA_BD!$X:$X)/($AA90+SUMIF(IGA_BD!$F:$F,$A90,IGA_BD!$X:$X)),"")</f>
        <v>1</v>
      </c>
      <c r="R90" s="173">
        <f>IFERROR(1-SUMIF(Grid_BD!$F:$F,$A90,Grid_BD!$Y:$Y)/($AA90+SUMIF(Grid_BD!$F:$F,$A90,Grid_BD!$Y:$Y)),"")</f>
        <v>1</v>
      </c>
      <c r="S90" s="167"/>
      <c r="T90" s="172"/>
      <c r="U90" s="173"/>
      <c r="V90" s="167"/>
      <c r="W90" s="174">
        <f t="shared" si="10"/>
        <v>0.15624999999999997</v>
      </c>
      <c r="X90" s="167">
        <f>IFERROR(_xlfn.XLOOKUP($A90,Input_Raw!$A:$A,Input_Raw!$BF:$BF),"")</f>
        <v>270725</v>
      </c>
      <c r="Y90" s="167">
        <f>IFERROR(_xlfn.XLOOKUP($A90,Input_Raw!$A:$A,Input_Raw!BJ:BJ),"")</f>
        <v>263250</v>
      </c>
      <c r="Z90" s="167">
        <f>IFERROR(_xlfn.XLOOKUP($A90,Input_Raw!$A:$A,Input_Raw!BK:BK),"")</f>
        <v>0</v>
      </c>
      <c r="AA90" s="167">
        <f>IFERROR(_xlfn.XLOOKUP($A90,Input_Raw!$A:$A,Input_Raw!BL:BL),"")</f>
        <v>263250</v>
      </c>
      <c r="AB90" s="167">
        <f>IFERROR(_xlfn.XLOOKUP($A90,Input_Raw!$A:$A,Input_Raw!$BO:$BO),"")</f>
        <v>70.2</v>
      </c>
      <c r="AC90" s="176">
        <f>IFERROR(_xlfn.XLOOKUP($D90,'Modelling New'!$D:$D,'Modelling New'!$J:$J),"")</f>
        <v>7.15</v>
      </c>
      <c r="AD90" s="166">
        <f>IFERROR(_xlfn.XLOOKUP($D90,'Modelling New'!$D:$D,'Modelling New'!$T:$T)*1000,"")</f>
        <v>801613.2743645322</v>
      </c>
      <c r="AE90" s="174"/>
      <c r="AF90" s="174">
        <f>IFERROR(_xlfn.XLOOKUP($D90,'Modelling New'!$D:$D,'Modelling New'!$W:$W),"")</f>
        <v>0.47579135467980305</v>
      </c>
      <c r="AG90" s="174">
        <f>IFERROR(_xlfn.XLOOKUP($D90,'Modelling New'!$D:$D,'Modelling New'!$AE:$AE),"")</f>
        <v>0.96029999999999993</v>
      </c>
      <c r="AH90" s="174">
        <f>IFERROR(_xlfn.XLOOKUP($D90,'Modelling New'!$D:$D,'Modelling New'!$AF:$AF),"")</f>
        <v>0.995</v>
      </c>
      <c r="AI90" s="177">
        <f>IFERROR(_xlfn.XLOOKUP($A90,Input_Raw!$A:$A,Input_Raw!$BQ:$BQ),"")</f>
        <v>286.3</v>
      </c>
      <c r="AJ90" s="167"/>
      <c r="AK90" s="167"/>
      <c r="AL90" s="167"/>
      <c r="AM90" s="167"/>
      <c r="AN90" s="175">
        <f>IFERROR(_xlfn.XLOOKUP($A90,Input_Raw!$A:$A,Input_Raw!$BN:$BN),"")</f>
        <v>2.7611044417767107E-2</v>
      </c>
      <c r="AO90" s="174">
        <f>IFERROR((_xlfn.XLOOKUP($A90,'WTG Reactive Power'!$A:$A,'WTG Reactive Power'!$AE:$AE))/Table13[[#This Row],[Gen_Exp (kWh)]],"")</f>
        <v>1.6614645858343345E-3</v>
      </c>
      <c r="AP90" s="174">
        <f>IFERROR(_xlfn.XLOOKUP($D90,'Modelling New'!$D:$D,'Modelling New'!$AK:$AK),"")</f>
        <v>0.05</v>
      </c>
      <c r="AQ90" s="174">
        <f>IFERROR(_xlfn.XLOOKUP($D90,'Modelling New'!$D:$D,'Modelling New'!$AL:$AL),"")</f>
        <v>0.05</v>
      </c>
      <c r="AR90" s="276">
        <f>IFERROR(_xlfn.XLOOKUP($D90,'Modelling New'!$D:$D,'Modelling New'!$N:$N),"")</f>
        <v>70.2</v>
      </c>
      <c r="AS90" s="276"/>
    </row>
    <row r="91" spans="1:45">
      <c r="A91" s="165">
        <f t="shared" si="11"/>
        <v>45834</v>
      </c>
      <c r="B91" s="166">
        <f>YEAR(Table13[[#This Row],[Date]])+IF(MONTH(Table13[[#This Row],[Date]])&gt;=4,1,0)</f>
        <v>2026</v>
      </c>
      <c r="C91" s="167">
        <f>YEAR(Table13[[#This Row],[Date]])</f>
        <v>2025</v>
      </c>
      <c r="D91" s="168">
        <f>Table13[[#This Row],[Date]]-DAY(Table13[[#This Row],[Date]])+1</f>
        <v>45809</v>
      </c>
      <c r="E91" s="167">
        <f t="shared" si="8"/>
        <v>30</v>
      </c>
      <c r="F91" s="169"/>
      <c r="G91" s="176"/>
      <c r="H91" s="176"/>
      <c r="I91" s="176"/>
      <c r="J91" s="176"/>
      <c r="K91" s="171"/>
      <c r="L91" s="170"/>
      <c r="M91" s="170">
        <f>IFERROR(_xlfn.XLOOKUP($A91,Input_Raw!$A:$A,Input_Raw!BG:BG),"")</f>
        <v>3.906538461538462</v>
      </c>
      <c r="N91" s="170">
        <f>IFERROR(_xlfn.XLOOKUP($A91,Input_Raw!$A:$A,Input_Raw!BH:BH),"")</f>
        <v>0</v>
      </c>
      <c r="O91" s="173">
        <f t="shared" si="9"/>
        <v>0.94684078062820254</v>
      </c>
      <c r="P91" s="173">
        <f>IFERROR(1-SUMIF(WTG_BD!$F:$F,$A91,WTG_BD!$AA:$AA)/($AA91+SUMIF(WTG_BD!$F:$F,$A91,WTG_BD!$AA:$AA)),"")</f>
        <v>0.94684078062820254</v>
      </c>
      <c r="Q91" s="173">
        <f>IFERROR(1-SUMIF(IGA_BD!$F:$F,$A91,IGA_BD!$X:$X)/($AA91+SUMIF(IGA_BD!$F:$F,$A91,IGA_BD!$X:$X)),"")</f>
        <v>1</v>
      </c>
      <c r="R91" s="173">
        <f>IFERROR(1-SUMIF(Grid_BD!$F:$F,$A91,Grid_BD!$Y:$Y)/($AA91+SUMIF(Grid_BD!$F:$F,$A91,Grid_BD!$Y:$Y)),"")</f>
        <v>1</v>
      </c>
      <c r="S91" s="167"/>
      <c r="T91" s="172"/>
      <c r="U91" s="173"/>
      <c r="V91" s="167"/>
      <c r="W91" s="174">
        <f t="shared" si="10"/>
        <v>9.5085470085470067E-2</v>
      </c>
      <c r="X91" s="167">
        <f>IFERROR(_xlfn.XLOOKUP($A91,Input_Raw!$A:$A,Input_Raw!$BF:$BF),"")</f>
        <v>166407</v>
      </c>
      <c r="Y91" s="167">
        <f>IFERROR(_xlfn.XLOOKUP($A91,Input_Raw!$A:$A,Input_Raw!BJ:BJ),"")</f>
        <v>161100</v>
      </c>
      <c r="Z91" s="167">
        <f>IFERROR(_xlfn.XLOOKUP($A91,Input_Raw!$A:$A,Input_Raw!BK:BK),"")</f>
        <v>900</v>
      </c>
      <c r="AA91" s="167">
        <f>IFERROR(_xlfn.XLOOKUP($A91,Input_Raw!$A:$A,Input_Raw!BL:BL),"")</f>
        <v>160200</v>
      </c>
      <c r="AB91" s="167">
        <f>IFERROR(_xlfn.XLOOKUP($A91,Input_Raw!$A:$A,Input_Raw!$BO:$BO),"")</f>
        <v>70.2</v>
      </c>
      <c r="AC91" s="176">
        <f>IFERROR(_xlfn.XLOOKUP($D91,'Modelling New'!$D:$D,'Modelling New'!$J:$J),"")</f>
        <v>7.15</v>
      </c>
      <c r="AD91" s="166">
        <f>IFERROR(_xlfn.XLOOKUP($D91,'Modelling New'!$D:$D,'Modelling New'!$T:$T)*1000,"")</f>
        <v>801613.2743645322</v>
      </c>
      <c r="AE91" s="174"/>
      <c r="AF91" s="174">
        <f>IFERROR(_xlfn.XLOOKUP($D91,'Modelling New'!$D:$D,'Modelling New'!$W:$W),"")</f>
        <v>0.47579135467980305</v>
      </c>
      <c r="AG91" s="174">
        <f>IFERROR(_xlfn.XLOOKUP($D91,'Modelling New'!$D:$D,'Modelling New'!$AE:$AE),"")</f>
        <v>0.96029999999999993</v>
      </c>
      <c r="AH91" s="174">
        <f>IFERROR(_xlfn.XLOOKUP($D91,'Modelling New'!$D:$D,'Modelling New'!$AF:$AF),"")</f>
        <v>0.995</v>
      </c>
      <c r="AI91" s="177">
        <f>IFERROR(_xlfn.XLOOKUP($A91,Input_Raw!$A:$A,Input_Raw!$BQ:$BQ),"")</f>
        <v>172.06</v>
      </c>
      <c r="AJ91" s="167"/>
      <c r="AK91" s="167"/>
      <c r="AL91" s="167"/>
      <c r="AM91" s="167"/>
      <c r="AN91" s="175">
        <f>IFERROR(_xlfn.XLOOKUP($A91,Input_Raw!$A:$A,Input_Raw!$BN:$BN),"")</f>
        <v>3.1891687248733529E-2</v>
      </c>
      <c r="AO91" s="174">
        <f>IFERROR((_xlfn.XLOOKUP($A91,'WTG Reactive Power'!$A:$A,'WTG Reactive Power'!$AE:$AE))/Table13[[#This Row],[Gen_Exp (kWh)]],"")</f>
        <v>2.7030112915923019E-3</v>
      </c>
      <c r="AP91" s="174">
        <f>IFERROR(_xlfn.XLOOKUP($D91,'Modelling New'!$D:$D,'Modelling New'!$AK:$AK),"")</f>
        <v>0.05</v>
      </c>
      <c r="AQ91" s="174">
        <f>IFERROR(_xlfn.XLOOKUP($D91,'Modelling New'!$D:$D,'Modelling New'!$AL:$AL),"")</f>
        <v>0.05</v>
      </c>
      <c r="AR91" s="276">
        <f>IFERROR(_xlfn.XLOOKUP($D91,'Modelling New'!$D:$D,'Modelling New'!$N:$N),"")</f>
        <v>70.2</v>
      </c>
      <c r="AS91" s="276"/>
    </row>
    <row r="92" spans="1:45">
      <c r="A92" s="165">
        <f t="shared" si="11"/>
        <v>45835</v>
      </c>
      <c r="B92" s="166">
        <f>YEAR(Table13[[#This Row],[Date]])+IF(MONTH(Table13[[#This Row],[Date]])&gt;=4,1,0)</f>
        <v>2026</v>
      </c>
      <c r="C92" s="167">
        <f>YEAR(Table13[[#This Row],[Date]])</f>
        <v>2025</v>
      </c>
      <c r="D92" s="168">
        <f>Table13[[#This Row],[Date]]-DAY(Table13[[#This Row],[Date]])+1</f>
        <v>45809</v>
      </c>
      <c r="E92" s="167">
        <f t="shared" si="8"/>
        <v>30</v>
      </c>
      <c r="F92" s="169"/>
      <c r="G92" s="170"/>
      <c r="H92" s="170"/>
      <c r="I92" s="170"/>
      <c r="J92" s="170"/>
      <c r="K92" s="171"/>
      <c r="L92" s="170"/>
      <c r="M92" s="170">
        <f>IFERROR(_xlfn.XLOOKUP($A92,Input_Raw!$A:$A,Input_Raw!BG:BG),"")</f>
        <v>6.8374620035409128</v>
      </c>
      <c r="N92" s="170">
        <f>IFERROR(_xlfn.XLOOKUP($A92,Input_Raw!$A:$A,Input_Raw!BH:BH),"")</f>
        <v>0</v>
      </c>
      <c r="O92" s="173">
        <f t="shared" si="9"/>
        <v>0.95076941728374131</v>
      </c>
      <c r="P92" s="173">
        <f>IFERROR(1-SUMIF(WTG_BD!$F:$F,$A92,WTG_BD!$AA:$AA)/($AA92+SUMIF(WTG_BD!$F:$F,$A92,WTG_BD!$AA:$AA)),"")</f>
        <v>0.95076941728374131</v>
      </c>
      <c r="Q92" s="173">
        <f>IFERROR(1-SUMIF(IGA_BD!$F:$F,$A92,IGA_BD!$X:$X)/($AA92+SUMIF(IGA_BD!$F:$F,$A92,IGA_BD!$X:$X)),"")</f>
        <v>1</v>
      </c>
      <c r="R92" s="173">
        <f>IFERROR(1-SUMIF(Grid_BD!$F:$F,$A92,Grid_BD!$Y:$Y)/($AA92+SUMIF(Grid_BD!$F:$F,$A92,Grid_BD!$Y:$Y)),"")</f>
        <v>1</v>
      </c>
      <c r="S92" s="167"/>
      <c r="T92" s="172"/>
      <c r="U92" s="173"/>
      <c r="V92" s="167"/>
      <c r="W92" s="174">
        <f t="shared" si="10"/>
        <v>0.45860042735042728</v>
      </c>
      <c r="X92" s="167">
        <f>IFERROR(_xlfn.XLOOKUP($A92,Input_Raw!$A:$A,Input_Raw!$BF:$BF),"")</f>
        <v>794242</v>
      </c>
      <c r="Y92" s="167">
        <f>IFERROR(_xlfn.XLOOKUP($A92,Input_Raw!$A:$A,Input_Raw!BJ:BJ),"")</f>
        <v>772650</v>
      </c>
      <c r="Z92" s="167">
        <f>IFERROR(_xlfn.XLOOKUP($A92,Input_Raw!$A:$A,Input_Raw!BK:BK),"")</f>
        <v>0</v>
      </c>
      <c r="AA92" s="167">
        <f>IFERROR(_xlfn.XLOOKUP($A92,Input_Raw!$A:$A,Input_Raw!BL:BL),"")</f>
        <v>772650</v>
      </c>
      <c r="AB92" s="167">
        <f>IFERROR(_xlfn.XLOOKUP($A92,Input_Raw!$A:$A,Input_Raw!$BO:$BO),"")</f>
        <v>70.2</v>
      </c>
      <c r="AC92" s="176">
        <f>IFERROR(_xlfn.XLOOKUP($D92,'Modelling New'!$D:$D,'Modelling New'!$J:$J),"")</f>
        <v>7.15</v>
      </c>
      <c r="AD92" s="166">
        <f>IFERROR(_xlfn.XLOOKUP($D92,'Modelling New'!$D:$D,'Modelling New'!$T:$T)*1000,"")</f>
        <v>801613.2743645322</v>
      </c>
      <c r="AE92" s="174"/>
      <c r="AF92" s="174">
        <f>IFERROR(_xlfn.XLOOKUP($D92,'Modelling New'!$D:$D,'Modelling New'!$W:$W),"")</f>
        <v>0.47579135467980305</v>
      </c>
      <c r="AG92" s="174">
        <f>IFERROR(_xlfn.XLOOKUP($D92,'Modelling New'!$D:$D,'Modelling New'!$AE:$AE),"")</f>
        <v>0.96029999999999993</v>
      </c>
      <c r="AH92" s="174">
        <f>IFERROR(_xlfn.XLOOKUP($D92,'Modelling New'!$D:$D,'Modelling New'!$AF:$AF),"")</f>
        <v>0.995</v>
      </c>
      <c r="AI92" s="177">
        <f>IFERROR(_xlfn.XLOOKUP($A92,Input_Raw!$A:$A,Input_Raw!$BQ:$BQ),"")</f>
        <v>807.27</v>
      </c>
      <c r="AJ92" s="167"/>
      <c r="AK92" s="167"/>
      <c r="AL92" s="167"/>
      <c r="AM92" s="167"/>
      <c r="AN92" s="175">
        <f>IFERROR(_xlfn.XLOOKUP($A92,Input_Raw!$A:$A,Input_Raw!$BN:$BN),"")</f>
        <v>2.7185668851559097E-2</v>
      </c>
      <c r="AO92" s="174">
        <f>IFERROR((_xlfn.XLOOKUP($A92,'WTG Reactive Power'!$A:$A,'WTG Reactive Power'!$AE:$AE))/Table13[[#This Row],[Gen_Exp (kWh)]],"")</f>
        <v>2.8326127301250754E-3</v>
      </c>
      <c r="AP92" s="174">
        <f>IFERROR(_xlfn.XLOOKUP($D92,'Modelling New'!$D:$D,'Modelling New'!$AK:$AK),"")</f>
        <v>0.05</v>
      </c>
      <c r="AQ92" s="174">
        <f>IFERROR(_xlfn.XLOOKUP($D92,'Modelling New'!$D:$D,'Modelling New'!$AL:$AL),"")</f>
        <v>0.05</v>
      </c>
      <c r="AR92" s="276">
        <f>IFERROR(_xlfn.XLOOKUP($D92,'Modelling New'!$D:$D,'Modelling New'!$N:$N),"")</f>
        <v>70.2</v>
      </c>
      <c r="AS92" s="276"/>
    </row>
    <row r="93" spans="1:45">
      <c r="A93" s="165">
        <f t="shared" si="11"/>
        <v>45836</v>
      </c>
      <c r="B93" s="166">
        <f>YEAR(Table13[[#This Row],[Date]])+IF(MONTH(Table13[[#This Row],[Date]])&gt;=4,1,0)</f>
        <v>2026</v>
      </c>
      <c r="C93" s="167">
        <f>YEAR(Table13[[#This Row],[Date]])</f>
        <v>2025</v>
      </c>
      <c r="D93" s="168">
        <f>Table13[[#This Row],[Date]]-DAY(Table13[[#This Row],[Date]])+1</f>
        <v>45809</v>
      </c>
      <c r="E93" s="167">
        <f t="shared" si="8"/>
        <v>30</v>
      </c>
      <c r="F93" s="169"/>
      <c r="G93" s="176"/>
      <c r="H93" s="176"/>
      <c r="I93" s="176"/>
      <c r="J93" s="176"/>
      <c r="K93" s="171"/>
      <c r="L93" s="170"/>
      <c r="M93" s="170">
        <f>IFERROR(_xlfn.XLOOKUP($A93,Input_Raw!$A:$A,Input_Raw!BG:BG),"")</f>
        <v>9.6992174120476466</v>
      </c>
      <c r="N93" s="170">
        <f>IFERROR(_xlfn.XLOOKUP($A93,Input_Raw!$A:$A,Input_Raw!BH:BH),"")</f>
        <v>0</v>
      </c>
      <c r="O93" s="173">
        <f t="shared" si="9"/>
        <v>0.94970234885312121</v>
      </c>
      <c r="P93" s="173">
        <f>IFERROR(1-SUMIF(WTG_BD!$F:$F,$A93,WTG_BD!$AA:$AA)/($AA93+SUMIF(WTG_BD!$F:$F,$A93,WTG_BD!$AA:$AA)),"")</f>
        <v>0.94970234885312121</v>
      </c>
      <c r="Q93" s="173">
        <f>IFERROR(1-SUMIF(IGA_BD!$F:$F,$A93,IGA_BD!$X:$X)/($AA93+SUMIF(IGA_BD!$F:$F,$A93,IGA_BD!$X:$X)),"")</f>
        <v>1</v>
      </c>
      <c r="R93" s="173">
        <f>IFERROR(1-SUMIF(Grid_BD!$F:$F,$A93,Grid_BD!$Y:$Y)/($AA93+SUMIF(Grid_BD!$F:$F,$A93,Grid_BD!$Y:$Y)),"")</f>
        <v>1</v>
      </c>
      <c r="S93" s="167"/>
      <c r="T93" s="172"/>
      <c r="U93" s="173"/>
      <c r="V93" s="167"/>
      <c r="W93" s="174">
        <f t="shared" si="10"/>
        <v>0.79193376068376053</v>
      </c>
      <c r="X93" s="167">
        <f>IFERROR(_xlfn.XLOOKUP($A93,Input_Raw!$A:$A,Input_Raw!$BF:$BF),"")</f>
        <v>1382591</v>
      </c>
      <c r="Y93" s="167">
        <f>IFERROR(_xlfn.XLOOKUP($A93,Input_Raw!$A:$A,Input_Raw!BJ:BJ),"")</f>
        <v>1334250</v>
      </c>
      <c r="Z93" s="167">
        <f>IFERROR(_xlfn.XLOOKUP($A93,Input_Raw!$A:$A,Input_Raw!BK:BK),"")</f>
        <v>0</v>
      </c>
      <c r="AA93" s="167">
        <f>IFERROR(_xlfn.XLOOKUP($A93,Input_Raw!$A:$A,Input_Raw!BL:BL),"")</f>
        <v>1334250</v>
      </c>
      <c r="AB93" s="167">
        <f>IFERROR(_xlfn.XLOOKUP($A93,Input_Raw!$A:$A,Input_Raw!$BO:$BO),"")</f>
        <v>70.2</v>
      </c>
      <c r="AC93" s="176">
        <f>IFERROR(_xlfn.XLOOKUP($D93,'Modelling New'!$D:$D,'Modelling New'!$J:$J),"")</f>
        <v>7.15</v>
      </c>
      <c r="AD93" s="166">
        <f>IFERROR(_xlfn.XLOOKUP($D93,'Modelling New'!$D:$D,'Modelling New'!$T:$T)*1000,"")</f>
        <v>801613.2743645322</v>
      </c>
      <c r="AE93" s="174"/>
      <c r="AF93" s="174">
        <f>IFERROR(_xlfn.XLOOKUP($D93,'Modelling New'!$D:$D,'Modelling New'!$W:$W),"")</f>
        <v>0.47579135467980305</v>
      </c>
      <c r="AG93" s="174">
        <f>IFERROR(_xlfn.XLOOKUP($D93,'Modelling New'!$D:$D,'Modelling New'!$AE:$AE),"")</f>
        <v>0.96029999999999993</v>
      </c>
      <c r="AH93" s="174">
        <f>IFERROR(_xlfn.XLOOKUP($D93,'Modelling New'!$D:$D,'Modelling New'!$AF:$AF),"")</f>
        <v>0.995</v>
      </c>
      <c r="AI93" s="177">
        <f>IFERROR(_xlfn.XLOOKUP($A93,Input_Raw!$A:$A,Input_Raw!$BQ:$BQ),"")</f>
        <v>1434.41</v>
      </c>
      <c r="AJ93" s="167"/>
      <c r="AK93" s="167"/>
      <c r="AL93" s="167"/>
      <c r="AM93" s="167"/>
      <c r="AN93" s="175">
        <f>IFERROR(_xlfn.XLOOKUP($A93,Input_Raw!$A:$A,Input_Raw!$BN:$BN),"")</f>
        <v>3.4964063848238559E-2</v>
      </c>
      <c r="AO93" s="174">
        <f>IFERROR((_xlfn.XLOOKUP($A93,'WTG Reactive Power'!$A:$A,'WTG Reactive Power'!$AE:$AE))/Table13[[#This Row],[Gen_Exp (kWh)]],"")</f>
        <v>1.8551965114773632E-2</v>
      </c>
      <c r="AP93" s="174">
        <f>IFERROR(_xlfn.XLOOKUP($D93,'Modelling New'!$D:$D,'Modelling New'!$AK:$AK),"")</f>
        <v>0.05</v>
      </c>
      <c r="AQ93" s="174">
        <f>IFERROR(_xlfn.XLOOKUP($D93,'Modelling New'!$D:$D,'Modelling New'!$AL:$AL),"")</f>
        <v>0.05</v>
      </c>
      <c r="AR93" s="276">
        <f>IFERROR(_xlfn.XLOOKUP($D93,'Modelling New'!$D:$D,'Modelling New'!$N:$N),"")</f>
        <v>70.2</v>
      </c>
      <c r="AS93" s="276"/>
    </row>
    <row r="94" spans="1:45">
      <c r="A94" s="165">
        <f t="shared" si="11"/>
        <v>45837</v>
      </c>
      <c r="B94" s="166">
        <f>YEAR(Table13[[#This Row],[Date]])+IF(MONTH(Table13[[#This Row],[Date]])&gt;=4,1,0)</f>
        <v>2026</v>
      </c>
      <c r="C94" s="167">
        <f>YEAR(Table13[[#This Row],[Date]])</f>
        <v>2025</v>
      </c>
      <c r="D94" s="168">
        <f>Table13[[#This Row],[Date]]-DAY(Table13[[#This Row],[Date]])+1</f>
        <v>45809</v>
      </c>
      <c r="E94" s="167">
        <f t="shared" si="8"/>
        <v>30</v>
      </c>
      <c r="F94" s="169"/>
      <c r="G94" s="170"/>
      <c r="H94" s="170"/>
      <c r="I94" s="170"/>
      <c r="J94" s="170"/>
      <c r="K94" s="171"/>
      <c r="L94" s="170"/>
      <c r="M94" s="170">
        <f>IFERROR(_xlfn.XLOOKUP($A94,Input_Raw!$A:$A,Input_Raw!BG:BG),"")</f>
        <v>10.156923076923078</v>
      </c>
      <c r="N94" s="170">
        <f>IFERROR(_xlfn.XLOOKUP($A94,Input_Raw!$A:$A,Input_Raw!BH:BH),"")</f>
        <v>0</v>
      </c>
      <c r="O94" s="173">
        <f t="shared" si="9"/>
        <v>0.94971957428652787</v>
      </c>
      <c r="P94" s="173">
        <f>IFERROR(1-SUMIF(WTG_BD!$F:$F,$A94,WTG_BD!$AA:$AA)/($AA94+SUMIF(WTG_BD!$F:$F,$A94,WTG_BD!$AA:$AA)),"")</f>
        <v>0.94971957428652787</v>
      </c>
      <c r="Q94" s="173">
        <f>IFERROR(1-SUMIF(IGA_BD!$F:$F,$A94,IGA_BD!$X:$X)/($AA94+SUMIF(IGA_BD!$F:$F,$A94,IGA_BD!$X:$X)),"")</f>
        <v>1</v>
      </c>
      <c r="R94" s="173">
        <f>IFERROR(1-SUMIF(Grid_BD!$F:$F,$A94,Grid_BD!$Y:$Y)/($AA94+SUMIF(Grid_BD!$F:$F,$A94,Grid_BD!$Y:$Y)),"")</f>
        <v>1</v>
      </c>
      <c r="S94" s="167"/>
      <c r="T94" s="172"/>
      <c r="U94" s="173"/>
      <c r="V94" s="167"/>
      <c r="W94" s="174">
        <f t="shared" si="10"/>
        <v>0.81864316239316226</v>
      </c>
      <c r="X94" s="167">
        <f>IFERROR(_xlfn.XLOOKUP($A94,Input_Raw!$A:$A,Input_Raw!$BF:$BF),"")</f>
        <v>1430490</v>
      </c>
      <c r="Y94" s="167">
        <f>IFERROR(_xlfn.XLOOKUP($A94,Input_Raw!$A:$A,Input_Raw!BJ:BJ),"")</f>
        <v>1379250</v>
      </c>
      <c r="Z94" s="167">
        <f>IFERROR(_xlfn.XLOOKUP($A94,Input_Raw!$A:$A,Input_Raw!BK:BK),"")</f>
        <v>0</v>
      </c>
      <c r="AA94" s="167">
        <f>IFERROR(_xlfn.XLOOKUP($A94,Input_Raw!$A:$A,Input_Raw!BL:BL),"")</f>
        <v>1379250</v>
      </c>
      <c r="AB94" s="167">
        <f>IFERROR(_xlfn.XLOOKUP($A94,Input_Raw!$A:$A,Input_Raw!$BO:$BO),"")</f>
        <v>70.2</v>
      </c>
      <c r="AC94" s="176">
        <f>IFERROR(_xlfn.XLOOKUP($D94,'Modelling New'!$D:$D,'Modelling New'!$J:$J),"")</f>
        <v>7.15</v>
      </c>
      <c r="AD94" s="166">
        <f>IFERROR(_xlfn.XLOOKUP($D94,'Modelling New'!$D:$D,'Modelling New'!$T:$T)*1000,"")</f>
        <v>801613.2743645322</v>
      </c>
      <c r="AE94" s="174"/>
      <c r="AF94" s="174">
        <f>IFERROR(_xlfn.XLOOKUP($D94,'Modelling New'!$D:$D,'Modelling New'!$W:$W),"")</f>
        <v>0.47579135467980305</v>
      </c>
      <c r="AG94" s="174">
        <f>IFERROR(_xlfn.XLOOKUP($D94,'Modelling New'!$D:$D,'Modelling New'!$AE:$AE),"")</f>
        <v>0.96029999999999993</v>
      </c>
      <c r="AH94" s="174">
        <f>IFERROR(_xlfn.XLOOKUP($D94,'Modelling New'!$D:$D,'Modelling New'!$AF:$AF),"")</f>
        <v>0.995</v>
      </c>
      <c r="AI94" s="177">
        <f>IFERROR(_xlfn.XLOOKUP($A94,Input_Raw!$A:$A,Input_Raw!$BQ:$BQ),"")</f>
        <v>1508.13</v>
      </c>
      <c r="AJ94" s="167"/>
      <c r="AK94" s="167"/>
      <c r="AL94" s="167"/>
      <c r="AM94" s="167"/>
      <c r="AN94" s="175">
        <f>IFERROR(_xlfn.XLOOKUP($A94,Input_Raw!$A:$A,Input_Raw!$BN:$BN),"")</f>
        <v>3.5819893882515781E-2</v>
      </c>
      <c r="AO94" s="174">
        <f>IFERROR((_xlfn.XLOOKUP($A94,'WTG Reactive Power'!$A:$A,'WTG Reactive Power'!$AE:$AE))/Table13[[#This Row],[Gen_Exp (kWh)]],"")</f>
        <v>2.9255611713468816E-2</v>
      </c>
      <c r="AP94" s="174">
        <f>IFERROR(_xlfn.XLOOKUP($D94,'Modelling New'!$D:$D,'Modelling New'!$AK:$AK),"")</f>
        <v>0.05</v>
      </c>
      <c r="AQ94" s="174">
        <f>IFERROR(_xlfn.XLOOKUP($D94,'Modelling New'!$D:$D,'Modelling New'!$AL:$AL),"")</f>
        <v>0.05</v>
      </c>
      <c r="AR94" s="276">
        <f>IFERROR(_xlfn.XLOOKUP($D94,'Modelling New'!$D:$D,'Modelling New'!$N:$N),"")</f>
        <v>70.2</v>
      </c>
      <c r="AS94" s="276"/>
    </row>
    <row r="95" spans="1:45">
      <c r="A95" s="165">
        <f t="shared" si="11"/>
        <v>45838</v>
      </c>
      <c r="B95" s="166">
        <f>YEAR(Table13[[#This Row],[Date]])+IF(MONTH(Table13[[#This Row],[Date]])&gt;=4,1,0)</f>
        <v>2026</v>
      </c>
      <c r="C95" s="167">
        <f>YEAR(Table13[[#This Row],[Date]])</f>
        <v>2025</v>
      </c>
      <c r="D95" s="168">
        <f>Table13[[#This Row],[Date]]-DAY(Table13[[#This Row],[Date]])+1</f>
        <v>45809</v>
      </c>
      <c r="E95" s="167">
        <f t="shared" si="8"/>
        <v>30</v>
      </c>
      <c r="F95" s="169"/>
      <c r="G95" s="176"/>
      <c r="H95" s="176"/>
      <c r="I95" s="176"/>
      <c r="J95" s="176"/>
      <c r="K95" s="171"/>
      <c r="L95" s="170"/>
      <c r="M95" s="170">
        <f>IFERROR(_xlfn.XLOOKUP($A95,Input_Raw!$A:$A,Input_Raw!BG:BG),"")</f>
        <v>9.5536565352582237</v>
      </c>
      <c r="N95" s="170">
        <f>IFERROR(_xlfn.XLOOKUP($A95,Input_Raw!$A:$A,Input_Raw!BH:BH),"")</f>
        <v>0</v>
      </c>
      <c r="O95" s="173">
        <f t="shared" si="9"/>
        <v>0.94277392153619199</v>
      </c>
      <c r="P95" s="173">
        <f>IFERROR(1-SUMIF(WTG_BD!$F:$F,$A95,WTG_BD!$AA:$AA)/($AA95+SUMIF(WTG_BD!$F:$F,$A95,WTG_BD!$AA:$AA)),"")</f>
        <v>0.94277392153619199</v>
      </c>
      <c r="Q95" s="173">
        <f>IFERROR(1-SUMIF(IGA_BD!$F:$F,$A95,IGA_BD!$X:$X)/($AA95+SUMIF(IGA_BD!$F:$F,$A95,IGA_BD!$X:$X)),"")</f>
        <v>1</v>
      </c>
      <c r="R95" s="173">
        <f>IFERROR(1-SUMIF(Grid_BD!$F:$F,$A95,Grid_BD!$Y:$Y)/($AA95+SUMIF(Grid_BD!$F:$F,$A95,Grid_BD!$Y:$Y)),"")</f>
        <v>1</v>
      </c>
      <c r="S95" s="167"/>
      <c r="T95" s="172"/>
      <c r="U95" s="173"/>
      <c r="V95" s="167"/>
      <c r="W95" s="174">
        <f t="shared" si="10"/>
        <v>0.77270299145299137</v>
      </c>
      <c r="X95" s="167">
        <f>IFERROR(_xlfn.XLOOKUP($A95,Input_Raw!$A:$A,Input_Raw!$BF:$BF),"")</f>
        <v>1348035</v>
      </c>
      <c r="Y95" s="167">
        <f>IFERROR(_xlfn.XLOOKUP($A95,Input_Raw!$A:$A,Input_Raw!BJ:BJ),"")</f>
        <v>1301850</v>
      </c>
      <c r="Z95" s="167">
        <f>IFERROR(_xlfn.XLOOKUP($A95,Input_Raw!$A:$A,Input_Raw!BK:BK),"")</f>
        <v>0</v>
      </c>
      <c r="AA95" s="167">
        <f>IFERROR(_xlfn.XLOOKUP($A95,Input_Raw!$A:$A,Input_Raw!BL:BL),"")</f>
        <v>1301850</v>
      </c>
      <c r="AB95" s="167">
        <f>IFERROR(_xlfn.XLOOKUP($A95,Input_Raw!$A:$A,Input_Raw!$BO:$BO),"")</f>
        <v>70.2</v>
      </c>
      <c r="AC95" s="176">
        <f>IFERROR(_xlfn.XLOOKUP($D95,'Modelling New'!$D:$D,'Modelling New'!$J:$J),"")</f>
        <v>7.15</v>
      </c>
      <c r="AD95" s="166">
        <f>IFERROR(_xlfn.XLOOKUP($D95,'Modelling New'!$D:$D,'Modelling New'!$T:$T)*1000,"")</f>
        <v>801613.2743645322</v>
      </c>
      <c r="AE95" s="174"/>
      <c r="AF95" s="174">
        <f>IFERROR(_xlfn.XLOOKUP($D95,'Modelling New'!$D:$D,'Modelling New'!$W:$W),"")</f>
        <v>0.47579135467980305</v>
      </c>
      <c r="AG95" s="174">
        <f>IFERROR(_xlfn.XLOOKUP($D95,'Modelling New'!$D:$D,'Modelling New'!$AE:$AE),"")</f>
        <v>0.96029999999999993</v>
      </c>
      <c r="AH95" s="174">
        <f>IFERROR(_xlfn.XLOOKUP($D95,'Modelling New'!$D:$D,'Modelling New'!$AF:$AF),"")</f>
        <v>0.995</v>
      </c>
      <c r="AI95" s="177">
        <f>IFERROR(_xlfn.XLOOKUP($A95,Input_Raw!$A:$A,Input_Raw!$BQ:$BQ),"")</f>
        <v>1451.83</v>
      </c>
      <c r="AJ95" s="167"/>
      <c r="AK95" s="167"/>
      <c r="AL95" s="167"/>
      <c r="AM95" s="167"/>
      <c r="AN95" s="175">
        <f>IFERROR(_xlfn.XLOOKUP($A95,Input_Raw!$A:$A,Input_Raw!$BN:$BN),"")</f>
        <v>3.4260979870700689E-2</v>
      </c>
      <c r="AO95" s="174">
        <f>IFERROR((_xlfn.XLOOKUP($A95,'WTG Reactive Power'!$A:$A,'WTG Reactive Power'!$AE:$AE))/Table13[[#This Row],[Gen_Exp (kWh)]],"")</f>
        <v>2.1364385939534204E-2</v>
      </c>
      <c r="AP95" s="174">
        <f>IFERROR(_xlfn.XLOOKUP($D95,'Modelling New'!$D:$D,'Modelling New'!$AK:$AK),"")</f>
        <v>0.05</v>
      </c>
      <c r="AQ95" s="174">
        <f>IFERROR(_xlfn.XLOOKUP($D95,'Modelling New'!$D:$D,'Modelling New'!$AL:$AL),"")</f>
        <v>0.05</v>
      </c>
      <c r="AR95" s="276">
        <f>IFERROR(_xlfn.XLOOKUP($D95,'Modelling New'!$D:$D,'Modelling New'!$N:$N),"")</f>
        <v>70.2</v>
      </c>
      <c r="AS95" s="276"/>
    </row>
    <row r="96" spans="1:45">
      <c r="A96" s="165">
        <f t="shared" si="11"/>
        <v>45839</v>
      </c>
      <c r="B96" s="166">
        <f>YEAR(Table13[[#This Row],[Date]])+IF(MONTH(Table13[[#This Row],[Date]])&gt;=4,1,0)</f>
        <v>2026</v>
      </c>
      <c r="C96" s="167">
        <f>YEAR(Table13[[#This Row],[Date]])</f>
        <v>2025</v>
      </c>
      <c r="D96" s="168">
        <f>Table13[[#This Row],[Date]]-DAY(Table13[[#This Row],[Date]])+1</f>
        <v>45839</v>
      </c>
      <c r="E96" s="167">
        <f t="shared" si="8"/>
        <v>31</v>
      </c>
      <c r="F96" s="169"/>
      <c r="G96" s="170"/>
      <c r="H96" s="170"/>
      <c r="I96" s="170"/>
      <c r="J96" s="170"/>
      <c r="K96" s="171"/>
      <c r="L96" s="170"/>
      <c r="M96" s="170">
        <f>IFERROR(_xlfn.XLOOKUP($A96,Input_Raw!$A:$A,Input_Raw!BG:BG),"")</f>
        <v>7.6018168858153654</v>
      </c>
      <c r="N96" s="170">
        <f>IFERROR(_xlfn.XLOOKUP($A96,Input_Raw!$A:$A,Input_Raw!BH:BH),"")</f>
        <v>0</v>
      </c>
      <c r="O96" s="173">
        <f t="shared" si="9"/>
        <v>0.9445891013284361</v>
      </c>
      <c r="P96" s="173">
        <f>IFERROR(1-SUMIF(WTG_BD!$F:$F,$A96,WTG_BD!$AA:$AA)/($AA96+SUMIF(WTG_BD!$F:$F,$A96,WTG_BD!$AA:$AA)),"")</f>
        <v>0.94922568966382626</v>
      </c>
      <c r="Q96" s="173">
        <f>IFERROR(1-SUMIF(IGA_BD!$F:$F,$A96,IGA_BD!$X:$X)/($AA96+SUMIF(IGA_BD!$F:$F,$A96,IGA_BD!$X:$X)),"")</f>
        <v>0.99511539943990324</v>
      </c>
      <c r="R96" s="173">
        <f>IFERROR(1-SUMIF(Grid_BD!$F:$F,$A96,Grid_BD!$Y:$Y)/($AA96+SUMIF(Grid_BD!$F:$F,$A96,Grid_BD!$Y:$Y)),"")</f>
        <v>1</v>
      </c>
      <c r="S96" s="167"/>
      <c r="T96" s="172"/>
      <c r="U96" s="173"/>
      <c r="V96" s="167"/>
      <c r="W96" s="174">
        <f t="shared" si="10"/>
        <v>0.50747863247863245</v>
      </c>
      <c r="X96" s="167">
        <f>IFERROR(_xlfn.XLOOKUP($A96,Input_Raw!$A:$A,Input_Raw!$BF:$BF),"")</f>
        <v>879645</v>
      </c>
      <c r="Y96" s="167">
        <f>IFERROR(_xlfn.XLOOKUP($A96,Input_Raw!$A:$A,Input_Raw!BJ:BJ),"")</f>
        <v>855000</v>
      </c>
      <c r="Z96" s="167">
        <f>IFERROR(_xlfn.XLOOKUP($A96,Input_Raw!$A:$A,Input_Raw!BK:BK),"")</f>
        <v>0</v>
      </c>
      <c r="AA96" s="167">
        <f>IFERROR(_xlfn.XLOOKUP($A96,Input_Raw!$A:$A,Input_Raw!BL:BL),"")</f>
        <v>855000</v>
      </c>
      <c r="AB96" s="167">
        <f>IFERROR(_xlfn.XLOOKUP($A96,Input_Raw!$A:$A,Input_Raw!$BO:$BO),"")</f>
        <v>70.2</v>
      </c>
      <c r="AC96" s="176">
        <f>IFERROR(_xlfn.XLOOKUP($D96,'Modelling New'!$D:$D,'Modelling New'!$J:$J),"")</f>
        <v>8.18</v>
      </c>
      <c r="AD96" s="166">
        <f>IFERROR(_xlfn.XLOOKUP($D96,'Modelling New'!$D:$D,'Modelling New'!$T:$T)*1000,"")</f>
        <v>963883.16796059138</v>
      </c>
      <c r="AE96" s="174"/>
      <c r="AF96" s="174">
        <f>IFERROR(_xlfn.XLOOKUP($D96,'Modelling New'!$D:$D,'Modelling New'!$W:$W),"")</f>
        <v>0.57210539408867012</v>
      </c>
      <c r="AG96" s="174">
        <f>IFERROR(_xlfn.XLOOKUP($D96,'Modelling New'!$D:$D,'Modelling New'!$AE:$AE),"")</f>
        <v>0.96029999999999993</v>
      </c>
      <c r="AH96" s="174">
        <f>IFERROR(_xlfn.XLOOKUP($D96,'Modelling New'!$D:$D,'Modelling New'!$AF:$AF),"")</f>
        <v>0.995</v>
      </c>
      <c r="AI96" s="177">
        <f>IFERROR(_xlfn.XLOOKUP($A96,Input_Raw!$A:$A,Input_Raw!$BQ:$BQ),"")</f>
        <v>938.65</v>
      </c>
      <c r="AJ96" s="167"/>
      <c r="AK96" s="167"/>
      <c r="AL96" s="167"/>
      <c r="AM96" s="167"/>
      <c r="AN96" s="175">
        <f>IFERROR(_xlfn.XLOOKUP($A96,Input_Raw!$A:$A,Input_Raw!$BN:$BN),"")</f>
        <v>2.8016984124277406E-2</v>
      </c>
      <c r="AO96" s="174">
        <f>IFERROR((_xlfn.XLOOKUP($A96,'WTG Reactive Power'!$A:$A,'WTG Reactive Power'!$AE:$AE))/Table13[[#This Row],[Gen_Exp (kWh)]],"")</f>
        <v>8.1850291879110339E-3</v>
      </c>
      <c r="AP96" s="174">
        <f>IFERROR(_xlfn.XLOOKUP($D96,'Modelling New'!$D:$D,'Modelling New'!$AK:$AK),"")</f>
        <v>0.05</v>
      </c>
      <c r="AQ96" s="174">
        <f>IFERROR(_xlfn.XLOOKUP($D96,'Modelling New'!$D:$D,'Modelling New'!$AL:$AL),"")</f>
        <v>0.05</v>
      </c>
      <c r="AR96" s="276">
        <f>IFERROR(_xlfn.XLOOKUP($D96,'Modelling New'!$D:$D,'Modelling New'!$N:$N),"")</f>
        <v>70.2</v>
      </c>
      <c r="AS96" s="276"/>
    </row>
    <row r="97" spans="1:45">
      <c r="A97" s="165">
        <f t="shared" si="11"/>
        <v>45840</v>
      </c>
      <c r="B97" s="166">
        <f>YEAR(Table13[[#This Row],[Date]])+IF(MONTH(Table13[[#This Row],[Date]])&gt;=4,1,0)</f>
        <v>2026</v>
      </c>
      <c r="C97" s="167">
        <f>YEAR(Table13[[#This Row],[Date]])</f>
        <v>2025</v>
      </c>
      <c r="D97" s="168">
        <f>Table13[[#This Row],[Date]]-DAY(Table13[[#This Row],[Date]])+1</f>
        <v>45839</v>
      </c>
      <c r="E97" s="167">
        <f t="shared" si="8"/>
        <v>31</v>
      </c>
      <c r="F97" s="169"/>
      <c r="G97" s="176"/>
      <c r="H97" s="176"/>
      <c r="I97" s="176"/>
      <c r="J97" s="176"/>
      <c r="K97" s="171"/>
      <c r="L97" s="170"/>
      <c r="M97" s="170">
        <f>IFERROR(_xlfn.XLOOKUP($A97,Input_Raw!$A:$A,Input_Raw!BG:BG),"")</f>
        <v>7.2251072211121912</v>
      </c>
      <c r="N97" s="170">
        <f>IFERROR(_xlfn.XLOOKUP($A97,Input_Raw!$A:$A,Input_Raw!BH:BH),"")</f>
        <v>0</v>
      </c>
      <c r="O97" s="173">
        <f t="shared" si="9"/>
        <v>0.94994118737999644</v>
      </c>
      <c r="P97" s="173">
        <f>IFERROR(1-SUMIF(WTG_BD!$F:$F,$A97,WTG_BD!$AA:$AA)/($AA97+SUMIF(WTG_BD!$F:$F,$A97,WTG_BD!$AA:$AA)),"")</f>
        <v>0.95567683669764669</v>
      </c>
      <c r="Q97" s="173">
        <f>IFERROR(1-SUMIF(IGA_BD!$F:$F,$A97,IGA_BD!$X:$X)/($AA97+SUMIF(IGA_BD!$F:$F,$A97,IGA_BD!$X:$X)),"")</f>
        <v>0.99399833803917459</v>
      </c>
      <c r="R97" s="173">
        <f>IFERROR(1-SUMIF(Grid_BD!$F:$F,$A97,Grid_BD!$Y:$Y)/($AA97+SUMIF(Grid_BD!$F:$F,$A97,Grid_BD!$Y:$Y)),"")</f>
        <v>1</v>
      </c>
      <c r="S97" s="167"/>
      <c r="T97" s="172"/>
      <c r="U97" s="173"/>
      <c r="V97" s="167"/>
      <c r="W97" s="174">
        <f t="shared" si="10"/>
        <v>0.4473824786324786</v>
      </c>
      <c r="X97" s="167">
        <f>IFERROR(_xlfn.XLOOKUP($A97,Input_Raw!$A:$A,Input_Raw!$BF:$BF),"")</f>
        <v>774833</v>
      </c>
      <c r="Y97" s="167">
        <f>IFERROR(_xlfn.XLOOKUP($A97,Input_Raw!$A:$A,Input_Raw!BJ:BJ),"")</f>
        <v>753750</v>
      </c>
      <c r="Z97" s="167">
        <f>IFERROR(_xlfn.XLOOKUP($A97,Input_Raw!$A:$A,Input_Raw!BK:BK),"")</f>
        <v>0</v>
      </c>
      <c r="AA97" s="167">
        <f>IFERROR(_xlfn.XLOOKUP($A97,Input_Raw!$A:$A,Input_Raw!BL:BL),"")</f>
        <v>753750</v>
      </c>
      <c r="AB97" s="167">
        <f>IFERROR(_xlfn.XLOOKUP($A97,Input_Raw!$A:$A,Input_Raw!$BO:$BO),"")</f>
        <v>70.2</v>
      </c>
      <c r="AC97" s="176">
        <f>IFERROR(_xlfn.XLOOKUP($D97,'Modelling New'!$D:$D,'Modelling New'!$J:$J),"")</f>
        <v>8.18</v>
      </c>
      <c r="AD97" s="166">
        <f>IFERROR(_xlfn.XLOOKUP($D97,'Modelling New'!$D:$D,'Modelling New'!$T:$T)*1000,"")</f>
        <v>963883.16796059138</v>
      </c>
      <c r="AE97" s="174"/>
      <c r="AF97" s="174">
        <f>IFERROR(_xlfn.XLOOKUP($D97,'Modelling New'!$D:$D,'Modelling New'!$W:$W),"")</f>
        <v>0.57210539408867012</v>
      </c>
      <c r="AG97" s="174">
        <f>IFERROR(_xlfn.XLOOKUP($D97,'Modelling New'!$D:$D,'Modelling New'!$AE:$AE),"")</f>
        <v>0.96029999999999993</v>
      </c>
      <c r="AH97" s="174">
        <f>IFERROR(_xlfn.XLOOKUP($D97,'Modelling New'!$D:$D,'Modelling New'!$AF:$AF),"")</f>
        <v>0.995</v>
      </c>
      <c r="AI97" s="177">
        <f>IFERROR(_xlfn.XLOOKUP($A97,Input_Raw!$A:$A,Input_Raw!$BQ:$BQ),"")</f>
        <v>831.68</v>
      </c>
      <c r="AJ97" s="167"/>
      <c r="AK97" s="167"/>
      <c r="AL97" s="167"/>
      <c r="AM97" s="167"/>
      <c r="AN97" s="175">
        <f>IFERROR(_xlfn.XLOOKUP($A97,Input_Raw!$A:$A,Input_Raw!$BN:$BN),"")</f>
        <v>2.7209734226601088E-2</v>
      </c>
      <c r="AO97" s="174">
        <f>IFERROR((_xlfn.XLOOKUP($A97,'WTG Reactive Power'!$A:$A,'WTG Reactive Power'!$AE:$AE))/Table13[[#This Row],[Gen_Exp (kWh)]],"")</f>
        <v>1.5100028006034849E-2</v>
      </c>
      <c r="AP97" s="174">
        <f>IFERROR(_xlfn.XLOOKUP($D97,'Modelling New'!$D:$D,'Modelling New'!$AK:$AK),"")</f>
        <v>0.05</v>
      </c>
      <c r="AQ97" s="174">
        <f>IFERROR(_xlfn.XLOOKUP($D97,'Modelling New'!$D:$D,'Modelling New'!$AL:$AL),"")</f>
        <v>0.05</v>
      </c>
      <c r="AR97" s="276">
        <f>IFERROR(_xlfn.XLOOKUP($D97,'Modelling New'!$D:$D,'Modelling New'!$N:$N),"")</f>
        <v>70.2</v>
      </c>
      <c r="AS97" s="276"/>
    </row>
    <row r="98" spans="1:45">
      <c r="A98" s="165">
        <f t="shared" si="11"/>
        <v>45841</v>
      </c>
      <c r="B98" s="166">
        <f>YEAR(Table13[[#This Row],[Date]])+IF(MONTH(Table13[[#This Row],[Date]])&gt;=4,1,0)</f>
        <v>2026</v>
      </c>
      <c r="C98" s="167">
        <f>YEAR(Table13[[#This Row],[Date]])</f>
        <v>2025</v>
      </c>
      <c r="D98" s="168">
        <f>Table13[[#This Row],[Date]]-DAY(Table13[[#This Row],[Date]])+1</f>
        <v>45839</v>
      </c>
      <c r="E98" s="167">
        <f t="shared" si="8"/>
        <v>31</v>
      </c>
      <c r="F98" s="169"/>
      <c r="G98" s="170"/>
      <c r="H98" s="170"/>
      <c r="I98" s="170"/>
      <c r="J98" s="170"/>
      <c r="K98" s="171"/>
      <c r="L98" s="170"/>
      <c r="M98" s="170">
        <f>IFERROR(_xlfn.XLOOKUP($A98,Input_Raw!$A:$A,Input_Raw!BG:BG),"")</f>
        <v>6.9956249990779096</v>
      </c>
      <c r="N98" s="170">
        <f>IFERROR(_xlfn.XLOOKUP($A98,Input_Raw!$A:$A,Input_Raw!BH:BH),"")</f>
        <v>0</v>
      </c>
      <c r="O98" s="173">
        <f t="shared" si="9"/>
        <v>0.95794596768200424</v>
      </c>
      <c r="P98" s="173">
        <f>IFERROR(1-SUMIF(WTG_BD!$F:$F,$A98,WTG_BD!$AA:$AA)/($AA98+SUMIF(WTG_BD!$F:$F,$A98,WTG_BD!$AA:$AA)),"")</f>
        <v>0.95794596768200424</v>
      </c>
      <c r="Q98" s="173">
        <f>IFERROR(1-SUMIF(IGA_BD!$F:$F,$A98,IGA_BD!$X:$X)/($AA98+SUMIF(IGA_BD!$F:$F,$A98,IGA_BD!$X:$X)),"")</f>
        <v>1</v>
      </c>
      <c r="R98" s="173">
        <f>IFERROR(1-SUMIF(Grid_BD!$F:$F,$A98,Grid_BD!$Y:$Y)/($AA98+SUMIF(Grid_BD!$F:$F,$A98,Grid_BD!$Y:$Y)),"")</f>
        <v>1</v>
      </c>
      <c r="S98" s="167"/>
      <c r="T98" s="172"/>
      <c r="U98" s="173"/>
      <c r="V98" s="167"/>
      <c r="W98" s="174">
        <f t="shared" si="10"/>
        <v>0.42788461538461531</v>
      </c>
      <c r="X98" s="167">
        <f>IFERROR(_xlfn.XLOOKUP($A98,Input_Raw!$A:$A,Input_Raw!$BF:$BF),"")</f>
        <v>740015</v>
      </c>
      <c r="Y98" s="167">
        <f>IFERROR(_xlfn.XLOOKUP($A98,Input_Raw!$A:$A,Input_Raw!BJ:BJ),"")</f>
        <v>720900</v>
      </c>
      <c r="Z98" s="167">
        <f>IFERROR(_xlfn.XLOOKUP($A98,Input_Raw!$A:$A,Input_Raw!BK:BK),"")</f>
        <v>0</v>
      </c>
      <c r="AA98" s="167">
        <f>IFERROR(_xlfn.XLOOKUP($A98,Input_Raw!$A:$A,Input_Raw!BL:BL),"")</f>
        <v>720900</v>
      </c>
      <c r="AB98" s="167">
        <f>IFERROR(_xlfn.XLOOKUP($A98,Input_Raw!$A:$A,Input_Raw!$BO:$BO),"")</f>
        <v>70.2</v>
      </c>
      <c r="AC98" s="176">
        <f>IFERROR(_xlfn.XLOOKUP($D98,'Modelling New'!$D:$D,'Modelling New'!$J:$J),"")</f>
        <v>8.18</v>
      </c>
      <c r="AD98" s="166">
        <f>IFERROR(_xlfn.XLOOKUP($D98,'Modelling New'!$D:$D,'Modelling New'!$T:$T)*1000,"")</f>
        <v>963883.16796059138</v>
      </c>
      <c r="AE98" s="174"/>
      <c r="AF98" s="174">
        <f>IFERROR(_xlfn.XLOOKUP($D98,'Modelling New'!$D:$D,'Modelling New'!$W:$W),"")</f>
        <v>0.57210539408867012</v>
      </c>
      <c r="AG98" s="174">
        <f>IFERROR(_xlfn.XLOOKUP($D98,'Modelling New'!$D:$D,'Modelling New'!$AE:$AE),"")</f>
        <v>0.96029999999999993</v>
      </c>
      <c r="AH98" s="174">
        <f>IFERROR(_xlfn.XLOOKUP($D98,'Modelling New'!$D:$D,'Modelling New'!$AF:$AF),"")</f>
        <v>0.995</v>
      </c>
      <c r="AI98" s="177">
        <f>IFERROR(_xlfn.XLOOKUP($A98,Input_Raw!$A:$A,Input_Raw!$BQ:$BQ),"")</f>
        <v>789.12</v>
      </c>
      <c r="AJ98" s="167"/>
      <c r="AK98" s="167"/>
      <c r="AL98" s="167"/>
      <c r="AM98" s="167"/>
      <c r="AN98" s="175">
        <f>IFERROR(_xlfn.XLOOKUP($A98,Input_Raw!$A:$A,Input_Raw!$BN:$BN),"")</f>
        <v>2.5830557488699554E-2</v>
      </c>
      <c r="AO98" s="174">
        <f>IFERROR((_xlfn.XLOOKUP($A98,'WTG Reactive Power'!$A:$A,'WTG Reactive Power'!$AE:$AE))/Table13[[#This Row],[Gen_Exp (kWh)]],"")</f>
        <v>2.4323561008898474E-3</v>
      </c>
      <c r="AP98" s="174">
        <f>IFERROR(_xlfn.XLOOKUP($D98,'Modelling New'!$D:$D,'Modelling New'!$AK:$AK),"")</f>
        <v>0.05</v>
      </c>
      <c r="AQ98" s="174">
        <f>IFERROR(_xlfn.XLOOKUP($D98,'Modelling New'!$D:$D,'Modelling New'!$AL:$AL),"")</f>
        <v>0.05</v>
      </c>
      <c r="AR98" s="276">
        <f>IFERROR(_xlfn.XLOOKUP($D98,'Modelling New'!$D:$D,'Modelling New'!$N:$N),"")</f>
        <v>70.2</v>
      </c>
      <c r="AS98" s="276"/>
    </row>
    <row r="99" spans="1:45">
      <c r="A99" s="165">
        <f t="shared" si="11"/>
        <v>45842</v>
      </c>
      <c r="B99" s="166">
        <f>YEAR(Table13[[#This Row],[Date]])+IF(MONTH(Table13[[#This Row],[Date]])&gt;=4,1,0)</f>
        <v>2026</v>
      </c>
      <c r="C99" s="167">
        <f>YEAR(Table13[[#This Row],[Date]])</f>
        <v>2025</v>
      </c>
      <c r="D99" s="168">
        <f>Table13[[#This Row],[Date]]-DAY(Table13[[#This Row],[Date]])+1</f>
        <v>45839</v>
      </c>
      <c r="E99" s="167">
        <f t="shared" si="8"/>
        <v>31</v>
      </c>
      <c r="F99" s="169"/>
      <c r="G99" s="176"/>
      <c r="H99" s="176"/>
      <c r="I99" s="176"/>
      <c r="J99" s="176"/>
      <c r="K99" s="171"/>
      <c r="L99" s="170"/>
      <c r="M99" s="170">
        <f>IFERROR(_xlfn.XLOOKUP($A99,Input_Raw!$A:$A,Input_Raw!BG:BG),"")</f>
        <v>5.5617045970796006</v>
      </c>
      <c r="N99" s="170">
        <f>IFERROR(_xlfn.XLOOKUP($A99,Input_Raw!$A:$A,Input_Raw!BH:BH),"")</f>
        <v>0</v>
      </c>
      <c r="O99" s="173">
        <f t="shared" si="9"/>
        <v>0.9379428318223797</v>
      </c>
      <c r="P99" s="173">
        <f>IFERROR(1-SUMIF(WTG_BD!$F:$F,$A99,WTG_BD!$AA:$AA)/($AA99+SUMIF(WTG_BD!$F:$F,$A99,WTG_BD!$AA:$AA)),"")</f>
        <v>0.9379428318223797</v>
      </c>
      <c r="Q99" s="173">
        <f>IFERROR(1-SUMIF(IGA_BD!$F:$F,$A99,IGA_BD!$X:$X)/($AA99+SUMIF(IGA_BD!$F:$F,$A99,IGA_BD!$X:$X)),"")</f>
        <v>1</v>
      </c>
      <c r="R99" s="173">
        <f>IFERROR(1-SUMIF(Grid_BD!$F:$F,$A99,Grid_BD!$Y:$Y)/($AA99+SUMIF(Grid_BD!$F:$F,$A99,Grid_BD!$Y:$Y)),"")</f>
        <v>1</v>
      </c>
      <c r="S99" s="167"/>
      <c r="T99" s="172"/>
      <c r="U99" s="173"/>
      <c r="V99" s="167"/>
      <c r="W99" s="174">
        <f t="shared" si="10"/>
        <v>0.2409188034188034</v>
      </c>
      <c r="X99" s="167">
        <f>IFERROR(_xlfn.XLOOKUP($A99,Input_Raw!$A:$A,Input_Raw!$BF:$BF),"")</f>
        <v>416349</v>
      </c>
      <c r="Y99" s="167">
        <f>IFERROR(_xlfn.XLOOKUP($A99,Input_Raw!$A:$A,Input_Raw!BJ:BJ),"")</f>
        <v>405900</v>
      </c>
      <c r="Z99" s="167">
        <f>IFERROR(_xlfn.XLOOKUP($A99,Input_Raw!$A:$A,Input_Raw!BK:BK),"")</f>
        <v>0</v>
      </c>
      <c r="AA99" s="167">
        <f>IFERROR(_xlfn.XLOOKUP($A99,Input_Raw!$A:$A,Input_Raw!BL:BL),"")</f>
        <v>405900</v>
      </c>
      <c r="AB99" s="167">
        <f>IFERROR(_xlfn.XLOOKUP($A99,Input_Raw!$A:$A,Input_Raw!$BO:$BO),"")</f>
        <v>70.2</v>
      </c>
      <c r="AC99" s="176">
        <f>IFERROR(_xlfn.XLOOKUP($D99,'Modelling New'!$D:$D,'Modelling New'!$J:$J),"")</f>
        <v>8.18</v>
      </c>
      <c r="AD99" s="166">
        <f>IFERROR(_xlfn.XLOOKUP($D99,'Modelling New'!$D:$D,'Modelling New'!$T:$T)*1000,"")</f>
        <v>963883.16796059138</v>
      </c>
      <c r="AE99" s="174"/>
      <c r="AF99" s="174">
        <f>IFERROR(_xlfn.XLOOKUP($D99,'Modelling New'!$D:$D,'Modelling New'!$W:$W),"")</f>
        <v>0.57210539408867012</v>
      </c>
      <c r="AG99" s="174">
        <f>IFERROR(_xlfn.XLOOKUP($D99,'Modelling New'!$D:$D,'Modelling New'!$AE:$AE),"")</f>
        <v>0.96029999999999993</v>
      </c>
      <c r="AH99" s="174">
        <f>IFERROR(_xlfn.XLOOKUP($D99,'Modelling New'!$D:$D,'Modelling New'!$AF:$AF),"")</f>
        <v>0.995</v>
      </c>
      <c r="AI99" s="177">
        <f>IFERROR(_xlfn.XLOOKUP($A99,Input_Raw!$A:$A,Input_Raw!$BQ:$BQ),"")</f>
        <v>445.95</v>
      </c>
      <c r="AJ99" s="167"/>
      <c r="AK99" s="167"/>
      <c r="AL99" s="167"/>
      <c r="AM99" s="167"/>
      <c r="AN99" s="175">
        <f>IFERROR(_xlfn.XLOOKUP($A99,Input_Raw!$A:$A,Input_Raw!$BN:$BN),"")</f>
        <v>2.5096733749810855E-2</v>
      </c>
      <c r="AO99" s="174">
        <f>IFERROR((_xlfn.XLOOKUP($A99,'WTG Reactive Power'!$A:$A,'WTG Reactive Power'!$AE:$AE))/Table13[[#This Row],[Gen_Exp (kWh)]],"")</f>
        <v>2.1613117841042017E-3</v>
      </c>
      <c r="AP99" s="174">
        <f>IFERROR(_xlfn.XLOOKUP($D99,'Modelling New'!$D:$D,'Modelling New'!$AK:$AK),"")</f>
        <v>0.05</v>
      </c>
      <c r="AQ99" s="174">
        <f>IFERROR(_xlfn.XLOOKUP($D99,'Modelling New'!$D:$D,'Modelling New'!$AL:$AL),"")</f>
        <v>0.05</v>
      </c>
      <c r="AR99" s="276">
        <f>IFERROR(_xlfn.XLOOKUP($D99,'Modelling New'!$D:$D,'Modelling New'!$N:$N),"")</f>
        <v>70.2</v>
      </c>
      <c r="AS99" s="276"/>
    </row>
    <row r="100" spans="1:45">
      <c r="A100" s="165">
        <f t="shared" si="11"/>
        <v>45843</v>
      </c>
      <c r="B100" s="166">
        <f>YEAR(Table13[[#This Row],[Date]])+IF(MONTH(Table13[[#This Row],[Date]])&gt;=4,1,0)</f>
        <v>2026</v>
      </c>
      <c r="C100" s="167">
        <f>YEAR(Table13[[#This Row],[Date]])</f>
        <v>2025</v>
      </c>
      <c r="D100" s="168">
        <f>Table13[[#This Row],[Date]]-DAY(Table13[[#This Row],[Date]])+1</f>
        <v>45839</v>
      </c>
      <c r="E100" s="167">
        <f t="shared" si="8"/>
        <v>31</v>
      </c>
      <c r="F100" s="169"/>
      <c r="G100" s="170"/>
      <c r="H100" s="170"/>
      <c r="I100" s="170"/>
      <c r="J100" s="170"/>
      <c r="K100" s="171"/>
      <c r="L100" s="170"/>
      <c r="M100" s="170">
        <f>IFERROR(_xlfn.XLOOKUP($A100,Input_Raw!$A:$A,Input_Raw!BG:BG),"")</f>
        <v>6.5120095532882321</v>
      </c>
      <c r="N100" s="170">
        <f>IFERROR(_xlfn.XLOOKUP($A100,Input_Raw!$A:$A,Input_Raw!BH:BH),"")</f>
        <v>0</v>
      </c>
      <c r="O100" s="173">
        <f t="shared" si="9"/>
        <v>0.91077487549734015</v>
      </c>
      <c r="P100" s="173">
        <f>IFERROR(1-SUMIF(WTG_BD!$F:$F,$A100,WTG_BD!$AA:$AA)/($AA100+SUMIF(WTG_BD!$F:$F,$A100,WTG_BD!$AA:$AA)),"")</f>
        <v>0.91077487549734015</v>
      </c>
      <c r="Q100" s="173">
        <f>IFERROR(1-SUMIF(IGA_BD!$F:$F,$A100,IGA_BD!$X:$X)/($AA100+SUMIF(IGA_BD!$F:$F,$A100,IGA_BD!$X:$X)),"")</f>
        <v>1</v>
      </c>
      <c r="R100" s="173">
        <f>IFERROR(1-SUMIF(Grid_BD!$F:$F,$A100,Grid_BD!$Y:$Y)/($AA100+SUMIF(Grid_BD!$F:$F,$A100,Grid_BD!$Y:$Y)),"")</f>
        <v>1</v>
      </c>
      <c r="S100" s="167"/>
      <c r="T100" s="172"/>
      <c r="U100" s="173"/>
      <c r="V100" s="167"/>
      <c r="W100" s="174">
        <f t="shared" si="10"/>
        <v>0.33173076923076916</v>
      </c>
      <c r="X100" s="167">
        <f>IFERROR(_xlfn.XLOOKUP($A100,Input_Raw!$A:$A,Input_Raw!$BF:$BF),"")</f>
        <v>572949</v>
      </c>
      <c r="Y100" s="167">
        <f>IFERROR(_xlfn.XLOOKUP($A100,Input_Raw!$A:$A,Input_Raw!BJ:BJ),"")</f>
        <v>558900</v>
      </c>
      <c r="Z100" s="167">
        <f>IFERROR(_xlfn.XLOOKUP($A100,Input_Raw!$A:$A,Input_Raw!BK:BK),"")</f>
        <v>0</v>
      </c>
      <c r="AA100" s="167">
        <f>IFERROR(_xlfn.XLOOKUP($A100,Input_Raw!$A:$A,Input_Raw!BL:BL),"")</f>
        <v>558900</v>
      </c>
      <c r="AB100" s="167">
        <f>IFERROR(_xlfn.XLOOKUP($A100,Input_Raw!$A:$A,Input_Raw!$BO:$BO),"")</f>
        <v>70.2</v>
      </c>
      <c r="AC100" s="176">
        <f>IFERROR(_xlfn.XLOOKUP($D100,'Modelling New'!$D:$D,'Modelling New'!$J:$J),"")</f>
        <v>8.18</v>
      </c>
      <c r="AD100" s="166">
        <f>IFERROR(_xlfn.XLOOKUP($D100,'Modelling New'!$D:$D,'Modelling New'!$T:$T)*1000,"")</f>
        <v>963883.16796059138</v>
      </c>
      <c r="AE100" s="174"/>
      <c r="AF100" s="174">
        <f>IFERROR(_xlfn.XLOOKUP($D100,'Modelling New'!$D:$D,'Modelling New'!$W:$W),"")</f>
        <v>0.57210539408867012</v>
      </c>
      <c r="AG100" s="174">
        <f>IFERROR(_xlfn.XLOOKUP($D100,'Modelling New'!$D:$D,'Modelling New'!$AE:$AE),"")</f>
        <v>0.96029999999999993</v>
      </c>
      <c r="AH100" s="174">
        <f>IFERROR(_xlfn.XLOOKUP($D100,'Modelling New'!$D:$D,'Modelling New'!$AF:$AF),"")</f>
        <v>0.995</v>
      </c>
      <c r="AI100" s="177">
        <f>IFERROR(_xlfn.XLOOKUP($A100,Input_Raw!$A:$A,Input_Raw!$BQ:$BQ),"")</f>
        <v>637.63</v>
      </c>
      <c r="AJ100" s="167"/>
      <c r="AK100" s="167"/>
      <c r="AL100" s="167"/>
      <c r="AM100" s="167"/>
      <c r="AN100" s="175">
        <f>IFERROR(_xlfn.XLOOKUP($A100,Input_Raw!$A:$A,Input_Raw!$BN:$BN),"")</f>
        <v>2.4520507060837877E-2</v>
      </c>
      <c r="AO100" s="174">
        <f>IFERROR((_xlfn.XLOOKUP($A100,'WTG Reactive Power'!$A:$A,'WTG Reactive Power'!$AE:$AE))/Table13[[#This Row],[Gen_Exp (kWh)]],"")</f>
        <v>2.3560910307898262E-3</v>
      </c>
      <c r="AP100" s="174">
        <f>IFERROR(_xlfn.XLOOKUP($D100,'Modelling New'!$D:$D,'Modelling New'!$AK:$AK),"")</f>
        <v>0.05</v>
      </c>
      <c r="AQ100" s="174">
        <f>IFERROR(_xlfn.XLOOKUP($D100,'Modelling New'!$D:$D,'Modelling New'!$AL:$AL),"")</f>
        <v>0.05</v>
      </c>
      <c r="AR100" s="276">
        <f>IFERROR(_xlfn.XLOOKUP($D100,'Modelling New'!$D:$D,'Modelling New'!$N:$N),"")</f>
        <v>70.2</v>
      </c>
      <c r="AS100" s="276"/>
    </row>
    <row r="101" spans="1:45">
      <c r="A101" s="165">
        <f t="shared" si="11"/>
        <v>45844</v>
      </c>
      <c r="B101" s="166">
        <f>YEAR(Table13[[#This Row],[Date]])+IF(MONTH(Table13[[#This Row],[Date]])&gt;=4,1,0)</f>
        <v>2026</v>
      </c>
      <c r="C101" s="167">
        <f>YEAR(Table13[[#This Row],[Date]])</f>
        <v>2025</v>
      </c>
      <c r="D101" s="168">
        <f>Table13[[#This Row],[Date]]-DAY(Table13[[#This Row],[Date]])+1</f>
        <v>45839</v>
      </c>
      <c r="E101" s="167">
        <f t="shared" si="8"/>
        <v>31</v>
      </c>
      <c r="F101" s="169"/>
      <c r="G101" s="176"/>
      <c r="H101" s="176"/>
      <c r="I101" s="176"/>
      <c r="J101" s="176"/>
      <c r="K101" s="171"/>
      <c r="L101" s="170"/>
      <c r="M101" s="170">
        <f>IFERROR(_xlfn.XLOOKUP($A101,Input_Raw!$A:$A,Input_Raw!BG:BG),"")</f>
        <v>7.6739585397630368</v>
      </c>
      <c r="N101" s="170">
        <f>IFERROR(_xlfn.XLOOKUP($A101,Input_Raw!$A:$A,Input_Raw!BH:BH),"")</f>
        <v>0</v>
      </c>
      <c r="O101" s="173">
        <f t="shared" si="9"/>
        <v>0.91118803260385417</v>
      </c>
      <c r="P101" s="173">
        <f>IFERROR(1-SUMIF(WTG_BD!$F:$F,$A101,WTG_BD!$AA:$AA)/($AA101+SUMIF(WTG_BD!$F:$F,$A101,WTG_BD!$AA:$AA)),"")</f>
        <v>0.9247295692190316</v>
      </c>
      <c r="Q101" s="173">
        <f>IFERROR(1-SUMIF(IGA_BD!$F:$F,$A101,IGA_BD!$X:$X)/($AA101+SUMIF(IGA_BD!$F:$F,$A101,IGA_BD!$X:$X)),"")</f>
        <v>0.98535621973609677</v>
      </c>
      <c r="R101" s="173">
        <f>IFERROR(1-SUMIF(Grid_BD!$F:$F,$A101,Grid_BD!$Y:$Y)/($AA101+SUMIF(Grid_BD!$F:$F,$A101,Grid_BD!$Y:$Y)),"")</f>
        <v>1</v>
      </c>
      <c r="S101" s="167"/>
      <c r="T101" s="172"/>
      <c r="U101" s="173"/>
      <c r="V101" s="167"/>
      <c r="W101" s="174">
        <f t="shared" si="10"/>
        <v>0.47569444444444436</v>
      </c>
      <c r="X101" s="167">
        <f>IFERROR(_xlfn.XLOOKUP($A101,Input_Raw!$A:$A,Input_Raw!$BF:$BF),"")</f>
        <v>822516</v>
      </c>
      <c r="Y101" s="167">
        <f>IFERROR(_xlfn.XLOOKUP($A101,Input_Raw!$A:$A,Input_Raw!BJ:BJ),"")</f>
        <v>801450</v>
      </c>
      <c r="Z101" s="167">
        <f>IFERROR(_xlfn.XLOOKUP($A101,Input_Raw!$A:$A,Input_Raw!BK:BK),"")</f>
        <v>0</v>
      </c>
      <c r="AA101" s="167">
        <f>IFERROR(_xlfn.XLOOKUP($A101,Input_Raw!$A:$A,Input_Raw!BL:BL),"")</f>
        <v>801450</v>
      </c>
      <c r="AB101" s="167">
        <f>IFERROR(_xlfn.XLOOKUP($A101,Input_Raw!$A:$A,Input_Raw!$BO:$BO),"")</f>
        <v>70.2</v>
      </c>
      <c r="AC101" s="176">
        <f>IFERROR(_xlfn.XLOOKUP($D101,'Modelling New'!$D:$D,'Modelling New'!$J:$J),"")</f>
        <v>8.18</v>
      </c>
      <c r="AD101" s="166">
        <f>IFERROR(_xlfn.XLOOKUP($D101,'Modelling New'!$D:$D,'Modelling New'!$T:$T)*1000,"")</f>
        <v>963883.16796059138</v>
      </c>
      <c r="AE101" s="174"/>
      <c r="AF101" s="174">
        <f>IFERROR(_xlfn.XLOOKUP($D101,'Modelling New'!$D:$D,'Modelling New'!$W:$W),"")</f>
        <v>0.57210539408867012</v>
      </c>
      <c r="AG101" s="174">
        <f>IFERROR(_xlfn.XLOOKUP($D101,'Modelling New'!$D:$D,'Modelling New'!$AE:$AE),"")</f>
        <v>0.96029999999999993</v>
      </c>
      <c r="AH101" s="174">
        <f>IFERROR(_xlfn.XLOOKUP($D101,'Modelling New'!$D:$D,'Modelling New'!$AF:$AF),"")</f>
        <v>0.995</v>
      </c>
      <c r="AI101" s="177">
        <f>IFERROR(_xlfn.XLOOKUP($A101,Input_Raw!$A:$A,Input_Raw!$BQ:$BQ),"")</f>
        <v>935.58</v>
      </c>
      <c r="AJ101" s="167"/>
      <c r="AK101" s="167"/>
      <c r="AL101" s="167"/>
      <c r="AM101" s="167"/>
      <c r="AN101" s="175">
        <f>IFERROR(_xlfn.XLOOKUP($A101,Input_Raw!$A:$A,Input_Raw!$BN:$BN),"")</f>
        <v>2.5611659833972834E-2</v>
      </c>
      <c r="AO101" s="174">
        <f>IFERROR((_xlfn.XLOOKUP($A101,'WTG Reactive Power'!$A:$A,'WTG Reactive Power'!$AE:$AE))/Table13[[#This Row],[Gen_Exp (kWh)]],"")</f>
        <v>3.2824163906841936E-3</v>
      </c>
      <c r="AP101" s="174">
        <f>IFERROR(_xlfn.XLOOKUP($D101,'Modelling New'!$D:$D,'Modelling New'!$AK:$AK),"")</f>
        <v>0.05</v>
      </c>
      <c r="AQ101" s="174">
        <f>IFERROR(_xlfn.XLOOKUP($D101,'Modelling New'!$D:$D,'Modelling New'!$AL:$AL),"")</f>
        <v>0.05</v>
      </c>
      <c r="AR101" s="276">
        <f>IFERROR(_xlfn.XLOOKUP($D101,'Modelling New'!$D:$D,'Modelling New'!$N:$N),"")</f>
        <v>70.2</v>
      </c>
      <c r="AS101" s="276"/>
    </row>
    <row r="102" spans="1:45">
      <c r="A102" s="165">
        <f t="shared" si="11"/>
        <v>45845</v>
      </c>
      <c r="B102" s="166">
        <f>YEAR(Table13[[#This Row],[Date]])+IF(MONTH(Table13[[#This Row],[Date]])&gt;=4,1,0)</f>
        <v>2026</v>
      </c>
      <c r="C102" s="167">
        <f>YEAR(Table13[[#This Row],[Date]])</f>
        <v>2025</v>
      </c>
      <c r="D102" s="168">
        <f>Table13[[#This Row],[Date]]-DAY(Table13[[#This Row],[Date]])+1</f>
        <v>45839</v>
      </c>
      <c r="E102" s="167">
        <f t="shared" si="8"/>
        <v>31</v>
      </c>
      <c r="F102" s="169"/>
      <c r="G102" s="170"/>
      <c r="H102" s="170"/>
      <c r="I102" s="170"/>
      <c r="J102" s="170"/>
      <c r="K102" s="171"/>
      <c r="L102" s="170"/>
      <c r="M102" s="170">
        <f>IFERROR(_xlfn.XLOOKUP($A102,Input_Raw!$A:$A,Input_Raw!BG:BG),"")</f>
        <v>7.7634439343385679</v>
      </c>
      <c r="N102" s="170">
        <f>IFERROR(_xlfn.XLOOKUP($A102,Input_Raw!$A:$A,Input_Raw!BH:BH),"")</f>
        <v>0</v>
      </c>
      <c r="O102" s="173">
        <f t="shared" si="9"/>
        <v>0.90544111434227592</v>
      </c>
      <c r="P102" s="173">
        <f>IFERROR(1-SUMIF(WTG_BD!$F:$F,$A102,WTG_BD!$AA:$AA)/($AA102+SUMIF(WTG_BD!$F:$F,$A102,WTG_BD!$AA:$AA)),"")</f>
        <v>0.91560212135571373</v>
      </c>
      <c r="Q102" s="173">
        <f>IFERROR(1-SUMIF(IGA_BD!$F:$F,$A102,IGA_BD!$X:$X)/($AA102+SUMIF(IGA_BD!$F:$F,$A102,IGA_BD!$X:$X)),"")</f>
        <v>0.9889023771609522</v>
      </c>
      <c r="R102" s="173">
        <f>IFERROR(1-SUMIF(Grid_BD!$F:$F,$A102,Grid_BD!$Y:$Y)/($AA102+SUMIF(Grid_BD!$F:$F,$A102,Grid_BD!$Y:$Y)),"")</f>
        <v>1</v>
      </c>
      <c r="S102" s="167"/>
      <c r="T102" s="172"/>
      <c r="U102" s="173"/>
      <c r="V102" s="167"/>
      <c r="W102" s="174">
        <f t="shared" si="10"/>
        <v>0.49412393162393153</v>
      </c>
      <c r="X102" s="167">
        <f>IFERROR(_xlfn.XLOOKUP($A102,Input_Raw!$A:$A,Input_Raw!$BF:$BF),"")</f>
        <v>857288</v>
      </c>
      <c r="Y102" s="167">
        <f>IFERROR(_xlfn.XLOOKUP($A102,Input_Raw!$A:$A,Input_Raw!BJ:BJ),"")</f>
        <v>832500</v>
      </c>
      <c r="Z102" s="167">
        <f>IFERROR(_xlfn.XLOOKUP($A102,Input_Raw!$A:$A,Input_Raw!BK:BK),"")</f>
        <v>0</v>
      </c>
      <c r="AA102" s="167">
        <f>IFERROR(_xlfn.XLOOKUP($A102,Input_Raw!$A:$A,Input_Raw!BL:BL),"")</f>
        <v>832500</v>
      </c>
      <c r="AB102" s="167">
        <f>IFERROR(_xlfn.XLOOKUP($A102,Input_Raw!$A:$A,Input_Raw!$BO:$BO),"")</f>
        <v>70.2</v>
      </c>
      <c r="AC102" s="176">
        <f>IFERROR(_xlfn.XLOOKUP($D102,'Modelling New'!$D:$D,'Modelling New'!$J:$J),"")</f>
        <v>8.18</v>
      </c>
      <c r="AD102" s="166">
        <f>IFERROR(_xlfn.XLOOKUP($D102,'Modelling New'!$D:$D,'Modelling New'!$T:$T)*1000,"")</f>
        <v>963883.16796059138</v>
      </c>
      <c r="AE102" s="174"/>
      <c r="AF102" s="174">
        <f>IFERROR(_xlfn.XLOOKUP($D102,'Modelling New'!$D:$D,'Modelling New'!$W:$W),"")</f>
        <v>0.57210539408867012</v>
      </c>
      <c r="AG102" s="174">
        <f>IFERROR(_xlfn.XLOOKUP($D102,'Modelling New'!$D:$D,'Modelling New'!$AE:$AE),"")</f>
        <v>0.96029999999999993</v>
      </c>
      <c r="AH102" s="174">
        <f>IFERROR(_xlfn.XLOOKUP($D102,'Modelling New'!$D:$D,'Modelling New'!$AF:$AF),"")</f>
        <v>0.995</v>
      </c>
      <c r="AI102" s="177">
        <f>IFERROR(_xlfn.XLOOKUP($A102,Input_Raw!$A:$A,Input_Raw!$BQ:$BQ),"")</f>
        <v>948.36</v>
      </c>
      <c r="AJ102" s="167"/>
      <c r="AK102" s="167"/>
      <c r="AL102" s="167"/>
      <c r="AM102" s="167"/>
      <c r="AN102" s="175">
        <f>IFERROR(_xlfn.XLOOKUP($A102,Input_Raw!$A:$A,Input_Raw!$BN:$BN),"")</f>
        <v>2.8914437155308368E-2</v>
      </c>
      <c r="AO102" s="174">
        <f>IFERROR((_xlfn.XLOOKUP($A102,'WTG Reactive Power'!$A:$A,'WTG Reactive Power'!$AE:$AE))/Table13[[#This Row],[Gen_Exp (kWh)]],"")</f>
        <v>3.1492800552439791E-3</v>
      </c>
      <c r="AP102" s="174">
        <f>IFERROR(_xlfn.XLOOKUP($D102,'Modelling New'!$D:$D,'Modelling New'!$AK:$AK),"")</f>
        <v>0.05</v>
      </c>
      <c r="AQ102" s="174">
        <f>IFERROR(_xlfn.XLOOKUP($D102,'Modelling New'!$D:$D,'Modelling New'!$AL:$AL),"")</f>
        <v>0.05</v>
      </c>
      <c r="AR102" s="276">
        <f>IFERROR(_xlfn.XLOOKUP($D102,'Modelling New'!$D:$D,'Modelling New'!$N:$N),"")</f>
        <v>70.2</v>
      </c>
      <c r="AS102" s="276"/>
    </row>
    <row r="103" spans="1:45">
      <c r="A103" s="165">
        <f t="shared" si="11"/>
        <v>45846</v>
      </c>
      <c r="B103" s="166">
        <f>YEAR(Table13[[#This Row],[Date]])+IF(MONTH(Table13[[#This Row],[Date]])&gt;=4,1,0)</f>
        <v>2026</v>
      </c>
      <c r="C103" s="167">
        <f>YEAR(Table13[[#This Row],[Date]])</f>
        <v>2025</v>
      </c>
      <c r="D103" s="168">
        <f>Table13[[#This Row],[Date]]-DAY(Table13[[#This Row],[Date]])+1</f>
        <v>45839</v>
      </c>
      <c r="E103" s="167">
        <f t="shared" si="8"/>
        <v>31</v>
      </c>
      <c r="F103" s="169"/>
      <c r="G103" s="176"/>
      <c r="H103" s="176"/>
      <c r="I103" s="176"/>
      <c r="J103" s="176"/>
      <c r="K103" s="171"/>
      <c r="L103" s="170"/>
      <c r="M103" s="170">
        <f>IFERROR(_xlfn.XLOOKUP($A103,Input_Raw!$A:$A,Input_Raw!BG:BG),"")</f>
        <v>6.8320348464566667</v>
      </c>
      <c r="N103" s="170">
        <f>IFERROR(_xlfn.XLOOKUP($A103,Input_Raw!$A:$A,Input_Raw!BH:BH),"")</f>
        <v>0</v>
      </c>
      <c r="O103" s="173">
        <f t="shared" si="9"/>
        <v>0.93908615972231113</v>
      </c>
      <c r="P103" s="173">
        <f>IFERROR(1-SUMIF(WTG_BD!$F:$F,$A103,WTG_BD!$AA:$AA)/($AA103+SUMIF(WTG_BD!$F:$F,$A103,WTG_BD!$AA:$AA)),"")</f>
        <v>0.93908615972231113</v>
      </c>
      <c r="Q103" s="173">
        <f>IFERROR(1-SUMIF(IGA_BD!$F:$F,$A103,IGA_BD!$X:$X)/($AA103+SUMIF(IGA_BD!$F:$F,$A103,IGA_BD!$X:$X)),"")</f>
        <v>1</v>
      </c>
      <c r="R103" s="173">
        <f>IFERROR(1-SUMIF(Grid_BD!$F:$F,$A103,Grid_BD!$Y:$Y)/($AA103+SUMIF(Grid_BD!$F:$F,$A103,Grid_BD!$Y:$Y)),"")</f>
        <v>1</v>
      </c>
      <c r="S103" s="167"/>
      <c r="T103" s="172"/>
      <c r="U103" s="173"/>
      <c r="V103" s="167"/>
      <c r="W103" s="174">
        <f t="shared" si="10"/>
        <v>0.37847222222222215</v>
      </c>
      <c r="X103" s="167">
        <f>IFERROR(_xlfn.XLOOKUP($A103,Input_Raw!$A:$A,Input_Raw!$BF:$BF),"")</f>
        <v>653417</v>
      </c>
      <c r="Y103" s="167">
        <f>IFERROR(_xlfn.XLOOKUP($A103,Input_Raw!$A:$A,Input_Raw!BJ:BJ),"")</f>
        <v>637650</v>
      </c>
      <c r="Z103" s="167">
        <f>IFERROR(_xlfn.XLOOKUP($A103,Input_Raw!$A:$A,Input_Raw!BK:BK),"")</f>
        <v>0</v>
      </c>
      <c r="AA103" s="167">
        <f>IFERROR(_xlfn.XLOOKUP($A103,Input_Raw!$A:$A,Input_Raw!BL:BL),"")</f>
        <v>637650</v>
      </c>
      <c r="AB103" s="167">
        <f>IFERROR(_xlfn.XLOOKUP($A103,Input_Raw!$A:$A,Input_Raw!$BO:$BO),"")</f>
        <v>70.2</v>
      </c>
      <c r="AC103" s="176">
        <f>IFERROR(_xlfn.XLOOKUP($D103,'Modelling New'!$D:$D,'Modelling New'!$J:$J),"")</f>
        <v>8.18</v>
      </c>
      <c r="AD103" s="166">
        <f>IFERROR(_xlfn.XLOOKUP($D103,'Modelling New'!$D:$D,'Modelling New'!$T:$T)*1000,"")</f>
        <v>963883.16796059138</v>
      </c>
      <c r="AE103" s="174"/>
      <c r="AF103" s="174">
        <f>IFERROR(_xlfn.XLOOKUP($D103,'Modelling New'!$D:$D,'Modelling New'!$W:$W),"")</f>
        <v>0.57210539408867012</v>
      </c>
      <c r="AG103" s="174">
        <f>IFERROR(_xlfn.XLOOKUP($D103,'Modelling New'!$D:$D,'Modelling New'!$AE:$AE),"")</f>
        <v>0.96029999999999993</v>
      </c>
      <c r="AH103" s="174">
        <f>IFERROR(_xlfn.XLOOKUP($D103,'Modelling New'!$D:$D,'Modelling New'!$AF:$AF),"")</f>
        <v>0.995</v>
      </c>
      <c r="AI103" s="177">
        <f>IFERROR(_xlfn.XLOOKUP($A103,Input_Raw!$A:$A,Input_Raw!$BQ:$BQ),"")</f>
        <v>712.07</v>
      </c>
      <c r="AJ103" s="167"/>
      <c r="AK103" s="167"/>
      <c r="AL103" s="167"/>
      <c r="AM103" s="167"/>
      <c r="AN103" s="175">
        <f>IFERROR(_xlfn.XLOOKUP($A103,Input_Raw!$A:$A,Input_Raw!$BN:$BN),"")</f>
        <v>2.4130073138592965E-2</v>
      </c>
      <c r="AO103" s="174">
        <f>IFERROR((_xlfn.XLOOKUP($A103,'WTG Reactive Power'!$A:$A,'WTG Reactive Power'!$AE:$AE))/Table13[[#This Row],[Gen_Exp (kWh)]],"")</f>
        <v>2.7547186559272259E-3</v>
      </c>
      <c r="AP103" s="174">
        <f>IFERROR(_xlfn.XLOOKUP($D103,'Modelling New'!$D:$D,'Modelling New'!$AK:$AK),"")</f>
        <v>0.05</v>
      </c>
      <c r="AQ103" s="174">
        <f>IFERROR(_xlfn.XLOOKUP($D103,'Modelling New'!$D:$D,'Modelling New'!$AL:$AL),"")</f>
        <v>0.05</v>
      </c>
      <c r="AR103" s="276">
        <f>IFERROR(_xlfn.XLOOKUP($D103,'Modelling New'!$D:$D,'Modelling New'!$N:$N),"")</f>
        <v>70.2</v>
      </c>
      <c r="AS103" s="276"/>
    </row>
    <row r="104" spans="1:45">
      <c r="A104" s="165">
        <f t="shared" si="11"/>
        <v>45847</v>
      </c>
      <c r="B104" s="166">
        <f>YEAR(Table13[[#This Row],[Date]])+IF(MONTH(Table13[[#This Row],[Date]])&gt;=4,1,0)</f>
        <v>2026</v>
      </c>
      <c r="C104" s="167">
        <f>YEAR(Table13[[#This Row],[Date]])</f>
        <v>2025</v>
      </c>
      <c r="D104" s="168">
        <f>Table13[[#This Row],[Date]]-DAY(Table13[[#This Row],[Date]])+1</f>
        <v>45839</v>
      </c>
      <c r="E104" s="167">
        <f t="shared" si="8"/>
        <v>31</v>
      </c>
      <c r="F104" s="169"/>
      <c r="G104" s="170"/>
      <c r="H104" s="170"/>
      <c r="I104" s="170"/>
      <c r="J104" s="170"/>
      <c r="K104" s="171"/>
      <c r="L104" s="170"/>
      <c r="M104" s="170">
        <f>IFERROR(_xlfn.XLOOKUP($A104,Input_Raw!$A:$A,Input_Raw!BG:BG),"")</f>
        <v>7.0872809802874519</v>
      </c>
      <c r="N104" s="170">
        <f>IFERROR(_xlfn.XLOOKUP($A104,Input_Raw!$A:$A,Input_Raw!BH:BH),"")</f>
        <v>0</v>
      </c>
      <c r="O104" s="173">
        <f t="shared" si="9"/>
        <v>0.99048224723750888</v>
      </c>
      <c r="P104" s="173">
        <f>IFERROR(1-SUMIF(WTG_BD!$F:$F,$A104,WTG_BD!$AA:$AA)/($AA104+SUMIF(WTG_BD!$F:$F,$A104,WTG_BD!$AA:$AA)),"")</f>
        <v>0.99048224723750888</v>
      </c>
      <c r="Q104" s="173">
        <f>IFERROR(1-SUMIF(IGA_BD!$F:$F,$A104,IGA_BD!$X:$X)/($AA104+SUMIF(IGA_BD!$F:$F,$A104,IGA_BD!$X:$X)),"")</f>
        <v>1</v>
      </c>
      <c r="R104" s="173">
        <f>IFERROR(1-SUMIF(Grid_BD!$F:$F,$A104,Grid_BD!$Y:$Y)/($AA104+SUMIF(Grid_BD!$F:$F,$A104,Grid_BD!$Y:$Y)),"")</f>
        <v>1</v>
      </c>
      <c r="S104" s="167"/>
      <c r="T104" s="172"/>
      <c r="U104" s="173"/>
      <c r="V104" s="167"/>
      <c r="W104" s="174">
        <f t="shared" si="10"/>
        <v>0.44791666666666663</v>
      </c>
      <c r="X104" s="167">
        <f>IFERROR(_xlfn.XLOOKUP($A104,Input_Raw!$A:$A,Input_Raw!$BF:$BF),"")</f>
        <v>776427</v>
      </c>
      <c r="Y104" s="167">
        <f>IFERROR(_xlfn.XLOOKUP($A104,Input_Raw!$A:$A,Input_Raw!BJ:BJ),"")</f>
        <v>754650</v>
      </c>
      <c r="Z104" s="167">
        <f>IFERROR(_xlfn.XLOOKUP($A104,Input_Raw!$A:$A,Input_Raw!BK:BK),"")</f>
        <v>0</v>
      </c>
      <c r="AA104" s="167">
        <f>IFERROR(_xlfn.XLOOKUP($A104,Input_Raw!$A:$A,Input_Raw!BL:BL),"")</f>
        <v>754650</v>
      </c>
      <c r="AB104" s="167">
        <f>IFERROR(_xlfn.XLOOKUP($A104,Input_Raw!$A:$A,Input_Raw!$BO:$BO),"")</f>
        <v>70.2</v>
      </c>
      <c r="AC104" s="176">
        <f>IFERROR(_xlfn.XLOOKUP($D104,'Modelling New'!$D:$D,'Modelling New'!$J:$J),"")</f>
        <v>8.18</v>
      </c>
      <c r="AD104" s="166">
        <f>IFERROR(_xlfn.XLOOKUP($D104,'Modelling New'!$D:$D,'Modelling New'!$T:$T)*1000,"")</f>
        <v>963883.16796059138</v>
      </c>
      <c r="AE104" s="174"/>
      <c r="AF104" s="174">
        <f>IFERROR(_xlfn.XLOOKUP($D104,'Modelling New'!$D:$D,'Modelling New'!$W:$W),"")</f>
        <v>0.57210539408867012</v>
      </c>
      <c r="AG104" s="174">
        <f>IFERROR(_xlfn.XLOOKUP($D104,'Modelling New'!$D:$D,'Modelling New'!$AE:$AE),"")</f>
        <v>0.96029999999999993</v>
      </c>
      <c r="AH104" s="174">
        <f>IFERROR(_xlfn.XLOOKUP($D104,'Modelling New'!$D:$D,'Modelling New'!$AF:$AF),"")</f>
        <v>0.995</v>
      </c>
      <c r="AI104" s="177">
        <f>IFERROR(_xlfn.XLOOKUP($A104,Input_Raw!$A:$A,Input_Raw!$BQ:$BQ),"")</f>
        <v>814.18</v>
      </c>
      <c r="AJ104" s="167"/>
      <c r="AK104" s="167"/>
      <c r="AL104" s="167"/>
      <c r="AM104" s="167"/>
      <c r="AN104" s="175">
        <f>IFERROR(_xlfn.XLOOKUP($A104,Input_Raw!$A:$A,Input_Raw!$BN:$BN),"")</f>
        <v>2.8047710860132375E-2</v>
      </c>
      <c r="AO104" s="174">
        <f>IFERROR((_xlfn.XLOOKUP($A104,'WTG Reactive Power'!$A:$A,'WTG Reactive Power'!$AE:$AE))/Table13[[#This Row],[Gen_Exp (kWh)]],"")</f>
        <v>9.5630059232870587E-2</v>
      </c>
      <c r="AP104" s="174">
        <f>IFERROR(_xlfn.XLOOKUP($D104,'Modelling New'!$D:$D,'Modelling New'!$AK:$AK),"")</f>
        <v>0.05</v>
      </c>
      <c r="AQ104" s="174">
        <f>IFERROR(_xlfn.XLOOKUP($D104,'Modelling New'!$D:$D,'Modelling New'!$AL:$AL),"")</f>
        <v>0.05</v>
      </c>
      <c r="AR104" s="276">
        <f>IFERROR(_xlfn.XLOOKUP($D104,'Modelling New'!$D:$D,'Modelling New'!$N:$N),"")</f>
        <v>70.2</v>
      </c>
      <c r="AS104" s="276"/>
    </row>
    <row r="105" spans="1:45">
      <c r="A105" s="165">
        <f t="shared" si="11"/>
        <v>45848</v>
      </c>
      <c r="B105" s="166">
        <f>YEAR(Table13[[#This Row],[Date]])+IF(MONTH(Table13[[#This Row],[Date]])&gt;=4,1,0)</f>
        <v>2026</v>
      </c>
      <c r="C105" s="167">
        <f>YEAR(Table13[[#This Row],[Date]])</f>
        <v>2025</v>
      </c>
      <c r="D105" s="168">
        <f>Table13[[#This Row],[Date]]-DAY(Table13[[#This Row],[Date]])+1</f>
        <v>45839</v>
      </c>
      <c r="E105" s="167">
        <f t="shared" si="8"/>
        <v>31</v>
      </c>
      <c r="F105" s="169"/>
      <c r="G105" s="176"/>
      <c r="H105" s="176"/>
      <c r="I105" s="176"/>
      <c r="J105" s="176"/>
      <c r="K105" s="171"/>
      <c r="L105" s="170"/>
      <c r="M105" s="170">
        <f>IFERROR(_xlfn.XLOOKUP($A105,Input_Raw!$A:$A,Input_Raw!BG:BG),"")</f>
        <v>5.7260763891295987</v>
      </c>
      <c r="N105" s="170">
        <f>IFERROR(_xlfn.XLOOKUP($A105,Input_Raw!$A:$A,Input_Raw!BH:BH),"")</f>
        <v>0</v>
      </c>
      <c r="O105" s="173">
        <f t="shared" si="9"/>
        <v>0.97593395935670835</v>
      </c>
      <c r="P105" s="173">
        <f>IFERROR(1-SUMIF(WTG_BD!$F:$F,$A105,WTG_BD!$AA:$AA)/($AA105+SUMIF(WTG_BD!$F:$F,$A105,WTG_BD!$AA:$AA)),"")</f>
        <v>0.97593395935670835</v>
      </c>
      <c r="Q105" s="173">
        <f>IFERROR(1-SUMIF(IGA_BD!$F:$F,$A105,IGA_BD!$X:$X)/($AA105+SUMIF(IGA_BD!$F:$F,$A105,IGA_BD!$X:$X)),"")</f>
        <v>1</v>
      </c>
      <c r="R105" s="173">
        <f>IFERROR(1-SUMIF(Grid_BD!$F:$F,$A105,Grid_BD!$Y:$Y)/($AA105+SUMIF(Grid_BD!$F:$F,$A105,Grid_BD!$Y:$Y)),"")</f>
        <v>1</v>
      </c>
      <c r="S105" s="167"/>
      <c r="T105" s="172"/>
      <c r="U105" s="173"/>
      <c r="V105" s="167"/>
      <c r="W105" s="174">
        <f t="shared" si="10"/>
        <v>0.25267094017094016</v>
      </c>
      <c r="X105" s="167">
        <f>IFERROR(_xlfn.XLOOKUP($A105,Input_Raw!$A:$A,Input_Raw!$BF:$BF),"")</f>
        <v>436144</v>
      </c>
      <c r="Y105" s="167">
        <f>IFERROR(_xlfn.XLOOKUP($A105,Input_Raw!$A:$A,Input_Raw!BJ:BJ),"")</f>
        <v>425700</v>
      </c>
      <c r="Z105" s="167">
        <f>IFERROR(_xlfn.XLOOKUP($A105,Input_Raw!$A:$A,Input_Raw!BK:BK),"")</f>
        <v>0</v>
      </c>
      <c r="AA105" s="167">
        <f>IFERROR(_xlfn.XLOOKUP($A105,Input_Raw!$A:$A,Input_Raw!BL:BL),"")</f>
        <v>425700</v>
      </c>
      <c r="AB105" s="167">
        <f>IFERROR(_xlfn.XLOOKUP($A105,Input_Raw!$A:$A,Input_Raw!$BO:$BO),"")</f>
        <v>70.2</v>
      </c>
      <c r="AC105" s="176">
        <f>IFERROR(_xlfn.XLOOKUP($D105,'Modelling New'!$D:$D,'Modelling New'!$J:$J),"")</f>
        <v>8.18</v>
      </c>
      <c r="AD105" s="166">
        <f>IFERROR(_xlfn.XLOOKUP($D105,'Modelling New'!$D:$D,'Modelling New'!$T:$T)*1000,"")</f>
        <v>963883.16796059138</v>
      </c>
      <c r="AE105" s="174"/>
      <c r="AF105" s="174">
        <f>IFERROR(_xlfn.XLOOKUP($D105,'Modelling New'!$D:$D,'Modelling New'!$W:$W),"")</f>
        <v>0.57210539408867012</v>
      </c>
      <c r="AG105" s="174">
        <f>IFERROR(_xlfn.XLOOKUP($D105,'Modelling New'!$D:$D,'Modelling New'!$AE:$AE),"")</f>
        <v>0.96029999999999993</v>
      </c>
      <c r="AH105" s="174">
        <f>IFERROR(_xlfn.XLOOKUP($D105,'Modelling New'!$D:$D,'Modelling New'!$AF:$AF),"")</f>
        <v>0.995</v>
      </c>
      <c r="AI105" s="177">
        <f>IFERROR(_xlfn.XLOOKUP($A105,Input_Raw!$A:$A,Input_Raw!$BQ:$BQ),"")</f>
        <v>462.9</v>
      </c>
      <c r="AJ105" s="167"/>
      <c r="AK105" s="167"/>
      <c r="AL105" s="167"/>
      <c r="AM105" s="167"/>
      <c r="AN105" s="175">
        <f>IFERROR(_xlfn.XLOOKUP($A105,Input_Raw!$A:$A,Input_Raw!$BN:$BN),"")</f>
        <v>2.3946219597197255E-2</v>
      </c>
      <c r="AO105" s="174">
        <f>IFERROR((_xlfn.XLOOKUP($A105,'WTG Reactive Power'!$A:$A,'WTG Reactive Power'!$AE:$AE))/Table13[[#This Row],[Gen_Exp (kWh)]],"")</f>
        <v>1.0317280531200707E-2</v>
      </c>
      <c r="AP105" s="174">
        <f>IFERROR(_xlfn.XLOOKUP($D105,'Modelling New'!$D:$D,'Modelling New'!$AK:$AK),"")</f>
        <v>0.05</v>
      </c>
      <c r="AQ105" s="174">
        <f>IFERROR(_xlfn.XLOOKUP($D105,'Modelling New'!$D:$D,'Modelling New'!$AL:$AL),"")</f>
        <v>0.05</v>
      </c>
      <c r="AR105" s="276">
        <f>IFERROR(_xlfn.XLOOKUP($D105,'Modelling New'!$D:$D,'Modelling New'!$N:$N),"")</f>
        <v>70.2</v>
      </c>
      <c r="AS105" s="276"/>
    </row>
    <row r="106" spans="1:45">
      <c r="A106" s="165">
        <f t="shared" si="11"/>
        <v>45849</v>
      </c>
      <c r="B106" s="166">
        <f>YEAR(Table13[[#This Row],[Date]])+IF(MONTH(Table13[[#This Row],[Date]])&gt;=4,1,0)</f>
        <v>2026</v>
      </c>
      <c r="C106" s="167">
        <f>YEAR(Table13[[#This Row],[Date]])</f>
        <v>2025</v>
      </c>
      <c r="D106" s="168">
        <f>Table13[[#This Row],[Date]]-DAY(Table13[[#This Row],[Date]])+1</f>
        <v>45839</v>
      </c>
      <c r="E106" s="167">
        <f t="shared" si="8"/>
        <v>31</v>
      </c>
      <c r="F106" s="169"/>
      <c r="G106" s="170"/>
      <c r="H106" s="170"/>
      <c r="I106" s="170"/>
      <c r="J106" s="170"/>
      <c r="K106" s="171"/>
      <c r="L106" s="170"/>
      <c r="M106" s="170">
        <f>IFERROR(_xlfn.XLOOKUP($A106,Input_Raw!$A:$A,Input_Raw!BG:BG),"")</f>
        <v>6.116548803051848</v>
      </c>
      <c r="N106" s="170">
        <f>IFERROR(_xlfn.XLOOKUP($A106,Input_Raw!$A:$A,Input_Raw!BH:BH),"")</f>
        <v>0</v>
      </c>
      <c r="O106" s="173">
        <f t="shared" si="9"/>
        <v>0.98575455749724428</v>
      </c>
      <c r="P106" s="173">
        <f>IFERROR(1-SUMIF(WTG_BD!$F:$F,$A106,WTG_BD!$AA:$AA)/($AA106+SUMIF(WTG_BD!$F:$F,$A106,WTG_BD!$AA:$AA)),"")</f>
        <v>0.98575455749724428</v>
      </c>
      <c r="Q106" s="173">
        <f>IFERROR(1-SUMIF(IGA_BD!$F:$F,$A106,IGA_BD!$X:$X)/($AA106+SUMIF(IGA_BD!$F:$F,$A106,IGA_BD!$X:$X)),"")</f>
        <v>1</v>
      </c>
      <c r="R106" s="173">
        <f>IFERROR(1-SUMIF(Grid_BD!$F:$F,$A106,Grid_BD!$Y:$Y)/($AA106+SUMIF(Grid_BD!$F:$F,$A106,Grid_BD!$Y:$Y)),"")</f>
        <v>1</v>
      </c>
      <c r="S106" s="167"/>
      <c r="T106" s="172"/>
      <c r="U106" s="173"/>
      <c r="V106" s="167"/>
      <c r="W106" s="174">
        <f t="shared" si="10"/>
        <v>0.29727564102564097</v>
      </c>
      <c r="X106" s="167">
        <f>IFERROR(_xlfn.XLOOKUP($A106,Input_Raw!$A:$A,Input_Raw!$BF:$BF),"")</f>
        <v>513512</v>
      </c>
      <c r="Y106" s="167">
        <f>IFERROR(_xlfn.XLOOKUP($A106,Input_Raw!$A:$A,Input_Raw!BJ:BJ),"")</f>
        <v>500850</v>
      </c>
      <c r="Z106" s="167">
        <f>IFERROR(_xlfn.XLOOKUP($A106,Input_Raw!$A:$A,Input_Raw!BK:BK),"")</f>
        <v>0</v>
      </c>
      <c r="AA106" s="167">
        <f>IFERROR(_xlfn.XLOOKUP($A106,Input_Raw!$A:$A,Input_Raw!BL:BL),"")</f>
        <v>500850</v>
      </c>
      <c r="AB106" s="167">
        <f>IFERROR(_xlfn.XLOOKUP($A106,Input_Raw!$A:$A,Input_Raw!$BO:$BO),"")</f>
        <v>70.2</v>
      </c>
      <c r="AC106" s="176">
        <f>IFERROR(_xlfn.XLOOKUP($D106,'Modelling New'!$D:$D,'Modelling New'!$J:$J),"")</f>
        <v>8.18</v>
      </c>
      <c r="AD106" s="166">
        <f>IFERROR(_xlfn.XLOOKUP($D106,'Modelling New'!$D:$D,'Modelling New'!$T:$T)*1000,"")</f>
        <v>963883.16796059138</v>
      </c>
      <c r="AE106" s="174"/>
      <c r="AF106" s="174">
        <f>IFERROR(_xlfn.XLOOKUP($D106,'Modelling New'!$D:$D,'Modelling New'!$W:$W),"")</f>
        <v>0.57210539408867012</v>
      </c>
      <c r="AG106" s="174">
        <f>IFERROR(_xlfn.XLOOKUP($D106,'Modelling New'!$D:$D,'Modelling New'!$AE:$AE),"")</f>
        <v>0.96029999999999993</v>
      </c>
      <c r="AH106" s="174">
        <f>IFERROR(_xlfn.XLOOKUP($D106,'Modelling New'!$D:$D,'Modelling New'!$AF:$AF),"")</f>
        <v>0.995</v>
      </c>
      <c r="AI106" s="177">
        <f>IFERROR(_xlfn.XLOOKUP($A106,Input_Raw!$A:$A,Input_Raw!$BQ:$BQ),"")</f>
        <v>536.44000000000005</v>
      </c>
      <c r="AJ106" s="167"/>
      <c r="AK106" s="167"/>
      <c r="AL106" s="167"/>
      <c r="AM106" s="167"/>
      <c r="AN106" s="175">
        <f>IFERROR(_xlfn.XLOOKUP($A106,Input_Raw!$A:$A,Input_Raw!$BN:$BN),"")</f>
        <v>2.4657651622552151E-2</v>
      </c>
      <c r="AO106" s="174">
        <f>IFERROR((_xlfn.XLOOKUP($A106,'WTG Reactive Power'!$A:$A,'WTG Reactive Power'!$AE:$AE))/Table13[[#This Row],[Gen_Exp (kWh)]],"")</f>
        <v>2.6287993269874903E-3</v>
      </c>
      <c r="AP106" s="174">
        <f>IFERROR(_xlfn.XLOOKUP($D106,'Modelling New'!$D:$D,'Modelling New'!$AK:$AK),"")</f>
        <v>0.05</v>
      </c>
      <c r="AQ106" s="174">
        <f>IFERROR(_xlfn.XLOOKUP($D106,'Modelling New'!$D:$D,'Modelling New'!$AL:$AL),"")</f>
        <v>0.05</v>
      </c>
      <c r="AR106" s="276">
        <f>IFERROR(_xlfn.XLOOKUP($D106,'Modelling New'!$D:$D,'Modelling New'!$N:$N),"")</f>
        <v>70.2</v>
      </c>
      <c r="AS106" s="276"/>
    </row>
    <row r="107" spans="1:45">
      <c r="A107" s="165">
        <f t="shared" si="11"/>
        <v>45850</v>
      </c>
      <c r="B107" s="166">
        <f>YEAR(Table13[[#This Row],[Date]])+IF(MONTH(Table13[[#This Row],[Date]])&gt;=4,1,0)</f>
        <v>2026</v>
      </c>
      <c r="C107" s="167">
        <f>YEAR(Table13[[#This Row],[Date]])</f>
        <v>2025</v>
      </c>
      <c r="D107" s="168">
        <f>Table13[[#This Row],[Date]]-DAY(Table13[[#This Row],[Date]])+1</f>
        <v>45839</v>
      </c>
      <c r="E107" s="167">
        <f t="shared" si="8"/>
        <v>31</v>
      </c>
      <c r="F107" s="169"/>
      <c r="G107" s="176"/>
      <c r="H107" s="176"/>
      <c r="I107" s="176"/>
      <c r="J107" s="176"/>
      <c r="K107" s="171"/>
      <c r="L107" s="170"/>
      <c r="M107" s="170">
        <f>IFERROR(_xlfn.XLOOKUP($A107,Input_Raw!$A:$A,Input_Raw!BG:BG),"")</f>
        <v>6.0700565171497436</v>
      </c>
      <c r="N107" s="170">
        <f>IFERROR(_xlfn.XLOOKUP($A107,Input_Raw!$A:$A,Input_Raw!BH:BH),"")</f>
        <v>0</v>
      </c>
      <c r="O107" s="173">
        <f t="shared" si="9"/>
        <v>0.97506058262405659</v>
      </c>
      <c r="P107" s="173">
        <f>IFERROR(1-SUMIF(WTG_BD!$F:$F,$A107,WTG_BD!$AA:$AA)/($AA107+SUMIF(WTG_BD!$F:$F,$A107,WTG_BD!$AA:$AA)),"")</f>
        <v>0.97810494584065988</v>
      </c>
      <c r="Q107" s="173">
        <f>IFERROR(1-SUMIF(IGA_BD!$F:$F,$A107,IGA_BD!$X:$X)/($AA107+SUMIF(IGA_BD!$F:$F,$A107,IGA_BD!$X:$X)),"")</f>
        <v>0.99688748816826944</v>
      </c>
      <c r="R107" s="173">
        <f>IFERROR(1-SUMIF(Grid_BD!$F:$F,$A107,Grid_BD!$Y:$Y)/($AA107+SUMIF(Grid_BD!$F:$F,$A107,Grid_BD!$Y:$Y)),"")</f>
        <v>1</v>
      </c>
      <c r="S107" s="167"/>
      <c r="T107" s="172"/>
      <c r="U107" s="173"/>
      <c r="V107" s="167"/>
      <c r="W107" s="174">
        <f t="shared" si="10"/>
        <v>0.28685897435897434</v>
      </c>
      <c r="X107" s="167">
        <f>IFERROR(_xlfn.XLOOKUP($A107,Input_Raw!$A:$A,Input_Raw!$BF:$BF),"")</f>
        <v>494521</v>
      </c>
      <c r="Y107" s="167">
        <f>IFERROR(_xlfn.XLOOKUP($A107,Input_Raw!$A:$A,Input_Raw!BJ:BJ),"")</f>
        <v>483300</v>
      </c>
      <c r="Z107" s="167">
        <f>IFERROR(_xlfn.XLOOKUP($A107,Input_Raw!$A:$A,Input_Raw!BK:BK),"")</f>
        <v>0</v>
      </c>
      <c r="AA107" s="167">
        <f>IFERROR(_xlfn.XLOOKUP($A107,Input_Raw!$A:$A,Input_Raw!BL:BL),"")</f>
        <v>483300</v>
      </c>
      <c r="AB107" s="167">
        <f>IFERROR(_xlfn.XLOOKUP($A107,Input_Raw!$A:$A,Input_Raw!$BO:$BO),"")</f>
        <v>70.2</v>
      </c>
      <c r="AC107" s="176">
        <f>IFERROR(_xlfn.XLOOKUP($D107,'Modelling New'!$D:$D,'Modelling New'!$J:$J),"")</f>
        <v>8.18</v>
      </c>
      <c r="AD107" s="166">
        <f>IFERROR(_xlfn.XLOOKUP($D107,'Modelling New'!$D:$D,'Modelling New'!$T:$T)*1000,"")</f>
        <v>963883.16796059138</v>
      </c>
      <c r="AE107" s="174"/>
      <c r="AF107" s="174">
        <f>IFERROR(_xlfn.XLOOKUP($D107,'Modelling New'!$D:$D,'Modelling New'!$W:$W),"")</f>
        <v>0.57210539408867012</v>
      </c>
      <c r="AG107" s="174">
        <f>IFERROR(_xlfn.XLOOKUP($D107,'Modelling New'!$D:$D,'Modelling New'!$AE:$AE),"")</f>
        <v>0.96029999999999993</v>
      </c>
      <c r="AH107" s="174">
        <f>IFERROR(_xlfn.XLOOKUP($D107,'Modelling New'!$D:$D,'Modelling New'!$AF:$AF),"")</f>
        <v>0.995</v>
      </c>
      <c r="AI107" s="177">
        <f>IFERROR(_xlfn.XLOOKUP($A107,Input_Raw!$A:$A,Input_Raw!$BQ:$BQ),"")</f>
        <v>520.01</v>
      </c>
      <c r="AJ107" s="167"/>
      <c r="AK107" s="167"/>
      <c r="AL107" s="167"/>
      <c r="AM107" s="167"/>
      <c r="AN107" s="175">
        <f>IFERROR(_xlfn.XLOOKUP($A107,Input_Raw!$A:$A,Input_Raw!$BN:$BN),"")</f>
        <v>2.2690644077804582E-2</v>
      </c>
      <c r="AO107" s="174">
        <f>IFERROR((_xlfn.XLOOKUP($A107,'WTG Reactive Power'!$A:$A,'WTG Reactive Power'!$AE:$AE))/Table13[[#This Row],[Gen_Exp (kWh)]],"")</f>
        <v>1.819659832443921E-3</v>
      </c>
      <c r="AP107" s="174">
        <f>IFERROR(_xlfn.XLOOKUP($D107,'Modelling New'!$D:$D,'Modelling New'!$AK:$AK),"")</f>
        <v>0.05</v>
      </c>
      <c r="AQ107" s="174">
        <f>IFERROR(_xlfn.XLOOKUP($D107,'Modelling New'!$D:$D,'Modelling New'!$AL:$AL),"")</f>
        <v>0.05</v>
      </c>
      <c r="AR107" s="276">
        <f>IFERROR(_xlfn.XLOOKUP($D107,'Modelling New'!$D:$D,'Modelling New'!$N:$N),"")</f>
        <v>70.2</v>
      </c>
      <c r="AS107" s="276"/>
    </row>
    <row r="108" spans="1:45">
      <c r="A108" s="165">
        <f t="shared" si="11"/>
        <v>45851</v>
      </c>
      <c r="B108" s="166">
        <f>YEAR(Table13[[#This Row],[Date]])+IF(MONTH(Table13[[#This Row],[Date]])&gt;=4,1,0)</f>
        <v>2026</v>
      </c>
      <c r="C108" s="167">
        <f>YEAR(Table13[[#This Row],[Date]])</f>
        <v>2025</v>
      </c>
      <c r="D108" s="168">
        <f>Table13[[#This Row],[Date]]-DAY(Table13[[#This Row],[Date]])+1</f>
        <v>45839</v>
      </c>
      <c r="E108" s="167">
        <f t="shared" si="8"/>
        <v>31</v>
      </c>
      <c r="F108" s="169"/>
      <c r="G108" s="170"/>
      <c r="H108" s="170"/>
      <c r="I108" s="170"/>
      <c r="J108" s="170"/>
      <c r="K108" s="171"/>
      <c r="L108" s="170"/>
      <c r="M108" s="170">
        <f>IFERROR(_xlfn.XLOOKUP($A108,Input_Raw!$A:$A,Input_Raw!BG:BG),"")</f>
        <v>6.7007692307692315</v>
      </c>
      <c r="N108" s="170">
        <f>IFERROR(_xlfn.XLOOKUP($A108,Input_Raw!$A:$A,Input_Raw!BH:BH),"")</f>
        <v>0</v>
      </c>
      <c r="O108" s="173">
        <f t="shared" si="9"/>
        <v>0.94335272867740583</v>
      </c>
      <c r="P108" s="173">
        <f>IFERROR(1-SUMIF(WTG_BD!$F:$F,$A108,WTG_BD!$AA:$AA)/($AA108+SUMIF(WTG_BD!$F:$F,$A108,WTG_BD!$AA:$AA)),"")</f>
        <v>0.99055749848767838</v>
      </c>
      <c r="Q108" s="173">
        <f>IFERROR(1-SUMIF(IGA_BD!$F:$F,$A108,IGA_BD!$X:$X)/($AA108+SUMIF(IGA_BD!$F:$F,$A108,IGA_BD!$X:$X)),"")</f>
        <v>0.95234525014212512</v>
      </c>
      <c r="R108" s="173">
        <f>IFERROR(1-SUMIF(Grid_BD!$F:$F,$A108,Grid_BD!$Y:$Y)/($AA108+SUMIF(Grid_BD!$F:$F,$A108,Grid_BD!$Y:$Y)),"")</f>
        <v>1</v>
      </c>
      <c r="S108" s="167"/>
      <c r="T108" s="172"/>
      <c r="U108" s="173"/>
      <c r="V108" s="167"/>
      <c r="W108" s="174">
        <f t="shared" si="10"/>
        <v>0.35977564102564097</v>
      </c>
      <c r="X108" s="167">
        <f>IFERROR(_xlfn.XLOOKUP($A108,Input_Raw!$A:$A,Input_Raw!$BF:$BF),"")</f>
        <v>620190</v>
      </c>
      <c r="Y108" s="167">
        <f>IFERROR(_xlfn.XLOOKUP($A108,Input_Raw!$A:$A,Input_Raw!BJ:BJ),"")</f>
        <v>606150</v>
      </c>
      <c r="Z108" s="167">
        <f>IFERROR(_xlfn.XLOOKUP($A108,Input_Raw!$A:$A,Input_Raw!BK:BK),"")</f>
        <v>0</v>
      </c>
      <c r="AA108" s="167">
        <f>IFERROR(_xlfn.XLOOKUP($A108,Input_Raw!$A:$A,Input_Raw!BL:BL),"")</f>
        <v>606150</v>
      </c>
      <c r="AB108" s="167">
        <f>IFERROR(_xlfn.XLOOKUP($A108,Input_Raw!$A:$A,Input_Raw!$BO:$BO),"")</f>
        <v>70.2</v>
      </c>
      <c r="AC108" s="176">
        <f>IFERROR(_xlfn.XLOOKUP($D108,'Modelling New'!$D:$D,'Modelling New'!$J:$J),"")</f>
        <v>8.18</v>
      </c>
      <c r="AD108" s="166">
        <f>IFERROR(_xlfn.XLOOKUP($D108,'Modelling New'!$D:$D,'Modelling New'!$T:$T)*1000,"")</f>
        <v>963883.16796059138</v>
      </c>
      <c r="AE108" s="174"/>
      <c r="AF108" s="174">
        <f>IFERROR(_xlfn.XLOOKUP($D108,'Modelling New'!$D:$D,'Modelling New'!$W:$W),"")</f>
        <v>0.57210539408867012</v>
      </c>
      <c r="AG108" s="174">
        <f>IFERROR(_xlfn.XLOOKUP($D108,'Modelling New'!$D:$D,'Modelling New'!$AE:$AE),"")</f>
        <v>0.96029999999999993</v>
      </c>
      <c r="AH108" s="174">
        <f>IFERROR(_xlfn.XLOOKUP($D108,'Modelling New'!$D:$D,'Modelling New'!$AF:$AF),"")</f>
        <v>0.995</v>
      </c>
      <c r="AI108" s="177">
        <f>IFERROR(_xlfn.XLOOKUP($A108,Input_Raw!$A:$A,Input_Raw!$BQ:$BQ),"")</f>
        <v>663.92</v>
      </c>
      <c r="AJ108" s="167"/>
      <c r="AK108" s="167"/>
      <c r="AL108" s="167"/>
      <c r="AM108" s="167"/>
      <c r="AN108" s="175">
        <f>IFERROR(_xlfn.XLOOKUP($A108,Input_Raw!$A:$A,Input_Raw!$BN:$BN),"")</f>
        <v>2.2638223770134958E-2</v>
      </c>
      <c r="AO108" s="174">
        <f>IFERROR((_xlfn.XLOOKUP($A108,'WTG Reactive Power'!$A:$A,'WTG Reactive Power'!$AE:$AE))/Table13[[#This Row],[Gen_Exp (kWh)]],"")</f>
        <v>3.6275657459810704E-3</v>
      </c>
      <c r="AP108" s="174">
        <f>IFERROR(_xlfn.XLOOKUP($D108,'Modelling New'!$D:$D,'Modelling New'!$AK:$AK),"")</f>
        <v>0.05</v>
      </c>
      <c r="AQ108" s="174">
        <f>IFERROR(_xlfn.XLOOKUP($D108,'Modelling New'!$D:$D,'Modelling New'!$AL:$AL),"")</f>
        <v>0.05</v>
      </c>
      <c r="AR108" s="276">
        <f>IFERROR(_xlfn.XLOOKUP($D108,'Modelling New'!$D:$D,'Modelling New'!$N:$N),"")</f>
        <v>70.2</v>
      </c>
      <c r="AS108" s="276"/>
    </row>
    <row r="109" spans="1:45">
      <c r="A109" s="165">
        <f t="shared" si="11"/>
        <v>45852</v>
      </c>
      <c r="B109" s="166">
        <f>YEAR(Table13[[#This Row],[Date]])+IF(MONTH(Table13[[#This Row],[Date]])&gt;=4,1,0)</f>
        <v>2026</v>
      </c>
      <c r="C109" s="167">
        <f>YEAR(Table13[[#This Row],[Date]])</f>
        <v>2025</v>
      </c>
      <c r="D109" s="168">
        <f>Table13[[#This Row],[Date]]-DAY(Table13[[#This Row],[Date]])+1</f>
        <v>45839</v>
      </c>
      <c r="E109" s="167">
        <f t="shared" si="8"/>
        <v>31</v>
      </c>
      <c r="F109" s="169"/>
      <c r="G109" s="176"/>
      <c r="H109" s="176"/>
      <c r="I109" s="176"/>
      <c r="J109" s="176"/>
      <c r="K109" s="171"/>
      <c r="L109" s="170"/>
      <c r="M109" s="170">
        <f>IFERROR(_xlfn.XLOOKUP($A109,Input_Raw!$A:$A,Input_Raw!BG:BG),"")</f>
        <v>7.3103846153846144</v>
      </c>
      <c r="N109" s="170">
        <f>IFERROR(_xlfn.XLOOKUP($A109,Input_Raw!$A:$A,Input_Raw!BH:BH),"")</f>
        <v>0</v>
      </c>
      <c r="O109" s="173">
        <f t="shared" si="9"/>
        <v>0.98989447543657616</v>
      </c>
      <c r="P109" s="173">
        <f>IFERROR(1-SUMIF(WTG_BD!$F:$F,$A109,WTG_BD!$AA:$AA)/($AA109+SUMIF(WTG_BD!$F:$F,$A109,WTG_BD!$AA:$AA)),"")</f>
        <v>0.98989447543657616</v>
      </c>
      <c r="Q109" s="173">
        <f>IFERROR(1-SUMIF(IGA_BD!$F:$F,$A109,IGA_BD!$X:$X)/($AA109+SUMIF(IGA_BD!$F:$F,$A109,IGA_BD!$X:$X)),"")</f>
        <v>1</v>
      </c>
      <c r="R109" s="173">
        <f>IFERROR(1-SUMIF(Grid_BD!$F:$F,$A109,Grid_BD!$Y:$Y)/($AA109+SUMIF(Grid_BD!$F:$F,$A109,Grid_BD!$Y:$Y)),"")</f>
        <v>1</v>
      </c>
      <c r="S109" s="167"/>
      <c r="T109" s="172"/>
      <c r="U109" s="173"/>
      <c r="V109" s="167"/>
      <c r="W109" s="174">
        <f t="shared" si="10"/>
        <v>0.47088675213675207</v>
      </c>
      <c r="X109" s="167">
        <f>IFERROR(_xlfn.XLOOKUP($A109,Input_Raw!$A:$A,Input_Raw!$BF:$BF),"")</f>
        <v>814451</v>
      </c>
      <c r="Y109" s="167">
        <f>IFERROR(_xlfn.XLOOKUP($A109,Input_Raw!$A:$A,Input_Raw!BJ:BJ),"")</f>
        <v>793350</v>
      </c>
      <c r="Z109" s="167">
        <f>IFERROR(_xlfn.XLOOKUP($A109,Input_Raw!$A:$A,Input_Raw!BK:BK),"")</f>
        <v>0</v>
      </c>
      <c r="AA109" s="167">
        <f>IFERROR(_xlfn.XLOOKUP($A109,Input_Raw!$A:$A,Input_Raw!BL:BL),"")</f>
        <v>793350</v>
      </c>
      <c r="AB109" s="167">
        <f>IFERROR(_xlfn.XLOOKUP($A109,Input_Raw!$A:$A,Input_Raw!$BO:$BO),"")</f>
        <v>70.2</v>
      </c>
      <c r="AC109" s="176">
        <f>IFERROR(_xlfn.XLOOKUP($D109,'Modelling New'!$D:$D,'Modelling New'!$J:$J),"")</f>
        <v>8.18</v>
      </c>
      <c r="AD109" s="166">
        <f>IFERROR(_xlfn.XLOOKUP($D109,'Modelling New'!$D:$D,'Modelling New'!$T:$T)*1000,"")</f>
        <v>963883.16796059138</v>
      </c>
      <c r="AE109" s="174"/>
      <c r="AF109" s="174">
        <f>IFERROR(_xlfn.XLOOKUP($D109,'Modelling New'!$D:$D,'Modelling New'!$W:$W),"")</f>
        <v>0.57210539408867012</v>
      </c>
      <c r="AG109" s="174">
        <f>IFERROR(_xlfn.XLOOKUP($D109,'Modelling New'!$D:$D,'Modelling New'!$AE:$AE),"")</f>
        <v>0.96029999999999993</v>
      </c>
      <c r="AH109" s="174">
        <f>IFERROR(_xlfn.XLOOKUP($D109,'Modelling New'!$D:$D,'Modelling New'!$AF:$AF),"")</f>
        <v>0.995</v>
      </c>
      <c r="AI109" s="177">
        <f>IFERROR(_xlfn.XLOOKUP($A109,Input_Raw!$A:$A,Input_Raw!$BQ:$BQ),"")</f>
        <v>845.66</v>
      </c>
      <c r="AJ109" s="167"/>
      <c r="AK109" s="167"/>
      <c r="AL109" s="167"/>
      <c r="AM109" s="167"/>
      <c r="AN109" s="175">
        <f>IFERROR(_xlfn.XLOOKUP($A109,Input_Raw!$A:$A,Input_Raw!$BN:$BN),"")</f>
        <v>2.590824985174062E-2</v>
      </c>
      <c r="AO109" s="174">
        <f>IFERROR((_xlfn.XLOOKUP($A109,'WTG Reactive Power'!$A:$A,'WTG Reactive Power'!$AE:$AE))/Table13[[#This Row],[Gen_Exp (kWh)]],"")</f>
        <v>2.7623270153760019E-3</v>
      </c>
      <c r="AP109" s="174">
        <f>IFERROR(_xlfn.XLOOKUP($D109,'Modelling New'!$D:$D,'Modelling New'!$AK:$AK),"")</f>
        <v>0.05</v>
      </c>
      <c r="AQ109" s="174">
        <f>IFERROR(_xlfn.XLOOKUP($D109,'Modelling New'!$D:$D,'Modelling New'!$AL:$AL),"")</f>
        <v>0.05</v>
      </c>
      <c r="AR109" s="276">
        <f>IFERROR(_xlfn.XLOOKUP($D109,'Modelling New'!$D:$D,'Modelling New'!$N:$N),"")</f>
        <v>70.2</v>
      </c>
      <c r="AS109" s="276"/>
    </row>
    <row r="110" spans="1:45">
      <c r="A110" s="165">
        <f t="shared" si="11"/>
        <v>45853</v>
      </c>
      <c r="B110" s="166">
        <f>YEAR(Table13[[#This Row],[Date]])+IF(MONTH(Table13[[#This Row],[Date]])&gt;=4,1,0)</f>
        <v>2026</v>
      </c>
      <c r="C110" s="167">
        <f>YEAR(Table13[[#This Row],[Date]])</f>
        <v>2025</v>
      </c>
      <c r="D110" s="168">
        <f>Table13[[#This Row],[Date]]-DAY(Table13[[#This Row],[Date]])+1</f>
        <v>45839</v>
      </c>
      <c r="E110" s="167">
        <f t="shared" si="8"/>
        <v>31</v>
      </c>
      <c r="F110" s="169"/>
      <c r="G110" s="170"/>
      <c r="H110" s="170"/>
      <c r="I110" s="170"/>
      <c r="J110" s="170"/>
      <c r="K110" s="171"/>
      <c r="L110" s="170"/>
      <c r="M110" s="170">
        <f>IFERROR(_xlfn.XLOOKUP($A110,Input_Raw!$A:$A,Input_Raw!BG:BG),"")</f>
        <v>6.9134615384615383</v>
      </c>
      <c r="N110" s="170">
        <f>IFERROR(_xlfn.XLOOKUP($A110,Input_Raw!$A:$A,Input_Raw!BH:BH),"")</f>
        <v>0</v>
      </c>
      <c r="O110" s="173">
        <f t="shared" si="9"/>
        <v>0.98718191975743774</v>
      </c>
      <c r="P110" s="173">
        <f>IFERROR(1-SUMIF(WTG_BD!$F:$F,$A110,WTG_BD!$AA:$AA)/($AA110+SUMIF(WTG_BD!$F:$F,$A110,WTG_BD!$AA:$AA)),"")</f>
        <v>0.98718191975743774</v>
      </c>
      <c r="Q110" s="173">
        <f>IFERROR(1-SUMIF(IGA_BD!$F:$F,$A110,IGA_BD!$X:$X)/($AA110+SUMIF(IGA_BD!$F:$F,$A110,IGA_BD!$X:$X)),"")</f>
        <v>1</v>
      </c>
      <c r="R110" s="173">
        <f>IFERROR(1-SUMIF(Grid_BD!$F:$F,$A110,Grid_BD!$Y:$Y)/($AA110+SUMIF(Grid_BD!$F:$F,$A110,Grid_BD!$Y:$Y)),"")</f>
        <v>1</v>
      </c>
      <c r="S110" s="167"/>
      <c r="T110" s="172"/>
      <c r="U110" s="173"/>
      <c r="V110" s="167"/>
      <c r="W110" s="174">
        <f t="shared" si="10"/>
        <v>0.41960470085470081</v>
      </c>
      <c r="X110" s="167">
        <f>IFERROR(_xlfn.XLOOKUP($A110,Input_Raw!$A:$A,Input_Raw!$BF:$BF),"")</f>
        <v>726782</v>
      </c>
      <c r="Y110" s="167">
        <f>IFERROR(_xlfn.XLOOKUP($A110,Input_Raw!$A:$A,Input_Raw!BJ:BJ),"")</f>
        <v>706950</v>
      </c>
      <c r="Z110" s="167">
        <f>IFERROR(_xlfn.XLOOKUP($A110,Input_Raw!$A:$A,Input_Raw!BK:BK),"")</f>
        <v>0</v>
      </c>
      <c r="AA110" s="167">
        <f>IFERROR(_xlfn.XLOOKUP($A110,Input_Raw!$A:$A,Input_Raw!BL:BL),"")</f>
        <v>706950</v>
      </c>
      <c r="AB110" s="167">
        <f>IFERROR(_xlfn.XLOOKUP($A110,Input_Raw!$A:$A,Input_Raw!$BO:$BO),"")</f>
        <v>70.2</v>
      </c>
      <c r="AC110" s="176">
        <f>IFERROR(_xlfn.XLOOKUP($D110,'Modelling New'!$D:$D,'Modelling New'!$J:$J),"")</f>
        <v>8.18</v>
      </c>
      <c r="AD110" s="166">
        <f>IFERROR(_xlfn.XLOOKUP($D110,'Modelling New'!$D:$D,'Modelling New'!$T:$T)*1000,"")</f>
        <v>963883.16796059138</v>
      </c>
      <c r="AE110" s="174"/>
      <c r="AF110" s="174">
        <f>IFERROR(_xlfn.XLOOKUP($D110,'Modelling New'!$D:$D,'Modelling New'!$W:$W),"")</f>
        <v>0.57210539408867012</v>
      </c>
      <c r="AG110" s="174">
        <f>IFERROR(_xlfn.XLOOKUP($D110,'Modelling New'!$D:$D,'Modelling New'!$AE:$AE),"")</f>
        <v>0.96029999999999993</v>
      </c>
      <c r="AH110" s="174">
        <f>IFERROR(_xlfn.XLOOKUP($D110,'Modelling New'!$D:$D,'Modelling New'!$AF:$AF),"")</f>
        <v>0.995</v>
      </c>
      <c r="AI110" s="177">
        <f>IFERROR(_xlfn.XLOOKUP($A110,Input_Raw!$A:$A,Input_Raw!$BQ:$BQ),"")</f>
        <v>751.95</v>
      </c>
      <c r="AJ110" s="167"/>
      <c r="AK110" s="167"/>
      <c r="AL110" s="167"/>
      <c r="AM110" s="167"/>
      <c r="AN110" s="175">
        <f>IFERROR(_xlfn.XLOOKUP($A110,Input_Raw!$A:$A,Input_Raw!$BN:$BN),"")</f>
        <v>2.7287412181369378E-2</v>
      </c>
      <c r="AO110" s="174">
        <f>IFERROR((_xlfn.XLOOKUP($A110,'WTG Reactive Power'!$A:$A,'WTG Reactive Power'!$AE:$AE))/Table13[[#This Row],[Gen_Exp (kWh)]],"")</f>
        <v>2.47664361527941E-3</v>
      </c>
      <c r="AP110" s="174">
        <f>IFERROR(_xlfn.XLOOKUP($D110,'Modelling New'!$D:$D,'Modelling New'!$AK:$AK),"")</f>
        <v>0.05</v>
      </c>
      <c r="AQ110" s="174">
        <f>IFERROR(_xlfn.XLOOKUP($D110,'Modelling New'!$D:$D,'Modelling New'!$AL:$AL),"")</f>
        <v>0.05</v>
      </c>
      <c r="AR110" s="276">
        <f>IFERROR(_xlfn.XLOOKUP($D110,'Modelling New'!$D:$D,'Modelling New'!$N:$N),"")</f>
        <v>70.2</v>
      </c>
      <c r="AS110" s="276"/>
    </row>
    <row r="111" spans="1:45">
      <c r="A111" s="165">
        <f t="shared" si="11"/>
        <v>45854</v>
      </c>
      <c r="B111" s="166">
        <f>YEAR(Table13[[#This Row],[Date]])+IF(MONTH(Table13[[#This Row],[Date]])&gt;=4,1,0)</f>
        <v>2026</v>
      </c>
      <c r="C111" s="167">
        <f>YEAR(Table13[[#This Row],[Date]])</f>
        <v>2025</v>
      </c>
      <c r="D111" s="168">
        <f>Table13[[#This Row],[Date]]-DAY(Table13[[#This Row],[Date]])+1</f>
        <v>45839</v>
      </c>
      <c r="E111" s="167">
        <f t="shared" si="8"/>
        <v>31</v>
      </c>
      <c r="F111" s="169"/>
      <c r="G111" s="176"/>
      <c r="H111" s="176"/>
      <c r="I111" s="176"/>
      <c r="J111" s="176"/>
      <c r="K111" s="171"/>
      <c r="L111" s="170"/>
      <c r="M111" s="170">
        <f>IFERROR(_xlfn.XLOOKUP($A111,Input_Raw!$A:$A,Input_Raw!BG:BG),"")</f>
        <v>6.37</v>
      </c>
      <c r="N111" s="170">
        <f>IFERROR(_xlfn.XLOOKUP($A111,Input_Raw!$A:$A,Input_Raw!BH:BH),"")</f>
        <v>0</v>
      </c>
      <c r="O111" s="173">
        <f t="shared" si="9"/>
        <v>0.99246256451898074</v>
      </c>
      <c r="P111" s="173">
        <f>IFERROR(1-SUMIF(WTG_BD!$F:$F,$A111,WTG_BD!$AA:$AA)/($AA111+SUMIF(WTG_BD!$F:$F,$A111,WTG_BD!$AA:$AA)),"")</f>
        <v>0.99246256451898074</v>
      </c>
      <c r="Q111" s="173">
        <f>IFERROR(1-SUMIF(IGA_BD!$F:$F,$A111,IGA_BD!$X:$X)/($AA111+SUMIF(IGA_BD!$F:$F,$A111,IGA_BD!$X:$X)),"")</f>
        <v>1</v>
      </c>
      <c r="R111" s="173">
        <f>IFERROR(1-SUMIF(Grid_BD!$F:$F,$A111,Grid_BD!$Y:$Y)/($AA111+SUMIF(Grid_BD!$F:$F,$A111,Grid_BD!$Y:$Y)),"")</f>
        <v>1</v>
      </c>
      <c r="S111" s="167"/>
      <c r="T111" s="172"/>
      <c r="U111" s="173"/>
      <c r="V111" s="167"/>
      <c r="W111" s="174">
        <f t="shared" si="10"/>
        <v>0.33787393162393159</v>
      </c>
      <c r="X111" s="167">
        <f>IFERROR(_xlfn.XLOOKUP($A111,Input_Raw!$A:$A,Input_Raw!$BF:$BF),"")</f>
        <v>583376</v>
      </c>
      <c r="Y111" s="167">
        <f>IFERROR(_xlfn.XLOOKUP($A111,Input_Raw!$A:$A,Input_Raw!BJ:BJ),"")</f>
        <v>569250</v>
      </c>
      <c r="Z111" s="167">
        <f>IFERROR(_xlfn.XLOOKUP($A111,Input_Raw!$A:$A,Input_Raw!BK:BK),"")</f>
        <v>0</v>
      </c>
      <c r="AA111" s="167">
        <f>IFERROR(_xlfn.XLOOKUP($A111,Input_Raw!$A:$A,Input_Raw!BL:BL),"")</f>
        <v>569250</v>
      </c>
      <c r="AB111" s="167">
        <f>IFERROR(_xlfn.XLOOKUP($A111,Input_Raw!$A:$A,Input_Raw!$BO:$BO),"")</f>
        <v>70.2</v>
      </c>
      <c r="AC111" s="176">
        <f>IFERROR(_xlfn.XLOOKUP($D111,'Modelling New'!$D:$D,'Modelling New'!$J:$J),"")</f>
        <v>8.18</v>
      </c>
      <c r="AD111" s="166">
        <f>IFERROR(_xlfn.XLOOKUP($D111,'Modelling New'!$D:$D,'Modelling New'!$T:$T)*1000,"")</f>
        <v>963883.16796059138</v>
      </c>
      <c r="AE111" s="174"/>
      <c r="AF111" s="174">
        <f>IFERROR(_xlfn.XLOOKUP($D111,'Modelling New'!$D:$D,'Modelling New'!$W:$W),"")</f>
        <v>0.57210539408867012</v>
      </c>
      <c r="AG111" s="174">
        <f>IFERROR(_xlfn.XLOOKUP($D111,'Modelling New'!$D:$D,'Modelling New'!$AE:$AE),"")</f>
        <v>0.96029999999999993</v>
      </c>
      <c r="AH111" s="174">
        <f>IFERROR(_xlfn.XLOOKUP($D111,'Modelling New'!$D:$D,'Modelling New'!$AF:$AF),"")</f>
        <v>0.995</v>
      </c>
      <c r="AI111" s="177">
        <f>IFERROR(_xlfn.XLOOKUP($A111,Input_Raw!$A:$A,Input_Raw!$BQ:$BQ),"")</f>
        <v>607.82000000000005</v>
      </c>
      <c r="AJ111" s="167"/>
      <c r="AK111" s="167"/>
      <c r="AL111" s="167"/>
      <c r="AM111" s="167"/>
      <c r="AN111" s="175">
        <f>IFERROR(_xlfn.XLOOKUP($A111,Input_Raw!$A:$A,Input_Raw!$BN:$BN),"")</f>
        <v>2.4214228902114589E-2</v>
      </c>
      <c r="AO111" s="174">
        <f>IFERROR((_xlfn.XLOOKUP($A111,'WTG Reactive Power'!$A:$A,'WTG Reactive Power'!$AE:$AE))/Table13[[#This Row],[Gen_Exp (kWh)]],"")</f>
        <v>2.3139793203697102E-3</v>
      </c>
      <c r="AP111" s="174">
        <f>IFERROR(_xlfn.XLOOKUP($D111,'Modelling New'!$D:$D,'Modelling New'!$AK:$AK),"")</f>
        <v>0.05</v>
      </c>
      <c r="AQ111" s="174">
        <f>IFERROR(_xlfn.XLOOKUP($D111,'Modelling New'!$D:$D,'Modelling New'!$AL:$AL),"")</f>
        <v>0.05</v>
      </c>
      <c r="AR111" s="276">
        <f>IFERROR(_xlfn.XLOOKUP($D111,'Modelling New'!$D:$D,'Modelling New'!$N:$N),"")</f>
        <v>70.2</v>
      </c>
      <c r="AS111" s="276"/>
    </row>
    <row r="112" spans="1:45">
      <c r="A112" s="165">
        <f t="shared" si="11"/>
        <v>45855</v>
      </c>
      <c r="B112" s="166">
        <f>YEAR(Table13[[#This Row],[Date]])+IF(MONTH(Table13[[#This Row],[Date]])&gt;=4,1,0)</f>
        <v>2026</v>
      </c>
      <c r="C112" s="167">
        <f>YEAR(Table13[[#This Row],[Date]])</f>
        <v>2025</v>
      </c>
      <c r="D112" s="168">
        <f>Table13[[#This Row],[Date]]-DAY(Table13[[#This Row],[Date]])+1</f>
        <v>45839</v>
      </c>
      <c r="E112" s="167">
        <f t="shared" si="8"/>
        <v>31</v>
      </c>
      <c r="F112" s="169"/>
      <c r="G112" s="170"/>
      <c r="H112" s="170"/>
      <c r="I112" s="170"/>
      <c r="J112" s="170"/>
      <c r="K112" s="171"/>
      <c r="L112" s="170"/>
      <c r="M112" s="170">
        <f>IFERROR(_xlfn.XLOOKUP($A112,Input_Raw!$A:$A,Input_Raw!BG:BG),"")</f>
        <v>5.0903846153846137</v>
      </c>
      <c r="N112" s="170">
        <f>IFERROR(_xlfn.XLOOKUP($A112,Input_Raw!$A:$A,Input_Raw!BH:BH),"")</f>
        <v>0</v>
      </c>
      <c r="O112" s="173">
        <f t="shared" si="9"/>
        <v>0.98796183559078199</v>
      </c>
      <c r="P112" s="173">
        <f>IFERROR(1-SUMIF(WTG_BD!$F:$F,$A112,WTG_BD!$AA:$AA)/($AA112+SUMIF(WTG_BD!$F:$F,$A112,WTG_BD!$AA:$AA)),"")</f>
        <v>0.98796183559078199</v>
      </c>
      <c r="Q112" s="173">
        <f>IFERROR(1-SUMIF(IGA_BD!$F:$F,$A112,IGA_BD!$X:$X)/($AA112+SUMIF(IGA_BD!$F:$F,$A112,IGA_BD!$X:$X)),"")</f>
        <v>1</v>
      </c>
      <c r="R112" s="173">
        <f>IFERROR(1-SUMIF(Grid_BD!$F:$F,$A112,Grid_BD!$Y:$Y)/($AA112+SUMIF(Grid_BD!$F:$F,$A112,Grid_BD!$Y:$Y)),"")</f>
        <v>1</v>
      </c>
      <c r="S112" s="167"/>
      <c r="T112" s="172"/>
      <c r="U112" s="173"/>
      <c r="V112" s="167"/>
      <c r="W112" s="174">
        <f t="shared" si="10"/>
        <v>0.188034188034188</v>
      </c>
      <c r="X112" s="167">
        <f>IFERROR(_xlfn.XLOOKUP($A112,Input_Raw!$A:$A,Input_Raw!$BF:$BF),"")</f>
        <v>326486</v>
      </c>
      <c r="Y112" s="167">
        <f>IFERROR(_xlfn.XLOOKUP($A112,Input_Raw!$A:$A,Input_Raw!BJ:BJ),"")</f>
        <v>316800</v>
      </c>
      <c r="Z112" s="167">
        <f>IFERROR(_xlfn.XLOOKUP($A112,Input_Raw!$A:$A,Input_Raw!BK:BK),"")</f>
        <v>0</v>
      </c>
      <c r="AA112" s="167">
        <f>IFERROR(_xlfn.XLOOKUP($A112,Input_Raw!$A:$A,Input_Raw!BL:BL),"")</f>
        <v>316800</v>
      </c>
      <c r="AB112" s="167">
        <f>IFERROR(_xlfn.XLOOKUP($A112,Input_Raw!$A:$A,Input_Raw!$BO:$BO),"")</f>
        <v>70.2</v>
      </c>
      <c r="AC112" s="176">
        <f>IFERROR(_xlfn.XLOOKUP($D112,'Modelling New'!$D:$D,'Modelling New'!$J:$J),"")</f>
        <v>8.18</v>
      </c>
      <c r="AD112" s="166">
        <f>IFERROR(_xlfn.XLOOKUP($D112,'Modelling New'!$D:$D,'Modelling New'!$T:$T)*1000,"")</f>
        <v>963883.16796059138</v>
      </c>
      <c r="AE112" s="174"/>
      <c r="AF112" s="174">
        <f>IFERROR(_xlfn.XLOOKUP($D112,'Modelling New'!$D:$D,'Modelling New'!$W:$W),"")</f>
        <v>0.57210539408867012</v>
      </c>
      <c r="AG112" s="174">
        <f>IFERROR(_xlfn.XLOOKUP($D112,'Modelling New'!$D:$D,'Modelling New'!$AE:$AE),"")</f>
        <v>0.96029999999999993</v>
      </c>
      <c r="AH112" s="174">
        <f>IFERROR(_xlfn.XLOOKUP($D112,'Modelling New'!$D:$D,'Modelling New'!$AF:$AF),"")</f>
        <v>0.995</v>
      </c>
      <c r="AI112" s="177">
        <f>IFERROR(_xlfn.XLOOKUP($A112,Input_Raw!$A:$A,Input_Raw!$BQ:$BQ),"")</f>
        <v>339.36</v>
      </c>
      <c r="AJ112" s="167"/>
      <c r="AK112" s="167"/>
      <c r="AL112" s="167"/>
      <c r="AM112" s="167"/>
      <c r="AN112" s="175">
        <f>IFERROR(_xlfn.XLOOKUP($A112,Input_Raw!$A:$A,Input_Raw!$BN:$BN),"")</f>
        <v>2.966742831239318E-2</v>
      </c>
      <c r="AO112" s="174">
        <f>IFERROR((_xlfn.XLOOKUP($A112,'WTG Reactive Power'!$A:$A,'WTG Reactive Power'!$AE:$AE))/Table13[[#This Row],[Gen_Exp (kWh)]],"")</f>
        <v>1.377700728362013E-3</v>
      </c>
      <c r="AP112" s="174">
        <f>IFERROR(_xlfn.XLOOKUP($D112,'Modelling New'!$D:$D,'Modelling New'!$AK:$AK),"")</f>
        <v>0.05</v>
      </c>
      <c r="AQ112" s="174">
        <f>IFERROR(_xlfn.XLOOKUP($D112,'Modelling New'!$D:$D,'Modelling New'!$AL:$AL),"")</f>
        <v>0.05</v>
      </c>
      <c r="AR112" s="276">
        <f>IFERROR(_xlfn.XLOOKUP($D112,'Modelling New'!$D:$D,'Modelling New'!$N:$N),"")</f>
        <v>70.2</v>
      </c>
      <c r="AS112" s="276"/>
    </row>
    <row r="113" spans="1:45">
      <c r="A113" s="165">
        <f t="shared" si="11"/>
        <v>45856</v>
      </c>
      <c r="B113" s="166">
        <f>YEAR(Table13[[#This Row],[Date]])+IF(MONTH(Table13[[#This Row],[Date]])&gt;=4,1,0)</f>
        <v>2026</v>
      </c>
      <c r="C113" s="167">
        <f>YEAR(Table13[[#This Row],[Date]])</f>
        <v>2025</v>
      </c>
      <c r="D113" s="168">
        <f>Table13[[#This Row],[Date]]-DAY(Table13[[#This Row],[Date]])+1</f>
        <v>45839</v>
      </c>
      <c r="E113" s="167">
        <f t="shared" si="8"/>
        <v>31</v>
      </c>
      <c r="F113" s="169"/>
      <c r="G113" s="176"/>
      <c r="H113" s="176"/>
      <c r="I113" s="176"/>
      <c r="J113" s="176"/>
      <c r="K113" s="171"/>
      <c r="L113" s="170"/>
      <c r="M113" s="170">
        <f>IFERROR(_xlfn.XLOOKUP($A113,Input_Raw!$A:$A,Input_Raw!BG:BG),"")</f>
        <v>5.9611538461538451</v>
      </c>
      <c r="N113" s="170">
        <f>IFERROR(_xlfn.XLOOKUP($A113,Input_Raw!$A:$A,Input_Raw!BH:BH),"")</f>
        <v>0</v>
      </c>
      <c r="O113" s="173">
        <f t="shared" si="9"/>
        <v>0.99109693321431258</v>
      </c>
      <c r="P113" s="173">
        <f>IFERROR(1-SUMIF(WTG_BD!$F:$F,$A113,WTG_BD!$AA:$AA)/($AA113+SUMIF(WTG_BD!$F:$F,$A113,WTG_BD!$AA:$AA)),"")</f>
        <v>0.99493424933581143</v>
      </c>
      <c r="Q113" s="173">
        <f>IFERROR(1-SUMIF(IGA_BD!$F:$F,$A113,IGA_BD!$X:$X)/($AA113+SUMIF(IGA_BD!$F:$F,$A113,IGA_BD!$X:$X)),"")</f>
        <v>0.99614314601787957</v>
      </c>
      <c r="R113" s="173">
        <f>IFERROR(1-SUMIF(Grid_BD!$F:$F,$A113,Grid_BD!$Y:$Y)/($AA113+SUMIF(Grid_BD!$F:$F,$A113,Grid_BD!$Y:$Y)),"")</f>
        <v>1</v>
      </c>
      <c r="S113" s="167"/>
      <c r="T113" s="172"/>
      <c r="U113" s="173"/>
      <c r="V113" s="167"/>
      <c r="W113" s="174">
        <f t="shared" si="10"/>
        <v>0.28632478632478631</v>
      </c>
      <c r="X113" s="167">
        <f>IFERROR(_xlfn.XLOOKUP($A113,Input_Raw!$A:$A,Input_Raw!$BF:$BF),"")</f>
        <v>493905</v>
      </c>
      <c r="Y113" s="167">
        <f>IFERROR(_xlfn.XLOOKUP($A113,Input_Raw!$A:$A,Input_Raw!BJ:BJ),"")</f>
        <v>482400</v>
      </c>
      <c r="Z113" s="167">
        <f>IFERROR(_xlfn.XLOOKUP($A113,Input_Raw!$A:$A,Input_Raw!BK:BK),"")</f>
        <v>0</v>
      </c>
      <c r="AA113" s="167">
        <f>IFERROR(_xlfn.XLOOKUP($A113,Input_Raw!$A:$A,Input_Raw!BL:BL),"")</f>
        <v>482400</v>
      </c>
      <c r="AB113" s="167">
        <f>IFERROR(_xlfn.XLOOKUP($A113,Input_Raw!$A:$A,Input_Raw!$BO:$BO),"")</f>
        <v>70.2</v>
      </c>
      <c r="AC113" s="176">
        <f>IFERROR(_xlfn.XLOOKUP($D113,'Modelling New'!$D:$D,'Modelling New'!$J:$J),"")</f>
        <v>8.18</v>
      </c>
      <c r="AD113" s="166">
        <f>IFERROR(_xlfn.XLOOKUP($D113,'Modelling New'!$D:$D,'Modelling New'!$T:$T)*1000,"")</f>
        <v>963883.16796059138</v>
      </c>
      <c r="AE113" s="174"/>
      <c r="AF113" s="174">
        <f>IFERROR(_xlfn.XLOOKUP($D113,'Modelling New'!$D:$D,'Modelling New'!$W:$W),"")</f>
        <v>0.57210539408867012</v>
      </c>
      <c r="AG113" s="174">
        <f>IFERROR(_xlfn.XLOOKUP($D113,'Modelling New'!$D:$D,'Modelling New'!$AE:$AE),"")</f>
        <v>0.96029999999999993</v>
      </c>
      <c r="AH113" s="174">
        <f>IFERROR(_xlfn.XLOOKUP($D113,'Modelling New'!$D:$D,'Modelling New'!$AF:$AF),"")</f>
        <v>0.995</v>
      </c>
      <c r="AI113" s="177">
        <f>IFERROR(_xlfn.XLOOKUP($A113,Input_Raw!$A:$A,Input_Raw!$BQ:$BQ),"")</f>
        <v>509.83</v>
      </c>
      <c r="AJ113" s="167"/>
      <c r="AK113" s="167"/>
      <c r="AL113" s="167"/>
      <c r="AM113" s="167"/>
      <c r="AN113" s="175">
        <f>IFERROR(_xlfn.XLOOKUP($A113,Input_Raw!$A:$A,Input_Raw!$BN:$BN),"")</f>
        <v>2.3293953290612568E-2</v>
      </c>
      <c r="AO113" s="174">
        <f>IFERROR((_xlfn.XLOOKUP($A113,'WTG Reactive Power'!$A:$A,'WTG Reactive Power'!$AE:$AE))/Table13[[#This Row],[Gen_Exp (kWh)]],"")</f>
        <v>2.7331571860985415E-3</v>
      </c>
      <c r="AP113" s="174">
        <f>IFERROR(_xlfn.XLOOKUP($D113,'Modelling New'!$D:$D,'Modelling New'!$AK:$AK),"")</f>
        <v>0.05</v>
      </c>
      <c r="AQ113" s="174">
        <f>IFERROR(_xlfn.XLOOKUP($D113,'Modelling New'!$D:$D,'Modelling New'!$AL:$AL),"")</f>
        <v>0.05</v>
      </c>
      <c r="AR113" s="276">
        <f>IFERROR(_xlfn.XLOOKUP($D113,'Modelling New'!$D:$D,'Modelling New'!$N:$N),"")</f>
        <v>70.2</v>
      </c>
      <c r="AS113" s="276"/>
    </row>
    <row r="114" spans="1:45">
      <c r="A114" s="165">
        <f t="shared" si="11"/>
        <v>45857</v>
      </c>
      <c r="B114" s="166">
        <f>YEAR(Table13[[#This Row],[Date]])+IF(MONTH(Table13[[#This Row],[Date]])&gt;=4,1,0)</f>
        <v>2026</v>
      </c>
      <c r="C114" s="167">
        <f>YEAR(Table13[[#This Row],[Date]])</f>
        <v>2025</v>
      </c>
      <c r="D114" s="168">
        <f>Table13[[#This Row],[Date]]-DAY(Table13[[#This Row],[Date]])+1</f>
        <v>45839</v>
      </c>
      <c r="E114" s="167">
        <f t="shared" si="8"/>
        <v>31</v>
      </c>
      <c r="F114" s="169"/>
      <c r="G114" s="170"/>
      <c r="H114" s="170"/>
      <c r="I114" s="170"/>
      <c r="J114" s="170"/>
      <c r="K114" s="171"/>
      <c r="L114" s="170"/>
      <c r="M114" s="170">
        <f>IFERROR(_xlfn.XLOOKUP($A114,Input_Raw!$A:$A,Input_Raw!BG:BG),"")</f>
        <v>6.9592307692307696</v>
      </c>
      <c r="N114" s="170">
        <f>IFERROR(_xlfn.XLOOKUP($A114,Input_Raw!$A:$A,Input_Raw!BH:BH),"")</f>
        <v>0</v>
      </c>
      <c r="O114" s="173">
        <f t="shared" si="9"/>
        <v>0.99603513026782331</v>
      </c>
      <c r="P114" s="173">
        <f>IFERROR(1-SUMIF(WTG_BD!$F:$F,$A114,WTG_BD!$AA:$AA)/($AA114+SUMIF(WTG_BD!$F:$F,$A114,WTG_BD!$AA:$AA)),"")</f>
        <v>0.99603513026782331</v>
      </c>
      <c r="Q114" s="173">
        <f>IFERROR(1-SUMIF(IGA_BD!$F:$F,$A114,IGA_BD!$X:$X)/($AA114+SUMIF(IGA_BD!$F:$F,$A114,IGA_BD!$X:$X)),"")</f>
        <v>1</v>
      </c>
      <c r="R114" s="173">
        <f>IFERROR(1-SUMIF(Grid_BD!$F:$F,$A114,Grid_BD!$Y:$Y)/($AA114+SUMIF(Grid_BD!$F:$F,$A114,Grid_BD!$Y:$Y)),"")</f>
        <v>1</v>
      </c>
      <c r="S114" s="167"/>
      <c r="T114" s="172"/>
      <c r="U114" s="173"/>
      <c r="V114" s="167"/>
      <c r="W114" s="174">
        <f t="shared" si="10"/>
        <v>0.41666666666666663</v>
      </c>
      <c r="X114" s="167">
        <f>IFERROR(_xlfn.XLOOKUP($A114,Input_Raw!$A:$A,Input_Raw!$BF:$BF),"")</f>
        <v>719937</v>
      </c>
      <c r="Y114" s="167">
        <f>IFERROR(_xlfn.XLOOKUP($A114,Input_Raw!$A:$A,Input_Raw!BJ:BJ),"")</f>
        <v>702000</v>
      </c>
      <c r="Z114" s="167">
        <f>IFERROR(_xlfn.XLOOKUP($A114,Input_Raw!$A:$A,Input_Raw!BK:BK),"")</f>
        <v>0</v>
      </c>
      <c r="AA114" s="167">
        <f>IFERROR(_xlfn.XLOOKUP($A114,Input_Raw!$A:$A,Input_Raw!BL:BL),"")</f>
        <v>702000</v>
      </c>
      <c r="AB114" s="167">
        <f>IFERROR(_xlfn.XLOOKUP($A114,Input_Raw!$A:$A,Input_Raw!$BO:$BO),"")</f>
        <v>70.2</v>
      </c>
      <c r="AC114" s="176">
        <f>IFERROR(_xlfn.XLOOKUP($D114,'Modelling New'!$D:$D,'Modelling New'!$J:$J),"")</f>
        <v>8.18</v>
      </c>
      <c r="AD114" s="166">
        <f>IFERROR(_xlfn.XLOOKUP($D114,'Modelling New'!$D:$D,'Modelling New'!$T:$T)*1000,"")</f>
        <v>963883.16796059138</v>
      </c>
      <c r="AE114" s="174"/>
      <c r="AF114" s="174">
        <f>IFERROR(_xlfn.XLOOKUP($D114,'Modelling New'!$D:$D,'Modelling New'!$W:$W),"")</f>
        <v>0.57210539408867012</v>
      </c>
      <c r="AG114" s="174">
        <f>IFERROR(_xlfn.XLOOKUP($D114,'Modelling New'!$D:$D,'Modelling New'!$AE:$AE),"")</f>
        <v>0.96029999999999993</v>
      </c>
      <c r="AH114" s="174">
        <f>IFERROR(_xlfn.XLOOKUP($D114,'Modelling New'!$D:$D,'Modelling New'!$AF:$AF),"")</f>
        <v>0.995</v>
      </c>
      <c r="AI114" s="177">
        <f>IFERROR(_xlfn.XLOOKUP($A114,Input_Raw!$A:$A,Input_Raw!$BQ:$BQ),"")</f>
        <v>752.09</v>
      </c>
      <c r="AJ114" s="167"/>
      <c r="AK114" s="167"/>
      <c r="AL114" s="167"/>
      <c r="AM114" s="167"/>
      <c r="AN114" s="175">
        <f>IFERROR(_xlfn.XLOOKUP($A114,Input_Raw!$A:$A,Input_Raw!$BN:$BN),"")</f>
        <v>2.491468003450302E-2</v>
      </c>
      <c r="AO114" s="174">
        <f>IFERROR((_xlfn.XLOOKUP($A114,'WTG Reactive Power'!$A:$A,'WTG Reactive Power'!$AE:$AE))/Table13[[#This Row],[Gen_Exp (kWh)]],"")</f>
        <v>3.1249678791338688E-3</v>
      </c>
      <c r="AP114" s="174">
        <f>IFERROR(_xlfn.XLOOKUP($D114,'Modelling New'!$D:$D,'Modelling New'!$AK:$AK),"")</f>
        <v>0.05</v>
      </c>
      <c r="AQ114" s="174">
        <f>IFERROR(_xlfn.XLOOKUP($D114,'Modelling New'!$D:$D,'Modelling New'!$AL:$AL),"")</f>
        <v>0.05</v>
      </c>
      <c r="AR114" s="276">
        <f>IFERROR(_xlfn.XLOOKUP($D114,'Modelling New'!$D:$D,'Modelling New'!$N:$N),"")</f>
        <v>70.2</v>
      </c>
      <c r="AS114" s="276"/>
    </row>
    <row r="115" spans="1:45">
      <c r="A115" s="165">
        <f t="shared" si="11"/>
        <v>45858</v>
      </c>
      <c r="B115" s="166">
        <f>YEAR(Table13[[#This Row],[Date]])+IF(MONTH(Table13[[#This Row],[Date]])&gt;=4,1,0)</f>
        <v>2026</v>
      </c>
      <c r="C115" s="167">
        <f>YEAR(Table13[[#This Row],[Date]])</f>
        <v>2025</v>
      </c>
      <c r="D115" s="168">
        <f>Table13[[#This Row],[Date]]-DAY(Table13[[#This Row],[Date]])+1</f>
        <v>45839</v>
      </c>
      <c r="E115" s="167">
        <f t="shared" si="8"/>
        <v>31</v>
      </c>
      <c r="F115" s="169"/>
      <c r="G115" s="176"/>
      <c r="H115" s="176"/>
      <c r="I115" s="176"/>
      <c r="J115" s="176"/>
      <c r="K115" s="171"/>
      <c r="L115" s="170"/>
      <c r="M115" s="170">
        <f>IFERROR(_xlfn.XLOOKUP($A115,Input_Raw!$A:$A,Input_Raw!BG:BG),"")</f>
        <v>5.7852560569173992</v>
      </c>
      <c r="N115" s="170">
        <f>IFERROR(_xlfn.XLOOKUP($A115,Input_Raw!$A:$A,Input_Raw!BH:BH),"")</f>
        <v>0</v>
      </c>
      <c r="O115" s="173">
        <f t="shared" si="9"/>
        <v>0.99591283071636572</v>
      </c>
      <c r="P115" s="173">
        <f>IFERROR(1-SUMIF(WTG_BD!$F:$F,$A115,WTG_BD!$AA:$AA)/($AA115+SUMIF(WTG_BD!$F:$F,$A115,WTG_BD!$AA:$AA)),"")</f>
        <v>0.99591283071636572</v>
      </c>
      <c r="Q115" s="173">
        <f>IFERROR(1-SUMIF(IGA_BD!$F:$F,$A115,IGA_BD!$X:$X)/($AA115+SUMIF(IGA_BD!$F:$F,$A115,IGA_BD!$X:$X)),"")</f>
        <v>1</v>
      </c>
      <c r="R115" s="173">
        <f>IFERROR(1-SUMIF(Grid_BD!$F:$F,$A115,Grid_BD!$Y:$Y)/($AA115+SUMIF(Grid_BD!$F:$F,$A115,Grid_BD!$Y:$Y)),"")</f>
        <v>1</v>
      </c>
      <c r="S115" s="167"/>
      <c r="T115" s="172"/>
      <c r="U115" s="173"/>
      <c r="V115" s="167"/>
      <c r="W115" s="174">
        <f t="shared" si="10"/>
        <v>0.28445512820512814</v>
      </c>
      <c r="X115" s="167">
        <f>IFERROR(_xlfn.XLOOKUP($A115,Input_Raw!$A:$A,Input_Raw!$BF:$BF),"")</f>
        <v>492869</v>
      </c>
      <c r="Y115" s="167">
        <f>IFERROR(_xlfn.XLOOKUP($A115,Input_Raw!$A:$A,Input_Raw!BJ:BJ),"")</f>
        <v>479250</v>
      </c>
      <c r="Z115" s="167">
        <f>IFERROR(_xlfn.XLOOKUP($A115,Input_Raw!$A:$A,Input_Raw!BK:BK),"")</f>
        <v>0</v>
      </c>
      <c r="AA115" s="167">
        <f>IFERROR(_xlfn.XLOOKUP($A115,Input_Raw!$A:$A,Input_Raw!BL:BL),"")</f>
        <v>479250</v>
      </c>
      <c r="AB115" s="167">
        <f>IFERROR(_xlfn.XLOOKUP($A115,Input_Raw!$A:$A,Input_Raw!$BO:$BO),"")</f>
        <v>70.2</v>
      </c>
      <c r="AC115" s="176">
        <f>IFERROR(_xlfn.XLOOKUP($D115,'Modelling New'!$D:$D,'Modelling New'!$J:$J),"")</f>
        <v>8.18</v>
      </c>
      <c r="AD115" s="166">
        <f>IFERROR(_xlfn.XLOOKUP($D115,'Modelling New'!$D:$D,'Modelling New'!$T:$T)*1000,"")</f>
        <v>963883.16796059138</v>
      </c>
      <c r="AE115" s="174"/>
      <c r="AF115" s="174">
        <f>IFERROR(_xlfn.XLOOKUP($D115,'Modelling New'!$D:$D,'Modelling New'!$W:$W),"")</f>
        <v>0.57210539408867012</v>
      </c>
      <c r="AG115" s="174">
        <f>IFERROR(_xlfn.XLOOKUP($D115,'Modelling New'!$D:$D,'Modelling New'!$AE:$AE),"")</f>
        <v>0.96029999999999993</v>
      </c>
      <c r="AH115" s="174">
        <f>IFERROR(_xlfn.XLOOKUP($D115,'Modelling New'!$D:$D,'Modelling New'!$AF:$AF),"")</f>
        <v>0.995</v>
      </c>
      <c r="AI115" s="177">
        <f>IFERROR(_xlfn.XLOOKUP($A115,Input_Raw!$A:$A,Input_Raw!$BQ:$BQ),"")</f>
        <v>507.35</v>
      </c>
      <c r="AJ115" s="167"/>
      <c r="AK115" s="167"/>
      <c r="AL115" s="167"/>
      <c r="AM115" s="167"/>
      <c r="AN115" s="175">
        <f>IFERROR(_xlfn.XLOOKUP($A115,Input_Raw!$A:$A,Input_Raw!$BN:$BN),"")</f>
        <v>2.7632088851195755E-2</v>
      </c>
      <c r="AO115" s="174">
        <f>IFERROR((_xlfn.XLOOKUP($A115,'WTG Reactive Power'!$A:$A,'WTG Reactive Power'!$AE:$AE))/Table13[[#This Row],[Gen_Exp (kWh)]],"")</f>
        <v>7.3040909450584239E-3</v>
      </c>
      <c r="AP115" s="174">
        <f>IFERROR(_xlfn.XLOOKUP($D115,'Modelling New'!$D:$D,'Modelling New'!$AK:$AK),"")</f>
        <v>0.05</v>
      </c>
      <c r="AQ115" s="174">
        <f>IFERROR(_xlfn.XLOOKUP($D115,'Modelling New'!$D:$D,'Modelling New'!$AL:$AL),"")</f>
        <v>0.05</v>
      </c>
      <c r="AR115" s="276">
        <f>IFERROR(_xlfn.XLOOKUP($D115,'Modelling New'!$D:$D,'Modelling New'!$N:$N),"")</f>
        <v>70.2</v>
      </c>
      <c r="AS115" s="276"/>
    </row>
    <row r="116" spans="1:45">
      <c r="A116" s="165">
        <f t="shared" si="11"/>
        <v>45859</v>
      </c>
      <c r="B116" s="166">
        <f>YEAR(Table13[[#This Row],[Date]])+IF(MONTH(Table13[[#This Row],[Date]])&gt;=4,1,0)</f>
        <v>2026</v>
      </c>
      <c r="C116" s="167">
        <f>YEAR(Table13[[#This Row],[Date]])</f>
        <v>2025</v>
      </c>
      <c r="D116" s="168">
        <f>Table13[[#This Row],[Date]]-DAY(Table13[[#This Row],[Date]])+1</f>
        <v>45839</v>
      </c>
      <c r="E116" s="167">
        <f t="shared" si="8"/>
        <v>31</v>
      </c>
      <c r="F116" s="169"/>
      <c r="G116" s="170"/>
      <c r="H116" s="170"/>
      <c r="I116" s="170"/>
      <c r="J116" s="170"/>
      <c r="K116" s="171"/>
      <c r="L116" s="170"/>
      <c r="M116" s="170">
        <f>IFERROR(_xlfn.XLOOKUP($A116,Input_Raw!$A:$A,Input_Raw!BG:BG),"")</f>
        <v>4.9553846153846166</v>
      </c>
      <c r="N116" s="170">
        <f>IFERROR(_xlfn.XLOOKUP($A116,Input_Raw!$A:$A,Input_Raw!BH:BH),"")</f>
        <v>0</v>
      </c>
      <c r="O116" s="173">
        <f t="shared" si="9"/>
        <v>0.97351443666287341</v>
      </c>
      <c r="P116" s="173">
        <f>IFERROR(1-SUMIF(WTG_BD!$F:$F,$A116,WTG_BD!$AA:$AA)/($AA116+SUMIF(WTG_BD!$F:$F,$A116,WTG_BD!$AA:$AA)),"")</f>
        <v>0.98580014538562932</v>
      </c>
      <c r="Q116" s="173">
        <f>IFERROR(1-SUMIF(IGA_BD!$F:$F,$A116,IGA_BD!$X:$X)/($AA116+SUMIF(IGA_BD!$F:$F,$A116,IGA_BD!$X:$X)),"")</f>
        <v>0.98753732307682918</v>
      </c>
      <c r="R116" s="173">
        <f>IFERROR(1-SUMIF(Grid_BD!$F:$F,$A116,Grid_BD!$Y:$Y)/($AA116+SUMIF(Grid_BD!$F:$F,$A116,Grid_BD!$Y:$Y)),"")</f>
        <v>1</v>
      </c>
      <c r="S116" s="167"/>
      <c r="T116" s="172"/>
      <c r="U116" s="173"/>
      <c r="V116" s="167"/>
      <c r="W116" s="174">
        <f t="shared" si="10"/>
        <v>0.17280982905982903</v>
      </c>
      <c r="X116" s="167">
        <f>IFERROR(_xlfn.XLOOKUP($A116,Input_Raw!$A:$A,Input_Raw!$BF:$BF),"")</f>
        <v>299817</v>
      </c>
      <c r="Y116" s="167">
        <f>IFERROR(_xlfn.XLOOKUP($A116,Input_Raw!$A:$A,Input_Raw!BJ:BJ),"")</f>
        <v>291150</v>
      </c>
      <c r="Z116" s="167">
        <f>IFERROR(_xlfn.XLOOKUP($A116,Input_Raw!$A:$A,Input_Raw!BK:BK),"")</f>
        <v>0</v>
      </c>
      <c r="AA116" s="167">
        <f>IFERROR(_xlfn.XLOOKUP($A116,Input_Raw!$A:$A,Input_Raw!BL:BL),"")</f>
        <v>291150</v>
      </c>
      <c r="AB116" s="167">
        <f>IFERROR(_xlfn.XLOOKUP($A116,Input_Raw!$A:$A,Input_Raw!$BO:$BO),"")</f>
        <v>70.2</v>
      </c>
      <c r="AC116" s="176">
        <f>IFERROR(_xlfn.XLOOKUP($D116,'Modelling New'!$D:$D,'Modelling New'!$J:$J),"")</f>
        <v>8.18</v>
      </c>
      <c r="AD116" s="166">
        <f>IFERROR(_xlfn.XLOOKUP($D116,'Modelling New'!$D:$D,'Modelling New'!$T:$T)*1000,"")</f>
        <v>963883.16796059138</v>
      </c>
      <c r="AE116" s="174"/>
      <c r="AF116" s="174">
        <f>IFERROR(_xlfn.XLOOKUP($D116,'Modelling New'!$D:$D,'Modelling New'!$W:$W),"")</f>
        <v>0.57210539408867012</v>
      </c>
      <c r="AG116" s="174">
        <f>IFERROR(_xlfn.XLOOKUP($D116,'Modelling New'!$D:$D,'Modelling New'!$AE:$AE),"")</f>
        <v>0.96029999999999993</v>
      </c>
      <c r="AH116" s="174">
        <f>IFERROR(_xlfn.XLOOKUP($D116,'Modelling New'!$D:$D,'Modelling New'!$AF:$AF),"")</f>
        <v>0.995</v>
      </c>
      <c r="AI116" s="177">
        <f>IFERROR(_xlfn.XLOOKUP($A116,Input_Raw!$A:$A,Input_Raw!$BQ:$BQ),"")</f>
        <v>309.17</v>
      </c>
      <c r="AJ116" s="167"/>
      <c r="AK116" s="167"/>
      <c r="AL116" s="167"/>
      <c r="AM116" s="167"/>
      <c r="AN116" s="175">
        <f>IFERROR(_xlfn.XLOOKUP($A116,Input_Raw!$A:$A,Input_Raw!$BN:$BN),"")</f>
        <v>2.8907633656530485E-2</v>
      </c>
      <c r="AO116" s="174">
        <f>IFERROR((_xlfn.XLOOKUP($A116,'WTG Reactive Power'!$A:$A,'WTG Reactive Power'!$AE:$AE))/Table13[[#This Row],[Gen_Exp (kWh)]],"")</f>
        <v>1.5008555218683399E-2</v>
      </c>
      <c r="AP116" s="174">
        <f>IFERROR(_xlfn.XLOOKUP($D116,'Modelling New'!$D:$D,'Modelling New'!$AK:$AK),"")</f>
        <v>0.05</v>
      </c>
      <c r="AQ116" s="174">
        <f>IFERROR(_xlfn.XLOOKUP($D116,'Modelling New'!$D:$D,'Modelling New'!$AL:$AL),"")</f>
        <v>0.05</v>
      </c>
      <c r="AR116" s="276">
        <f>IFERROR(_xlfn.XLOOKUP($D116,'Modelling New'!$D:$D,'Modelling New'!$N:$N),"")</f>
        <v>70.2</v>
      </c>
      <c r="AS116" s="276"/>
    </row>
    <row r="117" spans="1:45">
      <c r="A117" s="165">
        <f t="shared" si="11"/>
        <v>45860</v>
      </c>
      <c r="B117" s="166">
        <f>YEAR(Table13[[#This Row],[Date]])+IF(MONTH(Table13[[#This Row],[Date]])&gt;=4,1,0)</f>
        <v>2026</v>
      </c>
      <c r="C117" s="167">
        <f>YEAR(Table13[[#This Row],[Date]])</f>
        <v>2025</v>
      </c>
      <c r="D117" s="168">
        <f>Table13[[#This Row],[Date]]-DAY(Table13[[#This Row],[Date]])+1</f>
        <v>45839</v>
      </c>
      <c r="E117" s="167">
        <f t="shared" si="8"/>
        <v>31</v>
      </c>
      <c r="F117" s="169"/>
      <c r="G117" s="176"/>
      <c r="H117" s="176"/>
      <c r="I117" s="176"/>
      <c r="J117" s="176"/>
      <c r="K117" s="171"/>
      <c r="L117" s="170"/>
      <c r="M117" s="170">
        <f>IFERROR(_xlfn.XLOOKUP($A117,Input_Raw!$A:$A,Input_Raw!BG:BG),"")</f>
        <v>6.2257692307692301</v>
      </c>
      <c r="N117" s="170">
        <f>IFERROR(_xlfn.XLOOKUP($A117,Input_Raw!$A:$A,Input_Raw!BH:BH),"")</f>
        <v>0</v>
      </c>
      <c r="O117" s="173">
        <f t="shared" si="9"/>
        <v>0.97393306645024691</v>
      </c>
      <c r="P117" s="173">
        <f>IFERROR(1-SUMIF(WTG_BD!$F:$F,$A117,WTG_BD!$AA:$AA)/($AA117+SUMIF(WTG_BD!$F:$F,$A117,WTG_BD!$AA:$AA)),"")</f>
        <v>0.97393306645024691</v>
      </c>
      <c r="Q117" s="173">
        <f>IFERROR(1-SUMIF(IGA_BD!$F:$F,$A117,IGA_BD!$X:$X)/($AA117+SUMIF(IGA_BD!$F:$F,$A117,IGA_BD!$X:$X)),"")</f>
        <v>1</v>
      </c>
      <c r="R117" s="173">
        <f>IFERROR(1-SUMIF(Grid_BD!$F:$F,$A117,Grid_BD!$Y:$Y)/($AA117+SUMIF(Grid_BD!$F:$F,$A117,Grid_BD!$Y:$Y)),"")</f>
        <v>1</v>
      </c>
      <c r="S117" s="167"/>
      <c r="T117" s="172"/>
      <c r="U117" s="173"/>
      <c r="V117" s="167"/>
      <c r="W117" s="174">
        <f t="shared" si="10"/>
        <v>0.33627136752136749</v>
      </c>
      <c r="X117" s="167">
        <f>IFERROR(_xlfn.XLOOKUP($A117,Input_Raw!$A:$A,Input_Raw!$BF:$BF),"")</f>
        <v>580582</v>
      </c>
      <c r="Y117" s="167">
        <f>IFERROR(_xlfn.XLOOKUP($A117,Input_Raw!$A:$A,Input_Raw!BJ:BJ),"")</f>
        <v>566550</v>
      </c>
      <c r="Z117" s="167">
        <f>IFERROR(_xlfn.XLOOKUP($A117,Input_Raw!$A:$A,Input_Raw!BK:BK),"")</f>
        <v>0</v>
      </c>
      <c r="AA117" s="167">
        <f>IFERROR(_xlfn.XLOOKUP($A117,Input_Raw!$A:$A,Input_Raw!BL:BL),"")</f>
        <v>566550</v>
      </c>
      <c r="AB117" s="167">
        <f>IFERROR(_xlfn.XLOOKUP($A117,Input_Raw!$A:$A,Input_Raw!$BO:$BO),"")</f>
        <v>70.2</v>
      </c>
      <c r="AC117" s="176">
        <f>IFERROR(_xlfn.XLOOKUP($D117,'Modelling New'!$D:$D,'Modelling New'!$J:$J),"")</f>
        <v>8.18</v>
      </c>
      <c r="AD117" s="166">
        <f>IFERROR(_xlfn.XLOOKUP($D117,'Modelling New'!$D:$D,'Modelling New'!$T:$T)*1000,"")</f>
        <v>963883.16796059138</v>
      </c>
      <c r="AE117" s="174"/>
      <c r="AF117" s="174">
        <f>IFERROR(_xlfn.XLOOKUP($D117,'Modelling New'!$D:$D,'Modelling New'!$W:$W),"")</f>
        <v>0.57210539408867012</v>
      </c>
      <c r="AG117" s="174">
        <f>IFERROR(_xlfn.XLOOKUP($D117,'Modelling New'!$D:$D,'Modelling New'!$AE:$AE),"")</f>
        <v>0.96029999999999993</v>
      </c>
      <c r="AH117" s="174">
        <f>IFERROR(_xlfn.XLOOKUP($D117,'Modelling New'!$D:$D,'Modelling New'!$AF:$AF),"")</f>
        <v>0.995</v>
      </c>
      <c r="AI117" s="177">
        <f>IFERROR(_xlfn.XLOOKUP($A117,Input_Raw!$A:$A,Input_Raw!$BQ:$BQ),"")</f>
        <v>605.37</v>
      </c>
      <c r="AJ117" s="167"/>
      <c r="AK117" s="167"/>
      <c r="AL117" s="167"/>
      <c r="AM117" s="167"/>
      <c r="AN117" s="175">
        <f>IFERROR(_xlfn.XLOOKUP($A117,Input_Raw!$A:$A,Input_Raw!$BN:$BN),"")</f>
        <v>2.4168851256153309E-2</v>
      </c>
      <c r="AO117" s="174">
        <f>IFERROR((_xlfn.XLOOKUP($A117,'WTG Reactive Power'!$A:$A,'WTG Reactive Power'!$AE:$AE))/Table13[[#This Row],[Gen_Exp (kWh)]],"")</f>
        <v>5.4254179426851011E-3</v>
      </c>
      <c r="AP117" s="174">
        <f>IFERROR(_xlfn.XLOOKUP($D117,'Modelling New'!$D:$D,'Modelling New'!$AK:$AK),"")</f>
        <v>0.05</v>
      </c>
      <c r="AQ117" s="174">
        <f>IFERROR(_xlfn.XLOOKUP($D117,'Modelling New'!$D:$D,'Modelling New'!$AL:$AL),"")</f>
        <v>0.05</v>
      </c>
      <c r="AR117" s="276">
        <f>IFERROR(_xlfn.XLOOKUP($D117,'Modelling New'!$D:$D,'Modelling New'!$N:$N),"")</f>
        <v>70.2</v>
      </c>
      <c r="AS117" s="276"/>
    </row>
    <row r="118" spans="1:45">
      <c r="A118" s="165">
        <f t="shared" si="11"/>
        <v>45861</v>
      </c>
      <c r="B118" s="166">
        <f>YEAR(Table13[[#This Row],[Date]])+IF(MONTH(Table13[[#This Row],[Date]])&gt;=4,1,0)</f>
        <v>2026</v>
      </c>
      <c r="C118" s="167">
        <f>YEAR(Table13[[#This Row],[Date]])</f>
        <v>2025</v>
      </c>
      <c r="D118" s="168">
        <f>Table13[[#This Row],[Date]]-DAY(Table13[[#This Row],[Date]])+1</f>
        <v>45839</v>
      </c>
      <c r="E118" s="167">
        <f t="shared" si="8"/>
        <v>31</v>
      </c>
      <c r="F118" s="169"/>
      <c r="G118" s="170"/>
      <c r="H118" s="170"/>
      <c r="I118" s="170"/>
      <c r="J118" s="170"/>
      <c r="K118" s="171"/>
      <c r="L118" s="170"/>
      <c r="M118" s="170">
        <f>IFERROR(_xlfn.XLOOKUP($A118,Input_Raw!$A:$A,Input_Raw!BG:BG),"")</f>
        <v>7.7791907039717696</v>
      </c>
      <c r="N118" s="170">
        <f>IFERROR(_xlfn.XLOOKUP($A118,Input_Raw!$A:$A,Input_Raw!BH:BH),"")</f>
        <v>0</v>
      </c>
      <c r="O118" s="173">
        <f t="shared" si="9"/>
        <v>0.99812909938644223</v>
      </c>
      <c r="P118" s="173">
        <f>IFERROR(1-SUMIF(WTG_BD!$F:$F,$A118,WTG_BD!$AA:$AA)/($AA118+SUMIF(WTG_BD!$F:$F,$A118,WTG_BD!$AA:$AA)),"")</f>
        <v>0.99812909938644223</v>
      </c>
      <c r="Q118" s="173">
        <f>IFERROR(1-SUMIF(IGA_BD!$F:$F,$A118,IGA_BD!$X:$X)/($AA118+SUMIF(IGA_BD!$F:$F,$A118,IGA_BD!$X:$X)),"")</f>
        <v>1</v>
      </c>
      <c r="R118" s="173">
        <f>IFERROR(1-SUMIF(Grid_BD!$F:$F,$A118,Grid_BD!$Y:$Y)/($AA118+SUMIF(Grid_BD!$F:$F,$A118,Grid_BD!$Y:$Y)),"")</f>
        <v>1</v>
      </c>
      <c r="S118" s="167"/>
      <c r="T118" s="172"/>
      <c r="U118" s="173"/>
      <c r="V118" s="167"/>
      <c r="W118" s="174">
        <f t="shared" si="10"/>
        <v>0.54674145299145294</v>
      </c>
      <c r="X118" s="167">
        <f>IFERROR(_xlfn.XLOOKUP($A118,Input_Raw!$A:$A,Input_Raw!$BF:$BF),"")</f>
        <v>947751</v>
      </c>
      <c r="Y118" s="167">
        <f>IFERROR(_xlfn.XLOOKUP($A118,Input_Raw!$A:$A,Input_Raw!BJ:BJ),"")</f>
        <v>921150</v>
      </c>
      <c r="Z118" s="167">
        <f>IFERROR(_xlfn.XLOOKUP($A118,Input_Raw!$A:$A,Input_Raw!BK:BK),"")</f>
        <v>0</v>
      </c>
      <c r="AA118" s="167">
        <f>IFERROR(_xlfn.XLOOKUP($A118,Input_Raw!$A:$A,Input_Raw!BL:BL),"")</f>
        <v>921150</v>
      </c>
      <c r="AB118" s="167">
        <f>IFERROR(_xlfn.XLOOKUP($A118,Input_Raw!$A:$A,Input_Raw!$BO:$BO),"")</f>
        <v>70.2</v>
      </c>
      <c r="AC118" s="176">
        <f>IFERROR(_xlfn.XLOOKUP($D118,'Modelling New'!$D:$D,'Modelling New'!$J:$J),"")</f>
        <v>8.18</v>
      </c>
      <c r="AD118" s="166">
        <f>IFERROR(_xlfn.XLOOKUP($D118,'Modelling New'!$D:$D,'Modelling New'!$T:$T)*1000,"")</f>
        <v>963883.16796059138</v>
      </c>
      <c r="AE118" s="174"/>
      <c r="AF118" s="174">
        <f>IFERROR(_xlfn.XLOOKUP($D118,'Modelling New'!$D:$D,'Modelling New'!$W:$W),"")</f>
        <v>0.57210539408867012</v>
      </c>
      <c r="AG118" s="174">
        <f>IFERROR(_xlfn.XLOOKUP($D118,'Modelling New'!$D:$D,'Modelling New'!$AE:$AE),"")</f>
        <v>0.96029999999999993</v>
      </c>
      <c r="AH118" s="174">
        <f>IFERROR(_xlfn.XLOOKUP($D118,'Modelling New'!$D:$D,'Modelling New'!$AF:$AF),"")</f>
        <v>0.995</v>
      </c>
      <c r="AI118" s="177">
        <f>IFERROR(_xlfn.XLOOKUP($A118,Input_Raw!$A:$A,Input_Raw!$BQ:$BQ),"")</f>
        <v>986.77</v>
      </c>
      <c r="AJ118" s="167"/>
      <c r="AK118" s="167"/>
      <c r="AL118" s="167"/>
      <c r="AM118" s="167"/>
      <c r="AN118" s="175">
        <f>IFERROR(_xlfn.XLOOKUP($A118,Input_Raw!$A:$A,Input_Raw!$BN:$BN),"")</f>
        <v>2.806749874175812E-2</v>
      </c>
      <c r="AO118" s="174">
        <f>IFERROR((_xlfn.XLOOKUP($A118,'WTG Reactive Power'!$A:$A,'WTG Reactive Power'!$AE:$AE))/Table13[[#This Row],[Gen_Exp (kWh)]],"")</f>
        <v>2.2315945854976663E-2</v>
      </c>
      <c r="AP118" s="174">
        <f>IFERROR(_xlfn.XLOOKUP($D118,'Modelling New'!$D:$D,'Modelling New'!$AK:$AK),"")</f>
        <v>0.05</v>
      </c>
      <c r="AQ118" s="174">
        <f>IFERROR(_xlfn.XLOOKUP($D118,'Modelling New'!$D:$D,'Modelling New'!$AL:$AL),"")</f>
        <v>0.05</v>
      </c>
      <c r="AR118" s="276">
        <f>IFERROR(_xlfn.XLOOKUP($D118,'Modelling New'!$D:$D,'Modelling New'!$N:$N),"")</f>
        <v>70.2</v>
      </c>
      <c r="AS118" s="276"/>
    </row>
    <row r="119" spans="1:45">
      <c r="A119" s="165">
        <f t="shared" si="11"/>
        <v>45862</v>
      </c>
      <c r="B119" s="166">
        <f>YEAR(Table13[[#This Row],[Date]])+IF(MONTH(Table13[[#This Row],[Date]])&gt;=4,1,0)</f>
        <v>2026</v>
      </c>
      <c r="C119" s="167">
        <f>YEAR(Table13[[#This Row],[Date]])</f>
        <v>2025</v>
      </c>
      <c r="D119" s="168">
        <f>Table13[[#This Row],[Date]]-DAY(Table13[[#This Row],[Date]])+1</f>
        <v>45839</v>
      </c>
      <c r="E119" s="167">
        <f t="shared" si="8"/>
        <v>31</v>
      </c>
      <c r="F119" s="169"/>
      <c r="G119" s="176"/>
      <c r="H119" s="176"/>
      <c r="I119" s="176"/>
      <c r="J119" s="176"/>
      <c r="K119" s="171"/>
      <c r="L119" s="170"/>
      <c r="M119" s="170" t="str">
        <f>IFERROR(_xlfn.XLOOKUP($A119,Input_Raw!$A:$A,Input_Raw!BG:BG),"")</f>
        <v/>
      </c>
      <c r="N119" s="170" t="str">
        <f>IFERROR(_xlfn.XLOOKUP($A119,Input_Raw!$A:$A,Input_Raw!BH:BH),"")</f>
        <v/>
      </c>
      <c r="O119" s="173" t="str">
        <f t="shared" si="9"/>
        <v/>
      </c>
      <c r="P119" s="173" t="str">
        <f>IFERROR(1-SUMIF(WTG_BD!$F:$F,$A119,WTG_BD!$AA:$AA)/($AA119+SUMIF(WTG_BD!$F:$F,$A119,WTG_BD!$AA:$AA)),"")</f>
        <v/>
      </c>
      <c r="Q119" s="173" t="str">
        <f>IFERROR(1-SUMIF(IGA_BD!$F:$F,$A119,IGA_BD!$X:$X)/($AA119+SUMIF(IGA_BD!$F:$F,$A119,IGA_BD!$X:$X)),"")</f>
        <v/>
      </c>
      <c r="R119" s="173" t="str">
        <f>IFERROR(1-SUMIF(Grid_BD!$F:$F,$A119,Grid_BD!$Y:$Y)/($AA119+SUMIF(Grid_BD!$F:$F,$A119,Grid_BD!$Y:$Y)),"")</f>
        <v/>
      </c>
      <c r="S119" s="167"/>
      <c r="T119" s="172"/>
      <c r="U119" s="173"/>
      <c r="V119" s="167"/>
      <c r="W119" s="174" t="str">
        <f t="shared" si="10"/>
        <v/>
      </c>
      <c r="X119" s="167" t="str">
        <f>IFERROR(_xlfn.XLOOKUP($A119,Input_Raw!$A:$A,Input_Raw!$BF:$BF),"")</f>
        <v/>
      </c>
      <c r="Y119" s="167" t="str">
        <f>IFERROR(_xlfn.XLOOKUP($A119,Input_Raw!$A:$A,Input_Raw!BJ:BJ),"")</f>
        <v/>
      </c>
      <c r="Z119" s="167" t="str">
        <f>IFERROR(_xlfn.XLOOKUP($A119,Input_Raw!$A:$A,Input_Raw!BK:BK),"")</f>
        <v/>
      </c>
      <c r="AA119" s="167" t="str">
        <f>IFERROR(_xlfn.XLOOKUP($A119,Input_Raw!$A:$A,Input_Raw!BL:BL),"")</f>
        <v/>
      </c>
      <c r="AB119" s="167" t="str">
        <f>IFERROR(_xlfn.XLOOKUP($A119,Input_Raw!$A:$A,Input_Raw!$BO:$BO),"")</f>
        <v/>
      </c>
      <c r="AC119" s="176">
        <f>IFERROR(_xlfn.XLOOKUP($D119,'Modelling New'!$D:$D,'Modelling New'!$J:$J),"")</f>
        <v>8.18</v>
      </c>
      <c r="AD119" s="166">
        <f>IFERROR(_xlfn.XLOOKUP($D119,'Modelling New'!$D:$D,'Modelling New'!$T:$T)*1000,"")</f>
        <v>963883.16796059138</v>
      </c>
      <c r="AE119" s="174"/>
      <c r="AF119" s="174">
        <f>IFERROR(_xlfn.XLOOKUP($D119,'Modelling New'!$D:$D,'Modelling New'!$W:$W),"")</f>
        <v>0.57210539408867012</v>
      </c>
      <c r="AG119" s="174">
        <f>IFERROR(_xlfn.XLOOKUP($D119,'Modelling New'!$D:$D,'Modelling New'!$AE:$AE),"")</f>
        <v>0.96029999999999993</v>
      </c>
      <c r="AH119" s="174">
        <f>IFERROR(_xlfn.XLOOKUP($D119,'Modelling New'!$D:$D,'Modelling New'!$AF:$AF),"")</f>
        <v>0.995</v>
      </c>
      <c r="AI119" s="177" t="str">
        <f>IFERROR(_xlfn.XLOOKUP($A119,Input_Raw!$A:$A,Input_Raw!$BQ:$BQ),"")</f>
        <v/>
      </c>
      <c r="AJ119" s="167"/>
      <c r="AK119" s="167"/>
      <c r="AL119" s="167"/>
      <c r="AM119" s="167"/>
      <c r="AN119" s="175" t="str">
        <f>IFERROR(_xlfn.XLOOKUP($A119,Input_Raw!$A:$A,Input_Raw!$BN:$BN),"")</f>
        <v/>
      </c>
      <c r="AO119" s="174" t="str">
        <f>IFERROR((_xlfn.XLOOKUP($A119,'WTG Reactive Power'!$A:$A,'WTG Reactive Power'!$AE:$AE))/Table13[[#This Row],[Gen_Exp (kWh)]],"")</f>
        <v/>
      </c>
      <c r="AP119" s="174">
        <f>IFERROR(_xlfn.XLOOKUP($D119,'Modelling New'!$D:$D,'Modelling New'!$AK:$AK),"")</f>
        <v>0.05</v>
      </c>
      <c r="AQ119" s="174">
        <f>IFERROR(_xlfn.XLOOKUP($D119,'Modelling New'!$D:$D,'Modelling New'!$AL:$AL),"")</f>
        <v>0.05</v>
      </c>
      <c r="AR119" s="276">
        <f>IFERROR(_xlfn.XLOOKUP($D119,'Modelling New'!$D:$D,'Modelling New'!$N:$N),"")</f>
        <v>70.2</v>
      </c>
      <c r="AS119" s="276"/>
    </row>
    <row r="120" spans="1:45">
      <c r="A120" s="165">
        <f t="shared" si="11"/>
        <v>45863</v>
      </c>
      <c r="B120" s="166">
        <f>YEAR(Table13[[#This Row],[Date]])+IF(MONTH(Table13[[#This Row],[Date]])&gt;=4,1,0)</f>
        <v>2026</v>
      </c>
      <c r="C120" s="167">
        <f>YEAR(Table13[[#This Row],[Date]])</f>
        <v>2025</v>
      </c>
      <c r="D120" s="168">
        <f>Table13[[#This Row],[Date]]-DAY(Table13[[#This Row],[Date]])+1</f>
        <v>45839</v>
      </c>
      <c r="E120" s="167">
        <f t="shared" si="8"/>
        <v>31</v>
      </c>
      <c r="F120" s="169"/>
      <c r="G120" s="170"/>
      <c r="H120" s="170"/>
      <c r="I120" s="170"/>
      <c r="J120" s="170"/>
      <c r="K120" s="171"/>
      <c r="L120" s="170"/>
      <c r="M120" s="170" t="str">
        <f>IFERROR(_xlfn.XLOOKUP($A120,Input_Raw!$A:$A,Input_Raw!BG:BG),"")</f>
        <v/>
      </c>
      <c r="N120" s="170" t="str">
        <f>IFERROR(_xlfn.XLOOKUP($A120,Input_Raw!$A:$A,Input_Raw!BH:BH),"")</f>
        <v/>
      </c>
      <c r="O120" s="173" t="str">
        <f t="shared" si="9"/>
        <v/>
      </c>
      <c r="P120" s="173" t="str">
        <f>IFERROR(1-SUMIF(WTG_BD!$F:$F,$A120,WTG_BD!$AA:$AA)/($AA120+SUMIF(WTG_BD!$F:$F,$A120,WTG_BD!$AA:$AA)),"")</f>
        <v/>
      </c>
      <c r="Q120" s="173" t="str">
        <f>IFERROR(1-SUMIF(IGA_BD!$F:$F,$A120,IGA_BD!$X:$X)/($AA120+SUMIF(IGA_BD!$F:$F,$A120,IGA_BD!$X:$X)),"")</f>
        <v/>
      </c>
      <c r="R120" s="173" t="str">
        <f>IFERROR(1-SUMIF(Grid_BD!$F:$F,$A120,Grid_BD!$Y:$Y)/($AA120+SUMIF(Grid_BD!$F:$F,$A120,Grid_BD!$Y:$Y)),"")</f>
        <v/>
      </c>
      <c r="S120" s="167"/>
      <c r="T120" s="172"/>
      <c r="U120" s="173"/>
      <c r="V120" s="167"/>
      <c r="W120" s="174" t="str">
        <f t="shared" si="10"/>
        <v/>
      </c>
      <c r="X120" s="167" t="str">
        <f>IFERROR(_xlfn.XLOOKUP($A120,Input_Raw!$A:$A,Input_Raw!$BF:$BF),"")</f>
        <v/>
      </c>
      <c r="Y120" s="167" t="str">
        <f>IFERROR(_xlfn.XLOOKUP($A120,Input_Raw!$A:$A,Input_Raw!BJ:BJ),"")</f>
        <v/>
      </c>
      <c r="Z120" s="167" t="str">
        <f>IFERROR(_xlfn.XLOOKUP($A120,Input_Raw!$A:$A,Input_Raw!BK:BK),"")</f>
        <v/>
      </c>
      <c r="AA120" s="167" t="str">
        <f>IFERROR(_xlfn.XLOOKUP($A120,Input_Raw!$A:$A,Input_Raw!BL:BL),"")</f>
        <v/>
      </c>
      <c r="AB120" s="167" t="str">
        <f>IFERROR(_xlfn.XLOOKUP($A120,Input_Raw!$A:$A,Input_Raw!$BO:$BO),"")</f>
        <v/>
      </c>
      <c r="AC120" s="176">
        <f>IFERROR(_xlfn.XLOOKUP($D120,'Modelling New'!$D:$D,'Modelling New'!$J:$J),"")</f>
        <v>8.18</v>
      </c>
      <c r="AD120" s="166">
        <f>IFERROR(_xlfn.XLOOKUP($D120,'Modelling New'!$D:$D,'Modelling New'!$T:$T)*1000,"")</f>
        <v>963883.16796059138</v>
      </c>
      <c r="AE120" s="174"/>
      <c r="AF120" s="174">
        <f>IFERROR(_xlfn.XLOOKUP($D120,'Modelling New'!$D:$D,'Modelling New'!$W:$W),"")</f>
        <v>0.57210539408867012</v>
      </c>
      <c r="AG120" s="174">
        <f>IFERROR(_xlfn.XLOOKUP($D120,'Modelling New'!$D:$D,'Modelling New'!$AE:$AE),"")</f>
        <v>0.96029999999999993</v>
      </c>
      <c r="AH120" s="174">
        <f>IFERROR(_xlfn.XLOOKUP($D120,'Modelling New'!$D:$D,'Modelling New'!$AF:$AF),"")</f>
        <v>0.995</v>
      </c>
      <c r="AI120" s="177" t="str">
        <f>IFERROR(_xlfn.XLOOKUP($A120,Input_Raw!$A:$A,Input_Raw!$BQ:$BQ),"")</f>
        <v/>
      </c>
      <c r="AJ120" s="167"/>
      <c r="AK120" s="167"/>
      <c r="AL120" s="167"/>
      <c r="AM120" s="167"/>
      <c r="AN120" s="175" t="str">
        <f>IFERROR(_xlfn.XLOOKUP($A120,Input_Raw!$A:$A,Input_Raw!$BN:$BN),"")</f>
        <v/>
      </c>
      <c r="AO120" s="174" t="str">
        <f>IFERROR((_xlfn.XLOOKUP($A120,'WTG Reactive Power'!$A:$A,'WTG Reactive Power'!$AE:$AE))/Table13[[#This Row],[Gen_Exp (kWh)]],"")</f>
        <v/>
      </c>
      <c r="AP120" s="174">
        <f>IFERROR(_xlfn.XLOOKUP($D120,'Modelling New'!$D:$D,'Modelling New'!$AK:$AK),"")</f>
        <v>0.05</v>
      </c>
      <c r="AQ120" s="174">
        <f>IFERROR(_xlfn.XLOOKUP($D120,'Modelling New'!$D:$D,'Modelling New'!$AL:$AL),"")</f>
        <v>0.05</v>
      </c>
      <c r="AR120" s="276">
        <f>IFERROR(_xlfn.XLOOKUP($D120,'Modelling New'!$D:$D,'Modelling New'!$N:$N),"")</f>
        <v>70.2</v>
      </c>
      <c r="AS120" s="276"/>
    </row>
    <row r="121" spans="1:45">
      <c r="A121" s="165">
        <f t="shared" si="11"/>
        <v>45864</v>
      </c>
      <c r="B121" s="166">
        <f>YEAR(Table13[[#This Row],[Date]])+IF(MONTH(Table13[[#This Row],[Date]])&gt;=4,1,0)</f>
        <v>2026</v>
      </c>
      <c r="C121" s="167">
        <f>YEAR(Table13[[#This Row],[Date]])</f>
        <v>2025</v>
      </c>
      <c r="D121" s="168">
        <f>Table13[[#This Row],[Date]]-DAY(Table13[[#This Row],[Date]])+1</f>
        <v>45839</v>
      </c>
      <c r="E121" s="167">
        <f t="shared" si="8"/>
        <v>31</v>
      </c>
      <c r="F121" s="169"/>
      <c r="G121" s="176"/>
      <c r="H121" s="176"/>
      <c r="I121" s="176"/>
      <c r="J121" s="176"/>
      <c r="K121" s="171"/>
      <c r="L121" s="170"/>
      <c r="M121" s="170" t="str">
        <f>IFERROR(_xlfn.XLOOKUP($A121,Input_Raw!$A:$A,Input_Raw!BG:BG),"")</f>
        <v/>
      </c>
      <c r="N121" s="170" t="str">
        <f>IFERROR(_xlfn.XLOOKUP($A121,Input_Raw!$A:$A,Input_Raw!BH:BH),"")</f>
        <v/>
      </c>
      <c r="O121" s="173" t="str">
        <f t="shared" si="9"/>
        <v/>
      </c>
      <c r="P121" s="173" t="str">
        <f>IFERROR(1-SUMIF(WTG_BD!$F:$F,$A121,WTG_BD!$AA:$AA)/($AA121+SUMIF(WTG_BD!$F:$F,$A121,WTG_BD!$AA:$AA)),"")</f>
        <v/>
      </c>
      <c r="Q121" s="173" t="str">
        <f>IFERROR(1-SUMIF(IGA_BD!$F:$F,$A121,IGA_BD!$X:$X)/($AA121+SUMIF(IGA_BD!$F:$F,$A121,IGA_BD!$X:$X)),"")</f>
        <v/>
      </c>
      <c r="R121" s="173" t="str">
        <f>IFERROR(1-SUMIF(Grid_BD!$F:$F,$A121,Grid_BD!$Y:$Y)/($AA121+SUMIF(Grid_BD!$F:$F,$A121,Grid_BD!$Y:$Y)),"")</f>
        <v/>
      </c>
      <c r="S121" s="167"/>
      <c r="T121" s="172"/>
      <c r="U121" s="173"/>
      <c r="V121" s="167"/>
      <c r="W121" s="174" t="str">
        <f t="shared" si="10"/>
        <v/>
      </c>
      <c r="X121" s="167" t="str">
        <f>IFERROR(_xlfn.XLOOKUP($A121,Input_Raw!$A:$A,Input_Raw!$BF:$BF),"")</f>
        <v/>
      </c>
      <c r="Y121" s="167" t="str">
        <f>IFERROR(_xlfn.XLOOKUP($A121,Input_Raw!$A:$A,Input_Raw!BJ:BJ),"")</f>
        <v/>
      </c>
      <c r="Z121" s="167" t="str">
        <f>IFERROR(_xlfn.XLOOKUP($A121,Input_Raw!$A:$A,Input_Raw!BK:BK),"")</f>
        <v/>
      </c>
      <c r="AA121" s="167" t="str">
        <f>IFERROR(_xlfn.XLOOKUP($A121,Input_Raw!$A:$A,Input_Raw!BL:BL),"")</f>
        <v/>
      </c>
      <c r="AB121" s="167" t="str">
        <f>IFERROR(_xlfn.XLOOKUP($A121,Input_Raw!$A:$A,Input_Raw!$BO:$BO),"")</f>
        <v/>
      </c>
      <c r="AC121" s="176">
        <f>IFERROR(_xlfn.XLOOKUP($D121,'Modelling New'!$D:$D,'Modelling New'!$J:$J),"")</f>
        <v>8.18</v>
      </c>
      <c r="AD121" s="166">
        <f>IFERROR(_xlfn.XLOOKUP($D121,'Modelling New'!$D:$D,'Modelling New'!$T:$T)*1000,"")</f>
        <v>963883.16796059138</v>
      </c>
      <c r="AE121" s="174"/>
      <c r="AF121" s="174">
        <f>IFERROR(_xlfn.XLOOKUP($D121,'Modelling New'!$D:$D,'Modelling New'!$W:$W),"")</f>
        <v>0.57210539408867012</v>
      </c>
      <c r="AG121" s="174">
        <f>IFERROR(_xlfn.XLOOKUP($D121,'Modelling New'!$D:$D,'Modelling New'!$AE:$AE),"")</f>
        <v>0.96029999999999993</v>
      </c>
      <c r="AH121" s="174">
        <f>IFERROR(_xlfn.XLOOKUP($D121,'Modelling New'!$D:$D,'Modelling New'!$AF:$AF),"")</f>
        <v>0.995</v>
      </c>
      <c r="AI121" s="177" t="str">
        <f>IFERROR(_xlfn.XLOOKUP($A121,Input_Raw!$A:$A,Input_Raw!$BQ:$BQ),"")</f>
        <v/>
      </c>
      <c r="AJ121" s="167"/>
      <c r="AK121" s="167"/>
      <c r="AL121" s="167"/>
      <c r="AM121" s="167"/>
      <c r="AN121" s="175" t="str">
        <f>IFERROR(_xlfn.XLOOKUP($A121,Input_Raw!$A:$A,Input_Raw!$BN:$BN),"")</f>
        <v/>
      </c>
      <c r="AO121" s="174" t="str">
        <f>IFERROR((_xlfn.XLOOKUP($A121,'WTG Reactive Power'!$A:$A,'WTG Reactive Power'!$AE:$AE))/Table13[[#This Row],[Gen_Exp (kWh)]],"")</f>
        <v/>
      </c>
      <c r="AP121" s="174">
        <f>IFERROR(_xlfn.XLOOKUP($D121,'Modelling New'!$D:$D,'Modelling New'!$AK:$AK),"")</f>
        <v>0.05</v>
      </c>
      <c r="AQ121" s="174">
        <f>IFERROR(_xlfn.XLOOKUP($D121,'Modelling New'!$D:$D,'Modelling New'!$AL:$AL),"")</f>
        <v>0.05</v>
      </c>
      <c r="AR121" s="276">
        <f>IFERROR(_xlfn.XLOOKUP($D121,'Modelling New'!$D:$D,'Modelling New'!$N:$N),"")</f>
        <v>70.2</v>
      </c>
      <c r="AS121" s="276"/>
    </row>
    <row r="122" spans="1:45">
      <c r="A122" s="165">
        <f t="shared" si="11"/>
        <v>45865</v>
      </c>
      <c r="B122" s="166">
        <f>YEAR(Table13[[#This Row],[Date]])+IF(MONTH(Table13[[#This Row],[Date]])&gt;=4,1,0)</f>
        <v>2026</v>
      </c>
      <c r="C122" s="167">
        <f>YEAR(Table13[[#This Row],[Date]])</f>
        <v>2025</v>
      </c>
      <c r="D122" s="168">
        <f>Table13[[#This Row],[Date]]-DAY(Table13[[#This Row],[Date]])+1</f>
        <v>45839</v>
      </c>
      <c r="E122" s="167">
        <f t="shared" si="8"/>
        <v>31</v>
      </c>
      <c r="F122" s="169"/>
      <c r="G122" s="170"/>
      <c r="H122" s="170"/>
      <c r="I122" s="170"/>
      <c r="J122" s="170"/>
      <c r="K122" s="171"/>
      <c r="L122" s="170"/>
      <c r="M122" s="170" t="str">
        <f>IFERROR(_xlfn.XLOOKUP($A122,Input_Raw!$A:$A,Input_Raw!BG:BG),"")</f>
        <v/>
      </c>
      <c r="N122" s="170" t="str">
        <f>IFERROR(_xlfn.XLOOKUP($A122,Input_Raw!$A:$A,Input_Raw!BH:BH),"")</f>
        <v/>
      </c>
      <c r="O122" s="173" t="str">
        <f t="shared" si="9"/>
        <v/>
      </c>
      <c r="P122" s="173" t="str">
        <f>IFERROR(1-SUMIF(WTG_BD!$F:$F,$A122,WTG_BD!$AA:$AA)/($AA122+SUMIF(WTG_BD!$F:$F,$A122,WTG_BD!$AA:$AA)),"")</f>
        <v/>
      </c>
      <c r="Q122" s="173" t="str">
        <f>IFERROR(1-SUMIF(IGA_BD!$F:$F,$A122,IGA_BD!$X:$X)/($AA122+SUMIF(IGA_BD!$F:$F,$A122,IGA_BD!$X:$X)),"")</f>
        <v/>
      </c>
      <c r="R122" s="173" t="str">
        <f>IFERROR(1-SUMIF(Grid_BD!$F:$F,$A122,Grid_BD!$Y:$Y)/($AA122+SUMIF(Grid_BD!$F:$F,$A122,Grid_BD!$Y:$Y)),"")</f>
        <v/>
      </c>
      <c r="S122" s="167"/>
      <c r="T122" s="172"/>
      <c r="U122" s="173"/>
      <c r="V122" s="167"/>
      <c r="W122" s="174" t="str">
        <f t="shared" si="10"/>
        <v/>
      </c>
      <c r="X122" s="167" t="str">
        <f>IFERROR(_xlfn.XLOOKUP($A122,Input_Raw!$A:$A,Input_Raw!$BF:$BF),"")</f>
        <v/>
      </c>
      <c r="Y122" s="167" t="str">
        <f>IFERROR(_xlfn.XLOOKUP($A122,Input_Raw!$A:$A,Input_Raw!BJ:BJ),"")</f>
        <v/>
      </c>
      <c r="Z122" s="167" t="str">
        <f>IFERROR(_xlfn.XLOOKUP($A122,Input_Raw!$A:$A,Input_Raw!BK:BK),"")</f>
        <v/>
      </c>
      <c r="AA122" s="167" t="str">
        <f>IFERROR(_xlfn.XLOOKUP($A122,Input_Raw!$A:$A,Input_Raw!BL:BL),"")</f>
        <v/>
      </c>
      <c r="AB122" s="167" t="str">
        <f>IFERROR(_xlfn.XLOOKUP($A122,Input_Raw!$A:$A,Input_Raw!$BO:$BO),"")</f>
        <v/>
      </c>
      <c r="AC122" s="176">
        <f>IFERROR(_xlfn.XLOOKUP($D122,'Modelling New'!$D:$D,'Modelling New'!$J:$J),"")</f>
        <v>8.18</v>
      </c>
      <c r="AD122" s="166">
        <f>IFERROR(_xlfn.XLOOKUP($D122,'Modelling New'!$D:$D,'Modelling New'!$T:$T)*1000,"")</f>
        <v>963883.16796059138</v>
      </c>
      <c r="AE122" s="174"/>
      <c r="AF122" s="174">
        <f>IFERROR(_xlfn.XLOOKUP($D122,'Modelling New'!$D:$D,'Modelling New'!$W:$W),"")</f>
        <v>0.57210539408867012</v>
      </c>
      <c r="AG122" s="174">
        <f>IFERROR(_xlfn.XLOOKUP($D122,'Modelling New'!$D:$D,'Modelling New'!$AE:$AE),"")</f>
        <v>0.96029999999999993</v>
      </c>
      <c r="AH122" s="174">
        <f>IFERROR(_xlfn.XLOOKUP($D122,'Modelling New'!$D:$D,'Modelling New'!$AF:$AF),"")</f>
        <v>0.995</v>
      </c>
      <c r="AI122" s="177" t="str">
        <f>IFERROR(_xlfn.XLOOKUP($A122,Input_Raw!$A:$A,Input_Raw!$BQ:$BQ),"")</f>
        <v/>
      </c>
      <c r="AJ122" s="167"/>
      <c r="AK122" s="167"/>
      <c r="AL122" s="167"/>
      <c r="AM122" s="167"/>
      <c r="AN122" s="175" t="str">
        <f>IFERROR(_xlfn.XLOOKUP($A122,Input_Raw!$A:$A,Input_Raw!$BN:$BN),"")</f>
        <v/>
      </c>
      <c r="AO122" s="174" t="str">
        <f>IFERROR((_xlfn.XLOOKUP($A122,'WTG Reactive Power'!$A:$A,'WTG Reactive Power'!$AE:$AE))/Table13[[#This Row],[Gen_Exp (kWh)]],"")</f>
        <v/>
      </c>
      <c r="AP122" s="174">
        <f>IFERROR(_xlfn.XLOOKUP($D122,'Modelling New'!$D:$D,'Modelling New'!$AK:$AK),"")</f>
        <v>0.05</v>
      </c>
      <c r="AQ122" s="174">
        <f>IFERROR(_xlfn.XLOOKUP($D122,'Modelling New'!$D:$D,'Modelling New'!$AL:$AL),"")</f>
        <v>0.05</v>
      </c>
      <c r="AR122" s="276">
        <f>IFERROR(_xlfn.XLOOKUP($D122,'Modelling New'!$D:$D,'Modelling New'!$N:$N),"")</f>
        <v>70.2</v>
      </c>
      <c r="AS122" s="276"/>
    </row>
    <row r="123" spans="1:45">
      <c r="A123" s="165">
        <f t="shared" si="11"/>
        <v>45866</v>
      </c>
      <c r="B123" s="166">
        <f>YEAR(Table13[[#This Row],[Date]])+IF(MONTH(Table13[[#This Row],[Date]])&gt;=4,1,0)</f>
        <v>2026</v>
      </c>
      <c r="C123" s="167">
        <f>YEAR(Table13[[#This Row],[Date]])</f>
        <v>2025</v>
      </c>
      <c r="D123" s="168">
        <f>Table13[[#This Row],[Date]]-DAY(Table13[[#This Row],[Date]])+1</f>
        <v>45839</v>
      </c>
      <c r="E123" s="167">
        <f t="shared" si="8"/>
        <v>31</v>
      </c>
      <c r="F123" s="169"/>
      <c r="G123" s="176"/>
      <c r="H123" s="176"/>
      <c r="I123" s="176"/>
      <c r="J123" s="176"/>
      <c r="K123" s="171"/>
      <c r="L123" s="170"/>
      <c r="M123" s="170" t="str">
        <f>IFERROR(_xlfn.XLOOKUP($A123,Input_Raw!$A:$A,Input_Raw!BG:BG),"")</f>
        <v/>
      </c>
      <c r="N123" s="170" t="str">
        <f>IFERROR(_xlfn.XLOOKUP($A123,Input_Raw!$A:$A,Input_Raw!BH:BH),"")</f>
        <v/>
      </c>
      <c r="O123" s="173" t="str">
        <f t="shared" si="9"/>
        <v/>
      </c>
      <c r="P123" s="173" t="str">
        <f>IFERROR(1-SUMIF(WTG_BD!$F:$F,$A123,WTG_BD!$AA:$AA)/($AA123+SUMIF(WTG_BD!$F:$F,$A123,WTG_BD!$AA:$AA)),"")</f>
        <v/>
      </c>
      <c r="Q123" s="173" t="str">
        <f>IFERROR(1-SUMIF(IGA_BD!$F:$F,$A123,IGA_BD!$X:$X)/($AA123+SUMIF(IGA_BD!$F:$F,$A123,IGA_BD!$X:$X)),"")</f>
        <v/>
      </c>
      <c r="R123" s="173" t="str">
        <f>IFERROR(1-SUMIF(Grid_BD!$F:$F,$A123,Grid_BD!$Y:$Y)/($AA123+SUMIF(Grid_BD!$F:$F,$A123,Grid_BD!$Y:$Y)),"")</f>
        <v/>
      </c>
      <c r="S123" s="167"/>
      <c r="T123" s="172"/>
      <c r="U123" s="173"/>
      <c r="V123" s="167"/>
      <c r="W123" s="174" t="str">
        <f t="shared" si="10"/>
        <v/>
      </c>
      <c r="X123" s="167" t="str">
        <f>IFERROR(_xlfn.XLOOKUP($A123,Input_Raw!$A:$A,Input_Raw!$BF:$BF),"")</f>
        <v/>
      </c>
      <c r="Y123" s="167" t="str">
        <f>IFERROR(_xlfn.XLOOKUP($A123,Input_Raw!$A:$A,Input_Raw!BJ:BJ),"")</f>
        <v/>
      </c>
      <c r="Z123" s="167" t="str">
        <f>IFERROR(_xlfn.XLOOKUP($A123,Input_Raw!$A:$A,Input_Raw!BK:BK),"")</f>
        <v/>
      </c>
      <c r="AA123" s="167" t="str">
        <f>IFERROR(_xlfn.XLOOKUP($A123,Input_Raw!$A:$A,Input_Raw!BL:BL),"")</f>
        <v/>
      </c>
      <c r="AB123" s="167" t="str">
        <f>IFERROR(_xlfn.XLOOKUP($A123,Input_Raw!$A:$A,Input_Raw!$BO:$BO),"")</f>
        <v/>
      </c>
      <c r="AC123" s="176">
        <f>IFERROR(_xlfn.XLOOKUP($D123,'Modelling New'!$D:$D,'Modelling New'!$J:$J),"")</f>
        <v>8.18</v>
      </c>
      <c r="AD123" s="166">
        <f>IFERROR(_xlfn.XLOOKUP($D123,'Modelling New'!$D:$D,'Modelling New'!$T:$T)*1000,"")</f>
        <v>963883.16796059138</v>
      </c>
      <c r="AE123" s="174"/>
      <c r="AF123" s="174">
        <f>IFERROR(_xlfn.XLOOKUP($D123,'Modelling New'!$D:$D,'Modelling New'!$W:$W),"")</f>
        <v>0.57210539408867012</v>
      </c>
      <c r="AG123" s="174">
        <f>IFERROR(_xlfn.XLOOKUP($D123,'Modelling New'!$D:$D,'Modelling New'!$AE:$AE),"")</f>
        <v>0.96029999999999993</v>
      </c>
      <c r="AH123" s="174">
        <f>IFERROR(_xlfn.XLOOKUP($D123,'Modelling New'!$D:$D,'Modelling New'!$AF:$AF),"")</f>
        <v>0.995</v>
      </c>
      <c r="AI123" s="177" t="str">
        <f>IFERROR(_xlfn.XLOOKUP($A123,Input_Raw!$A:$A,Input_Raw!$BQ:$BQ),"")</f>
        <v/>
      </c>
      <c r="AJ123" s="167"/>
      <c r="AK123" s="167"/>
      <c r="AL123" s="167"/>
      <c r="AM123" s="167"/>
      <c r="AN123" s="175" t="str">
        <f>IFERROR(_xlfn.XLOOKUP($A123,Input_Raw!$A:$A,Input_Raw!$BN:$BN),"")</f>
        <v/>
      </c>
      <c r="AO123" s="174" t="str">
        <f>IFERROR((_xlfn.XLOOKUP($A123,'WTG Reactive Power'!$A:$A,'WTG Reactive Power'!$AE:$AE))/Table13[[#This Row],[Gen_Exp (kWh)]],"")</f>
        <v/>
      </c>
      <c r="AP123" s="174">
        <f>IFERROR(_xlfn.XLOOKUP($D123,'Modelling New'!$D:$D,'Modelling New'!$AK:$AK),"")</f>
        <v>0.05</v>
      </c>
      <c r="AQ123" s="174">
        <f>IFERROR(_xlfn.XLOOKUP($D123,'Modelling New'!$D:$D,'Modelling New'!$AL:$AL),"")</f>
        <v>0.05</v>
      </c>
      <c r="AR123" s="276">
        <f>IFERROR(_xlfn.XLOOKUP($D123,'Modelling New'!$D:$D,'Modelling New'!$N:$N),"")</f>
        <v>70.2</v>
      </c>
      <c r="AS123" s="276"/>
    </row>
    <row r="124" spans="1:45">
      <c r="A124" s="165">
        <f t="shared" si="11"/>
        <v>45867</v>
      </c>
      <c r="B124" s="166">
        <f>YEAR(Table13[[#This Row],[Date]])+IF(MONTH(Table13[[#This Row],[Date]])&gt;=4,1,0)</f>
        <v>2026</v>
      </c>
      <c r="C124" s="167">
        <f>YEAR(Table13[[#This Row],[Date]])</f>
        <v>2025</v>
      </c>
      <c r="D124" s="168">
        <f>Table13[[#This Row],[Date]]-DAY(Table13[[#This Row],[Date]])+1</f>
        <v>45839</v>
      </c>
      <c r="E124" s="167">
        <f t="shared" si="8"/>
        <v>31</v>
      </c>
      <c r="F124" s="169"/>
      <c r="G124" s="170"/>
      <c r="H124" s="170"/>
      <c r="I124" s="170"/>
      <c r="J124" s="170"/>
      <c r="K124" s="171"/>
      <c r="L124" s="170"/>
      <c r="M124" s="170" t="str">
        <f>IFERROR(_xlfn.XLOOKUP($A124,Input_Raw!$A:$A,Input_Raw!BG:BG),"")</f>
        <v/>
      </c>
      <c r="N124" s="170" t="str">
        <f>IFERROR(_xlfn.XLOOKUP($A124,Input_Raw!$A:$A,Input_Raw!BH:BH),"")</f>
        <v/>
      </c>
      <c r="O124" s="173" t="str">
        <f t="shared" si="9"/>
        <v/>
      </c>
      <c r="P124" s="173" t="str">
        <f>IFERROR(1-SUMIF(WTG_BD!$F:$F,$A124,WTG_BD!$AA:$AA)/($AA124+SUMIF(WTG_BD!$F:$F,$A124,WTG_BD!$AA:$AA)),"")</f>
        <v/>
      </c>
      <c r="Q124" s="173" t="str">
        <f>IFERROR(1-SUMIF(IGA_BD!$F:$F,$A124,IGA_BD!$X:$X)/($AA124+SUMIF(IGA_BD!$F:$F,$A124,IGA_BD!$X:$X)),"")</f>
        <v/>
      </c>
      <c r="R124" s="173" t="str">
        <f>IFERROR(1-SUMIF(Grid_BD!$F:$F,$A124,Grid_BD!$Y:$Y)/($AA124+SUMIF(Grid_BD!$F:$F,$A124,Grid_BD!$Y:$Y)),"")</f>
        <v/>
      </c>
      <c r="S124" s="167"/>
      <c r="T124" s="172"/>
      <c r="U124" s="173"/>
      <c r="V124" s="167"/>
      <c r="W124" s="174" t="str">
        <f t="shared" si="10"/>
        <v/>
      </c>
      <c r="X124" s="167" t="str">
        <f>IFERROR(_xlfn.XLOOKUP($A124,Input_Raw!$A:$A,Input_Raw!$BF:$BF),"")</f>
        <v/>
      </c>
      <c r="Y124" s="167" t="str">
        <f>IFERROR(_xlfn.XLOOKUP($A124,Input_Raw!$A:$A,Input_Raw!BJ:BJ),"")</f>
        <v/>
      </c>
      <c r="Z124" s="167" t="str">
        <f>IFERROR(_xlfn.XLOOKUP($A124,Input_Raw!$A:$A,Input_Raw!BK:BK),"")</f>
        <v/>
      </c>
      <c r="AA124" s="167" t="str">
        <f>IFERROR(_xlfn.XLOOKUP($A124,Input_Raw!$A:$A,Input_Raw!BL:BL),"")</f>
        <v/>
      </c>
      <c r="AB124" s="167" t="str">
        <f>IFERROR(_xlfn.XLOOKUP($A124,Input_Raw!$A:$A,Input_Raw!$BO:$BO),"")</f>
        <v/>
      </c>
      <c r="AC124" s="176">
        <f>IFERROR(_xlfn.XLOOKUP($D124,'Modelling New'!$D:$D,'Modelling New'!$J:$J),"")</f>
        <v>8.18</v>
      </c>
      <c r="AD124" s="166">
        <f>IFERROR(_xlfn.XLOOKUP($D124,'Modelling New'!$D:$D,'Modelling New'!$T:$T)*1000,"")</f>
        <v>963883.16796059138</v>
      </c>
      <c r="AE124" s="174"/>
      <c r="AF124" s="174">
        <f>IFERROR(_xlfn.XLOOKUP($D124,'Modelling New'!$D:$D,'Modelling New'!$W:$W),"")</f>
        <v>0.57210539408867012</v>
      </c>
      <c r="AG124" s="174">
        <f>IFERROR(_xlfn.XLOOKUP($D124,'Modelling New'!$D:$D,'Modelling New'!$AE:$AE),"")</f>
        <v>0.96029999999999993</v>
      </c>
      <c r="AH124" s="174">
        <f>IFERROR(_xlfn.XLOOKUP($D124,'Modelling New'!$D:$D,'Modelling New'!$AF:$AF),"")</f>
        <v>0.995</v>
      </c>
      <c r="AI124" s="177" t="str">
        <f>IFERROR(_xlfn.XLOOKUP($A124,Input_Raw!$A:$A,Input_Raw!$BQ:$BQ),"")</f>
        <v/>
      </c>
      <c r="AJ124" s="167"/>
      <c r="AK124" s="167"/>
      <c r="AL124" s="167"/>
      <c r="AM124" s="167"/>
      <c r="AN124" s="175" t="str">
        <f>IFERROR(_xlfn.XLOOKUP($A124,Input_Raw!$A:$A,Input_Raw!$BN:$BN),"")</f>
        <v/>
      </c>
      <c r="AO124" s="174" t="str">
        <f>IFERROR((_xlfn.XLOOKUP($A124,'WTG Reactive Power'!$A:$A,'WTG Reactive Power'!$AE:$AE))/Table13[[#This Row],[Gen_Exp (kWh)]],"")</f>
        <v/>
      </c>
      <c r="AP124" s="174">
        <f>IFERROR(_xlfn.XLOOKUP($D124,'Modelling New'!$D:$D,'Modelling New'!$AK:$AK),"")</f>
        <v>0.05</v>
      </c>
      <c r="AQ124" s="174">
        <f>IFERROR(_xlfn.XLOOKUP($D124,'Modelling New'!$D:$D,'Modelling New'!$AL:$AL),"")</f>
        <v>0.05</v>
      </c>
      <c r="AR124" s="276">
        <f>IFERROR(_xlfn.XLOOKUP($D124,'Modelling New'!$D:$D,'Modelling New'!$N:$N),"")</f>
        <v>70.2</v>
      </c>
      <c r="AS124" s="276"/>
    </row>
    <row r="125" spans="1:45">
      <c r="A125" s="165">
        <f t="shared" si="11"/>
        <v>45868</v>
      </c>
      <c r="B125" s="166">
        <f>YEAR(Table13[[#This Row],[Date]])+IF(MONTH(Table13[[#This Row],[Date]])&gt;=4,1,0)</f>
        <v>2026</v>
      </c>
      <c r="C125" s="167">
        <f>YEAR(Table13[[#This Row],[Date]])</f>
        <v>2025</v>
      </c>
      <c r="D125" s="168">
        <f>Table13[[#This Row],[Date]]-DAY(Table13[[#This Row],[Date]])+1</f>
        <v>45839</v>
      </c>
      <c r="E125" s="167">
        <f t="shared" si="8"/>
        <v>31</v>
      </c>
      <c r="F125" s="169"/>
      <c r="G125" s="176"/>
      <c r="H125" s="176"/>
      <c r="I125" s="176"/>
      <c r="J125" s="176"/>
      <c r="K125" s="171"/>
      <c r="L125" s="170"/>
      <c r="M125" s="170" t="str">
        <f>IFERROR(_xlfn.XLOOKUP($A125,Input_Raw!$A:$A,Input_Raw!BG:BG),"")</f>
        <v/>
      </c>
      <c r="N125" s="170" t="str">
        <f>IFERROR(_xlfn.XLOOKUP($A125,Input_Raw!$A:$A,Input_Raw!BH:BH),"")</f>
        <v/>
      </c>
      <c r="O125" s="173" t="str">
        <f t="shared" si="9"/>
        <v/>
      </c>
      <c r="P125" s="173" t="str">
        <f>IFERROR(1-SUMIF(WTG_BD!$F:$F,$A125,WTG_BD!$AA:$AA)/($AA125+SUMIF(WTG_BD!$F:$F,$A125,WTG_BD!$AA:$AA)),"")</f>
        <v/>
      </c>
      <c r="Q125" s="173" t="str">
        <f>IFERROR(1-SUMIF(IGA_BD!$F:$F,$A125,IGA_BD!$X:$X)/($AA125+SUMIF(IGA_BD!$F:$F,$A125,IGA_BD!$X:$X)),"")</f>
        <v/>
      </c>
      <c r="R125" s="173" t="str">
        <f>IFERROR(1-SUMIF(Grid_BD!$F:$F,$A125,Grid_BD!$Y:$Y)/($AA125+SUMIF(Grid_BD!$F:$F,$A125,Grid_BD!$Y:$Y)),"")</f>
        <v/>
      </c>
      <c r="S125" s="167"/>
      <c r="T125" s="172"/>
      <c r="U125" s="173"/>
      <c r="V125" s="167"/>
      <c r="W125" s="174" t="str">
        <f t="shared" si="10"/>
        <v/>
      </c>
      <c r="X125" s="167" t="str">
        <f>IFERROR(_xlfn.XLOOKUP($A125,Input_Raw!$A:$A,Input_Raw!$BF:$BF),"")</f>
        <v/>
      </c>
      <c r="Y125" s="167" t="str">
        <f>IFERROR(_xlfn.XLOOKUP($A125,Input_Raw!$A:$A,Input_Raw!BJ:BJ),"")</f>
        <v/>
      </c>
      <c r="Z125" s="167" t="str">
        <f>IFERROR(_xlfn.XLOOKUP($A125,Input_Raw!$A:$A,Input_Raw!BK:BK),"")</f>
        <v/>
      </c>
      <c r="AA125" s="167" t="str">
        <f>IFERROR(_xlfn.XLOOKUP($A125,Input_Raw!$A:$A,Input_Raw!BL:BL),"")</f>
        <v/>
      </c>
      <c r="AB125" s="167" t="str">
        <f>IFERROR(_xlfn.XLOOKUP($A125,Input_Raw!$A:$A,Input_Raw!$BO:$BO),"")</f>
        <v/>
      </c>
      <c r="AC125" s="176">
        <f>IFERROR(_xlfn.XLOOKUP($D125,'Modelling New'!$D:$D,'Modelling New'!$J:$J),"")</f>
        <v>8.18</v>
      </c>
      <c r="AD125" s="166">
        <f>IFERROR(_xlfn.XLOOKUP($D125,'Modelling New'!$D:$D,'Modelling New'!$T:$T)*1000,"")</f>
        <v>963883.16796059138</v>
      </c>
      <c r="AE125" s="174"/>
      <c r="AF125" s="174">
        <f>IFERROR(_xlfn.XLOOKUP($D125,'Modelling New'!$D:$D,'Modelling New'!$W:$W),"")</f>
        <v>0.57210539408867012</v>
      </c>
      <c r="AG125" s="174">
        <f>IFERROR(_xlfn.XLOOKUP($D125,'Modelling New'!$D:$D,'Modelling New'!$AE:$AE),"")</f>
        <v>0.96029999999999993</v>
      </c>
      <c r="AH125" s="174">
        <f>IFERROR(_xlfn.XLOOKUP($D125,'Modelling New'!$D:$D,'Modelling New'!$AF:$AF),"")</f>
        <v>0.995</v>
      </c>
      <c r="AI125" s="177" t="str">
        <f>IFERROR(_xlfn.XLOOKUP($A125,Input_Raw!$A:$A,Input_Raw!$BQ:$BQ),"")</f>
        <v/>
      </c>
      <c r="AJ125" s="167"/>
      <c r="AK125" s="167"/>
      <c r="AL125" s="167"/>
      <c r="AM125" s="167"/>
      <c r="AN125" s="175" t="str">
        <f>IFERROR(_xlfn.XLOOKUP($A125,Input_Raw!$A:$A,Input_Raw!$BN:$BN),"")</f>
        <v/>
      </c>
      <c r="AO125" s="174" t="str">
        <f>IFERROR((_xlfn.XLOOKUP($A125,'WTG Reactive Power'!$A:$A,'WTG Reactive Power'!$AE:$AE))/Table13[[#This Row],[Gen_Exp (kWh)]],"")</f>
        <v/>
      </c>
      <c r="AP125" s="174">
        <f>IFERROR(_xlfn.XLOOKUP($D125,'Modelling New'!$D:$D,'Modelling New'!$AK:$AK),"")</f>
        <v>0.05</v>
      </c>
      <c r="AQ125" s="174">
        <f>IFERROR(_xlfn.XLOOKUP($D125,'Modelling New'!$D:$D,'Modelling New'!$AL:$AL),"")</f>
        <v>0.05</v>
      </c>
      <c r="AR125" s="276">
        <f>IFERROR(_xlfn.XLOOKUP($D125,'Modelling New'!$D:$D,'Modelling New'!$N:$N),"")</f>
        <v>70.2</v>
      </c>
      <c r="AS125" s="276"/>
    </row>
    <row r="126" spans="1:45">
      <c r="A126" s="165">
        <f t="shared" si="11"/>
        <v>45869</v>
      </c>
      <c r="B126" s="166">
        <f>YEAR(Table13[[#This Row],[Date]])+IF(MONTH(Table13[[#This Row],[Date]])&gt;=4,1,0)</f>
        <v>2026</v>
      </c>
      <c r="C126" s="167">
        <f>YEAR(Table13[[#This Row],[Date]])</f>
        <v>2025</v>
      </c>
      <c r="D126" s="168">
        <f>Table13[[#This Row],[Date]]-DAY(Table13[[#This Row],[Date]])+1</f>
        <v>45839</v>
      </c>
      <c r="E126" s="167">
        <f t="shared" si="8"/>
        <v>31</v>
      </c>
      <c r="F126" s="169"/>
      <c r="G126" s="170"/>
      <c r="H126" s="170"/>
      <c r="I126" s="170"/>
      <c r="J126" s="170"/>
      <c r="K126" s="171"/>
      <c r="L126" s="170"/>
      <c r="M126" s="170" t="str">
        <f>IFERROR(_xlfn.XLOOKUP($A126,Input_Raw!$A:$A,Input_Raw!BG:BG),"")</f>
        <v/>
      </c>
      <c r="N126" s="170" t="str">
        <f>IFERROR(_xlfn.XLOOKUP($A126,Input_Raw!$A:$A,Input_Raw!BH:BH),"")</f>
        <v/>
      </c>
      <c r="O126" s="173" t="str">
        <f t="shared" si="9"/>
        <v/>
      </c>
      <c r="P126" s="173" t="str">
        <f>IFERROR(1-SUMIF(WTG_BD!$F:$F,$A126,WTG_BD!$AA:$AA)/($AA126+SUMIF(WTG_BD!$F:$F,$A126,WTG_BD!$AA:$AA)),"")</f>
        <v/>
      </c>
      <c r="Q126" s="173" t="str">
        <f>IFERROR(1-SUMIF(IGA_BD!$F:$F,$A126,IGA_BD!$X:$X)/($AA126+SUMIF(IGA_BD!$F:$F,$A126,IGA_BD!$X:$X)),"")</f>
        <v/>
      </c>
      <c r="R126" s="173" t="str">
        <f>IFERROR(1-SUMIF(Grid_BD!$F:$F,$A126,Grid_BD!$Y:$Y)/($AA126+SUMIF(Grid_BD!$F:$F,$A126,Grid_BD!$Y:$Y)),"")</f>
        <v/>
      </c>
      <c r="S126" s="167"/>
      <c r="T126" s="172"/>
      <c r="U126" s="173"/>
      <c r="V126" s="167"/>
      <c r="W126" s="174" t="str">
        <f t="shared" si="10"/>
        <v/>
      </c>
      <c r="X126" s="167" t="str">
        <f>IFERROR(_xlfn.XLOOKUP($A126,Input_Raw!$A:$A,Input_Raw!$BF:$BF),"")</f>
        <v/>
      </c>
      <c r="Y126" s="167" t="str">
        <f>IFERROR(_xlfn.XLOOKUP($A126,Input_Raw!$A:$A,Input_Raw!BJ:BJ),"")</f>
        <v/>
      </c>
      <c r="Z126" s="167" t="str">
        <f>IFERROR(_xlfn.XLOOKUP($A126,Input_Raw!$A:$A,Input_Raw!BK:BK),"")</f>
        <v/>
      </c>
      <c r="AA126" s="167" t="str">
        <f>IFERROR(_xlfn.XLOOKUP($A126,Input_Raw!$A:$A,Input_Raw!BL:BL),"")</f>
        <v/>
      </c>
      <c r="AB126" s="167" t="str">
        <f>IFERROR(_xlfn.XLOOKUP($A126,Input_Raw!$A:$A,Input_Raw!$BO:$BO),"")</f>
        <v/>
      </c>
      <c r="AC126" s="176">
        <f>IFERROR(_xlfn.XLOOKUP($D126,'Modelling New'!$D:$D,'Modelling New'!$J:$J),"")</f>
        <v>8.18</v>
      </c>
      <c r="AD126" s="166">
        <f>IFERROR(_xlfn.XLOOKUP($D126,'Modelling New'!$D:$D,'Modelling New'!$T:$T)*1000,"")</f>
        <v>963883.16796059138</v>
      </c>
      <c r="AE126" s="174"/>
      <c r="AF126" s="174">
        <f>IFERROR(_xlfn.XLOOKUP($D126,'Modelling New'!$D:$D,'Modelling New'!$W:$W),"")</f>
        <v>0.57210539408867012</v>
      </c>
      <c r="AG126" s="174">
        <f>IFERROR(_xlfn.XLOOKUP($D126,'Modelling New'!$D:$D,'Modelling New'!$AE:$AE),"")</f>
        <v>0.96029999999999993</v>
      </c>
      <c r="AH126" s="174">
        <f>IFERROR(_xlfn.XLOOKUP($D126,'Modelling New'!$D:$D,'Modelling New'!$AF:$AF),"")</f>
        <v>0.995</v>
      </c>
      <c r="AI126" s="177" t="str">
        <f>IFERROR(_xlfn.XLOOKUP($A126,Input_Raw!$A:$A,Input_Raw!$BQ:$BQ),"")</f>
        <v/>
      </c>
      <c r="AJ126" s="167"/>
      <c r="AK126" s="167"/>
      <c r="AL126" s="167"/>
      <c r="AM126" s="167"/>
      <c r="AN126" s="175" t="str">
        <f>IFERROR(_xlfn.XLOOKUP($A126,Input_Raw!$A:$A,Input_Raw!$BN:$BN),"")</f>
        <v/>
      </c>
      <c r="AO126" s="174" t="str">
        <f>IFERROR((_xlfn.XLOOKUP($A126,'WTG Reactive Power'!$A:$A,'WTG Reactive Power'!$AE:$AE))/Table13[[#This Row],[Gen_Exp (kWh)]],"")</f>
        <v/>
      </c>
      <c r="AP126" s="174">
        <f>IFERROR(_xlfn.XLOOKUP($D126,'Modelling New'!$D:$D,'Modelling New'!$AK:$AK),"")</f>
        <v>0.05</v>
      </c>
      <c r="AQ126" s="174">
        <f>IFERROR(_xlfn.XLOOKUP($D126,'Modelling New'!$D:$D,'Modelling New'!$AL:$AL),"")</f>
        <v>0.05</v>
      </c>
      <c r="AR126" s="276">
        <f>IFERROR(_xlfn.XLOOKUP($D126,'Modelling New'!$D:$D,'Modelling New'!$N:$N),"")</f>
        <v>70.2</v>
      </c>
      <c r="AS126" s="276"/>
    </row>
    <row r="127" spans="1:45">
      <c r="A127" s="165">
        <f t="shared" si="11"/>
        <v>45870</v>
      </c>
      <c r="B127" s="166">
        <f>YEAR(Table13[[#This Row],[Date]])+IF(MONTH(Table13[[#This Row],[Date]])&gt;=4,1,0)</f>
        <v>2026</v>
      </c>
      <c r="C127" s="167">
        <f>YEAR(Table13[[#This Row],[Date]])</f>
        <v>2025</v>
      </c>
      <c r="D127" s="168">
        <f>Table13[[#This Row],[Date]]-DAY(Table13[[#This Row],[Date]])+1</f>
        <v>45870</v>
      </c>
      <c r="E127" s="167">
        <f t="shared" si="8"/>
        <v>31</v>
      </c>
      <c r="F127" s="169"/>
      <c r="G127" s="176"/>
      <c r="H127" s="176"/>
      <c r="I127" s="176"/>
      <c r="J127" s="176"/>
      <c r="K127" s="171"/>
      <c r="L127" s="170"/>
      <c r="M127" s="170" t="str">
        <f>IFERROR(_xlfn.XLOOKUP($A127,Input_Raw!$A:$A,Input_Raw!BG:BG),"")</f>
        <v/>
      </c>
      <c r="N127" s="170" t="str">
        <f>IFERROR(_xlfn.XLOOKUP($A127,Input_Raw!$A:$A,Input_Raw!BH:BH),"")</f>
        <v/>
      </c>
      <c r="O127" s="173" t="str">
        <f t="shared" si="9"/>
        <v/>
      </c>
      <c r="P127" s="173" t="str">
        <f>IFERROR(1-SUMIF(WTG_BD!$F:$F,$A127,WTG_BD!$AA:$AA)/($AA127+SUMIF(WTG_BD!$F:$F,$A127,WTG_BD!$AA:$AA)),"")</f>
        <v/>
      </c>
      <c r="Q127" s="173" t="str">
        <f>IFERROR(1-SUMIF(IGA_BD!$F:$F,$A127,IGA_BD!$X:$X)/($AA127+SUMIF(IGA_BD!$F:$F,$A127,IGA_BD!$X:$X)),"")</f>
        <v/>
      </c>
      <c r="R127" s="173" t="str">
        <f>IFERROR(1-SUMIF(Grid_BD!$F:$F,$A127,Grid_BD!$Y:$Y)/($AA127+SUMIF(Grid_BD!$F:$F,$A127,Grid_BD!$Y:$Y)),"")</f>
        <v/>
      </c>
      <c r="S127" s="167"/>
      <c r="T127" s="172"/>
      <c r="U127" s="173"/>
      <c r="V127" s="167"/>
      <c r="W127" s="174" t="str">
        <f t="shared" si="10"/>
        <v/>
      </c>
      <c r="X127" s="167" t="str">
        <f>IFERROR(_xlfn.XLOOKUP($A127,Input_Raw!$A:$A,Input_Raw!$BF:$BF),"")</f>
        <v/>
      </c>
      <c r="Y127" s="167" t="str">
        <f>IFERROR(_xlfn.XLOOKUP($A127,Input_Raw!$A:$A,Input_Raw!BJ:BJ),"")</f>
        <v/>
      </c>
      <c r="Z127" s="167" t="str">
        <f>IFERROR(_xlfn.XLOOKUP($A127,Input_Raw!$A:$A,Input_Raw!BK:BK),"")</f>
        <v/>
      </c>
      <c r="AA127" s="167" t="str">
        <f>IFERROR(_xlfn.XLOOKUP($A127,Input_Raw!$A:$A,Input_Raw!BL:BL),"")</f>
        <v/>
      </c>
      <c r="AB127" s="167" t="str">
        <f>IFERROR(_xlfn.XLOOKUP($A127,Input_Raw!$A:$A,Input_Raw!$BO:$BO),"")</f>
        <v/>
      </c>
      <c r="AC127" s="176">
        <f>IFERROR(_xlfn.XLOOKUP($D127,'Modelling New'!$D:$D,'Modelling New'!$J:$J),"")</f>
        <v>9.01</v>
      </c>
      <c r="AD127" s="166">
        <f>IFERROR(_xlfn.XLOOKUP($D127,'Modelling New'!$D:$D,'Modelling New'!$T:$T)*1000,"")</f>
        <v>895729.81265024655</v>
      </c>
      <c r="AE127" s="174"/>
      <c r="AF127" s="174">
        <f>IFERROR(_xlfn.XLOOKUP($D127,'Modelling New'!$D:$D,'Modelling New'!$W:$W),"")</f>
        <v>0.53165349753694591</v>
      </c>
      <c r="AG127" s="174">
        <f>IFERROR(_xlfn.XLOOKUP($D127,'Modelling New'!$D:$D,'Modelling New'!$AE:$AE),"")</f>
        <v>0.96029999999999993</v>
      </c>
      <c r="AH127" s="174">
        <f>IFERROR(_xlfn.XLOOKUP($D127,'Modelling New'!$D:$D,'Modelling New'!$AF:$AF),"")</f>
        <v>0.995</v>
      </c>
      <c r="AI127" s="177" t="str">
        <f>IFERROR(_xlfn.XLOOKUP($A127,Input_Raw!$A:$A,Input_Raw!$BQ:$BQ),"")</f>
        <v/>
      </c>
      <c r="AJ127" s="167"/>
      <c r="AK127" s="167"/>
      <c r="AL127" s="167"/>
      <c r="AM127" s="167"/>
      <c r="AN127" s="175" t="str">
        <f>IFERROR(_xlfn.XLOOKUP($A127,Input_Raw!$A:$A,Input_Raw!$BN:$BN),"")</f>
        <v/>
      </c>
      <c r="AO127" s="174" t="str">
        <f>IFERROR((_xlfn.XLOOKUP($A127,'WTG Reactive Power'!$A:$A,'WTG Reactive Power'!$AE:$AE))/Table13[[#This Row],[Gen_Exp (kWh)]],"")</f>
        <v/>
      </c>
      <c r="AP127" s="174">
        <f>IFERROR(_xlfn.XLOOKUP($D127,'Modelling New'!$D:$D,'Modelling New'!$AK:$AK),"")</f>
        <v>0.05</v>
      </c>
      <c r="AQ127" s="174">
        <f>IFERROR(_xlfn.XLOOKUP($D127,'Modelling New'!$D:$D,'Modelling New'!$AL:$AL),"")</f>
        <v>0.05</v>
      </c>
      <c r="AR127" s="276">
        <f>IFERROR(_xlfn.XLOOKUP($D127,'Modelling New'!$D:$D,'Modelling New'!$N:$N),"")</f>
        <v>70.2</v>
      </c>
      <c r="AS127" s="276"/>
    </row>
    <row r="128" spans="1:45">
      <c r="A128" s="165">
        <f t="shared" si="11"/>
        <v>45871</v>
      </c>
      <c r="B128" s="166">
        <f>YEAR(Table13[[#This Row],[Date]])+IF(MONTH(Table13[[#This Row],[Date]])&gt;=4,1,0)</f>
        <v>2026</v>
      </c>
      <c r="C128" s="167">
        <f>YEAR(Table13[[#This Row],[Date]])</f>
        <v>2025</v>
      </c>
      <c r="D128" s="168">
        <f>Table13[[#This Row],[Date]]-DAY(Table13[[#This Row],[Date]])+1</f>
        <v>45870</v>
      </c>
      <c r="E128" s="167">
        <f t="shared" si="8"/>
        <v>31</v>
      </c>
      <c r="F128" s="169"/>
      <c r="G128" s="170"/>
      <c r="H128" s="170"/>
      <c r="I128" s="170"/>
      <c r="J128" s="170"/>
      <c r="K128" s="171"/>
      <c r="L128" s="170"/>
      <c r="M128" s="170" t="str">
        <f>IFERROR(_xlfn.XLOOKUP($A128,Input_Raw!$A:$A,Input_Raw!BG:BG),"")</f>
        <v/>
      </c>
      <c r="N128" s="170" t="str">
        <f>IFERROR(_xlfn.XLOOKUP($A128,Input_Raw!$A:$A,Input_Raw!BH:BH),"")</f>
        <v/>
      </c>
      <c r="O128" s="173" t="str">
        <f t="shared" si="9"/>
        <v/>
      </c>
      <c r="P128" s="173" t="str">
        <f>IFERROR(1-SUMIF(WTG_BD!$F:$F,$A128,WTG_BD!$AA:$AA)/($AA128+SUMIF(WTG_BD!$F:$F,$A128,WTG_BD!$AA:$AA)),"")</f>
        <v/>
      </c>
      <c r="Q128" s="173" t="str">
        <f>IFERROR(1-SUMIF(IGA_BD!$F:$F,$A128,IGA_BD!$X:$X)/($AA128+SUMIF(IGA_BD!$F:$F,$A128,IGA_BD!$X:$X)),"")</f>
        <v/>
      </c>
      <c r="R128" s="173" t="str">
        <f>IFERROR(1-SUMIF(Grid_BD!$F:$F,$A128,Grid_BD!$Y:$Y)/($AA128+SUMIF(Grid_BD!$F:$F,$A128,Grid_BD!$Y:$Y)),"")</f>
        <v/>
      </c>
      <c r="S128" s="167"/>
      <c r="T128" s="172"/>
      <c r="U128" s="173"/>
      <c r="V128" s="167"/>
      <c r="W128" s="174" t="str">
        <f t="shared" si="10"/>
        <v/>
      </c>
      <c r="X128" s="167" t="str">
        <f>IFERROR(_xlfn.XLOOKUP($A128,Input_Raw!$A:$A,Input_Raw!$BF:$BF),"")</f>
        <v/>
      </c>
      <c r="Y128" s="167" t="str">
        <f>IFERROR(_xlfn.XLOOKUP($A128,Input_Raw!$A:$A,Input_Raw!BJ:BJ),"")</f>
        <v/>
      </c>
      <c r="Z128" s="167" t="str">
        <f>IFERROR(_xlfn.XLOOKUP($A128,Input_Raw!$A:$A,Input_Raw!BK:BK),"")</f>
        <v/>
      </c>
      <c r="AA128" s="167" t="str">
        <f>IFERROR(_xlfn.XLOOKUP($A128,Input_Raw!$A:$A,Input_Raw!BL:BL),"")</f>
        <v/>
      </c>
      <c r="AB128" s="167" t="str">
        <f>IFERROR(_xlfn.XLOOKUP($A128,Input_Raw!$A:$A,Input_Raw!$BO:$BO),"")</f>
        <v/>
      </c>
      <c r="AC128" s="176">
        <f>IFERROR(_xlfn.XLOOKUP($D128,'Modelling New'!$D:$D,'Modelling New'!$J:$J),"")</f>
        <v>9.01</v>
      </c>
      <c r="AD128" s="166">
        <f>IFERROR(_xlfn.XLOOKUP($D128,'Modelling New'!$D:$D,'Modelling New'!$T:$T)*1000,"")</f>
        <v>895729.81265024655</v>
      </c>
      <c r="AE128" s="174"/>
      <c r="AF128" s="174">
        <f>IFERROR(_xlfn.XLOOKUP($D128,'Modelling New'!$D:$D,'Modelling New'!$W:$W),"")</f>
        <v>0.53165349753694591</v>
      </c>
      <c r="AG128" s="174">
        <f>IFERROR(_xlfn.XLOOKUP($D128,'Modelling New'!$D:$D,'Modelling New'!$AE:$AE),"")</f>
        <v>0.96029999999999993</v>
      </c>
      <c r="AH128" s="174">
        <f>IFERROR(_xlfn.XLOOKUP($D128,'Modelling New'!$D:$D,'Modelling New'!$AF:$AF),"")</f>
        <v>0.995</v>
      </c>
      <c r="AI128" s="177" t="str">
        <f>IFERROR(_xlfn.XLOOKUP($A128,Input_Raw!$A:$A,Input_Raw!$BQ:$BQ),"")</f>
        <v/>
      </c>
      <c r="AJ128" s="167"/>
      <c r="AK128" s="167"/>
      <c r="AL128" s="167"/>
      <c r="AM128" s="167"/>
      <c r="AN128" s="175" t="str">
        <f>IFERROR(_xlfn.XLOOKUP($A128,Input_Raw!$A:$A,Input_Raw!$BN:$BN),"")</f>
        <v/>
      </c>
      <c r="AO128" s="174" t="str">
        <f>IFERROR((_xlfn.XLOOKUP($A128,'WTG Reactive Power'!$A:$A,'WTG Reactive Power'!$AE:$AE))/Table13[[#This Row],[Gen_Exp (kWh)]],"")</f>
        <v/>
      </c>
      <c r="AP128" s="174">
        <f>IFERROR(_xlfn.XLOOKUP($D128,'Modelling New'!$D:$D,'Modelling New'!$AK:$AK),"")</f>
        <v>0.05</v>
      </c>
      <c r="AQ128" s="174">
        <f>IFERROR(_xlfn.XLOOKUP($D128,'Modelling New'!$D:$D,'Modelling New'!$AL:$AL),"")</f>
        <v>0.05</v>
      </c>
      <c r="AR128" s="276">
        <f>IFERROR(_xlfn.XLOOKUP($D128,'Modelling New'!$D:$D,'Modelling New'!$N:$N),"")</f>
        <v>70.2</v>
      </c>
      <c r="AS128" s="276"/>
    </row>
    <row r="129" spans="1:45">
      <c r="A129" s="165">
        <f t="shared" si="11"/>
        <v>45872</v>
      </c>
      <c r="B129" s="166">
        <f>YEAR(Table13[[#This Row],[Date]])+IF(MONTH(Table13[[#This Row],[Date]])&gt;=4,1,0)</f>
        <v>2026</v>
      </c>
      <c r="C129" s="167">
        <f>YEAR(Table13[[#This Row],[Date]])</f>
        <v>2025</v>
      </c>
      <c r="D129" s="168">
        <f>Table13[[#This Row],[Date]]-DAY(Table13[[#This Row],[Date]])+1</f>
        <v>45870</v>
      </c>
      <c r="E129" s="167">
        <f t="shared" si="8"/>
        <v>31</v>
      </c>
      <c r="F129" s="169"/>
      <c r="G129" s="176"/>
      <c r="H129" s="176"/>
      <c r="I129" s="176"/>
      <c r="J129" s="176"/>
      <c r="K129" s="171"/>
      <c r="L129" s="170"/>
      <c r="M129" s="170" t="str">
        <f>IFERROR(_xlfn.XLOOKUP($A129,Input_Raw!$A:$A,Input_Raw!BG:BG),"")</f>
        <v/>
      </c>
      <c r="N129" s="170" t="str">
        <f>IFERROR(_xlfn.XLOOKUP($A129,Input_Raw!$A:$A,Input_Raw!BH:BH),"")</f>
        <v/>
      </c>
      <c r="O129" s="173" t="str">
        <f t="shared" si="9"/>
        <v/>
      </c>
      <c r="P129" s="173" t="str">
        <f>IFERROR(1-SUMIF(WTG_BD!$F:$F,$A129,WTG_BD!$AA:$AA)/($AA129+SUMIF(WTG_BD!$F:$F,$A129,WTG_BD!$AA:$AA)),"")</f>
        <v/>
      </c>
      <c r="Q129" s="173" t="str">
        <f>IFERROR(1-SUMIF(IGA_BD!$F:$F,$A129,IGA_BD!$X:$X)/($AA129+SUMIF(IGA_BD!$F:$F,$A129,IGA_BD!$X:$X)),"")</f>
        <v/>
      </c>
      <c r="R129" s="173" t="str">
        <f>IFERROR(1-SUMIF(Grid_BD!$F:$F,$A129,Grid_BD!$Y:$Y)/($AA129+SUMIF(Grid_BD!$F:$F,$A129,Grid_BD!$Y:$Y)),"")</f>
        <v/>
      </c>
      <c r="S129" s="167"/>
      <c r="T129" s="172"/>
      <c r="U129" s="173"/>
      <c r="V129" s="167"/>
      <c r="W129" s="174" t="str">
        <f t="shared" si="10"/>
        <v/>
      </c>
      <c r="X129" s="167" t="str">
        <f>IFERROR(_xlfn.XLOOKUP($A129,Input_Raw!$A:$A,Input_Raw!$BF:$BF),"")</f>
        <v/>
      </c>
      <c r="Y129" s="167" t="str">
        <f>IFERROR(_xlfn.XLOOKUP($A129,Input_Raw!$A:$A,Input_Raw!BJ:BJ),"")</f>
        <v/>
      </c>
      <c r="Z129" s="167" t="str">
        <f>IFERROR(_xlfn.XLOOKUP($A129,Input_Raw!$A:$A,Input_Raw!BK:BK),"")</f>
        <v/>
      </c>
      <c r="AA129" s="167" t="str">
        <f>IFERROR(_xlfn.XLOOKUP($A129,Input_Raw!$A:$A,Input_Raw!BL:BL),"")</f>
        <v/>
      </c>
      <c r="AB129" s="167" t="str">
        <f>IFERROR(_xlfn.XLOOKUP($A129,Input_Raw!$A:$A,Input_Raw!$BO:$BO),"")</f>
        <v/>
      </c>
      <c r="AC129" s="176">
        <f>IFERROR(_xlfn.XLOOKUP($D129,'Modelling New'!$D:$D,'Modelling New'!$J:$J),"")</f>
        <v>9.01</v>
      </c>
      <c r="AD129" s="166">
        <f>IFERROR(_xlfn.XLOOKUP($D129,'Modelling New'!$D:$D,'Modelling New'!$T:$T)*1000,"")</f>
        <v>895729.81265024655</v>
      </c>
      <c r="AE129" s="174"/>
      <c r="AF129" s="174">
        <f>IFERROR(_xlfn.XLOOKUP($D129,'Modelling New'!$D:$D,'Modelling New'!$W:$W),"")</f>
        <v>0.53165349753694591</v>
      </c>
      <c r="AG129" s="174">
        <f>IFERROR(_xlfn.XLOOKUP($D129,'Modelling New'!$D:$D,'Modelling New'!$AE:$AE),"")</f>
        <v>0.96029999999999993</v>
      </c>
      <c r="AH129" s="174">
        <f>IFERROR(_xlfn.XLOOKUP($D129,'Modelling New'!$D:$D,'Modelling New'!$AF:$AF),"")</f>
        <v>0.995</v>
      </c>
      <c r="AI129" s="177" t="str">
        <f>IFERROR(_xlfn.XLOOKUP($A129,Input_Raw!$A:$A,Input_Raw!$BQ:$BQ),"")</f>
        <v/>
      </c>
      <c r="AJ129" s="167"/>
      <c r="AK129" s="167"/>
      <c r="AL129" s="167"/>
      <c r="AM129" s="167"/>
      <c r="AN129" s="175" t="str">
        <f>IFERROR(_xlfn.XLOOKUP($A129,Input_Raw!$A:$A,Input_Raw!$BN:$BN),"")</f>
        <v/>
      </c>
      <c r="AO129" s="174" t="str">
        <f>IFERROR((_xlfn.XLOOKUP($A129,'WTG Reactive Power'!$A:$A,'WTG Reactive Power'!$AE:$AE))/Table13[[#This Row],[Gen_Exp (kWh)]],"")</f>
        <v/>
      </c>
      <c r="AP129" s="174">
        <f>IFERROR(_xlfn.XLOOKUP($D129,'Modelling New'!$D:$D,'Modelling New'!$AK:$AK),"")</f>
        <v>0.05</v>
      </c>
      <c r="AQ129" s="174">
        <f>IFERROR(_xlfn.XLOOKUP($D129,'Modelling New'!$D:$D,'Modelling New'!$AL:$AL),"")</f>
        <v>0.05</v>
      </c>
      <c r="AR129" s="276">
        <f>IFERROR(_xlfn.XLOOKUP($D129,'Modelling New'!$D:$D,'Modelling New'!$N:$N),"")</f>
        <v>70.2</v>
      </c>
      <c r="AS129" s="276"/>
    </row>
    <row r="130" spans="1:45">
      <c r="A130" s="165">
        <f t="shared" si="11"/>
        <v>45873</v>
      </c>
      <c r="B130" s="166">
        <f>YEAR(Table13[[#This Row],[Date]])+IF(MONTH(Table13[[#This Row],[Date]])&gt;=4,1,0)</f>
        <v>2026</v>
      </c>
      <c r="C130" s="167">
        <f>YEAR(Table13[[#This Row],[Date]])</f>
        <v>2025</v>
      </c>
      <c r="D130" s="168">
        <f>Table13[[#This Row],[Date]]-DAY(Table13[[#This Row],[Date]])+1</f>
        <v>45870</v>
      </c>
      <c r="E130" s="167">
        <f t="shared" si="8"/>
        <v>31</v>
      </c>
      <c r="F130" s="169"/>
      <c r="G130" s="170"/>
      <c r="H130" s="170"/>
      <c r="I130" s="170"/>
      <c r="J130" s="170"/>
      <c r="K130" s="171"/>
      <c r="L130" s="170"/>
      <c r="M130" s="170" t="str">
        <f>IFERROR(_xlfn.XLOOKUP($A130,Input_Raw!$A:$A,Input_Raw!BG:BG),"")</f>
        <v/>
      </c>
      <c r="N130" s="170" t="str">
        <f>IFERROR(_xlfn.XLOOKUP($A130,Input_Raw!$A:$A,Input_Raw!BH:BH),"")</f>
        <v/>
      </c>
      <c r="O130" s="173" t="str">
        <f t="shared" si="9"/>
        <v/>
      </c>
      <c r="P130" s="173" t="str">
        <f>IFERROR(1-SUMIF(WTG_BD!$F:$F,$A130,WTG_BD!$AA:$AA)/($AA130+SUMIF(WTG_BD!$F:$F,$A130,WTG_BD!$AA:$AA)),"")</f>
        <v/>
      </c>
      <c r="Q130" s="173" t="str">
        <f>IFERROR(1-SUMIF(IGA_BD!$F:$F,$A130,IGA_BD!$X:$X)/($AA130+SUMIF(IGA_BD!$F:$F,$A130,IGA_BD!$X:$X)),"")</f>
        <v/>
      </c>
      <c r="R130" s="173" t="str">
        <f>IFERROR(1-SUMIF(Grid_BD!$F:$F,$A130,Grid_BD!$Y:$Y)/($AA130+SUMIF(Grid_BD!$F:$F,$A130,Grid_BD!$Y:$Y)),"")</f>
        <v/>
      </c>
      <c r="S130" s="167"/>
      <c r="T130" s="172"/>
      <c r="U130" s="173"/>
      <c r="V130" s="167"/>
      <c r="W130" s="174" t="str">
        <f t="shared" si="10"/>
        <v/>
      </c>
      <c r="X130" s="167" t="str">
        <f>IFERROR(_xlfn.XLOOKUP($A130,Input_Raw!$A:$A,Input_Raw!$BF:$BF),"")</f>
        <v/>
      </c>
      <c r="Y130" s="167" t="str">
        <f>IFERROR(_xlfn.XLOOKUP($A130,Input_Raw!$A:$A,Input_Raw!BJ:BJ),"")</f>
        <v/>
      </c>
      <c r="Z130" s="167" t="str">
        <f>IFERROR(_xlfn.XLOOKUP($A130,Input_Raw!$A:$A,Input_Raw!BK:BK),"")</f>
        <v/>
      </c>
      <c r="AA130" s="167" t="str">
        <f>IFERROR(_xlfn.XLOOKUP($A130,Input_Raw!$A:$A,Input_Raw!BL:BL),"")</f>
        <v/>
      </c>
      <c r="AB130" s="167" t="str">
        <f>IFERROR(_xlfn.XLOOKUP($A130,Input_Raw!$A:$A,Input_Raw!$BO:$BO),"")</f>
        <v/>
      </c>
      <c r="AC130" s="176">
        <f>IFERROR(_xlfn.XLOOKUP($D130,'Modelling New'!$D:$D,'Modelling New'!$J:$J),"")</f>
        <v>9.01</v>
      </c>
      <c r="AD130" s="166">
        <f>IFERROR(_xlfn.XLOOKUP($D130,'Modelling New'!$D:$D,'Modelling New'!$T:$T)*1000,"")</f>
        <v>895729.81265024655</v>
      </c>
      <c r="AE130" s="174"/>
      <c r="AF130" s="174">
        <f>IFERROR(_xlfn.XLOOKUP($D130,'Modelling New'!$D:$D,'Modelling New'!$W:$W),"")</f>
        <v>0.53165349753694591</v>
      </c>
      <c r="AG130" s="174">
        <f>IFERROR(_xlfn.XLOOKUP($D130,'Modelling New'!$D:$D,'Modelling New'!$AE:$AE),"")</f>
        <v>0.96029999999999993</v>
      </c>
      <c r="AH130" s="174">
        <f>IFERROR(_xlfn.XLOOKUP($D130,'Modelling New'!$D:$D,'Modelling New'!$AF:$AF),"")</f>
        <v>0.995</v>
      </c>
      <c r="AI130" s="177" t="str">
        <f>IFERROR(_xlfn.XLOOKUP($A130,Input_Raw!$A:$A,Input_Raw!$BQ:$BQ),"")</f>
        <v/>
      </c>
      <c r="AJ130" s="167"/>
      <c r="AK130" s="167"/>
      <c r="AL130" s="167"/>
      <c r="AM130" s="167"/>
      <c r="AN130" s="175" t="str">
        <f>IFERROR(_xlfn.XLOOKUP($A130,Input_Raw!$A:$A,Input_Raw!$BN:$BN),"")</f>
        <v/>
      </c>
      <c r="AO130" s="174" t="str">
        <f>IFERROR((_xlfn.XLOOKUP($A130,'WTG Reactive Power'!$A:$A,'WTG Reactive Power'!$AE:$AE))/Table13[[#This Row],[Gen_Exp (kWh)]],"")</f>
        <v/>
      </c>
      <c r="AP130" s="174">
        <f>IFERROR(_xlfn.XLOOKUP($D130,'Modelling New'!$D:$D,'Modelling New'!$AK:$AK),"")</f>
        <v>0.05</v>
      </c>
      <c r="AQ130" s="174">
        <f>IFERROR(_xlfn.XLOOKUP($D130,'Modelling New'!$D:$D,'Modelling New'!$AL:$AL),"")</f>
        <v>0.05</v>
      </c>
      <c r="AR130" s="276">
        <f>IFERROR(_xlfn.XLOOKUP($D130,'Modelling New'!$D:$D,'Modelling New'!$N:$N),"")</f>
        <v>70.2</v>
      </c>
      <c r="AS130" s="276"/>
    </row>
    <row r="131" spans="1:45">
      <c r="A131" s="165">
        <f t="shared" si="11"/>
        <v>45874</v>
      </c>
      <c r="B131" s="166">
        <f>YEAR(Table13[[#This Row],[Date]])+IF(MONTH(Table13[[#This Row],[Date]])&gt;=4,1,0)</f>
        <v>2026</v>
      </c>
      <c r="C131" s="167">
        <f>YEAR(Table13[[#This Row],[Date]])</f>
        <v>2025</v>
      </c>
      <c r="D131" s="168">
        <f>Table13[[#This Row],[Date]]-DAY(Table13[[#This Row],[Date]])+1</f>
        <v>45870</v>
      </c>
      <c r="E131" s="167">
        <f t="shared" si="8"/>
        <v>31</v>
      </c>
      <c r="F131" s="169"/>
      <c r="G131" s="176"/>
      <c r="H131" s="176"/>
      <c r="I131" s="176"/>
      <c r="J131" s="176"/>
      <c r="K131" s="171"/>
      <c r="L131" s="170"/>
      <c r="M131" s="170" t="str">
        <f>IFERROR(_xlfn.XLOOKUP($A131,Input_Raw!$A:$A,Input_Raw!BG:BG),"")</f>
        <v/>
      </c>
      <c r="N131" s="170" t="str">
        <f>IFERROR(_xlfn.XLOOKUP($A131,Input_Raw!$A:$A,Input_Raw!BH:BH),"")</f>
        <v/>
      </c>
      <c r="O131" s="173" t="str">
        <f t="shared" si="9"/>
        <v/>
      </c>
      <c r="P131" s="173" t="str">
        <f>IFERROR(1-SUMIF(WTG_BD!$F:$F,$A131,WTG_BD!$AA:$AA)/($AA131+SUMIF(WTG_BD!$F:$F,$A131,WTG_BD!$AA:$AA)),"")</f>
        <v/>
      </c>
      <c r="Q131" s="173" t="str">
        <f>IFERROR(1-SUMIF(IGA_BD!$F:$F,$A131,IGA_BD!$X:$X)/($AA131+SUMIF(IGA_BD!$F:$F,$A131,IGA_BD!$X:$X)),"")</f>
        <v/>
      </c>
      <c r="R131" s="173" t="str">
        <f>IFERROR(1-SUMIF(Grid_BD!$F:$F,$A131,Grid_BD!$Y:$Y)/($AA131+SUMIF(Grid_BD!$F:$F,$A131,Grid_BD!$Y:$Y)),"")</f>
        <v/>
      </c>
      <c r="S131" s="167"/>
      <c r="T131" s="172"/>
      <c r="U131" s="173"/>
      <c r="V131" s="167"/>
      <c r="W131" s="174" t="str">
        <f t="shared" si="10"/>
        <v/>
      </c>
      <c r="X131" s="167" t="str">
        <f>IFERROR(_xlfn.XLOOKUP($A131,Input_Raw!$A:$A,Input_Raw!$BF:$BF),"")</f>
        <v/>
      </c>
      <c r="Y131" s="167" t="str">
        <f>IFERROR(_xlfn.XLOOKUP($A131,Input_Raw!$A:$A,Input_Raw!BJ:BJ),"")</f>
        <v/>
      </c>
      <c r="Z131" s="167" t="str">
        <f>IFERROR(_xlfn.XLOOKUP($A131,Input_Raw!$A:$A,Input_Raw!BK:BK),"")</f>
        <v/>
      </c>
      <c r="AA131" s="167" t="str">
        <f>IFERROR(_xlfn.XLOOKUP($A131,Input_Raw!$A:$A,Input_Raw!BL:BL),"")</f>
        <v/>
      </c>
      <c r="AB131" s="167" t="str">
        <f>IFERROR(_xlfn.XLOOKUP($A131,Input_Raw!$A:$A,Input_Raw!$BO:$BO),"")</f>
        <v/>
      </c>
      <c r="AC131" s="176">
        <f>IFERROR(_xlfn.XLOOKUP($D131,'Modelling New'!$D:$D,'Modelling New'!$J:$J),"")</f>
        <v>9.01</v>
      </c>
      <c r="AD131" s="166">
        <f>IFERROR(_xlfn.XLOOKUP($D131,'Modelling New'!$D:$D,'Modelling New'!$T:$T)*1000,"")</f>
        <v>895729.81265024655</v>
      </c>
      <c r="AE131" s="174"/>
      <c r="AF131" s="174">
        <f>IFERROR(_xlfn.XLOOKUP($D131,'Modelling New'!$D:$D,'Modelling New'!$W:$W),"")</f>
        <v>0.53165349753694591</v>
      </c>
      <c r="AG131" s="174">
        <f>IFERROR(_xlfn.XLOOKUP($D131,'Modelling New'!$D:$D,'Modelling New'!$AE:$AE),"")</f>
        <v>0.96029999999999993</v>
      </c>
      <c r="AH131" s="174">
        <f>IFERROR(_xlfn.XLOOKUP($D131,'Modelling New'!$D:$D,'Modelling New'!$AF:$AF),"")</f>
        <v>0.995</v>
      </c>
      <c r="AI131" s="177" t="str">
        <f>IFERROR(_xlfn.XLOOKUP($A131,Input_Raw!$A:$A,Input_Raw!$BQ:$BQ),"")</f>
        <v/>
      </c>
      <c r="AJ131" s="167"/>
      <c r="AK131" s="167"/>
      <c r="AL131" s="167"/>
      <c r="AM131" s="167"/>
      <c r="AN131" s="175" t="str">
        <f>IFERROR(_xlfn.XLOOKUP($A131,Input_Raw!$A:$A,Input_Raw!$BN:$BN),"")</f>
        <v/>
      </c>
      <c r="AO131" s="174" t="str">
        <f>IFERROR((_xlfn.XLOOKUP($A131,'WTG Reactive Power'!$A:$A,'WTG Reactive Power'!$AE:$AE))/Table13[[#This Row],[Gen_Exp (kWh)]],"")</f>
        <v/>
      </c>
      <c r="AP131" s="174">
        <f>IFERROR(_xlfn.XLOOKUP($D131,'Modelling New'!$D:$D,'Modelling New'!$AK:$AK),"")</f>
        <v>0.05</v>
      </c>
      <c r="AQ131" s="174">
        <f>IFERROR(_xlfn.XLOOKUP($D131,'Modelling New'!$D:$D,'Modelling New'!$AL:$AL),"")</f>
        <v>0.05</v>
      </c>
      <c r="AR131" s="276">
        <f>IFERROR(_xlfn.XLOOKUP($D131,'Modelling New'!$D:$D,'Modelling New'!$N:$N),"")</f>
        <v>70.2</v>
      </c>
      <c r="AS131" s="276"/>
    </row>
    <row r="132" spans="1:45">
      <c r="A132" s="165">
        <f t="shared" si="11"/>
        <v>45875</v>
      </c>
      <c r="B132" s="166">
        <f>YEAR(Table13[[#This Row],[Date]])+IF(MONTH(Table13[[#This Row],[Date]])&gt;=4,1,0)</f>
        <v>2026</v>
      </c>
      <c r="C132" s="167">
        <f>YEAR(Table13[[#This Row],[Date]])</f>
        <v>2025</v>
      </c>
      <c r="D132" s="168">
        <f>Table13[[#This Row],[Date]]-DAY(Table13[[#This Row],[Date]])+1</f>
        <v>45870</v>
      </c>
      <c r="E132" s="167">
        <f t="shared" si="8"/>
        <v>31</v>
      </c>
      <c r="F132" s="169"/>
      <c r="G132" s="170"/>
      <c r="H132" s="170"/>
      <c r="I132" s="170"/>
      <c r="J132" s="170"/>
      <c r="K132" s="171"/>
      <c r="L132" s="170"/>
      <c r="M132" s="170" t="str">
        <f>IFERROR(_xlfn.XLOOKUP($A132,Input_Raw!$A:$A,Input_Raw!BG:BG),"")</f>
        <v/>
      </c>
      <c r="N132" s="170" t="str">
        <f>IFERROR(_xlfn.XLOOKUP($A132,Input_Raw!$A:$A,Input_Raw!BH:BH),"")</f>
        <v/>
      </c>
      <c r="O132" s="173" t="str">
        <f t="shared" si="9"/>
        <v/>
      </c>
      <c r="P132" s="173" t="str">
        <f>IFERROR(1-SUMIF(WTG_BD!$F:$F,$A132,WTG_BD!$AA:$AA)/($AA132+SUMIF(WTG_BD!$F:$F,$A132,WTG_BD!$AA:$AA)),"")</f>
        <v/>
      </c>
      <c r="Q132" s="173" t="str">
        <f>IFERROR(1-SUMIF(IGA_BD!$F:$F,$A132,IGA_BD!$X:$X)/($AA132+SUMIF(IGA_BD!$F:$F,$A132,IGA_BD!$X:$X)),"")</f>
        <v/>
      </c>
      <c r="R132" s="173" t="str">
        <f>IFERROR(1-SUMIF(Grid_BD!$F:$F,$A132,Grid_BD!$Y:$Y)/($AA132+SUMIF(Grid_BD!$F:$F,$A132,Grid_BD!$Y:$Y)),"")</f>
        <v/>
      </c>
      <c r="S132" s="167"/>
      <c r="T132" s="172"/>
      <c r="U132" s="173"/>
      <c r="V132" s="167"/>
      <c r="W132" s="174" t="str">
        <f t="shared" si="10"/>
        <v/>
      </c>
      <c r="X132" s="167" t="str">
        <f>IFERROR(_xlfn.XLOOKUP($A132,Input_Raw!$A:$A,Input_Raw!$BF:$BF),"")</f>
        <v/>
      </c>
      <c r="Y132" s="167" t="str">
        <f>IFERROR(_xlfn.XLOOKUP($A132,Input_Raw!$A:$A,Input_Raw!BJ:BJ),"")</f>
        <v/>
      </c>
      <c r="Z132" s="167" t="str">
        <f>IFERROR(_xlfn.XLOOKUP($A132,Input_Raw!$A:$A,Input_Raw!BK:BK),"")</f>
        <v/>
      </c>
      <c r="AA132" s="167" t="str">
        <f>IFERROR(_xlfn.XLOOKUP($A132,Input_Raw!$A:$A,Input_Raw!BL:BL),"")</f>
        <v/>
      </c>
      <c r="AB132" s="167" t="str">
        <f>IFERROR(_xlfn.XLOOKUP($A132,Input_Raw!$A:$A,Input_Raw!$BO:$BO),"")</f>
        <v/>
      </c>
      <c r="AC132" s="176">
        <f>IFERROR(_xlfn.XLOOKUP($D132,'Modelling New'!$D:$D,'Modelling New'!$J:$J),"")</f>
        <v>9.01</v>
      </c>
      <c r="AD132" s="166">
        <f>IFERROR(_xlfn.XLOOKUP($D132,'Modelling New'!$D:$D,'Modelling New'!$T:$T)*1000,"")</f>
        <v>895729.81265024655</v>
      </c>
      <c r="AE132" s="174"/>
      <c r="AF132" s="174">
        <f>IFERROR(_xlfn.XLOOKUP($D132,'Modelling New'!$D:$D,'Modelling New'!$W:$W),"")</f>
        <v>0.53165349753694591</v>
      </c>
      <c r="AG132" s="174">
        <f>IFERROR(_xlfn.XLOOKUP($D132,'Modelling New'!$D:$D,'Modelling New'!$AE:$AE),"")</f>
        <v>0.96029999999999993</v>
      </c>
      <c r="AH132" s="174">
        <f>IFERROR(_xlfn.XLOOKUP($D132,'Modelling New'!$D:$D,'Modelling New'!$AF:$AF),"")</f>
        <v>0.995</v>
      </c>
      <c r="AI132" s="177" t="str">
        <f>IFERROR(_xlfn.XLOOKUP($A132,Input_Raw!$A:$A,Input_Raw!$BQ:$BQ),"")</f>
        <v/>
      </c>
      <c r="AJ132" s="167"/>
      <c r="AK132" s="167"/>
      <c r="AL132" s="167"/>
      <c r="AM132" s="167"/>
      <c r="AN132" s="175" t="str">
        <f>IFERROR(_xlfn.XLOOKUP($A132,Input_Raw!$A:$A,Input_Raw!$BN:$BN),"")</f>
        <v/>
      </c>
      <c r="AO132" s="174" t="str">
        <f>IFERROR((_xlfn.XLOOKUP($A132,'WTG Reactive Power'!$A:$A,'WTG Reactive Power'!$AE:$AE))/Table13[[#This Row],[Gen_Exp (kWh)]],"")</f>
        <v/>
      </c>
      <c r="AP132" s="174">
        <f>IFERROR(_xlfn.XLOOKUP($D132,'Modelling New'!$D:$D,'Modelling New'!$AK:$AK),"")</f>
        <v>0.05</v>
      </c>
      <c r="AQ132" s="174">
        <f>IFERROR(_xlfn.XLOOKUP($D132,'Modelling New'!$D:$D,'Modelling New'!$AL:$AL),"")</f>
        <v>0.05</v>
      </c>
      <c r="AR132" s="276">
        <f>IFERROR(_xlfn.XLOOKUP($D132,'Modelling New'!$D:$D,'Modelling New'!$N:$N),"")</f>
        <v>70.2</v>
      </c>
      <c r="AS132" s="276"/>
    </row>
    <row r="133" spans="1:45">
      <c r="A133" s="165">
        <f t="shared" si="11"/>
        <v>45876</v>
      </c>
      <c r="B133" s="166">
        <f>YEAR(Table13[[#This Row],[Date]])+IF(MONTH(Table13[[#This Row],[Date]])&gt;=4,1,0)</f>
        <v>2026</v>
      </c>
      <c r="C133" s="167">
        <f>YEAR(Table13[[#This Row],[Date]])</f>
        <v>2025</v>
      </c>
      <c r="D133" s="168">
        <f>Table13[[#This Row],[Date]]-DAY(Table13[[#This Row],[Date]])+1</f>
        <v>45870</v>
      </c>
      <c r="E133" s="167">
        <f t="shared" si="8"/>
        <v>31</v>
      </c>
      <c r="F133" s="169"/>
      <c r="G133" s="176"/>
      <c r="H133" s="176"/>
      <c r="I133" s="176"/>
      <c r="J133" s="176"/>
      <c r="K133" s="171"/>
      <c r="L133" s="170"/>
      <c r="M133" s="170" t="str">
        <f>IFERROR(_xlfn.XLOOKUP($A133,Input_Raw!$A:$A,Input_Raw!BG:BG),"")</f>
        <v/>
      </c>
      <c r="N133" s="170" t="str">
        <f>IFERROR(_xlfn.XLOOKUP($A133,Input_Raw!$A:$A,Input_Raw!BH:BH),"")</f>
        <v/>
      </c>
      <c r="O133" s="173" t="str">
        <f t="shared" si="9"/>
        <v/>
      </c>
      <c r="P133" s="173" t="str">
        <f>IFERROR(1-SUMIF(WTG_BD!$F:$F,$A133,WTG_BD!$AA:$AA)/($AA133+SUMIF(WTG_BD!$F:$F,$A133,WTG_BD!$AA:$AA)),"")</f>
        <v/>
      </c>
      <c r="Q133" s="173" t="str">
        <f>IFERROR(1-SUMIF(IGA_BD!$F:$F,$A133,IGA_BD!$X:$X)/($AA133+SUMIF(IGA_BD!$F:$F,$A133,IGA_BD!$X:$X)),"")</f>
        <v/>
      </c>
      <c r="R133" s="173" t="str">
        <f>IFERROR(1-SUMIF(Grid_BD!$F:$F,$A133,Grid_BD!$Y:$Y)/($AA133+SUMIF(Grid_BD!$F:$F,$A133,Grid_BD!$Y:$Y)),"")</f>
        <v/>
      </c>
      <c r="S133" s="167"/>
      <c r="T133" s="172"/>
      <c r="U133" s="173"/>
      <c r="V133" s="167"/>
      <c r="W133" s="174" t="str">
        <f t="shared" si="10"/>
        <v/>
      </c>
      <c r="X133" s="167" t="str">
        <f>IFERROR(_xlfn.XLOOKUP($A133,Input_Raw!$A:$A,Input_Raw!$BF:$BF),"")</f>
        <v/>
      </c>
      <c r="Y133" s="167" t="str">
        <f>IFERROR(_xlfn.XLOOKUP($A133,Input_Raw!$A:$A,Input_Raw!BJ:BJ),"")</f>
        <v/>
      </c>
      <c r="Z133" s="167" t="str">
        <f>IFERROR(_xlfn.XLOOKUP($A133,Input_Raw!$A:$A,Input_Raw!BK:BK),"")</f>
        <v/>
      </c>
      <c r="AA133" s="167" t="str">
        <f>IFERROR(_xlfn.XLOOKUP($A133,Input_Raw!$A:$A,Input_Raw!BL:BL),"")</f>
        <v/>
      </c>
      <c r="AB133" s="167" t="str">
        <f>IFERROR(_xlfn.XLOOKUP($A133,Input_Raw!$A:$A,Input_Raw!$BO:$BO),"")</f>
        <v/>
      </c>
      <c r="AC133" s="176">
        <f>IFERROR(_xlfn.XLOOKUP($D133,'Modelling New'!$D:$D,'Modelling New'!$J:$J),"")</f>
        <v>9.01</v>
      </c>
      <c r="AD133" s="166">
        <f>IFERROR(_xlfn.XLOOKUP($D133,'Modelling New'!$D:$D,'Modelling New'!$T:$T)*1000,"")</f>
        <v>895729.81265024655</v>
      </c>
      <c r="AE133" s="174"/>
      <c r="AF133" s="174">
        <f>IFERROR(_xlfn.XLOOKUP($D133,'Modelling New'!$D:$D,'Modelling New'!$W:$W),"")</f>
        <v>0.53165349753694591</v>
      </c>
      <c r="AG133" s="174">
        <f>IFERROR(_xlfn.XLOOKUP($D133,'Modelling New'!$D:$D,'Modelling New'!$AE:$AE),"")</f>
        <v>0.96029999999999993</v>
      </c>
      <c r="AH133" s="174">
        <f>IFERROR(_xlfn.XLOOKUP($D133,'Modelling New'!$D:$D,'Modelling New'!$AF:$AF),"")</f>
        <v>0.995</v>
      </c>
      <c r="AI133" s="177" t="str">
        <f>IFERROR(_xlfn.XLOOKUP($A133,Input_Raw!$A:$A,Input_Raw!$BQ:$BQ),"")</f>
        <v/>
      </c>
      <c r="AJ133" s="167"/>
      <c r="AK133" s="167"/>
      <c r="AL133" s="167"/>
      <c r="AM133" s="167"/>
      <c r="AN133" s="175" t="str">
        <f>IFERROR(_xlfn.XLOOKUP($A133,Input_Raw!$A:$A,Input_Raw!$BN:$BN),"")</f>
        <v/>
      </c>
      <c r="AO133" s="174" t="str">
        <f>IFERROR((_xlfn.XLOOKUP($A133,'WTG Reactive Power'!$A:$A,'WTG Reactive Power'!$AE:$AE))/Table13[[#This Row],[Gen_Exp (kWh)]],"")</f>
        <v/>
      </c>
      <c r="AP133" s="174">
        <f>IFERROR(_xlfn.XLOOKUP($D133,'Modelling New'!$D:$D,'Modelling New'!$AK:$AK),"")</f>
        <v>0.05</v>
      </c>
      <c r="AQ133" s="174">
        <f>IFERROR(_xlfn.XLOOKUP($D133,'Modelling New'!$D:$D,'Modelling New'!$AL:$AL),"")</f>
        <v>0.05</v>
      </c>
      <c r="AR133" s="276">
        <f>IFERROR(_xlfn.XLOOKUP($D133,'Modelling New'!$D:$D,'Modelling New'!$N:$N),"")</f>
        <v>70.2</v>
      </c>
      <c r="AS133" s="276"/>
    </row>
    <row r="134" spans="1:45">
      <c r="A134" s="165">
        <f t="shared" si="11"/>
        <v>45877</v>
      </c>
      <c r="B134" s="166">
        <f>YEAR(Table13[[#This Row],[Date]])+IF(MONTH(Table13[[#This Row],[Date]])&gt;=4,1,0)</f>
        <v>2026</v>
      </c>
      <c r="C134" s="167">
        <f>YEAR(Table13[[#This Row],[Date]])</f>
        <v>2025</v>
      </c>
      <c r="D134" s="168">
        <f>Table13[[#This Row],[Date]]-DAY(Table13[[#This Row],[Date]])+1</f>
        <v>45870</v>
      </c>
      <c r="E134" s="167">
        <f t="shared" si="8"/>
        <v>31</v>
      </c>
      <c r="F134" s="169"/>
      <c r="G134" s="170"/>
      <c r="H134" s="170"/>
      <c r="I134" s="170"/>
      <c r="J134" s="170"/>
      <c r="K134" s="171"/>
      <c r="L134" s="170"/>
      <c r="M134" s="170" t="str">
        <f>IFERROR(_xlfn.XLOOKUP($A134,Input_Raw!$A:$A,Input_Raw!BG:BG),"")</f>
        <v/>
      </c>
      <c r="N134" s="170" t="str">
        <f>IFERROR(_xlfn.XLOOKUP($A134,Input_Raw!$A:$A,Input_Raw!BH:BH),"")</f>
        <v/>
      </c>
      <c r="O134" s="173" t="str">
        <f t="shared" si="9"/>
        <v/>
      </c>
      <c r="P134" s="173" t="str">
        <f>IFERROR(1-SUMIF(WTG_BD!$F:$F,$A134,WTG_BD!$AA:$AA)/($AA134+SUMIF(WTG_BD!$F:$F,$A134,WTG_BD!$AA:$AA)),"")</f>
        <v/>
      </c>
      <c r="Q134" s="173" t="str">
        <f>IFERROR(1-SUMIF(IGA_BD!$F:$F,$A134,IGA_BD!$X:$X)/($AA134+SUMIF(IGA_BD!$F:$F,$A134,IGA_BD!$X:$X)),"")</f>
        <v/>
      </c>
      <c r="R134" s="173" t="str">
        <f>IFERROR(1-SUMIF(Grid_BD!$F:$F,$A134,Grid_BD!$Y:$Y)/($AA134+SUMIF(Grid_BD!$F:$F,$A134,Grid_BD!$Y:$Y)),"")</f>
        <v/>
      </c>
      <c r="S134" s="167"/>
      <c r="T134" s="172"/>
      <c r="U134" s="173"/>
      <c r="V134" s="167"/>
      <c r="W134" s="174" t="str">
        <f t="shared" si="10"/>
        <v/>
      </c>
      <c r="X134" s="167" t="str">
        <f>IFERROR(_xlfn.XLOOKUP($A134,Input_Raw!$A:$A,Input_Raw!$BF:$BF),"")</f>
        <v/>
      </c>
      <c r="Y134" s="167" t="str">
        <f>IFERROR(_xlfn.XLOOKUP($A134,Input_Raw!$A:$A,Input_Raw!BJ:BJ),"")</f>
        <v/>
      </c>
      <c r="Z134" s="167" t="str">
        <f>IFERROR(_xlfn.XLOOKUP($A134,Input_Raw!$A:$A,Input_Raw!BK:BK),"")</f>
        <v/>
      </c>
      <c r="AA134" s="167" t="str">
        <f>IFERROR(_xlfn.XLOOKUP($A134,Input_Raw!$A:$A,Input_Raw!BL:BL),"")</f>
        <v/>
      </c>
      <c r="AB134" s="167" t="str">
        <f>IFERROR(_xlfn.XLOOKUP($A134,Input_Raw!$A:$A,Input_Raw!$BO:$BO),"")</f>
        <v/>
      </c>
      <c r="AC134" s="176">
        <f>IFERROR(_xlfn.XLOOKUP($D134,'Modelling New'!$D:$D,'Modelling New'!$J:$J),"")</f>
        <v>9.01</v>
      </c>
      <c r="AD134" s="166">
        <f>IFERROR(_xlfn.XLOOKUP($D134,'Modelling New'!$D:$D,'Modelling New'!$T:$T)*1000,"")</f>
        <v>895729.81265024655</v>
      </c>
      <c r="AE134" s="174"/>
      <c r="AF134" s="174">
        <f>IFERROR(_xlfn.XLOOKUP($D134,'Modelling New'!$D:$D,'Modelling New'!$W:$W),"")</f>
        <v>0.53165349753694591</v>
      </c>
      <c r="AG134" s="174">
        <f>IFERROR(_xlfn.XLOOKUP($D134,'Modelling New'!$D:$D,'Modelling New'!$AE:$AE),"")</f>
        <v>0.96029999999999993</v>
      </c>
      <c r="AH134" s="174">
        <f>IFERROR(_xlfn.XLOOKUP($D134,'Modelling New'!$D:$D,'Modelling New'!$AF:$AF),"")</f>
        <v>0.995</v>
      </c>
      <c r="AI134" s="177" t="str">
        <f>IFERROR(_xlfn.XLOOKUP($A134,Input_Raw!$A:$A,Input_Raw!$BQ:$BQ),"")</f>
        <v/>
      </c>
      <c r="AJ134" s="167"/>
      <c r="AK134" s="167"/>
      <c r="AL134" s="167"/>
      <c r="AM134" s="167"/>
      <c r="AN134" s="175" t="str">
        <f>IFERROR(_xlfn.XLOOKUP($A134,Input_Raw!$A:$A,Input_Raw!$BN:$BN),"")</f>
        <v/>
      </c>
      <c r="AO134" s="174" t="str">
        <f>IFERROR((_xlfn.XLOOKUP($A134,'WTG Reactive Power'!$A:$A,'WTG Reactive Power'!$AE:$AE))/Table13[[#This Row],[Gen_Exp (kWh)]],"")</f>
        <v/>
      </c>
      <c r="AP134" s="174">
        <f>IFERROR(_xlfn.XLOOKUP($D134,'Modelling New'!$D:$D,'Modelling New'!$AK:$AK),"")</f>
        <v>0.05</v>
      </c>
      <c r="AQ134" s="174">
        <f>IFERROR(_xlfn.XLOOKUP($D134,'Modelling New'!$D:$D,'Modelling New'!$AL:$AL),"")</f>
        <v>0.05</v>
      </c>
      <c r="AR134" s="276">
        <f>IFERROR(_xlfn.XLOOKUP($D134,'Modelling New'!$D:$D,'Modelling New'!$N:$N),"")</f>
        <v>70.2</v>
      </c>
      <c r="AS134" s="276"/>
    </row>
    <row r="135" spans="1:45">
      <c r="A135" s="165">
        <f t="shared" si="11"/>
        <v>45878</v>
      </c>
      <c r="B135" s="166">
        <f>YEAR(Table13[[#This Row],[Date]])+IF(MONTH(Table13[[#This Row],[Date]])&gt;=4,1,0)</f>
        <v>2026</v>
      </c>
      <c r="C135" s="167">
        <f>YEAR(Table13[[#This Row],[Date]])</f>
        <v>2025</v>
      </c>
      <c r="D135" s="168">
        <f>Table13[[#This Row],[Date]]-DAY(Table13[[#This Row],[Date]])+1</f>
        <v>45870</v>
      </c>
      <c r="E135" s="167">
        <f t="shared" si="8"/>
        <v>31</v>
      </c>
      <c r="F135" s="169"/>
      <c r="G135" s="176"/>
      <c r="H135" s="176"/>
      <c r="I135" s="176"/>
      <c r="J135" s="176"/>
      <c r="K135" s="171"/>
      <c r="L135" s="170"/>
      <c r="M135" s="170" t="str">
        <f>IFERROR(_xlfn.XLOOKUP($A135,Input_Raw!$A:$A,Input_Raw!BG:BG),"")</f>
        <v/>
      </c>
      <c r="N135" s="170" t="str">
        <f>IFERROR(_xlfn.XLOOKUP($A135,Input_Raw!$A:$A,Input_Raw!BH:BH),"")</f>
        <v/>
      </c>
      <c r="O135" s="173" t="str">
        <f t="shared" si="9"/>
        <v/>
      </c>
      <c r="P135" s="173" t="str">
        <f>IFERROR(1-SUMIF(WTG_BD!$F:$F,$A135,WTG_BD!$AA:$AA)/($AA135+SUMIF(WTG_BD!$F:$F,$A135,WTG_BD!$AA:$AA)),"")</f>
        <v/>
      </c>
      <c r="Q135" s="173" t="str">
        <f>IFERROR(1-SUMIF(IGA_BD!$F:$F,$A135,IGA_BD!$X:$X)/($AA135+SUMIF(IGA_BD!$F:$F,$A135,IGA_BD!$X:$X)),"")</f>
        <v/>
      </c>
      <c r="R135" s="173" t="str">
        <f>IFERROR(1-SUMIF(Grid_BD!$F:$F,$A135,Grid_BD!$Y:$Y)/($AA135+SUMIF(Grid_BD!$F:$F,$A135,Grid_BD!$Y:$Y)),"")</f>
        <v/>
      </c>
      <c r="S135" s="167"/>
      <c r="T135" s="172"/>
      <c r="U135" s="173"/>
      <c r="V135" s="167"/>
      <c r="W135" s="174" t="str">
        <f t="shared" si="10"/>
        <v/>
      </c>
      <c r="X135" s="167" t="str">
        <f>IFERROR(_xlfn.XLOOKUP($A135,Input_Raw!$A:$A,Input_Raw!$BF:$BF),"")</f>
        <v/>
      </c>
      <c r="Y135" s="167" t="str">
        <f>IFERROR(_xlfn.XLOOKUP($A135,Input_Raw!$A:$A,Input_Raw!BJ:BJ),"")</f>
        <v/>
      </c>
      <c r="Z135" s="167" t="str">
        <f>IFERROR(_xlfn.XLOOKUP($A135,Input_Raw!$A:$A,Input_Raw!BK:BK),"")</f>
        <v/>
      </c>
      <c r="AA135" s="167" t="str">
        <f>IFERROR(_xlfn.XLOOKUP($A135,Input_Raw!$A:$A,Input_Raw!BL:BL),"")</f>
        <v/>
      </c>
      <c r="AB135" s="167" t="str">
        <f>IFERROR(_xlfn.XLOOKUP($A135,Input_Raw!$A:$A,Input_Raw!$BO:$BO),"")</f>
        <v/>
      </c>
      <c r="AC135" s="176">
        <f>IFERROR(_xlfn.XLOOKUP($D135,'Modelling New'!$D:$D,'Modelling New'!$J:$J),"")</f>
        <v>9.01</v>
      </c>
      <c r="AD135" s="166">
        <f>IFERROR(_xlfn.XLOOKUP($D135,'Modelling New'!$D:$D,'Modelling New'!$T:$T)*1000,"")</f>
        <v>895729.81265024655</v>
      </c>
      <c r="AE135" s="174"/>
      <c r="AF135" s="174">
        <f>IFERROR(_xlfn.XLOOKUP($D135,'Modelling New'!$D:$D,'Modelling New'!$W:$W),"")</f>
        <v>0.53165349753694591</v>
      </c>
      <c r="AG135" s="174">
        <f>IFERROR(_xlfn.XLOOKUP($D135,'Modelling New'!$D:$D,'Modelling New'!$AE:$AE),"")</f>
        <v>0.96029999999999993</v>
      </c>
      <c r="AH135" s="174">
        <f>IFERROR(_xlfn.XLOOKUP($D135,'Modelling New'!$D:$D,'Modelling New'!$AF:$AF),"")</f>
        <v>0.995</v>
      </c>
      <c r="AI135" s="177" t="str">
        <f>IFERROR(_xlfn.XLOOKUP($A135,Input_Raw!$A:$A,Input_Raw!$BQ:$BQ),"")</f>
        <v/>
      </c>
      <c r="AJ135" s="167"/>
      <c r="AK135" s="167"/>
      <c r="AL135" s="167"/>
      <c r="AM135" s="167"/>
      <c r="AN135" s="175" t="str">
        <f>IFERROR(_xlfn.XLOOKUP($A135,Input_Raw!$A:$A,Input_Raw!$BN:$BN),"")</f>
        <v/>
      </c>
      <c r="AO135" s="174" t="str">
        <f>IFERROR((_xlfn.XLOOKUP($A135,'WTG Reactive Power'!$A:$A,'WTG Reactive Power'!$AE:$AE))/Table13[[#This Row],[Gen_Exp (kWh)]],"")</f>
        <v/>
      </c>
      <c r="AP135" s="174">
        <f>IFERROR(_xlfn.XLOOKUP($D135,'Modelling New'!$D:$D,'Modelling New'!$AK:$AK),"")</f>
        <v>0.05</v>
      </c>
      <c r="AQ135" s="174">
        <f>IFERROR(_xlfn.XLOOKUP($D135,'Modelling New'!$D:$D,'Modelling New'!$AL:$AL),"")</f>
        <v>0.05</v>
      </c>
      <c r="AR135" s="276">
        <f>IFERROR(_xlfn.XLOOKUP($D135,'Modelling New'!$D:$D,'Modelling New'!$N:$N),"")</f>
        <v>70.2</v>
      </c>
      <c r="AS135" s="276"/>
    </row>
    <row r="136" spans="1:45">
      <c r="A136" s="165">
        <f t="shared" si="11"/>
        <v>45879</v>
      </c>
      <c r="B136" s="166">
        <f>YEAR(Table13[[#This Row],[Date]])+IF(MONTH(Table13[[#This Row],[Date]])&gt;=4,1,0)</f>
        <v>2026</v>
      </c>
      <c r="C136" s="167">
        <f>YEAR(Table13[[#This Row],[Date]])</f>
        <v>2025</v>
      </c>
      <c r="D136" s="168">
        <f>Table13[[#This Row],[Date]]-DAY(Table13[[#This Row],[Date]])+1</f>
        <v>45870</v>
      </c>
      <c r="E136" s="167">
        <f t="shared" si="8"/>
        <v>31</v>
      </c>
      <c r="F136" s="169"/>
      <c r="G136" s="170"/>
      <c r="H136" s="170"/>
      <c r="I136" s="170"/>
      <c r="J136" s="170"/>
      <c r="K136" s="171"/>
      <c r="L136" s="170"/>
      <c r="M136" s="170" t="str">
        <f>IFERROR(_xlfn.XLOOKUP($A136,Input_Raw!$A:$A,Input_Raw!BG:BG),"")</f>
        <v/>
      </c>
      <c r="N136" s="170" t="str">
        <f>IFERROR(_xlfn.XLOOKUP($A136,Input_Raw!$A:$A,Input_Raw!BH:BH),"")</f>
        <v/>
      </c>
      <c r="O136" s="173" t="str">
        <f t="shared" si="9"/>
        <v/>
      </c>
      <c r="P136" s="173" t="str">
        <f>IFERROR(1-SUMIF(WTG_BD!$F:$F,$A136,WTG_BD!$AA:$AA)/($AA136+SUMIF(WTG_BD!$F:$F,$A136,WTG_BD!$AA:$AA)),"")</f>
        <v/>
      </c>
      <c r="Q136" s="173" t="str">
        <f>IFERROR(1-SUMIF(IGA_BD!$F:$F,$A136,IGA_BD!$X:$X)/($AA136+SUMIF(IGA_BD!$F:$F,$A136,IGA_BD!$X:$X)),"")</f>
        <v/>
      </c>
      <c r="R136" s="173" t="str">
        <f>IFERROR(1-SUMIF(Grid_BD!$F:$F,$A136,Grid_BD!$Y:$Y)/($AA136+SUMIF(Grid_BD!$F:$F,$A136,Grid_BD!$Y:$Y)),"")</f>
        <v/>
      </c>
      <c r="S136" s="167"/>
      <c r="T136" s="172"/>
      <c r="U136" s="173"/>
      <c r="V136" s="167"/>
      <c r="W136" s="174" t="str">
        <f t="shared" si="10"/>
        <v/>
      </c>
      <c r="X136" s="167" t="str">
        <f>IFERROR(_xlfn.XLOOKUP($A136,Input_Raw!$A:$A,Input_Raw!$BF:$BF),"")</f>
        <v/>
      </c>
      <c r="Y136" s="167" t="str">
        <f>IFERROR(_xlfn.XLOOKUP($A136,Input_Raw!$A:$A,Input_Raw!BJ:BJ),"")</f>
        <v/>
      </c>
      <c r="Z136" s="167" t="str">
        <f>IFERROR(_xlfn.XLOOKUP($A136,Input_Raw!$A:$A,Input_Raw!BK:BK),"")</f>
        <v/>
      </c>
      <c r="AA136" s="167" t="str">
        <f>IFERROR(_xlfn.XLOOKUP($A136,Input_Raw!$A:$A,Input_Raw!BL:BL),"")</f>
        <v/>
      </c>
      <c r="AB136" s="167" t="str">
        <f>IFERROR(_xlfn.XLOOKUP($A136,Input_Raw!$A:$A,Input_Raw!$BO:$BO),"")</f>
        <v/>
      </c>
      <c r="AC136" s="176">
        <f>IFERROR(_xlfn.XLOOKUP($D136,'Modelling New'!$D:$D,'Modelling New'!$J:$J),"")</f>
        <v>9.01</v>
      </c>
      <c r="AD136" s="166">
        <f>IFERROR(_xlfn.XLOOKUP($D136,'Modelling New'!$D:$D,'Modelling New'!$T:$T)*1000,"")</f>
        <v>895729.81265024655</v>
      </c>
      <c r="AE136" s="174"/>
      <c r="AF136" s="174">
        <f>IFERROR(_xlfn.XLOOKUP($D136,'Modelling New'!$D:$D,'Modelling New'!$W:$W),"")</f>
        <v>0.53165349753694591</v>
      </c>
      <c r="AG136" s="174">
        <f>IFERROR(_xlfn.XLOOKUP($D136,'Modelling New'!$D:$D,'Modelling New'!$AE:$AE),"")</f>
        <v>0.96029999999999993</v>
      </c>
      <c r="AH136" s="174">
        <f>IFERROR(_xlfn.XLOOKUP($D136,'Modelling New'!$D:$D,'Modelling New'!$AF:$AF),"")</f>
        <v>0.995</v>
      </c>
      <c r="AI136" s="177" t="str">
        <f>IFERROR(_xlfn.XLOOKUP($A136,Input_Raw!$A:$A,Input_Raw!$BQ:$BQ),"")</f>
        <v/>
      </c>
      <c r="AJ136" s="167"/>
      <c r="AK136" s="167"/>
      <c r="AL136" s="167"/>
      <c r="AM136" s="167"/>
      <c r="AN136" s="175" t="str">
        <f>IFERROR(_xlfn.XLOOKUP($A136,Input_Raw!$A:$A,Input_Raw!$BN:$BN),"")</f>
        <v/>
      </c>
      <c r="AO136" s="174" t="str">
        <f>IFERROR((_xlfn.XLOOKUP($A136,'WTG Reactive Power'!$A:$A,'WTG Reactive Power'!$AE:$AE))/Table13[[#This Row],[Gen_Exp (kWh)]],"")</f>
        <v/>
      </c>
      <c r="AP136" s="174">
        <f>IFERROR(_xlfn.XLOOKUP($D136,'Modelling New'!$D:$D,'Modelling New'!$AK:$AK),"")</f>
        <v>0.05</v>
      </c>
      <c r="AQ136" s="174">
        <f>IFERROR(_xlfn.XLOOKUP($D136,'Modelling New'!$D:$D,'Modelling New'!$AL:$AL),"")</f>
        <v>0.05</v>
      </c>
      <c r="AR136" s="276">
        <f>IFERROR(_xlfn.XLOOKUP($D136,'Modelling New'!$D:$D,'Modelling New'!$N:$N),"")</f>
        <v>70.2</v>
      </c>
      <c r="AS136" s="276"/>
    </row>
    <row r="137" spans="1:45">
      <c r="A137" s="165">
        <f t="shared" si="11"/>
        <v>45880</v>
      </c>
      <c r="B137" s="166">
        <f>YEAR(Table13[[#This Row],[Date]])+IF(MONTH(Table13[[#This Row],[Date]])&gt;=4,1,0)</f>
        <v>2026</v>
      </c>
      <c r="C137" s="167">
        <f>YEAR(Table13[[#This Row],[Date]])</f>
        <v>2025</v>
      </c>
      <c r="D137" s="168">
        <f>Table13[[#This Row],[Date]]-DAY(Table13[[#This Row],[Date]])+1</f>
        <v>45870</v>
      </c>
      <c r="E137" s="167">
        <f t="shared" si="8"/>
        <v>31</v>
      </c>
      <c r="F137" s="169"/>
      <c r="G137" s="176"/>
      <c r="H137" s="176"/>
      <c r="I137" s="176"/>
      <c r="J137" s="176"/>
      <c r="K137" s="171"/>
      <c r="L137" s="170"/>
      <c r="M137" s="170" t="str">
        <f>IFERROR(_xlfn.XLOOKUP($A137,Input_Raw!$A:$A,Input_Raw!BG:BG),"")</f>
        <v/>
      </c>
      <c r="N137" s="170" t="str">
        <f>IFERROR(_xlfn.XLOOKUP($A137,Input_Raw!$A:$A,Input_Raw!BH:BH),"")</f>
        <v/>
      </c>
      <c r="O137" s="173" t="str">
        <f t="shared" si="9"/>
        <v/>
      </c>
      <c r="P137" s="173" t="str">
        <f>IFERROR(1-SUMIF(WTG_BD!$F:$F,$A137,WTG_BD!$AA:$AA)/($AA137+SUMIF(WTG_BD!$F:$F,$A137,WTG_BD!$AA:$AA)),"")</f>
        <v/>
      </c>
      <c r="Q137" s="173" t="str">
        <f>IFERROR(1-SUMIF(IGA_BD!$F:$F,$A137,IGA_BD!$X:$X)/($AA137+SUMIF(IGA_BD!$F:$F,$A137,IGA_BD!$X:$X)),"")</f>
        <v/>
      </c>
      <c r="R137" s="173" t="str">
        <f>IFERROR(1-SUMIF(Grid_BD!$F:$F,$A137,Grid_BD!$Y:$Y)/($AA137+SUMIF(Grid_BD!$F:$F,$A137,Grid_BD!$Y:$Y)),"")</f>
        <v/>
      </c>
      <c r="S137" s="167"/>
      <c r="T137" s="172"/>
      <c r="U137" s="173"/>
      <c r="V137" s="167"/>
      <c r="W137" s="174" t="str">
        <f t="shared" si="10"/>
        <v/>
      </c>
      <c r="X137" s="167" t="str">
        <f>IFERROR(_xlfn.XLOOKUP($A137,Input_Raw!$A:$A,Input_Raw!$BF:$BF),"")</f>
        <v/>
      </c>
      <c r="Y137" s="167" t="str">
        <f>IFERROR(_xlfn.XLOOKUP($A137,Input_Raw!$A:$A,Input_Raw!BJ:BJ),"")</f>
        <v/>
      </c>
      <c r="Z137" s="167" t="str">
        <f>IFERROR(_xlfn.XLOOKUP($A137,Input_Raw!$A:$A,Input_Raw!BK:BK),"")</f>
        <v/>
      </c>
      <c r="AA137" s="167" t="str">
        <f>IFERROR(_xlfn.XLOOKUP($A137,Input_Raw!$A:$A,Input_Raw!BL:BL),"")</f>
        <v/>
      </c>
      <c r="AB137" s="167" t="str">
        <f>IFERROR(_xlfn.XLOOKUP($A137,Input_Raw!$A:$A,Input_Raw!$BO:$BO),"")</f>
        <v/>
      </c>
      <c r="AC137" s="176">
        <f>IFERROR(_xlfn.XLOOKUP($D137,'Modelling New'!$D:$D,'Modelling New'!$J:$J),"")</f>
        <v>9.01</v>
      </c>
      <c r="AD137" s="166">
        <f>IFERROR(_xlfn.XLOOKUP($D137,'Modelling New'!$D:$D,'Modelling New'!$T:$T)*1000,"")</f>
        <v>895729.81265024655</v>
      </c>
      <c r="AE137" s="174"/>
      <c r="AF137" s="174">
        <f>IFERROR(_xlfn.XLOOKUP($D137,'Modelling New'!$D:$D,'Modelling New'!$W:$W),"")</f>
        <v>0.53165349753694591</v>
      </c>
      <c r="AG137" s="174">
        <f>IFERROR(_xlfn.XLOOKUP($D137,'Modelling New'!$D:$D,'Modelling New'!$AE:$AE),"")</f>
        <v>0.96029999999999993</v>
      </c>
      <c r="AH137" s="174">
        <f>IFERROR(_xlfn.XLOOKUP($D137,'Modelling New'!$D:$D,'Modelling New'!$AF:$AF),"")</f>
        <v>0.995</v>
      </c>
      <c r="AI137" s="177" t="str">
        <f>IFERROR(_xlfn.XLOOKUP($A137,Input_Raw!$A:$A,Input_Raw!$BQ:$BQ),"")</f>
        <v/>
      </c>
      <c r="AJ137" s="167"/>
      <c r="AK137" s="167"/>
      <c r="AL137" s="167"/>
      <c r="AM137" s="167"/>
      <c r="AN137" s="175" t="str">
        <f>IFERROR(_xlfn.XLOOKUP($A137,Input_Raw!$A:$A,Input_Raw!$BN:$BN),"")</f>
        <v/>
      </c>
      <c r="AO137" s="174" t="str">
        <f>IFERROR((_xlfn.XLOOKUP($A137,'WTG Reactive Power'!$A:$A,'WTG Reactive Power'!$AE:$AE))/Table13[[#This Row],[Gen_Exp (kWh)]],"")</f>
        <v/>
      </c>
      <c r="AP137" s="174">
        <f>IFERROR(_xlfn.XLOOKUP($D137,'Modelling New'!$D:$D,'Modelling New'!$AK:$AK),"")</f>
        <v>0.05</v>
      </c>
      <c r="AQ137" s="174">
        <f>IFERROR(_xlfn.XLOOKUP($D137,'Modelling New'!$D:$D,'Modelling New'!$AL:$AL),"")</f>
        <v>0.05</v>
      </c>
      <c r="AR137" s="276">
        <f>IFERROR(_xlfn.XLOOKUP($D137,'Modelling New'!$D:$D,'Modelling New'!$N:$N),"")</f>
        <v>70.2</v>
      </c>
      <c r="AS137" s="276"/>
    </row>
    <row r="138" spans="1:45">
      <c r="A138" s="165">
        <f t="shared" si="11"/>
        <v>45881</v>
      </c>
      <c r="B138" s="166">
        <f>YEAR(Table13[[#This Row],[Date]])+IF(MONTH(Table13[[#This Row],[Date]])&gt;=4,1,0)</f>
        <v>2026</v>
      </c>
      <c r="C138" s="167">
        <f>YEAR(Table13[[#This Row],[Date]])</f>
        <v>2025</v>
      </c>
      <c r="D138" s="168">
        <f>Table13[[#This Row],[Date]]-DAY(Table13[[#This Row],[Date]])+1</f>
        <v>45870</v>
      </c>
      <c r="E138" s="167">
        <f t="shared" si="8"/>
        <v>31</v>
      </c>
      <c r="F138" s="169"/>
      <c r="G138" s="170"/>
      <c r="H138" s="170"/>
      <c r="I138" s="170"/>
      <c r="J138" s="170"/>
      <c r="K138" s="171"/>
      <c r="L138" s="170"/>
      <c r="M138" s="170" t="str">
        <f>IFERROR(_xlfn.XLOOKUP($A138,Input_Raw!$A:$A,Input_Raw!BG:BG),"")</f>
        <v/>
      </c>
      <c r="N138" s="170" t="str">
        <f>IFERROR(_xlfn.XLOOKUP($A138,Input_Raw!$A:$A,Input_Raw!BH:BH),"")</f>
        <v/>
      </c>
      <c r="O138" s="173" t="str">
        <f t="shared" si="9"/>
        <v/>
      </c>
      <c r="P138" s="173" t="str">
        <f>IFERROR(1-SUMIF(WTG_BD!$F:$F,$A138,WTG_BD!$AA:$AA)/($AA138+SUMIF(WTG_BD!$F:$F,$A138,WTG_BD!$AA:$AA)),"")</f>
        <v/>
      </c>
      <c r="Q138" s="173" t="str">
        <f>IFERROR(1-SUMIF(IGA_BD!$F:$F,$A138,IGA_BD!$X:$X)/($AA138+SUMIF(IGA_BD!$F:$F,$A138,IGA_BD!$X:$X)),"")</f>
        <v/>
      </c>
      <c r="R138" s="173" t="str">
        <f>IFERROR(1-SUMIF(Grid_BD!$F:$F,$A138,Grid_BD!$Y:$Y)/($AA138+SUMIF(Grid_BD!$F:$F,$A138,Grid_BD!$Y:$Y)),"")</f>
        <v/>
      </c>
      <c r="S138" s="167"/>
      <c r="T138" s="172"/>
      <c r="U138" s="173"/>
      <c r="V138" s="167"/>
      <c r="W138" s="174" t="str">
        <f t="shared" si="10"/>
        <v/>
      </c>
      <c r="X138" s="167" t="str">
        <f>IFERROR(_xlfn.XLOOKUP($A138,Input_Raw!$A:$A,Input_Raw!$BF:$BF),"")</f>
        <v/>
      </c>
      <c r="Y138" s="167" t="str">
        <f>IFERROR(_xlfn.XLOOKUP($A138,Input_Raw!$A:$A,Input_Raw!BJ:BJ),"")</f>
        <v/>
      </c>
      <c r="Z138" s="167" t="str">
        <f>IFERROR(_xlfn.XLOOKUP($A138,Input_Raw!$A:$A,Input_Raw!BK:BK),"")</f>
        <v/>
      </c>
      <c r="AA138" s="167" t="str">
        <f>IFERROR(_xlfn.XLOOKUP($A138,Input_Raw!$A:$A,Input_Raw!BL:BL),"")</f>
        <v/>
      </c>
      <c r="AB138" s="167" t="str">
        <f>IFERROR(_xlfn.XLOOKUP($A138,Input_Raw!$A:$A,Input_Raw!$BO:$BO),"")</f>
        <v/>
      </c>
      <c r="AC138" s="176">
        <f>IFERROR(_xlfn.XLOOKUP($D138,'Modelling New'!$D:$D,'Modelling New'!$J:$J),"")</f>
        <v>9.01</v>
      </c>
      <c r="AD138" s="166">
        <f>IFERROR(_xlfn.XLOOKUP($D138,'Modelling New'!$D:$D,'Modelling New'!$T:$T)*1000,"")</f>
        <v>895729.81265024655</v>
      </c>
      <c r="AE138" s="174"/>
      <c r="AF138" s="174">
        <f>IFERROR(_xlfn.XLOOKUP($D138,'Modelling New'!$D:$D,'Modelling New'!$W:$W),"")</f>
        <v>0.53165349753694591</v>
      </c>
      <c r="AG138" s="174">
        <f>IFERROR(_xlfn.XLOOKUP($D138,'Modelling New'!$D:$D,'Modelling New'!$AE:$AE),"")</f>
        <v>0.96029999999999993</v>
      </c>
      <c r="AH138" s="174">
        <f>IFERROR(_xlfn.XLOOKUP($D138,'Modelling New'!$D:$D,'Modelling New'!$AF:$AF),"")</f>
        <v>0.995</v>
      </c>
      <c r="AI138" s="177" t="str">
        <f>IFERROR(_xlfn.XLOOKUP($A138,Input_Raw!$A:$A,Input_Raw!$BQ:$BQ),"")</f>
        <v/>
      </c>
      <c r="AJ138" s="167"/>
      <c r="AK138" s="167"/>
      <c r="AL138" s="167"/>
      <c r="AM138" s="167"/>
      <c r="AN138" s="175" t="str">
        <f>IFERROR(_xlfn.XLOOKUP($A138,Input_Raw!$A:$A,Input_Raw!$BN:$BN),"")</f>
        <v/>
      </c>
      <c r="AO138" s="174" t="str">
        <f>IFERROR((_xlfn.XLOOKUP($A138,'WTG Reactive Power'!$A:$A,'WTG Reactive Power'!$AE:$AE))/Table13[[#This Row],[Gen_Exp (kWh)]],"")</f>
        <v/>
      </c>
      <c r="AP138" s="174">
        <f>IFERROR(_xlfn.XLOOKUP($D138,'Modelling New'!$D:$D,'Modelling New'!$AK:$AK),"")</f>
        <v>0.05</v>
      </c>
      <c r="AQ138" s="174">
        <f>IFERROR(_xlfn.XLOOKUP($D138,'Modelling New'!$D:$D,'Modelling New'!$AL:$AL),"")</f>
        <v>0.05</v>
      </c>
      <c r="AR138" s="276">
        <f>IFERROR(_xlfn.XLOOKUP($D138,'Modelling New'!$D:$D,'Modelling New'!$N:$N),"")</f>
        <v>70.2</v>
      </c>
      <c r="AS138" s="276"/>
    </row>
    <row r="139" spans="1:45">
      <c r="A139" s="165">
        <f t="shared" si="11"/>
        <v>45882</v>
      </c>
      <c r="B139" s="166">
        <f>YEAR(Table13[[#This Row],[Date]])+IF(MONTH(Table13[[#This Row],[Date]])&gt;=4,1,0)</f>
        <v>2026</v>
      </c>
      <c r="C139" s="167">
        <f>YEAR(Table13[[#This Row],[Date]])</f>
        <v>2025</v>
      </c>
      <c r="D139" s="168">
        <f>Table13[[#This Row],[Date]]-DAY(Table13[[#This Row],[Date]])+1</f>
        <v>45870</v>
      </c>
      <c r="E139" s="167">
        <f t="shared" si="8"/>
        <v>31</v>
      </c>
      <c r="F139" s="169"/>
      <c r="G139" s="176"/>
      <c r="H139" s="176"/>
      <c r="I139" s="176"/>
      <c r="J139" s="176"/>
      <c r="K139" s="171"/>
      <c r="L139" s="170"/>
      <c r="M139" s="170" t="str">
        <f>IFERROR(_xlfn.XLOOKUP($A139,Input_Raw!$A:$A,Input_Raw!BG:BG),"")</f>
        <v/>
      </c>
      <c r="N139" s="170" t="str">
        <f>IFERROR(_xlfn.XLOOKUP($A139,Input_Raw!$A:$A,Input_Raw!BH:BH),"")</f>
        <v/>
      </c>
      <c r="O139" s="173" t="str">
        <f t="shared" si="9"/>
        <v/>
      </c>
      <c r="P139" s="173" t="str">
        <f>IFERROR(1-SUMIF(WTG_BD!$F:$F,$A139,WTG_BD!$AA:$AA)/($AA139+SUMIF(WTG_BD!$F:$F,$A139,WTG_BD!$AA:$AA)),"")</f>
        <v/>
      </c>
      <c r="Q139" s="173" t="str">
        <f>IFERROR(1-SUMIF(IGA_BD!$F:$F,$A139,IGA_BD!$X:$X)/($AA139+SUMIF(IGA_BD!$F:$F,$A139,IGA_BD!$X:$X)),"")</f>
        <v/>
      </c>
      <c r="R139" s="173" t="str">
        <f>IFERROR(1-SUMIF(Grid_BD!$F:$F,$A139,Grid_BD!$Y:$Y)/($AA139+SUMIF(Grid_BD!$F:$F,$A139,Grid_BD!$Y:$Y)),"")</f>
        <v/>
      </c>
      <c r="S139" s="167"/>
      <c r="T139" s="172"/>
      <c r="U139" s="173"/>
      <c r="V139" s="167"/>
      <c r="W139" s="174" t="str">
        <f t="shared" si="10"/>
        <v/>
      </c>
      <c r="X139" s="167" t="str">
        <f>IFERROR(_xlfn.XLOOKUP($A139,Input_Raw!$A:$A,Input_Raw!$BF:$BF),"")</f>
        <v/>
      </c>
      <c r="Y139" s="167" t="str">
        <f>IFERROR(_xlfn.XLOOKUP($A139,Input_Raw!$A:$A,Input_Raw!BJ:BJ),"")</f>
        <v/>
      </c>
      <c r="Z139" s="167" t="str">
        <f>IFERROR(_xlfn.XLOOKUP($A139,Input_Raw!$A:$A,Input_Raw!BK:BK),"")</f>
        <v/>
      </c>
      <c r="AA139" s="167" t="str">
        <f>IFERROR(_xlfn.XLOOKUP($A139,Input_Raw!$A:$A,Input_Raw!BL:BL),"")</f>
        <v/>
      </c>
      <c r="AB139" s="167" t="str">
        <f>IFERROR(_xlfn.XLOOKUP($A139,Input_Raw!$A:$A,Input_Raw!$BO:$BO),"")</f>
        <v/>
      </c>
      <c r="AC139" s="176">
        <f>IFERROR(_xlfn.XLOOKUP($D139,'Modelling New'!$D:$D,'Modelling New'!$J:$J),"")</f>
        <v>9.01</v>
      </c>
      <c r="AD139" s="166">
        <f>IFERROR(_xlfn.XLOOKUP($D139,'Modelling New'!$D:$D,'Modelling New'!$T:$T)*1000,"")</f>
        <v>895729.81265024655</v>
      </c>
      <c r="AE139" s="174"/>
      <c r="AF139" s="174">
        <f>IFERROR(_xlfn.XLOOKUP($D139,'Modelling New'!$D:$D,'Modelling New'!$W:$W),"")</f>
        <v>0.53165349753694591</v>
      </c>
      <c r="AG139" s="174">
        <f>IFERROR(_xlfn.XLOOKUP($D139,'Modelling New'!$D:$D,'Modelling New'!$AE:$AE),"")</f>
        <v>0.96029999999999993</v>
      </c>
      <c r="AH139" s="174">
        <f>IFERROR(_xlfn.XLOOKUP($D139,'Modelling New'!$D:$D,'Modelling New'!$AF:$AF),"")</f>
        <v>0.995</v>
      </c>
      <c r="AI139" s="177" t="str">
        <f>IFERROR(_xlfn.XLOOKUP($A139,Input_Raw!$A:$A,Input_Raw!$BQ:$BQ),"")</f>
        <v/>
      </c>
      <c r="AJ139" s="167"/>
      <c r="AK139" s="167"/>
      <c r="AL139" s="167"/>
      <c r="AM139" s="167"/>
      <c r="AN139" s="175" t="str">
        <f>IFERROR(_xlfn.XLOOKUP($A139,Input_Raw!$A:$A,Input_Raw!$BN:$BN),"")</f>
        <v/>
      </c>
      <c r="AO139" s="174" t="str">
        <f>IFERROR((_xlfn.XLOOKUP($A139,'WTG Reactive Power'!$A:$A,'WTG Reactive Power'!$AE:$AE))/Table13[[#This Row],[Gen_Exp (kWh)]],"")</f>
        <v/>
      </c>
      <c r="AP139" s="174">
        <f>IFERROR(_xlfn.XLOOKUP($D139,'Modelling New'!$D:$D,'Modelling New'!$AK:$AK),"")</f>
        <v>0.05</v>
      </c>
      <c r="AQ139" s="174">
        <f>IFERROR(_xlfn.XLOOKUP($D139,'Modelling New'!$D:$D,'Modelling New'!$AL:$AL),"")</f>
        <v>0.05</v>
      </c>
      <c r="AR139" s="276">
        <f>IFERROR(_xlfn.XLOOKUP($D139,'Modelling New'!$D:$D,'Modelling New'!$N:$N),"")</f>
        <v>70.2</v>
      </c>
      <c r="AS139" s="276"/>
    </row>
    <row r="140" spans="1:45">
      <c r="A140" s="165">
        <f t="shared" si="11"/>
        <v>45883</v>
      </c>
      <c r="B140" s="166">
        <f>YEAR(Table13[[#This Row],[Date]])+IF(MONTH(Table13[[#This Row],[Date]])&gt;=4,1,0)</f>
        <v>2026</v>
      </c>
      <c r="C140" s="167">
        <f>YEAR(Table13[[#This Row],[Date]])</f>
        <v>2025</v>
      </c>
      <c r="D140" s="168">
        <f>Table13[[#This Row],[Date]]-DAY(Table13[[#This Row],[Date]])+1</f>
        <v>45870</v>
      </c>
      <c r="E140" s="167">
        <f t="shared" si="8"/>
        <v>31</v>
      </c>
      <c r="F140" s="169"/>
      <c r="G140" s="170"/>
      <c r="H140" s="170"/>
      <c r="I140" s="170"/>
      <c r="J140" s="170"/>
      <c r="K140" s="171"/>
      <c r="L140" s="170"/>
      <c r="M140" s="170" t="str">
        <f>IFERROR(_xlfn.XLOOKUP($A140,Input_Raw!$A:$A,Input_Raw!BG:BG),"")</f>
        <v/>
      </c>
      <c r="N140" s="170" t="str">
        <f>IFERROR(_xlfn.XLOOKUP($A140,Input_Raw!$A:$A,Input_Raw!BH:BH),"")</f>
        <v/>
      </c>
      <c r="O140" s="173" t="str">
        <f t="shared" si="9"/>
        <v/>
      </c>
      <c r="P140" s="173" t="str">
        <f>IFERROR(1-SUMIF(WTG_BD!$F:$F,$A140,WTG_BD!$AA:$AA)/($AA140+SUMIF(WTG_BD!$F:$F,$A140,WTG_BD!$AA:$AA)),"")</f>
        <v/>
      </c>
      <c r="Q140" s="173" t="str">
        <f>IFERROR(1-SUMIF(IGA_BD!$F:$F,$A140,IGA_BD!$X:$X)/($AA140+SUMIF(IGA_BD!$F:$F,$A140,IGA_BD!$X:$X)),"")</f>
        <v/>
      </c>
      <c r="R140" s="173" t="str">
        <f>IFERROR(1-SUMIF(Grid_BD!$F:$F,$A140,Grid_BD!$Y:$Y)/($AA140+SUMIF(Grid_BD!$F:$F,$A140,Grid_BD!$Y:$Y)),"")</f>
        <v/>
      </c>
      <c r="S140" s="167"/>
      <c r="T140" s="172"/>
      <c r="U140" s="173"/>
      <c r="V140" s="167"/>
      <c r="W140" s="174" t="str">
        <f t="shared" si="10"/>
        <v/>
      </c>
      <c r="X140" s="167" t="str">
        <f>IFERROR(_xlfn.XLOOKUP($A140,Input_Raw!$A:$A,Input_Raw!$BF:$BF),"")</f>
        <v/>
      </c>
      <c r="Y140" s="167" t="str">
        <f>IFERROR(_xlfn.XLOOKUP($A140,Input_Raw!$A:$A,Input_Raw!BJ:BJ),"")</f>
        <v/>
      </c>
      <c r="Z140" s="167" t="str">
        <f>IFERROR(_xlfn.XLOOKUP($A140,Input_Raw!$A:$A,Input_Raw!BK:BK),"")</f>
        <v/>
      </c>
      <c r="AA140" s="167" t="str">
        <f>IFERROR(_xlfn.XLOOKUP($A140,Input_Raw!$A:$A,Input_Raw!BL:BL),"")</f>
        <v/>
      </c>
      <c r="AB140" s="167" t="str">
        <f>IFERROR(_xlfn.XLOOKUP($A140,Input_Raw!$A:$A,Input_Raw!$BO:$BO),"")</f>
        <v/>
      </c>
      <c r="AC140" s="176">
        <f>IFERROR(_xlfn.XLOOKUP($D140,'Modelling New'!$D:$D,'Modelling New'!$J:$J),"")</f>
        <v>9.01</v>
      </c>
      <c r="AD140" s="166">
        <f>IFERROR(_xlfn.XLOOKUP($D140,'Modelling New'!$D:$D,'Modelling New'!$T:$T)*1000,"")</f>
        <v>895729.81265024655</v>
      </c>
      <c r="AE140" s="174"/>
      <c r="AF140" s="174">
        <f>IFERROR(_xlfn.XLOOKUP($D140,'Modelling New'!$D:$D,'Modelling New'!$W:$W),"")</f>
        <v>0.53165349753694591</v>
      </c>
      <c r="AG140" s="174">
        <f>IFERROR(_xlfn.XLOOKUP($D140,'Modelling New'!$D:$D,'Modelling New'!$AE:$AE),"")</f>
        <v>0.96029999999999993</v>
      </c>
      <c r="AH140" s="174">
        <f>IFERROR(_xlfn.XLOOKUP($D140,'Modelling New'!$D:$D,'Modelling New'!$AF:$AF),"")</f>
        <v>0.995</v>
      </c>
      <c r="AI140" s="177" t="str">
        <f>IFERROR(_xlfn.XLOOKUP($A140,Input_Raw!$A:$A,Input_Raw!$BQ:$BQ),"")</f>
        <v/>
      </c>
      <c r="AJ140" s="167"/>
      <c r="AK140" s="167"/>
      <c r="AL140" s="167"/>
      <c r="AM140" s="167"/>
      <c r="AN140" s="175" t="str">
        <f>IFERROR(_xlfn.XLOOKUP($A140,Input_Raw!$A:$A,Input_Raw!$BN:$BN),"")</f>
        <v/>
      </c>
      <c r="AO140" s="174" t="str">
        <f>IFERROR((_xlfn.XLOOKUP($A140,'WTG Reactive Power'!$A:$A,'WTG Reactive Power'!$AE:$AE))/Table13[[#This Row],[Gen_Exp (kWh)]],"")</f>
        <v/>
      </c>
      <c r="AP140" s="174">
        <f>IFERROR(_xlfn.XLOOKUP($D140,'Modelling New'!$D:$D,'Modelling New'!$AK:$AK),"")</f>
        <v>0.05</v>
      </c>
      <c r="AQ140" s="174">
        <f>IFERROR(_xlfn.XLOOKUP($D140,'Modelling New'!$D:$D,'Modelling New'!$AL:$AL),"")</f>
        <v>0.05</v>
      </c>
      <c r="AR140" s="276">
        <f>IFERROR(_xlfn.XLOOKUP($D140,'Modelling New'!$D:$D,'Modelling New'!$N:$N),"")</f>
        <v>70.2</v>
      </c>
      <c r="AS140" s="276"/>
    </row>
    <row r="141" spans="1:45">
      <c r="A141" s="165">
        <f t="shared" si="11"/>
        <v>45884</v>
      </c>
      <c r="B141" s="166">
        <f>YEAR(Table13[[#This Row],[Date]])+IF(MONTH(Table13[[#This Row],[Date]])&gt;=4,1,0)</f>
        <v>2026</v>
      </c>
      <c r="C141" s="167">
        <f>YEAR(Table13[[#This Row],[Date]])</f>
        <v>2025</v>
      </c>
      <c r="D141" s="168">
        <f>Table13[[#This Row],[Date]]-DAY(Table13[[#This Row],[Date]])+1</f>
        <v>45870</v>
      </c>
      <c r="E141" s="167">
        <f t="shared" si="8"/>
        <v>31</v>
      </c>
      <c r="F141" s="169"/>
      <c r="G141" s="176"/>
      <c r="H141" s="176"/>
      <c r="I141" s="176"/>
      <c r="J141" s="176"/>
      <c r="K141" s="171"/>
      <c r="L141" s="170"/>
      <c r="M141" s="170" t="str">
        <f>IFERROR(_xlfn.XLOOKUP($A141,Input_Raw!$A:$A,Input_Raw!BG:BG),"")</f>
        <v/>
      </c>
      <c r="N141" s="170" t="str">
        <f>IFERROR(_xlfn.XLOOKUP($A141,Input_Raw!$A:$A,Input_Raw!BH:BH),"")</f>
        <v/>
      </c>
      <c r="O141" s="173" t="str">
        <f t="shared" si="9"/>
        <v/>
      </c>
      <c r="P141" s="173" t="str">
        <f>IFERROR(1-SUMIF(WTG_BD!$F:$F,$A141,WTG_BD!$AA:$AA)/($AA141+SUMIF(WTG_BD!$F:$F,$A141,WTG_BD!$AA:$AA)),"")</f>
        <v/>
      </c>
      <c r="Q141" s="173" t="str">
        <f>IFERROR(1-SUMIF(IGA_BD!$F:$F,$A141,IGA_BD!$X:$X)/($AA141+SUMIF(IGA_BD!$F:$F,$A141,IGA_BD!$X:$X)),"")</f>
        <v/>
      </c>
      <c r="R141" s="173" t="str">
        <f>IFERROR(1-SUMIF(Grid_BD!$F:$F,$A141,Grid_BD!$Y:$Y)/($AA141+SUMIF(Grid_BD!$F:$F,$A141,Grid_BD!$Y:$Y)),"")</f>
        <v/>
      </c>
      <c r="S141" s="167"/>
      <c r="T141" s="172"/>
      <c r="U141" s="173"/>
      <c r="V141" s="167"/>
      <c r="W141" s="174" t="str">
        <f t="shared" si="10"/>
        <v/>
      </c>
      <c r="X141" s="167" t="str">
        <f>IFERROR(_xlfn.XLOOKUP($A141,Input_Raw!$A:$A,Input_Raw!$BF:$BF),"")</f>
        <v/>
      </c>
      <c r="Y141" s="167" t="str">
        <f>IFERROR(_xlfn.XLOOKUP($A141,Input_Raw!$A:$A,Input_Raw!BJ:BJ),"")</f>
        <v/>
      </c>
      <c r="Z141" s="167" t="str">
        <f>IFERROR(_xlfn.XLOOKUP($A141,Input_Raw!$A:$A,Input_Raw!BK:BK),"")</f>
        <v/>
      </c>
      <c r="AA141" s="167" t="str">
        <f>IFERROR(_xlfn.XLOOKUP($A141,Input_Raw!$A:$A,Input_Raw!BL:BL),"")</f>
        <v/>
      </c>
      <c r="AB141" s="167" t="str">
        <f>IFERROR(_xlfn.XLOOKUP($A141,Input_Raw!$A:$A,Input_Raw!$BO:$BO),"")</f>
        <v/>
      </c>
      <c r="AC141" s="176">
        <f>IFERROR(_xlfn.XLOOKUP($D141,'Modelling New'!$D:$D,'Modelling New'!$J:$J),"")</f>
        <v>9.01</v>
      </c>
      <c r="AD141" s="166">
        <f>IFERROR(_xlfn.XLOOKUP($D141,'Modelling New'!$D:$D,'Modelling New'!$T:$T)*1000,"")</f>
        <v>895729.81265024655</v>
      </c>
      <c r="AE141" s="174"/>
      <c r="AF141" s="174">
        <f>IFERROR(_xlfn.XLOOKUP($D141,'Modelling New'!$D:$D,'Modelling New'!$W:$W),"")</f>
        <v>0.53165349753694591</v>
      </c>
      <c r="AG141" s="174">
        <f>IFERROR(_xlfn.XLOOKUP($D141,'Modelling New'!$D:$D,'Modelling New'!$AE:$AE),"")</f>
        <v>0.96029999999999993</v>
      </c>
      <c r="AH141" s="174">
        <f>IFERROR(_xlfn.XLOOKUP($D141,'Modelling New'!$D:$D,'Modelling New'!$AF:$AF),"")</f>
        <v>0.995</v>
      </c>
      <c r="AI141" s="177" t="str">
        <f>IFERROR(_xlfn.XLOOKUP($A141,Input_Raw!$A:$A,Input_Raw!$BQ:$BQ),"")</f>
        <v/>
      </c>
      <c r="AJ141" s="167"/>
      <c r="AK141" s="167"/>
      <c r="AL141" s="167"/>
      <c r="AM141" s="167"/>
      <c r="AN141" s="175" t="str">
        <f>IFERROR(_xlfn.XLOOKUP($A141,Input_Raw!$A:$A,Input_Raw!$BN:$BN),"")</f>
        <v/>
      </c>
      <c r="AO141" s="174" t="str">
        <f>IFERROR((_xlfn.XLOOKUP($A141,'WTG Reactive Power'!$A:$A,'WTG Reactive Power'!$AE:$AE))/Table13[[#This Row],[Gen_Exp (kWh)]],"")</f>
        <v/>
      </c>
      <c r="AP141" s="174">
        <f>IFERROR(_xlfn.XLOOKUP($D141,'Modelling New'!$D:$D,'Modelling New'!$AK:$AK),"")</f>
        <v>0.05</v>
      </c>
      <c r="AQ141" s="174">
        <f>IFERROR(_xlfn.XLOOKUP($D141,'Modelling New'!$D:$D,'Modelling New'!$AL:$AL),"")</f>
        <v>0.05</v>
      </c>
      <c r="AR141" s="276">
        <f>IFERROR(_xlfn.XLOOKUP($D141,'Modelling New'!$D:$D,'Modelling New'!$N:$N),"")</f>
        <v>70.2</v>
      </c>
      <c r="AS141" s="276"/>
    </row>
    <row r="142" spans="1:45">
      <c r="A142" s="165">
        <f t="shared" si="11"/>
        <v>45885</v>
      </c>
      <c r="B142" s="166">
        <f>YEAR(Table13[[#This Row],[Date]])+IF(MONTH(Table13[[#This Row],[Date]])&gt;=4,1,0)</f>
        <v>2026</v>
      </c>
      <c r="C142" s="167">
        <f>YEAR(Table13[[#This Row],[Date]])</f>
        <v>2025</v>
      </c>
      <c r="D142" s="168">
        <f>Table13[[#This Row],[Date]]-DAY(Table13[[#This Row],[Date]])+1</f>
        <v>45870</v>
      </c>
      <c r="E142" s="167">
        <f t="shared" si="8"/>
        <v>31</v>
      </c>
      <c r="F142" s="169"/>
      <c r="G142" s="170"/>
      <c r="H142" s="170"/>
      <c r="I142" s="170"/>
      <c r="J142" s="170"/>
      <c r="K142" s="171"/>
      <c r="L142" s="170"/>
      <c r="M142" s="170" t="str">
        <f>IFERROR(_xlfn.XLOOKUP($A142,Input_Raw!$A:$A,Input_Raw!BG:BG),"")</f>
        <v/>
      </c>
      <c r="N142" s="170" t="str">
        <f>IFERROR(_xlfn.XLOOKUP($A142,Input_Raw!$A:$A,Input_Raw!BH:BH),"")</f>
        <v/>
      </c>
      <c r="O142" s="173" t="str">
        <f t="shared" si="9"/>
        <v/>
      </c>
      <c r="P142" s="173" t="str">
        <f>IFERROR(1-SUMIF(WTG_BD!$F:$F,$A142,WTG_BD!$AA:$AA)/($AA142+SUMIF(WTG_BD!$F:$F,$A142,WTG_BD!$AA:$AA)),"")</f>
        <v/>
      </c>
      <c r="Q142" s="173" t="str">
        <f>IFERROR(1-SUMIF(IGA_BD!$F:$F,$A142,IGA_BD!$X:$X)/($AA142+SUMIF(IGA_BD!$F:$F,$A142,IGA_BD!$X:$X)),"")</f>
        <v/>
      </c>
      <c r="R142" s="173" t="str">
        <f>IFERROR(1-SUMIF(Grid_BD!$F:$F,$A142,Grid_BD!$Y:$Y)/($AA142+SUMIF(Grid_BD!$F:$F,$A142,Grid_BD!$Y:$Y)),"")</f>
        <v/>
      </c>
      <c r="S142" s="167"/>
      <c r="T142" s="172"/>
      <c r="U142" s="173"/>
      <c r="V142" s="167"/>
      <c r="W142" s="174" t="str">
        <f t="shared" si="10"/>
        <v/>
      </c>
      <c r="X142" s="167" t="str">
        <f>IFERROR(_xlfn.XLOOKUP($A142,Input_Raw!$A:$A,Input_Raw!$BF:$BF),"")</f>
        <v/>
      </c>
      <c r="Y142" s="167" t="str">
        <f>IFERROR(_xlfn.XLOOKUP($A142,Input_Raw!$A:$A,Input_Raw!BJ:BJ),"")</f>
        <v/>
      </c>
      <c r="Z142" s="167" t="str">
        <f>IFERROR(_xlfn.XLOOKUP($A142,Input_Raw!$A:$A,Input_Raw!BK:BK),"")</f>
        <v/>
      </c>
      <c r="AA142" s="167" t="str">
        <f>IFERROR(_xlfn.XLOOKUP($A142,Input_Raw!$A:$A,Input_Raw!BL:BL),"")</f>
        <v/>
      </c>
      <c r="AB142" s="167" t="str">
        <f>IFERROR(_xlfn.XLOOKUP($A142,Input_Raw!$A:$A,Input_Raw!$BO:$BO),"")</f>
        <v/>
      </c>
      <c r="AC142" s="176">
        <f>IFERROR(_xlfn.XLOOKUP($D142,'Modelling New'!$D:$D,'Modelling New'!$J:$J),"")</f>
        <v>9.01</v>
      </c>
      <c r="AD142" s="166">
        <f>IFERROR(_xlfn.XLOOKUP($D142,'Modelling New'!$D:$D,'Modelling New'!$T:$T)*1000,"")</f>
        <v>895729.81265024655</v>
      </c>
      <c r="AE142" s="174"/>
      <c r="AF142" s="174">
        <f>IFERROR(_xlfn.XLOOKUP($D142,'Modelling New'!$D:$D,'Modelling New'!$W:$W),"")</f>
        <v>0.53165349753694591</v>
      </c>
      <c r="AG142" s="174">
        <f>IFERROR(_xlfn.XLOOKUP($D142,'Modelling New'!$D:$D,'Modelling New'!$AE:$AE),"")</f>
        <v>0.96029999999999993</v>
      </c>
      <c r="AH142" s="174">
        <f>IFERROR(_xlfn.XLOOKUP($D142,'Modelling New'!$D:$D,'Modelling New'!$AF:$AF),"")</f>
        <v>0.995</v>
      </c>
      <c r="AI142" s="177" t="str">
        <f>IFERROR(_xlfn.XLOOKUP($A142,Input_Raw!$A:$A,Input_Raw!$BQ:$BQ),"")</f>
        <v/>
      </c>
      <c r="AJ142" s="167"/>
      <c r="AK142" s="167"/>
      <c r="AL142" s="167"/>
      <c r="AM142" s="167"/>
      <c r="AN142" s="175" t="str">
        <f>IFERROR(_xlfn.XLOOKUP($A142,Input_Raw!$A:$A,Input_Raw!$BN:$BN),"")</f>
        <v/>
      </c>
      <c r="AO142" s="174" t="str">
        <f>IFERROR((_xlfn.XLOOKUP($A142,'WTG Reactive Power'!$A:$A,'WTG Reactive Power'!$AE:$AE))/Table13[[#This Row],[Gen_Exp (kWh)]],"")</f>
        <v/>
      </c>
      <c r="AP142" s="174">
        <f>IFERROR(_xlfn.XLOOKUP($D142,'Modelling New'!$D:$D,'Modelling New'!$AK:$AK),"")</f>
        <v>0.05</v>
      </c>
      <c r="AQ142" s="174">
        <f>IFERROR(_xlfn.XLOOKUP($D142,'Modelling New'!$D:$D,'Modelling New'!$AL:$AL),"")</f>
        <v>0.05</v>
      </c>
      <c r="AR142" s="276">
        <f>IFERROR(_xlfn.XLOOKUP($D142,'Modelling New'!$D:$D,'Modelling New'!$N:$N),"")</f>
        <v>70.2</v>
      </c>
      <c r="AS142" s="276"/>
    </row>
    <row r="143" spans="1:45">
      <c r="A143" s="165">
        <f t="shared" si="11"/>
        <v>45886</v>
      </c>
      <c r="B143" s="166">
        <f>YEAR(Table13[[#This Row],[Date]])+IF(MONTH(Table13[[#This Row],[Date]])&gt;=4,1,0)</f>
        <v>2026</v>
      </c>
      <c r="C143" s="167">
        <f>YEAR(Table13[[#This Row],[Date]])</f>
        <v>2025</v>
      </c>
      <c r="D143" s="168">
        <f>Table13[[#This Row],[Date]]-DAY(Table13[[#This Row],[Date]])+1</f>
        <v>45870</v>
      </c>
      <c r="E143" s="167">
        <f t="shared" si="8"/>
        <v>31</v>
      </c>
      <c r="F143" s="169"/>
      <c r="G143" s="176"/>
      <c r="H143" s="176"/>
      <c r="I143" s="176"/>
      <c r="J143" s="176"/>
      <c r="K143" s="171"/>
      <c r="L143" s="170"/>
      <c r="M143" s="170" t="str">
        <f>IFERROR(_xlfn.XLOOKUP($A143,Input_Raw!$A:$A,Input_Raw!BG:BG),"")</f>
        <v/>
      </c>
      <c r="N143" s="170" t="str">
        <f>IFERROR(_xlfn.XLOOKUP($A143,Input_Raw!$A:$A,Input_Raw!BH:BH),"")</f>
        <v/>
      </c>
      <c r="O143" s="173" t="str">
        <f t="shared" si="9"/>
        <v/>
      </c>
      <c r="P143" s="173" t="str">
        <f>IFERROR(1-SUMIF(WTG_BD!$F:$F,$A143,WTG_BD!$AA:$AA)/($AA143+SUMIF(WTG_BD!$F:$F,$A143,WTG_BD!$AA:$AA)),"")</f>
        <v/>
      </c>
      <c r="Q143" s="173" t="str">
        <f>IFERROR(1-SUMIF(IGA_BD!$F:$F,$A143,IGA_BD!$X:$X)/($AA143+SUMIF(IGA_BD!$F:$F,$A143,IGA_BD!$X:$X)),"")</f>
        <v/>
      </c>
      <c r="R143" s="173" t="str">
        <f>IFERROR(1-SUMIF(Grid_BD!$F:$F,$A143,Grid_BD!$Y:$Y)/($AA143+SUMIF(Grid_BD!$F:$F,$A143,Grid_BD!$Y:$Y)),"")</f>
        <v/>
      </c>
      <c r="S143" s="167"/>
      <c r="T143" s="172"/>
      <c r="U143" s="173"/>
      <c r="V143" s="167"/>
      <c r="W143" s="174" t="str">
        <f t="shared" si="10"/>
        <v/>
      </c>
      <c r="X143" s="167" t="str">
        <f>IFERROR(_xlfn.XLOOKUP($A143,Input_Raw!$A:$A,Input_Raw!$BF:$BF),"")</f>
        <v/>
      </c>
      <c r="Y143" s="167" t="str">
        <f>IFERROR(_xlfn.XLOOKUP($A143,Input_Raw!$A:$A,Input_Raw!BJ:BJ),"")</f>
        <v/>
      </c>
      <c r="Z143" s="167" t="str">
        <f>IFERROR(_xlfn.XLOOKUP($A143,Input_Raw!$A:$A,Input_Raw!BK:BK),"")</f>
        <v/>
      </c>
      <c r="AA143" s="167" t="str">
        <f>IFERROR(_xlfn.XLOOKUP($A143,Input_Raw!$A:$A,Input_Raw!BL:BL),"")</f>
        <v/>
      </c>
      <c r="AB143" s="167" t="str">
        <f>IFERROR(_xlfn.XLOOKUP($A143,Input_Raw!$A:$A,Input_Raw!$BO:$BO),"")</f>
        <v/>
      </c>
      <c r="AC143" s="176">
        <f>IFERROR(_xlfn.XLOOKUP($D143,'Modelling New'!$D:$D,'Modelling New'!$J:$J),"")</f>
        <v>9.01</v>
      </c>
      <c r="AD143" s="166">
        <f>IFERROR(_xlfn.XLOOKUP($D143,'Modelling New'!$D:$D,'Modelling New'!$T:$T)*1000,"")</f>
        <v>895729.81265024655</v>
      </c>
      <c r="AE143" s="174"/>
      <c r="AF143" s="174">
        <f>IFERROR(_xlfn.XLOOKUP($D143,'Modelling New'!$D:$D,'Modelling New'!$W:$W),"")</f>
        <v>0.53165349753694591</v>
      </c>
      <c r="AG143" s="174">
        <f>IFERROR(_xlfn.XLOOKUP($D143,'Modelling New'!$D:$D,'Modelling New'!$AE:$AE),"")</f>
        <v>0.96029999999999993</v>
      </c>
      <c r="AH143" s="174">
        <f>IFERROR(_xlfn.XLOOKUP($D143,'Modelling New'!$D:$D,'Modelling New'!$AF:$AF),"")</f>
        <v>0.995</v>
      </c>
      <c r="AI143" s="177" t="str">
        <f>IFERROR(_xlfn.XLOOKUP($A143,Input_Raw!$A:$A,Input_Raw!$BQ:$BQ),"")</f>
        <v/>
      </c>
      <c r="AJ143" s="167"/>
      <c r="AK143" s="167"/>
      <c r="AL143" s="167"/>
      <c r="AM143" s="167"/>
      <c r="AN143" s="175" t="str">
        <f>IFERROR(_xlfn.XLOOKUP($A143,Input_Raw!$A:$A,Input_Raw!$BN:$BN),"")</f>
        <v/>
      </c>
      <c r="AO143" s="174" t="str">
        <f>IFERROR((_xlfn.XLOOKUP($A143,'WTG Reactive Power'!$A:$A,'WTG Reactive Power'!$AE:$AE))/Table13[[#This Row],[Gen_Exp (kWh)]],"")</f>
        <v/>
      </c>
      <c r="AP143" s="174">
        <f>IFERROR(_xlfn.XLOOKUP($D143,'Modelling New'!$D:$D,'Modelling New'!$AK:$AK),"")</f>
        <v>0.05</v>
      </c>
      <c r="AQ143" s="174">
        <f>IFERROR(_xlfn.XLOOKUP($D143,'Modelling New'!$D:$D,'Modelling New'!$AL:$AL),"")</f>
        <v>0.05</v>
      </c>
      <c r="AR143" s="276">
        <f>IFERROR(_xlfn.XLOOKUP($D143,'Modelling New'!$D:$D,'Modelling New'!$N:$N),"")</f>
        <v>70.2</v>
      </c>
      <c r="AS143" s="276"/>
    </row>
    <row r="144" spans="1:45">
      <c r="A144" s="165">
        <f t="shared" si="11"/>
        <v>45887</v>
      </c>
      <c r="B144" s="166">
        <f>YEAR(Table13[[#This Row],[Date]])+IF(MONTH(Table13[[#This Row],[Date]])&gt;=4,1,0)</f>
        <v>2026</v>
      </c>
      <c r="C144" s="167">
        <f>YEAR(Table13[[#This Row],[Date]])</f>
        <v>2025</v>
      </c>
      <c r="D144" s="168">
        <f>Table13[[#This Row],[Date]]-DAY(Table13[[#This Row],[Date]])+1</f>
        <v>45870</v>
      </c>
      <c r="E144" s="167">
        <f t="shared" si="8"/>
        <v>31</v>
      </c>
      <c r="F144" s="169"/>
      <c r="G144" s="170"/>
      <c r="H144" s="170"/>
      <c r="I144" s="170"/>
      <c r="J144" s="170"/>
      <c r="K144" s="171"/>
      <c r="L144" s="170"/>
      <c r="M144" s="170" t="str">
        <f>IFERROR(_xlfn.XLOOKUP($A144,Input_Raw!$A:$A,Input_Raw!BG:BG),"")</f>
        <v/>
      </c>
      <c r="N144" s="170" t="str">
        <f>IFERROR(_xlfn.XLOOKUP($A144,Input_Raw!$A:$A,Input_Raw!BH:BH),"")</f>
        <v/>
      </c>
      <c r="O144" s="173" t="str">
        <f t="shared" si="9"/>
        <v/>
      </c>
      <c r="P144" s="173" t="str">
        <f>IFERROR(1-SUMIF(WTG_BD!$F:$F,$A144,WTG_BD!$AA:$AA)/($AA144+SUMIF(WTG_BD!$F:$F,$A144,WTG_BD!$AA:$AA)),"")</f>
        <v/>
      </c>
      <c r="Q144" s="173" t="str">
        <f>IFERROR(1-SUMIF(IGA_BD!$F:$F,$A144,IGA_BD!$X:$X)/($AA144+SUMIF(IGA_BD!$F:$F,$A144,IGA_BD!$X:$X)),"")</f>
        <v/>
      </c>
      <c r="R144" s="173" t="str">
        <f>IFERROR(1-SUMIF(Grid_BD!$F:$F,$A144,Grid_BD!$Y:$Y)/($AA144+SUMIF(Grid_BD!$F:$F,$A144,Grid_BD!$Y:$Y)),"")</f>
        <v/>
      </c>
      <c r="S144" s="167"/>
      <c r="T144" s="172"/>
      <c r="U144" s="173"/>
      <c r="V144" s="167"/>
      <c r="W144" s="174" t="str">
        <f t="shared" si="10"/>
        <v/>
      </c>
      <c r="X144" s="167" t="str">
        <f>IFERROR(_xlfn.XLOOKUP($A144,Input_Raw!$A:$A,Input_Raw!$BF:$BF),"")</f>
        <v/>
      </c>
      <c r="Y144" s="167" t="str">
        <f>IFERROR(_xlfn.XLOOKUP($A144,Input_Raw!$A:$A,Input_Raw!BJ:BJ),"")</f>
        <v/>
      </c>
      <c r="Z144" s="167" t="str">
        <f>IFERROR(_xlfn.XLOOKUP($A144,Input_Raw!$A:$A,Input_Raw!BK:BK),"")</f>
        <v/>
      </c>
      <c r="AA144" s="167" t="str">
        <f>IFERROR(_xlfn.XLOOKUP($A144,Input_Raw!$A:$A,Input_Raw!BL:BL),"")</f>
        <v/>
      </c>
      <c r="AB144" s="167" t="str">
        <f>IFERROR(_xlfn.XLOOKUP($A144,Input_Raw!$A:$A,Input_Raw!$BO:$BO),"")</f>
        <v/>
      </c>
      <c r="AC144" s="176">
        <f>IFERROR(_xlfn.XLOOKUP($D144,'Modelling New'!$D:$D,'Modelling New'!$J:$J),"")</f>
        <v>9.01</v>
      </c>
      <c r="AD144" s="166">
        <f>IFERROR(_xlfn.XLOOKUP($D144,'Modelling New'!$D:$D,'Modelling New'!$T:$T)*1000,"")</f>
        <v>895729.81265024655</v>
      </c>
      <c r="AE144" s="174"/>
      <c r="AF144" s="174">
        <f>IFERROR(_xlfn.XLOOKUP($D144,'Modelling New'!$D:$D,'Modelling New'!$W:$W),"")</f>
        <v>0.53165349753694591</v>
      </c>
      <c r="AG144" s="174">
        <f>IFERROR(_xlfn.XLOOKUP($D144,'Modelling New'!$D:$D,'Modelling New'!$AE:$AE),"")</f>
        <v>0.96029999999999993</v>
      </c>
      <c r="AH144" s="174">
        <f>IFERROR(_xlfn.XLOOKUP($D144,'Modelling New'!$D:$D,'Modelling New'!$AF:$AF),"")</f>
        <v>0.995</v>
      </c>
      <c r="AI144" s="177" t="str">
        <f>IFERROR(_xlfn.XLOOKUP($A144,Input_Raw!$A:$A,Input_Raw!$BQ:$BQ),"")</f>
        <v/>
      </c>
      <c r="AJ144" s="167"/>
      <c r="AK144" s="167"/>
      <c r="AL144" s="167"/>
      <c r="AM144" s="167"/>
      <c r="AN144" s="175" t="str">
        <f>IFERROR(_xlfn.XLOOKUP($A144,Input_Raw!$A:$A,Input_Raw!$BN:$BN),"")</f>
        <v/>
      </c>
      <c r="AO144" s="174" t="str">
        <f>IFERROR((_xlfn.XLOOKUP($A144,'WTG Reactive Power'!$A:$A,'WTG Reactive Power'!$AE:$AE))/Table13[[#This Row],[Gen_Exp (kWh)]],"")</f>
        <v/>
      </c>
      <c r="AP144" s="174">
        <f>IFERROR(_xlfn.XLOOKUP($D144,'Modelling New'!$D:$D,'Modelling New'!$AK:$AK),"")</f>
        <v>0.05</v>
      </c>
      <c r="AQ144" s="174">
        <f>IFERROR(_xlfn.XLOOKUP($D144,'Modelling New'!$D:$D,'Modelling New'!$AL:$AL),"")</f>
        <v>0.05</v>
      </c>
      <c r="AR144" s="276">
        <f>IFERROR(_xlfn.XLOOKUP($D144,'Modelling New'!$D:$D,'Modelling New'!$N:$N),"")</f>
        <v>70.2</v>
      </c>
      <c r="AS144" s="276"/>
    </row>
    <row r="145" spans="1:45">
      <c r="A145" s="165">
        <f t="shared" si="11"/>
        <v>45888</v>
      </c>
      <c r="B145" s="166">
        <f>YEAR(Table13[[#This Row],[Date]])+IF(MONTH(Table13[[#This Row],[Date]])&gt;=4,1,0)</f>
        <v>2026</v>
      </c>
      <c r="C145" s="167">
        <f>YEAR(Table13[[#This Row],[Date]])</f>
        <v>2025</v>
      </c>
      <c r="D145" s="168">
        <f>Table13[[#This Row],[Date]]-DAY(Table13[[#This Row],[Date]])+1</f>
        <v>45870</v>
      </c>
      <c r="E145" s="167">
        <f t="shared" si="8"/>
        <v>31</v>
      </c>
      <c r="F145" s="169"/>
      <c r="G145" s="176"/>
      <c r="H145" s="176"/>
      <c r="I145" s="176"/>
      <c r="J145" s="176"/>
      <c r="K145" s="171"/>
      <c r="L145" s="170"/>
      <c r="M145" s="170" t="str">
        <f>IFERROR(_xlfn.XLOOKUP($A145,Input_Raw!$A:$A,Input_Raw!BG:BG),"")</f>
        <v/>
      </c>
      <c r="N145" s="170" t="str">
        <f>IFERROR(_xlfn.XLOOKUP($A145,Input_Raw!$A:$A,Input_Raw!BH:BH),"")</f>
        <v/>
      </c>
      <c r="O145" s="173" t="str">
        <f t="shared" si="9"/>
        <v/>
      </c>
      <c r="P145" s="173" t="str">
        <f>IFERROR(1-SUMIF(WTG_BD!$F:$F,$A145,WTG_BD!$AA:$AA)/($AA145+SUMIF(WTG_BD!$F:$F,$A145,WTG_BD!$AA:$AA)),"")</f>
        <v/>
      </c>
      <c r="Q145" s="173" t="str">
        <f>IFERROR(1-SUMIF(IGA_BD!$F:$F,$A145,IGA_BD!$X:$X)/($AA145+SUMIF(IGA_BD!$F:$F,$A145,IGA_BD!$X:$X)),"")</f>
        <v/>
      </c>
      <c r="R145" s="173" t="str">
        <f>IFERROR(1-SUMIF(Grid_BD!$F:$F,$A145,Grid_BD!$Y:$Y)/($AA145+SUMIF(Grid_BD!$F:$F,$A145,Grid_BD!$Y:$Y)),"")</f>
        <v/>
      </c>
      <c r="S145" s="167"/>
      <c r="T145" s="172"/>
      <c r="U145" s="173"/>
      <c r="V145" s="167"/>
      <c r="W145" s="174" t="str">
        <f t="shared" si="10"/>
        <v/>
      </c>
      <c r="X145" s="167" t="str">
        <f>IFERROR(_xlfn.XLOOKUP($A145,Input_Raw!$A:$A,Input_Raw!$BF:$BF),"")</f>
        <v/>
      </c>
      <c r="Y145" s="167" t="str">
        <f>IFERROR(_xlfn.XLOOKUP($A145,Input_Raw!$A:$A,Input_Raw!BJ:BJ),"")</f>
        <v/>
      </c>
      <c r="Z145" s="167" t="str">
        <f>IFERROR(_xlfn.XLOOKUP($A145,Input_Raw!$A:$A,Input_Raw!BK:BK),"")</f>
        <v/>
      </c>
      <c r="AA145" s="167" t="str">
        <f>IFERROR(_xlfn.XLOOKUP($A145,Input_Raw!$A:$A,Input_Raw!BL:BL),"")</f>
        <v/>
      </c>
      <c r="AB145" s="167" t="str">
        <f>IFERROR(_xlfn.XLOOKUP($A145,Input_Raw!$A:$A,Input_Raw!$BO:$BO),"")</f>
        <v/>
      </c>
      <c r="AC145" s="176">
        <f>IFERROR(_xlfn.XLOOKUP($D145,'Modelling New'!$D:$D,'Modelling New'!$J:$J),"")</f>
        <v>9.01</v>
      </c>
      <c r="AD145" s="166">
        <f>IFERROR(_xlfn.XLOOKUP($D145,'Modelling New'!$D:$D,'Modelling New'!$T:$T)*1000,"")</f>
        <v>895729.81265024655</v>
      </c>
      <c r="AE145" s="174"/>
      <c r="AF145" s="174">
        <f>IFERROR(_xlfn.XLOOKUP($D145,'Modelling New'!$D:$D,'Modelling New'!$W:$W),"")</f>
        <v>0.53165349753694591</v>
      </c>
      <c r="AG145" s="174">
        <f>IFERROR(_xlfn.XLOOKUP($D145,'Modelling New'!$D:$D,'Modelling New'!$AE:$AE),"")</f>
        <v>0.96029999999999993</v>
      </c>
      <c r="AH145" s="174">
        <f>IFERROR(_xlfn.XLOOKUP($D145,'Modelling New'!$D:$D,'Modelling New'!$AF:$AF),"")</f>
        <v>0.995</v>
      </c>
      <c r="AI145" s="177" t="str">
        <f>IFERROR(_xlfn.XLOOKUP($A145,Input_Raw!$A:$A,Input_Raw!$BQ:$BQ),"")</f>
        <v/>
      </c>
      <c r="AJ145" s="167"/>
      <c r="AK145" s="167"/>
      <c r="AL145" s="167"/>
      <c r="AM145" s="167"/>
      <c r="AN145" s="175" t="str">
        <f>IFERROR(_xlfn.XLOOKUP($A145,Input_Raw!$A:$A,Input_Raw!$BN:$BN),"")</f>
        <v/>
      </c>
      <c r="AO145" s="174" t="str">
        <f>IFERROR((_xlfn.XLOOKUP($A145,'WTG Reactive Power'!$A:$A,'WTG Reactive Power'!$AE:$AE))/Table13[[#This Row],[Gen_Exp (kWh)]],"")</f>
        <v/>
      </c>
      <c r="AP145" s="174">
        <f>IFERROR(_xlfn.XLOOKUP($D145,'Modelling New'!$D:$D,'Modelling New'!$AK:$AK),"")</f>
        <v>0.05</v>
      </c>
      <c r="AQ145" s="174">
        <f>IFERROR(_xlfn.XLOOKUP($D145,'Modelling New'!$D:$D,'Modelling New'!$AL:$AL),"")</f>
        <v>0.05</v>
      </c>
      <c r="AR145" s="276">
        <f>IFERROR(_xlfn.XLOOKUP($D145,'Modelling New'!$D:$D,'Modelling New'!$N:$N),"")</f>
        <v>70.2</v>
      </c>
      <c r="AS145" s="276"/>
    </row>
    <row r="146" spans="1:45">
      <c r="A146" s="165">
        <f t="shared" si="11"/>
        <v>45889</v>
      </c>
      <c r="B146" s="166">
        <f>YEAR(Table13[[#This Row],[Date]])+IF(MONTH(Table13[[#This Row],[Date]])&gt;=4,1,0)</f>
        <v>2026</v>
      </c>
      <c r="C146" s="167">
        <f>YEAR(Table13[[#This Row],[Date]])</f>
        <v>2025</v>
      </c>
      <c r="D146" s="168">
        <f>Table13[[#This Row],[Date]]-DAY(Table13[[#This Row],[Date]])+1</f>
        <v>45870</v>
      </c>
      <c r="E146" s="167">
        <f t="shared" si="8"/>
        <v>31</v>
      </c>
      <c r="F146" s="169"/>
      <c r="G146" s="170"/>
      <c r="H146" s="170"/>
      <c r="I146" s="170"/>
      <c r="J146" s="170"/>
      <c r="K146" s="171"/>
      <c r="L146" s="170"/>
      <c r="M146" s="170" t="str">
        <f>IFERROR(_xlfn.XLOOKUP($A146,Input_Raw!$A:$A,Input_Raw!BG:BG),"")</f>
        <v/>
      </c>
      <c r="N146" s="170" t="str">
        <f>IFERROR(_xlfn.XLOOKUP($A146,Input_Raw!$A:$A,Input_Raw!BH:BH),"")</f>
        <v/>
      </c>
      <c r="O146" s="173" t="str">
        <f t="shared" si="9"/>
        <v/>
      </c>
      <c r="P146" s="173" t="str">
        <f>IFERROR(1-SUMIF(WTG_BD!$F:$F,$A146,WTG_BD!$AA:$AA)/($AA146+SUMIF(WTG_BD!$F:$F,$A146,WTG_BD!$AA:$AA)),"")</f>
        <v/>
      </c>
      <c r="Q146" s="173" t="str">
        <f>IFERROR(1-SUMIF(IGA_BD!$F:$F,$A146,IGA_BD!$X:$X)/($AA146+SUMIF(IGA_BD!$F:$F,$A146,IGA_BD!$X:$X)),"")</f>
        <v/>
      </c>
      <c r="R146" s="173" t="str">
        <f>IFERROR(1-SUMIF(Grid_BD!$F:$F,$A146,Grid_BD!$Y:$Y)/($AA146+SUMIF(Grid_BD!$F:$F,$A146,Grid_BD!$Y:$Y)),"")</f>
        <v/>
      </c>
      <c r="S146" s="167"/>
      <c r="T146" s="172"/>
      <c r="U146" s="173"/>
      <c r="V146" s="167"/>
      <c r="W146" s="174" t="str">
        <f t="shared" si="10"/>
        <v/>
      </c>
      <c r="X146" s="167" t="str">
        <f>IFERROR(_xlfn.XLOOKUP($A146,Input_Raw!$A:$A,Input_Raw!$BF:$BF),"")</f>
        <v/>
      </c>
      <c r="Y146" s="167" t="str">
        <f>IFERROR(_xlfn.XLOOKUP($A146,Input_Raw!$A:$A,Input_Raw!BJ:BJ),"")</f>
        <v/>
      </c>
      <c r="Z146" s="167" t="str">
        <f>IFERROR(_xlfn.XLOOKUP($A146,Input_Raw!$A:$A,Input_Raw!BK:BK),"")</f>
        <v/>
      </c>
      <c r="AA146" s="167" t="str">
        <f>IFERROR(_xlfn.XLOOKUP($A146,Input_Raw!$A:$A,Input_Raw!BL:BL),"")</f>
        <v/>
      </c>
      <c r="AB146" s="167" t="str">
        <f>IFERROR(_xlfn.XLOOKUP($A146,Input_Raw!$A:$A,Input_Raw!$BO:$BO),"")</f>
        <v/>
      </c>
      <c r="AC146" s="176">
        <f>IFERROR(_xlfn.XLOOKUP($D146,'Modelling New'!$D:$D,'Modelling New'!$J:$J),"")</f>
        <v>9.01</v>
      </c>
      <c r="AD146" s="166">
        <f>IFERROR(_xlfn.XLOOKUP($D146,'Modelling New'!$D:$D,'Modelling New'!$T:$T)*1000,"")</f>
        <v>895729.81265024655</v>
      </c>
      <c r="AE146" s="174"/>
      <c r="AF146" s="174">
        <f>IFERROR(_xlfn.XLOOKUP($D146,'Modelling New'!$D:$D,'Modelling New'!$W:$W),"")</f>
        <v>0.53165349753694591</v>
      </c>
      <c r="AG146" s="174">
        <f>IFERROR(_xlfn.XLOOKUP($D146,'Modelling New'!$D:$D,'Modelling New'!$AE:$AE),"")</f>
        <v>0.96029999999999993</v>
      </c>
      <c r="AH146" s="174">
        <f>IFERROR(_xlfn.XLOOKUP($D146,'Modelling New'!$D:$D,'Modelling New'!$AF:$AF),"")</f>
        <v>0.995</v>
      </c>
      <c r="AI146" s="177" t="str">
        <f>IFERROR(_xlfn.XLOOKUP($A146,Input_Raw!$A:$A,Input_Raw!$BQ:$BQ),"")</f>
        <v/>
      </c>
      <c r="AJ146" s="167"/>
      <c r="AK146" s="167"/>
      <c r="AL146" s="167"/>
      <c r="AM146" s="167"/>
      <c r="AN146" s="175" t="str">
        <f>IFERROR(_xlfn.XLOOKUP($A146,Input_Raw!$A:$A,Input_Raw!$BN:$BN),"")</f>
        <v/>
      </c>
      <c r="AO146" s="174" t="str">
        <f>IFERROR((_xlfn.XLOOKUP($A146,'WTG Reactive Power'!$A:$A,'WTG Reactive Power'!$AE:$AE))/Table13[[#This Row],[Gen_Exp (kWh)]],"")</f>
        <v/>
      </c>
      <c r="AP146" s="174">
        <f>IFERROR(_xlfn.XLOOKUP($D146,'Modelling New'!$D:$D,'Modelling New'!$AK:$AK),"")</f>
        <v>0.05</v>
      </c>
      <c r="AQ146" s="174">
        <f>IFERROR(_xlfn.XLOOKUP($D146,'Modelling New'!$D:$D,'Modelling New'!$AL:$AL),"")</f>
        <v>0.05</v>
      </c>
      <c r="AR146" s="276">
        <f>IFERROR(_xlfn.XLOOKUP($D146,'Modelling New'!$D:$D,'Modelling New'!$N:$N),"")</f>
        <v>70.2</v>
      </c>
      <c r="AS146" s="276"/>
    </row>
    <row r="147" spans="1:45">
      <c r="A147" s="165">
        <f t="shared" si="11"/>
        <v>45890</v>
      </c>
      <c r="B147" s="166">
        <f>YEAR(Table13[[#This Row],[Date]])+IF(MONTH(Table13[[#This Row],[Date]])&gt;=4,1,0)</f>
        <v>2026</v>
      </c>
      <c r="C147" s="167">
        <f>YEAR(Table13[[#This Row],[Date]])</f>
        <v>2025</v>
      </c>
      <c r="D147" s="168">
        <f>Table13[[#This Row],[Date]]-DAY(Table13[[#This Row],[Date]])+1</f>
        <v>45870</v>
      </c>
      <c r="E147" s="167">
        <f t="shared" si="8"/>
        <v>31</v>
      </c>
      <c r="F147" s="169"/>
      <c r="G147" s="176"/>
      <c r="H147" s="176"/>
      <c r="I147" s="176"/>
      <c r="J147" s="176"/>
      <c r="K147" s="171"/>
      <c r="L147" s="170"/>
      <c r="M147" s="170" t="str">
        <f>IFERROR(_xlfn.XLOOKUP($A147,Input_Raw!$A:$A,Input_Raw!BG:BG),"")</f>
        <v/>
      </c>
      <c r="N147" s="170" t="str">
        <f>IFERROR(_xlfn.XLOOKUP($A147,Input_Raw!$A:$A,Input_Raw!BH:BH),"")</f>
        <v/>
      </c>
      <c r="O147" s="173" t="str">
        <f t="shared" si="9"/>
        <v/>
      </c>
      <c r="P147" s="173" t="str">
        <f>IFERROR(1-SUMIF(WTG_BD!$F:$F,$A147,WTG_BD!$AA:$AA)/($AA147+SUMIF(WTG_BD!$F:$F,$A147,WTG_BD!$AA:$AA)),"")</f>
        <v/>
      </c>
      <c r="Q147" s="173" t="str">
        <f>IFERROR(1-SUMIF(IGA_BD!$F:$F,$A147,IGA_BD!$X:$X)/($AA147+SUMIF(IGA_BD!$F:$F,$A147,IGA_BD!$X:$X)),"")</f>
        <v/>
      </c>
      <c r="R147" s="173" t="str">
        <f>IFERROR(1-SUMIF(Grid_BD!$F:$F,$A147,Grid_BD!$Y:$Y)/($AA147+SUMIF(Grid_BD!$F:$F,$A147,Grid_BD!$Y:$Y)),"")</f>
        <v/>
      </c>
      <c r="S147" s="167"/>
      <c r="T147" s="172"/>
      <c r="U147" s="173"/>
      <c r="V147" s="167"/>
      <c r="W147" s="174" t="str">
        <f t="shared" si="10"/>
        <v/>
      </c>
      <c r="X147" s="167" t="str">
        <f>IFERROR(_xlfn.XLOOKUP($A147,Input_Raw!$A:$A,Input_Raw!$BF:$BF),"")</f>
        <v/>
      </c>
      <c r="Y147" s="167" t="str">
        <f>IFERROR(_xlfn.XLOOKUP($A147,Input_Raw!$A:$A,Input_Raw!BJ:BJ),"")</f>
        <v/>
      </c>
      <c r="Z147" s="167" t="str">
        <f>IFERROR(_xlfn.XLOOKUP($A147,Input_Raw!$A:$A,Input_Raw!BK:BK),"")</f>
        <v/>
      </c>
      <c r="AA147" s="167" t="str">
        <f>IFERROR(_xlfn.XLOOKUP($A147,Input_Raw!$A:$A,Input_Raw!BL:BL),"")</f>
        <v/>
      </c>
      <c r="AB147" s="167" t="str">
        <f>IFERROR(_xlfn.XLOOKUP($A147,Input_Raw!$A:$A,Input_Raw!$BO:$BO),"")</f>
        <v/>
      </c>
      <c r="AC147" s="176">
        <f>IFERROR(_xlfn.XLOOKUP($D147,'Modelling New'!$D:$D,'Modelling New'!$J:$J),"")</f>
        <v>9.01</v>
      </c>
      <c r="AD147" s="166">
        <f>IFERROR(_xlfn.XLOOKUP($D147,'Modelling New'!$D:$D,'Modelling New'!$T:$T)*1000,"")</f>
        <v>895729.81265024655</v>
      </c>
      <c r="AE147" s="174"/>
      <c r="AF147" s="174">
        <f>IFERROR(_xlfn.XLOOKUP($D147,'Modelling New'!$D:$D,'Modelling New'!$W:$W),"")</f>
        <v>0.53165349753694591</v>
      </c>
      <c r="AG147" s="174">
        <f>IFERROR(_xlfn.XLOOKUP($D147,'Modelling New'!$D:$D,'Modelling New'!$AE:$AE),"")</f>
        <v>0.96029999999999993</v>
      </c>
      <c r="AH147" s="174">
        <f>IFERROR(_xlfn.XLOOKUP($D147,'Modelling New'!$D:$D,'Modelling New'!$AF:$AF),"")</f>
        <v>0.995</v>
      </c>
      <c r="AI147" s="177" t="str">
        <f>IFERROR(_xlfn.XLOOKUP($A147,Input_Raw!$A:$A,Input_Raw!$BQ:$BQ),"")</f>
        <v/>
      </c>
      <c r="AJ147" s="167"/>
      <c r="AK147" s="167"/>
      <c r="AL147" s="167"/>
      <c r="AM147" s="167"/>
      <c r="AN147" s="175" t="str">
        <f>IFERROR(_xlfn.XLOOKUP($A147,Input_Raw!$A:$A,Input_Raw!$BN:$BN),"")</f>
        <v/>
      </c>
      <c r="AO147" s="174" t="str">
        <f>IFERROR((_xlfn.XLOOKUP($A147,'WTG Reactive Power'!$A:$A,'WTG Reactive Power'!$AE:$AE))/Table13[[#This Row],[Gen_Exp (kWh)]],"")</f>
        <v/>
      </c>
      <c r="AP147" s="174">
        <f>IFERROR(_xlfn.XLOOKUP($D147,'Modelling New'!$D:$D,'Modelling New'!$AK:$AK),"")</f>
        <v>0.05</v>
      </c>
      <c r="AQ147" s="174">
        <f>IFERROR(_xlfn.XLOOKUP($D147,'Modelling New'!$D:$D,'Modelling New'!$AL:$AL),"")</f>
        <v>0.05</v>
      </c>
      <c r="AR147" s="276">
        <f>IFERROR(_xlfn.XLOOKUP($D147,'Modelling New'!$D:$D,'Modelling New'!$N:$N),"")</f>
        <v>70.2</v>
      </c>
      <c r="AS147" s="276"/>
    </row>
    <row r="148" spans="1:45">
      <c r="A148" s="165">
        <f t="shared" si="11"/>
        <v>45891</v>
      </c>
      <c r="B148" s="166">
        <f>YEAR(Table13[[#This Row],[Date]])+IF(MONTH(Table13[[#This Row],[Date]])&gt;=4,1,0)</f>
        <v>2026</v>
      </c>
      <c r="C148" s="167">
        <f>YEAR(Table13[[#This Row],[Date]])</f>
        <v>2025</v>
      </c>
      <c r="D148" s="168">
        <f>Table13[[#This Row],[Date]]-DAY(Table13[[#This Row],[Date]])+1</f>
        <v>45870</v>
      </c>
      <c r="E148" s="167">
        <f t="shared" si="8"/>
        <v>31</v>
      </c>
      <c r="F148" s="169"/>
      <c r="G148" s="170"/>
      <c r="H148" s="170"/>
      <c r="I148" s="170"/>
      <c r="J148" s="170"/>
      <c r="K148" s="171"/>
      <c r="L148" s="170"/>
      <c r="M148" s="170" t="str">
        <f>IFERROR(_xlfn.XLOOKUP($A148,Input_Raw!$A:$A,Input_Raw!BG:BG),"")</f>
        <v/>
      </c>
      <c r="N148" s="170" t="str">
        <f>IFERROR(_xlfn.XLOOKUP($A148,Input_Raw!$A:$A,Input_Raw!BH:BH),"")</f>
        <v/>
      </c>
      <c r="O148" s="173" t="str">
        <f t="shared" si="9"/>
        <v/>
      </c>
      <c r="P148" s="173" t="str">
        <f>IFERROR(1-SUMIF(WTG_BD!$F:$F,$A148,WTG_BD!$AA:$AA)/($AA148+SUMIF(WTG_BD!$F:$F,$A148,WTG_BD!$AA:$AA)),"")</f>
        <v/>
      </c>
      <c r="Q148" s="173" t="str">
        <f>IFERROR(1-SUMIF(IGA_BD!$F:$F,$A148,IGA_BD!$X:$X)/($AA148+SUMIF(IGA_BD!$F:$F,$A148,IGA_BD!$X:$X)),"")</f>
        <v/>
      </c>
      <c r="R148" s="173" t="str">
        <f>IFERROR(1-SUMIF(Grid_BD!$F:$F,$A148,Grid_BD!$Y:$Y)/($AA148+SUMIF(Grid_BD!$F:$F,$A148,Grid_BD!$Y:$Y)),"")</f>
        <v/>
      </c>
      <c r="S148" s="167"/>
      <c r="T148" s="172"/>
      <c r="U148" s="173"/>
      <c r="V148" s="167"/>
      <c r="W148" s="174" t="str">
        <f t="shared" si="10"/>
        <v/>
      </c>
      <c r="X148" s="167" t="str">
        <f>IFERROR(_xlfn.XLOOKUP($A148,Input_Raw!$A:$A,Input_Raw!$BF:$BF),"")</f>
        <v/>
      </c>
      <c r="Y148" s="167" t="str">
        <f>IFERROR(_xlfn.XLOOKUP($A148,Input_Raw!$A:$A,Input_Raw!BJ:BJ),"")</f>
        <v/>
      </c>
      <c r="Z148" s="167" t="str">
        <f>IFERROR(_xlfn.XLOOKUP($A148,Input_Raw!$A:$A,Input_Raw!BK:BK),"")</f>
        <v/>
      </c>
      <c r="AA148" s="167" t="str">
        <f>IFERROR(_xlfn.XLOOKUP($A148,Input_Raw!$A:$A,Input_Raw!BL:BL),"")</f>
        <v/>
      </c>
      <c r="AB148" s="167" t="str">
        <f>IFERROR(_xlfn.XLOOKUP($A148,Input_Raw!$A:$A,Input_Raw!$BO:$BO),"")</f>
        <v/>
      </c>
      <c r="AC148" s="176">
        <f>IFERROR(_xlfn.XLOOKUP($D148,'Modelling New'!$D:$D,'Modelling New'!$J:$J),"")</f>
        <v>9.01</v>
      </c>
      <c r="AD148" s="166">
        <f>IFERROR(_xlfn.XLOOKUP($D148,'Modelling New'!$D:$D,'Modelling New'!$T:$T)*1000,"")</f>
        <v>895729.81265024655</v>
      </c>
      <c r="AE148" s="174"/>
      <c r="AF148" s="174">
        <f>IFERROR(_xlfn.XLOOKUP($D148,'Modelling New'!$D:$D,'Modelling New'!$W:$W),"")</f>
        <v>0.53165349753694591</v>
      </c>
      <c r="AG148" s="174">
        <f>IFERROR(_xlfn.XLOOKUP($D148,'Modelling New'!$D:$D,'Modelling New'!$AE:$AE),"")</f>
        <v>0.96029999999999993</v>
      </c>
      <c r="AH148" s="174">
        <f>IFERROR(_xlfn.XLOOKUP($D148,'Modelling New'!$D:$D,'Modelling New'!$AF:$AF),"")</f>
        <v>0.995</v>
      </c>
      <c r="AI148" s="177" t="str">
        <f>IFERROR(_xlfn.XLOOKUP($A148,Input_Raw!$A:$A,Input_Raw!$BQ:$BQ),"")</f>
        <v/>
      </c>
      <c r="AJ148" s="167"/>
      <c r="AK148" s="167"/>
      <c r="AL148" s="167"/>
      <c r="AM148" s="167"/>
      <c r="AN148" s="175" t="str">
        <f>IFERROR(_xlfn.XLOOKUP($A148,Input_Raw!$A:$A,Input_Raw!$BN:$BN),"")</f>
        <v/>
      </c>
      <c r="AO148" s="174" t="str">
        <f>IFERROR((_xlfn.XLOOKUP($A148,'WTG Reactive Power'!$A:$A,'WTG Reactive Power'!$AE:$AE))/Table13[[#This Row],[Gen_Exp (kWh)]],"")</f>
        <v/>
      </c>
      <c r="AP148" s="174">
        <f>IFERROR(_xlfn.XLOOKUP($D148,'Modelling New'!$D:$D,'Modelling New'!$AK:$AK),"")</f>
        <v>0.05</v>
      </c>
      <c r="AQ148" s="174">
        <f>IFERROR(_xlfn.XLOOKUP($D148,'Modelling New'!$D:$D,'Modelling New'!$AL:$AL),"")</f>
        <v>0.05</v>
      </c>
      <c r="AR148" s="276">
        <f>IFERROR(_xlfn.XLOOKUP($D148,'Modelling New'!$D:$D,'Modelling New'!$N:$N),"")</f>
        <v>70.2</v>
      </c>
      <c r="AS148" s="276"/>
    </row>
    <row r="149" spans="1:45">
      <c r="A149" s="165">
        <f t="shared" si="11"/>
        <v>45892</v>
      </c>
      <c r="B149" s="166">
        <f>YEAR(Table13[[#This Row],[Date]])+IF(MONTH(Table13[[#This Row],[Date]])&gt;=4,1,0)</f>
        <v>2026</v>
      </c>
      <c r="C149" s="167">
        <f>YEAR(Table13[[#This Row],[Date]])</f>
        <v>2025</v>
      </c>
      <c r="D149" s="168">
        <f>Table13[[#This Row],[Date]]-DAY(Table13[[#This Row],[Date]])+1</f>
        <v>45870</v>
      </c>
      <c r="E149" s="167">
        <f t="shared" si="8"/>
        <v>31</v>
      </c>
      <c r="F149" s="169"/>
      <c r="G149" s="176"/>
      <c r="H149" s="176"/>
      <c r="I149" s="176"/>
      <c r="J149" s="176"/>
      <c r="K149" s="171"/>
      <c r="L149" s="170"/>
      <c r="M149" s="170" t="str">
        <f>IFERROR(_xlfn.XLOOKUP($A149,Input_Raw!$A:$A,Input_Raw!BG:BG),"")</f>
        <v/>
      </c>
      <c r="N149" s="170" t="str">
        <f>IFERROR(_xlfn.XLOOKUP($A149,Input_Raw!$A:$A,Input_Raw!BH:BH),"")</f>
        <v/>
      </c>
      <c r="O149" s="173" t="str">
        <f t="shared" si="9"/>
        <v/>
      </c>
      <c r="P149" s="173" t="str">
        <f>IFERROR(1-SUMIF(WTG_BD!$F:$F,$A149,WTG_BD!$AA:$AA)/($AA149+SUMIF(WTG_BD!$F:$F,$A149,WTG_BD!$AA:$AA)),"")</f>
        <v/>
      </c>
      <c r="Q149" s="173" t="str">
        <f>IFERROR(1-SUMIF(IGA_BD!$F:$F,$A149,IGA_BD!$X:$X)/($AA149+SUMIF(IGA_BD!$F:$F,$A149,IGA_BD!$X:$X)),"")</f>
        <v/>
      </c>
      <c r="R149" s="173" t="str">
        <f>IFERROR(1-SUMIF(Grid_BD!$F:$F,$A149,Grid_BD!$Y:$Y)/($AA149+SUMIF(Grid_BD!$F:$F,$A149,Grid_BD!$Y:$Y)),"")</f>
        <v/>
      </c>
      <c r="S149" s="167"/>
      <c r="T149" s="172"/>
      <c r="U149" s="173"/>
      <c r="V149" s="167"/>
      <c r="W149" s="174" t="str">
        <f t="shared" si="10"/>
        <v/>
      </c>
      <c r="X149" s="167" t="str">
        <f>IFERROR(_xlfn.XLOOKUP($A149,Input_Raw!$A:$A,Input_Raw!$BF:$BF),"")</f>
        <v/>
      </c>
      <c r="Y149" s="167" t="str">
        <f>IFERROR(_xlfn.XLOOKUP($A149,Input_Raw!$A:$A,Input_Raw!BJ:BJ),"")</f>
        <v/>
      </c>
      <c r="Z149" s="167" t="str">
        <f>IFERROR(_xlfn.XLOOKUP($A149,Input_Raw!$A:$A,Input_Raw!BK:BK),"")</f>
        <v/>
      </c>
      <c r="AA149" s="167" t="str">
        <f>IFERROR(_xlfn.XLOOKUP($A149,Input_Raw!$A:$A,Input_Raw!BL:BL),"")</f>
        <v/>
      </c>
      <c r="AB149" s="167" t="str">
        <f>IFERROR(_xlfn.XLOOKUP($A149,Input_Raw!$A:$A,Input_Raw!$BO:$BO),"")</f>
        <v/>
      </c>
      <c r="AC149" s="176">
        <f>IFERROR(_xlfn.XLOOKUP($D149,'Modelling New'!$D:$D,'Modelling New'!$J:$J),"")</f>
        <v>9.01</v>
      </c>
      <c r="AD149" s="166">
        <f>IFERROR(_xlfn.XLOOKUP($D149,'Modelling New'!$D:$D,'Modelling New'!$T:$T)*1000,"")</f>
        <v>895729.81265024655</v>
      </c>
      <c r="AE149" s="174"/>
      <c r="AF149" s="174">
        <f>IFERROR(_xlfn.XLOOKUP($D149,'Modelling New'!$D:$D,'Modelling New'!$W:$W),"")</f>
        <v>0.53165349753694591</v>
      </c>
      <c r="AG149" s="174">
        <f>IFERROR(_xlfn.XLOOKUP($D149,'Modelling New'!$D:$D,'Modelling New'!$AE:$AE),"")</f>
        <v>0.96029999999999993</v>
      </c>
      <c r="AH149" s="174">
        <f>IFERROR(_xlfn.XLOOKUP($D149,'Modelling New'!$D:$D,'Modelling New'!$AF:$AF),"")</f>
        <v>0.995</v>
      </c>
      <c r="AI149" s="177" t="str">
        <f>IFERROR(_xlfn.XLOOKUP($A149,Input_Raw!$A:$A,Input_Raw!$BQ:$BQ),"")</f>
        <v/>
      </c>
      <c r="AJ149" s="167"/>
      <c r="AK149" s="167"/>
      <c r="AL149" s="167"/>
      <c r="AM149" s="167"/>
      <c r="AN149" s="175" t="str">
        <f>IFERROR(_xlfn.XLOOKUP($A149,Input_Raw!$A:$A,Input_Raw!$BN:$BN),"")</f>
        <v/>
      </c>
      <c r="AO149" s="174" t="str">
        <f>IFERROR((_xlfn.XLOOKUP($A149,'WTG Reactive Power'!$A:$A,'WTG Reactive Power'!$AE:$AE))/Table13[[#This Row],[Gen_Exp (kWh)]],"")</f>
        <v/>
      </c>
      <c r="AP149" s="174">
        <f>IFERROR(_xlfn.XLOOKUP($D149,'Modelling New'!$D:$D,'Modelling New'!$AK:$AK),"")</f>
        <v>0.05</v>
      </c>
      <c r="AQ149" s="174">
        <f>IFERROR(_xlfn.XLOOKUP($D149,'Modelling New'!$D:$D,'Modelling New'!$AL:$AL),"")</f>
        <v>0.05</v>
      </c>
      <c r="AR149" s="276">
        <f>IFERROR(_xlfn.XLOOKUP($D149,'Modelling New'!$D:$D,'Modelling New'!$N:$N),"")</f>
        <v>70.2</v>
      </c>
      <c r="AS149" s="276"/>
    </row>
    <row r="150" spans="1:45">
      <c r="A150" s="165">
        <f t="shared" si="11"/>
        <v>45893</v>
      </c>
      <c r="B150" s="166">
        <f>YEAR(Table13[[#This Row],[Date]])+IF(MONTH(Table13[[#This Row],[Date]])&gt;=4,1,0)</f>
        <v>2026</v>
      </c>
      <c r="C150" s="167">
        <f>YEAR(Table13[[#This Row],[Date]])</f>
        <v>2025</v>
      </c>
      <c r="D150" s="168">
        <f>Table13[[#This Row],[Date]]-DAY(Table13[[#This Row],[Date]])+1</f>
        <v>45870</v>
      </c>
      <c r="E150" s="167">
        <f t="shared" si="8"/>
        <v>31</v>
      </c>
      <c r="F150" s="169"/>
      <c r="G150" s="170"/>
      <c r="H150" s="170"/>
      <c r="I150" s="170"/>
      <c r="J150" s="170"/>
      <c r="K150" s="171"/>
      <c r="L150" s="170"/>
      <c r="M150" s="170" t="str">
        <f>IFERROR(_xlfn.XLOOKUP($A150,Input_Raw!$A:$A,Input_Raw!BG:BG),"")</f>
        <v/>
      </c>
      <c r="N150" s="170" t="str">
        <f>IFERROR(_xlfn.XLOOKUP($A150,Input_Raw!$A:$A,Input_Raw!BH:BH),"")</f>
        <v/>
      </c>
      <c r="O150" s="173" t="str">
        <f t="shared" si="9"/>
        <v/>
      </c>
      <c r="P150" s="173" t="str">
        <f>IFERROR(1-SUMIF(WTG_BD!$F:$F,$A150,WTG_BD!$AA:$AA)/($AA150+SUMIF(WTG_BD!$F:$F,$A150,WTG_BD!$AA:$AA)),"")</f>
        <v/>
      </c>
      <c r="Q150" s="173" t="str">
        <f>IFERROR(1-SUMIF(IGA_BD!$F:$F,$A150,IGA_BD!$X:$X)/($AA150+SUMIF(IGA_BD!$F:$F,$A150,IGA_BD!$X:$X)),"")</f>
        <v/>
      </c>
      <c r="R150" s="173" t="str">
        <f>IFERROR(1-SUMIF(Grid_BD!$F:$F,$A150,Grid_BD!$Y:$Y)/($AA150+SUMIF(Grid_BD!$F:$F,$A150,Grid_BD!$Y:$Y)),"")</f>
        <v/>
      </c>
      <c r="S150" s="167"/>
      <c r="T150" s="172"/>
      <c r="U150" s="173"/>
      <c r="V150" s="167"/>
      <c r="W150" s="174" t="str">
        <f t="shared" si="10"/>
        <v/>
      </c>
      <c r="X150" s="167" t="str">
        <f>IFERROR(_xlfn.XLOOKUP($A150,Input_Raw!$A:$A,Input_Raw!$BF:$BF),"")</f>
        <v/>
      </c>
      <c r="Y150" s="167" t="str">
        <f>IFERROR(_xlfn.XLOOKUP($A150,Input_Raw!$A:$A,Input_Raw!BJ:BJ),"")</f>
        <v/>
      </c>
      <c r="Z150" s="167" t="str">
        <f>IFERROR(_xlfn.XLOOKUP($A150,Input_Raw!$A:$A,Input_Raw!BK:BK),"")</f>
        <v/>
      </c>
      <c r="AA150" s="167" t="str">
        <f>IFERROR(_xlfn.XLOOKUP($A150,Input_Raw!$A:$A,Input_Raw!BL:BL),"")</f>
        <v/>
      </c>
      <c r="AB150" s="167" t="str">
        <f>IFERROR(_xlfn.XLOOKUP($A150,Input_Raw!$A:$A,Input_Raw!$BO:$BO),"")</f>
        <v/>
      </c>
      <c r="AC150" s="176">
        <f>IFERROR(_xlfn.XLOOKUP($D150,'Modelling New'!$D:$D,'Modelling New'!$J:$J),"")</f>
        <v>9.01</v>
      </c>
      <c r="AD150" s="166">
        <f>IFERROR(_xlfn.XLOOKUP($D150,'Modelling New'!$D:$D,'Modelling New'!$T:$T)*1000,"")</f>
        <v>895729.81265024655</v>
      </c>
      <c r="AE150" s="174"/>
      <c r="AF150" s="174">
        <f>IFERROR(_xlfn.XLOOKUP($D150,'Modelling New'!$D:$D,'Modelling New'!$W:$W),"")</f>
        <v>0.53165349753694591</v>
      </c>
      <c r="AG150" s="174">
        <f>IFERROR(_xlfn.XLOOKUP($D150,'Modelling New'!$D:$D,'Modelling New'!$AE:$AE),"")</f>
        <v>0.96029999999999993</v>
      </c>
      <c r="AH150" s="174">
        <f>IFERROR(_xlfn.XLOOKUP($D150,'Modelling New'!$D:$D,'Modelling New'!$AF:$AF),"")</f>
        <v>0.995</v>
      </c>
      <c r="AI150" s="177" t="str">
        <f>IFERROR(_xlfn.XLOOKUP($A150,Input_Raw!$A:$A,Input_Raw!$BQ:$BQ),"")</f>
        <v/>
      </c>
      <c r="AJ150" s="167"/>
      <c r="AK150" s="167"/>
      <c r="AL150" s="167"/>
      <c r="AM150" s="167"/>
      <c r="AN150" s="175" t="str">
        <f>IFERROR(_xlfn.XLOOKUP($A150,Input_Raw!$A:$A,Input_Raw!$BN:$BN),"")</f>
        <v/>
      </c>
      <c r="AO150" s="174" t="str">
        <f>IFERROR((_xlfn.XLOOKUP($A150,'WTG Reactive Power'!$A:$A,'WTG Reactive Power'!$AE:$AE))/Table13[[#This Row],[Gen_Exp (kWh)]],"")</f>
        <v/>
      </c>
      <c r="AP150" s="174">
        <f>IFERROR(_xlfn.XLOOKUP($D150,'Modelling New'!$D:$D,'Modelling New'!$AK:$AK),"")</f>
        <v>0.05</v>
      </c>
      <c r="AQ150" s="174">
        <f>IFERROR(_xlfn.XLOOKUP($D150,'Modelling New'!$D:$D,'Modelling New'!$AL:$AL),"")</f>
        <v>0.05</v>
      </c>
      <c r="AR150" s="276">
        <f>IFERROR(_xlfn.XLOOKUP($D150,'Modelling New'!$D:$D,'Modelling New'!$N:$N),"")</f>
        <v>70.2</v>
      </c>
      <c r="AS150" s="276"/>
    </row>
    <row r="151" spans="1:45">
      <c r="A151" s="165">
        <f t="shared" si="11"/>
        <v>45894</v>
      </c>
      <c r="B151" s="166">
        <f>YEAR(Table13[[#This Row],[Date]])+IF(MONTH(Table13[[#This Row],[Date]])&gt;=4,1,0)</f>
        <v>2026</v>
      </c>
      <c r="C151" s="167">
        <f>YEAR(Table13[[#This Row],[Date]])</f>
        <v>2025</v>
      </c>
      <c r="D151" s="168">
        <f>Table13[[#This Row],[Date]]-DAY(Table13[[#This Row],[Date]])+1</f>
        <v>45870</v>
      </c>
      <c r="E151" s="167">
        <f t="shared" si="8"/>
        <v>31</v>
      </c>
      <c r="F151" s="169"/>
      <c r="G151" s="176"/>
      <c r="H151" s="176"/>
      <c r="I151" s="176"/>
      <c r="J151" s="176"/>
      <c r="K151" s="171"/>
      <c r="L151" s="170"/>
      <c r="M151" s="170" t="str">
        <f>IFERROR(_xlfn.XLOOKUP($A151,Input_Raw!$A:$A,Input_Raw!BG:BG),"")</f>
        <v/>
      </c>
      <c r="N151" s="170" t="str">
        <f>IFERROR(_xlfn.XLOOKUP($A151,Input_Raw!$A:$A,Input_Raw!BH:BH),"")</f>
        <v/>
      </c>
      <c r="O151" s="173" t="str">
        <f t="shared" si="9"/>
        <v/>
      </c>
      <c r="P151" s="173" t="str">
        <f>IFERROR(1-SUMIF(WTG_BD!$F:$F,$A151,WTG_BD!$AA:$AA)/($AA151+SUMIF(WTG_BD!$F:$F,$A151,WTG_BD!$AA:$AA)),"")</f>
        <v/>
      </c>
      <c r="Q151" s="173" t="str">
        <f>IFERROR(1-SUMIF(IGA_BD!$F:$F,$A151,IGA_BD!$X:$X)/($AA151+SUMIF(IGA_BD!$F:$F,$A151,IGA_BD!$X:$X)),"")</f>
        <v/>
      </c>
      <c r="R151" s="173" t="str">
        <f>IFERROR(1-SUMIF(Grid_BD!$F:$F,$A151,Grid_BD!$Y:$Y)/($AA151+SUMIF(Grid_BD!$F:$F,$A151,Grid_BD!$Y:$Y)),"")</f>
        <v/>
      </c>
      <c r="S151" s="167"/>
      <c r="T151" s="172"/>
      <c r="U151" s="173"/>
      <c r="V151" s="167"/>
      <c r="W151" s="174" t="str">
        <f t="shared" si="10"/>
        <v/>
      </c>
      <c r="X151" s="167" t="str">
        <f>IFERROR(_xlfn.XLOOKUP($A151,Input_Raw!$A:$A,Input_Raw!$BF:$BF),"")</f>
        <v/>
      </c>
      <c r="Y151" s="167" t="str">
        <f>IFERROR(_xlfn.XLOOKUP($A151,Input_Raw!$A:$A,Input_Raw!BJ:BJ),"")</f>
        <v/>
      </c>
      <c r="Z151" s="167" t="str">
        <f>IFERROR(_xlfn.XLOOKUP($A151,Input_Raw!$A:$A,Input_Raw!BK:BK),"")</f>
        <v/>
      </c>
      <c r="AA151" s="167" t="str">
        <f>IFERROR(_xlfn.XLOOKUP($A151,Input_Raw!$A:$A,Input_Raw!BL:BL),"")</f>
        <v/>
      </c>
      <c r="AB151" s="167" t="str">
        <f>IFERROR(_xlfn.XLOOKUP($A151,Input_Raw!$A:$A,Input_Raw!$BO:$BO),"")</f>
        <v/>
      </c>
      <c r="AC151" s="176">
        <f>IFERROR(_xlfn.XLOOKUP($D151,'Modelling New'!$D:$D,'Modelling New'!$J:$J),"")</f>
        <v>9.01</v>
      </c>
      <c r="AD151" s="166">
        <f>IFERROR(_xlfn.XLOOKUP($D151,'Modelling New'!$D:$D,'Modelling New'!$T:$T)*1000,"")</f>
        <v>895729.81265024655</v>
      </c>
      <c r="AE151" s="174"/>
      <c r="AF151" s="174">
        <f>IFERROR(_xlfn.XLOOKUP($D151,'Modelling New'!$D:$D,'Modelling New'!$W:$W),"")</f>
        <v>0.53165349753694591</v>
      </c>
      <c r="AG151" s="174">
        <f>IFERROR(_xlfn.XLOOKUP($D151,'Modelling New'!$D:$D,'Modelling New'!$AE:$AE),"")</f>
        <v>0.96029999999999993</v>
      </c>
      <c r="AH151" s="174">
        <f>IFERROR(_xlfn.XLOOKUP($D151,'Modelling New'!$D:$D,'Modelling New'!$AF:$AF),"")</f>
        <v>0.995</v>
      </c>
      <c r="AI151" s="177" t="str">
        <f>IFERROR(_xlfn.XLOOKUP($A151,Input_Raw!$A:$A,Input_Raw!$BQ:$BQ),"")</f>
        <v/>
      </c>
      <c r="AJ151" s="167"/>
      <c r="AK151" s="167"/>
      <c r="AL151" s="167"/>
      <c r="AM151" s="167"/>
      <c r="AN151" s="175" t="str">
        <f>IFERROR(_xlfn.XLOOKUP($A151,Input_Raw!$A:$A,Input_Raw!$BN:$BN),"")</f>
        <v/>
      </c>
      <c r="AO151" s="174" t="str">
        <f>IFERROR((_xlfn.XLOOKUP($A151,'WTG Reactive Power'!$A:$A,'WTG Reactive Power'!$AE:$AE))/Table13[[#This Row],[Gen_Exp (kWh)]],"")</f>
        <v/>
      </c>
      <c r="AP151" s="174">
        <f>IFERROR(_xlfn.XLOOKUP($D151,'Modelling New'!$D:$D,'Modelling New'!$AK:$AK),"")</f>
        <v>0.05</v>
      </c>
      <c r="AQ151" s="174">
        <f>IFERROR(_xlfn.XLOOKUP($D151,'Modelling New'!$D:$D,'Modelling New'!$AL:$AL),"")</f>
        <v>0.05</v>
      </c>
      <c r="AR151" s="276">
        <f>IFERROR(_xlfn.XLOOKUP($D151,'Modelling New'!$D:$D,'Modelling New'!$N:$N),"")</f>
        <v>70.2</v>
      </c>
      <c r="AS151" s="276"/>
    </row>
    <row r="152" spans="1:45">
      <c r="A152" s="165">
        <f t="shared" si="11"/>
        <v>45895</v>
      </c>
      <c r="B152" s="166">
        <f>YEAR(Table13[[#This Row],[Date]])+IF(MONTH(Table13[[#This Row],[Date]])&gt;=4,1,0)</f>
        <v>2026</v>
      </c>
      <c r="C152" s="167">
        <f>YEAR(Table13[[#This Row],[Date]])</f>
        <v>2025</v>
      </c>
      <c r="D152" s="168">
        <f>Table13[[#This Row],[Date]]-DAY(Table13[[#This Row],[Date]])+1</f>
        <v>45870</v>
      </c>
      <c r="E152" s="167">
        <f t="shared" ref="E152:E215" si="12">DAY(EOMONTH(A152,0))</f>
        <v>31</v>
      </c>
      <c r="F152" s="169"/>
      <c r="G152" s="170"/>
      <c r="H152" s="170"/>
      <c r="I152" s="170"/>
      <c r="J152" s="170"/>
      <c r="K152" s="171"/>
      <c r="L152" s="170"/>
      <c r="M152" s="170" t="str">
        <f>IFERROR(_xlfn.XLOOKUP($A152,Input_Raw!$A:$A,Input_Raw!BG:BG),"")</f>
        <v/>
      </c>
      <c r="N152" s="170" t="str">
        <f>IFERROR(_xlfn.XLOOKUP($A152,Input_Raw!$A:$A,Input_Raw!BH:BH),"")</f>
        <v/>
      </c>
      <c r="O152" s="173" t="str">
        <f t="shared" ref="O152:O215" si="13">IFERROR(P152*Q152,"")</f>
        <v/>
      </c>
      <c r="P152" s="173" t="str">
        <f>IFERROR(1-SUMIF(WTG_BD!$F:$F,$A152,WTG_BD!$AA:$AA)/($AA152+SUMIF(WTG_BD!$F:$F,$A152,WTG_BD!$AA:$AA)),"")</f>
        <v/>
      </c>
      <c r="Q152" s="173" t="str">
        <f>IFERROR(1-SUMIF(IGA_BD!$F:$F,$A152,IGA_BD!$X:$X)/($AA152+SUMIF(IGA_BD!$F:$F,$A152,IGA_BD!$X:$X)),"")</f>
        <v/>
      </c>
      <c r="R152" s="173" t="str">
        <f>IFERROR(1-SUMIF(Grid_BD!$F:$F,$A152,Grid_BD!$Y:$Y)/($AA152+SUMIF(Grid_BD!$F:$F,$A152,Grid_BD!$Y:$Y)),"")</f>
        <v/>
      </c>
      <c r="S152" s="167"/>
      <c r="T152" s="172"/>
      <c r="U152" s="173"/>
      <c r="V152" s="167"/>
      <c r="W152" s="174" t="str">
        <f t="shared" ref="W152:W215" si="14">IFERROR(AA152/(24*AR152*1000),"")</f>
        <v/>
      </c>
      <c r="X152" s="167" t="str">
        <f>IFERROR(_xlfn.XLOOKUP($A152,Input_Raw!$A:$A,Input_Raw!$BF:$BF),"")</f>
        <v/>
      </c>
      <c r="Y152" s="167" t="str">
        <f>IFERROR(_xlfn.XLOOKUP($A152,Input_Raw!$A:$A,Input_Raw!BJ:BJ),"")</f>
        <v/>
      </c>
      <c r="Z152" s="167" t="str">
        <f>IFERROR(_xlfn.XLOOKUP($A152,Input_Raw!$A:$A,Input_Raw!BK:BK),"")</f>
        <v/>
      </c>
      <c r="AA152" s="167" t="str">
        <f>IFERROR(_xlfn.XLOOKUP($A152,Input_Raw!$A:$A,Input_Raw!BL:BL),"")</f>
        <v/>
      </c>
      <c r="AB152" s="167" t="str">
        <f>IFERROR(_xlfn.XLOOKUP($A152,Input_Raw!$A:$A,Input_Raw!$BO:$BO),"")</f>
        <v/>
      </c>
      <c r="AC152" s="176">
        <f>IFERROR(_xlfn.XLOOKUP($D152,'Modelling New'!$D:$D,'Modelling New'!$J:$J),"")</f>
        <v>9.01</v>
      </c>
      <c r="AD152" s="166">
        <f>IFERROR(_xlfn.XLOOKUP($D152,'Modelling New'!$D:$D,'Modelling New'!$T:$T)*1000,"")</f>
        <v>895729.81265024655</v>
      </c>
      <c r="AE152" s="174"/>
      <c r="AF152" s="174">
        <f>IFERROR(_xlfn.XLOOKUP($D152,'Modelling New'!$D:$D,'Modelling New'!$W:$W),"")</f>
        <v>0.53165349753694591</v>
      </c>
      <c r="AG152" s="174">
        <f>IFERROR(_xlfn.XLOOKUP($D152,'Modelling New'!$D:$D,'Modelling New'!$AE:$AE),"")</f>
        <v>0.96029999999999993</v>
      </c>
      <c r="AH152" s="174">
        <f>IFERROR(_xlfn.XLOOKUP($D152,'Modelling New'!$D:$D,'Modelling New'!$AF:$AF),"")</f>
        <v>0.995</v>
      </c>
      <c r="AI152" s="177" t="str">
        <f>IFERROR(_xlfn.XLOOKUP($A152,Input_Raw!$A:$A,Input_Raw!$BQ:$BQ),"")</f>
        <v/>
      </c>
      <c r="AJ152" s="167"/>
      <c r="AK152" s="167"/>
      <c r="AL152" s="167"/>
      <c r="AM152" s="167"/>
      <c r="AN152" s="175" t="str">
        <f>IFERROR(_xlfn.XLOOKUP($A152,Input_Raw!$A:$A,Input_Raw!$BN:$BN),"")</f>
        <v/>
      </c>
      <c r="AO152" s="174" t="str">
        <f>IFERROR((_xlfn.XLOOKUP($A152,'WTG Reactive Power'!$A:$A,'WTG Reactive Power'!$AE:$AE))/Table13[[#This Row],[Gen_Exp (kWh)]],"")</f>
        <v/>
      </c>
      <c r="AP152" s="174">
        <f>IFERROR(_xlfn.XLOOKUP($D152,'Modelling New'!$D:$D,'Modelling New'!$AK:$AK),"")</f>
        <v>0.05</v>
      </c>
      <c r="AQ152" s="174">
        <f>IFERROR(_xlfn.XLOOKUP($D152,'Modelling New'!$D:$D,'Modelling New'!$AL:$AL),"")</f>
        <v>0.05</v>
      </c>
      <c r="AR152" s="276">
        <f>IFERROR(_xlfn.XLOOKUP($D152,'Modelling New'!$D:$D,'Modelling New'!$N:$N),"")</f>
        <v>70.2</v>
      </c>
      <c r="AS152" s="276"/>
    </row>
    <row r="153" spans="1:45">
      <c r="A153" s="165">
        <f t="shared" si="11"/>
        <v>45896</v>
      </c>
      <c r="B153" s="166">
        <f>YEAR(Table13[[#This Row],[Date]])+IF(MONTH(Table13[[#This Row],[Date]])&gt;=4,1,0)</f>
        <v>2026</v>
      </c>
      <c r="C153" s="167">
        <f>YEAR(Table13[[#This Row],[Date]])</f>
        <v>2025</v>
      </c>
      <c r="D153" s="168">
        <f>Table13[[#This Row],[Date]]-DAY(Table13[[#This Row],[Date]])+1</f>
        <v>45870</v>
      </c>
      <c r="E153" s="167">
        <f t="shared" si="12"/>
        <v>31</v>
      </c>
      <c r="F153" s="169"/>
      <c r="G153" s="176"/>
      <c r="H153" s="176"/>
      <c r="I153" s="176"/>
      <c r="J153" s="176"/>
      <c r="K153" s="171"/>
      <c r="L153" s="170"/>
      <c r="M153" s="170" t="str">
        <f>IFERROR(_xlfn.XLOOKUP($A153,Input_Raw!$A:$A,Input_Raw!BG:BG),"")</f>
        <v/>
      </c>
      <c r="N153" s="170" t="str">
        <f>IFERROR(_xlfn.XLOOKUP($A153,Input_Raw!$A:$A,Input_Raw!BH:BH),"")</f>
        <v/>
      </c>
      <c r="O153" s="173" t="str">
        <f t="shared" si="13"/>
        <v/>
      </c>
      <c r="P153" s="173" t="str">
        <f>IFERROR(1-SUMIF(WTG_BD!$F:$F,$A153,WTG_BD!$AA:$AA)/($AA153+SUMIF(WTG_BD!$F:$F,$A153,WTG_BD!$AA:$AA)),"")</f>
        <v/>
      </c>
      <c r="Q153" s="173" t="str">
        <f>IFERROR(1-SUMIF(IGA_BD!$F:$F,$A153,IGA_BD!$X:$X)/($AA153+SUMIF(IGA_BD!$F:$F,$A153,IGA_BD!$X:$X)),"")</f>
        <v/>
      </c>
      <c r="R153" s="173" t="str">
        <f>IFERROR(1-SUMIF(Grid_BD!$F:$F,$A153,Grid_BD!$Y:$Y)/($AA153+SUMIF(Grid_BD!$F:$F,$A153,Grid_BD!$Y:$Y)),"")</f>
        <v/>
      </c>
      <c r="S153" s="167"/>
      <c r="T153" s="172"/>
      <c r="U153" s="173"/>
      <c r="V153" s="167"/>
      <c r="W153" s="174" t="str">
        <f t="shared" si="14"/>
        <v/>
      </c>
      <c r="X153" s="167" t="str">
        <f>IFERROR(_xlfn.XLOOKUP($A153,Input_Raw!$A:$A,Input_Raw!$BF:$BF),"")</f>
        <v/>
      </c>
      <c r="Y153" s="167" t="str">
        <f>IFERROR(_xlfn.XLOOKUP($A153,Input_Raw!$A:$A,Input_Raw!BJ:BJ),"")</f>
        <v/>
      </c>
      <c r="Z153" s="167" t="str">
        <f>IFERROR(_xlfn.XLOOKUP($A153,Input_Raw!$A:$A,Input_Raw!BK:BK),"")</f>
        <v/>
      </c>
      <c r="AA153" s="167" t="str">
        <f>IFERROR(_xlfn.XLOOKUP($A153,Input_Raw!$A:$A,Input_Raw!BL:BL),"")</f>
        <v/>
      </c>
      <c r="AB153" s="167" t="str">
        <f>IFERROR(_xlfn.XLOOKUP($A153,Input_Raw!$A:$A,Input_Raw!$BO:$BO),"")</f>
        <v/>
      </c>
      <c r="AC153" s="176">
        <f>IFERROR(_xlfn.XLOOKUP($D153,'Modelling New'!$D:$D,'Modelling New'!$J:$J),"")</f>
        <v>9.01</v>
      </c>
      <c r="AD153" s="166">
        <f>IFERROR(_xlfn.XLOOKUP($D153,'Modelling New'!$D:$D,'Modelling New'!$T:$T)*1000,"")</f>
        <v>895729.81265024655</v>
      </c>
      <c r="AE153" s="174"/>
      <c r="AF153" s="174">
        <f>IFERROR(_xlfn.XLOOKUP($D153,'Modelling New'!$D:$D,'Modelling New'!$W:$W),"")</f>
        <v>0.53165349753694591</v>
      </c>
      <c r="AG153" s="174">
        <f>IFERROR(_xlfn.XLOOKUP($D153,'Modelling New'!$D:$D,'Modelling New'!$AE:$AE),"")</f>
        <v>0.96029999999999993</v>
      </c>
      <c r="AH153" s="174">
        <f>IFERROR(_xlfn.XLOOKUP($D153,'Modelling New'!$D:$D,'Modelling New'!$AF:$AF),"")</f>
        <v>0.995</v>
      </c>
      <c r="AI153" s="177" t="str">
        <f>IFERROR(_xlfn.XLOOKUP($A153,Input_Raw!$A:$A,Input_Raw!$BQ:$BQ),"")</f>
        <v/>
      </c>
      <c r="AJ153" s="167"/>
      <c r="AK153" s="167"/>
      <c r="AL153" s="167"/>
      <c r="AM153" s="167"/>
      <c r="AN153" s="175" t="str">
        <f>IFERROR(_xlfn.XLOOKUP($A153,Input_Raw!$A:$A,Input_Raw!$BN:$BN),"")</f>
        <v/>
      </c>
      <c r="AO153" s="174" t="str">
        <f>IFERROR((_xlfn.XLOOKUP($A153,'WTG Reactive Power'!$A:$A,'WTG Reactive Power'!$AE:$AE))/Table13[[#This Row],[Gen_Exp (kWh)]],"")</f>
        <v/>
      </c>
      <c r="AP153" s="174">
        <f>IFERROR(_xlfn.XLOOKUP($D153,'Modelling New'!$D:$D,'Modelling New'!$AK:$AK),"")</f>
        <v>0.05</v>
      </c>
      <c r="AQ153" s="174">
        <f>IFERROR(_xlfn.XLOOKUP($D153,'Modelling New'!$D:$D,'Modelling New'!$AL:$AL),"")</f>
        <v>0.05</v>
      </c>
      <c r="AR153" s="276">
        <f>IFERROR(_xlfn.XLOOKUP($D153,'Modelling New'!$D:$D,'Modelling New'!$N:$N),"")</f>
        <v>70.2</v>
      </c>
      <c r="AS153" s="276"/>
    </row>
    <row r="154" spans="1:45">
      <c r="A154" s="165">
        <f t="shared" ref="A154:A217" si="15">A153+1</f>
        <v>45897</v>
      </c>
      <c r="B154" s="166">
        <f>YEAR(Table13[[#This Row],[Date]])+IF(MONTH(Table13[[#This Row],[Date]])&gt;=4,1,0)</f>
        <v>2026</v>
      </c>
      <c r="C154" s="167">
        <f>YEAR(Table13[[#This Row],[Date]])</f>
        <v>2025</v>
      </c>
      <c r="D154" s="168">
        <f>Table13[[#This Row],[Date]]-DAY(Table13[[#This Row],[Date]])+1</f>
        <v>45870</v>
      </c>
      <c r="E154" s="167">
        <f t="shared" si="12"/>
        <v>31</v>
      </c>
      <c r="F154" s="169"/>
      <c r="G154" s="170"/>
      <c r="H154" s="170"/>
      <c r="I154" s="170"/>
      <c r="J154" s="170"/>
      <c r="K154" s="171"/>
      <c r="L154" s="170"/>
      <c r="M154" s="170" t="str">
        <f>IFERROR(_xlfn.XLOOKUP($A154,Input_Raw!$A:$A,Input_Raw!BG:BG),"")</f>
        <v/>
      </c>
      <c r="N154" s="170" t="str">
        <f>IFERROR(_xlfn.XLOOKUP($A154,Input_Raw!$A:$A,Input_Raw!BH:BH),"")</f>
        <v/>
      </c>
      <c r="O154" s="173" t="str">
        <f t="shared" si="13"/>
        <v/>
      </c>
      <c r="P154" s="173" t="str">
        <f>IFERROR(1-SUMIF(WTG_BD!$F:$F,$A154,WTG_BD!$AA:$AA)/($AA154+SUMIF(WTG_BD!$F:$F,$A154,WTG_BD!$AA:$AA)),"")</f>
        <v/>
      </c>
      <c r="Q154" s="173" t="str">
        <f>IFERROR(1-SUMIF(IGA_BD!$F:$F,$A154,IGA_BD!$X:$X)/($AA154+SUMIF(IGA_BD!$F:$F,$A154,IGA_BD!$X:$X)),"")</f>
        <v/>
      </c>
      <c r="R154" s="173" t="str">
        <f>IFERROR(1-SUMIF(Grid_BD!$F:$F,$A154,Grid_BD!$Y:$Y)/($AA154+SUMIF(Grid_BD!$F:$F,$A154,Grid_BD!$Y:$Y)),"")</f>
        <v/>
      </c>
      <c r="S154" s="167"/>
      <c r="T154" s="172"/>
      <c r="U154" s="173"/>
      <c r="V154" s="167"/>
      <c r="W154" s="174" t="str">
        <f t="shared" si="14"/>
        <v/>
      </c>
      <c r="X154" s="167" t="str">
        <f>IFERROR(_xlfn.XLOOKUP($A154,Input_Raw!$A:$A,Input_Raw!$BF:$BF),"")</f>
        <v/>
      </c>
      <c r="Y154" s="167" t="str">
        <f>IFERROR(_xlfn.XLOOKUP($A154,Input_Raw!$A:$A,Input_Raw!BJ:BJ),"")</f>
        <v/>
      </c>
      <c r="Z154" s="167" t="str">
        <f>IFERROR(_xlfn.XLOOKUP($A154,Input_Raw!$A:$A,Input_Raw!BK:BK),"")</f>
        <v/>
      </c>
      <c r="AA154" s="167" t="str">
        <f>IFERROR(_xlfn.XLOOKUP($A154,Input_Raw!$A:$A,Input_Raw!BL:BL),"")</f>
        <v/>
      </c>
      <c r="AB154" s="167" t="str">
        <f>IFERROR(_xlfn.XLOOKUP($A154,Input_Raw!$A:$A,Input_Raw!$BO:$BO),"")</f>
        <v/>
      </c>
      <c r="AC154" s="176">
        <f>IFERROR(_xlfn.XLOOKUP($D154,'Modelling New'!$D:$D,'Modelling New'!$J:$J),"")</f>
        <v>9.01</v>
      </c>
      <c r="AD154" s="166">
        <f>IFERROR(_xlfn.XLOOKUP($D154,'Modelling New'!$D:$D,'Modelling New'!$T:$T)*1000,"")</f>
        <v>895729.81265024655</v>
      </c>
      <c r="AE154" s="174"/>
      <c r="AF154" s="174">
        <f>IFERROR(_xlfn.XLOOKUP($D154,'Modelling New'!$D:$D,'Modelling New'!$W:$W),"")</f>
        <v>0.53165349753694591</v>
      </c>
      <c r="AG154" s="174">
        <f>IFERROR(_xlfn.XLOOKUP($D154,'Modelling New'!$D:$D,'Modelling New'!$AE:$AE),"")</f>
        <v>0.96029999999999993</v>
      </c>
      <c r="AH154" s="174">
        <f>IFERROR(_xlfn.XLOOKUP($D154,'Modelling New'!$D:$D,'Modelling New'!$AF:$AF),"")</f>
        <v>0.995</v>
      </c>
      <c r="AI154" s="177" t="str">
        <f>IFERROR(_xlfn.XLOOKUP($A154,Input_Raw!$A:$A,Input_Raw!$BQ:$BQ),"")</f>
        <v/>
      </c>
      <c r="AJ154" s="167"/>
      <c r="AK154" s="167"/>
      <c r="AL154" s="167"/>
      <c r="AM154" s="167"/>
      <c r="AN154" s="175" t="str">
        <f>IFERROR(_xlfn.XLOOKUP($A154,Input_Raw!$A:$A,Input_Raw!$BN:$BN),"")</f>
        <v/>
      </c>
      <c r="AO154" s="174" t="str">
        <f>IFERROR((_xlfn.XLOOKUP($A154,'WTG Reactive Power'!$A:$A,'WTG Reactive Power'!$AE:$AE))/Table13[[#This Row],[Gen_Exp (kWh)]],"")</f>
        <v/>
      </c>
      <c r="AP154" s="174">
        <f>IFERROR(_xlfn.XLOOKUP($D154,'Modelling New'!$D:$D,'Modelling New'!$AK:$AK),"")</f>
        <v>0.05</v>
      </c>
      <c r="AQ154" s="174">
        <f>IFERROR(_xlfn.XLOOKUP($D154,'Modelling New'!$D:$D,'Modelling New'!$AL:$AL),"")</f>
        <v>0.05</v>
      </c>
      <c r="AR154" s="276">
        <f>IFERROR(_xlfn.XLOOKUP($D154,'Modelling New'!$D:$D,'Modelling New'!$N:$N),"")</f>
        <v>70.2</v>
      </c>
      <c r="AS154" s="276"/>
    </row>
    <row r="155" spans="1:45">
      <c r="A155" s="165">
        <f t="shared" si="15"/>
        <v>45898</v>
      </c>
      <c r="B155" s="166">
        <f>YEAR(Table13[[#This Row],[Date]])+IF(MONTH(Table13[[#This Row],[Date]])&gt;=4,1,0)</f>
        <v>2026</v>
      </c>
      <c r="C155" s="167">
        <f>YEAR(Table13[[#This Row],[Date]])</f>
        <v>2025</v>
      </c>
      <c r="D155" s="168">
        <f>Table13[[#This Row],[Date]]-DAY(Table13[[#This Row],[Date]])+1</f>
        <v>45870</v>
      </c>
      <c r="E155" s="167">
        <f t="shared" si="12"/>
        <v>31</v>
      </c>
      <c r="F155" s="169"/>
      <c r="G155" s="176"/>
      <c r="H155" s="176"/>
      <c r="I155" s="176"/>
      <c r="J155" s="176"/>
      <c r="K155" s="171"/>
      <c r="L155" s="170"/>
      <c r="M155" s="170" t="str">
        <f>IFERROR(_xlfn.XLOOKUP($A155,Input_Raw!$A:$A,Input_Raw!BG:BG),"")</f>
        <v/>
      </c>
      <c r="N155" s="170" t="str">
        <f>IFERROR(_xlfn.XLOOKUP($A155,Input_Raw!$A:$A,Input_Raw!BH:BH),"")</f>
        <v/>
      </c>
      <c r="O155" s="173" t="str">
        <f t="shared" si="13"/>
        <v/>
      </c>
      <c r="P155" s="173" t="str">
        <f>IFERROR(1-SUMIF(WTG_BD!$F:$F,$A155,WTG_BD!$AA:$AA)/($AA155+SUMIF(WTG_BD!$F:$F,$A155,WTG_BD!$AA:$AA)),"")</f>
        <v/>
      </c>
      <c r="Q155" s="173" t="str">
        <f>IFERROR(1-SUMIF(IGA_BD!$F:$F,$A155,IGA_BD!$X:$X)/($AA155+SUMIF(IGA_BD!$F:$F,$A155,IGA_BD!$X:$X)),"")</f>
        <v/>
      </c>
      <c r="R155" s="173" t="str">
        <f>IFERROR(1-SUMIF(Grid_BD!$F:$F,$A155,Grid_BD!$Y:$Y)/($AA155+SUMIF(Grid_BD!$F:$F,$A155,Grid_BD!$Y:$Y)),"")</f>
        <v/>
      </c>
      <c r="S155" s="167"/>
      <c r="T155" s="172"/>
      <c r="U155" s="173"/>
      <c r="V155" s="167"/>
      <c r="W155" s="174" t="str">
        <f t="shared" si="14"/>
        <v/>
      </c>
      <c r="X155" s="167" t="str">
        <f>IFERROR(_xlfn.XLOOKUP($A155,Input_Raw!$A:$A,Input_Raw!$BF:$BF),"")</f>
        <v/>
      </c>
      <c r="Y155" s="167" t="str">
        <f>IFERROR(_xlfn.XLOOKUP($A155,Input_Raw!$A:$A,Input_Raw!BJ:BJ),"")</f>
        <v/>
      </c>
      <c r="Z155" s="167" t="str">
        <f>IFERROR(_xlfn.XLOOKUP($A155,Input_Raw!$A:$A,Input_Raw!BK:BK),"")</f>
        <v/>
      </c>
      <c r="AA155" s="167" t="str">
        <f>IFERROR(_xlfn.XLOOKUP($A155,Input_Raw!$A:$A,Input_Raw!BL:BL),"")</f>
        <v/>
      </c>
      <c r="AB155" s="167" t="str">
        <f>IFERROR(_xlfn.XLOOKUP($A155,Input_Raw!$A:$A,Input_Raw!$BO:$BO),"")</f>
        <v/>
      </c>
      <c r="AC155" s="176">
        <f>IFERROR(_xlfn.XLOOKUP($D155,'Modelling New'!$D:$D,'Modelling New'!$J:$J),"")</f>
        <v>9.01</v>
      </c>
      <c r="AD155" s="166">
        <f>IFERROR(_xlfn.XLOOKUP($D155,'Modelling New'!$D:$D,'Modelling New'!$T:$T)*1000,"")</f>
        <v>895729.81265024655</v>
      </c>
      <c r="AE155" s="174"/>
      <c r="AF155" s="174">
        <f>IFERROR(_xlfn.XLOOKUP($D155,'Modelling New'!$D:$D,'Modelling New'!$W:$W),"")</f>
        <v>0.53165349753694591</v>
      </c>
      <c r="AG155" s="174">
        <f>IFERROR(_xlfn.XLOOKUP($D155,'Modelling New'!$D:$D,'Modelling New'!$AE:$AE),"")</f>
        <v>0.96029999999999993</v>
      </c>
      <c r="AH155" s="174">
        <f>IFERROR(_xlfn.XLOOKUP($D155,'Modelling New'!$D:$D,'Modelling New'!$AF:$AF),"")</f>
        <v>0.995</v>
      </c>
      <c r="AI155" s="177" t="str">
        <f>IFERROR(_xlfn.XLOOKUP($A155,Input_Raw!$A:$A,Input_Raw!$BQ:$BQ),"")</f>
        <v/>
      </c>
      <c r="AJ155" s="167"/>
      <c r="AK155" s="167"/>
      <c r="AL155" s="167"/>
      <c r="AM155" s="167"/>
      <c r="AN155" s="175" t="str">
        <f>IFERROR(_xlfn.XLOOKUP($A155,Input_Raw!$A:$A,Input_Raw!$BN:$BN),"")</f>
        <v/>
      </c>
      <c r="AO155" s="174" t="str">
        <f>IFERROR((_xlfn.XLOOKUP($A155,'WTG Reactive Power'!$A:$A,'WTG Reactive Power'!$AE:$AE))/Table13[[#This Row],[Gen_Exp (kWh)]],"")</f>
        <v/>
      </c>
      <c r="AP155" s="174">
        <f>IFERROR(_xlfn.XLOOKUP($D155,'Modelling New'!$D:$D,'Modelling New'!$AK:$AK),"")</f>
        <v>0.05</v>
      </c>
      <c r="AQ155" s="174">
        <f>IFERROR(_xlfn.XLOOKUP($D155,'Modelling New'!$D:$D,'Modelling New'!$AL:$AL),"")</f>
        <v>0.05</v>
      </c>
      <c r="AR155" s="276">
        <f>IFERROR(_xlfn.XLOOKUP($D155,'Modelling New'!$D:$D,'Modelling New'!$N:$N),"")</f>
        <v>70.2</v>
      </c>
      <c r="AS155" s="276"/>
    </row>
    <row r="156" spans="1:45">
      <c r="A156" s="165">
        <f t="shared" si="15"/>
        <v>45899</v>
      </c>
      <c r="B156" s="166">
        <f>YEAR(Table13[[#This Row],[Date]])+IF(MONTH(Table13[[#This Row],[Date]])&gt;=4,1,0)</f>
        <v>2026</v>
      </c>
      <c r="C156" s="167">
        <f>YEAR(Table13[[#This Row],[Date]])</f>
        <v>2025</v>
      </c>
      <c r="D156" s="168">
        <f>Table13[[#This Row],[Date]]-DAY(Table13[[#This Row],[Date]])+1</f>
        <v>45870</v>
      </c>
      <c r="E156" s="167">
        <f t="shared" si="12"/>
        <v>31</v>
      </c>
      <c r="F156" s="169"/>
      <c r="G156" s="170"/>
      <c r="H156" s="170"/>
      <c r="I156" s="170"/>
      <c r="J156" s="170"/>
      <c r="K156" s="171"/>
      <c r="L156" s="170"/>
      <c r="M156" s="170" t="str">
        <f>IFERROR(_xlfn.XLOOKUP($A156,Input_Raw!$A:$A,Input_Raw!BG:BG),"")</f>
        <v/>
      </c>
      <c r="N156" s="170" t="str">
        <f>IFERROR(_xlfn.XLOOKUP($A156,Input_Raw!$A:$A,Input_Raw!BH:BH),"")</f>
        <v/>
      </c>
      <c r="O156" s="173" t="str">
        <f t="shared" si="13"/>
        <v/>
      </c>
      <c r="P156" s="173" t="str">
        <f>IFERROR(1-SUMIF(WTG_BD!$F:$F,$A156,WTG_BD!$AA:$AA)/($AA156+SUMIF(WTG_BD!$F:$F,$A156,WTG_BD!$AA:$AA)),"")</f>
        <v/>
      </c>
      <c r="Q156" s="173" t="str">
        <f>IFERROR(1-SUMIF(IGA_BD!$F:$F,$A156,IGA_BD!$X:$X)/($AA156+SUMIF(IGA_BD!$F:$F,$A156,IGA_BD!$X:$X)),"")</f>
        <v/>
      </c>
      <c r="R156" s="173" t="str">
        <f>IFERROR(1-SUMIF(Grid_BD!$F:$F,$A156,Grid_BD!$Y:$Y)/($AA156+SUMIF(Grid_BD!$F:$F,$A156,Grid_BD!$Y:$Y)),"")</f>
        <v/>
      </c>
      <c r="S156" s="167"/>
      <c r="T156" s="172"/>
      <c r="U156" s="173"/>
      <c r="V156" s="167"/>
      <c r="W156" s="174" t="str">
        <f t="shared" si="14"/>
        <v/>
      </c>
      <c r="X156" s="167" t="str">
        <f>IFERROR(_xlfn.XLOOKUP($A156,Input_Raw!$A:$A,Input_Raw!$BF:$BF),"")</f>
        <v/>
      </c>
      <c r="Y156" s="167" t="str">
        <f>IFERROR(_xlfn.XLOOKUP($A156,Input_Raw!$A:$A,Input_Raw!BJ:BJ),"")</f>
        <v/>
      </c>
      <c r="Z156" s="167" t="str">
        <f>IFERROR(_xlfn.XLOOKUP($A156,Input_Raw!$A:$A,Input_Raw!BK:BK),"")</f>
        <v/>
      </c>
      <c r="AA156" s="167" t="str">
        <f>IFERROR(_xlfn.XLOOKUP($A156,Input_Raw!$A:$A,Input_Raw!BL:BL),"")</f>
        <v/>
      </c>
      <c r="AB156" s="167" t="str">
        <f>IFERROR(_xlfn.XLOOKUP($A156,Input_Raw!$A:$A,Input_Raw!$BO:$BO),"")</f>
        <v/>
      </c>
      <c r="AC156" s="176">
        <f>IFERROR(_xlfn.XLOOKUP($D156,'Modelling New'!$D:$D,'Modelling New'!$J:$J),"")</f>
        <v>9.01</v>
      </c>
      <c r="AD156" s="166">
        <f>IFERROR(_xlfn.XLOOKUP($D156,'Modelling New'!$D:$D,'Modelling New'!$T:$T)*1000,"")</f>
        <v>895729.81265024655</v>
      </c>
      <c r="AE156" s="174"/>
      <c r="AF156" s="174">
        <f>IFERROR(_xlfn.XLOOKUP($D156,'Modelling New'!$D:$D,'Modelling New'!$W:$W),"")</f>
        <v>0.53165349753694591</v>
      </c>
      <c r="AG156" s="174">
        <f>IFERROR(_xlfn.XLOOKUP($D156,'Modelling New'!$D:$D,'Modelling New'!$AE:$AE),"")</f>
        <v>0.96029999999999993</v>
      </c>
      <c r="AH156" s="174">
        <f>IFERROR(_xlfn.XLOOKUP($D156,'Modelling New'!$D:$D,'Modelling New'!$AF:$AF),"")</f>
        <v>0.995</v>
      </c>
      <c r="AI156" s="177" t="str">
        <f>IFERROR(_xlfn.XLOOKUP($A156,Input_Raw!$A:$A,Input_Raw!$BQ:$BQ),"")</f>
        <v/>
      </c>
      <c r="AJ156" s="167"/>
      <c r="AK156" s="167"/>
      <c r="AL156" s="167"/>
      <c r="AM156" s="167"/>
      <c r="AN156" s="175" t="str">
        <f>IFERROR(_xlfn.XLOOKUP($A156,Input_Raw!$A:$A,Input_Raw!$BN:$BN),"")</f>
        <v/>
      </c>
      <c r="AO156" s="174" t="str">
        <f>IFERROR((_xlfn.XLOOKUP($A156,'WTG Reactive Power'!$A:$A,'WTG Reactive Power'!$AE:$AE))/Table13[[#This Row],[Gen_Exp (kWh)]],"")</f>
        <v/>
      </c>
      <c r="AP156" s="174">
        <f>IFERROR(_xlfn.XLOOKUP($D156,'Modelling New'!$D:$D,'Modelling New'!$AK:$AK),"")</f>
        <v>0.05</v>
      </c>
      <c r="AQ156" s="174">
        <f>IFERROR(_xlfn.XLOOKUP($D156,'Modelling New'!$D:$D,'Modelling New'!$AL:$AL),"")</f>
        <v>0.05</v>
      </c>
      <c r="AR156" s="276">
        <f>IFERROR(_xlfn.XLOOKUP($D156,'Modelling New'!$D:$D,'Modelling New'!$N:$N),"")</f>
        <v>70.2</v>
      </c>
      <c r="AS156" s="276"/>
    </row>
    <row r="157" spans="1:45">
      <c r="A157" s="165">
        <f t="shared" si="15"/>
        <v>45900</v>
      </c>
      <c r="B157" s="166">
        <f>YEAR(Table13[[#This Row],[Date]])+IF(MONTH(Table13[[#This Row],[Date]])&gt;=4,1,0)</f>
        <v>2026</v>
      </c>
      <c r="C157" s="167">
        <f>YEAR(Table13[[#This Row],[Date]])</f>
        <v>2025</v>
      </c>
      <c r="D157" s="168">
        <f>Table13[[#This Row],[Date]]-DAY(Table13[[#This Row],[Date]])+1</f>
        <v>45870</v>
      </c>
      <c r="E157" s="167">
        <f t="shared" si="12"/>
        <v>31</v>
      </c>
      <c r="F157" s="169"/>
      <c r="G157" s="176"/>
      <c r="H157" s="176"/>
      <c r="I157" s="176"/>
      <c r="J157" s="176"/>
      <c r="K157" s="171"/>
      <c r="L157" s="170"/>
      <c r="M157" s="170" t="str">
        <f>IFERROR(_xlfn.XLOOKUP($A157,Input_Raw!$A:$A,Input_Raw!BG:BG),"")</f>
        <v/>
      </c>
      <c r="N157" s="170" t="str">
        <f>IFERROR(_xlfn.XLOOKUP($A157,Input_Raw!$A:$A,Input_Raw!BH:BH),"")</f>
        <v/>
      </c>
      <c r="O157" s="173" t="str">
        <f t="shared" si="13"/>
        <v/>
      </c>
      <c r="P157" s="173" t="str">
        <f>IFERROR(1-SUMIF(WTG_BD!$F:$F,$A157,WTG_BD!$AA:$AA)/($AA157+SUMIF(WTG_BD!$F:$F,$A157,WTG_BD!$AA:$AA)),"")</f>
        <v/>
      </c>
      <c r="Q157" s="173" t="str">
        <f>IFERROR(1-SUMIF(IGA_BD!$F:$F,$A157,IGA_BD!$X:$X)/($AA157+SUMIF(IGA_BD!$F:$F,$A157,IGA_BD!$X:$X)),"")</f>
        <v/>
      </c>
      <c r="R157" s="173" t="str">
        <f>IFERROR(1-SUMIF(Grid_BD!$F:$F,$A157,Grid_BD!$Y:$Y)/($AA157+SUMIF(Grid_BD!$F:$F,$A157,Grid_BD!$Y:$Y)),"")</f>
        <v/>
      </c>
      <c r="S157" s="167"/>
      <c r="T157" s="172"/>
      <c r="U157" s="173"/>
      <c r="V157" s="167"/>
      <c r="W157" s="174" t="str">
        <f t="shared" si="14"/>
        <v/>
      </c>
      <c r="X157" s="167" t="str">
        <f>IFERROR(_xlfn.XLOOKUP($A157,Input_Raw!$A:$A,Input_Raw!$BF:$BF),"")</f>
        <v/>
      </c>
      <c r="Y157" s="167" t="str">
        <f>IFERROR(_xlfn.XLOOKUP($A157,Input_Raw!$A:$A,Input_Raw!BJ:BJ),"")</f>
        <v/>
      </c>
      <c r="Z157" s="167" t="str">
        <f>IFERROR(_xlfn.XLOOKUP($A157,Input_Raw!$A:$A,Input_Raw!BK:BK),"")</f>
        <v/>
      </c>
      <c r="AA157" s="167" t="str">
        <f>IFERROR(_xlfn.XLOOKUP($A157,Input_Raw!$A:$A,Input_Raw!BL:BL),"")</f>
        <v/>
      </c>
      <c r="AB157" s="167" t="str">
        <f>IFERROR(_xlfn.XLOOKUP($A157,Input_Raw!$A:$A,Input_Raw!$BO:$BO),"")</f>
        <v/>
      </c>
      <c r="AC157" s="176">
        <f>IFERROR(_xlfn.XLOOKUP($D157,'Modelling New'!$D:$D,'Modelling New'!$J:$J),"")</f>
        <v>9.01</v>
      </c>
      <c r="AD157" s="166">
        <f>IFERROR(_xlfn.XLOOKUP($D157,'Modelling New'!$D:$D,'Modelling New'!$T:$T)*1000,"")</f>
        <v>895729.81265024655</v>
      </c>
      <c r="AE157" s="174"/>
      <c r="AF157" s="174">
        <f>IFERROR(_xlfn.XLOOKUP($D157,'Modelling New'!$D:$D,'Modelling New'!$W:$W),"")</f>
        <v>0.53165349753694591</v>
      </c>
      <c r="AG157" s="174">
        <f>IFERROR(_xlfn.XLOOKUP($D157,'Modelling New'!$D:$D,'Modelling New'!$AE:$AE),"")</f>
        <v>0.96029999999999993</v>
      </c>
      <c r="AH157" s="174">
        <f>IFERROR(_xlfn.XLOOKUP($D157,'Modelling New'!$D:$D,'Modelling New'!$AF:$AF),"")</f>
        <v>0.995</v>
      </c>
      <c r="AI157" s="177" t="str">
        <f>IFERROR(_xlfn.XLOOKUP($A157,Input_Raw!$A:$A,Input_Raw!$BQ:$BQ),"")</f>
        <v/>
      </c>
      <c r="AJ157" s="167"/>
      <c r="AK157" s="167"/>
      <c r="AL157" s="167"/>
      <c r="AM157" s="167"/>
      <c r="AN157" s="175" t="str">
        <f>IFERROR(_xlfn.XLOOKUP($A157,Input_Raw!$A:$A,Input_Raw!$BN:$BN),"")</f>
        <v/>
      </c>
      <c r="AO157" s="174" t="str">
        <f>IFERROR((_xlfn.XLOOKUP($A157,'WTG Reactive Power'!$A:$A,'WTG Reactive Power'!$AE:$AE))/Table13[[#This Row],[Gen_Exp (kWh)]],"")</f>
        <v/>
      </c>
      <c r="AP157" s="174">
        <f>IFERROR(_xlfn.XLOOKUP($D157,'Modelling New'!$D:$D,'Modelling New'!$AK:$AK),"")</f>
        <v>0.05</v>
      </c>
      <c r="AQ157" s="174">
        <f>IFERROR(_xlfn.XLOOKUP($D157,'Modelling New'!$D:$D,'Modelling New'!$AL:$AL),"")</f>
        <v>0.05</v>
      </c>
      <c r="AR157" s="276">
        <f>IFERROR(_xlfn.XLOOKUP($D157,'Modelling New'!$D:$D,'Modelling New'!$N:$N),"")</f>
        <v>70.2</v>
      </c>
      <c r="AS157" s="276"/>
    </row>
    <row r="158" spans="1:45">
      <c r="A158" s="165">
        <f t="shared" si="15"/>
        <v>45901</v>
      </c>
      <c r="B158" s="166">
        <f>YEAR(Table13[[#This Row],[Date]])+IF(MONTH(Table13[[#This Row],[Date]])&gt;=4,1,0)</f>
        <v>2026</v>
      </c>
      <c r="C158" s="167">
        <f>YEAR(Table13[[#This Row],[Date]])</f>
        <v>2025</v>
      </c>
      <c r="D158" s="168">
        <f>Table13[[#This Row],[Date]]-DAY(Table13[[#This Row],[Date]])+1</f>
        <v>45901</v>
      </c>
      <c r="E158" s="167">
        <f t="shared" si="12"/>
        <v>30</v>
      </c>
      <c r="F158" s="169"/>
      <c r="G158" s="170"/>
      <c r="H158" s="170"/>
      <c r="I158" s="170"/>
      <c r="J158" s="170"/>
      <c r="K158" s="171"/>
      <c r="L158" s="170"/>
      <c r="M158" s="170" t="str">
        <f>IFERROR(_xlfn.XLOOKUP($A158,Input_Raw!$A:$A,Input_Raw!BG:BG),"")</f>
        <v/>
      </c>
      <c r="N158" s="170" t="str">
        <f>IFERROR(_xlfn.XLOOKUP($A158,Input_Raw!$A:$A,Input_Raw!BH:BH),"")</f>
        <v/>
      </c>
      <c r="O158" s="173" t="str">
        <f t="shared" si="13"/>
        <v/>
      </c>
      <c r="P158" s="173" t="str">
        <f>IFERROR(1-SUMIF(WTG_BD!$F:$F,$A158,WTG_BD!$AA:$AA)/($AA158+SUMIF(WTG_BD!$F:$F,$A158,WTG_BD!$AA:$AA)),"")</f>
        <v/>
      </c>
      <c r="Q158" s="173" t="str">
        <f>IFERROR(1-SUMIF(IGA_BD!$F:$F,$A158,IGA_BD!$X:$X)/($AA158+SUMIF(IGA_BD!$F:$F,$A158,IGA_BD!$X:$X)),"")</f>
        <v/>
      </c>
      <c r="R158" s="173" t="str">
        <f>IFERROR(1-SUMIF(Grid_BD!$F:$F,$A158,Grid_BD!$Y:$Y)/($AA158+SUMIF(Grid_BD!$F:$F,$A158,Grid_BD!$Y:$Y)),"")</f>
        <v/>
      </c>
      <c r="S158" s="167"/>
      <c r="T158" s="172"/>
      <c r="U158" s="173"/>
      <c r="V158" s="167"/>
      <c r="W158" s="174" t="str">
        <f t="shared" si="14"/>
        <v/>
      </c>
      <c r="X158" s="167" t="str">
        <f>IFERROR(_xlfn.XLOOKUP($A158,Input_Raw!$A:$A,Input_Raw!$BF:$BF),"")</f>
        <v/>
      </c>
      <c r="Y158" s="167" t="str">
        <f>IFERROR(_xlfn.XLOOKUP($A158,Input_Raw!$A:$A,Input_Raw!BJ:BJ),"")</f>
        <v/>
      </c>
      <c r="Z158" s="167" t="str">
        <f>IFERROR(_xlfn.XLOOKUP($A158,Input_Raw!$A:$A,Input_Raw!BK:BK),"")</f>
        <v/>
      </c>
      <c r="AA158" s="167" t="str">
        <f>IFERROR(_xlfn.XLOOKUP($A158,Input_Raw!$A:$A,Input_Raw!BL:BL),"")</f>
        <v/>
      </c>
      <c r="AB158" s="167" t="str">
        <f>IFERROR(_xlfn.XLOOKUP($A158,Input_Raw!$A:$A,Input_Raw!$BO:$BO),"")</f>
        <v/>
      </c>
      <c r="AC158" s="176">
        <f>IFERROR(_xlfn.XLOOKUP($D158,'Modelling New'!$D:$D,'Modelling New'!$J:$J),"")</f>
        <v>8.16</v>
      </c>
      <c r="AD158" s="166">
        <f>IFERROR(_xlfn.XLOOKUP($D158,'Modelling New'!$D:$D,'Modelling New'!$T:$T)*1000,"")</f>
        <v>528999.85312315286</v>
      </c>
      <c r="AE158" s="174"/>
      <c r="AF158" s="174">
        <f>IFERROR(_xlfn.XLOOKUP($D158,'Modelling New'!$D:$D,'Modelling New'!$W:$W),"")</f>
        <v>0.31398376847290649</v>
      </c>
      <c r="AG158" s="174">
        <f>IFERROR(_xlfn.XLOOKUP($D158,'Modelling New'!$D:$D,'Modelling New'!$AE:$AE),"")</f>
        <v>0.96029999999999993</v>
      </c>
      <c r="AH158" s="174">
        <f>IFERROR(_xlfn.XLOOKUP($D158,'Modelling New'!$D:$D,'Modelling New'!$AF:$AF),"")</f>
        <v>0.995</v>
      </c>
      <c r="AI158" s="177" t="str">
        <f>IFERROR(_xlfn.XLOOKUP($A158,Input_Raw!$A:$A,Input_Raw!$BQ:$BQ),"")</f>
        <v/>
      </c>
      <c r="AJ158" s="167"/>
      <c r="AK158" s="167"/>
      <c r="AL158" s="167"/>
      <c r="AM158" s="167"/>
      <c r="AN158" s="175" t="str">
        <f>IFERROR(_xlfn.XLOOKUP($A158,Input_Raw!$A:$A,Input_Raw!$BN:$BN),"")</f>
        <v/>
      </c>
      <c r="AO158" s="174" t="str">
        <f>IFERROR((_xlfn.XLOOKUP($A158,'WTG Reactive Power'!$A:$A,'WTG Reactive Power'!$AE:$AE))/Table13[[#This Row],[Gen_Exp (kWh)]],"")</f>
        <v/>
      </c>
      <c r="AP158" s="174">
        <f>IFERROR(_xlfn.XLOOKUP($D158,'Modelling New'!$D:$D,'Modelling New'!$AK:$AK),"")</f>
        <v>0.05</v>
      </c>
      <c r="AQ158" s="174">
        <f>IFERROR(_xlfn.XLOOKUP($D158,'Modelling New'!$D:$D,'Modelling New'!$AL:$AL),"")</f>
        <v>0.05</v>
      </c>
      <c r="AR158" s="276">
        <f>IFERROR(_xlfn.XLOOKUP($D158,'Modelling New'!$D:$D,'Modelling New'!$N:$N),"")</f>
        <v>70.2</v>
      </c>
      <c r="AS158" s="276"/>
    </row>
    <row r="159" spans="1:45">
      <c r="A159" s="165">
        <f t="shared" si="15"/>
        <v>45902</v>
      </c>
      <c r="B159" s="166">
        <f>YEAR(Table13[[#This Row],[Date]])+IF(MONTH(Table13[[#This Row],[Date]])&gt;=4,1,0)</f>
        <v>2026</v>
      </c>
      <c r="C159" s="167">
        <f>YEAR(Table13[[#This Row],[Date]])</f>
        <v>2025</v>
      </c>
      <c r="D159" s="168">
        <f>Table13[[#This Row],[Date]]-DAY(Table13[[#This Row],[Date]])+1</f>
        <v>45901</v>
      </c>
      <c r="E159" s="167">
        <f t="shared" si="12"/>
        <v>30</v>
      </c>
      <c r="F159" s="169"/>
      <c r="G159" s="176"/>
      <c r="H159" s="176"/>
      <c r="I159" s="176"/>
      <c r="J159" s="176"/>
      <c r="K159" s="171"/>
      <c r="L159" s="170"/>
      <c r="M159" s="170" t="str">
        <f>IFERROR(_xlfn.XLOOKUP($A159,Input_Raw!$A:$A,Input_Raw!BG:BG),"")</f>
        <v/>
      </c>
      <c r="N159" s="170" t="str">
        <f>IFERROR(_xlfn.XLOOKUP($A159,Input_Raw!$A:$A,Input_Raw!BH:BH),"")</f>
        <v/>
      </c>
      <c r="O159" s="173" t="str">
        <f t="shared" si="13"/>
        <v/>
      </c>
      <c r="P159" s="173" t="str">
        <f>IFERROR(1-SUMIF(WTG_BD!$F:$F,$A159,WTG_BD!$AA:$AA)/($AA159+SUMIF(WTG_BD!$F:$F,$A159,WTG_BD!$AA:$AA)),"")</f>
        <v/>
      </c>
      <c r="Q159" s="173" t="str">
        <f>IFERROR(1-SUMIF(IGA_BD!$F:$F,$A159,IGA_BD!$X:$X)/($AA159+SUMIF(IGA_BD!$F:$F,$A159,IGA_BD!$X:$X)),"")</f>
        <v/>
      </c>
      <c r="R159" s="173" t="str">
        <f>IFERROR(1-SUMIF(Grid_BD!$F:$F,$A159,Grid_BD!$Y:$Y)/($AA159+SUMIF(Grid_BD!$F:$F,$A159,Grid_BD!$Y:$Y)),"")</f>
        <v/>
      </c>
      <c r="S159" s="167"/>
      <c r="T159" s="172"/>
      <c r="U159" s="173"/>
      <c r="V159" s="167"/>
      <c r="W159" s="174" t="str">
        <f t="shared" si="14"/>
        <v/>
      </c>
      <c r="X159" s="167" t="str">
        <f>IFERROR(_xlfn.XLOOKUP($A159,Input_Raw!$A:$A,Input_Raw!$BF:$BF),"")</f>
        <v/>
      </c>
      <c r="Y159" s="167" t="str">
        <f>IFERROR(_xlfn.XLOOKUP($A159,Input_Raw!$A:$A,Input_Raw!BJ:BJ),"")</f>
        <v/>
      </c>
      <c r="Z159" s="167" t="str">
        <f>IFERROR(_xlfn.XLOOKUP($A159,Input_Raw!$A:$A,Input_Raw!BK:BK),"")</f>
        <v/>
      </c>
      <c r="AA159" s="167" t="str">
        <f>IFERROR(_xlfn.XLOOKUP($A159,Input_Raw!$A:$A,Input_Raw!BL:BL),"")</f>
        <v/>
      </c>
      <c r="AB159" s="167" t="str">
        <f>IFERROR(_xlfn.XLOOKUP($A159,Input_Raw!$A:$A,Input_Raw!$BO:$BO),"")</f>
        <v/>
      </c>
      <c r="AC159" s="176">
        <f>IFERROR(_xlfn.XLOOKUP($D159,'Modelling New'!$D:$D,'Modelling New'!$J:$J),"")</f>
        <v>8.16</v>
      </c>
      <c r="AD159" s="166">
        <f>IFERROR(_xlfn.XLOOKUP($D159,'Modelling New'!$D:$D,'Modelling New'!$T:$T)*1000,"")</f>
        <v>528999.85312315286</v>
      </c>
      <c r="AE159" s="174"/>
      <c r="AF159" s="174">
        <f>IFERROR(_xlfn.XLOOKUP($D159,'Modelling New'!$D:$D,'Modelling New'!$W:$W),"")</f>
        <v>0.31398376847290649</v>
      </c>
      <c r="AG159" s="174">
        <f>IFERROR(_xlfn.XLOOKUP($D159,'Modelling New'!$D:$D,'Modelling New'!$AE:$AE),"")</f>
        <v>0.96029999999999993</v>
      </c>
      <c r="AH159" s="174">
        <f>IFERROR(_xlfn.XLOOKUP($D159,'Modelling New'!$D:$D,'Modelling New'!$AF:$AF),"")</f>
        <v>0.995</v>
      </c>
      <c r="AI159" s="177" t="str">
        <f>IFERROR(_xlfn.XLOOKUP($A159,Input_Raw!$A:$A,Input_Raw!$BQ:$BQ),"")</f>
        <v/>
      </c>
      <c r="AJ159" s="167"/>
      <c r="AK159" s="167"/>
      <c r="AL159" s="167"/>
      <c r="AM159" s="167"/>
      <c r="AN159" s="175" t="str">
        <f>IFERROR(_xlfn.XLOOKUP($A159,Input_Raw!$A:$A,Input_Raw!$BN:$BN),"")</f>
        <v/>
      </c>
      <c r="AO159" s="174" t="str">
        <f>IFERROR((_xlfn.XLOOKUP($A159,'WTG Reactive Power'!$A:$A,'WTG Reactive Power'!$AE:$AE))/Table13[[#This Row],[Gen_Exp (kWh)]],"")</f>
        <v/>
      </c>
      <c r="AP159" s="174">
        <f>IFERROR(_xlfn.XLOOKUP($D159,'Modelling New'!$D:$D,'Modelling New'!$AK:$AK),"")</f>
        <v>0.05</v>
      </c>
      <c r="AQ159" s="174">
        <f>IFERROR(_xlfn.XLOOKUP($D159,'Modelling New'!$D:$D,'Modelling New'!$AL:$AL),"")</f>
        <v>0.05</v>
      </c>
      <c r="AR159" s="276">
        <f>IFERROR(_xlfn.XLOOKUP($D159,'Modelling New'!$D:$D,'Modelling New'!$N:$N),"")</f>
        <v>70.2</v>
      </c>
      <c r="AS159" s="276"/>
    </row>
    <row r="160" spans="1:45">
      <c r="A160" s="165">
        <f t="shared" si="15"/>
        <v>45903</v>
      </c>
      <c r="B160" s="166">
        <f>YEAR(Table13[[#This Row],[Date]])+IF(MONTH(Table13[[#This Row],[Date]])&gt;=4,1,0)</f>
        <v>2026</v>
      </c>
      <c r="C160" s="167">
        <f>YEAR(Table13[[#This Row],[Date]])</f>
        <v>2025</v>
      </c>
      <c r="D160" s="168">
        <f>Table13[[#This Row],[Date]]-DAY(Table13[[#This Row],[Date]])+1</f>
        <v>45901</v>
      </c>
      <c r="E160" s="167">
        <f t="shared" si="12"/>
        <v>30</v>
      </c>
      <c r="F160" s="169"/>
      <c r="G160" s="170"/>
      <c r="H160" s="170"/>
      <c r="I160" s="170"/>
      <c r="J160" s="170"/>
      <c r="K160" s="171"/>
      <c r="L160" s="170"/>
      <c r="M160" s="170" t="str">
        <f>IFERROR(_xlfn.XLOOKUP($A160,Input_Raw!$A:$A,Input_Raw!BG:BG),"")</f>
        <v/>
      </c>
      <c r="N160" s="170" t="str">
        <f>IFERROR(_xlfn.XLOOKUP($A160,Input_Raw!$A:$A,Input_Raw!BH:BH),"")</f>
        <v/>
      </c>
      <c r="O160" s="173" t="str">
        <f t="shared" si="13"/>
        <v/>
      </c>
      <c r="P160" s="173" t="str">
        <f>IFERROR(1-SUMIF(WTG_BD!$F:$F,$A160,WTG_BD!$AA:$AA)/($AA160+SUMIF(WTG_BD!$F:$F,$A160,WTG_BD!$AA:$AA)),"")</f>
        <v/>
      </c>
      <c r="Q160" s="173" t="str">
        <f>IFERROR(1-SUMIF(IGA_BD!$F:$F,$A160,IGA_BD!$X:$X)/($AA160+SUMIF(IGA_BD!$F:$F,$A160,IGA_BD!$X:$X)),"")</f>
        <v/>
      </c>
      <c r="R160" s="173" t="str">
        <f>IFERROR(1-SUMIF(Grid_BD!$F:$F,$A160,Grid_BD!$Y:$Y)/($AA160+SUMIF(Grid_BD!$F:$F,$A160,Grid_BD!$Y:$Y)),"")</f>
        <v/>
      </c>
      <c r="S160" s="167"/>
      <c r="T160" s="172"/>
      <c r="U160" s="173"/>
      <c r="V160" s="167"/>
      <c r="W160" s="174" t="str">
        <f t="shared" si="14"/>
        <v/>
      </c>
      <c r="X160" s="167" t="str">
        <f>IFERROR(_xlfn.XLOOKUP($A160,Input_Raw!$A:$A,Input_Raw!$BF:$BF),"")</f>
        <v/>
      </c>
      <c r="Y160" s="167" t="str">
        <f>IFERROR(_xlfn.XLOOKUP($A160,Input_Raw!$A:$A,Input_Raw!BJ:BJ),"")</f>
        <v/>
      </c>
      <c r="Z160" s="167" t="str">
        <f>IFERROR(_xlfn.XLOOKUP($A160,Input_Raw!$A:$A,Input_Raw!BK:BK),"")</f>
        <v/>
      </c>
      <c r="AA160" s="167" t="str">
        <f>IFERROR(_xlfn.XLOOKUP($A160,Input_Raw!$A:$A,Input_Raw!BL:BL),"")</f>
        <v/>
      </c>
      <c r="AB160" s="167" t="str">
        <f>IFERROR(_xlfn.XLOOKUP($A160,Input_Raw!$A:$A,Input_Raw!$BO:$BO),"")</f>
        <v/>
      </c>
      <c r="AC160" s="176">
        <f>IFERROR(_xlfn.XLOOKUP($D160,'Modelling New'!$D:$D,'Modelling New'!$J:$J),"")</f>
        <v>8.16</v>
      </c>
      <c r="AD160" s="166">
        <f>IFERROR(_xlfn.XLOOKUP($D160,'Modelling New'!$D:$D,'Modelling New'!$T:$T)*1000,"")</f>
        <v>528999.85312315286</v>
      </c>
      <c r="AE160" s="174"/>
      <c r="AF160" s="174">
        <f>IFERROR(_xlfn.XLOOKUP($D160,'Modelling New'!$D:$D,'Modelling New'!$W:$W),"")</f>
        <v>0.31398376847290649</v>
      </c>
      <c r="AG160" s="174">
        <f>IFERROR(_xlfn.XLOOKUP($D160,'Modelling New'!$D:$D,'Modelling New'!$AE:$AE),"")</f>
        <v>0.96029999999999993</v>
      </c>
      <c r="AH160" s="174">
        <f>IFERROR(_xlfn.XLOOKUP($D160,'Modelling New'!$D:$D,'Modelling New'!$AF:$AF),"")</f>
        <v>0.995</v>
      </c>
      <c r="AI160" s="177" t="str">
        <f>IFERROR(_xlfn.XLOOKUP($A160,Input_Raw!$A:$A,Input_Raw!$BQ:$BQ),"")</f>
        <v/>
      </c>
      <c r="AJ160" s="167"/>
      <c r="AK160" s="167"/>
      <c r="AL160" s="167"/>
      <c r="AM160" s="167"/>
      <c r="AN160" s="175" t="str">
        <f>IFERROR(_xlfn.XLOOKUP($A160,Input_Raw!$A:$A,Input_Raw!$BN:$BN),"")</f>
        <v/>
      </c>
      <c r="AO160" s="174" t="str">
        <f>IFERROR((_xlfn.XLOOKUP($A160,'WTG Reactive Power'!$A:$A,'WTG Reactive Power'!$AE:$AE))/Table13[[#This Row],[Gen_Exp (kWh)]],"")</f>
        <v/>
      </c>
      <c r="AP160" s="174">
        <f>IFERROR(_xlfn.XLOOKUP($D160,'Modelling New'!$D:$D,'Modelling New'!$AK:$AK),"")</f>
        <v>0.05</v>
      </c>
      <c r="AQ160" s="174">
        <f>IFERROR(_xlfn.XLOOKUP($D160,'Modelling New'!$D:$D,'Modelling New'!$AL:$AL),"")</f>
        <v>0.05</v>
      </c>
      <c r="AR160" s="276">
        <f>IFERROR(_xlfn.XLOOKUP($D160,'Modelling New'!$D:$D,'Modelling New'!$N:$N),"")</f>
        <v>70.2</v>
      </c>
      <c r="AS160" s="276"/>
    </row>
    <row r="161" spans="1:45">
      <c r="A161" s="165">
        <f t="shared" si="15"/>
        <v>45904</v>
      </c>
      <c r="B161" s="166">
        <f>YEAR(Table13[[#This Row],[Date]])+IF(MONTH(Table13[[#This Row],[Date]])&gt;=4,1,0)</f>
        <v>2026</v>
      </c>
      <c r="C161" s="167">
        <f>YEAR(Table13[[#This Row],[Date]])</f>
        <v>2025</v>
      </c>
      <c r="D161" s="168">
        <f>Table13[[#This Row],[Date]]-DAY(Table13[[#This Row],[Date]])+1</f>
        <v>45901</v>
      </c>
      <c r="E161" s="167">
        <f t="shared" si="12"/>
        <v>30</v>
      </c>
      <c r="F161" s="169"/>
      <c r="G161" s="176"/>
      <c r="H161" s="176"/>
      <c r="I161" s="176"/>
      <c r="J161" s="176"/>
      <c r="K161" s="171"/>
      <c r="L161" s="170"/>
      <c r="M161" s="170" t="str">
        <f>IFERROR(_xlfn.XLOOKUP($A161,Input_Raw!$A:$A,Input_Raw!BG:BG),"")</f>
        <v/>
      </c>
      <c r="N161" s="170" t="str">
        <f>IFERROR(_xlfn.XLOOKUP($A161,Input_Raw!$A:$A,Input_Raw!BH:BH),"")</f>
        <v/>
      </c>
      <c r="O161" s="173" t="str">
        <f t="shared" si="13"/>
        <v/>
      </c>
      <c r="P161" s="173" t="str">
        <f>IFERROR(1-SUMIF(WTG_BD!$F:$F,$A161,WTG_BD!$AA:$AA)/($AA161+SUMIF(WTG_BD!$F:$F,$A161,WTG_BD!$AA:$AA)),"")</f>
        <v/>
      </c>
      <c r="Q161" s="173" t="str">
        <f>IFERROR(1-SUMIF(IGA_BD!$F:$F,$A161,IGA_BD!$X:$X)/($AA161+SUMIF(IGA_BD!$F:$F,$A161,IGA_BD!$X:$X)),"")</f>
        <v/>
      </c>
      <c r="R161" s="173" t="str">
        <f>IFERROR(1-SUMIF(Grid_BD!$F:$F,$A161,Grid_BD!$Y:$Y)/($AA161+SUMIF(Grid_BD!$F:$F,$A161,Grid_BD!$Y:$Y)),"")</f>
        <v/>
      </c>
      <c r="S161" s="167"/>
      <c r="T161" s="172"/>
      <c r="U161" s="173"/>
      <c r="V161" s="167"/>
      <c r="W161" s="174" t="str">
        <f t="shared" si="14"/>
        <v/>
      </c>
      <c r="X161" s="167" t="str">
        <f>IFERROR(_xlfn.XLOOKUP($A161,Input_Raw!$A:$A,Input_Raw!$BF:$BF),"")</f>
        <v/>
      </c>
      <c r="Y161" s="167" t="str">
        <f>IFERROR(_xlfn.XLOOKUP($A161,Input_Raw!$A:$A,Input_Raw!BJ:BJ),"")</f>
        <v/>
      </c>
      <c r="Z161" s="167" t="str">
        <f>IFERROR(_xlfn.XLOOKUP($A161,Input_Raw!$A:$A,Input_Raw!BK:BK),"")</f>
        <v/>
      </c>
      <c r="AA161" s="167" t="str">
        <f>IFERROR(_xlfn.XLOOKUP($A161,Input_Raw!$A:$A,Input_Raw!BL:BL),"")</f>
        <v/>
      </c>
      <c r="AB161" s="167" t="str">
        <f>IFERROR(_xlfn.XLOOKUP($A161,Input_Raw!$A:$A,Input_Raw!$BO:$BO),"")</f>
        <v/>
      </c>
      <c r="AC161" s="176">
        <f>IFERROR(_xlfn.XLOOKUP($D161,'Modelling New'!$D:$D,'Modelling New'!$J:$J),"")</f>
        <v>8.16</v>
      </c>
      <c r="AD161" s="166">
        <f>IFERROR(_xlfn.XLOOKUP($D161,'Modelling New'!$D:$D,'Modelling New'!$T:$T)*1000,"")</f>
        <v>528999.85312315286</v>
      </c>
      <c r="AE161" s="174"/>
      <c r="AF161" s="174">
        <f>IFERROR(_xlfn.XLOOKUP($D161,'Modelling New'!$D:$D,'Modelling New'!$W:$W),"")</f>
        <v>0.31398376847290649</v>
      </c>
      <c r="AG161" s="174">
        <f>IFERROR(_xlfn.XLOOKUP($D161,'Modelling New'!$D:$D,'Modelling New'!$AE:$AE),"")</f>
        <v>0.96029999999999993</v>
      </c>
      <c r="AH161" s="174">
        <f>IFERROR(_xlfn.XLOOKUP($D161,'Modelling New'!$D:$D,'Modelling New'!$AF:$AF),"")</f>
        <v>0.995</v>
      </c>
      <c r="AI161" s="177" t="str">
        <f>IFERROR(_xlfn.XLOOKUP($A161,Input_Raw!$A:$A,Input_Raw!$BQ:$BQ),"")</f>
        <v/>
      </c>
      <c r="AJ161" s="167"/>
      <c r="AK161" s="167"/>
      <c r="AL161" s="167"/>
      <c r="AM161" s="167"/>
      <c r="AN161" s="175" t="str">
        <f>IFERROR(_xlfn.XLOOKUP($A161,Input_Raw!$A:$A,Input_Raw!$BN:$BN),"")</f>
        <v/>
      </c>
      <c r="AO161" s="174" t="str">
        <f>IFERROR((_xlfn.XLOOKUP($A161,'WTG Reactive Power'!$A:$A,'WTG Reactive Power'!$AE:$AE))/Table13[[#This Row],[Gen_Exp (kWh)]],"")</f>
        <v/>
      </c>
      <c r="AP161" s="174">
        <f>IFERROR(_xlfn.XLOOKUP($D161,'Modelling New'!$D:$D,'Modelling New'!$AK:$AK),"")</f>
        <v>0.05</v>
      </c>
      <c r="AQ161" s="174">
        <f>IFERROR(_xlfn.XLOOKUP($D161,'Modelling New'!$D:$D,'Modelling New'!$AL:$AL),"")</f>
        <v>0.05</v>
      </c>
      <c r="AR161" s="276">
        <f>IFERROR(_xlfn.XLOOKUP($D161,'Modelling New'!$D:$D,'Modelling New'!$N:$N),"")</f>
        <v>70.2</v>
      </c>
      <c r="AS161" s="276"/>
    </row>
    <row r="162" spans="1:45">
      <c r="A162" s="165">
        <f t="shared" si="15"/>
        <v>45905</v>
      </c>
      <c r="B162" s="166">
        <f>YEAR(Table13[[#This Row],[Date]])+IF(MONTH(Table13[[#This Row],[Date]])&gt;=4,1,0)</f>
        <v>2026</v>
      </c>
      <c r="C162" s="167">
        <f>YEAR(Table13[[#This Row],[Date]])</f>
        <v>2025</v>
      </c>
      <c r="D162" s="168">
        <f>Table13[[#This Row],[Date]]-DAY(Table13[[#This Row],[Date]])+1</f>
        <v>45901</v>
      </c>
      <c r="E162" s="167">
        <f t="shared" si="12"/>
        <v>30</v>
      </c>
      <c r="F162" s="169"/>
      <c r="G162" s="170"/>
      <c r="H162" s="170"/>
      <c r="I162" s="170"/>
      <c r="J162" s="170"/>
      <c r="K162" s="171"/>
      <c r="L162" s="170"/>
      <c r="M162" s="170" t="str">
        <f>IFERROR(_xlfn.XLOOKUP($A162,Input_Raw!$A:$A,Input_Raw!BG:BG),"")</f>
        <v/>
      </c>
      <c r="N162" s="170" t="str">
        <f>IFERROR(_xlfn.XLOOKUP($A162,Input_Raw!$A:$A,Input_Raw!BH:BH),"")</f>
        <v/>
      </c>
      <c r="O162" s="173" t="str">
        <f t="shared" si="13"/>
        <v/>
      </c>
      <c r="P162" s="173" t="str">
        <f>IFERROR(1-SUMIF(WTG_BD!$F:$F,$A162,WTG_BD!$AA:$AA)/($AA162+SUMIF(WTG_BD!$F:$F,$A162,WTG_BD!$AA:$AA)),"")</f>
        <v/>
      </c>
      <c r="Q162" s="173" t="str">
        <f>IFERROR(1-SUMIF(IGA_BD!$F:$F,$A162,IGA_BD!$X:$X)/($AA162+SUMIF(IGA_BD!$F:$F,$A162,IGA_BD!$X:$X)),"")</f>
        <v/>
      </c>
      <c r="R162" s="173" t="str">
        <f>IFERROR(1-SUMIF(Grid_BD!$F:$F,$A162,Grid_BD!$Y:$Y)/($AA162+SUMIF(Grid_BD!$F:$F,$A162,Grid_BD!$Y:$Y)),"")</f>
        <v/>
      </c>
      <c r="S162" s="167"/>
      <c r="T162" s="172"/>
      <c r="U162" s="173"/>
      <c r="V162" s="167"/>
      <c r="W162" s="174" t="str">
        <f t="shared" si="14"/>
        <v/>
      </c>
      <c r="X162" s="167" t="str">
        <f>IFERROR(_xlfn.XLOOKUP($A162,Input_Raw!$A:$A,Input_Raw!$BF:$BF),"")</f>
        <v/>
      </c>
      <c r="Y162" s="167" t="str">
        <f>IFERROR(_xlfn.XLOOKUP($A162,Input_Raw!$A:$A,Input_Raw!BJ:BJ),"")</f>
        <v/>
      </c>
      <c r="Z162" s="167" t="str">
        <f>IFERROR(_xlfn.XLOOKUP($A162,Input_Raw!$A:$A,Input_Raw!BK:BK),"")</f>
        <v/>
      </c>
      <c r="AA162" s="167" t="str">
        <f>IFERROR(_xlfn.XLOOKUP($A162,Input_Raw!$A:$A,Input_Raw!BL:BL),"")</f>
        <v/>
      </c>
      <c r="AB162" s="167" t="str">
        <f>IFERROR(_xlfn.XLOOKUP($A162,Input_Raw!$A:$A,Input_Raw!$BO:$BO),"")</f>
        <v/>
      </c>
      <c r="AC162" s="176">
        <f>IFERROR(_xlfn.XLOOKUP($D162,'Modelling New'!$D:$D,'Modelling New'!$J:$J),"")</f>
        <v>8.16</v>
      </c>
      <c r="AD162" s="166">
        <f>IFERROR(_xlfn.XLOOKUP($D162,'Modelling New'!$D:$D,'Modelling New'!$T:$T)*1000,"")</f>
        <v>528999.85312315286</v>
      </c>
      <c r="AE162" s="174"/>
      <c r="AF162" s="174">
        <f>IFERROR(_xlfn.XLOOKUP($D162,'Modelling New'!$D:$D,'Modelling New'!$W:$W),"")</f>
        <v>0.31398376847290649</v>
      </c>
      <c r="AG162" s="174">
        <f>IFERROR(_xlfn.XLOOKUP($D162,'Modelling New'!$D:$D,'Modelling New'!$AE:$AE),"")</f>
        <v>0.96029999999999993</v>
      </c>
      <c r="AH162" s="174">
        <f>IFERROR(_xlfn.XLOOKUP($D162,'Modelling New'!$D:$D,'Modelling New'!$AF:$AF),"")</f>
        <v>0.995</v>
      </c>
      <c r="AI162" s="177" t="str">
        <f>IFERROR(_xlfn.XLOOKUP($A162,Input_Raw!$A:$A,Input_Raw!$BQ:$BQ),"")</f>
        <v/>
      </c>
      <c r="AJ162" s="167"/>
      <c r="AK162" s="167"/>
      <c r="AL162" s="167"/>
      <c r="AM162" s="167"/>
      <c r="AN162" s="175" t="str">
        <f>IFERROR(_xlfn.XLOOKUP($A162,Input_Raw!$A:$A,Input_Raw!$BN:$BN),"")</f>
        <v/>
      </c>
      <c r="AO162" s="174" t="str">
        <f>IFERROR((_xlfn.XLOOKUP($A162,'WTG Reactive Power'!$A:$A,'WTG Reactive Power'!$AE:$AE))/Table13[[#This Row],[Gen_Exp (kWh)]],"")</f>
        <v/>
      </c>
      <c r="AP162" s="174">
        <f>IFERROR(_xlfn.XLOOKUP($D162,'Modelling New'!$D:$D,'Modelling New'!$AK:$AK),"")</f>
        <v>0.05</v>
      </c>
      <c r="AQ162" s="174">
        <f>IFERROR(_xlfn.XLOOKUP($D162,'Modelling New'!$D:$D,'Modelling New'!$AL:$AL),"")</f>
        <v>0.05</v>
      </c>
      <c r="AR162" s="276">
        <f>IFERROR(_xlfn.XLOOKUP($D162,'Modelling New'!$D:$D,'Modelling New'!$N:$N),"")</f>
        <v>70.2</v>
      </c>
      <c r="AS162" s="276"/>
    </row>
    <row r="163" spans="1:45">
      <c r="A163" s="165">
        <f t="shared" si="15"/>
        <v>45906</v>
      </c>
      <c r="B163" s="166">
        <f>YEAR(Table13[[#This Row],[Date]])+IF(MONTH(Table13[[#This Row],[Date]])&gt;=4,1,0)</f>
        <v>2026</v>
      </c>
      <c r="C163" s="167">
        <f>YEAR(Table13[[#This Row],[Date]])</f>
        <v>2025</v>
      </c>
      <c r="D163" s="168">
        <f>Table13[[#This Row],[Date]]-DAY(Table13[[#This Row],[Date]])+1</f>
        <v>45901</v>
      </c>
      <c r="E163" s="167">
        <f t="shared" si="12"/>
        <v>30</v>
      </c>
      <c r="F163" s="169"/>
      <c r="G163" s="176"/>
      <c r="H163" s="176"/>
      <c r="I163" s="176"/>
      <c r="J163" s="176"/>
      <c r="K163" s="171"/>
      <c r="L163" s="170"/>
      <c r="M163" s="170" t="str">
        <f>IFERROR(_xlfn.XLOOKUP($A163,Input_Raw!$A:$A,Input_Raw!BG:BG),"")</f>
        <v/>
      </c>
      <c r="N163" s="170" t="str">
        <f>IFERROR(_xlfn.XLOOKUP($A163,Input_Raw!$A:$A,Input_Raw!BH:BH),"")</f>
        <v/>
      </c>
      <c r="O163" s="173" t="str">
        <f t="shared" si="13"/>
        <v/>
      </c>
      <c r="P163" s="173" t="str">
        <f>IFERROR(1-SUMIF(WTG_BD!$F:$F,$A163,WTG_BD!$AA:$AA)/($AA163+SUMIF(WTG_BD!$F:$F,$A163,WTG_BD!$AA:$AA)),"")</f>
        <v/>
      </c>
      <c r="Q163" s="173" t="str">
        <f>IFERROR(1-SUMIF(IGA_BD!$F:$F,$A163,IGA_BD!$X:$X)/($AA163+SUMIF(IGA_BD!$F:$F,$A163,IGA_BD!$X:$X)),"")</f>
        <v/>
      </c>
      <c r="R163" s="173" t="str">
        <f>IFERROR(1-SUMIF(Grid_BD!$F:$F,$A163,Grid_BD!$Y:$Y)/($AA163+SUMIF(Grid_BD!$F:$F,$A163,Grid_BD!$Y:$Y)),"")</f>
        <v/>
      </c>
      <c r="S163" s="167"/>
      <c r="T163" s="172"/>
      <c r="U163" s="173"/>
      <c r="V163" s="167"/>
      <c r="W163" s="174" t="str">
        <f t="shared" si="14"/>
        <v/>
      </c>
      <c r="X163" s="167" t="str">
        <f>IFERROR(_xlfn.XLOOKUP($A163,Input_Raw!$A:$A,Input_Raw!$BF:$BF),"")</f>
        <v/>
      </c>
      <c r="Y163" s="167" t="str">
        <f>IFERROR(_xlfn.XLOOKUP($A163,Input_Raw!$A:$A,Input_Raw!BJ:BJ),"")</f>
        <v/>
      </c>
      <c r="Z163" s="167" t="str">
        <f>IFERROR(_xlfn.XLOOKUP($A163,Input_Raw!$A:$A,Input_Raw!BK:BK),"")</f>
        <v/>
      </c>
      <c r="AA163" s="167" t="str">
        <f>IFERROR(_xlfn.XLOOKUP($A163,Input_Raw!$A:$A,Input_Raw!BL:BL),"")</f>
        <v/>
      </c>
      <c r="AB163" s="167" t="str">
        <f>IFERROR(_xlfn.XLOOKUP($A163,Input_Raw!$A:$A,Input_Raw!$BO:$BO),"")</f>
        <v/>
      </c>
      <c r="AC163" s="176">
        <f>IFERROR(_xlfn.XLOOKUP($D163,'Modelling New'!$D:$D,'Modelling New'!$J:$J),"")</f>
        <v>8.16</v>
      </c>
      <c r="AD163" s="166">
        <f>IFERROR(_xlfn.XLOOKUP($D163,'Modelling New'!$D:$D,'Modelling New'!$T:$T)*1000,"")</f>
        <v>528999.85312315286</v>
      </c>
      <c r="AE163" s="174"/>
      <c r="AF163" s="174">
        <f>IFERROR(_xlfn.XLOOKUP($D163,'Modelling New'!$D:$D,'Modelling New'!$W:$W),"")</f>
        <v>0.31398376847290649</v>
      </c>
      <c r="AG163" s="174">
        <f>IFERROR(_xlfn.XLOOKUP($D163,'Modelling New'!$D:$D,'Modelling New'!$AE:$AE),"")</f>
        <v>0.96029999999999993</v>
      </c>
      <c r="AH163" s="174">
        <f>IFERROR(_xlfn.XLOOKUP($D163,'Modelling New'!$D:$D,'Modelling New'!$AF:$AF),"")</f>
        <v>0.995</v>
      </c>
      <c r="AI163" s="177" t="str">
        <f>IFERROR(_xlfn.XLOOKUP($A163,Input_Raw!$A:$A,Input_Raw!$BQ:$BQ),"")</f>
        <v/>
      </c>
      <c r="AJ163" s="167"/>
      <c r="AK163" s="167"/>
      <c r="AL163" s="167"/>
      <c r="AM163" s="167"/>
      <c r="AN163" s="175" t="str">
        <f>IFERROR(_xlfn.XLOOKUP($A163,Input_Raw!$A:$A,Input_Raw!$BN:$BN),"")</f>
        <v/>
      </c>
      <c r="AO163" s="174" t="str">
        <f>IFERROR((_xlfn.XLOOKUP($A163,'WTG Reactive Power'!$A:$A,'WTG Reactive Power'!$AE:$AE))/Table13[[#This Row],[Gen_Exp (kWh)]],"")</f>
        <v/>
      </c>
      <c r="AP163" s="174">
        <f>IFERROR(_xlfn.XLOOKUP($D163,'Modelling New'!$D:$D,'Modelling New'!$AK:$AK),"")</f>
        <v>0.05</v>
      </c>
      <c r="AQ163" s="174">
        <f>IFERROR(_xlfn.XLOOKUP($D163,'Modelling New'!$D:$D,'Modelling New'!$AL:$AL),"")</f>
        <v>0.05</v>
      </c>
      <c r="AR163" s="276">
        <f>IFERROR(_xlfn.XLOOKUP($D163,'Modelling New'!$D:$D,'Modelling New'!$N:$N),"")</f>
        <v>70.2</v>
      </c>
      <c r="AS163" s="276"/>
    </row>
    <row r="164" spans="1:45">
      <c r="A164" s="165">
        <f t="shared" si="15"/>
        <v>45907</v>
      </c>
      <c r="B164" s="166">
        <f>YEAR(Table13[[#This Row],[Date]])+IF(MONTH(Table13[[#This Row],[Date]])&gt;=4,1,0)</f>
        <v>2026</v>
      </c>
      <c r="C164" s="167">
        <f>YEAR(Table13[[#This Row],[Date]])</f>
        <v>2025</v>
      </c>
      <c r="D164" s="168">
        <f>Table13[[#This Row],[Date]]-DAY(Table13[[#This Row],[Date]])+1</f>
        <v>45901</v>
      </c>
      <c r="E164" s="167">
        <f t="shared" si="12"/>
        <v>30</v>
      </c>
      <c r="F164" s="169"/>
      <c r="G164" s="170"/>
      <c r="H164" s="170"/>
      <c r="I164" s="170"/>
      <c r="J164" s="170"/>
      <c r="K164" s="171"/>
      <c r="L164" s="170"/>
      <c r="M164" s="170" t="str">
        <f>IFERROR(_xlfn.XLOOKUP($A164,Input_Raw!$A:$A,Input_Raw!BG:BG),"")</f>
        <v/>
      </c>
      <c r="N164" s="170" t="str">
        <f>IFERROR(_xlfn.XLOOKUP($A164,Input_Raw!$A:$A,Input_Raw!BH:BH),"")</f>
        <v/>
      </c>
      <c r="O164" s="173" t="str">
        <f t="shared" si="13"/>
        <v/>
      </c>
      <c r="P164" s="173" t="str">
        <f>IFERROR(1-SUMIF(WTG_BD!$F:$F,$A164,WTG_BD!$AA:$AA)/($AA164+SUMIF(WTG_BD!$F:$F,$A164,WTG_BD!$AA:$AA)),"")</f>
        <v/>
      </c>
      <c r="Q164" s="173" t="str">
        <f>IFERROR(1-SUMIF(IGA_BD!$F:$F,$A164,IGA_BD!$X:$X)/($AA164+SUMIF(IGA_BD!$F:$F,$A164,IGA_BD!$X:$X)),"")</f>
        <v/>
      </c>
      <c r="R164" s="173" t="str">
        <f>IFERROR(1-SUMIF(Grid_BD!$F:$F,$A164,Grid_BD!$Y:$Y)/($AA164+SUMIF(Grid_BD!$F:$F,$A164,Grid_BD!$Y:$Y)),"")</f>
        <v/>
      </c>
      <c r="S164" s="167"/>
      <c r="T164" s="172"/>
      <c r="U164" s="173"/>
      <c r="V164" s="167"/>
      <c r="W164" s="174" t="str">
        <f t="shared" si="14"/>
        <v/>
      </c>
      <c r="X164" s="167" t="str">
        <f>IFERROR(_xlfn.XLOOKUP($A164,Input_Raw!$A:$A,Input_Raw!$BF:$BF),"")</f>
        <v/>
      </c>
      <c r="Y164" s="167" t="str">
        <f>IFERROR(_xlfn.XLOOKUP($A164,Input_Raw!$A:$A,Input_Raw!BJ:BJ),"")</f>
        <v/>
      </c>
      <c r="Z164" s="167" t="str">
        <f>IFERROR(_xlfn.XLOOKUP($A164,Input_Raw!$A:$A,Input_Raw!BK:BK),"")</f>
        <v/>
      </c>
      <c r="AA164" s="167" t="str">
        <f>IFERROR(_xlfn.XLOOKUP($A164,Input_Raw!$A:$A,Input_Raw!BL:BL),"")</f>
        <v/>
      </c>
      <c r="AB164" s="167" t="str">
        <f>IFERROR(_xlfn.XLOOKUP($A164,Input_Raw!$A:$A,Input_Raw!$BO:$BO),"")</f>
        <v/>
      </c>
      <c r="AC164" s="176">
        <f>IFERROR(_xlfn.XLOOKUP($D164,'Modelling New'!$D:$D,'Modelling New'!$J:$J),"")</f>
        <v>8.16</v>
      </c>
      <c r="AD164" s="166">
        <f>IFERROR(_xlfn.XLOOKUP($D164,'Modelling New'!$D:$D,'Modelling New'!$T:$T)*1000,"")</f>
        <v>528999.85312315286</v>
      </c>
      <c r="AE164" s="174"/>
      <c r="AF164" s="174">
        <f>IFERROR(_xlfn.XLOOKUP($D164,'Modelling New'!$D:$D,'Modelling New'!$W:$W),"")</f>
        <v>0.31398376847290649</v>
      </c>
      <c r="AG164" s="174">
        <f>IFERROR(_xlfn.XLOOKUP($D164,'Modelling New'!$D:$D,'Modelling New'!$AE:$AE),"")</f>
        <v>0.96029999999999993</v>
      </c>
      <c r="AH164" s="174">
        <f>IFERROR(_xlfn.XLOOKUP($D164,'Modelling New'!$D:$D,'Modelling New'!$AF:$AF),"")</f>
        <v>0.995</v>
      </c>
      <c r="AI164" s="177" t="str">
        <f>IFERROR(_xlfn.XLOOKUP($A164,Input_Raw!$A:$A,Input_Raw!$BQ:$BQ),"")</f>
        <v/>
      </c>
      <c r="AJ164" s="167"/>
      <c r="AK164" s="167"/>
      <c r="AL164" s="167"/>
      <c r="AM164" s="167"/>
      <c r="AN164" s="175" t="str">
        <f>IFERROR(_xlfn.XLOOKUP($A164,Input_Raw!$A:$A,Input_Raw!$BN:$BN),"")</f>
        <v/>
      </c>
      <c r="AO164" s="174" t="str">
        <f>IFERROR((_xlfn.XLOOKUP($A164,'WTG Reactive Power'!$A:$A,'WTG Reactive Power'!$AE:$AE))/Table13[[#This Row],[Gen_Exp (kWh)]],"")</f>
        <v/>
      </c>
      <c r="AP164" s="174">
        <f>IFERROR(_xlfn.XLOOKUP($D164,'Modelling New'!$D:$D,'Modelling New'!$AK:$AK),"")</f>
        <v>0.05</v>
      </c>
      <c r="AQ164" s="174">
        <f>IFERROR(_xlfn.XLOOKUP($D164,'Modelling New'!$D:$D,'Modelling New'!$AL:$AL),"")</f>
        <v>0.05</v>
      </c>
      <c r="AR164" s="276">
        <f>IFERROR(_xlfn.XLOOKUP($D164,'Modelling New'!$D:$D,'Modelling New'!$N:$N),"")</f>
        <v>70.2</v>
      </c>
      <c r="AS164" s="276"/>
    </row>
    <row r="165" spans="1:45">
      <c r="A165" s="165">
        <f t="shared" si="15"/>
        <v>45908</v>
      </c>
      <c r="B165" s="166">
        <f>YEAR(Table13[[#This Row],[Date]])+IF(MONTH(Table13[[#This Row],[Date]])&gt;=4,1,0)</f>
        <v>2026</v>
      </c>
      <c r="C165" s="167">
        <f>YEAR(Table13[[#This Row],[Date]])</f>
        <v>2025</v>
      </c>
      <c r="D165" s="168">
        <f>Table13[[#This Row],[Date]]-DAY(Table13[[#This Row],[Date]])+1</f>
        <v>45901</v>
      </c>
      <c r="E165" s="167">
        <f t="shared" si="12"/>
        <v>30</v>
      </c>
      <c r="F165" s="169"/>
      <c r="G165" s="176"/>
      <c r="H165" s="176"/>
      <c r="I165" s="176"/>
      <c r="J165" s="176"/>
      <c r="K165" s="171"/>
      <c r="L165" s="170"/>
      <c r="M165" s="170" t="str">
        <f>IFERROR(_xlfn.XLOOKUP($A165,Input_Raw!$A:$A,Input_Raw!BG:BG),"")</f>
        <v/>
      </c>
      <c r="N165" s="170" t="str">
        <f>IFERROR(_xlfn.XLOOKUP($A165,Input_Raw!$A:$A,Input_Raw!BH:BH),"")</f>
        <v/>
      </c>
      <c r="O165" s="173" t="str">
        <f t="shared" si="13"/>
        <v/>
      </c>
      <c r="P165" s="173" t="str">
        <f>IFERROR(1-SUMIF(WTG_BD!$F:$F,$A165,WTG_BD!$AA:$AA)/($AA165+SUMIF(WTG_BD!$F:$F,$A165,WTG_BD!$AA:$AA)),"")</f>
        <v/>
      </c>
      <c r="Q165" s="173" t="str">
        <f>IFERROR(1-SUMIF(IGA_BD!$F:$F,$A165,IGA_BD!$X:$X)/($AA165+SUMIF(IGA_BD!$F:$F,$A165,IGA_BD!$X:$X)),"")</f>
        <v/>
      </c>
      <c r="R165" s="173" t="str">
        <f>IFERROR(1-SUMIF(Grid_BD!$F:$F,$A165,Grid_BD!$Y:$Y)/($AA165+SUMIF(Grid_BD!$F:$F,$A165,Grid_BD!$Y:$Y)),"")</f>
        <v/>
      </c>
      <c r="S165" s="167"/>
      <c r="T165" s="172"/>
      <c r="U165" s="173"/>
      <c r="V165" s="167"/>
      <c r="W165" s="174" t="str">
        <f t="shared" si="14"/>
        <v/>
      </c>
      <c r="X165" s="167" t="str">
        <f>IFERROR(_xlfn.XLOOKUP($A165,Input_Raw!$A:$A,Input_Raw!$BF:$BF),"")</f>
        <v/>
      </c>
      <c r="Y165" s="167" t="str">
        <f>IFERROR(_xlfn.XLOOKUP($A165,Input_Raw!$A:$A,Input_Raw!BJ:BJ),"")</f>
        <v/>
      </c>
      <c r="Z165" s="167" t="str">
        <f>IFERROR(_xlfn.XLOOKUP($A165,Input_Raw!$A:$A,Input_Raw!BK:BK),"")</f>
        <v/>
      </c>
      <c r="AA165" s="167" t="str">
        <f>IFERROR(_xlfn.XLOOKUP($A165,Input_Raw!$A:$A,Input_Raw!BL:BL),"")</f>
        <v/>
      </c>
      <c r="AB165" s="167" t="str">
        <f>IFERROR(_xlfn.XLOOKUP($A165,Input_Raw!$A:$A,Input_Raw!$BO:$BO),"")</f>
        <v/>
      </c>
      <c r="AC165" s="176">
        <f>IFERROR(_xlfn.XLOOKUP($D165,'Modelling New'!$D:$D,'Modelling New'!$J:$J),"")</f>
        <v>8.16</v>
      </c>
      <c r="AD165" s="166">
        <f>IFERROR(_xlfn.XLOOKUP($D165,'Modelling New'!$D:$D,'Modelling New'!$T:$T)*1000,"")</f>
        <v>528999.85312315286</v>
      </c>
      <c r="AE165" s="174"/>
      <c r="AF165" s="174">
        <f>IFERROR(_xlfn.XLOOKUP($D165,'Modelling New'!$D:$D,'Modelling New'!$W:$W),"")</f>
        <v>0.31398376847290649</v>
      </c>
      <c r="AG165" s="174">
        <f>IFERROR(_xlfn.XLOOKUP($D165,'Modelling New'!$D:$D,'Modelling New'!$AE:$AE),"")</f>
        <v>0.96029999999999993</v>
      </c>
      <c r="AH165" s="174">
        <f>IFERROR(_xlfn.XLOOKUP($D165,'Modelling New'!$D:$D,'Modelling New'!$AF:$AF),"")</f>
        <v>0.995</v>
      </c>
      <c r="AI165" s="177" t="str">
        <f>IFERROR(_xlfn.XLOOKUP($A165,Input_Raw!$A:$A,Input_Raw!$BQ:$BQ),"")</f>
        <v/>
      </c>
      <c r="AJ165" s="167"/>
      <c r="AK165" s="167"/>
      <c r="AL165" s="167"/>
      <c r="AM165" s="167"/>
      <c r="AN165" s="175" t="str">
        <f>IFERROR(_xlfn.XLOOKUP($A165,Input_Raw!$A:$A,Input_Raw!$BN:$BN),"")</f>
        <v/>
      </c>
      <c r="AO165" s="174" t="str">
        <f>IFERROR((_xlfn.XLOOKUP($A165,'WTG Reactive Power'!$A:$A,'WTG Reactive Power'!$AE:$AE))/Table13[[#This Row],[Gen_Exp (kWh)]],"")</f>
        <v/>
      </c>
      <c r="AP165" s="174">
        <f>IFERROR(_xlfn.XLOOKUP($D165,'Modelling New'!$D:$D,'Modelling New'!$AK:$AK),"")</f>
        <v>0.05</v>
      </c>
      <c r="AQ165" s="174">
        <f>IFERROR(_xlfn.XLOOKUP($D165,'Modelling New'!$D:$D,'Modelling New'!$AL:$AL),"")</f>
        <v>0.05</v>
      </c>
      <c r="AR165" s="276">
        <f>IFERROR(_xlfn.XLOOKUP($D165,'Modelling New'!$D:$D,'Modelling New'!$N:$N),"")</f>
        <v>70.2</v>
      </c>
      <c r="AS165" s="276"/>
    </row>
    <row r="166" spans="1:45">
      <c r="A166" s="165">
        <f t="shared" si="15"/>
        <v>45909</v>
      </c>
      <c r="B166" s="166">
        <f>YEAR(Table13[[#This Row],[Date]])+IF(MONTH(Table13[[#This Row],[Date]])&gt;=4,1,0)</f>
        <v>2026</v>
      </c>
      <c r="C166" s="167">
        <f>YEAR(Table13[[#This Row],[Date]])</f>
        <v>2025</v>
      </c>
      <c r="D166" s="168">
        <f>Table13[[#This Row],[Date]]-DAY(Table13[[#This Row],[Date]])+1</f>
        <v>45901</v>
      </c>
      <c r="E166" s="167">
        <f t="shared" si="12"/>
        <v>30</v>
      </c>
      <c r="F166" s="169"/>
      <c r="G166" s="170"/>
      <c r="H166" s="170"/>
      <c r="I166" s="170"/>
      <c r="J166" s="170"/>
      <c r="K166" s="171"/>
      <c r="L166" s="170"/>
      <c r="M166" s="170" t="str">
        <f>IFERROR(_xlfn.XLOOKUP($A166,Input_Raw!$A:$A,Input_Raw!BG:BG),"")</f>
        <v/>
      </c>
      <c r="N166" s="170" t="str">
        <f>IFERROR(_xlfn.XLOOKUP($A166,Input_Raw!$A:$A,Input_Raw!BH:BH),"")</f>
        <v/>
      </c>
      <c r="O166" s="173" t="str">
        <f t="shared" si="13"/>
        <v/>
      </c>
      <c r="P166" s="173" t="str">
        <f>IFERROR(1-SUMIF(WTG_BD!$F:$F,$A166,WTG_BD!$AA:$AA)/($AA166+SUMIF(WTG_BD!$F:$F,$A166,WTG_BD!$AA:$AA)),"")</f>
        <v/>
      </c>
      <c r="Q166" s="173" t="str">
        <f>IFERROR(1-SUMIF(IGA_BD!$F:$F,$A166,IGA_BD!$X:$X)/($AA166+SUMIF(IGA_BD!$F:$F,$A166,IGA_BD!$X:$X)),"")</f>
        <v/>
      </c>
      <c r="R166" s="173" t="str">
        <f>IFERROR(1-SUMIF(Grid_BD!$F:$F,$A166,Grid_BD!$Y:$Y)/($AA166+SUMIF(Grid_BD!$F:$F,$A166,Grid_BD!$Y:$Y)),"")</f>
        <v/>
      </c>
      <c r="S166" s="167"/>
      <c r="T166" s="172"/>
      <c r="U166" s="173"/>
      <c r="V166" s="167"/>
      <c r="W166" s="174" t="str">
        <f t="shared" si="14"/>
        <v/>
      </c>
      <c r="X166" s="167" t="str">
        <f>IFERROR(_xlfn.XLOOKUP($A166,Input_Raw!$A:$A,Input_Raw!$BF:$BF),"")</f>
        <v/>
      </c>
      <c r="Y166" s="167" t="str">
        <f>IFERROR(_xlfn.XLOOKUP($A166,Input_Raw!$A:$A,Input_Raw!BJ:BJ),"")</f>
        <v/>
      </c>
      <c r="Z166" s="167" t="str">
        <f>IFERROR(_xlfn.XLOOKUP($A166,Input_Raw!$A:$A,Input_Raw!BK:BK),"")</f>
        <v/>
      </c>
      <c r="AA166" s="167" t="str">
        <f>IFERROR(_xlfn.XLOOKUP($A166,Input_Raw!$A:$A,Input_Raw!BL:BL),"")</f>
        <v/>
      </c>
      <c r="AB166" s="167" t="str">
        <f>IFERROR(_xlfn.XLOOKUP($A166,Input_Raw!$A:$A,Input_Raw!$BO:$BO),"")</f>
        <v/>
      </c>
      <c r="AC166" s="176">
        <f>IFERROR(_xlfn.XLOOKUP($D166,'Modelling New'!$D:$D,'Modelling New'!$J:$J),"")</f>
        <v>8.16</v>
      </c>
      <c r="AD166" s="166">
        <f>IFERROR(_xlfn.XLOOKUP($D166,'Modelling New'!$D:$D,'Modelling New'!$T:$T)*1000,"")</f>
        <v>528999.85312315286</v>
      </c>
      <c r="AE166" s="174"/>
      <c r="AF166" s="174">
        <f>IFERROR(_xlfn.XLOOKUP($D166,'Modelling New'!$D:$D,'Modelling New'!$W:$W),"")</f>
        <v>0.31398376847290649</v>
      </c>
      <c r="AG166" s="174">
        <f>IFERROR(_xlfn.XLOOKUP($D166,'Modelling New'!$D:$D,'Modelling New'!$AE:$AE),"")</f>
        <v>0.96029999999999993</v>
      </c>
      <c r="AH166" s="174">
        <f>IFERROR(_xlfn.XLOOKUP($D166,'Modelling New'!$D:$D,'Modelling New'!$AF:$AF),"")</f>
        <v>0.995</v>
      </c>
      <c r="AI166" s="177" t="str">
        <f>IFERROR(_xlfn.XLOOKUP($A166,Input_Raw!$A:$A,Input_Raw!$BQ:$BQ),"")</f>
        <v/>
      </c>
      <c r="AJ166" s="167"/>
      <c r="AK166" s="167"/>
      <c r="AL166" s="167"/>
      <c r="AM166" s="167"/>
      <c r="AN166" s="175" t="str">
        <f>IFERROR(_xlfn.XLOOKUP($A166,Input_Raw!$A:$A,Input_Raw!$BN:$BN),"")</f>
        <v/>
      </c>
      <c r="AO166" s="174" t="str">
        <f>IFERROR((_xlfn.XLOOKUP($A166,'WTG Reactive Power'!$A:$A,'WTG Reactive Power'!$AE:$AE))/Table13[[#This Row],[Gen_Exp (kWh)]],"")</f>
        <v/>
      </c>
      <c r="AP166" s="174">
        <f>IFERROR(_xlfn.XLOOKUP($D166,'Modelling New'!$D:$D,'Modelling New'!$AK:$AK),"")</f>
        <v>0.05</v>
      </c>
      <c r="AQ166" s="174">
        <f>IFERROR(_xlfn.XLOOKUP($D166,'Modelling New'!$D:$D,'Modelling New'!$AL:$AL),"")</f>
        <v>0.05</v>
      </c>
      <c r="AR166" s="276">
        <f>IFERROR(_xlfn.XLOOKUP($D166,'Modelling New'!$D:$D,'Modelling New'!$N:$N),"")</f>
        <v>70.2</v>
      </c>
      <c r="AS166" s="276"/>
    </row>
    <row r="167" spans="1:45">
      <c r="A167" s="165">
        <f t="shared" si="15"/>
        <v>45910</v>
      </c>
      <c r="B167" s="166">
        <f>YEAR(Table13[[#This Row],[Date]])+IF(MONTH(Table13[[#This Row],[Date]])&gt;=4,1,0)</f>
        <v>2026</v>
      </c>
      <c r="C167" s="167">
        <f>YEAR(Table13[[#This Row],[Date]])</f>
        <v>2025</v>
      </c>
      <c r="D167" s="168">
        <f>Table13[[#This Row],[Date]]-DAY(Table13[[#This Row],[Date]])+1</f>
        <v>45901</v>
      </c>
      <c r="E167" s="167">
        <f t="shared" si="12"/>
        <v>30</v>
      </c>
      <c r="F167" s="169"/>
      <c r="G167" s="176"/>
      <c r="H167" s="176"/>
      <c r="I167" s="176"/>
      <c r="J167" s="176"/>
      <c r="K167" s="171"/>
      <c r="L167" s="170"/>
      <c r="M167" s="170" t="str">
        <f>IFERROR(_xlfn.XLOOKUP($A167,Input_Raw!$A:$A,Input_Raw!BG:BG),"")</f>
        <v/>
      </c>
      <c r="N167" s="170" t="str">
        <f>IFERROR(_xlfn.XLOOKUP($A167,Input_Raw!$A:$A,Input_Raw!BH:BH),"")</f>
        <v/>
      </c>
      <c r="O167" s="173" t="str">
        <f t="shared" si="13"/>
        <v/>
      </c>
      <c r="P167" s="173" t="str">
        <f>IFERROR(1-SUMIF(WTG_BD!$F:$F,$A167,WTG_BD!$AA:$AA)/($AA167+SUMIF(WTG_BD!$F:$F,$A167,WTG_BD!$AA:$AA)),"")</f>
        <v/>
      </c>
      <c r="Q167" s="173" t="str">
        <f>IFERROR(1-SUMIF(IGA_BD!$F:$F,$A167,IGA_BD!$X:$X)/($AA167+SUMIF(IGA_BD!$F:$F,$A167,IGA_BD!$X:$X)),"")</f>
        <v/>
      </c>
      <c r="R167" s="173" t="str">
        <f>IFERROR(1-SUMIF(Grid_BD!$F:$F,$A167,Grid_BD!$Y:$Y)/($AA167+SUMIF(Grid_BD!$F:$F,$A167,Grid_BD!$Y:$Y)),"")</f>
        <v/>
      </c>
      <c r="S167" s="167"/>
      <c r="T167" s="172"/>
      <c r="U167" s="173"/>
      <c r="V167" s="167"/>
      <c r="W167" s="174" t="str">
        <f t="shared" si="14"/>
        <v/>
      </c>
      <c r="X167" s="167" t="str">
        <f>IFERROR(_xlfn.XLOOKUP($A167,Input_Raw!$A:$A,Input_Raw!$BF:$BF),"")</f>
        <v/>
      </c>
      <c r="Y167" s="167" t="str">
        <f>IFERROR(_xlfn.XLOOKUP($A167,Input_Raw!$A:$A,Input_Raw!BJ:BJ),"")</f>
        <v/>
      </c>
      <c r="Z167" s="167" t="str">
        <f>IFERROR(_xlfn.XLOOKUP($A167,Input_Raw!$A:$A,Input_Raw!BK:BK),"")</f>
        <v/>
      </c>
      <c r="AA167" s="167" t="str">
        <f>IFERROR(_xlfn.XLOOKUP($A167,Input_Raw!$A:$A,Input_Raw!BL:BL),"")</f>
        <v/>
      </c>
      <c r="AB167" s="167" t="str">
        <f>IFERROR(_xlfn.XLOOKUP($A167,Input_Raw!$A:$A,Input_Raw!$BO:$BO),"")</f>
        <v/>
      </c>
      <c r="AC167" s="176">
        <f>IFERROR(_xlfn.XLOOKUP($D167,'Modelling New'!$D:$D,'Modelling New'!$J:$J),"")</f>
        <v>8.16</v>
      </c>
      <c r="AD167" s="166">
        <f>IFERROR(_xlfn.XLOOKUP($D167,'Modelling New'!$D:$D,'Modelling New'!$T:$T)*1000,"")</f>
        <v>528999.85312315286</v>
      </c>
      <c r="AE167" s="174"/>
      <c r="AF167" s="174">
        <f>IFERROR(_xlfn.XLOOKUP($D167,'Modelling New'!$D:$D,'Modelling New'!$W:$W),"")</f>
        <v>0.31398376847290649</v>
      </c>
      <c r="AG167" s="174">
        <f>IFERROR(_xlfn.XLOOKUP($D167,'Modelling New'!$D:$D,'Modelling New'!$AE:$AE),"")</f>
        <v>0.96029999999999993</v>
      </c>
      <c r="AH167" s="174">
        <f>IFERROR(_xlfn.XLOOKUP($D167,'Modelling New'!$D:$D,'Modelling New'!$AF:$AF),"")</f>
        <v>0.995</v>
      </c>
      <c r="AI167" s="177" t="str">
        <f>IFERROR(_xlfn.XLOOKUP($A167,Input_Raw!$A:$A,Input_Raw!$BQ:$BQ),"")</f>
        <v/>
      </c>
      <c r="AJ167" s="167"/>
      <c r="AK167" s="167"/>
      <c r="AL167" s="167"/>
      <c r="AM167" s="167"/>
      <c r="AN167" s="175" t="str">
        <f>IFERROR(_xlfn.XLOOKUP($A167,Input_Raw!$A:$A,Input_Raw!$BN:$BN),"")</f>
        <v/>
      </c>
      <c r="AO167" s="174" t="str">
        <f>IFERROR((_xlfn.XLOOKUP($A167,'WTG Reactive Power'!$A:$A,'WTG Reactive Power'!$AE:$AE))/Table13[[#This Row],[Gen_Exp (kWh)]],"")</f>
        <v/>
      </c>
      <c r="AP167" s="174">
        <f>IFERROR(_xlfn.XLOOKUP($D167,'Modelling New'!$D:$D,'Modelling New'!$AK:$AK),"")</f>
        <v>0.05</v>
      </c>
      <c r="AQ167" s="174">
        <f>IFERROR(_xlfn.XLOOKUP($D167,'Modelling New'!$D:$D,'Modelling New'!$AL:$AL),"")</f>
        <v>0.05</v>
      </c>
      <c r="AR167" s="276">
        <f>IFERROR(_xlfn.XLOOKUP($D167,'Modelling New'!$D:$D,'Modelling New'!$N:$N),"")</f>
        <v>70.2</v>
      </c>
      <c r="AS167" s="276"/>
    </row>
    <row r="168" spans="1:45">
      <c r="A168" s="165">
        <f t="shared" si="15"/>
        <v>45911</v>
      </c>
      <c r="B168" s="166">
        <f>YEAR(Table13[[#This Row],[Date]])+IF(MONTH(Table13[[#This Row],[Date]])&gt;=4,1,0)</f>
        <v>2026</v>
      </c>
      <c r="C168" s="167">
        <f>YEAR(Table13[[#This Row],[Date]])</f>
        <v>2025</v>
      </c>
      <c r="D168" s="168">
        <f>Table13[[#This Row],[Date]]-DAY(Table13[[#This Row],[Date]])+1</f>
        <v>45901</v>
      </c>
      <c r="E168" s="167">
        <f t="shared" si="12"/>
        <v>30</v>
      </c>
      <c r="F168" s="169"/>
      <c r="G168" s="170"/>
      <c r="H168" s="170"/>
      <c r="I168" s="170"/>
      <c r="J168" s="170"/>
      <c r="K168" s="171"/>
      <c r="L168" s="170"/>
      <c r="M168" s="170" t="str">
        <f>IFERROR(_xlfn.XLOOKUP($A168,Input_Raw!$A:$A,Input_Raw!BG:BG),"")</f>
        <v/>
      </c>
      <c r="N168" s="170" t="str">
        <f>IFERROR(_xlfn.XLOOKUP($A168,Input_Raw!$A:$A,Input_Raw!BH:BH),"")</f>
        <v/>
      </c>
      <c r="O168" s="173" t="str">
        <f t="shared" si="13"/>
        <v/>
      </c>
      <c r="P168" s="173" t="str">
        <f>IFERROR(1-SUMIF(WTG_BD!$F:$F,$A168,WTG_BD!$AA:$AA)/($AA168+SUMIF(WTG_BD!$F:$F,$A168,WTG_BD!$AA:$AA)),"")</f>
        <v/>
      </c>
      <c r="Q168" s="173" t="str">
        <f>IFERROR(1-SUMIF(IGA_BD!$F:$F,$A168,IGA_BD!$X:$X)/($AA168+SUMIF(IGA_BD!$F:$F,$A168,IGA_BD!$X:$X)),"")</f>
        <v/>
      </c>
      <c r="R168" s="173" t="str">
        <f>IFERROR(1-SUMIF(Grid_BD!$F:$F,$A168,Grid_BD!$Y:$Y)/($AA168+SUMIF(Grid_BD!$F:$F,$A168,Grid_BD!$Y:$Y)),"")</f>
        <v/>
      </c>
      <c r="S168" s="167"/>
      <c r="T168" s="172"/>
      <c r="U168" s="173"/>
      <c r="V168" s="167"/>
      <c r="W168" s="174" t="str">
        <f t="shared" si="14"/>
        <v/>
      </c>
      <c r="X168" s="167" t="str">
        <f>IFERROR(_xlfn.XLOOKUP($A168,Input_Raw!$A:$A,Input_Raw!$BF:$BF),"")</f>
        <v/>
      </c>
      <c r="Y168" s="167" t="str">
        <f>IFERROR(_xlfn.XLOOKUP($A168,Input_Raw!$A:$A,Input_Raw!BJ:BJ),"")</f>
        <v/>
      </c>
      <c r="Z168" s="167" t="str">
        <f>IFERROR(_xlfn.XLOOKUP($A168,Input_Raw!$A:$A,Input_Raw!BK:BK),"")</f>
        <v/>
      </c>
      <c r="AA168" s="167" t="str">
        <f>IFERROR(_xlfn.XLOOKUP($A168,Input_Raw!$A:$A,Input_Raw!BL:BL),"")</f>
        <v/>
      </c>
      <c r="AB168" s="167" t="str">
        <f>IFERROR(_xlfn.XLOOKUP($A168,Input_Raw!$A:$A,Input_Raw!$BO:$BO),"")</f>
        <v/>
      </c>
      <c r="AC168" s="176">
        <f>IFERROR(_xlfn.XLOOKUP($D168,'Modelling New'!$D:$D,'Modelling New'!$J:$J),"")</f>
        <v>8.16</v>
      </c>
      <c r="AD168" s="166">
        <f>IFERROR(_xlfn.XLOOKUP($D168,'Modelling New'!$D:$D,'Modelling New'!$T:$T)*1000,"")</f>
        <v>528999.85312315286</v>
      </c>
      <c r="AE168" s="174"/>
      <c r="AF168" s="174">
        <f>IFERROR(_xlfn.XLOOKUP($D168,'Modelling New'!$D:$D,'Modelling New'!$W:$W),"")</f>
        <v>0.31398376847290649</v>
      </c>
      <c r="AG168" s="174">
        <f>IFERROR(_xlfn.XLOOKUP($D168,'Modelling New'!$D:$D,'Modelling New'!$AE:$AE),"")</f>
        <v>0.96029999999999993</v>
      </c>
      <c r="AH168" s="174">
        <f>IFERROR(_xlfn.XLOOKUP($D168,'Modelling New'!$D:$D,'Modelling New'!$AF:$AF),"")</f>
        <v>0.995</v>
      </c>
      <c r="AI168" s="177" t="str">
        <f>IFERROR(_xlfn.XLOOKUP($A168,Input_Raw!$A:$A,Input_Raw!$BQ:$BQ),"")</f>
        <v/>
      </c>
      <c r="AJ168" s="167"/>
      <c r="AK168" s="167"/>
      <c r="AL168" s="167"/>
      <c r="AM168" s="167"/>
      <c r="AN168" s="175" t="str">
        <f>IFERROR(_xlfn.XLOOKUP($A168,Input_Raw!$A:$A,Input_Raw!$BN:$BN),"")</f>
        <v/>
      </c>
      <c r="AO168" s="174" t="str">
        <f>IFERROR((_xlfn.XLOOKUP($A168,'WTG Reactive Power'!$A:$A,'WTG Reactive Power'!$AE:$AE))/Table13[[#This Row],[Gen_Exp (kWh)]],"")</f>
        <v/>
      </c>
      <c r="AP168" s="174">
        <f>IFERROR(_xlfn.XLOOKUP($D168,'Modelling New'!$D:$D,'Modelling New'!$AK:$AK),"")</f>
        <v>0.05</v>
      </c>
      <c r="AQ168" s="174">
        <f>IFERROR(_xlfn.XLOOKUP($D168,'Modelling New'!$D:$D,'Modelling New'!$AL:$AL),"")</f>
        <v>0.05</v>
      </c>
      <c r="AR168" s="276">
        <f>IFERROR(_xlfn.XLOOKUP($D168,'Modelling New'!$D:$D,'Modelling New'!$N:$N),"")</f>
        <v>70.2</v>
      </c>
      <c r="AS168" s="276"/>
    </row>
    <row r="169" spans="1:45">
      <c r="A169" s="165">
        <f t="shared" si="15"/>
        <v>45912</v>
      </c>
      <c r="B169" s="166">
        <f>YEAR(Table13[[#This Row],[Date]])+IF(MONTH(Table13[[#This Row],[Date]])&gt;=4,1,0)</f>
        <v>2026</v>
      </c>
      <c r="C169" s="167">
        <f>YEAR(Table13[[#This Row],[Date]])</f>
        <v>2025</v>
      </c>
      <c r="D169" s="168">
        <f>Table13[[#This Row],[Date]]-DAY(Table13[[#This Row],[Date]])+1</f>
        <v>45901</v>
      </c>
      <c r="E169" s="167">
        <f t="shared" si="12"/>
        <v>30</v>
      </c>
      <c r="F169" s="169"/>
      <c r="G169" s="176"/>
      <c r="H169" s="176"/>
      <c r="I169" s="176"/>
      <c r="J169" s="176"/>
      <c r="K169" s="171"/>
      <c r="L169" s="170"/>
      <c r="M169" s="170" t="str">
        <f>IFERROR(_xlfn.XLOOKUP($A169,Input_Raw!$A:$A,Input_Raw!BG:BG),"")</f>
        <v/>
      </c>
      <c r="N169" s="170" t="str">
        <f>IFERROR(_xlfn.XLOOKUP($A169,Input_Raw!$A:$A,Input_Raw!BH:BH),"")</f>
        <v/>
      </c>
      <c r="O169" s="173" t="str">
        <f t="shared" si="13"/>
        <v/>
      </c>
      <c r="P169" s="173" t="str">
        <f>IFERROR(1-SUMIF(WTG_BD!$F:$F,$A169,WTG_BD!$AA:$AA)/($AA169+SUMIF(WTG_BD!$F:$F,$A169,WTG_BD!$AA:$AA)),"")</f>
        <v/>
      </c>
      <c r="Q169" s="173" t="str">
        <f>IFERROR(1-SUMIF(IGA_BD!$F:$F,$A169,IGA_BD!$X:$X)/($AA169+SUMIF(IGA_BD!$F:$F,$A169,IGA_BD!$X:$X)),"")</f>
        <v/>
      </c>
      <c r="R169" s="173" t="str">
        <f>IFERROR(1-SUMIF(Grid_BD!$F:$F,$A169,Grid_BD!$Y:$Y)/($AA169+SUMIF(Grid_BD!$F:$F,$A169,Grid_BD!$Y:$Y)),"")</f>
        <v/>
      </c>
      <c r="S169" s="167"/>
      <c r="T169" s="172"/>
      <c r="U169" s="173"/>
      <c r="V169" s="167"/>
      <c r="W169" s="174" t="str">
        <f t="shared" si="14"/>
        <v/>
      </c>
      <c r="X169" s="167" t="str">
        <f>IFERROR(_xlfn.XLOOKUP($A169,Input_Raw!$A:$A,Input_Raw!$BF:$BF),"")</f>
        <v/>
      </c>
      <c r="Y169" s="167" t="str">
        <f>IFERROR(_xlfn.XLOOKUP($A169,Input_Raw!$A:$A,Input_Raw!BJ:BJ),"")</f>
        <v/>
      </c>
      <c r="Z169" s="167" t="str">
        <f>IFERROR(_xlfn.XLOOKUP($A169,Input_Raw!$A:$A,Input_Raw!BK:BK),"")</f>
        <v/>
      </c>
      <c r="AA169" s="167" t="str">
        <f>IFERROR(_xlfn.XLOOKUP($A169,Input_Raw!$A:$A,Input_Raw!BL:BL),"")</f>
        <v/>
      </c>
      <c r="AB169" s="167" t="str">
        <f>IFERROR(_xlfn.XLOOKUP($A169,Input_Raw!$A:$A,Input_Raw!$BO:$BO),"")</f>
        <v/>
      </c>
      <c r="AC169" s="176">
        <f>IFERROR(_xlfn.XLOOKUP($D169,'Modelling New'!$D:$D,'Modelling New'!$J:$J),"")</f>
        <v>8.16</v>
      </c>
      <c r="AD169" s="166">
        <f>IFERROR(_xlfn.XLOOKUP($D169,'Modelling New'!$D:$D,'Modelling New'!$T:$T)*1000,"")</f>
        <v>528999.85312315286</v>
      </c>
      <c r="AE169" s="174"/>
      <c r="AF169" s="174">
        <f>IFERROR(_xlfn.XLOOKUP($D169,'Modelling New'!$D:$D,'Modelling New'!$W:$W),"")</f>
        <v>0.31398376847290649</v>
      </c>
      <c r="AG169" s="174">
        <f>IFERROR(_xlfn.XLOOKUP($D169,'Modelling New'!$D:$D,'Modelling New'!$AE:$AE),"")</f>
        <v>0.96029999999999993</v>
      </c>
      <c r="AH169" s="174">
        <f>IFERROR(_xlfn.XLOOKUP($D169,'Modelling New'!$D:$D,'Modelling New'!$AF:$AF),"")</f>
        <v>0.995</v>
      </c>
      <c r="AI169" s="177" t="str">
        <f>IFERROR(_xlfn.XLOOKUP($A169,Input_Raw!$A:$A,Input_Raw!$BQ:$BQ),"")</f>
        <v/>
      </c>
      <c r="AJ169" s="167"/>
      <c r="AK169" s="167"/>
      <c r="AL169" s="167"/>
      <c r="AM169" s="167"/>
      <c r="AN169" s="175" t="str">
        <f>IFERROR(_xlfn.XLOOKUP($A169,Input_Raw!$A:$A,Input_Raw!$BN:$BN),"")</f>
        <v/>
      </c>
      <c r="AO169" s="174" t="str">
        <f>IFERROR((_xlfn.XLOOKUP($A169,'WTG Reactive Power'!$A:$A,'WTG Reactive Power'!$AE:$AE))/Table13[[#This Row],[Gen_Exp (kWh)]],"")</f>
        <v/>
      </c>
      <c r="AP169" s="174">
        <f>IFERROR(_xlfn.XLOOKUP($D169,'Modelling New'!$D:$D,'Modelling New'!$AK:$AK),"")</f>
        <v>0.05</v>
      </c>
      <c r="AQ169" s="174">
        <f>IFERROR(_xlfn.XLOOKUP($D169,'Modelling New'!$D:$D,'Modelling New'!$AL:$AL),"")</f>
        <v>0.05</v>
      </c>
      <c r="AR169" s="276">
        <f>IFERROR(_xlfn.XLOOKUP($D169,'Modelling New'!$D:$D,'Modelling New'!$N:$N),"")</f>
        <v>70.2</v>
      </c>
      <c r="AS169" s="276"/>
    </row>
    <row r="170" spans="1:45">
      <c r="A170" s="165">
        <f t="shared" si="15"/>
        <v>45913</v>
      </c>
      <c r="B170" s="166">
        <f>YEAR(Table13[[#This Row],[Date]])+IF(MONTH(Table13[[#This Row],[Date]])&gt;=4,1,0)</f>
        <v>2026</v>
      </c>
      <c r="C170" s="167">
        <f>YEAR(Table13[[#This Row],[Date]])</f>
        <v>2025</v>
      </c>
      <c r="D170" s="168">
        <f>Table13[[#This Row],[Date]]-DAY(Table13[[#This Row],[Date]])+1</f>
        <v>45901</v>
      </c>
      <c r="E170" s="167">
        <f t="shared" si="12"/>
        <v>30</v>
      </c>
      <c r="F170" s="169"/>
      <c r="G170" s="170"/>
      <c r="H170" s="170"/>
      <c r="I170" s="170"/>
      <c r="J170" s="170"/>
      <c r="K170" s="171"/>
      <c r="L170" s="170"/>
      <c r="M170" s="170" t="str">
        <f>IFERROR(_xlfn.XLOOKUP($A170,Input_Raw!$A:$A,Input_Raw!BG:BG),"")</f>
        <v/>
      </c>
      <c r="N170" s="170" t="str">
        <f>IFERROR(_xlfn.XLOOKUP($A170,Input_Raw!$A:$A,Input_Raw!BH:BH),"")</f>
        <v/>
      </c>
      <c r="O170" s="173" t="str">
        <f t="shared" si="13"/>
        <v/>
      </c>
      <c r="P170" s="173" t="str">
        <f>IFERROR(1-SUMIF(WTG_BD!$F:$F,$A170,WTG_BD!$AA:$AA)/($AA170+SUMIF(WTG_BD!$F:$F,$A170,WTG_BD!$AA:$AA)),"")</f>
        <v/>
      </c>
      <c r="Q170" s="173" t="str">
        <f>IFERROR(1-SUMIF(IGA_BD!$F:$F,$A170,IGA_BD!$X:$X)/($AA170+SUMIF(IGA_BD!$F:$F,$A170,IGA_BD!$X:$X)),"")</f>
        <v/>
      </c>
      <c r="R170" s="173" t="str">
        <f>IFERROR(1-SUMIF(Grid_BD!$F:$F,$A170,Grid_BD!$Y:$Y)/($AA170+SUMIF(Grid_BD!$F:$F,$A170,Grid_BD!$Y:$Y)),"")</f>
        <v/>
      </c>
      <c r="S170" s="167"/>
      <c r="T170" s="172"/>
      <c r="U170" s="173"/>
      <c r="V170" s="167"/>
      <c r="W170" s="174" t="str">
        <f t="shared" si="14"/>
        <v/>
      </c>
      <c r="X170" s="167" t="str">
        <f>IFERROR(_xlfn.XLOOKUP($A170,Input_Raw!$A:$A,Input_Raw!$BF:$BF),"")</f>
        <v/>
      </c>
      <c r="Y170" s="167" t="str">
        <f>IFERROR(_xlfn.XLOOKUP($A170,Input_Raw!$A:$A,Input_Raw!BJ:BJ),"")</f>
        <v/>
      </c>
      <c r="Z170" s="167" t="str">
        <f>IFERROR(_xlfn.XLOOKUP($A170,Input_Raw!$A:$A,Input_Raw!BK:BK),"")</f>
        <v/>
      </c>
      <c r="AA170" s="167" t="str">
        <f>IFERROR(_xlfn.XLOOKUP($A170,Input_Raw!$A:$A,Input_Raw!BL:BL),"")</f>
        <v/>
      </c>
      <c r="AB170" s="167" t="str">
        <f>IFERROR(_xlfn.XLOOKUP($A170,Input_Raw!$A:$A,Input_Raw!$BO:$BO),"")</f>
        <v/>
      </c>
      <c r="AC170" s="176">
        <f>IFERROR(_xlfn.XLOOKUP($D170,'Modelling New'!$D:$D,'Modelling New'!$J:$J),"")</f>
        <v>8.16</v>
      </c>
      <c r="AD170" s="166">
        <f>IFERROR(_xlfn.XLOOKUP($D170,'Modelling New'!$D:$D,'Modelling New'!$T:$T)*1000,"")</f>
        <v>528999.85312315286</v>
      </c>
      <c r="AE170" s="174"/>
      <c r="AF170" s="174">
        <f>IFERROR(_xlfn.XLOOKUP($D170,'Modelling New'!$D:$D,'Modelling New'!$W:$W),"")</f>
        <v>0.31398376847290649</v>
      </c>
      <c r="AG170" s="174">
        <f>IFERROR(_xlfn.XLOOKUP($D170,'Modelling New'!$D:$D,'Modelling New'!$AE:$AE),"")</f>
        <v>0.96029999999999993</v>
      </c>
      <c r="AH170" s="174">
        <f>IFERROR(_xlfn.XLOOKUP($D170,'Modelling New'!$D:$D,'Modelling New'!$AF:$AF),"")</f>
        <v>0.995</v>
      </c>
      <c r="AI170" s="177" t="str">
        <f>IFERROR(_xlfn.XLOOKUP($A170,Input_Raw!$A:$A,Input_Raw!$BQ:$BQ),"")</f>
        <v/>
      </c>
      <c r="AJ170" s="167"/>
      <c r="AK170" s="167"/>
      <c r="AL170" s="167"/>
      <c r="AM170" s="167"/>
      <c r="AN170" s="175" t="str">
        <f>IFERROR(_xlfn.XLOOKUP($A170,Input_Raw!$A:$A,Input_Raw!$BN:$BN),"")</f>
        <v/>
      </c>
      <c r="AO170" s="174" t="str">
        <f>IFERROR((_xlfn.XLOOKUP($A170,'WTG Reactive Power'!$A:$A,'WTG Reactive Power'!$AE:$AE))/Table13[[#This Row],[Gen_Exp (kWh)]],"")</f>
        <v/>
      </c>
      <c r="AP170" s="174">
        <f>IFERROR(_xlfn.XLOOKUP($D170,'Modelling New'!$D:$D,'Modelling New'!$AK:$AK),"")</f>
        <v>0.05</v>
      </c>
      <c r="AQ170" s="174">
        <f>IFERROR(_xlfn.XLOOKUP($D170,'Modelling New'!$D:$D,'Modelling New'!$AL:$AL),"")</f>
        <v>0.05</v>
      </c>
      <c r="AR170" s="276">
        <f>IFERROR(_xlfn.XLOOKUP($D170,'Modelling New'!$D:$D,'Modelling New'!$N:$N),"")</f>
        <v>70.2</v>
      </c>
      <c r="AS170" s="276"/>
    </row>
    <row r="171" spans="1:45">
      <c r="A171" s="165">
        <f t="shared" si="15"/>
        <v>45914</v>
      </c>
      <c r="B171" s="166">
        <f>YEAR(Table13[[#This Row],[Date]])+IF(MONTH(Table13[[#This Row],[Date]])&gt;=4,1,0)</f>
        <v>2026</v>
      </c>
      <c r="C171" s="167">
        <f>YEAR(Table13[[#This Row],[Date]])</f>
        <v>2025</v>
      </c>
      <c r="D171" s="168">
        <f>Table13[[#This Row],[Date]]-DAY(Table13[[#This Row],[Date]])+1</f>
        <v>45901</v>
      </c>
      <c r="E171" s="167">
        <f t="shared" si="12"/>
        <v>30</v>
      </c>
      <c r="F171" s="169"/>
      <c r="G171" s="176"/>
      <c r="H171" s="176"/>
      <c r="I171" s="176"/>
      <c r="J171" s="176"/>
      <c r="K171" s="171"/>
      <c r="L171" s="170"/>
      <c r="M171" s="170" t="str">
        <f>IFERROR(_xlfn.XLOOKUP($A171,Input_Raw!$A:$A,Input_Raw!BG:BG),"")</f>
        <v/>
      </c>
      <c r="N171" s="170" t="str">
        <f>IFERROR(_xlfn.XLOOKUP($A171,Input_Raw!$A:$A,Input_Raw!BH:BH),"")</f>
        <v/>
      </c>
      <c r="O171" s="173" t="str">
        <f t="shared" si="13"/>
        <v/>
      </c>
      <c r="P171" s="173" t="str">
        <f>IFERROR(1-SUMIF(WTG_BD!$F:$F,$A171,WTG_BD!$AA:$AA)/($AA171+SUMIF(WTG_BD!$F:$F,$A171,WTG_BD!$AA:$AA)),"")</f>
        <v/>
      </c>
      <c r="Q171" s="173" t="str">
        <f>IFERROR(1-SUMIF(IGA_BD!$F:$F,$A171,IGA_BD!$X:$X)/($AA171+SUMIF(IGA_BD!$F:$F,$A171,IGA_BD!$X:$X)),"")</f>
        <v/>
      </c>
      <c r="R171" s="173" t="str">
        <f>IFERROR(1-SUMIF(Grid_BD!$F:$F,$A171,Grid_BD!$Y:$Y)/($AA171+SUMIF(Grid_BD!$F:$F,$A171,Grid_BD!$Y:$Y)),"")</f>
        <v/>
      </c>
      <c r="S171" s="167"/>
      <c r="T171" s="172"/>
      <c r="U171" s="173"/>
      <c r="V171" s="167"/>
      <c r="W171" s="174" t="str">
        <f t="shared" si="14"/>
        <v/>
      </c>
      <c r="X171" s="167" t="str">
        <f>IFERROR(_xlfn.XLOOKUP($A171,Input_Raw!$A:$A,Input_Raw!$BF:$BF),"")</f>
        <v/>
      </c>
      <c r="Y171" s="167" t="str">
        <f>IFERROR(_xlfn.XLOOKUP($A171,Input_Raw!$A:$A,Input_Raw!BJ:BJ),"")</f>
        <v/>
      </c>
      <c r="Z171" s="167" t="str">
        <f>IFERROR(_xlfn.XLOOKUP($A171,Input_Raw!$A:$A,Input_Raw!BK:BK),"")</f>
        <v/>
      </c>
      <c r="AA171" s="167" t="str">
        <f>IFERROR(_xlfn.XLOOKUP($A171,Input_Raw!$A:$A,Input_Raw!BL:BL),"")</f>
        <v/>
      </c>
      <c r="AB171" s="167" t="str">
        <f>IFERROR(_xlfn.XLOOKUP($A171,Input_Raw!$A:$A,Input_Raw!$BO:$BO),"")</f>
        <v/>
      </c>
      <c r="AC171" s="176">
        <f>IFERROR(_xlfn.XLOOKUP($D171,'Modelling New'!$D:$D,'Modelling New'!$J:$J),"")</f>
        <v>8.16</v>
      </c>
      <c r="AD171" s="166">
        <f>IFERROR(_xlfn.XLOOKUP($D171,'Modelling New'!$D:$D,'Modelling New'!$T:$T)*1000,"")</f>
        <v>528999.85312315286</v>
      </c>
      <c r="AE171" s="174"/>
      <c r="AF171" s="174">
        <f>IFERROR(_xlfn.XLOOKUP($D171,'Modelling New'!$D:$D,'Modelling New'!$W:$W),"")</f>
        <v>0.31398376847290649</v>
      </c>
      <c r="AG171" s="174">
        <f>IFERROR(_xlfn.XLOOKUP($D171,'Modelling New'!$D:$D,'Modelling New'!$AE:$AE),"")</f>
        <v>0.96029999999999993</v>
      </c>
      <c r="AH171" s="174">
        <f>IFERROR(_xlfn.XLOOKUP($D171,'Modelling New'!$D:$D,'Modelling New'!$AF:$AF),"")</f>
        <v>0.995</v>
      </c>
      <c r="AI171" s="177" t="str">
        <f>IFERROR(_xlfn.XLOOKUP($A171,Input_Raw!$A:$A,Input_Raw!$BQ:$BQ),"")</f>
        <v/>
      </c>
      <c r="AJ171" s="167"/>
      <c r="AK171" s="167"/>
      <c r="AL171" s="167"/>
      <c r="AM171" s="167"/>
      <c r="AN171" s="175" t="str">
        <f>IFERROR(_xlfn.XLOOKUP($A171,Input_Raw!$A:$A,Input_Raw!$BN:$BN),"")</f>
        <v/>
      </c>
      <c r="AO171" s="174" t="str">
        <f>IFERROR((_xlfn.XLOOKUP($A171,'WTG Reactive Power'!$A:$A,'WTG Reactive Power'!$AE:$AE))/Table13[[#This Row],[Gen_Exp (kWh)]],"")</f>
        <v/>
      </c>
      <c r="AP171" s="174">
        <f>IFERROR(_xlfn.XLOOKUP($D171,'Modelling New'!$D:$D,'Modelling New'!$AK:$AK),"")</f>
        <v>0.05</v>
      </c>
      <c r="AQ171" s="174">
        <f>IFERROR(_xlfn.XLOOKUP($D171,'Modelling New'!$D:$D,'Modelling New'!$AL:$AL),"")</f>
        <v>0.05</v>
      </c>
      <c r="AR171" s="276">
        <f>IFERROR(_xlfn.XLOOKUP($D171,'Modelling New'!$D:$D,'Modelling New'!$N:$N),"")</f>
        <v>70.2</v>
      </c>
      <c r="AS171" s="276"/>
    </row>
    <row r="172" spans="1:45">
      <c r="A172" s="165">
        <f t="shared" si="15"/>
        <v>45915</v>
      </c>
      <c r="B172" s="166">
        <f>YEAR(Table13[[#This Row],[Date]])+IF(MONTH(Table13[[#This Row],[Date]])&gt;=4,1,0)</f>
        <v>2026</v>
      </c>
      <c r="C172" s="167">
        <f>YEAR(Table13[[#This Row],[Date]])</f>
        <v>2025</v>
      </c>
      <c r="D172" s="168">
        <f>Table13[[#This Row],[Date]]-DAY(Table13[[#This Row],[Date]])+1</f>
        <v>45901</v>
      </c>
      <c r="E172" s="167">
        <f t="shared" si="12"/>
        <v>30</v>
      </c>
      <c r="F172" s="169"/>
      <c r="G172" s="170"/>
      <c r="H172" s="170"/>
      <c r="I172" s="170"/>
      <c r="J172" s="170"/>
      <c r="K172" s="171"/>
      <c r="L172" s="170"/>
      <c r="M172" s="170" t="str">
        <f>IFERROR(_xlfn.XLOOKUP($A172,Input_Raw!$A:$A,Input_Raw!BG:BG),"")</f>
        <v/>
      </c>
      <c r="N172" s="170" t="str">
        <f>IFERROR(_xlfn.XLOOKUP($A172,Input_Raw!$A:$A,Input_Raw!BH:BH),"")</f>
        <v/>
      </c>
      <c r="O172" s="173" t="str">
        <f t="shared" si="13"/>
        <v/>
      </c>
      <c r="P172" s="173" t="str">
        <f>IFERROR(1-SUMIF(WTG_BD!$F:$F,$A172,WTG_BD!$AA:$AA)/($AA172+SUMIF(WTG_BD!$F:$F,$A172,WTG_BD!$AA:$AA)),"")</f>
        <v/>
      </c>
      <c r="Q172" s="173" t="str">
        <f>IFERROR(1-SUMIF(IGA_BD!$F:$F,$A172,IGA_BD!$X:$X)/($AA172+SUMIF(IGA_BD!$F:$F,$A172,IGA_BD!$X:$X)),"")</f>
        <v/>
      </c>
      <c r="R172" s="173" t="str">
        <f>IFERROR(1-SUMIF(Grid_BD!$F:$F,$A172,Grid_BD!$Y:$Y)/($AA172+SUMIF(Grid_BD!$F:$F,$A172,Grid_BD!$Y:$Y)),"")</f>
        <v/>
      </c>
      <c r="S172" s="167"/>
      <c r="T172" s="172"/>
      <c r="U172" s="173"/>
      <c r="V172" s="167"/>
      <c r="W172" s="174" t="str">
        <f t="shared" si="14"/>
        <v/>
      </c>
      <c r="X172" s="167" t="str">
        <f>IFERROR(_xlfn.XLOOKUP($A172,Input_Raw!$A:$A,Input_Raw!$BF:$BF),"")</f>
        <v/>
      </c>
      <c r="Y172" s="167" t="str">
        <f>IFERROR(_xlfn.XLOOKUP($A172,Input_Raw!$A:$A,Input_Raw!BJ:BJ),"")</f>
        <v/>
      </c>
      <c r="Z172" s="167" t="str">
        <f>IFERROR(_xlfn.XLOOKUP($A172,Input_Raw!$A:$A,Input_Raw!BK:BK),"")</f>
        <v/>
      </c>
      <c r="AA172" s="167" t="str">
        <f>IFERROR(_xlfn.XLOOKUP($A172,Input_Raw!$A:$A,Input_Raw!BL:BL),"")</f>
        <v/>
      </c>
      <c r="AB172" s="167" t="str">
        <f>IFERROR(_xlfn.XLOOKUP($A172,Input_Raw!$A:$A,Input_Raw!$BO:$BO),"")</f>
        <v/>
      </c>
      <c r="AC172" s="176">
        <f>IFERROR(_xlfn.XLOOKUP($D172,'Modelling New'!$D:$D,'Modelling New'!$J:$J),"")</f>
        <v>8.16</v>
      </c>
      <c r="AD172" s="166">
        <f>IFERROR(_xlfn.XLOOKUP($D172,'Modelling New'!$D:$D,'Modelling New'!$T:$T)*1000,"")</f>
        <v>528999.85312315286</v>
      </c>
      <c r="AE172" s="174"/>
      <c r="AF172" s="174">
        <f>IFERROR(_xlfn.XLOOKUP($D172,'Modelling New'!$D:$D,'Modelling New'!$W:$W),"")</f>
        <v>0.31398376847290649</v>
      </c>
      <c r="AG172" s="174">
        <f>IFERROR(_xlfn.XLOOKUP($D172,'Modelling New'!$D:$D,'Modelling New'!$AE:$AE),"")</f>
        <v>0.96029999999999993</v>
      </c>
      <c r="AH172" s="174">
        <f>IFERROR(_xlfn.XLOOKUP($D172,'Modelling New'!$D:$D,'Modelling New'!$AF:$AF),"")</f>
        <v>0.995</v>
      </c>
      <c r="AI172" s="177" t="str">
        <f>IFERROR(_xlfn.XLOOKUP($A172,Input_Raw!$A:$A,Input_Raw!$BQ:$BQ),"")</f>
        <v/>
      </c>
      <c r="AJ172" s="167"/>
      <c r="AK172" s="167"/>
      <c r="AL172" s="167"/>
      <c r="AM172" s="167"/>
      <c r="AN172" s="175" t="str">
        <f>IFERROR(_xlfn.XLOOKUP($A172,Input_Raw!$A:$A,Input_Raw!$BN:$BN),"")</f>
        <v/>
      </c>
      <c r="AO172" s="174" t="str">
        <f>IFERROR((_xlfn.XLOOKUP($A172,'WTG Reactive Power'!$A:$A,'WTG Reactive Power'!$AE:$AE))/Table13[[#This Row],[Gen_Exp (kWh)]],"")</f>
        <v/>
      </c>
      <c r="AP172" s="174">
        <f>IFERROR(_xlfn.XLOOKUP($D172,'Modelling New'!$D:$D,'Modelling New'!$AK:$AK),"")</f>
        <v>0.05</v>
      </c>
      <c r="AQ172" s="174">
        <f>IFERROR(_xlfn.XLOOKUP($D172,'Modelling New'!$D:$D,'Modelling New'!$AL:$AL),"")</f>
        <v>0.05</v>
      </c>
      <c r="AR172" s="276">
        <f>IFERROR(_xlfn.XLOOKUP($D172,'Modelling New'!$D:$D,'Modelling New'!$N:$N),"")</f>
        <v>70.2</v>
      </c>
      <c r="AS172" s="276"/>
    </row>
    <row r="173" spans="1:45">
      <c r="A173" s="165">
        <f t="shared" si="15"/>
        <v>45916</v>
      </c>
      <c r="B173" s="166">
        <f>YEAR(Table13[[#This Row],[Date]])+IF(MONTH(Table13[[#This Row],[Date]])&gt;=4,1,0)</f>
        <v>2026</v>
      </c>
      <c r="C173" s="167">
        <f>YEAR(Table13[[#This Row],[Date]])</f>
        <v>2025</v>
      </c>
      <c r="D173" s="168">
        <f>Table13[[#This Row],[Date]]-DAY(Table13[[#This Row],[Date]])+1</f>
        <v>45901</v>
      </c>
      <c r="E173" s="167">
        <f t="shared" si="12"/>
        <v>30</v>
      </c>
      <c r="F173" s="169"/>
      <c r="G173" s="176"/>
      <c r="H173" s="176"/>
      <c r="I173" s="176"/>
      <c r="J173" s="176"/>
      <c r="K173" s="171"/>
      <c r="L173" s="170"/>
      <c r="M173" s="170" t="str">
        <f>IFERROR(_xlfn.XLOOKUP($A173,Input_Raw!$A:$A,Input_Raw!BG:BG),"")</f>
        <v/>
      </c>
      <c r="N173" s="170" t="str">
        <f>IFERROR(_xlfn.XLOOKUP($A173,Input_Raw!$A:$A,Input_Raw!BH:BH),"")</f>
        <v/>
      </c>
      <c r="O173" s="173" t="str">
        <f t="shared" si="13"/>
        <v/>
      </c>
      <c r="P173" s="173" t="str">
        <f>IFERROR(1-SUMIF(WTG_BD!$F:$F,$A173,WTG_BD!$AA:$AA)/($AA173+SUMIF(WTG_BD!$F:$F,$A173,WTG_BD!$AA:$AA)),"")</f>
        <v/>
      </c>
      <c r="Q173" s="173" t="str">
        <f>IFERROR(1-SUMIF(IGA_BD!$F:$F,$A173,IGA_BD!$X:$X)/($AA173+SUMIF(IGA_BD!$F:$F,$A173,IGA_BD!$X:$X)),"")</f>
        <v/>
      </c>
      <c r="R173" s="173" t="str">
        <f>IFERROR(1-SUMIF(Grid_BD!$F:$F,$A173,Grid_BD!$Y:$Y)/($AA173+SUMIF(Grid_BD!$F:$F,$A173,Grid_BD!$Y:$Y)),"")</f>
        <v/>
      </c>
      <c r="S173" s="167"/>
      <c r="T173" s="172"/>
      <c r="U173" s="173"/>
      <c r="V173" s="167"/>
      <c r="W173" s="174" t="str">
        <f t="shared" si="14"/>
        <v/>
      </c>
      <c r="X173" s="167" t="str">
        <f>IFERROR(_xlfn.XLOOKUP($A173,Input_Raw!$A:$A,Input_Raw!$BF:$BF),"")</f>
        <v/>
      </c>
      <c r="Y173" s="167" t="str">
        <f>IFERROR(_xlfn.XLOOKUP($A173,Input_Raw!$A:$A,Input_Raw!BJ:BJ),"")</f>
        <v/>
      </c>
      <c r="Z173" s="167" t="str">
        <f>IFERROR(_xlfn.XLOOKUP($A173,Input_Raw!$A:$A,Input_Raw!BK:BK),"")</f>
        <v/>
      </c>
      <c r="AA173" s="167" t="str">
        <f>IFERROR(_xlfn.XLOOKUP($A173,Input_Raw!$A:$A,Input_Raw!BL:BL),"")</f>
        <v/>
      </c>
      <c r="AB173" s="167" t="str">
        <f>IFERROR(_xlfn.XLOOKUP($A173,Input_Raw!$A:$A,Input_Raw!$BO:$BO),"")</f>
        <v/>
      </c>
      <c r="AC173" s="176">
        <f>IFERROR(_xlfn.XLOOKUP($D173,'Modelling New'!$D:$D,'Modelling New'!$J:$J),"")</f>
        <v>8.16</v>
      </c>
      <c r="AD173" s="166">
        <f>IFERROR(_xlfn.XLOOKUP($D173,'Modelling New'!$D:$D,'Modelling New'!$T:$T)*1000,"")</f>
        <v>528999.85312315286</v>
      </c>
      <c r="AE173" s="174"/>
      <c r="AF173" s="174">
        <f>IFERROR(_xlfn.XLOOKUP($D173,'Modelling New'!$D:$D,'Modelling New'!$W:$W),"")</f>
        <v>0.31398376847290649</v>
      </c>
      <c r="AG173" s="174">
        <f>IFERROR(_xlfn.XLOOKUP($D173,'Modelling New'!$D:$D,'Modelling New'!$AE:$AE),"")</f>
        <v>0.96029999999999993</v>
      </c>
      <c r="AH173" s="174">
        <f>IFERROR(_xlfn.XLOOKUP($D173,'Modelling New'!$D:$D,'Modelling New'!$AF:$AF),"")</f>
        <v>0.995</v>
      </c>
      <c r="AI173" s="177" t="str">
        <f>IFERROR(_xlfn.XLOOKUP($A173,Input_Raw!$A:$A,Input_Raw!$BQ:$BQ),"")</f>
        <v/>
      </c>
      <c r="AJ173" s="167"/>
      <c r="AK173" s="167"/>
      <c r="AL173" s="167"/>
      <c r="AM173" s="167"/>
      <c r="AN173" s="175" t="str">
        <f>IFERROR(_xlfn.XLOOKUP($A173,Input_Raw!$A:$A,Input_Raw!$BN:$BN),"")</f>
        <v/>
      </c>
      <c r="AO173" s="174" t="str">
        <f>IFERROR((_xlfn.XLOOKUP($A173,'WTG Reactive Power'!$A:$A,'WTG Reactive Power'!$AE:$AE))/Table13[[#This Row],[Gen_Exp (kWh)]],"")</f>
        <v/>
      </c>
      <c r="AP173" s="174">
        <f>IFERROR(_xlfn.XLOOKUP($D173,'Modelling New'!$D:$D,'Modelling New'!$AK:$AK),"")</f>
        <v>0.05</v>
      </c>
      <c r="AQ173" s="174">
        <f>IFERROR(_xlfn.XLOOKUP($D173,'Modelling New'!$D:$D,'Modelling New'!$AL:$AL),"")</f>
        <v>0.05</v>
      </c>
      <c r="AR173" s="276">
        <f>IFERROR(_xlfn.XLOOKUP($D173,'Modelling New'!$D:$D,'Modelling New'!$N:$N),"")</f>
        <v>70.2</v>
      </c>
      <c r="AS173" s="276"/>
    </row>
    <row r="174" spans="1:45">
      <c r="A174" s="165">
        <f t="shared" si="15"/>
        <v>45917</v>
      </c>
      <c r="B174" s="166">
        <f>YEAR(Table13[[#This Row],[Date]])+IF(MONTH(Table13[[#This Row],[Date]])&gt;=4,1,0)</f>
        <v>2026</v>
      </c>
      <c r="C174" s="167">
        <f>YEAR(Table13[[#This Row],[Date]])</f>
        <v>2025</v>
      </c>
      <c r="D174" s="168">
        <f>Table13[[#This Row],[Date]]-DAY(Table13[[#This Row],[Date]])+1</f>
        <v>45901</v>
      </c>
      <c r="E174" s="167">
        <f t="shared" si="12"/>
        <v>30</v>
      </c>
      <c r="F174" s="169"/>
      <c r="G174" s="170"/>
      <c r="H174" s="170"/>
      <c r="I174" s="170"/>
      <c r="J174" s="170"/>
      <c r="K174" s="171"/>
      <c r="L174" s="170"/>
      <c r="M174" s="170" t="str">
        <f>IFERROR(_xlfn.XLOOKUP($A174,Input_Raw!$A:$A,Input_Raw!BG:BG),"")</f>
        <v/>
      </c>
      <c r="N174" s="170" t="str">
        <f>IFERROR(_xlfn.XLOOKUP($A174,Input_Raw!$A:$A,Input_Raw!BH:BH),"")</f>
        <v/>
      </c>
      <c r="O174" s="173" t="str">
        <f t="shared" si="13"/>
        <v/>
      </c>
      <c r="P174" s="173" t="str">
        <f>IFERROR(1-SUMIF(WTG_BD!$F:$F,$A174,WTG_BD!$AA:$AA)/($AA174+SUMIF(WTG_BD!$F:$F,$A174,WTG_BD!$AA:$AA)),"")</f>
        <v/>
      </c>
      <c r="Q174" s="173" t="str">
        <f>IFERROR(1-SUMIF(IGA_BD!$F:$F,$A174,IGA_BD!$X:$X)/($AA174+SUMIF(IGA_BD!$F:$F,$A174,IGA_BD!$X:$X)),"")</f>
        <v/>
      </c>
      <c r="R174" s="173" t="str">
        <f>IFERROR(1-SUMIF(Grid_BD!$F:$F,$A174,Grid_BD!$Y:$Y)/($AA174+SUMIF(Grid_BD!$F:$F,$A174,Grid_BD!$Y:$Y)),"")</f>
        <v/>
      </c>
      <c r="S174" s="167"/>
      <c r="T174" s="172"/>
      <c r="U174" s="173"/>
      <c r="V174" s="167"/>
      <c r="W174" s="174" t="str">
        <f t="shared" si="14"/>
        <v/>
      </c>
      <c r="X174" s="167" t="str">
        <f>IFERROR(_xlfn.XLOOKUP($A174,Input_Raw!$A:$A,Input_Raw!$BF:$BF),"")</f>
        <v/>
      </c>
      <c r="Y174" s="167" t="str">
        <f>IFERROR(_xlfn.XLOOKUP($A174,Input_Raw!$A:$A,Input_Raw!BJ:BJ),"")</f>
        <v/>
      </c>
      <c r="Z174" s="167" t="str">
        <f>IFERROR(_xlfn.XLOOKUP($A174,Input_Raw!$A:$A,Input_Raw!BK:BK),"")</f>
        <v/>
      </c>
      <c r="AA174" s="167" t="str">
        <f>IFERROR(_xlfn.XLOOKUP($A174,Input_Raw!$A:$A,Input_Raw!BL:BL),"")</f>
        <v/>
      </c>
      <c r="AB174" s="167" t="str">
        <f>IFERROR(_xlfn.XLOOKUP($A174,Input_Raw!$A:$A,Input_Raw!$BO:$BO),"")</f>
        <v/>
      </c>
      <c r="AC174" s="176">
        <f>IFERROR(_xlfn.XLOOKUP($D174,'Modelling New'!$D:$D,'Modelling New'!$J:$J),"")</f>
        <v>8.16</v>
      </c>
      <c r="AD174" s="166">
        <f>IFERROR(_xlfn.XLOOKUP($D174,'Modelling New'!$D:$D,'Modelling New'!$T:$T)*1000,"")</f>
        <v>528999.85312315286</v>
      </c>
      <c r="AE174" s="174"/>
      <c r="AF174" s="174">
        <f>IFERROR(_xlfn.XLOOKUP($D174,'Modelling New'!$D:$D,'Modelling New'!$W:$W),"")</f>
        <v>0.31398376847290649</v>
      </c>
      <c r="AG174" s="174">
        <f>IFERROR(_xlfn.XLOOKUP($D174,'Modelling New'!$D:$D,'Modelling New'!$AE:$AE),"")</f>
        <v>0.96029999999999993</v>
      </c>
      <c r="AH174" s="174">
        <f>IFERROR(_xlfn.XLOOKUP($D174,'Modelling New'!$D:$D,'Modelling New'!$AF:$AF),"")</f>
        <v>0.995</v>
      </c>
      <c r="AI174" s="177" t="str">
        <f>IFERROR(_xlfn.XLOOKUP($A174,Input_Raw!$A:$A,Input_Raw!$BQ:$BQ),"")</f>
        <v/>
      </c>
      <c r="AJ174" s="167"/>
      <c r="AK174" s="167"/>
      <c r="AL174" s="167"/>
      <c r="AM174" s="167"/>
      <c r="AN174" s="175" t="str">
        <f>IFERROR(_xlfn.XLOOKUP($A174,Input_Raw!$A:$A,Input_Raw!$BN:$BN),"")</f>
        <v/>
      </c>
      <c r="AO174" s="174" t="str">
        <f>IFERROR((_xlfn.XLOOKUP($A174,'WTG Reactive Power'!$A:$A,'WTG Reactive Power'!$AE:$AE))/Table13[[#This Row],[Gen_Exp (kWh)]],"")</f>
        <v/>
      </c>
      <c r="AP174" s="174">
        <f>IFERROR(_xlfn.XLOOKUP($D174,'Modelling New'!$D:$D,'Modelling New'!$AK:$AK),"")</f>
        <v>0.05</v>
      </c>
      <c r="AQ174" s="174">
        <f>IFERROR(_xlfn.XLOOKUP($D174,'Modelling New'!$D:$D,'Modelling New'!$AL:$AL),"")</f>
        <v>0.05</v>
      </c>
      <c r="AR174" s="276">
        <f>IFERROR(_xlfn.XLOOKUP($D174,'Modelling New'!$D:$D,'Modelling New'!$N:$N),"")</f>
        <v>70.2</v>
      </c>
      <c r="AS174" s="276"/>
    </row>
    <row r="175" spans="1:45">
      <c r="A175" s="165">
        <f t="shared" si="15"/>
        <v>45918</v>
      </c>
      <c r="B175" s="166">
        <f>YEAR(Table13[[#This Row],[Date]])+IF(MONTH(Table13[[#This Row],[Date]])&gt;=4,1,0)</f>
        <v>2026</v>
      </c>
      <c r="C175" s="167">
        <f>YEAR(Table13[[#This Row],[Date]])</f>
        <v>2025</v>
      </c>
      <c r="D175" s="168">
        <f>Table13[[#This Row],[Date]]-DAY(Table13[[#This Row],[Date]])+1</f>
        <v>45901</v>
      </c>
      <c r="E175" s="167">
        <f t="shared" si="12"/>
        <v>30</v>
      </c>
      <c r="F175" s="169"/>
      <c r="G175" s="176"/>
      <c r="H175" s="176"/>
      <c r="I175" s="176"/>
      <c r="J175" s="176"/>
      <c r="K175" s="171"/>
      <c r="L175" s="170"/>
      <c r="M175" s="170" t="str">
        <f>IFERROR(_xlfn.XLOOKUP($A175,Input_Raw!$A:$A,Input_Raw!BG:BG),"")</f>
        <v/>
      </c>
      <c r="N175" s="170" t="str">
        <f>IFERROR(_xlfn.XLOOKUP($A175,Input_Raw!$A:$A,Input_Raw!BH:BH),"")</f>
        <v/>
      </c>
      <c r="O175" s="173" t="str">
        <f t="shared" si="13"/>
        <v/>
      </c>
      <c r="P175" s="173" t="str">
        <f>IFERROR(1-SUMIF(WTG_BD!$F:$F,$A175,WTG_BD!$AA:$AA)/($AA175+SUMIF(WTG_BD!$F:$F,$A175,WTG_BD!$AA:$AA)),"")</f>
        <v/>
      </c>
      <c r="Q175" s="173" t="str">
        <f>IFERROR(1-SUMIF(IGA_BD!$F:$F,$A175,IGA_BD!$X:$X)/($AA175+SUMIF(IGA_BD!$F:$F,$A175,IGA_BD!$X:$X)),"")</f>
        <v/>
      </c>
      <c r="R175" s="173" t="str">
        <f>IFERROR(1-SUMIF(Grid_BD!$F:$F,$A175,Grid_BD!$Y:$Y)/($AA175+SUMIF(Grid_BD!$F:$F,$A175,Grid_BD!$Y:$Y)),"")</f>
        <v/>
      </c>
      <c r="S175" s="167"/>
      <c r="T175" s="172"/>
      <c r="U175" s="173"/>
      <c r="V175" s="167"/>
      <c r="W175" s="174" t="str">
        <f t="shared" si="14"/>
        <v/>
      </c>
      <c r="X175" s="167" t="str">
        <f>IFERROR(_xlfn.XLOOKUP($A175,Input_Raw!$A:$A,Input_Raw!$BF:$BF),"")</f>
        <v/>
      </c>
      <c r="Y175" s="167" t="str">
        <f>IFERROR(_xlfn.XLOOKUP($A175,Input_Raw!$A:$A,Input_Raw!BJ:BJ),"")</f>
        <v/>
      </c>
      <c r="Z175" s="167" t="str">
        <f>IFERROR(_xlfn.XLOOKUP($A175,Input_Raw!$A:$A,Input_Raw!BK:BK),"")</f>
        <v/>
      </c>
      <c r="AA175" s="167" t="str">
        <f>IFERROR(_xlfn.XLOOKUP($A175,Input_Raw!$A:$A,Input_Raw!BL:BL),"")</f>
        <v/>
      </c>
      <c r="AB175" s="167" t="str">
        <f>IFERROR(_xlfn.XLOOKUP($A175,Input_Raw!$A:$A,Input_Raw!$BO:$BO),"")</f>
        <v/>
      </c>
      <c r="AC175" s="176">
        <f>IFERROR(_xlfn.XLOOKUP($D175,'Modelling New'!$D:$D,'Modelling New'!$J:$J),"")</f>
        <v>8.16</v>
      </c>
      <c r="AD175" s="166">
        <f>IFERROR(_xlfn.XLOOKUP($D175,'Modelling New'!$D:$D,'Modelling New'!$T:$T)*1000,"")</f>
        <v>528999.85312315286</v>
      </c>
      <c r="AE175" s="174"/>
      <c r="AF175" s="174">
        <f>IFERROR(_xlfn.XLOOKUP($D175,'Modelling New'!$D:$D,'Modelling New'!$W:$W),"")</f>
        <v>0.31398376847290649</v>
      </c>
      <c r="AG175" s="174">
        <f>IFERROR(_xlfn.XLOOKUP($D175,'Modelling New'!$D:$D,'Modelling New'!$AE:$AE),"")</f>
        <v>0.96029999999999993</v>
      </c>
      <c r="AH175" s="174">
        <f>IFERROR(_xlfn.XLOOKUP($D175,'Modelling New'!$D:$D,'Modelling New'!$AF:$AF),"")</f>
        <v>0.995</v>
      </c>
      <c r="AI175" s="177" t="str">
        <f>IFERROR(_xlfn.XLOOKUP($A175,Input_Raw!$A:$A,Input_Raw!$BQ:$BQ),"")</f>
        <v/>
      </c>
      <c r="AJ175" s="167"/>
      <c r="AK175" s="167"/>
      <c r="AL175" s="167"/>
      <c r="AM175" s="167"/>
      <c r="AN175" s="175" t="str">
        <f>IFERROR(_xlfn.XLOOKUP($A175,Input_Raw!$A:$A,Input_Raw!$BN:$BN),"")</f>
        <v/>
      </c>
      <c r="AO175" s="174" t="str">
        <f>IFERROR((_xlfn.XLOOKUP($A175,'WTG Reactive Power'!$A:$A,'WTG Reactive Power'!$AE:$AE))/Table13[[#This Row],[Gen_Exp (kWh)]],"")</f>
        <v/>
      </c>
      <c r="AP175" s="174">
        <f>IFERROR(_xlfn.XLOOKUP($D175,'Modelling New'!$D:$D,'Modelling New'!$AK:$AK),"")</f>
        <v>0.05</v>
      </c>
      <c r="AQ175" s="174">
        <f>IFERROR(_xlfn.XLOOKUP($D175,'Modelling New'!$D:$D,'Modelling New'!$AL:$AL),"")</f>
        <v>0.05</v>
      </c>
      <c r="AR175" s="276">
        <f>IFERROR(_xlfn.XLOOKUP($D175,'Modelling New'!$D:$D,'Modelling New'!$N:$N),"")</f>
        <v>70.2</v>
      </c>
      <c r="AS175" s="276"/>
    </row>
    <row r="176" spans="1:45">
      <c r="A176" s="165">
        <f t="shared" si="15"/>
        <v>45919</v>
      </c>
      <c r="B176" s="166">
        <f>YEAR(Table13[[#This Row],[Date]])+IF(MONTH(Table13[[#This Row],[Date]])&gt;=4,1,0)</f>
        <v>2026</v>
      </c>
      <c r="C176" s="167">
        <f>YEAR(Table13[[#This Row],[Date]])</f>
        <v>2025</v>
      </c>
      <c r="D176" s="168">
        <f>Table13[[#This Row],[Date]]-DAY(Table13[[#This Row],[Date]])+1</f>
        <v>45901</v>
      </c>
      <c r="E176" s="167">
        <f t="shared" si="12"/>
        <v>30</v>
      </c>
      <c r="F176" s="169"/>
      <c r="G176" s="170"/>
      <c r="H176" s="170"/>
      <c r="I176" s="170"/>
      <c r="J176" s="170"/>
      <c r="K176" s="171"/>
      <c r="L176" s="170"/>
      <c r="M176" s="170" t="str">
        <f>IFERROR(_xlfn.XLOOKUP($A176,Input_Raw!$A:$A,Input_Raw!BG:BG),"")</f>
        <v/>
      </c>
      <c r="N176" s="170" t="str">
        <f>IFERROR(_xlfn.XLOOKUP($A176,Input_Raw!$A:$A,Input_Raw!BH:BH),"")</f>
        <v/>
      </c>
      <c r="O176" s="173" t="str">
        <f t="shared" si="13"/>
        <v/>
      </c>
      <c r="P176" s="173" t="str">
        <f>IFERROR(1-SUMIF(WTG_BD!$F:$F,$A176,WTG_BD!$AA:$AA)/($AA176+SUMIF(WTG_BD!$F:$F,$A176,WTG_BD!$AA:$AA)),"")</f>
        <v/>
      </c>
      <c r="Q176" s="173" t="str">
        <f>IFERROR(1-SUMIF(IGA_BD!$F:$F,$A176,IGA_BD!$X:$X)/($AA176+SUMIF(IGA_BD!$F:$F,$A176,IGA_BD!$X:$X)),"")</f>
        <v/>
      </c>
      <c r="R176" s="173" t="str">
        <f>IFERROR(1-SUMIF(Grid_BD!$F:$F,$A176,Grid_BD!$Y:$Y)/($AA176+SUMIF(Grid_BD!$F:$F,$A176,Grid_BD!$Y:$Y)),"")</f>
        <v/>
      </c>
      <c r="S176" s="167"/>
      <c r="T176" s="172"/>
      <c r="U176" s="173"/>
      <c r="V176" s="167"/>
      <c r="W176" s="174" t="str">
        <f t="shared" si="14"/>
        <v/>
      </c>
      <c r="X176" s="167" t="str">
        <f>IFERROR(_xlfn.XLOOKUP($A176,Input_Raw!$A:$A,Input_Raw!$BF:$BF),"")</f>
        <v/>
      </c>
      <c r="Y176" s="167" t="str">
        <f>IFERROR(_xlfn.XLOOKUP($A176,Input_Raw!$A:$A,Input_Raw!BJ:BJ),"")</f>
        <v/>
      </c>
      <c r="Z176" s="167" t="str">
        <f>IFERROR(_xlfn.XLOOKUP($A176,Input_Raw!$A:$A,Input_Raw!BK:BK),"")</f>
        <v/>
      </c>
      <c r="AA176" s="167" t="str">
        <f>IFERROR(_xlfn.XLOOKUP($A176,Input_Raw!$A:$A,Input_Raw!BL:BL),"")</f>
        <v/>
      </c>
      <c r="AB176" s="167" t="str">
        <f>IFERROR(_xlfn.XLOOKUP($A176,Input_Raw!$A:$A,Input_Raw!$BO:$BO),"")</f>
        <v/>
      </c>
      <c r="AC176" s="176">
        <f>IFERROR(_xlfn.XLOOKUP($D176,'Modelling New'!$D:$D,'Modelling New'!$J:$J),"")</f>
        <v>8.16</v>
      </c>
      <c r="AD176" s="166">
        <f>IFERROR(_xlfn.XLOOKUP($D176,'Modelling New'!$D:$D,'Modelling New'!$T:$T)*1000,"")</f>
        <v>528999.85312315286</v>
      </c>
      <c r="AE176" s="174"/>
      <c r="AF176" s="174">
        <f>IFERROR(_xlfn.XLOOKUP($D176,'Modelling New'!$D:$D,'Modelling New'!$W:$W),"")</f>
        <v>0.31398376847290649</v>
      </c>
      <c r="AG176" s="174">
        <f>IFERROR(_xlfn.XLOOKUP($D176,'Modelling New'!$D:$D,'Modelling New'!$AE:$AE),"")</f>
        <v>0.96029999999999993</v>
      </c>
      <c r="AH176" s="174">
        <f>IFERROR(_xlfn.XLOOKUP($D176,'Modelling New'!$D:$D,'Modelling New'!$AF:$AF),"")</f>
        <v>0.995</v>
      </c>
      <c r="AI176" s="177" t="str">
        <f>IFERROR(_xlfn.XLOOKUP($A176,Input_Raw!$A:$A,Input_Raw!$BQ:$BQ),"")</f>
        <v/>
      </c>
      <c r="AJ176" s="167"/>
      <c r="AK176" s="167"/>
      <c r="AL176" s="167"/>
      <c r="AM176" s="167"/>
      <c r="AN176" s="175" t="str">
        <f>IFERROR(_xlfn.XLOOKUP($A176,Input_Raw!$A:$A,Input_Raw!$BN:$BN),"")</f>
        <v/>
      </c>
      <c r="AO176" s="174" t="str">
        <f>IFERROR((_xlfn.XLOOKUP($A176,'WTG Reactive Power'!$A:$A,'WTG Reactive Power'!$AE:$AE))/Table13[[#This Row],[Gen_Exp (kWh)]],"")</f>
        <v/>
      </c>
      <c r="AP176" s="174">
        <f>IFERROR(_xlfn.XLOOKUP($D176,'Modelling New'!$D:$D,'Modelling New'!$AK:$AK),"")</f>
        <v>0.05</v>
      </c>
      <c r="AQ176" s="174">
        <f>IFERROR(_xlfn.XLOOKUP($D176,'Modelling New'!$D:$D,'Modelling New'!$AL:$AL),"")</f>
        <v>0.05</v>
      </c>
      <c r="AR176" s="276">
        <f>IFERROR(_xlfn.XLOOKUP($D176,'Modelling New'!$D:$D,'Modelling New'!$N:$N),"")</f>
        <v>70.2</v>
      </c>
      <c r="AS176" s="276"/>
    </row>
    <row r="177" spans="1:45">
      <c r="A177" s="165">
        <f t="shared" si="15"/>
        <v>45920</v>
      </c>
      <c r="B177" s="166">
        <f>YEAR(Table13[[#This Row],[Date]])+IF(MONTH(Table13[[#This Row],[Date]])&gt;=4,1,0)</f>
        <v>2026</v>
      </c>
      <c r="C177" s="167">
        <f>YEAR(Table13[[#This Row],[Date]])</f>
        <v>2025</v>
      </c>
      <c r="D177" s="168">
        <f>Table13[[#This Row],[Date]]-DAY(Table13[[#This Row],[Date]])+1</f>
        <v>45901</v>
      </c>
      <c r="E177" s="167">
        <f t="shared" si="12"/>
        <v>30</v>
      </c>
      <c r="F177" s="169"/>
      <c r="G177" s="176"/>
      <c r="H177" s="176"/>
      <c r="I177" s="176"/>
      <c r="J177" s="176"/>
      <c r="K177" s="171"/>
      <c r="L177" s="170"/>
      <c r="M177" s="170" t="str">
        <f>IFERROR(_xlfn.XLOOKUP($A177,Input_Raw!$A:$A,Input_Raw!BG:BG),"")</f>
        <v/>
      </c>
      <c r="N177" s="170" t="str">
        <f>IFERROR(_xlfn.XLOOKUP($A177,Input_Raw!$A:$A,Input_Raw!BH:BH),"")</f>
        <v/>
      </c>
      <c r="O177" s="173" t="str">
        <f t="shared" si="13"/>
        <v/>
      </c>
      <c r="P177" s="173" t="str">
        <f>IFERROR(1-SUMIF(WTG_BD!$F:$F,$A177,WTG_BD!$AA:$AA)/($AA177+SUMIF(WTG_BD!$F:$F,$A177,WTG_BD!$AA:$AA)),"")</f>
        <v/>
      </c>
      <c r="Q177" s="173" t="str">
        <f>IFERROR(1-SUMIF(IGA_BD!$F:$F,$A177,IGA_BD!$X:$X)/($AA177+SUMIF(IGA_BD!$F:$F,$A177,IGA_BD!$X:$X)),"")</f>
        <v/>
      </c>
      <c r="R177" s="173" t="str">
        <f>IFERROR(1-SUMIF(Grid_BD!$F:$F,$A177,Grid_BD!$Y:$Y)/($AA177+SUMIF(Grid_BD!$F:$F,$A177,Grid_BD!$Y:$Y)),"")</f>
        <v/>
      </c>
      <c r="S177" s="167"/>
      <c r="T177" s="172"/>
      <c r="U177" s="173"/>
      <c r="V177" s="167"/>
      <c r="W177" s="174" t="str">
        <f t="shared" si="14"/>
        <v/>
      </c>
      <c r="X177" s="167" t="str">
        <f>IFERROR(_xlfn.XLOOKUP($A177,Input_Raw!$A:$A,Input_Raw!$BF:$BF),"")</f>
        <v/>
      </c>
      <c r="Y177" s="167" t="str">
        <f>IFERROR(_xlfn.XLOOKUP($A177,Input_Raw!$A:$A,Input_Raw!BJ:BJ),"")</f>
        <v/>
      </c>
      <c r="Z177" s="167" t="str">
        <f>IFERROR(_xlfn.XLOOKUP($A177,Input_Raw!$A:$A,Input_Raw!BK:BK),"")</f>
        <v/>
      </c>
      <c r="AA177" s="167" t="str">
        <f>IFERROR(_xlfn.XLOOKUP($A177,Input_Raw!$A:$A,Input_Raw!BL:BL),"")</f>
        <v/>
      </c>
      <c r="AB177" s="167" t="str">
        <f>IFERROR(_xlfn.XLOOKUP($A177,Input_Raw!$A:$A,Input_Raw!$BO:$BO),"")</f>
        <v/>
      </c>
      <c r="AC177" s="176">
        <f>IFERROR(_xlfn.XLOOKUP($D177,'Modelling New'!$D:$D,'Modelling New'!$J:$J),"")</f>
        <v>8.16</v>
      </c>
      <c r="AD177" s="166">
        <f>IFERROR(_xlfn.XLOOKUP($D177,'Modelling New'!$D:$D,'Modelling New'!$T:$T)*1000,"")</f>
        <v>528999.85312315286</v>
      </c>
      <c r="AE177" s="174"/>
      <c r="AF177" s="174">
        <f>IFERROR(_xlfn.XLOOKUP($D177,'Modelling New'!$D:$D,'Modelling New'!$W:$W),"")</f>
        <v>0.31398376847290649</v>
      </c>
      <c r="AG177" s="174">
        <f>IFERROR(_xlfn.XLOOKUP($D177,'Modelling New'!$D:$D,'Modelling New'!$AE:$AE),"")</f>
        <v>0.96029999999999993</v>
      </c>
      <c r="AH177" s="174">
        <f>IFERROR(_xlfn.XLOOKUP($D177,'Modelling New'!$D:$D,'Modelling New'!$AF:$AF),"")</f>
        <v>0.995</v>
      </c>
      <c r="AI177" s="177" t="str">
        <f>IFERROR(_xlfn.XLOOKUP($A177,Input_Raw!$A:$A,Input_Raw!$BQ:$BQ),"")</f>
        <v/>
      </c>
      <c r="AJ177" s="167"/>
      <c r="AK177" s="167"/>
      <c r="AL177" s="167"/>
      <c r="AM177" s="167"/>
      <c r="AN177" s="175" t="str">
        <f>IFERROR(_xlfn.XLOOKUP($A177,Input_Raw!$A:$A,Input_Raw!$BN:$BN),"")</f>
        <v/>
      </c>
      <c r="AO177" s="174" t="str">
        <f>IFERROR((_xlfn.XLOOKUP($A177,'WTG Reactive Power'!$A:$A,'WTG Reactive Power'!$AE:$AE))/Table13[[#This Row],[Gen_Exp (kWh)]],"")</f>
        <v/>
      </c>
      <c r="AP177" s="174">
        <f>IFERROR(_xlfn.XLOOKUP($D177,'Modelling New'!$D:$D,'Modelling New'!$AK:$AK),"")</f>
        <v>0.05</v>
      </c>
      <c r="AQ177" s="174">
        <f>IFERROR(_xlfn.XLOOKUP($D177,'Modelling New'!$D:$D,'Modelling New'!$AL:$AL),"")</f>
        <v>0.05</v>
      </c>
      <c r="AR177" s="276">
        <f>IFERROR(_xlfn.XLOOKUP($D177,'Modelling New'!$D:$D,'Modelling New'!$N:$N),"")</f>
        <v>70.2</v>
      </c>
      <c r="AS177" s="276"/>
    </row>
    <row r="178" spans="1:45">
      <c r="A178" s="165">
        <f t="shared" si="15"/>
        <v>45921</v>
      </c>
      <c r="B178" s="166">
        <f>YEAR(Table13[[#This Row],[Date]])+IF(MONTH(Table13[[#This Row],[Date]])&gt;=4,1,0)</f>
        <v>2026</v>
      </c>
      <c r="C178" s="167">
        <f>YEAR(Table13[[#This Row],[Date]])</f>
        <v>2025</v>
      </c>
      <c r="D178" s="168">
        <f>Table13[[#This Row],[Date]]-DAY(Table13[[#This Row],[Date]])+1</f>
        <v>45901</v>
      </c>
      <c r="E178" s="167">
        <f t="shared" si="12"/>
        <v>30</v>
      </c>
      <c r="F178" s="169"/>
      <c r="G178" s="170"/>
      <c r="H178" s="170"/>
      <c r="I178" s="170"/>
      <c r="J178" s="170"/>
      <c r="K178" s="171"/>
      <c r="L178" s="170"/>
      <c r="M178" s="170" t="str">
        <f>IFERROR(_xlfn.XLOOKUP($A178,Input_Raw!$A:$A,Input_Raw!BG:BG),"")</f>
        <v/>
      </c>
      <c r="N178" s="170" t="str">
        <f>IFERROR(_xlfn.XLOOKUP($A178,Input_Raw!$A:$A,Input_Raw!BH:BH),"")</f>
        <v/>
      </c>
      <c r="O178" s="173" t="str">
        <f t="shared" si="13"/>
        <v/>
      </c>
      <c r="P178" s="173" t="str">
        <f>IFERROR(1-SUMIF(WTG_BD!$F:$F,$A178,WTG_BD!$AA:$AA)/($AA178+SUMIF(WTG_BD!$F:$F,$A178,WTG_BD!$AA:$AA)),"")</f>
        <v/>
      </c>
      <c r="Q178" s="173" t="str">
        <f>IFERROR(1-SUMIF(IGA_BD!$F:$F,$A178,IGA_BD!$X:$X)/($AA178+SUMIF(IGA_BD!$F:$F,$A178,IGA_BD!$X:$X)),"")</f>
        <v/>
      </c>
      <c r="R178" s="173" t="str">
        <f>IFERROR(1-SUMIF(Grid_BD!$F:$F,$A178,Grid_BD!$Y:$Y)/($AA178+SUMIF(Grid_BD!$F:$F,$A178,Grid_BD!$Y:$Y)),"")</f>
        <v/>
      </c>
      <c r="S178" s="167"/>
      <c r="T178" s="172"/>
      <c r="U178" s="173"/>
      <c r="V178" s="167"/>
      <c r="W178" s="174" t="str">
        <f t="shared" si="14"/>
        <v/>
      </c>
      <c r="X178" s="167" t="str">
        <f>IFERROR(_xlfn.XLOOKUP($A178,Input_Raw!$A:$A,Input_Raw!$BF:$BF),"")</f>
        <v/>
      </c>
      <c r="Y178" s="167" t="str">
        <f>IFERROR(_xlfn.XLOOKUP($A178,Input_Raw!$A:$A,Input_Raw!BJ:BJ),"")</f>
        <v/>
      </c>
      <c r="Z178" s="167" t="str">
        <f>IFERROR(_xlfn.XLOOKUP($A178,Input_Raw!$A:$A,Input_Raw!BK:BK),"")</f>
        <v/>
      </c>
      <c r="AA178" s="167" t="str">
        <f>IFERROR(_xlfn.XLOOKUP($A178,Input_Raw!$A:$A,Input_Raw!BL:BL),"")</f>
        <v/>
      </c>
      <c r="AB178" s="167" t="str">
        <f>IFERROR(_xlfn.XLOOKUP($A178,Input_Raw!$A:$A,Input_Raw!$BO:$BO),"")</f>
        <v/>
      </c>
      <c r="AC178" s="176">
        <f>IFERROR(_xlfn.XLOOKUP($D178,'Modelling New'!$D:$D,'Modelling New'!$J:$J),"")</f>
        <v>8.16</v>
      </c>
      <c r="AD178" s="166">
        <f>IFERROR(_xlfn.XLOOKUP($D178,'Modelling New'!$D:$D,'Modelling New'!$T:$T)*1000,"")</f>
        <v>528999.85312315286</v>
      </c>
      <c r="AE178" s="174"/>
      <c r="AF178" s="174">
        <f>IFERROR(_xlfn.XLOOKUP($D178,'Modelling New'!$D:$D,'Modelling New'!$W:$W),"")</f>
        <v>0.31398376847290649</v>
      </c>
      <c r="AG178" s="174">
        <f>IFERROR(_xlfn.XLOOKUP($D178,'Modelling New'!$D:$D,'Modelling New'!$AE:$AE),"")</f>
        <v>0.96029999999999993</v>
      </c>
      <c r="AH178" s="174">
        <f>IFERROR(_xlfn.XLOOKUP($D178,'Modelling New'!$D:$D,'Modelling New'!$AF:$AF),"")</f>
        <v>0.995</v>
      </c>
      <c r="AI178" s="177" t="str">
        <f>IFERROR(_xlfn.XLOOKUP($A178,Input_Raw!$A:$A,Input_Raw!$BQ:$BQ),"")</f>
        <v/>
      </c>
      <c r="AJ178" s="167"/>
      <c r="AK178" s="167"/>
      <c r="AL178" s="167"/>
      <c r="AM178" s="167"/>
      <c r="AN178" s="175" t="str">
        <f>IFERROR(_xlfn.XLOOKUP($A178,Input_Raw!$A:$A,Input_Raw!$BN:$BN),"")</f>
        <v/>
      </c>
      <c r="AO178" s="174" t="str">
        <f>IFERROR((_xlfn.XLOOKUP($A178,'WTG Reactive Power'!$A:$A,'WTG Reactive Power'!$AE:$AE))/Table13[[#This Row],[Gen_Exp (kWh)]],"")</f>
        <v/>
      </c>
      <c r="AP178" s="174">
        <f>IFERROR(_xlfn.XLOOKUP($D178,'Modelling New'!$D:$D,'Modelling New'!$AK:$AK),"")</f>
        <v>0.05</v>
      </c>
      <c r="AQ178" s="174">
        <f>IFERROR(_xlfn.XLOOKUP($D178,'Modelling New'!$D:$D,'Modelling New'!$AL:$AL),"")</f>
        <v>0.05</v>
      </c>
      <c r="AR178" s="276">
        <f>IFERROR(_xlfn.XLOOKUP($D178,'Modelling New'!$D:$D,'Modelling New'!$N:$N),"")</f>
        <v>70.2</v>
      </c>
      <c r="AS178" s="276"/>
    </row>
    <row r="179" spans="1:45">
      <c r="A179" s="165">
        <f t="shared" si="15"/>
        <v>45922</v>
      </c>
      <c r="B179" s="166">
        <f>YEAR(Table13[[#This Row],[Date]])+IF(MONTH(Table13[[#This Row],[Date]])&gt;=4,1,0)</f>
        <v>2026</v>
      </c>
      <c r="C179" s="167">
        <f>YEAR(Table13[[#This Row],[Date]])</f>
        <v>2025</v>
      </c>
      <c r="D179" s="168">
        <f>Table13[[#This Row],[Date]]-DAY(Table13[[#This Row],[Date]])+1</f>
        <v>45901</v>
      </c>
      <c r="E179" s="167">
        <f t="shared" si="12"/>
        <v>30</v>
      </c>
      <c r="F179" s="169"/>
      <c r="G179" s="176"/>
      <c r="H179" s="176"/>
      <c r="I179" s="176"/>
      <c r="J179" s="176"/>
      <c r="K179" s="171"/>
      <c r="L179" s="170"/>
      <c r="M179" s="170" t="str">
        <f>IFERROR(_xlfn.XLOOKUP($A179,Input_Raw!$A:$A,Input_Raw!BG:BG),"")</f>
        <v/>
      </c>
      <c r="N179" s="170" t="str">
        <f>IFERROR(_xlfn.XLOOKUP($A179,Input_Raw!$A:$A,Input_Raw!BH:BH),"")</f>
        <v/>
      </c>
      <c r="O179" s="173" t="str">
        <f t="shared" si="13"/>
        <v/>
      </c>
      <c r="P179" s="173" t="str">
        <f>IFERROR(1-SUMIF(WTG_BD!$F:$F,$A179,WTG_BD!$AA:$AA)/($AA179+SUMIF(WTG_BD!$F:$F,$A179,WTG_BD!$AA:$AA)),"")</f>
        <v/>
      </c>
      <c r="Q179" s="173" t="str">
        <f>IFERROR(1-SUMIF(IGA_BD!$F:$F,$A179,IGA_BD!$X:$X)/($AA179+SUMIF(IGA_BD!$F:$F,$A179,IGA_BD!$X:$X)),"")</f>
        <v/>
      </c>
      <c r="R179" s="173" t="str">
        <f>IFERROR(1-SUMIF(Grid_BD!$F:$F,$A179,Grid_BD!$Y:$Y)/($AA179+SUMIF(Grid_BD!$F:$F,$A179,Grid_BD!$Y:$Y)),"")</f>
        <v/>
      </c>
      <c r="S179" s="167"/>
      <c r="T179" s="172"/>
      <c r="U179" s="173"/>
      <c r="V179" s="167"/>
      <c r="W179" s="174" t="str">
        <f t="shared" si="14"/>
        <v/>
      </c>
      <c r="X179" s="167" t="str">
        <f>IFERROR(_xlfn.XLOOKUP($A179,Input_Raw!$A:$A,Input_Raw!$BF:$BF),"")</f>
        <v/>
      </c>
      <c r="Y179" s="167" t="str">
        <f>IFERROR(_xlfn.XLOOKUP($A179,Input_Raw!$A:$A,Input_Raw!BJ:BJ),"")</f>
        <v/>
      </c>
      <c r="Z179" s="167" t="str">
        <f>IFERROR(_xlfn.XLOOKUP($A179,Input_Raw!$A:$A,Input_Raw!BK:BK),"")</f>
        <v/>
      </c>
      <c r="AA179" s="167" t="str">
        <f>IFERROR(_xlfn.XLOOKUP($A179,Input_Raw!$A:$A,Input_Raw!BL:BL),"")</f>
        <v/>
      </c>
      <c r="AB179" s="167" t="str">
        <f>IFERROR(_xlfn.XLOOKUP($A179,Input_Raw!$A:$A,Input_Raw!$BO:$BO),"")</f>
        <v/>
      </c>
      <c r="AC179" s="176">
        <f>IFERROR(_xlfn.XLOOKUP($D179,'Modelling New'!$D:$D,'Modelling New'!$J:$J),"")</f>
        <v>8.16</v>
      </c>
      <c r="AD179" s="166">
        <f>IFERROR(_xlfn.XLOOKUP($D179,'Modelling New'!$D:$D,'Modelling New'!$T:$T)*1000,"")</f>
        <v>528999.85312315286</v>
      </c>
      <c r="AE179" s="174"/>
      <c r="AF179" s="174">
        <f>IFERROR(_xlfn.XLOOKUP($D179,'Modelling New'!$D:$D,'Modelling New'!$W:$W),"")</f>
        <v>0.31398376847290649</v>
      </c>
      <c r="AG179" s="174">
        <f>IFERROR(_xlfn.XLOOKUP($D179,'Modelling New'!$D:$D,'Modelling New'!$AE:$AE),"")</f>
        <v>0.96029999999999993</v>
      </c>
      <c r="AH179" s="174">
        <f>IFERROR(_xlfn.XLOOKUP($D179,'Modelling New'!$D:$D,'Modelling New'!$AF:$AF),"")</f>
        <v>0.995</v>
      </c>
      <c r="AI179" s="177" t="str">
        <f>IFERROR(_xlfn.XLOOKUP($A179,Input_Raw!$A:$A,Input_Raw!$BQ:$BQ),"")</f>
        <v/>
      </c>
      <c r="AJ179" s="167"/>
      <c r="AK179" s="167"/>
      <c r="AL179" s="167"/>
      <c r="AM179" s="167"/>
      <c r="AN179" s="175" t="str">
        <f>IFERROR(_xlfn.XLOOKUP($A179,Input_Raw!$A:$A,Input_Raw!$BN:$BN),"")</f>
        <v/>
      </c>
      <c r="AO179" s="174" t="str">
        <f>IFERROR((_xlfn.XLOOKUP($A179,'WTG Reactive Power'!$A:$A,'WTG Reactive Power'!$AE:$AE))/Table13[[#This Row],[Gen_Exp (kWh)]],"")</f>
        <v/>
      </c>
      <c r="AP179" s="174">
        <f>IFERROR(_xlfn.XLOOKUP($D179,'Modelling New'!$D:$D,'Modelling New'!$AK:$AK),"")</f>
        <v>0.05</v>
      </c>
      <c r="AQ179" s="174">
        <f>IFERROR(_xlfn.XLOOKUP($D179,'Modelling New'!$D:$D,'Modelling New'!$AL:$AL),"")</f>
        <v>0.05</v>
      </c>
      <c r="AR179" s="276">
        <f>IFERROR(_xlfn.XLOOKUP($D179,'Modelling New'!$D:$D,'Modelling New'!$N:$N),"")</f>
        <v>70.2</v>
      </c>
      <c r="AS179" s="276"/>
    </row>
    <row r="180" spans="1:45">
      <c r="A180" s="165">
        <f t="shared" si="15"/>
        <v>45923</v>
      </c>
      <c r="B180" s="166">
        <f>YEAR(Table13[[#This Row],[Date]])+IF(MONTH(Table13[[#This Row],[Date]])&gt;=4,1,0)</f>
        <v>2026</v>
      </c>
      <c r="C180" s="167">
        <f>YEAR(Table13[[#This Row],[Date]])</f>
        <v>2025</v>
      </c>
      <c r="D180" s="168">
        <f>Table13[[#This Row],[Date]]-DAY(Table13[[#This Row],[Date]])+1</f>
        <v>45901</v>
      </c>
      <c r="E180" s="167">
        <f t="shared" si="12"/>
        <v>30</v>
      </c>
      <c r="F180" s="169"/>
      <c r="G180" s="170"/>
      <c r="H180" s="170"/>
      <c r="I180" s="170"/>
      <c r="J180" s="170"/>
      <c r="K180" s="171"/>
      <c r="L180" s="170"/>
      <c r="M180" s="170" t="str">
        <f>IFERROR(_xlfn.XLOOKUP($A180,Input_Raw!$A:$A,Input_Raw!BG:BG),"")</f>
        <v/>
      </c>
      <c r="N180" s="170" t="str">
        <f>IFERROR(_xlfn.XLOOKUP($A180,Input_Raw!$A:$A,Input_Raw!BH:BH),"")</f>
        <v/>
      </c>
      <c r="O180" s="173" t="str">
        <f t="shared" si="13"/>
        <v/>
      </c>
      <c r="P180" s="173" t="str">
        <f>IFERROR(1-SUMIF(WTG_BD!$F:$F,$A180,WTG_BD!$AA:$AA)/($AA180+SUMIF(WTG_BD!$F:$F,$A180,WTG_BD!$AA:$AA)),"")</f>
        <v/>
      </c>
      <c r="Q180" s="173" t="str">
        <f>IFERROR(1-SUMIF(IGA_BD!$F:$F,$A180,IGA_BD!$X:$X)/($AA180+SUMIF(IGA_BD!$F:$F,$A180,IGA_BD!$X:$X)),"")</f>
        <v/>
      </c>
      <c r="R180" s="173" t="str">
        <f>IFERROR(1-SUMIF(Grid_BD!$F:$F,$A180,Grid_BD!$Y:$Y)/($AA180+SUMIF(Grid_BD!$F:$F,$A180,Grid_BD!$Y:$Y)),"")</f>
        <v/>
      </c>
      <c r="S180" s="167"/>
      <c r="T180" s="172"/>
      <c r="U180" s="173"/>
      <c r="V180" s="167"/>
      <c r="W180" s="174" t="str">
        <f t="shared" si="14"/>
        <v/>
      </c>
      <c r="X180" s="167" t="str">
        <f>IFERROR(_xlfn.XLOOKUP($A180,Input_Raw!$A:$A,Input_Raw!$BF:$BF),"")</f>
        <v/>
      </c>
      <c r="Y180" s="167" t="str">
        <f>IFERROR(_xlfn.XLOOKUP($A180,Input_Raw!$A:$A,Input_Raw!BJ:BJ),"")</f>
        <v/>
      </c>
      <c r="Z180" s="167" t="str">
        <f>IFERROR(_xlfn.XLOOKUP($A180,Input_Raw!$A:$A,Input_Raw!BK:BK),"")</f>
        <v/>
      </c>
      <c r="AA180" s="167" t="str">
        <f>IFERROR(_xlfn.XLOOKUP($A180,Input_Raw!$A:$A,Input_Raw!BL:BL),"")</f>
        <v/>
      </c>
      <c r="AB180" s="167" t="str">
        <f>IFERROR(_xlfn.XLOOKUP($A180,Input_Raw!$A:$A,Input_Raw!$BO:$BO),"")</f>
        <v/>
      </c>
      <c r="AC180" s="176">
        <f>IFERROR(_xlfn.XLOOKUP($D180,'Modelling New'!$D:$D,'Modelling New'!$J:$J),"")</f>
        <v>8.16</v>
      </c>
      <c r="AD180" s="166">
        <f>IFERROR(_xlfn.XLOOKUP($D180,'Modelling New'!$D:$D,'Modelling New'!$T:$T)*1000,"")</f>
        <v>528999.85312315286</v>
      </c>
      <c r="AE180" s="174"/>
      <c r="AF180" s="174">
        <f>IFERROR(_xlfn.XLOOKUP($D180,'Modelling New'!$D:$D,'Modelling New'!$W:$W),"")</f>
        <v>0.31398376847290649</v>
      </c>
      <c r="AG180" s="174">
        <f>IFERROR(_xlfn.XLOOKUP($D180,'Modelling New'!$D:$D,'Modelling New'!$AE:$AE),"")</f>
        <v>0.96029999999999993</v>
      </c>
      <c r="AH180" s="174">
        <f>IFERROR(_xlfn.XLOOKUP($D180,'Modelling New'!$D:$D,'Modelling New'!$AF:$AF),"")</f>
        <v>0.995</v>
      </c>
      <c r="AI180" s="177" t="str">
        <f>IFERROR(_xlfn.XLOOKUP($A180,Input_Raw!$A:$A,Input_Raw!$BQ:$BQ),"")</f>
        <v/>
      </c>
      <c r="AJ180" s="167"/>
      <c r="AK180" s="167"/>
      <c r="AL180" s="167"/>
      <c r="AM180" s="167"/>
      <c r="AN180" s="175" t="str">
        <f>IFERROR(_xlfn.XLOOKUP($A180,Input_Raw!$A:$A,Input_Raw!$BN:$BN),"")</f>
        <v/>
      </c>
      <c r="AO180" s="174" t="str">
        <f>IFERROR((_xlfn.XLOOKUP($A180,'WTG Reactive Power'!$A:$A,'WTG Reactive Power'!$AE:$AE))/Table13[[#This Row],[Gen_Exp (kWh)]],"")</f>
        <v/>
      </c>
      <c r="AP180" s="174">
        <f>IFERROR(_xlfn.XLOOKUP($D180,'Modelling New'!$D:$D,'Modelling New'!$AK:$AK),"")</f>
        <v>0.05</v>
      </c>
      <c r="AQ180" s="174">
        <f>IFERROR(_xlfn.XLOOKUP($D180,'Modelling New'!$D:$D,'Modelling New'!$AL:$AL),"")</f>
        <v>0.05</v>
      </c>
      <c r="AR180" s="276">
        <f>IFERROR(_xlfn.XLOOKUP($D180,'Modelling New'!$D:$D,'Modelling New'!$N:$N),"")</f>
        <v>70.2</v>
      </c>
      <c r="AS180" s="276"/>
    </row>
    <row r="181" spans="1:45">
      <c r="A181" s="165">
        <f t="shared" si="15"/>
        <v>45924</v>
      </c>
      <c r="B181" s="166">
        <f>YEAR(Table13[[#This Row],[Date]])+IF(MONTH(Table13[[#This Row],[Date]])&gt;=4,1,0)</f>
        <v>2026</v>
      </c>
      <c r="C181" s="167">
        <f>YEAR(Table13[[#This Row],[Date]])</f>
        <v>2025</v>
      </c>
      <c r="D181" s="168">
        <f>Table13[[#This Row],[Date]]-DAY(Table13[[#This Row],[Date]])+1</f>
        <v>45901</v>
      </c>
      <c r="E181" s="167">
        <f t="shared" si="12"/>
        <v>30</v>
      </c>
      <c r="F181" s="169"/>
      <c r="G181" s="176"/>
      <c r="H181" s="176"/>
      <c r="I181" s="176"/>
      <c r="J181" s="176"/>
      <c r="K181" s="171"/>
      <c r="L181" s="170"/>
      <c r="M181" s="170" t="str">
        <f>IFERROR(_xlfn.XLOOKUP($A181,Input_Raw!$A:$A,Input_Raw!BG:BG),"")</f>
        <v/>
      </c>
      <c r="N181" s="170" t="str">
        <f>IFERROR(_xlfn.XLOOKUP($A181,Input_Raw!$A:$A,Input_Raw!BH:BH),"")</f>
        <v/>
      </c>
      <c r="O181" s="173" t="str">
        <f t="shared" si="13"/>
        <v/>
      </c>
      <c r="P181" s="173" t="str">
        <f>IFERROR(1-SUMIF(WTG_BD!$F:$F,$A181,WTG_BD!$AA:$AA)/($AA181+SUMIF(WTG_BD!$F:$F,$A181,WTG_BD!$AA:$AA)),"")</f>
        <v/>
      </c>
      <c r="Q181" s="173" t="str">
        <f>IFERROR(1-SUMIF(IGA_BD!$F:$F,$A181,IGA_BD!$X:$X)/($AA181+SUMIF(IGA_BD!$F:$F,$A181,IGA_BD!$X:$X)),"")</f>
        <v/>
      </c>
      <c r="R181" s="173" t="str">
        <f>IFERROR(1-SUMIF(Grid_BD!$F:$F,$A181,Grid_BD!$Y:$Y)/($AA181+SUMIF(Grid_BD!$F:$F,$A181,Grid_BD!$Y:$Y)),"")</f>
        <v/>
      </c>
      <c r="S181" s="167"/>
      <c r="T181" s="172"/>
      <c r="U181" s="173"/>
      <c r="V181" s="167"/>
      <c r="W181" s="174" t="str">
        <f t="shared" si="14"/>
        <v/>
      </c>
      <c r="X181" s="167" t="str">
        <f>IFERROR(_xlfn.XLOOKUP($A181,Input_Raw!$A:$A,Input_Raw!$BF:$BF),"")</f>
        <v/>
      </c>
      <c r="Y181" s="167" t="str">
        <f>IFERROR(_xlfn.XLOOKUP($A181,Input_Raw!$A:$A,Input_Raw!BJ:BJ),"")</f>
        <v/>
      </c>
      <c r="Z181" s="167" t="str">
        <f>IFERROR(_xlfn.XLOOKUP($A181,Input_Raw!$A:$A,Input_Raw!BK:BK),"")</f>
        <v/>
      </c>
      <c r="AA181" s="167" t="str">
        <f>IFERROR(_xlfn.XLOOKUP($A181,Input_Raw!$A:$A,Input_Raw!BL:BL),"")</f>
        <v/>
      </c>
      <c r="AB181" s="167" t="str">
        <f>IFERROR(_xlfn.XLOOKUP($A181,Input_Raw!$A:$A,Input_Raw!$BO:$BO),"")</f>
        <v/>
      </c>
      <c r="AC181" s="176">
        <f>IFERROR(_xlfn.XLOOKUP($D181,'Modelling New'!$D:$D,'Modelling New'!$J:$J),"")</f>
        <v>8.16</v>
      </c>
      <c r="AD181" s="166">
        <f>IFERROR(_xlfn.XLOOKUP($D181,'Modelling New'!$D:$D,'Modelling New'!$T:$T)*1000,"")</f>
        <v>528999.85312315286</v>
      </c>
      <c r="AE181" s="174"/>
      <c r="AF181" s="174">
        <f>IFERROR(_xlfn.XLOOKUP($D181,'Modelling New'!$D:$D,'Modelling New'!$W:$W),"")</f>
        <v>0.31398376847290649</v>
      </c>
      <c r="AG181" s="174">
        <f>IFERROR(_xlfn.XLOOKUP($D181,'Modelling New'!$D:$D,'Modelling New'!$AE:$AE),"")</f>
        <v>0.96029999999999993</v>
      </c>
      <c r="AH181" s="174">
        <f>IFERROR(_xlfn.XLOOKUP($D181,'Modelling New'!$D:$D,'Modelling New'!$AF:$AF),"")</f>
        <v>0.995</v>
      </c>
      <c r="AI181" s="177" t="str">
        <f>IFERROR(_xlfn.XLOOKUP($A181,Input_Raw!$A:$A,Input_Raw!$BQ:$BQ),"")</f>
        <v/>
      </c>
      <c r="AJ181" s="167"/>
      <c r="AK181" s="167"/>
      <c r="AL181" s="167"/>
      <c r="AM181" s="167"/>
      <c r="AN181" s="175" t="str">
        <f>IFERROR(_xlfn.XLOOKUP($A181,Input_Raw!$A:$A,Input_Raw!$BN:$BN),"")</f>
        <v/>
      </c>
      <c r="AO181" s="174" t="str">
        <f>IFERROR((_xlfn.XLOOKUP($A181,'WTG Reactive Power'!$A:$A,'WTG Reactive Power'!$AE:$AE))/Table13[[#This Row],[Gen_Exp (kWh)]],"")</f>
        <v/>
      </c>
      <c r="AP181" s="174">
        <f>IFERROR(_xlfn.XLOOKUP($D181,'Modelling New'!$D:$D,'Modelling New'!$AK:$AK),"")</f>
        <v>0.05</v>
      </c>
      <c r="AQ181" s="174">
        <f>IFERROR(_xlfn.XLOOKUP($D181,'Modelling New'!$D:$D,'Modelling New'!$AL:$AL),"")</f>
        <v>0.05</v>
      </c>
      <c r="AR181" s="276">
        <f>IFERROR(_xlfn.XLOOKUP($D181,'Modelling New'!$D:$D,'Modelling New'!$N:$N),"")</f>
        <v>70.2</v>
      </c>
      <c r="AS181" s="276"/>
    </row>
    <row r="182" spans="1:45">
      <c r="A182" s="165">
        <f t="shared" si="15"/>
        <v>45925</v>
      </c>
      <c r="B182" s="166">
        <f>YEAR(Table13[[#This Row],[Date]])+IF(MONTH(Table13[[#This Row],[Date]])&gt;=4,1,0)</f>
        <v>2026</v>
      </c>
      <c r="C182" s="167">
        <f>YEAR(Table13[[#This Row],[Date]])</f>
        <v>2025</v>
      </c>
      <c r="D182" s="168">
        <f>Table13[[#This Row],[Date]]-DAY(Table13[[#This Row],[Date]])+1</f>
        <v>45901</v>
      </c>
      <c r="E182" s="167">
        <f t="shared" si="12"/>
        <v>30</v>
      </c>
      <c r="F182" s="169"/>
      <c r="G182" s="170"/>
      <c r="H182" s="170"/>
      <c r="I182" s="170"/>
      <c r="J182" s="170"/>
      <c r="K182" s="171"/>
      <c r="L182" s="170"/>
      <c r="M182" s="170" t="str">
        <f>IFERROR(_xlfn.XLOOKUP($A182,Input_Raw!$A:$A,Input_Raw!BG:BG),"")</f>
        <v/>
      </c>
      <c r="N182" s="170" t="str">
        <f>IFERROR(_xlfn.XLOOKUP($A182,Input_Raw!$A:$A,Input_Raw!BH:BH),"")</f>
        <v/>
      </c>
      <c r="O182" s="173" t="str">
        <f t="shared" si="13"/>
        <v/>
      </c>
      <c r="P182" s="173" t="str">
        <f>IFERROR(1-SUMIF(WTG_BD!$F:$F,$A182,WTG_BD!$AA:$AA)/($AA182+SUMIF(WTG_BD!$F:$F,$A182,WTG_BD!$AA:$AA)),"")</f>
        <v/>
      </c>
      <c r="Q182" s="173" t="str">
        <f>IFERROR(1-SUMIF(IGA_BD!$F:$F,$A182,IGA_BD!$X:$X)/($AA182+SUMIF(IGA_BD!$F:$F,$A182,IGA_BD!$X:$X)),"")</f>
        <v/>
      </c>
      <c r="R182" s="173" t="str">
        <f>IFERROR(1-SUMIF(Grid_BD!$F:$F,$A182,Grid_BD!$Y:$Y)/($AA182+SUMIF(Grid_BD!$F:$F,$A182,Grid_BD!$Y:$Y)),"")</f>
        <v/>
      </c>
      <c r="S182" s="167"/>
      <c r="T182" s="172"/>
      <c r="U182" s="173"/>
      <c r="V182" s="167"/>
      <c r="W182" s="174" t="str">
        <f t="shared" si="14"/>
        <v/>
      </c>
      <c r="X182" s="167" t="str">
        <f>IFERROR(_xlfn.XLOOKUP($A182,Input_Raw!$A:$A,Input_Raw!$BF:$BF),"")</f>
        <v/>
      </c>
      <c r="Y182" s="167" t="str">
        <f>IFERROR(_xlfn.XLOOKUP($A182,Input_Raw!$A:$A,Input_Raw!BJ:BJ),"")</f>
        <v/>
      </c>
      <c r="Z182" s="167" t="str">
        <f>IFERROR(_xlfn.XLOOKUP($A182,Input_Raw!$A:$A,Input_Raw!BK:BK),"")</f>
        <v/>
      </c>
      <c r="AA182" s="167" t="str">
        <f>IFERROR(_xlfn.XLOOKUP($A182,Input_Raw!$A:$A,Input_Raw!BL:BL),"")</f>
        <v/>
      </c>
      <c r="AB182" s="167" t="str">
        <f>IFERROR(_xlfn.XLOOKUP($A182,Input_Raw!$A:$A,Input_Raw!$BO:$BO),"")</f>
        <v/>
      </c>
      <c r="AC182" s="176">
        <f>IFERROR(_xlfn.XLOOKUP($D182,'Modelling New'!$D:$D,'Modelling New'!$J:$J),"")</f>
        <v>8.16</v>
      </c>
      <c r="AD182" s="166">
        <f>IFERROR(_xlfn.XLOOKUP($D182,'Modelling New'!$D:$D,'Modelling New'!$T:$T)*1000,"")</f>
        <v>528999.85312315286</v>
      </c>
      <c r="AE182" s="174"/>
      <c r="AF182" s="174">
        <f>IFERROR(_xlfn.XLOOKUP($D182,'Modelling New'!$D:$D,'Modelling New'!$W:$W),"")</f>
        <v>0.31398376847290649</v>
      </c>
      <c r="AG182" s="174">
        <f>IFERROR(_xlfn.XLOOKUP($D182,'Modelling New'!$D:$D,'Modelling New'!$AE:$AE),"")</f>
        <v>0.96029999999999993</v>
      </c>
      <c r="AH182" s="174">
        <f>IFERROR(_xlfn.XLOOKUP($D182,'Modelling New'!$D:$D,'Modelling New'!$AF:$AF),"")</f>
        <v>0.995</v>
      </c>
      <c r="AI182" s="177" t="str">
        <f>IFERROR(_xlfn.XLOOKUP($A182,Input_Raw!$A:$A,Input_Raw!$BQ:$BQ),"")</f>
        <v/>
      </c>
      <c r="AJ182" s="167"/>
      <c r="AK182" s="167"/>
      <c r="AL182" s="167"/>
      <c r="AM182" s="167"/>
      <c r="AN182" s="175" t="str">
        <f>IFERROR(_xlfn.XLOOKUP($A182,Input_Raw!$A:$A,Input_Raw!$BN:$BN),"")</f>
        <v/>
      </c>
      <c r="AO182" s="174" t="str">
        <f>IFERROR((_xlfn.XLOOKUP($A182,'WTG Reactive Power'!$A:$A,'WTG Reactive Power'!$AE:$AE))/Table13[[#This Row],[Gen_Exp (kWh)]],"")</f>
        <v/>
      </c>
      <c r="AP182" s="174">
        <f>IFERROR(_xlfn.XLOOKUP($D182,'Modelling New'!$D:$D,'Modelling New'!$AK:$AK),"")</f>
        <v>0.05</v>
      </c>
      <c r="AQ182" s="174">
        <f>IFERROR(_xlfn.XLOOKUP($D182,'Modelling New'!$D:$D,'Modelling New'!$AL:$AL),"")</f>
        <v>0.05</v>
      </c>
      <c r="AR182" s="276">
        <f>IFERROR(_xlfn.XLOOKUP($D182,'Modelling New'!$D:$D,'Modelling New'!$N:$N),"")</f>
        <v>70.2</v>
      </c>
      <c r="AS182" s="276"/>
    </row>
    <row r="183" spans="1:45">
      <c r="A183" s="165">
        <f t="shared" si="15"/>
        <v>45926</v>
      </c>
      <c r="B183" s="166">
        <f>YEAR(Table13[[#This Row],[Date]])+IF(MONTH(Table13[[#This Row],[Date]])&gt;=4,1,0)</f>
        <v>2026</v>
      </c>
      <c r="C183" s="167">
        <f>YEAR(Table13[[#This Row],[Date]])</f>
        <v>2025</v>
      </c>
      <c r="D183" s="168">
        <f>Table13[[#This Row],[Date]]-DAY(Table13[[#This Row],[Date]])+1</f>
        <v>45901</v>
      </c>
      <c r="E183" s="167">
        <f t="shared" si="12"/>
        <v>30</v>
      </c>
      <c r="F183" s="169"/>
      <c r="G183" s="176"/>
      <c r="H183" s="176"/>
      <c r="I183" s="176"/>
      <c r="J183" s="176"/>
      <c r="K183" s="171"/>
      <c r="L183" s="170"/>
      <c r="M183" s="170" t="str">
        <f>IFERROR(_xlfn.XLOOKUP($A183,Input_Raw!$A:$A,Input_Raw!BG:BG),"")</f>
        <v/>
      </c>
      <c r="N183" s="170" t="str">
        <f>IFERROR(_xlfn.XLOOKUP($A183,Input_Raw!$A:$A,Input_Raw!BH:BH),"")</f>
        <v/>
      </c>
      <c r="O183" s="173" t="str">
        <f t="shared" si="13"/>
        <v/>
      </c>
      <c r="P183" s="173" t="str">
        <f>IFERROR(1-SUMIF(WTG_BD!$F:$F,$A183,WTG_BD!$AA:$AA)/($AA183+SUMIF(WTG_BD!$F:$F,$A183,WTG_BD!$AA:$AA)),"")</f>
        <v/>
      </c>
      <c r="Q183" s="173" t="str">
        <f>IFERROR(1-SUMIF(IGA_BD!$F:$F,$A183,IGA_BD!$X:$X)/($AA183+SUMIF(IGA_BD!$F:$F,$A183,IGA_BD!$X:$X)),"")</f>
        <v/>
      </c>
      <c r="R183" s="173" t="str">
        <f>IFERROR(1-SUMIF(Grid_BD!$F:$F,$A183,Grid_BD!$Y:$Y)/($AA183+SUMIF(Grid_BD!$F:$F,$A183,Grid_BD!$Y:$Y)),"")</f>
        <v/>
      </c>
      <c r="S183" s="167"/>
      <c r="T183" s="172"/>
      <c r="U183" s="173"/>
      <c r="V183" s="167"/>
      <c r="W183" s="174" t="str">
        <f t="shared" si="14"/>
        <v/>
      </c>
      <c r="X183" s="167" t="str">
        <f>IFERROR(_xlfn.XLOOKUP($A183,Input_Raw!$A:$A,Input_Raw!$BF:$BF),"")</f>
        <v/>
      </c>
      <c r="Y183" s="167" t="str">
        <f>IFERROR(_xlfn.XLOOKUP($A183,Input_Raw!$A:$A,Input_Raw!BJ:BJ),"")</f>
        <v/>
      </c>
      <c r="Z183" s="167" t="str">
        <f>IFERROR(_xlfn.XLOOKUP($A183,Input_Raw!$A:$A,Input_Raw!BK:BK),"")</f>
        <v/>
      </c>
      <c r="AA183" s="167" t="str">
        <f>IFERROR(_xlfn.XLOOKUP($A183,Input_Raw!$A:$A,Input_Raw!BL:BL),"")</f>
        <v/>
      </c>
      <c r="AB183" s="167" t="str">
        <f>IFERROR(_xlfn.XLOOKUP($A183,Input_Raw!$A:$A,Input_Raw!$BO:$BO),"")</f>
        <v/>
      </c>
      <c r="AC183" s="176">
        <f>IFERROR(_xlfn.XLOOKUP($D183,'Modelling New'!$D:$D,'Modelling New'!$J:$J),"")</f>
        <v>8.16</v>
      </c>
      <c r="AD183" s="166">
        <f>IFERROR(_xlfn.XLOOKUP($D183,'Modelling New'!$D:$D,'Modelling New'!$T:$T)*1000,"")</f>
        <v>528999.85312315286</v>
      </c>
      <c r="AE183" s="174"/>
      <c r="AF183" s="174">
        <f>IFERROR(_xlfn.XLOOKUP($D183,'Modelling New'!$D:$D,'Modelling New'!$W:$W),"")</f>
        <v>0.31398376847290649</v>
      </c>
      <c r="AG183" s="174">
        <f>IFERROR(_xlfn.XLOOKUP($D183,'Modelling New'!$D:$D,'Modelling New'!$AE:$AE),"")</f>
        <v>0.96029999999999993</v>
      </c>
      <c r="AH183" s="174">
        <f>IFERROR(_xlfn.XLOOKUP($D183,'Modelling New'!$D:$D,'Modelling New'!$AF:$AF),"")</f>
        <v>0.995</v>
      </c>
      <c r="AI183" s="177" t="str">
        <f>IFERROR(_xlfn.XLOOKUP($A183,Input_Raw!$A:$A,Input_Raw!$BQ:$BQ),"")</f>
        <v/>
      </c>
      <c r="AJ183" s="167"/>
      <c r="AK183" s="167"/>
      <c r="AL183" s="167"/>
      <c r="AM183" s="167"/>
      <c r="AN183" s="175" t="str">
        <f>IFERROR(_xlfn.XLOOKUP($A183,Input_Raw!$A:$A,Input_Raw!$BN:$BN),"")</f>
        <v/>
      </c>
      <c r="AO183" s="174" t="str">
        <f>IFERROR((_xlfn.XLOOKUP($A183,'WTG Reactive Power'!$A:$A,'WTG Reactive Power'!$AE:$AE))/Table13[[#This Row],[Gen_Exp (kWh)]],"")</f>
        <v/>
      </c>
      <c r="AP183" s="174">
        <f>IFERROR(_xlfn.XLOOKUP($D183,'Modelling New'!$D:$D,'Modelling New'!$AK:$AK),"")</f>
        <v>0.05</v>
      </c>
      <c r="AQ183" s="174">
        <f>IFERROR(_xlfn.XLOOKUP($D183,'Modelling New'!$D:$D,'Modelling New'!$AL:$AL),"")</f>
        <v>0.05</v>
      </c>
      <c r="AR183" s="276">
        <f>IFERROR(_xlfn.XLOOKUP($D183,'Modelling New'!$D:$D,'Modelling New'!$N:$N),"")</f>
        <v>70.2</v>
      </c>
      <c r="AS183" s="276"/>
    </row>
    <row r="184" spans="1:45">
      <c r="A184" s="165">
        <f t="shared" si="15"/>
        <v>45927</v>
      </c>
      <c r="B184" s="166">
        <f>YEAR(Table13[[#This Row],[Date]])+IF(MONTH(Table13[[#This Row],[Date]])&gt;=4,1,0)</f>
        <v>2026</v>
      </c>
      <c r="C184" s="167">
        <f>YEAR(Table13[[#This Row],[Date]])</f>
        <v>2025</v>
      </c>
      <c r="D184" s="168">
        <f>Table13[[#This Row],[Date]]-DAY(Table13[[#This Row],[Date]])+1</f>
        <v>45901</v>
      </c>
      <c r="E184" s="167">
        <f t="shared" si="12"/>
        <v>30</v>
      </c>
      <c r="F184" s="169"/>
      <c r="G184" s="170"/>
      <c r="H184" s="170"/>
      <c r="I184" s="170"/>
      <c r="J184" s="170"/>
      <c r="K184" s="171"/>
      <c r="L184" s="170"/>
      <c r="M184" s="170" t="str">
        <f>IFERROR(_xlfn.XLOOKUP($A184,Input_Raw!$A:$A,Input_Raw!BG:BG),"")</f>
        <v/>
      </c>
      <c r="N184" s="170" t="str">
        <f>IFERROR(_xlfn.XLOOKUP($A184,Input_Raw!$A:$A,Input_Raw!BH:BH),"")</f>
        <v/>
      </c>
      <c r="O184" s="173" t="str">
        <f t="shared" si="13"/>
        <v/>
      </c>
      <c r="P184" s="173" t="str">
        <f>IFERROR(1-SUMIF(WTG_BD!$F:$F,$A184,WTG_BD!$AA:$AA)/($AA184+SUMIF(WTG_BD!$F:$F,$A184,WTG_BD!$AA:$AA)),"")</f>
        <v/>
      </c>
      <c r="Q184" s="173" t="str">
        <f>IFERROR(1-SUMIF(IGA_BD!$F:$F,$A184,IGA_BD!$X:$X)/($AA184+SUMIF(IGA_BD!$F:$F,$A184,IGA_BD!$X:$X)),"")</f>
        <v/>
      </c>
      <c r="R184" s="173" t="str">
        <f>IFERROR(1-SUMIF(Grid_BD!$F:$F,$A184,Grid_BD!$Y:$Y)/($AA184+SUMIF(Grid_BD!$F:$F,$A184,Grid_BD!$Y:$Y)),"")</f>
        <v/>
      </c>
      <c r="S184" s="167"/>
      <c r="T184" s="172"/>
      <c r="U184" s="173"/>
      <c r="V184" s="167"/>
      <c r="W184" s="174" t="str">
        <f t="shared" si="14"/>
        <v/>
      </c>
      <c r="X184" s="167" t="str">
        <f>IFERROR(_xlfn.XLOOKUP($A184,Input_Raw!$A:$A,Input_Raw!$BF:$BF),"")</f>
        <v/>
      </c>
      <c r="Y184" s="167" t="str">
        <f>IFERROR(_xlfn.XLOOKUP($A184,Input_Raw!$A:$A,Input_Raw!BJ:BJ),"")</f>
        <v/>
      </c>
      <c r="Z184" s="167" t="str">
        <f>IFERROR(_xlfn.XLOOKUP($A184,Input_Raw!$A:$A,Input_Raw!BK:BK),"")</f>
        <v/>
      </c>
      <c r="AA184" s="167" t="str">
        <f>IFERROR(_xlfn.XLOOKUP($A184,Input_Raw!$A:$A,Input_Raw!BL:BL),"")</f>
        <v/>
      </c>
      <c r="AB184" s="167" t="str">
        <f>IFERROR(_xlfn.XLOOKUP($A184,Input_Raw!$A:$A,Input_Raw!$BO:$BO),"")</f>
        <v/>
      </c>
      <c r="AC184" s="176">
        <f>IFERROR(_xlfn.XLOOKUP($D184,'Modelling New'!$D:$D,'Modelling New'!$J:$J),"")</f>
        <v>8.16</v>
      </c>
      <c r="AD184" s="166">
        <f>IFERROR(_xlfn.XLOOKUP($D184,'Modelling New'!$D:$D,'Modelling New'!$T:$T)*1000,"")</f>
        <v>528999.85312315286</v>
      </c>
      <c r="AE184" s="174"/>
      <c r="AF184" s="174">
        <f>IFERROR(_xlfn.XLOOKUP($D184,'Modelling New'!$D:$D,'Modelling New'!$W:$W),"")</f>
        <v>0.31398376847290649</v>
      </c>
      <c r="AG184" s="174">
        <f>IFERROR(_xlfn.XLOOKUP($D184,'Modelling New'!$D:$D,'Modelling New'!$AE:$AE),"")</f>
        <v>0.96029999999999993</v>
      </c>
      <c r="AH184" s="174">
        <f>IFERROR(_xlfn.XLOOKUP($D184,'Modelling New'!$D:$D,'Modelling New'!$AF:$AF),"")</f>
        <v>0.995</v>
      </c>
      <c r="AI184" s="177" t="str">
        <f>IFERROR(_xlfn.XLOOKUP($A184,Input_Raw!$A:$A,Input_Raw!$BQ:$BQ),"")</f>
        <v/>
      </c>
      <c r="AJ184" s="167"/>
      <c r="AK184" s="167"/>
      <c r="AL184" s="167"/>
      <c r="AM184" s="167"/>
      <c r="AN184" s="175" t="str">
        <f>IFERROR(_xlfn.XLOOKUP($A184,Input_Raw!$A:$A,Input_Raw!$BN:$BN),"")</f>
        <v/>
      </c>
      <c r="AO184" s="174" t="str">
        <f>IFERROR((_xlfn.XLOOKUP($A184,'WTG Reactive Power'!$A:$A,'WTG Reactive Power'!$AE:$AE))/Table13[[#This Row],[Gen_Exp (kWh)]],"")</f>
        <v/>
      </c>
      <c r="AP184" s="174">
        <f>IFERROR(_xlfn.XLOOKUP($D184,'Modelling New'!$D:$D,'Modelling New'!$AK:$AK),"")</f>
        <v>0.05</v>
      </c>
      <c r="AQ184" s="174">
        <f>IFERROR(_xlfn.XLOOKUP($D184,'Modelling New'!$D:$D,'Modelling New'!$AL:$AL),"")</f>
        <v>0.05</v>
      </c>
      <c r="AR184" s="276">
        <f>IFERROR(_xlfn.XLOOKUP($D184,'Modelling New'!$D:$D,'Modelling New'!$N:$N),"")</f>
        <v>70.2</v>
      </c>
      <c r="AS184" s="276"/>
    </row>
    <row r="185" spans="1:45">
      <c r="A185" s="165">
        <f t="shared" si="15"/>
        <v>45928</v>
      </c>
      <c r="B185" s="166">
        <f>YEAR(Table13[[#This Row],[Date]])+IF(MONTH(Table13[[#This Row],[Date]])&gt;=4,1,0)</f>
        <v>2026</v>
      </c>
      <c r="C185" s="167">
        <f>YEAR(Table13[[#This Row],[Date]])</f>
        <v>2025</v>
      </c>
      <c r="D185" s="168">
        <f>Table13[[#This Row],[Date]]-DAY(Table13[[#This Row],[Date]])+1</f>
        <v>45901</v>
      </c>
      <c r="E185" s="167">
        <f t="shared" si="12"/>
        <v>30</v>
      </c>
      <c r="F185" s="169"/>
      <c r="G185" s="176"/>
      <c r="H185" s="176"/>
      <c r="I185" s="176"/>
      <c r="J185" s="176"/>
      <c r="K185" s="171"/>
      <c r="L185" s="170"/>
      <c r="M185" s="170" t="str">
        <f>IFERROR(_xlfn.XLOOKUP($A185,Input_Raw!$A:$A,Input_Raw!BG:BG),"")</f>
        <v/>
      </c>
      <c r="N185" s="170" t="str">
        <f>IFERROR(_xlfn.XLOOKUP($A185,Input_Raw!$A:$A,Input_Raw!BH:BH),"")</f>
        <v/>
      </c>
      <c r="O185" s="173" t="str">
        <f t="shared" si="13"/>
        <v/>
      </c>
      <c r="P185" s="173" t="str">
        <f>IFERROR(1-SUMIF(WTG_BD!$F:$F,$A185,WTG_BD!$AA:$AA)/($AA185+SUMIF(WTG_BD!$F:$F,$A185,WTG_BD!$AA:$AA)),"")</f>
        <v/>
      </c>
      <c r="Q185" s="173" t="str">
        <f>IFERROR(1-SUMIF(IGA_BD!$F:$F,$A185,IGA_BD!$X:$X)/($AA185+SUMIF(IGA_BD!$F:$F,$A185,IGA_BD!$X:$X)),"")</f>
        <v/>
      </c>
      <c r="R185" s="173" t="str">
        <f>IFERROR(1-SUMIF(Grid_BD!$F:$F,$A185,Grid_BD!$Y:$Y)/($AA185+SUMIF(Grid_BD!$F:$F,$A185,Grid_BD!$Y:$Y)),"")</f>
        <v/>
      </c>
      <c r="S185" s="167"/>
      <c r="T185" s="172"/>
      <c r="U185" s="173"/>
      <c r="V185" s="167"/>
      <c r="W185" s="174" t="str">
        <f t="shared" si="14"/>
        <v/>
      </c>
      <c r="X185" s="167" t="str">
        <f>IFERROR(_xlfn.XLOOKUP($A185,Input_Raw!$A:$A,Input_Raw!$BF:$BF),"")</f>
        <v/>
      </c>
      <c r="Y185" s="167" t="str">
        <f>IFERROR(_xlfn.XLOOKUP($A185,Input_Raw!$A:$A,Input_Raw!BJ:BJ),"")</f>
        <v/>
      </c>
      <c r="Z185" s="167" t="str">
        <f>IFERROR(_xlfn.XLOOKUP($A185,Input_Raw!$A:$A,Input_Raw!BK:BK),"")</f>
        <v/>
      </c>
      <c r="AA185" s="167" t="str">
        <f>IFERROR(_xlfn.XLOOKUP($A185,Input_Raw!$A:$A,Input_Raw!BL:BL),"")</f>
        <v/>
      </c>
      <c r="AB185" s="167" t="str">
        <f>IFERROR(_xlfn.XLOOKUP($A185,Input_Raw!$A:$A,Input_Raw!$BO:$BO),"")</f>
        <v/>
      </c>
      <c r="AC185" s="176">
        <f>IFERROR(_xlfn.XLOOKUP($D185,'Modelling New'!$D:$D,'Modelling New'!$J:$J),"")</f>
        <v>8.16</v>
      </c>
      <c r="AD185" s="166">
        <f>IFERROR(_xlfn.XLOOKUP($D185,'Modelling New'!$D:$D,'Modelling New'!$T:$T)*1000,"")</f>
        <v>528999.85312315286</v>
      </c>
      <c r="AE185" s="174"/>
      <c r="AF185" s="174">
        <f>IFERROR(_xlfn.XLOOKUP($D185,'Modelling New'!$D:$D,'Modelling New'!$W:$W),"")</f>
        <v>0.31398376847290649</v>
      </c>
      <c r="AG185" s="174">
        <f>IFERROR(_xlfn.XLOOKUP($D185,'Modelling New'!$D:$D,'Modelling New'!$AE:$AE),"")</f>
        <v>0.96029999999999993</v>
      </c>
      <c r="AH185" s="174">
        <f>IFERROR(_xlfn.XLOOKUP($D185,'Modelling New'!$D:$D,'Modelling New'!$AF:$AF),"")</f>
        <v>0.995</v>
      </c>
      <c r="AI185" s="177" t="str">
        <f>IFERROR(_xlfn.XLOOKUP($A185,Input_Raw!$A:$A,Input_Raw!$BQ:$BQ),"")</f>
        <v/>
      </c>
      <c r="AJ185" s="167"/>
      <c r="AK185" s="167"/>
      <c r="AL185" s="167"/>
      <c r="AM185" s="167"/>
      <c r="AN185" s="175" t="str">
        <f>IFERROR(_xlfn.XLOOKUP($A185,Input_Raw!$A:$A,Input_Raw!$BN:$BN),"")</f>
        <v/>
      </c>
      <c r="AO185" s="174" t="str">
        <f>IFERROR((_xlfn.XLOOKUP($A185,'WTG Reactive Power'!$A:$A,'WTG Reactive Power'!$AE:$AE))/Table13[[#This Row],[Gen_Exp (kWh)]],"")</f>
        <v/>
      </c>
      <c r="AP185" s="174">
        <f>IFERROR(_xlfn.XLOOKUP($D185,'Modelling New'!$D:$D,'Modelling New'!$AK:$AK),"")</f>
        <v>0.05</v>
      </c>
      <c r="AQ185" s="174">
        <f>IFERROR(_xlfn.XLOOKUP($D185,'Modelling New'!$D:$D,'Modelling New'!$AL:$AL),"")</f>
        <v>0.05</v>
      </c>
      <c r="AR185" s="276">
        <f>IFERROR(_xlfn.XLOOKUP($D185,'Modelling New'!$D:$D,'Modelling New'!$N:$N),"")</f>
        <v>70.2</v>
      </c>
      <c r="AS185" s="276"/>
    </row>
    <row r="186" spans="1:45">
      <c r="A186" s="165">
        <f t="shared" si="15"/>
        <v>45929</v>
      </c>
      <c r="B186" s="166">
        <f>YEAR(Table13[[#This Row],[Date]])+IF(MONTH(Table13[[#This Row],[Date]])&gt;=4,1,0)</f>
        <v>2026</v>
      </c>
      <c r="C186" s="167">
        <f>YEAR(Table13[[#This Row],[Date]])</f>
        <v>2025</v>
      </c>
      <c r="D186" s="168">
        <f>Table13[[#This Row],[Date]]-DAY(Table13[[#This Row],[Date]])+1</f>
        <v>45901</v>
      </c>
      <c r="E186" s="167">
        <f t="shared" si="12"/>
        <v>30</v>
      </c>
      <c r="F186" s="169"/>
      <c r="G186" s="170"/>
      <c r="H186" s="170"/>
      <c r="I186" s="170"/>
      <c r="J186" s="170"/>
      <c r="K186" s="171"/>
      <c r="L186" s="170"/>
      <c r="M186" s="170" t="str">
        <f>IFERROR(_xlfn.XLOOKUP($A186,Input_Raw!$A:$A,Input_Raw!BG:BG),"")</f>
        <v/>
      </c>
      <c r="N186" s="170" t="str">
        <f>IFERROR(_xlfn.XLOOKUP($A186,Input_Raw!$A:$A,Input_Raw!BH:BH),"")</f>
        <v/>
      </c>
      <c r="O186" s="173" t="str">
        <f t="shared" si="13"/>
        <v/>
      </c>
      <c r="P186" s="173" t="str">
        <f>IFERROR(1-SUMIF(WTG_BD!$F:$F,$A186,WTG_BD!$AA:$AA)/($AA186+SUMIF(WTG_BD!$F:$F,$A186,WTG_BD!$AA:$AA)),"")</f>
        <v/>
      </c>
      <c r="Q186" s="173" t="str">
        <f>IFERROR(1-SUMIF(IGA_BD!$F:$F,$A186,IGA_BD!$X:$X)/($AA186+SUMIF(IGA_BD!$F:$F,$A186,IGA_BD!$X:$X)),"")</f>
        <v/>
      </c>
      <c r="R186" s="173" t="str">
        <f>IFERROR(1-SUMIF(Grid_BD!$F:$F,$A186,Grid_BD!$Y:$Y)/($AA186+SUMIF(Grid_BD!$F:$F,$A186,Grid_BD!$Y:$Y)),"")</f>
        <v/>
      </c>
      <c r="S186" s="167"/>
      <c r="T186" s="172"/>
      <c r="U186" s="173"/>
      <c r="V186" s="167"/>
      <c r="W186" s="174" t="str">
        <f t="shared" si="14"/>
        <v/>
      </c>
      <c r="X186" s="167" t="str">
        <f>IFERROR(_xlfn.XLOOKUP($A186,Input_Raw!$A:$A,Input_Raw!$BF:$BF),"")</f>
        <v/>
      </c>
      <c r="Y186" s="167" t="str">
        <f>IFERROR(_xlfn.XLOOKUP($A186,Input_Raw!$A:$A,Input_Raw!BJ:BJ),"")</f>
        <v/>
      </c>
      <c r="Z186" s="167" t="str">
        <f>IFERROR(_xlfn.XLOOKUP($A186,Input_Raw!$A:$A,Input_Raw!BK:BK),"")</f>
        <v/>
      </c>
      <c r="AA186" s="167" t="str">
        <f>IFERROR(_xlfn.XLOOKUP($A186,Input_Raw!$A:$A,Input_Raw!BL:BL),"")</f>
        <v/>
      </c>
      <c r="AB186" s="167" t="str">
        <f>IFERROR(_xlfn.XLOOKUP($A186,Input_Raw!$A:$A,Input_Raw!$BO:$BO),"")</f>
        <v/>
      </c>
      <c r="AC186" s="176">
        <f>IFERROR(_xlfn.XLOOKUP($D186,'Modelling New'!$D:$D,'Modelling New'!$J:$J),"")</f>
        <v>8.16</v>
      </c>
      <c r="AD186" s="166">
        <f>IFERROR(_xlfn.XLOOKUP($D186,'Modelling New'!$D:$D,'Modelling New'!$T:$T)*1000,"")</f>
        <v>528999.85312315286</v>
      </c>
      <c r="AE186" s="174"/>
      <c r="AF186" s="174">
        <f>IFERROR(_xlfn.XLOOKUP($D186,'Modelling New'!$D:$D,'Modelling New'!$W:$W),"")</f>
        <v>0.31398376847290649</v>
      </c>
      <c r="AG186" s="174">
        <f>IFERROR(_xlfn.XLOOKUP($D186,'Modelling New'!$D:$D,'Modelling New'!$AE:$AE),"")</f>
        <v>0.96029999999999993</v>
      </c>
      <c r="AH186" s="174">
        <f>IFERROR(_xlfn.XLOOKUP($D186,'Modelling New'!$D:$D,'Modelling New'!$AF:$AF),"")</f>
        <v>0.995</v>
      </c>
      <c r="AI186" s="177" t="str">
        <f>IFERROR(_xlfn.XLOOKUP($A186,Input_Raw!$A:$A,Input_Raw!$BQ:$BQ),"")</f>
        <v/>
      </c>
      <c r="AJ186" s="167"/>
      <c r="AK186" s="167"/>
      <c r="AL186" s="167"/>
      <c r="AM186" s="167"/>
      <c r="AN186" s="175" t="str">
        <f>IFERROR(_xlfn.XLOOKUP($A186,Input_Raw!$A:$A,Input_Raw!$BN:$BN),"")</f>
        <v/>
      </c>
      <c r="AO186" s="174" t="str">
        <f>IFERROR((_xlfn.XLOOKUP($A186,'WTG Reactive Power'!$A:$A,'WTG Reactive Power'!$AE:$AE))/Table13[[#This Row],[Gen_Exp (kWh)]],"")</f>
        <v/>
      </c>
      <c r="AP186" s="174">
        <f>IFERROR(_xlfn.XLOOKUP($D186,'Modelling New'!$D:$D,'Modelling New'!$AK:$AK),"")</f>
        <v>0.05</v>
      </c>
      <c r="AQ186" s="174">
        <f>IFERROR(_xlfn.XLOOKUP($D186,'Modelling New'!$D:$D,'Modelling New'!$AL:$AL),"")</f>
        <v>0.05</v>
      </c>
      <c r="AR186" s="276">
        <f>IFERROR(_xlfn.XLOOKUP($D186,'Modelling New'!$D:$D,'Modelling New'!$N:$N),"")</f>
        <v>70.2</v>
      </c>
      <c r="AS186" s="276"/>
    </row>
    <row r="187" spans="1:45">
      <c r="A187" s="165">
        <f t="shared" si="15"/>
        <v>45930</v>
      </c>
      <c r="B187" s="166">
        <f>YEAR(Table13[[#This Row],[Date]])+IF(MONTH(Table13[[#This Row],[Date]])&gt;=4,1,0)</f>
        <v>2026</v>
      </c>
      <c r="C187" s="167">
        <f>YEAR(Table13[[#This Row],[Date]])</f>
        <v>2025</v>
      </c>
      <c r="D187" s="168">
        <f>Table13[[#This Row],[Date]]-DAY(Table13[[#This Row],[Date]])+1</f>
        <v>45901</v>
      </c>
      <c r="E187" s="167">
        <f t="shared" si="12"/>
        <v>30</v>
      </c>
      <c r="F187" s="169"/>
      <c r="G187" s="176"/>
      <c r="H187" s="176"/>
      <c r="I187" s="176"/>
      <c r="J187" s="176"/>
      <c r="K187" s="171"/>
      <c r="L187" s="170"/>
      <c r="M187" s="170" t="str">
        <f>IFERROR(_xlfn.XLOOKUP($A187,Input_Raw!$A:$A,Input_Raw!BG:BG),"")</f>
        <v/>
      </c>
      <c r="N187" s="170" t="str">
        <f>IFERROR(_xlfn.XLOOKUP($A187,Input_Raw!$A:$A,Input_Raw!BH:BH),"")</f>
        <v/>
      </c>
      <c r="O187" s="173" t="str">
        <f t="shared" si="13"/>
        <v/>
      </c>
      <c r="P187" s="173" t="str">
        <f>IFERROR(1-SUMIF(WTG_BD!$F:$F,$A187,WTG_BD!$AA:$AA)/($AA187+SUMIF(WTG_BD!$F:$F,$A187,WTG_BD!$AA:$AA)),"")</f>
        <v/>
      </c>
      <c r="Q187" s="173" t="str">
        <f>IFERROR(1-SUMIF(IGA_BD!$F:$F,$A187,IGA_BD!$X:$X)/($AA187+SUMIF(IGA_BD!$F:$F,$A187,IGA_BD!$X:$X)),"")</f>
        <v/>
      </c>
      <c r="R187" s="173" t="str">
        <f>IFERROR(1-SUMIF(Grid_BD!$F:$F,$A187,Grid_BD!$Y:$Y)/($AA187+SUMIF(Grid_BD!$F:$F,$A187,Grid_BD!$Y:$Y)),"")</f>
        <v/>
      </c>
      <c r="S187" s="167"/>
      <c r="T187" s="172"/>
      <c r="U187" s="173"/>
      <c r="V187" s="167"/>
      <c r="W187" s="174" t="str">
        <f t="shared" si="14"/>
        <v/>
      </c>
      <c r="X187" s="167" t="str">
        <f>IFERROR(_xlfn.XLOOKUP($A187,Input_Raw!$A:$A,Input_Raw!$BF:$BF),"")</f>
        <v/>
      </c>
      <c r="Y187" s="167" t="str">
        <f>IFERROR(_xlfn.XLOOKUP($A187,Input_Raw!$A:$A,Input_Raw!BJ:BJ),"")</f>
        <v/>
      </c>
      <c r="Z187" s="167" t="str">
        <f>IFERROR(_xlfn.XLOOKUP($A187,Input_Raw!$A:$A,Input_Raw!BK:BK),"")</f>
        <v/>
      </c>
      <c r="AA187" s="167" t="str">
        <f>IFERROR(_xlfn.XLOOKUP($A187,Input_Raw!$A:$A,Input_Raw!BL:BL),"")</f>
        <v/>
      </c>
      <c r="AB187" s="167" t="str">
        <f>IFERROR(_xlfn.XLOOKUP($A187,Input_Raw!$A:$A,Input_Raw!$BO:$BO),"")</f>
        <v/>
      </c>
      <c r="AC187" s="176">
        <f>IFERROR(_xlfn.XLOOKUP($D187,'Modelling New'!$D:$D,'Modelling New'!$J:$J),"")</f>
        <v>8.16</v>
      </c>
      <c r="AD187" s="166">
        <f>IFERROR(_xlfn.XLOOKUP($D187,'Modelling New'!$D:$D,'Modelling New'!$T:$T)*1000,"")</f>
        <v>528999.85312315286</v>
      </c>
      <c r="AE187" s="174"/>
      <c r="AF187" s="174">
        <f>IFERROR(_xlfn.XLOOKUP($D187,'Modelling New'!$D:$D,'Modelling New'!$W:$W),"")</f>
        <v>0.31398376847290649</v>
      </c>
      <c r="AG187" s="174">
        <f>IFERROR(_xlfn.XLOOKUP($D187,'Modelling New'!$D:$D,'Modelling New'!$AE:$AE),"")</f>
        <v>0.96029999999999993</v>
      </c>
      <c r="AH187" s="174">
        <f>IFERROR(_xlfn.XLOOKUP($D187,'Modelling New'!$D:$D,'Modelling New'!$AF:$AF),"")</f>
        <v>0.995</v>
      </c>
      <c r="AI187" s="177" t="str">
        <f>IFERROR(_xlfn.XLOOKUP($A187,Input_Raw!$A:$A,Input_Raw!$BQ:$BQ),"")</f>
        <v/>
      </c>
      <c r="AJ187" s="167"/>
      <c r="AK187" s="167"/>
      <c r="AL187" s="167"/>
      <c r="AM187" s="167"/>
      <c r="AN187" s="175" t="str">
        <f>IFERROR(_xlfn.XLOOKUP($A187,Input_Raw!$A:$A,Input_Raw!$BN:$BN),"")</f>
        <v/>
      </c>
      <c r="AO187" s="174" t="str">
        <f>IFERROR((_xlfn.XLOOKUP($A187,'WTG Reactive Power'!$A:$A,'WTG Reactive Power'!$AE:$AE))/Table13[[#This Row],[Gen_Exp (kWh)]],"")</f>
        <v/>
      </c>
      <c r="AP187" s="174">
        <f>IFERROR(_xlfn.XLOOKUP($D187,'Modelling New'!$D:$D,'Modelling New'!$AK:$AK),"")</f>
        <v>0.05</v>
      </c>
      <c r="AQ187" s="174">
        <f>IFERROR(_xlfn.XLOOKUP($D187,'Modelling New'!$D:$D,'Modelling New'!$AL:$AL),"")</f>
        <v>0.05</v>
      </c>
      <c r="AR187" s="276">
        <f>IFERROR(_xlfn.XLOOKUP($D187,'Modelling New'!$D:$D,'Modelling New'!$N:$N),"")</f>
        <v>70.2</v>
      </c>
      <c r="AS187" s="276"/>
    </row>
    <row r="188" spans="1:45">
      <c r="A188" s="165">
        <f t="shared" si="15"/>
        <v>45931</v>
      </c>
      <c r="B188" s="166">
        <f>YEAR(Table13[[#This Row],[Date]])+IF(MONTH(Table13[[#This Row],[Date]])&gt;=4,1,0)</f>
        <v>2026</v>
      </c>
      <c r="C188" s="167">
        <f>YEAR(Table13[[#This Row],[Date]])</f>
        <v>2025</v>
      </c>
      <c r="D188" s="168">
        <f>Table13[[#This Row],[Date]]-DAY(Table13[[#This Row],[Date]])+1</f>
        <v>45931</v>
      </c>
      <c r="E188" s="167">
        <f t="shared" si="12"/>
        <v>31</v>
      </c>
      <c r="F188" s="169"/>
      <c r="G188" s="170"/>
      <c r="H188" s="170"/>
      <c r="I188" s="170"/>
      <c r="J188" s="170"/>
      <c r="K188" s="171"/>
      <c r="L188" s="170"/>
      <c r="M188" s="170" t="str">
        <f>IFERROR(_xlfn.XLOOKUP($A188,Input_Raw!$A:$A,Input_Raw!BG:BG),"")</f>
        <v/>
      </c>
      <c r="N188" s="170" t="str">
        <f>IFERROR(_xlfn.XLOOKUP($A188,Input_Raw!$A:$A,Input_Raw!BH:BH),"")</f>
        <v/>
      </c>
      <c r="O188" s="173" t="str">
        <f t="shared" si="13"/>
        <v/>
      </c>
      <c r="P188" s="173" t="str">
        <f>IFERROR(1-SUMIF(WTG_BD!$F:$F,$A188,WTG_BD!$AA:$AA)/($AA188+SUMIF(WTG_BD!$F:$F,$A188,WTG_BD!$AA:$AA)),"")</f>
        <v/>
      </c>
      <c r="Q188" s="173" t="str">
        <f>IFERROR(1-SUMIF(IGA_BD!$F:$F,$A188,IGA_BD!$X:$X)/($AA188+SUMIF(IGA_BD!$F:$F,$A188,IGA_BD!$X:$X)),"")</f>
        <v/>
      </c>
      <c r="R188" s="173" t="str">
        <f>IFERROR(1-SUMIF(Grid_BD!$F:$F,$A188,Grid_BD!$Y:$Y)/($AA188+SUMIF(Grid_BD!$F:$F,$A188,Grid_BD!$Y:$Y)),"")</f>
        <v/>
      </c>
      <c r="S188" s="167"/>
      <c r="T188" s="172"/>
      <c r="U188" s="173"/>
      <c r="V188" s="167"/>
      <c r="W188" s="174" t="str">
        <f t="shared" si="14"/>
        <v/>
      </c>
      <c r="X188" s="167" t="str">
        <f>IFERROR(_xlfn.XLOOKUP($A188,Input_Raw!$A:$A,Input_Raw!$BF:$BF),"")</f>
        <v/>
      </c>
      <c r="Y188" s="167" t="str">
        <f>IFERROR(_xlfn.XLOOKUP($A188,Input_Raw!$A:$A,Input_Raw!BJ:BJ),"")</f>
        <v/>
      </c>
      <c r="Z188" s="167" t="str">
        <f>IFERROR(_xlfn.XLOOKUP($A188,Input_Raw!$A:$A,Input_Raw!BK:BK),"")</f>
        <v/>
      </c>
      <c r="AA188" s="167" t="str">
        <f>IFERROR(_xlfn.XLOOKUP($A188,Input_Raw!$A:$A,Input_Raw!BL:BL),"")</f>
        <v/>
      </c>
      <c r="AB188" s="167" t="str">
        <f>IFERROR(_xlfn.XLOOKUP($A188,Input_Raw!$A:$A,Input_Raw!$BO:$BO),"")</f>
        <v/>
      </c>
      <c r="AC188" s="176">
        <f>IFERROR(_xlfn.XLOOKUP($D188,'Modelling New'!$D:$D,'Modelling New'!$J:$J),"")</f>
        <v>9.2100000000000009</v>
      </c>
      <c r="AD188" s="166">
        <f>IFERROR(_xlfn.XLOOKUP($D188,'Modelling New'!$D:$D,'Modelling New'!$T:$T)*1000,"")</f>
        <v>363484.56165517244</v>
      </c>
      <c r="AE188" s="174"/>
      <c r="AF188" s="174">
        <f>IFERROR(_xlfn.XLOOKUP($D188,'Modelling New'!$D:$D,'Modelling New'!$W:$W),"")</f>
        <v>0.21574344827586206</v>
      </c>
      <c r="AG188" s="174">
        <f>IFERROR(_xlfn.XLOOKUP($D188,'Modelling New'!$D:$D,'Modelling New'!$AE:$AE),"")</f>
        <v>0.96029999999999993</v>
      </c>
      <c r="AH188" s="174">
        <f>IFERROR(_xlfn.XLOOKUP($D188,'Modelling New'!$D:$D,'Modelling New'!$AF:$AF),"")</f>
        <v>0.995</v>
      </c>
      <c r="AI188" s="177" t="str">
        <f>IFERROR(_xlfn.XLOOKUP($A188,Input_Raw!$A:$A,Input_Raw!$BQ:$BQ),"")</f>
        <v/>
      </c>
      <c r="AJ188" s="167"/>
      <c r="AK188" s="167"/>
      <c r="AL188" s="167"/>
      <c r="AM188" s="167"/>
      <c r="AN188" s="175" t="str">
        <f>IFERROR(_xlfn.XLOOKUP($A188,Input_Raw!$A:$A,Input_Raw!$BN:$BN),"")</f>
        <v/>
      </c>
      <c r="AO188" s="174" t="str">
        <f>IFERROR((_xlfn.XLOOKUP($A188,'WTG Reactive Power'!$A:$A,'WTG Reactive Power'!$AE:$AE))/Table13[[#This Row],[Gen_Exp (kWh)]],"")</f>
        <v/>
      </c>
      <c r="AP188" s="174">
        <f>IFERROR(_xlfn.XLOOKUP($D188,'Modelling New'!$D:$D,'Modelling New'!$AK:$AK),"")</f>
        <v>0.05</v>
      </c>
      <c r="AQ188" s="174">
        <f>IFERROR(_xlfn.XLOOKUP($D188,'Modelling New'!$D:$D,'Modelling New'!$AL:$AL),"")</f>
        <v>0.05</v>
      </c>
      <c r="AR188" s="276">
        <f>IFERROR(_xlfn.XLOOKUP($D188,'Modelling New'!$D:$D,'Modelling New'!$N:$N),"")</f>
        <v>70.2</v>
      </c>
      <c r="AS188" s="276"/>
    </row>
    <row r="189" spans="1:45">
      <c r="A189" s="165">
        <f t="shared" si="15"/>
        <v>45932</v>
      </c>
      <c r="B189" s="166">
        <f>YEAR(Table13[[#This Row],[Date]])+IF(MONTH(Table13[[#This Row],[Date]])&gt;=4,1,0)</f>
        <v>2026</v>
      </c>
      <c r="C189" s="167">
        <f>YEAR(Table13[[#This Row],[Date]])</f>
        <v>2025</v>
      </c>
      <c r="D189" s="168">
        <f>Table13[[#This Row],[Date]]-DAY(Table13[[#This Row],[Date]])+1</f>
        <v>45931</v>
      </c>
      <c r="E189" s="167">
        <f t="shared" si="12"/>
        <v>31</v>
      </c>
      <c r="F189" s="169"/>
      <c r="G189" s="176"/>
      <c r="H189" s="176"/>
      <c r="I189" s="176"/>
      <c r="J189" s="176"/>
      <c r="K189" s="171"/>
      <c r="L189" s="170"/>
      <c r="M189" s="170" t="str">
        <f>IFERROR(_xlfn.XLOOKUP($A189,Input_Raw!$A:$A,Input_Raw!BG:BG),"")</f>
        <v/>
      </c>
      <c r="N189" s="170" t="str">
        <f>IFERROR(_xlfn.XLOOKUP($A189,Input_Raw!$A:$A,Input_Raw!BH:BH),"")</f>
        <v/>
      </c>
      <c r="O189" s="173" t="str">
        <f t="shared" si="13"/>
        <v/>
      </c>
      <c r="P189" s="173" t="str">
        <f>IFERROR(1-SUMIF(WTG_BD!$F:$F,$A189,WTG_BD!$AA:$AA)/($AA189+SUMIF(WTG_BD!$F:$F,$A189,WTG_BD!$AA:$AA)),"")</f>
        <v/>
      </c>
      <c r="Q189" s="173" t="str">
        <f>IFERROR(1-SUMIF(IGA_BD!$F:$F,$A189,IGA_BD!$X:$X)/($AA189+SUMIF(IGA_BD!$F:$F,$A189,IGA_BD!$X:$X)),"")</f>
        <v/>
      </c>
      <c r="R189" s="173" t="str">
        <f>IFERROR(1-SUMIF(Grid_BD!$F:$F,$A189,Grid_BD!$Y:$Y)/($AA189+SUMIF(Grid_BD!$F:$F,$A189,Grid_BD!$Y:$Y)),"")</f>
        <v/>
      </c>
      <c r="S189" s="167"/>
      <c r="T189" s="172"/>
      <c r="U189" s="173"/>
      <c r="V189" s="167"/>
      <c r="W189" s="174" t="str">
        <f t="shared" si="14"/>
        <v/>
      </c>
      <c r="X189" s="167" t="str">
        <f>IFERROR(_xlfn.XLOOKUP($A189,Input_Raw!$A:$A,Input_Raw!$BF:$BF),"")</f>
        <v/>
      </c>
      <c r="Y189" s="167" t="str">
        <f>IFERROR(_xlfn.XLOOKUP($A189,Input_Raw!$A:$A,Input_Raw!BJ:BJ),"")</f>
        <v/>
      </c>
      <c r="Z189" s="167" t="str">
        <f>IFERROR(_xlfn.XLOOKUP($A189,Input_Raw!$A:$A,Input_Raw!BK:BK),"")</f>
        <v/>
      </c>
      <c r="AA189" s="167" t="str">
        <f>IFERROR(_xlfn.XLOOKUP($A189,Input_Raw!$A:$A,Input_Raw!BL:BL),"")</f>
        <v/>
      </c>
      <c r="AB189" s="167" t="str">
        <f>IFERROR(_xlfn.XLOOKUP($A189,Input_Raw!$A:$A,Input_Raw!$BO:$BO),"")</f>
        <v/>
      </c>
      <c r="AC189" s="176">
        <f>IFERROR(_xlfn.XLOOKUP($D189,'Modelling New'!$D:$D,'Modelling New'!$J:$J),"")</f>
        <v>9.2100000000000009</v>
      </c>
      <c r="AD189" s="166">
        <f>IFERROR(_xlfn.XLOOKUP($D189,'Modelling New'!$D:$D,'Modelling New'!$T:$T)*1000,"")</f>
        <v>363484.56165517244</v>
      </c>
      <c r="AE189" s="174"/>
      <c r="AF189" s="174">
        <f>IFERROR(_xlfn.XLOOKUP($D189,'Modelling New'!$D:$D,'Modelling New'!$W:$W),"")</f>
        <v>0.21574344827586206</v>
      </c>
      <c r="AG189" s="174">
        <f>IFERROR(_xlfn.XLOOKUP($D189,'Modelling New'!$D:$D,'Modelling New'!$AE:$AE),"")</f>
        <v>0.96029999999999993</v>
      </c>
      <c r="AH189" s="174">
        <f>IFERROR(_xlfn.XLOOKUP($D189,'Modelling New'!$D:$D,'Modelling New'!$AF:$AF),"")</f>
        <v>0.995</v>
      </c>
      <c r="AI189" s="177" t="str">
        <f>IFERROR(_xlfn.XLOOKUP($A189,Input_Raw!$A:$A,Input_Raw!$BQ:$BQ),"")</f>
        <v/>
      </c>
      <c r="AJ189" s="167"/>
      <c r="AK189" s="167"/>
      <c r="AL189" s="167"/>
      <c r="AM189" s="167"/>
      <c r="AN189" s="175" t="str">
        <f>IFERROR(_xlfn.XLOOKUP($A189,Input_Raw!$A:$A,Input_Raw!$BN:$BN),"")</f>
        <v/>
      </c>
      <c r="AO189" s="174" t="str">
        <f>IFERROR((_xlfn.XLOOKUP($A189,'WTG Reactive Power'!$A:$A,'WTG Reactive Power'!$AE:$AE))/Table13[[#This Row],[Gen_Exp (kWh)]],"")</f>
        <v/>
      </c>
      <c r="AP189" s="174">
        <f>IFERROR(_xlfn.XLOOKUP($D189,'Modelling New'!$D:$D,'Modelling New'!$AK:$AK),"")</f>
        <v>0.05</v>
      </c>
      <c r="AQ189" s="174">
        <f>IFERROR(_xlfn.XLOOKUP($D189,'Modelling New'!$D:$D,'Modelling New'!$AL:$AL),"")</f>
        <v>0.05</v>
      </c>
      <c r="AR189" s="276">
        <f>IFERROR(_xlfn.XLOOKUP($D189,'Modelling New'!$D:$D,'Modelling New'!$N:$N),"")</f>
        <v>70.2</v>
      </c>
      <c r="AS189" s="276"/>
    </row>
    <row r="190" spans="1:45">
      <c r="A190" s="165">
        <f t="shared" si="15"/>
        <v>45933</v>
      </c>
      <c r="B190" s="166">
        <f>YEAR(Table13[[#This Row],[Date]])+IF(MONTH(Table13[[#This Row],[Date]])&gt;=4,1,0)</f>
        <v>2026</v>
      </c>
      <c r="C190" s="167">
        <f>YEAR(Table13[[#This Row],[Date]])</f>
        <v>2025</v>
      </c>
      <c r="D190" s="168">
        <f>Table13[[#This Row],[Date]]-DAY(Table13[[#This Row],[Date]])+1</f>
        <v>45931</v>
      </c>
      <c r="E190" s="167">
        <f t="shared" si="12"/>
        <v>31</v>
      </c>
      <c r="F190" s="169"/>
      <c r="G190" s="170"/>
      <c r="H190" s="170"/>
      <c r="I190" s="170"/>
      <c r="J190" s="170"/>
      <c r="K190" s="171"/>
      <c r="L190" s="170"/>
      <c r="M190" s="170" t="str">
        <f>IFERROR(_xlfn.XLOOKUP($A190,Input_Raw!$A:$A,Input_Raw!BG:BG),"")</f>
        <v/>
      </c>
      <c r="N190" s="170" t="str">
        <f>IFERROR(_xlfn.XLOOKUP($A190,Input_Raw!$A:$A,Input_Raw!BH:BH),"")</f>
        <v/>
      </c>
      <c r="O190" s="173" t="str">
        <f t="shared" si="13"/>
        <v/>
      </c>
      <c r="P190" s="173" t="str">
        <f>IFERROR(1-SUMIF(WTG_BD!$F:$F,$A190,WTG_BD!$AA:$AA)/($AA190+SUMIF(WTG_BD!$F:$F,$A190,WTG_BD!$AA:$AA)),"")</f>
        <v/>
      </c>
      <c r="Q190" s="173" t="str">
        <f>IFERROR(1-SUMIF(IGA_BD!$F:$F,$A190,IGA_BD!$X:$X)/($AA190+SUMIF(IGA_BD!$F:$F,$A190,IGA_BD!$X:$X)),"")</f>
        <v/>
      </c>
      <c r="R190" s="173" t="str">
        <f>IFERROR(1-SUMIF(Grid_BD!$F:$F,$A190,Grid_BD!$Y:$Y)/($AA190+SUMIF(Grid_BD!$F:$F,$A190,Grid_BD!$Y:$Y)),"")</f>
        <v/>
      </c>
      <c r="S190" s="167"/>
      <c r="T190" s="172"/>
      <c r="U190" s="173"/>
      <c r="V190" s="167"/>
      <c r="W190" s="174" t="str">
        <f t="shared" si="14"/>
        <v/>
      </c>
      <c r="X190" s="167" t="str">
        <f>IFERROR(_xlfn.XLOOKUP($A190,Input_Raw!$A:$A,Input_Raw!$BF:$BF),"")</f>
        <v/>
      </c>
      <c r="Y190" s="167" t="str">
        <f>IFERROR(_xlfn.XLOOKUP($A190,Input_Raw!$A:$A,Input_Raw!BJ:BJ),"")</f>
        <v/>
      </c>
      <c r="Z190" s="167" t="str">
        <f>IFERROR(_xlfn.XLOOKUP($A190,Input_Raw!$A:$A,Input_Raw!BK:BK),"")</f>
        <v/>
      </c>
      <c r="AA190" s="167" t="str">
        <f>IFERROR(_xlfn.XLOOKUP($A190,Input_Raw!$A:$A,Input_Raw!BL:BL),"")</f>
        <v/>
      </c>
      <c r="AB190" s="167" t="str">
        <f>IFERROR(_xlfn.XLOOKUP($A190,Input_Raw!$A:$A,Input_Raw!$BO:$BO),"")</f>
        <v/>
      </c>
      <c r="AC190" s="176">
        <f>IFERROR(_xlfn.XLOOKUP($D190,'Modelling New'!$D:$D,'Modelling New'!$J:$J),"")</f>
        <v>9.2100000000000009</v>
      </c>
      <c r="AD190" s="166">
        <f>IFERROR(_xlfn.XLOOKUP($D190,'Modelling New'!$D:$D,'Modelling New'!$T:$T)*1000,"")</f>
        <v>363484.56165517244</v>
      </c>
      <c r="AE190" s="174"/>
      <c r="AF190" s="174">
        <f>IFERROR(_xlfn.XLOOKUP($D190,'Modelling New'!$D:$D,'Modelling New'!$W:$W),"")</f>
        <v>0.21574344827586206</v>
      </c>
      <c r="AG190" s="174">
        <f>IFERROR(_xlfn.XLOOKUP($D190,'Modelling New'!$D:$D,'Modelling New'!$AE:$AE),"")</f>
        <v>0.96029999999999993</v>
      </c>
      <c r="AH190" s="174">
        <f>IFERROR(_xlfn.XLOOKUP($D190,'Modelling New'!$D:$D,'Modelling New'!$AF:$AF),"")</f>
        <v>0.995</v>
      </c>
      <c r="AI190" s="177" t="str">
        <f>IFERROR(_xlfn.XLOOKUP($A190,Input_Raw!$A:$A,Input_Raw!$BQ:$BQ),"")</f>
        <v/>
      </c>
      <c r="AJ190" s="167"/>
      <c r="AK190" s="167"/>
      <c r="AL190" s="167"/>
      <c r="AM190" s="167"/>
      <c r="AN190" s="175" t="str">
        <f>IFERROR(_xlfn.XLOOKUP($A190,Input_Raw!$A:$A,Input_Raw!$BN:$BN),"")</f>
        <v/>
      </c>
      <c r="AO190" s="174" t="str">
        <f>IFERROR((_xlfn.XLOOKUP($A190,'WTG Reactive Power'!$A:$A,'WTG Reactive Power'!$AE:$AE))/Table13[[#This Row],[Gen_Exp (kWh)]],"")</f>
        <v/>
      </c>
      <c r="AP190" s="174">
        <f>IFERROR(_xlfn.XLOOKUP($D190,'Modelling New'!$D:$D,'Modelling New'!$AK:$AK),"")</f>
        <v>0.05</v>
      </c>
      <c r="AQ190" s="174">
        <f>IFERROR(_xlfn.XLOOKUP($D190,'Modelling New'!$D:$D,'Modelling New'!$AL:$AL),"")</f>
        <v>0.05</v>
      </c>
      <c r="AR190" s="276">
        <f>IFERROR(_xlfn.XLOOKUP($D190,'Modelling New'!$D:$D,'Modelling New'!$N:$N),"")</f>
        <v>70.2</v>
      </c>
      <c r="AS190" s="276"/>
    </row>
    <row r="191" spans="1:45">
      <c r="A191" s="165">
        <f t="shared" si="15"/>
        <v>45934</v>
      </c>
      <c r="B191" s="166">
        <f>YEAR(Table13[[#This Row],[Date]])+IF(MONTH(Table13[[#This Row],[Date]])&gt;=4,1,0)</f>
        <v>2026</v>
      </c>
      <c r="C191" s="167">
        <f>YEAR(Table13[[#This Row],[Date]])</f>
        <v>2025</v>
      </c>
      <c r="D191" s="168">
        <f>Table13[[#This Row],[Date]]-DAY(Table13[[#This Row],[Date]])+1</f>
        <v>45931</v>
      </c>
      <c r="E191" s="167">
        <f t="shared" si="12"/>
        <v>31</v>
      </c>
      <c r="F191" s="169"/>
      <c r="G191" s="176"/>
      <c r="H191" s="176"/>
      <c r="I191" s="176"/>
      <c r="J191" s="176"/>
      <c r="K191" s="171"/>
      <c r="L191" s="170"/>
      <c r="M191" s="170" t="str">
        <f>IFERROR(_xlfn.XLOOKUP($A191,Input_Raw!$A:$A,Input_Raw!BG:BG),"")</f>
        <v/>
      </c>
      <c r="N191" s="170" t="str">
        <f>IFERROR(_xlfn.XLOOKUP($A191,Input_Raw!$A:$A,Input_Raw!BH:BH),"")</f>
        <v/>
      </c>
      <c r="O191" s="173" t="str">
        <f t="shared" si="13"/>
        <v/>
      </c>
      <c r="P191" s="173" t="str">
        <f>IFERROR(1-SUMIF(WTG_BD!$F:$F,$A191,WTG_BD!$AA:$AA)/($AA191+SUMIF(WTG_BD!$F:$F,$A191,WTG_BD!$AA:$AA)),"")</f>
        <v/>
      </c>
      <c r="Q191" s="173" t="str">
        <f>IFERROR(1-SUMIF(IGA_BD!$F:$F,$A191,IGA_BD!$X:$X)/($AA191+SUMIF(IGA_BD!$F:$F,$A191,IGA_BD!$X:$X)),"")</f>
        <v/>
      </c>
      <c r="R191" s="173" t="str">
        <f>IFERROR(1-SUMIF(Grid_BD!$F:$F,$A191,Grid_BD!$Y:$Y)/($AA191+SUMIF(Grid_BD!$F:$F,$A191,Grid_BD!$Y:$Y)),"")</f>
        <v/>
      </c>
      <c r="S191" s="167"/>
      <c r="T191" s="172"/>
      <c r="U191" s="173"/>
      <c r="V191" s="167"/>
      <c r="W191" s="174" t="str">
        <f t="shared" si="14"/>
        <v/>
      </c>
      <c r="X191" s="167" t="str">
        <f>IFERROR(_xlfn.XLOOKUP($A191,Input_Raw!$A:$A,Input_Raw!$BF:$BF),"")</f>
        <v/>
      </c>
      <c r="Y191" s="167" t="str">
        <f>IFERROR(_xlfn.XLOOKUP($A191,Input_Raw!$A:$A,Input_Raw!BJ:BJ),"")</f>
        <v/>
      </c>
      <c r="Z191" s="167" t="str">
        <f>IFERROR(_xlfn.XLOOKUP($A191,Input_Raw!$A:$A,Input_Raw!BK:BK),"")</f>
        <v/>
      </c>
      <c r="AA191" s="167" t="str">
        <f>IFERROR(_xlfn.XLOOKUP($A191,Input_Raw!$A:$A,Input_Raw!BL:BL),"")</f>
        <v/>
      </c>
      <c r="AB191" s="167" t="str">
        <f>IFERROR(_xlfn.XLOOKUP($A191,Input_Raw!$A:$A,Input_Raw!$BO:$BO),"")</f>
        <v/>
      </c>
      <c r="AC191" s="176">
        <f>IFERROR(_xlfn.XLOOKUP($D191,'Modelling New'!$D:$D,'Modelling New'!$J:$J),"")</f>
        <v>9.2100000000000009</v>
      </c>
      <c r="AD191" s="166">
        <f>IFERROR(_xlfn.XLOOKUP($D191,'Modelling New'!$D:$D,'Modelling New'!$T:$T)*1000,"")</f>
        <v>363484.56165517244</v>
      </c>
      <c r="AE191" s="174"/>
      <c r="AF191" s="174">
        <f>IFERROR(_xlfn.XLOOKUP($D191,'Modelling New'!$D:$D,'Modelling New'!$W:$W),"")</f>
        <v>0.21574344827586206</v>
      </c>
      <c r="AG191" s="174">
        <f>IFERROR(_xlfn.XLOOKUP($D191,'Modelling New'!$D:$D,'Modelling New'!$AE:$AE),"")</f>
        <v>0.96029999999999993</v>
      </c>
      <c r="AH191" s="174">
        <f>IFERROR(_xlfn.XLOOKUP($D191,'Modelling New'!$D:$D,'Modelling New'!$AF:$AF),"")</f>
        <v>0.995</v>
      </c>
      <c r="AI191" s="177" t="str">
        <f>IFERROR(_xlfn.XLOOKUP($A191,Input_Raw!$A:$A,Input_Raw!$BQ:$BQ),"")</f>
        <v/>
      </c>
      <c r="AJ191" s="167"/>
      <c r="AK191" s="167"/>
      <c r="AL191" s="167"/>
      <c r="AM191" s="167"/>
      <c r="AN191" s="175" t="str">
        <f>IFERROR(_xlfn.XLOOKUP($A191,Input_Raw!$A:$A,Input_Raw!$BN:$BN),"")</f>
        <v/>
      </c>
      <c r="AO191" s="174" t="str">
        <f>IFERROR((_xlfn.XLOOKUP($A191,'WTG Reactive Power'!$A:$A,'WTG Reactive Power'!$AE:$AE))/Table13[[#This Row],[Gen_Exp (kWh)]],"")</f>
        <v/>
      </c>
      <c r="AP191" s="174">
        <f>IFERROR(_xlfn.XLOOKUP($D191,'Modelling New'!$D:$D,'Modelling New'!$AK:$AK),"")</f>
        <v>0.05</v>
      </c>
      <c r="AQ191" s="174">
        <f>IFERROR(_xlfn.XLOOKUP($D191,'Modelling New'!$D:$D,'Modelling New'!$AL:$AL),"")</f>
        <v>0.05</v>
      </c>
      <c r="AR191" s="276">
        <f>IFERROR(_xlfn.XLOOKUP($D191,'Modelling New'!$D:$D,'Modelling New'!$N:$N),"")</f>
        <v>70.2</v>
      </c>
      <c r="AS191" s="276"/>
    </row>
    <row r="192" spans="1:45">
      <c r="A192" s="165">
        <f t="shared" si="15"/>
        <v>45935</v>
      </c>
      <c r="B192" s="166">
        <f>YEAR(Table13[[#This Row],[Date]])+IF(MONTH(Table13[[#This Row],[Date]])&gt;=4,1,0)</f>
        <v>2026</v>
      </c>
      <c r="C192" s="167">
        <f>YEAR(Table13[[#This Row],[Date]])</f>
        <v>2025</v>
      </c>
      <c r="D192" s="168">
        <f>Table13[[#This Row],[Date]]-DAY(Table13[[#This Row],[Date]])+1</f>
        <v>45931</v>
      </c>
      <c r="E192" s="167">
        <f t="shared" si="12"/>
        <v>31</v>
      </c>
      <c r="F192" s="169"/>
      <c r="G192" s="170"/>
      <c r="H192" s="170"/>
      <c r="I192" s="170"/>
      <c r="J192" s="170"/>
      <c r="K192" s="171"/>
      <c r="L192" s="170"/>
      <c r="M192" s="170" t="str">
        <f>IFERROR(_xlfn.XLOOKUP($A192,Input_Raw!$A:$A,Input_Raw!BG:BG),"")</f>
        <v/>
      </c>
      <c r="N192" s="170" t="str">
        <f>IFERROR(_xlfn.XLOOKUP($A192,Input_Raw!$A:$A,Input_Raw!BH:BH),"")</f>
        <v/>
      </c>
      <c r="O192" s="173" t="str">
        <f t="shared" si="13"/>
        <v/>
      </c>
      <c r="P192" s="173" t="str">
        <f>IFERROR(1-SUMIF(WTG_BD!$F:$F,$A192,WTG_BD!$AA:$AA)/($AA192+SUMIF(WTG_BD!$F:$F,$A192,WTG_BD!$AA:$AA)),"")</f>
        <v/>
      </c>
      <c r="Q192" s="173" t="str">
        <f>IFERROR(1-SUMIF(IGA_BD!$F:$F,$A192,IGA_BD!$X:$X)/($AA192+SUMIF(IGA_BD!$F:$F,$A192,IGA_BD!$X:$X)),"")</f>
        <v/>
      </c>
      <c r="R192" s="173" t="str">
        <f>IFERROR(1-SUMIF(Grid_BD!$F:$F,$A192,Grid_BD!$Y:$Y)/($AA192+SUMIF(Grid_BD!$F:$F,$A192,Grid_BD!$Y:$Y)),"")</f>
        <v/>
      </c>
      <c r="S192" s="167"/>
      <c r="T192" s="172"/>
      <c r="U192" s="173"/>
      <c r="V192" s="167"/>
      <c r="W192" s="174" t="str">
        <f t="shared" si="14"/>
        <v/>
      </c>
      <c r="X192" s="167" t="str">
        <f>IFERROR(_xlfn.XLOOKUP($A192,Input_Raw!$A:$A,Input_Raw!$BF:$BF),"")</f>
        <v/>
      </c>
      <c r="Y192" s="167" t="str">
        <f>IFERROR(_xlfn.XLOOKUP($A192,Input_Raw!$A:$A,Input_Raw!BJ:BJ),"")</f>
        <v/>
      </c>
      <c r="Z192" s="167" t="str">
        <f>IFERROR(_xlfn.XLOOKUP($A192,Input_Raw!$A:$A,Input_Raw!BK:BK),"")</f>
        <v/>
      </c>
      <c r="AA192" s="167" t="str">
        <f>IFERROR(_xlfn.XLOOKUP($A192,Input_Raw!$A:$A,Input_Raw!BL:BL),"")</f>
        <v/>
      </c>
      <c r="AB192" s="167" t="str">
        <f>IFERROR(_xlfn.XLOOKUP($A192,Input_Raw!$A:$A,Input_Raw!$BO:$BO),"")</f>
        <v/>
      </c>
      <c r="AC192" s="176">
        <f>IFERROR(_xlfn.XLOOKUP($D192,'Modelling New'!$D:$D,'Modelling New'!$J:$J),"")</f>
        <v>9.2100000000000009</v>
      </c>
      <c r="AD192" s="166">
        <f>IFERROR(_xlfn.XLOOKUP($D192,'Modelling New'!$D:$D,'Modelling New'!$T:$T)*1000,"")</f>
        <v>363484.56165517244</v>
      </c>
      <c r="AE192" s="174"/>
      <c r="AF192" s="174">
        <f>IFERROR(_xlfn.XLOOKUP($D192,'Modelling New'!$D:$D,'Modelling New'!$W:$W),"")</f>
        <v>0.21574344827586206</v>
      </c>
      <c r="AG192" s="174">
        <f>IFERROR(_xlfn.XLOOKUP($D192,'Modelling New'!$D:$D,'Modelling New'!$AE:$AE),"")</f>
        <v>0.96029999999999993</v>
      </c>
      <c r="AH192" s="174">
        <f>IFERROR(_xlfn.XLOOKUP($D192,'Modelling New'!$D:$D,'Modelling New'!$AF:$AF),"")</f>
        <v>0.995</v>
      </c>
      <c r="AI192" s="177" t="str">
        <f>IFERROR(_xlfn.XLOOKUP($A192,Input_Raw!$A:$A,Input_Raw!$BQ:$BQ),"")</f>
        <v/>
      </c>
      <c r="AJ192" s="167"/>
      <c r="AK192" s="167"/>
      <c r="AL192" s="167"/>
      <c r="AM192" s="167"/>
      <c r="AN192" s="175" t="str">
        <f>IFERROR(_xlfn.XLOOKUP($A192,Input_Raw!$A:$A,Input_Raw!$BN:$BN),"")</f>
        <v/>
      </c>
      <c r="AO192" s="174" t="str">
        <f>IFERROR((_xlfn.XLOOKUP($A192,'WTG Reactive Power'!$A:$A,'WTG Reactive Power'!$AE:$AE))/Table13[[#This Row],[Gen_Exp (kWh)]],"")</f>
        <v/>
      </c>
      <c r="AP192" s="174">
        <f>IFERROR(_xlfn.XLOOKUP($D192,'Modelling New'!$D:$D,'Modelling New'!$AK:$AK),"")</f>
        <v>0.05</v>
      </c>
      <c r="AQ192" s="174">
        <f>IFERROR(_xlfn.XLOOKUP($D192,'Modelling New'!$D:$D,'Modelling New'!$AL:$AL),"")</f>
        <v>0.05</v>
      </c>
      <c r="AR192" s="276">
        <f>IFERROR(_xlfn.XLOOKUP($D192,'Modelling New'!$D:$D,'Modelling New'!$N:$N),"")</f>
        <v>70.2</v>
      </c>
      <c r="AS192" s="276"/>
    </row>
    <row r="193" spans="1:45">
      <c r="A193" s="165">
        <f t="shared" si="15"/>
        <v>45936</v>
      </c>
      <c r="B193" s="166">
        <f>YEAR(Table13[[#This Row],[Date]])+IF(MONTH(Table13[[#This Row],[Date]])&gt;=4,1,0)</f>
        <v>2026</v>
      </c>
      <c r="C193" s="167">
        <f>YEAR(Table13[[#This Row],[Date]])</f>
        <v>2025</v>
      </c>
      <c r="D193" s="168">
        <f>Table13[[#This Row],[Date]]-DAY(Table13[[#This Row],[Date]])+1</f>
        <v>45931</v>
      </c>
      <c r="E193" s="167">
        <f t="shared" si="12"/>
        <v>31</v>
      </c>
      <c r="F193" s="169"/>
      <c r="G193" s="176"/>
      <c r="H193" s="176"/>
      <c r="I193" s="176"/>
      <c r="J193" s="176"/>
      <c r="K193" s="171"/>
      <c r="L193" s="170"/>
      <c r="M193" s="170" t="str">
        <f>IFERROR(_xlfn.XLOOKUP($A193,Input_Raw!$A:$A,Input_Raw!BG:BG),"")</f>
        <v/>
      </c>
      <c r="N193" s="170" t="str">
        <f>IFERROR(_xlfn.XLOOKUP($A193,Input_Raw!$A:$A,Input_Raw!BH:BH),"")</f>
        <v/>
      </c>
      <c r="O193" s="173" t="str">
        <f t="shared" si="13"/>
        <v/>
      </c>
      <c r="P193" s="173" t="str">
        <f>IFERROR(1-SUMIF(WTG_BD!$F:$F,$A193,WTG_BD!$AA:$AA)/($AA193+SUMIF(WTG_BD!$F:$F,$A193,WTG_BD!$AA:$AA)),"")</f>
        <v/>
      </c>
      <c r="Q193" s="173" t="str">
        <f>IFERROR(1-SUMIF(IGA_BD!$F:$F,$A193,IGA_BD!$X:$X)/($AA193+SUMIF(IGA_BD!$F:$F,$A193,IGA_BD!$X:$X)),"")</f>
        <v/>
      </c>
      <c r="R193" s="173" t="str">
        <f>IFERROR(1-SUMIF(Grid_BD!$F:$F,$A193,Grid_BD!$Y:$Y)/($AA193+SUMIF(Grid_BD!$F:$F,$A193,Grid_BD!$Y:$Y)),"")</f>
        <v/>
      </c>
      <c r="S193" s="167"/>
      <c r="T193" s="172"/>
      <c r="U193" s="173"/>
      <c r="V193" s="167"/>
      <c r="W193" s="174" t="str">
        <f t="shared" si="14"/>
        <v/>
      </c>
      <c r="X193" s="167" t="str">
        <f>IFERROR(_xlfn.XLOOKUP($A193,Input_Raw!$A:$A,Input_Raw!$BF:$BF),"")</f>
        <v/>
      </c>
      <c r="Y193" s="167" t="str">
        <f>IFERROR(_xlfn.XLOOKUP($A193,Input_Raw!$A:$A,Input_Raw!BJ:BJ),"")</f>
        <v/>
      </c>
      <c r="Z193" s="167" t="str">
        <f>IFERROR(_xlfn.XLOOKUP($A193,Input_Raw!$A:$A,Input_Raw!BK:BK),"")</f>
        <v/>
      </c>
      <c r="AA193" s="167" t="str">
        <f>IFERROR(_xlfn.XLOOKUP($A193,Input_Raw!$A:$A,Input_Raw!BL:BL),"")</f>
        <v/>
      </c>
      <c r="AB193" s="167" t="str">
        <f>IFERROR(_xlfn.XLOOKUP($A193,Input_Raw!$A:$A,Input_Raw!$BO:$BO),"")</f>
        <v/>
      </c>
      <c r="AC193" s="176">
        <f>IFERROR(_xlfn.XLOOKUP($D193,'Modelling New'!$D:$D,'Modelling New'!$J:$J),"")</f>
        <v>9.2100000000000009</v>
      </c>
      <c r="AD193" s="166">
        <f>IFERROR(_xlfn.XLOOKUP($D193,'Modelling New'!$D:$D,'Modelling New'!$T:$T)*1000,"")</f>
        <v>363484.56165517244</v>
      </c>
      <c r="AE193" s="174"/>
      <c r="AF193" s="174">
        <f>IFERROR(_xlfn.XLOOKUP($D193,'Modelling New'!$D:$D,'Modelling New'!$W:$W),"")</f>
        <v>0.21574344827586206</v>
      </c>
      <c r="AG193" s="174">
        <f>IFERROR(_xlfn.XLOOKUP($D193,'Modelling New'!$D:$D,'Modelling New'!$AE:$AE),"")</f>
        <v>0.96029999999999993</v>
      </c>
      <c r="AH193" s="174">
        <f>IFERROR(_xlfn.XLOOKUP($D193,'Modelling New'!$D:$D,'Modelling New'!$AF:$AF),"")</f>
        <v>0.995</v>
      </c>
      <c r="AI193" s="177" t="str">
        <f>IFERROR(_xlfn.XLOOKUP($A193,Input_Raw!$A:$A,Input_Raw!$BQ:$BQ),"")</f>
        <v/>
      </c>
      <c r="AJ193" s="167"/>
      <c r="AK193" s="167"/>
      <c r="AL193" s="167"/>
      <c r="AM193" s="167"/>
      <c r="AN193" s="175" t="str">
        <f>IFERROR(_xlfn.XLOOKUP($A193,Input_Raw!$A:$A,Input_Raw!$BN:$BN),"")</f>
        <v/>
      </c>
      <c r="AO193" s="174" t="str">
        <f>IFERROR((_xlfn.XLOOKUP($A193,'WTG Reactive Power'!$A:$A,'WTG Reactive Power'!$AE:$AE))/Table13[[#This Row],[Gen_Exp (kWh)]],"")</f>
        <v/>
      </c>
      <c r="AP193" s="174">
        <f>IFERROR(_xlfn.XLOOKUP($D193,'Modelling New'!$D:$D,'Modelling New'!$AK:$AK),"")</f>
        <v>0.05</v>
      </c>
      <c r="AQ193" s="174">
        <f>IFERROR(_xlfn.XLOOKUP($D193,'Modelling New'!$D:$D,'Modelling New'!$AL:$AL),"")</f>
        <v>0.05</v>
      </c>
      <c r="AR193" s="276">
        <f>IFERROR(_xlfn.XLOOKUP($D193,'Modelling New'!$D:$D,'Modelling New'!$N:$N),"")</f>
        <v>70.2</v>
      </c>
      <c r="AS193" s="276"/>
    </row>
    <row r="194" spans="1:45">
      <c r="A194" s="165">
        <f t="shared" si="15"/>
        <v>45937</v>
      </c>
      <c r="B194" s="166">
        <f>YEAR(Table13[[#This Row],[Date]])+IF(MONTH(Table13[[#This Row],[Date]])&gt;=4,1,0)</f>
        <v>2026</v>
      </c>
      <c r="C194" s="167">
        <f>YEAR(Table13[[#This Row],[Date]])</f>
        <v>2025</v>
      </c>
      <c r="D194" s="168">
        <f>Table13[[#This Row],[Date]]-DAY(Table13[[#This Row],[Date]])+1</f>
        <v>45931</v>
      </c>
      <c r="E194" s="167">
        <f t="shared" si="12"/>
        <v>31</v>
      </c>
      <c r="F194" s="169"/>
      <c r="G194" s="170"/>
      <c r="H194" s="170"/>
      <c r="I194" s="170"/>
      <c r="J194" s="170"/>
      <c r="K194" s="171"/>
      <c r="L194" s="170"/>
      <c r="M194" s="170" t="str">
        <f>IFERROR(_xlfn.XLOOKUP($A194,Input_Raw!$A:$A,Input_Raw!BG:BG),"")</f>
        <v/>
      </c>
      <c r="N194" s="170" t="str">
        <f>IFERROR(_xlfn.XLOOKUP($A194,Input_Raw!$A:$A,Input_Raw!BH:BH),"")</f>
        <v/>
      </c>
      <c r="O194" s="173" t="str">
        <f t="shared" si="13"/>
        <v/>
      </c>
      <c r="P194" s="173" t="str">
        <f>IFERROR(1-SUMIF(WTG_BD!$F:$F,$A194,WTG_BD!$AA:$AA)/($AA194+SUMIF(WTG_BD!$F:$F,$A194,WTG_BD!$AA:$AA)),"")</f>
        <v/>
      </c>
      <c r="Q194" s="173" t="str">
        <f>IFERROR(1-SUMIF(IGA_BD!$F:$F,$A194,IGA_BD!$X:$X)/($AA194+SUMIF(IGA_BD!$F:$F,$A194,IGA_BD!$X:$X)),"")</f>
        <v/>
      </c>
      <c r="R194" s="173" t="str">
        <f>IFERROR(1-SUMIF(Grid_BD!$F:$F,$A194,Grid_BD!$Y:$Y)/($AA194+SUMIF(Grid_BD!$F:$F,$A194,Grid_BD!$Y:$Y)),"")</f>
        <v/>
      </c>
      <c r="S194" s="167"/>
      <c r="T194" s="172"/>
      <c r="U194" s="173"/>
      <c r="V194" s="167"/>
      <c r="W194" s="174" t="str">
        <f t="shared" si="14"/>
        <v/>
      </c>
      <c r="X194" s="167" t="str">
        <f>IFERROR(_xlfn.XLOOKUP($A194,Input_Raw!$A:$A,Input_Raw!$BF:$BF),"")</f>
        <v/>
      </c>
      <c r="Y194" s="167" t="str">
        <f>IFERROR(_xlfn.XLOOKUP($A194,Input_Raw!$A:$A,Input_Raw!BJ:BJ),"")</f>
        <v/>
      </c>
      <c r="Z194" s="167" t="str">
        <f>IFERROR(_xlfn.XLOOKUP($A194,Input_Raw!$A:$A,Input_Raw!BK:BK),"")</f>
        <v/>
      </c>
      <c r="AA194" s="167" t="str">
        <f>IFERROR(_xlfn.XLOOKUP($A194,Input_Raw!$A:$A,Input_Raw!BL:BL),"")</f>
        <v/>
      </c>
      <c r="AB194" s="167" t="str">
        <f>IFERROR(_xlfn.XLOOKUP($A194,Input_Raw!$A:$A,Input_Raw!$BO:$BO),"")</f>
        <v/>
      </c>
      <c r="AC194" s="176">
        <f>IFERROR(_xlfn.XLOOKUP($D194,'Modelling New'!$D:$D,'Modelling New'!$J:$J),"")</f>
        <v>9.2100000000000009</v>
      </c>
      <c r="AD194" s="166">
        <f>IFERROR(_xlfn.XLOOKUP($D194,'Modelling New'!$D:$D,'Modelling New'!$T:$T)*1000,"")</f>
        <v>363484.56165517244</v>
      </c>
      <c r="AE194" s="174"/>
      <c r="AF194" s="174">
        <f>IFERROR(_xlfn.XLOOKUP($D194,'Modelling New'!$D:$D,'Modelling New'!$W:$W),"")</f>
        <v>0.21574344827586206</v>
      </c>
      <c r="AG194" s="174">
        <f>IFERROR(_xlfn.XLOOKUP($D194,'Modelling New'!$D:$D,'Modelling New'!$AE:$AE),"")</f>
        <v>0.96029999999999993</v>
      </c>
      <c r="AH194" s="174">
        <f>IFERROR(_xlfn.XLOOKUP($D194,'Modelling New'!$D:$D,'Modelling New'!$AF:$AF),"")</f>
        <v>0.995</v>
      </c>
      <c r="AI194" s="177" t="str">
        <f>IFERROR(_xlfn.XLOOKUP($A194,Input_Raw!$A:$A,Input_Raw!$BQ:$BQ),"")</f>
        <v/>
      </c>
      <c r="AJ194" s="167"/>
      <c r="AK194" s="167"/>
      <c r="AL194" s="167"/>
      <c r="AM194" s="167"/>
      <c r="AN194" s="175" t="str">
        <f>IFERROR(_xlfn.XLOOKUP($A194,Input_Raw!$A:$A,Input_Raw!$BN:$BN),"")</f>
        <v/>
      </c>
      <c r="AO194" s="174" t="str">
        <f>IFERROR((_xlfn.XLOOKUP($A194,'WTG Reactive Power'!$A:$A,'WTG Reactive Power'!$AE:$AE))/Table13[[#This Row],[Gen_Exp (kWh)]],"")</f>
        <v/>
      </c>
      <c r="AP194" s="174">
        <f>IFERROR(_xlfn.XLOOKUP($D194,'Modelling New'!$D:$D,'Modelling New'!$AK:$AK),"")</f>
        <v>0.05</v>
      </c>
      <c r="AQ194" s="174">
        <f>IFERROR(_xlfn.XLOOKUP($D194,'Modelling New'!$D:$D,'Modelling New'!$AL:$AL),"")</f>
        <v>0.05</v>
      </c>
      <c r="AR194" s="276">
        <f>IFERROR(_xlfn.XLOOKUP($D194,'Modelling New'!$D:$D,'Modelling New'!$N:$N),"")</f>
        <v>70.2</v>
      </c>
      <c r="AS194" s="276"/>
    </row>
    <row r="195" spans="1:45">
      <c r="A195" s="165">
        <f t="shared" si="15"/>
        <v>45938</v>
      </c>
      <c r="B195" s="166">
        <f>YEAR(Table13[[#This Row],[Date]])+IF(MONTH(Table13[[#This Row],[Date]])&gt;=4,1,0)</f>
        <v>2026</v>
      </c>
      <c r="C195" s="167">
        <f>YEAR(Table13[[#This Row],[Date]])</f>
        <v>2025</v>
      </c>
      <c r="D195" s="168">
        <f>Table13[[#This Row],[Date]]-DAY(Table13[[#This Row],[Date]])+1</f>
        <v>45931</v>
      </c>
      <c r="E195" s="167">
        <f t="shared" si="12"/>
        <v>31</v>
      </c>
      <c r="F195" s="169"/>
      <c r="G195" s="176"/>
      <c r="H195" s="176"/>
      <c r="I195" s="176"/>
      <c r="J195" s="176"/>
      <c r="K195" s="171"/>
      <c r="L195" s="170"/>
      <c r="M195" s="170" t="str">
        <f>IFERROR(_xlfn.XLOOKUP($A195,Input_Raw!$A:$A,Input_Raw!BG:BG),"")</f>
        <v/>
      </c>
      <c r="N195" s="170" t="str">
        <f>IFERROR(_xlfn.XLOOKUP($A195,Input_Raw!$A:$A,Input_Raw!BH:BH),"")</f>
        <v/>
      </c>
      <c r="O195" s="173" t="str">
        <f t="shared" si="13"/>
        <v/>
      </c>
      <c r="P195" s="173" t="str">
        <f>IFERROR(1-SUMIF(WTG_BD!$F:$F,$A195,WTG_BD!$AA:$AA)/($AA195+SUMIF(WTG_BD!$F:$F,$A195,WTG_BD!$AA:$AA)),"")</f>
        <v/>
      </c>
      <c r="Q195" s="173" t="str">
        <f>IFERROR(1-SUMIF(IGA_BD!$F:$F,$A195,IGA_BD!$X:$X)/($AA195+SUMIF(IGA_BD!$F:$F,$A195,IGA_BD!$X:$X)),"")</f>
        <v/>
      </c>
      <c r="R195" s="173" t="str">
        <f>IFERROR(1-SUMIF(Grid_BD!$F:$F,$A195,Grid_BD!$Y:$Y)/($AA195+SUMIF(Grid_BD!$F:$F,$A195,Grid_BD!$Y:$Y)),"")</f>
        <v/>
      </c>
      <c r="S195" s="167"/>
      <c r="T195" s="172"/>
      <c r="U195" s="173"/>
      <c r="V195" s="167"/>
      <c r="W195" s="174" t="str">
        <f t="shared" si="14"/>
        <v/>
      </c>
      <c r="X195" s="167" t="str">
        <f>IFERROR(_xlfn.XLOOKUP($A195,Input_Raw!$A:$A,Input_Raw!$BF:$BF),"")</f>
        <v/>
      </c>
      <c r="Y195" s="167" t="str">
        <f>IFERROR(_xlfn.XLOOKUP($A195,Input_Raw!$A:$A,Input_Raw!BJ:BJ),"")</f>
        <v/>
      </c>
      <c r="Z195" s="167" t="str">
        <f>IFERROR(_xlfn.XLOOKUP($A195,Input_Raw!$A:$A,Input_Raw!BK:BK),"")</f>
        <v/>
      </c>
      <c r="AA195" s="167" t="str">
        <f>IFERROR(_xlfn.XLOOKUP($A195,Input_Raw!$A:$A,Input_Raw!BL:BL),"")</f>
        <v/>
      </c>
      <c r="AB195" s="167" t="str">
        <f>IFERROR(_xlfn.XLOOKUP($A195,Input_Raw!$A:$A,Input_Raw!$BO:$BO),"")</f>
        <v/>
      </c>
      <c r="AC195" s="176">
        <f>IFERROR(_xlfn.XLOOKUP($D195,'Modelling New'!$D:$D,'Modelling New'!$J:$J),"")</f>
        <v>9.2100000000000009</v>
      </c>
      <c r="AD195" s="166">
        <f>IFERROR(_xlfn.XLOOKUP($D195,'Modelling New'!$D:$D,'Modelling New'!$T:$T)*1000,"")</f>
        <v>363484.56165517244</v>
      </c>
      <c r="AE195" s="174"/>
      <c r="AF195" s="174">
        <f>IFERROR(_xlfn.XLOOKUP($D195,'Modelling New'!$D:$D,'Modelling New'!$W:$W),"")</f>
        <v>0.21574344827586206</v>
      </c>
      <c r="AG195" s="174">
        <f>IFERROR(_xlfn.XLOOKUP($D195,'Modelling New'!$D:$D,'Modelling New'!$AE:$AE),"")</f>
        <v>0.96029999999999993</v>
      </c>
      <c r="AH195" s="174">
        <f>IFERROR(_xlfn.XLOOKUP($D195,'Modelling New'!$D:$D,'Modelling New'!$AF:$AF),"")</f>
        <v>0.995</v>
      </c>
      <c r="AI195" s="177" t="str">
        <f>IFERROR(_xlfn.XLOOKUP($A195,Input_Raw!$A:$A,Input_Raw!$BQ:$BQ),"")</f>
        <v/>
      </c>
      <c r="AJ195" s="167"/>
      <c r="AK195" s="167"/>
      <c r="AL195" s="167"/>
      <c r="AM195" s="167"/>
      <c r="AN195" s="175" t="str">
        <f>IFERROR(_xlfn.XLOOKUP($A195,Input_Raw!$A:$A,Input_Raw!$BN:$BN),"")</f>
        <v/>
      </c>
      <c r="AO195" s="174" t="str">
        <f>IFERROR((_xlfn.XLOOKUP($A195,'WTG Reactive Power'!$A:$A,'WTG Reactive Power'!$AE:$AE))/Table13[[#This Row],[Gen_Exp (kWh)]],"")</f>
        <v/>
      </c>
      <c r="AP195" s="174">
        <f>IFERROR(_xlfn.XLOOKUP($D195,'Modelling New'!$D:$D,'Modelling New'!$AK:$AK),"")</f>
        <v>0.05</v>
      </c>
      <c r="AQ195" s="174">
        <f>IFERROR(_xlfn.XLOOKUP($D195,'Modelling New'!$D:$D,'Modelling New'!$AL:$AL),"")</f>
        <v>0.05</v>
      </c>
      <c r="AR195" s="276">
        <f>IFERROR(_xlfn.XLOOKUP($D195,'Modelling New'!$D:$D,'Modelling New'!$N:$N),"")</f>
        <v>70.2</v>
      </c>
      <c r="AS195" s="276"/>
    </row>
    <row r="196" spans="1:45">
      <c r="A196" s="165">
        <f t="shared" si="15"/>
        <v>45939</v>
      </c>
      <c r="B196" s="166">
        <f>YEAR(Table13[[#This Row],[Date]])+IF(MONTH(Table13[[#This Row],[Date]])&gt;=4,1,0)</f>
        <v>2026</v>
      </c>
      <c r="C196" s="167">
        <f>YEAR(Table13[[#This Row],[Date]])</f>
        <v>2025</v>
      </c>
      <c r="D196" s="168">
        <f>Table13[[#This Row],[Date]]-DAY(Table13[[#This Row],[Date]])+1</f>
        <v>45931</v>
      </c>
      <c r="E196" s="167">
        <f t="shared" si="12"/>
        <v>31</v>
      </c>
      <c r="F196" s="169"/>
      <c r="G196" s="170"/>
      <c r="H196" s="170"/>
      <c r="I196" s="170"/>
      <c r="J196" s="170"/>
      <c r="K196" s="171"/>
      <c r="L196" s="170"/>
      <c r="M196" s="170" t="str">
        <f>IFERROR(_xlfn.XLOOKUP($A196,Input_Raw!$A:$A,Input_Raw!BG:BG),"")</f>
        <v/>
      </c>
      <c r="N196" s="170" t="str">
        <f>IFERROR(_xlfn.XLOOKUP($A196,Input_Raw!$A:$A,Input_Raw!BH:BH),"")</f>
        <v/>
      </c>
      <c r="O196" s="173" t="str">
        <f t="shared" si="13"/>
        <v/>
      </c>
      <c r="P196" s="173" t="str">
        <f>IFERROR(1-SUMIF(WTG_BD!$F:$F,$A196,WTG_BD!$AA:$AA)/($AA196+SUMIF(WTG_BD!$F:$F,$A196,WTG_BD!$AA:$AA)),"")</f>
        <v/>
      </c>
      <c r="Q196" s="173" t="str">
        <f>IFERROR(1-SUMIF(IGA_BD!$F:$F,$A196,IGA_BD!$X:$X)/($AA196+SUMIF(IGA_BD!$F:$F,$A196,IGA_BD!$X:$X)),"")</f>
        <v/>
      </c>
      <c r="R196" s="173" t="str">
        <f>IFERROR(1-SUMIF(Grid_BD!$F:$F,$A196,Grid_BD!$Y:$Y)/($AA196+SUMIF(Grid_BD!$F:$F,$A196,Grid_BD!$Y:$Y)),"")</f>
        <v/>
      </c>
      <c r="S196" s="167"/>
      <c r="T196" s="172"/>
      <c r="U196" s="173"/>
      <c r="V196" s="167"/>
      <c r="W196" s="174" t="str">
        <f t="shared" si="14"/>
        <v/>
      </c>
      <c r="X196" s="167" t="str">
        <f>IFERROR(_xlfn.XLOOKUP($A196,Input_Raw!$A:$A,Input_Raw!$BF:$BF),"")</f>
        <v/>
      </c>
      <c r="Y196" s="167" t="str">
        <f>IFERROR(_xlfn.XLOOKUP($A196,Input_Raw!$A:$A,Input_Raw!BJ:BJ),"")</f>
        <v/>
      </c>
      <c r="Z196" s="167" t="str">
        <f>IFERROR(_xlfn.XLOOKUP($A196,Input_Raw!$A:$A,Input_Raw!BK:BK),"")</f>
        <v/>
      </c>
      <c r="AA196" s="167" t="str">
        <f>IFERROR(_xlfn.XLOOKUP($A196,Input_Raw!$A:$A,Input_Raw!BL:BL),"")</f>
        <v/>
      </c>
      <c r="AB196" s="167" t="str">
        <f>IFERROR(_xlfn.XLOOKUP($A196,Input_Raw!$A:$A,Input_Raw!$BO:$BO),"")</f>
        <v/>
      </c>
      <c r="AC196" s="176">
        <f>IFERROR(_xlfn.XLOOKUP($D196,'Modelling New'!$D:$D,'Modelling New'!$J:$J),"")</f>
        <v>9.2100000000000009</v>
      </c>
      <c r="AD196" s="166">
        <f>IFERROR(_xlfn.XLOOKUP($D196,'Modelling New'!$D:$D,'Modelling New'!$T:$T)*1000,"")</f>
        <v>363484.56165517244</v>
      </c>
      <c r="AE196" s="174"/>
      <c r="AF196" s="174">
        <f>IFERROR(_xlfn.XLOOKUP($D196,'Modelling New'!$D:$D,'Modelling New'!$W:$W),"")</f>
        <v>0.21574344827586206</v>
      </c>
      <c r="AG196" s="174">
        <f>IFERROR(_xlfn.XLOOKUP($D196,'Modelling New'!$D:$D,'Modelling New'!$AE:$AE),"")</f>
        <v>0.96029999999999993</v>
      </c>
      <c r="AH196" s="174">
        <f>IFERROR(_xlfn.XLOOKUP($D196,'Modelling New'!$D:$D,'Modelling New'!$AF:$AF),"")</f>
        <v>0.995</v>
      </c>
      <c r="AI196" s="177" t="str">
        <f>IFERROR(_xlfn.XLOOKUP($A196,Input_Raw!$A:$A,Input_Raw!$BQ:$BQ),"")</f>
        <v/>
      </c>
      <c r="AJ196" s="167"/>
      <c r="AK196" s="167"/>
      <c r="AL196" s="167"/>
      <c r="AM196" s="167"/>
      <c r="AN196" s="175" t="str">
        <f>IFERROR(_xlfn.XLOOKUP($A196,Input_Raw!$A:$A,Input_Raw!$BN:$BN),"")</f>
        <v/>
      </c>
      <c r="AO196" s="174" t="str">
        <f>IFERROR((_xlfn.XLOOKUP($A196,'WTG Reactive Power'!$A:$A,'WTG Reactive Power'!$AE:$AE))/Table13[[#This Row],[Gen_Exp (kWh)]],"")</f>
        <v/>
      </c>
      <c r="AP196" s="174">
        <f>IFERROR(_xlfn.XLOOKUP($D196,'Modelling New'!$D:$D,'Modelling New'!$AK:$AK),"")</f>
        <v>0.05</v>
      </c>
      <c r="AQ196" s="174">
        <f>IFERROR(_xlfn.XLOOKUP($D196,'Modelling New'!$D:$D,'Modelling New'!$AL:$AL),"")</f>
        <v>0.05</v>
      </c>
      <c r="AR196" s="276">
        <f>IFERROR(_xlfn.XLOOKUP($D196,'Modelling New'!$D:$D,'Modelling New'!$N:$N),"")</f>
        <v>70.2</v>
      </c>
      <c r="AS196" s="276"/>
    </row>
    <row r="197" spans="1:45">
      <c r="A197" s="165">
        <f t="shared" si="15"/>
        <v>45940</v>
      </c>
      <c r="B197" s="166">
        <f>YEAR(Table13[[#This Row],[Date]])+IF(MONTH(Table13[[#This Row],[Date]])&gt;=4,1,0)</f>
        <v>2026</v>
      </c>
      <c r="C197" s="167">
        <f>YEAR(Table13[[#This Row],[Date]])</f>
        <v>2025</v>
      </c>
      <c r="D197" s="168">
        <f>Table13[[#This Row],[Date]]-DAY(Table13[[#This Row],[Date]])+1</f>
        <v>45931</v>
      </c>
      <c r="E197" s="167">
        <f t="shared" si="12"/>
        <v>31</v>
      </c>
      <c r="F197" s="169"/>
      <c r="G197" s="176"/>
      <c r="H197" s="176"/>
      <c r="I197" s="176"/>
      <c r="J197" s="176"/>
      <c r="K197" s="171"/>
      <c r="L197" s="170"/>
      <c r="M197" s="170" t="str">
        <f>IFERROR(_xlfn.XLOOKUP($A197,Input_Raw!$A:$A,Input_Raw!BG:BG),"")</f>
        <v/>
      </c>
      <c r="N197" s="170" t="str">
        <f>IFERROR(_xlfn.XLOOKUP($A197,Input_Raw!$A:$A,Input_Raw!BH:BH),"")</f>
        <v/>
      </c>
      <c r="O197" s="173" t="str">
        <f t="shared" si="13"/>
        <v/>
      </c>
      <c r="P197" s="173" t="str">
        <f>IFERROR(1-SUMIF(WTG_BD!$F:$F,$A197,WTG_BD!$AA:$AA)/($AA197+SUMIF(WTG_BD!$F:$F,$A197,WTG_BD!$AA:$AA)),"")</f>
        <v/>
      </c>
      <c r="Q197" s="173" t="str">
        <f>IFERROR(1-SUMIF(IGA_BD!$F:$F,$A197,IGA_BD!$X:$X)/($AA197+SUMIF(IGA_BD!$F:$F,$A197,IGA_BD!$X:$X)),"")</f>
        <v/>
      </c>
      <c r="R197" s="173" t="str">
        <f>IFERROR(1-SUMIF(Grid_BD!$F:$F,$A197,Grid_BD!$Y:$Y)/($AA197+SUMIF(Grid_BD!$F:$F,$A197,Grid_BD!$Y:$Y)),"")</f>
        <v/>
      </c>
      <c r="S197" s="167"/>
      <c r="T197" s="172"/>
      <c r="U197" s="173"/>
      <c r="V197" s="167"/>
      <c r="W197" s="174" t="str">
        <f t="shared" si="14"/>
        <v/>
      </c>
      <c r="X197" s="167" t="str">
        <f>IFERROR(_xlfn.XLOOKUP($A197,Input_Raw!$A:$A,Input_Raw!$BF:$BF),"")</f>
        <v/>
      </c>
      <c r="Y197" s="167" t="str">
        <f>IFERROR(_xlfn.XLOOKUP($A197,Input_Raw!$A:$A,Input_Raw!BJ:BJ),"")</f>
        <v/>
      </c>
      <c r="Z197" s="167" t="str">
        <f>IFERROR(_xlfn.XLOOKUP($A197,Input_Raw!$A:$A,Input_Raw!BK:BK),"")</f>
        <v/>
      </c>
      <c r="AA197" s="167" t="str">
        <f>IFERROR(_xlfn.XLOOKUP($A197,Input_Raw!$A:$A,Input_Raw!BL:BL),"")</f>
        <v/>
      </c>
      <c r="AB197" s="167" t="str">
        <f>IFERROR(_xlfn.XLOOKUP($A197,Input_Raw!$A:$A,Input_Raw!$BO:$BO),"")</f>
        <v/>
      </c>
      <c r="AC197" s="176">
        <f>IFERROR(_xlfn.XLOOKUP($D197,'Modelling New'!$D:$D,'Modelling New'!$J:$J),"")</f>
        <v>9.2100000000000009</v>
      </c>
      <c r="AD197" s="166">
        <f>IFERROR(_xlfn.XLOOKUP($D197,'Modelling New'!$D:$D,'Modelling New'!$T:$T)*1000,"")</f>
        <v>363484.56165517244</v>
      </c>
      <c r="AE197" s="174"/>
      <c r="AF197" s="174">
        <f>IFERROR(_xlfn.XLOOKUP($D197,'Modelling New'!$D:$D,'Modelling New'!$W:$W),"")</f>
        <v>0.21574344827586206</v>
      </c>
      <c r="AG197" s="174">
        <f>IFERROR(_xlfn.XLOOKUP($D197,'Modelling New'!$D:$D,'Modelling New'!$AE:$AE),"")</f>
        <v>0.96029999999999993</v>
      </c>
      <c r="AH197" s="174">
        <f>IFERROR(_xlfn.XLOOKUP($D197,'Modelling New'!$D:$D,'Modelling New'!$AF:$AF),"")</f>
        <v>0.995</v>
      </c>
      <c r="AI197" s="177" t="str">
        <f>IFERROR(_xlfn.XLOOKUP($A197,Input_Raw!$A:$A,Input_Raw!$BQ:$BQ),"")</f>
        <v/>
      </c>
      <c r="AJ197" s="167"/>
      <c r="AK197" s="167"/>
      <c r="AL197" s="167"/>
      <c r="AM197" s="167"/>
      <c r="AN197" s="175" t="str">
        <f>IFERROR(_xlfn.XLOOKUP($A197,Input_Raw!$A:$A,Input_Raw!$BN:$BN),"")</f>
        <v/>
      </c>
      <c r="AO197" s="174" t="str">
        <f>IFERROR((_xlfn.XLOOKUP($A197,'WTG Reactive Power'!$A:$A,'WTG Reactive Power'!$AE:$AE))/Table13[[#This Row],[Gen_Exp (kWh)]],"")</f>
        <v/>
      </c>
      <c r="AP197" s="174">
        <f>IFERROR(_xlfn.XLOOKUP($D197,'Modelling New'!$D:$D,'Modelling New'!$AK:$AK),"")</f>
        <v>0.05</v>
      </c>
      <c r="AQ197" s="174">
        <f>IFERROR(_xlfn.XLOOKUP($D197,'Modelling New'!$D:$D,'Modelling New'!$AL:$AL),"")</f>
        <v>0.05</v>
      </c>
      <c r="AR197" s="276">
        <f>IFERROR(_xlfn.XLOOKUP($D197,'Modelling New'!$D:$D,'Modelling New'!$N:$N),"")</f>
        <v>70.2</v>
      </c>
      <c r="AS197" s="276"/>
    </row>
    <row r="198" spans="1:45">
      <c r="A198" s="165">
        <f t="shared" si="15"/>
        <v>45941</v>
      </c>
      <c r="B198" s="166">
        <f>YEAR(Table13[[#This Row],[Date]])+IF(MONTH(Table13[[#This Row],[Date]])&gt;=4,1,0)</f>
        <v>2026</v>
      </c>
      <c r="C198" s="167">
        <f>YEAR(Table13[[#This Row],[Date]])</f>
        <v>2025</v>
      </c>
      <c r="D198" s="168">
        <f>Table13[[#This Row],[Date]]-DAY(Table13[[#This Row],[Date]])+1</f>
        <v>45931</v>
      </c>
      <c r="E198" s="167">
        <f t="shared" si="12"/>
        <v>31</v>
      </c>
      <c r="F198" s="169"/>
      <c r="G198" s="170"/>
      <c r="H198" s="170"/>
      <c r="I198" s="170"/>
      <c r="J198" s="170"/>
      <c r="K198" s="171"/>
      <c r="L198" s="170"/>
      <c r="M198" s="170" t="str">
        <f>IFERROR(_xlfn.XLOOKUP($A198,Input_Raw!$A:$A,Input_Raw!BG:BG),"")</f>
        <v/>
      </c>
      <c r="N198" s="170" t="str">
        <f>IFERROR(_xlfn.XLOOKUP($A198,Input_Raw!$A:$A,Input_Raw!BH:BH),"")</f>
        <v/>
      </c>
      <c r="O198" s="173" t="str">
        <f t="shared" si="13"/>
        <v/>
      </c>
      <c r="P198" s="173" t="str">
        <f>IFERROR(1-SUMIF(WTG_BD!$F:$F,$A198,WTG_BD!$AA:$AA)/($AA198+SUMIF(WTG_BD!$F:$F,$A198,WTG_BD!$AA:$AA)),"")</f>
        <v/>
      </c>
      <c r="Q198" s="173" t="str">
        <f>IFERROR(1-SUMIF(IGA_BD!$F:$F,$A198,IGA_BD!$X:$X)/($AA198+SUMIF(IGA_BD!$F:$F,$A198,IGA_BD!$X:$X)),"")</f>
        <v/>
      </c>
      <c r="R198" s="173" t="str">
        <f>IFERROR(1-SUMIF(Grid_BD!$F:$F,$A198,Grid_BD!$Y:$Y)/($AA198+SUMIF(Grid_BD!$F:$F,$A198,Grid_BD!$Y:$Y)),"")</f>
        <v/>
      </c>
      <c r="S198" s="167"/>
      <c r="T198" s="172"/>
      <c r="U198" s="173"/>
      <c r="V198" s="167"/>
      <c r="W198" s="174" t="str">
        <f t="shared" si="14"/>
        <v/>
      </c>
      <c r="X198" s="167" t="str">
        <f>IFERROR(_xlfn.XLOOKUP($A198,Input_Raw!$A:$A,Input_Raw!$BF:$BF),"")</f>
        <v/>
      </c>
      <c r="Y198" s="167" t="str">
        <f>IFERROR(_xlfn.XLOOKUP($A198,Input_Raw!$A:$A,Input_Raw!BJ:BJ),"")</f>
        <v/>
      </c>
      <c r="Z198" s="167" t="str">
        <f>IFERROR(_xlfn.XLOOKUP($A198,Input_Raw!$A:$A,Input_Raw!BK:BK),"")</f>
        <v/>
      </c>
      <c r="AA198" s="167" t="str">
        <f>IFERROR(_xlfn.XLOOKUP($A198,Input_Raw!$A:$A,Input_Raw!BL:BL),"")</f>
        <v/>
      </c>
      <c r="AB198" s="167" t="str">
        <f>IFERROR(_xlfn.XLOOKUP($A198,Input_Raw!$A:$A,Input_Raw!$BO:$BO),"")</f>
        <v/>
      </c>
      <c r="AC198" s="176">
        <f>IFERROR(_xlfn.XLOOKUP($D198,'Modelling New'!$D:$D,'Modelling New'!$J:$J),"")</f>
        <v>9.2100000000000009</v>
      </c>
      <c r="AD198" s="166">
        <f>IFERROR(_xlfn.XLOOKUP($D198,'Modelling New'!$D:$D,'Modelling New'!$T:$T)*1000,"")</f>
        <v>363484.56165517244</v>
      </c>
      <c r="AE198" s="174"/>
      <c r="AF198" s="174">
        <f>IFERROR(_xlfn.XLOOKUP($D198,'Modelling New'!$D:$D,'Modelling New'!$W:$W),"")</f>
        <v>0.21574344827586206</v>
      </c>
      <c r="AG198" s="174">
        <f>IFERROR(_xlfn.XLOOKUP($D198,'Modelling New'!$D:$D,'Modelling New'!$AE:$AE),"")</f>
        <v>0.96029999999999993</v>
      </c>
      <c r="AH198" s="174">
        <f>IFERROR(_xlfn.XLOOKUP($D198,'Modelling New'!$D:$D,'Modelling New'!$AF:$AF),"")</f>
        <v>0.995</v>
      </c>
      <c r="AI198" s="177" t="str">
        <f>IFERROR(_xlfn.XLOOKUP($A198,Input_Raw!$A:$A,Input_Raw!$BQ:$BQ),"")</f>
        <v/>
      </c>
      <c r="AJ198" s="167"/>
      <c r="AK198" s="167"/>
      <c r="AL198" s="167"/>
      <c r="AM198" s="167"/>
      <c r="AN198" s="175" t="str">
        <f>IFERROR(_xlfn.XLOOKUP($A198,Input_Raw!$A:$A,Input_Raw!$BN:$BN),"")</f>
        <v/>
      </c>
      <c r="AO198" s="174" t="str">
        <f>IFERROR((_xlfn.XLOOKUP($A198,'WTG Reactive Power'!$A:$A,'WTG Reactive Power'!$AE:$AE))/Table13[[#This Row],[Gen_Exp (kWh)]],"")</f>
        <v/>
      </c>
      <c r="AP198" s="174">
        <f>IFERROR(_xlfn.XLOOKUP($D198,'Modelling New'!$D:$D,'Modelling New'!$AK:$AK),"")</f>
        <v>0.05</v>
      </c>
      <c r="AQ198" s="174">
        <f>IFERROR(_xlfn.XLOOKUP($D198,'Modelling New'!$D:$D,'Modelling New'!$AL:$AL),"")</f>
        <v>0.05</v>
      </c>
      <c r="AR198" s="276">
        <f>IFERROR(_xlfn.XLOOKUP($D198,'Modelling New'!$D:$D,'Modelling New'!$N:$N),"")</f>
        <v>70.2</v>
      </c>
      <c r="AS198" s="276"/>
    </row>
    <row r="199" spans="1:45">
      <c r="A199" s="165">
        <f t="shared" si="15"/>
        <v>45942</v>
      </c>
      <c r="B199" s="166">
        <f>YEAR(Table13[[#This Row],[Date]])+IF(MONTH(Table13[[#This Row],[Date]])&gt;=4,1,0)</f>
        <v>2026</v>
      </c>
      <c r="C199" s="167">
        <f>YEAR(Table13[[#This Row],[Date]])</f>
        <v>2025</v>
      </c>
      <c r="D199" s="168">
        <f>Table13[[#This Row],[Date]]-DAY(Table13[[#This Row],[Date]])+1</f>
        <v>45931</v>
      </c>
      <c r="E199" s="167">
        <f t="shared" si="12"/>
        <v>31</v>
      </c>
      <c r="F199" s="169"/>
      <c r="G199" s="176"/>
      <c r="H199" s="176"/>
      <c r="I199" s="176"/>
      <c r="J199" s="176"/>
      <c r="K199" s="171"/>
      <c r="L199" s="170"/>
      <c r="M199" s="170" t="str">
        <f>IFERROR(_xlfn.XLOOKUP($A199,Input_Raw!$A:$A,Input_Raw!BG:BG),"")</f>
        <v/>
      </c>
      <c r="N199" s="170" t="str">
        <f>IFERROR(_xlfn.XLOOKUP($A199,Input_Raw!$A:$A,Input_Raw!BH:BH),"")</f>
        <v/>
      </c>
      <c r="O199" s="173" t="str">
        <f t="shared" si="13"/>
        <v/>
      </c>
      <c r="P199" s="173" t="str">
        <f>IFERROR(1-SUMIF(WTG_BD!$F:$F,$A199,WTG_BD!$AA:$AA)/($AA199+SUMIF(WTG_BD!$F:$F,$A199,WTG_BD!$AA:$AA)),"")</f>
        <v/>
      </c>
      <c r="Q199" s="173" t="str">
        <f>IFERROR(1-SUMIF(IGA_BD!$F:$F,$A199,IGA_BD!$X:$X)/($AA199+SUMIF(IGA_BD!$F:$F,$A199,IGA_BD!$X:$X)),"")</f>
        <v/>
      </c>
      <c r="R199" s="173" t="str">
        <f>IFERROR(1-SUMIF(Grid_BD!$F:$F,$A199,Grid_BD!$Y:$Y)/($AA199+SUMIF(Grid_BD!$F:$F,$A199,Grid_BD!$Y:$Y)),"")</f>
        <v/>
      </c>
      <c r="S199" s="167"/>
      <c r="T199" s="172"/>
      <c r="U199" s="173"/>
      <c r="V199" s="167"/>
      <c r="W199" s="174" t="str">
        <f t="shared" si="14"/>
        <v/>
      </c>
      <c r="X199" s="167" t="str">
        <f>IFERROR(_xlfn.XLOOKUP($A199,Input_Raw!$A:$A,Input_Raw!$BF:$BF),"")</f>
        <v/>
      </c>
      <c r="Y199" s="167" t="str">
        <f>IFERROR(_xlfn.XLOOKUP($A199,Input_Raw!$A:$A,Input_Raw!BJ:BJ),"")</f>
        <v/>
      </c>
      <c r="Z199" s="167" t="str">
        <f>IFERROR(_xlfn.XLOOKUP($A199,Input_Raw!$A:$A,Input_Raw!BK:BK),"")</f>
        <v/>
      </c>
      <c r="AA199" s="167" t="str">
        <f>IFERROR(_xlfn.XLOOKUP($A199,Input_Raw!$A:$A,Input_Raw!BL:BL),"")</f>
        <v/>
      </c>
      <c r="AB199" s="167" t="str">
        <f>IFERROR(_xlfn.XLOOKUP($A199,Input_Raw!$A:$A,Input_Raw!$BO:$BO),"")</f>
        <v/>
      </c>
      <c r="AC199" s="176">
        <f>IFERROR(_xlfn.XLOOKUP($D199,'Modelling New'!$D:$D,'Modelling New'!$J:$J),"")</f>
        <v>9.2100000000000009</v>
      </c>
      <c r="AD199" s="166">
        <f>IFERROR(_xlfn.XLOOKUP($D199,'Modelling New'!$D:$D,'Modelling New'!$T:$T)*1000,"")</f>
        <v>363484.56165517244</v>
      </c>
      <c r="AE199" s="174"/>
      <c r="AF199" s="174">
        <f>IFERROR(_xlfn.XLOOKUP($D199,'Modelling New'!$D:$D,'Modelling New'!$W:$W),"")</f>
        <v>0.21574344827586206</v>
      </c>
      <c r="AG199" s="174">
        <f>IFERROR(_xlfn.XLOOKUP($D199,'Modelling New'!$D:$D,'Modelling New'!$AE:$AE),"")</f>
        <v>0.96029999999999993</v>
      </c>
      <c r="AH199" s="174">
        <f>IFERROR(_xlfn.XLOOKUP($D199,'Modelling New'!$D:$D,'Modelling New'!$AF:$AF),"")</f>
        <v>0.995</v>
      </c>
      <c r="AI199" s="177" t="str">
        <f>IFERROR(_xlfn.XLOOKUP($A199,Input_Raw!$A:$A,Input_Raw!$BQ:$BQ),"")</f>
        <v/>
      </c>
      <c r="AJ199" s="167"/>
      <c r="AK199" s="167"/>
      <c r="AL199" s="167"/>
      <c r="AM199" s="167"/>
      <c r="AN199" s="175" t="str">
        <f>IFERROR(_xlfn.XLOOKUP($A199,Input_Raw!$A:$A,Input_Raw!$BN:$BN),"")</f>
        <v/>
      </c>
      <c r="AO199" s="174" t="str">
        <f>IFERROR((_xlfn.XLOOKUP($A199,'WTG Reactive Power'!$A:$A,'WTG Reactive Power'!$AE:$AE))/Table13[[#This Row],[Gen_Exp (kWh)]],"")</f>
        <v/>
      </c>
      <c r="AP199" s="174">
        <f>IFERROR(_xlfn.XLOOKUP($D199,'Modelling New'!$D:$D,'Modelling New'!$AK:$AK),"")</f>
        <v>0.05</v>
      </c>
      <c r="AQ199" s="174">
        <f>IFERROR(_xlfn.XLOOKUP($D199,'Modelling New'!$D:$D,'Modelling New'!$AL:$AL),"")</f>
        <v>0.05</v>
      </c>
      <c r="AR199" s="276">
        <f>IFERROR(_xlfn.XLOOKUP($D199,'Modelling New'!$D:$D,'Modelling New'!$N:$N),"")</f>
        <v>70.2</v>
      </c>
      <c r="AS199" s="276"/>
    </row>
    <row r="200" spans="1:45">
      <c r="A200" s="165">
        <f t="shared" si="15"/>
        <v>45943</v>
      </c>
      <c r="B200" s="166">
        <f>YEAR(Table13[[#This Row],[Date]])+IF(MONTH(Table13[[#This Row],[Date]])&gt;=4,1,0)</f>
        <v>2026</v>
      </c>
      <c r="C200" s="167">
        <f>YEAR(Table13[[#This Row],[Date]])</f>
        <v>2025</v>
      </c>
      <c r="D200" s="168">
        <f>Table13[[#This Row],[Date]]-DAY(Table13[[#This Row],[Date]])+1</f>
        <v>45931</v>
      </c>
      <c r="E200" s="167">
        <f t="shared" si="12"/>
        <v>31</v>
      </c>
      <c r="F200" s="169"/>
      <c r="G200" s="170"/>
      <c r="H200" s="170"/>
      <c r="I200" s="170"/>
      <c r="J200" s="170"/>
      <c r="K200" s="171"/>
      <c r="L200" s="170"/>
      <c r="M200" s="170" t="str">
        <f>IFERROR(_xlfn.XLOOKUP($A200,Input_Raw!$A:$A,Input_Raw!BG:BG),"")</f>
        <v/>
      </c>
      <c r="N200" s="170" t="str">
        <f>IFERROR(_xlfn.XLOOKUP($A200,Input_Raw!$A:$A,Input_Raw!BH:BH),"")</f>
        <v/>
      </c>
      <c r="O200" s="173" t="str">
        <f t="shared" si="13"/>
        <v/>
      </c>
      <c r="P200" s="173" t="str">
        <f>IFERROR(1-SUMIF(WTG_BD!$F:$F,$A200,WTG_BD!$AA:$AA)/($AA200+SUMIF(WTG_BD!$F:$F,$A200,WTG_BD!$AA:$AA)),"")</f>
        <v/>
      </c>
      <c r="Q200" s="173" t="str">
        <f>IFERROR(1-SUMIF(IGA_BD!$F:$F,$A200,IGA_BD!$X:$X)/($AA200+SUMIF(IGA_BD!$F:$F,$A200,IGA_BD!$X:$X)),"")</f>
        <v/>
      </c>
      <c r="R200" s="173" t="str">
        <f>IFERROR(1-SUMIF(Grid_BD!$F:$F,$A200,Grid_BD!$Y:$Y)/($AA200+SUMIF(Grid_BD!$F:$F,$A200,Grid_BD!$Y:$Y)),"")</f>
        <v/>
      </c>
      <c r="S200" s="167"/>
      <c r="T200" s="172"/>
      <c r="U200" s="173"/>
      <c r="V200" s="167"/>
      <c r="W200" s="174" t="str">
        <f t="shared" si="14"/>
        <v/>
      </c>
      <c r="X200" s="167" t="str">
        <f>IFERROR(_xlfn.XLOOKUP($A200,Input_Raw!$A:$A,Input_Raw!$BF:$BF),"")</f>
        <v/>
      </c>
      <c r="Y200" s="167" t="str">
        <f>IFERROR(_xlfn.XLOOKUP($A200,Input_Raw!$A:$A,Input_Raw!BJ:BJ),"")</f>
        <v/>
      </c>
      <c r="Z200" s="167" t="str">
        <f>IFERROR(_xlfn.XLOOKUP($A200,Input_Raw!$A:$A,Input_Raw!BK:BK),"")</f>
        <v/>
      </c>
      <c r="AA200" s="167" t="str">
        <f>IFERROR(_xlfn.XLOOKUP($A200,Input_Raw!$A:$A,Input_Raw!BL:BL),"")</f>
        <v/>
      </c>
      <c r="AB200" s="167" t="str">
        <f>IFERROR(_xlfn.XLOOKUP($A200,Input_Raw!$A:$A,Input_Raw!$BO:$BO),"")</f>
        <v/>
      </c>
      <c r="AC200" s="176">
        <f>IFERROR(_xlfn.XLOOKUP($D200,'Modelling New'!$D:$D,'Modelling New'!$J:$J),"")</f>
        <v>9.2100000000000009</v>
      </c>
      <c r="AD200" s="166">
        <f>IFERROR(_xlfn.XLOOKUP($D200,'Modelling New'!$D:$D,'Modelling New'!$T:$T)*1000,"")</f>
        <v>363484.56165517244</v>
      </c>
      <c r="AE200" s="174"/>
      <c r="AF200" s="174">
        <f>IFERROR(_xlfn.XLOOKUP($D200,'Modelling New'!$D:$D,'Modelling New'!$W:$W),"")</f>
        <v>0.21574344827586206</v>
      </c>
      <c r="AG200" s="174">
        <f>IFERROR(_xlfn.XLOOKUP($D200,'Modelling New'!$D:$D,'Modelling New'!$AE:$AE),"")</f>
        <v>0.96029999999999993</v>
      </c>
      <c r="AH200" s="174">
        <f>IFERROR(_xlfn.XLOOKUP($D200,'Modelling New'!$D:$D,'Modelling New'!$AF:$AF),"")</f>
        <v>0.995</v>
      </c>
      <c r="AI200" s="177" t="str">
        <f>IFERROR(_xlfn.XLOOKUP($A200,Input_Raw!$A:$A,Input_Raw!$BQ:$BQ),"")</f>
        <v/>
      </c>
      <c r="AJ200" s="167"/>
      <c r="AK200" s="167"/>
      <c r="AL200" s="167"/>
      <c r="AM200" s="167"/>
      <c r="AN200" s="175" t="str">
        <f>IFERROR(_xlfn.XLOOKUP($A200,Input_Raw!$A:$A,Input_Raw!$BN:$BN),"")</f>
        <v/>
      </c>
      <c r="AO200" s="174" t="str">
        <f>IFERROR((_xlfn.XLOOKUP($A200,'WTG Reactive Power'!$A:$A,'WTG Reactive Power'!$AE:$AE))/Table13[[#This Row],[Gen_Exp (kWh)]],"")</f>
        <v/>
      </c>
      <c r="AP200" s="174">
        <f>IFERROR(_xlfn.XLOOKUP($D200,'Modelling New'!$D:$D,'Modelling New'!$AK:$AK),"")</f>
        <v>0.05</v>
      </c>
      <c r="AQ200" s="174">
        <f>IFERROR(_xlfn.XLOOKUP($D200,'Modelling New'!$D:$D,'Modelling New'!$AL:$AL),"")</f>
        <v>0.05</v>
      </c>
      <c r="AR200" s="276">
        <f>IFERROR(_xlfn.XLOOKUP($D200,'Modelling New'!$D:$D,'Modelling New'!$N:$N),"")</f>
        <v>70.2</v>
      </c>
      <c r="AS200" s="276"/>
    </row>
    <row r="201" spans="1:45">
      <c r="A201" s="165">
        <f t="shared" si="15"/>
        <v>45944</v>
      </c>
      <c r="B201" s="166">
        <f>YEAR(Table13[[#This Row],[Date]])+IF(MONTH(Table13[[#This Row],[Date]])&gt;=4,1,0)</f>
        <v>2026</v>
      </c>
      <c r="C201" s="167">
        <f>YEAR(Table13[[#This Row],[Date]])</f>
        <v>2025</v>
      </c>
      <c r="D201" s="168">
        <f>Table13[[#This Row],[Date]]-DAY(Table13[[#This Row],[Date]])+1</f>
        <v>45931</v>
      </c>
      <c r="E201" s="167">
        <f t="shared" si="12"/>
        <v>31</v>
      </c>
      <c r="F201" s="169"/>
      <c r="G201" s="176"/>
      <c r="H201" s="176"/>
      <c r="I201" s="176"/>
      <c r="J201" s="176"/>
      <c r="K201" s="171"/>
      <c r="L201" s="170"/>
      <c r="M201" s="170" t="str">
        <f>IFERROR(_xlfn.XLOOKUP($A201,Input_Raw!$A:$A,Input_Raw!BG:BG),"")</f>
        <v/>
      </c>
      <c r="N201" s="170" t="str">
        <f>IFERROR(_xlfn.XLOOKUP($A201,Input_Raw!$A:$A,Input_Raw!BH:BH),"")</f>
        <v/>
      </c>
      <c r="O201" s="173" t="str">
        <f t="shared" si="13"/>
        <v/>
      </c>
      <c r="P201" s="173" t="str">
        <f>IFERROR(1-SUMIF(WTG_BD!$F:$F,$A201,WTG_BD!$AA:$AA)/($AA201+SUMIF(WTG_BD!$F:$F,$A201,WTG_BD!$AA:$AA)),"")</f>
        <v/>
      </c>
      <c r="Q201" s="173" t="str">
        <f>IFERROR(1-SUMIF(IGA_BD!$F:$F,$A201,IGA_BD!$X:$X)/($AA201+SUMIF(IGA_BD!$F:$F,$A201,IGA_BD!$X:$X)),"")</f>
        <v/>
      </c>
      <c r="R201" s="173" t="str">
        <f>IFERROR(1-SUMIF(Grid_BD!$F:$F,$A201,Grid_BD!$Y:$Y)/($AA201+SUMIF(Grid_BD!$F:$F,$A201,Grid_BD!$Y:$Y)),"")</f>
        <v/>
      </c>
      <c r="S201" s="167"/>
      <c r="T201" s="172"/>
      <c r="U201" s="173"/>
      <c r="V201" s="167"/>
      <c r="W201" s="174" t="str">
        <f t="shared" si="14"/>
        <v/>
      </c>
      <c r="X201" s="167" t="str">
        <f>IFERROR(_xlfn.XLOOKUP($A201,Input_Raw!$A:$A,Input_Raw!$BF:$BF),"")</f>
        <v/>
      </c>
      <c r="Y201" s="167" t="str">
        <f>IFERROR(_xlfn.XLOOKUP($A201,Input_Raw!$A:$A,Input_Raw!BJ:BJ),"")</f>
        <v/>
      </c>
      <c r="Z201" s="167" t="str">
        <f>IFERROR(_xlfn.XLOOKUP($A201,Input_Raw!$A:$A,Input_Raw!BK:BK),"")</f>
        <v/>
      </c>
      <c r="AA201" s="167" t="str">
        <f>IFERROR(_xlfn.XLOOKUP($A201,Input_Raw!$A:$A,Input_Raw!BL:BL),"")</f>
        <v/>
      </c>
      <c r="AB201" s="167" t="str">
        <f>IFERROR(_xlfn.XLOOKUP($A201,Input_Raw!$A:$A,Input_Raw!$BO:$BO),"")</f>
        <v/>
      </c>
      <c r="AC201" s="176">
        <f>IFERROR(_xlfn.XLOOKUP($D201,'Modelling New'!$D:$D,'Modelling New'!$J:$J),"")</f>
        <v>9.2100000000000009</v>
      </c>
      <c r="AD201" s="166">
        <f>IFERROR(_xlfn.XLOOKUP($D201,'Modelling New'!$D:$D,'Modelling New'!$T:$T)*1000,"")</f>
        <v>363484.56165517244</v>
      </c>
      <c r="AE201" s="174"/>
      <c r="AF201" s="174">
        <f>IFERROR(_xlfn.XLOOKUP($D201,'Modelling New'!$D:$D,'Modelling New'!$W:$W),"")</f>
        <v>0.21574344827586206</v>
      </c>
      <c r="AG201" s="174">
        <f>IFERROR(_xlfn.XLOOKUP($D201,'Modelling New'!$D:$D,'Modelling New'!$AE:$AE),"")</f>
        <v>0.96029999999999993</v>
      </c>
      <c r="AH201" s="174">
        <f>IFERROR(_xlfn.XLOOKUP($D201,'Modelling New'!$D:$D,'Modelling New'!$AF:$AF),"")</f>
        <v>0.995</v>
      </c>
      <c r="AI201" s="177" t="str">
        <f>IFERROR(_xlfn.XLOOKUP($A201,Input_Raw!$A:$A,Input_Raw!$BQ:$BQ),"")</f>
        <v/>
      </c>
      <c r="AJ201" s="167"/>
      <c r="AK201" s="167"/>
      <c r="AL201" s="167"/>
      <c r="AM201" s="167"/>
      <c r="AN201" s="175" t="str">
        <f>IFERROR(_xlfn.XLOOKUP($A201,Input_Raw!$A:$A,Input_Raw!$BN:$BN),"")</f>
        <v/>
      </c>
      <c r="AO201" s="174" t="str">
        <f>IFERROR((_xlfn.XLOOKUP($A201,'WTG Reactive Power'!$A:$A,'WTG Reactive Power'!$AE:$AE))/Table13[[#This Row],[Gen_Exp (kWh)]],"")</f>
        <v/>
      </c>
      <c r="AP201" s="174">
        <f>IFERROR(_xlfn.XLOOKUP($D201,'Modelling New'!$D:$D,'Modelling New'!$AK:$AK),"")</f>
        <v>0.05</v>
      </c>
      <c r="AQ201" s="174">
        <f>IFERROR(_xlfn.XLOOKUP($D201,'Modelling New'!$D:$D,'Modelling New'!$AL:$AL),"")</f>
        <v>0.05</v>
      </c>
      <c r="AR201" s="276">
        <f>IFERROR(_xlfn.XLOOKUP($D201,'Modelling New'!$D:$D,'Modelling New'!$N:$N),"")</f>
        <v>70.2</v>
      </c>
      <c r="AS201" s="276"/>
    </row>
    <row r="202" spans="1:45">
      <c r="A202" s="165">
        <f t="shared" si="15"/>
        <v>45945</v>
      </c>
      <c r="B202" s="166">
        <f>YEAR(Table13[[#This Row],[Date]])+IF(MONTH(Table13[[#This Row],[Date]])&gt;=4,1,0)</f>
        <v>2026</v>
      </c>
      <c r="C202" s="167">
        <f>YEAR(Table13[[#This Row],[Date]])</f>
        <v>2025</v>
      </c>
      <c r="D202" s="168">
        <f>Table13[[#This Row],[Date]]-DAY(Table13[[#This Row],[Date]])+1</f>
        <v>45931</v>
      </c>
      <c r="E202" s="167">
        <f t="shared" si="12"/>
        <v>31</v>
      </c>
      <c r="F202" s="169"/>
      <c r="G202" s="170"/>
      <c r="H202" s="170"/>
      <c r="I202" s="170"/>
      <c r="J202" s="170"/>
      <c r="K202" s="171"/>
      <c r="L202" s="170"/>
      <c r="M202" s="170" t="str">
        <f>IFERROR(_xlfn.XLOOKUP($A202,Input_Raw!$A:$A,Input_Raw!BG:BG),"")</f>
        <v/>
      </c>
      <c r="N202" s="170" t="str">
        <f>IFERROR(_xlfn.XLOOKUP($A202,Input_Raw!$A:$A,Input_Raw!BH:BH),"")</f>
        <v/>
      </c>
      <c r="O202" s="173" t="str">
        <f t="shared" si="13"/>
        <v/>
      </c>
      <c r="P202" s="173" t="str">
        <f>IFERROR(1-SUMIF(WTG_BD!$F:$F,$A202,WTG_BD!$AA:$AA)/($AA202+SUMIF(WTG_BD!$F:$F,$A202,WTG_BD!$AA:$AA)),"")</f>
        <v/>
      </c>
      <c r="Q202" s="173" t="str">
        <f>IFERROR(1-SUMIF(IGA_BD!$F:$F,$A202,IGA_BD!$X:$X)/($AA202+SUMIF(IGA_BD!$F:$F,$A202,IGA_BD!$X:$X)),"")</f>
        <v/>
      </c>
      <c r="R202" s="173" t="str">
        <f>IFERROR(1-SUMIF(Grid_BD!$F:$F,$A202,Grid_BD!$Y:$Y)/($AA202+SUMIF(Grid_BD!$F:$F,$A202,Grid_BD!$Y:$Y)),"")</f>
        <v/>
      </c>
      <c r="S202" s="167"/>
      <c r="T202" s="172"/>
      <c r="U202" s="173"/>
      <c r="V202" s="167"/>
      <c r="W202" s="174" t="str">
        <f t="shared" si="14"/>
        <v/>
      </c>
      <c r="X202" s="167" t="str">
        <f>IFERROR(_xlfn.XLOOKUP($A202,Input_Raw!$A:$A,Input_Raw!$BF:$BF),"")</f>
        <v/>
      </c>
      <c r="Y202" s="167" t="str">
        <f>IFERROR(_xlfn.XLOOKUP($A202,Input_Raw!$A:$A,Input_Raw!BJ:BJ),"")</f>
        <v/>
      </c>
      <c r="Z202" s="167" t="str">
        <f>IFERROR(_xlfn.XLOOKUP($A202,Input_Raw!$A:$A,Input_Raw!BK:BK),"")</f>
        <v/>
      </c>
      <c r="AA202" s="167" t="str">
        <f>IFERROR(_xlfn.XLOOKUP($A202,Input_Raw!$A:$A,Input_Raw!BL:BL),"")</f>
        <v/>
      </c>
      <c r="AB202" s="167" t="str">
        <f>IFERROR(_xlfn.XLOOKUP($A202,Input_Raw!$A:$A,Input_Raw!$BO:$BO),"")</f>
        <v/>
      </c>
      <c r="AC202" s="176">
        <f>IFERROR(_xlfn.XLOOKUP($D202,'Modelling New'!$D:$D,'Modelling New'!$J:$J),"")</f>
        <v>9.2100000000000009</v>
      </c>
      <c r="AD202" s="166">
        <f>IFERROR(_xlfn.XLOOKUP($D202,'Modelling New'!$D:$D,'Modelling New'!$T:$T)*1000,"")</f>
        <v>363484.56165517244</v>
      </c>
      <c r="AE202" s="174"/>
      <c r="AF202" s="174">
        <f>IFERROR(_xlfn.XLOOKUP($D202,'Modelling New'!$D:$D,'Modelling New'!$W:$W),"")</f>
        <v>0.21574344827586206</v>
      </c>
      <c r="AG202" s="174">
        <f>IFERROR(_xlfn.XLOOKUP($D202,'Modelling New'!$D:$D,'Modelling New'!$AE:$AE),"")</f>
        <v>0.96029999999999993</v>
      </c>
      <c r="AH202" s="174">
        <f>IFERROR(_xlfn.XLOOKUP($D202,'Modelling New'!$D:$D,'Modelling New'!$AF:$AF),"")</f>
        <v>0.995</v>
      </c>
      <c r="AI202" s="177" t="str">
        <f>IFERROR(_xlfn.XLOOKUP($A202,Input_Raw!$A:$A,Input_Raw!$BQ:$BQ),"")</f>
        <v/>
      </c>
      <c r="AJ202" s="167"/>
      <c r="AK202" s="167"/>
      <c r="AL202" s="167"/>
      <c r="AM202" s="167"/>
      <c r="AN202" s="175" t="str">
        <f>IFERROR(_xlfn.XLOOKUP($A202,Input_Raw!$A:$A,Input_Raw!$BN:$BN),"")</f>
        <v/>
      </c>
      <c r="AO202" s="174" t="str">
        <f>IFERROR((_xlfn.XLOOKUP($A202,'WTG Reactive Power'!$A:$A,'WTG Reactive Power'!$AE:$AE))/Table13[[#This Row],[Gen_Exp (kWh)]],"")</f>
        <v/>
      </c>
      <c r="AP202" s="174">
        <f>IFERROR(_xlfn.XLOOKUP($D202,'Modelling New'!$D:$D,'Modelling New'!$AK:$AK),"")</f>
        <v>0.05</v>
      </c>
      <c r="AQ202" s="174">
        <f>IFERROR(_xlfn.XLOOKUP($D202,'Modelling New'!$D:$D,'Modelling New'!$AL:$AL),"")</f>
        <v>0.05</v>
      </c>
      <c r="AR202" s="276">
        <f>IFERROR(_xlfn.XLOOKUP($D202,'Modelling New'!$D:$D,'Modelling New'!$N:$N),"")</f>
        <v>70.2</v>
      </c>
      <c r="AS202" s="276"/>
    </row>
    <row r="203" spans="1:45">
      <c r="A203" s="165">
        <f t="shared" si="15"/>
        <v>45946</v>
      </c>
      <c r="B203" s="166">
        <f>YEAR(Table13[[#This Row],[Date]])+IF(MONTH(Table13[[#This Row],[Date]])&gt;=4,1,0)</f>
        <v>2026</v>
      </c>
      <c r="C203" s="167">
        <f>YEAR(Table13[[#This Row],[Date]])</f>
        <v>2025</v>
      </c>
      <c r="D203" s="168">
        <f>Table13[[#This Row],[Date]]-DAY(Table13[[#This Row],[Date]])+1</f>
        <v>45931</v>
      </c>
      <c r="E203" s="167">
        <f t="shared" si="12"/>
        <v>31</v>
      </c>
      <c r="F203" s="169"/>
      <c r="G203" s="176"/>
      <c r="H203" s="176"/>
      <c r="I203" s="176"/>
      <c r="J203" s="176"/>
      <c r="K203" s="171"/>
      <c r="L203" s="170"/>
      <c r="M203" s="170" t="str">
        <f>IFERROR(_xlfn.XLOOKUP($A203,Input_Raw!$A:$A,Input_Raw!BG:BG),"")</f>
        <v/>
      </c>
      <c r="N203" s="170" t="str">
        <f>IFERROR(_xlfn.XLOOKUP($A203,Input_Raw!$A:$A,Input_Raw!BH:BH),"")</f>
        <v/>
      </c>
      <c r="O203" s="173" t="str">
        <f t="shared" si="13"/>
        <v/>
      </c>
      <c r="P203" s="173" t="str">
        <f>IFERROR(1-SUMIF(WTG_BD!$F:$F,$A203,WTG_BD!$AA:$AA)/($AA203+SUMIF(WTG_BD!$F:$F,$A203,WTG_BD!$AA:$AA)),"")</f>
        <v/>
      </c>
      <c r="Q203" s="173" t="str">
        <f>IFERROR(1-SUMIF(IGA_BD!$F:$F,$A203,IGA_BD!$X:$X)/($AA203+SUMIF(IGA_BD!$F:$F,$A203,IGA_BD!$X:$X)),"")</f>
        <v/>
      </c>
      <c r="R203" s="173" t="str">
        <f>IFERROR(1-SUMIF(Grid_BD!$F:$F,$A203,Grid_BD!$Y:$Y)/($AA203+SUMIF(Grid_BD!$F:$F,$A203,Grid_BD!$Y:$Y)),"")</f>
        <v/>
      </c>
      <c r="S203" s="167"/>
      <c r="T203" s="172"/>
      <c r="U203" s="173"/>
      <c r="V203" s="167"/>
      <c r="W203" s="174" t="str">
        <f t="shared" si="14"/>
        <v/>
      </c>
      <c r="X203" s="167" t="str">
        <f>IFERROR(_xlfn.XLOOKUP($A203,Input_Raw!$A:$A,Input_Raw!$BF:$BF),"")</f>
        <v/>
      </c>
      <c r="Y203" s="167" t="str">
        <f>IFERROR(_xlfn.XLOOKUP($A203,Input_Raw!$A:$A,Input_Raw!BJ:BJ),"")</f>
        <v/>
      </c>
      <c r="Z203" s="167" t="str">
        <f>IFERROR(_xlfn.XLOOKUP($A203,Input_Raw!$A:$A,Input_Raw!BK:BK),"")</f>
        <v/>
      </c>
      <c r="AA203" s="167" t="str">
        <f>IFERROR(_xlfn.XLOOKUP($A203,Input_Raw!$A:$A,Input_Raw!BL:BL),"")</f>
        <v/>
      </c>
      <c r="AB203" s="167" t="str">
        <f>IFERROR(_xlfn.XLOOKUP($A203,Input_Raw!$A:$A,Input_Raw!$BO:$BO),"")</f>
        <v/>
      </c>
      <c r="AC203" s="176">
        <f>IFERROR(_xlfn.XLOOKUP($D203,'Modelling New'!$D:$D,'Modelling New'!$J:$J),"")</f>
        <v>9.2100000000000009</v>
      </c>
      <c r="AD203" s="166">
        <f>IFERROR(_xlfn.XLOOKUP($D203,'Modelling New'!$D:$D,'Modelling New'!$T:$T)*1000,"")</f>
        <v>363484.56165517244</v>
      </c>
      <c r="AE203" s="174"/>
      <c r="AF203" s="174">
        <f>IFERROR(_xlfn.XLOOKUP($D203,'Modelling New'!$D:$D,'Modelling New'!$W:$W),"")</f>
        <v>0.21574344827586206</v>
      </c>
      <c r="AG203" s="174">
        <f>IFERROR(_xlfn.XLOOKUP($D203,'Modelling New'!$D:$D,'Modelling New'!$AE:$AE),"")</f>
        <v>0.96029999999999993</v>
      </c>
      <c r="AH203" s="174">
        <f>IFERROR(_xlfn.XLOOKUP($D203,'Modelling New'!$D:$D,'Modelling New'!$AF:$AF),"")</f>
        <v>0.995</v>
      </c>
      <c r="AI203" s="177" t="str">
        <f>IFERROR(_xlfn.XLOOKUP($A203,Input_Raw!$A:$A,Input_Raw!$BQ:$BQ),"")</f>
        <v/>
      </c>
      <c r="AJ203" s="167"/>
      <c r="AK203" s="167"/>
      <c r="AL203" s="167"/>
      <c r="AM203" s="167"/>
      <c r="AN203" s="175" t="str">
        <f>IFERROR(_xlfn.XLOOKUP($A203,Input_Raw!$A:$A,Input_Raw!$BN:$BN),"")</f>
        <v/>
      </c>
      <c r="AO203" s="174" t="str">
        <f>IFERROR((_xlfn.XLOOKUP($A203,'WTG Reactive Power'!$A:$A,'WTG Reactive Power'!$AE:$AE))/Table13[[#This Row],[Gen_Exp (kWh)]],"")</f>
        <v/>
      </c>
      <c r="AP203" s="174">
        <f>IFERROR(_xlfn.XLOOKUP($D203,'Modelling New'!$D:$D,'Modelling New'!$AK:$AK),"")</f>
        <v>0.05</v>
      </c>
      <c r="AQ203" s="174">
        <f>IFERROR(_xlfn.XLOOKUP($D203,'Modelling New'!$D:$D,'Modelling New'!$AL:$AL),"")</f>
        <v>0.05</v>
      </c>
      <c r="AR203" s="276">
        <f>IFERROR(_xlfn.XLOOKUP($D203,'Modelling New'!$D:$D,'Modelling New'!$N:$N),"")</f>
        <v>70.2</v>
      </c>
      <c r="AS203" s="276"/>
    </row>
    <row r="204" spans="1:45">
      <c r="A204" s="165">
        <f t="shared" si="15"/>
        <v>45947</v>
      </c>
      <c r="B204" s="166">
        <f>YEAR(Table13[[#This Row],[Date]])+IF(MONTH(Table13[[#This Row],[Date]])&gt;=4,1,0)</f>
        <v>2026</v>
      </c>
      <c r="C204" s="167">
        <f>YEAR(Table13[[#This Row],[Date]])</f>
        <v>2025</v>
      </c>
      <c r="D204" s="168">
        <f>Table13[[#This Row],[Date]]-DAY(Table13[[#This Row],[Date]])+1</f>
        <v>45931</v>
      </c>
      <c r="E204" s="167">
        <f t="shared" si="12"/>
        <v>31</v>
      </c>
      <c r="F204" s="169"/>
      <c r="G204" s="170"/>
      <c r="H204" s="170"/>
      <c r="I204" s="170"/>
      <c r="J204" s="170"/>
      <c r="K204" s="171"/>
      <c r="L204" s="170"/>
      <c r="M204" s="170" t="str">
        <f>IFERROR(_xlfn.XLOOKUP($A204,Input_Raw!$A:$A,Input_Raw!BG:BG),"")</f>
        <v/>
      </c>
      <c r="N204" s="170" t="str">
        <f>IFERROR(_xlfn.XLOOKUP($A204,Input_Raw!$A:$A,Input_Raw!BH:BH),"")</f>
        <v/>
      </c>
      <c r="O204" s="173" t="str">
        <f t="shared" si="13"/>
        <v/>
      </c>
      <c r="P204" s="173" t="str">
        <f>IFERROR(1-SUMIF(WTG_BD!$F:$F,$A204,WTG_BD!$AA:$AA)/($AA204+SUMIF(WTG_BD!$F:$F,$A204,WTG_BD!$AA:$AA)),"")</f>
        <v/>
      </c>
      <c r="Q204" s="173" t="str">
        <f>IFERROR(1-SUMIF(IGA_BD!$F:$F,$A204,IGA_BD!$X:$X)/($AA204+SUMIF(IGA_BD!$F:$F,$A204,IGA_BD!$X:$X)),"")</f>
        <v/>
      </c>
      <c r="R204" s="173" t="str">
        <f>IFERROR(1-SUMIF(Grid_BD!$F:$F,$A204,Grid_BD!$Y:$Y)/($AA204+SUMIF(Grid_BD!$F:$F,$A204,Grid_BD!$Y:$Y)),"")</f>
        <v/>
      </c>
      <c r="S204" s="167"/>
      <c r="T204" s="172"/>
      <c r="U204" s="173"/>
      <c r="V204" s="167"/>
      <c r="W204" s="174" t="str">
        <f t="shared" si="14"/>
        <v/>
      </c>
      <c r="X204" s="167" t="str">
        <f>IFERROR(_xlfn.XLOOKUP($A204,Input_Raw!$A:$A,Input_Raw!$BF:$BF),"")</f>
        <v/>
      </c>
      <c r="Y204" s="167" t="str">
        <f>IFERROR(_xlfn.XLOOKUP($A204,Input_Raw!$A:$A,Input_Raw!BJ:BJ),"")</f>
        <v/>
      </c>
      <c r="Z204" s="167" t="str">
        <f>IFERROR(_xlfn.XLOOKUP($A204,Input_Raw!$A:$A,Input_Raw!BK:BK),"")</f>
        <v/>
      </c>
      <c r="AA204" s="167" t="str">
        <f>IFERROR(_xlfn.XLOOKUP($A204,Input_Raw!$A:$A,Input_Raw!BL:BL),"")</f>
        <v/>
      </c>
      <c r="AB204" s="167" t="str">
        <f>IFERROR(_xlfn.XLOOKUP($A204,Input_Raw!$A:$A,Input_Raw!$BO:$BO),"")</f>
        <v/>
      </c>
      <c r="AC204" s="176">
        <f>IFERROR(_xlfn.XLOOKUP($D204,'Modelling New'!$D:$D,'Modelling New'!$J:$J),"")</f>
        <v>9.2100000000000009</v>
      </c>
      <c r="AD204" s="166">
        <f>IFERROR(_xlfn.XLOOKUP($D204,'Modelling New'!$D:$D,'Modelling New'!$T:$T)*1000,"")</f>
        <v>363484.56165517244</v>
      </c>
      <c r="AE204" s="174"/>
      <c r="AF204" s="174">
        <f>IFERROR(_xlfn.XLOOKUP($D204,'Modelling New'!$D:$D,'Modelling New'!$W:$W),"")</f>
        <v>0.21574344827586206</v>
      </c>
      <c r="AG204" s="174">
        <f>IFERROR(_xlfn.XLOOKUP($D204,'Modelling New'!$D:$D,'Modelling New'!$AE:$AE),"")</f>
        <v>0.96029999999999993</v>
      </c>
      <c r="AH204" s="174">
        <f>IFERROR(_xlfn.XLOOKUP($D204,'Modelling New'!$D:$D,'Modelling New'!$AF:$AF),"")</f>
        <v>0.995</v>
      </c>
      <c r="AI204" s="177" t="str">
        <f>IFERROR(_xlfn.XLOOKUP($A204,Input_Raw!$A:$A,Input_Raw!$BQ:$BQ),"")</f>
        <v/>
      </c>
      <c r="AJ204" s="167"/>
      <c r="AK204" s="167"/>
      <c r="AL204" s="167"/>
      <c r="AM204" s="167"/>
      <c r="AN204" s="175" t="str">
        <f>IFERROR(_xlfn.XLOOKUP($A204,Input_Raw!$A:$A,Input_Raw!$BN:$BN),"")</f>
        <v/>
      </c>
      <c r="AO204" s="174" t="str">
        <f>IFERROR((_xlfn.XLOOKUP($A204,'WTG Reactive Power'!$A:$A,'WTG Reactive Power'!$AE:$AE))/Table13[[#This Row],[Gen_Exp (kWh)]],"")</f>
        <v/>
      </c>
      <c r="AP204" s="174">
        <f>IFERROR(_xlfn.XLOOKUP($D204,'Modelling New'!$D:$D,'Modelling New'!$AK:$AK),"")</f>
        <v>0.05</v>
      </c>
      <c r="AQ204" s="174">
        <f>IFERROR(_xlfn.XLOOKUP($D204,'Modelling New'!$D:$D,'Modelling New'!$AL:$AL),"")</f>
        <v>0.05</v>
      </c>
      <c r="AR204" s="276">
        <f>IFERROR(_xlfn.XLOOKUP($D204,'Modelling New'!$D:$D,'Modelling New'!$N:$N),"")</f>
        <v>70.2</v>
      </c>
      <c r="AS204" s="276"/>
    </row>
    <row r="205" spans="1:45">
      <c r="A205" s="165">
        <f t="shared" si="15"/>
        <v>45948</v>
      </c>
      <c r="B205" s="166">
        <f>YEAR(Table13[[#This Row],[Date]])+IF(MONTH(Table13[[#This Row],[Date]])&gt;=4,1,0)</f>
        <v>2026</v>
      </c>
      <c r="C205" s="167">
        <f>YEAR(Table13[[#This Row],[Date]])</f>
        <v>2025</v>
      </c>
      <c r="D205" s="168">
        <f>Table13[[#This Row],[Date]]-DAY(Table13[[#This Row],[Date]])+1</f>
        <v>45931</v>
      </c>
      <c r="E205" s="167">
        <f t="shared" si="12"/>
        <v>31</v>
      </c>
      <c r="F205" s="169"/>
      <c r="G205" s="176"/>
      <c r="H205" s="176"/>
      <c r="I205" s="176"/>
      <c r="J205" s="176"/>
      <c r="K205" s="171"/>
      <c r="L205" s="170"/>
      <c r="M205" s="170" t="str">
        <f>IFERROR(_xlfn.XLOOKUP($A205,Input_Raw!$A:$A,Input_Raw!BG:BG),"")</f>
        <v/>
      </c>
      <c r="N205" s="170" t="str">
        <f>IFERROR(_xlfn.XLOOKUP($A205,Input_Raw!$A:$A,Input_Raw!BH:BH),"")</f>
        <v/>
      </c>
      <c r="O205" s="173" t="str">
        <f t="shared" si="13"/>
        <v/>
      </c>
      <c r="P205" s="173" t="str">
        <f>IFERROR(1-SUMIF(WTG_BD!$F:$F,$A205,WTG_BD!$AA:$AA)/($AA205+SUMIF(WTG_BD!$F:$F,$A205,WTG_BD!$AA:$AA)),"")</f>
        <v/>
      </c>
      <c r="Q205" s="173" t="str">
        <f>IFERROR(1-SUMIF(IGA_BD!$F:$F,$A205,IGA_BD!$X:$X)/($AA205+SUMIF(IGA_BD!$F:$F,$A205,IGA_BD!$X:$X)),"")</f>
        <v/>
      </c>
      <c r="R205" s="173" t="str">
        <f>IFERROR(1-SUMIF(Grid_BD!$F:$F,$A205,Grid_BD!$Y:$Y)/($AA205+SUMIF(Grid_BD!$F:$F,$A205,Grid_BD!$Y:$Y)),"")</f>
        <v/>
      </c>
      <c r="S205" s="167"/>
      <c r="T205" s="172"/>
      <c r="U205" s="173"/>
      <c r="V205" s="167"/>
      <c r="W205" s="174" t="str">
        <f t="shared" si="14"/>
        <v/>
      </c>
      <c r="X205" s="167" t="str">
        <f>IFERROR(_xlfn.XLOOKUP($A205,Input_Raw!$A:$A,Input_Raw!$BF:$BF),"")</f>
        <v/>
      </c>
      <c r="Y205" s="167" t="str">
        <f>IFERROR(_xlfn.XLOOKUP($A205,Input_Raw!$A:$A,Input_Raw!BJ:BJ),"")</f>
        <v/>
      </c>
      <c r="Z205" s="167" t="str">
        <f>IFERROR(_xlfn.XLOOKUP($A205,Input_Raw!$A:$A,Input_Raw!BK:BK),"")</f>
        <v/>
      </c>
      <c r="AA205" s="167" t="str">
        <f>IFERROR(_xlfn.XLOOKUP($A205,Input_Raw!$A:$A,Input_Raw!BL:BL),"")</f>
        <v/>
      </c>
      <c r="AB205" s="167" t="str">
        <f>IFERROR(_xlfn.XLOOKUP($A205,Input_Raw!$A:$A,Input_Raw!$BO:$BO),"")</f>
        <v/>
      </c>
      <c r="AC205" s="176">
        <f>IFERROR(_xlfn.XLOOKUP($D205,'Modelling New'!$D:$D,'Modelling New'!$J:$J),"")</f>
        <v>9.2100000000000009</v>
      </c>
      <c r="AD205" s="166">
        <f>IFERROR(_xlfn.XLOOKUP($D205,'Modelling New'!$D:$D,'Modelling New'!$T:$T)*1000,"")</f>
        <v>363484.56165517244</v>
      </c>
      <c r="AE205" s="174"/>
      <c r="AF205" s="174">
        <f>IFERROR(_xlfn.XLOOKUP($D205,'Modelling New'!$D:$D,'Modelling New'!$W:$W),"")</f>
        <v>0.21574344827586206</v>
      </c>
      <c r="AG205" s="174">
        <f>IFERROR(_xlfn.XLOOKUP($D205,'Modelling New'!$D:$D,'Modelling New'!$AE:$AE),"")</f>
        <v>0.96029999999999993</v>
      </c>
      <c r="AH205" s="174">
        <f>IFERROR(_xlfn.XLOOKUP($D205,'Modelling New'!$D:$D,'Modelling New'!$AF:$AF),"")</f>
        <v>0.995</v>
      </c>
      <c r="AI205" s="177" t="str">
        <f>IFERROR(_xlfn.XLOOKUP($A205,Input_Raw!$A:$A,Input_Raw!$BQ:$BQ),"")</f>
        <v/>
      </c>
      <c r="AJ205" s="167"/>
      <c r="AK205" s="167"/>
      <c r="AL205" s="167"/>
      <c r="AM205" s="167"/>
      <c r="AN205" s="175" t="str">
        <f>IFERROR(_xlfn.XLOOKUP($A205,Input_Raw!$A:$A,Input_Raw!$BN:$BN),"")</f>
        <v/>
      </c>
      <c r="AO205" s="174" t="str">
        <f>IFERROR((_xlfn.XLOOKUP($A205,'WTG Reactive Power'!$A:$A,'WTG Reactive Power'!$AE:$AE))/Table13[[#This Row],[Gen_Exp (kWh)]],"")</f>
        <v/>
      </c>
      <c r="AP205" s="174">
        <f>IFERROR(_xlfn.XLOOKUP($D205,'Modelling New'!$D:$D,'Modelling New'!$AK:$AK),"")</f>
        <v>0.05</v>
      </c>
      <c r="AQ205" s="174">
        <f>IFERROR(_xlfn.XLOOKUP($D205,'Modelling New'!$D:$D,'Modelling New'!$AL:$AL),"")</f>
        <v>0.05</v>
      </c>
      <c r="AR205" s="276">
        <f>IFERROR(_xlfn.XLOOKUP($D205,'Modelling New'!$D:$D,'Modelling New'!$N:$N),"")</f>
        <v>70.2</v>
      </c>
      <c r="AS205" s="276"/>
    </row>
    <row r="206" spans="1:45">
      <c r="A206" s="165">
        <f t="shared" si="15"/>
        <v>45949</v>
      </c>
      <c r="B206" s="166">
        <f>YEAR(Table13[[#This Row],[Date]])+IF(MONTH(Table13[[#This Row],[Date]])&gt;=4,1,0)</f>
        <v>2026</v>
      </c>
      <c r="C206" s="167">
        <f>YEAR(Table13[[#This Row],[Date]])</f>
        <v>2025</v>
      </c>
      <c r="D206" s="168">
        <f>Table13[[#This Row],[Date]]-DAY(Table13[[#This Row],[Date]])+1</f>
        <v>45931</v>
      </c>
      <c r="E206" s="167">
        <f t="shared" si="12"/>
        <v>31</v>
      </c>
      <c r="F206" s="169"/>
      <c r="G206" s="170"/>
      <c r="H206" s="170"/>
      <c r="I206" s="170"/>
      <c r="J206" s="170"/>
      <c r="K206" s="171"/>
      <c r="L206" s="170"/>
      <c r="M206" s="170" t="str">
        <f>IFERROR(_xlfn.XLOOKUP($A206,Input_Raw!$A:$A,Input_Raw!BG:BG),"")</f>
        <v/>
      </c>
      <c r="N206" s="170" t="str">
        <f>IFERROR(_xlfn.XLOOKUP($A206,Input_Raw!$A:$A,Input_Raw!BH:BH),"")</f>
        <v/>
      </c>
      <c r="O206" s="173" t="str">
        <f t="shared" si="13"/>
        <v/>
      </c>
      <c r="P206" s="173" t="str">
        <f>IFERROR(1-SUMIF(WTG_BD!$F:$F,$A206,WTG_BD!$AA:$AA)/($AA206+SUMIF(WTG_BD!$F:$F,$A206,WTG_BD!$AA:$AA)),"")</f>
        <v/>
      </c>
      <c r="Q206" s="173" t="str">
        <f>IFERROR(1-SUMIF(IGA_BD!$F:$F,$A206,IGA_BD!$X:$X)/($AA206+SUMIF(IGA_BD!$F:$F,$A206,IGA_BD!$X:$X)),"")</f>
        <v/>
      </c>
      <c r="R206" s="173" t="str">
        <f>IFERROR(1-SUMIF(Grid_BD!$F:$F,$A206,Grid_BD!$Y:$Y)/($AA206+SUMIF(Grid_BD!$F:$F,$A206,Grid_BD!$Y:$Y)),"")</f>
        <v/>
      </c>
      <c r="S206" s="167"/>
      <c r="T206" s="172"/>
      <c r="U206" s="173"/>
      <c r="V206" s="167"/>
      <c r="W206" s="174" t="str">
        <f t="shared" si="14"/>
        <v/>
      </c>
      <c r="X206" s="167" t="str">
        <f>IFERROR(_xlfn.XLOOKUP($A206,Input_Raw!$A:$A,Input_Raw!$BF:$BF),"")</f>
        <v/>
      </c>
      <c r="Y206" s="167" t="str">
        <f>IFERROR(_xlfn.XLOOKUP($A206,Input_Raw!$A:$A,Input_Raw!BJ:BJ),"")</f>
        <v/>
      </c>
      <c r="Z206" s="167" t="str">
        <f>IFERROR(_xlfn.XLOOKUP($A206,Input_Raw!$A:$A,Input_Raw!BK:BK),"")</f>
        <v/>
      </c>
      <c r="AA206" s="167" t="str">
        <f>IFERROR(_xlfn.XLOOKUP($A206,Input_Raw!$A:$A,Input_Raw!BL:BL),"")</f>
        <v/>
      </c>
      <c r="AB206" s="167" t="str">
        <f>IFERROR(_xlfn.XLOOKUP($A206,Input_Raw!$A:$A,Input_Raw!$BO:$BO),"")</f>
        <v/>
      </c>
      <c r="AC206" s="176">
        <f>IFERROR(_xlfn.XLOOKUP($D206,'Modelling New'!$D:$D,'Modelling New'!$J:$J),"")</f>
        <v>9.2100000000000009</v>
      </c>
      <c r="AD206" s="166">
        <f>IFERROR(_xlfn.XLOOKUP($D206,'Modelling New'!$D:$D,'Modelling New'!$T:$T)*1000,"")</f>
        <v>363484.56165517244</v>
      </c>
      <c r="AE206" s="174"/>
      <c r="AF206" s="174">
        <f>IFERROR(_xlfn.XLOOKUP($D206,'Modelling New'!$D:$D,'Modelling New'!$W:$W),"")</f>
        <v>0.21574344827586206</v>
      </c>
      <c r="AG206" s="174">
        <f>IFERROR(_xlfn.XLOOKUP($D206,'Modelling New'!$D:$D,'Modelling New'!$AE:$AE),"")</f>
        <v>0.96029999999999993</v>
      </c>
      <c r="AH206" s="174">
        <f>IFERROR(_xlfn.XLOOKUP($D206,'Modelling New'!$D:$D,'Modelling New'!$AF:$AF),"")</f>
        <v>0.995</v>
      </c>
      <c r="AI206" s="177" t="str">
        <f>IFERROR(_xlfn.XLOOKUP($A206,Input_Raw!$A:$A,Input_Raw!$BQ:$BQ),"")</f>
        <v/>
      </c>
      <c r="AJ206" s="167"/>
      <c r="AK206" s="167"/>
      <c r="AL206" s="167"/>
      <c r="AM206" s="167"/>
      <c r="AN206" s="175" t="str">
        <f>IFERROR(_xlfn.XLOOKUP($A206,Input_Raw!$A:$A,Input_Raw!$BN:$BN),"")</f>
        <v/>
      </c>
      <c r="AO206" s="174" t="str">
        <f>IFERROR((_xlfn.XLOOKUP($A206,'WTG Reactive Power'!$A:$A,'WTG Reactive Power'!$AE:$AE))/Table13[[#This Row],[Gen_Exp (kWh)]],"")</f>
        <v/>
      </c>
      <c r="AP206" s="174">
        <f>IFERROR(_xlfn.XLOOKUP($D206,'Modelling New'!$D:$D,'Modelling New'!$AK:$AK),"")</f>
        <v>0.05</v>
      </c>
      <c r="AQ206" s="174">
        <f>IFERROR(_xlfn.XLOOKUP($D206,'Modelling New'!$D:$D,'Modelling New'!$AL:$AL),"")</f>
        <v>0.05</v>
      </c>
      <c r="AR206" s="276">
        <f>IFERROR(_xlfn.XLOOKUP($D206,'Modelling New'!$D:$D,'Modelling New'!$N:$N),"")</f>
        <v>70.2</v>
      </c>
      <c r="AS206" s="276"/>
    </row>
    <row r="207" spans="1:45">
      <c r="A207" s="165">
        <f t="shared" si="15"/>
        <v>45950</v>
      </c>
      <c r="B207" s="166">
        <f>YEAR(Table13[[#This Row],[Date]])+IF(MONTH(Table13[[#This Row],[Date]])&gt;=4,1,0)</f>
        <v>2026</v>
      </c>
      <c r="C207" s="167">
        <f>YEAR(Table13[[#This Row],[Date]])</f>
        <v>2025</v>
      </c>
      <c r="D207" s="168">
        <f>Table13[[#This Row],[Date]]-DAY(Table13[[#This Row],[Date]])+1</f>
        <v>45931</v>
      </c>
      <c r="E207" s="167">
        <f t="shared" si="12"/>
        <v>31</v>
      </c>
      <c r="F207" s="169"/>
      <c r="G207" s="176"/>
      <c r="H207" s="176"/>
      <c r="I207" s="176"/>
      <c r="J207" s="176"/>
      <c r="K207" s="171"/>
      <c r="L207" s="170"/>
      <c r="M207" s="170" t="str">
        <f>IFERROR(_xlfn.XLOOKUP($A207,Input_Raw!$A:$A,Input_Raw!BG:BG),"")</f>
        <v/>
      </c>
      <c r="N207" s="170" t="str">
        <f>IFERROR(_xlfn.XLOOKUP($A207,Input_Raw!$A:$A,Input_Raw!BH:BH),"")</f>
        <v/>
      </c>
      <c r="O207" s="173" t="str">
        <f t="shared" si="13"/>
        <v/>
      </c>
      <c r="P207" s="173" t="str">
        <f>IFERROR(1-SUMIF(WTG_BD!$F:$F,$A207,WTG_BD!$AA:$AA)/($AA207+SUMIF(WTG_BD!$F:$F,$A207,WTG_BD!$AA:$AA)),"")</f>
        <v/>
      </c>
      <c r="Q207" s="173" t="str">
        <f>IFERROR(1-SUMIF(IGA_BD!$F:$F,$A207,IGA_BD!$X:$X)/($AA207+SUMIF(IGA_BD!$F:$F,$A207,IGA_BD!$X:$X)),"")</f>
        <v/>
      </c>
      <c r="R207" s="173" t="str">
        <f>IFERROR(1-SUMIF(Grid_BD!$F:$F,$A207,Grid_BD!$Y:$Y)/($AA207+SUMIF(Grid_BD!$F:$F,$A207,Grid_BD!$Y:$Y)),"")</f>
        <v/>
      </c>
      <c r="S207" s="167"/>
      <c r="T207" s="172"/>
      <c r="U207" s="173"/>
      <c r="V207" s="167"/>
      <c r="W207" s="174" t="str">
        <f t="shared" si="14"/>
        <v/>
      </c>
      <c r="X207" s="167" t="str">
        <f>IFERROR(_xlfn.XLOOKUP($A207,Input_Raw!$A:$A,Input_Raw!$BF:$BF),"")</f>
        <v/>
      </c>
      <c r="Y207" s="167" t="str">
        <f>IFERROR(_xlfn.XLOOKUP($A207,Input_Raw!$A:$A,Input_Raw!BJ:BJ),"")</f>
        <v/>
      </c>
      <c r="Z207" s="167" t="str">
        <f>IFERROR(_xlfn.XLOOKUP($A207,Input_Raw!$A:$A,Input_Raw!BK:BK),"")</f>
        <v/>
      </c>
      <c r="AA207" s="167" t="str">
        <f>IFERROR(_xlfn.XLOOKUP($A207,Input_Raw!$A:$A,Input_Raw!BL:BL),"")</f>
        <v/>
      </c>
      <c r="AB207" s="167" t="str">
        <f>IFERROR(_xlfn.XLOOKUP($A207,Input_Raw!$A:$A,Input_Raw!$BO:$BO),"")</f>
        <v/>
      </c>
      <c r="AC207" s="176">
        <f>IFERROR(_xlfn.XLOOKUP($D207,'Modelling New'!$D:$D,'Modelling New'!$J:$J),"")</f>
        <v>9.2100000000000009</v>
      </c>
      <c r="AD207" s="166">
        <f>IFERROR(_xlfn.XLOOKUP($D207,'Modelling New'!$D:$D,'Modelling New'!$T:$T)*1000,"")</f>
        <v>363484.56165517244</v>
      </c>
      <c r="AE207" s="174"/>
      <c r="AF207" s="174">
        <f>IFERROR(_xlfn.XLOOKUP($D207,'Modelling New'!$D:$D,'Modelling New'!$W:$W),"")</f>
        <v>0.21574344827586206</v>
      </c>
      <c r="AG207" s="174">
        <f>IFERROR(_xlfn.XLOOKUP($D207,'Modelling New'!$D:$D,'Modelling New'!$AE:$AE),"")</f>
        <v>0.96029999999999993</v>
      </c>
      <c r="AH207" s="174">
        <f>IFERROR(_xlfn.XLOOKUP($D207,'Modelling New'!$D:$D,'Modelling New'!$AF:$AF),"")</f>
        <v>0.995</v>
      </c>
      <c r="AI207" s="177" t="str">
        <f>IFERROR(_xlfn.XLOOKUP($A207,Input_Raw!$A:$A,Input_Raw!$BQ:$BQ),"")</f>
        <v/>
      </c>
      <c r="AJ207" s="167"/>
      <c r="AK207" s="167"/>
      <c r="AL207" s="167"/>
      <c r="AM207" s="167"/>
      <c r="AN207" s="175" t="str">
        <f>IFERROR(_xlfn.XLOOKUP($A207,Input_Raw!$A:$A,Input_Raw!$BN:$BN),"")</f>
        <v/>
      </c>
      <c r="AO207" s="174" t="str">
        <f>IFERROR((_xlfn.XLOOKUP($A207,'WTG Reactive Power'!$A:$A,'WTG Reactive Power'!$AE:$AE))/Table13[[#This Row],[Gen_Exp (kWh)]],"")</f>
        <v/>
      </c>
      <c r="AP207" s="174">
        <f>IFERROR(_xlfn.XLOOKUP($D207,'Modelling New'!$D:$D,'Modelling New'!$AK:$AK),"")</f>
        <v>0.05</v>
      </c>
      <c r="AQ207" s="174">
        <f>IFERROR(_xlfn.XLOOKUP($D207,'Modelling New'!$D:$D,'Modelling New'!$AL:$AL),"")</f>
        <v>0.05</v>
      </c>
      <c r="AR207" s="276">
        <f>IFERROR(_xlfn.XLOOKUP($D207,'Modelling New'!$D:$D,'Modelling New'!$N:$N),"")</f>
        <v>70.2</v>
      </c>
      <c r="AS207" s="276"/>
    </row>
    <row r="208" spans="1:45">
      <c r="A208" s="165">
        <f t="shared" si="15"/>
        <v>45951</v>
      </c>
      <c r="B208" s="166">
        <f>YEAR(Table13[[#This Row],[Date]])+IF(MONTH(Table13[[#This Row],[Date]])&gt;=4,1,0)</f>
        <v>2026</v>
      </c>
      <c r="C208" s="167">
        <f>YEAR(Table13[[#This Row],[Date]])</f>
        <v>2025</v>
      </c>
      <c r="D208" s="168">
        <f>Table13[[#This Row],[Date]]-DAY(Table13[[#This Row],[Date]])+1</f>
        <v>45931</v>
      </c>
      <c r="E208" s="167">
        <f t="shared" si="12"/>
        <v>31</v>
      </c>
      <c r="F208" s="169"/>
      <c r="G208" s="170"/>
      <c r="H208" s="170"/>
      <c r="I208" s="170"/>
      <c r="J208" s="170"/>
      <c r="K208" s="171"/>
      <c r="L208" s="170"/>
      <c r="M208" s="170" t="str">
        <f>IFERROR(_xlfn.XLOOKUP($A208,Input_Raw!$A:$A,Input_Raw!BG:BG),"")</f>
        <v/>
      </c>
      <c r="N208" s="170" t="str">
        <f>IFERROR(_xlfn.XLOOKUP($A208,Input_Raw!$A:$A,Input_Raw!BH:BH),"")</f>
        <v/>
      </c>
      <c r="O208" s="173" t="str">
        <f t="shared" si="13"/>
        <v/>
      </c>
      <c r="P208" s="173" t="str">
        <f>IFERROR(1-SUMIF(WTG_BD!$F:$F,$A208,WTG_BD!$AA:$AA)/($AA208+SUMIF(WTG_BD!$F:$F,$A208,WTG_BD!$AA:$AA)),"")</f>
        <v/>
      </c>
      <c r="Q208" s="173" t="str">
        <f>IFERROR(1-SUMIF(IGA_BD!$F:$F,$A208,IGA_BD!$X:$X)/($AA208+SUMIF(IGA_BD!$F:$F,$A208,IGA_BD!$X:$X)),"")</f>
        <v/>
      </c>
      <c r="R208" s="173" t="str">
        <f>IFERROR(1-SUMIF(Grid_BD!$F:$F,$A208,Grid_BD!$Y:$Y)/($AA208+SUMIF(Grid_BD!$F:$F,$A208,Grid_BD!$Y:$Y)),"")</f>
        <v/>
      </c>
      <c r="S208" s="167"/>
      <c r="T208" s="172"/>
      <c r="U208" s="173"/>
      <c r="V208" s="167"/>
      <c r="W208" s="174" t="str">
        <f t="shared" si="14"/>
        <v/>
      </c>
      <c r="X208" s="167" t="str">
        <f>IFERROR(_xlfn.XLOOKUP($A208,Input_Raw!$A:$A,Input_Raw!$BF:$BF),"")</f>
        <v/>
      </c>
      <c r="Y208" s="167" t="str">
        <f>IFERROR(_xlfn.XLOOKUP($A208,Input_Raw!$A:$A,Input_Raw!BJ:BJ),"")</f>
        <v/>
      </c>
      <c r="Z208" s="167" t="str">
        <f>IFERROR(_xlfn.XLOOKUP($A208,Input_Raw!$A:$A,Input_Raw!BK:BK),"")</f>
        <v/>
      </c>
      <c r="AA208" s="167" t="str">
        <f>IFERROR(_xlfn.XLOOKUP($A208,Input_Raw!$A:$A,Input_Raw!BL:BL),"")</f>
        <v/>
      </c>
      <c r="AB208" s="167" t="str">
        <f>IFERROR(_xlfn.XLOOKUP($A208,Input_Raw!$A:$A,Input_Raw!$BO:$BO),"")</f>
        <v/>
      </c>
      <c r="AC208" s="176">
        <f>IFERROR(_xlfn.XLOOKUP($D208,'Modelling New'!$D:$D,'Modelling New'!$J:$J),"")</f>
        <v>9.2100000000000009</v>
      </c>
      <c r="AD208" s="166">
        <f>IFERROR(_xlfn.XLOOKUP($D208,'Modelling New'!$D:$D,'Modelling New'!$T:$T)*1000,"")</f>
        <v>363484.56165517244</v>
      </c>
      <c r="AE208" s="174"/>
      <c r="AF208" s="174">
        <f>IFERROR(_xlfn.XLOOKUP($D208,'Modelling New'!$D:$D,'Modelling New'!$W:$W),"")</f>
        <v>0.21574344827586206</v>
      </c>
      <c r="AG208" s="174">
        <f>IFERROR(_xlfn.XLOOKUP($D208,'Modelling New'!$D:$D,'Modelling New'!$AE:$AE),"")</f>
        <v>0.96029999999999993</v>
      </c>
      <c r="AH208" s="174">
        <f>IFERROR(_xlfn.XLOOKUP($D208,'Modelling New'!$D:$D,'Modelling New'!$AF:$AF),"")</f>
        <v>0.995</v>
      </c>
      <c r="AI208" s="177" t="str">
        <f>IFERROR(_xlfn.XLOOKUP($A208,Input_Raw!$A:$A,Input_Raw!$BQ:$BQ),"")</f>
        <v/>
      </c>
      <c r="AJ208" s="167"/>
      <c r="AK208" s="167"/>
      <c r="AL208" s="167"/>
      <c r="AM208" s="167"/>
      <c r="AN208" s="175" t="str">
        <f>IFERROR(_xlfn.XLOOKUP($A208,Input_Raw!$A:$A,Input_Raw!$BN:$BN),"")</f>
        <v/>
      </c>
      <c r="AO208" s="174" t="str">
        <f>IFERROR((_xlfn.XLOOKUP($A208,'WTG Reactive Power'!$A:$A,'WTG Reactive Power'!$AE:$AE))/Table13[[#This Row],[Gen_Exp (kWh)]],"")</f>
        <v/>
      </c>
      <c r="AP208" s="174">
        <f>IFERROR(_xlfn.XLOOKUP($D208,'Modelling New'!$D:$D,'Modelling New'!$AK:$AK),"")</f>
        <v>0.05</v>
      </c>
      <c r="AQ208" s="174">
        <f>IFERROR(_xlfn.XLOOKUP($D208,'Modelling New'!$D:$D,'Modelling New'!$AL:$AL),"")</f>
        <v>0.05</v>
      </c>
      <c r="AR208" s="276">
        <f>IFERROR(_xlfn.XLOOKUP($D208,'Modelling New'!$D:$D,'Modelling New'!$N:$N),"")</f>
        <v>70.2</v>
      </c>
      <c r="AS208" s="276"/>
    </row>
    <row r="209" spans="1:45">
      <c r="A209" s="165">
        <f t="shared" si="15"/>
        <v>45952</v>
      </c>
      <c r="B209" s="166">
        <f>YEAR(Table13[[#This Row],[Date]])+IF(MONTH(Table13[[#This Row],[Date]])&gt;=4,1,0)</f>
        <v>2026</v>
      </c>
      <c r="C209" s="167">
        <f>YEAR(Table13[[#This Row],[Date]])</f>
        <v>2025</v>
      </c>
      <c r="D209" s="168">
        <f>Table13[[#This Row],[Date]]-DAY(Table13[[#This Row],[Date]])+1</f>
        <v>45931</v>
      </c>
      <c r="E209" s="167">
        <f t="shared" si="12"/>
        <v>31</v>
      </c>
      <c r="F209" s="169"/>
      <c r="G209" s="176"/>
      <c r="H209" s="176"/>
      <c r="I209" s="176"/>
      <c r="J209" s="176"/>
      <c r="K209" s="171"/>
      <c r="L209" s="170"/>
      <c r="M209" s="170" t="str">
        <f>IFERROR(_xlfn.XLOOKUP($A209,Input_Raw!$A:$A,Input_Raw!BG:BG),"")</f>
        <v/>
      </c>
      <c r="N209" s="170" t="str">
        <f>IFERROR(_xlfn.XLOOKUP($A209,Input_Raw!$A:$A,Input_Raw!BH:BH),"")</f>
        <v/>
      </c>
      <c r="O209" s="173" t="str">
        <f t="shared" si="13"/>
        <v/>
      </c>
      <c r="P209" s="173" t="str">
        <f>IFERROR(1-SUMIF(WTG_BD!$F:$F,$A209,WTG_BD!$AA:$AA)/($AA209+SUMIF(WTG_BD!$F:$F,$A209,WTG_BD!$AA:$AA)),"")</f>
        <v/>
      </c>
      <c r="Q209" s="173" t="str">
        <f>IFERROR(1-SUMIF(IGA_BD!$F:$F,$A209,IGA_BD!$X:$X)/($AA209+SUMIF(IGA_BD!$F:$F,$A209,IGA_BD!$X:$X)),"")</f>
        <v/>
      </c>
      <c r="R209" s="173" t="str">
        <f>IFERROR(1-SUMIF(Grid_BD!$F:$F,$A209,Grid_BD!$Y:$Y)/($AA209+SUMIF(Grid_BD!$F:$F,$A209,Grid_BD!$Y:$Y)),"")</f>
        <v/>
      </c>
      <c r="S209" s="167"/>
      <c r="T209" s="172"/>
      <c r="U209" s="173"/>
      <c r="V209" s="167"/>
      <c r="W209" s="174" t="str">
        <f t="shared" si="14"/>
        <v/>
      </c>
      <c r="X209" s="167" t="str">
        <f>IFERROR(_xlfn.XLOOKUP($A209,Input_Raw!$A:$A,Input_Raw!$BF:$BF),"")</f>
        <v/>
      </c>
      <c r="Y209" s="167" t="str">
        <f>IFERROR(_xlfn.XLOOKUP($A209,Input_Raw!$A:$A,Input_Raw!BJ:BJ),"")</f>
        <v/>
      </c>
      <c r="Z209" s="167" t="str">
        <f>IFERROR(_xlfn.XLOOKUP($A209,Input_Raw!$A:$A,Input_Raw!BK:BK),"")</f>
        <v/>
      </c>
      <c r="AA209" s="167" t="str">
        <f>IFERROR(_xlfn.XLOOKUP($A209,Input_Raw!$A:$A,Input_Raw!BL:BL),"")</f>
        <v/>
      </c>
      <c r="AB209" s="167" t="str">
        <f>IFERROR(_xlfn.XLOOKUP($A209,Input_Raw!$A:$A,Input_Raw!$BO:$BO),"")</f>
        <v/>
      </c>
      <c r="AC209" s="176">
        <f>IFERROR(_xlfn.XLOOKUP($D209,'Modelling New'!$D:$D,'Modelling New'!$J:$J),"")</f>
        <v>9.2100000000000009</v>
      </c>
      <c r="AD209" s="166">
        <f>IFERROR(_xlfn.XLOOKUP($D209,'Modelling New'!$D:$D,'Modelling New'!$T:$T)*1000,"")</f>
        <v>363484.56165517244</v>
      </c>
      <c r="AE209" s="174"/>
      <c r="AF209" s="174">
        <f>IFERROR(_xlfn.XLOOKUP($D209,'Modelling New'!$D:$D,'Modelling New'!$W:$W),"")</f>
        <v>0.21574344827586206</v>
      </c>
      <c r="AG209" s="174">
        <f>IFERROR(_xlfn.XLOOKUP($D209,'Modelling New'!$D:$D,'Modelling New'!$AE:$AE),"")</f>
        <v>0.96029999999999993</v>
      </c>
      <c r="AH209" s="174">
        <f>IFERROR(_xlfn.XLOOKUP($D209,'Modelling New'!$D:$D,'Modelling New'!$AF:$AF),"")</f>
        <v>0.995</v>
      </c>
      <c r="AI209" s="177" t="str">
        <f>IFERROR(_xlfn.XLOOKUP($A209,Input_Raw!$A:$A,Input_Raw!$BQ:$BQ),"")</f>
        <v/>
      </c>
      <c r="AJ209" s="167"/>
      <c r="AK209" s="167"/>
      <c r="AL209" s="167"/>
      <c r="AM209" s="167"/>
      <c r="AN209" s="175" t="str">
        <f>IFERROR(_xlfn.XLOOKUP($A209,Input_Raw!$A:$A,Input_Raw!$BN:$BN),"")</f>
        <v/>
      </c>
      <c r="AO209" s="174" t="str">
        <f>IFERROR((_xlfn.XLOOKUP($A209,'WTG Reactive Power'!$A:$A,'WTG Reactive Power'!$AE:$AE))/Table13[[#This Row],[Gen_Exp (kWh)]],"")</f>
        <v/>
      </c>
      <c r="AP209" s="174">
        <f>IFERROR(_xlfn.XLOOKUP($D209,'Modelling New'!$D:$D,'Modelling New'!$AK:$AK),"")</f>
        <v>0.05</v>
      </c>
      <c r="AQ209" s="174">
        <f>IFERROR(_xlfn.XLOOKUP($D209,'Modelling New'!$D:$D,'Modelling New'!$AL:$AL),"")</f>
        <v>0.05</v>
      </c>
      <c r="AR209" s="276">
        <f>IFERROR(_xlfn.XLOOKUP($D209,'Modelling New'!$D:$D,'Modelling New'!$N:$N),"")</f>
        <v>70.2</v>
      </c>
      <c r="AS209" s="276"/>
    </row>
    <row r="210" spans="1:45">
      <c r="A210" s="165">
        <f t="shared" si="15"/>
        <v>45953</v>
      </c>
      <c r="B210" s="166">
        <f>YEAR(Table13[[#This Row],[Date]])+IF(MONTH(Table13[[#This Row],[Date]])&gt;=4,1,0)</f>
        <v>2026</v>
      </c>
      <c r="C210" s="167">
        <f>YEAR(Table13[[#This Row],[Date]])</f>
        <v>2025</v>
      </c>
      <c r="D210" s="168">
        <f>Table13[[#This Row],[Date]]-DAY(Table13[[#This Row],[Date]])+1</f>
        <v>45931</v>
      </c>
      <c r="E210" s="167">
        <f t="shared" si="12"/>
        <v>31</v>
      </c>
      <c r="F210" s="169"/>
      <c r="G210" s="170"/>
      <c r="H210" s="170"/>
      <c r="I210" s="170"/>
      <c r="J210" s="170"/>
      <c r="K210" s="171"/>
      <c r="L210" s="170"/>
      <c r="M210" s="170" t="str">
        <f>IFERROR(_xlfn.XLOOKUP($A210,Input_Raw!$A:$A,Input_Raw!BG:BG),"")</f>
        <v/>
      </c>
      <c r="N210" s="170" t="str">
        <f>IFERROR(_xlfn.XLOOKUP($A210,Input_Raw!$A:$A,Input_Raw!BH:BH),"")</f>
        <v/>
      </c>
      <c r="O210" s="173" t="str">
        <f t="shared" si="13"/>
        <v/>
      </c>
      <c r="P210" s="173" t="str">
        <f>IFERROR(1-SUMIF(WTG_BD!$F:$F,$A210,WTG_BD!$AA:$AA)/($AA210+SUMIF(WTG_BD!$F:$F,$A210,WTG_BD!$AA:$AA)),"")</f>
        <v/>
      </c>
      <c r="Q210" s="173" t="str">
        <f>IFERROR(1-SUMIF(IGA_BD!$F:$F,$A210,IGA_BD!$X:$X)/($AA210+SUMIF(IGA_BD!$F:$F,$A210,IGA_BD!$X:$X)),"")</f>
        <v/>
      </c>
      <c r="R210" s="173" t="str">
        <f>IFERROR(1-SUMIF(Grid_BD!$F:$F,$A210,Grid_BD!$Y:$Y)/($AA210+SUMIF(Grid_BD!$F:$F,$A210,Grid_BD!$Y:$Y)),"")</f>
        <v/>
      </c>
      <c r="S210" s="167"/>
      <c r="T210" s="172"/>
      <c r="U210" s="173"/>
      <c r="V210" s="167"/>
      <c r="W210" s="174" t="str">
        <f t="shared" si="14"/>
        <v/>
      </c>
      <c r="X210" s="167" t="str">
        <f>IFERROR(_xlfn.XLOOKUP($A210,Input_Raw!$A:$A,Input_Raw!$BF:$BF),"")</f>
        <v/>
      </c>
      <c r="Y210" s="167" t="str">
        <f>IFERROR(_xlfn.XLOOKUP($A210,Input_Raw!$A:$A,Input_Raw!BJ:BJ),"")</f>
        <v/>
      </c>
      <c r="Z210" s="167" t="str">
        <f>IFERROR(_xlfn.XLOOKUP($A210,Input_Raw!$A:$A,Input_Raw!BK:BK),"")</f>
        <v/>
      </c>
      <c r="AA210" s="167" t="str">
        <f>IFERROR(_xlfn.XLOOKUP($A210,Input_Raw!$A:$A,Input_Raw!BL:BL),"")</f>
        <v/>
      </c>
      <c r="AB210" s="167" t="str">
        <f>IFERROR(_xlfn.XLOOKUP($A210,Input_Raw!$A:$A,Input_Raw!$BO:$BO),"")</f>
        <v/>
      </c>
      <c r="AC210" s="176">
        <f>IFERROR(_xlfn.XLOOKUP($D210,'Modelling New'!$D:$D,'Modelling New'!$J:$J),"")</f>
        <v>9.2100000000000009</v>
      </c>
      <c r="AD210" s="166">
        <f>IFERROR(_xlfn.XLOOKUP($D210,'Modelling New'!$D:$D,'Modelling New'!$T:$T)*1000,"")</f>
        <v>363484.56165517244</v>
      </c>
      <c r="AE210" s="174"/>
      <c r="AF210" s="174">
        <f>IFERROR(_xlfn.XLOOKUP($D210,'Modelling New'!$D:$D,'Modelling New'!$W:$W),"")</f>
        <v>0.21574344827586206</v>
      </c>
      <c r="AG210" s="174">
        <f>IFERROR(_xlfn.XLOOKUP($D210,'Modelling New'!$D:$D,'Modelling New'!$AE:$AE),"")</f>
        <v>0.96029999999999993</v>
      </c>
      <c r="AH210" s="174">
        <f>IFERROR(_xlfn.XLOOKUP($D210,'Modelling New'!$D:$D,'Modelling New'!$AF:$AF),"")</f>
        <v>0.995</v>
      </c>
      <c r="AI210" s="177" t="str">
        <f>IFERROR(_xlfn.XLOOKUP($A210,Input_Raw!$A:$A,Input_Raw!$BQ:$BQ),"")</f>
        <v/>
      </c>
      <c r="AJ210" s="167"/>
      <c r="AK210" s="167"/>
      <c r="AL210" s="167"/>
      <c r="AM210" s="167"/>
      <c r="AN210" s="175" t="str">
        <f>IFERROR(_xlfn.XLOOKUP($A210,Input_Raw!$A:$A,Input_Raw!$BN:$BN),"")</f>
        <v/>
      </c>
      <c r="AO210" s="174" t="str">
        <f>IFERROR((_xlfn.XLOOKUP($A210,'WTG Reactive Power'!$A:$A,'WTG Reactive Power'!$AE:$AE))/Table13[[#This Row],[Gen_Exp (kWh)]],"")</f>
        <v/>
      </c>
      <c r="AP210" s="174">
        <f>IFERROR(_xlfn.XLOOKUP($D210,'Modelling New'!$D:$D,'Modelling New'!$AK:$AK),"")</f>
        <v>0.05</v>
      </c>
      <c r="AQ210" s="174">
        <f>IFERROR(_xlfn.XLOOKUP($D210,'Modelling New'!$D:$D,'Modelling New'!$AL:$AL),"")</f>
        <v>0.05</v>
      </c>
      <c r="AR210" s="276">
        <f>IFERROR(_xlfn.XLOOKUP($D210,'Modelling New'!$D:$D,'Modelling New'!$N:$N),"")</f>
        <v>70.2</v>
      </c>
      <c r="AS210" s="276"/>
    </row>
    <row r="211" spans="1:45">
      <c r="A211" s="165">
        <f t="shared" si="15"/>
        <v>45954</v>
      </c>
      <c r="B211" s="166">
        <f>YEAR(Table13[[#This Row],[Date]])+IF(MONTH(Table13[[#This Row],[Date]])&gt;=4,1,0)</f>
        <v>2026</v>
      </c>
      <c r="C211" s="167">
        <f>YEAR(Table13[[#This Row],[Date]])</f>
        <v>2025</v>
      </c>
      <c r="D211" s="168">
        <f>Table13[[#This Row],[Date]]-DAY(Table13[[#This Row],[Date]])+1</f>
        <v>45931</v>
      </c>
      <c r="E211" s="167">
        <f t="shared" si="12"/>
        <v>31</v>
      </c>
      <c r="F211" s="169"/>
      <c r="G211" s="176"/>
      <c r="H211" s="176"/>
      <c r="I211" s="176"/>
      <c r="J211" s="176"/>
      <c r="K211" s="171"/>
      <c r="L211" s="170"/>
      <c r="M211" s="170" t="str">
        <f>IFERROR(_xlfn.XLOOKUP($A211,Input_Raw!$A:$A,Input_Raw!BG:BG),"")</f>
        <v/>
      </c>
      <c r="N211" s="170" t="str">
        <f>IFERROR(_xlfn.XLOOKUP($A211,Input_Raw!$A:$A,Input_Raw!BH:BH),"")</f>
        <v/>
      </c>
      <c r="O211" s="173" t="str">
        <f t="shared" si="13"/>
        <v/>
      </c>
      <c r="P211" s="173" t="str">
        <f>IFERROR(1-SUMIF(WTG_BD!$F:$F,$A211,WTG_BD!$AA:$AA)/($AA211+SUMIF(WTG_BD!$F:$F,$A211,WTG_BD!$AA:$AA)),"")</f>
        <v/>
      </c>
      <c r="Q211" s="173" t="str">
        <f>IFERROR(1-SUMIF(IGA_BD!$F:$F,$A211,IGA_BD!$X:$X)/($AA211+SUMIF(IGA_BD!$F:$F,$A211,IGA_BD!$X:$X)),"")</f>
        <v/>
      </c>
      <c r="R211" s="173" t="str">
        <f>IFERROR(1-SUMIF(Grid_BD!$F:$F,$A211,Grid_BD!$Y:$Y)/($AA211+SUMIF(Grid_BD!$F:$F,$A211,Grid_BD!$Y:$Y)),"")</f>
        <v/>
      </c>
      <c r="S211" s="167"/>
      <c r="T211" s="172"/>
      <c r="U211" s="173"/>
      <c r="V211" s="167"/>
      <c r="W211" s="174" t="str">
        <f t="shared" si="14"/>
        <v/>
      </c>
      <c r="X211" s="167" t="str">
        <f>IFERROR(_xlfn.XLOOKUP($A211,Input_Raw!$A:$A,Input_Raw!$BF:$BF),"")</f>
        <v/>
      </c>
      <c r="Y211" s="167" t="str">
        <f>IFERROR(_xlfn.XLOOKUP($A211,Input_Raw!$A:$A,Input_Raw!BJ:BJ),"")</f>
        <v/>
      </c>
      <c r="Z211" s="167" t="str">
        <f>IFERROR(_xlfn.XLOOKUP($A211,Input_Raw!$A:$A,Input_Raw!BK:BK),"")</f>
        <v/>
      </c>
      <c r="AA211" s="167" t="str">
        <f>IFERROR(_xlfn.XLOOKUP($A211,Input_Raw!$A:$A,Input_Raw!BL:BL),"")</f>
        <v/>
      </c>
      <c r="AB211" s="167" t="str">
        <f>IFERROR(_xlfn.XLOOKUP($A211,Input_Raw!$A:$A,Input_Raw!$BO:$BO),"")</f>
        <v/>
      </c>
      <c r="AC211" s="176">
        <f>IFERROR(_xlfn.XLOOKUP($D211,'Modelling New'!$D:$D,'Modelling New'!$J:$J),"")</f>
        <v>9.2100000000000009</v>
      </c>
      <c r="AD211" s="166">
        <f>IFERROR(_xlfn.XLOOKUP($D211,'Modelling New'!$D:$D,'Modelling New'!$T:$T)*1000,"")</f>
        <v>363484.56165517244</v>
      </c>
      <c r="AE211" s="174"/>
      <c r="AF211" s="174">
        <f>IFERROR(_xlfn.XLOOKUP($D211,'Modelling New'!$D:$D,'Modelling New'!$W:$W),"")</f>
        <v>0.21574344827586206</v>
      </c>
      <c r="AG211" s="174">
        <f>IFERROR(_xlfn.XLOOKUP($D211,'Modelling New'!$D:$D,'Modelling New'!$AE:$AE),"")</f>
        <v>0.96029999999999993</v>
      </c>
      <c r="AH211" s="174">
        <f>IFERROR(_xlfn.XLOOKUP($D211,'Modelling New'!$D:$D,'Modelling New'!$AF:$AF),"")</f>
        <v>0.995</v>
      </c>
      <c r="AI211" s="177" t="str">
        <f>IFERROR(_xlfn.XLOOKUP($A211,Input_Raw!$A:$A,Input_Raw!$BQ:$BQ),"")</f>
        <v/>
      </c>
      <c r="AJ211" s="167"/>
      <c r="AK211" s="167"/>
      <c r="AL211" s="167"/>
      <c r="AM211" s="167"/>
      <c r="AN211" s="175" t="str">
        <f>IFERROR(_xlfn.XLOOKUP($A211,Input_Raw!$A:$A,Input_Raw!$BN:$BN),"")</f>
        <v/>
      </c>
      <c r="AO211" s="174" t="str">
        <f>IFERROR((_xlfn.XLOOKUP($A211,'WTG Reactive Power'!$A:$A,'WTG Reactive Power'!$AE:$AE))/Table13[[#This Row],[Gen_Exp (kWh)]],"")</f>
        <v/>
      </c>
      <c r="AP211" s="174">
        <f>IFERROR(_xlfn.XLOOKUP($D211,'Modelling New'!$D:$D,'Modelling New'!$AK:$AK),"")</f>
        <v>0.05</v>
      </c>
      <c r="AQ211" s="174">
        <f>IFERROR(_xlfn.XLOOKUP($D211,'Modelling New'!$D:$D,'Modelling New'!$AL:$AL),"")</f>
        <v>0.05</v>
      </c>
      <c r="AR211" s="276">
        <f>IFERROR(_xlfn.XLOOKUP($D211,'Modelling New'!$D:$D,'Modelling New'!$N:$N),"")</f>
        <v>70.2</v>
      </c>
      <c r="AS211" s="276"/>
    </row>
    <row r="212" spans="1:45">
      <c r="A212" s="165">
        <f t="shared" si="15"/>
        <v>45955</v>
      </c>
      <c r="B212" s="166">
        <f>YEAR(Table13[[#This Row],[Date]])+IF(MONTH(Table13[[#This Row],[Date]])&gt;=4,1,0)</f>
        <v>2026</v>
      </c>
      <c r="C212" s="167">
        <f>YEAR(Table13[[#This Row],[Date]])</f>
        <v>2025</v>
      </c>
      <c r="D212" s="168">
        <f>Table13[[#This Row],[Date]]-DAY(Table13[[#This Row],[Date]])+1</f>
        <v>45931</v>
      </c>
      <c r="E212" s="167">
        <f t="shared" si="12"/>
        <v>31</v>
      </c>
      <c r="F212" s="169"/>
      <c r="G212" s="170"/>
      <c r="H212" s="170"/>
      <c r="I212" s="170"/>
      <c r="J212" s="170"/>
      <c r="K212" s="171"/>
      <c r="L212" s="170"/>
      <c r="M212" s="170" t="str">
        <f>IFERROR(_xlfn.XLOOKUP($A212,Input_Raw!$A:$A,Input_Raw!BG:BG),"")</f>
        <v/>
      </c>
      <c r="N212" s="170" t="str">
        <f>IFERROR(_xlfn.XLOOKUP($A212,Input_Raw!$A:$A,Input_Raw!BH:BH),"")</f>
        <v/>
      </c>
      <c r="O212" s="173" t="str">
        <f t="shared" si="13"/>
        <v/>
      </c>
      <c r="P212" s="173" t="str">
        <f>IFERROR(1-SUMIF(WTG_BD!$F:$F,$A212,WTG_BD!$AA:$AA)/($AA212+SUMIF(WTG_BD!$F:$F,$A212,WTG_BD!$AA:$AA)),"")</f>
        <v/>
      </c>
      <c r="Q212" s="173" t="str">
        <f>IFERROR(1-SUMIF(IGA_BD!$F:$F,$A212,IGA_BD!$X:$X)/($AA212+SUMIF(IGA_BD!$F:$F,$A212,IGA_BD!$X:$X)),"")</f>
        <v/>
      </c>
      <c r="R212" s="173" t="str">
        <f>IFERROR(1-SUMIF(Grid_BD!$F:$F,$A212,Grid_BD!$Y:$Y)/($AA212+SUMIF(Grid_BD!$F:$F,$A212,Grid_BD!$Y:$Y)),"")</f>
        <v/>
      </c>
      <c r="S212" s="167"/>
      <c r="T212" s="172"/>
      <c r="U212" s="173"/>
      <c r="V212" s="167"/>
      <c r="W212" s="174" t="str">
        <f t="shared" si="14"/>
        <v/>
      </c>
      <c r="X212" s="167" t="str">
        <f>IFERROR(_xlfn.XLOOKUP($A212,Input_Raw!$A:$A,Input_Raw!$BF:$BF),"")</f>
        <v/>
      </c>
      <c r="Y212" s="167" t="str">
        <f>IFERROR(_xlfn.XLOOKUP($A212,Input_Raw!$A:$A,Input_Raw!BJ:BJ),"")</f>
        <v/>
      </c>
      <c r="Z212" s="167" t="str">
        <f>IFERROR(_xlfn.XLOOKUP($A212,Input_Raw!$A:$A,Input_Raw!BK:BK),"")</f>
        <v/>
      </c>
      <c r="AA212" s="167" t="str">
        <f>IFERROR(_xlfn.XLOOKUP($A212,Input_Raw!$A:$A,Input_Raw!BL:BL),"")</f>
        <v/>
      </c>
      <c r="AB212" s="167" t="str">
        <f>IFERROR(_xlfn.XLOOKUP($A212,Input_Raw!$A:$A,Input_Raw!$BO:$BO),"")</f>
        <v/>
      </c>
      <c r="AC212" s="176">
        <f>IFERROR(_xlfn.XLOOKUP($D212,'Modelling New'!$D:$D,'Modelling New'!$J:$J),"")</f>
        <v>9.2100000000000009</v>
      </c>
      <c r="AD212" s="166">
        <f>IFERROR(_xlfn.XLOOKUP($D212,'Modelling New'!$D:$D,'Modelling New'!$T:$T)*1000,"")</f>
        <v>363484.56165517244</v>
      </c>
      <c r="AE212" s="174"/>
      <c r="AF212" s="174">
        <f>IFERROR(_xlfn.XLOOKUP($D212,'Modelling New'!$D:$D,'Modelling New'!$W:$W),"")</f>
        <v>0.21574344827586206</v>
      </c>
      <c r="AG212" s="174">
        <f>IFERROR(_xlfn.XLOOKUP($D212,'Modelling New'!$D:$D,'Modelling New'!$AE:$AE),"")</f>
        <v>0.96029999999999993</v>
      </c>
      <c r="AH212" s="174">
        <f>IFERROR(_xlfn.XLOOKUP($D212,'Modelling New'!$D:$D,'Modelling New'!$AF:$AF),"")</f>
        <v>0.995</v>
      </c>
      <c r="AI212" s="177" t="str">
        <f>IFERROR(_xlfn.XLOOKUP($A212,Input_Raw!$A:$A,Input_Raw!$BQ:$BQ),"")</f>
        <v/>
      </c>
      <c r="AJ212" s="167"/>
      <c r="AK212" s="167"/>
      <c r="AL212" s="167"/>
      <c r="AM212" s="167"/>
      <c r="AN212" s="175" t="str">
        <f>IFERROR(_xlfn.XLOOKUP($A212,Input_Raw!$A:$A,Input_Raw!$BN:$BN),"")</f>
        <v/>
      </c>
      <c r="AO212" s="174" t="str">
        <f>IFERROR((_xlfn.XLOOKUP($A212,'WTG Reactive Power'!$A:$A,'WTG Reactive Power'!$AE:$AE))/Table13[[#This Row],[Gen_Exp (kWh)]],"")</f>
        <v/>
      </c>
      <c r="AP212" s="174">
        <f>IFERROR(_xlfn.XLOOKUP($D212,'Modelling New'!$D:$D,'Modelling New'!$AK:$AK),"")</f>
        <v>0.05</v>
      </c>
      <c r="AQ212" s="174">
        <f>IFERROR(_xlfn.XLOOKUP($D212,'Modelling New'!$D:$D,'Modelling New'!$AL:$AL),"")</f>
        <v>0.05</v>
      </c>
      <c r="AR212" s="276">
        <f>IFERROR(_xlfn.XLOOKUP($D212,'Modelling New'!$D:$D,'Modelling New'!$N:$N),"")</f>
        <v>70.2</v>
      </c>
      <c r="AS212" s="276"/>
    </row>
    <row r="213" spans="1:45">
      <c r="A213" s="165">
        <f t="shared" si="15"/>
        <v>45956</v>
      </c>
      <c r="B213" s="166">
        <f>YEAR(Table13[[#This Row],[Date]])+IF(MONTH(Table13[[#This Row],[Date]])&gt;=4,1,0)</f>
        <v>2026</v>
      </c>
      <c r="C213" s="167">
        <f>YEAR(Table13[[#This Row],[Date]])</f>
        <v>2025</v>
      </c>
      <c r="D213" s="168">
        <f>Table13[[#This Row],[Date]]-DAY(Table13[[#This Row],[Date]])+1</f>
        <v>45931</v>
      </c>
      <c r="E213" s="167">
        <f t="shared" si="12"/>
        <v>31</v>
      </c>
      <c r="F213" s="169"/>
      <c r="G213" s="176"/>
      <c r="H213" s="176"/>
      <c r="I213" s="176"/>
      <c r="J213" s="176"/>
      <c r="K213" s="171"/>
      <c r="L213" s="170"/>
      <c r="M213" s="170" t="str">
        <f>IFERROR(_xlfn.XLOOKUP($A213,Input_Raw!$A:$A,Input_Raw!BG:BG),"")</f>
        <v/>
      </c>
      <c r="N213" s="170" t="str">
        <f>IFERROR(_xlfn.XLOOKUP($A213,Input_Raw!$A:$A,Input_Raw!BH:BH),"")</f>
        <v/>
      </c>
      <c r="O213" s="173" t="str">
        <f t="shared" si="13"/>
        <v/>
      </c>
      <c r="P213" s="173" t="str">
        <f>IFERROR(1-SUMIF(WTG_BD!$F:$F,$A213,WTG_BD!$AA:$AA)/($AA213+SUMIF(WTG_BD!$F:$F,$A213,WTG_BD!$AA:$AA)),"")</f>
        <v/>
      </c>
      <c r="Q213" s="173" t="str">
        <f>IFERROR(1-SUMIF(IGA_BD!$F:$F,$A213,IGA_BD!$X:$X)/($AA213+SUMIF(IGA_BD!$F:$F,$A213,IGA_BD!$X:$X)),"")</f>
        <v/>
      </c>
      <c r="R213" s="173" t="str">
        <f>IFERROR(1-SUMIF(Grid_BD!$F:$F,$A213,Grid_BD!$Y:$Y)/($AA213+SUMIF(Grid_BD!$F:$F,$A213,Grid_BD!$Y:$Y)),"")</f>
        <v/>
      </c>
      <c r="S213" s="167"/>
      <c r="T213" s="172"/>
      <c r="U213" s="173"/>
      <c r="V213" s="167"/>
      <c r="W213" s="174" t="str">
        <f t="shared" si="14"/>
        <v/>
      </c>
      <c r="X213" s="167" t="str">
        <f>IFERROR(_xlfn.XLOOKUP($A213,Input_Raw!$A:$A,Input_Raw!$BF:$BF),"")</f>
        <v/>
      </c>
      <c r="Y213" s="167" t="str">
        <f>IFERROR(_xlfn.XLOOKUP($A213,Input_Raw!$A:$A,Input_Raw!BJ:BJ),"")</f>
        <v/>
      </c>
      <c r="Z213" s="167" t="str">
        <f>IFERROR(_xlfn.XLOOKUP($A213,Input_Raw!$A:$A,Input_Raw!BK:BK),"")</f>
        <v/>
      </c>
      <c r="AA213" s="167" t="str">
        <f>IFERROR(_xlfn.XLOOKUP($A213,Input_Raw!$A:$A,Input_Raw!BL:BL),"")</f>
        <v/>
      </c>
      <c r="AB213" s="167" t="str">
        <f>IFERROR(_xlfn.XLOOKUP($A213,Input_Raw!$A:$A,Input_Raw!$BO:$BO),"")</f>
        <v/>
      </c>
      <c r="AC213" s="176">
        <f>IFERROR(_xlfn.XLOOKUP($D213,'Modelling New'!$D:$D,'Modelling New'!$J:$J),"")</f>
        <v>9.2100000000000009</v>
      </c>
      <c r="AD213" s="166">
        <f>IFERROR(_xlfn.XLOOKUP($D213,'Modelling New'!$D:$D,'Modelling New'!$T:$T)*1000,"")</f>
        <v>363484.56165517244</v>
      </c>
      <c r="AE213" s="174"/>
      <c r="AF213" s="174">
        <f>IFERROR(_xlfn.XLOOKUP($D213,'Modelling New'!$D:$D,'Modelling New'!$W:$W),"")</f>
        <v>0.21574344827586206</v>
      </c>
      <c r="AG213" s="174">
        <f>IFERROR(_xlfn.XLOOKUP($D213,'Modelling New'!$D:$D,'Modelling New'!$AE:$AE),"")</f>
        <v>0.96029999999999993</v>
      </c>
      <c r="AH213" s="174">
        <f>IFERROR(_xlfn.XLOOKUP($D213,'Modelling New'!$D:$D,'Modelling New'!$AF:$AF),"")</f>
        <v>0.995</v>
      </c>
      <c r="AI213" s="177" t="str">
        <f>IFERROR(_xlfn.XLOOKUP($A213,Input_Raw!$A:$A,Input_Raw!$BQ:$BQ),"")</f>
        <v/>
      </c>
      <c r="AJ213" s="167"/>
      <c r="AK213" s="167"/>
      <c r="AL213" s="167"/>
      <c r="AM213" s="167"/>
      <c r="AN213" s="175" t="str">
        <f>IFERROR(_xlfn.XLOOKUP($A213,Input_Raw!$A:$A,Input_Raw!$BN:$BN),"")</f>
        <v/>
      </c>
      <c r="AO213" s="174" t="str">
        <f>IFERROR((_xlfn.XLOOKUP($A213,'WTG Reactive Power'!$A:$A,'WTG Reactive Power'!$AE:$AE))/Table13[[#This Row],[Gen_Exp (kWh)]],"")</f>
        <v/>
      </c>
      <c r="AP213" s="174">
        <f>IFERROR(_xlfn.XLOOKUP($D213,'Modelling New'!$D:$D,'Modelling New'!$AK:$AK),"")</f>
        <v>0.05</v>
      </c>
      <c r="AQ213" s="174">
        <f>IFERROR(_xlfn.XLOOKUP($D213,'Modelling New'!$D:$D,'Modelling New'!$AL:$AL),"")</f>
        <v>0.05</v>
      </c>
      <c r="AR213" s="276">
        <f>IFERROR(_xlfn.XLOOKUP($D213,'Modelling New'!$D:$D,'Modelling New'!$N:$N),"")</f>
        <v>70.2</v>
      </c>
      <c r="AS213" s="276"/>
    </row>
    <row r="214" spans="1:45">
      <c r="A214" s="165">
        <f t="shared" si="15"/>
        <v>45957</v>
      </c>
      <c r="B214" s="166">
        <f>YEAR(Table13[[#This Row],[Date]])+IF(MONTH(Table13[[#This Row],[Date]])&gt;=4,1,0)</f>
        <v>2026</v>
      </c>
      <c r="C214" s="167">
        <f>YEAR(Table13[[#This Row],[Date]])</f>
        <v>2025</v>
      </c>
      <c r="D214" s="168">
        <f>Table13[[#This Row],[Date]]-DAY(Table13[[#This Row],[Date]])+1</f>
        <v>45931</v>
      </c>
      <c r="E214" s="167">
        <f t="shared" si="12"/>
        <v>31</v>
      </c>
      <c r="F214" s="169"/>
      <c r="G214" s="170"/>
      <c r="H214" s="170"/>
      <c r="I214" s="170"/>
      <c r="J214" s="170"/>
      <c r="K214" s="171"/>
      <c r="L214" s="170"/>
      <c r="M214" s="170" t="str">
        <f>IFERROR(_xlfn.XLOOKUP($A214,Input_Raw!$A:$A,Input_Raw!BG:BG),"")</f>
        <v/>
      </c>
      <c r="N214" s="170" t="str">
        <f>IFERROR(_xlfn.XLOOKUP($A214,Input_Raw!$A:$A,Input_Raw!BH:BH),"")</f>
        <v/>
      </c>
      <c r="O214" s="173" t="str">
        <f t="shared" si="13"/>
        <v/>
      </c>
      <c r="P214" s="173" t="str">
        <f>IFERROR(1-SUMIF(WTG_BD!$F:$F,$A214,WTG_BD!$AA:$AA)/($AA214+SUMIF(WTG_BD!$F:$F,$A214,WTG_BD!$AA:$AA)),"")</f>
        <v/>
      </c>
      <c r="Q214" s="173" t="str">
        <f>IFERROR(1-SUMIF(IGA_BD!$F:$F,$A214,IGA_BD!$X:$X)/($AA214+SUMIF(IGA_BD!$F:$F,$A214,IGA_BD!$X:$X)),"")</f>
        <v/>
      </c>
      <c r="R214" s="173" t="str">
        <f>IFERROR(1-SUMIF(Grid_BD!$F:$F,$A214,Grid_BD!$Y:$Y)/($AA214+SUMIF(Grid_BD!$F:$F,$A214,Grid_BD!$Y:$Y)),"")</f>
        <v/>
      </c>
      <c r="S214" s="167"/>
      <c r="T214" s="172"/>
      <c r="U214" s="173"/>
      <c r="V214" s="167"/>
      <c r="W214" s="174" t="str">
        <f t="shared" si="14"/>
        <v/>
      </c>
      <c r="X214" s="167" t="str">
        <f>IFERROR(_xlfn.XLOOKUP($A214,Input_Raw!$A:$A,Input_Raw!$BF:$BF),"")</f>
        <v/>
      </c>
      <c r="Y214" s="167" t="str">
        <f>IFERROR(_xlfn.XLOOKUP($A214,Input_Raw!$A:$A,Input_Raw!BJ:BJ),"")</f>
        <v/>
      </c>
      <c r="Z214" s="167" t="str">
        <f>IFERROR(_xlfn.XLOOKUP($A214,Input_Raw!$A:$A,Input_Raw!BK:BK),"")</f>
        <v/>
      </c>
      <c r="AA214" s="167" t="str">
        <f>IFERROR(_xlfn.XLOOKUP($A214,Input_Raw!$A:$A,Input_Raw!BL:BL),"")</f>
        <v/>
      </c>
      <c r="AB214" s="167" t="str">
        <f>IFERROR(_xlfn.XLOOKUP($A214,Input_Raw!$A:$A,Input_Raw!$BO:$BO),"")</f>
        <v/>
      </c>
      <c r="AC214" s="176">
        <f>IFERROR(_xlfn.XLOOKUP($D214,'Modelling New'!$D:$D,'Modelling New'!$J:$J),"")</f>
        <v>9.2100000000000009</v>
      </c>
      <c r="AD214" s="166">
        <f>IFERROR(_xlfn.XLOOKUP($D214,'Modelling New'!$D:$D,'Modelling New'!$T:$T)*1000,"")</f>
        <v>363484.56165517244</v>
      </c>
      <c r="AE214" s="174"/>
      <c r="AF214" s="174">
        <f>IFERROR(_xlfn.XLOOKUP($D214,'Modelling New'!$D:$D,'Modelling New'!$W:$W),"")</f>
        <v>0.21574344827586206</v>
      </c>
      <c r="AG214" s="174">
        <f>IFERROR(_xlfn.XLOOKUP($D214,'Modelling New'!$D:$D,'Modelling New'!$AE:$AE),"")</f>
        <v>0.96029999999999993</v>
      </c>
      <c r="AH214" s="174">
        <f>IFERROR(_xlfn.XLOOKUP($D214,'Modelling New'!$D:$D,'Modelling New'!$AF:$AF),"")</f>
        <v>0.995</v>
      </c>
      <c r="AI214" s="177" t="str">
        <f>IFERROR(_xlfn.XLOOKUP($A214,Input_Raw!$A:$A,Input_Raw!$BQ:$BQ),"")</f>
        <v/>
      </c>
      <c r="AJ214" s="167"/>
      <c r="AK214" s="167"/>
      <c r="AL214" s="167"/>
      <c r="AM214" s="167"/>
      <c r="AN214" s="175" t="str">
        <f>IFERROR(_xlfn.XLOOKUP($A214,Input_Raw!$A:$A,Input_Raw!$BN:$BN),"")</f>
        <v/>
      </c>
      <c r="AO214" s="174" t="str">
        <f>IFERROR((_xlfn.XLOOKUP($A214,'WTG Reactive Power'!$A:$A,'WTG Reactive Power'!$AE:$AE))/Table13[[#This Row],[Gen_Exp (kWh)]],"")</f>
        <v/>
      </c>
      <c r="AP214" s="174">
        <f>IFERROR(_xlfn.XLOOKUP($D214,'Modelling New'!$D:$D,'Modelling New'!$AK:$AK),"")</f>
        <v>0.05</v>
      </c>
      <c r="AQ214" s="174">
        <f>IFERROR(_xlfn.XLOOKUP($D214,'Modelling New'!$D:$D,'Modelling New'!$AL:$AL),"")</f>
        <v>0.05</v>
      </c>
      <c r="AR214" s="276">
        <f>IFERROR(_xlfn.XLOOKUP($D214,'Modelling New'!$D:$D,'Modelling New'!$N:$N),"")</f>
        <v>70.2</v>
      </c>
      <c r="AS214" s="276"/>
    </row>
    <row r="215" spans="1:45">
      <c r="A215" s="165">
        <f t="shared" si="15"/>
        <v>45958</v>
      </c>
      <c r="B215" s="166">
        <f>YEAR(Table13[[#This Row],[Date]])+IF(MONTH(Table13[[#This Row],[Date]])&gt;=4,1,0)</f>
        <v>2026</v>
      </c>
      <c r="C215" s="167">
        <f>YEAR(Table13[[#This Row],[Date]])</f>
        <v>2025</v>
      </c>
      <c r="D215" s="168">
        <f>Table13[[#This Row],[Date]]-DAY(Table13[[#This Row],[Date]])+1</f>
        <v>45931</v>
      </c>
      <c r="E215" s="167">
        <f t="shared" si="12"/>
        <v>31</v>
      </c>
      <c r="F215" s="169"/>
      <c r="G215" s="176"/>
      <c r="H215" s="176"/>
      <c r="I215" s="176"/>
      <c r="J215" s="176"/>
      <c r="K215" s="171"/>
      <c r="L215" s="170"/>
      <c r="M215" s="170" t="str">
        <f>IFERROR(_xlfn.XLOOKUP($A215,Input_Raw!$A:$A,Input_Raw!BG:BG),"")</f>
        <v/>
      </c>
      <c r="N215" s="170" t="str">
        <f>IFERROR(_xlfn.XLOOKUP($A215,Input_Raw!$A:$A,Input_Raw!BH:BH),"")</f>
        <v/>
      </c>
      <c r="O215" s="173" t="str">
        <f t="shared" si="13"/>
        <v/>
      </c>
      <c r="P215" s="173" t="str">
        <f>IFERROR(1-SUMIF(WTG_BD!$F:$F,$A215,WTG_BD!$AA:$AA)/($AA215+SUMIF(WTG_BD!$F:$F,$A215,WTG_BD!$AA:$AA)),"")</f>
        <v/>
      </c>
      <c r="Q215" s="173" t="str">
        <f>IFERROR(1-SUMIF(IGA_BD!$F:$F,$A215,IGA_BD!$X:$X)/($AA215+SUMIF(IGA_BD!$F:$F,$A215,IGA_BD!$X:$X)),"")</f>
        <v/>
      </c>
      <c r="R215" s="173" t="str">
        <f>IFERROR(1-SUMIF(Grid_BD!$F:$F,$A215,Grid_BD!$Y:$Y)/($AA215+SUMIF(Grid_BD!$F:$F,$A215,Grid_BD!$Y:$Y)),"")</f>
        <v/>
      </c>
      <c r="S215" s="167"/>
      <c r="T215" s="172"/>
      <c r="U215" s="173"/>
      <c r="V215" s="167"/>
      <c r="W215" s="174" t="str">
        <f t="shared" si="14"/>
        <v/>
      </c>
      <c r="X215" s="167" t="str">
        <f>IFERROR(_xlfn.XLOOKUP($A215,Input_Raw!$A:$A,Input_Raw!$BF:$BF),"")</f>
        <v/>
      </c>
      <c r="Y215" s="167" t="str">
        <f>IFERROR(_xlfn.XLOOKUP($A215,Input_Raw!$A:$A,Input_Raw!BJ:BJ),"")</f>
        <v/>
      </c>
      <c r="Z215" s="167" t="str">
        <f>IFERROR(_xlfn.XLOOKUP($A215,Input_Raw!$A:$A,Input_Raw!BK:BK),"")</f>
        <v/>
      </c>
      <c r="AA215" s="167" t="str">
        <f>IFERROR(_xlfn.XLOOKUP($A215,Input_Raw!$A:$A,Input_Raw!BL:BL),"")</f>
        <v/>
      </c>
      <c r="AB215" s="167" t="str">
        <f>IFERROR(_xlfn.XLOOKUP($A215,Input_Raw!$A:$A,Input_Raw!$BO:$BO),"")</f>
        <v/>
      </c>
      <c r="AC215" s="176">
        <f>IFERROR(_xlfn.XLOOKUP($D215,'Modelling New'!$D:$D,'Modelling New'!$J:$J),"")</f>
        <v>9.2100000000000009</v>
      </c>
      <c r="AD215" s="166">
        <f>IFERROR(_xlfn.XLOOKUP($D215,'Modelling New'!$D:$D,'Modelling New'!$T:$T)*1000,"")</f>
        <v>363484.56165517244</v>
      </c>
      <c r="AE215" s="174"/>
      <c r="AF215" s="174">
        <f>IFERROR(_xlfn.XLOOKUP($D215,'Modelling New'!$D:$D,'Modelling New'!$W:$W),"")</f>
        <v>0.21574344827586206</v>
      </c>
      <c r="AG215" s="174">
        <f>IFERROR(_xlfn.XLOOKUP($D215,'Modelling New'!$D:$D,'Modelling New'!$AE:$AE),"")</f>
        <v>0.96029999999999993</v>
      </c>
      <c r="AH215" s="174">
        <f>IFERROR(_xlfn.XLOOKUP($D215,'Modelling New'!$D:$D,'Modelling New'!$AF:$AF),"")</f>
        <v>0.995</v>
      </c>
      <c r="AI215" s="177" t="str">
        <f>IFERROR(_xlfn.XLOOKUP($A215,Input_Raw!$A:$A,Input_Raw!$BQ:$BQ),"")</f>
        <v/>
      </c>
      <c r="AJ215" s="167"/>
      <c r="AK215" s="167"/>
      <c r="AL215" s="167"/>
      <c r="AM215" s="167"/>
      <c r="AN215" s="175" t="str">
        <f>IFERROR(_xlfn.XLOOKUP($A215,Input_Raw!$A:$A,Input_Raw!$BN:$BN),"")</f>
        <v/>
      </c>
      <c r="AO215" s="174" t="str">
        <f>IFERROR((_xlfn.XLOOKUP($A215,'WTG Reactive Power'!$A:$A,'WTG Reactive Power'!$AE:$AE))/Table13[[#This Row],[Gen_Exp (kWh)]],"")</f>
        <v/>
      </c>
      <c r="AP215" s="174">
        <f>IFERROR(_xlfn.XLOOKUP($D215,'Modelling New'!$D:$D,'Modelling New'!$AK:$AK),"")</f>
        <v>0.05</v>
      </c>
      <c r="AQ215" s="174">
        <f>IFERROR(_xlfn.XLOOKUP($D215,'Modelling New'!$D:$D,'Modelling New'!$AL:$AL),"")</f>
        <v>0.05</v>
      </c>
      <c r="AR215" s="276">
        <f>IFERROR(_xlfn.XLOOKUP($D215,'Modelling New'!$D:$D,'Modelling New'!$N:$N),"")</f>
        <v>70.2</v>
      </c>
      <c r="AS215" s="276"/>
    </row>
    <row r="216" spans="1:45">
      <c r="A216" s="165">
        <f t="shared" si="15"/>
        <v>45959</v>
      </c>
      <c r="B216" s="166">
        <f>YEAR(Table13[[#This Row],[Date]])+IF(MONTH(Table13[[#This Row],[Date]])&gt;=4,1,0)</f>
        <v>2026</v>
      </c>
      <c r="C216" s="167">
        <f>YEAR(Table13[[#This Row],[Date]])</f>
        <v>2025</v>
      </c>
      <c r="D216" s="168">
        <f>Table13[[#This Row],[Date]]-DAY(Table13[[#This Row],[Date]])+1</f>
        <v>45931</v>
      </c>
      <c r="E216" s="167">
        <f t="shared" ref="E216:E279" si="16">DAY(EOMONTH(A216,0))</f>
        <v>31</v>
      </c>
      <c r="F216" s="169"/>
      <c r="G216" s="170"/>
      <c r="H216" s="170"/>
      <c r="I216" s="170"/>
      <c r="J216" s="170"/>
      <c r="K216" s="171"/>
      <c r="L216" s="170"/>
      <c r="M216" s="170" t="str">
        <f>IFERROR(_xlfn.XLOOKUP($A216,Input_Raw!$A:$A,Input_Raw!BG:BG),"")</f>
        <v/>
      </c>
      <c r="N216" s="170" t="str">
        <f>IFERROR(_xlfn.XLOOKUP($A216,Input_Raw!$A:$A,Input_Raw!BH:BH),"")</f>
        <v/>
      </c>
      <c r="O216" s="173" t="str">
        <f t="shared" ref="O216:O279" si="17">IFERROR(P216*Q216,"")</f>
        <v/>
      </c>
      <c r="P216" s="173" t="str">
        <f>IFERROR(1-SUMIF(WTG_BD!$F:$F,$A216,WTG_BD!$AA:$AA)/($AA216+SUMIF(WTG_BD!$F:$F,$A216,WTG_BD!$AA:$AA)),"")</f>
        <v/>
      </c>
      <c r="Q216" s="173" t="str">
        <f>IFERROR(1-SUMIF(IGA_BD!$F:$F,$A216,IGA_BD!$X:$X)/($AA216+SUMIF(IGA_BD!$F:$F,$A216,IGA_BD!$X:$X)),"")</f>
        <v/>
      </c>
      <c r="R216" s="173" t="str">
        <f>IFERROR(1-SUMIF(Grid_BD!$F:$F,$A216,Grid_BD!$Y:$Y)/($AA216+SUMIF(Grid_BD!$F:$F,$A216,Grid_BD!$Y:$Y)),"")</f>
        <v/>
      </c>
      <c r="S216" s="167"/>
      <c r="T216" s="172"/>
      <c r="U216" s="173"/>
      <c r="V216" s="167"/>
      <c r="W216" s="174" t="str">
        <f t="shared" ref="W216:W279" si="18">IFERROR(AA216/(24*AR216*1000),"")</f>
        <v/>
      </c>
      <c r="X216" s="167" t="str">
        <f>IFERROR(_xlfn.XLOOKUP($A216,Input_Raw!$A:$A,Input_Raw!$BF:$BF),"")</f>
        <v/>
      </c>
      <c r="Y216" s="167" t="str">
        <f>IFERROR(_xlfn.XLOOKUP($A216,Input_Raw!$A:$A,Input_Raw!BJ:BJ),"")</f>
        <v/>
      </c>
      <c r="Z216" s="167" t="str">
        <f>IFERROR(_xlfn.XLOOKUP($A216,Input_Raw!$A:$A,Input_Raw!BK:BK),"")</f>
        <v/>
      </c>
      <c r="AA216" s="167" t="str">
        <f>IFERROR(_xlfn.XLOOKUP($A216,Input_Raw!$A:$A,Input_Raw!BL:BL),"")</f>
        <v/>
      </c>
      <c r="AB216" s="167" t="str">
        <f>IFERROR(_xlfn.XLOOKUP($A216,Input_Raw!$A:$A,Input_Raw!$BO:$BO),"")</f>
        <v/>
      </c>
      <c r="AC216" s="176">
        <f>IFERROR(_xlfn.XLOOKUP($D216,'Modelling New'!$D:$D,'Modelling New'!$J:$J),"")</f>
        <v>9.2100000000000009</v>
      </c>
      <c r="AD216" s="166">
        <f>IFERROR(_xlfn.XLOOKUP($D216,'Modelling New'!$D:$D,'Modelling New'!$T:$T)*1000,"")</f>
        <v>363484.56165517244</v>
      </c>
      <c r="AE216" s="174"/>
      <c r="AF216" s="174">
        <f>IFERROR(_xlfn.XLOOKUP($D216,'Modelling New'!$D:$D,'Modelling New'!$W:$W),"")</f>
        <v>0.21574344827586206</v>
      </c>
      <c r="AG216" s="174">
        <f>IFERROR(_xlfn.XLOOKUP($D216,'Modelling New'!$D:$D,'Modelling New'!$AE:$AE),"")</f>
        <v>0.96029999999999993</v>
      </c>
      <c r="AH216" s="174">
        <f>IFERROR(_xlfn.XLOOKUP($D216,'Modelling New'!$D:$D,'Modelling New'!$AF:$AF),"")</f>
        <v>0.995</v>
      </c>
      <c r="AI216" s="177" t="str">
        <f>IFERROR(_xlfn.XLOOKUP($A216,Input_Raw!$A:$A,Input_Raw!$BQ:$BQ),"")</f>
        <v/>
      </c>
      <c r="AJ216" s="167"/>
      <c r="AK216" s="167"/>
      <c r="AL216" s="167"/>
      <c r="AM216" s="167"/>
      <c r="AN216" s="175" t="str">
        <f>IFERROR(_xlfn.XLOOKUP($A216,Input_Raw!$A:$A,Input_Raw!$BN:$BN),"")</f>
        <v/>
      </c>
      <c r="AO216" s="174" t="str">
        <f>IFERROR((_xlfn.XLOOKUP($A216,'WTG Reactive Power'!$A:$A,'WTG Reactive Power'!$AE:$AE))/Table13[[#This Row],[Gen_Exp (kWh)]],"")</f>
        <v/>
      </c>
      <c r="AP216" s="174">
        <f>IFERROR(_xlfn.XLOOKUP($D216,'Modelling New'!$D:$D,'Modelling New'!$AK:$AK),"")</f>
        <v>0.05</v>
      </c>
      <c r="AQ216" s="174">
        <f>IFERROR(_xlfn.XLOOKUP($D216,'Modelling New'!$D:$D,'Modelling New'!$AL:$AL),"")</f>
        <v>0.05</v>
      </c>
      <c r="AR216" s="276">
        <f>IFERROR(_xlfn.XLOOKUP($D216,'Modelling New'!$D:$D,'Modelling New'!$N:$N),"")</f>
        <v>70.2</v>
      </c>
      <c r="AS216" s="276"/>
    </row>
    <row r="217" spans="1:45">
      <c r="A217" s="165">
        <f t="shared" si="15"/>
        <v>45960</v>
      </c>
      <c r="B217" s="166">
        <f>YEAR(Table13[[#This Row],[Date]])+IF(MONTH(Table13[[#This Row],[Date]])&gt;=4,1,0)</f>
        <v>2026</v>
      </c>
      <c r="C217" s="167">
        <f>YEAR(Table13[[#This Row],[Date]])</f>
        <v>2025</v>
      </c>
      <c r="D217" s="168">
        <f>Table13[[#This Row],[Date]]-DAY(Table13[[#This Row],[Date]])+1</f>
        <v>45931</v>
      </c>
      <c r="E217" s="167">
        <f t="shared" si="16"/>
        <v>31</v>
      </c>
      <c r="F217" s="169"/>
      <c r="G217" s="176"/>
      <c r="H217" s="176"/>
      <c r="I217" s="176"/>
      <c r="J217" s="176"/>
      <c r="K217" s="171"/>
      <c r="L217" s="170"/>
      <c r="M217" s="170" t="str">
        <f>IFERROR(_xlfn.XLOOKUP($A217,Input_Raw!$A:$A,Input_Raw!BG:BG),"")</f>
        <v/>
      </c>
      <c r="N217" s="170" t="str">
        <f>IFERROR(_xlfn.XLOOKUP($A217,Input_Raw!$A:$A,Input_Raw!BH:BH),"")</f>
        <v/>
      </c>
      <c r="O217" s="173" t="str">
        <f t="shared" si="17"/>
        <v/>
      </c>
      <c r="P217" s="173" t="str">
        <f>IFERROR(1-SUMIF(WTG_BD!$F:$F,$A217,WTG_BD!$AA:$AA)/($AA217+SUMIF(WTG_BD!$F:$F,$A217,WTG_BD!$AA:$AA)),"")</f>
        <v/>
      </c>
      <c r="Q217" s="173" t="str">
        <f>IFERROR(1-SUMIF(IGA_BD!$F:$F,$A217,IGA_BD!$X:$X)/($AA217+SUMIF(IGA_BD!$F:$F,$A217,IGA_BD!$X:$X)),"")</f>
        <v/>
      </c>
      <c r="R217" s="173" t="str">
        <f>IFERROR(1-SUMIF(Grid_BD!$F:$F,$A217,Grid_BD!$Y:$Y)/($AA217+SUMIF(Grid_BD!$F:$F,$A217,Grid_BD!$Y:$Y)),"")</f>
        <v/>
      </c>
      <c r="S217" s="167"/>
      <c r="T217" s="172"/>
      <c r="U217" s="173"/>
      <c r="V217" s="167"/>
      <c r="W217" s="174" t="str">
        <f t="shared" si="18"/>
        <v/>
      </c>
      <c r="X217" s="167" t="str">
        <f>IFERROR(_xlfn.XLOOKUP($A217,Input_Raw!$A:$A,Input_Raw!$BF:$BF),"")</f>
        <v/>
      </c>
      <c r="Y217" s="167" t="str">
        <f>IFERROR(_xlfn.XLOOKUP($A217,Input_Raw!$A:$A,Input_Raw!BJ:BJ),"")</f>
        <v/>
      </c>
      <c r="Z217" s="167" t="str">
        <f>IFERROR(_xlfn.XLOOKUP($A217,Input_Raw!$A:$A,Input_Raw!BK:BK),"")</f>
        <v/>
      </c>
      <c r="AA217" s="167" t="str">
        <f>IFERROR(_xlfn.XLOOKUP($A217,Input_Raw!$A:$A,Input_Raw!BL:BL),"")</f>
        <v/>
      </c>
      <c r="AB217" s="167" t="str">
        <f>IFERROR(_xlfn.XLOOKUP($A217,Input_Raw!$A:$A,Input_Raw!$BO:$BO),"")</f>
        <v/>
      </c>
      <c r="AC217" s="176">
        <f>IFERROR(_xlfn.XLOOKUP($D217,'Modelling New'!$D:$D,'Modelling New'!$J:$J),"")</f>
        <v>9.2100000000000009</v>
      </c>
      <c r="AD217" s="166">
        <f>IFERROR(_xlfn.XLOOKUP($D217,'Modelling New'!$D:$D,'Modelling New'!$T:$T)*1000,"")</f>
        <v>363484.56165517244</v>
      </c>
      <c r="AE217" s="174"/>
      <c r="AF217" s="174">
        <f>IFERROR(_xlfn.XLOOKUP($D217,'Modelling New'!$D:$D,'Modelling New'!$W:$W),"")</f>
        <v>0.21574344827586206</v>
      </c>
      <c r="AG217" s="174">
        <f>IFERROR(_xlfn.XLOOKUP($D217,'Modelling New'!$D:$D,'Modelling New'!$AE:$AE),"")</f>
        <v>0.96029999999999993</v>
      </c>
      <c r="AH217" s="174">
        <f>IFERROR(_xlfn.XLOOKUP($D217,'Modelling New'!$D:$D,'Modelling New'!$AF:$AF),"")</f>
        <v>0.995</v>
      </c>
      <c r="AI217" s="177" t="str">
        <f>IFERROR(_xlfn.XLOOKUP($A217,Input_Raw!$A:$A,Input_Raw!$BQ:$BQ),"")</f>
        <v/>
      </c>
      <c r="AJ217" s="167"/>
      <c r="AK217" s="167"/>
      <c r="AL217" s="167"/>
      <c r="AM217" s="167"/>
      <c r="AN217" s="175" t="str">
        <f>IFERROR(_xlfn.XLOOKUP($A217,Input_Raw!$A:$A,Input_Raw!$BN:$BN),"")</f>
        <v/>
      </c>
      <c r="AO217" s="174" t="str">
        <f>IFERROR((_xlfn.XLOOKUP($A217,'WTG Reactive Power'!$A:$A,'WTG Reactive Power'!$AE:$AE))/Table13[[#This Row],[Gen_Exp (kWh)]],"")</f>
        <v/>
      </c>
      <c r="AP217" s="174">
        <f>IFERROR(_xlfn.XLOOKUP($D217,'Modelling New'!$D:$D,'Modelling New'!$AK:$AK),"")</f>
        <v>0.05</v>
      </c>
      <c r="AQ217" s="174">
        <f>IFERROR(_xlfn.XLOOKUP($D217,'Modelling New'!$D:$D,'Modelling New'!$AL:$AL),"")</f>
        <v>0.05</v>
      </c>
      <c r="AR217" s="276">
        <f>IFERROR(_xlfn.XLOOKUP($D217,'Modelling New'!$D:$D,'Modelling New'!$N:$N),"")</f>
        <v>70.2</v>
      </c>
      <c r="AS217" s="276"/>
    </row>
    <row r="218" spans="1:45">
      <c r="A218" s="165">
        <f t="shared" ref="A218:A281" si="19">A217+1</f>
        <v>45961</v>
      </c>
      <c r="B218" s="166">
        <f>YEAR(Table13[[#This Row],[Date]])+IF(MONTH(Table13[[#This Row],[Date]])&gt;=4,1,0)</f>
        <v>2026</v>
      </c>
      <c r="C218" s="167">
        <f>YEAR(Table13[[#This Row],[Date]])</f>
        <v>2025</v>
      </c>
      <c r="D218" s="168">
        <f>Table13[[#This Row],[Date]]-DAY(Table13[[#This Row],[Date]])+1</f>
        <v>45931</v>
      </c>
      <c r="E218" s="167">
        <f t="shared" si="16"/>
        <v>31</v>
      </c>
      <c r="F218" s="169"/>
      <c r="G218" s="170"/>
      <c r="H218" s="170"/>
      <c r="I218" s="170"/>
      <c r="J218" s="170"/>
      <c r="K218" s="171"/>
      <c r="L218" s="170"/>
      <c r="M218" s="170" t="str">
        <f>IFERROR(_xlfn.XLOOKUP($A218,Input_Raw!$A:$A,Input_Raw!BG:BG),"")</f>
        <v/>
      </c>
      <c r="N218" s="170" t="str">
        <f>IFERROR(_xlfn.XLOOKUP($A218,Input_Raw!$A:$A,Input_Raw!BH:BH),"")</f>
        <v/>
      </c>
      <c r="O218" s="173" t="str">
        <f t="shared" si="17"/>
        <v/>
      </c>
      <c r="P218" s="173" t="str">
        <f>IFERROR(1-SUMIF(WTG_BD!$F:$F,$A218,WTG_BD!$AA:$AA)/($AA218+SUMIF(WTG_BD!$F:$F,$A218,WTG_BD!$AA:$AA)),"")</f>
        <v/>
      </c>
      <c r="Q218" s="173" t="str">
        <f>IFERROR(1-SUMIF(IGA_BD!$F:$F,$A218,IGA_BD!$X:$X)/($AA218+SUMIF(IGA_BD!$F:$F,$A218,IGA_BD!$X:$X)),"")</f>
        <v/>
      </c>
      <c r="R218" s="173" t="str">
        <f>IFERROR(1-SUMIF(Grid_BD!$F:$F,$A218,Grid_BD!$Y:$Y)/($AA218+SUMIF(Grid_BD!$F:$F,$A218,Grid_BD!$Y:$Y)),"")</f>
        <v/>
      </c>
      <c r="S218" s="167"/>
      <c r="T218" s="172"/>
      <c r="U218" s="173"/>
      <c r="V218" s="167"/>
      <c r="W218" s="174" t="str">
        <f t="shared" si="18"/>
        <v/>
      </c>
      <c r="X218" s="167" t="str">
        <f>IFERROR(_xlfn.XLOOKUP($A218,Input_Raw!$A:$A,Input_Raw!$BF:$BF),"")</f>
        <v/>
      </c>
      <c r="Y218" s="167" t="str">
        <f>IFERROR(_xlfn.XLOOKUP($A218,Input_Raw!$A:$A,Input_Raw!BJ:BJ),"")</f>
        <v/>
      </c>
      <c r="Z218" s="167" t="str">
        <f>IFERROR(_xlfn.XLOOKUP($A218,Input_Raw!$A:$A,Input_Raw!BK:BK),"")</f>
        <v/>
      </c>
      <c r="AA218" s="167" t="str">
        <f>IFERROR(_xlfn.XLOOKUP($A218,Input_Raw!$A:$A,Input_Raw!BL:BL),"")</f>
        <v/>
      </c>
      <c r="AB218" s="167" t="str">
        <f>IFERROR(_xlfn.XLOOKUP($A218,Input_Raw!$A:$A,Input_Raw!$BO:$BO),"")</f>
        <v/>
      </c>
      <c r="AC218" s="176">
        <f>IFERROR(_xlfn.XLOOKUP($D218,'Modelling New'!$D:$D,'Modelling New'!$J:$J),"")</f>
        <v>9.2100000000000009</v>
      </c>
      <c r="AD218" s="166">
        <f>IFERROR(_xlfn.XLOOKUP($D218,'Modelling New'!$D:$D,'Modelling New'!$T:$T)*1000,"")</f>
        <v>363484.56165517244</v>
      </c>
      <c r="AE218" s="174"/>
      <c r="AF218" s="174">
        <f>IFERROR(_xlfn.XLOOKUP($D218,'Modelling New'!$D:$D,'Modelling New'!$W:$W),"")</f>
        <v>0.21574344827586206</v>
      </c>
      <c r="AG218" s="174">
        <f>IFERROR(_xlfn.XLOOKUP($D218,'Modelling New'!$D:$D,'Modelling New'!$AE:$AE),"")</f>
        <v>0.96029999999999993</v>
      </c>
      <c r="AH218" s="174">
        <f>IFERROR(_xlfn.XLOOKUP($D218,'Modelling New'!$D:$D,'Modelling New'!$AF:$AF),"")</f>
        <v>0.995</v>
      </c>
      <c r="AI218" s="177" t="str">
        <f>IFERROR(_xlfn.XLOOKUP($A218,Input_Raw!$A:$A,Input_Raw!$BQ:$BQ),"")</f>
        <v/>
      </c>
      <c r="AJ218" s="167"/>
      <c r="AK218" s="167"/>
      <c r="AL218" s="167"/>
      <c r="AM218" s="167"/>
      <c r="AN218" s="175" t="str">
        <f>IFERROR(_xlfn.XLOOKUP($A218,Input_Raw!$A:$A,Input_Raw!$BN:$BN),"")</f>
        <v/>
      </c>
      <c r="AO218" s="174" t="str">
        <f>IFERROR((_xlfn.XLOOKUP($A218,'WTG Reactive Power'!$A:$A,'WTG Reactive Power'!$AE:$AE))/Table13[[#This Row],[Gen_Exp (kWh)]],"")</f>
        <v/>
      </c>
      <c r="AP218" s="174">
        <f>IFERROR(_xlfn.XLOOKUP($D218,'Modelling New'!$D:$D,'Modelling New'!$AK:$AK),"")</f>
        <v>0.05</v>
      </c>
      <c r="AQ218" s="174">
        <f>IFERROR(_xlfn.XLOOKUP($D218,'Modelling New'!$D:$D,'Modelling New'!$AL:$AL),"")</f>
        <v>0.05</v>
      </c>
      <c r="AR218" s="276">
        <f>IFERROR(_xlfn.XLOOKUP($D218,'Modelling New'!$D:$D,'Modelling New'!$N:$N),"")</f>
        <v>70.2</v>
      </c>
      <c r="AS218" s="276"/>
    </row>
    <row r="219" spans="1:45">
      <c r="A219" s="165">
        <f t="shared" si="19"/>
        <v>45962</v>
      </c>
      <c r="B219" s="166">
        <f>YEAR(Table13[[#This Row],[Date]])+IF(MONTH(Table13[[#This Row],[Date]])&gt;=4,1,0)</f>
        <v>2026</v>
      </c>
      <c r="C219" s="167">
        <f>YEAR(Table13[[#This Row],[Date]])</f>
        <v>2025</v>
      </c>
      <c r="D219" s="168">
        <f>Table13[[#This Row],[Date]]-DAY(Table13[[#This Row],[Date]])+1</f>
        <v>45962</v>
      </c>
      <c r="E219" s="167">
        <f t="shared" si="16"/>
        <v>30</v>
      </c>
      <c r="F219" s="169"/>
      <c r="G219" s="176"/>
      <c r="H219" s="176"/>
      <c r="I219" s="176"/>
      <c r="J219" s="176"/>
      <c r="K219" s="171"/>
      <c r="L219" s="170"/>
      <c r="M219" s="170" t="str">
        <f>IFERROR(_xlfn.XLOOKUP($A219,Input_Raw!$A:$A,Input_Raw!BG:BG),"")</f>
        <v/>
      </c>
      <c r="N219" s="170" t="str">
        <f>IFERROR(_xlfn.XLOOKUP($A219,Input_Raw!$A:$A,Input_Raw!BH:BH),"")</f>
        <v/>
      </c>
      <c r="O219" s="173" t="str">
        <f t="shared" si="17"/>
        <v/>
      </c>
      <c r="P219" s="173" t="str">
        <f>IFERROR(1-SUMIF(WTG_BD!$F:$F,$A219,WTG_BD!$AA:$AA)/($AA219+SUMIF(WTG_BD!$F:$F,$A219,WTG_BD!$AA:$AA)),"")</f>
        <v/>
      </c>
      <c r="Q219" s="173" t="str">
        <f>IFERROR(1-SUMIF(IGA_BD!$F:$F,$A219,IGA_BD!$X:$X)/($AA219+SUMIF(IGA_BD!$F:$F,$A219,IGA_BD!$X:$X)),"")</f>
        <v/>
      </c>
      <c r="R219" s="173" t="str">
        <f>IFERROR(1-SUMIF(Grid_BD!$F:$F,$A219,Grid_BD!$Y:$Y)/($AA219+SUMIF(Grid_BD!$F:$F,$A219,Grid_BD!$Y:$Y)),"")</f>
        <v/>
      </c>
      <c r="S219" s="167"/>
      <c r="T219" s="172"/>
      <c r="U219" s="173"/>
      <c r="V219" s="167"/>
      <c r="W219" s="174" t="str">
        <f t="shared" si="18"/>
        <v/>
      </c>
      <c r="X219" s="167" t="str">
        <f>IFERROR(_xlfn.XLOOKUP($A219,Input_Raw!$A:$A,Input_Raw!$BF:$BF),"")</f>
        <v/>
      </c>
      <c r="Y219" s="167" t="str">
        <f>IFERROR(_xlfn.XLOOKUP($A219,Input_Raw!$A:$A,Input_Raw!BJ:BJ),"")</f>
        <v/>
      </c>
      <c r="Z219" s="167" t="str">
        <f>IFERROR(_xlfn.XLOOKUP($A219,Input_Raw!$A:$A,Input_Raw!BK:BK),"")</f>
        <v/>
      </c>
      <c r="AA219" s="167" t="str">
        <f>IFERROR(_xlfn.XLOOKUP($A219,Input_Raw!$A:$A,Input_Raw!BL:BL),"")</f>
        <v/>
      </c>
      <c r="AB219" s="167" t="str">
        <f>IFERROR(_xlfn.XLOOKUP($A219,Input_Raw!$A:$A,Input_Raw!$BO:$BO),"")</f>
        <v/>
      </c>
      <c r="AC219" s="176">
        <f>IFERROR(_xlfn.XLOOKUP($D219,'Modelling New'!$D:$D,'Modelling New'!$J:$J),"")</f>
        <v>8.33</v>
      </c>
      <c r="AD219" s="166">
        <f>IFERROR(_xlfn.XLOOKUP($D219,'Modelling New'!$D:$D,'Modelling New'!$T:$T)*1000,"")</f>
        <v>405674.73399014788</v>
      </c>
      <c r="AE219" s="174"/>
      <c r="AF219" s="174">
        <f>IFERROR(_xlfn.XLOOKUP($D219,'Modelling New'!$D:$D,'Modelling New'!$W:$W),"")</f>
        <v>0.24078509852216753</v>
      </c>
      <c r="AG219" s="174">
        <f>IFERROR(_xlfn.XLOOKUP($D219,'Modelling New'!$D:$D,'Modelling New'!$AE:$AE),"")</f>
        <v>0.96029999999999993</v>
      </c>
      <c r="AH219" s="174">
        <f>IFERROR(_xlfn.XLOOKUP($D219,'Modelling New'!$D:$D,'Modelling New'!$AF:$AF),"")</f>
        <v>0.995</v>
      </c>
      <c r="AI219" s="177" t="str">
        <f>IFERROR(_xlfn.XLOOKUP($A219,Input_Raw!$A:$A,Input_Raw!$BQ:$BQ),"")</f>
        <v/>
      </c>
      <c r="AJ219" s="167"/>
      <c r="AK219" s="167"/>
      <c r="AL219" s="167"/>
      <c r="AM219" s="167"/>
      <c r="AN219" s="175" t="str">
        <f>IFERROR(_xlfn.XLOOKUP($A219,Input_Raw!$A:$A,Input_Raw!$BN:$BN),"")</f>
        <v/>
      </c>
      <c r="AO219" s="174" t="str">
        <f>IFERROR((_xlfn.XLOOKUP($A219,'WTG Reactive Power'!$A:$A,'WTG Reactive Power'!$AE:$AE))/Table13[[#This Row],[Gen_Exp (kWh)]],"")</f>
        <v/>
      </c>
      <c r="AP219" s="174">
        <f>IFERROR(_xlfn.XLOOKUP($D219,'Modelling New'!$D:$D,'Modelling New'!$AK:$AK),"")</f>
        <v>0.05</v>
      </c>
      <c r="AQ219" s="174">
        <f>IFERROR(_xlfn.XLOOKUP($D219,'Modelling New'!$D:$D,'Modelling New'!$AL:$AL),"")</f>
        <v>0.05</v>
      </c>
      <c r="AR219" s="276">
        <f>IFERROR(_xlfn.XLOOKUP($D219,'Modelling New'!$D:$D,'Modelling New'!$N:$N),"")</f>
        <v>70.2</v>
      </c>
      <c r="AS219" s="276"/>
    </row>
    <row r="220" spans="1:45">
      <c r="A220" s="165">
        <f t="shared" si="19"/>
        <v>45963</v>
      </c>
      <c r="B220" s="166">
        <f>YEAR(Table13[[#This Row],[Date]])+IF(MONTH(Table13[[#This Row],[Date]])&gt;=4,1,0)</f>
        <v>2026</v>
      </c>
      <c r="C220" s="167">
        <f>YEAR(Table13[[#This Row],[Date]])</f>
        <v>2025</v>
      </c>
      <c r="D220" s="168">
        <f>Table13[[#This Row],[Date]]-DAY(Table13[[#This Row],[Date]])+1</f>
        <v>45962</v>
      </c>
      <c r="E220" s="167">
        <f t="shared" si="16"/>
        <v>30</v>
      </c>
      <c r="F220" s="169"/>
      <c r="G220" s="170"/>
      <c r="H220" s="170"/>
      <c r="I220" s="170"/>
      <c r="J220" s="170"/>
      <c r="K220" s="171"/>
      <c r="L220" s="170"/>
      <c r="M220" s="170" t="str">
        <f>IFERROR(_xlfn.XLOOKUP($A220,Input_Raw!$A:$A,Input_Raw!BG:BG),"")</f>
        <v/>
      </c>
      <c r="N220" s="170" t="str">
        <f>IFERROR(_xlfn.XLOOKUP($A220,Input_Raw!$A:$A,Input_Raw!BH:BH),"")</f>
        <v/>
      </c>
      <c r="O220" s="173" t="str">
        <f t="shared" si="17"/>
        <v/>
      </c>
      <c r="P220" s="173" t="str">
        <f>IFERROR(1-SUMIF(WTG_BD!$F:$F,$A220,WTG_BD!$AA:$AA)/($AA220+SUMIF(WTG_BD!$F:$F,$A220,WTG_BD!$AA:$AA)),"")</f>
        <v/>
      </c>
      <c r="Q220" s="173" t="str">
        <f>IFERROR(1-SUMIF(IGA_BD!$F:$F,$A220,IGA_BD!$X:$X)/($AA220+SUMIF(IGA_BD!$F:$F,$A220,IGA_BD!$X:$X)),"")</f>
        <v/>
      </c>
      <c r="R220" s="173" t="str">
        <f>IFERROR(1-SUMIF(Grid_BD!$F:$F,$A220,Grid_BD!$Y:$Y)/($AA220+SUMIF(Grid_BD!$F:$F,$A220,Grid_BD!$Y:$Y)),"")</f>
        <v/>
      </c>
      <c r="S220" s="167"/>
      <c r="T220" s="172"/>
      <c r="U220" s="173"/>
      <c r="V220" s="167"/>
      <c r="W220" s="174" t="str">
        <f t="shared" si="18"/>
        <v/>
      </c>
      <c r="X220" s="167" t="str">
        <f>IFERROR(_xlfn.XLOOKUP($A220,Input_Raw!$A:$A,Input_Raw!$BF:$BF),"")</f>
        <v/>
      </c>
      <c r="Y220" s="167" t="str">
        <f>IFERROR(_xlfn.XLOOKUP($A220,Input_Raw!$A:$A,Input_Raw!BJ:BJ),"")</f>
        <v/>
      </c>
      <c r="Z220" s="167" t="str">
        <f>IFERROR(_xlfn.XLOOKUP($A220,Input_Raw!$A:$A,Input_Raw!BK:BK),"")</f>
        <v/>
      </c>
      <c r="AA220" s="167" t="str">
        <f>IFERROR(_xlfn.XLOOKUP($A220,Input_Raw!$A:$A,Input_Raw!BL:BL),"")</f>
        <v/>
      </c>
      <c r="AB220" s="167" t="str">
        <f>IFERROR(_xlfn.XLOOKUP($A220,Input_Raw!$A:$A,Input_Raw!$BO:$BO),"")</f>
        <v/>
      </c>
      <c r="AC220" s="176">
        <f>IFERROR(_xlfn.XLOOKUP($D220,'Modelling New'!$D:$D,'Modelling New'!$J:$J),"")</f>
        <v>8.33</v>
      </c>
      <c r="AD220" s="166">
        <f>IFERROR(_xlfn.XLOOKUP($D220,'Modelling New'!$D:$D,'Modelling New'!$T:$T)*1000,"")</f>
        <v>405674.73399014788</v>
      </c>
      <c r="AE220" s="174"/>
      <c r="AF220" s="174">
        <f>IFERROR(_xlfn.XLOOKUP($D220,'Modelling New'!$D:$D,'Modelling New'!$W:$W),"")</f>
        <v>0.24078509852216753</v>
      </c>
      <c r="AG220" s="174">
        <f>IFERROR(_xlfn.XLOOKUP($D220,'Modelling New'!$D:$D,'Modelling New'!$AE:$AE),"")</f>
        <v>0.96029999999999993</v>
      </c>
      <c r="AH220" s="174">
        <f>IFERROR(_xlfn.XLOOKUP($D220,'Modelling New'!$D:$D,'Modelling New'!$AF:$AF),"")</f>
        <v>0.995</v>
      </c>
      <c r="AI220" s="177" t="str">
        <f>IFERROR(_xlfn.XLOOKUP($A220,Input_Raw!$A:$A,Input_Raw!$BQ:$BQ),"")</f>
        <v/>
      </c>
      <c r="AJ220" s="167"/>
      <c r="AK220" s="167"/>
      <c r="AL220" s="167"/>
      <c r="AM220" s="167"/>
      <c r="AN220" s="175" t="str">
        <f>IFERROR(_xlfn.XLOOKUP($A220,Input_Raw!$A:$A,Input_Raw!$BN:$BN),"")</f>
        <v/>
      </c>
      <c r="AO220" s="174" t="str">
        <f>IFERROR((_xlfn.XLOOKUP($A220,'WTG Reactive Power'!$A:$A,'WTG Reactive Power'!$AE:$AE))/Table13[[#This Row],[Gen_Exp (kWh)]],"")</f>
        <v/>
      </c>
      <c r="AP220" s="174">
        <f>IFERROR(_xlfn.XLOOKUP($D220,'Modelling New'!$D:$D,'Modelling New'!$AK:$AK),"")</f>
        <v>0.05</v>
      </c>
      <c r="AQ220" s="174">
        <f>IFERROR(_xlfn.XLOOKUP($D220,'Modelling New'!$D:$D,'Modelling New'!$AL:$AL),"")</f>
        <v>0.05</v>
      </c>
      <c r="AR220" s="276">
        <f>IFERROR(_xlfn.XLOOKUP($D220,'Modelling New'!$D:$D,'Modelling New'!$N:$N),"")</f>
        <v>70.2</v>
      </c>
      <c r="AS220" s="276"/>
    </row>
    <row r="221" spans="1:45">
      <c r="A221" s="165">
        <f t="shared" si="19"/>
        <v>45964</v>
      </c>
      <c r="B221" s="166">
        <f>YEAR(Table13[[#This Row],[Date]])+IF(MONTH(Table13[[#This Row],[Date]])&gt;=4,1,0)</f>
        <v>2026</v>
      </c>
      <c r="C221" s="167">
        <f>YEAR(Table13[[#This Row],[Date]])</f>
        <v>2025</v>
      </c>
      <c r="D221" s="168">
        <f>Table13[[#This Row],[Date]]-DAY(Table13[[#This Row],[Date]])+1</f>
        <v>45962</v>
      </c>
      <c r="E221" s="167">
        <f t="shared" si="16"/>
        <v>30</v>
      </c>
      <c r="F221" s="169"/>
      <c r="G221" s="176"/>
      <c r="H221" s="176"/>
      <c r="I221" s="176"/>
      <c r="J221" s="176"/>
      <c r="K221" s="171"/>
      <c r="L221" s="170"/>
      <c r="M221" s="170" t="str">
        <f>IFERROR(_xlfn.XLOOKUP($A221,Input_Raw!$A:$A,Input_Raw!BG:BG),"")</f>
        <v/>
      </c>
      <c r="N221" s="170" t="str">
        <f>IFERROR(_xlfn.XLOOKUP($A221,Input_Raw!$A:$A,Input_Raw!BH:BH),"")</f>
        <v/>
      </c>
      <c r="O221" s="173" t="str">
        <f t="shared" si="17"/>
        <v/>
      </c>
      <c r="P221" s="173" t="str">
        <f>IFERROR(1-SUMIF(WTG_BD!$F:$F,$A221,WTG_BD!$AA:$AA)/($AA221+SUMIF(WTG_BD!$F:$F,$A221,WTG_BD!$AA:$AA)),"")</f>
        <v/>
      </c>
      <c r="Q221" s="173" t="str">
        <f>IFERROR(1-SUMIF(IGA_BD!$F:$F,$A221,IGA_BD!$X:$X)/($AA221+SUMIF(IGA_BD!$F:$F,$A221,IGA_BD!$X:$X)),"")</f>
        <v/>
      </c>
      <c r="R221" s="173" t="str">
        <f>IFERROR(1-SUMIF(Grid_BD!$F:$F,$A221,Grid_BD!$Y:$Y)/($AA221+SUMIF(Grid_BD!$F:$F,$A221,Grid_BD!$Y:$Y)),"")</f>
        <v/>
      </c>
      <c r="S221" s="167"/>
      <c r="T221" s="172"/>
      <c r="U221" s="173"/>
      <c r="V221" s="167"/>
      <c r="W221" s="174" t="str">
        <f t="shared" si="18"/>
        <v/>
      </c>
      <c r="X221" s="167" t="str">
        <f>IFERROR(_xlfn.XLOOKUP($A221,Input_Raw!$A:$A,Input_Raw!$BF:$BF),"")</f>
        <v/>
      </c>
      <c r="Y221" s="167" t="str">
        <f>IFERROR(_xlfn.XLOOKUP($A221,Input_Raw!$A:$A,Input_Raw!BJ:BJ),"")</f>
        <v/>
      </c>
      <c r="Z221" s="167" t="str">
        <f>IFERROR(_xlfn.XLOOKUP($A221,Input_Raw!$A:$A,Input_Raw!BK:BK),"")</f>
        <v/>
      </c>
      <c r="AA221" s="167" t="str">
        <f>IFERROR(_xlfn.XLOOKUP($A221,Input_Raw!$A:$A,Input_Raw!BL:BL),"")</f>
        <v/>
      </c>
      <c r="AB221" s="167" t="str">
        <f>IFERROR(_xlfn.XLOOKUP($A221,Input_Raw!$A:$A,Input_Raw!$BO:$BO),"")</f>
        <v/>
      </c>
      <c r="AC221" s="176">
        <f>IFERROR(_xlfn.XLOOKUP($D221,'Modelling New'!$D:$D,'Modelling New'!$J:$J),"")</f>
        <v>8.33</v>
      </c>
      <c r="AD221" s="166">
        <f>IFERROR(_xlfn.XLOOKUP($D221,'Modelling New'!$D:$D,'Modelling New'!$T:$T)*1000,"")</f>
        <v>405674.73399014788</v>
      </c>
      <c r="AE221" s="174"/>
      <c r="AF221" s="174">
        <f>IFERROR(_xlfn.XLOOKUP($D221,'Modelling New'!$D:$D,'Modelling New'!$W:$W),"")</f>
        <v>0.24078509852216753</v>
      </c>
      <c r="AG221" s="174">
        <f>IFERROR(_xlfn.XLOOKUP($D221,'Modelling New'!$D:$D,'Modelling New'!$AE:$AE),"")</f>
        <v>0.96029999999999993</v>
      </c>
      <c r="AH221" s="174">
        <f>IFERROR(_xlfn.XLOOKUP($D221,'Modelling New'!$D:$D,'Modelling New'!$AF:$AF),"")</f>
        <v>0.995</v>
      </c>
      <c r="AI221" s="177" t="str">
        <f>IFERROR(_xlfn.XLOOKUP($A221,Input_Raw!$A:$A,Input_Raw!$BQ:$BQ),"")</f>
        <v/>
      </c>
      <c r="AJ221" s="167"/>
      <c r="AK221" s="167"/>
      <c r="AL221" s="167"/>
      <c r="AM221" s="167"/>
      <c r="AN221" s="175" t="str">
        <f>IFERROR(_xlfn.XLOOKUP($A221,Input_Raw!$A:$A,Input_Raw!$BN:$BN),"")</f>
        <v/>
      </c>
      <c r="AO221" s="174" t="str">
        <f>IFERROR((_xlfn.XLOOKUP($A221,'WTG Reactive Power'!$A:$A,'WTG Reactive Power'!$AE:$AE))/Table13[[#This Row],[Gen_Exp (kWh)]],"")</f>
        <v/>
      </c>
      <c r="AP221" s="174">
        <f>IFERROR(_xlfn.XLOOKUP($D221,'Modelling New'!$D:$D,'Modelling New'!$AK:$AK),"")</f>
        <v>0.05</v>
      </c>
      <c r="AQ221" s="174">
        <f>IFERROR(_xlfn.XLOOKUP($D221,'Modelling New'!$D:$D,'Modelling New'!$AL:$AL),"")</f>
        <v>0.05</v>
      </c>
      <c r="AR221" s="276">
        <f>IFERROR(_xlfn.XLOOKUP($D221,'Modelling New'!$D:$D,'Modelling New'!$N:$N),"")</f>
        <v>70.2</v>
      </c>
      <c r="AS221" s="276"/>
    </row>
    <row r="222" spans="1:45">
      <c r="A222" s="165">
        <f t="shared" si="19"/>
        <v>45965</v>
      </c>
      <c r="B222" s="166">
        <f>YEAR(Table13[[#This Row],[Date]])+IF(MONTH(Table13[[#This Row],[Date]])&gt;=4,1,0)</f>
        <v>2026</v>
      </c>
      <c r="C222" s="167">
        <f>YEAR(Table13[[#This Row],[Date]])</f>
        <v>2025</v>
      </c>
      <c r="D222" s="168">
        <f>Table13[[#This Row],[Date]]-DAY(Table13[[#This Row],[Date]])+1</f>
        <v>45962</v>
      </c>
      <c r="E222" s="167">
        <f t="shared" si="16"/>
        <v>30</v>
      </c>
      <c r="F222" s="169"/>
      <c r="G222" s="170"/>
      <c r="H222" s="170"/>
      <c r="I222" s="170"/>
      <c r="J222" s="170"/>
      <c r="K222" s="171"/>
      <c r="L222" s="170"/>
      <c r="M222" s="170" t="str">
        <f>IFERROR(_xlfn.XLOOKUP($A222,Input_Raw!$A:$A,Input_Raw!BG:BG),"")</f>
        <v/>
      </c>
      <c r="N222" s="170" t="str">
        <f>IFERROR(_xlfn.XLOOKUP($A222,Input_Raw!$A:$A,Input_Raw!BH:BH),"")</f>
        <v/>
      </c>
      <c r="O222" s="173" t="str">
        <f t="shared" si="17"/>
        <v/>
      </c>
      <c r="P222" s="173" t="str">
        <f>IFERROR(1-SUMIF(WTG_BD!$F:$F,$A222,WTG_BD!$AA:$AA)/($AA222+SUMIF(WTG_BD!$F:$F,$A222,WTG_BD!$AA:$AA)),"")</f>
        <v/>
      </c>
      <c r="Q222" s="173" t="str">
        <f>IFERROR(1-SUMIF(IGA_BD!$F:$F,$A222,IGA_BD!$X:$X)/($AA222+SUMIF(IGA_BD!$F:$F,$A222,IGA_BD!$X:$X)),"")</f>
        <v/>
      </c>
      <c r="R222" s="173" t="str">
        <f>IFERROR(1-SUMIF(Grid_BD!$F:$F,$A222,Grid_BD!$Y:$Y)/($AA222+SUMIF(Grid_BD!$F:$F,$A222,Grid_BD!$Y:$Y)),"")</f>
        <v/>
      </c>
      <c r="S222" s="167"/>
      <c r="T222" s="172"/>
      <c r="U222" s="173"/>
      <c r="V222" s="167"/>
      <c r="W222" s="174" t="str">
        <f t="shared" si="18"/>
        <v/>
      </c>
      <c r="X222" s="167" t="str">
        <f>IFERROR(_xlfn.XLOOKUP($A222,Input_Raw!$A:$A,Input_Raw!$BF:$BF),"")</f>
        <v/>
      </c>
      <c r="Y222" s="167" t="str">
        <f>IFERROR(_xlfn.XLOOKUP($A222,Input_Raw!$A:$A,Input_Raw!BJ:BJ),"")</f>
        <v/>
      </c>
      <c r="Z222" s="167" t="str">
        <f>IFERROR(_xlfn.XLOOKUP($A222,Input_Raw!$A:$A,Input_Raw!BK:BK),"")</f>
        <v/>
      </c>
      <c r="AA222" s="167" t="str">
        <f>IFERROR(_xlfn.XLOOKUP($A222,Input_Raw!$A:$A,Input_Raw!BL:BL),"")</f>
        <v/>
      </c>
      <c r="AB222" s="167" t="str">
        <f>IFERROR(_xlfn.XLOOKUP($A222,Input_Raw!$A:$A,Input_Raw!$BO:$BO),"")</f>
        <v/>
      </c>
      <c r="AC222" s="176">
        <f>IFERROR(_xlfn.XLOOKUP($D222,'Modelling New'!$D:$D,'Modelling New'!$J:$J),"")</f>
        <v>8.33</v>
      </c>
      <c r="AD222" s="166">
        <f>IFERROR(_xlfn.XLOOKUP($D222,'Modelling New'!$D:$D,'Modelling New'!$T:$T)*1000,"")</f>
        <v>405674.73399014788</v>
      </c>
      <c r="AE222" s="174"/>
      <c r="AF222" s="174">
        <f>IFERROR(_xlfn.XLOOKUP($D222,'Modelling New'!$D:$D,'Modelling New'!$W:$W),"")</f>
        <v>0.24078509852216753</v>
      </c>
      <c r="AG222" s="174">
        <f>IFERROR(_xlfn.XLOOKUP($D222,'Modelling New'!$D:$D,'Modelling New'!$AE:$AE),"")</f>
        <v>0.96029999999999993</v>
      </c>
      <c r="AH222" s="174">
        <f>IFERROR(_xlfn.XLOOKUP($D222,'Modelling New'!$D:$D,'Modelling New'!$AF:$AF),"")</f>
        <v>0.995</v>
      </c>
      <c r="AI222" s="177" t="str">
        <f>IFERROR(_xlfn.XLOOKUP($A222,Input_Raw!$A:$A,Input_Raw!$BQ:$BQ),"")</f>
        <v/>
      </c>
      <c r="AJ222" s="167"/>
      <c r="AK222" s="167"/>
      <c r="AL222" s="167"/>
      <c r="AM222" s="167"/>
      <c r="AN222" s="175" t="str">
        <f>IFERROR(_xlfn.XLOOKUP($A222,Input_Raw!$A:$A,Input_Raw!$BN:$BN),"")</f>
        <v/>
      </c>
      <c r="AO222" s="174" t="str">
        <f>IFERROR((_xlfn.XLOOKUP($A222,'WTG Reactive Power'!$A:$A,'WTG Reactive Power'!$AE:$AE))/Table13[[#This Row],[Gen_Exp (kWh)]],"")</f>
        <v/>
      </c>
      <c r="AP222" s="174">
        <f>IFERROR(_xlfn.XLOOKUP($D222,'Modelling New'!$D:$D,'Modelling New'!$AK:$AK),"")</f>
        <v>0.05</v>
      </c>
      <c r="AQ222" s="174">
        <f>IFERROR(_xlfn.XLOOKUP($D222,'Modelling New'!$D:$D,'Modelling New'!$AL:$AL),"")</f>
        <v>0.05</v>
      </c>
      <c r="AR222" s="276">
        <f>IFERROR(_xlfn.XLOOKUP($D222,'Modelling New'!$D:$D,'Modelling New'!$N:$N),"")</f>
        <v>70.2</v>
      </c>
      <c r="AS222" s="276"/>
    </row>
    <row r="223" spans="1:45">
      <c r="A223" s="165">
        <f t="shared" si="19"/>
        <v>45966</v>
      </c>
      <c r="B223" s="166">
        <f>YEAR(Table13[[#This Row],[Date]])+IF(MONTH(Table13[[#This Row],[Date]])&gt;=4,1,0)</f>
        <v>2026</v>
      </c>
      <c r="C223" s="167">
        <f>YEAR(Table13[[#This Row],[Date]])</f>
        <v>2025</v>
      </c>
      <c r="D223" s="168">
        <f>Table13[[#This Row],[Date]]-DAY(Table13[[#This Row],[Date]])+1</f>
        <v>45962</v>
      </c>
      <c r="E223" s="167">
        <f t="shared" si="16"/>
        <v>30</v>
      </c>
      <c r="F223" s="169"/>
      <c r="G223" s="176"/>
      <c r="H223" s="176"/>
      <c r="I223" s="176"/>
      <c r="J223" s="176"/>
      <c r="K223" s="171"/>
      <c r="L223" s="170"/>
      <c r="M223" s="170" t="str">
        <f>IFERROR(_xlfn.XLOOKUP($A223,Input_Raw!$A:$A,Input_Raw!BG:BG),"")</f>
        <v/>
      </c>
      <c r="N223" s="170" t="str">
        <f>IFERROR(_xlfn.XLOOKUP($A223,Input_Raw!$A:$A,Input_Raw!BH:BH),"")</f>
        <v/>
      </c>
      <c r="O223" s="173" t="str">
        <f t="shared" si="17"/>
        <v/>
      </c>
      <c r="P223" s="173" t="str">
        <f>IFERROR(1-SUMIF(WTG_BD!$F:$F,$A223,WTG_BD!$AA:$AA)/($AA223+SUMIF(WTG_BD!$F:$F,$A223,WTG_BD!$AA:$AA)),"")</f>
        <v/>
      </c>
      <c r="Q223" s="173" t="str">
        <f>IFERROR(1-SUMIF(IGA_BD!$F:$F,$A223,IGA_BD!$X:$X)/($AA223+SUMIF(IGA_BD!$F:$F,$A223,IGA_BD!$X:$X)),"")</f>
        <v/>
      </c>
      <c r="R223" s="173" t="str">
        <f>IFERROR(1-SUMIF(Grid_BD!$F:$F,$A223,Grid_BD!$Y:$Y)/($AA223+SUMIF(Grid_BD!$F:$F,$A223,Grid_BD!$Y:$Y)),"")</f>
        <v/>
      </c>
      <c r="S223" s="167"/>
      <c r="T223" s="172"/>
      <c r="U223" s="173"/>
      <c r="V223" s="167"/>
      <c r="W223" s="174" t="str">
        <f t="shared" si="18"/>
        <v/>
      </c>
      <c r="X223" s="167" t="str">
        <f>IFERROR(_xlfn.XLOOKUP($A223,Input_Raw!$A:$A,Input_Raw!$BF:$BF),"")</f>
        <v/>
      </c>
      <c r="Y223" s="167" t="str">
        <f>IFERROR(_xlfn.XLOOKUP($A223,Input_Raw!$A:$A,Input_Raw!BJ:BJ),"")</f>
        <v/>
      </c>
      <c r="Z223" s="167" t="str">
        <f>IFERROR(_xlfn.XLOOKUP($A223,Input_Raw!$A:$A,Input_Raw!BK:BK),"")</f>
        <v/>
      </c>
      <c r="AA223" s="167" t="str">
        <f>IFERROR(_xlfn.XLOOKUP($A223,Input_Raw!$A:$A,Input_Raw!BL:BL),"")</f>
        <v/>
      </c>
      <c r="AB223" s="167" t="str">
        <f>IFERROR(_xlfn.XLOOKUP($A223,Input_Raw!$A:$A,Input_Raw!$BO:$BO),"")</f>
        <v/>
      </c>
      <c r="AC223" s="176">
        <f>IFERROR(_xlfn.XLOOKUP($D223,'Modelling New'!$D:$D,'Modelling New'!$J:$J),"")</f>
        <v>8.33</v>
      </c>
      <c r="AD223" s="166">
        <f>IFERROR(_xlfn.XLOOKUP($D223,'Modelling New'!$D:$D,'Modelling New'!$T:$T)*1000,"")</f>
        <v>405674.73399014788</v>
      </c>
      <c r="AE223" s="174"/>
      <c r="AF223" s="174">
        <f>IFERROR(_xlfn.XLOOKUP($D223,'Modelling New'!$D:$D,'Modelling New'!$W:$W),"")</f>
        <v>0.24078509852216753</v>
      </c>
      <c r="AG223" s="174">
        <f>IFERROR(_xlfn.XLOOKUP($D223,'Modelling New'!$D:$D,'Modelling New'!$AE:$AE),"")</f>
        <v>0.96029999999999993</v>
      </c>
      <c r="AH223" s="174">
        <f>IFERROR(_xlfn.XLOOKUP($D223,'Modelling New'!$D:$D,'Modelling New'!$AF:$AF),"")</f>
        <v>0.995</v>
      </c>
      <c r="AI223" s="177" t="str">
        <f>IFERROR(_xlfn.XLOOKUP($A223,Input_Raw!$A:$A,Input_Raw!$BQ:$BQ),"")</f>
        <v/>
      </c>
      <c r="AJ223" s="167"/>
      <c r="AK223" s="167"/>
      <c r="AL223" s="167"/>
      <c r="AM223" s="167"/>
      <c r="AN223" s="175" t="str">
        <f>IFERROR(_xlfn.XLOOKUP($A223,Input_Raw!$A:$A,Input_Raw!$BN:$BN),"")</f>
        <v/>
      </c>
      <c r="AO223" s="174" t="str">
        <f>IFERROR((_xlfn.XLOOKUP($A223,'WTG Reactive Power'!$A:$A,'WTG Reactive Power'!$AE:$AE))/Table13[[#This Row],[Gen_Exp (kWh)]],"")</f>
        <v/>
      </c>
      <c r="AP223" s="174">
        <f>IFERROR(_xlfn.XLOOKUP($D223,'Modelling New'!$D:$D,'Modelling New'!$AK:$AK),"")</f>
        <v>0.05</v>
      </c>
      <c r="AQ223" s="174">
        <f>IFERROR(_xlfn.XLOOKUP($D223,'Modelling New'!$D:$D,'Modelling New'!$AL:$AL),"")</f>
        <v>0.05</v>
      </c>
      <c r="AR223" s="276">
        <f>IFERROR(_xlfn.XLOOKUP($D223,'Modelling New'!$D:$D,'Modelling New'!$N:$N),"")</f>
        <v>70.2</v>
      </c>
      <c r="AS223" s="276"/>
    </row>
    <row r="224" spans="1:45">
      <c r="A224" s="165">
        <f t="shared" si="19"/>
        <v>45967</v>
      </c>
      <c r="B224" s="166">
        <f>YEAR(Table13[[#This Row],[Date]])+IF(MONTH(Table13[[#This Row],[Date]])&gt;=4,1,0)</f>
        <v>2026</v>
      </c>
      <c r="C224" s="167">
        <f>YEAR(Table13[[#This Row],[Date]])</f>
        <v>2025</v>
      </c>
      <c r="D224" s="168">
        <f>Table13[[#This Row],[Date]]-DAY(Table13[[#This Row],[Date]])+1</f>
        <v>45962</v>
      </c>
      <c r="E224" s="167">
        <f t="shared" si="16"/>
        <v>30</v>
      </c>
      <c r="F224" s="169"/>
      <c r="G224" s="170"/>
      <c r="H224" s="170"/>
      <c r="I224" s="170"/>
      <c r="J224" s="170"/>
      <c r="K224" s="171"/>
      <c r="L224" s="170"/>
      <c r="M224" s="170" t="str">
        <f>IFERROR(_xlfn.XLOOKUP($A224,Input_Raw!$A:$A,Input_Raw!BG:BG),"")</f>
        <v/>
      </c>
      <c r="N224" s="170" t="str">
        <f>IFERROR(_xlfn.XLOOKUP($A224,Input_Raw!$A:$A,Input_Raw!BH:BH),"")</f>
        <v/>
      </c>
      <c r="O224" s="173" t="str">
        <f t="shared" si="17"/>
        <v/>
      </c>
      <c r="P224" s="173" t="str">
        <f>IFERROR(1-SUMIF(WTG_BD!$F:$F,$A224,WTG_BD!$AA:$AA)/($AA224+SUMIF(WTG_BD!$F:$F,$A224,WTG_BD!$AA:$AA)),"")</f>
        <v/>
      </c>
      <c r="Q224" s="173" t="str">
        <f>IFERROR(1-SUMIF(IGA_BD!$F:$F,$A224,IGA_BD!$X:$X)/($AA224+SUMIF(IGA_BD!$F:$F,$A224,IGA_BD!$X:$X)),"")</f>
        <v/>
      </c>
      <c r="R224" s="173" t="str">
        <f>IFERROR(1-SUMIF(Grid_BD!$F:$F,$A224,Grid_BD!$Y:$Y)/($AA224+SUMIF(Grid_BD!$F:$F,$A224,Grid_BD!$Y:$Y)),"")</f>
        <v/>
      </c>
      <c r="S224" s="167"/>
      <c r="T224" s="172"/>
      <c r="U224" s="173"/>
      <c r="V224" s="167"/>
      <c r="W224" s="174" t="str">
        <f t="shared" si="18"/>
        <v/>
      </c>
      <c r="X224" s="167" t="str">
        <f>IFERROR(_xlfn.XLOOKUP($A224,Input_Raw!$A:$A,Input_Raw!$BF:$BF),"")</f>
        <v/>
      </c>
      <c r="Y224" s="167" t="str">
        <f>IFERROR(_xlfn.XLOOKUP($A224,Input_Raw!$A:$A,Input_Raw!BJ:BJ),"")</f>
        <v/>
      </c>
      <c r="Z224" s="167" t="str">
        <f>IFERROR(_xlfn.XLOOKUP($A224,Input_Raw!$A:$A,Input_Raw!BK:BK),"")</f>
        <v/>
      </c>
      <c r="AA224" s="167" t="str">
        <f>IFERROR(_xlfn.XLOOKUP($A224,Input_Raw!$A:$A,Input_Raw!BL:BL),"")</f>
        <v/>
      </c>
      <c r="AB224" s="167" t="str">
        <f>IFERROR(_xlfn.XLOOKUP($A224,Input_Raw!$A:$A,Input_Raw!$BO:$BO),"")</f>
        <v/>
      </c>
      <c r="AC224" s="176">
        <f>IFERROR(_xlfn.XLOOKUP($D224,'Modelling New'!$D:$D,'Modelling New'!$J:$J),"")</f>
        <v>8.33</v>
      </c>
      <c r="AD224" s="166">
        <f>IFERROR(_xlfn.XLOOKUP($D224,'Modelling New'!$D:$D,'Modelling New'!$T:$T)*1000,"")</f>
        <v>405674.73399014788</v>
      </c>
      <c r="AE224" s="174"/>
      <c r="AF224" s="174">
        <f>IFERROR(_xlfn.XLOOKUP($D224,'Modelling New'!$D:$D,'Modelling New'!$W:$W),"")</f>
        <v>0.24078509852216753</v>
      </c>
      <c r="AG224" s="174">
        <f>IFERROR(_xlfn.XLOOKUP($D224,'Modelling New'!$D:$D,'Modelling New'!$AE:$AE),"")</f>
        <v>0.96029999999999993</v>
      </c>
      <c r="AH224" s="174">
        <f>IFERROR(_xlfn.XLOOKUP($D224,'Modelling New'!$D:$D,'Modelling New'!$AF:$AF),"")</f>
        <v>0.995</v>
      </c>
      <c r="AI224" s="177" t="str">
        <f>IFERROR(_xlfn.XLOOKUP($A224,Input_Raw!$A:$A,Input_Raw!$BQ:$BQ),"")</f>
        <v/>
      </c>
      <c r="AJ224" s="167"/>
      <c r="AK224" s="167"/>
      <c r="AL224" s="167"/>
      <c r="AM224" s="167"/>
      <c r="AN224" s="175" t="str">
        <f>IFERROR(_xlfn.XLOOKUP($A224,Input_Raw!$A:$A,Input_Raw!$BN:$BN),"")</f>
        <v/>
      </c>
      <c r="AO224" s="174" t="str">
        <f>IFERROR((_xlfn.XLOOKUP($A224,'WTG Reactive Power'!$A:$A,'WTG Reactive Power'!$AE:$AE))/Table13[[#This Row],[Gen_Exp (kWh)]],"")</f>
        <v/>
      </c>
      <c r="AP224" s="174">
        <f>IFERROR(_xlfn.XLOOKUP($D224,'Modelling New'!$D:$D,'Modelling New'!$AK:$AK),"")</f>
        <v>0.05</v>
      </c>
      <c r="AQ224" s="174">
        <f>IFERROR(_xlfn.XLOOKUP($D224,'Modelling New'!$D:$D,'Modelling New'!$AL:$AL),"")</f>
        <v>0.05</v>
      </c>
      <c r="AR224" s="276">
        <f>IFERROR(_xlfn.XLOOKUP($D224,'Modelling New'!$D:$D,'Modelling New'!$N:$N),"")</f>
        <v>70.2</v>
      </c>
      <c r="AS224" s="276"/>
    </row>
    <row r="225" spans="1:45">
      <c r="A225" s="165">
        <f t="shared" si="19"/>
        <v>45968</v>
      </c>
      <c r="B225" s="166">
        <f>YEAR(Table13[[#This Row],[Date]])+IF(MONTH(Table13[[#This Row],[Date]])&gt;=4,1,0)</f>
        <v>2026</v>
      </c>
      <c r="C225" s="167">
        <f>YEAR(Table13[[#This Row],[Date]])</f>
        <v>2025</v>
      </c>
      <c r="D225" s="168">
        <f>Table13[[#This Row],[Date]]-DAY(Table13[[#This Row],[Date]])+1</f>
        <v>45962</v>
      </c>
      <c r="E225" s="167">
        <f t="shared" si="16"/>
        <v>30</v>
      </c>
      <c r="F225" s="169"/>
      <c r="G225" s="176"/>
      <c r="H225" s="176"/>
      <c r="I225" s="176"/>
      <c r="J225" s="176"/>
      <c r="K225" s="171"/>
      <c r="L225" s="170"/>
      <c r="M225" s="170" t="str">
        <f>IFERROR(_xlfn.XLOOKUP($A225,Input_Raw!$A:$A,Input_Raw!BG:BG),"")</f>
        <v/>
      </c>
      <c r="N225" s="170" t="str">
        <f>IFERROR(_xlfn.XLOOKUP($A225,Input_Raw!$A:$A,Input_Raw!BH:BH),"")</f>
        <v/>
      </c>
      <c r="O225" s="173" t="str">
        <f t="shared" si="17"/>
        <v/>
      </c>
      <c r="P225" s="173" t="str">
        <f>IFERROR(1-SUMIF(WTG_BD!$F:$F,$A225,WTG_BD!$AA:$AA)/($AA225+SUMIF(WTG_BD!$F:$F,$A225,WTG_BD!$AA:$AA)),"")</f>
        <v/>
      </c>
      <c r="Q225" s="173" t="str">
        <f>IFERROR(1-SUMIF(IGA_BD!$F:$F,$A225,IGA_BD!$X:$X)/($AA225+SUMIF(IGA_BD!$F:$F,$A225,IGA_BD!$X:$X)),"")</f>
        <v/>
      </c>
      <c r="R225" s="173" t="str">
        <f>IFERROR(1-SUMIF(Grid_BD!$F:$F,$A225,Grid_BD!$Y:$Y)/($AA225+SUMIF(Grid_BD!$F:$F,$A225,Grid_BD!$Y:$Y)),"")</f>
        <v/>
      </c>
      <c r="S225" s="167"/>
      <c r="T225" s="172"/>
      <c r="U225" s="173"/>
      <c r="V225" s="167"/>
      <c r="W225" s="174" t="str">
        <f t="shared" si="18"/>
        <v/>
      </c>
      <c r="X225" s="167" t="str">
        <f>IFERROR(_xlfn.XLOOKUP($A225,Input_Raw!$A:$A,Input_Raw!$BF:$BF),"")</f>
        <v/>
      </c>
      <c r="Y225" s="167" t="str">
        <f>IFERROR(_xlfn.XLOOKUP($A225,Input_Raw!$A:$A,Input_Raw!BJ:BJ),"")</f>
        <v/>
      </c>
      <c r="Z225" s="167" t="str">
        <f>IFERROR(_xlfn.XLOOKUP($A225,Input_Raw!$A:$A,Input_Raw!BK:BK),"")</f>
        <v/>
      </c>
      <c r="AA225" s="167" t="str">
        <f>IFERROR(_xlfn.XLOOKUP($A225,Input_Raw!$A:$A,Input_Raw!BL:BL),"")</f>
        <v/>
      </c>
      <c r="AB225" s="167" t="str">
        <f>IFERROR(_xlfn.XLOOKUP($A225,Input_Raw!$A:$A,Input_Raw!$BO:$BO),"")</f>
        <v/>
      </c>
      <c r="AC225" s="176">
        <f>IFERROR(_xlfn.XLOOKUP($D225,'Modelling New'!$D:$D,'Modelling New'!$J:$J),"")</f>
        <v>8.33</v>
      </c>
      <c r="AD225" s="166">
        <f>IFERROR(_xlfn.XLOOKUP($D225,'Modelling New'!$D:$D,'Modelling New'!$T:$T)*1000,"")</f>
        <v>405674.73399014788</v>
      </c>
      <c r="AE225" s="174"/>
      <c r="AF225" s="174">
        <f>IFERROR(_xlfn.XLOOKUP($D225,'Modelling New'!$D:$D,'Modelling New'!$W:$W),"")</f>
        <v>0.24078509852216753</v>
      </c>
      <c r="AG225" s="174">
        <f>IFERROR(_xlfn.XLOOKUP($D225,'Modelling New'!$D:$D,'Modelling New'!$AE:$AE),"")</f>
        <v>0.96029999999999993</v>
      </c>
      <c r="AH225" s="174">
        <f>IFERROR(_xlfn.XLOOKUP($D225,'Modelling New'!$D:$D,'Modelling New'!$AF:$AF),"")</f>
        <v>0.995</v>
      </c>
      <c r="AI225" s="177" t="str">
        <f>IFERROR(_xlfn.XLOOKUP($A225,Input_Raw!$A:$A,Input_Raw!$BQ:$BQ),"")</f>
        <v/>
      </c>
      <c r="AJ225" s="167"/>
      <c r="AK225" s="167"/>
      <c r="AL225" s="167"/>
      <c r="AM225" s="167"/>
      <c r="AN225" s="175" t="str">
        <f>IFERROR(_xlfn.XLOOKUP($A225,Input_Raw!$A:$A,Input_Raw!$BN:$BN),"")</f>
        <v/>
      </c>
      <c r="AO225" s="174" t="str">
        <f>IFERROR((_xlfn.XLOOKUP($A225,'WTG Reactive Power'!$A:$A,'WTG Reactive Power'!$AE:$AE))/Table13[[#This Row],[Gen_Exp (kWh)]],"")</f>
        <v/>
      </c>
      <c r="AP225" s="174">
        <f>IFERROR(_xlfn.XLOOKUP($D225,'Modelling New'!$D:$D,'Modelling New'!$AK:$AK),"")</f>
        <v>0.05</v>
      </c>
      <c r="AQ225" s="174">
        <f>IFERROR(_xlfn.XLOOKUP($D225,'Modelling New'!$D:$D,'Modelling New'!$AL:$AL),"")</f>
        <v>0.05</v>
      </c>
      <c r="AR225" s="276">
        <f>IFERROR(_xlfn.XLOOKUP($D225,'Modelling New'!$D:$D,'Modelling New'!$N:$N),"")</f>
        <v>70.2</v>
      </c>
      <c r="AS225" s="276"/>
    </row>
    <row r="226" spans="1:45">
      <c r="A226" s="165">
        <f t="shared" si="19"/>
        <v>45969</v>
      </c>
      <c r="B226" s="166">
        <f>YEAR(Table13[[#This Row],[Date]])+IF(MONTH(Table13[[#This Row],[Date]])&gt;=4,1,0)</f>
        <v>2026</v>
      </c>
      <c r="C226" s="167">
        <f>YEAR(Table13[[#This Row],[Date]])</f>
        <v>2025</v>
      </c>
      <c r="D226" s="168">
        <f>Table13[[#This Row],[Date]]-DAY(Table13[[#This Row],[Date]])+1</f>
        <v>45962</v>
      </c>
      <c r="E226" s="167">
        <f t="shared" si="16"/>
        <v>30</v>
      </c>
      <c r="F226" s="169"/>
      <c r="G226" s="170"/>
      <c r="H226" s="170"/>
      <c r="I226" s="170"/>
      <c r="J226" s="170"/>
      <c r="K226" s="171"/>
      <c r="L226" s="170"/>
      <c r="M226" s="170" t="str">
        <f>IFERROR(_xlfn.XLOOKUP($A226,Input_Raw!$A:$A,Input_Raw!BG:BG),"")</f>
        <v/>
      </c>
      <c r="N226" s="170" t="str">
        <f>IFERROR(_xlfn.XLOOKUP($A226,Input_Raw!$A:$A,Input_Raw!BH:BH),"")</f>
        <v/>
      </c>
      <c r="O226" s="173" t="str">
        <f t="shared" si="17"/>
        <v/>
      </c>
      <c r="P226" s="173" t="str">
        <f>IFERROR(1-SUMIF(WTG_BD!$F:$F,$A226,WTG_BD!$AA:$AA)/($AA226+SUMIF(WTG_BD!$F:$F,$A226,WTG_BD!$AA:$AA)),"")</f>
        <v/>
      </c>
      <c r="Q226" s="173" t="str">
        <f>IFERROR(1-SUMIF(IGA_BD!$F:$F,$A226,IGA_BD!$X:$X)/($AA226+SUMIF(IGA_BD!$F:$F,$A226,IGA_BD!$X:$X)),"")</f>
        <v/>
      </c>
      <c r="R226" s="173" t="str">
        <f>IFERROR(1-SUMIF(Grid_BD!$F:$F,$A226,Grid_BD!$Y:$Y)/($AA226+SUMIF(Grid_BD!$F:$F,$A226,Grid_BD!$Y:$Y)),"")</f>
        <v/>
      </c>
      <c r="S226" s="167"/>
      <c r="T226" s="172"/>
      <c r="U226" s="173"/>
      <c r="V226" s="167"/>
      <c r="W226" s="174" t="str">
        <f t="shared" si="18"/>
        <v/>
      </c>
      <c r="X226" s="167" t="str">
        <f>IFERROR(_xlfn.XLOOKUP($A226,Input_Raw!$A:$A,Input_Raw!$BF:$BF),"")</f>
        <v/>
      </c>
      <c r="Y226" s="167" t="str">
        <f>IFERROR(_xlfn.XLOOKUP($A226,Input_Raw!$A:$A,Input_Raw!BJ:BJ),"")</f>
        <v/>
      </c>
      <c r="Z226" s="167" t="str">
        <f>IFERROR(_xlfn.XLOOKUP($A226,Input_Raw!$A:$A,Input_Raw!BK:BK),"")</f>
        <v/>
      </c>
      <c r="AA226" s="167" t="str">
        <f>IFERROR(_xlfn.XLOOKUP($A226,Input_Raw!$A:$A,Input_Raw!BL:BL),"")</f>
        <v/>
      </c>
      <c r="AB226" s="167" t="str">
        <f>IFERROR(_xlfn.XLOOKUP($A226,Input_Raw!$A:$A,Input_Raw!$BO:$BO),"")</f>
        <v/>
      </c>
      <c r="AC226" s="176">
        <f>IFERROR(_xlfn.XLOOKUP($D226,'Modelling New'!$D:$D,'Modelling New'!$J:$J),"")</f>
        <v>8.33</v>
      </c>
      <c r="AD226" s="166">
        <f>IFERROR(_xlfn.XLOOKUP($D226,'Modelling New'!$D:$D,'Modelling New'!$T:$T)*1000,"")</f>
        <v>405674.73399014788</v>
      </c>
      <c r="AE226" s="174"/>
      <c r="AF226" s="174">
        <f>IFERROR(_xlfn.XLOOKUP($D226,'Modelling New'!$D:$D,'Modelling New'!$W:$W),"")</f>
        <v>0.24078509852216753</v>
      </c>
      <c r="AG226" s="174">
        <f>IFERROR(_xlfn.XLOOKUP($D226,'Modelling New'!$D:$D,'Modelling New'!$AE:$AE),"")</f>
        <v>0.96029999999999993</v>
      </c>
      <c r="AH226" s="174">
        <f>IFERROR(_xlfn.XLOOKUP($D226,'Modelling New'!$D:$D,'Modelling New'!$AF:$AF),"")</f>
        <v>0.995</v>
      </c>
      <c r="AI226" s="177" t="str">
        <f>IFERROR(_xlfn.XLOOKUP($A226,Input_Raw!$A:$A,Input_Raw!$BQ:$BQ),"")</f>
        <v/>
      </c>
      <c r="AJ226" s="167"/>
      <c r="AK226" s="167"/>
      <c r="AL226" s="167"/>
      <c r="AM226" s="167"/>
      <c r="AN226" s="175" t="str">
        <f>IFERROR(_xlfn.XLOOKUP($A226,Input_Raw!$A:$A,Input_Raw!$BN:$BN),"")</f>
        <v/>
      </c>
      <c r="AO226" s="174" t="str">
        <f>IFERROR((_xlfn.XLOOKUP($A226,'WTG Reactive Power'!$A:$A,'WTG Reactive Power'!$AE:$AE))/Table13[[#This Row],[Gen_Exp (kWh)]],"")</f>
        <v/>
      </c>
      <c r="AP226" s="174">
        <f>IFERROR(_xlfn.XLOOKUP($D226,'Modelling New'!$D:$D,'Modelling New'!$AK:$AK),"")</f>
        <v>0.05</v>
      </c>
      <c r="AQ226" s="174">
        <f>IFERROR(_xlfn.XLOOKUP($D226,'Modelling New'!$D:$D,'Modelling New'!$AL:$AL),"")</f>
        <v>0.05</v>
      </c>
      <c r="AR226" s="276">
        <f>IFERROR(_xlfn.XLOOKUP($D226,'Modelling New'!$D:$D,'Modelling New'!$N:$N),"")</f>
        <v>70.2</v>
      </c>
      <c r="AS226" s="276"/>
    </row>
    <row r="227" spans="1:45">
      <c r="A227" s="165">
        <f t="shared" si="19"/>
        <v>45970</v>
      </c>
      <c r="B227" s="166">
        <f>YEAR(Table13[[#This Row],[Date]])+IF(MONTH(Table13[[#This Row],[Date]])&gt;=4,1,0)</f>
        <v>2026</v>
      </c>
      <c r="C227" s="167">
        <f>YEAR(Table13[[#This Row],[Date]])</f>
        <v>2025</v>
      </c>
      <c r="D227" s="168">
        <f>Table13[[#This Row],[Date]]-DAY(Table13[[#This Row],[Date]])+1</f>
        <v>45962</v>
      </c>
      <c r="E227" s="167">
        <f t="shared" si="16"/>
        <v>30</v>
      </c>
      <c r="F227" s="169"/>
      <c r="G227" s="176"/>
      <c r="H227" s="176"/>
      <c r="I227" s="176"/>
      <c r="J227" s="176"/>
      <c r="K227" s="171"/>
      <c r="L227" s="170"/>
      <c r="M227" s="170" t="str">
        <f>IFERROR(_xlfn.XLOOKUP($A227,Input_Raw!$A:$A,Input_Raw!BG:BG),"")</f>
        <v/>
      </c>
      <c r="N227" s="170" t="str">
        <f>IFERROR(_xlfn.XLOOKUP($A227,Input_Raw!$A:$A,Input_Raw!BH:BH),"")</f>
        <v/>
      </c>
      <c r="O227" s="173" t="str">
        <f t="shared" si="17"/>
        <v/>
      </c>
      <c r="P227" s="173" t="str">
        <f>IFERROR(1-SUMIF(WTG_BD!$F:$F,$A227,WTG_BD!$AA:$AA)/($AA227+SUMIF(WTG_BD!$F:$F,$A227,WTG_BD!$AA:$AA)),"")</f>
        <v/>
      </c>
      <c r="Q227" s="173" t="str">
        <f>IFERROR(1-SUMIF(IGA_BD!$F:$F,$A227,IGA_BD!$X:$X)/($AA227+SUMIF(IGA_BD!$F:$F,$A227,IGA_BD!$X:$X)),"")</f>
        <v/>
      </c>
      <c r="R227" s="173" t="str">
        <f>IFERROR(1-SUMIF(Grid_BD!$F:$F,$A227,Grid_BD!$Y:$Y)/($AA227+SUMIF(Grid_BD!$F:$F,$A227,Grid_BD!$Y:$Y)),"")</f>
        <v/>
      </c>
      <c r="S227" s="167"/>
      <c r="T227" s="172"/>
      <c r="U227" s="173"/>
      <c r="V227" s="167"/>
      <c r="W227" s="174" t="str">
        <f t="shared" si="18"/>
        <v/>
      </c>
      <c r="X227" s="167" t="str">
        <f>IFERROR(_xlfn.XLOOKUP($A227,Input_Raw!$A:$A,Input_Raw!$BF:$BF),"")</f>
        <v/>
      </c>
      <c r="Y227" s="167" t="str">
        <f>IFERROR(_xlfn.XLOOKUP($A227,Input_Raw!$A:$A,Input_Raw!BJ:BJ),"")</f>
        <v/>
      </c>
      <c r="Z227" s="167" t="str">
        <f>IFERROR(_xlfn.XLOOKUP($A227,Input_Raw!$A:$A,Input_Raw!BK:BK),"")</f>
        <v/>
      </c>
      <c r="AA227" s="167" t="str">
        <f>IFERROR(_xlfn.XLOOKUP($A227,Input_Raw!$A:$A,Input_Raw!BL:BL),"")</f>
        <v/>
      </c>
      <c r="AB227" s="167" t="str">
        <f>IFERROR(_xlfn.XLOOKUP($A227,Input_Raw!$A:$A,Input_Raw!$BO:$BO),"")</f>
        <v/>
      </c>
      <c r="AC227" s="176">
        <f>IFERROR(_xlfn.XLOOKUP($D227,'Modelling New'!$D:$D,'Modelling New'!$J:$J),"")</f>
        <v>8.33</v>
      </c>
      <c r="AD227" s="166">
        <f>IFERROR(_xlfn.XLOOKUP($D227,'Modelling New'!$D:$D,'Modelling New'!$T:$T)*1000,"")</f>
        <v>405674.73399014788</v>
      </c>
      <c r="AE227" s="174"/>
      <c r="AF227" s="174">
        <f>IFERROR(_xlfn.XLOOKUP($D227,'Modelling New'!$D:$D,'Modelling New'!$W:$W),"")</f>
        <v>0.24078509852216753</v>
      </c>
      <c r="AG227" s="174">
        <f>IFERROR(_xlfn.XLOOKUP($D227,'Modelling New'!$D:$D,'Modelling New'!$AE:$AE),"")</f>
        <v>0.96029999999999993</v>
      </c>
      <c r="AH227" s="174">
        <f>IFERROR(_xlfn.XLOOKUP($D227,'Modelling New'!$D:$D,'Modelling New'!$AF:$AF),"")</f>
        <v>0.995</v>
      </c>
      <c r="AI227" s="177" t="str">
        <f>IFERROR(_xlfn.XLOOKUP($A227,Input_Raw!$A:$A,Input_Raw!$BQ:$BQ),"")</f>
        <v/>
      </c>
      <c r="AJ227" s="167"/>
      <c r="AK227" s="167"/>
      <c r="AL227" s="167"/>
      <c r="AM227" s="167"/>
      <c r="AN227" s="175" t="str">
        <f>IFERROR(_xlfn.XLOOKUP($A227,Input_Raw!$A:$A,Input_Raw!$BN:$BN),"")</f>
        <v/>
      </c>
      <c r="AO227" s="174" t="str">
        <f>IFERROR((_xlfn.XLOOKUP($A227,'WTG Reactive Power'!$A:$A,'WTG Reactive Power'!$AE:$AE))/Table13[[#This Row],[Gen_Exp (kWh)]],"")</f>
        <v/>
      </c>
      <c r="AP227" s="174">
        <f>IFERROR(_xlfn.XLOOKUP($D227,'Modelling New'!$D:$D,'Modelling New'!$AK:$AK),"")</f>
        <v>0.05</v>
      </c>
      <c r="AQ227" s="174">
        <f>IFERROR(_xlfn.XLOOKUP($D227,'Modelling New'!$D:$D,'Modelling New'!$AL:$AL),"")</f>
        <v>0.05</v>
      </c>
      <c r="AR227" s="276">
        <f>IFERROR(_xlfn.XLOOKUP($D227,'Modelling New'!$D:$D,'Modelling New'!$N:$N),"")</f>
        <v>70.2</v>
      </c>
      <c r="AS227" s="276"/>
    </row>
    <row r="228" spans="1:45">
      <c r="A228" s="165">
        <f t="shared" si="19"/>
        <v>45971</v>
      </c>
      <c r="B228" s="166">
        <f>YEAR(Table13[[#This Row],[Date]])+IF(MONTH(Table13[[#This Row],[Date]])&gt;=4,1,0)</f>
        <v>2026</v>
      </c>
      <c r="C228" s="167">
        <f>YEAR(Table13[[#This Row],[Date]])</f>
        <v>2025</v>
      </c>
      <c r="D228" s="168">
        <f>Table13[[#This Row],[Date]]-DAY(Table13[[#This Row],[Date]])+1</f>
        <v>45962</v>
      </c>
      <c r="E228" s="167">
        <f t="shared" si="16"/>
        <v>30</v>
      </c>
      <c r="F228" s="169"/>
      <c r="G228" s="170"/>
      <c r="H228" s="170"/>
      <c r="I228" s="170"/>
      <c r="J228" s="170"/>
      <c r="K228" s="171"/>
      <c r="L228" s="170"/>
      <c r="M228" s="170" t="str">
        <f>IFERROR(_xlfn.XLOOKUP($A228,Input_Raw!$A:$A,Input_Raw!BG:BG),"")</f>
        <v/>
      </c>
      <c r="N228" s="170" t="str">
        <f>IFERROR(_xlfn.XLOOKUP($A228,Input_Raw!$A:$A,Input_Raw!BH:BH),"")</f>
        <v/>
      </c>
      <c r="O228" s="173" t="str">
        <f t="shared" si="17"/>
        <v/>
      </c>
      <c r="P228" s="173" t="str">
        <f>IFERROR(1-SUMIF(WTG_BD!$F:$F,$A228,WTG_BD!$AA:$AA)/($AA228+SUMIF(WTG_BD!$F:$F,$A228,WTG_BD!$AA:$AA)),"")</f>
        <v/>
      </c>
      <c r="Q228" s="173" t="str">
        <f>IFERROR(1-SUMIF(IGA_BD!$F:$F,$A228,IGA_BD!$X:$X)/($AA228+SUMIF(IGA_BD!$F:$F,$A228,IGA_BD!$X:$X)),"")</f>
        <v/>
      </c>
      <c r="R228" s="173" t="str">
        <f>IFERROR(1-SUMIF(Grid_BD!$F:$F,$A228,Grid_BD!$Y:$Y)/($AA228+SUMIF(Grid_BD!$F:$F,$A228,Grid_BD!$Y:$Y)),"")</f>
        <v/>
      </c>
      <c r="S228" s="167"/>
      <c r="T228" s="172"/>
      <c r="U228" s="173"/>
      <c r="V228" s="167"/>
      <c r="W228" s="174" t="str">
        <f t="shared" si="18"/>
        <v/>
      </c>
      <c r="X228" s="167" t="str">
        <f>IFERROR(_xlfn.XLOOKUP($A228,Input_Raw!$A:$A,Input_Raw!$BF:$BF),"")</f>
        <v/>
      </c>
      <c r="Y228" s="167" t="str">
        <f>IFERROR(_xlfn.XLOOKUP($A228,Input_Raw!$A:$A,Input_Raw!BJ:BJ),"")</f>
        <v/>
      </c>
      <c r="Z228" s="167" t="str">
        <f>IFERROR(_xlfn.XLOOKUP($A228,Input_Raw!$A:$A,Input_Raw!BK:BK),"")</f>
        <v/>
      </c>
      <c r="AA228" s="167" t="str">
        <f>IFERROR(_xlfn.XLOOKUP($A228,Input_Raw!$A:$A,Input_Raw!BL:BL),"")</f>
        <v/>
      </c>
      <c r="AB228" s="167" t="str">
        <f>IFERROR(_xlfn.XLOOKUP($A228,Input_Raw!$A:$A,Input_Raw!$BO:$BO),"")</f>
        <v/>
      </c>
      <c r="AC228" s="176">
        <f>IFERROR(_xlfn.XLOOKUP($D228,'Modelling New'!$D:$D,'Modelling New'!$J:$J),"")</f>
        <v>8.33</v>
      </c>
      <c r="AD228" s="166">
        <f>IFERROR(_xlfn.XLOOKUP($D228,'Modelling New'!$D:$D,'Modelling New'!$T:$T)*1000,"")</f>
        <v>405674.73399014788</v>
      </c>
      <c r="AE228" s="174"/>
      <c r="AF228" s="174">
        <f>IFERROR(_xlfn.XLOOKUP($D228,'Modelling New'!$D:$D,'Modelling New'!$W:$W),"")</f>
        <v>0.24078509852216753</v>
      </c>
      <c r="AG228" s="174">
        <f>IFERROR(_xlfn.XLOOKUP($D228,'Modelling New'!$D:$D,'Modelling New'!$AE:$AE),"")</f>
        <v>0.96029999999999993</v>
      </c>
      <c r="AH228" s="174">
        <f>IFERROR(_xlfn.XLOOKUP($D228,'Modelling New'!$D:$D,'Modelling New'!$AF:$AF),"")</f>
        <v>0.995</v>
      </c>
      <c r="AI228" s="177" t="str">
        <f>IFERROR(_xlfn.XLOOKUP($A228,Input_Raw!$A:$A,Input_Raw!$BQ:$BQ),"")</f>
        <v/>
      </c>
      <c r="AJ228" s="167"/>
      <c r="AK228" s="167"/>
      <c r="AL228" s="167"/>
      <c r="AM228" s="167"/>
      <c r="AN228" s="175" t="str">
        <f>IFERROR(_xlfn.XLOOKUP($A228,Input_Raw!$A:$A,Input_Raw!$BN:$BN),"")</f>
        <v/>
      </c>
      <c r="AO228" s="174" t="str">
        <f>IFERROR((_xlfn.XLOOKUP($A228,'WTG Reactive Power'!$A:$A,'WTG Reactive Power'!$AE:$AE))/Table13[[#This Row],[Gen_Exp (kWh)]],"")</f>
        <v/>
      </c>
      <c r="AP228" s="174">
        <f>IFERROR(_xlfn.XLOOKUP($D228,'Modelling New'!$D:$D,'Modelling New'!$AK:$AK),"")</f>
        <v>0.05</v>
      </c>
      <c r="AQ228" s="174">
        <f>IFERROR(_xlfn.XLOOKUP($D228,'Modelling New'!$D:$D,'Modelling New'!$AL:$AL),"")</f>
        <v>0.05</v>
      </c>
      <c r="AR228" s="276">
        <f>IFERROR(_xlfn.XLOOKUP($D228,'Modelling New'!$D:$D,'Modelling New'!$N:$N),"")</f>
        <v>70.2</v>
      </c>
      <c r="AS228" s="276"/>
    </row>
    <row r="229" spans="1:45">
      <c r="A229" s="165">
        <f t="shared" si="19"/>
        <v>45972</v>
      </c>
      <c r="B229" s="166">
        <f>YEAR(Table13[[#This Row],[Date]])+IF(MONTH(Table13[[#This Row],[Date]])&gt;=4,1,0)</f>
        <v>2026</v>
      </c>
      <c r="C229" s="167">
        <f>YEAR(Table13[[#This Row],[Date]])</f>
        <v>2025</v>
      </c>
      <c r="D229" s="168">
        <f>Table13[[#This Row],[Date]]-DAY(Table13[[#This Row],[Date]])+1</f>
        <v>45962</v>
      </c>
      <c r="E229" s="167">
        <f t="shared" si="16"/>
        <v>30</v>
      </c>
      <c r="F229" s="169"/>
      <c r="G229" s="176"/>
      <c r="H229" s="176"/>
      <c r="I229" s="176"/>
      <c r="J229" s="176"/>
      <c r="K229" s="171"/>
      <c r="L229" s="170"/>
      <c r="M229" s="170" t="str">
        <f>IFERROR(_xlfn.XLOOKUP($A229,Input_Raw!$A:$A,Input_Raw!BG:BG),"")</f>
        <v/>
      </c>
      <c r="N229" s="170" t="str">
        <f>IFERROR(_xlfn.XLOOKUP($A229,Input_Raw!$A:$A,Input_Raw!BH:BH),"")</f>
        <v/>
      </c>
      <c r="O229" s="173" t="str">
        <f t="shared" si="17"/>
        <v/>
      </c>
      <c r="P229" s="173" t="str">
        <f>IFERROR(1-SUMIF(WTG_BD!$F:$F,$A229,WTG_BD!$AA:$AA)/($AA229+SUMIF(WTG_BD!$F:$F,$A229,WTG_BD!$AA:$AA)),"")</f>
        <v/>
      </c>
      <c r="Q229" s="173" t="str">
        <f>IFERROR(1-SUMIF(IGA_BD!$F:$F,$A229,IGA_BD!$X:$X)/($AA229+SUMIF(IGA_BD!$F:$F,$A229,IGA_BD!$X:$X)),"")</f>
        <v/>
      </c>
      <c r="R229" s="173" t="str">
        <f>IFERROR(1-SUMIF(Grid_BD!$F:$F,$A229,Grid_BD!$Y:$Y)/($AA229+SUMIF(Grid_BD!$F:$F,$A229,Grid_BD!$Y:$Y)),"")</f>
        <v/>
      </c>
      <c r="S229" s="167"/>
      <c r="T229" s="172"/>
      <c r="U229" s="173"/>
      <c r="V229" s="167"/>
      <c r="W229" s="174" t="str">
        <f t="shared" si="18"/>
        <v/>
      </c>
      <c r="X229" s="167" t="str">
        <f>IFERROR(_xlfn.XLOOKUP($A229,Input_Raw!$A:$A,Input_Raw!$BF:$BF),"")</f>
        <v/>
      </c>
      <c r="Y229" s="167" t="str">
        <f>IFERROR(_xlfn.XLOOKUP($A229,Input_Raw!$A:$A,Input_Raw!BJ:BJ),"")</f>
        <v/>
      </c>
      <c r="Z229" s="167" t="str">
        <f>IFERROR(_xlfn.XLOOKUP($A229,Input_Raw!$A:$A,Input_Raw!BK:BK),"")</f>
        <v/>
      </c>
      <c r="AA229" s="167" t="str">
        <f>IFERROR(_xlfn.XLOOKUP($A229,Input_Raw!$A:$A,Input_Raw!BL:BL),"")</f>
        <v/>
      </c>
      <c r="AB229" s="167" t="str">
        <f>IFERROR(_xlfn.XLOOKUP($A229,Input_Raw!$A:$A,Input_Raw!$BO:$BO),"")</f>
        <v/>
      </c>
      <c r="AC229" s="176">
        <f>IFERROR(_xlfn.XLOOKUP($D229,'Modelling New'!$D:$D,'Modelling New'!$J:$J),"")</f>
        <v>8.33</v>
      </c>
      <c r="AD229" s="166">
        <f>IFERROR(_xlfn.XLOOKUP($D229,'Modelling New'!$D:$D,'Modelling New'!$T:$T)*1000,"")</f>
        <v>405674.73399014788</v>
      </c>
      <c r="AE229" s="174"/>
      <c r="AF229" s="174">
        <f>IFERROR(_xlfn.XLOOKUP($D229,'Modelling New'!$D:$D,'Modelling New'!$W:$W),"")</f>
        <v>0.24078509852216753</v>
      </c>
      <c r="AG229" s="174">
        <f>IFERROR(_xlfn.XLOOKUP($D229,'Modelling New'!$D:$D,'Modelling New'!$AE:$AE),"")</f>
        <v>0.96029999999999993</v>
      </c>
      <c r="AH229" s="174">
        <f>IFERROR(_xlfn.XLOOKUP($D229,'Modelling New'!$D:$D,'Modelling New'!$AF:$AF),"")</f>
        <v>0.995</v>
      </c>
      <c r="AI229" s="177" t="str">
        <f>IFERROR(_xlfn.XLOOKUP($A229,Input_Raw!$A:$A,Input_Raw!$BQ:$BQ),"")</f>
        <v/>
      </c>
      <c r="AJ229" s="167"/>
      <c r="AK229" s="167"/>
      <c r="AL229" s="167"/>
      <c r="AM229" s="167"/>
      <c r="AN229" s="175" t="str">
        <f>IFERROR(_xlfn.XLOOKUP($A229,Input_Raw!$A:$A,Input_Raw!$BN:$BN),"")</f>
        <v/>
      </c>
      <c r="AO229" s="174" t="str">
        <f>IFERROR((_xlfn.XLOOKUP($A229,'WTG Reactive Power'!$A:$A,'WTG Reactive Power'!$AE:$AE))/Table13[[#This Row],[Gen_Exp (kWh)]],"")</f>
        <v/>
      </c>
      <c r="AP229" s="174">
        <f>IFERROR(_xlfn.XLOOKUP($D229,'Modelling New'!$D:$D,'Modelling New'!$AK:$AK),"")</f>
        <v>0.05</v>
      </c>
      <c r="AQ229" s="174">
        <f>IFERROR(_xlfn.XLOOKUP($D229,'Modelling New'!$D:$D,'Modelling New'!$AL:$AL),"")</f>
        <v>0.05</v>
      </c>
      <c r="AR229" s="276">
        <f>IFERROR(_xlfn.XLOOKUP($D229,'Modelling New'!$D:$D,'Modelling New'!$N:$N),"")</f>
        <v>70.2</v>
      </c>
      <c r="AS229" s="276"/>
    </row>
    <row r="230" spans="1:45">
      <c r="A230" s="165">
        <f t="shared" si="19"/>
        <v>45973</v>
      </c>
      <c r="B230" s="166">
        <f>YEAR(Table13[[#This Row],[Date]])+IF(MONTH(Table13[[#This Row],[Date]])&gt;=4,1,0)</f>
        <v>2026</v>
      </c>
      <c r="C230" s="167">
        <f>YEAR(Table13[[#This Row],[Date]])</f>
        <v>2025</v>
      </c>
      <c r="D230" s="168">
        <f>Table13[[#This Row],[Date]]-DAY(Table13[[#This Row],[Date]])+1</f>
        <v>45962</v>
      </c>
      <c r="E230" s="167">
        <f t="shared" si="16"/>
        <v>30</v>
      </c>
      <c r="F230" s="169"/>
      <c r="G230" s="170"/>
      <c r="H230" s="170"/>
      <c r="I230" s="170"/>
      <c r="J230" s="170"/>
      <c r="K230" s="171"/>
      <c r="L230" s="170"/>
      <c r="M230" s="170" t="str">
        <f>IFERROR(_xlfn.XLOOKUP($A230,Input_Raw!$A:$A,Input_Raw!BG:BG),"")</f>
        <v/>
      </c>
      <c r="N230" s="170" t="str">
        <f>IFERROR(_xlfn.XLOOKUP($A230,Input_Raw!$A:$A,Input_Raw!BH:BH),"")</f>
        <v/>
      </c>
      <c r="O230" s="173" t="str">
        <f t="shared" si="17"/>
        <v/>
      </c>
      <c r="P230" s="173" t="str">
        <f>IFERROR(1-SUMIF(WTG_BD!$F:$F,$A230,WTG_BD!$AA:$AA)/($AA230+SUMIF(WTG_BD!$F:$F,$A230,WTG_BD!$AA:$AA)),"")</f>
        <v/>
      </c>
      <c r="Q230" s="173" t="str">
        <f>IFERROR(1-SUMIF(IGA_BD!$F:$F,$A230,IGA_BD!$X:$X)/($AA230+SUMIF(IGA_BD!$F:$F,$A230,IGA_BD!$X:$X)),"")</f>
        <v/>
      </c>
      <c r="R230" s="173" t="str">
        <f>IFERROR(1-SUMIF(Grid_BD!$F:$F,$A230,Grid_BD!$Y:$Y)/($AA230+SUMIF(Grid_BD!$F:$F,$A230,Grid_BD!$Y:$Y)),"")</f>
        <v/>
      </c>
      <c r="S230" s="167"/>
      <c r="T230" s="172"/>
      <c r="U230" s="173"/>
      <c r="V230" s="167"/>
      <c r="W230" s="174" t="str">
        <f t="shared" si="18"/>
        <v/>
      </c>
      <c r="X230" s="167" t="str">
        <f>IFERROR(_xlfn.XLOOKUP($A230,Input_Raw!$A:$A,Input_Raw!$BF:$BF),"")</f>
        <v/>
      </c>
      <c r="Y230" s="167" t="str">
        <f>IFERROR(_xlfn.XLOOKUP($A230,Input_Raw!$A:$A,Input_Raw!BJ:BJ),"")</f>
        <v/>
      </c>
      <c r="Z230" s="167" t="str">
        <f>IFERROR(_xlfn.XLOOKUP($A230,Input_Raw!$A:$A,Input_Raw!BK:BK),"")</f>
        <v/>
      </c>
      <c r="AA230" s="167" t="str">
        <f>IFERROR(_xlfn.XLOOKUP($A230,Input_Raw!$A:$A,Input_Raw!BL:BL),"")</f>
        <v/>
      </c>
      <c r="AB230" s="167" t="str">
        <f>IFERROR(_xlfn.XLOOKUP($A230,Input_Raw!$A:$A,Input_Raw!$BO:$BO),"")</f>
        <v/>
      </c>
      <c r="AC230" s="176">
        <f>IFERROR(_xlfn.XLOOKUP($D230,'Modelling New'!$D:$D,'Modelling New'!$J:$J),"")</f>
        <v>8.33</v>
      </c>
      <c r="AD230" s="166">
        <f>IFERROR(_xlfn.XLOOKUP($D230,'Modelling New'!$D:$D,'Modelling New'!$T:$T)*1000,"")</f>
        <v>405674.73399014788</v>
      </c>
      <c r="AE230" s="174"/>
      <c r="AF230" s="174">
        <f>IFERROR(_xlfn.XLOOKUP($D230,'Modelling New'!$D:$D,'Modelling New'!$W:$W),"")</f>
        <v>0.24078509852216753</v>
      </c>
      <c r="AG230" s="174">
        <f>IFERROR(_xlfn.XLOOKUP($D230,'Modelling New'!$D:$D,'Modelling New'!$AE:$AE),"")</f>
        <v>0.96029999999999993</v>
      </c>
      <c r="AH230" s="174">
        <f>IFERROR(_xlfn.XLOOKUP($D230,'Modelling New'!$D:$D,'Modelling New'!$AF:$AF),"")</f>
        <v>0.995</v>
      </c>
      <c r="AI230" s="177" t="str">
        <f>IFERROR(_xlfn.XLOOKUP($A230,Input_Raw!$A:$A,Input_Raw!$BQ:$BQ),"")</f>
        <v/>
      </c>
      <c r="AJ230" s="167"/>
      <c r="AK230" s="167"/>
      <c r="AL230" s="167"/>
      <c r="AM230" s="167"/>
      <c r="AN230" s="175" t="str">
        <f>IFERROR(_xlfn.XLOOKUP($A230,Input_Raw!$A:$A,Input_Raw!$BN:$BN),"")</f>
        <v/>
      </c>
      <c r="AO230" s="174" t="str">
        <f>IFERROR((_xlfn.XLOOKUP($A230,'WTG Reactive Power'!$A:$A,'WTG Reactive Power'!$AE:$AE))/Table13[[#This Row],[Gen_Exp (kWh)]],"")</f>
        <v/>
      </c>
      <c r="AP230" s="174">
        <f>IFERROR(_xlfn.XLOOKUP($D230,'Modelling New'!$D:$D,'Modelling New'!$AK:$AK),"")</f>
        <v>0.05</v>
      </c>
      <c r="AQ230" s="174">
        <f>IFERROR(_xlfn.XLOOKUP($D230,'Modelling New'!$D:$D,'Modelling New'!$AL:$AL),"")</f>
        <v>0.05</v>
      </c>
      <c r="AR230" s="276">
        <f>IFERROR(_xlfn.XLOOKUP($D230,'Modelling New'!$D:$D,'Modelling New'!$N:$N),"")</f>
        <v>70.2</v>
      </c>
      <c r="AS230" s="276"/>
    </row>
    <row r="231" spans="1:45">
      <c r="A231" s="165">
        <f t="shared" si="19"/>
        <v>45974</v>
      </c>
      <c r="B231" s="166">
        <f>YEAR(Table13[[#This Row],[Date]])+IF(MONTH(Table13[[#This Row],[Date]])&gt;=4,1,0)</f>
        <v>2026</v>
      </c>
      <c r="C231" s="167">
        <f>YEAR(Table13[[#This Row],[Date]])</f>
        <v>2025</v>
      </c>
      <c r="D231" s="168">
        <f>Table13[[#This Row],[Date]]-DAY(Table13[[#This Row],[Date]])+1</f>
        <v>45962</v>
      </c>
      <c r="E231" s="167">
        <f t="shared" si="16"/>
        <v>30</v>
      </c>
      <c r="F231" s="169"/>
      <c r="G231" s="176"/>
      <c r="H231" s="176"/>
      <c r="I231" s="176"/>
      <c r="J231" s="176"/>
      <c r="K231" s="171"/>
      <c r="L231" s="170"/>
      <c r="M231" s="170" t="str">
        <f>IFERROR(_xlfn.XLOOKUP($A231,Input_Raw!$A:$A,Input_Raw!BG:BG),"")</f>
        <v/>
      </c>
      <c r="N231" s="170" t="str">
        <f>IFERROR(_xlfn.XLOOKUP($A231,Input_Raw!$A:$A,Input_Raw!BH:BH),"")</f>
        <v/>
      </c>
      <c r="O231" s="173" t="str">
        <f t="shared" si="17"/>
        <v/>
      </c>
      <c r="P231" s="173" t="str">
        <f>IFERROR(1-SUMIF(WTG_BD!$F:$F,$A231,WTG_BD!$AA:$AA)/($AA231+SUMIF(WTG_BD!$F:$F,$A231,WTG_BD!$AA:$AA)),"")</f>
        <v/>
      </c>
      <c r="Q231" s="173" t="str">
        <f>IFERROR(1-SUMIF(IGA_BD!$F:$F,$A231,IGA_BD!$X:$X)/($AA231+SUMIF(IGA_BD!$F:$F,$A231,IGA_BD!$X:$X)),"")</f>
        <v/>
      </c>
      <c r="R231" s="173" t="str">
        <f>IFERROR(1-SUMIF(Grid_BD!$F:$F,$A231,Grid_BD!$Y:$Y)/($AA231+SUMIF(Grid_BD!$F:$F,$A231,Grid_BD!$Y:$Y)),"")</f>
        <v/>
      </c>
      <c r="S231" s="167"/>
      <c r="T231" s="172"/>
      <c r="U231" s="173"/>
      <c r="V231" s="167"/>
      <c r="W231" s="174" t="str">
        <f t="shared" si="18"/>
        <v/>
      </c>
      <c r="X231" s="167" t="str">
        <f>IFERROR(_xlfn.XLOOKUP($A231,Input_Raw!$A:$A,Input_Raw!$BF:$BF),"")</f>
        <v/>
      </c>
      <c r="Y231" s="167" t="str">
        <f>IFERROR(_xlfn.XLOOKUP($A231,Input_Raw!$A:$A,Input_Raw!BJ:BJ),"")</f>
        <v/>
      </c>
      <c r="Z231" s="167" t="str">
        <f>IFERROR(_xlfn.XLOOKUP($A231,Input_Raw!$A:$A,Input_Raw!BK:BK),"")</f>
        <v/>
      </c>
      <c r="AA231" s="167" t="str">
        <f>IFERROR(_xlfn.XLOOKUP($A231,Input_Raw!$A:$A,Input_Raw!BL:BL),"")</f>
        <v/>
      </c>
      <c r="AB231" s="167" t="str">
        <f>IFERROR(_xlfn.XLOOKUP($A231,Input_Raw!$A:$A,Input_Raw!$BO:$BO),"")</f>
        <v/>
      </c>
      <c r="AC231" s="176">
        <f>IFERROR(_xlfn.XLOOKUP($D231,'Modelling New'!$D:$D,'Modelling New'!$J:$J),"")</f>
        <v>8.33</v>
      </c>
      <c r="AD231" s="166">
        <f>IFERROR(_xlfn.XLOOKUP($D231,'Modelling New'!$D:$D,'Modelling New'!$T:$T)*1000,"")</f>
        <v>405674.73399014788</v>
      </c>
      <c r="AE231" s="174"/>
      <c r="AF231" s="174">
        <f>IFERROR(_xlfn.XLOOKUP($D231,'Modelling New'!$D:$D,'Modelling New'!$W:$W),"")</f>
        <v>0.24078509852216753</v>
      </c>
      <c r="AG231" s="174">
        <f>IFERROR(_xlfn.XLOOKUP($D231,'Modelling New'!$D:$D,'Modelling New'!$AE:$AE),"")</f>
        <v>0.96029999999999993</v>
      </c>
      <c r="AH231" s="174">
        <f>IFERROR(_xlfn.XLOOKUP($D231,'Modelling New'!$D:$D,'Modelling New'!$AF:$AF),"")</f>
        <v>0.995</v>
      </c>
      <c r="AI231" s="177" t="str">
        <f>IFERROR(_xlfn.XLOOKUP($A231,Input_Raw!$A:$A,Input_Raw!$BQ:$BQ),"")</f>
        <v/>
      </c>
      <c r="AJ231" s="167"/>
      <c r="AK231" s="167"/>
      <c r="AL231" s="167"/>
      <c r="AM231" s="167"/>
      <c r="AN231" s="175" t="str">
        <f>IFERROR(_xlfn.XLOOKUP($A231,Input_Raw!$A:$A,Input_Raw!$BN:$BN),"")</f>
        <v/>
      </c>
      <c r="AO231" s="174" t="str">
        <f>IFERROR((_xlfn.XLOOKUP($A231,'WTG Reactive Power'!$A:$A,'WTG Reactive Power'!$AE:$AE))/Table13[[#This Row],[Gen_Exp (kWh)]],"")</f>
        <v/>
      </c>
      <c r="AP231" s="174">
        <f>IFERROR(_xlfn.XLOOKUP($D231,'Modelling New'!$D:$D,'Modelling New'!$AK:$AK),"")</f>
        <v>0.05</v>
      </c>
      <c r="AQ231" s="174">
        <f>IFERROR(_xlfn.XLOOKUP($D231,'Modelling New'!$D:$D,'Modelling New'!$AL:$AL),"")</f>
        <v>0.05</v>
      </c>
      <c r="AR231" s="276">
        <f>IFERROR(_xlfn.XLOOKUP($D231,'Modelling New'!$D:$D,'Modelling New'!$N:$N),"")</f>
        <v>70.2</v>
      </c>
      <c r="AS231" s="276"/>
    </row>
    <row r="232" spans="1:45">
      <c r="A232" s="165">
        <f t="shared" si="19"/>
        <v>45975</v>
      </c>
      <c r="B232" s="166">
        <f>YEAR(Table13[[#This Row],[Date]])+IF(MONTH(Table13[[#This Row],[Date]])&gt;=4,1,0)</f>
        <v>2026</v>
      </c>
      <c r="C232" s="167">
        <f>YEAR(Table13[[#This Row],[Date]])</f>
        <v>2025</v>
      </c>
      <c r="D232" s="168">
        <f>Table13[[#This Row],[Date]]-DAY(Table13[[#This Row],[Date]])+1</f>
        <v>45962</v>
      </c>
      <c r="E232" s="167">
        <f t="shared" si="16"/>
        <v>30</v>
      </c>
      <c r="F232" s="169"/>
      <c r="G232" s="170"/>
      <c r="H232" s="170"/>
      <c r="I232" s="170"/>
      <c r="J232" s="170"/>
      <c r="K232" s="171"/>
      <c r="L232" s="170"/>
      <c r="M232" s="170" t="str">
        <f>IFERROR(_xlfn.XLOOKUP($A232,Input_Raw!$A:$A,Input_Raw!BG:BG),"")</f>
        <v/>
      </c>
      <c r="N232" s="170" t="str">
        <f>IFERROR(_xlfn.XLOOKUP($A232,Input_Raw!$A:$A,Input_Raw!BH:BH),"")</f>
        <v/>
      </c>
      <c r="O232" s="173" t="str">
        <f t="shared" si="17"/>
        <v/>
      </c>
      <c r="P232" s="173" t="str">
        <f>IFERROR(1-SUMIF(WTG_BD!$F:$F,$A232,WTG_BD!$AA:$AA)/($AA232+SUMIF(WTG_BD!$F:$F,$A232,WTG_BD!$AA:$AA)),"")</f>
        <v/>
      </c>
      <c r="Q232" s="173" t="str">
        <f>IFERROR(1-SUMIF(IGA_BD!$F:$F,$A232,IGA_BD!$X:$X)/($AA232+SUMIF(IGA_BD!$F:$F,$A232,IGA_BD!$X:$X)),"")</f>
        <v/>
      </c>
      <c r="R232" s="173" t="str">
        <f>IFERROR(1-SUMIF(Grid_BD!$F:$F,$A232,Grid_BD!$Y:$Y)/($AA232+SUMIF(Grid_BD!$F:$F,$A232,Grid_BD!$Y:$Y)),"")</f>
        <v/>
      </c>
      <c r="S232" s="167"/>
      <c r="T232" s="172"/>
      <c r="U232" s="173"/>
      <c r="V232" s="167"/>
      <c r="W232" s="174" t="str">
        <f t="shared" si="18"/>
        <v/>
      </c>
      <c r="X232" s="167" t="str">
        <f>IFERROR(_xlfn.XLOOKUP($A232,Input_Raw!$A:$A,Input_Raw!$BF:$BF),"")</f>
        <v/>
      </c>
      <c r="Y232" s="167" t="str">
        <f>IFERROR(_xlfn.XLOOKUP($A232,Input_Raw!$A:$A,Input_Raw!BJ:BJ),"")</f>
        <v/>
      </c>
      <c r="Z232" s="167" t="str">
        <f>IFERROR(_xlfn.XLOOKUP($A232,Input_Raw!$A:$A,Input_Raw!BK:BK),"")</f>
        <v/>
      </c>
      <c r="AA232" s="167" t="str">
        <f>IFERROR(_xlfn.XLOOKUP($A232,Input_Raw!$A:$A,Input_Raw!BL:BL),"")</f>
        <v/>
      </c>
      <c r="AB232" s="167" t="str">
        <f>IFERROR(_xlfn.XLOOKUP($A232,Input_Raw!$A:$A,Input_Raw!$BO:$BO),"")</f>
        <v/>
      </c>
      <c r="AC232" s="176">
        <f>IFERROR(_xlfn.XLOOKUP($D232,'Modelling New'!$D:$D,'Modelling New'!$J:$J),"")</f>
        <v>8.33</v>
      </c>
      <c r="AD232" s="166">
        <f>IFERROR(_xlfn.XLOOKUP($D232,'Modelling New'!$D:$D,'Modelling New'!$T:$T)*1000,"")</f>
        <v>405674.73399014788</v>
      </c>
      <c r="AE232" s="174"/>
      <c r="AF232" s="174">
        <f>IFERROR(_xlfn.XLOOKUP($D232,'Modelling New'!$D:$D,'Modelling New'!$W:$W),"")</f>
        <v>0.24078509852216753</v>
      </c>
      <c r="AG232" s="174">
        <f>IFERROR(_xlfn.XLOOKUP($D232,'Modelling New'!$D:$D,'Modelling New'!$AE:$AE),"")</f>
        <v>0.96029999999999993</v>
      </c>
      <c r="AH232" s="174">
        <f>IFERROR(_xlfn.XLOOKUP($D232,'Modelling New'!$D:$D,'Modelling New'!$AF:$AF),"")</f>
        <v>0.995</v>
      </c>
      <c r="AI232" s="177" t="str">
        <f>IFERROR(_xlfn.XLOOKUP($A232,Input_Raw!$A:$A,Input_Raw!$BQ:$BQ),"")</f>
        <v/>
      </c>
      <c r="AJ232" s="167"/>
      <c r="AK232" s="167"/>
      <c r="AL232" s="167"/>
      <c r="AM232" s="167"/>
      <c r="AN232" s="175" t="str">
        <f>IFERROR(_xlfn.XLOOKUP($A232,Input_Raw!$A:$A,Input_Raw!$BN:$BN),"")</f>
        <v/>
      </c>
      <c r="AO232" s="174" t="str">
        <f>IFERROR((_xlfn.XLOOKUP($A232,'WTG Reactive Power'!$A:$A,'WTG Reactive Power'!$AE:$AE))/Table13[[#This Row],[Gen_Exp (kWh)]],"")</f>
        <v/>
      </c>
      <c r="AP232" s="174">
        <f>IFERROR(_xlfn.XLOOKUP($D232,'Modelling New'!$D:$D,'Modelling New'!$AK:$AK),"")</f>
        <v>0.05</v>
      </c>
      <c r="AQ232" s="174">
        <f>IFERROR(_xlfn.XLOOKUP($D232,'Modelling New'!$D:$D,'Modelling New'!$AL:$AL),"")</f>
        <v>0.05</v>
      </c>
      <c r="AR232" s="276">
        <f>IFERROR(_xlfn.XLOOKUP($D232,'Modelling New'!$D:$D,'Modelling New'!$N:$N),"")</f>
        <v>70.2</v>
      </c>
      <c r="AS232" s="276"/>
    </row>
    <row r="233" spans="1:45">
      <c r="A233" s="165">
        <f t="shared" si="19"/>
        <v>45976</v>
      </c>
      <c r="B233" s="166">
        <f>YEAR(Table13[[#This Row],[Date]])+IF(MONTH(Table13[[#This Row],[Date]])&gt;=4,1,0)</f>
        <v>2026</v>
      </c>
      <c r="C233" s="167">
        <f>YEAR(Table13[[#This Row],[Date]])</f>
        <v>2025</v>
      </c>
      <c r="D233" s="168">
        <f>Table13[[#This Row],[Date]]-DAY(Table13[[#This Row],[Date]])+1</f>
        <v>45962</v>
      </c>
      <c r="E233" s="167">
        <f t="shared" si="16"/>
        <v>30</v>
      </c>
      <c r="F233" s="169"/>
      <c r="G233" s="176"/>
      <c r="H233" s="176"/>
      <c r="I233" s="176"/>
      <c r="J233" s="176"/>
      <c r="K233" s="171"/>
      <c r="L233" s="170"/>
      <c r="M233" s="170" t="str">
        <f>IFERROR(_xlfn.XLOOKUP($A233,Input_Raw!$A:$A,Input_Raw!BG:BG),"")</f>
        <v/>
      </c>
      <c r="N233" s="170" t="str">
        <f>IFERROR(_xlfn.XLOOKUP($A233,Input_Raw!$A:$A,Input_Raw!BH:BH),"")</f>
        <v/>
      </c>
      <c r="O233" s="173" t="str">
        <f t="shared" si="17"/>
        <v/>
      </c>
      <c r="P233" s="173" t="str">
        <f>IFERROR(1-SUMIF(WTG_BD!$F:$F,$A233,WTG_BD!$AA:$AA)/($AA233+SUMIF(WTG_BD!$F:$F,$A233,WTG_BD!$AA:$AA)),"")</f>
        <v/>
      </c>
      <c r="Q233" s="173" t="str">
        <f>IFERROR(1-SUMIF(IGA_BD!$F:$F,$A233,IGA_BD!$X:$X)/($AA233+SUMIF(IGA_BD!$F:$F,$A233,IGA_BD!$X:$X)),"")</f>
        <v/>
      </c>
      <c r="R233" s="173" t="str">
        <f>IFERROR(1-SUMIF(Grid_BD!$F:$F,$A233,Grid_BD!$Y:$Y)/($AA233+SUMIF(Grid_BD!$F:$F,$A233,Grid_BD!$Y:$Y)),"")</f>
        <v/>
      </c>
      <c r="S233" s="167"/>
      <c r="T233" s="172"/>
      <c r="U233" s="173"/>
      <c r="V233" s="167"/>
      <c r="W233" s="174" t="str">
        <f t="shared" si="18"/>
        <v/>
      </c>
      <c r="X233" s="167" t="str">
        <f>IFERROR(_xlfn.XLOOKUP($A233,Input_Raw!$A:$A,Input_Raw!$BF:$BF),"")</f>
        <v/>
      </c>
      <c r="Y233" s="167" t="str">
        <f>IFERROR(_xlfn.XLOOKUP($A233,Input_Raw!$A:$A,Input_Raw!BJ:BJ),"")</f>
        <v/>
      </c>
      <c r="Z233" s="167" t="str">
        <f>IFERROR(_xlfn.XLOOKUP($A233,Input_Raw!$A:$A,Input_Raw!BK:BK),"")</f>
        <v/>
      </c>
      <c r="AA233" s="167" t="str">
        <f>IFERROR(_xlfn.XLOOKUP($A233,Input_Raw!$A:$A,Input_Raw!BL:BL),"")</f>
        <v/>
      </c>
      <c r="AB233" s="167" t="str">
        <f>IFERROR(_xlfn.XLOOKUP($A233,Input_Raw!$A:$A,Input_Raw!$BO:$BO),"")</f>
        <v/>
      </c>
      <c r="AC233" s="176">
        <f>IFERROR(_xlfn.XLOOKUP($D233,'Modelling New'!$D:$D,'Modelling New'!$J:$J),"")</f>
        <v>8.33</v>
      </c>
      <c r="AD233" s="166">
        <f>IFERROR(_xlfn.XLOOKUP($D233,'Modelling New'!$D:$D,'Modelling New'!$T:$T)*1000,"")</f>
        <v>405674.73399014788</v>
      </c>
      <c r="AE233" s="174"/>
      <c r="AF233" s="174">
        <f>IFERROR(_xlfn.XLOOKUP($D233,'Modelling New'!$D:$D,'Modelling New'!$W:$W),"")</f>
        <v>0.24078509852216753</v>
      </c>
      <c r="AG233" s="174">
        <f>IFERROR(_xlfn.XLOOKUP($D233,'Modelling New'!$D:$D,'Modelling New'!$AE:$AE),"")</f>
        <v>0.96029999999999993</v>
      </c>
      <c r="AH233" s="174">
        <f>IFERROR(_xlfn.XLOOKUP($D233,'Modelling New'!$D:$D,'Modelling New'!$AF:$AF),"")</f>
        <v>0.995</v>
      </c>
      <c r="AI233" s="177" t="str">
        <f>IFERROR(_xlfn.XLOOKUP($A233,Input_Raw!$A:$A,Input_Raw!$BQ:$BQ),"")</f>
        <v/>
      </c>
      <c r="AJ233" s="167"/>
      <c r="AK233" s="167"/>
      <c r="AL233" s="167"/>
      <c r="AM233" s="167"/>
      <c r="AN233" s="175" t="str">
        <f>IFERROR(_xlfn.XLOOKUP($A233,Input_Raw!$A:$A,Input_Raw!$BN:$BN),"")</f>
        <v/>
      </c>
      <c r="AO233" s="174" t="str">
        <f>IFERROR((_xlfn.XLOOKUP($A233,'WTG Reactive Power'!$A:$A,'WTG Reactive Power'!$AE:$AE))/Table13[[#This Row],[Gen_Exp (kWh)]],"")</f>
        <v/>
      </c>
      <c r="AP233" s="174">
        <f>IFERROR(_xlfn.XLOOKUP($D233,'Modelling New'!$D:$D,'Modelling New'!$AK:$AK),"")</f>
        <v>0.05</v>
      </c>
      <c r="AQ233" s="174">
        <f>IFERROR(_xlfn.XLOOKUP($D233,'Modelling New'!$D:$D,'Modelling New'!$AL:$AL),"")</f>
        <v>0.05</v>
      </c>
      <c r="AR233" s="276">
        <f>IFERROR(_xlfn.XLOOKUP($D233,'Modelling New'!$D:$D,'Modelling New'!$N:$N),"")</f>
        <v>70.2</v>
      </c>
      <c r="AS233" s="276"/>
    </row>
    <row r="234" spans="1:45">
      <c r="A234" s="165">
        <f t="shared" si="19"/>
        <v>45977</v>
      </c>
      <c r="B234" s="166">
        <f>YEAR(Table13[[#This Row],[Date]])+IF(MONTH(Table13[[#This Row],[Date]])&gt;=4,1,0)</f>
        <v>2026</v>
      </c>
      <c r="C234" s="167">
        <f>YEAR(Table13[[#This Row],[Date]])</f>
        <v>2025</v>
      </c>
      <c r="D234" s="168">
        <f>Table13[[#This Row],[Date]]-DAY(Table13[[#This Row],[Date]])+1</f>
        <v>45962</v>
      </c>
      <c r="E234" s="167">
        <f t="shared" si="16"/>
        <v>30</v>
      </c>
      <c r="F234" s="169"/>
      <c r="G234" s="170"/>
      <c r="H234" s="170"/>
      <c r="I234" s="170"/>
      <c r="J234" s="170"/>
      <c r="K234" s="171"/>
      <c r="L234" s="170"/>
      <c r="M234" s="170" t="str">
        <f>IFERROR(_xlfn.XLOOKUP($A234,Input_Raw!$A:$A,Input_Raw!BG:BG),"")</f>
        <v/>
      </c>
      <c r="N234" s="170" t="str">
        <f>IFERROR(_xlfn.XLOOKUP($A234,Input_Raw!$A:$A,Input_Raw!BH:BH),"")</f>
        <v/>
      </c>
      <c r="O234" s="173" t="str">
        <f t="shared" si="17"/>
        <v/>
      </c>
      <c r="P234" s="173" t="str">
        <f>IFERROR(1-SUMIF(WTG_BD!$F:$F,$A234,WTG_BD!$AA:$AA)/($AA234+SUMIF(WTG_BD!$F:$F,$A234,WTG_BD!$AA:$AA)),"")</f>
        <v/>
      </c>
      <c r="Q234" s="173" t="str">
        <f>IFERROR(1-SUMIF(IGA_BD!$F:$F,$A234,IGA_BD!$X:$X)/($AA234+SUMIF(IGA_BD!$F:$F,$A234,IGA_BD!$X:$X)),"")</f>
        <v/>
      </c>
      <c r="R234" s="173" t="str">
        <f>IFERROR(1-SUMIF(Grid_BD!$F:$F,$A234,Grid_BD!$Y:$Y)/($AA234+SUMIF(Grid_BD!$F:$F,$A234,Grid_BD!$Y:$Y)),"")</f>
        <v/>
      </c>
      <c r="S234" s="167"/>
      <c r="T234" s="172"/>
      <c r="U234" s="173"/>
      <c r="V234" s="167"/>
      <c r="W234" s="174" t="str">
        <f t="shared" si="18"/>
        <v/>
      </c>
      <c r="X234" s="167" t="str">
        <f>IFERROR(_xlfn.XLOOKUP($A234,Input_Raw!$A:$A,Input_Raw!$BF:$BF),"")</f>
        <v/>
      </c>
      <c r="Y234" s="167" t="str">
        <f>IFERROR(_xlfn.XLOOKUP($A234,Input_Raw!$A:$A,Input_Raw!BJ:BJ),"")</f>
        <v/>
      </c>
      <c r="Z234" s="167" t="str">
        <f>IFERROR(_xlfn.XLOOKUP($A234,Input_Raw!$A:$A,Input_Raw!BK:BK),"")</f>
        <v/>
      </c>
      <c r="AA234" s="167" t="str">
        <f>IFERROR(_xlfn.XLOOKUP($A234,Input_Raw!$A:$A,Input_Raw!BL:BL),"")</f>
        <v/>
      </c>
      <c r="AB234" s="167" t="str">
        <f>IFERROR(_xlfn.XLOOKUP($A234,Input_Raw!$A:$A,Input_Raw!$BO:$BO),"")</f>
        <v/>
      </c>
      <c r="AC234" s="176">
        <f>IFERROR(_xlfn.XLOOKUP($D234,'Modelling New'!$D:$D,'Modelling New'!$J:$J),"")</f>
        <v>8.33</v>
      </c>
      <c r="AD234" s="166">
        <f>IFERROR(_xlfn.XLOOKUP($D234,'Modelling New'!$D:$D,'Modelling New'!$T:$T)*1000,"")</f>
        <v>405674.73399014788</v>
      </c>
      <c r="AE234" s="174"/>
      <c r="AF234" s="174">
        <f>IFERROR(_xlfn.XLOOKUP($D234,'Modelling New'!$D:$D,'Modelling New'!$W:$W),"")</f>
        <v>0.24078509852216753</v>
      </c>
      <c r="AG234" s="174">
        <f>IFERROR(_xlfn.XLOOKUP($D234,'Modelling New'!$D:$D,'Modelling New'!$AE:$AE),"")</f>
        <v>0.96029999999999993</v>
      </c>
      <c r="AH234" s="174">
        <f>IFERROR(_xlfn.XLOOKUP($D234,'Modelling New'!$D:$D,'Modelling New'!$AF:$AF),"")</f>
        <v>0.995</v>
      </c>
      <c r="AI234" s="177" t="str">
        <f>IFERROR(_xlfn.XLOOKUP($A234,Input_Raw!$A:$A,Input_Raw!$BQ:$BQ),"")</f>
        <v/>
      </c>
      <c r="AJ234" s="167"/>
      <c r="AK234" s="167"/>
      <c r="AL234" s="167"/>
      <c r="AM234" s="167"/>
      <c r="AN234" s="175" t="str">
        <f>IFERROR(_xlfn.XLOOKUP($A234,Input_Raw!$A:$A,Input_Raw!$BN:$BN),"")</f>
        <v/>
      </c>
      <c r="AO234" s="174" t="str">
        <f>IFERROR((_xlfn.XLOOKUP($A234,'WTG Reactive Power'!$A:$A,'WTG Reactive Power'!$AE:$AE))/Table13[[#This Row],[Gen_Exp (kWh)]],"")</f>
        <v/>
      </c>
      <c r="AP234" s="174">
        <f>IFERROR(_xlfn.XLOOKUP($D234,'Modelling New'!$D:$D,'Modelling New'!$AK:$AK),"")</f>
        <v>0.05</v>
      </c>
      <c r="AQ234" s="174">
        <f>IFERROR(_xlfn.XLOOKUP($D234,'Modelling New'!$D:$D,'Modelling New'!$AL:$AL),"")</f>
        <v>0.05</v>
      </c>
      <c r="AR234" s="276">
        <f>IFERROR(_xlfn.XLOOKUP($D234,'Modelling New'!$D:$D,'Modelling New'!$N:$N),"")</f>
        <v>70.2</v>
      </c>
      <c r="AS234" s="276"/>
    </row>
    <row r="235" spans="1:45">
      <c r="A235" s="165">
        <f t="shared" si="19"/>
        <v>45978</v>
      </c>
      <c r="B235" s="166">
        <f>YEAR(Table13[[#This Row],[Date]])+IF(MONTH(Table13[[#This Row],[Date]])&gt;=4,1,0)</f>
        <v>2026</v>
      </c>
      <c r="C235" s="167">
        <f>YEAR(Table13[[#This Row],[Date]])</f>
        <v>2025</v>
      </c>
      <c r="D235" s="168">
        <f>Table13[[#This Row],[Date]]-DAY(Table13[[#This Row],[Date]])+1</f>
        <v>45962</v>
      </c>
      <c r="E235" s="167">
        <f t="shared" si="16"/>
        <v>30</v>
      </c>
      <c r="F235" s="169"/>
      <c r="G235" s="176"/>
      <c r="H235" s="176"/>
      <c r="I235" s="176"/>
      <c r="J235" s="176"/>
      <c r="K235" s="171"/>
      <c r="L235" s="170"/>
      <c r="M235" s="170" t="str">
        <f>IFERROR(_xlfn.XLOOKUP($A235,Input_Raw!$A:$A,Input_Raw!BG:BG),"")</f>
        <v/>
      </c>
      <c r="N235" s="170" t="str">
        <f>IFERROR(_xlfn.XLOOKUP($A235,Input_Raw!$A:$A,Input_Raw!BH:BH),"")</f>
        <v/>
      </c>
      <c r="O235" s="173" t="str">
        <f t="shared" si="17"/>
        <v/>
      </c>
      <c r="P235" s="173" t="str">
        <f>IFERROR(1-SUMIF(WTG_BD!$F:$F,$A235,WTG_BD!$AA:$AA)/($AA235+SUMIF(WTG_BD!$F:$F,$A235,WTG_BD!$AA:$AA)),"")</f>
        <v/>
      </c>
      <c r="Q235" s="173" t="str">
        <f>IFERROR(1-SUMIF(IGA_BD!$F:$F,$A235,IGA_BD!$X:$X)/($AA235+SUMIF(IGA_BD!$F:$F,$A235,IGA_BD!$X:$X)),"")</f>
        <v/>
      </c>
      <c r="R235" s="173" t="str">
        <f>IFERROR(1-SUMIF(Grid_BD!$F:$F,$A235,Grid_BD!$Y:$Y)/($AA235+SUMIF(Grid_BD!$F:$F,$A235,Grid_BD!$Y:$Y)),"")</f>
        <v/>
      </c>
      <c r="S235" s="167"/>
      <c r="T235" s="172"/>
      <c r="U235" s="173"/>
      <c r="V235" s="167"/>
      <c r="W235" s="174" t="str">
        <f t="shared" si="18"/>
        <v/>
      </c>
      <c r="X235" s="167" t="str">
        <f>IFERROR(_xlfn.XLOOKUP($A235,Input_Raw!$A:$A,Input_Raw!$BF:$BF),"")</f>
        <v/>
      </c>
      <c r="Y235" s="167" t="str">
        <f>IFERROR(_xlfn.XLOOKUP($A235,Input_Raw!$A:$A,Input_Raw!BJ:BJ),"")</f>
        <v/>
      </c>
      <c r="Z235" s="167" t="str">
        <f>IFERROR(_xlfn.XLOOKUP($A235,Input_Raw!$A:$A,Input_Raw!BK:BK),"")</f>
        <v/>
      </c>
      <c r="AA235" s="167" t="str">
        <f>IFERROR(_xlfn.XLOOKUP($A235,Input_Raw!$A:$A,Input_Raw!BL:BL),"")</f>
        <v/>
      </c>
      <c r="AB235" s="167" t="str">
        <f>IFERROR(_xlfn.XLOOKUP($A235,Input_Raw!$A:$A,Input_Raw!$BO:$BO),"")</f>
        <v/>
      </c>
      <c r="AC235" s="176">
        <f>IFERROR(_xlfn.XLOOKUP($D235,'Modelling New'!$D:$D,'Modelling New'!$J:$J),"")</f>
        <v>8.33</v>
      </c>
      <c r="AD235" s="166">
        <f>IFERROR(_xlfn.XLOOKUP($D235,'Modelling New'!$D:$D,'Modelling New'!$T:$T)*1000,"")</f>
        <v>405674.73399014788</v>
      </c>
      <c r="AE235" s="174"/>
      <c r="AF235" s="174">
        <f>IFERROR(_xlfn.XLOOKUP($D235,'Modelling New'!$D:$D,'Modelling New'!$W:$W),"")</f>
        <v>0.24078509852216753</v>
      </c>
      <c r="AG235" s="174">
        <f>IFERROR(_xlfn.XLOOKUP($D235,'Modelling New'!$D:$D,'Modelling New'!$AE:$AE),"")</f>
        <v>0.96029999999999993</v>
      </c>
      <c r="AH235" s="174">
        <f>IFERROR(_xlfn.XLOOKUP($D235,'Modelling New'!$D:$D,'Modelling New'!$AF:$AF),"")</f>
        <v>0.995</v>
      </c>
      <c r="AI235" s="177" t="str">
        <f>IFERROR(_xlfn.XLOOKUP($A235,Input_Raw!$A:$A,Input_Raw!$BQ:$BQ),"")</f>
        <v/>
      </c>
      <c r="AJ235" s="167"/>
      <c r="AK235" s="167"/>
      <c r="AL235" s="167"/>
      <c r="AM235" s="167"/>
      <c r="AN235" s="175" t="str">
        <f>IFERROR(_xlfn.XLOOKUP($A235,Input_Raw!$A:$A,Input_Raw!$BN:$BN),"")</f>
        <v/>
      </c>
      <c r="AO235" s="174" t="str">
        <f>IFERROR((_xlfn.XLOOKUP($A235,'WTG Reactive Power'!$A:$A,'WTG Reactive Power'!$AE:$AE))/Table13[[#This Row],[Gen_Exp (kWh)]],"")</f>
        <v/>
      </c>
      <c r="AP235" s="174">
        <f>IFERROR(_xlfn.XLOOKUP($D235,'Modelling New'!$D:$D,'Modelling New'!$AK:$AK),"")</f>
        <v>0.05</v>
      </c>
      <c r="AQ235" s="174">
        <f>IFERROR(_xlfn.XLOOKUP($D235,'Modelling New'!$D:$D,'Modelling New'!$AL:$AL),"")</f>
        <v>0.05</v>
      </c>
      <c r="AR235" s="276">
        <f>IFERROR(_xlfn.XLOOKUP($D235,'Modelling New'!$D:$D,'Modelling New'!$N:$N),"")</f>
        <v>70.2</v>
      </c>
      <c r="AS235" s="276"/>
    </row>
    <row r="236" spans="1:45">
      <c r="A236" s="165">
        <f t="shared" si="19"/>
        <v>45979</v>
      </c>
      <c r="B236" s="166">
        <f>YEAR(Table13[[#This Row],[Date]])+IF(MONTH(Table13[[#This Row],[Date]])&gt;=4,1,0)</f>
        <v>2026</v>
      </c>
      <c r="C236" s="167">
        <f>YEAR(Table13[[#This Row],[Date]])</f>
        <v>2025</v>
      </c>
      <c r="D236" s="168">
        <f>Table13[[#This Row],[Date]]-DAY(Table13[[#This Row],[Date]])+1</f>
        <v>45962</v>
      </c>
      <c r="E236" s="167">
        <f t="shared" si="16"/>
        <v>30</v>
      </c>
      <c r="F236" s="169"/>
      <c r="G236" s="170"/>
      <c r="H236" s="170"/>
      <c r="I236" s="170"/>
      <c r="J236" s="170"/>
      <c r="K236" s="171"/>
      <c r="L236" s="170"/>
      <c r="M236" s="170" t="str">
        <f>IFERROR(_xlfn.XLOOKUP($A236,Input_Raw!$A:$A,Input_Raw!BG:BG),"")</f>
        <v/>
      </c>
      <c r="N236" s="170" t="str">
        <f>IFERROR(_xlfn.XLOOKUP($A236,Input_Raw!$A:$A,Input_Raw!BH:BH),"")</f>
        <v/>
      </c>
      <c r="O236" s="173" t="str">
        <f t="shared" si="17"/>
        <v/>
      </c>
      <c r="P236" s="173" t="str">
        <f>IFERROR(1-SUMIF(WTG_BD!$F:$F,$A236,WTG_BD!$AA:$AA)/($AA236+SUMIF(WTG_BD!$F:$F,$A236,WTG_BD!$AA:$AA)),"")</f>
        <v/>
      </c>
      <c r="Q236" s="173" t="str">
        <f>IFERROR(1-SUMIF(IGA_BD!$F:$F,$A236,IGA_BD!$X:$X)/($AA236+SUMIF(IGA_BD!$F:$F,$A236,IGA_BD!$X:$X)),"")</f>
        <v/>
      </c>
      <c r="R236" s="173" t="str">
        <f>IFERROR(1-SUMIF(Grid_BD!$F:$F,$A236,Grid_BD!$Y:$Y)/($AA236+SUMIF(Grid_BD!$F:$F,$A236,Grid_BD!$Y:$Y)),"")</f>
        <v/>
      </c>
      <c r="S236" s="167"/>
      <c r="T236" s="172"/>
      <c r="U236" s="173"/>
      <c r="V236" s="167"/>
      <c r="W236" s="174" t="str">
        <f t="shared" si="18"/>
        <v/>
      </c>
      <c r="X236" s="167" t="str">
        <f>IFERROR(_xlfn.XLOOKUP($A236,Input_Raw!$A:$A,Input_Raw!$BF:$BF),"")</f>
        <v/>
      </c>
      <c r="Y236" s="167" t="str">
        <f>IFERROR(_xlfn.XLOOKUP($A236,Input_Raw!$A:$A,Input_Raw!BJ:BJ),"")</f>
        <v/>
      </c>
      <c r="Z236" s="167" t="str">
        <f>IFERROR(_xlfn.XLOOKUP($A236,Input_Raw!$A:$A,Input_Raw!BK:BK),"")</f>
        <v/>
      </c>
      <c r="AA236" s="167" t="str">
        <f>IFERROR(_xlfn.XLOOKUP($A236,Input_Raw!$A:$A,Input_Raw!BL:BL),"")</f>
        <v/>
      </c>
      <c r="AB236" s="167" t="str">
        <f>IFERROR(_xlfn.XLOOKUP($A236,Input_Raw!$A:$A,Input_Raw!$BO:$BO),"")</f>
        <v/>
      </c>
      <c r="AC236" s="176">
        <f>IFERROR(_xlfn.XLOOKUP($D236,'Modelling New'!$D:$D,'Modelling New'!$J:$J),"")</f>
        <v>8.33</v>
      </c>
      <c r="AD236" s="166">
        <f>IFERROR(_xlfn.XLOOKUP($D236,'Modelling New'!$D:$D,'Modelling New'!$T:$T)*1000,"")</f>
        <v>405674.73399014788</v>
      </c>
      <c r="AE236" s="174"/>
      <c r="AF236" s="174">
        <f>IFERROR(_xlfn.XLOOKUP($D236,'Modelling New'!$D:$D,'Modelling New'!$W:$W),"")</f>
        <v>0.24078509852216753</v>
      </c>
      <c r="AG236" s="174">
        <f>IFERROR(_xlfn.XLOOKUP($D236,'Modelling New'!$D:$D,'Modelling New'!$AE:$AE),"")</f>
        <v>0.96029999999999993</v>
      </c>
      <c r="AH236" s="174">
        <f>IFERROR(_xlfn.XLOOKUP($D236,'Modelling New'!$D:$D,'Modelling New'!$AF:$AF),"")</f>
        <v>0.995</v>
      </c>
      <c r="AI236" s="177" t="str">
        <f>IFERROR(_xlfn.XLOOKUP($A236,Input_Raw!$A:$A,Input_Raw!$BQ:$BQ),"")</f>
        <v/>
      </c>
      <c r="AJ236" s="167"/>
      <c r="AK236" s="167"/>
      <c r="AL236" s="167"/>
      <c r="AM236" s="167"/>
      <c r="AN236" s="175" t="str">
        <f>IFERROR(_xlfn.XLOOKUP($A236,Input_Raw!$A:$A,Input_Raw!$BN:$BN),"")</f>
        <v/>
      </c>
      <c r="AO236" s="174" t="str">
        <f>IFERROR((_xlfn.XLOOKUP($A236,'WTG Reactive Power'!$A:$A,'WTG Reactive Power'!$AE:$AE))/Table13[[#This Row],[Gen_Exp (kWh)]],"")</f>
        <v/>
      </c>
      <c r="AP236" s="174">
        <f>IFERROR(_xlfn.XLOOKUP($D236,'Modelling New'!$D:$D,'Modelling New'!$AK:$AK),"")</f>
        <v>0.05</v>
      </c>
      <c r="AQ236" s="174">
        <f>IFERROR(_xlfn.XLOOKUP($D236,'Modelling New'!$D:$D,'Modelling New'!$AL:$AL),"")</f>
        <v>0.05</v>
      </c>
      <c r="AR236" s="276">
        <f>IFERROR(_xlfn.XLOOKUP($D236,'Modelling New'!$D:$D,'Modelling New'!$N:$N),"")</f>
        <v>70.2</v>
      </c>
      <c r="AS236" s="276"/>
    </row>
    <row r="237" spans="1:45">
      <c r="A237" s="165">
        <f t="shared" si="19"/>
        <v>45980</v>
      </c>
      <c r="B237" s="166">
        <f>YEAR(Table13[[#This Row],[Date]])+IF(MONTH(Table13[[#This Row],[Date]])&gt;=4,1,0)</f>
        <v>2026</v>
      </c>
      <c r="C237" s="167">
        <f>YEAR(Table13[[#This Row],[Date]])</f>
        <v>2025</v>
      </c>
      <c r="D237" s="168">
        <f>Table13[[#This Row],[Date]]-DAY(Table13[[#This Row],[Date]])+1</f>
        <v>45962</v>
      </c>
      <c r="E237" s="167">
        <f t="shared" si="16"/>
        <v>30</v>
      </c>
      <c r="F237" s="169"/>
      <c r="G237" s="176"/>
      <c r="H237" s="176"/>
      <c r="I237" s="176"/>
      <c r="J237" s="176"/>
      <c r="K237" s="171"/>
      <c r="L237" s="170"/>
      <c r="M237" s="170" t="str">
        <f>IFERROR(_xlfn.XLOOKUP($A237,Input_Raw!$A:$A,Input_Raw!BG:BG),"")</f>
        <v/>
      </c>
      <c r="N237" s="170" t="str">
        <f>IFERROR(_xlfn.XLOOKUP($A237,Input_Raw!$A:$A,Input_Raw!BH:BH),"")</f>
        <v/>
      </c>
      <c r="O237" s="173" t="str">
        <f t="shared" si="17"/>
        <v/>
      </c>
      <c r="P237" s="173" t="str">
        <f>IFERROR(1-SUMIF(WTG_BD!$F:$F,$A237,WTG_BD!$AA:$AA)/($AA237+SUMIF(WTG_BD!$F:$F,$A237,WTG_BD!$AA:$AA)),"")</f>
        <v/>
      </c>
      <c r="Q237" s="173" t="str">
        <f>IFERROR(1-SUMIF(IGA_BD!$F:$F,$A237,IGA_BD!$X:$X)/($AA237+SUMIF(IGA_BD!$F:$F,$A237,IGA_BD!$X:$X)),"")</f>
        <v/>
      </c>
      <c r="R237" s="173" t="str">
        <f>IFERROR(1-SUMIF(Grid_BD!$F:$F,$A237,Grid_BD!$Y:$Y)/($AA237+SUMIF(Grid_BD!$F:$F,$A237,Grid_BD!$Y:$Y)),"")</f>
        <v/>
      </c>
      <c r="S237" s="167"/>
      <c r="T237" s="172"/>
      <c r="U237" s="173"/>
      <c r="V237" s="167"/>
      <c r="W237" s="174" t="str">
        <f t="shared" si="18"/>
        <v/>
      </c>
      <c r="X237" s="167" t="str">
        <f>IFERROR(_xlfn.XLOOKUP($A237,Input_Raw!$A:$A,Input_Raw!$BF:$BF),"")</f>
        <v/>
      </c>
      <c r="Y237" s="167" t="str">
        <f>IFERROR(_xlfn.XLOOKUP($A237,Input_Raw!$A:$A,Input_Raw!BJ:BJ),"")</f>
        <v/>
      </c>
      <c r="Z237" s="167" t="str">
        <f>IFERROR(_xlfn.XLOOKUP($A237,Input_Raw!$A:$A,Input_Raw!BK:BK),"")</f>
        <v/>
      </c>
      <c r="AA237" s="167" t="str">
        <f>IFERROR(_xlfn.XLOOKUP($A237,Input_Raw!$A:$A,Input_Raw!BL:BL),"")</f>
        <v/>
      </c>
      <c r="AB237" s="167" t="str">
        <f>IFERROR(_xlfn.XLOOKUP($A237,Input_Raw!$A:$A,Input_Raw!$BO:$BO),"")</f>
        <v/>
      </c>
      <c r="AC237" s="176">
        <f>IFERROR(_xlfn.XLOOKUP($D237,'Modelling New'!$D:$D,'Modelling New'!$J:$J),"")</f>
        <v>8.33</v>
      </c>
      <c r="AD237" s="166">
        <f>IFERROR(_xlfn.XLOOKUP($D237,'Modelling New'!$D:$D,'Modelling New'!$T:$T)*1000,"")</f>
        <v>405674.73399014788</v>
      </c>
      <c r="AE237" s="174"/>
      <c r="AF237" s="174">
        <f>IFERROR(_xlfn.XLOOKUP($D237,'Modelling New'!$D:$D,'Modelling New'!$W:$W),"")</f>
        <v>0.24078509852216753</v>
      </c>
      <c r="AG237" s="174">
        <f>IFERROR(_xlfn.XLOOKUP($D237,'Modelling New'!$D:$D,'Modelling New'!$AE:$AE),"")</f>
        <v>0.96029999999999993</v>
      </c>
      <c r="AH237" s="174">
        <f>IFERROR(_xlfn.XLOOKUP($D237,'Modelling New'!$D:$D,'Modelling New'!$AF:$AF),"")</f>
        <v>0.995</v>
      </c>
      <c r="AI237" s="177" t="str">
        <f>IFERROR(_xlfn.XLOOKUP($A237,Input_Raw!$A:$A,Input_Raw!$BQ:$BQ),"")</f>
        <v/>
      </c>
      <c r="AJ237" s="167"/>
      <c r="AK237" s="167"/>
      <c r="AL237" s="167"/>
      <c r="AM237" s="167"/>
      <c r="AN237" s="175" t="str">
        <f>IFERROR(_xlfn.XLOOKUP($A237,Input_Raw!$A:$A,Input_Raw!$BN:$BN),"")</f>
        <v/>
      </c>
      <c r="AO237" s="174" t="str">
        <f>IFERROR((_xlfn.XLOOKUP($A237,'WTG Reactive Power'!$A:$A,'WTG Reactive Power'!$AE:$AE))/Table13[[#This Row],[Gen_Exp (kWh)]],"")</f>
        <v/>
      </c>
      <c r="AP237" s="174">
        <f>IFERROR(_xlfn.XLOOKUP($D237,'Modelling New'!$D:$D,'Modelling New'!$AK:$AK),"")</f>
        <v>0.05</v>
      </c>
      <c r="AQ237" s="174">
        <f>IFERROR(_xlfn.XLOOKUP($D237,'Modelling New'!$D:$D,'Modelling New'!$AL:$AL),"")</f>
        <v>0.05</v>
      </c>
      <c r="AR237" s="276">
        <f>IFERROR(_xlfn.XLOOKUP($D237,'Modelling New'!$D:$D,'Modelling New'!$N:$N),"")</f>
        <v>70.2</v>
      </c>
      <c r="AS237" s="276"/>
    </row>
    <row r="238" spans="1:45">
      <c r="A238" s="165">
        <f t="shared" si="19"/>
        <v>45981</v>
      </c>
      <c r="B238" s="166">
        <f>YEAR(Table13[[#This Row],[Date]])+IF(MONTH(Table13[[#This Row],[Date]])&gt;=4,1,0)</f>
        <v>2026</v>
      </c>
      <c r="C238" s="167">
        <f>YEAR(Table13[[#This Row],[Date]])</f>
        <v>2025</v>
      </c>
      <c r="D238" s="168">
        <f>Table13[[#This Row],[Date]]-DAY(Table13[[#This Row],[Date]])+1</f>
        <v>45962</v>
      </c>
      <c r="E238" s="167">
        <f t="shared" si="16"/>
        <v>30</v>
      </c>
      <c r="F238" s="169"/>
      <c r="G238" s="170"/>
      <c r="H238" s="170"/>
      <c r="I238" s="170"/>
      <c r="J238" s="170"/>
      <c r="K238" s="171"/>
      <c r="L238" s="170"/>
      <c r="M238" s="170" t="str">
        <f>IFERROR(_xlfn.XLOOKUP($A238,Input_Raw!$A:$A,Input_Raw!BG:BG),"")</f>
        <v/>
      </c>
      <c r="N238" s="170" t="str">
        <f>IFERROR(_xlfn.XLOOKUP($A238,Input_Raw!$A:$A,Input_Raw!BH:BH),"")</f>
        <v/>
      </c>
      <c r="O238" s="173" t="str">
        <f t="shared" si="17"/>
        <v/>
      </c>
      <c r="P238" s="173" t="str">
        <f>IFERROR(1-SUMIF(WTG_BD!$F:$F,$A238,WTG_BD!$AA:$AA)/($AA238+SUMIF(WTG_BD!$F:$F,$A238,WTG_BD!$AA:$AA)),"")</f>
        <v/>
      </c>
      <c r="Q238" s="173" t="str">
        <f>IFERROR(1-SUMIF(IGA_BD!$F:$F,$A238,IGA_BD!$X:$X)/($AA238+SUMIF(IGA_BD!$F:$F,$A238,IGA_BD!$X:$X)),"")</f>
        <v/>
      </c>
      <c r="R238" s="173" t="str">
        <f>IFERROR(1-SUMIF(Grid_BD!$F:$F,$A238,Grid_BD!$Y:$Y)/($AA238+SUMIF(Grid_BD!$F:$F,$A238,Grid_BD!$Y:$Y)),"")</f>
        <v/>
      </c>
      <c r="S238" s="167"/>
      <c r="T238" s="172"/>
      <c r="U238" s="173"/>
      <c r="V238" s="167"/>
      <c r="W238" s="174" t="str">
        <f t="shared" si="18"/>
        <v/>
      </c>
      <c r="X238" s="167" t="str">
        <f>IFERROR(_xlfn.XLOOKUP($A238,Input_Raw!$A:$A,Input_Raw!$BF:$BF),"")</f>
        <v/>
      </c>
      <c r="Y238" s="167" t="str">
        <f>IFERROR(_xlfn.XLOOKUP($A238,Input_Raw!$A:$A,Input_Raw!BJ:BJ),"")</f>
        <v/>
      </c>
      <c r="Z238" s="167" t="str">
        <f>IFERROR(_xlfn.XLOOKUP($A238,Input_Raw!$A:$A,Input_Raw!BK:BK),"")</f>
        <v/>
      </c>
      <c r="AA238" s="167" t="str">
        <f>IFERROR(_xlfn.XLOOKUP($A238,Input_Raw!$A:$A,Input_Raw!BL:BL),"")</f>
        <v/>
      </c>
      <c r="AB238" s="167" t="str">
        <f>IFERROR(_xlfn.XLOOKUP($A238,Input_Raw!$A:$A,Input_Raw!$BO:$BO),"")</f>
        <v/>
      </c>
      <c r="AC238" s="176">
        <f>IFERROR(_xlfn.XLOOKUP($D238,'Modelling New'!$D:$D,'Modelling New'!$J:$J),"")</f>
        <v>8.33</v>
      </c>
      <c r="AD238" s="166">
        <f>IFERROR(_xlfn.XLOOKUP($D238,'Modelling New'!$D:$D,'Modelling New'!$T:$T)*1000,"")</f>
        <v>405674.73399014788</v>
      </c>
      <c r="AE238" s="174"/>
      <c r="AF238" s="174">
        <f>IFERROR(_xlfn.XLOOKUP($D238,'Modelling New'!$D:$D,'Modelling New'!$W:$W),"")</f>
        <v>0.24078509852216753</v>
      </c>
      <c r="AG238" s="174">
        <f>IFERROR(_xlfn.XLOOKUP($D238,'Modelling New'!$D:$D,'Modelling New'!$AE:$AE),"")</f>
        <v>0.96029999999999993</v>
      </c>
      <c r="AH238" s="174">
        <f>IFERROR(_xlfn.XLOOKUP($D238,'Modelling New'!$D:$D,'Modelling New'!$AF:$AF),"")</f>
        <v>0.995</v>
      </c>
      <c r="AI238" s="177" t="str">
        <f>IFERROR(_xlfn.XLOOKUP($A238,Input_Raw!$A:$A,Input_Raw!$BQ:$BQ),"")</f>
        <v/>
      </c>
      <c r="AJ238" s="167"/>
      <c r="AK238" s="167"/>
      <c r="AL238" s="167"/>
      <c r="AM238" s="167"/>
      <c r="AN238" s="175" t="str">
        <f>IFERROR(_xlfn.XLOOKUP($A238,Input_Raw!$A:$A,Input_Raw!$BN:$BN),"")</f>
        <v/>
      </c>
      <c r="AO238" s="174" t="str">
        <f>IFERROR((_xlfn.XLOOKUP($A238,'WTG Reactive Power'!$A:$A,'WTG Reactive Power'!$AE:$AE))/Table13[[#This Row],[Gen_Exp (kWh)]],"")</f>
        <v/>
      </c>
      <c r="AP238" s="174">
        <f>IFERROR(_xlfn.XLOOKUP($D238,'Modelling New'!$D:$D,'Modelling New'!$AK:$AK),"")</f>
        <v>0.05</v>
      </c>
      <c r="AQ238" s="174">
        <f>IFERROR(_xlfn.XLOOKUP($D238,'Modelling New'!$D:$D,'Modelling New'!$AL:$AL),"")</f>
        <v>0.05</v>
      </c>
      <c r="AR238" s="276">
        <f>IFERROR(_xlfn.XLOOKUP($D238,'Modelling New'!$D:$D,'Modelling New'!$N:$N),"")</f>
        <v>70.2</v>
      </c>
      <c r="AS238" s="276"/>
    </row>
    <row r="239" spans="1:45">
      <c r="A239" s="165">
        <f t="shared" si="19"/>
        <v>45982</v>
      </c>
      <c r="B239" s="166">
        <f>YEAR(Table13[[#This Row],[Date]])+IF(MONTH(Table13[[#This Row],[Date]])&gt;=4,1,0)</f>
        <v>2026</v>
      </c>
      <c r="C239" s="167">
        <f>YEAR(Table13[[#This Row],[Date]])</f>
        <v>2025</v>
      </c>
      <c r="D239" s="168">
        <f>Table13[[#This Row],[Date]]-DAY(Table13[[#This Row],[Date]])+1</f>
        <v>45962</v>
      </c>
      <c r="E239" s="167">
        <f t="shared" si="16"/>
        <v>30</v>
      </c>
      <c r="F239" s="169"/>
      <c r="G239" s="176"/>
      <c r="H239" s="176"/>
      <c r="I239" s="176"/>
      <c r="J239" s="176"/>
      <c r="K239" s="171"/>
      <c r="L239" s="170"/>
      <c r="M239" s="170" t="str">
        <f>IFERROR(_xlfn.XLOOKUP($A239,Input_Raw!$A:$A,Input_Raw!BG:BG),"")</f>
        <v/>
      </c>
      <c r="N239" s="170" t="str">
        <f>IFERROR(_xlfn.XLOOKUP($A239,Input_Raw!$A:$A,Input_Raw!BH:BH),"")</f>
        <v/>
      </c>
      <c r="O239" s="173" t="str">
        <f t="shared" si="17"/>
        <v/>
      </c>
      <c r="P239" s="173" t="str">
        <f>IFERROR(1-SUMIF(WTG_BD!$F:$F,$A239,WTG_BD!$AA:$AA)/($AA239+SUMIF(WTG_BD!$F:$F,$A239,WTG_BD!$AA:$AA)),"")</f>
        <v/>
      </c>
      <c r="Q239" s="173" t="str">
        <f>IFERROR(1-SUMIF(IGA_BD!$F:$F,$A239,IGA_BD!$X:$X)/($AA239+SUMIF(IGA_BD!$F:$F,$A239,IGA_BD!$X:$X)),"")</f>
        <v/>
      </c>
      <c r="R239" s="173" t="str">
        <f>IFERROR(1-SUMIF(Grid_BD!$F:$F,$A239,Grid_BD!$Y:$Y)/($AA239+SUMIF(Grid_BD!$F:$F,$A239,Grid_BD!$Y:$Y)),"")</f>
        <v/>
      </c>
      <c r="S239" s="167"/>
      <c r="T239" s="172"/>
      <c r="U239" s="173"/>
      <c r="V239" s="167"/>
      <c r="W239" s="174" t="str">
        <f t="shared" si="18"/>
        <v/>
      </c>
      <c r="X239" s="167" t="str">
        <f>IFERROR(_xlfn.XLOOKUP($A239,Input_Raw!$A:$A,Input_Raw!$BF:$BF),"")</f>
        <v/>
      </c>
      <c r="Y239" s="167" t="str">
        <f>IFERROR(_xlfn.XLOOKUP($A239,Input_Raw!$A:$A,Input_Raw!BJ:BJ),"")</f>
        <v/>
      </c>
      <c r="Z239" s="167" t="str">
        <f>IFERROR(_xlfn.XLOOKUP($A239,Input_Raw!$A:$A,Input_Raw!BK:BK),"")</f>
        <v/>
      </c>
      <c r="AA239" s="167" t="str">
        <f>IFERROR(_xlfn.XLOOKUP($A239,Input_Raw!$A:$A,Input_Raw!BL:BL),"")</f>
        <v/>
      </c>
      <c r="AB239" s="167" t="str">
        <f>IFERROR(_xlfn.XLOOKUP($A239,Input_Raw!$A:$A,Input_Raw!$BO:$BO),"")</f>
        <v/>
      </c>
      <c r="AC239" s="176">
        <f>IFERROR(_xlfn.XLOOKUP($D239,'Modelling New'!$D:$D,'Modelling New'!$J:$J),"")</f>
        <v>8.33</v>
      </c>
      <c r="AD239" s="166">
        <f>IFERROR(_xlfn.XLOOKUP($D239,'Modelling New'!$D:$D,'Modelling New'!$T:$T)*1000,"")</f>
        <v>405674.73399014788</v>
      </c>
      <c r="AE239" s="174"/>
      <c r="AF239" s="174">
        <f>IFERROR(_xlfn.XLOOKUP($D239,'Modelling New'!$D:$D,'Modelling New'!$W:$W),"")</f>
        <v>0.24078509852216753</v>
      </c>
      <c r="AG239" s="174">
        <f>IFERROR(_xlfn.XLOOKUP($D239,'Modelling New'!$D:$D,'Modelling New'!$AE:$AE),"")</f>
        <v>0.96029999999999993</v>
      </c>
      <c r="AH239" s="174">
        <f>IFERROR(_xlfn.XLOOKUP($D239,'Modelling New'!$D:$D,'Modelling New'!$AF:$AF),"")</f>
        <v>0.995</v>
      </c>
      <c r="AI239" s="177" t="str">
        <f>IFERROR(_xlfn.XLOOKUP($A239,Input_Raw!$A:$A,Input_Raw!$BQ:$BQ),"")</f>
        <v/>
      </c>
      <c r="AJ239" s="167"/>
      <c r="AK239" s="167"/>
      <c r="AL239" s="167"/>
      <c r="AM239" s="167"/>
      <c r="AN239" s="175" t="str">
        <f>IFERROR(_xlfn.XLOOKUP($A239,Input_Raw!$A:$A,Input_Raw!$BN:$BN),"")</f>
        <v/>
      </c>
      <c r="AO239" s="174" t="str">
        <f>IFERROR((_xlfn.XLOOKUP($A239,'WTG Reactive Power'!$A:$A,'WTG Reactive Power'!$AE:$AE))/Table13[[#This Row],[Gen_Exp (kWh)]],"")</f>
        <v/>
      </c>
      <c r="AP239" s="174">
        <f>IFERROR(_xlfn.XLOOKUP($D239,'Modelling New'!$D:$D,'Modelling New'!$AK:$AK),"")</f>
        <v>0.05</v>
      </c>
      <c r="AQ239" s="174">
        <f>IFERROR(_xlfn.XLOOKUP($D239,'Modelling New'!$D:$D,'Modelling New'!$AL:$AL),"")</f>
        <v>0.05</v>
      </c>
      <c r="AR239" s="276">
        <f>IFERROR(_xlfn.XLOOKUP($D239,'Modelling New'!$D:$D,'Modelling New'!$N:$N),"")</f>
        <v>70.2</v>
      </c>
      <c r="AS239" s="276"/>
    </row>
    <row r="240" spans="1:45">
      <c r="A240" s="165">
        <f t="shared" si="19"/>
        <v>45983</v>
      </c>
      <c r="B240" s="166">
        <f>YEAR(Table13[[#This Row],[Date]])+IF(MONTH(Table13[[#This Row],[Date]])&gt;=4,1,0)</f>
        <v>2026</v>
      </c>
      <c r="C240" s="167">
        <f>YEAR(Table13[[#This Row],[Date]])</f>
        <v>2025</v>
      </c>
      <c r="D240" s="168">
        <f>Table13[[#This Row],[Date]]-DAY(Table13[[#This Row],[Date]])+1</f>
        <v>45962</v>
      </c>
      <c r="E240" s="167">
        <f t="shared" si="16"/>
        <v>30</v>
      </c>
      <c r="F240" s="169"/>
      <c r="G240" s="170"/>
      <c r="H240" s="170"/>
      <c r="I240" s="170"/>
      <c r="J240" s="170"/>
      <c r="K240" s="171"/>
      <c r="L240" s="170"/>
      <c r="M240" s="170" t="str">
        <f>IFERROR(_xlfn.XLOOKUP($A240,Input_Raw!$A:$A,Input_Raw!BG:BG),"")</f>
        <v/>
      </c>
      <c r="N240" s="170" t="str">
        <f>IFERROR(_xlfn.XLOOKUP($A240,Input_Raw!$A:$A,Input_Raw!BH:BH),"")</f>
        <v/>
      </c>
      <c r="O240" s="173" t="str">
        <f t="shared" si="17"/>
        <v/>
      </c>
      <c r="P240" s="173" t="str">
        <f>IFERROR(1-SUMIF(WTG_BD!$F:$F,$A240,WTG_BD!$AA:$AA)/($AA240+SUMIF(WTG_BD!$F:$F,$A240,WTG_BD!$AA:$AA)),"")</f>
        <v/>
      </c>
      <c r="Q240" s="173" t="str">
        <f>IFERROR(1-SUMIF(IGA_BD!$F:$F,$A240,IGA_BD!$X:$X)/($AA240+SUMIF(IGA_BD!$F:$F,$A240,IGA_BD!$X:$X)),"")</f>
        <v/>
      </c>
      <c r="R240" s="173" t="str">
        <f>IFERROR(1-SUMIF(Grid_BD!$F:$F,$A240,Grid_BD!$Y:$Y)/($AA240+SUMIF(Grid_BD!$F:$F,$A240,Grid_BD!$Y:$Y)),"")</f>
        <v/>
      </c>
      <c r="S240" s="167"/>
      <c r="T240" s="172"/>
      <c r="U240" s="173"/>
      <c r="V240" s="167"/>
      <c r="W240" s="174" t="str">
        <f t="shared" si="18"/>
        <v/>
      </c>
      <c r="X240" s="167" t="str">
        <f>IFERROR(_xlfn.XLOOKUP($A240,Input_Raw!$A:$A,Input_Raw!$BF:$BF),"")</f>
        <v/>
      </c>
      <c r="Y240" s="167" t="str">
        <f>IFERROR(_xlfn.XLOOKUP($A240,Input_Raw!$A:$A,Input_Raw!BJ:BJ),"")</f>
        <v/>
      </c>
      <c r="Z240" s="167" t="str">
        <f>IFERROR(_xlfn.XLOOKUP($A240,Input_Raw!$A:$A,Input_Raw!BK:BK),"")</f>
        <v/>
      </c>
      <c r="AA240" s="167" t="str">
        <f>IFERROR(_xlfn.XLOOKUP($A240,Input_Raw!$A:$A,Input_Raw!BL:BL),"")</f>
        <v/>
      </c>
      <c r="AB240" s="167" t="str">
        <f>IFERROR(_xlfn.XLOOKUP($A240,Input_Raw!$A:$A,Input_Raw!$BO:$BO),"")</f>
        <v/>
      </c>
      <c r="AC240" s="176">
        <f>IFERROR(_xlfn.XLOOKUP($D240,'Modelling New'!$D:$D,'Modelling New'!$J:$J),"")</f>
        <v>8.33</v>
      </c>
      <c r="AD240" s="166">
        <f>IFERROR(_xlfn.XLOOKUP($D240,'Modelling New'!$D:$D,'Modelling New'!$T:$T)*1000,"")</f>
        <v>405674.73399014788</v>
      </c>
      <c r="AE240" s="174"/>
      <c r="AF240" s="174">
        <f>IFERROR(_xlfn.XLOOKUP($D240,'Modelling New'!$D:$D,'Modelling New'!$W:$W),"")</f>
        <v>0.24078509852216753</v>
      </c>
      <c r="AG240" s="174">
        <f>IFERROR(_xlfn.XLOOKUP($D240,'Modelling New'!$D:$D,'Modelling New'!$AE:$AE),"")</f>
        <v>0.96029999999999993</v>
      </c>
      <c r="AH240" s="174">
        <f>IFERROR(_xlfn.XLOOKUP($D240,'Modelling New'!$D:$D,'Modelling New'!$AF:$AF),"")</f>
        <v>0.995</v>
      </c>
      <c r="AI240" s="177" t="str">
        <f>IFERROR(_xlfn.XLOOKUP($A240,Input_Raw!$A:$A,Input_Raw!$BQ:$BQ),"")</f>
        <v/>
      </c>
      <c r="AJ240" s="167"/>
      <c r="AK240" s="167"/>
      <c r="AL240" s="167"/>
      <c r="AM240" s="167"/>
      <c r="AN240" s="175" t="str">
        <f>IFERROR(_xlfn.XLOOKUP($A240,Input_Raw!$A:$A,Input_Raw!$BN:$BN),"")</f>
        <v/>
      </c>
      <c r="AO240" s="174" t="str">
        <f>IFERROR((_xlfn.XLOOKUP($A240,'WTG Reactive Power'!$A:$A,'WTG Reactive Power'!$AE:$AE))/Table13[[#This Row],[Gen_Exp (kWh)]],"")</f>
        <v/>
      </c>
      <c r="AP240" s="174">
        <f>IFERROR(_xlfn.XLOOKUP($D240,'Modelling New'!$D:$D,'Modelling New'!$AK:$AK),"")</f>
        <v>0.05</v>
      </c>
      <c r="AQ240" s="174">
        <f>IFERROR(_xlfn.XLOOKUP($D240,'Modelling New'!$D:$D,'Modelling New'!$AL:$AL),"")</f>
        <v>0.05</v>
      </c>
      <c r="AR240" s="276">
        <f>IFERROR(_xlfn.XLOOKUP($D240,'Modelling New'!$D:$D,'Modelling New'!$N:$N),"")</f>
        <v>70.2</v>
      </c>
      <c r="AS240" s="276"/>
    </row>
    <row r="241" spans="1:45">
      <c r="A241" s="165">
        <f t="shared" si="19"/>
        <v>45984</v>
      </c>
      <c r="B241" s="166">
        <f>YEAR(Table13[[#This Row],[Date]])+IF(MONTH(Table13[[#This Row],[Date]])&gt;=4,1,0)</f>
        <v>2026</v>
      </c>
      <c r="C241" s="167">
        <f>YEAR(Table13[[#This Row],[Date]])</f>
        <v>2025</v>
      </c>
      <c r="D241" s="168">
        <f>Table13[[#This Row],[Date]]-DAY(Table13[[#This Row],[Date]])+1</f>
        <v>45962</v>
      </c>
      <c r="E241" s="167">
        <f t="shared" si="16"/>
        <v>30</v>
      </c>
      <c r="F241" s="169"/>
      <c r="G241" s="176"/>
      <c r="H241" s="176"/>
      <c r="I241" s="176"/>
      <c r="J241" s="176"/>
      <c r="K241" s="171"/>
      <c r="L241" s="170"/>
      <c r="M241" s="170" t="str">
        <f>IFERROR(_xlfn.XLOOKUP($A241,Input_Raw!$A:$A,Input_Raw!BG:BG),"")</f>
        <v/>
      </c>
      <c r="N241" s="170" t="str">
        <f>IFERROR(_xlfn.XLOOKUP($A241,Input_Raw!$A:$A,Input_Raw!BH:BH),"")</f>
        <v/>
      </c>
      <c r="O241" s="173" t="str">
        <f t="shared" si="17"/>
        <v/>
      </c>
      <c r="P241" s="173" t="str">
        <f>IFERROR(1-SUMIF(WTG_BD!$F:$F,$A241,WTG_BD!$AA:$AA)/($AA241+SUMIF(WTG_BD!$F:$F,$A241,WTG_BD!$AA:$AA)),"")</f>
        <v/>
      </c>
      <c r="Q241" s="173" t="str">
        <f>IFERROR(1-SUMIF(IGA_BD!$F:$F,$A241,IGA_BD!$X:$X)/($AA241+SUMIF(IGA_BD!$F:$F,$A241,IGA_BD!$X:$X)),"")</f>
        <v/>
      </c>
      <c r="R241" s="173" t="str">
        <f>IFERROR(1-SUMIF(Grid_BD!$F:$F,$A241,Grid_BD!$Y:$Y)/($AA241+SUMIF(Grid_BD!$F:$F,$A241,Grid_BD!$Y:$Y)),"")</f>
        <v/>
      </c>
      <c r="S241" s="167"/>
      <c r="T241" s="172"/>
      <c r="U241" s="173"/>
      <c r="V241" s="167"/>
      <c r="W241" s="174" t="str">
        <f t="shared" si="18"/>
        <v/>
      </c>
      <c r="X241" s="167" t="str">
        <f>IFERROR(_xlfn.XLOOKUP($A241,Input_Raw!$A:$A,Input_Raw!$BF:$BF),"")</f>
        <v/>
      </c>
      <c r="Y241" s="167" t="str">
        <f>IFERROR(_xlfn.XLOOKUP($A241,Input_Raw!$A:$A,Input_Raw!BJ:BJ),"")</f>
        <v/>
      </c>
      <c r="Z241" s="167" t="str">
        <f>IFERROR(_xlfn.XLOOKUP($A241,Input_Raw!$A:$A,Input_Raw!BK:BK),"")</f>
        <v/>
      </c>
      <c r="AA241" s="167" t="str">
        <f>IFERROR(_xlfn.XLOOKUP($A241,Input_Raw!$A:$A,Input_Raw!BL:BL),"")</f>
        <v/>
      </c>
      <c r="AB241" s="167" t="str">
        <f>IFERROR(_xlfn.XLOOKUP($A241,Input_Raw!$A:$A,Input_Raw!$BO:$BO),"")</f>
        <v/>
      </c>
      <c r="AC241" s="176">
        <f>IFERROR(_xlfn.XLOOKUP($D241,'Modelling New'!$D:$D,'Modelling New'!$J:$J),"")</f>
        <v>8.33</v>
      </c>
      <c r="AD241" s="166">
        <f>IFERROR(_xlfn.XLOOKUP($D241,'Modelling New'!$D:$D,'Modelling New'!$T:$T)*1000,"")</f>
        <v>405674.73399014788</v>
      </c>
      <c r="AE241" s="174"/>
      <c r="AF241" s="174">
        <f>IFERROR(_xlfn.XLOOKUP($D241,'Modelling New'!$D:$D,'Modelling New'!$W:$W),"")</f>
        <v>0.24078509852216753</v>
      </c>
      <c r="AG241" s="174">
        <f>IFERROR(_xlfn.XLOOKUP($D241,'Modelling New'!$D:$D,'Modelling New'!$AE:$AE),"")</f>
        <v>0.96029999999999993</v>
      </c>
      <c r="AH241" s="174">
        <f>IFERROR(_xlfn.XLOOKUP($D241,'Modelling New'!$D:$D,'Modelling New'!$AF:$AF),"")</f>
        <v>0.995</v>
      </c>
      <c r="AI241" s="177" t="str">
        <f>IFERROR(_xlfn.XLOOKUP($A241,Input_Raw!$A:$A,Input_Raw!$BQ:$BQ),"")</f>
        <v/>
      </c>
      <c r="AJ241" s="167"/>
      <c r="AK241" s="167"/>
      <c r="AL241" s="167"/>
      <c r="AM241" s="167"/>
      <c r="AN241" s="175" t="str">
        <f>IFERROR(_xlfn.XLOOKUP($A241,Input_Raw!$A:$A,Input_Raw!$BN:$BN),"")</f>
        <v/>
      </c>
      <c r="AO241" s="174" t="str">
        <f>IFERROR((_xlfn.XLOOKUP($A241,'WTG Reactive Power'!$A:$A,'WTG Reactive Power'!$AE:$AE))/Table13[[#This Row],[Gen_Exp (kWh)]],"")</f>
        <v/>
      </c>
      <c r="AP241" s="174">
        <f>IFERROR(_xlfn.XLOOKUP($D241,'Modelling New'!$D:$D,'Modelling New'!$AK:$AK),"")</f>
        <v>0.05</v>
      </c>
      <c r="AQ241" s="174">
        <f>IFERROR(_xlfn.XLOOKUP($D241,'Modelling New'!$D:$D,'Modelling New'!$AL:$AL),"")</f>
        <v>0.05</v>
      </c>
      <c r="AR241" s="276">
        <f>IFERROR(_xlfn.XLOOKUP($D241,'Modelling New'!$D:$D,'Modelling New'!$N:$N),"")</f>
        <v>70.2</v>
      </c>
      <c r="AS241" s="276"/>
    </row>
    <row r="242" spans="1:45">
      <c r="A242" s="165">
        <f t="shared" si="19"/>
        <v>45985</v>
      </c>
      <c r="B242" s="166">
        <f>YEAR(Table13[[#This Row],[Date]])+IF(MONTH(Table13[[#This Row],[Date]])&gt;=4,1,0)</f>
        <v>2026</v>
      </c>
      <c r="C242" s="167">
        <f>YEAR(Table13[[#This Row],[Date]])</f>
        <v>2025</v>
      </c>
      <c r="D242" s="168">
        <f>Table13[[#This Row],[Date]]-DAY(Table13[[#This Row],[Date]])+1</f>
        <v>45962</v>
      </c>
      <c r="E242" s="167">
        <f t="shared" si="16"/>
        <v>30</v>
      </c>
      <c r="F242" s="169"/>
      <c r="G242" s="170"/>
      <c r="H242" s="170"/>
      <c r="I242" s="170"/>
      <c r="J242" s="170"/>
      <c r="K242" s="171"/>
      <c r="L242" s="170"/>
      <c r="M242" s="170" t="str">
        <f>IFERROR(_xlfn.XLOOKUP($A242,Input_Raw!$A:$A,Input_Raw!BG:BG),"")</f>
        <v/>
      </c>
      <c r="N242" s="170" t="str">
        <f>IFERROR(_xlfn.XLOOKUP($A242,Input_Raw!$A:$A,Input_Raw!BH:BH),"")</f>
        <v/>
      </c>
      <c r="O242" s="173" t="str">
        <f t="shared" si="17"/>
        <v/>
      </c>
      <c r="P242" s="173" t="str">
        <f>IFERROR(1-SUMIF(WTG_BD!$F:$F,$A242,WTG_BD!$AA:$AA)/($AA242+SUMIF(WTG_BD!$F:$F,$A242,WTG_BD!$AA:$AA)),"")</f>
        <v/>
      </c>
      <c r="Q242" s="173" t="str">
        <f>IFERROR(1-SUMIF(IGA_BD!$F:$F,$A242,IGA_BD!$X:$X)/($AA242+SUMIF(IGA_BD!$F:$F,$A242,IGA_BD!$X:$X)),"")</f>
        <v/>
      </c>
      <c r="R242" s="173" t="str">
        <f>IFERROR(1-SUMIF(Grid_BD!$F:$F,$A242,Grid_BD!$Y:$Y)/($AA242+SUMIF(Grid_BD!$F:$F,$A242,Grid_BD!$Y:$Y)),"")</f>
        <v/>
      </c>
      <c r="S242" s="167"/>
      <c r="T242" s="172"/>
      <c r="U242" s="173"/>
      <c r="V242" s="167"/>
      <c r="W242" s="174" t="str">
        <f t="shared" si="18"/>
        <v/>
      </c>
      <c r="X242" s="167" t="str">
        <f>IFERROR(_xlfn.XLOOKUP($A242,Input_Raw!$A:$A,Input_Raw!$BF:$BF),"")</f>
        <v/>
      </c>
      <c r="Y242" s="167" t="str">
        <f>IFERROR(_xlfn.XLOOKUP($A242,Input_Raw!$A:$A,Input_Raw!BJ:BJ),"")</f>
        <v/>
      </c>
      <c r="Z242" s="167" t="str">
        <f>IFERROR(_xlfn.XLOOKUP($A242,Input_Raw!$A:$A,Input_Raw!BK:BK),"")</f>
        <v/>
      </c>
      <c r="AA242" s="167" t="str">
        <f>IFERROR(_xlfn.XLOOKUP($A242,Input_Raw!$A:$A,Input_Raw!BL:BL),"")</f>
        <v/>
      </c>
      <c r="AB242" s="167" t="str">
        <f>IFERROR(_xlfn.XLOOKUP($A242,Input_Raw!$A:$A,Input_Raw!$BO:$BO),"")</f>
        <v/>
      </c>
      <c r="AC242" s="176">
        <f>IFERROR(_xlfn.XLOOKUP($D242,'Modelling New'!$D:$D,'Modelling New'!$J:$J),"")</f>
        <v>8.33</v>
      </c>
      <c r="AD242" s="166">
        <f>IFERROR(_xlfn.XLOOKUP($D242,'Modelling New'!$D:$D,'Modelling New'!$T:$T)*1000,"")</f>
        <v>405674.73399014788</v>
      </c>
      <c r="AE242" s="174"/>
      <c r="AF242" s="174">
        <f>IFERROR(_xlfn.XLOOKUP($D242,'Modelling New'!$D:$D,'Modelling New'!$W:$W),"")</f>
        <v>0.24078509852216753</v>
      </c>
      <c r="AG242" s="174">
        <f>IFERROR(_xlfn.XLOOKUP($D242,'Modelling New'!$D:$D,'Modelling New'!$AE:$AE),"")</f>
        <v>0.96029999999999993</v>
      </c>
      <c r="AH242" s="174">
        <f>IFERROR(_xlfn.XLOOKUP($D242,'Modelling New'!$D:$D,'Modelling New'!$AF:$AF),"")</f>
        <v>0.995</v>
      </c>
      <c r="AI242" s="177" t="str">
        <f>IFERROR(_xlfn.XLOOKUP($A242,Input_Raw!$A:$A,Input_Raw!$BQ:$BQ),"")</f>
        <v/>
      </c>
      <c r="AJ242" s="167"/>
      <c r="AK242" s="167"/>
      <c r="AL242" s="167"/>
      <c r="AM242" s="167"/>
      <c r="AN242" s="175" t="str">
        <f>IFERROR(_xlfn.XLOOKUP($A242,Input_Raw!$A:$A,Input_Raw!$BN:$BN),"")</f>
        <v/>
      </c>
      <c r="AO242" s="174" t="str">
        <f>IFERROR((_xlfn.XLOOKUP($A242,'WTG Reactive Power'!$A:$A,'WTG Reactive Power'!$AE:$AE))/Table13[[#This Row],[Gen_Exp (kWh)]],"")</f>
        <v/>
      </c>
      <c r="AP242" s="174">
        <f>IFERROR(_xlfn.XLOOKUP($D242,'Modelling New'!$D:$D,'Modelling New'!$AK:$AK),"")</f>
        <v>0.05</v>
      </c>
      <c r="AQ242" s="174">
        <f>IFERROR(_xlfn.XLOOKUP($D242,'Modelling New'!$D:$D,'Modelling New'!$AL:$AL),"")</f>
        <v>0.05</v>
      </c>
      <c r="AR242" s="276">
        <f>IFERROR(_xlfn.XLOOKUP($D242,'Modelling New'!$D:$D,'Modelling New'!$N:$N),"")</f>
        <v>70.2</v>
      </c>
      <c r="AS242" s="276"/>
    </row>
    <row r="243" spans="1:45">
      <c r="A243" s="165">
        <f t="shared" si="19"/>
        <v>45986</v>
      </c>
      <c r="B243" s="166">
        <f>YEAR(Table13[[#This Row],[Date]])+IF(MONTH(Table13[[#This Row],[Date]])&gt;=4,1,0)</f>
        <v>2026</v>
      </c>
      <c r="C243" s="167">
        <f>YEAR(Table13[[#This Row],[Date]])</f>
        <v>2025</v>
      </c>
      <c r="D243" s="168">
        <f>Table13[[#This Row],[Date]]-DAY(Table13[[#This Row],[Date]])+1</f>
        <v>45962</v>
      </c>
      <c r="E243" s="167">
        <f t="shared" si="16"/>
        <v>30</v>
      </c>
      <c r="F243" s="169"/>
      <c r="G243" s="176"/>
      <c r="H243" s="176"/>
      <c r="I243" s="176"/>
      <c r="J243" s="176"/>
      <c r="K243" s="171"/>
      <c r="L243" s="170"/>
      <c r="M243" s="170" t="str">
        <f>IFERROR(_xlfn.XLOOKUP($A243,Input_Raw!$A:$A,Input_Raw!BG:BG),"")</f>
        <v/>
      </c>
      <c r="N243" s="170" t="str">
        <f>IFERROR(_xlfn.XLOOKUP($A243,Input_Raw!$A:$A,Input_Raw!BH:BH),"")</f>
        <v/>
      </c>
      <c r="O243" s="173" t="str">
        <f t="shared" si="17"/>
        <v/>
      </c>
      <c r="P243" s="173" t="str">
        <f>IFERROR(1-SUMIF(WTG_BD!$F:$F,$A243,WTG_BD!$AA:$AA)/($AA243+SUMIF(WTG_BD!$F:$F,$A243,WTG_BD!$AA:$AA)),"")</f>
        <v/>
      </c>
      <c r="Q243" s="173" t="str">
        <f>IFERROR(1-SUMIF(IGA_BD!$F:$F,$A243,IGA_BD!$X:$X)/($AA243+SUMIF(IGA_BD!$F:$F,$A243,IGA_BD!$X:$X)),"")</f>
        <v/>
      </c>
      <c r="R243" s="173" t="str">
        <f>IFERROR(1-SUMIF(Grid_BD!$F:$F,$A243,Grid_BD!$Y:$Y)/($AA243+SUMIF(Grid_BD!$F:$F,$A243,Grid_BD!$Y:$Y)),"")</f>
        <v/>
      </c>
      <c r="S243" s="167"/>
      <c r="T243" s="172"/>
      <c r="U243" s="173"/>
      <c r="V243" s="167"/>
      <c r="W243" s="174" t="str">
        <f t="shared" si="18"/>
        <v/>
      </c>
      <c r="X243" s="167" t="str">
        <f>IFERROR(_xlfn.XLOOKUP($A243,Input_Raw!$A:$A,Input_Raw!$BF:$BF),"")</f>
        <v/>
      </c>
      <c r="Y243" s="167" t="str">
        <f>IFERROR(_xlfn.XLOOKUP($A243,Input_Raw!$A:$A,Input_Raw!BJ:BJ),"")</f>
        <v/>
      </c>
      <c r="Z243" s="167" t="str">
        <f>IFERROR(_xlfn.XLOOKUP($A243,Input_Raw!$A:$A,Input_Raw!BK:BK),"")</f>
        <v/>
      </c>
      <c r="AA243" s="167" t="str">
        <f>IFERROR(_xlfn.XLOOKUP($A243,Input_Raw!$A:$A,Input_Raw!BL:BL),"")</f>
        <v/>
      </c>
      <c r="AB243" s="167" t="str">
        <f>IFERROR(_xlfn.XLOOKUP($A243,Input_Raw!$A:$A,Input_Raw!$BO:$BO),"")</f>
        <v/>
      </c>
      <c r="AC243" s="176">
        <f>IFERROR(_xlfn.XLOOKUP($D243,'Modelling New'!$D:$D,'Modelling New'!$J:$J),"")</f>
        <v>8.33</v>
      </c>
      <c r="AD243" s="166">
        <f>IFERROR(_xlfn.XLOOKUP($D243,'Modelling New'!$D:$D,'Modelling New'!$T:$T)*1000,"")</f>
        <v>405674.73399014788</v>
      </c>
      <c r="AE243" s="174"/>
      <c r="AF243" s="174">
        <f>IFERROR(_xlfn.XLOOKUP($D243,'Modelling New'!$D:$D,'Modelling New'!$W:$W),"")</f>
        <v>0.24078509852216753</v>
      </c>
      <c r="AG243" s="174">
        <f>IFERROR(_xlfn.XLOOKUP($D243,'Modelling New'!$D:$D,'Modelling New'!$AE:$AE),"")</f>
        <v>0.96029999999999993</v>
      </c>
      <c r="AH243" s="174">
        <f>IFERROR(_xlfn.XLOOKUP($D243,'Modelling New'!$D:$D,'Modelling New'!$AF:$AF),"")</f>
        <v>0.995</v>
      </c>
      <c r="AI243" s="177" t="str">
        <f>IFERROR(_xlfn.XLOOKUP($A243,Input_Raw!$A:$A,Input_Raw!$BQ:$BQ),"")</f>
        <v/>
      </c>
      <c r="AJ243" s="167"/>
      <c r="AK243" s="167"/>
      <c r="AL243" s="167"/>
      <c r="AM243" s="167"/>
      <c r="AN243" s="175" t="str">
        <f>IFERROR(_xlfn.XLOOKUP($A243,Input_Raw!$A:$A,Input_Raw!$BN:$BN),"")</f>
        <v/>
      </c>
      <c r="AO243" s="174" t="str">
        <f>IFERROR((_xlfn.XLOOKUP($A243,'WTG Reactive Power'!$A:$A,'WTG Reactive Power'!$AE:$AE))/Table13[[#This Row],[Gen_Exp (kWh)]],"")</f>
        <v/>
      </c>
      <c r="AP243" s="174">
        <f>IFERROR(_xlfn.XLOOKUP($D243,'Modelling New'!$D:$D,'Modelling New'!$AK:$AK),"")</f>
        <v>0.05</v>
      </c>
      <c r="AQ243" s="174">
        <f>IFERROR(_xlfn.XLOOKUP($D243,'Modelling New'!$D:$D,'Modelling New'!$AL:$AL),"")</f>
        <v>0.05</v>
      </c>
      <c r="AR243" s="276">
        <f>IFERROR(_xlfn.XLOOKUP($D243,'Modelling New'!$D:$D,'Modelling New'!$N:$N),"")</f>
        <v>70.2</v>
      </c>
      <c r="AS243" s="276"/>
    </row>
    <row r="244" spans="1:45">
      <c r="A244" s="165">
        <f t="shared" si="19"/>
        <v>45987</v>
      </c>
      <c r="B244" s="166">
        <f>YEAR(Table13[[#This Row],[Date]])+IF(MONTH(Table13[[#This Row],[Date]])&gt;=4,1,0)</f>
        <v>2026</v>
      </c>
      <c r="C244" s="167">
        <f>YEAR(Table13[[#This Row],[Date]])</f>
        <v>2025</v>
      </c>
      <c r="D244" s="168">
        <f>Table13[[#This Row],[Date]]-DAY(Table13[[#This Row],[Date]])+1</f>
        <v>45962</v>
      </c>
      <c r="E244" s="167">
        <f t="shared" si="16"/>
        <v>30</v>
      </c>
      <c r="F244" s="169"/>
      <c r="G244" s="170"/>
      <c r="H244" s="170"/>
      <c r="I244" s="170"/>
      <c r="J244" s="170"/>
      <c r="K244" s="171"/>
      <c r="L244" s="170"/>
      <c r="M244" s="170" t="str">
        <f>IFERROR(_xlfn.XLOOKUP($A244,Input_Raw!$A:$A,Input_Raw!BG:BG),"")</f>
        <v/>
      </c>
      <c r="N244" s="170" t="str">
        <f>IFERROR(_xlfn.XLOOKUP($A244,Input_Raw!$A:$A,Input_Raw!BH:BH),"")</f>
        <v/>
      </c>
      <c r="O244" s="173" t="str">
        <f t="shared" si="17"/>
        <v/>
      </c>
      <c r="P244" s="173" t="str">
        <f>IFERROR(1-SUMIF(WTG_BD!$F:$F,$A244,WTG_BD!$AA:$AA)/($AA244+SUMIF(WTG_BD!$F:$F,$A244,WTG_BD!$AA:$AA)),"")</f>
        <v/>
      </c>
      <c r="Q244" s="173" t="str">
        <f>IFERROR(1-SUMIF(IGA_BD!$F:$F,$A244,IGA_BD!$X:$X)/($AA244+SUMIF(IGA_BD!$F:$F,$A244,IGA_BD!$X:$X)),"")</f>
        <v/>
      </c>
      <c r="R244" s="173" t="str">
        <f>IFERROR(1-SUMIF(Grid_BD!$F:$F,$A244,Grid_BD!$Y:$Y)/($AA244+SUMIF(Grid_BD!$F:$F,$A244,Grid_BD!$Y:$Y)),"")</f>
        <v/>
      </c>
      <c r="S244" s="167"/>
      <c r="T244" s="172"/>
      <c r="U244" s="173"/>
      <c r="V244" s="167"/>
      <c r="W244" s="174" t="str">
        <f t="shared" si="18"/>
        <v/>
      </c>
      <c r="X244" s="167" t="str">
        <f>IFERROR(_xlfn.XLOOKUP($A244,Input_Raw!$A:$A,Input_Raw!$BF:$BF),"")</f>
        <v/>
      </c>
      <c r="Y244" s="167" t="str">
        <f>IFERROR(_xlfn.XLOOKUP($A244,Input_Raw!$A:$A,Input_Raw!BJ:BJ),"")</f>
        <v/>
      </c>
      <c r="Z244" s="167" t="str">
        <f>IFERROR(_xlfn.XLOOKUP($A244,Input_Raw!$A:$A,Input_Raw!BK:BK),"")</f>
        <v/>
      </c>
      <c r="AA244" s="167" t="str">
        <f>IFERROR(_xlfn.XLOOKUP($A244,Input_Raw!$A:$A,Input_Raw!BL:BL),"")</f>
        <v/>
      </c>
      <c r="AB244" s="167" t="str">
        <f>IFERROR(_xlfn.XLOOKUP($A244,Input_Raw!$A:$A,Input_Raw!$BO:$BO),"")</f>
        <v/>
      </c>
      <c r="AC244" s="176">
        <f>IFERROR(_xlfn.XLOOKUP($D244,'Modelling New'!$D:$D,'Modelling New'!$J:$J),"")</f>
        <v>8.33</v>
      </c>
      <c r="AD244" s="166">
        <f>IFERROR(_xlfn.XLOOKUP($D244,'Modelling New'!$D:$D,'Modelling New'!$T:$T)*1000,"")</f>
        <v>405674.73399014788</v>
      </c>
      <c r="AE244" s="174"/>
      <c r="AF244" s="174">
        <f>IFERROR(_xlfn.XLOOKUP($D244,'Modelling New'!$D:$D,'Modelling New'!$W:$W),"")</f>
        <v>0.24078509852216753</v>
      </c>
      <c r="AG244" s="174">
        <f>IFERROR(_xlfn.XLOOKUP($D244,'Modelling New'!$D:$D,'Modelling New'!$AE:$AE),"")</f>
        <v>0.96029999999999993</v>
      </c>
      <c r="AH244" s="174">
        <f>IFERROR(_xlfn.XLOOKUP($D244,'Modelling New'!$D:$D,'Modelling New'!$AF:$AF),"")</f>
        <v>0.995</v>
      </c>
      <c r="AI244" s="177" t="str">
        <f>IFERROR(_xlfn.XLOOKUP($A244,Input_Raw!$A:$A,Input_Raw!$BQ:$BQ),"")</f>
        <v/>
      </c>
      <c r="AJ244" s="167"/>
      <c r="AK244" s="167"/>
      <c r="AL244" s="167"/>
      <c r="AM244" s="167"/>
      <c r="AN244" s="175" t="str">
        <f>IFERROR(_xlfn.XLOOKUP($A244,Input_Raw!$A:$A,Input_Raw!$BN:$BN),"")</f>
        <v/>
      </c>
      <c r="AO244" s="174" t="str">
        <f>IFERROR((_xlfn.XLOOKUP($A244,'WTG Reactive Power'!$A:$A,'WTG Reactive Power'!$AE:$AE))/Table13[[#This Row],[Gen_Exp (kWh)]],"")</f>
        <v/>
      </c>
      <c r="AP244" s="174">
        <f>IFERROR(_xlfn.XLOOKUP($D244,'Modelling New'!$D:$D,'Modelling New'!$AK:$AK),"")</f>
        <v>0.05</v>
      </c>
      <c r="AQ244" s="174">
        <f>IFERROR(_xlfn.XLOOKUP($D244,'Modelling New'!$D:$D,'Modelling New'!$AL:$AL),"")</f>
        <v>0.05</v>
      </c>
      <c r="AR244" s="276">
        <f>IFERROR(_xlfn.XLOOKUP($D244,'Modelling New'!$D:$D,'Modelling New'!$N:$N),"")</f>
        <v>70.2</v>
      </c>
      <c r="AS244" s="276"/>
    </row>
    <row r="245" spans="1:45">
      <c r="A245" s="165">
        <f t="shared" si="19"/>
        <v>45988</v>
      </c>
      <c r="B245" s="166">
        <f>YEAR(Table13[[#This Row],[Date]])+IF(MONTH(Table13[[#This Row],[Date]])&gt;=4,1,0)</f>
        <v>2026</v>
      </c>
      <c r="C245" s="167">
        <f>YEAR(Table13[[#This Row],[Date]])</f>
        <v>2025</v>
      </c>
      <c r="D245" s="168">
        <f>Table13[[#This Row],[Date]]-DAY(Table13[[#This Row],[Date]])+1</f>
        <v>45962</v>
      </c>
      <c r="E245" s="167">
        <f t="shared" si="16"/>
        <v>30</v>
      </c>
      <c r="F245" s="169"/>
      <c r="G245" s="176"/>
      <c r="H245" s="176"/>
      <c r="I245" s="176"/>
      <c r="J245" s="176"/>
      <c r="K245" s="171"/>
      <c r="L245" s="170"/>
      <c r="M245" s="170" t="str">
        <f>IFERROR(_xlfn.XLOOKUP($A245,Input_Raw!$A:$A,Input_Raw!BG:BG),"")</f>
        <v/>
      </c>
      <c r="N245" s="170" t="str">
        <f>IFERROR(_xlfn.XLOOKUP($A245,Input_Raw!$A:$A,Input_Raw!BH:BH),"")</f>
        <v/>
      </c>
      <c r="O245" s="173" t="str">
        <f t="shared" si="17"/>
        <v/>
      </c>
      <c r="P245" s="173" t="str">
        <f>IFERROR(1-SUMIF(WTG_BD!$F:$F,$A245,WTG_BD!$AA:$AA)/($AA245+SUMIF(WTG_BD!$F:$F,$A245,WTG_BD!$AA:$AA)),"")</f>
        <v/>
      </c>
      <c r="Q245" s="173" t="str">
        <f>IFERROR(1-SUMIF(IGA_BD!$F:$F,$A245,IGA_BD!$X:$X)/($AA245+SUMIF(IGA_BD!$F:$F,$A245,IGA_BD!$X:$X)),"")</f>
        <v/>
      </c>
      <c r="R245" s="173" t="str">
        <f>IFERROR(1-SUMIF(Grid_BD!$F:$F,$A245,Grid_BD!$Y:$Y)/($AA245+SUMIF(Grid_BD!$F:$F,$A245,Grid_BD!$Y:$Y)),"")</f>
        <v/>
      </c>
      <c r="S245" s="167"/>
      <c r="T245" s="172"/>
      <c r="U245" s="173"/>
      <c r="V245" s="167"/>
      <c r="W245" s="174" t="str">
        <f t="shared" si="18"/>
        <v/>
      </c>
      <c r="X245" s="167" t="str">
        <f>IFERROR(_xlfn.XLOOKUP($A245,Input_Raw!$A:$A,Input_Raw!$BF:$BF),"")</f>
        <v/>
      </c>
      <c r="Y245" s="167" t="str">
        <f>IFERROR(_xlfn.XLOOKUP($A245,Input_Raw!$A:$A,Input_Raw!BJ:BJ),"")</f>
        <v/>
      </c>
      <c r="Z245" s="167" t="str">
        <f>IFERROR(_xlfn.XLOOKUP($A245,Input_Raw!$A:$A,Input_Raw!BK:BK),"")</f>
        <v/>
      </c>
      <c r="AA245" s="167" t="str">
        <f>IFERROR(_xlfn.XLOOKUP($A245,Input_Raw!$A:$A,Input_Raw!BL:BL),"")</f>
        <v/>
      </c>
      <c r="AB245" s="167" t="str">
        <f>IFERROR(_xlfn.XLOOKUP($A245,Input_Raw!$A:$A,Input_Raw!$BO:$BO),"")</f>
        <v/>
      </c>
      <c r="AC245" s="176">
        <f>IFERROR(_xlfn.XLOOKUP($D245,'Modelling New'!$D:$D,'Modelling New'!$J:$J),"")</f>
        <v>8.33</v>
      </c>
      <c r="AD245" s="166">
        <f>IFERROR(_xlfn.XLOOKUP($D245,'Modelling New'!$D:$D,'Modelling New'!$T:$T)*1000,"")</f>
        <v>405674.73399014788</v>
      </c>
      <c r="AE245" s="174"/>
      <c r="AF245" s="174">
        <f>IFERROR(_xlfn.XLOOKUP($D245,'Modelling New'!$D:$D,'Modelling New'!$W:$W),"")</f>
        <v>0.24078509852216753</v>
      </c>
      <c r="AG245" s="174">
        <f>IFERROR(_xlfn.XLOOKUP($D245,'Modelling New'!$D:$D,'Modelling New'!$AE:$AE),"")</f>
        <v>0.96029999999999993</v>
      </c>
      <c r="AH245" s="174">
        <f>IFERROR(_xlfn.XLOOKUP($D245,'Modelling New'!$D:$D,'Modelling New'!$AF:$AF),"")</f>
        <v>0.995</v>
      </c>
      <c r="AI245" s="177" t="str">
        <f>IFERROR(_xlfn.XLOOKUP($A245,Input_Raw!$A:$A,Input_Raw!$BQ:$BQ),"")</f>
        <v/>
      </c>
      <c r="AJ245" s="167"/>
      <c r="AK245" s="167"/>
      <c r="AL245" s="167"/>
      <c r="AM245" s="167"/>
      <c r="AN245" s="175" t="str">
        <f>IFERROR(_xlfn.XLOOKUP($A245,Input_Raw!$A:$A,Input_Raw!$BN:$BN),"")</f>
        <v/>
      </c>
      <c r="AO245" s="174" t="str">
        <f>IFERROR((_xlfn.XLOOKUP($A245,'WTG Reactive Power'!$A:$A,'WTG Reactive Power'!$AE:$AE))/Table13[[#This Row],[Gen_Exp (kWh)]],"")</f>
        <v/>
      </c>
      <c r="AP245" s="174">
        <f>IFERROR(_xlfn.XLOOKUP($D245,'Modelling New'!$D:$D,'Modelling New'!$AK:$AK),"")</f>
        <v>0.05</v>
      </c>
      <c r="AQ245" s="174">
        <f>IFERROR(_xlfn.XLOOKUP($D245,'Modelling New'!$D:$D,'Modelling New'!$AL:$AL),"")</f>
        <v>0.05</v>
      </c>
      <c r="AR245" s="276">
        <f>IFERROR(_xlfn.XLOOKUP($D245,'Modelling New'!$D:$D,'Modelling New'!$N:$N),"")</f>
        <v>70.2</v>
      </c>
      <c r="AS245" s="276"/>
    </row>
    <row r="246" spans="1:45">
      <c r="A246" s="165">
        <f t="shared" si="19"/>
        <v>45989</v>
      </c>
      <c r="B246" s="166">
        <f>YEAR(Table13[[#This Row],[Date]])+IF(MONTH(Table13[[#This Row],[Date]])&gt;=4,1,0)</f>
        <v>2026</v>
      </c>
      <c r="C246" s="167">
        <f>YEAR(Table13[[#This Row],[Date]])</f>
        <v>2025</v>
      </c>
      <c r="D246" s="168">
        <f>Table13[[#This Row],[Date]]-DAY(Table13[[#This Row],[Date]])+1</f>
        <v>45962</v>
      </c>
      <c r="E246" s="167">
        <f t="shared" si="16"/>
        <v>30</v>
      </c>
      <c r="F246" s="169"/>
      <c r="G246" s="170"/>
      <c r="H246" s="170"/>
      <c r="I246" s="170"/>
      <c r="J246" s="170"/>
      <c r="K246" s="171"/>
      <c r="L246" s="170"/>
      <c r="M246" s="170" t="str">
        <f>IFERROR(_xlfn.XLOOKUP($A246,Input_Raw!$A:$A,Input_Raw!BG:BG),"")</f>
        <v/>
      </c>
      <c r="N246" s="170" t="str">
        <f>IFERROR(_xlfn.XLOOKUP($A246,Input_Raw!$A:$A,Input_Raw!BH:BH),"")</f>
        <v/>
      </c>
      <c r="O246" s="173" t="str">
        <f t="shared" si="17"/>
        <v/>
      </c>
      <c r="P246" s="173" t="str">
        <f>IFERROR(1-SUMIF(WTG_BD!$F:$F,$A246,WTG_BD!$AA:$AA)/($AA246+SUMIF(WTG_BD!$F:$F,$A246,WTG_BD!$AA:$AA)),"")</f>
        <v/>
      </c>
      <c r="Q246" s="173" t="str">
        <f>IFERROR(1-SUMIF(IGA_BD!$F:$F,$A246,IGA_BD!$X:$X)/($AA246+SUMIF(IGA_BD!$F:$F,$A246,IGA_BD!$X:$X)),"")</f>
        <v/>
      </c>
      <c r="R246" s="173" t="str">
        <f>IFERROR(1-SUMIF(Grid_BD!$F:$F,$A246,Grid_BD!$Y:$Y)/($AA246+SUMIF(Grid_BD!$F:$F,$A246,Grid_BD!$Y:$Y)),"")</f>
        <v/>
      </c>
      <c r="S246" s="167"/>
      <c r="T246" s="172"/>
      <c r="U246" s="173"/>
      <c r="V246" s="167"/>
      <c r="W246" s="174" t="str">
        <f t="shared" si="18"/>
        <v/>
      </c>
      <c r="X246" s="167" t="str">
        <f>IFERROR(_xlfn.XLOOKUP($A246,Input_Raw!$A:$A,Input_Raw!$BF:$BF),"")</f>
        <v/>
      </c>
      <c r="Y246" s="167" t="str">
        <f>IFERROR(_xlfn.XLOOKUP($A246,Input_Raw!$A:$A,Input_Raw!BJ:BJ),"")</f>
        <v/>
      </c>
      <c r="Z246" s="167" t="str">
        <f>IFERROR(_xlfn.XLOOKUP($A246,Input_Raw!$A:$A,Input_Raw!BK:BK),"")</f>
        <v/>
      </c>
      <c r="AA246" s="167" t="str">
        <f>IFERROR(_xlfn.XLOOKUP($A246,Input_Raw!$A:$A,Input_Raw!BL:BL),"")</f>
        <v/>
      </c>
      <c r="AB246" s="167" t="str">
        <f>IFERROR(_xlfn.XLOOKUP($A246,Input_Raw!$A:$A,Input_Raw!$BO:$BO),"")</f>
        <v/>
      </c>
      <c r="AC246" s="176">
        <f>IFERROR(_xlfn.XLOOKUP($D246,'Modelling New'!$D:$D,'Modelling New'!$J:$J),"")</f>
        <v>8.33</v>
      </c>
      <c r="AD246" s="166">
        <f>IFERROR(_xlfn.XLOOKUP($D246,'Modelling New'!$D:$D,'Modelling New'!$T:$T)*1000,"")</f>
        <v>405674.73399014788</v>
      </c>
      <c r="AE246" s="174"/>
      <c r="AF246" s="174">
        <f>IFERROR(_xlfn.XLOOKUP($D246,'Modelling New'!$D:$D,'Modelling New'!$W:$W),"")</f>
        <v>0.24078509852216753</v>
      </c>
      <c r="AG246" s="174">
        <f>IFERROR(_xlfn.XLOOKUP($D246,'Modelling New'!$D:$D,'Modelling New'!$AE:$AE),"")</f>
        <v>0.96029999999999993</v>
      </c>
      <c r="AH246" s="174">
        <f>IFERROR(_xlfn.XLOOKUP($D246,'Modelling New'!$D:$D,'Modelling New'!$AF:$AF),"")</f>
        <v>0.995</v>
      </c>
      <c r="AI246" s="177" t="str">
        <f>IFERROR(_xlfn.XLOOKUP($A246,Input_Raw!$A:$A,Input_Raw!$BQ:$BQ),"")</f>
        <v/>
      </c>
      <c r="AJ246" s="167"/>
      <c r="AK246" s="167"/>
      <c r="AL246" s="167"/>
      <c r="AM246" s="167"/>
      <c r="AN246" s="175" t="str">
        <f>IFERROR(_xlfn.XLOOKUP($A246,Input_Raw!$A:$A,Input_Raw!$BN:$BN),"")</f>
        <v/>
      </c>
      <c r="AO246" s="174" t="str">
        <f>IFERROR((_xlfn.XLOOKUP($A246,'WTG Reactive Power'!$A:$A,'WTG Reactive Power'!$AE:$AE))/Table13[[#This Row],[Gen_Exp (kWh)]],"")</f>
        <v/>
      </c>
      <c r="AP246" s="174">
        <f>IFERROR(_xlfn.XLOOKUP($D246,'Modelling New'!$D:$D,'Modelling New'!$AK:$AK),"")</f>
        <v>0.05</v>
      </c>
      <c r="AQ246" s="174">
        <f>IFERROR(_xlfn.XLOOKUP($D246,'Modelling New'!$D:$D,'Modelling New'!$AL:$AL),"")</f>
        <v>0.05</v>
      </c>
      <c r="AR246" s="276">
        <f>IFERROR(_xlfn.XLOOKUP($D246,'Modelling New'!$D:$D,'Modelling New'!$N:$N),"")</f>
        <v>70.2</v>
      </c>
      <c r="AS246" s="276"/>
    </row>
    <row r="247" spans="1:45">
      <c r="A247" s="165">
        <f t="shared" si="19"/>
        <v>45990</v>
      </c>
      <c r="B247" s="166">
        <f>YEAR(Table13[[#This Row],[Date]])+IF(MONTH(Table13[[#This Row],[Date]])&gt;=4,1,0)</f>
        <v>2026</v>
      </c>
      <c r="C247" s="167">
        <f>YEAR(Table13[[#This Row],[Date]])</f>
        <v>2025</v>
      </c>
      <c r="D247" s="168">
        <f>Table13[[#This Row],[Date]]-DAY(Table13[[#This Row],[Date]])+1</f>
        <v>45962</v>
      </c>
      <c r="E247" s="167">
        <f t="shared" si="16"/>
        <v>30</v>
      </c>
      <c r="F247" s="169"/>
      <c r="G247" s="176"/>
      <c r="H247" s="176"/>
      <c r="I247" s="176"/>
      <c r="J247" s="176"/>
      <c r="K247" s="171"/>
      <c r="L247" s="170"/>
      <c r="M247" s="170" t="str">
        <f>IFERROR(_xlfn.XLOOKUP($A247,Input_Raw!$A:$A,Input_Raw!BG:BG),"")</f>
        <v/>
      </c>
      <c r="N247" s="170" t="str">
        <f>IFERROR(_xlfn.XLOOKUP($A247,Input_Raw!$A:$A,Input_Raw!BH:BH),"")</f>
        <v/>
      </c>
      <c r="O247" s="173" t="str">
        <f t="shared" si="17"/>
        <v/>
      </c>
      <c r="P247" s="173" t="str">
        <f>IFERROR(1-SUMIF(WTG_BD!$F:$F,$A247,WTG_BD!$AA:$AA)/($AA247+SUMIF(WTG_BD!$F:$F,$A247,WTG_BD!$AA:$AA)),"")</f>
        <v/>
      </c>
      <c r="Q247" s="173" t="str">
        <f>IFERROR(1-SUMIF(IGA_BD!$F:$F,$A247,IGA_BD!$X:$X)/($AA247+SUMIF(IGA_BD!$F:$F,$A247,IGA_BD!$X:$X)),"")</f>
        <v/>
      </c>
      <c r="R247" s="173" t="str">
        <f>IFERROR(1-SUMIF(Grid_BD!$F:$F,$A247,Grid_BD!$Y:$Y)/($AA247+SUMIF(Grid_BD!$F:$F,$A247,Grid_BD!$Y:$Y)),"")</f>
        <v/>
      </c>
      <c r="S247" s="167"/>
      <c r="T247" s="172"/>
      <c r="U247" s="173"/>
      <c r="V247" s="167"/>
      <c r="W247" s="174" t="str">
        <f t="shared" si="18"/>
        <v/>
      </c>
      <c r="X247" s="167" t="str">
        <f>IFERROR(_xlfn.XLOOKUP($A247,Input_Raw!$A:$A,Input_Raw!$BF:$BF),"")</f>
        <v/>
      </c>
      <c r="Y247" s="167" t="str">
        <f>IFERROR(_xlfn.XLOOKUP($A247,Input_Raw!$A:$A,Input_Raw!BJ:BJ),"")</f>
        <v/>
      </c>
      <c r="Z247" s="167" t="str">
        <f>IFERROR(_xlfn.XLOOKUP($A247,Input_Raw!$A:$A,Input_Raw!BK:BK),"")</f>
        <v/>
      </c>
      <c r="AA247" s="167" t="str">
        <f>IFERROR(_xlfn.XLOOKUP($A247,Input_Raw!$A:$A,Input_Raw!BL:BL),"")</f>
        <v/>
      </c>
      <c r="AB247" s="167" t="str">
        <f>IFERROR(_xlfn.XLOOKUP($A247,Input_Raw!$A:$A,Input_Raw!$BO:$BO),"")</f>
        <v/>
      </c>
      <c r="AC247" s="176">
        <f>IFERROR(_xlfn.XLOOKUP($D247,'Modelling New'!$D:$D,'Modelling New'!$J:$J),"")</f>
        <v>8.33</v>
      </c>
      <c r="AD247" s="166">
        <f>IFERROR(_xlfn.XLOOKUP($D247,'Modelling New'!$D:$D,'Modelling New'!$T:$T)*1000,"")</f>
        <v>405674.73399014788</v>
      </c>
      <c r="AE247" s="174"/>
      <c r="AF247" s="174">
        <f>IFERROR(_xlfn.XLOOKUP($D247,'Modelling New'!$D:$D,'Modelling New'!$W:$W),"")</f>
        <v>0.24078509852216753</v>
      </c>
      <c r="AG247" s="174">
        <f>IFERROR(_xlfn.XLOOKUP($D247,'Modelling New'!$D:$D,'Modelling New'!$AE:$AE),"")</f>
        <v>0.96029999999999993</v>
      </c>
      <c r="AH247" s="174">
        <f>IFERROR(_xlfn.XLOOKUP($D247,'Modelling New'!$D:$D,'Modelling New'!$AF:$AF),"")</f>
        <v>0.995</v>
      </c>
      <c r="AI247" s="177" t="str">
        <f>IFERROR(_xlfn.XLOOKUP($A247,Input_Raw!$A:$A,Input_Raw!$BQ:$BQ),"")</f>
        <v/>
      </c>
      <c r="AJ247" s="167"/>
      <c r="AK247" s="167"/>
      <c r="AL247" s="167"/>
      <c r="AM247" s="167"/>
      <c r="AN247" s="175" t="str">
        <f>IFERROR(_xlfn.XLOOKUP($A247,Input_Raw!$A:$A,Input_Raw!$BN:$BN),"")</f>
        <v/>
      </c>
      <c r="AO247" s="174" t="str">
        <f>IFERROR((_xlfn.XLOOKUP($A247,'WTG Reactive Power'!$A:$A,'WTG Reactive Power'!$AE:$AE))/Table13[[#This Row],[Gen_Exp (kWh)]],"")</f>
        <v/>
      </c>
      <c r="AP247" s="174">
        <f>IFERROR(_xlfn.XLOOKUP($D247,'Modelling New'!$D:$D,'Modelling New'!$AK:$AK),"")</f>
        <v>0.05</v>
      </c>
      <c r="AQ247" s="174">
        <f>IFERROR(_xlfn.XLOOKUP($D247,'Modelling New'!$D:$D,'Modelling New'!$AL:$AL),"")</f>
        <v>0.05</v>
      </c>
      <c r="AR247" s="276">
        <f>IFERROR(_xlfn.XLOOKUP($D247,'Modelling New'!$D:$D,'Modelling New'!$N:$N),"")</f>
        <v>70.2</v>
      </c>
      <c r="AS247" s="276"/>
    </row>
    <row r="248" spans="1:45">
      <c r="A248" s="165">
        <f t="shared" si="19"/>
        <v>45991</v>
      </c>
      <c r="B248" s="166">
        <f>YEAR(Table13[[#This Row],[Date]])+IF(MONTH(Table13[[#This Row],[Date]])&gt;=4,1,0)</f>
        <v>2026</v>
      </c>
      <c r="C248" s="167">
        <f>YEAR(Table13[[#This Row],[Date]])</f>
        <v>2025</v>
      </c>
      <c r="D248" s="168">
        <f>Table13[[#This Row],[Date]]-DAY(Table13[[#This Row],[Date]])+1</f>
        <v>45962</v>
      </c>
      <c r="E248" s="167">
        <f t="shared" si="16"/>
        <v>30</v>
      </c>
      <c r="F248" s="169"/>
      <c r="G248" s="170"/>
      <c r="H248" s="170"/>
      <c r="I248" s="170"/>
      <c r="J248" s="170"/>
      <c r="K248" s="171"/>
      <c r="L248" s="170"/>
      <c r="M248" s="170" t="str">
        <f>IFERROR(_xlfn.XLOOKUP($A248,Input_Raw!$A:$A,Input_Raw!BG:BG),"")</f>
        <v/>
      </c>
      <c r="N248" s="170" t="str">
        <f>IFERROR(_xlfn.XLOOKUP($A248,Input_Raw!$A:$A,Input_Raw!BH:BH),"")</f>
        <v/>
      </c>
      <c r="O248" s="173" t="str">
        <f t="shared" si="17"/>
        <v/>
      </c>
      <c r="P248" s="173" t="str">
        <f>IFERROR(1-SUMIF(WTG_BD!$F:$F,$A248,WTG_BD!$AA:$AA)/($AA248+SUMIF(WTG_BD!$F:$F,$A248,WTG_BD!$AA:$AA)),"")</f>
        <v/>
      </c>
      <c r="Q248" s="173" t="str">
        <f>IFERROR(1-SUMIF(IGA_BD!$F:$F,$A248,IGA_BD!$X:$X)/($AA248+SUMIF(IGA_BD!$F:$F,$A248,IGA_BD!$X:$X)),"")</f>
        <v/>
      </c>
      <c r="R248" s="173" t="str">
        <f>IFERROR(1-SUMIF(Grid_BD!$F:$F,$A248,Grid_BD!$Y:$Y)/($AA248+SUMIF(Grid_BD!$F:$F,$A248,Grid_BD!$Y:$Y)),"")</f>
        <v/>
      </c>
      <c r="S248" s="167"/>
      <c r="T248" s="172"/>
      <c r="U248" s="173"/>
      <c r="V248" s="167"/>
      <c r="W248" s="174" t="str">
        <f t="shared" si="18"/>
        <v/>
      </c>
      <c r="X248" s="167" t="str">
        <f>IFERROR(_xlfn.XLOOKUP($A248,Input_Raw!$A:$A,Input_Raw!$BF:$BF),"")</f>
        <v/>
      </c>
      <c r="Y248" s="167" t="str">
        <f>IFERROR(_xlfn.XLOOKUP($A248,Input_Raw!$A:$A,Input_Raw!BJ:BJ),"")</f>
        <v/>
      </c>
      <c r="Z248" s="167" t="str">
        <f>IFERROR(_xlfn.XLOOKUP($A248,Input_Raw!$A:$A,Input_Raw!BK:BK),"")</f>
        <v/>
      </c>
      <c r="AA248" s="167" t="str">
        <f>IFERROR(_xlfn.XLOOKUP($A248,Input_Raw!$A:$A,Input_Raw!BL:BL),"")</f>
        <v/>
      </c>
      <c r="AB248" s="167" t="str">
        <f>IFERROR(_xlfn.XLOOKUP($A248,Input_Raw!$A:$A,Input_Raw!$BO:$BO),"")</f>
        <v/>
      </c>
      <c r="AC248" s="176">
        <f>IFERROR(_xlfn.XLOOKUP($D248,'Modelling New'!$D:$D,'Modelling New'!$J:$J),"")</f>
        <v>8.33</v>
      </c>
      <c r="AD248" s="166">
        <f>IFERROR(_xlfn.XLOOKUP($D248,'Modelling New'!$D:$D,'Modelling New'!$T:$T)*1000,"")</f>
        <v>405674.73399014788</v>
      </c>
      <c r="AE248" s="174"/>
      <c r="AF248" s="174">
        <f>IFERROR(_xlfn.XLOOKUP($D248,'Modelling New'!$D:$D,'Modelling New'!$W:$W),"")</f>
        <v>0.24078509852216753</v>
      </c>
      <c r="AG248" s="174">
        <f>IFERROR(_xlfn.XLOOKUP($D248,'Modelling New'!$D:$D,'Modelling New'!$AE:$AE),"")</f>
        <v>0.96029999999999993</v>
      </c>
      <c r="AH248" s="174">
        <f>IFERROR(_xlfn.XLOOKUP($D248,'Modelling New'!$D:$D,'Modelling New'!$AF:$AF),"")</f>
        <v>0.995</v>
      </c>
      <c r="AI248" s="177" t="str">
        <f>IFERROR(_xlfn.XLOOKUP($A248,Input_Raw!$A:$A,Input_Raw!$BQ:$BQ),"")</f>
        <v/>
      </c>
      <c r="AJ248" s="167"/>
      <c r="AK248" s="167"/>
      <c r="AL248" s="167"/>
      <c r="AM248" s="167"/>
      <c r="AN248" s="175" t="str">
        <f>IFERROR(_xlfn.XLOOKUP($A248,Input_Raw!$A:$A,Input_Raw!$BN:$BN),"")</f>
        <v/>
      </c>
      <c r="AO248" s="174" t="str">
        <f>IFERROR((_xlfn.XLOOKUP($A248,'WTG Reactive Power'!$A:$A,'WTG Reactive Power'!$AE:$AE))/Table13[[#This Row],[Gen_Exp (kWh)]],"")</f>
        <v/>
      </c>
      <c r="AP248" s="174">
        <f>IFERROR(_xlfn.XLOOKUP($D248,'Modelling New'!$D:$D,'Modelling New'!$AK:$AK),"")</f>
        <v>0.05</v>
      </c>
      <c r="AQ248" s="174">
        <f>IFERROR(_xlfn.XLOOKUP($D248,'Modelling New'!$D:$D,'Modelling New'!$AL:$AL),"")</f>
        <v>0.05</v>
      </c>
      <c r="AR248" s="276">
        <f>IFERROR(_xlfn.XLOOKUP($D248,'Modelling New'!$D:$D,'Modelling New'!$N:$N),"")</f>
        <v>70.2</v>
      </c>
      <c r="AS248" s="276"/>
    </row>
    <row r="249" spans="1:45">
      <c r="A249" s="165">
        <f t="shared" si="19"/>
        <v>45992</v>
      </c>
      <c r="B249" s="166">
        <f>YEAR(Table13[[#This Row],[Date]])+IF(MONTH(Table13[[#This Row],[Date]])&gt;=4,1,0)</f>
        <v>2026</v>
      </c>
      <c r="C249" s="167">
        <f>YEAR(Table13[[#This Row],[Date]])</f>
        <v>2025</v>
      </c>
      <c r="D249" s="168">
        <f>Table13[[#This Row],[Date]]-DAY(Table13[[#This Row],[Date]])+1</f>
        <v>45992</v>
      </c>
      <c r="E249" s="167">
        <f t="shared" si="16"/>
        <v>31</v>
      </c>
      <c r="F249" s="169"/>
      <c r="G249" s="176"/>
      <c r="H249" s="176"/>
      <c r="I249" s="176"/>
      <c r="J249" s="176"/>
      <c r="K249" s="171"/>
      <c r="L249" s="170"/>
      <c r="M249" s="170" t="str">
        <f>IFERROR(_xlfn.XLOOKUP($A249,Input_Raw!$A:$A,Input_Raw!BG:BG),"")</f>
        <v/>
      </c>
      <c r="N249" s="170" t="str">
        <f>IFERROR(_xlfn.XLOOKUP($A249,Input_Raw!$A:$A,Input_Raw!BH:BH),"")</f>
        <v/>
      </c>
      <c r="O249" s="173" t="str">
        <f t="shared" si="17"/>
        <v/>
      </c>
      <c r="P249" s="173" t="str">
        <f>IFERROR(1-SUMIF(WTG_BD!$F:$F,$A249,WTG_BD!$AA:$AA)/($AA249+SUMIF(WTG_BD!$F:$F,$A249,WTG_BD!$AA:$AA)),"")</f>
        <v/>
      </c>
      <c r="Q249" s="173" t="str">
        <f>IFERROR(1-SUMIF(IGA_BD!$F:$F,$A249,IGA_BD!$X:$X)/($AA249+SUMIF(IGA_BD!$F:$F,$A249,IGA_BD!$X:$X)),"")</f>
        <v/>
      </c>
      <c r="R249" s="173" t="str">
        <f>IFERROR(1-SUMIF(Grid_BD!$F:$F,$A249,Grid_BD!$Y:$Y)/($AA249+SUMIF(Grid_BD!$F:$F,$A249,Grid_BD!$Y:$Y)),"")</f>
        <v/>
      </c>
      <c r="S249" s="167"/>
      <c r="T249" s="172"/>
      <c r="U249" s="173"/>
      <c r="V249" s="167"/>
      <c r="W249" s="174" t="str">
        <f t="shared" si="18"/>
        <v/>
      </c>
      <c r="X249" s="167" t="str">
        <f>IFERROR(_xlfn.XLOOKUP($A249,Input_Raw!$A:$A,Input_Raw!$BF:$BF),"")</f>
        <v/>
      </c>
      <c r="Y249" s="167" t="str">
        <f>IFERROR(_xlfn.XLOOKUP($A249,Input_Raw!$A:$A,Input_Raw!BJ:BJ),"")</f>
        <v/>
      </c>
      <c r="Z249" s="167" t="str">
        <f>IFERROR(_xlfn.XLOOKUP($A249,Input_Raw!$A:$A,Input_Raw!BK:BK),"")</f>
        <v/>
      </c>
      <c r="AA249" s="167" t="str">
        <f>IFERROR(_xlfn.XLOOKUP($A249,Input_Raw!$A:$A,Input_Raw!BL:BL),"")</f>
        <v/>
      </c>
      <c r="AB249" s="167" t="str">
        <f>IFERROR(_xlfn.XLOOKUP($A249,Input_Raw!$A:$A,Input_Raw!$BO:$BO),"")</f>
        <v/>
      </c>
      <c r="AC249" s="176">
        <f>IFERROR(_xlfn.XLOOKUP($D249,'Modelling New'!$D:$D,'Modelling New'!$J:$J),"")</f>
        <v>6.95</v>
      </c>
      <c r="AD249" s="166">
        <f>IFERROR(_xlfn.XLOOKUP($D249,'Modelling New'!$D:$D,'Modelling New'!$T:$T)*1000,"")</f>
        <v>574435.4233300495</v>
      </c>
      <c r="AE249" s="174"/>
      <c r="AF249" s="174">
        <f>IFERROR(_xlfn.XLOOKUP($D249,'Modelling New'!$D:$D,'Modelling New'!$W:$W),"")</f>
        <v>0.34095169950738929</v>
      </c>
      <c r="AG249" s="174">
        <f>IFERROR(_xlfn.XLOOKUP($D249,'Modelling New'!$D:$D,'Modelling New'!$AE:$AE),"")</f>
        <v>0.96029999999999993</v>
      </c>
      <c r="AH249" s="174">
        <f>IFERROR(_xlfn.XLOOKUP($D249,'Modelling New'!$D:$D,'Modelling New'!$AF:$AF),"")</f>
        <v>0.995</v>
      </c>
      <c r="AI249" s="177" t="str">
        <f>IFERROR(_xlfn.XLOOKUP($A249,Input_Raw!$A:$A,Input_Raw!$BQ:$BQ),"")</f>
        <v/>
      </c>
      <c r="AJ249" s="167"/>
      <c r="AK249" s="167"/>
      <c r="AL249" s="167"/>
      <c r="AM249" s="167"/>
      <c r="AN249" s="175" t="str">
        <f>IFERROR(_xlfn.XLOOKUP($A249,Input_Raw!$A:$A,Input_Raw!$BN:$BN),"")</f>
        <v/>
      </c>
      <c r="AO249" s="174" t="str">
        <f>IFERROR((_xlfn.XLOOKUP($A249,'WTG Reactive Power'!$A:$A,'WTG Reactive Power'!$AE:$AE))/Table13[[#This Row],[Gen_Exp (kWh)]],"")</f>
        <v/>
      </c>
      <c r="AP249" s="174">
        <f>IFERROR(_xlfn.XLOOKUP($D249,'Modelling New'!$D:$D,'Modelling New'!$AK:$AK),"")</f>
        <v>0.05</v>
      </c>
      <c r="AQ249" s="174">
        <f>IFERROR(_xlfn.XLOOKUP($D249,'Modelling New'!$D:$D,'Modelling New'!$AL:$AL),"")</f>
        <v>0.05</v>
      </c>
      <c r="AR249" s="276">
        <f>IFERROR(_xlfn.XLOOKUP($D249,'Modelling New'!$D:$D,'Modelling New'!$N:$N),"")</f>
        <v>70.2</v>
      </c>
      <c r="AS249" s="276"/>
    </row>
    <row r="250" spans="1:45">
      <c r="A250" s="165">
        <f t="shared" si="19"/>
        <v>45993</v>
      </c>
      <c r="B250" s="166">
        <f>YEAR(Table13[[#This Row],[Date]])+IF(MONTH(Table13[[#This Row],[Date]])&gt;=4,1,0)</f>
        <v>2026</v>
      </c>
      <c r="C250" s="167">
        <f>YEAR(Table13[[#This Row],[Date]])</f>
        <v>2025</v>
      </c>
      <c r="D250" s="168">
        <f>Table13[[#This Row],[Date]]-DAY(Table13[[#This Row],[Date]])+1</f>
        <v>45992</v>
      </c>
      <c r="E250" s="167">
        <f t="shared" si="16"/>
        <v>31</v>
      </c>
      <c r="F250" s="169"/>
      <c r="G250" s="170"/>
      <c r="H250" s="170"/>
      <c r="I250" s="170"/>
      <c r="J250" s="170"/>
      <c r="K250" s="171"/>
      <c r="L250" s="170"/>
      <c r="M250" s="170" t="str">
        <f>IFERROR(_xlfn.XLOOKUP($A250,Input_Raw!$A:$A,Input_Raw!BG:BG),"")</f>
        <v/>
      </c>
      <c r="N250" s="170" t="str">
        <f>IFERROR(_xlfn.XLOOKUP($A250,Input_Raw!$A:$A,Input_Raw!BH:BH),"")</f>
        <v/>
      </c>
      <c r="O250" s="173" t="str">
        <f t="shared" si="17"/>
        <v/>
      </c>
      <c r="P250" s="173" t="str">
        <f>IFERROR(1-SUMIF(WTG_BD!$F:$F,$A250,WTG_BD!$AA:$AA)/($AA250+SUMIF(WTG_BD!$F:$F,$A250,WTG_BD!$AA:$AA)),"")</f>
        <v/>
      </c>
      <c r="Q250" s="173" t="str">
        <f>IFERROR(1-SUMIF(IGA_BD!$F:$F,$A250,IGA_BD!$X:$X)/($AA250+SUMIF(IGA_BD!$F:$F,$A250,IGA_BD!$X:$X)),"")</f>
        <v/>
      </c>
      <c r="R250" s="173" t="str">
        <f>IFERROR(1-SUMIF(Grid_BD!$F:$F,$A250,Grid_BD!$Y:$Y)/($AA250+SUMIF(Grid_BD!$F:$F,$A250,Grid_BD!$Y:$Y)),"")</f>
        <v/>
      </c>
      <c r="S250" s="167"/>
      <c r="T250" s="172"/>
      <c r="U250" s="173"/>
      <c r="V250" s="167"/>
      <c r="W250" s="174" t="str">
        <f t="shared" si="18"/>
        <v/>
      </c>
      <c r="X250" s="167" t="str">
        <f>IFERROR(_xlfn.XLOOKUP($A250,Input_Raw!$A:$A,Input_Raw!$BF:$BF),"")</f>
        <v/>
      </c>
      <c r="Y250" s="167" t="str">
        <f>IFERROR(_xlfn.XLOOKUP($A250,Input_Raw!$A:$A,Input_Raw!BJ:BJ),"")</f>
        <v/>
      </c>
      <c r="Z250" s="167" t="str">
        <f>IFERROR(_xlfn.XLOOKUP($A250,Input_Raw!$A:$A,Input_Raw!BK:BK),"")</f>
        <v/>
      </c>
      <c r="AA250" s="167" t="str">
        <f>IFERROR(_xlfn.XLOOKUP($A250,Input_Raw!$A:$A,Input_Raw!BL:BL),"")</f>
        <v/>
      </c>
      <c r="AB250" s="167" t="str">
        <f>IFERROR(_xlfn.XLOOKUP($A250,Input_Raw!$A:$A,Input_Raw!$BO:$BO),"")</f>
        <v/>
      </c>
      <c r="AC250" s="176">
        <f>IFERROR(_xlfn.XLOOKUP($D250,'Modelling New'!$D:$D,'Modelling New'!$J:$J),"")</f>
        <v>6.95</v>
      </c>
      <c r="AD250" s="166">
        <f>IFERROR(_xlfn.XLOOKUP($D250,'Modelling New'!$D:$D,'Modelling New'!$T:$T)*1000,"")</f>
        <v>574435.4233300495</v>
      </c>
      <c r="AE250" s="174"/>
      <c r="AF250" s="174">
        <f>IFERROR(_xlfn.XLOOKUP($D250,'Modelling New'!$D:$D,'Modelling New'!$W:$W),"")</f>
        <v>0.34095169950738929</v>
      </c>
      <c r="AG250" s="174">
        <f>IFERROR(_xlfn.XLOOKUP($D250,'Modelling New'!$D:$D,'Modelling New'!$AE:$AE),"")</f>
        <v>0.96029999999999993</v>
      </c>
      <c r="AH250" s="174">
        <f>IFERROR(_xlfn.XLOOKUP($D250,'Modelling New'!$D:$D,'Modelling New'!$AF:$AF),"")</f>
        <v>0.995</v>
      </c>
      <c r="AI250" s="177" t="str">
        <f>IFERROR(_xlfn.XLOOKUP($A250,Input_Raw!$A:$A,Input_Raw!$BQ:$BQ),"")</f>
        <v/>
      </c>
      <c r="AJ250" s="167"/>
      <c r="AK250" s="167"/>
      <c r="AL250" s="167"/>
      <c r="AM250" s="167"/>
      <c r="AN250" s="175" t="str">
        <f>IFERROR(_xlfn.XLOOKUP($A250,Input_Raw!$A:$A,Input_Raw!$BN:$BN),"")</f>
        <v/>
      </c>
      <c r="AO250" s="174" t="str">
        <f>IFERROR((_xlfn.XLOOKUP($A250,'WTG Reactive Power'!$A:$A,'WTG Reactive Power'!$AE:$AE))/Table13[[#This Row],[Gen_Exp (kWh)]],"")</f>
        <v/>
      </c>
      <c r="AP250" s="174">
        <f>IFERROR(_xlfn.XLOOKUP($D250,'Modelling New'!$D:$D,'Modelling New'!$AK:$AK),"")</f>
        <v>0.05</v>
      </c>
      <c r="AQ250" s="174">
        <f>IFERROR(_xlfn.XLOOKUP($D250,'Modelling New'!$D:$D,'Modelling New'!$AL:$AL),"")</f>
        <v>0.05</v>
      </c>
      <c r="AR250" s="276">
        <f>IFERROR(_xlfn.XLOOKUP($D250,'Modelling New'!$D:$D,'Modelling New'!$N:$N),"")</f>
        <v>70.2</v>
      </c>
      <c r="AS250" s="276"/>
    </row>
    <row r="251" spans="1:45">
      <c r="A251" s="165">
        <f t="shared" si="19"/>
        <v>45994</v>
      </c>
      <c r="B251" s="166">
        <f>YEAR(Table13[[#This Row],[Date]])+IF(MONTH(Table13[[#This Row],[Date]])&gt;=4,1,0)</f>
        <v>2026</v>
      </c>
      <c r="C251" s="167">
        <f>YEAR(Table13[[#This Row],[Date]])</f>
        <v>2025</v>
      </c>
      <c r="D251" s="168">
        <f>Table13[[#This Row],[Date]]-DAY(Table13[[#This Row],[Date]])+1</f>
        <v>45992</v>
      </c>
      <c r="E251" s="167">
        <f t="shared" si="16"/>
        <v>31</v>
      </c>
      <c r="F251" s="169"/>
      <c r="G251" s="176"/>
      <c r="H251" s="176"/>
      <c r="I251" s="176"/>
      <c r="J251" s="176"/>
      <c r="K251" s="171"/>
      <c r="L251" s="170"/>
      <c r="M251" s="170" t="str">
        <f>IFERROR(_xlfn.XLOOKUP($A251,Input_Raw!$A:$A,Input_Raw!BG:BG),"")</f>
        <v/>
      </c>
      <c r="N251" s="170" t="str">
        <f>IFERROR(_xlfn.XLOOKUP($A251,Input_Raw!$A:$A,Input_Raw!BH:BH),"")</f>
        <v/>
      </c>
      <c r="O251" s="173" t="str">
        <f t="shared" si="17"/>
        <v/>
      </c>
      <c r="P251" s="173" t="str">
        <f>IFERROR(1-SUMIF(WTG_BD!$F:$F,$A251,WTG_BD!$AA:$AA)/($AA251+SUMIF(WTG_BD!$F:$F,$A251,WTG_BD!$AA:$AA)),"")</f>
        <v/>
      </c>
      <c r="Q251" s="173" t="str">
        <f>IFERROR(1-SUMIF(IGA_BD!$F:$F,$A251,IGA_BD!$X:$X)/($AA251+SUMIF(IGA_BD!$F:$F,$A251,IGA_BD!$X:$X)),"")</f>
        <v/>
      </c>
      <c r="R251" s="173" t="str">
        <f>IFERROR(1-SUMIF(Grid_BD!$F:$F,$A251,Grid_BD!$Y:$Y)/($AA251+SUMIF(Grid_BD!$F:$F,$A251,Grid_BD!$Y:$Y)),"")</f>
        <v/>
      </c>
      <c r="S251" s="167"/>
      <c r="T251" s="172"/>
      <c r="U251" s="173"/>
      <c r="V251" s="167"/>
      <c r="W251" s="174" t="str">
        <f t="shared" si="18"/>
        <v/>
      </c>
      <c r="X251" s="167" t="str">
        <f>IFERROR(_xlfn.XLOOKUP($A251,Input_Raw!$A:$A,Input_Raw!$BF:$BF),"")</f>
        <v/>
      </c>
      <c r="Y251" s="167" t="str">
        <f>IFERROR(_xlfn.XLOOKUP($A251,Input_Raw!$A:$A,Input_Raw!BJ:BJ),"")</f>
        <v/>
      </c>
      <c r="Z251" s="167" t="str">
        <f>IFERROR(_xlfn.XLOOKUP($A251,Input_Raw!$A:$A,Input_Raw!BK:BK),"")</f>
        <v/>
      </c>
      <c r="AA251" s="167" t="str">
        <f>IFERROR(_xlfn.XLOOKUP($A251,Input_Raw!$A:$A,Input_Raw!BL:BL),"")</f>
        <v/>
      </c>
      <c r="AB251" s="167" t="str">
        <f>IFERROR(_xlfn.XLOOKUP($A251,Input_Raw!$A:$A,Input_Raw!$BO:$BO),"")</f>
        <v/>
      </c>
      <c r="AC251" s="176">
        <f>IFERROR(_xlfn.XLOOKUP($D251,'Modelling New'!$D:$D,'Modelling New'!$J:$J),"")</f>
        <v>6.95</v>
      </c>
      <c r="AD251" s="166">
        <f>IFERROR(_xlfn.XLOOKUP($D251,'Modelling New'!$D:$D,'Modelling New'!$T:$T)*1000,"")</f>
        <v>574435.4233300495</v>
      </c>
      <c r="AE251" s="174"/>
      <c r="AF251" s="174">
        <f>IFERROR(_xlfn.XLOOKUP($D251,'Modelling New'!$D:$D,'Modelling New'!$W:$W),"")</f>
        <v>0.34095169950738929</v>
      </c>
      <c r="AG251" s="174">
        <f>IFERROR(_xlfn.XLOOKUP($D251,'Modelling New'!$D:$D,'Modelling New'!$AE:$AE),"")</f>
        <v>0.96029999999999993</v>
      </c>
      <c r="AH251" s="174">
        <f>IFERROR(_xlfn.XLOOKUP($D251,'Modelling New'!$D:$D,'Modelling New'!$AF:$AF),"")</f>
        <v>0.995</v>
      </c>
      <c r="AI251" s="177" t="str">
        <f>IFERROR(_xlfn.XLOOKUP($A251,Input_Raw!$A:$A,Input_Raw!$BQ:$BQ),"")</f>
        <v/>
      </c>
      <c r="AJ251" s="167"/>
      <c r="AK251" s="167"/>
      <c r="AL251" s="167"/>
      <c r="AM251" s="167"/>
      <c r="AN251" s="175" t="str">
        <f>IFERROR(_xlfn.XLOOKUP($A251,Input_Raw!$A:$A,Input_Raw!$BN:$BN),"")</f>
        <v/>
      </c>
      <c r="AO251" s="174" t="str">
        <f>IFERROR((_xlfn.XLOOKUP($A251,'WTG Reactive Power'!$A:$A,'WTG Reactive Power'!$AE:$AE))/Table13[[#This Row],[Gen_Exp (kWh)]],"")</f>
        <v/>
      </c>
      <c r="AP251" s="174">
        <f>IFERROR(_xlfn.XLOOKUP($D251,'Modelling New'!$D:$D,'Modelling New'!$AK:$AK),"")</f>
        <v>0.05</v>
      </c>
      <c r="AQ251" s="174">
        <f>IFERROR(_xlfn.XLOOKUP($D251,'Modelling New'!$D:$D,'Modelling New'!$AL:$AL),"")</f>
        <v>0.05</v>
      </c>
      <c r="AR251" s="276">
        <f>IFERROR(_xlfn.XLOOKUP($D251,'Modelling New'!$D:$D,'Modelling New'!$N:$N),"")</f>
        <v>70.2</v>
      </c>
      <c r="AS251" s="276"/>
    </row>
    <row r="252" spans="1:45">
      <c r="A252" s="165">
        <f t="shared" si="19"/>
        <v>45995</v>
      </c>
      <c r="B252" s="166">
        <f>YEAR(Table13[[#This Row],[Date]])+IF(MONTH(Table13[[#This Row],[Date]])&gt;=4,1,0)</f>
        <v>2026</v>
      </c>
      <c r="C252" s="167">
        <f>YEAR(Table13[[#This Row],[Date]])</f>
        <v>2025</v>
      </c>
      <c r="D252" s="168">
        <f>Table13[[#This Row],[Date]]-DAY(Table13[[#This Row],[Date]])+1</f>
        <v>45992</v>
      </c>
      <c r="E252" s="167">
        <f t="shared" si="16"/>
        <v>31</v>
      </c>
      <c r="F252" s="169"/>
      <c r="G252" s="170"/>
      <c r="H252" s="170"/>
      <c r="I252" s="170"/>
      <c r="J252" s="170"/>
      <c r="K252" s="171"/>
      <c r="L252" s="170"/>
      <c r="M252" s="170" t="str">
        <f>IFERROR(_xlfn.XLOOKUP($A252,Input_Raw!$A:$A,Input_Raw!BG:BG),"")</f>
        <v/>
      </c>
      <c r="N252" s="170" t="str">
        <f>IFERROR(_xlfn.XLOOKUP($A252,Input_Raw!$A:$A,Input_Raw!BH:BH),"")</f>
        <v/>
      </c>
      <c r="O252" s="173" t="str">
        <f t="shared" si="17"/>
        <v/>
      </c>
      <c r="P252" s="173" t="str">
        <f>IFERROR(1-SUMIF(WTG_BD!$F:$F,$A252,WTG_BD!$AA:$AA)/($AA252+SUMIF(WTG_BD!$F:$F,$A252,WTG_BD!$AA:$AA)),"")</f>
        <v/>
      </c>
      <c r="Q252" s="173" t="str">
        <f>IFERROR(1-SUMIF(IGA_BD!$F:$F,$A252,IGA_BD!$X:$X)/($AA252+SUMIF(IGA_BD!$F:$F,$A252,IGA_BD!$X:$X)),"")</f>
        <v/>
      </c>
      <c r="R252" s="173" t="str">
        <f>IFERROR(1-SUMIF(Grid_BD!$F:$F,$A252,Grid_BD!$Y:$Y)/($AA252+SUMIF(Grid_BD!$F:$F,$A252,Grid_BD!$Y:$Y)),"")</f>
        <v/>
      </c>
      <c r="S252" s="167"/>
      <c r="T252" s="172"/>
      <c r="U252" s="173"/>
      <c r="V252" s="167"/>
      <c r="W252" s="174" t="str">
        <f t="shared" si="18"/>
        <v/>
      </c>
      <c r="X252" s="167" t="str">
        <f>IFERROR(_xlfn.XLOOKUP($A252,Input_Raw!$A:$A,Input_Raw!$BF:$BF),"")</f>
        <v/>
      </c>
      <c r="Y252" s="167" t="str">
        <f>IFERROR(_xlfn.XLOOKUP($A252,Input_Raw!$A:$A,Input_Raw!BJ:BJ),"")</f>
        <v/>
      </c>
      <c r="Z252" s="167" t="str">
        <f>IFERROR(_xlfn.XLOOKUP($A252,Input_Raw!$A:$A,Input_Raw!BK:BK),"")</f>
        <v/>
      </c>
      <c r="AA252" s="167" t="str">
        <f>IFERROR(_xlfn.XLOOKUP($A252,Input_Raw!$A:$A,Input_Raw!BL:BL),"")</f>
        <v/>
      </c>
      <c r="AB252" s="167" t="str">
        <f>IFERROR(_xlfn.XLOOKUP($A252,Input_Raw!$A:$A,Input_Raw!$BO:$BO),"")</f>
        <v/>
      </c>
      <c r="AC252" s="176">
        <f>IFERROR(_xlfn.XLOOKUP($D252,'Modelling New'!$D:$D,'Modelling New'!$J:$J),"")</f>
        <v>6.95</v>
      </c>
      <c r="AD252" s="166">
        <f>IFERROR(_xlfn.XLOOKUP($D252,'Modelling New'!$D:$D,'Modelling New'!$T:$T)*1000,"")</f>
        <v>574435.4233300495</v>
      </c>
      <c r="AE252" s="174"/>
      <c r="AF252" s="174">
        <f>IFERROR(_xlfn.XLOOKUP($D252,'Modelling New'!$D:$D,'Modelling New'!$W:$W),"")</f>
        <v>0.34095169950738929</v>
      </c>
      <c r="AG252" s="174">
        <f>IFERROR(_xlfn.XLOOKUP($D252,'Modelling New'!$D:$D,'Modelling New'!$AE:$AE),"")</f>
        <v>0.96029999999999993</v>
      </c>
      <c r="AH252" s="174">
        <f>IFERROR(_xlfn.XLOOKUP($D252,'Modelling New'!$D:$D,'Modelling New'!$AF:$AF),"")</f>
        <v>0.995</v>
      </c>
      <c r="AI252" s="177" t="str">
        <f>IFERROR(_xlfn.XLOOKUP($A252,Input_Raw!$A:$A,Input_Raw!$BQ:$BQ),"")</f>
        <v/>
      </c>
      <c r="AJ252" s="167"/>
      <c r="AK252" s="167"/>
      <c r="AL252" s="167"/>
      <c r="AM252" s="167"/>
      <c r="AN252" s="175" t="str">
        <f>IFERROR(_xlfn.XLOOKUP($A252,Input_Raw!$A:$A,Input_Raw!$BN:$BN),"")</f>
        <v/>
      </c>
      <c r="AO252" s="174" t="str">
        <f>IFERROR((_xlfn.XLOOKUP($A252,'WTG Reactive Power'!$A:$A,'WTG Reactive Power'!$AE:$AE))/Table13[[#This Row],[Gen_Exp (kWh)]],"")</f>
        <v/>
      </c>
      <c r="AP252" s="174">
        <f>IFERROR(_xlfn.XLOOKUP($D252,'Modelling New'!$D:$D,'Modelling New'!$AK:$AK),"")</f>
        <v>0.05</v>
      </c>
      <c r="AQ252" s="174">
        <f>IFERROR(_xlfn.XLOOKUP($D252,'Modelling New'!$D:$D,'Modelling New'!$AL:$AL),"")</f>
        <v>0.05</v>
      </c>
      <c r="AR252" s="276">
        <f>IFERROR(_xlfn.XLOOKUP($D252,'Modelling New'!$D:$D,'Modelling New'!$N:$N),"")</f>
        <v>70.2</v>
      </c>
      <c r="AS252" s="276"/>
    </row>
    <row r="253" spans="1:45">
      <c r="A253" s="165">
        <f t="shared" si="19"/>
        <v>45996</v>
      </c>
      <c r="B253" s="166">
        <f>YEAR(Table13[[#This Row],[Date]])+IF(MONTH(Table13[[#This Row],[Date]])&gt;=4,1,0)</f>
        <v>2026</v>
      </c>
      <c r="C253" s="167">
        <f>YEAR(Table13[[#This Row],[Date]])</f>
        <v>2025</v>
      </c>
      <c r="D253" s="168">
        <f>Table13[[#This Row],[Date]]-DAY(Table13[[#This Row],[Date]])+1</f>
        <v>45992</v>
      </c>
      <c r="E253" s="167">
        <f t="shared" si="16"/>
        <v>31</v>
      </c>
      <c r="F253" s="169"/>
      <c r="G253" s="176"/>
      <c r="H253" s="176"/>
      <c r="I253" s="176"/>
      <c r="J253" s="176"/>
      <c r="K253" s="171"/>
      <c r="L253" s="170"/>
      <c r="M253" s="170" t="str">
        <f>IFERROR(_xlfn.XLOOKUP($A253,Input_Raw!$A:$A,Input_Raw!BG:BG),"")</f>
        <v/>
      </c>
      <c r="N253" s="170" t="str">
        <f>IFERROR(_xlfn.XLOOKUP($A253,Input_Raw!$A:$A,Input_Raw!BH:BH),"")</f>
        <v/>
      </c>
      <c r="O253" s="173" t="str">
        <f t="shared" si="17"/>
        <v/>
      </c>
      <c r="P253" s="173" t="str">
        <f>IFERROR(1-SUMIF(WTG_BD!$F:$F,$A253,WTG_BD!$AA:$AA)/($AA253+SUMIF(WTG_BD!$F:$F,$A253,WTG_BD!$AA:$AA)),"")</f>
        <v/>
      </c>
      <c r="Q253" s="173" t="str">
        <f>IFERROR(1-SUMIF(IGA_BD!$F:$F,$A253,IGA_BD!$X:$X)/($AA253+SUMIF(IGA_BD!$F:$F,$A253,IGA_BD!$X:$X)),"")</f>
        <v/>
      </c>
      <c r="R253" s="173" t="str">
        <f>IFERROR(1-SUMIF(Grid_BD!$F:$F,$A253,Grid_BD!$Y:$Y)/($AA253+SUMIF(Grid_BD!$F:$F,$A253,Grid_BD!$Y:$Y)),"")</f>
        <v/>
      </c>
      <c r="S253" s="167"/>
      <c r="T253" s="172"/>
      <c r="U253" s="173"/>
      <c r="V253" s="167"/>
      <c r="W253" s="174" t="str">
        <f t="shared" si="18"/>
        <v/>
      </c>
      <c r="X253" s="167" t="str">
        <f>IFERROR(_xlfn.XLOOKUP($A253,Input_Raw!$A:$A,Input_Raw!$BF:$BF),"")</f>
        <v/>
      </c>
      <c r="Y253" s="167" t="str">
        <f>IFERROR(_xlfn.XLOOKUP($A253,Input_Raw!$A:$A,Input_Raw!BJ:BJ),"")</f>
        <v/>
      </c>
      <c r="Z253" s="167" t="str">
        <f>IFERROR(_xlfn.XLOOKUP($A253,Input_Raw!$A:$A,Input_Raw!BK:BK),"")</f>
        <v/>
      </c>
      <c r="AA253" s="167" t="str">
        <f>IFERROR(_xlfn.XLOOKUP($A253,Input_Raw!$A:$A,Input_Raw!BL:BL),"")</f>
        <v/>
      </c>
      <c r="AB253" s="167" t="str">
        <f>IFERROR(_xlfn.XLOOKUP($A253,Input_Raw!$A:$A,Input_Raw!$BO:$BO),"")</f>
        <v/>
      </c>
      <c r="AC253" s="176">
        <f>IFERROR(_xlfn.XLOOKUP($D253,'Modelling New'!$D:$D,'Modelling New'!$J:$J),"")</f>
        <v>6.95</v>
      </c>
      <c r="AD253" s="166">
        <f>IFERROR(_xlfn.XLOOKUP($D253,'Modelling New'!$D:$D,'Modelling New'!$T:$T)*1000,"")</f>
        <v>574435.4233300495</v>
      </c>
      <c r="AE253" s="174"/>
      <c r="AF253" s="174">
        <f>IFERROR(_xlfn.XLOOKUP($D253,'Modelling New'!$D:$D,'Modelling New'!$W:$W),"")</f>
        <v>0.34095169950738929</v>
      </c>
      <c r="AG253" s="174">
        <f>IFERROR(_xlfn.XLOOKUP($D253,'Modelling New'!$D:$D,'Modelling New'!$AE:$AE),"")</f>
        <v>0.96029999999999993</v>
      </c>
      <c r="AH253" s="174">
        <f>IFERROR(_xlfn.XLOOKUP($D253,'Modelling New'!$D:$D,'Modelling New'!$AF:$AF),"")</f>
        <v>0.995</v>
      </c>
      <c r="AI253" s="177" t="str">
        <f>IFERROR(_xlfn.XLOOKUP($A253,Input_Raw!$A:$A,Input_Raw!$BQ:$BQ),"")</f>
        <v/>
      </c>
      <c r="AJ253" s="167"/>
      <c r="AK253" s="167"/>
      <c r="AL253" s="167"/>
      <c r="AM253" s="167"/>
      <c r="AN253" s="175" t="str">
        <f>IFERROR(_xlfn.XLOOKUP($A253,Input_Raw!$A:$A,Input_Raw!$BN:$BN),"")</f>
        <v/>
      </c>
      <c r="AO253" s="174" t="str">
        <f>IFERROR((_xlfn.XLOOKUP($A253,'WTG Reactive Power'!$A:$A,'WTG Reactive Power'!$AE:$AE))/Table13[[#This Row],[Gen_Exp (kWh)]],"")</f>
        <v/>
      </c>
      <c r="AP253" s="174">
        <f>IFERROR(_xlfn.XLOOKUP($D253,'Modelling New'!$D:$D,'Modelling New'!$AK:$AK),"")</f>
        <v>0.05</v>
      </c>
      <c r="AQ253" s="174">
        <f>IFERROR(_xlfn.XLOOKUP($D253,'Modelling New'!$D:$D,'Modelling New'!$AL:$AL),"")</f>
        <v>0.05</v>
      </c>
      <c r="AR253" s="276">
        <f>IFERROR(_xlfn.XLOOKUP($D253,'Modelling New'!$D:$D,'Modelling New'!$N:$N),"")</f>
        <v>70.2</v>
      </c>
      <c r="AS253" s="276"/>
    </row>
    <row r="254" spans="1:45">
      <c r="A254" s="165">
        <f t="shared" si="19"/>
        <v>45997</v>
      </c>
      <c r="B254" s="166">
        <f>YEAR(Table13[[#This Row],[Date]])+IF(MONTH(Table13[[#This Row],[Date]])&gt;=4,1,0)</f>
        <v>2026</v>
      </c>
      <c r="C254" s="167">
        <f>YEAR(Table13[[#This Row],[Date]])</f>
        <v>2025</v>
      </c>
      <c r="D254" s="168">
        <f>Table13[[#This Row],[Date]]-DAY(Table13[[#This Row],[Date]])+1</f>
        <v>45992</v>
      </c>
      <c r="E254" s="167">
        <f t="shared" si="16"/>
        <v>31</v>
      </c>
      <c r="F254" s="169"/>
      <c r="G254" s="170"/>
      <c r="H254" s="170"/>
      <c r="I254" s="170"/>
      <c r="J254" s="170"/>
      <c r="K254" s="171"/>
      <c r="L254" s="170"/>
      <c r="M254" s="170" t="str">
        <f>IFERROR(_xlfn.XLOOKUP($A254,Input_Raw!$A:$A,Input_Raw!BG:BG),"")</f>
        <v/>
      </c>
      <c r="N254" s="170" t="str">
        <f>IFERROR(_xlfn.XLOOKUP($A254,Input_Raw!$A:$A,Input_Raw!BH:BH),"")</f>
        <v/>
      </c>
      <c r="O254" s="173" t="str">
        <f t="shared" si="17"/>
        <v/>
      </c>
      <c r="P254" s="173" t="str">
        <f>IFERROR(1-SUMIF(WTG_BD!$F:$F,$A254,WTG_BD!$AA:$AA)/($AA254+SUMIF(WTG_BD!$F:$F,$A254,WTG_BD!$AA:$AA)),"")</f>
        <v/>
      </c>
      <c r="Q254" s="173" t="str">
        <f>IFERROR(1-SUMIF(IGA_BD!$F:$F,$A254,IGA_BD!$X:$X)/($AA254+SUMIF(IGA_BD!$F:$F,$A254,IGA_BD!$X:$X)),"")</f>
        <v/>
      </c>
      <c r="R254" s="173" t="str">
        <f>IFERROR(1-SUMIF(Grid_BD!$F:$F,$A254,Grid_BD!$Y:$Y)/($AA254+SUMIF(Grid_BD!$F:$F,$A254,Grid_BD!$Y:$Y)),"")</f>
        <v/>
      </c>
      <c r="S254" s="167"/>
      <c r="T254" s="172"/>
      <c r="U254" s="173"/>
      <c r="V254" s="167"/>
      <c r="W254" s="174" t="str">
        <f t="shared" si="18"/>
        <v/>
      </c>
      <c r="X254" s="167" t="str">
        <f>IFERROR(_xlfn.XLOOKUP($A254,Input_Raw!$A:$A,Input_Raw!$BF:$BF),"")</f>
        <v/>
      </c>
      <c r="Y254" s="167" t="str">
        <f>IFERROR(_xlfn.XLOOKUP($A254,Input_Raw!$A:$A,Input_Raw!BJ:BJ),"")</f>
        <v/>
      </c>
      <c r="Z254" s="167" t="str">
        <f>IFERROR(_xlfn.XLOOKUP($A254,Input_Raw!$A:$A,Input_Raw!BK:BK),"")</f>
        <v/>
      </c>
      <c r="AA254" s="167" t="str">
        <f>IFERROR(_xlfn.XLOOKUP($A254,Input_Raw!$A:$A,Input_Raw!BL:BL),"")</f>
        <v/>
      </c>
      <c r="AB254" s="167" t="str">
        <f>IFERROR(_xlfn.XLOOKUP($A254,Input_Raw!$A:$A,Input_Raw!$BO:$BO),"")</f>
        <v/>
      </c>
      <c r="AC254" s="176">
        <f>IFERROR(_xlfn.XLOOKUP($D254,'Modelling New'!$D:$D,'Modelling New'!$J:$J),"")</f>
        <v>6.95</v>
      </c>
      <c r="AD254" s="166">
        <f>IFERROR(_xlfn.XLOOKUP($D254,'Modelling New'!$D:$D,'Modelling New'!$T:$T)*1000,"")</f>
        <v>574435.4233300495</v>
      </c>
      <c r="AE254" s="174"/>
      <c r="AF254" s="174">
        <f>IFERROR(_xlfn.XLOOKUP($D254,'Modelling New'!$D:$D,'Modelling New'!$W:$W),"")</f>
        <v>0.34095169950738929</v>
      </c>
      <c r="AG254" s="174">
        <f>IFERROR(_xlfn.XLOOKUP($D254,'Modelling New'!$D:$D,'Modelling New'!$AE:$AE),"")</f>
        <v>0.96029999999999993</v>
      </c>
      <c r="AH254" s="174">
        <f>IFERROR(_xlfn.XLOOKUP($D254,'Modelling New'!$D:$D,'Modelling New'!$AF:$AF),"")</f>
        <v>0.995</v>
      </c>
      <c r="AI254" s="177" t="str">
        <f>IFERROR(_xlfn.XLOOKUP($A254,Input_Raw!$A:$A,Input_Raw!$BQ:$BQ),"")</f>
        <v/>
      </c>
      <c r="AJ254" s="167"/>
      <c r="AK254" s="167"/>
      <c r="AL254" s="167"/>
      <c r="AM254" s="167"/>
      <c r="AN254" s="175" t="str">
        <f>IFERROR(_xlfn.XLOOKUP($A254,Input_Raw!$A:$A,Input_Raw!$BN:$BN),"")</f>
        <v/>
      </c>
      <c r="AO254" s="174" t="str">
        <f>IFERROR((_xlfn.XLOOKUP($A254,'WTG Reactive Power'!$A:$A,'WTG Reactive Power'!$AE:$AE))/Table13[[#This Row],[Gen_Exp (kWh)]],"")</f>
        <v/>
      </c>
      <c r="AP254" s="174">
        <f>IFERROR(_xlfn.XLOOKUP($D254,'Modelling New'!$D:$D,'Modelling New'!$AK:$AK),"")</f>
        <v>0.05</v>
      </c>
      <c r="AQ254" s="174">
        <f>IFERROR(_xlfn.XLOOKUP($D254,'Modelling New'!$D:$D,'Modelling New'!$AL:$AL),"")</f>
        <v>0.05</v>
      </c>
      <c r="AR254" s="276">
        <f>IFERROR(_xlfn.XLOOKUP($D254,'Modelling New'!$D:$D,'Modelling New'!$N:$N),"")</f>
        <v>70.2</v>
      </c>
      <c r="AS254" s="276"/>
    </row>
    <row r="255" spans="1:45">
      <c r="A255" s="165">
        <f t="shared" si="19"/>
        <v>45998</v>
      </c>
      <c r="B255" s="166">
        <f>YEAR(Table13[[#This Row],[Date]])+IF(MONTH(Table13[[#This Row],[Date]])&gt;=4,1,0)</f>
        <v>2026</v>
      </c>
      <c r="C255" s="167">
        <f>YEAR(Table13[[#This Row],[Date]])</f>
        <v>2025</v>
      </c>
      <c r="D255" s="168">
        <f>Table13[[#This Row],[Date]]-DAY(Table13[[#This Row],[Date]])+1</f>
        <v>45992</v>
      </c>
      <c r="E255" s="167">
        <f t="shared" si="16"/>
        <v>31</v>
      </c>
      <c r="F255" s="169"/>
      <c r="G255" s="176"/>
      <c r="H255" s="176"/>
      <c r="I255" s="176"/>
      <c r="J255" s="176"/>
      <c r="K255" s="171"/>
      <c r="L255" s="170"/>
      <c r="M255" s="170" t="str">
        <f>IFERROR(_xlfn.XLOOKUP($A255,Input_Raw!$A:$A,Input_Raw!BG:BG),"")</f>
        <v/>
      </c>
      <c r="N255" s="170" t="str">
        <f>IFERROR(_xlfn.XLOOKUP($A255,Input_Raw!$A:$A,Input_Raw!BH:BH),"")</f>
        <v/>
      </c>
      <c r="O255" s="173" t="str">
        <f t="shared" si="17"/>
        <v/>
      </c>
      <c r="P255" s="173" t="str">
        <f>IFERROR(1-SUMIF(WTG_BD!$F:$F,$A255,WTG_BD!$AA:$AA)/($AA255+SUMIF(WTG_BD!$F:$F,$A255,WTG_BD!$AA:$AA)),"")</f>
        <v/>
      </c>
      <c r="Q255" s="173" t="str">
        <f>IFERROR(1-SUMIF(IGA_BD!$F:$F,$A255,IGA_BD!$X:$X)/($AA255+SUMIF(IGA_BD!$F:$F,$A255,IGA_BD!$X:$X)),"")</f>
        <v/>
      </c>
      <c r="R255" s="173" t="str">
        <f>IFERROR(1-SUMIF(Grid_BD!$F:$F,$A255,Grid_BD!$Y:$Y)/($AA255+SUMIF(Grid_BD!$F:$F,$A255,Grid_BD!$Y:$Y)),"")</f>
        <v/>
      </c>
      <c r="S255" s="167"/>
      <c r="T255" s="172"/>
      <c r="U255" s="173"/>
      <c r="V255" s="167"/>
      <c r="W255" s="174" t="str">
        <f t="shared" si="18"/>
        <v/>
      </c>
      <c r="X255" s="167" t="str">
        <f>IFERROR(_xlfn.XLOOKUP($A255,Input_Raw!$A:$A,Input_Raw!$BF:$BF),"")</f>
        <v/>
      </c>
      <c r="Y255" s="167" t="str">
        <f>IFERROR(_xlfn.XLOOKUP($A255,Input_Raw!$A:$A,Input_Raw!BJ:BJ),"")</f>
        <v/>
      </c>
      <c r="Z255" s="167" t="str">
        <f>IFERROR(_xlfn.XLOOKUP($A255,Input_Raw!$A:$A,Input_Raw!BK:BK),"")</f>
        <v/>
      </c>
      <c r="AA255" s="167" t="str">
        <f>IFERROR(_xlfn.XLOOKUP($A255,Input_Raw!$A:$A,Input_Raw!BL:BL),"")</f>
        <v/>
      </c>
      <c r="AB255" s="167" t="str">
        <f>IFERROR(_xlfn.XLOOKUP($A255,Input_Raw!$A:$A,Input_Raw!$BO:$BO),"")</f>
        <v/>
      </c>
      <c r="AC255" s="176">
        <f>IFERROR(_xlfn.XLOOKUP($D255,'Modelling New'!$D:$D,'Modelling New'!$J:$J),"")</f>
        <v>6.95</v>
      </c>
      <c r="AD255" s="166">
        <f>IFERROR(_xlfn.XLOOKUP($D255,'Modelling New'!$D:$D,'Modelling New'!$T:$T)*1000,"")</f>
        <v>574435.4233300495</v>
      </c>
      <c r="AE255" s="174"/>
      <c r="AF255" s="174">
        <f>IFERROR(_xlfn.XLOOKUP($D255,'Modelling New'!$D:$D,'Modelling New'!$W:$W),"")</f>
        <v>0.34095169950738929</v>
      </c>
      <c r="AG255" s="174">
        <f>IFERROR(_xlfn.XLOOKUP($D255,'Modelling New'!$D:$D,'Modelling New'!$AE:$AE),"")</f>
        <v>0.96029999999999993</v>
      </c>
      <c r="AH255" s="174">
        <f>IFERROR(_xlfn.XLOOKUP($D255,'Modelling New'!$D:$D,'Modelling New'!$AF:$AF),"")</f>
        <v>0.995</v>
      </c>
      <c r="AI255" s="177" t="str">
        <f>IFERROR(_xlfn.XLOOKUP($A255,Input_Raw!$A:$A,Input_Raw!$BQ:$BQ),"")</f>
        <v/>
      </c>
      <c r="AJ255" s="167"/>
      <c r="AK255" s="167"/>
      <c r="AL255" s="167"/>
      <c r="AM255" s="167"/>
      <c r="AN255" s="175" t="str">
        <f>IFERROR(_xlfn.XLOOKUP($A255,Input_Raw!$A:$A,Input_Raw!$BN:$BN),"")</f>
        <v/>
      </c>
      <c r="AO255" s="174" t="str">
        <f>IFERROR((_xlfn.XLOOKUP($A255,'WTG Reactive Power'!$A:$A,'WTG Reactive Power'!$AE:$AE))/Table13[[#This Row],[Gen_Exp (kWh)]],"")</f>
        <v/>
      </c>
      <c r="AP255" s="174">
        <f>IFERROR(_xlfn.XLOOKUP($D255,'Modelling New'!$D:$D,'Modelling New'!$AK:$AK),"")</f>
        <v>0.05</v>
      </c>
      <c r="AQ255" s="174">
        <f>IFERROR(_xlfn.XLOOKUP($D255,'Modelling New'!$D:$D,'Modelling New'!$AL:$AL),"")</f>
        <v>0.05</v>
      </c>
      <c r="AR255" s="276">
        <f>IFERROR(_xlfn.XLOOKUP($D255,'Modelling New'!$D:$D,'Modelling New'!$N:$N),"")</f>
        <v>70.2</v>
      </c>
      <c r="AS255" s="276"/>
    </row>
    <row r="256" spans="1:45">
      <c r="A256" s="165">
        <f t="shared" si="19"/>
        <v>45999</v>
      </c>
      <c r="B256" s="166">
        <f>YEAR(Table13[[#This Row],[Date]])+IF(MONTH(Table13[[#This Row],[Date]])&gt;=4,1,0)</f>
        <v>2026</v>
      </c>
      <c r="C256" s="167">
        <f>YEAR(Table13[[#This Row],[Date]])</f>
        <v>2025</v>
      </c>
      <c r="D256" s="168">
        <f>Table13[[#This Row],[Date]]-DAY(Table13[[#This Row],[Date]])+1</f>
        <v>45992</v>
      </c>
      <c r="E256" s="167">
        <f t="shared" si="16"/>
        <v>31</v>
      </c>
      <c r="F256" s="169"/>
      <c r="G256" s="170"/>
      <c r="H256" s="170"/>
      <c r="I256" s="170"/>
      <c r="J256" s="170"/>
      <c r="K256" s="171"/>
      <c r="L256" s="170"/>
      <c r="M256" s="170" t="str">
        <f>IFERROR(_xlfn.XLOOKUP($A256,Input_Raw!$A:$A,Input_Raw!BG:BG),"")</f>
        <v/>
      </c>
      <c r="N256" s="170" t="str">
        <f>IFERROR(_xlfn.XLOOKUP($A256,Input_Raw!$A:$A,Input_Raw!BH:BH),"")</f>
        <v/>
      </c>
      <c r="O256" s="173" t="str">
        <f t="shared" si="17"/>
        <v/>
      </c>
      <c r="P256" s="173" t="str">
        <f>IFERROR(1-SUMIF(WTG_BD!$F:$F,$A256,WTG_BD!$AA:$AA)/($AA256+SUMIF(WTG_BD!$F:$F,$A256,WTG_BD!$AA:$AA)),"")</f>
        <v/>
      </c>
      <c r="Q256" s="173" t="str">
        <f>IFERROR(1-SUMIF(IGA_BD!$F:$F,$A256,IGA_BD!$X:$X)/($AA256+SUMIF(IGA_BD!$F:$F,$A256,IGA_BD!$X:$X)),"")</f>
        <v/>
      </c>
      <c r="R256" s="173" t="str">
        <f>IFERROR(1-SUMIF(Grid_BD!$F:$F,$A256,Grid_BD!$Y:$Y)/($AA256+SUMIF(Grid_BD!$F:$F,$A256,Grid_BD!$Y:$Y)),"")</f>
        <v/>
      </c>
      <c r="S256" s="167"/>
      <c r="T256" s="172"/>
      <c r="U256" s="173"/>
      <c r="V256" s="167"/>
      <c r="W256" s="174" t="str">
        <f t="shared" si="18"/>
        <v/>
      </c>
      <c r="X256" s="167" t="str">
        <f>IFERROR(_xlfn.XLOOKUP($A256,Input_Raw!$A:$A,Input_Raw!$BF:$BF),"")</f>
        <v/>
      </c>
      <c r="Y256" s="167" t="str">
        <f>IFERROR(_xlfn.XLOOKUP($A256,Input_Raw!$A:$A,Input_Raw!BJ:BJ),"")</f>
        <v/>
      </c>
      <c r="Z256" s="167" t="str">
        <f>IFERROR(_xlfn.XLOOKUP($A256,Input_Raw!$A:$A,Input_Raw!BK:BK),"")</f>
        <v/>
      </c>
      <c r="AA256" s="167" t="str">
        <f>IFERROR(_xlfn.XLOOKUP($A256,Input_Raw!$A:$A,Input_Raw!BL:BL),"")</f>
        <v/>
      </c>
      <c r="AB256" s="167" t="str">
        <f>IFERROR(_xlfn.XLOOKUP($A256,Input_Raw!$A:$A,Input_Raw!$BO:$BO),"")</f>
        <v/>
      </c>
      <c r="AC256" s="176">
        <f>IFERROR(_xlfn.XLOOKUP($D256,'Modelling New'!$D:$D,'Modelling New'!$J:$J),"")</f>
        <v>6.95</v>
      </c>
      <c r="AD256" s="166">
        <f>IFERROR(_xlfn.XLOOKUP($D256,'Modelling New'!$D:$D,'Modelling New'!$T:$T)*1000,"")</f>
        <v>574435.4233300495</v>
      </c>
      <c r="AE256" s="174"/>
      <c r="AF256" s="174">
        <f>IFERROR(_xlfn.XLOOKUP($D256,'Modelling New'!$D:$D,'Modelling New'!$W:$W),"")</f>
        <v>0.34095169950738929</v>
      </c>
      <c r="AG256" s="174">
        <f>IFERROR(_xlfn.XLOOKUP($D256,'Modelling New'!$D:$D,'Modelling New'!$AE:$AE),"")</f>
        <v>0.96029999999999993</v>
      </c>
      <c r="AH256" s="174">
        <f>IFERROR(_xlfn.XLOOKUP($D256,'Modelling New'!$D:$D,'Modelling New'!$AF:$AF),"")</f>
        <v>0.995</v>
      </c>
      <c r="AI256" s="177" t="str">
        <f>IFERROR(_xlfn.XLOOKUP($A256,Input_Raw!$A:$A,Input_Raw!$BQ:$BQ),"")</f>
        <v/>
      </c>
      <c r="AJ256" s="167"/>
      <c r="AK256" s="167"/>
      <c r="AL256" s="167"/>
      <c r="AM256" s="167"/>
      <c r="AN256" s="175" t="str">
        <f>IFERROR(_xlfn.XLOOKUP($A256,Input_Raw!$A:$A,Input_Raw!$BN:$BN),"")</f>
        <v/>
      </c>
      <c r="AO256" s="174" t="str">
        <f>IFERROR((_xlfn.XLOOKUP($A256,'WTG Reactive Power'!$A:$A,'WTG Reactive Power'!$AE:$AE))/Table13[[#This Row],[Gen_Exp (kWh)]],"")</f>
        <v/>
      </c>
      <c r="AP256" s="174">
        <f>IFERROR(_xlfn.XLOOKUP($D256,'Modelling New'!$D:$D,'Modelling New'!$AK:$AK),"")</f>
        <v>0.05</v>
      </c>
      <c r="AQ256" s="174">
        <f>IFERROR(_xlfn.XLOOKUP($D256,'Modelling New'!$D:$D,'Modelling New'!$AL:$AL),"")</f>
        <v>0.05</v>
      </c>
      <c r="AR256" s="276">
        <f>IFERROR(_xlfn.XLOOKUP($D256,'Modelling New'!$D:$D,'Modelling New'!$N:$N),"")</f>
        <v>70.2</v>
      </c>
      <c r="AS256" s="276"/>
    </row>
    <row r="257" spans="1:45">
      <c r="A257" s="165">
        <f t="shared" si="19"/>
        <v>46000</v>
      </c>
      <c r="B257" s="166">
        <f>YEAR(Table13[[#This Row],[Date]])+IF(MONTH(Table13[[#This Row],[Date]])&gt;=4,1,0)</f>
        <v>2026</v>
      </c>
      <c r="C257" s="167">
        <f>YEAR(Table13[[#This Row],[Date]])</f>
        <v>2025</v>
      </c>
      <c r="D257" s="168">
        <f>Table13[[#This Row],[Date]]-DAY(Table13[[#This Row],[Date]])+1</f>
        <v>45992</v>
      </c>
      <c r="E257" s="167">
        <f t="shared" si="16"/>
        <v>31</v>
      </c>
      <c r="F257" s="169"/>
      <c r="G257" s="176"/>
      <c r="H257" s="176"/>
      <c r="I257" s="176"/>
      <c r="J257" s="176"/>
      <c r="K257" s="171"/>
      <c r="L257" s="170"/>
      <c r="M257" s="170" t="str">
        <f>IFERROR(_xlfn.XLOOKUP($A257,Input_Raw!$A:$A,Input_Raw!BG:BG),"")</f>
        <v/>
      </c>
      <c r="N257" s="170" t="str">
        <f>IFERROR(_xlfn.XLOOKUP($A257,Input_Raw!$A:$A,Input_Raw!BH:BH),"")</f>
        <v/>
      </c>
      <c r="O257" s="173" t="str">
        <f t="shared" si="17"/>
        <v/>
      </c>
      <c r="P257" s="173" t="str">
        <f>IFERROR(1-SUMIF(WTG_BD!$F:$F,$A257,WTG_BD!$AA:$AA)/($AA257+SUMIF(WTG_BD!$F:$F,$A257,WTG_BD!$AA:$AA)),"")</f>
        <v/>
      </c>
      <c r="Q257" s="173" t="str">
        <f>IFERROR(1-SUMIF(IGA_BD!$F:$F,$A257,IGA_BD!$X:$X)/($AA257+SUMIF(IGA_BD!$F:$F,$A257,IGA_BD!$X:$X)),"")</f>
        <v/>
      </c>
      <c r="R257" s="173" t="str">
        <f>IFERROR(1-SUMIF(Grid_BD!$F:$F,$A257,Grid_BD!$Y:$Y)/($AA257+SUMIF(Grid_BD!$F:$F,$A257,Grid_BD!$Y:$Y)),"")</f>
        <v/>
      </c>
      <c r="S257" s="167"/>
      <c r="T257" s="172"/>
      <c r="U257" s="173"/>
      <c r="V257" s="167"/>
      <c r="W257" s="174" t="str">
        <f t="shared" si="18"/>
        <v/>
      </c>
      <c r="X257" s="167" t="str">
        <f>IFERROR(_xlfn.XLOOKUP($A257,Input_Raw!$A:$A,Input_Raw!$BF:$BF),"")</f>
        <v/>
      </c>
      <c r="Y257" s="167" t="str">
        <f>IFERROR(_xlfn.XLOOKUP($A257,Input_Raw!$A:$A,Input_Raw!BJ:BJ),"")</f>
        <v/>
      </c>
      <c r="Z257" s="167" t="str">
        <f>IFERROR(_xlfn.XLOOKUP($A257,Input_Raw!$A:$A,Input_Raw!BK:BK),"")</f>
        <v/>
      </c>
      <c r="AA257" s="167" t="str">
        <f>IFERROR(_xlfn.XLOOKUP($A257,Input_Raw!$A:$A,Input_Raw!BL:BL),"")</f>
        <v/>
      </c>
      <c r="AB257" s="167" t="str">
        <f>IFERROR(_xlfn.XLOOKUP($A257,Input_Raw!$A:$A,Input_Raw!$BO:$BO),"")</f>
        <v/>
      </c>
      <c r="AC257" s="176">
        <f>IFERROR(_xlfn.XLOOKUP($D257,'Modelling New'!$D:$D,'Modelling New'!$J:$J),"")</f>
        <v>6.95</v>
      </c>
      <c r="AD257" s="166">
        <f>IFERROR(_xlfn.XLOOKUP($D257,'Modelling New'!$D:$D,'Modelling New'!$T:$T)*1000,"")</f>
        <v>574435.4233300495</v>
      </c>
      <c r="AE257" s="174"/>
      <c r="AF257" s="174">
        <f>IFERROR(_xlfn.XLOOKUP($D257,'Modelling New'!$D:$D,'Modelling New'!$W:$W),"")</f>
        <v>0.34095169950738929</v>
      </c>
      <c r="AG257" s="174">
        <f>IFERROR(_xlfn.XLOOKUP($D257,'Modelling New'!$D:$D,'Modelling New'!$AE:$AE),"")</f>
        <v>0.96029999999999993</v>
      </c>
      <c r="AH257" s="174">
        <f>IFERROR(_xlfn.XLOOKUP($D257,'Modelling New'!$D:$D,'Modelling New'!$AF:$AF),"")</f>
        <v>0.995</v>
      </c>
      <c r="AI257" s="177" t="str">
        <f>IFERROR(_xlfn.XLOOKUP($A257,Input_Raw!$A:$A,Input_Raw!$BQ:$BQ),"")</f>
        <v/>
      </c>
      <c r="AJ257" s="167"/>
      <c r="AK257" s="167"/>
      <c r="AL257" s="167"/>
      <c r="AM257" s="167"/>
      <c r="AN257" s="175" t="str">
        <f>IFERROR(_xlfn.XLOOKUP($A257,Input_Raw!$A:$A,Input_Raw!$BN:$BN),"")</f>
        <v/>
      </c>
      <c r="AO257" s="174" t="str">
        <f>IFERROR((_xlfn.XLOOKUP($A257,'WTG Reactive Power'!$A:$A,'WTG Reactive Power'!$AE:$AE))/Table13[[#This Row],[Gen_Exp (kWh)]],"")</f>
        <v/>
      </c>
      <c r="AP257" s="174">
        <f>IFERROR(_xlfn.XLOOKUP($D257,'Modelling New'!$D:$D,'Modelling New'!$AK:$AK),"")</f>
        <v>0.05</v>
      </c>
      <c r="AQ257" s="174">
        <f>IFERROR(_xlfn.XLOOKUP($D257,'Modelling New'!$D:$D,'Modelling New'!$AL:$AL),"")</f>
        <v>0.05</v>
      </c>
      <c r="AR257" s="276">
        <f>IFERROR(_xlfn.XLOOKUP($D257,'Modelling New'!$D:$D,'Modelling New'!$N:$N),"")</f>
        <v>70.2</v>
      </c>
      <c r="AS257" s="276"/>
    </row>
    <row r="258" spans="1:45">
      <c r="A258" s="165">
        <f t="shared" si="19"/>
        <v>46001</v>
      </c>
      <c r="B258" s="166">
        <f>YEAR(Table13[[#This Row],[Date]])+IF(MONTH(Table13[[#This Row],[Date]])&gt;=4,1,0)</f>
        <v>2026</v>
      </c>
      <c r="C258" s="167">
        <f>YEAR(Table13[[#This Row],[Date]])</f>
        <v>2025</v>
      </c>
      <c r="D258" s="168">
        <f>Table13[[#This Row],[Date]]-DAY(Table13[[#This Row],[Date]])+1</f>
        <v>45992</v>
      </c>
      <c r="E258" s="167">
        <f t="shared" si="16"/>
        <v>31</v>
      </c>
      <c r="F258" s="169"/>
      <c r="G258" s="170"/>
      <c r="H258" s="170"/>
      <c r="I258" s="170"/>
      <c r="J258" s="170"/>
      <c r="K258" s="171"/>
      <c r="L258" s="170"/>
      <c r="M258" s="170" t="str">
        <f>IFERROR(_xlfn.XLOOKUP($A258,Input_Raw!$A:$A,Input_Raw!BG:BG),"")</f>
        <v/>
      </c>
      <c r="N258" s="170" t="str">
        <f>IFERROR(_xlfn.XLOOKUP($A258,Input_Raw!$A:$A,Input_Raw!BH:BH),"")</f>
        <v/>
      </c>
      <c r="O258" s="173" t="str">
        <f t="shared" si="17"/>
        <v/>
      </c>
      <c r="P258" s="173" t="str">
        <f>IFERROR(1-SUMIF(WTG_BD!$F:$F,$A258,WTG_BD!$AA:$AA)/($AA258+SUMIF(WTG_BD!$F:$F,$A258,WTG_BD!$AA:$AA)),"")</f>
        <v/>
      </c>
      <c r="Q258" s="173" t="str">
        <f>IFERROR(1-SUMIF(IGA_BD!$F:$F,$A258,IGA_BD!$X:$X)/($AA258+SUMIF(IGA_BD!$F:$F,$A258,IGA_BD!$X:$X)),"")</f>
        <v/>
      </c>
      <c r="R258" s="173" t="str">
        <f>IFERROR(1-SUMIF(Grid_BD!$F:$F,$A258,Grid_BD!$Y:$Y)/($AA258+SUMIF(Grid_BD!$F:$F,$A258,Grid_BD!$Y:$Y)),"")</f>
        <v/>
      </c>
      <c r="S258" s="167"/>
      <c r="T258" s="172"/>
      <c r="U258" s="173"/>
      <c r="V258" s="167"/>
      <c r="W258" s="174" t="str">
        <f t="shared" si="18"/>
        <v/>
      </c>
      <c r="X258" s="167" t="str">
        <f>IFERROR(_xlfn.XLOOKUP($A258,Input_Raw!$A:$A,Input_Raw!$BF:$BF),"")</f>
        <v/>
      </c>
      <c r="Y258" s="167" t="str">
        <f>IFERROR(_xlfn.XLOOKUP($A258,Input_Raw!$A:$A,Input_Raw!BJ:BJ),"")</f>
        <v/>
      </c>
      <c r="Z258" s="167" t="str">
        <f>IFERROR(_xlfn.XLOOKUP($A258,Input_Raw!$A:$A,Input_Raw!BK:BK),"")</f>
        <v/>
      </c>
      <c r="AA258" s="167" t="str">
        <f>IFERROR(_xlfn.XLOOKUP($A258,Input_Raw!$A:$A,Input_Raw!BL:BL),"")</f>
        <v/>
      </c>
      <c r="AB258" s="167" t="str">
        <f>IFERROR(_xlfn.XLOOKUP($A258,Input_Raw!$A:$A,Input_Raw!$BO:$BO),"")</f>
        <v/>
      </c>
      <c r="AC258" s="176">
        <f>IFERROR(_xlfn.XLOOKUP($D258,'Modelling New'!$D:$D,'Modelling New'!$J:$J),"")</f>
        <v>6.95</v>
      </c>
      <c r="AD258" s="166">
        <f>IFERROR(_xlfn.XLOOKUP($D258,'Modelling New'!$D:$D,'Modelling New'!$T:$T)*1000,"")</f>
        <v>574435.4233300495</v>
      </c>
      <c r="AE258" s="174"/>
      <c r="AF258" s="174">
        <f>IFERROR(_xlfn.XLOOKUP($D258,'Modelling New'!$D:$D,'Modelling New'!$W:$W),"")</f>
        <v>0.34095169950738929</v>
      </c>
      <c r="AG258" s="174">
        <f>IFERROR(_xlfn.XLOOKUP($D258,'Modelling New'!$D:$D,'Modelling New'!$AE:$AE),"")</f>
        <v>0.96029999999999993</v>
      </c>
      <c r="AH258" s="174">
        <f>IFERROR(_xlfn.XLOOKUP($D258,'Modelling New'!$D:$D,'Modelling New'!$AF:$AF),"")</f>
        <v>0.995</v>
      </c>
      <c r="AI258" s="177" t="str">
        <f>IFERROR(_xlfn.XLOOKUP($A258,Input_Raw!$A:$A,Input_Raw!$BQ:$BQ),"")</f>
        <v/>
      </c>
      <c r="AJ258" s="167"/>
      <c r="AK258" s="167"/>
      <c r="AL258" s="167"/>
      <c r="AM258" s="167"/>
      <c r="AN258" s="175" t="str">
        <f>IFERROR(_xlfn.XLOOKUP($A258,Input_Raw!$A:$A,Input_Raw!$BN:$BN),"")</f>
        <v/>
      </c>
      <c r="AO258" s="174" t="str">
        <f>IFERROR((_xlfn.XLOOKUP($A258,'WTG Reactive Power'!$A:$A,'WTG Reactive Power'!$AE:$AE))/Table13[[#This Row],[Gen_Exp (kWh)]],"")</f>
        <v/>
      </c>
      <c r="AP258" s="174">
        <f>IFERROR(_xlfn.XLOOKUP($D258,'Modelling New'!$D:$D,'Modelling New'!$AK:$AK),"")</f>
        <v>0.05</v>
      </c>
      <c r="AQ258" s="174">
        <f>IFERROR(_xlfn.XLOOKUP($D258,'Modelling New'!$D:$D,'Modelling New'!$AL:$AL),"")</f>
        <v>0.05</v>
      </c>
      <c r="AR258" s="276">
        <f>IFERROR(_xlfn.XLOOKUP($D258,'Modelling New'!$D:$D,'Modelling New'!$N:$N),"")</f>
        <v>70.2</v>
      </c>
      <c r="AS258" s="276"/>
    </row>
    <row r="259" spans="1:45">
      <c r="A259" s="165">
        <f t="shared" si="19"/>
        <v>46002</v>
      </c>
      <c r="B259" s="166">
        <f>YEAR(Table13[[#This Row],[Date]])+IF(MONTH(Table13[[#This Row],[Date]])&gt;=4,1,0)</f>
        <v>2026</v>
      </c>
      <c r="C259" s="167">
        <f>YEAR(Table13[[#This Row],[Date]])</f>
        <v>2025</v>
      </c>
      <c r="D259" s="168">
        <f>Table13[[#This Row],[Date]]-DAY(Table13[[#This Row],[Date]])+1</f>
        <v>45992</v>
      </c>
      <c r="E259" s="167">
        <f t="shared" si="16"/>
        <v>31</v>
      </c>
      <c r="F259" s="169"/>
      <c r="G259" s="176"/>
      <c r="H259" s="176"/>
      <c r="I259" s="176"/>
      <c r="J259" s="176"/>
      <c r="K259" s="171"/>
      <c r="L259" s="170"/>
      <c r="M259" s="170" t="str">
        <f>IFERROR(_xlfn.XLOOKUP($A259,Input_Raw!$A:$A,Input_Raw!BG:BG),"")</f>
        <v/>
      </c>
      <c r="N259" s="170" t="str">
        <f>IFERROR(_xlfn.XLOOKUP($A259,Input_Raw!$A:$A,Input_Raw!BH:BH),"")</f>
        <v/>
      </c>
      <c r="O259" s="173" t="str">
        <f t="shared" si="17"/>
        <v/>
      </c>
      <c r="P259" s="173" t="str">
        <f>IFERROR(1-SUMIF(WTG_BD!$F:$F,$A259,WTG_BD!$AA:$AA)/($AA259+SUMIF(WTG_BD!$F:$F,$A259,WTG_BD!$AA:$AA)),"")</f>
        <v/>
      </c>
      <c r="Q259" s="173" t="str">
        <f>IFERROR(1-SUMIF(IGA_BD!$F:$F,$A259,IGA_BD!$X:$X)/($AA259+SUMIF(IGA_BD!$F:$F,$A259,IGA_BD!$X:$X)),"")</f>
        <v/>
      </c>
      <c r="R259" s="173" t="str">
        <f>IFERROR(1-SUMIF(Grid_BD!$F:$F,$A259,Grid_BD!$Y:$Y)/($AA259+SUMIF(Grid_BD!$F:$F,$A259,Grid_BD!$Y:$Y)),"")</f>
        <v/>
      </c>
      <c r="S259" s="167"/>
      <c r="T259" s="172"/>
      <c r="U259" s="173"/>
      <c r="V259" s="167"/>
      <c r="W259" s="174" t="str">
        <f t="shared" si="18"/>
        <v/>
      </c>
      <c r="X259" s="167" t="str">
        <f>IFERROR(_xlfn.XLOOKUP($A259,Input_Raw!$A:$A,Input_Raw!$BF:$BF),"")</f>
        <v/>
      </c>
      <c r="Y259" s="167" t="str">
        <f>IFERROR(_xlfn.XLOOKUP($A259,Input_Raw!$A:$A,Input_Raw!BJ:BJ),"")</f>
        <v/>
      </c>
      <c r="Z259" s="167" t="str">
        <f>IFERROR(_xlfn.XLOOKUP($A259,Input_Raw!$A:$A,Input_Raw!BK:BK),"")</f>
        <v/>
      </c>
      <c r="AA259" s="167" t="str">
        <f>IFERROR(_xlfn.XLOOKUP($A259,Input_Raw!$A:$A,Input_Raw!BL:BL),"")</f>
        <v/>
      </c>
      <c r="AB259" s="167" t="str">
        <f>IFERROR(_xlfn.XLOOKUP($A259,Input_Raw!$A:$A,Input_Raw!$BO:$BO),"")</f>
        <v/>
      </c>
      <c r="AC259" s="176">
        <f>IFERROR(_xlfn.XLOOKUP($D259,'Modelling New'!$D:$D,'Modelling New'!$J:$J),"")</f>
        <v>6.95</v>
      </c>
      <c r="AD259" s="166">
        <f>IFERROR(_xlfn.XLOOKUP($D259,'Modelling New'!$D:$D,'Modelling New'!$T:$T)*1000,"")</f>
        <v>574435.4233300495</v>
      </c>
      <c r="AE259" s="174"/>
      <c r="AF259" s="174">
        <f>IFERROR(_xlfn.XLOOKUP($D259,'Modelling New'!$D:$D,'Modelling New'!$W:$W),"")</f>
        <v>0.34095169950738929</v>
      </c>
      <c r="AG259" s="174">
        <f>IFERROR(_xlfn.XLOOKUP($D259,'Modelling New'!$D:$D,'Modelling New'!$AE:$AE),"")</f>
        <v>0.96029999999999993</v>
      </c>
      <c r="AH259" s="174">
        <f>IFERROR(_xlfn.XLOOKUP($D259,'Modelling New'!$D:$D,'Modelling New'!$AF:$AF),"")</f>
        <v>0.995</v>
      </c>
      <c r="AI259" s="177" t="str">
        <f>IFERROR(_xlfn.XLOOKUP($A259,Input_Raw!$A:$A,Input_Raw!$BQ:$BQ),"")</f>
        <v/>
      </c>
      <c r="AJ259" s="167"/>
      <c r="AK259" s="167"/>
      <c r="AL259" s="167"/>
      <c r="AM259" s="167"/>
      <c r="AN259" s="175" t="str">
        <f>IFERROR(_xlfn.XLOOKUP($A259,Input_Raw!$A:$A,Input_Raw!$BN:$BN),"")</f>
        <v/>
      </c>
      <c r="AO259" s="174" t="str">
        <f>IFERROR((_xlfn.XLOOKUP($A259,'WTG Reactive Power'!$A:$A,'WTG Reactive Power'!$AE:$AE))/Table13[[#This Row],[Gen_Exp (kWh)]],"")</f>
        <v/>
      </c>
      <c r="AP259" s="174">
        <f>IFERROR(_xlfn.XLOOKUP($D259,'Modelling New'!$D:$D,'Modelling New'!$AK:$AK),"")</f>
        <v>0.05</v>
      </c>
      <c r="AQ259" s="174">
        <f>IFERROR(_xlfn.XLOOKUP($D259,'Modelling New'!$D:$D,'Modelling New'!$AL:$AL),"")</f>
        <v>0.05</v>
      </c>
      <c r="AR259" s="276">
        <f>IFERROR(_xlfn.XLOOKUP($D259,'Modelling New'!$D:$D,'Modelling New'!$N:$N),"")</f>
        <v>70.2</v>
      </c>
      <c r="AS259" s="276"/>
    </row>
    <row r="260" spans="1:45">
      <c r="A260" s="165">
        <f t="shared" si="19"/>
        <v>46003</v>
      </c>
      <c r="B260" s="166">
        <f>YEAR(Table13[[#This Row],[Date]])+IF(MONTH(Table13[[#This Row],[Date]])&gt;=4,1,0)</f>
        <v>2026</v>
      </c>
      <c r="C260" s="167">
        <f>YEAR(Table13[[#This Row],[Date]])</f>
        <v>2025</v>
      </c>
      <c r="D260" s="168">
        <f>Table13[[#This Row],[Date]]-DAY(Table13[[#This Row],[Date]])+1</f>
        <v>45992</v>
      </c>
      <c r="E260" s="167">
        <f t="shared" si="16"/>
        <v>31</v>
      </c>
      <c r="F260" s="169"/>
      <c r="G260" s="170"/>
      <c r="H260" s="170"/>
      <c r="I260" s="170"/>
      <c r="J260" s="170"/>
      <c r="K260" s="171"/>
      <c r="L260" s="170"/>
      <c r="M260" s="170" t="str">
        <f>IFERROR(_xlfn.XLOOKUP($A260,Input_Raw!$A:$A,Input_Raw!BG:BG),"")</f>
        <v/>
      </c>
      <c r="N260" s="170" t="str">
        <f>IFERROR(_xlfn.XLOOKUP($A260,Input_Raw!$A:$A,Input_Raw!BH:BH),"")</f>
        <v/>
      </c>
      <c r="O260" s="173" t="str">
        <f t="shared" si="17"/>
        <v/>
      </c>
      <c r="P260" s="173" t="str">
        <f>IFERROR(1-SUMIF(WTG_BD!$F:$F,$A260,WTG_BD!$AA:$AA)/($AA260+SUMIF(WTG_BD!$F:$F,$A260,WTG_BD!$AA:$AA)),"")</f>
        <v/>
      </c>
      <c r="Q260" s="173" t="str">
        <f>IFERROR(1-SUMIF(IGA_BD!$F:$F,$A260,IGA_BD!$X:$X)/($AA260+SUMIF(IGA_BD!$F:$F,$A260,IGA_BD!$X:$X)),"")</f>
        <v/>
      </c>
      <c r="R260" s="173" t="str">
        <f>IFERROR(1-SUMIF(Grid_BD!$F:$F,$A260,Grid_BD!$Y:$Y)/($AA260+SUMIF(Grid_BD!$F:$F,$A260,Grid_BD!$Y:$Y)),"")</f>
        <v/>
      </c>
      <c r="S260" s="167"/>
      <c r="T260" s="172"/>
      <c r="U260" s="173"/>
      <c r="V260" s="167"/>
      <c r="W260" s="174" t="str">
        <f t="shared" si="18"/>
        <v/>
      </c>
      <c r="X260" s="167" t="str">
        <f>IFERROR(_xlfn.XLOOKUP($A260,Input_Raw!$A:$A,Input_Raw!$BF:$BF),"")</f>
        <v/>
      </c>
      <c r="Y260" s="167" t="str">
        <f>IFERROR(_xlfn.XLOOKUP($A260,Input_Raw!$A:$A,Input_Raw!BJ:BJ),"")</f>
        <v/>
      </c>
      <c r="Z260" s="167" t="str">
        <f>IFERROR(_xlfn.XLOOKUP($A260,Input_Raw!$A:$A,Input_Raw!BK:BK),"")</f>
        <v/>
      </c>
      <c r="AA260" s="167" t="str">
        <f>IFERROR(_xlfn.XLOOKUP($A260,Input_Raw!$A:$A,Input_Raw!BL:BL),"")</f>
        <v/>
      </c>
      <c r="AB260" s="167" t="str">
        <f>IFERROR(_xlfn.XLOOKUP($A260,Input_Raw!$A:$A,Input_Raw!$BO:$BO),"")</f>
        <v/>
      </c>
      <c r="AC260" s="176">
        <f>IFERROR(_xlfn.XLOOKUP($D260,'Modelling New'!$D:$D,'Modelling New'!$J:$J),"")</f>
        <v>6.95</v>
      </c>
      <c r="AD260" s="166">
        <f>IFERROR(_xlfn.XLOOKUP($D260,'Modelling New'!$D:$D,'Modelling New'!$T:$T)*1000,"")</f>
        <v>574435.4233300495</v>
      </c>
      <c r="AE260" s="174"/>
      <c r="AF260" s="174">
        <f>IFERROR(_xlfn.XLOOKUP($D260,'Modelling New'!$D:$D,'Modelling New'!$W:$W),"")</f>
        <v>0.34095169950738929</v>
      </c>
      <c r="AG260" s="174">
        <f>IFERROR(_xlfn.XLOOKUP($D260,'Modelling New'!$D:$D,'Modelling New'!$AE:$AE),"")</f>
        <v>0.96029999999999993</v>
      </c>
      <c r="AH260" s="174">
        <f>IFERROR(_xlfn.XLOOKUP($D260,'Modelling New'!$D:$D,'Modelling New'!$AF:$AF),"")</f>
        <v>0.995</v>
      </c>
      <c r="AI260" s="177" t="str">
        <f>IFERROR(_xlfn.XLOOKUP($A260,Input_Raw!$A:$A,Input_Raw!$BQ:$BQ),"")</f>
        <v/>
      </c>
      <c r="AJ260" s="167"/>
      <c r="AK260" s="167"/>
      <c r="AL260" s="167"/>
      <c r="AM260" s="167"/>
      <c r="AN260" s="175" t="str">
        <f>IFERROR(_xlfn.XLOOKUP($A260,Input_Raw!$A:$A,Input_Raw!$BN:$BN),"")</f>
        <v/>
      </c>
      <c r="AO260" s="174" t="str">
        <f>IFERROR((_xlfn.XLOOKUP($A260,'WTG Reactive Power'!$A:$A,'WTG Reactive Power'!$AE:$AE))/Table13[[#This Row],[Gen_Exp (kWh)]],"")</f>
        <v/>
      </c>
      <c r="AP260" s="174">
        <f>IFERROR(_xlfn.XLOOKUP($D260,'Modelling New'!$D:$D,'Modelling New'!$AK:$AK),"")</f>
        <v>0.05</v>
      </c>
      <c r="AQ260" s="174">
        <f>IFERROR(_xlfn.XLOOKUP($D260,'Modelling New'!$D:$D,'Modelling New'!$AL:$AL),"")</f>
        <v>0.05</v>
      </c>
      <c r="AR260" s="276">
        <f>IFERROR(_xlfn.XLOOKUP($D260,'Modelling New'!$D:$D,'Modelling New'!$N:$N),"")</f>
        <v>70.2</v>
      </c>
      <c r="AS260" s="276"/>
    </row>
    <row r="261" spans="1:45">
      <c r="A261" s="165">
        <f t="shared" si="19"/>
        <v>46004</v>
      </c>
      <c r="B261" s="166">
        <f>YEAR(Table13[[#This Row],[Date]])+IF(MONTH(Table13[[#This Row],[Date]])&gt;=4,1,0)</f>
        <v>2026</v>
      </c>
      <c r="C261" s="167">
        <f>YEAR(Table13[[#This Row],[Date]])</f>
        <v>2025</v>
      </c>
      <c r="D261" s="168">
        <f>Table13[[#This Row],[Date]]-DAY(Table13[[#This Row],[Date]])+1</f>
        <v>45992</v>
      </c>
      <c r="E261" s="167">
        <f t="shared" si="16"/>
        <v>31</v>
      </c>
      <c r="F261" s="169"/>
      <c r="G261" s="176"/>
      <c r="H261" s="176"/>
      <c r="I261" s="176"/>
      <c r="J261" s="176"/>
      <c r="K261" s="171"/>
      <c r="L261" s="170"/>
      <c r="M261" s="170" t="str">
        <f>IFERROR(_xlfn.XLOOKUP($A261,Input_Raw!$A:$A,Input_Raw!BG:BG),"")</f>
        <v/>
      </c>
      <c r="N261" s="170" t="str">
        <f>IFERROR(_xlfn.XLOOKUP($A261,Input_Raw!$A:$A,Input_Raw!BH:BH),"")</f>
        <v/>
      </c>
      <c r="O261" s="173" t="str">
        <f t="shared" si="17"/>
        <v/>
      </c>
      <c r="P261" s="173" t="str">
        <f>IFERROR(1-SUMIF(WTG_BD!$F:$F,$A261,WTG_BD!$AA:$AA)/($AA261+SUMIF(WTG_BD!$F:$F,$A261,WTG_BD!$AA:$AA)),"")</f>
        <v/>
      </c>
      <c r="Q261" s="173" t="str">
        <f>IFERROR(1-SUMIF(IGA_BD!$F:$F,$A261,IGA_BD!$X:$X)/($AA261+SUMIF(IGA_BD!$F:$F,$A261,IGA_BD!$X:$X)),"")</f>
        <v/>
      </c>
      <c r="R261" s="173" t="str">
        <f>IFERROR(1-SUMIF(Grid_BD!$F:$F,$A261,Grid_BD!$Y:$Y)/($AA261+SUMIF(Grid_BD!$F:$F,$A261,Grid_BD!$Y:$Y)),"")</f>
        <v/>
      </c>
      <c r="S261" s="167"/>
      <c r="T261" s="172"/>
      <c r="U261" s="173"/>
      <c r="V261" s="167"/>
      <c r="W261" s="174" t="str">
        <f t="shared" si="18"/>
        <v/>
      </c>
      <c r="X261" s="167" t="str">
        <f>IFERROR(_xlfn.XLOOKUP($A261,Input_Raw!$A:$A,Input_Raw!$BF:$BF),"")</f>
        <v/>
      </c>
      <c r="Y261" s="167" t="str">
        <f>IFERROR(_xlfn.XLOOKUP($A261,Input_Raw!$A:$A,Input_Raw!BJ:BJ),"")</f>
        <v/>
      </c>
      <c r="Z261" s="167" t="str">
        <f>IFERROR(_xlfn.XLOOKUP($A261,Input_Raw!$A:$A,Input_Raw!BK:BK),"")</f>
        <v/>
      </c>
      <c r="AA261" s="167" t="str">
        <f>IFERROR(_xlfn.XLOOKUP($A261,Input_Raw!$A:$A,Input_Raw!BL:BL),"")</f>
        <v/>
      </c>
      <c r="AB261" s="167" t="str">
        <f>IFERROR(_xlfn.XLOOKUP($A261,Input_Raw!$A:$A,Input_Raw!$BO:$BO),"")</f>
        <v/>
      </c>
      <c r="AC261" s="176">
        <f>IFERROR(_xlfn.XLOOKUP($D261,'Modelling New'!$D:$D,'Modelling New'!$J:$J),"")</f>
        <v>6.95</v>
      </c>
      <c r="AD261" s="166">
        <f>IFERROR(_xlfn.XLOOKUP($D261,'Modelling New'!$D:$D,'Modelling New'!$T:$T)*1000,"")</f>
        <v>574435.4233300495</v>
      </c>
      <c r="AE261" s="174"/>
      <c r="AF261" s="174">
        <f>IFERROR(_xlfn.XLOOKUP($D261,'Modelling New'!$D:$D,'Modelling New'!$W:$W),"")</f>
        <v>0.34095169950738929</v>
      </c>
      <c r="AG261" s="174">
        <f>IFERROR(_xlfn.XLOOKUP($D261,'Modelling New'!$D:$D,'Modelling New'!$AE:$AE),"")</f>
        <v>0.96029999999999993</v>
      </c>
      <c r="AH261" s="174">
        <f>IFERROR(_xlfn.XLOOKUP($D261,'Modelling New'!$D:$D,'Modelling New'!$AF:$AF),"")</f>
        <v>0.995</v>
      </c>
      <c r="AI261" s="177" t="str">
        <f>IFERROR(_xlfn.XLOOKUP($A261,Input_Raw!$A:$A,Input_Raw!$BQ:$BQ),"")</f>
        <v/>
      </c>
      <c r="AJ261" s="167"/>
      <c r="AK261" s="167"/>
      <c r="AL261" s="167"/>
      <c r="AM261" s="167"/>
      <c r="AN261" s="175" t="str">
        <f>IFERROR(_xlfn.XLOOKUP($A261,Input_Raw!$A:$A,Input_Raw!$BN:$BN),"")</f>
        <v/>
      </c>
      <c r="AO261" s="174" t="str">
        <f>IFERROR((_xlfn.XLOOKUP($A261,'WTG Reactive Power'!$A:$A,'WTG Reactive Power'!$AE:$AE))/Table13[[#This Row],[Gen_Exp (kWh)]],"")</f>
        <v/>
      </c>
      <c r="AP261" s="174">
        <f>IFERROR(_xlfn.XLOOKUP($D261,'Modelling New'!$D:$D,'Modelling New'!$AK:$AK),"")</f>
        <v>0.05</v>
      </c>
      <c r="AQ261" s="174">
        <f>IFERROR(_xlfn.XLOOKUP($D261,'Modelling New'!$D:$D,'Modelling New'!$AL:$AL),"")</f>
        <v>0.05</v>
      </c>
      <c r="AR261" s="276">
        <f>IFERROR(_xlfn.XLOOKUP($D261,'Modelling New'!$D:$D,'Modelling New'!$N:$N),"")</f>
        <v>70.2</v>
      </c>
      <c r="AS261" s="276"/>
    </row>
    <row r="262" spans="1:45">
      <c r="A262" s="165">
        <f t="shared" si="19"/>
        <v>46005</v>
      </c>
      <c r="B262" s="166">
        <f>YEAR(Table13[[#This Row],[Date]])+IF(MONTH(Table13[[#This Row],[Date]])&gt;=4,1,0)</f>
        <v>2026</v>
      </c>
      <c r="C262" s="167">
        <f>YEAR(Table13[[#This Row],[Date]])</f>
        <v>2025</v>
      </c>
      <c r="D262" s="168">
        <f>Table13[[#This Row],[Date]]-DAY(Table13[[#This Row],[Date]])+1</f>
        <v>45992</v>
      </c>
      <c r="E262" s="167">
        <f t="shared" si="16"/>
        <v>31</v>
      </c>
      <c r="F262" s="169"/>
      <c r="G262" s="170"/>
      <c r="H262" s="170"/>
      <c r="I262" s="170"/>
      <c r="J262" s="170"/>
      <c r="K262" s="171"/>
      <c r="L262" s="170"/>
      <c r="M262" s="170" t="str">
        <f>IFERROR(_xlfn.XLOOKUP($A262,Input_Raw!$A:$A,Input_Raw!BG:BG),"")</f>
        <v/>
      </c>
      <c r="N262" s="170" t="str">
        <f>IFERROR(_xlfn.XLOOKUP($A262,Input_Raw!$A:$A,Input_Raw!BH:BH),"")</f>
        <v/>
      </c>
      <c r="O262" s="173" t="str">
        <f t="shared" si="17"/>
        <v/>
      </c>
      <c r="P262" s="173" t="str">
        <f>IFERROR(1-SUMIF(WTG_BD!$F:$F,$A262,WTG_BD!$AA:$AA)/($AA262+SUMIF(WTG_BD!$F:$F,$A262,WTG_BD!$AA:$AA)),"")</f>
        <v/>
      </c>
      <c r="Q262" s="173" t="str">
        <f>IFERROR(1-SUMIF(IGA_BD!$F:$F,$A262,IGA_BD!$X:$X)/($AA262+SUMIF(IGA_BD!$F:$F,$A262,IGA_BD!$X:$X)),"")</f>
        <v/>
      </c>
      <c r="R262" s="173" t="str">
        <f>IFERROR(1-SUMIF(Grid_BD!$F:$F,$A262,Grid_BD!$Y:$Y)/($AA262+SUMIF(Grid_BD!$F:$F,$A262,Grid_BD!$Y:$Y)),"")</f>
        <v/>
      </c>
      <c r="S262" s="167"/>
      <c r="T262" s="172"/>
      <c r="U262" s="173"/>
      <c r="V262" s="167"/>
      <c r="W262" s="174" t="str">
        <f t="shared" si="18"/>
        <v/>
      </c>
      <c r="X262" s="167" t="str">
        <f>IFERROR(_xlfn.XLOOKUP($A262,Input_Raw!$A:$A,Input_Raw!$BF:$BF),"")</f>
        <v/>
      </c>
      <c r="Y262" s="167" t="str">
        <f>IFERROR(_xlfn.XLOOKUP($A262,Input_Raw!$A:$A,Input_Raw!BJ:BJ),"")</f>
        <v/>
      </c>
      <c r="Z262" s="167" t="str">
        <f>IFERROR(_xlfn.XLOOKUP($A262,Input_Raw!$A:$A,Input_Raw!BK:BK),"")</f>
        <v/>
      </c>
      <c r="AA262" s="167" t="str">
        <f>IFERROR(_xlfn.XLOOKUP($A262,Input_Raw!$A:$A,Input_Raw!BL:BL),"")</f>
        <v/>
      </c>
      <c r="AB262" s="167" t="str">
        <f>IFERROR(_xlfn.XLOOKUP($A262,Input_Raw!$A:$A,Input_Raw!$BO:$BO),"")</f>
        <v/>
      </c>
      <c r="AC262" s="176">
        <f>IFERROR(_xlfn.XLOOKUP($D262,'Modelling New'!$D:$D,'Modelling New'!$J:$J),"")</f>
        <v>6.95</v>
      </c>
      <c r="AD262" s="166">
        <f>IFERROR(_xlfn.XLOOKUP($D262,'Modelling New'!$D:$D,'Modelling New'!$T:$T)*1000,"")</f>
        <v>574435.4233300495</v>
      </c>
      <c r="AE262" s="174"/>
      <c r="AF262" s="174">
        <f>IFERROR(_xlfn.XLOOKUP($D262,'Modelling New'!$D:$D,'Modelling New'!$W:$W),"")</f>
        <v>0.34095169950738929</v>
      </c>
      <c r="AG262" s="174">
        <f>IFERROR(_xlfn.XLOOKUP($D262,'Modelling New'!$D:$D,'Modelling New'!$AE:$AE),"")</f>
        <v>0.96029999999999993</v>
      </c>
      <c r="AH262" s="174">
        <f>IFERROR(_xlfn.XLOOKUP($D262,'Modelling New'!$D:$D,'Modelling New'!$AF:$AF),"")</f>
        <v>0.995</v>
      </c>
      <c r="AI262" s="177" t="str">
        <f>IFERROR(_xlfn.XLOOKUP($A262,Input_Raw!$A:$A,Input_Raw!$BQ:$BQ),"")</f>
        <v/>
      </c>
      <c r="AJ262" s="167"/>
      <c r="AK262" s="167"/>
      <c r="AL262" s="167"/>
      <c r="AM262" s="167"/>
      <c r="AN262" s="175" t="str">
        <f>IFERROR(_xlfn.XLOOKUP($A262,Input_Raw!$A:$A,Input_Raw!$BN:$BN),"")</f>
        <v/>
      </c>
      <c r="AO262" s="174" t="str">
        <f>IFERROR((_xlfn.XLOOKUP($A262,'WTG Reactive Power'!$A:$A,'WTG Reactive Power'!$AE:$AE))/Table13[[#This Row],[Gen_Exp (kWh)]],"")</f>
        <v/>
      </c>
      <c r="AP262" s="174">
        <f>IFERROR(_xlfn.XLOOKUP($D262,'Modelling New'!$D:$D,'Modelling New'!$AK:$AK),"")</f>
        <v>0.05</v>
      </c>
      <c r="AQ262" s="174">
        <f>IFERROR(_xlfn.XLOOKUP($D262,'Modelling New'!$D:$D,'Modelling New'!$AL:$AL),"")</f>
        <v>0.05</v>
      </c>
      <c r="AR262" s="276">
        <f>IFERROR(_xlfn.XLOOKUP($D262,'Modelling New'!$D:$D,'Modelling New'!$N:$N),"")</f>
        <v>70.2</v>
      </c>
      <c r="AS262" s="276"/>
    </row>
    <row r="263" spans="1:45">
      <c r="A263" s="165">
        <f t="shared" si="19"/>
        <v>46006</v>
      </c>
      <c r="B263" s="166">
        <f>YEAR(Table13[[#This Row],[Date]])+IF(MONTH(Table13[[#This Row],[Date]])&gt;=4,1,0)</f>
        <v>2026</v>
      </c>
      <c r="C263" s="167">
        <f>YEAR(Table13[[#This Row],[Date]])</f>
        <v>2025</v>
      </c>
      <c r="D263" s="168">
        <f>Table13[[#This Row],[Date]]-DAY(Table13[[#This Row],[Date]])+1</f>
        <v>45992</v>
      </c>
      <c r="E263" s="167">
        <f t="shared" si="16"/>
        <v>31</v>
      </c>
      <c r="F263" s="169"/>
      <c r="G263" s="176"/>
      <c r="H263" s="176"/>
      <c r="I263" s="176"/>
      <c r="J263" s="176"/>
      <c r="K263" s="171"/>
      <c r="L263" s="170"/>
      <c r="M263" s="170" t="str">
        <f>IFERROR(_xlfn.XLOOKUP($A263,Input_Raw!$A:$A,Input_Raw!BG:BG),"")</f>
        <v/>
      </c>
      <c r="N263" s="170" t="str">
        <f>IFERROR(_xlfn.XLOOKUP($A263,Input_Raw!$A:$A,Input_Raw!BH:BH),"")</f>
        <v/>
      </c>
      <c r="O263" s="173" t="str">
        <f t="shared" si="17"/>
        <v/>
      </c>
      <c r="P263" s="173" t="str">
        <f>IFERROR(1-SUMIF(WTG_BD!$F:$F,$A263,WTG_BD!$AA:$AA)/($AA263+SUMIF(WTG_BD!$F:$F,$A263,WTG_BD!$AA:$AA)),"")</f>
        <v/>
      </c>
      <c r="Q263" s="173" t="str">
        <f>IFERROR(1-SUMIF(IGA_BD!$F:$F,$A263,IGA_BD!$X:$X)/($AA263+SUMIF(IGA_BD!$F:$F,$A263,IGA_BD!$X:$X)),"")</f>
        <v/>
      </c>
      <c r="R263" s="173" t="str">
        <f>IFERROR(1-SUMIF(Grid_BD!$F:$F,$A263,Grid_BD!$Y:$Y)/($AA263+SUMIF(Grid_BD!$F:$F,$A263,Grid_BD!$Y:$Y)),"")</f>
        <v/>
      </c>
      <c r="S263" s="167"/>
      <c r="T263" s="172"/>
      <c r="U263" s="173"/>
      <c r="V263" s="167"/>
      <c r="W263" s="174" t="str">
        <f t="shared" si="18"/>
        <v/>
      </c>
      <c r="X263" s="167" t="str">
        <f>IFERROR(_xlfn.XLOOKUP($A263,Input_Raw!$A:$A,Input_Raw!$BF:$BF),"")</f>
        <v/>
      </c>
      <c r="Y263" s="167" t="str">
        <f>IFERROR(_xlfn.XLOOKUP($A263,Input_Raw!$A:$A,Input_Raw!BJ:BJ),"")</f>
        <v/>
      </c>
      <c r="Z263" s="167" t="str">
        <f>IFERROR(_xlfn.XLOOKUP($A263,Input_Raw!$A:$A,Input_Raw!BK:BK),"")</f>
        <v/>
      </c>
      <c r="AA263" s="167" t="str">
        <f>IFERROR(_xlfn.XLOOKUP($A263,Input_Raw!$A:$A,Input_Raw!BL:BL),"")</f>
        <v/>
      </c>
      <c r="AB263" s="167" t="str">
        <f>IFERROR(_xlfn.XLOOKUP($A263,Input_Raw!$A:$A,Input_Raw!$BO:$BO),"")</f>
        <v/>
      </c>
      <c r="AC263" s="176">
        <f>IFERROR(_xlfn.XLOOKUP($D263,'Modelling New'!$D:$D,'Modelling New'!$J:$J),"")</f>
        <v>6.95</v>
      </c>
      <c r="AD263" s="166">
        <f>IFERROR(_xlfn.XLOOKUP($D263,'Modelling New'!$D:$D,'Modelling New'!$T:$T)*1000,"")</f>
        <v>574435.4233300495</v>
      </c>
      <c r="AE263" s="174"/>
      <c r="AF263" s="174">
        <f>IFERROR(_xlfn.XLOOKUP($D263,'Modelling New'!$D:$D,'Modelling New'!$W:$W),"")</f>
        <v>0.34095169950738929</v>
      </c>
      <c r="AG263" s="174">
        <f>IFERROR(_xlfn.XLOOKUP($D263,'Modelling New'!$D:$D,'Modelling New'!$AE:$AE),"")</f>
        <v>0.96029999999999993</v>
      </c>
      <c r="AH263" s="174">
        <f>IFERROR(_xlfn.XLOOKUP($D263,'Modelling New'!$D:$D,'Modelling New'!$AF:$AF),"")</f>
        <v>0.995</v>
      </c>
      <c r="AI263" s="177" t="str">
        <f>IFERROR(_xlfn.XLOOKUP($A263,Input_Raw!$A:$A,Input_Raw!$BQ:$BQ),"")</f>
        <v/>
      </c>
      <c r="AJ263" s="167"/>
      <c r="AK263" s="167"/>
      <c r="AL263" s="167"/>
      <c r="AM263" s="167"/>
      <c r="AN263" s="175" t="str">
        <f>IFERROR(_xlfn.XLOOKUP($A263,Input_Raw!$A:$A,Input_Raw!$BN:$BN),"")</f>
        <v/>
      </c>
      <c r="AO263" s="174" t="str">
        <f>IFERROR((_xlfn.XLOOKUP($A263,'WTG Reactive Power'!$A:$A,'WTG Reactive Power'!$AE:$AE))/Table13[[#This Row],[Gen_Exp (kWh)]],"")</f>
        <v/>
      </c>
      <c r="AP263" s="174">
        <f>IFERROR(_xlfn.XLOOKUP($D263,'Modelling New'!$D:$D,'Modelling New'!$AK:$AK),"")</f>
        <v>0.05</v>
      </c>
      <c r="AQ263" s="174">
        <f>IFERROR(_xlfn.XLOOKUP($D263,'Modelling New'!$D:$D,'Modelling New'!$AL:$AL),"")</f>
        <v>0.05</v>
      </c>
      <c r="AR263" s="276">
        <f>IFERROR(_xlfn.XLOOKUP($D263,'Modelling New'!$D:$D,'Modelling New'!$N:$N),"")</f>
        <v>70.2</v>
      </c>
      <c r="AS263" s="276"/>
    </row>
    <row r="264" spans="1:45">
      <c r="A264" s="165">
        <f t="shared" si="19"/>
        <v>46007</v>
      </c>
      <c r="B264" s="166">
        <f>YEAR(Table13[[#This Row],[Date]])+IF(MONTH(Table13[[#This Row],[Date]])&gt;=4,1,0)</f>
        <v>2026</v>
      </c>
      <c r="C264" s="167">
        <f>YEAR(Table13[[#This Row],[Date]])</f>
        <v>2025</v>
      </c>
      <c r="D264" s="168">
        <f>Table13[[#This Row],[Date]]-DAY(Table13[[#This Row],[Date]])+1</f>
        <v>45992</v>
      </c>
      <c r="E264" s="167">
        <f t="shared" si="16"/>
        <v>31</v>
      </c>
      <c r="F264" s="169"/>
      <c r="G264" s="170"/>
      <c r="H264" s="170"/>
      <c r="I264" s="170"/>
      <c r="J264" s="170"/>
      <c r="K264" s="171"/>
      <c r="L264" s="170"/>
      <c r="M264" s="170" t="str">
        <f>IFERROR(_xlfn.XLOOKUP($A264,Input_Raw!$A:$A,Input_Raw!BG:BG),"")</f>
        <v/>
      </c>
      <c r="N264" s="170" t="str">
        <f>IFERROR(_xlfn.XLOOKUP($A264,Input_Raw!$A:$A,Input_Raw!BH:BH),"")</f>
        <v/>
      </c>
      <c r="O264" s="173" t="str">
        <f t="shared" si="17"/>
        <v/>
      </c>
      <c r="P264" s="173" t="str">
        <f>IFERROR(1-SUMIF(WTG_BD!$F:$F,$A264,WTG_BD!$AA:$AA)/($AA264+SUMIF(WTG_BD!$F:$F,$A264,WTG_BD!$AA:$AA)),"")</f>
        <v/>
      </c>
      <c r="Q264" s="173" t="str">
        <f>IFERROR(1-SUMIF(IGA_BD!$F:$F,$A264,IGA_BD!$X:$X)/($AA264+SUMIF(IGA_BD!$F:$F,$A264,IGA_BD!$X:$X)),"")</f>
        <v/>
      </c>
      <c r="R264" s="173" t="str">
        <f>IFERROR(1-SUMIF(Grid_BD!$F:$F,$A264,Grid_BD!$Y:$Y)/($AA264+SUMIF(Grid_BD!$F:$F,$A264,Grid_BD!$Y:$Y)),"")</f>
        <v/>
      </c>
      <c r="S264" s="167"/>
      <c r="T264" s="172"/>
      <c r="U264" s="173"/>
      <c r="V264" s="167"/>
      <c r="W264" s="174" t="str">
        <f t="shared" si="18"/>
        <v/>
      </c>
      <c r="X264" s="167" t="str">
        <f>IFERROR(_xlfn.XLOOKUP($A264,Input_Raw!$A:$A,Input_Raw!$BF:$BF),"")</f>
        <v/>
      </c>
      <c r="Y264" s="167" t="str">
        <f>IFERROR(_xlfn.XLOOKUP($A264,Input_Raw!$A:$A,Input_Raw!BJ:BJ),"")</f>
        <v/>
      </c>
      <c r="Z264" s="167" t="str">
        <f>IFERROR(_xlfn.XLOOKUP($A264,Input_Raw!$A:$A,Input_Raw!BK:BK),"")</f>
        <v/>
      </c>
      <c r="AA264" s="167" t="str">
        <f>IFERROR(_xlfn.XLOOKUP($A264,Input_Raw!$A:$A,Input_Raw!BL:BL),"")</f>
        <v/>
      </c>
      <c r="AB264" s="167" t="str">
        <f>IFERROR(_xlfn.XLOOKUP($A264,Input_Raw!$A:$A,Input_Raw!$BO:$BO),"")</f>
        <v/>
      </c>
      <c r="AC264" s="176">
        <f>IFERROR(_xlfn.XLOOKUP($D264,'Modelling New'!$D:$D,'Modelling New'!$J:$J),"")</f>
        <v>6.95</v>
      </c>
      <c r="AD264" s="166">
        <f>IFERROR(_xlfn.XLOOKUP($D264,'Modelling New'!$D:$D,'Modelling New'!$T:$T)*1000,"")</f>
        <v>574435.4233300495</v>
      </c>
      <c r="AE264" s="174"/>
      <c r="AF264" s="174">
        <f>IFERROR(_xlfn.XLOOKUP($D264,'Modelling New'!$D:$D,'Modelling New'!$W:$W),"")</f>
        <v>0.34095169950738929</v>
      </c>
      <c r="AG264" s="174">
        <f>IFERROR(_xlfn.XLOOKUP($D264,'Modelling New'!$D:$D,'Modelling New'!$AE:$AE),"")</f>
        <v>0.96029999999999993</v>
      </c>
      <c r="AH264" s="174">
        <f>IFERROR(_xlfn.XLOOKUP($D264,'Modelling New'!$D:$D,'Modelling New'!$AF:$AF),"")</f>
        <v>0.995</v>
      </c>
      <c r="AI264" s="177" t="str">
        <f>IFERROR(_xlfn.XLOOKUP($A264,Input_Raw!$A:$A,Input_Raw!$BQ:$BQ),"")</f>
        <v/>
      </c>
      <c r="AJ264" s="167"/>
      <c r="AK264" s="167"/>
      <c r="AL264" s="167"/>
      <c r="AM264" s="167"/>
      <c r="AN264" s="175" t="str">
        <f>IFERROR(_xlfn.XLOOKUP($A264,Input_Raw!$A:$A,Input_Raw!$BN:$BN),"")</f>
        <v/>
      </c>
      <c r="AO264" s="174" t="str">
        <f>IFERROR((_xlfn.XLOOKUP($A264,'WTG Reactive Power'!$A:$A,'WTG Reactive Power'!$AE:$AE))/Table13[[#This Row],[Gen_Exp (kWh)]],"")</f>
        <v/>
      </c>
      <c r="AP264" s="174">
        <f>IFERROR(_xlfn.XLOOKUP($D264,'Modelling New'!$D:$D,'Modelling New'!$AK:$AK),"")</f>
        <v>0.05</v>
      </c>
      <c r="AQ264" s="174">
        <f>IFERROR(_xlfn.XLOOKUP($D264,'Modelling New'!$D:$D,'Modelling New'!$AL:$AL),"")</f>
        <v>0.05</v>
      </c>
      <c r="AR264" s="276">
        <f>IFERROR(_xlfn.XLOOKUP($D264,'Modelling New'!$D:$D,'Modelling New'!$N:$N),"")</f>
        <v>70.2</v>
      </c>
      <c r="AS264" s="276"/>
    </row>
    <row r="265" spans="1:45">
      <c r="A265" s="165">
        <f t="shared" si="19"/>
        <v>46008</v>
      </c>
      <c r="B265" s="166">
        <f>YEAR(Table13[[#This Row],[Date]])+IF(MONTH(Table13[[#This Row],[Date]])&gt;=4,1,0)</f>
        <v>2026</v>
      </c>
      <c r="C265" s="167">
        <f>YEAR(Table13[[#This Row],[Date]])</f>
        <v>2025</v>
      </c>
      <c r="D265" s="168">
        <f>Table13[[#This Row],[Date]]-DAY(Table13[[#This Row],[Date]])+1</f>
        <v>45992</v>
      </c>
      <c r="E265" s="167">
        <f t="shared" si="16"/>
        <v>31</v>
      </c>
      <c r="F265" s="169"/>
      <c r="G265" s="176"/>
      <c r="H265" s="176"/>
      <c r="I265" s="176"/>
      <c r="J265" s="176"/>
      <c r="K265" s="171"/>
      <c r="L265" s="170"/>
      <c r="M265" s="170" t="str">
        <f>IFERROR(_xlfn.XLOOKUP($A265,Input_Raw!$A:$A,Input_Raw!BG:BG),"")</f>
        <v/>
      </c>
      <c r="N265" s="170" t="str">
        <f>IFERROR(_xlfn.XLOOKUP($A265,Input_Raw!$A:$A,Input_Raw!BH:BH),"")</f>
        <v/>
      </c>
      <c r="O265" s="173" t="str">
        <f t="shared" si="17"/>
        <v/>
      </c>
      <c r="P265" s="173" t="str">
        <f>IFERROR(1-SUMIF(WTG_BD!$F:$F,$A265,WTG_BD!$AA:$AA)/($AA265+SUMIF(WTG_BD!$F:$F,$A265,WTG_BD!$AA:$AA)),"")</f>
        <v/>
      </c>
      <c r="Q265" s="173" t="str">
        <f>IFERROR(1-SUMIF(IGA_BD!$F:$F,$A265,IGA_BD!$X:$X)/($AA265+SUMIF(IGA_BD!$F:$F,$A265,IGA_BD!$X:$X)),"")</f>
        <v/>
      </c>
      <c r="R265" s="173" t="str">
        <f>IFERROR(1-SUMIF(Grid_BD!$F:$F,$A265,Grid_BD!$Y:$Y)/($AA265+SUMIF(Grid_BD!$F:$F,$A265,Grid_BD!$Y:$Y)),"")</f>
        <v/>
      </c>
      <c r="S265" s="167"/>
      <c r="T265" s="172"/>
      <c r="U265" s="173"/>
      <c r="V265" s="167"/>
      <c r="W265" s="174" t="str">
        <f t="shared" si="18"/>
        <v/>
      </c>
      <c r="X265" s="167" t="str">
        <f>IFERROR(_xlfn.XLOOKUP($A265,Input_Raw!$A:$A,Input_Raw!$BF:$BF),"")</f>
        <v/>
      </c>
      <c r="Y265" s="167" t="str">
        <f>IFERROR(_xlfn.XLOOKUP($A265,Input_Raw!$A:$A,Input_Raw!BJ:BJ),"")</f>
        <v/>
      </c>
      <c r="Z265" s="167" t="str">
        <f>IFERROR(_xlfn.XLOOKUP($A265,Input_Raw!$A:$A,Input_Raw!BK:BK),"")</f>
        <v/>
      </c>
      <c r="AA265" s="167" t="str">
        <f>IFERROR(_xlfn.XLOOKUP($A265,Input_Raw!$A:$A,Input_Raw!BL:BL),"")</f>
        <v/>
      </c>
      <c r="AB265" s="167" t="str">
        <f>IFERROR(_xlfn.XLOOKUP($A265,Input_Raw!$A:$A,Input_Raw!$BO:$BO),"")</f>
        <v/>
      </c>
      <c r="AC265" s="176">
        <f>IFERROR(_xlfn.XLOOKUP($D265,'Modelling New'!$D:$D,'Modelling New'!$J:$J),"")</f>
        <v>6.95</v>
      </c>
      <c r="AD265" s="166">
        <f>IFERROR(_xlfn.XLOOKUP($D265,'Modelling New'!$D:$D,'Modelling New'!$T:$T)*1000,"")</f>
        <v>574435.4233300495</v>
      </c>
      <c r="AE265" s="174"/>
      <c r="AF265" s="174">
        <f>IFERROR(_xlfn.XLOOKUP($D265,'Modelling New'!$D:$D,'Modelling New'!$W:$W),"")</f>
        <v>0.34095169950738929</v>
      </c>
      <c r="AG265" s="174">
        <f>IFERROR(_xlfn.XLOOKUP($D265,'Modelling New'!$D:$D,'Modelling New'!$AE:$AE),"")</f>
        <v>0.96029999999999993</v>
      </c>
      <c r="AH265" s="174">
        <f>IFERROR(_xlfn.XLOOKUP($D265,'Modelling New'!$D:$D,'Modelling New'!$AF:$AF),"")</f>
        <v>0.995</v>
      </c>
      <c r="AI265" s="177" t="str">
        <f>IFERROR(_xlfn.XLOOKUP($A265,Input_Raw!$A:$A,Input_Raw!$BQ:$BQ),"")</f>
        <v/>
      </c>
      <c r="AJ265" s="167"/>
      <c r="AK265" s="167"/>
      <c r="AL265" s="167"/>
      <c r="AM265" s="167"/>
      <c r="AN265" s="175" t="str">
        <f>IFERROR(_xlfn.XLOOKUP($A265,Input_Raw!$A:$A,Input_Raw!$BN:$BN),"")</f>
        <v/>
      </c>
      <c r="AO265" s="174" t="str">
        <f>IFERROR((_xlfn.XLOOKUP($A265,'WTG Reactive Power'!$A:$A,'WTG Reactive Power'!$AE:$AE))/Table13[[#This Row],[Gen_Exp (kWh)]],"")</f>
        <v/>
      </c>
      <c r="AP265" s="174">
        <f>IFERROR(_xlfn.XLOOKUP($D265,'Modelling New'!$D:$D,'Modelling New'!$AK:$AK),"")</f>
        <v>0.05</v>
      </c>
      <c r="AQ265" s="174">
        <f>IFERROR(_xlfn.XLOOKUP($D265,'Modelling New'!$D:$D,'Modelling New'!$AL:$AL),"")</f>
        <v>0.05</v>
      </c>
      <c r="AR265" s="276">
        <f>IFERROR(_xlfn.XLOOKUP($D265,'Modelling New'!$D:$D,'Modelling New'!$N:$N),"")</f>
        <v>70.2</v>
      </c>
      <c r="AS265" s="276"/>
    </row>
    <row r="266" spans="1:45">
      <c r="A266" s="165">
        <f t="shared" si="19"/>
        <v>46009</v>
      </c>
      <c r="B266" s="166">
        <f>YEAR(Table13[[#This Row],[Date]])+IF(MONTH(Table13[[#This Row],[Date]])&gt;=4,1,0)</f>
        <v>2026</v>
      </c>
      <c r="C266" s="167">
        <f>YEAR(Table13[[#This Row],[Date]])</f>
        <v>2025</v>
      </c>
      <c r="D266" s="168">
        <f>Table13[[#This Row],[Date]]-DAY(Table13[[#This Row],[Date]])+1</f>
        <v>45992</v>
      </c>
      <c r="E266" s="167">
        <f t="shared" si="16"/>
        <v>31</v>
      </c>
      <c r="F266" s="169"/>
      <c r="G266" s="170"/>
      <c r="H266" s="170"/>
      <c r="I266" s="170"/>
      <c r="J266" s="170"/>
      <c r="K266" s="171"/>
      <c r="L266" s="170"/>
      <c r="M266" s="170" t="str">
        <f>IFERROR(_xlfn.XLOOKUP($A266,Input_Raw!$A:$A,Input_Raw!BG:BG),"")</f>
        <v/>
      </c>
      <c r="N266" s="170" t="str">
        <f>IFERROR(_xlfn.XLOOKUP($A266,Input_Raw!$A:$A,Input_Raw!BH:BH),"")</f>
        <v/>
      </c>
      <c r="O266" s="173" t="str">
        <f t="shared" si="17"/>
        <v/>
      </c>
      <c r="P266" s="173" t="str">
        <f>IFERROR(1-SUMIF(WTG_BD!$F:$F,$A266,WTG_BD!$AA:$AA)/($AA266+SUMIF(WTG_BD!$F:$F,$A266,WTG_BD!$AA:$AA)),"")</f>
        <v/>
      </c>
      <c r="Q266" s="173" t="str">
        <f>IFERROR(1-SUMIF(IGA_BD!$F:$F,$A266,IGA_BD!$X:$X)/($AA266+SUMIF(IGA_BD!$F:$F,$A266,IGA_BD!$X:$X)),"")</f>
        <v/>
      </c>
      <c r="R266" s="173" t="str">
        <f>IFERROR(1-SUMIF(Grid_BD!$F:$F,$A266,Grid_BD!$Y:$Y)/($AA266+SUMIF(Grid_BD!$F:$F,$A266,Grid_BD!$Y:$Y)),"")</f>
        <v/>
      </c>
      <c r="S266" s="167"/>
      <c r="T266" s="172"/>
      <c r="U266" s="173"/>
      <c r="V266" s="167"/>
      <c r="W266" s="174" t="str">
        <f t="shared" si="18"/>
        <v/>
      </c>
      <c r="X266" s="167" t="str">
        <f>IFERROR(_xlfn.XLOOKUP($A266,Input_Raw!$A:$A,Input_Raw!$BF:$BF),"")</f>
        <v/>
      </c>
      <c r="Y266" s="167" t="str">
        <f>IFERROR(_xlfn.XLOOKUP($A266,Input_Raw!$A:$A,Input_Raw!BJ:BJ),"")</f>
        <v/>
      </c>
      <c r="Z266" s="167" t="str">
        <f>IFERROR(_xlfn.XLOOKUP($A266,Input_Raw!$A:$A,Input_Raw!BK:BK),"")</f>
        <v/>
      </c>
      <c r="AA266" s="167" t="str">
        <f>IFERROR(_xlfn.XLOOKUP($A266,Input_Raw!$A:$A,Input_Raw!BL:BL),"")</f>
        <v/>
      </c>
      <c r="AB266" s="167" t="str">
        <f>IFERROR(_xlfn.XLOOKUP($A266,Input_Raw!$A:$A,Input_Raw!$BO:$BO),"")</f>
        <v/>
      </c>
      <c r="AC266" s="176">
        <f>IFERROR(_xlfn.XLOOKUP($D266,'Modelling New'!$D:$D,'Modelling New'!$J:$J),"")</f>
        <v>6.95</v>
      </c>
      <c r="AD266" s="166">
        <f>IFERROR(_xlfn.XLOOKUP($D266,'Modelling New'!$D:$D,'Modelling New'!$T:$T)*1000,"")</f>
        <v>574435.4233300495</v>
      </c>
      <c r="AE266" s="174"/>
      <c r="AF266" s="174">
        <f>IFERROR(_xlfn.XLOOKUP($D266,'Modelling New'!$D:$D,'Modelling New'!$W:$W),"")</f>
        <v>0.34095169950738929</v>
      </c>
      <c r="AG266" s="174">
        <f>IFERROR(_xlfn.XLOOKUP($D266,'Modelling New'!$D:$D,'Modelling New'!$AE:$AE),"")</f>
        <v>0.96029999999999993</v>
      </c>
      <c r="AH266" s="174">
        <f>IFERROR(_xlfn.XLOOKUP($D266,'Modelling New'!$D:$D,'Modelling New'!$AF:$AF),"")</f>
        <v>0.995</v>
      </c>
      <c r="AI266" s="177" t="str">
        <f>IFERROR(_xlfn.XLOOKUP($A266,Input_Raw!$A:$A,Input_Raw!$BQ:$BQ),"")</f>
        <v/>
      </c>
      <c r="AJ266" s="167"/>
      <c r="AK266" s="167"/>
      <c r="AL266" s="167"/>
      <c r="AM266" s="167"/>
      <c r="AN266" s="175" t="str">
        <f>IFERROR(_xlfn.XLOOKUP($A266,Input_Raw!$A:$A,Input_Raw!$BN:$BN),"")</f>
        <v/>
      </c>
      <c r="AO266" s="174" t="str">
        <f>IFERROR((_xlfn.XLOOKUP($A266,'WTG Reactive Power'!$A:$A,'WTG Reactive Power'!$AE:$AE))/Table13[[#This Row],[Gen_Exp (kWh)]],"")</f>
        <v/>
      </c>
      <c r="AP266" s="174">
        <f>IFERROR(_xlfn.XLOOKUP($D266,'Modelling New'!$D:$D,'Modelling New'!$AK:$AK),"")</f>
        <v>0.05</v>
      </c>
      <c r="AQ266" s="174">
        <f>IFERROR(_xlfn.XLOOKUP($D266,'Modelling New'!$D:$D,'Modelling New'!$AL:$AL),"")</f>
        <v>0.05</v>
      </c>
      <c r="AR266" s="276">
        <f>IFERROR(_xlfn.XLOOKUP($D266,'Modelling New'!$D:$D,'Modelling New'!$N:$N),"")</f>
        <v>70.2</v>
      </c>
      <c r="AS266" s="276"/>
    </row>
    <row r="267" spans="1:45">
      <c r="A267" s="165">
        <f t="shared" si="19"/>
        <v>46010</v>
      </c>
      <c r="B267" s="166">
        <f>YEAR(Table13[[#This Row],[Date]])+IF(MONTH(Table13[[#This Row],[Date]])&gt;=4,1,0)</f>
        <v>2026</v>
      </c>
      <c r="C267" s="167">
        <f>YEAR(Table13[[#This Row],[Date]])</f>
        <v>2025</v>
      </c>
      <c r="D267" s="168">
        <f>Table13[[#This Row],[Date]]-DAY(Table13[[#This Row],[Date]])+1</f>
        <v>45992</v>
      </c>
      <c r="E267" s="167">
        <f t="shared" si="16"/>
        <v>31</v>
      </c>
      <c r="F267" s="169"/>
      <c r="G267" s="176"/>
      <c r="H267" s="176"/>
      <c r="I267" s="176"/>
      <c r="J267" s="176"/>
      <c r="K267" s="171"/>
      <c r="L267" s="170"/>
      <c r="M267" s="170" t="str">
        <f>IFERROR(_xlfn.XLOOKUP($A267,Input_Raw!$A:$A,Input_Raw!BG:BG),"")</f>
        <v/>
      </c>
      <c r="N267" s="170" t="str">
        <f>IFERROR(_xlfn.XLOOKUP($A267,Input_Raw!$A:$A,Input_Raw!BH:BH),"")</f>
        <v/>
      </c>
      <c r="O267" s="173" t="str">
        <f t="shared" si="17"/>
        <v/>
      </c>
      <c r="P267" s="173" t="str">
        <f>IFERROR(1-SUMIF(WTG_BD!$F:$F,$A267,WTG_BD!$AA:$AA)/($AA267+SUMIF(WTG_BD!$F:$F,$A267,WTG_BD!$AA:$AA)),"")</f>
        <v/>
      </c>
      <c r="Q267" s="173" t="str">
        <f>IFERROR(1-SUMIF(IGA_BD!$F:$F,$A267,IGA_BD!$X:$X)/($AA267+SUMIF(IGA_BD!$F:$F,$A267,IGA_BD!$X:$X)),"")</f>
        <v/>
      </c>
      <c r="R267" s="173" t="str">
        <f>IFERROR(1-SUMIF(Grid_BD!$F:$F,$A267,Grid_BD!$Y:$Y)/($AA267+SUMIF(Grid_BD!$F:$F,$A267,Grid_BD!$Y:$Y)),"")</f>
        <v/>
      </c>
      <c r="S267" s="167"/>
      <c r="T267" s="172"/>
      <c r="U267" s="173"/>
      <c r="V267" s="167"/>
      <c r="W267" s="174" t="str">
        <f t="shared" si="18"/>
        <v/>
      </c>
      <c r="X267" s="167" t="str">
        <f>IFERROR(_xlfn.XLOOKUP($A267,Input_Raw!$A:$A,Input_Raw!$BF:$BF),"")</f>
        <v/>
      </c>
      <c r="Y267" s="167" t="str">
        <f>IFERROR(_xlfn.XLOOKUP($A267,Input_Raw!$A:$A,Input_Raw!BJ:BJ),"")</f>
        <v/>
      </c>
      <c r="Z267" s="167" t="str">
        <f>IFERROR(_xlfn.XLOOKUP($A267,Input_Raw!$A:$A,Input_Raw!BK:BK),"")</f>
        <v/>
      </c>
      <c r="AA267" s="167" t="str">
        <f>IFERROR(_xlfn.XLOOKUP($A267,Input_Raw!$A:$A,Input_Raw!BL:BL),"")</f>
        <v/>
      </c>
      <c r="AB267" s="167" t="str">
        <f>IFERROR(_xlfn.XLOOKUP($A267,Input_Raw!$A:$A,Input_Raw!$BO:$BO),"")</f>
        <v/>
      </c>
      <c r="AC267" s="176">
        <f>IFERROR(_xlfn.XLOOKUP($D267,'Modelling New'!$D:$D,'Modelling New'!$J:$J),"")</f>
        <v>6.95</v>
      </c>
      <c r="AD267" s="166">
        <f>IFERROR(_xlfn.XLOOKUP($D267,'Modelling New'!$D:$D,'Modelling New'!$T:$T)*1000,"")</f>
        <v>574435.4233300495</v>
      </c>
      <c r="AE267" s="174"/>
      <c r="AF267" s="174">
        <f>IFERROR(_xlfn.XLOOKUP($D267,'Modelling New'!$D:$D,'Modelling New'!$W:$W),"")</f>
        <v>0.34095169950738929</v>
      </c>
      <c r="AG267" s="174">
        <f>IFERROR(_xlfn.XLOOKUP($D267,'Modelling New'!$D:$D,'Modelling New'!$AE:$AE),"")</f>
        <v>0.96029999999999993</v>
      </c>
      <c r="AH267" s="174">
        <f>IFERROR(_xlfn.XLOOKUP($D267,'Modelling New'!$D:$D,'Modelling New'!$AF:$AF),"")</f>
        <v>0.995</v>
      </c>
      <c r="AI267" s="177" t="str">
        <f>IFERROR(_xlfn.XLOOKUP($A267,Input_Raw!$A:$A,Input_Raw!$BQ:$BQ),"")</f>
        <v/>
      </c>
      <c r="AJ267" s="167"/>
      <c r="AK267" s="167"/>
      <c r="AL267" s="167"/>
      <c r="AM267" s="167"/>
      <c r="AN267" s="175" t="str">
        <f>IFERROR(_xlfn.XLOOKUP($A267,Input_Raw!$A:$A,Input_Raw!$BN:$BN),"")</f>
        <v/>
      </c>
      <c r="AO267" s="174" t="str">
        <f>IFERROR((_xlfn.XLOOKUP($A267,'WTG Reactive Power'!$A:$A,'WTG Reactive Power'!$AE:$AE))/Table13[[#This Row],[Gen_Exp (kWh)]],"")</f>
        <v/>
      </c>
      <c r="AP267" s="174">
        <f>IFERROR(_xlfn.XLOOKUP($D267,'Modelling New'!$D:$D,'Modelling New'!$AK:$AK),"")</f>
        <v>0.05</v>
      </c>
      <c r="AQ267" s="174">
        <f>IFERROR(_xlfn.XLOOKUP($D267,'Modelling New'!$D:$D,'Modelling New'!$AL:$AL),"")</f>
        <v>0.05</v>
      </c>
      <c r="AR267" s="276">
        <f>IFERROR(_xlfn.XLOOKUP($D267,'Modelling New'!$D:$D,'Modelling New'!$N:$N),"")</f>
        <v>70.2</v>
      </c>
      <c r="AS267" s="276"/>
    </row>
    <row r="268" spans="1:45">
      <c r="A268" s="165">
        <f t="shared" si="19"/>
        <v>46011</v>
      </c>
      <c r="B268" s="166">
        <f>YEAR(Table13[[#This Row],[Date]])+IF(MONTH(Table13[[#This Row],[Date]])&gt;=4,1,0)</f>
        <v>2026</v>
      </c>
      <c r="C268" s="167">
        <f>YEAR(Table13[[#This Row],[Date]])</f>
        <v>2025</v>
      </c>
      <c r="D268" s="168">
        <f>Table13[[#This Row],[Date]]-DAY(Table13[[#This Row],[Date]])+1</f>
        <v>45992</v>
      </c>
      <c r="E268" s="167">
        <f t="shared" si="16"/>
        <v>31</v>
      </c>
      <c r="F268" s="169"/>
      <c r="G268" s="170"/>
      <c r="H268" s="170"/>
      <c r="I268" s="170"/>
      <c r="J268" s="170"/>
      <c r="K268" s="171"/>
      <c r="L268" s="170"/>
      <c r="M268" s="170" t="str">
        <f>IFERROR(_xlfn.XLOOKUP($A268,Input_Raw!$A:$A,Input_Raw!BG:BG),"")</f>
        <v/>
      </c>
      <c r="N268" s="170" t="str">
        <f>IFERROR(_xlfn.XLOOKUP($A268,Input_Raw!$A:$A,Input_Raw!BH:BH),"")</f>
        <v/>
      </c>
      <c r="O268" s="173" t="str">
        <f t="shared" si="17"/>
        <v/>
      </c>
      <c r="P268" s="173" t="str">
        <f>IFERROR(1-SUMIF(WTG_BD!$F:$F,$A268,WTG_BD!$AA:$AA)/($AA268+SUMIF(WTG_BD!$F:$F,$A268,WTG_BD!$AA:$AA)),"")</f>
        <v/>
      </c>
      <c r="Q268" s="173" t="str">
        <f>IFERROR(1-SUMIF(IGA_BD!$F:$F,$A268,IGA_BD!$X:$X)/($AA268+SUMIF(IGA_BD!$F:$F,$A268,IGA_BD!$X:$X)),"")</f>
        <v/>
      </c>
      <c r="R268" s="173" t="str">
        <f>IFERROR(1-SUMIF(Grid_BD!$F:$F,$A268,Grid_BD!$Y:$Y)/($AA268+SUMIF(Grid_BD!$F:$F,$A268,Grid_BD!$Y:$Y)),"")</f>
        <v/>
      </c>
      <c r="S268" s="167"/>
      <c r="T268" s="172"/>
      <c r="U268" s="173"/>
      <c r="V268" s="167"/>
      <c r="W268" s="174" t="str">
        <f t="shared" si="18"/>
        <v/>
      </c>
      <c r="X268" s="167" t="str">
        <f>IFERROR(_xlfn.XLOOKUP($A268,Input_Raw!$A:$A,Input_Raw!$BF:$BF),"")</f>
        <v/>
      </c>
      <c r="Y268" s="167" t="str">
        <f>IFERROR(_xlfn.XLOOKUP($A268,Input_Raw!$A:$A,Input_Raw!BJ:BJ),"")</f>
        <v/>
      </c>
      <c r="Z268" s="167" t="str">
        <f>IFERROR(_xlfn.XLOOKUP($A268,Input_Raw!$A:$A,Input_Raw!BK:BK),"")</f>
        <v/>
      </c>
      <c r="AA268" s="167" t="str">
        <f>IFERROR(_xlfn.XLOOKUP($A268,Input_Raw!$A:$A,Input_Raw!BL:BL),"")</f>
        <v/>
      </c>
      <c r="AB268" s="167" t="str">
        <f>IFERROR(_xlfn.XLOOKUP($A268,Input_Raw!$A:$A,Input_Raw!$BO:$BO),"")</f>
        <v/>
      </c>
      <c r="AC268" s="176">
        <f>IFERROR(_xlfn.XLOOKUP($D268,'Modelling New'!$D:$D,'Modelling New'!$J:$J),"")</f>
        <v>6.95</v>
      </c>
      <c r="AD268" s="166">
        <f>IFERROR(_xlfn.XLOOKUP($D268,'Modelling New'!$D:$D,'Modelling New'!$T:$T)*1000,"")</f>
        <v>574435.4233300495</v>
      </c>
      <c r="AE268" s="174"/>
      <c r="AF268" s="174">
        <f>IFERROR(_xlfn.XLOOKUP($D268,'Modelling New'!$D:$D,'Modelling New'!$W:$W),"")</f>
        <v>0.34095169950738929</v>
      </c>
      <c r="AG268" s="174">
        <f>IFERROR(_xlfn.XLOOKUP($D268,'Modelling New'!$D:$D,'Modelling New'!$AE:$AE),"")</f>
        <v>0.96029999999999993</v>
      </c>
      <c r="AH268" s="174">
        <f>IFERROR(_xlfn.XLOOKUP($D268,'Modelling New'!$D:$D,'Modelling New'!$AF:$AF),"")</f>
        <v>0.995</v>
      </c>
      <c r="AI268" s="177" t="str">
        <f>IFERROR(_xlfn.XLOOKUP($A268,Input_Raw!$A:$A,Input_Raw!$BQ:$BQ),"")</f>
        <v/>
      </c>
      <c r="AJ268" s="167"/>
      <c r="AK268" s="167"/>
      <c r="AL268" s="167"/>
      <c r="AM268" s="167"/>
      <c r="AN268" s="175" t="str">
        <f>IFERROR(_xlfn.XLOOKUP($A268,Input_Raw!$A:$A,Input_Raw!$BN:$BN),"")</f>
        <v/>
      </c>
      <c r="AO268" s="174" t="str">
        <f>IFERROR((_xlfn.XLOOKUP($A268,'WTG Reactive Power'!$A:$A,'WTG Reactive Power'!$AE:$AE))/Table13[[#This Row],[Gen_Exp (kWh)]],"")</f>
        <v/>
      </c>
      <c r="AP268" s="174">
        <f>IFERROR(_xlfn.XLOOKUP($D268,'Modelling New'!$D:$D,'Modelling New'!$AK:$AK),"")</f>
        <v>0.05</v>
      </c>
      <c r="AQ268" s="174">
        <f>IFERROR(_xlfn.XLOOKUP($D268,'Modelling New'!$D:$D,'Modelling New'!$AL:$AL),"")</f>
        <v>0.05</v>
      </c>
      <c r="AR268" s="276">
        <f>IFERROR(_xlfn.XLOOKUP($D268,'Modelling New'!$D:$D,'Modelling New'!$N:$N),"")</f>
        <v>70.2</v>
      </c>
      <c r="AS268" s="276"/>
    </row>
    <row r="269" spans="1:45">
      <c r="A269" s="165">
        <f t="shared" si="19"/>
        <v>46012</v>
      </c>
      <c r="B269" s="166">
        <f>YEAR(Table13[[#This Row],[Date]])+IF(MONTH(Table13[[#This Row],[Date]])&gt;=4,1,0)</f>
        <v>2026</v>
      </c>
      <c r="C269" s="167">
        <f>YEAR(Table13[[#This Row],[Date]])</f>
        <v>2025</v>
      </c>
      <c r="D269" s="168">
        <f>Table13[[#This Row],[Date]]-DAY(Table13[[#This Row],[Date]])+1</f>
        <v>45992</v>
      </c>
      <c r="E269" s="167">
        <f t="shared" si="16"/>
        <v>31</v>
      </c>
      <c r="F269" s="169"/>
      <c r="G269" s="176"/>
      <c r="H269" s="176"/>
      <c r="I269" s="176"/>
      <c r="J269" s="176"/>
      <c r="K269" s="171"/>
      <c r="L269" s="170"/>
      <c r="M269" s="170" t="str">
        <f>IFERROR(_xlfn.XLOOKUP($A269,Input_Raw!$A:$A,Input_Raw!BG:BG),"")</f>
        <v/>
      </c>
      <c r="N269" s="170" t="str">
        <f>IFERROR(_xlfn.XLOOKUP($A269,Input_Raw!$A:$A,Input_Raw!BH:BH),"")</f>
        <v/>
      </c>
      <c r="O269" s="173" t="str">
        <f t="shared" si="17"/>
        <v/>
      </c>
      <c r="P269" s="173" t="str">
        <f>IFERROR(1-SUMIF(WTG_BD!$F:$F,$A269,WTG_BD!$AA:$AA)/($AA269+SUMIF(WTG_BD!$F:$F,$A269,WTG_BD!$AA:$AA)),"")</f>
        <v/>
      </c>
      <c r="Q269" s="173" t="str">
        <f>IFERROR(1-SUMIF(IGA_BD!$F:$F,$A269,IGA_BD!$X:$X)/($AA269+SUMIF(IGA_BD!$F:$F,$A269,IGA_BD!$X:$X)),"")</f>
        <v/>
      </c>
      <c r="R269" s="173" t="str">
        <f>IFERROR(1-SUMIF(Grid_BD!$F:$F,$A269,Grid_BD!$Y:$Y)/($AA269+SUMIF(Grid_BD!$F:$F,$A269,Grid_BD!$Y:$Y)),"")</f>
        <v/>
      </c>
      <c r="S269" s="167"/>
      <c r="T269" s="172"/>
      <c r="U269" s="173"/>
      <c r="V269" s="167"/>
      <c r="W269" s="174" t="str">
        <f t="shared" si="18"/>
        <v/>
      </c>
      <c r="X269" s="167" t="str">
        <f>IFERROR(_xlfn.XLOOKUP($A269,Input_Raw!$A:$A,Input_Raw!$BF:$BF),"")</f>
        <v/>
      </c>
      <c r="Y269" s="167" t="str">
        <f>IFERROR(_xlfn.XLOOKUP($A269,Input_Raw!$A:$A,Input_Raw!BJ:BJ),"")</f>
        <v/>
      </c>
      <c r="Z269" s="167" t="str">
        <f>IFERROR(_xlfn.XLOOKUP($A269,Input_Raw!$A:$A,Input_Raw!BK:BK),"")</f>
        <v/>
      </c>
      <c r="AA269" s="167" t="str">
        <f>IFERROR(_xlfn.XLOOKUP($A269,Input_Raw!$A:$A,Input_Raw!BL:BL),"")</f>
        <v/>
      </c>
      <c r="AB269" s="167" t="str">
        <f>IFERROR(_xlfn.XLOOKUP($A269,Input_Raw!$A:$A,Input_Raw!$BO:$BO),"")</f>
        <v/>
      </c>
      <c r="AC269" s="176">
        <f>IFERROR(_xlfn.XLOOKUP($D269,'Modelling New'!$D:$D,'Modelling New'!$J:$J),"")</f>
        <v>6.95</v>
      </c>
      <c r="AD269" s="166">
        <f>IFERROR(_xlfn.XLOOKUP($D269,'Modelling New'!$D:$D,'Modelling New'!$T:$T)*1000,"")</f>
        <v>574435.4233300495</v>
      </c>
      <c r="AE269" s="174"/>
      <c r="AF269" s="174">
        <f>IFERROR(_xlfn.XLOOKUP($D269,'Modelling New'!$D:$D,'Modelling New'!$W:$W),"")</f>
        <v>0.34095169950738929</v>
      </c>
      <c r="AG269" s="174">
        <f>IFERROR(_xlfn.XLOOKUP($D269,'Modelling New'!$D:$D,'Modelling New'!$AE:$AE),"")</f>
        <v>0.96029999999999993</v>
      </c>
      <c r="AH269" s="174">
        <f>IFERROR(_xlfn.XLOOKUP($D269,'Modelling New'!$D:$D,'Modelling New'!$AF:$AF),"")</f>
        <v>0.995</v>
      </c>
      <c r="AI269" s="177" t="str">
        <f>IFERROR(_xlfn.XLOOKUP($A269,Input_Raw!$A:$A,Input_Raw!$BQ:$BQ),"")</f>
        <v/>
      </c>
      <c r="AJ269" s="167"/>
      <c r="AK269" s="167"/>
      <c r="AL269" s="167"/>
      <c r="AM269" s="167"/>
      <c r="AN269" s="175" t="str">
        <f>IFERROR(_xlfn.XLOOKUP($A269,Input_Raw!$A:$A,Input_Raw!$BN:$BN),"")</f>
        <v/>
      </c>
      <c r="AO269" s="174" t="str">
        <f>IFERROR((_xlfn.XLOOKUP($A269,'WTG Reactive Power'!$A:$A,'WTG Reactive Power'!$AE:$AE))/Table13[[#This Row],[Gen_Exp (kWh)]],"")</f>
        <v/>
      </c>
      <c r="AP269" s="174">
        <f>IFERROR(_xlfn.XLOOKUP($D269,'Modelling New'!$D:$D,'Modelling New'!$AK:$AK),"")</f>
        <v>0.05</v>
      </c>
      <c r="AQ269" s="174">
        <f>IFERROR(_xlfn.XLOOKUP($D269,'Modelling New'!$D:$D,'Modelling New'!$AL:$AL),"")</f>
        <v>0.05</v>
      </c>
      <c r="AR269" s="276">
        <f>IFERROR(_xlfn.XLOOKUP($D269,'Modelling New'!$D:$D,'Modelling New'!$N:$N),"")</f>
        <v>70.2</v>
      </c>
      <c r="AS269" s="276"/>
    </row>
    <row r="270" spans="1:45">
      <c r="A270" s="165">
        <f t="shared" si="19"/>
        <v>46013</v>
      </c>
      <c r="B270" s="166">
        <f>YEAR(Table13[[#This Row],[Date]])+IF(MONTH(Table13[[#This Row],[Date]])&gt;=4,1,0)</f>
        <v>2026</v>
      </c>
      <c r="C270" s="167">
        <f>YEAR(Table13[[#This Row],[Date]])</f>
        <v>2025</v>
      </c>
      <c r="D270" s="168">
        <f>Table13[[#This Row],[Date]]-DAY(Table13[[#This Row],[Date]])+1</f>
        <v>45992</v>
      </c>
      <c r="E270" s="167">
        <f t="shared" si="16"/>
        <v>31</v>
      </c>
      <c r="F270" s="169"/>
      <c r="G270" s="170"/>
      <c r="H270" s="170"/>
      <c r="I270" s="170"/>
      <c r="J270" s="170"/>
      <c r="K270" s="171"/>
      <c r="L270" s="170"/>
      <c r="M270" s="170" t="str">
        <f>IFERROR(_xlfn.XLOOKUP($A270,Input_Raw!$A:$A,Input_Raw!BG:BG),"")</f>
        <v/>
      </c>
      <c r="N270" s="170" t="str">
        <f>IFERROR(_xlfn.XLOOKUP($A270,Input_Raw!$A:$A,Input_Raw!BH:BH),"")</f>
        <v/>
      </c>
      <c r="O270" s="173" t="str">
        <f t="shared" si="17"/>
        <v/>
      </c>
      <c r="P270" s="173" t="str">
        <f>IFERROR(1-SUMIF(WTG_BD!$F:$F,$A270,WTG_BD!$AA:$AA)/($AA270+SUMIF(WTG_BD!$F:$F,$A270,WTG_BD!$AA:$AA)),"")</f>
        <v/>
      </c>
      <c r="Q270" s="173" t="str">
        <f>IFERROR(1-SUMIF(IGA_BD!$F:$F,$A270,IGA_BD!$X:$X)/($AA270+SUMIF(IGA_BD!$F:$F,$A270,IGA_BD!$X:$X)),"")</f>
        <v/>
      </c>
      <c r="R270" s="173" t="str">
        <f>IFERROR(1-SUMIF(Grid_BD!$F:$F,$A270,Grid_BD!$Y:$Y)/($AA270+SUMIF(Grid_BD!$F:$F,$A270,Grid_BD!$Y:$Y)),"")</f>
        <v/>
      </c>
      <c r="S270" s="167"/>
      <c r="T270" s="172"/>
      <c r="U270" s="173"/>
      <c r="V270" s="167"/>
      <c r="W270" s="174" t="str">
        <f t="shared" si="18"/>
        <v/>
      </c>
      <c r="X270" s="167" t="str">
        <f>IFERROR(_xlfn.XLOOKUP($A270,Input_Raw!$A:$A,Input_Raw!$BF:$BF),"")</f>
        <v/>
      </c>
      <c r="Y270" s="167" t="str">
        <f>IFERROR(_xlfn.XLOOKUP($A270,Input_Raw!$A:$A,Input_Raw!BJ:BJ),"")</f>
        <v/>
      </c>
      <c r="Z270" s="167" t="str">
        <f>IFERROR(_xlfn.XLOOKUP($A270,Input_Raw!$A:$A,Input_Raw!BK:BK),"")</f>
        <v/>
      </c>
      <c r="AA270" s="167" t="str">
        <f>IFERROR(_xlfn.XLOOKUP($A270,Input_Raw!$A:$A,Input_Raw!BL:BL),"")</f>
        <v/>
      </c>
      <c r="AB270" s="167" t="str">
        <f>IFERROR(_xlfn.XLOOKUP($A270,Input_Raw!$A:$A,Input_Raw!$BO:$BO),"")</f>
        <v/>
      </c>
      <c r="AC270" s="176">
        <f>IFERROR(_xlfn.XLOOKUP($D270,'Modelling New'!$D:$D,'Modelling New'!$J:$J),"")</f>
        <v>6.95</v>
      </c>
      <c r="AD270" s="166">
        <f>IFERROR(_xlfn.XLOOKUP($D270,'Modelling New'!$D:$D,'Modelling New'!$T:$T)*1000,"")</f>
        <v>574435.4233300495</v>
      </c>
      <c r="AE270" s="174"/>
      <c r="AF270" s="174">
        <f>IFERROR(_xlfn.XLOOKUP($D270,'Modelling New'!$D:$D,'Modelling New'!$W:$W),"")</f>
        <v>0.34095169950738929</v>
      </c>
      <c r="AG270" s="174">
        <f>IFERROR(_xlfn.XLOOKUP($D270,'Modelling New'!$D:$D,'Modelling New'!$AE:$AE),"")</f>
        <v>0.96029999999999993</v>
      </c>
      <c r="AH270" s="174">
        <f>IFERROR(_xlfn.XLOOKUP($D270,'Modelling New'!$D:$D,'Modelling New'!$AF:$AF),"")</f>
        <v>0.995</v>
      </c>
      <c r="AI270" s="177" t="str">
        <f>IFERROR(_xlfn.XLOOKUP($A270,Input_Raw!$A:$A,Input_Raw!$BQ:$BQ),"")</f>
        <v/>
      </c>
      <c r="AJ270" s="167"/>
      <c r="AK270" s="167"/>
      <c r="AL270" s="167"/>
      <c r="AM270" s="167"/>
      <c r="AN270" s="175" t="str">
        <f>IFERROR(_xlfn.XLOOKUP($A270,Input_Raw!$A:$A,Input_Raw!$BN:$BN),"")</f>
        <v/>
      </c>
      <c r="AO270" s="174" t="str">
        <f>IFERROR((_xlfn.XLOOKUP($A270,'WTG Reactive Power'!$A:$A,'WTG Reactive Power'!$AE:$AE))/Table13[[#This Row],[Gen_Exp (kWh)]],"")</f>
        <v/>
      </c>
      <c r="AP270" s="174">
        <f>IFERROR(_xlfn.XLOOKUP($D270,'Modelling New'!$D:$D,'Modelling New'!$AK:$AK),"")</f>
        <v>0.05</v>
      </c>
      <c r="AQ270" s="174">
        <f>IFERROR(_xlfn.XLOOKUP($D270,'Modelling New'!$D:$D,'Modelling New'!$AL:$AL),"")</f>
        <v>0.05</v>
      </c>
      <c r="AR270" s="276">
        <f>IFERROR(_xlfn.XLOOKUP($D270,'Modelling New'!$D:$D,'Modelling New'!$N:$N),"")</f>
        <v>70.2</v>
      </c>
      <c r="AS270" s="276"/>
    </row>
    <row r="271" spans="1:45">
      <c r="A271" s="165">
        <f t="shared" si="19"/>
        <v>46014</v>
      </c>
      <c r="B271" s="166">
        <f>YEAR(Table13[[#This Row],[Date]])+IF(MONTH(Table13[[#This Row],[Date]])&gt;=4,1,0)</f>
        <v>2026</v>
      </c>
      <c r="C271" s="167">
        <f>YEAR(Table13[[#This Row],[Date]])</f>
        <v>2025</v>
      </c>
      <c r="D271" s="168">
        <f>Table13[[#This Row],[Date]]-DAY(Table13[[#This Row],[Date]])+1</f>
        <v>45992</v>
      </c>
      <c r="E271" s="167">
        <f t="shared" si="16"/>
        <v>31</v>
      </c>
      <c r="F271" s="169"/>
      <c r="G271" s="176"/>
      <c r="H271" s="176"/>
      <c r="I271" s="176"/>
      <c r="J271" s="176"/>
      <c r="K271" s="171"/>
      <c r="L271" s="170"/>
      <c r="M271" s="170" t="str">
        <f>IFERROR(_xlfn.XLOOKUP($A271,Input_Raw!$A:$A,Input_Raw!BG:BG),"")</f>
        <v/>
      </c>
      <c r="N271" s="170" t="str">
        <f>IFERROR(_xlfn.XLOOKUP($A271,Input_Raw!$A:$A,Input_Raw!BH:BH),"")</f>
        <v/>
      </c>
      <c r="O271" s="173" t="str">
        <f t="shared" si="17"/>
        <v/>
      </c>
      <c r="P271" s="173" t="str">
        <f>IFERROR(1-SUMIF(WTG_BD!$F:$F,$A271,WTG_BD!$AA:$AA)/($AA271+SUMIF(WTG_BD!$F:$F,$A271,WTG_BD!$AA:$AA)),"")</f>
        <v/>
      </c>
      <c r="Q271" s="173" t="str">
        <f>IFERROR(1-SUMIF(IGA_BD!$F:$F,$A271,IGA_BD!$X:$X)/($AA271+SUMIF(IGA_BD!$F:$F,$A271,IGA_BD!$X:$X)),"")</f>
        <v/>
      </c>
      <c r="R271" s="173" t="str">
        <f>IFERROR(1-SUMIF(Grid_BD!$F:$F,$A271,Grid_BD!$Y:$Y)/($AA271+SUMIF(Grid_BD!$F:$F,$A271,Grid_BD!$Y:$Y)),"")</f>
        <v/>
      </c>
      <c r="S271" s="167"/>
      <c r="T271" s="172"/>
      <c r="U271" s="173"/>
      <c r="V271" s="167"/>
      <c r="W271" s="174" t="str">
        <f t="shared" si="18"/>
        <v/>
      </c>
      <c r="X271" s="167" t="str">
        <f>IFERROR(_xlfn.XLOOKUP($A271,Input_Raw!$A:$A,Input_Raw!$BF:$BF),"")</f>
        <v/>
      </c>
      <c r="Y271" s="167" t="str">
        <f>IFERROR(_xlfn.XLOOKUP($A271,Input_Raw!$A:$A,Input_Raw!BJ:BJ),"")</f>
        <v/>
      </c>
      <c r="Z271" s="167" t="str">
        <f>IFERROR(_xlfn.XLOOKUP($A271,Input_Raw!$A:$A,Input_Raw!BK:BK),"")</f>
        <v/>
      </c>
      <c r="AA271" s="167" t="str">
        <f>IFERROR(_xlfn.XLOOKUP($A271,Input_Raw!$A:$A,Input_Raw!BL:BL),"")</f>
        <v/>
      </c>
      <c r="AB271" s="167" t="str">
        <f>IFERROR(_xlfn.XLOOKUP($A271,Input_Raw!$A:$A,Input_Raw!$BO:$BO),"")</f>
        <v/>
      </c>
      <c r="AC271" s="176">
        <f>IFERROR(_xlfn.XLOOKUP($D271,'Modelling New'!$D:$D,'Modelling New'!$J:$J),"")</f>
        <v>6.95</v>
      </c>
      <c r="AD271" s="166">
        <f>IFERROR(_xlfn.XLOOKUP($D271,'Modelling New'!$D:$D,'Modelling New'!$T:$T)*1000,"")</f>
        <v>574435.4233300495</v>
      </c>
      <c r="AE271" s="174"/>
      <c r="AF271" s="174">
        <f>IFERROR(_xlfn.XLOOKUP($D271,'Modelling New'!$D:$D,'Modelling New'!$W:$W),"")</f>
        <v>0.34095169950738929</v>
      </c>
      <c r="AG271" s="174">
        <f>IFERROR(_xlfn.XLOOKUP($D271,'Modelling New'!$D:$D,'Modelling New'!$AE:$AE),"")</f>
        <v>0.96029999999999993</v>
      </c>
      <c r="AH271" s="174">
        <f>IFERROR(_xlfn.XLOOKUP($D271,'Modelling New'!$D:$D,'Modelling New'!$AF:$AF),"")</f>
        <v>0.995</v>
      </c>
      <c r="AI271" s="177" t="str">
        <f>IFERROR(_xlfn.XLOOKUP($A271,Input_Raw!$A:$A,Input_Raw!$BQ:$BQ),"")</f>
        <v/>
      </c>
      <c r="AJ271" s="167"/>
      <c r="AK271" s="167"/>
      <c r="AL271" s="167"/>
      <c r="AM271" s="167"/>
      <c r="AN271" s="175" t="str">
        <f>IFERROR(_xlfn.XLOOKUP($A271,Input_Raw!$A:$A,Input_Raw!$BN:$BN),"")</f>
        <v/>
      </c>
      <c r="AO271" s="174" t="str">
        <f>IFERROR((_xlfn.XLOOKUP($A271,'WTG Reactive Power'!$A:$A,'WTG Reactive Power'!$AE:$AE))/Table13[[#This Row],[Gen_Exp (kWh)]],"")</f>
        <v/>
      </c>
      <c r="AP271" s="174">
        <f>IFERROR(_xlfn.XLOOKUP($D271,'Modelling New'!$D:$D,'Modelling New'!$AK:$AK),"")</f>
        <v>0.05</v>
      </c>
      <c r="AQ271" s="174">
        <f>IFERROR(_xlfn.XLOOKUP($D271,'Modelling New'!$D:$D,'Modelling New'!$AL:$AL),"")</f>
        <v>0.05</v>
      </c>
      <c r="AR271" s="276">
        <f>IFERROR(_xlfn.XLOOKUP($D271,'Modelling New'!$D:$D,'Modelling New'!$N:$N),"")</f>
        <v>70.2</v>
      </c>
      <c r="AS271" s="276"/>
    </row>
    <row r="272" spans="1:45">
      <c r="A272" s="165">
        <f t="shared" si="19"/>
        <v>46015</v>
      </c>
      <c r="B272" s="166">
        <f>YEAR(Table13[[#This Row],[Date]])+IF(MONTH(Table13[[#This Row],[Date]])&gt;=4,1,0)</f>
        <v>2026</v>
      </c>
      <c r="C272" s="167">
        <f>YEAR(Table13[[#This Row],[Date]])</f>
        <v>2025</v>
      </c>
      <c r="D272" s="168">
        <f>Table13[[#This Row],[Date]]-DAY(Table13[[#This Row],[Date]])+1</f>
        <v>45992</v>
      </c>
      <c r="E272" s="167">
        <f t="shared" si="16"/>
        <v>31</v>
      </c>
      <c r="F272" s="169"/>
      <c r="G272" s="170"/>
      <c r="H272" s="170"/>
      <c r="I272" s="170"/>
      <c r="J272" s="170"/>
      <c r="K272" s="171"/>
      <c r="L272" s="170"/>
      <c r="M272" s="170" t="str">
        <f>IFERROR(_xlfn.XLOOKUP($A272,Input_Raw!$A:$A,Input_Raw!BG:BG),"")</f>
        <v/>
      </c>
      <c r="N272" s="170" t="str">
        <f>IFERROR(_xlfn.XLOOKUP($A272,Input_Raw!$A:$A,Input_Raw!BH:BH),"")</f>
        <v/>
      </c>
      <c r="O272" s="173" t="str">
        <f t="shared" si="17"/>
        <v/>
      </c>
      <c r="P272" s="173" t="str">
        <f>IFERROR(1-SUMIF(WTG_BD!$F:$F,$A272,WTG_BD!$AA:$AA)/($AA272+SUMIF(WTG_BD!$F:$F,$A272,WTG_BD!$AA:$AA)),"")</f>
        <v/>
      </c>
      <c r="Q272" s="173" t="str">
        <f>IFERROR(1-SUMIF(IGA_BD!$F:$F,$A272,IGA_BD!$X:$X)/($AA272+SUMIF(IGA_BD!$F:$F,$A272,IGA_BD!$X:$X)),"")</f>
        <v/>
      </c>
      <c r="R272" s="173" t="str">
        <f>IFERROR(1-SUMIF(Grid_BD!$F:$F,$A272,Grid_BD!$Y:$Y)/($AA272+SUMIF(Grid_BD!$F:$F,$A272,Grid_BD!$Y:$Y)),"")</f>
        <v/>
      </c>
      <c r="S272" s="167"/>
      <c r="T272" s="172"/>
      <c r="U272" s="173"/>
      <c r="V272" s="167"/>
      <c r="W272" s="174" t="str">
        <f t="shared" si="18"/>
        <v/>
      </c>
      <c r="X272" s="167" t="str">
        <f>IFERROR(_xlfn.XLOOKUP($A272,Input_Raw!$A:$A,Input_Raw!$BF:$BF),"")</f>
        <v/>
      </c>
      <c r="Y272" s="167" t="str">
        <f>IFERROR(_xlfn.XLOOKUP($A272,Input_Raw!$A:$A,Input_Raw!BJ:BJ),"")</f>
        <v/>
      </c>
      <c r="Z272" s="167" t="str">
        <f>IFERROR(_xlfn.XLOOKUP($A272,Input_Raw!$A:$A,Input_Raw!BK:BK),"")</f>
        <v/>
      </c>
      <c r="AA272" s="167" t="str">
        <f>IFERROR(_xlfn.XLOOKUP($A272,Input_Raw!$A:$A,Input_Raw!BL:BL),"")</f>
        <v/>
      </c>
      <c r="AB272" s="167" t="str">
        <f>IFERROR(_xlfn.XLOOKUP($A272,Input_Raw!$A:$A,Input_Raw!$BO:$BO),"")</f>
        <v/>
      </c>
      <c r="AC272" s="176">
        <f>IFERROR(_xlfn.XLOOKUP($D272,'Modelling New'!$D:$D,'Modelling New'!$J:$J),"")</f>
        <v>6.95</v>
      </c>
      <c r="AD272" s="166">
        <f>IFERROR(_xlfn.XLOOKUP($D272,'Modelling New'!$D:$D,'Modelling New'!$T:$T)*1000,"")</f>
        <v>574435.4233300495</v>
      </c>
      <c r="AE272" s="174"/>
      <c r="AF272" s="174">
        <f>IFERROR(_xlfn.XLOOKUP($D272,'Modelling New'!$D:$D,'Modelling New'!$W:$W),"")</f>
        <v>0.34095169950738929</v>
      </c>
      <c r="AG272" s="174">
        <f>IFERROR(_xlfn.XLOOKUP($D272,'Modelling New'!$D:$D,'Modelling New'!$AE:$AE),"")</f>
        <v>0.96029999999999993</v>
      </c>
      <c r="AH272" s="174">
        <f>IFERROR(_xlfn.XLOOKUP($D272,'Modelling New'!$D:$D,'Modelling New'!$AF:$AF),"")</f>
        <v>0.995</v>
      </c>
      <c r="AI272" s="177" t="str">
        <f>IFERROR(_xlfn.XLOOKUP($A272,Input_Raw!$A:$A,Input_Raw!$BQ:$BQ),"")</f>
        <v/>
      </c>
      <c r="AJ272" s="167"/>
      <c r="AK272" s="167"/>
      <c r="AL272" s="167"/>
      <c r="AM272" s="167"/>
      <c r="AN272" s="175" t="str">
        <f>IFERROR(_xlfn.XLOOKUP($A272,Input_Raw!$A:$A,Input_Raw!$BN:$BN),"")</f>
        <v/>
      </c>
      <c r="AO272" s="174" t="str">
        <f>IFERROR((_xlfn.XLOOKUP($A272,'WTG Reactive Power'!$A:$A,'WTG Reactive Power'!$AE:$AE))/Table13[[#This Row],[Gen_Exp (kWh)]],"")</f>
        <v/>
      </c>
      <c r="AP272" s="174">
        <f>IFERROR(_xlfn.XLOOKUP($D272,'Modelling New'!$D:$D,'Modelling New'!$AK:$AK),"")</f>
        <v>0.05</v>
      </c>
      <c r="AQ272" s="174">
        <f>IFERROR(_xlfn.XLOOKUP($D272,'Modelling New'!$D:$D,'Modelling New'!$AL:$AL),"")</f>
        <v>0.05</v>
      </c>
      <c r="AR272" s="276">
        <f>IFERROR(_xlfn.XLOOKUP($D272,'Modelling New'!$D:$D,'Modelling New'!$N:$N),"")</f>
        <v>70.2</v>
      </c>
      <c r="AS272" s="276"/>
    </row>
    <row r="273" spans="1:45">
      <c r="A273" s="165">
        <f t="shared" si="19"/>
        <v>46016</v>
      </c>
      <c r="B273" s="166">
        <f>YEAR(Table13[[#This Row],[Date]])+IF(MONTH(Table13[[#This Row],[Date]])&gt;=4,1,0)</f>
        <v>2026</v>
      </c>
      <c r="C273" s="167">
        <f>YEAR(Table13[[#This Row],[Date]])</f>
        <v>2025</v>
      </c>
      <c r="D273" s="168">
        <f>Table13[[#This Row],[Date]]-DAY(Table13[[#This Row],[Date]])+1</f>
        <v>45992</v>
      </c>
      <c r="E273" s="167">
        <f t="shared" si="16"/>
        <v>31</v>
      </c>
      <c r="F273" s="169"/>
      <c r="G273" s="176"/>
      <c r="H273" s="176"/>
      <c r="I273" s="176"/>
      <c r="J273" s="176"/>
      <c r="K273" s="171"/>
      <c r="L273" s="170"/>
      <c r="M273" s="170" t="str">
        <f>IFERROR(_xlfn.XLOOKUP($A273,Input_Raw!$A:$A,Input_Raw!BG:BG),"")</f>
        <v/>
      </c>
      <c r="N273" s="170" t="str">
        <f>IFERROR(_xlfn.XLOOKUP($A273,Input_Raw!$A:$A,Input_Raw!BH:BH),"")</f>
        <v/>
      </c>
      <c r="O273" s="173" t="str">
        <f t="shared" si="17"/>
        <v/>
      </c>
      <c r="P273" s="173" t="str">
        <f>IFERROR(1-SUMIF(WTG_BD!$F:$F,$A273,WTG_BD!$AA:$AA)/($AA273+SUMIF(WTG_BD!$F:$F,$A273,WTG_BD!$AA:$AA)),"")</f>
        <v/>
      </c>
      <c r="Q273" s="173" t="str">
        <f>IFERROR(1-SUMIF(IGA_BD!$F:$F,$A273,IGA_BD!$X:$X)/($AA273+SUMIF(IGA_BD!$F:$F,$A273,IGA_BD!$X:$X)),"")</f>
        <v/>
      </c>
      <c r="R273" s="173" t="str">
        <f>IFERROR(1-SUMIF(Grid_BD!$F:$F,$A273,Grid_BD!$Y:$Y)/($AA273+SUMIF(Grid_BD!$F:$F,$A273,Grid_BD!$Y:$Y)),"")</f>
        <v/>
      </c>
      <c r="S273" s="167"/>
      <c r="T273" s="172"/>
      <c r="U273" s="173"/>
      <c r="V273" s="167"/>
      <c r="W273" s="174" t="str">
        <f t="shared" si="18"/>
        <v/>
      </c>
      <c r="X273" s="167" t="str">
        <f>IFERROR(_xlfn.XLOOKUP($A273,Input_Raw!$A:$A,Input_Raw!$BF:$BF),"")</f>
        <v/>
      </c>
      <c r="Y273" s="167" t="str">
        <f>IFERROR(_xlfn.XLOOKUP($A273,Input_Raw!$A:$A,Input_Raw!BJ:BJ),"")</f>
        <v/>
      </c>
      <c r="Z273" s="167" t="str">
        <f>IFERROR(_xlfn.XLOOKUP($A273,Input_Raw!$A:$A,Input_Raw!BK:BK),"")</f>
        <v/>
      </c>
      <c r="AA273" s="167" t="str">
        <f>IFERROR(_xlfn.XLOOKUP($A273,Input_Raw!$A:$A,Input_Raw!BL:BL),"")</f>
        <v/>
      </c>
      <c r="AB273" s="167" t="str">
        <f>IFERROR(_xlfn.XLOOKUP($A273,Input_Raw!$A:$A,Input_Raw!$BO:$BO),"")</f>
        <v/>
      </c>
      <c r="AC273" s="176">
        <f>IFERROR(_xlfn.XLOOKUP($D273,'Modelling New'!$D:$D,'Modelling New'!$J:$J),"")</f>
        <v>6.95</v>
      </c>
      <c r="AD273" s="166">
        <f>IFERROR(_xlfn.XLOOKUP($D273,'Modelling New'!$D:$D,'Modelling New'!$T:$T)*1000,"")</f>
        <v>574435.4233300495</v>
      </c>
      <c r="AE273" s="174"/>
      <c r="AF273" s="174">
        <f>IFERROR(_xlfn.XLOOKUP($D273,'Modelling New'!$D:$D,'Modelling New'!$W:$W),"")</f>
        <v>0.34095169950738929</v>
      </c>
      <c r="AG273" s="174">
        <f>IFERROR(_xlfn.XLOOKUP($D273,'Modelling New'!$D:$D,'Modelling New'!$AE:$AE),"")</f>
        <v>0.96029999999999993</v>
      </c>
      <c r="AH273" s="174">
        <f>IFERROR(_xlfn.XLOOKUP($D273,'Modelling New'!$D:$D,'Modelling New'!$AF:$AF),"")</f>
        <v>0.995</v>
      </c>
      <c r="AI273" s="177" t="str">
        <f>IFERROR(_xlfn.XLOOKUP($A273,Input_Raw!$A:$A,Input_Raw!$BQ:$BQ),"")</f>
        <v/>
      </c>
      <c r="AJ273" s="167"/>
      <c r="AK273" s="167"/>
      <c r="AL273" s="167"/>
      <c r="AM273" s="167"/>
      <c r="AN273" s="175" t="str">
        <f>IFERROR(_xlfn.XLOOKUP($A273,Input_Raw!$A:$A,Input_Raw!$BN:$BN),"")</f>
        <v/>
      </c>
      <c r="AO273" s="174" t="str">
        <f>IFERROR((_xlfn.XLOOKUP($A273,'WTG Reactive Power'!$A:$A,'WTG Reactive Power'!$AE:$AE))/Table13[[#This Row],[Gen_Exp (kWh)]],"")</f>
        <v/>
      </c>
      <c r="AP273" s="174">
        <f>IFERROR(_xlfn.XLOOKUP($D273,'Modelling New'!$D:$D,'Modelling New'!$AK:$AK),"")</f>
        <v>0.05</v>
      </c>
      <c r="AQ273" s="174">
        <f>IFERROR(_xlfn.XLOOKUP($D273,'Modelling New'!$D:$D,'Modelling New'!$AL:$AL),"")</f>
        <v>0.05</v>
      </c>
      <c r="AR273" s="276">
        <f>IFERROR(_xlfn.XLOOKUP($D273,'Modelling New'!$D:$D,'Modelling New'!$N:$N),"")</f>
        <v>70.2</v>
      </c>
      <c r="AS273" s="276"/>
    </row>
    <row r="274" spans="1:45">
      <c r="A274" s="165">
        <f t="shared" si="19"/>
        <v>46017</v>
      </c>
      <c r="B274" s="166">
        <f>YEAR(Table13[[#This Row],[Date]])+IF(MONTH(Table13[[#This Row],[Date]])&gt;=4,1,0)</f>
        <v>2026</v>
      </c>
      <c r="C274" s="167">
        <f>YEAR(Table13[[#This Row],[Date]])</f>
        <v>2025</v>
      </c>
      <c r="D274" s="168">
        <f>Table13[[#This Row],[Date]]-DAY(Table13[[#This Row],[Date]])+1</f>
        <v>45992</v>
      </c>
      <c r="E274" s="167">
        <f t="shared" si="16"/>
        <v>31</v>
      </c>
      <c r="F274" s="169"/>
      <c r="G274" s="170"/>
      <c r="H274" s="170"/>
      <c r="I274" s="170"/>
      <c r="J274" s="170"/>
      <c r="K274" s="171"/>
      <c r="L274" s="170"/>
      <c r="M274" s="170" t="str">
        <f>IFERROR(_xlfn.XLOOKUP($A274,Input_Raw!$A:$A,Input_Raw!BG:BG),"")</f>
        <v/>
      </c>
      <c r="N274" s="170" t="str">
        <f>IFERROR(_xlfn.XLOOKUP($A274,Input_Raw!$A:$A,Input_Raw!BH:BH),"")</f>
        <v/>
      </c>
      <c r="O274" s="173" t="str">
        <f t="shared" si="17"/>
        <v/>
      </c>
      <c r="P274" s="173" t="str">
        <f>IFERROR(1-SUMIF(WTG_BD!$F:$F,$A274,WTG_BD!$AA:$AA)/($AA274+SUMIF(WTG_BD!$F:$F,$A274,WTG_BD!$AA:$AA)),"")</f>
        <v/>
      </c>
      <c r="Q274" s="173" t="str">
        <f>IFERROR(1-SUMIF(IGA_BD!$F:$F,$A274,IGA_BD!$X:$X)/($AA274+SUMIF(IGA_BD!$F:$F,$A274,IGA_BD!$X:$X)),"")</f>
        <v/>
      </c>
      <c r="R274" s="173" t="str">
        <f>IFERROR(1-SUMIF(Grid_BD!$F:$F,$A274,Grid_BD!$Y:$Y)/($AA274+SUMIF(Grid_BD!$F:$F,$A274,Grid_BD!$Y:$Y)),"")</f>
        <v/>
      </c>
      <c r="S274" s="167"/>
      <c r="T274" s="172"/>
      <c r="U274" s="173"/>
      <c r="V274" s="167"/>
      <c r="W274" s="174" t="str">
        <f t="shared" si="18"/>
        <v/>
      </c>
      <c r="X274" s="167" t="str">
        <f>IFERROR(_xlfn.XLOOKUP($A274,Input_Raw!$A:$A,Input_Raw!$BF:$BF),"")</f>
        <v/>
      </c>
      <c r="Y274" s="167" t="str">
        <f>IFERROR(_xlfn.XLOOKUP($A274,Input_Raw!$A:$A,Input_Raw!BJ:BJ),"")</f>
        <v/>
      </c>
      <c r="Z274" s="167" t="str">
        <f>IFERROR(_xlfn.XLOOKUP($A274,Input_Raw!$A:$A,Input_Raw!BK:BK),"")</f>
        <v/>
      </c>
      <c r="AA274" s="167" t="str">
        <f>IFERROR(_xlfn.XLOOKUP($A274,Input_Raw!$A:$A,Input_Raw!BL:BL),"")</f>
        <v/>
      </c>
      <c r="AB274" s="167" t="str">
        <f>IFERROR(_xlfn.XLOOKUP($A274,Input_Raw!$A:$A,Input_Raw!$BO:$BO),"")</f>
        <v/>
      </c>
      <c r="AC274" s="176">
        <f>IFERROR(_xlfn.XLOOKUP($D274,'Modelling New'!$D:$D,'Modelling New'!$J:$J),"")</f>
        <v>6.95</v>
      </c>
      <c r="AD274" s="166">
        <f>IFERROR(_xlfn.XLOOKUP($D274,'Modelling New'!$D:$D,'Modelling New'!$T:$T)*1000,"")</f>
        <v>574435.4233300495</v>
      </c>
      <c r="AE274" s="174"/>
      <c r="AF274" s="174">
        <f>IFERROR(_xlfn.XLOOKUP($D274,'Modelling New'!$D:$D,'Modelling New'!$W:$W),"")</f>
        <v>0.34095169950738929</v>
      </c>
      <c r="AG274" s="174">
        <f>IFERROR(_xlfn.XLOOKUP($D274,'Modelling New'!$D:$D,'Modelling New'!$AE:$AE),"")</f>
        <v>0.96029999999999993</v>
      </c>
      <c r="AH274" s="174">
        <f>IFERROR(_xlfn.XLOOKUP($D274,'Modelling New'!$D:$D,'Modelling New'!$AF:$AF),"")</f>
        <v>0.995</v>
      </c>
      <c r="AI274" s="177" t="str">
        <f>IFERROR(_xlfn.XLOOKUP($A274,Input_Raw!$A:$A,Input_Raw!$BQ:$BQ),"")</f>
        <v/>
      </c>
      <c r="AJ274" s="167"/>
      <c r="AK274" s="167"/>
      <c r="AL274" s="167"/>
      <c r="AM274" s="167"/>
      <c r="AN274" s="175" t="str">
        <f>IFERROR(_xlfn.XLOOKUP($A274,Input_Raw!$A:$A,Input_Raw!$BN:$BN),"")</f>
        <v/>
      </c>
      <c r="AO274" s="174" t="str">
        <f>IFERROR((_xlfn.XLOOKUP($A274,'WTG Reactive Power'!$A:$A,'WTG Reactive Power'!$AE:$AE))/Table13[[#This Row],[Gen_Exp (kWh)]],"")</f>
        <v/>
      </c>
      <c r="AP274" s="174">
        <f>IFERROR(_xlfn.XLOOKUP($D274,'Modelling New'!$D:$D,'Modelling New'!$AK:$AK),"")</f>
        <v>0.05</v>
      </c>
      <c r="AQ274" s="174">
        <f>IFERROR(_xlfn.XLOOKUP($D274,'Modelling New'!$D:$D,'Modelling New'!$AL:$AL),"")</f>
        <v>0.05</v>
      </c>
      <c r="AR274" s="276">
        <f>IFERROR(_xlfn.XLOOKUP($D274,'Modelling New'!$D:$D,'Modelling New'!$N:$N),"")</f>
        <v>70.2</v>
      </c>
      <c r="AS274" s="276"/>
    </row>
    <row r="275" spans="1:45">
      <c r="A275" s="165">
        <f t="shared" si="19"/>
        <v>46018</v>
      </c>
      <c r="B275" s="166">
        <f>YEAR(Table13[[#This Row],[Date]])+IF(MONTH(Table13[[#This Row],[Date]])&gt;=4,1,0)</f>
        <v>2026</v>
      </c>
      <c r="C275" s="167">
        <f>YEAR(Table13[[#This Row],[Date]])</f>
        <v>2025</v>
      </c>
      <c r="D275" s="168">
        <f>Table13[[#This Row],[Date]]-DAY(Table13[[#This Row],[Date]])+1</f>
        <v>45992</v>
      </c>
      <c r="E275" s="167">
        <f t="shared" si="16"/>
        <v>31</v>
      </c>
      <c r="F275" s="169"/>
      <c r="G275" s="176"/>
      <c r="H275" s="176"/>
      <c r="I275" s="176"/>
      <c r="J275" s="176"/>
      <c r="K275" s="171"/>
      <c r="L275" s="170"/>
      <c r="M275" s="170" t="str">
        <f>IFERROR(_xlfn.XLOOKUP($A275,Input_Raw!$A:$A,Input_Raw!BG:BG),"")</f>
        <v/>
      </c>
      <c r="N275" s="170" t="str">
        <f>IFERROR(_xlfn.XLOOKUP($A275,Input_Raw!$A:$A,Input_Raw!BH:BH),"")</f>
        <v/>
      </c>
      <c r="O275" s="173" t="str">
        <f t="shared" si="17"/>
        <v/>
      </c>
      <c r="P275" s="173" t="str">
        <f>IFERROR(1-SUMIF(WTG_BD!$F:$F,$A275,WTG_BD!$AA:$AA)/($AA275+SUMIF(WTG_BD!$F:$F,$A275,WTG_BD!$AA:$AA)),"")</f>
        <v/>
      </c>
      <c r="Q275" s="173" t="str">
        <f>IFERROR(1-SUMIF(IGA_BD!$F:$F,$A275,IGA_BD!$X:$X)/($AA275+SUMIF(IGA_BD!$F:$F,$A275,IGA_BD!$X:$X)),"")</f>
        <v/>
      </c>
      <c r="R275" s="173" t="str">
        <f>IFERROR(1-SUMIF(Grid_BD!$F:$F,$A275,Grid_BD!$Y:$Y)/($AA275+SUMIF(Grid_BD!$F:$F,$A275,Grid_BD!$Y:$Y)),"")</f>
        <v/>
      </c>
      <c r="S275" s="167"/>
      <c r="T275" s="172"/>
      <c r="U275" s="173"/>
      <c r="V275" s="167"/>
      <c r="W275" s="174" t="str">
        <f t="shared" si="18"/>
        <v/>
      </c>
      <c r="X275" s="167" t="str">
        <f>IFERROR(_xlfn.XLOOKUP($A275,Input_Raw!$A:$A,Input_Raw!$BF:$BF),"")</f>
        <v/>
      </c>
      <c r="Y275" s="167" t="str">
        <f>IFERROR(_xlfn.XLOOKUP($A275,Input_Raw!$A:$A,Input_Raw!BJ:BJ),"")</f>
        <v/>
      </c>
      <c r="Z275" s="167" t="str">
        <f>IFERROR(_xlfn.XLOOKUP($A275,Input_Raw!$A:$A,Input_Raw!BK:BK),"")</f>
        <v/>
      </c>
      <c r="AA275" s="167" t="str">
        <f>IFERROR(_xlfn.XLOOKUP($A275,Input_Raw!$A:$A,Input_Raw!BL:BL),"")</f>
        <v/>
      </c>
      <c r="AB275" s="167" t="str">
        <f>IFERROR(_xlfn.XLOOKUP($A275,Input_Raw!$A:$A,Input_Raw!$BO:$BO),"")</f>
        <v/>
      </c>
      <c r="AC275" s="176">
        <f>IFERROR(_xlfn.XLOOKUP($D275,'Modelling New'!$D:$D,'Modelling New'!$J:$J),"")</f>
        <v>6.95</v>
      </c>
      <c r="AD275" s="166">
        <f>IFERROR(_xlfn.XLOOKUP($D275,'Modelling New'!$D:$D,'Modelling New'!$T:$T)*1000,"")</f>
        <v>574435.4233300495</v>
      </c>
      <c r="AE275" s="174"/>
      <c r="AF275" s="174">
        <f>IFERROR(_xlfn.XLOOKUP($D275,'Modelling New'!$D:$D,'Modelling New'!$W:$W),"")</f>
        <v>0.34095169950738929</v>
      </c>
      <c r="AG275" s="174">
        <f>IFERROR(_xlfn.XLOOKUP($D275,'Modelling New'!$D:$D,'Modelling New'!$AE:$AE),"")</f>
        <v>0.96029999999999993</v>
      </c>
      <c r="AH275" s="174">
        <f>IFERROR(_xlfn.XLOOKUP($D275,'Modelling New'!$D:$D,'Modelling New'!$AF:$AF),"")</f>
        <v>0.995</v>
      </c>
      <c r="AI275" s="177" t="str">
        <f>IFERROR(_xlfn.XLOOKUP($A275,Input_Raw!$A:$A,Input_Raw!$BQ:$BQ),"")</f>
        <v/>
      </c>
      <c r="AJ275" s="167"/>
      <c r="AK275" s="167"/>
      <c r="AL275" s="167"/>
      <c r="AM275" s="167"/>
      <c r="AN275" s="175" t="str">
        <f>IFERROR(_xlfn.XLOOKUP($A275,Input_Raw!$A:$A,Input_Raw!$BN:$BN),"")</f>
        <v/>
      </c>
      <c r="AO275" s="174" t="str">
        <f>IFERROR((_xlfn.XLOOKUP($A275,'WTG Reactive Power'!$A:$A,'WTG Reactive Power'!$AE:$AE))/Table13[[#This Row],[Gen_Exp (kWh)]],"")</f>
        <v/>
      </c>
      <c r="AP275" s="174">
        <f>IFERROR(_xlfn.XLOOKUP($D275,'Modelling New'!$D:$D,'Modelling New'!$AK:$AK),"")</f>
        <v>0.05</v>
      </c>
      <c r="AQ275" s="174">
        <f>IFERROR(_xlfn.XLOOKUP($D275,'Modelling New'!$D:$D,'Modelling New'!$AL:$AL),"")</f>
        <v>0.05</v>
      </c>
      <c r="AR275" s="276">
        <f>IFERROR(_xlfn.XLOOKUP($D275,'Modelling New'!$D:$D,'Modelling New'!$N:$N),"")</f>
        <v>70.2</v>
      </c>
      <c r="AS275" s="276"/>
    </row>
    <row r="276" spans="1:45">
      <c r="A276" s="165">
        <f t="shared" si="19"/>
        <v>46019</v>
      </c>
      <c r="B276" s="166">
        <f>YEAR(Table13[[#This Row],[Date]])+IF(MONTH(Table13[[#This Row],[Date]])&gt;=4,1,0)</f>
        <v>2026</v>
      </c>
      <c r="C276" s="167">
        <f>YEAR(Table13[[#This Row],[Date]])</f>
        <v>2025</v>
      </c>
      <c r="D276" s="168">
        <f>Table13[[#This Row],[Date]]-DAY(Table13[[#This Row],[Date]])+1</f>
        <v>45992</v>
      </c>
      <c r="E276" s="167">
        <f t="shared" si="16"/>
        <v>31</v>
      </c>
      <c r="F276" s="169"/>
      <c r="G276" s="170"/>
      <c r="H276" s="170"/>
      <c r="I276" s="170"/>
      <c r="J276" s="170"/>
      <c r="K276" s="171"/>
      <c r="L276" s="170"/>
      <c r="M276" s="170" t="str">
        <f>IFERROR(_xlfn.XLOOKUP($A276,Input_Raw!$A:$A,Input_Raw!BG:BG),"")</f>
        <v/>
      </c>
      <c r="N276" s="170" t="str">
        <f>IFERROR(_xlfn.XLOOKUP($A276,Input_Raw!$A:$A,Input_Raw!BH:BH),"")</f>
        <v/>
      </c>
      <c r="O276" s="173" t="str">
        <f t="shared" si="17"/>
        <v/>
      </c>
      <c r="P276" s="173" t="str">
        <f>IFERROR(1-SUMIF(WTG_BD!$F:$F,$A276,WTG_BD!$AA:$AA)/($AA276+SUMIF(WTG_BD!$F:$F,$A276,WTG_BD!$AA:$AA)),"")</f>
        <v/>
      </c>
      <c r="Q276" s="173" t="str">
        <f>IFERROR(1-SUMIF(IGA_BD!$F:$F,$A276,IGA_BD!$X:$X)/($AA276+SUMIF(IGA_BD!$F:$F,$A276,IGA_BD!$X:$X)),"")</f>
        <v/>
      </c>
      <c r="R276" s="173" t="str">
        <f>IFERROR(1-SUMIF(Grid_BD!$F:$F,$A276,Grid_BD!$Y:$Y)/($AA276+SUMIF(Grid_BD!$F:$F,$A276,Grid_BD!$Y:$Y)),"")</f>
        <v/>
      </c>
      <c r="S276" s="167"/>
      <c r="T276" s="172"/>
      <c r="U276" s="173"/>
      <c r="V276" s="167"/>
      <c r="W276" s="174" t="str">
        <f t="shared" si="18"/>
        <v/>
      </c>
      <c r="X276" s="167" t="str">
        <f>IFERROR(_xlfn.XLOOKUP($A276,Input_Raw!$A:$A,Input_Raw!$BF:$BF),"")</f>
        <v/>
      </c>
      <c r="Y276" s="167" t="str">
        <f>IFERROR(_xlfn.XLOOKUP($A276,Input_Raw!$A:$A,Input_Raw!BJ:BJ),"")</f>
        <v/>
      </c>
      <c r="Z276" s="167" t="str">
        <f>IFERROR(_xlfn.XLOOKUP($A276,Input_Raw!$A:$A,Input_Raw!BK:BK),"")</f>
        <v/>
      </c>
      <c r="AA276" s="167" t="str">
        <f>IFERROR(_xlfn.XLOOKUP($A276,Input_Raw!$A:$A,Input_Raw!BL:BL),"")</f>
        <v/>
      </c>
      <c r="AB276" s="167" t="str">
        <f>IFERROR(_xlfn.XLOOKUP($A276,Input_Raw!$A:$A,Input_Raw!$BO:$BO),"")</f>
        <v/>
      </c>
      <c r="AC276" s="176">
        <f>IFERROR(_xlfn.XLOOKUP($D276,'Modelling New'!$D:$D,'Modelling New'!$J:$J),"")</f>
        <v>6.95</v>
      </c>
      <c r="AD276" s="166">
        <f>IFERROR(_xlfn.XLOOKUP($D276,'Modelling New'!$D:$D,'Modelling New'!$T:$T)*1000,"")</f>
        <v>574435.4233300495</v>
      </c>
      <c r="AE276" s="174"/>
      <c r="AF276" s="174">
        <f>IFERROR(_xlfn.XLOOKUP($D276,'Modelling New'!$D:$D,'Modelling New'!$W:$W),"")</f>
        <v>0.34095169950738929</v>
      </c>
      <c r="AG276" s="174">
        <f>IFERROR(_xlfn.XLOOKUP($D276,'Modelling New'!$D:$D,'Modelling New'!$AE:$AE),"")</f>
        <v>0.96029999999999993</v>
      </c>
      <c r="AH276" s="174">
        <f>IFERROR(_xlfn.XLOOKUP($D276,'Modelling New'!$D:$D,'Modelling New'!$AF:$AF),"")</f>
        <v>0.995</v>
      </c>
      <c r="AI276" s="177" t="str">
        <f>IFERROR(_xlfn.XLOOKUP($A276,Input_Raw!$A:$A,Input_Raw!$BQ:$BQ),"")</f>
        <v/>
      </c>
      <c r="AJ276" s="167"/>
      <c r="AK276" s="167"/>
      <c r="AL276" s="167"/>
      <c r="AM276" s="167"/>
      <c r="AN276" s="175" t="str">
        <f>IFERROR(_xlfn.XLOOKUP($A276,Input_Raw!$A:$A,Input_Raw!$BN:$BN),"")</f>
        <v/>
      </c>
      <c r="AO276" s="174" t="str">
        <f>IFERROR((_xlfn.XLOOKUP($A276,'WTG Reactive Power'!$A:$A,'WTG Reactive Power'!$AE:$AE))/Table13[[#This Row],[Gen_Exp (kWh)]],"")</f>
        <v/>
      </c>
      <c r="AP276" s="174">
        <f>IFERROR(_xlfn.XLOOKUP($D276,'Modelling New'!$D:$D,'Modelling New'!$AK:$AK),"")</f>
        <v>0.05</v>
      </c>
      <c r="AQ276" s="174">
        <f>IFERROR(_xlfn.XLOOKUP($D276,'Modelling New'!$D:$D,'Modelling New'!$AL:$AL),"")</f>
        <v>0.05</v>
      </c>
      <c r="AR276" s="276">
        <f>IFERROR(_xlfn.XLOOKUP($D276,'Modelling New'!$D:$D,'Modelling New'!$N:$N),"")</f>
        <v>70.2</v>
      </c>
      <c r="AS276" s="276"/>
    </row>
    <row r="277" spans="1:45">
      <c r="A277" s="165">
        <f t="shared" si="19"/>
        <v>46020</v>
      </c>
      <c r="B277" s="166">
        <f>YEAR(Table13[[#This Row],[Date]])+IF(MONTH(Table13[[#This Row],[Date]])&gt;=4,1,0)</f>
        <v>2026</v>
      </c>
      <c r="C277" s="167">
        <f>YEAR(Table13[[#This Row],[Date]])</f>
        <v>2025</v>
      </c>
      <c r="D277" s="168">
        <f>Table13[[#This Row],[Date]]-DAY(Table13[[#This Row],[Date]])+1</f>
        <v>45992</v>
      </c>
      <c r="E277" s="167">
        <f t="shared" si="16"/>
        <v>31</v>
      </c>
      <c r="F277" s="169"/>
      <c r="G277" s="176"/>
      <c r="H277" s="176"/>
      <c r="I277" s="176"/>
      <c r="J277" s="176"/>
      <c r="K277" s="171"/>
      <c r="L277" s="170"/>
      <c r="M277" s="170" t="str">
        <f>IFERROR(_xlfn.XLOOKUP($A277,Input_Raw!$A:$A,Input_Raw!BG:BG),"")</f>
        <v/>
      </c>
      <c r="N277" s="170" t="str">
        <f>IFERROR(_xlfn.XLOOKUP($A277,Input_Raw!$A:$A,Input_Raw!BH:BH),"")</f>
        <v/>
      </c>
      <c r="O277" s="173" t="str">
        <f t="shared" si="17"/>
        <v/>
      </c>
      <c r="P277" s="173" t="str">
        <f>IFERROR(1-SUMIF(WTG_BD!$F:$F,$A277,WTG_BD!$AA:$AA)/($AA277+SUMIF(WTG_BD!$F:$F,$A277,WTG_BD!$AA:$AA)),"")</f>
        <v/>
      </c>
      <c r="Q277" s="173" t="str">
        <f>IFERROR(1-SUMIF(IGA_BD!$F:$F,$A277,IGA_BD!$X:$X)/($AA277+SUMIF(IGA_BD!$F:$F,$A277,IGA_BD!$X:$X)),"")</f>
        <v/>
      </c>
      <c r="R277" s="173" t="str">
        <f>IFERROR(1-SUMIF(Grid_BD!$F:$F,$A277,Grid_BD!$Y:$Y)/($AA277+SUMIF(Grid_BD!$F:$F,$A277,Grid_BD!$Y:$Y)),"")</f>
        <v/>
      </c>
      <c r="S277" s="167"/>
      <c r="T277" s="172"/>
      <c r="U277" s="173"/>
      <c r="V277" s="167"/>
      <c r="W277" s="174" t="str">
        <f t="shared" si="18"/>
        <v/>
      </c>
      <c r="X277" s="167" t="str">
        <f>IFERROR(_xlfn.XLOOKUP($A277,Input_Raw!$A:$A,Input_Raw!$BF:$BF),"")</f>
        <v/>
      </c>
      <c r="Y277" s="167" t="str">
        <f>IFERROR(_xlfn.XLOOKUP($A277,Input_Raw!$A:$A,Input_Raw!BJ:BJ),"")</f>
        <v/>
      </c>
      <c r="Z277" s="167" t="str">
        <f>IFERROR(_xlfn.XLOOKUP($A277,Input_Raw!$A:$A,Input_Raw!BK:BK),"")</f>
        <v/>
      </c>
      <c r="AA277" s="167" t="str">
        <f>IFERROR(_xlfn.XLOOKUP($A277,Input_Raw!$A:$A,Input_Raw!BL:BL),"")</f>
        <v/>
      </c>
      <c r="AB277" s="167" t="str">
        <f>IFERROR(_xlfn.XLOOKUP($A277,Input_Raw!$A:$A,Input_Raw!$BO:$BO),"")</f>
        <v/>
      </c>
      <c r="AC277" s="176">
        <f>IFERROR(_xlfn.XLOOKUP($D277,'Modelling New'!$D:$D,'Modelling New'!$J:$J),"")</f>
        <v>6.95</v>
      </c>
      <c r="AD277" s="166">
        <f>IFERROR(_xlfn.XLOOKUP($D277,'Modelling New'!$D:$D,'Modelling New'!$T:$T)*1000,"")</f>
        <v>574435.4233300495</v>
      </c>
      <c r="AE277" s="174"/>
      <c r="AF277" s="174">
        <f>IFERROR(_xlfn.XLOOKUP($D277,'Modelling New'!$D:$D,'Modelling New'!$W:$W),"")</f>
        <v>0.34095169950738929</v>
      </c>
      <c r="AG277" s="174">
        <f>IFERROR(_xlfn.XLOOKUP($D277,'Modelling New'!$D:$D,'Modelling New'!$AE:$AE),"")</f>
        <v>0.96029999999999993</v>
      </c>
      <c r="AH277" s="174">
        <f>IFERROR(_xlfn.XLOOKUP($D277,'Modelling New'!$D:$D,'Modelling New'!$AF:$AF),"")</f>
        <v>0.995</v>
      </c>
      <c r="AI277" s="177" t="str">
        <f>IFERROR(_xlfn.XLOOKUP($A277,Input_Raw!$A:$A,Input_Raw!$BQ:$BQ),"")</f>
        <v/>
      </c>
      <c r="AJ277" s="167"/>
      <c r="AK277" s="167"/>
      <c r="AL277" s="167"/>
      <c r="AM277" s="167"/>
      <c r="AN277" s="175" t="str">
        <f>IFERROR(_xlfn.XLOOKUP($A277,Input_Raw!$A:$A,Input_Raw!$BN:$BN),"")</f>
        <v/>
      </c>
      <c r="AO277" s="174" t="str">
        <f>IFERROR((_xlfn.XLOOKUP($A277,'WTG Reactive Power'!$A:$A,'WTG Reactive Power'!$AE:$AE))/Table13[[#This Row],[Gen_Exp (kWh)]],"")</f>
        <v/>
      </c>
      <c r="AP277" s="174">
        <f>IFERROR(_xlfn.XLOOKUP($D277,'Modelling New'!$D:$D,'Modelling New'!$AK:$AK),"")</f>
        <v>0.05</v>
      </c>
      <c r="AQ277" s="174">
        <f>IFERROR(_xlfn.XLOOKUP($D277,'Modelling New'!$D:$D,'Modelling New'!$AL:$AL),"")</f>
        <v>0.05</v>
      </c>
      <c r="AR277" s="276">
        <f>IFERROR(_xlfn.XLOOKUP($D277,'Modelling New'!$D:$D,'Modelling New'!$N:$N),"")</f>
        <v>70.2</v>
      </c>
      <c r="AS277" s="276"/>
    </row>
    <row r="278" spans="1:45">
      <c r="A278" s="165">
        <f t="shared" si="19"/>
        <v>46021</v>
      </c>
      <c r="B278" s="166">
        <f>YEAR(Table13[[#This Row],[Date]])+IF(MONTH(Table13[[#This Row],[Date]])&gt;=4,1,0)</f>
        <v>2026</v>
      </c>
      <c r="C278" s="167">
        <f>YEAR(Table13[[#This Row],[Date]])</f>
        <v>2025</v>
      </c>
      <c r="D278" s="168">
        <f>Table13[[#This Row],[Date]]-DAY(Table13[[#This Row],[Date]])+1</f>
        <v>45992</v>
      </c>
      <c r="E278" s="167">
        <f t="shared" si="16"/>
        <v>31</v>
      </c>
      <c r="F278" s="169"/>
      <c r="G278" s="170"/>
      <c r="H278" s="170"/>
      <c r="I278" s="170"/>
      <c r="J278" s="170"/>
      <c r="K278" s="171"/>
      <c r="L278" s="170"/>
      <c r="M278" s="170" t="str">
        <f>IFERROR(_xlfn.XLOOKUP($A278,Input_Raw!$A:$A,Input_Raw!BG:BG),"")</f>
        <v/>
      </c>
      <c r="N278" s="170" t="str">
        <f>IFERROR(_xlfn.XLOOKUP($A278,Input_Raw!$A:$A,Input_Raw!BH:BH),"")</f>
        <v/>
      </c>
      <c r="O278" s="173" t="str">
        <f t="shared" si="17"/>
        <v/>
      </c>
      <c r="P278" s="173" t="str">
        <f>IFERROR(1-SUMIF(WTG_BD!$F:$F,$A278,WTG_BD!$AA:$AA)/($AA278+SUMIF(WTG_BD!$F:$F,$A278,WTG_BD!$AA:$AA)),"")</f>
        <v/>
      </c>
      <c r="Q278" s="173" t="str">
        <f>IFERROR(1-SUMIF(IGA_BD!$F:$F,$A278,IGA_BD!$X:$X)/($AA278+SUMIF(IGA_BD!$F:$F,$A278,IGA_BD!$X:$X)),"")</f>
        <v/>
      </c>
      <c r="R278" s="173" t="str">
        <f>IFERROR(1-SUMIF(Grid_BD!$F:$F,$A278,Grid_BD!$Y:$Y)/($AA278+SUMIF(Grid_BD!$F:$F,$A278,Grid_BD!$Y:$Y)),"")</f>
        <v/>
      </c>
      <c r="S278" s="167"/>
      <c r="T278" s="172"/>
      <c r="U278" s="173"/>
      <c r="V278" s="167"/>
      <c r="W278" s="174" t="str">
        <f t="shared" si="18"/>
        <v/>
      </c>
      <c r="X278" s="167" t="str">
        <f>IFERROR(_xlfn.XLOOKUP($A278,Input_Raw!$A:$A,Input_Raw!$BF:$BF),"")</f>
        <v/>
      </c>
      <c r="Y278" s="167" t="str">
        <f>IFERROR(_xlfn.XLOOKUP($A278,Input_Raw!$A:$A,Input_Raw!BJ:BJ),"")</f>
        <v/>
      </c>
      <c r="Z278" s="167" t="str">
        <f>IFERROR(_xlfn.XLOOKUP($A278,Input_Raw!$A:$A,Input_Raw!BK:BK),"")</f>
        <v/>
      </c>
      <c r="AA278" s="167" t="str">
        <f>IFERROR(_xlfn.XLOOKUP($A278,Input_Raw!$A:$A,Input_Raw!BL:BL),"")</f>
        <v/>
      </c>
      <c r="AB278" s="167" t="str">
        <f>IFERROR(_xlfn.XLOOKUP($A278,Input_Raw!$A:$A,Input_Raw!$BO:$BO),"")</f>
        <v/>
      </c>
      <c r="AC278" s="176">
        <f>IFERROR(_xlfn.XLOOKUP($D278,'Modelling New'!$D:$D,'Modelling New'!$J:$J),"")</f>
        <v>6.95</v>
      </c>
      <c r="AD278" s="166">
        <f>IFERROR(_xlfn.XLOOKUP($D278,'Modelling New'!$D:$D,'Modelling New'!$T:$T)*1000,"")</f>
        <v>574435.4233300495</v>
      </c>
      <c r="AE278" s="174"/>
      <c r="AF278" s="174">
        <f>IFERROR(_xlfn.XLOOKUP($D278,'Modelling New'!$D:$D,'Modelling New'!$W:$W),"")</f>
        <v>0.34095169950738929</v>
      </c>
      <c r="AG278" s="174">
        <f>IFERROR(_xlfn.XLOOKUP($D278,'Modelling New'!$D:$D,'Modelling New'!$AE:$AE),"")</f>
        <v>0.96029999999999993</v>
      </c>
      <c r="AH278" s="174">
        <f>IFERROR(_xlfn.XLOOKUP($D278,'Modelling New'!$D:$D,'Modelling New'!$AF:$AF),"")</f>
        <v>0.995</v>
      </c>
      <c r="AI278" s="177" t="str">
        <f>IFERROR(_xlfn.XLOOKUP($A278,Input_Raw!$A:$A,Input_Raw!$BQ:$BQ),"")</f>
        <v/>
      </c>
      <c r="AJ278" s="167"/>
      <c r="AK278" s="167"/>
      <c r="AL278" s="167"/>
      <c r="AM278" s="167"/>
      <c r="AN278" s="175" t="str">
        <f>IFERROR(_xlfn.XLOOKUP($A278,Input_Raw!$A:$A,Input_Raw!$BN:$BN),"")</f>
        <v/>
      </c>
      <c r="AO278" s="174" t="str">
        <f>IFERROR((_xlfn.XLOOKUP($A278,'WTG Reactive Power'!$A:$A,'WTG Reactive Power'!$AE:$AE))/Table13[[#This Row],[Gen_Exp (kWh)]],"")</f>
        <v/>
      </c>
      <c r="AP278" s="174">
        <f>IFERROR(_xlfn.XLOOKUP($D278,'Modelling New'!$D:$D,'Modelling New'!$AK:$AK),"")</f>
        <v>0.05</v>
      </c>
      <c r="AQ278" s="174">
        <f>IFERROR(_xlfn.XLOOKUP($D278,'Modelling New'!$D:$D,'Modelling New'!$AL:$AL),"")</f>
        <v>0.05</v>
      </c>
      <c r="AR278" s="276">
        <f>IFERROR(_xlfn.XLOOKUP($D278,'Modelling New'!$D:$D,'Modelling New'!$N:$N),"")</f>
        <v>70.2</v>
      </c>
      <c r="AS278" s="276"/>
    </row>
    <row r="279" spans="1:45">
      <c r="A279" s="165">
        <f t="shared" si="19"/>
        <v>46022</v>
      </c>
      <c r="B279" s="166">
        <f>YEAR(Table13[[#This Row],[Date]])+IF(MONTH(Table13[[#This Row],[Date]])&gt;=4,1,0)</f>
        <v>2026</v>
      </c>
      <c r="C279" s="167">
        <f>YEAR(Table13[[#This Row],[Date]])</f>
        <v>2025</v>
      </c>
      <c r="D279" s="168">
        <f>Table13[[#This Row],[Date]]-DAY(Table13[[#This Row],[Date]])+1</f>
        <v>45992</v>
      </c>
      <c r="E279" s="167">
        <f t="shared" si="16"/>
        <v>31</v>
      </c>
      <c r="F279" s="169"/>
      <c r="G279" s="176"/>
      <c r="H279" s="176"/>
      <c r="I279" s="176"/>
      <c r="J279" s="176"/>
      <c r="K279" s="171"/>
      <c r="L279" s="170"/>
      <c r="M279" s="170" t="str">
        <f>IFERROR(_xlfn.XLOOKUP($A279,Input_Raw!$A:$A,Input_Raw!BG:BG),"")</f>
        <v/>
      </c>
      <c r="N279" s="170" t="str">
        <f>IFERROR(_xlfn.XLOOKUP($A279,Input_Raw!$A:$A,Input_Raw!BH:BH),"")</f>
        <v/>
      </c>
      <c r="O279" s="173" t="str">
        <f t="shared" si="17"/>
        <v/>
      </c>
      <c r="P279" s="173" t="str">
        <f>IFERROR(1-SUMIF(WTG_BD!$F:$F,$A279,WTG_BD!$AA:$AA)/($AA279+SUMIF(WTG_BD!$F:$F,$A279,WTG_BD!$AA:$AA)),"")</f>
        <v/>
      </c>
      <c r="Q279" s="173" t="str">
        <f>IFERROR(1-SUMIF(IGA_BD!$F:$F,$A279,IGA_BD!$X:$X)/($AA279+SUMIF(IGA_BD!$F:$F,$A279,IGA_BD!$X:$X)),"")</f>
        <v/>
      </c>
      <c r="R279" s="173" t="str">
        <f>IFERROR(1-SUMIF(Grid_BD!$F:$F,$A279,Grid_BD!$Y:$Y)/($AA279+SUMIF(Grid_BD!$F:$F,$A279,Grid_BD!$Y:$Y)),"")</f>
        <v/>
      </c>
      <c r="S279" s="167"/>
      <c r="T279" s="172"/>
      <c r="U279" s="173"/>
      <c r="V279" s="167"/>
      <c r="W279" s="174" t="str">
        <f t="shared" si="18"/>
        <v/>
      </c>
      <c r="X279" s="167" t="str">
        <f>IFERROR(_xlfn.XLOOKUP($A279,Input_Raw!$A:$A,Input_Raw!$BF:$BF),"")</f>
        <v/>
      </c>
      <c r="Y279" s="167" t="str">
        <f>IFERROR(_xlfn.XLOOKUP($A279,Input_Raw!$A:$A,Input_Raw!BJ:BJ),"")</f>
        <v/>
      </c>
      <c r="Z279" s="167" t="str">
        <f>IFERROR(_xlfn.XLOOKUP($A279,Input_Raw!$A:$A,Input_Raw!BK:BK),"")</f>
        <v/>
      </c>
      <c r="AA279" s="167" t="str">
        <f>IFERROR(_xlfn.XLOOKUP($A279,Input_Raw!$A:$A,Input_Raw!BL:BL),"")</f>
        <v/>
      </c>
      <c r="AB279" s="167" t="str">
        <f>IFERROR(_xlfn.XLOOKUP($A279,Input_Raw!$A:$A,Input_Raw!$BO:$BO),"")</f>
        <v/>
      </c>
      <c r="AC279" s="176">
        <f>IFERROR(_xlfn.XLOOKUP($D279,'Modelling New'!$D:$D,'Modelling New'!$J:$J),"")</f>
        <v>6.95</v>
      </c>
      <c r="AD279" s="166">
        <f>IFERROR(_xlfn.XLOOKUP($D279,'Modelling New'!$D:$D,'Modelling New'!$T:$T)*1000,"")</f>
        <v>574435.4233300495</v>
      </c>
      <c r="AE279" s="174"/>
      <c r="AF279" s="174">
        <f>IFERROR(_xlfn.XLOOKUP($D279,'Modelling New'!$D:$D,'Modelling New'!$W:$W),"")</f>
        <v>0.34095169950738929</v>
      </c>
      <c r="AG279" s="174">
        <f>IFERROR(_xlfn.XLOOKUP($D279,'Modelling New'!$D:$D,'Modelling New'!$AE:$AE),"")</f>
        <v>0.96029999999999993</v>
      </c>
      <c r="AH279" s="174">
        <f>IFERROR(_xlfn.XLOOKUP($D279,'Modelling New'!$D:$D,'Modelling New'!$AF:$AF),"")</f>
        <v>0.995</v>
      </c>
      <c r="AI279" s="177" t="str">
        <f>IFERROR(_xlfn.XLOOKUP($A279,Input_Raw!$A:$A,Input_Raw!$BQ:$BQ),"")</f>
        <v/>
      </c>
      <c r="AJ279" s="167"/>
      <c r="AK279" s="167"/>
      <c r="AL279" s="167"/>
      <c r="AM279" s="167"/>
      <c r="AN279" s="175" t="str">
        <f>IFERROR(_xlfn.XLOOKUP($A279,Input_Raw!$A:$A,Input_Raw!$BN:$BN),"")</f>
        <v/>
      </c>
      <c r="AO279" s="174" t="str">
        <f>IFERROR((_xlfn.XLOOKUP($A279,'WTG Reactive Power'!$A:$A,'WTG Reactive Power'!$AE:$AE))/Table13[[#This Row],[Gen_Exp (kWh)]],"")</f>
        <v/>
      </c>
      <c r="AP279" s="174">
        <f>IFERROR(_xlfn.XLOOKUP($D279,'Modelling New'!$D:$D,'Modelling New'!$AK:$AK),"")</f>
        <v>0.05</v>
      </c>
      <c r="AQ279" s="174">
        <f>IFERROR(_xlfn.XLOOKUP($D279,'Modelling New'!$D:$D,'Modelling New'!$AL:$AL),"")</f>
        <v>0.05</v>
      </c>
      <c r="AR279" s="276">
        <f>IFERROR(_xlfn.XLOOKUP($D279,'Modelling New'!$D:$D,'Modelling New'!$N:$N),"")</f>
        <v>70.2</v>
      </c>
      <c r="AS279" s="276"/>
    </row>
    <row r="280" spans="1:45">
      <c r="A280" s="165">
        <f t="shared" si="19"/>
        <v>46023</v>
      </c>
      <c r="B280" s="166">
        <f>YEAR(Table13[[#This Row],[Date]])+IF(MONTH(Table13[[#This Row],[Date]])&gt;=4,1,0)</f>
        <v>2026</v>
      </c>
      <c r="C280" s="167">
        <f>YEAR(Table13[[#This Row],[Date]])</f>
        <v>2026</v>
      </c>
      <c r="D280" s="168">
        <f>Table13[[#This Row],[Date]]-DAY(Table13[[#This Row],[Date]])+1</f>
        <v>46023</v>
      </c>
      <c r="E280" s="167">
        <f t="shared" ref="E280:E343" si="20">DAY(EOMONTH(A280,0))</f>
        <v>31</v>
      </c>
      <c r="F280" s="169"/>
      <c r="G280" s="170"/>
      <c r="H280" s="170"/>
      <c r="I280" s="170"/>
      <c r="J280" s="170"/>
      <c r="K280" s="171"/>
      <c r="L280" s="170"/>
      <c r="M280" s="170" t="str">
        <f>IFERROR(_xlfn.XLOOKUP($A280,Input_Raw!$A:$A,Input_Raw!BG:BG),"")</f>
        <v/>
      </c>
      <c r="N280" s="170" t="str">
        <f>IFERROR(_xlfn.XLOOKUP($A280,Input_Raw!$A:$A,Input_Raw!BH:BH),"")</f>
        <v/>
      </c>
      <c r="O280" s="173" t="str">
        <f t="shared" ref="O280:O343" si="21">IFERROR(P280*Q280,"")</f>
        <v/>
      </c>
      <c r="P280" s="173" t="str">
        <f>IFERROR(1-SUMIF(WTG_BD!$F:$F,$A280,WTG_BD!$AA:$AA)/($AA280+SUMIF(WTG_BD!$F:$F,$A280,WTG_BD!$AA:$AA)),"")</f>
        <v/>
      </c>
      <c r="Q280" s="173" t="str">
        <f>IFERROR(1-SUMIF(IGA_BD!$F:$F,$A280,IGA_BD!$X:$X)/($AA280+SUMIF(IGA_BD!$F:$F,$A280,IGA_BD!$X:$X)),"")</f>
        <v/>
      </c>
      <c r="R280" s="173" t="str">
        <f>IFERROR(1-SUMIF(Grid_BD!$F:$F,$A280,Grid_BD!$Y:$Y)/($AA280+SUMIF(Grid_BD!$F:$F,$A280,Grid_BD!$Y:$Y)),"")</f>
        <v/>
      </c>
      <c r="S280" s="167"/>
      <c r="T280" s="172"/>
      <c r="U280" s="173"/>
      <c r="V280" s="167"/>
      <c r="W280" s="174" t="str">
        <f t="shared" ref="W280:W343" si="22">IFERROR(AA280/(24*AR280*1000),"")</f>
        <v/>
      </c>
      <c r="X280" s="167" t="str">
        <f>IFERROR(_xlfn.XLOOKUP($A280,Input_Raw!$A:$A,Input_Raw!$BF:$BF),"")</f>
        <v/>
      </c>
      <c r="Y280" s="167" t="str">
        <f>IFERROR(_xlfn.XLOOKUP($A280,Input_Raw!$A:$A,Input_Raw!BJ:BJ),"")</f>
        <v/>
      </c>
      <c r="Z280" s="167" t="str">
        <f>IFERROR(_xlfn.XLOOKUP($A280,Input_Raw!$A:$A,Input_Raw!BK:BK),"")</f>
        <v/>
      </c>
      <c r="AA280" s="167" t="str">
        <f>IFERROR(_xlfn.XLOOKUP($A280,Input_Raw!$A:$A,Input_Raw!BL:BL),"")</f>
        <v/>
      </c>
      <c r="AB280" s="167" t="str">
        <f>IFERROR(_xlfn.XLOOKUP($A280,Input_Raw!$A:$A,Input_Raw!$BO:$BO),"")</f>
        <v/>
      </c>
      <c r="AC280" s="176">
        <f>IFERROR(_xlfn.XLOOKUP($D280,'Modelling New'!$D:$D,'Modelling New'!$J:$J),"")</f>
        <v>5.57</v>
      </c>
      <c r="AD280" s="166">
        <f>IFERROR(_xlfn.XLOOKUP($D280,'Modelling New'!$D:$D,'Modelling New'!$T:$T)*1000,"")</f>
        <v>613380.19779310341</v>
      </c>
      <c r="AE280" s="174"/>
      <c r="AF280" s="174">
        <f>IFERROR(_xlfn.XLOOKUP($D280,'Modelling New'!$D:$D,'Modelling New'!$W:$W),"")</f>
        <v>0.36406706896551722</v>
      </c>
      <c r="AG280" s="174">
        <f>IFERROR(_xlfn.XLOOKUP($D280,'Modelling New'!$D:$D,'Modelling New'!$AE:$AE),"")</f>
        <v>0.96029999999999993</v>
      </c>
      <c r="AH280" s="174">
        <f>IFERROR(_xlfn.XLOOKUP($D280,'Modelling New'!$D:$D,'Modelling New'!$AF:$AF),"")</f>
        <v>0.995</v>
      </c>
      <c r="AI280" s="177" t="str">
        <f>IFERROR(_xlfn.XLOOKUP($A280,Input_Raw!$A:$A,Input_Raw!$BQ:$BQ),"")</f>
        <v/>
      </c>
      <c r="AJ280" s="167"/>
      <c r="AK280" s="167"/>
      <c r="AL280" s="167"/>
      <c r="AM280" s="167"/>
      <c r="AN280" s="175" t="str">
        <f>IFERROR(_xlfn.XLOOKUP($A280,Input_Raw!$A:$A,Input_Raw!$BN:$BN),"")</f>
        <v/>
      </c>
      <c r="AO280" s="174" t="str">
        <f>IFERROR((_xlfn.XLOOKUP($A280,'WTG Reactive Power'!$A:$A,'WTG Reactive Power'!$AE:$AE))/Table13[[#This Row],[Gen_Exp (kWh)]],"")</f>
        <v/>
      </c>
      <c r="AP280" s="174">
        <f>IFERROR(_xlfn.XLOOKUP($D280,'Modelling New'!$D:$D,'Modelling New'!$AK:$AK),"")</f>
        <v>0.05</v>
      </c>
      <c r="AQ280" s="174">
        <f>IFERROR(_xlfn.XLOOKUP($D280,'Modelling New'!$D:$D,'Modelling New'!$AL:$AL),"")</f>
        <v>0.05</v>
      </c>
      <c r="AR280" s="276">
        <f>IFERROR(_xlfn.XLOOKUP($D280,'Modelling New'!$D:$D,'Modelling New'!$N:$N),"")</f>
        <v>70.2</v>
      </c>
      <c r="AS280" s="276"/>
    </row>
    <row r="281" spans="1:45">
      <c r="A281" s="165">
        <f t="shared" si="19"/>
        <v>46024</v>
      </c>
      <c r="B281" s="166">
        <f>YEAR(Table13[[#This Row],[Date]])+IF(MONTH(Table13[[#This Row],[Date]])&gt;=4,1,0)</f>
        <v>2026</v>
      </c>
      <c r="C281" s="167">
        <f>YEAR(Table13[[#This Row],[Date]])</f>
        <v>2026</v>
      </c>
      <c r="D281" s="168">
        <f>Table13[[#This Row],[Date]]-DAY(Table13[[#This Row],[Date]])+1</f>
        <v>46023</v>
      </c>
      <c r="E281" s="167">
        <f t="shared" si="20"/>
        <v>31</v>
      </c>
      <c r="F281" s="169"/>
      <c r="G281" s="176"/>
      <c r="H281" s="176"/>
      <c r="I281" s="176"/>
      <c r="J281" s="176"/>
      <c r="K281" s="171"/>
      <c r="L281" s="170"/>
      <c r="M281" s="170" t="str">
        <f>IFERROR(_xlfn.XLOOKUP($A281,Input_Raw!$A:$A,Input_Raw!BG:BG),"")</f>
        <v/>
      </c>
      <c r="N281" s="170" t="str">
        <f>IFERROR(_xlfn.XLOOKUP($A281,Input_Raw!$A:$A,Input_Raw!BH:BH),"")</f>
        <v/>
      </c>
      <c r="O281" s="173" t="str">
        <f t="shared" si="21"/>
        <v/>
      </c>
      <c r="P281" s="173" t="str">
        <f>IFERROR(1-SUMIF(WTG_BD!$F:$F,$A281,WTG_BD!$AA:$AA)/($AA281+SUMIF(WTG_BD!$F:$F,$A281,WTG_BD!$AA:$AA)),"")</f>
        <v/>
      </c>
      <c r="Q281" s="173" t="str">
        <f>IFERROR(1-SUMIF(IGA_BD!$F:$F,$A281,IGA_BD!$X:$X)/($AA281+SUMIF(IGA_BD!$F:$F,$A281,IGA_BD!$X:$X)),"")</f>
        <v/>
      </c>
      <c r="R281" s="173" t="str">
        <f>IFERROR(1-SUMIF(Grid_BD!$F:$F,$A281,Grid_BD!$Y:$Y)/($AA281+SUMIF(Grid_BD!$F:$F,$A281,Grid_BD!$Y:$Y)),"")</f>
        <v/>
      </c>
      <c r="S281" s="167"/>
      <c r="T281" s="172"/>
      <c r="U281" s="173"/>
      <c r="V281" s="167"/>
      <c r="W281" s="174" t="str">
        <f t="shared" si="22"/>
        <v/>
      </c>
      <c r="X281" s="167" t="str">
        <f>IFERROR(_xlfn.XLOOKUP($A281,Input_Raw!$A:$A,Input_Raw!$BF:$BF),"")</f>
        <v/>
      </c>
      <c r="Y281" s="167" t="str">
        <f>IFERROR(_xlfn.XLOOKUP($A281,Input_Raw!$A:$A,Input_Raw!BJ:BJ),"")</f>
        <v/>
      </c>
      <c r="Z281" s="167" t="str">
        <f>IFERROR(_xlfn.XLOOKUP($A281,Input_Raw!$A:$A,Input_Raw!BK:BK),"")</f>
        <v/>
      </c>
      <c r="AA281" s="167" t="str">
        <f>IFERROR(_xlfn.XLOOKUP($A281,Input_Raw!$A:$A,Input_Raw!BL:BL),"")</f>
        <v/>
      </c>
      <c r="AB281" s="167" t="str">
        <f>IFERROR(_xlfn.XLOOKUP($A281,Input_Raw!$A:$A,Input_Raw!$BO:$BO),"")</f>
        <v/>
      </c>
      <c r="AC281" s="176">
        <f>IFERROR(_xlfn.XLOOKUP($D281,'Modelling New'!$D:$D,'Modelling New'!$J:$J),"")</f>
        <v>5.57</v>
      </c>
      <c r="AD281" s="166">
        <f>IFERROR(_xlfn.XLOOKUP($D281,'Modelling New'!$D:$D,'Modelling New'!$T:$T)*1000,"")</f>
        <v>613380.19779310341</v>
      </c>
      <c r="AE281" s="174"/>
      <c r="AF281" s="174">
        <f>IFERROR(_xlfn.XLOOKUP($D281,'Modelling New'!$D:$D,'Modelling New'!$W:$W),"")</f>
        <v>0.36406706896551722</v>
      </c>
      <c r="AG281" s="174">
        <f>IFERROR(_xlfn.XLOOKUP($D281,'Modelling New'!$D:$D,'Modelling New'!$AE:$AE),"")</f>
        <v>0.96029999999999993</v>
      </c>
      <c r="AH281" s="174">
        <f>IFERROR(_xlfn.XLOOKUP($D281,'Modelling New'!$D:$D,'Modelling New'!$AF:$AF),"")</f>
        <v>0.995</v>
      </c>
      <c r="AI281" s="177" t="str">
        <f>IFERROR(_xlfn.XLOOKUP($A281,Input_Raw!$A:$A,Input_Raw!$BQ:$BQ),"")</f>
        <v/>
      </c>
      <c r="AJ281" s="167"/>
      <c r="AK281" s="167"/>
      <c r="AL281" s="167"/>
      <c r="AM281" s="167"/>
      <c r="AN281" s="175" t="str">
        <f>IFERROR(_xlfn.XLOOKUP($A281,Input_Raw!$A:$A,Input_Raw!$BN:$BN),"")</f>
        <v/>
      </c>
      <c r="AO281" s="174" t="str">
        <f>IFERROR((_xlfn.XLOOKUP($A281,'WTG Reactive Power'!$A:$A,'WTG Reactive Power'!$AE:$AE))/Table13[[#This Row],[Gen_Exp (kWh)]],"")</f>
        <v/>
      </c>
      <c r="AP281" s="174">
        <f>IFERROR(_xlfn.XLOOKUP($D281,'Modelling New'!$D:$D,'Modelling New'!$AK:$AK),"")</f>
        <v>0.05</v>
      </c>
      <c r="AQ281" s="174">
        <f>IFERROR(_xlfn.XLOOKUP($D281,'Modelling New'!$D:$D,'Modelling New'!$AL:$AL),"")</f>
        <v>0.05</v>
      </c>
      <c r="AR281" s="276">
        <f>IFERROR(_xlfn.XLOOKUP($D281,'Modelling New'!$D:$D,'Modelling New'!$N:$N),"")</f>
        <v>70.2</v>
      </c>
      <c r="AS281" s="276"/>
    </row>
    <row r="282" spans="1:45">
      <c r="A282" s="165">
        <f t="shared" ref="A282:A345" si="23">A281+1</f>
        <v>46025</v>
      </c>
      <c r="B282" s="166">
        <f>YEAR(Table13[[#This Row],[Date]])+IF(MONTH(Table13[[#This Row],[Date]])&gt;=4,1,0)</f>
        <v>2026</v>
      </c>
      <c r="C282" s="167">
        <f>YEAR(Table13[[#This Row],[Date]])</f>
        <v>2026</v>
      </c>
      <c r="D282" s="168">
        <f>Table13[[#This Row],[Date]]-DAY(Table13[[#This Row],[Date]])+1</f>
        <v>46023</v>
      </c>
      <c r="E282" s="167">
        <f t="shared" si="20"/>
        <v>31</v>
      </c>
      <c r="F282" s="169"/>
      <c r="G282" s="170"/>
      <c r="H282" s="170"/>
      <c r="I282" s="170"/>
      <c r="J282" s="170"/>
      <c r="K282" s="171"/>
      <c r="L282" s="170"/>
      <c r="M282" s="170" t="str">
        <f>IFERROR(_xlfn.XLOOKUP($A282,Input_Raw!$A:$A,Input_Raw!BG:BG),"")</f>
        <v/>
      </c>
      <c r="N282" s="170" t="str">
        <f>IFERROR(_xlfn.XLOOKUP($A282,Input_Raw!$A:$A,Input_Raw!BH:BH),"")</f>
        <v/>
      </c>
      <c r="O282" s="173" t="str">
        <f t="shared" si="21"/>
        <v/>
      </c>
      <c r="P282" s="173" t="str">
        <f>IFERROR(1-SUMIF(WTG_BD!$F:$F,$A282,WTG_BD!$AA:$AA)/($AA282+SUMIF(WTG_BD!$F:$F,$A282,WTG_BD!$AA:$AA)),"")</f>
        <v/>
      </c>
      <c r="Q282" s="173" t="str">
        <f>IFERROR(1-SUMIF(IGA_BD!$F:$F,$A282,IGA_BD!$X:$X)/($AA282+SUMIF(IGA_BD!$F:$F,$A282,IGA_BD!$X:$X)),"")</f>
        <v/>
      </c>
      <c r="R282" s="173" t="str">
        <f>IFERROR(1-SUMIF(Grid_BD!$F:$F,$A282,Grid_BD!$Y:$Y)/($AA282+SUMIF(Grid_BD!$F:$F,$A282,Grid_BD!$Y:$Y)),"")</f>
        <v/>
      </c>
      <c r="S282" s="167"/>
      <c r="T282" s="172"/>
      <c r="U282" s="173"/>
      <c r="V282" s="167"/>
      <c r="W282" s="174" t="str">
        <f t="shared" si="22"/>
        <v/>
      </c>
      <c r="X282" s="167" t="str">
        <f>IFERROR(_xlfn.XLOOKUP($A282,Input_Raw!$A:$A,Input_Raw!$BF:$BF),"")</f>
        <v/>
      </c>
      <c r="Y282" s="167" t="str">
        <f>IFERROR(_xlfn.XLOOKUP($A282,Input_Raw!$A:$A,Input_Raw!BJ:BJ),"")</f>
        <v/>
      </c>
      <c r="Z282" s="167" t="str">
        <f>IFERROR(_xlfn.XLOOKUP($A282,Input_Raw!$A:$A,Input_Raw!BK:BK),"")</f>
        <v/>
      </c>
      <c r="AA282" s="167" t="str">
        <f>IFERROR(_xlfn.XLOOKUP($A282,Input_Raw!$A:$A,Input_Raw!BL:BL),"")</f>
        <v/>
      </c>
      <c r="AB282" s="167" t="str">
        <f>IFERROR(_xlfn.XLOOKUP($A282,Input_Raw!$A:$A,Input_Raw!$BO:$BO),"")</f>
        <v/>
      </c>
      <c r="AC282" s="176">
        <f>IFERROR(_xlfn.XLOOKUP($D282,'Modelling New'!$D:$D,'Modelling New'!$J:$J),"")</f>
        <v>5.57</v>
      </c>
      <c r="AD282" s="166">
        <f>IFERROR(_xlfn.XLOOKUP($D282,'Modelling New'!$D:$D,'Modelling New'!$T:$T)*1000,"")</f>
        <v>613380.19779310341</v>
      </c>
      <c r="AE282" s="174"/>
      <c r="AF282" s="174">
        <f>IFERROR(_xlfn.XLOOKUP($D282,'Modelling New'!$D:$D,'Modelling New'!$W:$W),"")</f>
        <v>0.36406706896551722</v>
      </c>
      <c r="AG282" s="174">
        <f>IFERROR(_xlfn.XLOOKUP($D282,'Modelling New'!$D:$D,'Modelling New'!$AE:$AE),"")</f>
        <v>0.96029999999999993</v>
      </c>
      <c r="AH282" s="174">
        <f>IFERROR(_xlfn.XLOOKUP($D282,'Modelling New'!$D:$D,'Modelling New'!$AF:$AF),"")</f>
        <v>0.995</v>
      </c>
      <c r="AI282" s="177" t="str">
        <f>IFERROR(_xlfn.XLOOKUP($A282,Input_Raw!$A:$A,Input_Raw!$BQ:$BQ),"")</f>
        <v/>
      </c>
      <c r="AJ282" s="167"/>
      <c r="AK282" s="167"/>
      <c r="AL282" s="167"/>
      <c r="AM282" s="167"/>
      <c r="AN282" s="175" t="str">
        <f>IFERROR(_xlfn.XLOOKUP($A282,Input_Raw!$A:$A,Input_Raw!$BN:$BN),"")</f>
        <v/>
      </c>
      <c r="AO282" s="174" t="str">
        <f>IFERROR((_xlfn.XLOOKUP($A282,'WTG Reactive Power'!$A:$A,'WTG Reactive Power'!$AE:$AE))/Table13[[#This Row],[Gen_Exp (kWh)]],"")</f>
        <v/>
      </c>
      <c r="AP282" s="174">
        <f>IFERROR(_xlfn.XLOOKUP($D282,'Modelling New'!$D:$D,'Modelling New'!$AK:$AK),"")</f>
        <v>0.05</v>
      </c>
      <c r="AQ282" s="174">
        <f>IFERROR(_xlfn.XLOOKUP($D282,'Modelling New'!$D:$D,'Modelling New'!$AL:$AL),"")</f>
        <v>0.05</v>
      </c>
      <c r="AR282" s="276">
        <f>IFERROR(_xlfn.XLOOKUP($D282,'Modelling New'!$D:$D,'Modelling New'!$N:$N),"")</f>
        <v>70.2</v>
      </c>
      <c r="AS282" s="276"/>
    </row>
    <row r="283" spans="1:45">
      <c r="A283" s="165">
        <f t="shared" si="23"/>
        <v>46026</v>
      </c>
      <c r="B283" s="166">
        <f>YEAR(Table13[[#This Row],[Date]])+IF(MONTH(Table13[[#This Row],[Date]])&gt;=4,1,0)</f>
        <v>2026</v>
      </c>
      <c r="C283" s="167">
        <f>YEAR(Table13[[#This Row],[Date]])</f>
        <v>2026</v>
      </c>
      <c r="D283" s="168">
        <f>Table13[[#This Row],[Date]]-DAY(Table13[[#This Row],[Date]])+1</f>
        <v>46023</v>
      </c>
      <c r="E283" s="167">
        <f t="shared" si="20"/>
        <v>31</v>
      </c>
      <c r="F283" s="169"/>
      <c r="G283" s="176"/>
      <c r="H283" s="176"/>
      <c r="I283" s="176"/>
      <c r="J283" s="176"/>
      <c r="K283" s="171"/>
      <c r="L283" s="170"/>
      <c r="M283" s="170" t="str">
        <f>IFERROR(_xlfn.XLOOKUP($A283,Input_Raw!$A:$A,Input_Raw!BG:BG),"")</f>
        <v/>
      </c>
      <c r="N283" s="170" t="str">
        <f>IFERROR(_xlfn.XLOOKUP($A283,Input_Raw!$A:$A,Input_Raw!BH:BH),"")</f>
        <v/>
      </c>
      <c r="O283" s="173" t="str">
        <f t="shared" si="21"/>
        <v/>
      </c>
      <c r="P283" s="173" t="str">
        <f>IFERROR(1-SUMIF(WTG_BD!$F:$F,$A283,WTG_BD!$AA:$AA)/($AA283+SUMIF(WTG_BD!$F:$F,$A283,WTG_BD!$AA:$AA)),"")</f>
        <v/>
      </c>
      <c r="Q283" s="173" t="str">
        <f>IFERROR(1-SUMIF(IGA_BD!$F:$F,$A283,IGA_BD!$X:$X)/($AA283+SUMIF(IGA_BD!$F:$F,$A283,IGA_BD!$X:$X)),"")</f>
        <v/>
      </c>
      <c r="R283" s="173" t="str">
        <f>IFERROR(1-SUMIF(Grid_BD!$F:$F,$A283,Grid_BD!$Y:$Y)/($AA283+SUMIF(Grid_BD!$F:$F,$A283,Grid_BD!$Y:$Y)),"")</f>
        <v/>
      </c>
      <c r="S283" s="167"/>
      <c r="T283" s="172"/>
      <c r="U283" s="173"/>
      <c r="V283" s="167"/>
      <c r="W283" s="174" t="str">
        <f t="shared" si="22"/>
        <v/>
      </c>
      <c r="X283" s="167" t="str">
        <f>IFERROR(_xlfn.XLOOKUP($A283,Input_Raw!$A:$A,Input_Raw!$BF:$BF),"")</f>
        <v/>
      </c>
      <c r="Y283" s="167" t="str">
        <f>IFERROR(_xlfn.XLOOKUP($A283,Input_Raw!$A:$A,Input_Raw!BJ:BJ),"")</f>
        <v/>
      </c>
      <c r="Z283" s="167" t="str">
        <f>IFERROR(_xlfn.XLOOKUP($A283,Input_Raw!$A:$A,Input_Raw!BK:BK),"")</f>
        <v/>
      </c>
      <c r="AA283" s="167" t="str">
        <f>IFERROR(_xlfn.XLOOKUP($A283,Input_Raw!$A:$A,Input_Raw!BL:BL),"")</f>
        <v/>
      </c>
      <c r="AB283" s="167" t="str">
        <f>IFERROR(_xlfn.XLOOKUP($A283,Input_Raw!$A:$A,Input_Raw!$BO:$BO),"")</f>
        <v/>
      </c>
      <c r="AC283" s="176">
        <f>IFERROR(_xlfn.XLOOKUP($D283,'Modelling New'!$D:$D,'Modelling New'!$J:$J),"")</f>
        <v>5.57</v>
      </c>
      <c r="AD283" s="166">
        <f>IFERROR(_xlfn.XLOOKUP($D283,'Modelling New'!$D:$D,'Modelling New'!$T:$T)*1000,"")</f>
        <v>613380.19779310341</v>
      </c>
      <c r="AE283" s="174"/>
      <c r="AF283" s="174">
        <f>IFERROR(_xlfn.XLOOKUP($D283,'Modelling New'!$D:$D,'Modelling New'!$W:$W),"")</f>
        <v>0.36406706896551722</v>
      </c>
      <c r="AG283" s="174">
        <f>IFERROR(_xlfn.XLOOKUP($D283,'Modelling New'!$D:$D,'Modelling New'!$AE:$AE),"")</f>
        <v>0.96029999999999993</v>
      </c>
      <c r="AH283" s="174">
        <f>IFERROR(_xlfn.XLOOKUP($D283,'Modelling New'!$D:$D,'Modelling New'!$AF:$AF),"")</f>
        <v>0.995</v>
      </c>
      <c r="AI283" s="177" t="str">
        <f>IFERROR(_xlfn.XLOOKUP($A283,Input_Raw!$A:$A,Input_Raw!$BQ:$BQ),"")</f>
        <v/>
      </c>
      <c r="AJ283" s="167"/>
      <c r="AK283" s="167"/>
      <c r="AL283" s="167"/>
      <c r="AM283" s="167"/>
      <c r="AN283" s="175" t="str">
        <f>IFERROR(_xlfn.XLOOKUP($A283,Input_Raw!$A:$A,Input_Raw!$BN:$BN),"")</f>
        <v/>
      </c>
      <c r="AO283" s="174" t="str">
        <f>IFERROR((_xlfn.XLOOKUP($A283,'WTG Reactive Power'!$A:$A,'WTG Reactive Power'!$AE:$AE))/Table13[[#This Row],[Gen_Exp (kWh)]],"")</f>
        <v/>
      </c>
      <c r="AP283" s="174">
        <f>IFERROR(_xlfn.XLOOKUP($D283,'Modelling New'!$D:$D,'Modelling New'!$AK:$AK),"")</f>
        <v>0.05</v>
      </c>
      <c r="AQ283" s="174">
        <f>IFERROR(_xlfn.XLOOKUP($D283,'Modelling New'!$D:$D,'Modelling New'!$AL:$AL),"")</f>
        <v>0.05</v>
      </c>
      <c r="AR283" s="276">
        <f>IFERROR(_xlfn.XLOOKUP($D283,'Modelling New'!$D:$D,'Modelling New'!$N:$N),"")</f>
        <v>70.2</v>
      </c>
      <c r="AS283" s="276"/>
    </row>
    <row r="284" spans="1:45">
      <c r="A284" s="165">
        <f t="shared" si="23"/>
        <v>46027</v>
      </c>
      <c r="B284" s="166">
        <f>YEAR(Table13[[#This Row],[Date]])+IF(MONTH(Table13[[#This Row],[Date]])&gt;=4,1,0)</f>
        <v>2026</v>
      </c>
      <c r="C284" s="167">
        <f>YEAR(Table13[[#This Row],[Date]])</f>
        <v>2026</v>
      </c>
      <c r="D284" s="168">
        <f>Table13[[#This Row],[Date]]-DAY(Table13[[#This Row],[Date]])+1</f>
        <v>46023</v>
      </c>
      <c r="E284" s="167">
        <f t="shared" si="20"/>
        <v>31</v>
      </c>
      <c r="F284" s="169"/>
      <c r="G284" s="170"/>
      <c r="H284" s="170"/>
      <c r="I284" s="170"/>
      <c r="J284" s="170"/>
      <c r="K284" s="171"/>
      <c r="L284" s="170"/>
      <c r="M284" s="170" t="str">
        <f>IFERROR(_xlfn.XLOOKUP($A284,Input_Raw!$A:$A,Input_Raw!BG:BG),"")</f>
        <v/>
      </c>
      <c r="N284" s="170" t="str">
        <f>IFERROR(_xlfn.XLOOKUP($A284,Input_Raw!$A:$A,Input_Raw!BH:BH),"")</f>
        <v/>
      </c>
      <c r="O284" s="173" t="str">
        <f t="shared" si="21"/>
        <v/>
      </c>
      <c r="P284" s="173" t="str">
        <f>IFERROR(1-SUMIF(WTG_BD!$F:$F,$A284,WTG_BD!$AA:$AA)/($AA284+SUMIF(WTG_BD!$F:$F,$A284,WTG_BD!$AA:$AA)),"")</f>
        <v/>
      </c>
      <c r="Q284" s="173" t="str">
        <f>IFERROR(1-SUMIF(IGA_BD!$F:$F,$A284,IGA_BD!$X:$X)/($AA284+SUMIF(IGA_BD!$F:$F,$A284,IGA_BD!$X:$X)),"")</f>
        <v/>
      </c>
      <c r="R284" s="173" t="str">
        <f>IFERROR(1-SUMIF(Grid_BD!$F:$F,$A284,Grid_BD!$Y:$Y)/($AA284+SUMIF(Grid_BD!$F:$F,$A284,Grid_BD!$Y:$Y)),"")</f>
        <v/>
      </c>
      <c r="S284" s="167"/>
      <c r="T284" s="172"/>
      <c r="U284" s="173"/>
      <c r="V284" s="167"/>
      <c r="W284" s="174" t="str">
        <f t="shared" si="22"/>
        <v/>
      </c>
      <c r="X284" s="167" t="str">
        <f>IFERROR(_xlfn.XLOOKUP($A284,Input_Raw!$A:$A,Input_Raw!$BF:$BF),"")</f>
        <v/>
      </c>
      <c r="Y284" s="167" t="str">
        <f>IFERROR(_xlfn.XLOOKUP($A284,Input_Raw!$A:$A,Input_Raw!BJ:BJ),"")</f>
        <v/>
      </c>
      <c r="Z284" s="167" t="str">
        <f>IFERROR(_xlfn.XLOOKUP($A284,Input_Raw!$A:$A,Input_Raw!BK:BK),"")</f>
        <v/>
      </c>
      <c r="AA284" s="167" t="str">
        <f>IFERROR(_xlfn.XLOOKUP($A284,Input_Raw!$A:$A,Input_Raw!BL:BL),"")</f>
        <v/>
      </c>
      <c r="AB284" s="167" t="str">
        <f>IFERROR(_xlfn.XLOOKUP($A284,Input_Raw!$A:$A,Input_Raw!$BO:$BO),"")</f>
        <v/>
      </c>
      <c r="AC284" s="176">
        <f>IFERROR(_xlfn.XLOOKUP($D284,'Modelling New'!$D:$D,'Modelling New'!$J:$J),"")</f>
        <v>5.57</v>
      </c>
      <c r="AD284" s="166">
        <f>IFERROR(_xlfn.XLOOKUP($D284,'Modelling New'!$D:$D,'Modelling New'!$T:$T)*1000,"")</f>
        <v>613380.19779310341</v>
      </c>
      <c r="AE284" s="174"/>
      <c r="AF284" s="174">
        <f>IFERROR(_xlfn.XLOOKUP($D284,'Modelling New'!$D:$D,'Modelling New'!$W:$W),"")</f>
        <v>0.36406706896551722</v>
      </c>
      <c r="AG284" s="174">
        <f>IFERROR(_xlfn.XLOOKUP($D284,'Modelling New'!$D:$D,'Modelling New'!$AE:$AE),"")</f>
        <v>0.96029999999999993</v>
      </c>
      <c r="AH284" s="174">
        <f>IFERROR(_xlfn.XLOOKUP($D284,'Modelling New'!$D:$D,'Modelling New'!$AF:$AF),"")</f>
        <v>0.995</v>
      </c>
      <c r="AI284" s="177" t="str">
        <f>IFERROR(_xlfn.XLOOKUP($A284,Input_Raw!$A:$A,Input_Raw!$BQ:$BQ),"")</f>
        <v/>
      </c>
      <c r="AJ284" s="167"/>
      <c r="AK284" s="167"/>
      <c r="AL284" s="167"/>
      <c r="AM284" s="167"/>
      <c r="AN284" s="175" t="str">
        <f>IFERROR(_xlfn.XLOOKUP($A284,Input_Raw!$A:$A,Input_Raw!$BN:$BN),"")</f>
        <v/>
      </c>
      <c r="AO284" s="174" t="str">
        <f>IFERROR((_xlfn.XLOOKUP($A284,'WTG Reactive Power'!$A:$A,'WTG Reactive Power'!$AE:$AE))/Table13[[#This Row],[Gen_Exp (kWh)]],"")</f>
        <v/>
      </c>
      <c r="AP284" s="174">
        <f>IFERROR(_xlfn.XLOOKUP($D284,'Modelling New'!$D:$D,'Modelling New'!$AK:$AK),"")</f>
        <v>0.05</v>
      </c>
      <c r="AQ284" s="174">
        <f>IFERROR(_xlfn.XLOOKUP($D284,'Modelling New'!$D:$D,'Modelling New'!$AL:$AL),"")</f>
        <v>0.05</v>
      </c>
      <c r="AR284" s="276">
        <f>IFERROR(_xlfn.XLOOKUP($D284,'Modelling New'!$D:$D,'Modelling New'!$N:$N),"")</f>
        <v>70.2</v>
      </c>
      <c r="AS284" s="276"/>
    </row>
    <row r="285" spans="1:45">
      <c r="A285" s="165">
        <f t="shared" si="23"/>
        <v>46028</v>
      </c>
      <c r="B285" s="166">
        <f>YEAR(Table13[[#This Row],[Date]])+IF(MONTH(Table13[[#This Row],[Date]])&gt;=4,1,0)</f>
        <v>2026</v>
      </c>
      <c r="C285" s="167">
        <f>YEAR(Table13[[#This Row],[Date]])</f>
        <v>2026</v>
      </c>
      <c r="D285" s="168">
        <f>Table13[[#This Row],[Date]]-DAY(Table13[[#This Row],[Date]])+1</f>
        <v>46023</v>
      </c>
      <c r="E285" s="167">
        <f t="shared" si="20"/>
        <v>31</v>
      </c>
      <c r="F285" s="169"/>
      <c r="G285" s="176"/>
      <c r="H285" s="176"/>
      <c r="I285" s="176"/>
      <c r="J285" s="176"/>
      <c r="K285" s="171"/>
      <c r="L285" s="170"/>
      <c r="M285" s="170" t="str">
        <f>IFERROR(_xlfn.XLOOKUP($A285,Input_Raw!$A:$A,Input_Raw!BG:BG),"")</f>
        <v/>
      </c>
      <c r="N285" s="170" t="str">
        <f>IFERROR(_xlfn.XLOOKUP($A285,Input_Raw!$A:$A,Input_Raw!BH:BH),"")</f>
        <v/>
      </c>
      <c r="O285" s="173" t="str">
        <f t="shared" si="21"/>
        <v/>
      </c>
      <c r="P285" s="173" t="str">
        <f>IFERROR(1-SUMIF(WTG_BD!$F:$F,$A285,WTG_BD!$AA:$AA)/($AA285+SUMIF(WTG_BD!$F:$F,$A285,WTG_BD!$AA:$AA)),"")</f>
        <v/>
      </c>
      <c r="Q285" s="173" t="str">
        <f>IFERROR(1-SUMIF(IGA_BD!$F:$F,$A285,IGA_BD!$X:$X)/($AA285+SUMIF(IGA_BD!$F:$F,$A285,IGA_BD!$X:$X)),"")</f>
        <v/>
      </c>
      <c r="R285" s="173" t="str">
        <f>IFERROR(1-SUMIF(Grid_BD!$F:$F,$A285,Grid_BD!$Y:$Y)/($AA285+SUMIF(Grid_BD!$F:$F,$A285,Grid_BD!$Y:$Y)),"")</f>
        <v/>
      </c>
      <c r="S285" s="167"/>
      <c r="T285" s="172"/>
      <c r="U285" s="173"/>
      <c r="V285" s="167"/>
      <c r="W285" s="174" t="str">
        <f t="shared" si="22"/>
        <v/>
      </c>
      <c r="X285" s="167" t="str">
        <f>IFERROR(_xlfn.XLOOKUP($A285,Input_Raw!$A:$A,Input_Raw!$BF:$BF),"")</f>
        <v/>
      </c>
      <c r="Y285" s="167" t="str">
        <f>IFERROR(_xlfn.XLOOKUP($A285,Input_Raw!$A:$A,Input_Raw!BJ:BJ),"")</f>
        <v/>
      </c>
      <c r="Z285" s="167" t="str">
        <f>IFERROR(_xlfn.XLOOKUP($A285,Input_Raw!$A:$A,Input_Raw!BK:BK),"")</f>
        <v/>
      </c>
      <c r="AA285" s="167" t="str">
        <f>IFERROR(_xlfn.XLOOKUP($A285,Input_Raw!$A:$A,Input_Raw!BL:BL),"")</f>
        <v/>
      </c>
      <c r="AB285" s="167" t="str">
        <f>IFERROR(_xlfn.XLOOKUP($A285,Input_Raw!$A:$A,Input_Raw!$BO:$BO),"")</f>
        <v/>
      </c>
      <c r="AC285" s="176">
        <f>IFERROR(_xlfn.XLOOKUP($D285,'Modelling New'!$D:$D,'Modelling New'!$J:$J),"")</f>
        <v>5.57</v>
      </c>
      <c r="AD285" s="166">
        <f>IFERROR(_xlfn.XLOOKUP($D285,'Modelling New'!$D:$D,'Modelling New'!$T:$T)*1000,"")</f>
        <v>613380.19779310341</v>
      </c>
      <c r="AE285" s="174"/>
      <c r="AF285" s="174">
        <f>IFERROR(_xlfn.XLOOKUP($D285,'Modelling New'!$D:$D,'Modelling New'!$W:$W),"")</f>
        <v>0.36406706896551722</v>
      </c>
      <c r="AG285" s="174">
        <f>IFERROR(_xlfn.XLOOKUP($D285,'Modelling New'!$D:$D,'Modelling New'!$AE:$AE),"")</f>
        <v>0.96029999999999993</v>
      </c>
      <c r="AH285" s="174">
        <f>IFERROR(_xlfn.XLOOKUP($D285,'Modelling New'!$D:$D,'Modelling New'!$AF:$AF),"")</f>
        <v>0.995</v>
      </c>
      <c r="AI285" s="177" t="str">
        <f>IFERROR(_xlfn.XLOOKUP($A285,Input_Raw!$A:$A,Input_Raw!$BQ:$BQ),"")</f>
        <v/>
      </c>
      <c r="AJ285" s="167"/>
      <c r="AK285" s="167"/>
      <c r="AL285" s="167"/>
      <c r="AM285" s="167"/>
      <c r="AN285" s="175" t="str">
        <f>IFERROR(_xlfn.XLOOKUP($A285,Input_Raw!$A:$A,Input_Raw!$BN:$BN),"")</f>
        <v/>
      </c>
      <c r="AO285" s="174" t="str">
        <f>IFERROR((_xlfn.XLOOKUP($A285,'WTG Reactive Power'!$A:$A,'WTG Reactive Power'!$AE:$AE))/Table13[[#This Row],[Gen_Exp (kWh)]],"")</f>
        <v/>
      </c>
      <c r="AP285" s="174">
        <f>IFERROR(_xlfn.XLOOKUP($D285,'Modelling New'!$D:$D,'Modelling New'!$AK:$AK),"")</f>
        <v>0.05</v>
      </c>
      <c r="AQ285" s="174">
        <f>IFERROR(_xlfn.XLOOKUP($D285,'Modelling New'!$D:$D,'Modelling New'!$AL:$AL),"")</f>
        <v>0.05</v>
      </c>
      <c r="AR285" s="276">
        <f>IFERROR(_xlfn.XLOOKUP($D285,'Modelling New'!$D:$D,'Modelling New'!$N:$N),"")</f>
        <v>70.2</v>
      </c>
      <c r="AS285" s="276"/>
    </row>
    <row r="286" spans="1:45">
      <c r="A286" s="165">
        <f t="shared" si="23"/>
        <v>46029</v>
      </c>
      <c r="B286" s="166">
        <f>YEAR(Table13[[#This Row],[Date]])+IF(MONTH(Table13[[#This Row],[Date]])&gt;=4,1,0)</f>
        <v>2026</v>
      </c>
      <c r="C286" s="167">
        <f>YEAR(Table13[[#This Row],[Date]])</f>
        <v>2026</v>
      </c>
      <c r="D286" s="168">
        <f>Table13[[#This Row],[Date]]-DAY(Table13[[#This Row],[Date]])+1</f>
        <v>46023</v>
      </c>
      <c r="E286" s="167">
        <f t="shared" si="20"/>
        <v>31</v>
      </c>
      <c r="F286" s="169"/>
      <c r="G286" s="170"/>
      <c r="H286" s="170"/>
      <c r="I286" s="170"/>
      <c r="J286" s="170"/>
      <c r="K286" s="171"/>
      <c r="L286" s="170"/>
      <c r="M286" s="170" t="str">
        <f>IFERROR(_xlfn.XLOOKUP($A286,Input_Raw!$A:$A,Input_Raw!BG:BG),"")</f>
        <v/>
      </c>
      <c r="N286" s="170" t="str">
        <f>IFERROR(_xlfn.XLOOKUP($A286,Input_Raw!$A:$A,Input_Raw!BH:BH),"")</f>
        <v/>
      </c>
      <c r="O286" s="173" t="str">
        <f t="shared" si="21"/>
        <v/>
      </c>
      <c r="P286" s="173" t="str">
        <f>IFERROR(1-SUMIF(WTG_BD!$F:$F,$A286,WTG_BD!$AA:$AA)/($AA286+SUMIF(WTG_BD!$F:$F,$A286,WTG_BD!$AA:$AA)),"")</f>
        <v/>
      </c>
      <c r="Q286" s="173" t="str">
        <f>IFERROR(1-SUMIF(IGA_BD!$F:$F,$A286,IGA_BD!$X:$X)/($AA286+SUMIF(IGA_BD!$F:$F,$A286,IGA_BD!$X:$X)),"")</f>
        <v/>
      </c>
      <c r="R286" s="173" t="str">
        <f>IFERROR(1-SUMIF(Grid_BD!$F:$F,$A286,Grid_BD!$Y:$Y)/($AA286+SUMIF(Grid_BD!$F:$F,$A286,Grid_BD!$Y:$Y)),"")</f>
        <v/>
      </c>
      <c r="S286" s="167"/>
      <c r="T286" s="172"/>
      <c r="U286" s="173"/>
      <c r="V286" s="167"/>
      <c r="W286" s="174" t="str">
        <f t="shared" si="22"/>
        <v/>
      </c>
      <c r="X286" s="167" t="str">
        <f>IFERROR(_xlfn.XLOOKUP($A286,Input_Raw!$A:$A,Input_Raw!$BF:$BF),"")</f>
        <v/>
      </c>
      <c r="Y286" s="167" t="str">
        <f>IFERROR(_xlfn.XLOOKUP($A286,Input_Raw!$A:$A,Input_Raw!BJ:BJ),"")</f>
        <v/>
      </c>
      <c r="Z286" s="167" t="str">
        <f>IFERROR(_xlfn.XLOOKUP($A286,Input_Raw!$A:$A,Input_Raw!BK:BK),"")</f>
        <v/>
      </c>
      <c r="AA286" s="167" t="str">
        <f>IFERROR(_xlfn.XLOOKUP($A286,Input_Raw!$A:$A,Input_Raw!BL:BL),"")</f>
        <v/>
      </c>
      <c r="AB286" s="167" t="str">
        <f>IFERROR(_xlfn.XLOOKUP($A286,Input_Raw!$A:$A,Input_Raw!$BO:$BO),"")</f>
        <v/>
      </c>
      <c r="AC286" s="176">
        <f>IFERROR(_xlfn.XLOOKUP($D286,'Modelling New'!$D:$D,'Modelling New'!$J:$J),"")</f>
        <v>5.57</v>
      </c>
      <c r="AD286" s="166">
        <f>IFERROR(_xlfn.XLOOKUP($D286,'Modelling New'!$D:$D,'Modelling New'!$T:$T)*1000,"")</f>
        <v>613380.19779310341</v>
      </c>
      <c r="AE286" s="174"/>
      <c r="AF286" s="174">
        <f>IFERROR(_xlfn.XLOOKUP($D286,'Modelling New'!$D:$D,'Modelling New'!$W:$W),"")</f>
        <v>0.36406706896551722</v>
      </c>
      <c r="AG286" s="174">
        <f>IFERROR(_xlfn.XLOOKUP($D286,'Modelling New'!$D:$D,'Modelling New'!$AE:$AE),"")</f>
        <v>0.96029999999999993</v>
      </c>
      <c r="AH286" s="174">
        <f>IFERROR(_xlfn.XLOOKUP($D286,'Modelling New'!$D:$D,'Modelling New'!$AF:$AF),"")</f>
        <v>0.995</v>
      </c>
      <c r="AI286" s="177" t="str">
        <f>IFERROR(_xlfn.XLOOKUP($A286,Input_Raw!$A:$A,Input_Raw!$BQ:$BQ),"")</f>
        <v/>
      </c>
      <c r="AJ286" s="167"/>
      <c r="AK286" s="167"/>
      <c r="AL286" s="167"/>
      <c r="AM286" s="167"/>
      <c r="AN286" s="175" t="str">
        <f>IFERROR(_xlfn.XLOOKUP($A286,Input_Raw!$A:$A,Input_Raw!$BN:$BN),"")</f>
        <v/>
      </c>
      <c r="AO286" s="174" t="str">
        <f>IFERROR((_xlfn.XLOOKUP($A286,'WTG Reactive Power'!$A:$A,'WTG Reactive Power'!$AE:$AE))/Table13[[#This Row],[Gen_Exp (kWh)]],"")</f>
        <v/>
      </c>
      <c r="AP286" s="174">
        <f>IFERROR(_xlfn.XLOOKUP($D286,'Modelling New'!$D:$D,'Modelling New'!$AK:$AK),"")</f>
        <v>0.05</v>
      </c>
      <c r="AQ286" s="174">
        <f>IFERROR(_xlfn.XLOOKUP($D286,'Modelling New'!$D:$D,'Modelling New'!$AL:$AL),"")</f>
        <v>0.05</v>
      </c>
      <c r="AR286" s="276">
        <f>IFERROR(_xlfn.XLOOKUP($D286,'Modelling New'!$D:$D,'Modelling New'!$N:$N),"")</f>
        <v>70.2</v>
      </c>
      <c r="AS286" s="276"/>
    </row>
    <row r="287" spans="1:45">
      <c r="A287" s="165">
        <f t="shared" si="23"/>
        <v>46030</v>
      </c>
      <c r="B287" s="166">
        <f>YEAR(Table13[[#This Row],[Date]])+IF(MONTH(Table13[[#This Row],[Date]])&gt;=4,1,0)</f>
        <v>2026</v>
      </c>
      <c r="C287" s="167">
        <f>YEAR(Table13[[#This Row],[Date]])</f>
        <v>2026</v>
      </c>
      <c r="D287" s="168">
        <f>Table13[[#This Row],[Date]]-DAY(Table13[[#This Row],[Date]])+1</f>
        <v>46023</v>
      </c>
      <c r="E287" s="167">
        <f t="shared" si="20"/>
        <v>31</v>
      </c>
      <c r="F287" s="169"/>
      <c r="G287" s="176"/>
      <c r="H287" s="176"/>
      <c r="I287" s="176"/>
      <c r="J287" s="176"/>
      <c r="K287" s="171"/>
      <c r="L287" s="170"/>
      <c r="M287" s="170" t="str">
        <f>IFERROR(_xlfn.XLOOKUP($A287,Input_Raw!$A:$A,Input_Raw!BG:BG),"")</f>
        <v/>
      </c>
      <c r="N287" s="170" t="str">
        <f>IFERROR(_xlfn.XLOOKUP($A287,Input_Raw!$A:$A,Input_Raw!BH:BH),"")</f>
        <v/>
      </c>
      <c r="O287" s="173" t="str">
        <f t="shared" si="21"/>
        <v/>
      </c>
      <c r="P287" s="173" t="str">
        <f>IFERROR(1-SUMIF(WTG_BD!$F:$F,$A287,WTG_BD!$AA:$AA)/($AA287+SUMIF(WTG_BD!$F:$F,$A287,WTG_BD!$AA:$AA)),"")</f>
        <v/>
      </c>
      <c r="Q287" s="173" t="str">
        <f>IFERROR(1-SUMIF(IGA_BD!$F:$F,$A287,IGA_BD!$X:$X)/($AA287+SUMIF(IGA_BD!$F:$F,$A287,IGA_BD!$X:$X)),"")</f>
        <v/>
      </c>
      <c r="R287" s="173" t="str">
        <f>IFERROR(1-SUMIF(Grid_BD!$F:$F,$A287,Grid_BD!$Y:$Y)/($AA287+SUMIF(Grid_BD!$F:$F,$A287,Grid_BD!$Y:$Y)),"")</f>
        <v/>
      </c>
      <c r="S287" s="167"/>
      <c r="T287" s="172"/>
      <c r="U287" s="173"/>
      <c r="V287" s="167"/>
      <c r="W287" s="174" t="str">
        <f t="shared" si="22"/>
        <v/>
      </c>
      <c r="X287" s="167" t="str">
        <f>IFERROR(_xlfn.XLOOKUP($A287,Input_Raw!$A:$A,Input_Raw!$BF:$BF),"")</f>
        <v/>
      </c>
      <c r="Y287" s="167" t="str">
        <f>IFERROR(_xlfn.XLOOKUP($A287,Input_Raw!$A:$A,Input_Raw!BJ:BJ),"")</f>
        <v/>
      </c>
      <c r="Z287" s="167" t="str">
        <f>IFERROR(_xlfn.XLOOKUP($A287,Input_Raw!$A:$A,Input_Raw!BK:BK),"")</f>
        <v/>
      </c>
      <c r="AA287" s="167" t="str">
        <f>IFERROR(_xlfn.XLOOKUP($A287,Input_Raw!$A:$A,Input_Raw!BL:BL),"")</f>
        <v/>
      </c>
      <c r="AB287" s="167" t="str">
        <f>IFERROR(_xlfn.XLOOKUP($A287,Input_Raw!$A:$A,Input_Raw!$BO:$BO),"")</f>
        <v/>
      </c>
      <c r="AC287" s="176">
        <f>IFERROR(_xlfn.XLOOKUP($D287,'Modelling New'!$D:$D,'Modelling New'!$J:$J),"")</f>
        <v>5.57</v>
      </c>
      <c r="AD287" s="166">
        <f>IFERROR(_xlfn.XLOOKUP($D287,'Modelling New'!$D:$D,'Modelling New'!$T:$T)*1000,"")</f>
        <v>613380.19779310341</v>
      </c>
      <c r="AE287" s="174"/>
      <c r="AF287" s="174">
        <f>IFERROR(_xlfn.XLOOKUP($D287,'Modelling New'!$D:$D,'Modelling New'!$W:$W),"")</f>
        <v>0.36406706896551722</v>
      </c>
      <c r="AG287" s="174">
        <f>IFERROR(_xlfn.XLOOKUP($D287,'Modelling New'!$D:$D,'Modelling New'!$AE:$AE),"")</f>
        <v>0.96029999999999993</v>
      </c>
      <c r="AH287" s="174">
        <f>IFERROR(_xlfn.XLOOKUP($D287,'Modelling New'!$D:$D,'Modelling New'!$AF:$AF),"")</f>
        <v>0.995</v>
      </c>
      <c r="AI287" s="177" t="str">
        <f>IFERROR(_xlfn.XLOOKUP($A287,Input_Raw!$A:$A,Input_Raw!$BQ:$BQ),"")</f>
        <v/>
      </c>
      <c r="AJ287" s="167"/>
      <c r="AK287" s="167"/>
      <c r="AL287" s="167"/>
      <c r="AM287" s="167"/>
      <c r="AN287" s="175" t="str">
        <f>IFERROR(_xlfn.XLOOKUP($A287,Input_Raw!$A:$A,Input_Raw!$BN:$BN),"")</f>
        <v/>
      </c>
      <c r="AO287" s="174" t="str">
        <f>IFERROR((_xlfn.XLOOKUP($A287,'WTG Reactive Power'!$A:$A,'WTG Reactive Power'!$AE:$AE))/Table13[[#This Row],[Gen_Exp (kWh)]],"")</f>
        <v/>
      </c>
      <c r="AP287" s="174">
        <f>IFERROR(_xlfn.XLOOKUP($D287,'Modelling New'!$D:$D,'Modelling New'!$AK:$AK),"")</f>
        <v>0.05</v>
      </c>
      <c r="AQ287" s="174">
        <f>IFERROR(_xlfn.XLOOKUP($D287,'Modelling New'!$D:$D,'Modelling New'!$AL:$AL),"")</f>
        <v>0.05</v>
      </c>
      <c r="AR287" s="276">
        <f>IFERROR(_xlfn.XLOOKUP($D287,'Modelling New'!$D:$D,'Modelling New'!$N:$N),"")</f>
        <v>70.2</v>
      </c>
      <c r="AS287" s="276"/>
    </row>
    <row r="288" spans="1:45">
      <c r="A288" s="165">
        <f t="shared" si="23"/>
        <v>46031</v>
      </c>
      <c r="B288" s="166">
        <f>YEAR(Table13[[#This Row],[Date]])+IF(MONTH(Table13[[#This Row],[Date]])&gt;=4,1,0)</f>
        <v>2026</v>
      </c>
      <c r="C288" s="167">
        <f>YEAR(Table13[[#This Row],[Date]])</f>
        <v>2026</v>
      </c>
      <c r="D288" s="168">
        <f>Table13[[#This Row],[Date]]-DAY(Table13[[#This Row],[Date]])+1</f>
        <v>46023</v>
      </c>
      <c r="E288" s="167">
        <f t="shared" si="20"/>
        <v>31</v>
      </c>
      <c r="F288" s="169"/>
      <c r="G288" s="170"/>
      <c r="H288" s="170"/>
      <c r="I288" s="170"/>
      <c r="J288" s="170"/>
      <c r="K288" s="171"/>
      <c r="L288" s="170"/>
      <c r="M288" s="170" t="str">
        <f>IFERROR(_xlfn.XLOOKUP($A288,Input_Raw!$A:$A,Input_Raw!BG:BG),"")</f>
        <v/>
      </c>
      <c r="N288" s="170" t="str">
        <f>IFERROR(_xlfn.XLOOKUP($A288,Input_Raw!$A:$A,Input_Raw!BH:BH),"")</f>
        <v/>
      </c>
      <c r="O288" s="173" t="str">
        <f t="shared" si="21"/>
        <v/>
      </c>
      <c r="P288" s="173" t="str">
        <f>IFERROR(1-SUMIF(WTG_BD!$F:$F,$A288,WTG_BD!$AA:$AA)/($AA288+SUMIF(WTG_BD!$F:$F,$A288,WTG_BD!$AA:$AA)),"")</f>
        <v/>
      </c>
      <c r="Q288" s="173" t="str">
        <f>IFERROR(1-SUMIF(IGA_BD!$F:$F,$A288,IGA_BD!$X:$X)/($AA288+SUMIF(IGA_BD!$F:$F,$A288,IGA_BD!$X:$X)),"")</f>
        <v/>
      </c>
      <c r="R288" s="173" t="str">
        <f>IFERROR(1-SUMIF(Grid_BD!$F:$F,$A288,Grid_BD!$Y:$Y)/($AA288+SUMIF(Grid_BD!$F:$F,$A288,Grid_BD!$Y:$Y)),"")</f>
        <v/>
      </c>
      <c r="S288" s="167"/>
      <c r="T288" s="172"/>
      <c r="U288" s="173"/>
      <c r="V288" s="167"/>
      <c r="W288" s="174" t="str">
        <f t="shared" si="22"/>
        <v/>
      </c>
      <c r="X288" s="167" t="str">
        <f>IFERROR(_xlfn.XLOOKUP($A288,Input_Raw!$A:$A,Input_Raw!$BF:$BF),"")</f>
        <v/>
      </c>
      <c r="Y288" s="167" t="str">
        <f>IFERROR(_xlfn.XLOOKUP($A288,Input_Raw!$A:$A,Input_Raw!BJ:BJ),"")</f>
        <v/>
      </c>
      <c r="Z288" s="167" t="str">
        <f>IFERROR(_xlfn.XLOOKUP($A288,Input_Raw!$A:$A,Input_Raw!BK:BK),"")</f>
        <v/>
      </c>
      <c r="AA288" s="167" t="str">
        <f>IFERROR(_xlfn.XLOOKUP($A288,Input_Raw!$A:$A,Input_Raw!BL:BL),"")</f>
        <v/>
      </c>
      <c r="AB288" s="167" t="str">
        <f>IFERROR(_xlfn.XLOOKUP($A288,Input_Raw!$A:$A,Input_Raw!$BO:$BO),"")</f>
        <v/>
      </c>
      <c r="AC288" s="176">
        <f>IFERROR(_xlfn.XLOOKUP($D288,'Modelling New'!$D:$D,'Modelling New'!$J:$J),"")</f>
        <v>5.57</v>
      </c>
      <c r="AD288" s="166">
        <f>IFERROR(_xlfn.XLOOKUP($D288,'Modelling New'!$D:$D,'Modelling New'!$T:$T)*1000,"")</f>
        <v>613380.19779310341</v>
      </c>
      <c r="AE288" s="174"/>
      <c r="AF288" s="174">
        <f>IFERROR(_xlfn.XLOOKUP($D288,'Modelling New'!$D:$D,'Modelling New'!$W:$W),"")</f>
        <v>0.36406706896551722</v>
      </c>
      <c r="AG288" s="174">
        <f>IFERROR(_xlfn.XLOOKUP($D288,'Modelling New'!$D:$D,'Modelling New'!$AE:$AE),"")</f>
        <v>0.96029999999999993</v>
      </c>
      <c r="AH288" s="174">
        <f>IFERROR(_xlfn.XLOOKUP($D288,'Modelling New'!$D:$D,'Modelling New'!$AF:$AF),"")</f>
        <v>0.995</v>
      </c>
      <c r="AI288" s="177" t="str">
        <f>IFERROR(_xlfn.XLOOKUP($A288,Input_Raw!$A:$A,Input_Raw!$BQ:$BQ),"")</f>
        <v/>
      </c>
      <c r="AJ288" s="167"/>
      <c r="AK288" s="167"/>
      <c r="AL288" s="167"/>
      <c r="AM288" s="167"/>
      <c r="AN288" s="175" t="str">
        <f>IFERROR(_xlfn.XLOOKUP($A288,Input_Raw!$A:$A,Input_Raw!$BN:$BN),"")</f>
        <v/>
      </c>
      <c r="AO288" s="174" t="str">
        <f>IFERROR((_xlfn.XLOOKUP($A288,'WTG Reactive Power'!$A:$A,'WTG Reactive Power'!$AE:$AE))/Table13[[#This Row],[Gen_Exp (kWh)]],"")</f>
        <v/>
      </c>
      <c r="AP288" s="174">
        <f>IFERROR(_xlfn.XLOOKUP($D288,'Modelling New'!$D:$D,'Modelling New'!$AK:$AK),"")</f>
        <v>0.05</v>
      </c>
      <c r="AQ288" s="174">
        <f>IFERROR(_xlfn.XLOOKUP($D288,'Modelling New'!$D:$D,'Modelling New'!$AL:$AL),"")</f>
        <v>0.05</v>
      </c>
      <c r="AR288" s="276">
        <f>IFERROR(_xlfn.XLOOKUP($D288,'Modelling New'!$D:$D,'Modelling New'!$N:$N),"")</f>
        <v>70.2</v>
      </c>
      <c r="AS288" s="276"/>
    </row>
    <row r="289" spans="1:45">
      <c r="A289" s="165">
        <f t="shared" si="23"/>
        <v>46032</v>
      </c>
      <c r="B289" s="166">
        <f>YEAR(Table13[[#This Row],[Date]])+IF(MONTH(Table13[[#This Row],[Date]])&gt;=4,1,0)</f>
        <v>2026</v>
      </c>
      <c r="C289" s="167">
        <f>YEAR(Table13[[#This Row],[Date]])</f>
        <v>2026</v>
      </c>
      <c r="D289" s="168">
        <f>Table13[[#This Row],[Date]]-DAY(Table13[[#This Row],[Date]])+1</f>
        <v>46023</v>
      </c>
      <c r="E289" s="167">
        <f t="shared" si="20"/>
        <v>31</v>
      </c>
      <c r="F289" s="169"/>
      <c r="G289" s="176"/>
      <c r="H289" s="176"/>
      <c r="I289" s="176"/>
      <c r="J289" s="176"/>
      <c r="K289" s="171"/>
      <c r="L289" s="170"/>
      <c r="M289" s="170" t="str">
        <f>IFERROR(_xlfn.XLOOKUP($A289,Input_Raw!$A:$A,Input_Raw!BG:BG),"")</f>
        <v/>
      </c>
      <c r="N289" s="170" t="str">
        <f>IFERROR(_xlfn.XLOOKUP($A289,Input_Raw!$A:$A,Input_Raw!BH:BH),"")</f>
        <v/>
      </c>
      <c r="O289" s="173" t="str">
        <f t="shared" si="21"/>
        <v/>
      </c>
      <c r="P289" s="173" t="str">
        <f>IFERROR(1-SUMIF(WTG_BD!$F:$F,$A289,WTG_BD!$AA:$AA)/($AA289+SUMIF(WTG_BD!$F:$F,$A289,WTG_BD!$AA:$AA)),"")</f>
        <v/>
      </c>
      <c r="Q289" s="173" t="str">
        <f>IFERROR(1-SUMIF(IGA_BD!$F:$F,$A289,IGA_BD!$X:$X)/($AA289+SUMIF(IGA_BD!$F:$F,$A289,IGA_BD!$X:$X)),"")</f>
        <v/>
      </c>
      <c r="R289" s="173" t="str">
        <f>IFERROR(1-SUMIF(Grid_BD!$F:$F,$A289,Grid_BD!$Y:$Y)/($AA289+SUMIF(Grid_BD!$F:$F,$A289,Grid_BD!$Y:$Y)),"")</f>
        <v/>
      </c>
      <c r="S289" s="167"/>
      <c r="T289" s="172"/>
      <c r="U289" s="173"/>
      <c r="V289" s="167"/>
      <c r="W289" s="174" t="str">
        <f t="shared" si="22"/>
        <v/>
      </c>
      <c r="X289" s="167" t="str">
        <f>IFERROR(_xlfn.XLOOKUP($A289,Input_Raw!$A:$A,Input_Raw!$BF:$BF),"")</f>
        <v/>
      </c>
      <c r="Y289" s="167" t="str">
        <f>IFERROR(_xlfn.XLOOKUP($A289,Input_Raw!$A:$A,Input_Raw!BJ:BJ),"")</f>
        <v/>
      </c>
      <c r="Z289" s="167" t="str">
        <f>IFERROR(_xlfn.XLOOKUP($A289,Input_Raw!$A:$A,Input_Raw!BK:BK),"")</f>
        <v/>
      </c>
      <c r="AA289" s="167" t="str">
        <f>IFERROR(_xlfn.XLOOKUP($A289,Input_Raw!$A:$A,Input_Raw!BL:BL),"")</f>
        <v/>
      </c>
      <c r="AB289" s="167" t="str">
        <f>IFERROR(_xlfn.XLOOKUP($A289,Input_Raw!$A:$A,Input_Raw!$BO:$BO),"")</f>
        <v/>
      </c>
      <c r="AC289" s="176">
        <f>IFERROR(_xlfn.XLOOKUP($D289,'Modelling New'!$D:$D,'Modelling New'!$J:$J),"")</f>
        <v>5.57</v>
      </c>
      <c r="AD289" s="166">
        <f>IFERROR(_xlfn.XLOOKUP($D289,'Modelling New'!$D:$D,'Modelling New'!$T:$T)*1000,"")</f>
        <v>613380.19779310341</v>
      </c>
      <c r="AE289" s="174"/>
      <c r="AF289" s="174">
        <f>IFERROR(_xlfn.XLOOKUP($D289,'Modelling New'!$D:$D,'Modelling New'!$W:$W),"")</f>
        <v>0.36406706896551722</v>
      </c>
      <c r="AG289" s="174">
        <f>IFERROR(_xlfn.XLOOKUP($D289,'Modelling New'!$D:$D,'Modelling New'!$AE:$AE),"")</f>
        <v>0.96029999999999993</v>
      </c>
      <c r="AH289" s="174">
        <f>IFERROR(_xlfn.XLOOKUP($D289,'Modelling New'!$D:$D,'Modelling New'!$AF:$AF),"")</f>
        <v>0.995</v>
      </c>
      <c r="AI289" s="177" t="str">
        <f>IFERROR(_xlfn.XLOOKUP($A289,Input_Raw!$A:$A,Input_Raw!$BQ:$BQ),"")</f>
        <v/>
      </c>
      <c r="AJ289" s="167"/>
      <c r="AK289" s="167"/>
      <c r="AL289" s="167"/>
      <c r="AM289" s="167"/>
      <c r="AN289" s="175" t="str">
        <f>IFERROR(_xlfn.XLOOKUP($A289,Input_Raw!$A:$A,Input_Raw!$BN:$BN),"")</f>
        <v/>
      </c>
      <c r="AO289" s="174" t="str">
        <f>IFERROR((_xlfn.XLOOKUP($A289,'WTG Reactive Power'!$A:$A,'WTG Reactive Power'!$AE:$AE))/Table13[[#This Row],[Gen_Exp (kWh)]],"")</f>
        <v/>
      </c>
      <c r="AP289" s="174">
        <f>IFERROR(_xlfn.XLOOKUP($D289,'Modelling New'!$D:$D,'Modelling New'!$AK:$AK),"")</f>
        <v>0.05</v>
      </c>
      <c r="AQ289" s="174">
        <f>IFERROR(_xlfn.XLOOKUP($D289,'Modelling New'!$D:$D,'Modelling New'!$AL:$AL),"")</f>
        <v>0.05</v>
      </c>
      <c r="AR289" s="276">
        <f>IFERROR(_xlfn.XLOOKUP($D289,'Modelling New'!$D:$D,'Modelling New'!$N:$N),"")</f>
        <v>70.2</v>
      </c>
      <c r="AS289" s="276"/>
    </row>
    <row r="290" spans="1:45">
      <c r="A290" s="165">
        <f t="shared" si="23"/>
        <v>46033</v>
      </c>
      <c r="B290" s="166">
        <f>YEAR(Table13[[#This Row],[Date]])+IF(MONTH(Table13[[#This Row],[Date]])&gt;=4,1,0)</f>
        <v>2026</v>
      </c>
      <c r="C290" s="167">
        <f>YEAR(Table13[[#This Row],[Date]])</f>
        <v>2026</v>
      </c>
      <c r="D290" s="168">
        <f>Table13[[#This Row],[Date]]-DAY(Table13[[#This Row],[Date]])+1</f>
        <v>46023</v>
      </c>
      <c r="E290" s="167">
        <f t="shared" si="20"/>
        <v>31</v>
      </c>
      <c r="F290" s="169"/>
      <c r="G290" s="170"/>
      <c r="H290" s="170"/>
      <c r="I290" s="170"/>
      <c r="J290" s="170"/>
      <c r="K290" s="171"/>
      <c r="L290" s="170"/>
      <c r="M290" s="170" t="str">
        <f>IFERROR(_xlfn.XLOOKUP($A290,Input_Raw!$A:$A,Input_Raw!BG:BG),"")</f>
        <v/>
      </c>
      <c r="N290" s="170" t="str">
        <f>IFERROR(_xlfn.XLOOKUP($A290,Input_Raw!$A:$A,Input_Raw!BH:BH),"")</f>
        <v/>
      </c>
      <c r="O290" s="173" t="str">
        <f t="shared" si="21"/>
        <v/>
      </c>
      <c r="P290" s="173" t="str">
        <f>IFERROR(1-SUMIF(WTG_BD!$F:$F,$A290,WTG_BD!$AA:$AA)/($AA290+SUMIF(WTG_BD!$F:$F,$A290,WTG_BD!$AA:$AA)),"")</f>
        <v/>
      </c>
      <c r="Q290" s="173" t="str">
        <f>IFERROR(1-SUMIF(IGA_BD!$F:$F,$A290,IGA_BD!$X:$X)/($AA290+SUMIF(IGA_BD!$F:$F,$A290,IGA_BD!$X:$X)),"")</f>
        <v/>
      </c>
      <c r="R290" s="173" t="str">
        <f>IFERROR(1-SUMIF(Grid_BD!$F:$F,$A290,Grid_BD!$Y:$Y)/($AA290+SUMIF(Grid_BD!$F:$F,$A290,Grid_BD!$Y:$Y)),"")</f>
        <v/>
      </c>
      <c r="S290" s="167"/>
      <c r="T290" s="172"/>
      <c r="U290" s="173"/>
      <c r="V290" s="167"/>
      <c r="W290" s="174" t="str">
        <f t="shared" si="22"/>
        <v/>
      </c>
      <c r="X290" s="167" t="str">
        <f>IFERROR(_xlfn.XLOOKUP($A290,Input_Raw!$A:$A,Input_Raw!$BF:$BF),"")</f>
        <v/>
      </c>
      <c r="Y290" s="167" t="str">
        <f>IFERROR(_xlfn.XLOOKUP($A290,Input_Raw!$A:$A,Input_Raw!BJ:BJ),"")</f>
        <v/>
      </c>
      <c r="Z290" s="167" t="str">
        <f>IFERROR(_xlfn.XLOOKUP($A290,Input_Raw!$A:$A,Input_Raw!BK:BK),"")</f>
        <v/>
      </c>
      <c r="AA290" s="167" t="str">
        <f>IFERROR(_xlfn.XLOOKUP($A290,Input_Raw!$A:$A,Input_Raw!BL:BL),"")</f>
        <v/>
      </c>
      <c r="AB290" s="167" t="str">
        <f>IFERROR(_xlfn.XLOOKUP($A290,Input_Raw!$A:$A,Input_Raw!$BO:$BO),"")</f>
        <v/>
      </c>
      <c r="AC290" s="176">
        <f>IFERROR(_xlfn.XLOOKUP($D290,'Modelling New'!$D:$D,'Modelling New'!$J:$J),"")</f>
        <v>5.57</v>
      </c>
      <c r="AD290" s="166">
        <f>IFERROR(_xlfn.XLOOKUP($D290,'Modelling New'!$D:$D,'Modelling New'!$T:$T)*1000,"")</f>
        <v>613380.19779310341</v>
      </c>
      <c r="AE290" s="174"/>
      <c r="AF290" s="174">
        <f>IFERROR(_xlfn.XLOOKUP($D290,'Modelling New'!$D:$D,'Modelling New'!$W:$W),"")</f>
        <v>0.36406706896551722</v>
      </c>
      <c r="AG290" s="174">
        <f>IFERROR(_xlfn.XLOOKUP($D290,'Modelling New'!$D:$D,'Modelling New'!$AE:$AE),"")</f>
        <v>0.96029999999999993</v>
      </c>
      <c r="AH290" s="174">
        <f>IFERROR(_xlfn.XLOOKUP($D290,'Modelling New'!$D:$D,'Modelling New'!$AF:$AF),"")</f>
        <v>0.995</v>
      </c>
      <c r="AI290" s="177" t="str">
        <f>IFERROR(_xlfn.XLOOKUP($A290,Input_Raw!$A:$A,Input_Raw!$BQ:$BQ),"")</f>
        <v/>
      </c>
      <c r="AJ290" s="167"/>
      <c r="AK290" s="167"/>
      <c r="AL290" s="167"/>
      <c r="AM290" s="167"/>
      <c r="AN290" s="175" t="str">
        <f>IFERROR(_xlfn.XLOOKUP($A290,Input_Raw!$A:$A,Input_Raw!$BN:$BN),"")</f>
        <v/>
      </c>
      <c r="AO290" s="174" t="str">
        <f>IFERROR((_xlfn.XLOOKUP($A290,'WTG Reactive Power'!$A:$A,'WTG Reactive Power'!$AE:$AE))/Table13[[#This Row],[Gen_Exp (kWh)]],"")</f>
        <v/>
      </c>
      <c r="AP290" s="174">
        <f>IFERROR(_xlfn.XLOOKUP($D290,'Modelling New'!$D:$D,'Modelling New'!$AK:$AK),"")</f>
        <v>0.05</v>
      </c>
      <c r="AQ290" s="174">
        <f>IFERROR(_xlfn.XLOOKUP($D290,'Modelling New'!$D:$D,'Modelling New'!$AL:$AL),"")</f>
        <v>0.05</v>
      </c>
      <c r="AR290" s="276">
        <f>IFERROR(_xlfn.XLOOKUP($D290,'Modelling New'!$D:$D,'Modelling New'!$N:$N),"")</f>
        <v>70.2</v>
      </c>
      <c r="AS290" s="276"/>
    </row>
    <row r="291" spans="1:45">
      <c r="A291" s="165">
        <f t="shared" si="23"/>
        <v>46034</v>
      </c>
      <c r="B291" s="166">
        <f>YEAR(Table13[[#This Row],[Date]])+IF(MONTH(Table13[[#This Row],[Date]])&gt;=4,1,0)</f>
        <v>2026</v>
      </c>
      <c r="C291" s="167">
        <f>YEAR(Table13[[#This Row],[Date]])</f>
        <v>2026</v>
      </c>
      <c r="D291" s="168">
        <f>Table13[[#This Row],[Date]]-DAY(Table13[[#This Row],[Date]])+1</f>
        <v>46023</v>
      </c>
      <c r="E291" s="167">
        <f t="shared" si="20"/>
        <v>31</v>
      </c>
      <c r="F291" s="169"/>
      <c r="G291" s="176"/>
      <c r="H291" s="176"/>
      <c r="I291" s="176"/>
      <c r="J291" s="176"/>
      <c r="K291" s="171"/>
      <c r="L291" s="170"/>
      <c r="M291" s="170" t="str">
        <f>IFERROR(_xlfn.XLOOKUP($A291,Input_Raw!$A:$A,Input_Raw!BG:BG),"")</f>
        <v/>
      </c>
      <c r="N291" s="170" t="str">
        <f>IFERROR(_xlfn.XLOOKUP($A291,Input_Raw!$A:$A,Input_Raw!BH:BH),"")</f>
        <v/>
      </c>
      <c r="O291" s="173" t="str">
        <f t="shared" si="21"/>
        <v/>
      </c>
      <c r="P291" s="173" t="str">
        <f>IFERROR(1-SUMIF(WTG_BD!$F:$F,$A291,WTG_BD!$AA:$AA)/($AA291+SUMIF(WTG_BD!$F:$F,$A291,WTG_BD!$AA:$AA)),"")</f>
        <v/>
      </c>
      <c r="Q291" s="173" t="str">
        <f>IFERROR(1-SUMIF(IGA_BD!$F:$F,$A291,IGA_BD!$X:$X)/($AA291+SUMIF(IGA_BD!$F:$F,$A291,IGA_BD!$X:$X)),"")</f>
        <v/>
      </c>
      <c r="R291" s="173" t="str">
        <f>IFERROR(1-SUMIF(Grid_BD!$F:$F,$A291,Grid_BD!$Y:$Y)/($AA291+SUMIF(Grid_BD!$F:$F,$A291,Grid_BD!$Y:$Y)),"")</f>
        <v/>
      </c>
      <c r="S291" s="167"/>
      <c r="T291" s="172"/>
      <c r="U291" s="173"/>
      <c r="V291" s="167"/>
      <c r="W291" s="174" t="str">
        <f t="shared" si="22"/>
        <v/>
      </c>
      <c r="X291" s="167" t="str">
        <f>IFERROR(_xlfn.XLOOKUP($A291,Input_Raw!$A:$A,Input_Raw!$BF:$BF),"")</f>
        <v/>
      </c>
      <c r="Y291" s="167" t="str">
        <f>IFERROR(_xlfn.XLOOKUP($A291,Input_Raw!$A:$A,Input_Raw!BJ:BJ),"")</f>
        <v/>
      </c>
      <c r="Z291" s="167" t="str">
        <f>IFERROR(_xlfn.XLOOKUP($A291,Input_Raw!$A:$A,Input_Raw!BK:BK),"")</f>
        <v/>
      </c>
      <c r="AA291" s="167" t="str">
        <f>IFERROR(_xlfn.XLOOKUP($A291,Input_Raw!$A:$A,Input_Raw!BL:BL),"")</f>
        <v/>
      </c>
      <c r="AB291" s="167" t="str">
        <f>IFERROR(_xlfn.XLOOKUP($A291,Input_Raw!$A:$A,Input_Raw!$BO:$BO),"")</f>
        <v/>
      </c>
      <c r="AC291" s="176">
        <f>IFERROR(_xlfn.XLOOKUP($D291,'Modelling New'!$D:$D,'Modelling New'!$J:$J),"")</f>
        <v>5.57</v>
      </c>
      <c r="AD291" s="166">
        <f>IFERROR(_xlfn.XLOOKUP($D291,'Modelling New'!$D:$D,'Modelling New'!$T:$T)*1000,"")</f>
        <v>613380.19779310341</v>
      </c>
      <c r="AE291" s="174"/>
      <c r="AF291" s="174">
        <f>IFERROR(_xlfn.XLOOKUP($D291,'Modelling New'!$D:$D,'Modelling New'!$W:$W),"")</f>
        <v>0.36406706896551722</v>
      </c>
      <c r="AG291" s="174">
        <f>IFERROR(_xlfn.XLOOKUP($D291,'Modelling New'!$D:$D,'Modelling New'!$AE:$AE),"")</f>
        <v>0.96029999999999993</v>
      </c>
      <c r="AH291" s="174">
        <f>IFERROR(_xlfn.XLOOKUP($D291,'Modelling New'!$D:$D,'Modelling New'!$AF:$AF),"")</f>
        <v>0.995</v>
      </c>
      <c r="AI291" s="177" t="str">
        <f>IFERROR(_xlfn.XLOOKUP($A291,Input_Raw!$A:$A,Input_Raw!$BQ:$BQ),"")</f>
        <v/>
      </c>
      <c r="AJ291" s="167"/>
      <c r="AK291" s="167"/>
      <c r="AL291" s="167"/>
      <c r="AM291" s="167"/>
      <c r="AN291" s="175" t="str">
        <f>IFERROR(_xlfn.XLOOKUP($A291,Input_Raw!$A:$A,Input_Raw!$BN:$BN),"")</f>
        <v/>
      </c>
      <c r="AO291" s="174" t="str">
        <f>IFERROR((_xlfn.XLOOKUP($A291,'WTG Reactive Power'!$A:$A,'WTG Reactive Power'!$AE:$AE))/Table13[[#This Row],[Gen_Exp (kWh)]],"")</f>
        <v/>
      </c>
      <c r="AP291" s="174">
        <f>IFERROR(_xlfn.XLOOKUP($D291,'Modelling New'!$D:$D,'Modelling New'!$AK:$AK),"")</f>
        <v>0.05</v>
      </c>
      <c r="AQ291" s="174">
        <f>IFERROR(_xlfn.XLOOKUP($D291,'Modelling New'!$D:$D,'Modelling New'!$AL:$AL),"")</f>
        <v>0.05</v>
      </c>
      <c r="AR291" s="276">
        <f>IFERROR(_xlfn.XLOOKUP($D291,'Modelling New'!$D:$D,'Modelling New'!$N:$N),"")</f>
        <v>70.2</v>
      </c>
      <c r="AS291" s="276"/>
    </row>
    <row r="292" spans="1:45">
      <c r="A292" s="165">
        <f t="shared" si="23"/>
        <v>46035</v>
      </c>
      <c r="B292" s="166">
        <f>YEAR(Table13[[#This Row],[Date]])+IF(MONTH(Table13[[#This Row],[Date]])&gt;=4,1,0)</f>
        <v>2026</v>
      </c>
      <c r="C292" s="167">
        <f>YEAR(Table13[[#This Row],[Date]])</f>
        <v>2026</v>
      </c>
      <c r="D292" s="168">
        <f>Table13[[#This Row],[Date]]-DAY(Table13[[#This Row],[Date]])+1</f>
        <v>46023</v>
      </c>
      <c r="E292" s="167">
        <f t="shared" si="20"/>
        <v>31</v>
      </c>
      <c r="F292" s="169"/>
      <c r="G292" s="170"/>
      <c r="H292" s="170"/>
      <c r="I292" s="170"/>
      <c r="J292" s="170"/>
      <c r="K292" s="171"/>
      <c r="L292" s="170"/>
      <c r="M292" s="170" t="str">
        <f>IFERROR(_xlfn.XLOOKUP($A292,Input_Raw!$A:$A,Input_Raw!BG:BG),"")</f>
        <v/>
      </c>
      <c r="N292" s="170" t="str">
        <f>IFERROR(_xlfn.XLOOKUP($A292,Input_Raw!$A:$A,Input_Raw!BH:BH),"")</f>
        <v/>
      </c>
      <c r="O292" s="173" t="str">
        <f t="shared" si="21"/>
        <v/>
      </c>
      <c r="P292" s="173" t="str">
        <f>IFERROR(1-SUMIF(WTG_BD!$F:$F,$A292,WTG_BD!$AA:$AA)/($AA292+SUMIF(WTG_BD!$F:$F,$A292,WTG_BD!$AA:$AA)),"")</f>
        <v/>
      </c>
      <c r="Q292" s="173" t="str">
        <f>IFERROR(1-SUMIF(IGA_BD!$F:$F,$A292,IGA_BD!$X:$X)/($AA292+SUMIF(IGA_BD!$F:$F,$A292,IGA_BD!$X:$X)),"")</f>
        <v/>
      </c>
      <c r="R292" s="173" t="str">
        <f>IFERROR(1-SUMIF(Grid_BD!$F:$F,$A292,Grid_BD!$Y:$Y)/($AA292+SUMIF(Grid_BD!$F:$F,$A292,Grid_BD!$Y:$Y)),"")</f>
        <v/>
      </c>
      <c r="S292" s="167"/>
      <c r="T292" s="172"/>
      <c r="U292" s="173"/>
      <c r="V292" s="167"/>
      <c r="W292" s="174" t="str">
        <f t="shared" si="22"/>
        <v/>
      </c>
      <c r="X292" s="167" t="str">
        <f>IFERROR(_xlfn.XLOOKUP($A292,Input_Raw!$A:$A,Input_Raw!$BF:$BF),"")</f>
        <v/>
      </c>
      <c r="Y292" s="167" t="str">
        <f>IFERROR(_xlfn.XLOOKUP($A292,Input_Raw!$A:$A,Input_Raw!BJ:BJ),"")</f>
        <v/>
      </c>
      <c r="Z292" s="167" t="str">
        <f>IFERROR(_xlfn.XLOOKUP($A292,Input_Raw!$A:$A,Input_Raw!BK:BK),"")</f>
        <v/>
      </c>
      <c r="AA292" s="167" t="str">
        <f>IFERROR(_xlfn.XLOOKUP($A292,Input_Raw!$A:$A,Input_Raw!BL:BL),"")</f>
        <v/>
      </c>
      <c r="AB292" s="167" t="str">
        <f>IFERROR(_xlfn.XLOOKUP($A292,Input_Raw!$A:$A,Input_Raw!$BO:$BO),"")</f>
        <v/>
      </c>
      <c r="AC292" s="176">
        <f>IFERROR(_xlfn.XLOOKUP($D292,'Modelling New'!$D:$D,'Modelling New'!$J:$J),"")</f>
        <v>5.57</v>
      </c>
      <c r="AD292" s="166">
        <f>IFERROR(_xlfn.XLOOKUP($D292,'Modelling New'!$D:$D,'Modelling New'!$T:$T)*1000,"")</f>
        <v>613380.19779310341</v>
      </c>
      <c r="AE292" s="174"/>
      <c r="AF292" s="174">
        <f>IFERROR(_xlfn.XLOOKUP($D292,'Modelling New'!$D:$D,'Modelling New'!$W:$W),"")</f>
        <v>0.36406706896551722</v>
      </c>
      <c r="AG292" s="174">
        <f>IFERROR(_xlfn.XLOOKUP($D292,'Modelling New'!$D:$D,'Modelling New'!$AE:$AE),"")</f>
        <v>0.96029999999999993</v>
      </c>
      <c r="AH292" s="174">
        <f>IFERROR(_xlfn.XLOOKUP($D292,'Modelling New'!$D:$D,'Modelling New'!$AF:$AF),"")</f>
        <v>0.995</v>
      </c>
      <c r="AI292" s="177" t="str">
        <f>IFERROR(_xlfn.XLOOKUP($A292,Input_Raw!$A:$A,Input_Raw!$BQ:$BQ),"")</f>
        <v/>
      </c>
      <c r="AJ292" s="167"/>
      <c r="AK292" s="167"/>
      <c r="AL292" s="167"/>
      <c r="AM292" s="167"/>
      <c r="AN292" s="175" t="str">
        <f>IFERROR(_xlfn.XLOOKUP($A292,Input_Raw!$A:$A,Input_Raw!$BN:$BN),"")</f>
        <v/>
      </c>
      <c r="AO292" s="174" t="str">
        <f>IFERROR((_xlfn.XLOOKUP($A292,'WTG Reactive Power'!$A:$A,'WTG Reactive Power'!$AE:$AE))/Table13[[#This Row],[Gen_Exp (kWh)]],"")</f>
        <v/>
      </c>
      <c r="AP292" s="174">
        <f>IFERROR(_xlfn.XLOOKUP($D292,'Modelling New'!$D:$D,'Modelling New'!$AK:$AK),"")</f>
        <v>0.05</v>
      </c>
      <c r="AQ292" s="174">
        <f>IFERROR(_xlfn.XLOOKUP($D292,'Modelling New'!$D:$D,'Modelling New'!$AL:$AL),"")</f>
        <v>0.05</v>
      </c>
      <c r="AR292" s="276">
        <f>IFERROR(_xlfn.XLOOKUP($D292,'Modelling New'!$D:$D,'Modelling New'!$N:$N),"")</f>
        <v>70.2</v>
      </c>
      <c r="AS292" s="276"/>
    </row>
    <row r="293" spans="1:45">
      <c r="A293" s="165">
        <f t="shared" si="23"/>
        <v>46036</v>
      </c>
      <c r="B293" s="166">
        <f>YEAR(Table13[[#This Row],[Date]])+IF(MONTH(Table13[[#This Row],[Date]])&gt;=4,1,0)</f>
        <v>2026</v>
      </c>
      <c r="C293" s="167">
        <f>YEAR(Table13[[#This Row],[Date]])</f>
        <v>2026</v>
      </c>
      <c r="D293" s="168">
        <f>Table13[[#This Row],[Date]]-DAY(Table13[[#This Row],[Date]])+1</f>
        <v>46023</v>
      </c>
      <c r="E293" s="167">
        <f t="shared" si="20"/>
        <v>31</v>
      </c>
      <c r="F293" s="169"/>
      <c r="G293" s="176"/>
      <c r="H293" s="176"/>
      <c r="I293" s="176"/>
      <c r="J293" s="176"/>
      <c r="K293" s="171"/>
      <c r="L293" s="170"/>
      <c r="M293" s="170" t="str">
        <f>IFERROR(_xlfn.XLOOKUP($A293,Input_Raw!$A:$A,Input_Raw!BG:BG),"")</f>
        <v/>
      </c>
      <c r="N293" s="170" t="str">
        <f>IFERROR(_xlfn.XLOOKUP($A293,Input_Raw!$A:$A,Input_Raw!BH:BH),"")</f>
        <v/>
      </c>
      <c r="O293" s="173" t="str">
        <f t="shared" si="21"/>
        <v/>
      </c>
      <c r="P293" s="173" t="str">
        <f>IFERROR(1-SUMIF(WTG_BD!$F:$F,$A293,WTG_BD!$AA:$AA)/($AA293+SUMIF(WTG_BD!$F:$F,$A293,WTG_BD!$AA:$AA)),"")</f>
        <v/>
      </c>
      <c r="Q293" s="173" t="str">
        <f>IFERROR(1-SUMIF(IGA_BD!$F:$F,$A293,IGA_BD!$X:$X)/($AA293+SUMIF(IGA_BD!$F:$F,$A293,IGA_BD!$X:$X)),"")</f>
        <v/>
      </c>
      <c r="R293" s="173" t="str">
        <f>IFERROR(1-SUMIF(Grid_BD!$F:$F,$A293,Grid_BD!$Y:$Y)/($AA293+SUMIF(Grid_BD!$F:$F,$A293,Grid_BD!$Y:$Y)),"")</f>
        <v/>
      </c>
      <c r="S293" s="167"/>
      <c r="T293" s="172"/>
      <c r="U293" s="173"/>
      <c r="V293" s="167"/>
      <c r="W293" s="174" t="str">
        <f t="shared" si="22"/>
        <v/>
      </c>
      <c r="X293" s="167" t="str">
        <f>IFERROR(_xlfn.XLOOKUP($A293,Input_Raw!$A:$A,Input_Raw!$BF:$BF),"")</f>
        <v/>
      </c>
      <c r="Y293" s="167" t="str">
        <f>IFERROR(_xlfn.XLOOKUP($A293,Input_Raw!$A:$A,Input_Raw!BJ:BJ),"")</f>
        <v/>
      </c>
      <c r="Z293" s="167" t="str">
        <f>IFERROR(_xlfn.XLOOKUP($A293,Input_Raw!$A:$A,Input_Raw!BK:BK),"")</f>
        <v/>
      </c>
      <c r="AA293" s="167" t="str">
        <f>IFERROR(_xlfn.XLOOKUP($A293,Input_Raw!$A:$A,Input_Raw!BL:BL),"")</f>
        <v/>
      </c>
      <c r="AB293" s="167" t="str">
        <f>IFERROR(_xlfn.XLOOKUP($A293,Input_Raw!$A:$A,Input_Raw!$BO:$BO),"")</f>
        <v/>
      </c>
      <c r="AC293" s="176">
        <f>IFERROR(_xlfn.XLOOKUP($D293,'Modelling New'!$D:$D,'Modelling New'!$J:$J),"")</f>
        <v>5.57</v>
      </c>
      <c r="AD293" s="166">
        <f>IFERROR(_xlfn.XLOOKUP($D293,'Modelling New'!$D:$D,'Modelling New'!$T:$T)*1000,"")</f>
        <v>613380.19779310341</v>
      </c>
      <c r="AE293" s="174"/>
      <c r="AF293" s="174">
        <f>IFERROR(_xlfn.XLOOKUP($D293,'Modelling New'!$D:$D,'Modelling New'!$W:$W),"")</f>
        <v>0.36406706896551722</v>
      </c>
      <c r="AG293" s="174">
        <f>IFERROR(_xlfn.XLOOKUP($D293,'Modelling New'!$D:$D,'Modelling New'!$AE:$AE),"")</f>
        <v>0.96029999999999993</v>
      </c>
      <c r="AH293" s="174">
        <f>IFERROR(_xlfn.XLOOKUP($D293,'Modelling New'!$D:$D,'Modelling New'!$AF:$AF),"")</f>
        <v>0.995</v>
      </c>
      <c r="AI293" s="177" t="str">
        <f>IFERROR(_xlfn.XLOOKUP($A293,Input_Raw!$A:$A,Input_Raw!$BQ:$BQ),"")</f>
        <v/>
      </c>
      <c r="AJ293" s="167"/>
      <c r="AK293" s="167"/>
      <c r="AL293" s="167"/>
      <c r="AM293" s="167"/>
      <c r="AN293" s="175" t="str">
        <f>IFERROR(_xlfn.XLOOKUP($A293,Input_Raw!$A:$A,Input_Raw!$BN:$BN),"")</f>
        <v/>
      </c>
      <c r="AO293" s="174" t="str">
        <f>IFERROR((_xlfn.XLOOKUP($A293,'WTG Reactive Power'!$A:$A,'WTG Reactive Power'!$AE:$AE))/Table13[[#This Row],[Gen_Exp (kWh)]],"")</f>
        <v/>
      </c>
      <c r="AP293" s="174">
        <f>IFERROR(_xlfn.XLOOKUP($D293,'Modelling New'!$D:$D,'Modelling New'!$AK:$AK),"")</f>
        <v>0.05</v>
      </c>
      <c r="AQ293" s="174">
        <f>IFERROR(_xlfn.XLOOKUP($D293,'Modelling New'!$D:$D,'Modelling New'!$AL:$AL),"")</f>
        <v>0.05</v>
      </c>
      <c r="AR293" s="276">
        <f>IFERROR(_xlfn.XLOOKUP($D293,'Modelling New'!$D:$D,'Modelling New'!$N:$N),"")</f>
        <v>70.2</v>
      </c>
      <c r="AS293" s="276"/>
    </row>
    <row r="294" spans="1:45">
      <c r="A294" s="165">
        <f t="shared" si="23"/>
        <v>46037</v>
      </c>
      <c r="B294" s="166">
        <f>YEAR(Table13[[#This Row],[Date]])+IF(MONTH(Table13[[#This Row],[Date]])&gt;=4,1,0)</f>
        <v>2026</v>
      </c>
      <c r="C294" s="167">
        <f>YEAR(Table13[[#This Row],[Date]])</f>
        <v>2026</v>
      </c>
      <c r="D294" s="168">
        <f>Table13[[#This Row],[Date]]-DAY(Table13[[#This Row],[Date]])+1</f>
        <v>46023</v>
      </c>
      <c r="E294" s="167">
        <f t="shared" si="20"/>
        <v>31</v>
      </c>
      <c r="F294" s="169"/>
      <c r="G294" s="170"/>
      <c r="H294" s="170"/>
      <c r="I294" s="170"/>
      <c r="J294" s="170"/>
      <c r="K294" s="171"/>
      <c r="L294" s="170"/>
      <c r="M294" s="170" t="str">
        <f>IFERROR(_xlfn.XLOOKUP($A294,Input_Raw!$A:$A,Input_Raw!BG:BG),"")</f>
        <v/>
      </c>
      <c r="N294" s="170" t="str">
        <f>IFERROR(_xlfn.XLOOKUP($A294,Input_Raw!$A:$A,Input_Raw!BH:BH),"")</f>
        <v/>
      </c>
      <c r="O294" s="173" t="str">
        <f t="shared" si="21"/>
        <v/>
      </c>
      <c r="P294" s="173" t="str">
        <f>IFERROR(1-SUMIF(WTG_BD!$F:$F,$A294,WTG_BD!$AA:$AA)/($AA294+SUMIF(WTG_BD!$F:$F,$A294,WTG_BD!$AA:$AA)),"")</f>
        <v/>
      </c>
      <c r="Q294" s="173" t="str">
        <f>IFERROR(1-SUMIF(IGA_BD!$F:$F,$A294,IGA_BD!$X:$X)/($AA294+SUMIF(IGA_BD!$F:$F,$A294,IGA_BD!$X:$X)),"")</f>
        <v/>
      </c>
      <c r="R294" s="173" t="str">
        <f>IFERROR(1-SUMIF(Grid_BD!$F:$F,$A294,Grid_BD!$Y:$Y)/($AA294+SUMIF(Grid_BD!$F:$F,$A294,Grid_BD!$Y:$Y)),"")</f>
        <v/>
      </c>
      <c r="S294" s="167"/>
      <c r="T294" s="172"/>
      <c r="U294" s="173"/>
      <c r="V294" s="167"/>
      <c r="W294" s="174" t="str">
        <f t="shared" si="22"/>
        <v/>
      </c>
      <c r="X294" s="167" t="str">
        <f>IFERROR(_xlfn.XLOOKUP($A294,Input_Raw!$A:$A,Input_Raw!$BF:$BF),"")</f>
        <v/>
      </c>
      <c r="Y294" s="167" t="str">
        <f>IFERROR(_xlfn.XLOOKUP($A294,Input_Raw!$A:$A,Input_Raw!BJ:BJ),"")</f>
        <v/>
      </c>
      <c r="Z294" s="167" t="str">
        <f>IFERROR(_xlfn.XLOOKUP($A294,Input_Raw!$A:$A,Input_Raw!BK:BK),"")</f>
        <v/>
      </c>
      <c r="AA294" s="167" t="str">
        <f>IFERROR(_xlfn.XLOOKUP($A294,Input_Raw!$A:$A,Input_Raw!BL:BL),"")</f>
        <v/>
      </c>
      <c r="AB294" s="167" t="str">
        <f>IFERROR(_xlfn.XLOOKUP($A294,Input_Raw!$A:$A,Input_Raw!$BO:$BO),"")</f>
        <v/>
      </c>
      <c r="AC294" s="176">
        <f>IFERROR(_xlfn.XLOOKUP($D294,'Modelling New'!$D:$D,'Modelling New'!$J:$J),"")</f>
        <v>5.57</v>
      </c>
      <c r="AD294" s="166">
        <f>IFERROR(_xlfn.XLOOKUP($D294,'Modelling New'!$D:$D,'Modelling New'!$T:$T)*1000,"")</f>
        <v>613380.19779310341</v>
      </c>
      <c r="AE294" s="174"/>
      <c r="AF294" s="174">
        <f>IFERROR(_xlfn.XLOOKUP($D294,'Modelling New'!$D:$D,'Modelling New'!$W:$W),"")</f>
        <v>0.36406706896551722</v>
      </c>
      <c r="AG294" s="174">
        <f>IFERROR(_xlfn.XLOOKUP($D294,'Modelling New'!$D:$D,'Modelling New'!$AE:$AE),"")</f>
        <v>0.96029999999999993</v>
      </c>
      <c r="AH294" s="174">
        <f>IFERROR(_xlfn.XLOOKUP($D294,'Modelling New'!$D:$D,'Modelling New'!$AF:$AF),"")</f>
        <v>0.995</v>
      </c>
      <c r="AI294" s="177" t="str">
        <f>IFERROR(_xlfn.XLOOKUP($A294,Input_Raw!$A:$A,Input_Raw!$BQ:$BQ),"")</f>
        <v/>
      </c>
      <c r="AJ294" s="167"/>
      <c r="AK294" s="167"/>
      <c r="AL294" s="167"/>
      <c r="AM294" s="167"/>
      <c r="AN294" s="175" t="str">
        <f>IFERROR(_xlfn.XLOOKUP($A294,Input_Raw!$A:$A,Input_Raw!$BN:$BN),"")</f>
        <v/>
      </c>
      <c r="AO294" s="174" t="str">
        <f>IFERROR((_xlfn.XLOOKUP($A294,'WTG Reactive Power'!$A:$A,'WTG Reactive Power'!$AE:$AE))/Table13[[#This Row],[Gen_Exp (kWh)]],"")</f>
        <v/>
      </c>
      <c r="AP294" s="174">
        <f>IFERROR(_xlfn.XLOOKUP($D294,'Modelling New'!$D:$D,'Modelling New'!$AK:$AK),"")</f>
        <v>0.05</v>
      </c>
      <c r="AQ294" s="174">
        <f>IFERROR(_xlfn.XLOOKUP($D294,'Modelling New'!$D:$D,'Modelling New'!$AL:$AL),"")</f>
        <v>0.05</v>
      </c>
      <c r="AR294" s="276">
        <f>IFERROR(_xlfn.XLOOKUP($D294,'Modelling New'!$D:$D,'Modelling New'!$N:$N),"")</f>
        <v>70.2</v>
      </c>
      <c r="AS294" s="276"/>
    </row>
    <row r="295" spans="1:45">
      <c r="A295" s="165">
        <f t="shared" si="23"/>
        <v>46038</v>
      </c>
      <c r="B295" s="166">
        <f>YEAR(Table13[[#This Row],[Date]])+IF(MONTH(Table13[[#This Row],[Date]])&gt;=4,1,0)</f>
        <v>2026</v>
      </c>
      <c r="C295" s="167">
        <f>YEAR(Table13[[#This Row],[Date]])</f>
        <v>2026</v>
      </c>
      <c r="D295" s="168">
        <f>Table13[[#This Row],[Date]]-DAY(Table13[[#This Row],[Date]])+1</f>
        <v>46023</v>
      </c>
      <c r="E295" s="167">
        <f t="shared" si="20"/>
        <v>31</v>
      </c>
      <c r="F295" s="169"/>
      <c r="G295" s="176"/>
      <c r="H295" s="176"/>
      <c r="I295" s="176"/>
      <c r="J295" s="176"/>
      <c r="K295" s="171"/>
      <c r="L295" s="170"/>
      <c r="M295" s="170" t="str">
        <f>IFERROR(_xlfn.XLOOKUP($A295,Input_Raw!$A:$A,Input_Raw!BG:BG),"")</f>
        <v/>
      </c>
      <c r="N295" s="170" t="str">
        <f>IFERROR(_xlfn.XLOOKUP($A295,Input_Raw!$A:$A,Input_Raw!BH:BH),"")</f>
        <v/>
      </c>
      <c r="O295" s="173" t="str">
        <f t="shared" si="21"/>
        <v/>
      </c>
      <c r="P295" s="173" t="str">
        <f>IFERROR(1-SUMIF(WTG_BD!$F:$F,$A295,WTG_BD!$AA:$AA)/($AA295+SUMIF(WTG_BD!$F:$F,$A295,WTG_BD!$AA:$AA)),"")</f>
        <v/>
      </c>
      <c r="Q295" s="173" t="str">
        <f>IFERROR(1-SUMIF(IGA_BD!$F:$F,$A295,IGA_BD!$X:$X)/($AA295+SUMIF(IGA_BD!$F:$F,$A295,IGA_BD!$X:$X)),"")</f>
        <v/>
      </c>
      <c r="R295" s="173" t="str">
        <f>IFERROR(1-SUMIF(Grid_BD!$F:$F,$A295,Grid_BD!$Y:$Y)/($AA295+SUMIF(Grid_BD!$F:$F,$A295,Grid_BD!$Y:$Y)),"")</f>
        <v/>
      </c>
      <c r="S295" s="167"/>
      <c r="T295" s="172"/>
      <c r="U295" s="173"/>
      <c r="V295" s="167"/>
      <c r="W295" s="174" t="str">
        <f t="shared" si="22"/>
        <v/>
      </c>
      <c r="X295" s="167" t="str">
        <f>IFERROR(_xlfn.XLOOKUP($A295,Input_Raw!$A:$A,Input_Raw!$BF:$BF),"")</f>
        <v/>
      </c>
      <c r="Y295" s="167" t="str">
        <f>IFERROR(_xlfn.XLOOKUP($A295,Input_Raw!$A:$A,Input_Raw!BJ:BJ),"")</f>
        <v/>
      </c>
      <c r="Z295" s="167" t="str">
        <f>IFERROR(_xlfn.XLOOKUP($A295,Input_Raw!$A:$A,Input_Raw!BK:BK),"")</f>
        <v/>
      </c>
      <c r="AA295" s="167" t="str">
        <f>IFERROR(_xlfn.XLOOKUP($A295,Input_Raw!$A:$A,Input_Raw!BL:BL),"")</f>
        <v/>
      </c>
      <c r="AB295" s="167" t="str">
        <f>IFERROR(_xlfn.XLOOKUP($A295,Input_Raw!$A:$A,Input_Raw!$BO:$BO),"")</f>
        <v/>
      </c>
      <c r="AC295" s="176">
        <f>IFERROR(_xlfn.XLOOKUP($D295,'Modelling New'!$D:$D,'Modelling New'!$J:$J),"")</f>
        <v>5.57</v>
      </c>
      <c r="AD295" s="166">
        <f>IFERROR(_xlfn.XLOOKUP($D295,'Modelling New'!$D:$D,'Modelling New'!$T:$T)*1000,"")</f>
        <v>613380.19779310341</v>
      </c>
      <c r="AE295" s="174"/>
      <c r="AF295" s="174">
        <f>IFERROR(_xlfn.XLOOKUP($D295,'Modelling New'!$D:$D,'Modelling New'!$W:$W),"")</f>
        <v>0.36406706896551722</v>
      </c>
      <c r="AG295" s="174">
        <f>IFERROR(_xlfn.XLOOKUP($D295,'Modelling New'!$D:$D,'Modelling New'!$AE:$AE),"")</f>
        <v>0.96029999999999993</v>
      </c>
      <c r="AH295" s="174">
        <f>IFERROR(_xlfn.XLOOKUP($D295,'Modelling New'!$D:$D,'Modelling New'!$AF:$AF),"")</f>
        <v>0.995</v>
      </c>
      <c r="AI295" s="177" t="str">
        <f>IFERROR(_xlfn.XLOOKUP($A295,Input_Raw!$A:$A,Input_Raw!$BQ:$BQ),"")</f>
        <v/>
      </c>
      <c r="AJ295" s="167"/>
      <c r="AK295" s="167"/>
      <c r="AL295" s="167"/>
      <c r="AM295" s="167"/>
      <c r="AN295" s="175" t="str">
        <f>IFERROR(_xlfn.XLOOKUP($A295,Input_Raw!$A:$A,Input_Raw!$BN:$BN),"")</f>
        <v/>
      </c>
      <c r="AO295" s="174" t="str">
        <f>IFERROR((_xlfn.XLOOKUP($A295,'WTG Reactive Power'!$A:$A,'WTG Reactive Power'!$AE:$AE))/Table13[[#This Row],[Gen_Exp (kWh)]],"")</f>
        <v/>
      </c>
      <c r="AP295" s="174">
        <f>IFERROR(_xlfn.XLOOKUP($D295,'Modelling New'!$D:$D,'Modelling New'!$AK:$AK),"")</f>
        <v>0.05</v>
      </c>
      <c r="AQ295" s="174">
        <f>IFERROR(_xlfn.XLOOKUP($D295,'Modelling New'!$D:$D,'Modelling New'!$AL:$AL),"")</f>
        <v>0.05</v>
      </c>
      <c r="AR295" s="276">
        <f>IFERROR(_xlfn.XLOOKUP($D295,'Modelling New'!$D:$D,'Modelling New'!$N:$N),"")</f>
        <v>70.2</v>
      </c>
      <c r="AS295" s="276"/>
    </row>
    <row r="296" spans="1:45">
      <c r="A296" s="165">
        <f t="shared" si="23"/>
        <v>46039</v>
      </c>
      <c r="B296" s="166">
        <f>YEAR(Table13[[#This Row],[Date]])+IF(MONTH(Table13[[#This Row],[Date]])&gt;=4,1,0)</f>
        <v>2026</v>
      </c>
      <c r="C296" s="167">
        <f>YEAR(Table13[[#This Row],[Date]])</f>
        <v>2026</v>
      </c>
      <c r="D296" s="168">
        <f>Table13[[#This Row],[Date]]-DAY(Table13[[#This Row],[Date]])+1</f>
        <v>46023</v>
      </c>
      <c r="E296" s="167">
        <f t="shared" si="20"/>
        <v>31</v>
      </c>
      <c r="F296" s="169"/>
      <c r="G296" s="170"/>
      <c r="H296" s="170"/>
      <c r="I296" s="170"/>
      <c r="J296" s="170"/>
      <c r="K296" s="171"/>
      <c r="L296" s="170"/>
      <c r="M296" s="170" t="str">
        <f>IFERROR(_xlfn.XLOOKUP($A296,Input_Raw!$A:$A,Input_Raw!BG:BG),"")</f>
        <v/>
      </c>
      <c r="N296" s="170" t="str">
        <f>IFERROR(_xlfn.XLOOKUP($A296,Input_Raw!$A:$A,Input_Raw!BH:BH),"")</f>
        <v/>
      </c>
      <c r="O296" s="173" t="str">
        <f t="shared" si="21"/>
        <v/>
      </c>
      <c r="P296" s="173" t="str">
        <f>IFERROR(1-SUMIF(WTG_BD!$F:$F,$A296,WTG_BD!$AA:$AA)/($AA296+SUMIF(WTG_BD!$F:$F,$A296,WTG_BD!$AA:$AA)),"")</f>
        <v/>
      </c>
      <c r="Q296" s="173" t="str">
        <f>IFERROR(1-SUMIF(IGA_BD!$F:$F,$A296,IGA_BD!$X:$X)/($AA296+SUMIF(IGA_BD!$F:$F,$A296,IGA_BD!$X:$X)),"")</f>
        <v/>
      </c>
      <c r="R296" s="173" t="str">
        <f>IFERROR(1-SUMIF(Grid_BD!$F:$F,$A296,Grid_BD!$Y:$Y)/($AA296+SUMIF(Grid_BD!$F:$F,$A296,Grid_BD!$Y:$Y)),"")</f>
        <v/>
      </c>
      <c r="S296" s="167"/>
      <c r="T296" s="172"/>
      <c r="U296" s="173"/>
      <c r="V296" s="167"/>
      <c r="W296" s="174" t="str">
        <f t="shared" si="22"/>
        <v/>
      </c>
      <c r="X296" s="167" t="str">
        <f>IFERROR(_xlfn.XLOOKUP($A296,Input_Raw!$A:$A,Input_Raw!$BF:$BF),"")</f>
        <v/>
      </c>
      <c r="Y296" s="167" t="str">
        <f>IFERROR(_xlfn.XLOOKUP($A296,Input_Raw!$A:$A,Input_Raw!BJ:BJ),"")</f>
        <v/>
      </c>
      <c r="Z296" s="167" t="str">
        <f>IFERROR(_xlfn.XLOOKUP($A296,Input_Raw!$A:$A,Input_Raw!BK:BK),"")</f>
        <v/>
      </c>
      <c r="AA296" s="167" t="str">
        <f>IFERROR(_xlfn.XLOOKUP($A296,Input_Raw!$A:$A,Input_Raw!BL:BL),"")</f>
        <v/>
      </c>
      <c r="AB296" s="167" t="str">
        <f>IFERROR(_xlfn.XLOOKUP($A296,Input_Raw!$A:$A,Input_Raw!$BO:$BO),"")</f>
        <v/>
      </c>
      <c r="AC296" s="176">
        <f>IFERROR(_xlfn.XLOOKUP($D296,'Modelling New'!$D:$D,'Modelling New'!$J:$J),"")</f>
        <v>5.57</v>
      </c>
      <c r="AD296" s="166">
        <f>IFERROR(_xlfn.XLOOKUP($D296,'Modelling New'!$D:$D,'Modelling New'!$T:$T)*1000,"")</f>
        <v>613380.19779310341</v>
      </c>
      <c r="AE296" s="174"/>
      <c r="AF296" s="174">
        <f>IFERROR(_xlfn.XLOOKUP($D296,'Modelling New'!$D:$D,'Modelling New'!$W:$W),"")</f>
        <v>0.36406706896551722</v>
      </c>
      <c r="AG296" s="174">
        <f>IFERROR(_xlfn.XLOOKUP($D296,'Modelling New'!$D:$D,'Modelling New'!$AE:$AE),"")</f>
        <v>0.96029999999999993</v>
      </c>
      <c r="AH296" s="174">
        <f>IFERROR(_xlfn.XLOOKUP($D296,'Modelling New'!$D:$D,'Modelling New'!$AF:$AF),"")</f>
        <v>0.995</v>
      </c>
      <c r="AI296" s="177" t="str">
        <f>IFERROR(_xlfn.XLOOKUP($A296,Input_Raw!$A:$A,Input_Raw!$BQ:$BQ),"")</f>
        <v/>
      </c>
      <c r="AJ296" s="167"/>
      <c r="AK296" s="167"/>
      <c r="AL296" s="167"/>
      <c r="AM296" s="167"/>
      <c r="AN296" s="175" t="str">
        <f>IFERROR(_xlfn.XLOOKUP($A296,Input_Raw!$A:$A,Input_Raw!$BN:$BN),"")</f>
        <v/>
      </c>
      <c r="AO296" s="174" t="str">
        <f>IFERROR((_xlfn.XLOOKUP($A296,'WTG Reactive Power'!$A:$A,'WTG Reactive Power'!$AE:$AE))/Table13[[#This Row],[Gen_Exp (kWh)]],"")</f>
        <v/>
      </c>
      <c r="AP296" s="174">
        <f>IFERROR(_xlfn.XLOOKUP($D296,'Modelling New'!$D:$D,'Modelling New'!$AK:$AK),"")</f>
        <v>0.05</v>
      </c>
      <c r="AQ296" s="174">
        <f>IFERROR(_xlfn.XLOOKUP($D296,'Modelling New'!$D:$D,'Modelling New'!$AL:$AL),"")</f>
        <v>0.05</v>
      </c>
      <c r="AR296" s="276">
        <f>IFERROR(_xlfn.XLOOKUP($D296,'Modelling New'!$D:$D,'Modelling New'!$N:$N),"")</f>
        <v>70.2</v>
      </c>
      <c r="AS296" s="276"/>
    </row>
    <row r="297" spans="1:45">
      <c r="A297" s="165">
        <f t="shared" si="23"/>
        <v>46040</v>
      </c>
      <c r="B297" s="166">
        <f>YEAR(Table13[[#This Row],[Date]])+IF(MONTH(Table13[[#This Row],[Date]])&gt;=4,1,0)</f>
        <v>2026</v>
      </c>
      <c r="C297" s="167">
        <f>YEAR(Table13[[#This Row],[Date]])</f>
        <v>2026</v>
      </c>
      <c r="D297" s="168">
        <f>Table13[[#This Row],[Date]]-DAY(Table13[[#This Row],[Date]])+1</f>
        <v>46023</v>
      </c>
      <c r="E297" s="167">
        <f t="shared" si="20"/>
        <v>31</v>
      </c>
      <c r="F297" s="169"/>
      <c r="G297" s="176"/>
      <c r="H297" s="176"/>
      <c r="I297" s="176"/>
      <c r="J297" s="176"/>
      <c r="K297" s="171"/>
      <c r="L297" s="170"/>
      <c r="M297" s="170" t="str">
        <f>IFERROR(_xlfn.XLOOKUP($A297,Input_Raw!$A:$A,Input_Raw!BG:BG),"")</f>
        <v/>
      </c>
      <c r="N297" s="170" t="str">
        <f>IFERROR(_xlfn.XLOOKUP($A297,Input_Raw!$A:$A,Input_Raw!BH:BH),"")</f>
        <v/>
      </c>
      <c r="O297" s="173" t="str">
        <f t="shared" si="21"/>
        <v/>
      </c>
      <c r="P297" s="173" t="str">
        <f>IFERROR(1-SUMIF(WTG_BD!$F:$F,$A297,WTG_BD!$AA:$AA)/($AA297+SUMIF(WTG_BD!$F:$F,$A297,WTG_BD!$AA:$AA)),"")</f>
        <v/>
      </c>
      <c r="Q297" s="173" t="str">
        <f>IFERROR(1-SUMIF(IGA_BD!$F:$F,$A297,IGA_BD!$X:$X)/($AA297+SUMIF(IGA_BD!$F:$F,$A297,IGA_BD!$X:$X)),"")</f>
        <v/>
      </c>
      <c r="R297" s="173" t="str">
        <f>IFERROR(1-SUMIF(Grid_BD!$F:$F,$A297,Grid_BD!$Y:$Y)/($AA297+SUMIF(Grid_BD!$F:$F,$A297,Grid_BD!$Y:$Y)),"")</f>
        <v/>
      </c>
      <c r="S297" s="167"/>
      <c r="T297" s="172"/>
      <c r="U297" s="173"/>
      <c r="V297" s="167"/>
      <c r="W297" s="174" t="str">
        <f t="shared" si="22"/>
        <v/>
      </c>
      <c r="X297" s="167" t="str">
        <f>IFERROR(_xlfn.XLOOKUP($A297,Input_Raw!$A:$A,Input_Raw!$BF:$BF),"")</f>
        <v/>
      </c>
      <c r="Y297" s="167" t="str">
        <f>IFERROR(_xlfn.XLOOKUP($A297,Input_Raw!$A:$A,Input_Raw!BJ:BJ),"")</f>
        <v/>
      </c>
      <c r="Z297" s="167" t="str">
        <f>IFERROR(_xlfn.XLOOKUP($A297,Input_Raw!$A:$A,Input_Raw!BK:BK),"")</f>
        <v/>
      </c>
      <c r="AA297" s="167" t="str">
        <f>IFERROR(_xlfn.XLOOKUP($A297,Input_Raw!$A:$A,Input_Raw!BL:BL),"")</f>
        <v/>
      </c>
      <c r="AB297" s="167" t="str">
        <f>IFERROR(_xlfn.XLOOKUP($A297,Input_Raw!$A:$A,Input_Raw!$BO:$BO),"")</f>
        <v/>
      </c>
      <c r="AC297" s="176">
        <f>IFERROR(_xlfn.XLOOKUP($D297,'Modelling New'!$D:$D,'Modelling New'!$J:$J),"")</f>
        <v>5.57</v>
      </c>
      <c r="AD297" s="166">
        <f>IFERROR(_xlfn.XLOOKUP($D297,'Modelling New'!$D:$D,'Modelling New'!$T:$T)*1000,"")</f>
        <v>613380.19779310341</v>
      </c>
      <c r="AE297" s="174"/>
      <c r="AF297" s="174">
        <f>IFERROR(_xlfn.XLOOKUP($D297,'Modelling New'!$D:$D,'Modelling New'!$W:$W),"")</f>
        <v>0.36406706896551722</v>
      </c>
      <c r="AG297" s="174">
        <f>IFERROR(_xlfn.XLOOKUP($D297,'Modelling New'!$D:$D,'Modelling New'!$AE:$AE),"")</f>
        <v>0.96029999999999993</v>
      </c>
      <c r="AH297" s="174">
        <f>IFERROR(_xlfn.XLOOKUP($D297,'Modelling New'!$D:$D,'Modelling New'!$AF:$AF),"")</f>
        <v>0.995</v>
      </c>
      <c r="AI297" s="177" t="str">
        <f>IFERROR(_xlfn.XLOOKUP($A297,Input_Raw!$A:$A,Input_Raw!$BQ:$BQ),"")</f>
        <v/>
      </c>
      <c r="AJ297" s="167"/>
      <c r="AK297" s="167"/>
      <c r="AL297" s="167"/>
      <c r="AM297" s="167"/>
      <c r="AN297" s="175" t="str">
        <f>IFERROR(_xlfn.XLOOKUP($A297,Input_Raw!$A:$A,Input_Raw!$BN:$BN),"")</f>
        <v/>
      </c>
      <c r="AO297" s="174" t="str">
        <f>IFERROR((_xlfn.XLOOKUP($A297,'WTG Reactive Power'!$A:$A,'WTG Reactive Power'!$AE:$AE))/Table13[[#This Row],[Gen_Exp (kWh)]],"")</f>
        <v/>
      </c>
      <c r="AP297" s="174">
        <f>IFERROR(_xlfn.XLOOKUP($D297,'Modelling New'!$D:$D,'Modelling New'!$AK:$AK),"")</f>
        <v>0.05</v>
      </c>
      <c r="AQ297" s="174">
        <f>IFERROR(_xlfn.XLOOKUP($D297,'Modelling New'!$D:$D,'Modelling New'!$AL:$AL),"")</f>
        <v>0.05</v>
      </c>
      <c r="AR297" s="276">
        <f>IFERROR(_xlfn.XLOOKUP($D297,'Modelling New'!$D:$D,'Modelling New'!$N:$N),"")</f>
        <v>70.2</v>
      </c>
      <c r="AS297" s="276"/>
    </row>
    <row r="298" spans="1:45">
      <c r="A298" s="165">
        <f t="shared" si="23"/>
        <v>46041</v>
      </c>
      <c r="B298" s="166">
        <f>YEAR(Table13[[#This Row],[Date]])+IF(MONTH(Table13[[#This Row],[Date]])&gt;=4,1,0)</f>
        <v>2026</v>
      </c>
      <c r="C298" s="167">
        <f>YEAR(Table13[[#This Row],[Date]])</f>
        <v>2026</v>
      </c>
      <c r="D298" s="168">
        <f>Table13[[#This Row],[Date]]-DAY(Table13[[#This Row],[Date]])+1</f>
        <v>46023</v>
      </c>
      <c r="E298" s="167">
        <f t="shared" si="20"/>
        <v>31</v>
      </c>
      <c r="F298" s="169"/>
      <c r="G298" s="170"/>
      <c r="H298" s="170"/>
      <c r="I298" s="170"/>
      <c r="J298" s="170"/>
      <c r="K298" s="171"/>
      <c r="L298" s="170"/>
      <c r="M298" s="170" t="str">
        <f>IFERROR(_xlfn.XLOOKUP($A298,Input_Raw!$A:$A,Input_Raw!BG:BG),"")</f>
        <v/>
      </c>
      <c r="N298" s="170" t="str">
        <f>IFERROR(_xlfn.XLOOKUP($A298,Input_Raw!$A:$A,Input_Raw!BH:BH),"")</f>
        <v/>
      </c>
      <c r="O298" s="173" t="str">
        <f t="shared" si="21"/>
        <v/>
      </c>
      <c r="P298" s="173" t="str">
        <f>IFERROR(1-SUMIF(WTG_BD!$F:$F,$A298,WTG_BD!$AA:$AA)/($AA298+SUMIF(WTG_BD!$F:$F,$A298,WTG_BD!$AA:$AA)),"")</f>
        <v/>
      </c>
      <c r="Q298" s="173" t="str">
        <f>IFERROR(1-SUMIF(IGA_BD!$F:$F,$A298,IGA_BD!$X:$X)/($AA298+SUMIF(IGA_BD!$F:$F,$A298,IGA_BD!$X:$X)),"")</f>
        <v/>
      </c>
      <c r="R298" s="173" t="str">
        <f>IFERROR(1-SUMIF(Grid_BD!$F:$F,$A298,Grid_BD!$Y:$Y)/($AA298+SUMIF(Grid_BD!$F:$F,$A298,Grid_BD!$Y:$Y)),"")</f>
        <v/>
      </c>
      <c r="S298" s="167"/>
      <c r="T298" s="172"/>
      <c r="U298" s="173"/>
      <c r="V298" s="167"/>
      <c r="W298" s="174" t="str">
        <f t="shared" si="22"/>
        <v/>
      </c>
      <c r="X298" s="167" t="str">
        <f>IFERROR(_xlfn.XLOOKUP($A298,Input_Raw!$A:$A,Input_Raw!$BF:$BF),"")</f>
        <v/>
      </c>
      <c r="Y298" s="167" t="str">
        <f>IFERROR(_xlfn.XLOOKUP($A298,Input_Raw!$A:$A,Input_Raw!BJ:BJ),"")</f>
        <v/>
      </c>
      <c r="Z298" s="167" t="str">
        <f>IFERROR(_xlfn.XLOOKUP($A298,Input_Raw!$A:$A,Input_Raw!BK:BK),"")</f>
        <v/>
      </c>
      <c r="AA298" s="167" t="str">
        <f>IFERROR(_xlfn.XLOOKUP($A298,Input_Raw!$A:$A,Input_Raw!BL:BL),"")</f>
        <v/>
      </c>
      <c r="AB298" s="167" t="str">
        <f>IFERROR(_xlfn.XLOOKUP($A298,Input_Raw!$A:$A,Input_Raw!$BO:$BO),"")</f>
        <v/>
      </c>
      <c r="AC298" s="176">
        <f>IFERROR(_xlfn.XLOOKUP($D298,'Modelling New'!$D:$D,'Modelling New'!$J:$J),"")</f>
        <v>5.57</v>
      </c>
      <c r="AD298" s="166">
        <f>IFERROR(_xlfn.XLOOKUP($D298,'Modelling New'!$D:$D,'Modelling New'!$T:$T)*1000,"")</f>
        <v>613380.19779310341</v>
      </c>
      <c r="AE298" s="174"/>
      <c r="AF298" s="174">
        <f>IFERROR(_xlfn.XLOOKUP($D298,'Modelling New'!$D:$D,'Modelling New'!$W:$W),"")</f>
        <v>0.36406706896551722</v>
      </c>
      <c r="AG298" s="174">
        <f>IFERROR(_xlfn.XLOOKUP($D298,'Modelling New'!$D:$D,'Modelling New'!$AE:$AE),"")</f>
        <v>0.96029999999999993</v>
      </c>
      <c r="AH298" s="174">
        <f>IFERROR(_xlfn.XLOOKUP($D298,'Modelling New'!$D:$D,'Modelling New'!$AF:$AF),"")</f>
        <v>0.995</v>
      </c>
      <c r="AI298" s="177" t="str">
        <f>IFERROR(_xlfn.XLOOKUP($A298,Input_Raw!$A:$A,Input_Raw!$BQ:$BQ),"")</f>
        <v/>
      </c>
      <c r="AJ298" s="167"/>
      <c r="AK298" s="167"/>
      <c r="AL298" s="167"/>
      <c r="AM298" s="167"/>
      <c r="AN298" s="175" t="str">
        <f>IFERROR(_xlfn.XLOOKUP($A298,Input_Raw!$A:$A,Input_Raw!$BN:$BN),"")</f>
        <v/>
      </c>
      <c r="AO298" s="174" t="str">
        <f>IFERROR((_xlfn.XLOOKUP($A298,'WTG Reactive Power'!$A:$A,'WTG Reactive Power'!$AE:$AE))/Table13[[#This Row],[Gen_Exp (kWh)]],"")</f>
        <v/>
      </c>
      <c r="AP298" s="174">
        <f>IFERROR(_xlfn.XLOOKUP($D298,'Modelling New'!$D:$D,'Modelling New'!$AK:$AK),"")</f>
        <v>0.05</v>
      </c>
      <c r="AQ298" s="174">
        <f>IFERROR(_xlfn.XLOOKUP($D298,'Modelling New'!$D:$D,'Modelling New'!$AL:$AL),"")</f>
        <v>0.05</v>
      </c>
      <c r="AR298" s="276">
        <f>IFERROR(_xlfn.XLOOKUP($D298,'Modelling New'!$D:$D,'Modelling New'!$N:$N),"")</f>
        <v>70.2</v>
      </c>
      <c r="AS298" s="276"/>
    </row>
    <row r="299" spans="1:45">
      <c r="A299" s="165">
        <f t="shared" si="23"/>
        <v>46042</v>
      </c>
      <c r="B299" s="166">
        <f>YEAR(Table13[[#This Row],[Date]])+IF(MONTH(Table13[[#This Row],[Date]])&gt;=4,1,0)</f>
        <v>2026</v>
      </c>
      <c r="C299" s="167">
        <f>YEAR(Table13[[#This Row],[Date]])</f>
        <v>2026</v>
      </c>
      <c r="D299" s="168">
        <f>Table13[[#This Row],[Date]]-DAY(Table13[[#This Row],[Date]])+1</f>
        <v>46023</v>
      </c>
      <c r="E299" s="167">
        <f t="shared" si="20"/>
        <v>31</v>
      </c>
      <c r="F299" s="169"/>
      <c r="G299" s="176"/>
      <c r="H299" s="176"/>
      <c r="I299" s="176"/>
      <c r="J299" s="176"/>
      <c r="K299" s="171"/>
      <c r="L299" s="170"/>
      <c r="M299" s="170" t="str">
        <f>IFERROR(_xlfn.XLOOKUP($A299,Input_Raw!$A:$A,Input_Raw!BG:BG),"")</f>
        <v/>
      </c>
      <c r="N299" s="170" t="str">
        <f>IFERROR(_xlfn.XLOOKUP($A299,Input_Raw!$A:$A,Input_Raw!BH:BH),"")</f>
        <v/>
      </c>
      <c r="O299" s="173" t="str">
        <f t="shared" si="21"/>
        <v/>
      </c>
      <c r="P299" s="173" t="str">
        <f>IFERROR(1-SUMIF(WTG_BD!$F:$F,$A299,WTG_BD!$AA:$AA)/($AA299+SUMIF(WTG_BD!$F:$F,$A299,WTG_BD!$AA:$AA)),"")</f>
        <v/>
      </c>
      <c r="Q299" s="173" t="str">
        <f>IFERROR(1-SUMIF(IGA_BD!$F:$F,$A299,IGA_BD!$X:$X)/($AA299+SUMIF(IGA_BD!$F:$F,$A299,IGA_BD!$X:$X)),"")</f>
        <v/>
      </c>
      <c r="R299" s="173" t="str">
        <f>IFERROR(1-SUMIF(Grid_BD!$F:$F,$A299,Grid_BD!$Y:$Y)/($AA299+SUMIF(Grid_BD!$F:$F,$A299,Grid_BD!$Y:$Y)),"")</f>
        <v/>
      </c>
      <c r="S299" s="167"/>
      <c r="T299" s="172"/>
      <c r="U299" s="173"/>
      <c r="V299" s="167"/>
      <c r="W299" s="174" t="str">
        <f t="shared" si="22"/>
        <v/>
      </c>
      <c r="X299" s="167" t="str">
        <f>IFERROR(_xlfn.XLOOKUP($A299,Input_Raw!$A:$A,Input_Raw!$BF:$BF),"")</f>
        <v/>
      </c>
      <c r="Y299" s="167" t="str">
        <f>IFERROR(_xlfn.XLOOKUP($A299,Input_Raw!$A:$A,Input_Raw!BJ:BJ),"")</f>
        <v/>
      </c>
      <c r="Z299" s="167" t="str">
        <f>IFERROR(_xlfn.XLOOKUP($A299,Input_Raw!$A:$A,Input_Raw!BK:BK),"")</f>
        <v/>
      </c>
      <c r="AA299" s="167" t="str">
        <f>IFERROR(_xlfn.XLOOKUP($A299,Input_Raw!$A:$A,Input_Raw!BL:BL),"")</f>
        <v/>
      </c>
      <c r="AB299" s="167" t="str">
        <f>IFERROR(_xlfn.XLOOKUP($A299,Input_Raw!$A:$A,Input_Raw!$BO:$BO),"")</f>
        <v/>
      </c>
      <c r="AC299" s="176">
        <f>IFERROR(_xlfn.XLOOKUP($D299,'Modelling New'!$D:$D,'Modelling New'!$J:$J),"")</f>
        <v>5.57</v>
      </c>
      <c r="AD299" s="166">
        <f>IFERROR(_xlfn.XLOOKUP($D299,'Modelling New'!$D:$D,'Modelling New'!$T:$T)*1000,"")</f>
        <v>613380.19779310341</v>
      </c>
      <c r="AE299" s="174"/>
      <c r="AF299" s="174">
        <f>IFERROR(_xlfn.XLOOKUP($D299,'Modelling New'!$D:$D,'Modelling New'!$W:$W),"")</f>
        <v>0.36406706896551722</v>
      </c>
      <c r="AG299" s="174">
        <f>IFERROR(_xlfn.XLOOKUP($D299,'Modelling New'!$D:$D,'Modelling New'!$AE:$AE),"")</f>
        <v>0.96029999999999993</v>
      </c>
      <c r="AH299" s="174">
        <f>IFERROR(_xlfn.XLOOKUP($D299,'Modelling New'!$D:$D,'Modelling New'!$AF:$AF),"")</f>
        <v>0.995</v>
      </c>
      <c r="AI299" s="177" t="str">
        <f>IFERROR(_xlfn.XLOOKUP($A299,Input_Raw!$A:$A,Input_Raw!$BQ:$BQ),"")</f>
        <v/>
      </c>
      <c r="AJ299" s="167"/>
      <c r="AK299" s="167"/>
      <c r="AL299" s="167"/>
      <c r="AM299" s="167"/>
      <c r="AN299" s="175" t="str">
        <f>IFERROR(_xlfn.XLOOKUP($A299,Input_Raw!$A:$A,Input_Raw!$BN:$BN),"")</f>
        <v/>
      </c>
      <c r="AO299" s="174" t="str">
        <f>IFERROR((_xlfn.XLOOKUP($A299,'WTG Reactive Power'!$A:$A,'WTG Reactive Power'!$AE:$AE))/Table13[[#This Row],[Gen_Exp (kWh)]],"")</f>
        <v/>
      </c>
      <c r="AP299" s="174">
        <f>IFERROR(_xlfn.XLOOKUP($D299,'Modelling New'!$D:$D,'Modelling New'!$AK:$AK),"")</f>
        <v>0.05</v>
      </c>
      <c r="AQ299" s="174">
        <f>IFERROR(_xlfn.XLOOKUP($D299,'Modelling New'!$D:$D,'Modelling New'!$AL:$AL),"")</f>
        <v>0.05</v>
      </c>
      <c r="AR299" s="276">
        <f>IFERROR(_xlfn.XLOOKUP($D299,'Modelling New'!$D:$D,'Modelling New'!$N:$N),"")</f>
        <v>70.2</v>
      </c>
      <c r="AS299" s="276"/>
    </row>
    <row r="300" spans="1:45">
      <c r="A300" s="165">
        <f t="shared" si="23"/>
        <v>46043</v>
      </c>
      <c r="B300" s="166">
        <f>YEAR(Table13[[#This Row],[Date]])+IF(MONTH(Table13[[#This Row],[Date]])&gt;=4,1,0)</f>
        <v>2026</v>
      </c>
      <c r="C300" s="167">
        <f>YEAR(Table13[[#This Row],[Date]])</f>
        <v>2026</v>
      </c>
      <c r="D300" s="168">
        <f>Table13[[#This Row],[Date]]-DAY(Table13[[#This Row],[Date]])+1</f>
        <v>46023</v>
      </c>
      <c r="E300" s="167">
        <f t="shared" si="20"/>
        <v>31</v>
      </c>
      <c r="F300" s="169"/>
      <c r="G300" s="170"/>
      <c r="H300" s="170"/>
      <c r="I300" s="170"/>
      <c r="J300" s="170"/>
      <c r="K300" s="171"/>
      <c r="L300" s="170"/>
      <c r="M300" s="170" t="str">
        <f>IFERROR(_xlfn.XLOOKUP($A300,Input_Raw!$A:$A,Input_Raw!BG:BG),"")</f>
        <v/>
      </c>
      <c r="N300" s="170" t="str">
        <f>IFERROR(_xlfn.XLOOKUP($A300,Input_Raw!$A:$A,Input_Raw!BH:BH),"")</f>
        <v/>
      </c>
      <c r="O300" s="173" t="str">
        <f t="shared" si="21"/>
        <v/>
      </c>
      <c r="P300" s="173" t="str">
        <f>IFERROR(1-SUMIF(WTG_BD!$F:$F,$A300,WTG_BD!$AA:$AA)/($AA300+SUMIF(WTG_BD!$F:$F,$A300,WTG_BD!$AA:$AA)),"")</f>
        <v/>
      </c>
      <c r="Q300" s="173" t="str">
        <f>IFERROR(1-SUMIF(IGA_BD!$F:$F,$A300,IGA_BD!$X:$X)/($AA300+SUMIF(IGA_BD!$F:$F,$A300,IGA_BD!$X:$X)),"")</f>
        <v/>
      </c>
      <c r="R300" s="173" t="str">
        <f>IFERROR(1-SUMIF(Grid_BD!$F:$F,$A300,Grid_BD!$Y:$Y)/($AA300+SUMIF(Grid_BD!$F:$F,$A300,Grid_BD!$Y:$Y)),"")</f>
        <v/>
      </c>
      <c r="S300" s="167"/>
      <c r="T300" s="172"/>
      <c r="U300" s="173"/>
      <c r="V300" s="167"/>
      <c r="W300" s="174" t="str">
        <f t="shared" si="22"/>
        <v/>
      </c>
      <c r="X300" s="167" t="str">
        <f>IFERROR(_xlfn.XLOOKUP($A300,Input_Raw!$A:$A,Input_Raw!$BF:$BF),"")</f>
        <v/>
      </c>
      <c r="Y300" s="167" t="str">
        <f>IFERROR(_xlfn.XLOOKUP($A300,Input_Raw!$A:$A,Input_Raw!BJ:BJ),"")</f>
        <v/>
      </c>
      <c r="Z300" s="167" t="str">
        <f>IFERROR(_xlfn.XLOOKUP($A300,Input_Raw!$A:$A,Input_Raw!BK:BK),"")</f>
        <v/>
      </c>
      <c r="AA300" s="167" t="str">
        <f>IFERROR(_xlfn.XLOOKUP($A300,Input_Raw!$A:$A,Input_Raw!BL:BL),"")</f>
        <v/>
      </c>
      <c r="AB300" s="167" t="str">
        <f>IFERROR(_xlfn.XLOOKUP($A300,Input_Raw!$A:$A,Input_Raw!$BO:$BO),"")</f>
        <v/>
      </c>
      <c r="AC300" s="176">
        <f>IFERROR(_xlfn.XLOOKUP($D300,'Modelling New'!$D:$D,'Modelling New'!$J:$J),"")</f>
        <v>5.57</v>
      </c>
      <c r="AD300" s="166">
        <f>IFERROR(_xlfn.XLOOKUP($D300,'Modelling New'!$D:$D,'Modelling New'!$T:$T)*1000,"")</f>
        <v>613380.19779310341</v>
      </c>
      <c r="AE300" s="174"/>
      <c r="AF300" s="174">
        <f>IFERROR(_xlfn.XLOOKUP($D300,'Modelling New'!$D:$D,'Modelling New'!$W:$W),"")</f>
        <v>0.36406706896551722</v>
      </c>
      <c r="AG300" s="174">
        <f>IFERROR(_xlfn.XLOOKUP($D300,'Modelling New'!$D:$D,'Modelling New'!$AE:$AE),"")</f>
        <v>0.96029999999999993</v>
      </c>
      <c r="AH300" s="174">
        <f>IFERROR(_xlfn.XLOOKUP($D300,'Modelling New'!$D:$D,'Modelling New'!$AF:$AF),"")</f>
        <v>0.995</v>
      </c>
      <c r="AI300" s="177" t="str">
        <f>IFERROR(_xlfn.XLOOKUP($A300,Input_Raw!$A:$A,Input_Raw!$BQ:$BQ),"")</f>
        <v/>
      </c>
      <c r="AJ300" s="167"/>
      <c r="AK300" s="167"/>
      <c r="AL300" s="167"/>
      <c r="AM300" s="167"/>
      <c r="AN300" s="175" t="str">
        <f>IFERROR(_xlfn.XLOOKUP($A300,Input_Raw!$A:$A,Input_Raw!$BN:$BN),"")</f>
        <v/>
      </c>
      <c r="AO300" s="174" t="str">
        <f>IFERROR((_xlfn.XLOOKUP($A300,'WTG Reactive Power'!$A:$A,'WTG Reactive Power'!$AE:$AE))/Table13[[#This Row],[Gen_Exp (kWh)]],"")</f>
        <v/>
      </c>
      <c r="AP300" s="174">
        <f>IFERROR(_xlfn.XLOOKUP($D300,'Modelling New'!$D:$D,'Modelling New'!$AK:$AK),"")</f>
        <v>0.05</v>
      </c>
      <c r="AQ300" s="174">
        <f>IFERROR(_xlfn.XLOOKUP($D300,'Modelling New'!$D:$D,'Modelling New'!$AL:$AL),"")</f>
        <v>0.05</v>
      </c>
      <c r="AR300" s="276">
        <f>IFERROR(_xlfn.XLOOKUP($D300,'Modelling New'!$D:$D,'Modelling New'!$N:$N),"")</f>
        <v>70.2</v>
      </c>
      <c r="AS300" s="276"/>
    </row>
    <row r="301" spans="1:45">
      <c r="A301" s="165">
        <f t="shared" si="23"/>
        <v>46044</v>
      </c>
      <c r="B301" s="166">
        <f>YEAR(Table13[[#This Row],[Date]])+IF(MONTH(Table13[[#This Row],[Date]])&gt;=4,1,0)</f>
        <v>2026</v>
      </c>
      <c r="C301" s="167">
        <f>YEAR(Table13[[#This Row],[Date]])</f>
        <v>2026</v>
      </c>
      <c r="D301" s="168">
        <f>Table13[[#This Row],[Date]]-DAY(Table13[[#This Row],[Date]])+1</f>
        <v>46023</v>
      </c>
      <c r="E301" s="167">
        <f t="shared" si="20"/>
        <v>31</v>
      </c>
      <c r="F301" s="169"/>
      <c r="G301" s="176"/>
      <c r="H301" s="176"/>
      <c r="I301" s="176"/>
      <c r="J301" s="176"/>
      <c r="K301" s="171"/>
      <c r="L301" s="170"/>
      <c r="M301" s="170" t="str">
        <f>IFERROR(_xlfn.XLOOKUP($A301,Input_Raw!$A:$A,Input_Raw!BG:BG),"")</f>
        <v/>
      </c>
      <c r="N301" s="170" t="str">
        <f>IFERROR(_xlfn.XLOOKUP($A301,Input_Raw!$A:$A,Input_Raw!BH:BH),"")</f>
        <v/>
      </c>
      <c r="O301" s="173" t="str">
        <f t="shared" si="21"/>
        <v/>
      </c>
      <c r="P301" s="173" t="str">
        <f>IFERROR(1-SUMIF(WTG_BD!$F:$F,$A301,WTG_BD!$AA:$AA)/($AA301+SUMIF(WTG_BD!$F:$F,$A301,WTG_BD!$AA:$AA)),"")</f>
        <v/>
      </c>
      <c r="Q301" s="173" t="str">
        <f>IFERROR(1-SUMIF(IGA_BD!$F:$F,$A301,IGA_BD!$X:$X)/($AA301+SUMIF(IGA_BD!$F:$F,$A301,IGA_BD!$X:$X)),"")</f>
        <v/>
      </c>
      <c r="R301" s="173" t="str">
        <f>IFERROR(1-SUMIF(Grid_BD!$F:$F,$A301,Grid_BD!$Y:$Y)/($AA301+SUMIF(Grid_BD!$F:$F,$A301,Grid_BD!$Y:$Y)),"")</f>
        <v/>
      </c>
      <c r="S301" s="167"/>
      <c r="T301" s="172"/>
      <c r="U301" s="173"/>
      <c r="V301" s="167"/>
      <c r="W301" s="174" t="str">
        <f t="shared" si="22"/>
        <v/>
      </c>
      <c r="X301" s="167" t="str">
        <f>IFERROR(_xlfn.XLOOKUP($A301,Input_Raw!$A:$A,Input_Raw!$BF:$BF),"")</f>
        <v/>
      </c>
      <c r="Y301" s="167" t="str">
        <f>IFERROR(_xlfn.XLOOKUP($A301,Input_Raw!$A:$A,Input_Raw!BJ:BJ),"")</f>
        <v/>
      </c>
      <c r="Z301" s="167" t="str">
        <f>IFERROR(_xlfn.XLOOKUP($A301,Input_Raw!$A:$A,Input_Raw!BK:BK),"")</f>
        <v/>
      </c>
      <c r="AA301" s="167" t="str">
        <f>IFERROR(_xlfn.XLOOKUP($A301,Input_Raw!$A:$A,Input_Raw!BL:BL),"")</f>
        <v/>
      </c>
      <c r="AB301" s="167" t="str">
        <f>IFERROR(_xlfn.XLOOKUP($A301,Input_Raw!$A:$A,Input_Raw!$BO:$BO),"")</f>
        <v/>
      </c>
      <c r="AC301" s="176">
        <f>IFERROR(_xlfn.XLOOKUP($D301,'Modelling New'!$D:$D,'Modelling New'!$J:$J),"")</f>
        <v>5.57</v>
      </c>
      <c r="AD301" s="166">
        <f>IFERROR(_xlfn.XLOOKUP($D301,'Modelling New'!$D:$D,'Modelling New'!$T:$T)*1000,"")</f>
        <v>613380.19779310341</v>
      </c>
      <c r="AE301" s="174"/>
      <c r="AF301" s="174">
        <f>IFERROR(_xlfn.XLOOKUP($D301,'Modelling New'!$D:$D,'Modelling New'!$W:$W),"")</f>
        <v>0.36406706896551722</v>
      </c>
      <c r="AG301" s="174">
        <f>IFERROR(_xlfn.XLOOKUP($D301,'Modelling New'!$D:$D,'Modelling New'!$AE:$AE),"")</f>
        <v>0.96029999999999993</v>
      </c>
      <c r="AH301" s="174">
        <f>IFERROR(_xlfn.XLOOKUP($D301,'Modelling New'!$D:$D,'Modelling New'!$AF:$AF),"")</f>
        <v>0.995</v>
      </c>
      <c r="AI301" s="177" t="str">
        <f>IFERROR(_xlfn.XLOOKUP($A301,Input_Raw!$A:$A,Input_Raw!$BQ:$BQ),"")</f>
        <v/>
      </c>
      <c r="AJ301" s="167"/>
      <c r="AK301" s="167"/>
      <c r="AL301" s="167"/>
      <c r="AM301" s="167"/>
      <c r="AN301" s="175" t="str">
        <f>IFERROR(_xlfn.XLOOKUP($A301,Input_Raw!$A:$A,Input_Raw!$BN:$BN),"")</f>
        <v/>
      </c>
      <c r="AO301" s="174" t="str">
        <f>IFERROR((_xlfn.XLOOKUP($A301,'WTG Reactive Power'!$A:$A,'WTG Reactive Power'!$AE:$AE))/Table13[[#This Row],[Gen_Exp (kWh)]],"")</f>
        <v/>
      </c>
      <c r="AP301" s="174">
        <f>IFERROR(_xlfn.XLOOKUP($D301,'Modelling New'!$D:$D,'Modelling New'!$AK:$AK),"")</f>
        <v>0.05</v>
      </c>
      <c r="AQ301" s="174">
        <f>IFERROR(_xlfn.XLOOKUP($D301,'Modelling New'!$D:$D,'Modelling New'!$AL:$AL),"")</f>
        <v>0.05</v>
      </c>
      <c r="AR301" s="276">
        <f>IFERROR(_xlfn.XLOOKUP($D301,'Modelling New'!$D:$D,'Modelling New'!$N:$N),"")</f>
        <v>70.2</v>
      </c>
      <c r="AS301" s="276"/>
    </row>
    <row r="302" spans="1:45">
      <c r="A302" s="165">
        <f t="shared" si="23"/>
        <v>46045</v>
      </c>
      <c r="B302" s="166">
        <f>YEAR(Table13[[#This Row],[Date]])+IF(MONTH(Table13[[#This Row],[Date]])&gt;=4,1,0)</f>
        <v>2026</v>
      </c>
      <c r="C302" s="167">
        <f>YEAR(Table13[[#This Row],[Date]])</f>
        <v>2026</v>
      </c>
      <c r="D302" s="168">
        <f>Table13[[#This Row],[Date]]-DAY(Table13[[#This Row],[Date]])+1</f>
        <v>46023</v>
      </c>
      <c r="E302" s="167">
        <f t="shared" si="20"/>
        <v>31</v>
      </c>
      <c r="F302" s="169"/>
      <c r="G302" s="170"/>
      <c r="H302" s="170"/>
      <c r="I302" s="170"/>
      <c r="J302" s="170"/>
      <c r="K302" s="171"/>
      <c r="L302" s="170"/>
      <c r="M302" s="170" t="str">
        <f>IFERROR(_xlfn.XLOOKUP($A302,Input_Raw!$A:$A,Input_Raw!BG:BG),"")</f>
        <v/>
      </c>
      <c r="N302" s="170" t="str">
        <f>IFERROR(_xlfn.XLOOKUP($A302,Input_Raw!$A:$A,Input_Raw!BH:BH),"")</f>
        <v/>
      </c>
      <c r="O302" s="173" t="str">
        <f t="shared" si="21"/>
        <v/>
      </c>
      <c r="P302" s="173" t="str">
        <f>IFERROR(1-SUMIF(WTG_BD!$F:$F,$A302,WTG_BD!$AA:$AA)/($AA302+SUMIF(WTG_BD!$F:$F,$A302,WTG_BD!$AA:$AA)),"")</f>
        <v/>
      </c>
      <c r="Q302" s="173" t="str">
        <f>IFERROR(1-SUMIF(IGA_BD!$F:$F,$A302,IGA_BD!$X:$X)/($AA302+SUMIF(IGA_BD!$F:$F,$A302,IGA_BD!$X:$X)),"")</f>
        <v/>
      </c>
      <c r="R302" s="173" t="str">
        <f>IFERROR(1-SUMIF(Grid_BD!$F:$F,$A302,Grid_BD!$Y:$Y)/($AA302+SUMIF(Grid_BD!$F:$F,$A302,Grid_BD!$Y:$Y)),"")</f>
        <v/>
      </c>
      <c r="S302" s="167"/>
      <c r="T302" s="172"/>
      <c r="U302" s="173"/>
      <c r="V302" s="167"/>
      <c r="W302" s="174" t="str">
        <f t="shared" si="22"/>
        <v/>
      </c>
      <c r="X302" s="167" t="str">
        <f>IFERROR(_xlfn.XLOOKUP($A302,Input_Raw!$A:$A,Input_Raw!$BF:$BF),"")</f>
        <v/>
      </c>
      <c r="Y302" s="167" t="str">
        <f>IFERROR(_xlfn.XLOOKUP($A302,Input_Raw!$A:$A,Input_Raw!BJ:BJ),"")</f>
        <v/>
      </c>
      <c r="Z302" s="167" t="str">
        <f>IFERROR(_xlfn.XLOOKUP($A302,Input_Raw!$A:$A,Input_Raw!BK:BK),"")</f>
        <v/>
      </c>
      <c r="AA302" s="167" t="str">
        <f>IFERROR(_xlfn.XLOOKUP($A302,Input_Raw!$A:$A,Input_Raw!BL:BL),"")</f>
        <v/>
      </c>
      <c r="AB302" s="167" t="str">
        <f>IFERROR(_xlfn.XLOOKUP($A302,Input_Raw!$A:$A,Input_Raw!$BO:$BO),"")</f>
        <v/>
      </c>
      <c r="AC302" s="176">
        <f>IFERROR(_xlfn.XLOOKUP($D302,'Modelling New'!$D:$D,'Modelling New'!$J:$J),"")</f>
        <v>5.57</v>
      </c>
      <c r="AD302" s="166">
        <f>IFERROR(_xlfn.XLOOKUP($D302,'Modelling New'!$D:$D,'Modelling New'!$T:$T)*1000,"")</f>
        <v>613380.19779310341</v>
      </c>
      <c r="AE302" s="174"/>
      <c r="AF302" s="174">
        <f>IFERROR(_xlfn.XLOOKUP($D302,'Modelling New'!$D:$D,'Modelling New'!$W:$W),"")</f>
        <v>0.36406706896551722</v>
      </c>
      <c r="AG302" s="174">
        <f>IFERROR(_xlfn.XLOOKUP($D302,'Modelling New'!$D:$D,'Modelling New'!$AE:$AE),"")</f>
        <v>0.96029999999999993</v>
      </c>
      <c r="AH302" s="174">
        <f>IFERROR(_xlfn.XLOOKUP($D302,'Modelling New'!$D:$D,'Modelling New'!$AF:$AF),"")</f>
        <v>0.995</v>
      </c>
      <c r="AI302" s="177" t="str">
        <f>IFERROR(_xlfn.XLOOKUP($A302,Input_Raw!$A:$A,Input_Raw!$BQ:$BQ),"")</f>
        <v/>
      </c>
      <c r="AJ302" s="167"/>
      <c r="AK302" s="167"/>
      <c r="AL302" s="167"/>
      <c r="AM302" s="167"/>
      <c r="AN302" s="175" t="str">
        <f>IFERROR(_xlfn.XLOOKUP($A302,Input_Raw!$A:$A,Input_Raw!$BN:$BN),"")</f>
        <v/>
      </c>
      <c r="AO302" s="174" t="str">
        <f>IFERROR((_xlfn.XLOOKUP($A302,'WTG Reactive Power'!$A:$A,'WTG Reactive Power'!$AE:$AE))/Table13[[#This Row],[Gen_Exp (kWh)]],"")</f>
        <v/>
      </c>
      <c r="AP302" s="174">
        <f>IFERROR(_xlfn.XLOOKUP($D302,'Modelling New'!$D:$D,'Modelling New'!$AK:$AK),"")</f>
        <v>0.05</v>
      </c>
      <c r="AQ302" s="174">
        <f>IFERROR(_xlfn.XLOOKUP($D302,'Modelling New'!$D:$D,'Modelling New'!$AL:$AL),"")</f>
        <v>0.05</v>
      </c>
      <c r="AR302" s="276">
        <f>IFERROR(_xlfn.XLOOKUP($D302,'Modelling New'!$D:$D,'Modelling New'!$N:$N),"")</f>
        <v>70.2</v>
      </c>
      <c r="AS302" s="276"/>
    </row>
    <row r="303" spans="1:45">
      <c r="A303" s="165">
        <f t="shared" si="23"/>
        <v>46046</v>
      </c>
      <c r="B303" s="166">
        <f>YEAR(Table13[[#This Row],[Date]])+IF(MONTH(Table13[[#This Row],[Date]])&gt;=4,1,0)</f>
        <v>2026</v>
      </c>
      <c r="C303" s="167">
        <f>YEAR(Table13[[#This Row],[Date]])</f>
        <v>2026</v>
      </c>
      <c r="D303" s="168">
        <f>Table13[[#This Row],[Date]]-DAY(Table13[[#This Row],[Date]])+1</f>
        <v>46023</v>
      </c>
      <c r="E303" s="167">
        <f t="shared" si="20"/>
        <v>31</v>
      </c>
      <c r="F303" s="169"/>
      <c r="G303" s="176"/>
      <c r="H303" s="176"/>
      <c r="I303" s="176"/>
      <c r="J303" s="176"/>
      <c r="K303" s="171"/>
      <c r="L303" s="170"/>
      <c r="M303" s="170" t="str">
        <f>IFERROR(_xlfn.XLOOKUP($A303,Input_Raw!$A:$A,Input_Raw!BG:BG),"")</f>
        <v/>
      </c>
      <c r="N303" s="170" t="str">
        <f>IFERROR(_xlfn.XLOOKUP($A303,Input_Raw!$A:$A,Input_Raw!BH:BH),"")</f>
        <v/>
      </c>
      <c r="O303" s="173" t="str">
        <f t="shared" si="21"/>
        <v/>
      </c>
      <c r="P303" s="173" t="str">
        <f>IFERROR(1-SUMIF(WTG_BD!$F:$F,$A303,WTG_BD!$AA:$AA)/($AA303+SUMIF(WTG_BD!$F:$F,$A303,WTG_BD!$AA:$AA)),"")</f>
        <v/>
      </c>
      <c r="Q303" s="173" t="str">
        <f>IFERROR(1-SUMIF(IGA_BD!$F:$F,$A303,IGA_BD!$X:$X)/($AA303+SUMIF(IGA_BD!$F:$F,$A303,IGA_BD!$X:$X)),"")</f>
        <v/>
      </c>
      <c r="R303" s="173" t="str">
        <f>IFERROR(1-SUMIF(Grid_BD!$F:$F,$A303,Grid_BD!$Y:$Y)/($AA303+SUMIF(Grid_BD!$F:$F,$A303,Grid_BD!$Y:$Y)),"")</f>
        <v/>
      </c>
      <c r="S303" s="167"/>
      <c r="T303" s="172"/>
      <c r="U303" s="173"/>
      <c r="V303" s="167"/>
      <c r="W303" s="174" t="str">
        <f t="shared" si="22"/>
        <v/>
      </c>
      <c r="X303" s="167" t="str">
        <f>IFERROR(_xlfn.XLOOKUP($A303,Input_Raw!$A:$A,Input_Raw!$BF:$BF),"")</f>
        <v/>
      </c>
      <c r="Y303" s="167" t="str">
        <f>IFERROR(_xlfn.XLOOKUP($A303,Input_Raw!$A:$A,Input_Raw!BJ:BJ),"")</f>
        <v/>
      </c>
      <c r="Z303" s="167" t="str">
        <f>IFERROR(_xlfn.XLOOKUP($A303,Input_Raw!$A:$A,Input_Raw!BK:BK),"")</f>
        <v/>
      </c>
      <c r="AA303" s="167" t="str">
        <f>IFERROR(_xlfn.XLOOKUP($A303,Input_Raw!$A:$A,Input_Raw!BL:BL),"")</f>
        <v/>
      </c>
      <c r="AB303" s="167" t="str">
        <f>IFERROR(_xlfn.XLOOKUP($A303,Input_Raw!$A:$A,Input_Raw!$BO:$BO),"")</f>
        <v/>
      </c>
      <c r="AC303" s="176">
        <f>IFERROR(_xlfn.XLOOKUP($D303,'Modelling New'!$D:$D,'Modelling New'!$J:$J),"")</f>
        <v>5.57</v>
      </c>
      <c r="AD303" s="166">
        <f>IFERROR(_xlfn.XLOOKUP($D303,'Modelling New'!$D:$D,'Modelling New'!$T:$T)*1000,"")</f>
        <v>613380.19779310341</v>
      </c>
      <c r="AE303" s="174"/>
      <c r="AF303" s="174">
        <f>IFERROR(_xlfn.XLOOKUP($D303,'Modelling New'!$D:$D,'Modelling New'!$W:$W),"")</f>
        <v>0.36406706896551722</v>
      </c>
      <c r="AG303" s="174">
        <f>IFERROR(_xlfn.XLOOKUP($D303,'Modelling New'!$D:$D,'Modelling New'!$AE:$AE),"")</f>
        <v>0.96029999999999993</v>
      </c>
      <c r="AH303" s="174">
        <f>IFERROR(_xlfn.XLOOKUP($D303,'Modelling New'!$D:$D,'Modelling New'!$AF:$AF),"")</f>
        <v>0.995</v>
      </c>
      <c r="AI303" s="177" t="str">
        <f>IFERROR(_xlfn.XLOOKUP($A303,Input_Raw!$A:$A,Input_Raw!$BQ:$BQ),"")</f>
        <v/>
      </c>
      <c r="AJ303" s="167"/>
      <c r="AK303" s="167"/>
      <c r="AL303" s="167"/>
      <c r="AM303" s="167"/>
      <c r="AN303" s="175" t="str">
        <f>IFERROR(_xlfn.XLOOKUP($A303,Input_Raw!$A:$A,Input_Raw!$BN:$BN),"")</f>
        <v/>
      </c>
      <c r="AO303" s="174" t="str">
        <f>IFERROR((_xlfn.XLOOKUP($A303,'WTG Reactive Power'!$A:$A,'WTG Reactive Power'!$AE:$AE))/Table13[[#This Row],[Gen_Exp (kWh)]],"")</f>
        <v/>
      </c>
      <c r="AP303" s="174">
        <f>IFERROR(_xlfn.XLOOKUP($D303,'Modelling New'!$D:$D,'Modelling New'!$AK:$AK),"")</f>
        <v>0.05</v>
      </c>
      <c r="AQ303" s="174">
        <f>IFERROR(_xlfn.XLOOKUP($D303,'Modelling New'!$D:$D,'Modelling New'!$AL:$AL),"")</f>
        <v>0.05</v>
      </c>
      <c r="AR303" s="276">
        <f>IFERROR(_xlfn.XLOOKUP($D303,'Modelling New'!$D:$D,'Modelling New'!$N:$N),"")</f>
        <v>70.2</v>
      </c>
      <c r="AS303" s="276"/>
    </row>
    <row r="304" spans="1:45">
      <c r="A304" s="165">
        <f t="shared" si="23"/>
        <v>46047</v>
      </c>
      <c r="B304" s="166">
        <f>YEAR(Table13[[#This Row],[Date]])+IF(MONTH(Table13[[#This Row],[Date]])&gt;=4,1,0)</f>
        <v>2026</v>
      </c>
      <c r="C304" s="167">
        <f>YEAR(Table13[[#This Row],[Date]])</f>
        <v>2026</v>
      </c>
      <c r="D304" s="168">
        <f>Table13[[#This Row],[Date]]-DAY(Table13[[#This Row],[Date]])+1</f>
        <v>46023</v>
      </c>
      <c r="E304" s="167">
        <f t="shared" si="20"/>
        <v>31</v>
      </c>
      <c r="F304" s="169"/>
      <c r="G304" s="170"/>
      <c r="H304" s="170"/>
      <c r="I304" s="170"/>
      <c r="J304" s="170"/>
      <c r="K304" s="171"/>
      <c r="L304" s="170"/>
      <c r="M304" s="170" t="str">
        <f>IFERROR(_xlfn.XLOOKUP($A304,Input_Raw!$A:$A,Input_Raw!BG:BG),"")</f>
        <v/>
      </c>
      <c r="N304" s="170" t="str">
        <f>IFERROR(_xlfn.XLOOKUP($A304,Input_Raw!$A:$A,Input_Raw!BH:BH),"")</f>
        <v/>
      </c>
      <c r="O304" s="173" t="str">
        <f t="shared" si="21"/>
        <v/>
      </c>
      <c r="P304" s="173" t="str">
        <f>IFERROR(1-SUMIF(WTG_BD!$F:$F,$A304,WTG_BD!$AA:$AA)/($AA304+SUMIF(WTG_BD!$F:$F,$A304,WTG_BD!$AA:$AA)),"")</f>
        <v/>
      </c>
      <c r="Q304" s="173" t="str">
        <f>IFERROR(1-SUMIF(IGA_BD!$F:$F,$A304,IGA_BD!$X:$X)/($AA304+SUMIF(IGA_BD!$F:$F,$A304,IGA_BD!$X:$X)),"")</f>
        <v/>
      </c>
      <c r="R304" s="173" t="str">
        <f>IFERROR(1-SUMIF(Grid_BD!$F:$F,$A304,Grid_BD!$Y:$Y)/($AA304+SUMIF(Grid_BD!$F:$F,$A304,Grid_BD!$Y:$Y)),"")</f>
        <v/>
      </c>
      <c r="S304" s="167"/>
      <c r="T304" s="172"/>
      <c r="U304" s="173"/>
      <c r="V304" s="167"/>
      <c r="W304" s="174" t="str">
        <f t="shared" si="22"/>
        <v/>
      </c>
      <c r="X304" s="167" t="str">
        <f>IFERROR(_xlfn.XLOOKUP($A304,Input_Raw!$A:$A,Input_Raw!$BF:$BF),"")</f>
        <v/>
      </c>
      <c r="Y304" s="167" t="str">
        <f>IFERROR(_xlfn.XLOOKUP($A304,Input_Raw!$A:$A,Input_Raw!BJ:BJ),"")</f>
        <v/>
      </c>
      <c r="Z304" s="167" t="str">
        <f>IFERROR(_xlfn.XLOOKUP($A304,Input_Raw!$A:$A,Input_Raw!BK:BK),"")</f>
        <v/>
      </c>
      <c r="AA304" s="167" t="str">
        <f>IFERROR(_xlfn.XLOOKUP($A304,Input_Raw!$A:$A,Input_Raw!BL:BL),"")</f>
        <v/>
      </c>
      <c r="AB304" s="167" t="str">
        <f>IFERROR(_xlfn.XLOOKUP($A304,Input_Raw!$A:$A,Input_Raw!$BO:$BO),"")</f>
        <v/>
      </c>
      <c r="AC304" s="176">
        <f>IFERROR(_xlfn.XLOOKUP($D304,'Modelling New'!$D:$D,'Modelling New'!$J:$J),"")</f>
        <v>5.57</v>
      </c>
      <c r="AD304" s="166">
        <f>IFERROR(_xlfn.XLOOKUP($D304,'Modelling New'!$D:$D,'Modelling New'!$T:$T)*1000,"")</f>
        <v>613380.19779310341</v>
      </c>
      <c r="AE304" s="174"/>
      <c r="AF304" s="174">
        <f>IFERROR(_xlfn.XLOOKUP($D304,'Modelling New'!$D:$D,'Modelling New'!$W:$W),"")</f>
        <v>0.36406706896551722</v>
      </c>
      <c r="AG304" s="174">
        <f>IFERROR(_xlfn.XLOOKUP($D304,'Modelling New'!$D:$D,'Modelling New'!$AE:$AE),"")</f>
        <v>0.96029999999999993</v>
      </c>
      <c r="AH304" s="174">
        <f>IFERROR(_xlfn.XLOOKUP($D304,'Modelling New'!$D:$D,'Modelling New'!$AF:$AF),"")</f>
        <v>0.995</v>
      </c>
      <c r="AI304" s="177" t="str">
        <f>IFERROR(_xlfn.XLOOKUP($A304,Input_Raw!$A:$A,Input_Raw!$BQ:$BQ),"")</f>
        <v/>
      </c>
      <c r="AJ304" s="167"/>
      <c r="AK304" s="167"/>
      <c r="AL304" s="167"/>
      <c r="AM304" s="167"/>
      <c r="AN304" s="175" t="str">
        <f>IFERROR(_xlfn.XLOOKUP($A304,Input_Raw!$A:$A,Input_Raw!$BN:$BN),"")</f>
        <v/>
      </c>
      <c r="AO304" s="174" t="str">
        <f>IFERROR((_xlfn.XLOOKUP($A304,'WTG Reactive Power'!$A:$A,'WTG Reactive Power'!$AE:$AE))/Table13[[#This Row],[Gen_Exp (kWh)]],"")</f>
        <v/>
      </c>
      <c r="AP304" s="174">
        <f>IFERROR(_xlfn.XLOOKUP($D304,'Modelling New'!$D:$D,'Modelling New'!$AK:$AK),"")</f>
        <v>0.05</v>
      </c>
      <c r="AQ304" s="174">
        <f>IFERROR(_xlfn.XLOOKUP($D304,'Modelling New'!$D:$D,'Modelling New'!$AL:$AL),"")</f>
        <v>0.05</v>
      </c>
      <c r="AR304" s="276">
        <f>IFERROR(_xlfn.XLOOKUP($D304,'Modelling New'!$D:$D,'Modelling New'!$N:$N),"")</f>
        <v>70.2</v>
      </c>
      <c r="AS304" s="276"/>
    </row>
    <row r="305" spans="1:45">
      <c r="A305" s="165">
        <f t="shared" si="23"/>
        <v>46048</v>
      </c>
      <c r="B305" s="166">
        <f>YEAR(Table13[[#This Row],[Date]])+IF(MONTH(Table13[[#This Row],[Date]])&gt;=4,1,0)</f>
        <v>2026</v>
      </c>
      <c r="C305" s="167">
        <f>YEAR(Table13[[#This Row],[Date]])</f>
        <v>2026</v>
      </c>
      <c r="D305" s="168">
        <f>Table13[[#This Row],[Date]]-DAY(Table13[[#This Row],[Date]])+1</f>
        <v>46023</v>
      </c>
      <c r="E305" s="167">
        <f t="shared" si="20"/>
        <v>31</v>
      </c>
      <c r="F305" s="169"/>
      <c r="G305" s="176"/>
      <c r="H305" s="176"/>
      <c r="I305" s="176"/>
      <c r="J305" s="176"/>
      <c r="K305" s="171"/>
      <c r="L305" s="170"/>
      <c r="M305" s="170" t="str">
        <f>IFERROR(_xlfn.XLOOKUP($A305,Input_Raw!$A:$A,Input_Raw!BG:BG),"")</f>
        <v/>
      </c>
      <c r="N305" s="170" t="str">
        <f>IFERROR(_xlfn.XLOOKUP($A305,Input_Raw!$A:$A,Input_Raw!BH:BH),"")</f>
        <v/>
      </c>
      <c r="O305" s="173" t="str">
        <f t="shared" si="21"/>
        <v/>
      </c>
      <c r="P305" s="173" t="str">
        <f>IFERROR(1-SUMIF(WTG_BD!$F:$F,$A305,WTG_BD!$AA:$AA)/($AA305+SUMIF(WTG_BD!$F:$F,$A305,WTG_BD!$AA:$AA)),"")</f>
        <v/>
      </c>
      <c r="Q305" s="173" t="str">
        <f>IFERROR(1-SUMIF(IGA_BD!$F:$F,$A305,IGA_BD!$X:$X)/($AA305+SUMIF(IGA_BD!$F:$F,$A305,IGA_BD!$X:$X)),"")</f>
        <v/>
      </c>
      <c r="R305" s="173" t="str">
        <f>IFERROR(1-SUMIF(Grid_BD!$F:$F,$A305,Grid_BD!$Y:$Y)/($AA305+SUMIF(Grid_BD!$F:$F,$A305,Grid_BD!$Y:$Y)),"")</f>
        <v/>
      </c>
      <c r="S305" s="167"/>
      <c r="T305" s="172"/>
      <c r="U305" s="173"/>
      <c r="V305" s="167"/>
      <c r="W305" s="174" t="str">
        <f t="shared" si="22"/>
        <v/>
      </c>
      <c r="X305" s="167" t="str">
        <f>IFERROR(_xlfn.XLOOKUP($A305,Input_Raw!$A:$A,Input_Raw!$BF:$BF),"")</f>
        <v/>
      </c>
      <c r="Y305" s="167" t="str">
        <f>IFERROR(_xlfn.XLOOKUP($A305,Input_Raw!$A:$A,Input_Raw!BJ:BJ),"")</f>
        <v/>
      </c>
      <c r="Z305" s="167" t="str">
        <f>IFERROR(_xlfn.XLOOKUP($A305,Input_Raw!$A:$A,Input_Raw!BK:BK),"")</f>
        <v/>
      </c>
      <c r="AA305" s="167" t="str">
        <f>IFERROR(_xlfn.XLOOKUP($A305,Input_Raw!$A:$A,Input_Raw!BL:BL),"")</f>
        <v/>
      </c>
      <c r="AB305" s="167" t="str">
        <f>IFERROR(_xlfn.XLOOKUP($A305,Input_Raw!$A:$A,Input_Raw!$BO:$BO),"")</f>
        <v/>
      </c>
      <c r="AC305" s="176">
        <f>IFERROR(_xlfn.XLOOKUP($D305,'Modelling New'!$D:$D,'Modelling New'!$J:$J),"")</f>
        <v>5.57</v>
      </c>
      <c r="AD305" s="166">
        <f>IFERROR(_xlfn.XLOOKUP($D305,'Modelling New'!$D:$D,'Modelling New'!$T:$T)*1000,"")</f>
        <v>613380.19779310341</v>
      </c>
      <c r="AE305" s="174"/>
      <c r="AF305" s="174">
        <f>IFERROR(_xlfn.XLOOKUP($D305,'Modelling New'!$D:$D,'Modelling New'!$W:$W),"")</f>
        <v>0.36406706896551722</v>
      </c>
      <c r="AG305" s="174">
        <f>IFERROR(_xlfn.XLOOKUP($D305,'Modelling New'!$D:$D,'Modelling New'!$AE:$AE),"")</f>
        <v>0.96029999999999993</v>
      </c>
      <c r="AH305" s="174">
        <f>IFERROR(_xlfn.XLOOKUP($D305,'Modelling New'!$D:$D,'Modelling New'!$AF:$AF),"")</f>
        <v>0.995</v>
      </c>
      <c r="AI305" s="177" t="str">
        <f>IFERROR(_xlfn.XLOOKUP($A305,Input_Raw!$A:$A,Input_Raw!$BQ:$BQ),"")</f>
        <v/>
      </c>
      <c r="AJ305" s="167"/>
      <c r="AK305" s="167"/>
      <c r="AL305" s="167"/>
      <c r="AM305" s="167"/>
      <c r="AN305" s="175" t="str">
        <f>IFERROR(_xlfn.XLOOKUP($A305,Input_Raw!$A:$A,Input_Raw!$BN:$BN),"")</f>
        <v/>
      </c>
      <c r="AO305" s="174" t="str">
        <f>IFERROR((_xlfn.XLOOKUP($A305,'WTG Reactive Power'!$A:$A,'WTG Reactive Power'!$AE:$AE))/Table13[[#This Row],[Gen_Exp (kWh)]],"")</f>
        <v/>
      </c>
      <c r="AP305" s="174">
        <f>IFERROR(_xlfn.XLOOKUP($D305,'Modelling New'!$D:$D,'Modelling New'!$AK:$AK),"")</f>
        <v>0.05</v>
      </c>
      <c r="AQ305" s="174">
        <f>IFERROR(_xlfn.XLOOKUP($D305,'Modelling New'!$D:$D,'Modelling New'!$AL:$AL),"")</f>
        <v>0.05</v>
      </c>
      <c r="AR305" s="276">
        <f>IFERROR(_xlfn.XLOOKUP($D305,'Modelling New'!$D:$D,'Modelling New'!$N:$N),"")</f>
        <v>70.2</v>
      </c>
      <c r="AS305" s="276"/>
    </row>
    <row r="306" spans="1:45">
      <c r="A306" s="165">
        <f t="shared" si="23"/>
        <v>46049</v>
      </c>
      <c r="B306" s="166">
        <f>YEAR(Table13[[#This Row],[Date]])+IF(MONTH(Table13[[#This Row],[Date]])&gt;=4,1,0)</f>
        <v>2026</v>
      </c>
      <c r="C306" s="167">
        <f>YEAR(Table13[[#This Row],[Date]])</f>
        <v>2026</v>
      </c>
      <c r="D306" s="168">
        <f>Table13[[#This Row],[Date]]-DAY(Table13[[#This Row],[Date]])+1</f>
        <v>46023</v>
      </c>
      <c r="E306" s="167">
        <f t="shared" si="20"/>
        <v>31</v>
      </c>
      <c r="F306" s="169"/>
      <c r="G306" s="170"/>
      <c r="H306" s="170"/>
      <c r="I306" s="170"/>
      <c r="J306" s="170"/>
      <c r="K306" s="171"/>
      <c r="L306" s="170"/>
      <c r="M306" s="170" t="str">
        <f>IFERROR(_xlfn.XLOOKUP($A306,Input_Raw!$A:$A,Input_Raw!BG:BG),"")</f>
        <v/>
      </c>
      <c r="N306" s="170" t="str">
        <f>IFERROR(_xlfn.XLOOKUP($A306,Input_Raw!$A:$A,Input_Raw!BH:BH),"")</f>
        <v/>
      </c>
      <c r="O306" s="173" t="str">
        <f t="shared" si="21"/>
        <v/>
      </c>
      <c r="P306" s="173" t="str">
        <f>IFERROR(1-SUMIF(WTG_BD!$F:$F,$A306,WTG_BD!$AA:$AA)/($AA306+SUMIF(WTG_BD!$F:$F,$A306,WTG_BD!$AA:$AA)),"")</f>
        <v/>
      </c>
      <c r="Q306" s="173" t="str">
        <f>IFERROR(1-SUMIF(IGA_BD!$F:$F,$A306,IGA_BD!$X:$X)/($AA306+SUMIF(IGA_BD!$F:$F,$A306,IGA_BD!$X:$X)),"")</f>
        <v/>
      </c>
      <c r="R306" s="173" t="str">
        <f>IFERROR(1-SUMIF(Grid_BD!$F:$F,$A306,Grid_BD!$Y:$Y)/($AA306+SUMIF(Grid_BD!$F:$F,$A306,Grid_BD!$Y:$Y)),"")</f>
        <v/>
      </c>
      <c r="S306" s="167"/>
      <c r="T306" s="172"/>
      <c r="U306" s="173"/>
      <c r="V306" s="167"/>
      <c r="W306" s="174" t="str">
        <f t="shared" si="22"/>
        <v/>
      </c>
      <c r="X306" s="167" t="str">
        <f>IFERROR(_xlfn.XLOOKUP($A306,Input_Raw!$A:$A,Input_Raw!$BF:$BF),"")</f>
        <v/>
      </c>
      <c r="Y306" s="167" t="str">
        <f>IFERROR(_xlfn.XLOOKUP($A306,Input_Raw!$A:$A,Input_Raw!BJ:BJ),"")</f>
        <v/>
      </c>
      <c r="Z306" s="167" t="str">
        <f>IFERROR(_xlfn.XLOOKUP($A306,Input_Raw!$A:$A,Input_Raw!BK:BK),"")</f>
        <v/>
      </c>
      <c r="AA306" s="167" t="str">
        <f>IFERROR(_xlfn.XLOOKUP($A306,Input_Raw!$A:$A,Input_Raw!BL:BL),"")</f>
        <v/>
      </c>
      <c r="AB306" s="167" t="str">
        <f>IFERROR(_xlfn.XLOOKUP($A306,Input_Raw!$A:$A,Input_Raw!$BO:$BO),"")</f>
        <v/>
      </c>
      <c r="AC306" s="176">
        <f>IFERROR(_xlfn.XLOOKUP($D306,'Modelling New'!$D:$D,'Modelling New'!$J:$J),"")</f>
        <v>5.57</v>
      </c>
      <c r="AD306" s="166">
        <f>IFERROR(_xlfn.XLOOKUP($D306,'Modelling New'!$D:$D,'Modelling New'!$T:$T)*1000,"")</f>
        <v>613380.19779310341</v>
      </c>
      <c r="AE306" s="174"/>
      <c r="AF306" s="174">
        <f>IFERROR(_xlfn.XLOOKUP($D306,'Modelling New'!$D:$D,'Modelling New'!$W:$W),"")</f>
        <v>0.36406706896551722</v>
      </c>
      <c r="AG306" s="174">
        <f>IFERROR(_xlfn.XLOOKUP($D306,'Modelling New'!$D:$D,'Modelling New'!$AE:$AE),"")</f>
        <v>0.96029999999999993</v>
      </c>
      <c r="AH306" s="174">
        <f>IFERROR(_xlfn.XLOOKUP($D306,'Modelling New'!$D:$D,'Modelling New'!$AF:$AF),"")</f>
        <v>0.995</v>
      </c>
      <c r="AI306" s="177" t="str">
        <f>IFERROR(_xlfn.XLOOKUP($A306,Input_Raw!$A:$A,Input_Raw!$BQ:$BQ),"")</f>
        <v/>
      </c>
      <c r="AJ306" s="167"/>
      <c r="AK306" s="167"/>
      <c r="AL306" s="167"/>
      <c r="AM306" s="167"/>
      <c r="AN306" s="175" t="str">
        <f>IFERROR(_xlfn.XLOOKUP($A306,Input_Raw!$A:$A,Input_Raw!$BN:$BN),"")</f>
        <v/>
      </c>
      <c r="AO306" s="174" t="str">
        <f>IFERROR((_xlfn.XLOOKUP($A306,'WTG Reactive Power'!$A:$A,'WTG Reactive Power'!$AE:$AE))/Table13[[#This Row],[Gen_Exp (kWh)]],"")</f>
        <v/>
      </c>
      <c r="AP306" s="174">
        <f>IFERROR(_xlfn.XLOOKUP($D306,'Modelling New'!$D:$D,'Modelling New'!$AK:$AK),"")</f>
        <v>0.05</v>
      </c>
      <c r="AQ306" s="174">
        <f>IFERROR(_xlfn.XLOOKUP($D306,'Modelling New'!$D:$D,'Modelling New'!$AL:$AL),"")</f>
        <v>0.05</v>
      </c>
      <c r="AR306" s="276">
        <f>IFERROR(_xlfn.XLOOKUP($D306,'Modelling New'!$D:$D,'Modelling New'!$N:$N),"")</f>
        <v>70.2</v>
      </c>
      <c r="AS306" s="276"/>
    </row>
    <row r="307" spans="1:45">
      <c r="A307" s="165">
        <f t="shared" si="23"/>
        <v>46050</v>
      </c>
      <c r="B307" s="166">
        <f>YEAR(Table13[[#This Row],[Date]])+IF(MONTH(Table13[[#This Row],[Date]])&gt;=4,1,0)</f>
        <v>2026</v>
      </c>
      <c r="C307" s="167">
        <f>YEAR(Table13[[#This Row],[Date]])</f>
        <v>2026</v>
      </c>
      <c r="D307" s="168">
        <f>Table13[[#This Row],[Date]]-DAY(Table13[[#This Row],[Date]])+1</f>
        <v>46023</v>
      </c>
      <c r="E307" s="167">
        <f t="shared" si="20"/>
        <v>31</v>
      </c>
      <c r="F307" s="169"/>
      <c r="G307" s="176"/>
      <c r="H307" s="176"/>
      <c r="I307" s="176"/>
      <c r="J307" s="176"/>
      <c r="K307" s="171"/>
      <c r="L307" s="170"/>
      <c r="M307" s="170" t="str">
        <f>IFERROR(_xlfn.XLOOKUP($A307,Input_Raw!$A:$A,Input_Raw!BG:BG),"")</f>
        <v/>
      </c>
      <c r="N307" s="170" t="str">
        <f>IFERROR(_xlfn.XLOOKUP($A307,Input_Raw!$A:$A,Input_Raw!BH:BH),"")</f>
        <v/>
      </c>
      <c r="O307" s="173" t="str">
        <f t="shared" si="21"/>
        <v/>
      </c>
      <c r="P307" s="173" t="str">
        <f>IFERROR(1-SUMIF(WTG_BD!$F:$F,$A307,WTG_BD!$AA:$AA)/($AA307+SUMIF(WTG_BD!$F:$F,$A307,WTG_BD!$AA:$AA)),"")</f>
        <v/>
      </c>
      <c r="Q307" s="173" t="str">
        <f>IFERROR(1-SUMIF(IGA_BD!$F:$F,$A307,IGA_BD!$X:$X)/($AA307+SUMIF(IGA_BD!$F:$F,$A307,IGA_BD!$X:$X)),"")</f>
        <v/>
      </c>
      <c r="R307" s="173" t="str">
        <f>IFERROR(1-SUMIF(Grid_BD!$F:$F,$A307,Grid_BD!$Y:$Y)/($AA307+SUMIF(Grid_BD!$F:$F,$A307,Grid_BD!$Y:$Y)),"")</f>
        <v/>
      </c>
      <c r="S307" s="167"/>
      <c r="T307" s="172"/>
      <c r="U307" s="173"/>
      <c r="V307" s="167"/>
      <c r="W307" s="174" t="str">
        <f t="shared" si="22"/>
        <v/>
      </c>
      <c r="X307" s="167" t="str">
        <f>IFERROR(_xlfn.XLOOKUP($A307,Input_Raw!$A:$A,Input_Raw!$BF:$BF),"")</f>
        <v/>
      </c>
      <c r="Y307" s="167" t="str">
        <f>IFERROR(_xlfn.XLOOKUP($A307,Input_Raw!$A:$A,Input_Raw!BJ:BJ),"")</f>
        <v/>
      </c>
      <c r="Z307" s="167" t="str">
        <f>IFERROR(_xlfn.XLOOKUP($A307,Input_Raw!$A:$A,Input_Raw!BK:BK),"")</f>
        <v/>
      </c>
      <c r="AA307" s="167" t="str">
        <f>IFERROR(_xlfn.XLOOKUP($A307,Input_Raw!$A:$A,Input_Raw!BL:BL),"")</f>
        <v/>
      </c>
      <c r="AB307" s="167" t="str">
        <f>IFERROR(_xlfn.XLOOKUP($A307,Input_Raw!$A:$A,Input_Raw!$BO:$BO),"")</f>
        <v/>
      </c>
      <c r="AC307" s="176">
        <f>IFERROR(_xlfn.XLOOKUP($D307,'Modelling New'!$D:$D,'Modelling New'!$J:$J),"")</f>
        <v>5.57</v>
      </c>
      <c r="AD307" s="166">
        <f>IFERROR(_xlfn.XLOOKUP($D307,'Modelling New'!$D:$D,'Modelling New'!$T:$T)*1000,"")</f>
        <v>613380.19779310341</v>
      </c>
      <c r="AE307" s="174"/>
      <c r="AF307" s="174">
        <f>IFERROR(_xlfn.XLOOKUP($D307,'Modelling New'!$D:$D,'Modelling New'!$W:$W),"")</f>
        <v>0.36406706896551722</v>
      </c>
      <c r="AG307" s="174">
        <f>IFERROR(_xlfn.XLOOKUP($D307,'Modelling New'!$D:$D,'Modelling New'!$AE:$AE),"")</f>
        <v>0.96029999999999993</v>
      </c>
      <c r="AH307" s="174">
        <f>IFERROR(_xlfn.XLOOKUP($D307,'Modelling New'!$D:$D,'Modelling New'!$AF:$AF),"")</f>
        <v>0.995</v>
      </c>
      <c r="AI307" s="177" t="str">
        <f>IFERROR(_xlfn.XLOOKUP($A307,Input_Raw!$A:$A,Input_Raw!$BQ:$BQ),"")</f>
        <v/>
      </c>
      <c r="AJ307" s="167"/>
      <c r="AK307" s="167"/>
      <c r="AL307" s="167"/>
      <c r="AM307" s="167"/>
      <c r="AN307" s="175" t="str">
        <f>IFERROR(_xlfn.XLOOKUP($A307,Input_Raw!$A:$A,Input_Raw!$BN:$BN),"")</f>
        <v/>
      </c>
      <c r="AO307" s="174" t="str">
        <f>IFERROR((_xlfn.XLOOKUP($A307,'WTG Reactive Power'!$A:$A,'WTG Reactive Power'!$AE:$AE))/Table13[[#This Row],[Gen_Exp (kWh)]],"")</f>
        <v/>
      </c>
      <c r="AP307" s="174">
        <f>IFERROR(_xlfn.XLOOKUP($D307,'Modelling New'!$D:$D,'Modelling New'!$AK:$AK),"")</f>
        <v>0.05</v>
      </c>
      <c r="AQ307" s="174">
        <f>IFERROR(_xlfn.XLOOKUP($D307,'Modelling New'!$D:$D,'Modelling New'!$AL:$AL),"")</f>
        <v>0.05</v>
      </c>
      <c r="AR307" s="276">
        <f>IFERROR(_xlfn.XLOOKUP($D307,'Modelling New'!$D:$D,'Modelling New'!$N:$N),"")</f>
        <v>70.2</v>
      </c>
      <c r="AS307" s="276"/>
    </row>
    <row r="308" spans="1:45">
      <c r="A308" s="165">
        <f t="shared" si="23"/>
        <v>46051</v>
      </c>
      <c r="B308" s="166">
        <f>YEAR(Table13[[#This Row],[Date]])+IF(MONTH(Table13[[#This Row],[Date]])&gt;=4,1,0)</f>
        <v>2026</v>
      </c>
      <c r="C308" s="167">
        <f>YEAR(Table13[[#This Row],[Date]])</f>
        <v>2026</v>
      </c>
      <c r="D308" s="168">
        <f>Table13[[#This Row],[Date]]-DAY(Table13[[#This Row],[Date]])+1</f>
        <v>46023</v>
      </c>
      <c r="E308" s="167">
        <f t="shared" si="20"/>
        <v>31</v>
      </c>
      <c r="F308" s="169"/>
      <c r="G308" s="170"/>
      <c r="H308" s="170"/>
      <c r="I308" s="170"/>
      <c r="J308" s="170"/>
      <c r="K308" s="171"/>
      <c r="L308" s="170"/>
      <c r="M308" s="170" t="str">
        <f>IFERROR(_xlfn.XLOOKUP($A308,Input_Raw!$A:$A,Input_Raw!BG:BG),"")</f>
        <v/>
      </c>
      <c r="N308" s="170" t="str">
        <f>IFERROR(_xlfn.XLOOKUP($A308,Input_Raw!$A:$A,Input_Raw!BH:BH),"")</f>
        <v/>
      </c>
      <c r="O308" s="173" t="str">
        <f t="shared" si="21"/>
        <v/>
      </c>
      <c r="P308" s="173" t="str">
        <f>IFERROR(1-SUMIF(WTG_BD!$F:$F,$A308,WTG_BD!$AA:$AA)/($AA308+SUMIF(WTG_BD!$F:$F,$A308,WTG_BD!$AA:$AA)),"")</f>
        <v/>
      </c>
      <c r="Q308" s="173" t="str">
        <f>IFERROR(1-SUMIF(IGA_BD!$F:$F,$A308,IGA_BD!$X:$X)/($AA308+SUMIF(IGA_BD!$F:$F,$A308,IGA_BD!$X:$X)),"")</f>
        <v/>
      </c>
      <c r="R308" s="173" t="str">
        <f>IFERROR(1-SUMIF(Grid_BD!$F:$F,$A308,Grid_BD!$Y:$Y)/($AA308+SUMIF(Grid_BD!$F:$F,$A308,Grid_BD!$Y:$Y)),"")</f>
        <v/>
      </c>
      <c r="S308" s="167"/>
      <c r="T308" s="172"/>
      <c r="U308" s="173"/>
      <c r="V308" s="167"/>
      <c r="W308" s="174" t="str">
        <f t="shared" si="22"/>
        <v/>
      </c>
      <c r="X308" s="167" t="str">
        <f>IFERROR(_xlfn.XLOOKUP($A308,Input_Raw!$A:$A,Input_Raw!$BF:$BF),"")</f>
        <v/>
      </c>
      <c r="Y308" s="167" t="str">
        <f>IFERROR(_xlfn.XLOOKUP($A308,Input_Raw!$A:$A,Input_Raw!BJ:BJ),"")</f>
        <v/>
      </c>
      <c r="Z308" s="167" t="str">
        <f>IFERROR(_xlfn.XLOOKUP($A308,Input_Raw!$A:$A,Input_Raw!BK:BK),"")</f>
        <v/>
      </c>
      <c r="AA308" s="167" t="str">
        <f>IFERROR(_xlfn.XLOOKUP($A308,Input_Raw!$A:$A,Input_Raw!BL:BL),"")</f>
        <v/>
      </c>
      <c r="AB308" s="167" t="str">
        <f>IFERROR(_xlfn.XLOOKUP($A308,Input_Raw!$A:$A,Input_Raw!$BO:$BO),"")</f>
        <v/>
      </c>
      <c r="AC308" s="176">
        <f>IFERROR(_xlfn.XLOOKUP($D308,'Modelling New'!$D:$D,'Modelling New'!$J:$J),"")</f>
        <v>5.57</v>
      </c>
      <c r="AD308" s="166">
        <f>IFERROR(_xlfn.XLOOKUP($D308,'Modelling New'!$D:$D,'Modelling New'!$T:$T)*1000,"")</f>
        <v>613380.19779310341</v>
      </c>
      <c r="AE308" s="174"/>
      <c r="AF308" s="174">
        <f>IFERROR(_xlfn.XLOOKUP($D308,'Modelling New'!$D:$D,'Modelling New'!$W:$W),"")</f>
        <v>0.36406706896551722</v>
      </c>
      <c r="AG308" s="174">
        <f>IFERROR(_xlfn.XLOOKUP($D308,'Modelling New'!$D:$D,'Modelling New'!$AE:$AE),"")</f>
        <v>0.96029999999999993</v>
      </c>
      <c r="AH308" s="174">
        <f>IFERROR(_xlfn.XLOOKUP($D308,'Modelling New'!$D:$D,'Modelling New'!$AF:$AF),"")</f>
        <v>0.995</v>
      </c>
      <c r="AI308" s="177" t="str">
        <f>IFERROR(_xlfn.XLOOKUP($A308,Input_Raw!$A:$A,Input_Raw!$BQ:$BQ),"")</f>
        <v/>
      </c>
      <c r="AJ308" s="167"/>
      <c r="AK308" s="167"/>
      <c r="AL308" s="167"/>
      <c r="AM308" s="167"/>
      <c r="AN308" s="175" t="str">
        <f>IFERROR(_xlfn.XLOOKUP($A308,Input_Raw!$A:$A,Input_Raw!$BN:$BN),"")</f>
        <v/>
      </c>
      <c r="AO308" s="174" t="str">
        <f>IFERROR((_xlfn.XLOOKUP($A308,'WTG Reactive Power'!$A:$A,'WTG Reactive Power'!$AE:$AE))/Table13[[#This Row],[Gen_Exp (kWh)]],"")</f>
        <v/>
      </c>
      <c r="AP308" s="174">
        <f>IFERROR(_xlfn.XLOOKUP($D308,'Modelling New'!$D:$D,'Modelling New'!$AK:$AK),"")</f>
        <v>0.05</v>
      </c>
      <c r="AQ308" s="174">
        <f>IFERROR(_xlfn.XLOOKUP($D308,'Modelling New'!$D:$D,'Modelling New'!$AL:$AL),"")</f>
        <v>0.05</v>
      </c>
      <c r="AR308" s="276">
        <f>IFERROR(_xlfn.XLOOKUP($D308,'Modelling New'!$D:$D,'Modelling New'!$N:$N),"")</f>
        <v>70.2</v>
      </c>
      <c r="AS308" s="276"/>
    </row>
    <row r="309" spans="1:45">
      <c r="A309" s="165">
        <f t="shared" si="23"/>
        <v>46052</v>
      </c>
      <c r="B309" s="166">
        <f>YEAR(Table13[[#This Row],[Date]])+IF(MONTH(Table13[[#This Row],[Date]])&gt;=4,1,0)</f>
        <v>2026</v>
      </c>
      <c r="C309" s="167">
        <f>YEAR(Table13[[#This Row],[Date]])</f>
        <v>2026</v>
      </c>
      <c r="D309" s="168">
        <f>Table13[[#This Row],[Date]]-DAY(Table13[[#This Row],[Date]])+1</f>
        <v>46023</v>
      </c>
      <c r="E309" s="167">
        <f t="shared" si="20"/>
        <v>31</v>
      </c>
      <c r="F309" s="169"/>
      <c r="G309" s="176"/>
      <c r="H309" s="176"/>
      <c r="I309" s="176"/>
      <c r="J309" s="176"/>
      <c r="K309" s="171"/>
      <c r="L309" s="170"/>
      <c r="M309" s="170" t="str">
        <f>IFERROR(_xlfn.XLOOKUP($A309,Input_Raw!$A:$A,Input_Raw!BG:BG),"")</f>
        <v/>
      </c>
      <c r="N309" s="170" t="str">
        <f>IFERROR(_xlfn.XLOOKUP($A309,Input_Raw!$A:$A,Input_Raw!BH:BH),"")</f>
        <v/>
      </c>
      <c r="O309" s="173" t="str">
        <f t="shared" si="21"/>
        <v/>
      </c>
      <c r="P309" s="173" t="str">
        <f>IFERROR(1-SUMIF(WTG_BD!$F:$F,$A309,WTG_BD!$AA:$AA)/($AA309+SUMIF(WTG_BD!$F:$F,$A309,WTG_BD!$AA:$AA)),"")</f>
        <v/>
      </c>
      <c r="Q309" s="173" t="str">
        <f>IFERROR(1-SUMIF(IGA_BD!$F:$F,$A309,IGA_BD!$X:$X)/($AA309+SUMIF(IGA_BD!$F:$F,$A309,IGA_BD!$X:$X)),"")</f>
        <v/>
      </c>
      <c r="R309" s="173" t="str">
        <f>IFERROR(1-SUMIF(Grid_BD!$F:$F,$A309,Grid_BD!$Y:$Y)/($AA309+SUMIF(Grid_BD!$F:$F,$A309,Grid_BD!$Y:$Y)),"")</f>
        <v/>
      </c>
      <c r="S309" s="167"/>
      <c r="T309" s="172"/>
      <c r="U309" s="173"/>
      <c r="V309" s="167"/>
      <c r="W309" s="174" t="str">
        <f t="shared" si="22"/>
        <v/>
      </c>
      <c r="X309" s="167" t="str">
        <f>IFERROR(_xlfn.XLOOKUP($A309,Input_Raw!$A:$A,Input_Raw!$BF:$BF),"")</f>
        <v/>
      </c>
      <c r="Y309" s="167" t="str">
        <f>IFERROR(_xlfn.XLOOKUP($A309,Input_Raw!$A:$A,Input_Raw!BJ:BJ),"")</f>
        <v/>
      </c>
      <c r="Z309" s="167" t="str">
        <f>IFERROR(_xlfn.XLOOKUP($A309,Input_Raw!$A:$A,Input_Raw!BK:BK),"")</f>
        <v/>
      </c>
      <c r="AA309" s="167" t="str">
        <f>IFERROR(_xlfn.XLOOKUP($A309,Input_Raw!$A:$A,Input_Raw!BL:BL),"")</f>
        <v/>
      </c>
      <c r="AB309" s="167" t="str">
        <f>IFERROR(_xlfn.XLOOKUP($A309,Input_Raw!$A:$A,Input_Raw!$BO:$BO),"")</f>
        <v/>
      </c>
      <c r="AC309" s="176">
        <f>IFERROR(_xlfn.XLOOKUP($D309,'Modelling New'!$D:$D,'Modelling New'!$J:$J),"")</f>
        <v>5.57</v>
      </c>
      <c r="AD309" s="166">
        <f>IFERROR(_xlfn.XLOOKUP($D309,'Modelling New'!$D:$D,'Modelling New'!$T:$T)*1000,"")</f>
        <v>613380.19779310341</v>
      </c>
      <c r="AE309" s="174"/>
      <c r="AF309" s="174">
        <f>IFERROR(_xlfn.XLOOKUP($D309,'Modelling New'!$D:$D,'Modelling New'!$W:$W),"")</f>
        <v>0.36406706896551722</v>
      </c>
      <c r="AG309" s="174">
        <f>IFERROR(_xlfn.XLOOKUP($D309,'Modelling New'!$D:$D,'Modelling New'!$AE:$AE),"")</f>
        <v>0.96029999999999993</v>
      </c>
      <c r="AH309" s="174">
        <f>IFERROR(_xlfn.XLOOKUP($D309,'Modelling New'!$D:$D,'Modelling New'!$AF:$AF),"")</f>
        <v>0.995</v>
      </c>
      <c r="AI309" s="177" t="str">
        <f>IFERROR(_xlfn.XLOOKUP($A309,Input_Raw!$A:$A,Input_Raw!$BQ:$BQ),"")</f>
        <v/>
      </c>
      <c r="AJ309" s="167"/>
      <c r="AK309" s="167"/>
      <c r="AL309" s="167"/>
      <c r="AM309" s="167"/>
      <c r="AN309" s="175" t="str">
        <f>IFERROR(_xlfn.XLOOKUP($A309,Input_Raw!$A:$A,Input_Raw!$BN:$BN),"")</f>
        <v/>
      </c>
      <c r="AO309" s="174" t="str">
        <f>IFERROR((_xlfn.XLOOKUP($A309,'WTG Reactive Power'!$A:$A,'WTG Reactive Power'!$AE:$AE))/Table13[[#This Row],[Gen_Exp (kWh)]],"")</f>
        <v/>
      </c>
      <c r="AP309" s="174">
        <f>IFERROR(_xlfn.XLOOKUP($D309,'Modelling New'!$D:$D,'Modelling New'!$AK:$AK),"")</f>
        <v>0.05</v>
      </c>
      <c r="AQ309" s="174">
        <f>IFERROR(_xlfn.XLOOKUP($D309,'Modelling New'!$D:$D,'Modelling New'!$AL:$AL),"")</f>
        <v>0.05</v>
      </c>
      <c r="AR309" s="276">
        <f>IFERROR(_xlfn.XLOOKUP($D309,'Modelling New'!$D:$D,'Modelling New'!$N:$N),"")</f>
        <v>70.2</v>
      </c>
      <c r="AS309" s="276"/>
    </row>
    <row r="310" spans="1:45">
      <c r="A310" s="165">
        <f t="shared" si="23"/>
        <v>46053</v>
      </c>
      <c r="B310" s="166">
        <f>YEAR(Table13[[#This Row],[Date]])+IF(MONTH(Table13[[#This Row],[Date]])&gt;=4,1,0)</f>
        <v>2026</v>
      </c>
      <c r="C310" s="167">
        <f>YEAR(Table13[[#This Row],[Date]])</f>
        <v>2026</v>
      </c>
      <c r="D310" s="168">
        <f>Table13[[#This Row],[Date]]-DAY(Table13[[#This Row],[Date]])+1</f>
        <v>46023</v>
      </c>
      <c r="E310" s="167">
        <f t="shared" si="20"/>
        <v>31</v>
      </c>
      <c r="F310" s="169"/>
      <c r="G310" s="170"/>
      <c r="H310" s="170"/>
      <c r="I310" s="170"/>
      <c r="J310" s="170"/>
      <c r="K310" s="171"/>
      <c r="L310" s="170"/>
      <c r="M310" s="170" t="str">
        <f>IFERROR(_xlfn.XLOOKUP($A310,Input_Raw!$A:$A,Input_Raw!BG:BG),"")</f>
        <v/>
      </c>
      <c r="N310" s="170" t="str">
        <f>IFERROR(_xlfn.XLOOKUP($A310,Input_Raw!$A:$A,Input_Raw!BH:BH),"")</f>
        <v/>
      </c>
      <c r="O310" s="173" t="str">
        <f t="shared" si="21"/>
        <v/>
      </c>
      <c r="P310" s="173" t="str">
        <f>IFERROR(1-SUMIF(WTG_BD!$F:$F,$A310,WTG_BD!$AA:$AA)/($AA310+SUMIF(WTG_BD!$F:$F,$A310,WTG_BD!$AA:$AA)),"")</f>
        <v/>
      </c>
      <c r="Q310" s="173" t="str">
        <f>IFERROR(1-SUMIF(IGA_BD!$F:$F,$A310,IGA_BD!$X:$X)/($AA310+SUMIF(IGA_BD!$F:$F,$A310,IGA_BD!$X:$X)),"")</f>
        <v/>
      </c>
      <c r="R310" s="173" t="str">
        <f>IFERROR(1-SUMIF(Grid_BD!$F:$F,$A310,Grid_BD!$Y:$Y)/($AA310+SUMIF(Grid_BD!$F:$F,$A310,Grid_BD!$Y:$Y)),"")</f>
        <v/>
      </c>
      <c r="S310" s="167"/>
      <c r="T310" s="172"/>
      <c r="U310" s="173"/>
      <c r="V310" s="167"/>
      <c r="W310" s="174" t="str">
        <f t="shared" si="22"/>
        <v/>
      </c>
      <c r="X310" s="167" t="str">
        <f>IFERROR(_xlfn.XLOOKUP($A310,Input_Raw!$A:$A,Input_Raw!$BF:$BF),"")</f>
        <v/>
      </c>
      <c r="Y310" s="167" t="str">
        <f>IFERROR(_xlfn.XLOOKUP($A310,Input_Raw!$A:$A,Input_Raw!BJ:BJ),"")</f>
        <v/>
      </c>
      <c r="Z310" s="167" t="str">
        <f>IFERROR(_xlfn.XLOOKUP($A310,Input_Raw!$A:$A,Input_Raw!BK:BK),"")</f>
        <v/>
      </c>
      <c r="AA310" s="167" t="str">
        <f>IFERROR(_xlfn.XLOOKUP($A310,Input_Raw!$A:$A,Input_Raw!BL:BL),"")</f>
        <v/>
      </c>
      <c r="AB310" s="167" t="str">
        <f>IFERROR(_xlfn.XLOOKUP($A310,Input_Raw!$A:$A,Input_Raw!$BO:$BO),"")</f>
        <v/>
      </c>
      <c r="AC310" s="176">
        <f>IFERROR(_xlfn.XLOOKUP($D310,'Modelling New'!$D:$D,'Modelling New'!$J:$J),"")</f>
        <v>5.57</v>
      </c>
      <c r="AD310" s="166">
        <f>IFERROR(_xlfn.XLOOKUP($D310,'Modelling New'!$D:$D,'Modelling New'!$T:$T)*1000,"")</f>
        <v>613380.19779310341</v>
      </c>
      <c r="AE310" s="174"/>
      <c r="AF310" s="174">
        <f>IFERROR(_xlfn.XLOOKUP($D310,'Modelling New'!$D:$D,'Modelling New'!$W:$W),"")</f>
        <v>0.36406706896551722</v>
      </c>
      <c r="AG310" s="174">
        <f>IFERROR(_xlfn.XLOOKUP($D310,'Modelling New'!$D:$D,'Modelling New'!$AE:$AE),"")</f>
        <v>0.96029999999999993</v>
      </c>
      <c r="AH310" s="174">
        <f>IFERROR(_xlfn.XLOOKUP($D310,'Modelling New'!$D:$D,'Modelling New'!$AF:$AF),"")</f>
        <v>0.995</v>
      </c>
      <c r="AI310" s="177" t="str">
        <f>IFERROR(_xlfn.XLOOKUP($A310,Input_Raw!$A:$A,Input_Raw!$BQ:$BQ),"")</f>
        <v/>
      </c>
      <c r="AJ310" s="167"/>
      <c r="AK310" s="167"/>
      <c r="AL310" s="167"/>
      <c r="AM310" s="167"/>
      <c r="AN310" s="175" t="str">
        <f>IFERROR(_xlfn.XLOOKUP($A310,Input_Raw!$A:$A,Input_Raw!$BN:$BN),"")</f>
        <v/>
      </c>
      <c r="AO310" s="174" t="str">
        <f>IFERROR((_xlfn.XLOOKUP($A310,'WTG Reactive Power'!$A:$A,'WTG Reactive Power'!$AE:$AE))/Table13[[#This Row],[Gen_Exp (kWh)]],"")</f>
        <v/>
      </c>
      <c r="AP310" s="174">
        <f>IFERROR(_xlfn.XLOOKUP($D310,'Modelling New'!$D:$D,'Modelling New'!$AK:$AK),"")</f>
        <v>0.05</v>
      </c>
      <c r="AQ310" s="174">
        <f>IFERROR(_xlfn.XLOOKUP($D310,'Modelling New'!$D:$D,'Modelling New'!$AL:$AL),"")</f>
        <v>0.05</v>
      </c>
      <c r="AR310" s="276">
        <f>IFERROR(_xlfn.XLOOKUP($D310,'Modelling New'!$D:$D,'Modelling New'!$N:$N),"")</f>
        <v>70.2</v>
      </c>
      <c r="AS310" s="276"/>
    </row>
    <row r="311" spans="1:45">
      <c r="A311" s="165">
        <f t="shared" si="23"/>
        <v>46054</v>
      </c>
      <c r="B311" s="166">
        <f>YEAR(Table13[[#This Row],[Date]])+IF(MONTH(Table13[[#This Row],[Date]])&gt;=4,1,0)</f>
        <v>2026</v>
      </c>
      <c r="C311" s="167">
        <f>YEAR(Table13[[#This Row],[Date]])</f>
        <v>2026</v>
      </c>
      <c r="D311" s="168">
        <f>Table13[[#This Row],[Date]]-DAY(Table13[[#This Row],[Date]])+1</f>
        <v>46054</v>
      </c>
      <c r="E311" s="167">
        <f t="shared" si="20"/>
        <v>28</v>
      </c>
      <c r="F311" s="169"/>
      <c r="G311" s="176"/>
      <c r="H311" s="176"/>
      <c r="I311" s="176"/>
      <c r="J311" s="176"/>
      <c r="K311" s="171"/>
      <c r="L311" s="170"/>
      <c r="M311" s="170" t="str">
        <f>IFERROR(_xlfn.XLOOKUP($A311,Input_Raw!$A:$A,Input_Raw!BG:BG),"")</f>
        <v/>
      </c>
      <c r="N311" s="170" t="str">
        <f>IFERROR(_xlfn.XLOOKUP($A311,Input_Raw!$A:$A,Input_Raw!BH:BH),"")</f>
        <v/>
      </c>
      <c r="O311" s="173" t="str">
        <f t="shared" si="21"/>
        <v/>
      </c>
      <c r="P311" s="173" t="str">
        <f>IFERROR(1-SUMIF(WTG_BD!$F:$F,$A311,WTG_BD!$AA:$AA)/($AA311+SUMIF(WTG_BD!$F:$F,$A311,WTG_BD!$AA:$AA)),"")</f>
        <v/>
      </c>
      <c r="Q311" s="173" t="str">
        <f>IFERROR(1-SUMIF(IGA_BD!$F:$F,$A311,IGA_BD!$X:$X)/($AA311+SUMIF(IGA_BD!$F:$F,$A311,IGA_BD!$X:$X)),"")</f>
        <v/>
      </c>
      <c r="R311" s="173" t="str">
        <f>IFERROR(1-SUMIF(Grid_BD!$F:$F,$A311,Grid_BD!$Y:$Y)/($AA311+SUMIF(Grid_BD!$F:$F,$A311,Grid_BD!$Y:$Y)),"")</f>
        <v/>
      </c>
      <c r="S311" s="167"/>
      <c r="T311" s="172"/>
      <c r="U311" s="173"/>
      <c r="V311" s="167"/>
      <c r="W311" s="174" t="str">
        <f t="shared" si="22"/>
        <v/>
      </c>
      <c r="X311" s="167" t="str">
        <f>IFERROR(_xlfn.XLOOKUP($A311,Input_Raw!$A:$A,Input_Raw!$BF:$BF),"")</f>
        <v/>
      </c>
      <c r="Y311" s="167" t="str">
        <f>IFERROR(_xlfn.XLOOKUP($A311,Input_Raw!$A:$A,Input_Raw!BJ:BJ),"")</f>
        <v/>
      </c>
      <c r="Z311" s="167" t="str">
        <f>IFERROR(_xlfn.XLOOKUP($A311,Input_Raw!$A:$A,Input_Raw!BK:BK),"")</f>
        <v/>
      </c>
      <c r="AA311" s="167" t="str">
        <f>IFERROR(_xlfn.XLOOKUP($A311,Input_Raw!$A:$A,Input_Raw!BL:BL),"")</f>
        <v/>
      </c>
      <c r="AB311" s="167" t="str">
        <f>IFERROR(_xlfn.XLOOKUP($A311,Input_Raw!$A:$A,Input_Raw!$BO:$BO),"")</f>
        <v/>
      </c>
      <c r="AC311" s="176">
        <f>IFERROR(_xlfn.XLOOKUP($D311,'Modelling New'!$D:$D,'Modelling New'!$J:$J),"")</f>
        <v>5.52</v>
      </c>
      <c r="AD311" s="166">
        <f>IFERROR(_xlfn.XLOOKUP($D311,'Modelling New'!$D:$D,'Modelling New'!$T:$T)*1000,"")</f>
        <v>522509.05737931043</v>
      </c>
      <c r="AE311" s="174"/>
      <c r="AF311" s="174">
        <f>IFERROR(_xlfn.XLOOKUP($D311,'Modelling New'!$D:$D,'Modelling New'!$W:$W),"")</f>
        <v>0.31013120689655177</v>
      </c>
      <c r="AG311" s="174">
        <f>IFERROR(_xlfn.XLOOKUP($D311,'Modelling New'!$D:$D,'Modelling New'!$AE:$AE),"")</f>
        <v>0.96029999999999993</v>
      </c>
      <c r="AH311" s="174">
        <f>IFERROR(_xlfn.XLOOKUP($D311,'Modelling New'!$D:$D,'Modelling New'!$AF:$AF),"")</f>
        <v>0.995</v>
      </c>
      <c r="AI311" s="177" t="str">
        <f>IFERROR(_xlfn.XLOOKUP($A311,Input_Raw!$A:$A,Input_Raw!$BQ:$BQ),"")</f>
        <v/>
      </c>
      <c r="AJ311" s="167"/>
      <c r="AK311" s="167"/>
      <c r="AL311" s="167"/>
      <c r="AM311" s="167"/>
      <c r="AN311" s="175" t="str">
        <f>IFERROR(_xlfn.XLOOKUP($A311,Input_Raw!$A:$A,Input_Raw!$BN:$BN),"")</f>
        <v/>
      </c>
      <c r="AO311" s="174" t="str">
        <f>IFERROR((_xlfn.XLOOKUP($A311,'WTG Reactive Power'!$A:$A,'WTG Reactive Power'!$AE:$AE))/Table13[[#This Row],[Gen_Exp (kWh)]],"")</f>
        <v/>
      </c>
      <c r="AP311" s="174">
        <f>IFERROR(_xlfn.XLOOKUP($D311,'Modelling New'!$D:$D,'Modelling New'!$AK:$AK),"")</f>
        <v>0.05</v>
      </c>
      <c r="AQ311" s="174">
        <f>IFERROR(_xlfn.XLOOKUP($D311,'Modelling New'!$D:$D,'Modelling New'!$AL:$AL),"")</f>
        <v>0.05</v>
      </c>
      <c r="AR311" s="276">
        <f>IFERROR(_xlfn.XLOOKUP($D311,'Modelling New'!$D:$D,'Modelling New'!$N:$N),"")</f>
        <v>70.2</v>
      </c>
      <c r="AS311" s="276"/>
    </row>
    <row r="312" spans="1:45">
      <c r="A312" s="165">
        <f t="shared" si="23"/>
        <v>46055</v>
      </c>
      <c r="B312" s="166">
        <f>YEAR(Table13[[#This Row],[Date]])+IF(MONTH(Table13[[#This Row],[Date]])&gt;=4,1,0)</f>
        <v>2026</v>
      </c>
      <c r="C312" s="167">
        <f>YEAR(Table13[[#This Row],[Date]])</f>
        <v>2026</v>
      </c>
      <c r="D312" s="168">
        <f>Table13[[#This Row],[Date]]-DAY(Table13[[#This Row],[Date]])+1</f>
        <v>46054</v>
      </c>
      <c r="E312" s="167">
        <f t="shared" si="20"/>
        <v>28</v>
      </c>
      <c r="F312" s="169"/>
      <c r="G312" s="170"/>
      <c r="H312" s="170"/>
      <c r="I312" s="170"/>
      <c r="J312" s="170"/>
      <c r="K312" s="171"/>
      <c r="L312" s="170"/>
      <c r="M312" s="170" t="str">
        <f>IFERROR(_xlfn.XLOOKUP($A312,Input_Raw!$A:$A,Input_Raw!BG:BG),"")</f>
        <v/>
      </c>
      <c r="N312" s="170" t="str">
        <f>IFERROR(_xlfn.XLOOKUP($A312,Input_Raw!$A:$A,Input_Raw!BH:BH),"")</f>
        <v/>
      </c>
      <c r="O312" s="173" t="str">
        <f t="shared" si="21"/>
        <v/>
      </c>
      <c r="P312" s="173" t="str">
        <f>IFERROR(1-SUMIF(WTG_BD!$F:$F,$A312,WTG_BD!$AA:$AA)/($AA312+SUMIF(WTG_BD!$F:$F,$A312,WTG_BD!$AA:$AA)),"")</f>
        <v/>
      </c>
      <c r="Q312" s="173" t="str">
        <f>IFERROR(1-SUMIF(IGA_BD!$F:$F,$A312,IGA_BD!$X:$X)/($AA312+SUMIF(IGA_BD!$F:$F,$A312,IGA_BD!$X:$X)),"")</f>
        <v/>
      </c>
      <c r="R312" s="173" t="str">
        <f>IFERROR(1-SUMIF(Grid_BD!$F:$F,$A312,Grid_BD!$Y:$Y)/($AA312+SUMIF(Grid_BD!$F:$F,$A312,Grid_BD!$Y:$Y)),"")</f>
        <v/>
      </c>
      <c r="S312" s="167"/>
      <c r="T312" s="172"/>
      <c r="U312" s="173"/>
      <c r="V312" s="167"/>
      <c r="W312" s="174" t="str">
        <f t="shared" si="22"/>
        <v/>
      </c>
      <c r="X312" s="167" t="str">
        <f>IFERROR(_xlfn.XLOOKUP($A312,Input_Raw!$A:$A,Input_Raw!$BF:$BF),"")</f>
        <v/>
      </c>
      <c r="Y312" s="167" t="str">
        <f>IFERROR(_xlfn.XLOOKUP($A312,Input_Raw!$A:$A,Input_Raw!BJ:BJ),"")</f>
        <v/>
      </c>
      <c r="Z312" s="167" t="str">
        <f>IFERROR(_xlfn.XLOOKUP($A312,Input_Raw!$A:$A,Input_Raw!BK:BK),"")</f>
        <v/>
      </c>
      <c r="AA312" s="167" t="str">
        <f>IFERROR(_xlfn.XLOOKUP($A312,Input_Raw!$A:$A,Input_Raw!BL:BL),"")</f>
        <v/>
      </c>
      <c r="AB312" s="167" t="str">
        <f>IFERROR(_xlfn.XLOOKUP($A312,Input_Raw!$A:$A,Input_Raw!$BO:$BO),"")</f>
        <v/>
      </c>
      <c r="AC312" s="176">
        <f>IFERROR(_xlfn.XLOOKUP($D312,'Modelling New'!$D:$D,'Modelling New'!$J:$J),"")</f>
        <v>5.52</v>
      </c>
      <c r="AD312" s="166">
        <f>IFERROR(_xlfn.XLOOKUP($D312,'Modelling New'!$D:$D,'Modelling New'!$T:$T)*1000,"")</f>
        <v>522509.05737931043</v>
      </c>
      <c r="AE312" s="174"/>
      <c r="AF312" s="174">
        <f>IFERROR(_xlfn.XLOOKUP($D312,'Modelling New'!$D:$D,'Modelling New'!$W:$W),"")</f>
        <v>0.31013120689655177</v>
      </c>
      <c r="AG312" s="174">
        <f>IFERROR(_xlfn.XLOOKUP($D312,'Modelling New'!$D:$D,'Modelling New'!$AE:$AE),"")</f>
        <v>0.96029999999999993</v>
      </c>
      <c r="AH312" s="174">
        <f>IFERROR(_xlfn.XLOOKUP($D312,'Modelling New'!$D:$D,'Modelling New'!$AF:$AF),"")</f>
        <v>0.995</v>
      </c>
      <c r="AI312" s="177" t="str">
        <f>IFERROR(_xlfn.XLOOKUP($A312,Input_Raw!$A:$A,Input_Raw!$BQ:$BQ),"")</f>
        <v/>
      </c>
      <c r="AJ312" s="167"/>
      <c r="AK312" s="167"/>
      <c r="AL312" s="167"/>
      <c r="AM312" s="167"/>
      <c r="AN312" s="175" t="str">
        <f>IFERROR(_xlfn.XLOOKUP($A312,Input_Raw!$A:$A,Input_Raw!$BN:$BN),"")</f>
        <v/>
      </c>
      <c r="AO312" s="174" t="str">
        <f>IFERROR((_xlfn.XLOOKUP($A312,'WTG Reactive Power'!$A:$A,'WTG Reactive Power'!$AE:$AE))/Table13[[#This Row],[Gen_Exp (kWh)]],"")</f>
        <v/>
      </c>
      <c r="AP312" s="174">
        <f>IFERROR(_xlfn.XLOOKUP($D312,'Modelling New'!$D:$D,'Modelling New'!$AK:$AK),"")</f>
        <v>0.05</v>
      </c>
      <c r="AQ312" s="174">
        <f>IFERROR(_xlfn.XLOOKUP($D312,'Modelling New'!$D:$D,'Modelling New'!$AL:$AL),"")</f>
        <v>0.05</v>
      </c>
      <c r="AR312" s="276">
        <f>IFERROR(_xlfn.XLOOKUP($D312,'Modelling New'!$D:$D,'Modelling New'!$N:$N),"")</f>
        <v>70.2</v>
      </c>
      <c r="AS312" s="276"/>
    </row>
    <row r="313" spans="1:45">
      <c r="A313" s="165">
        <f t="shared" si="23"/>
        <v>46056</v>
      </c>
      <c r="B313" s="166">
        <f>YEAR(Table13[[#This Row],[Date]])+IF(MONTH(Table13[[#This Row],[Date]])&gt;=4,1,0)</f>
        <v>2026</v>
      </c>
      <c r="C313" s="167">
        <f>YEAR(Table13[[#This Row],[Date]])</f>
        <v>2026</v>
      </c>
      <c r="D313" s="168">
        <f>Table13[[#This Row],[Date]]-DAY(Table13[[#This Row],[Date]])+1</f>
        <v>46054</v>
      </c>
      <c r="E313" s="167">
        <f t="shared" si="20"/>
        <v>28</v>
      </c>
      <c r="F313" s="169"/>
      <c r="G313" s="176"/>
      <c r="H313" s="176"/>
      <c r="I313" s="176"/>
      <c r="J313" s="176"/>
      <c r="K313" s="171"/>
      <c r="L313" s="170"/>
      <c r="M313" s="170" t="str">
        <f>IFERROR(_xlfn.XLOOKUP($A313,Input_Raw!$A:$A,Input_Raw!BG:BG),"")</f>
        <v/>
      </c>
      <c r="N313" s="170" t="str">
        <f>IFERROR(_xlfn.XLOOKUP($A313,Input_Raw!$A:$A,Input_Raw!BH:BH),"")</f>
        <v/>
      </c>
      <c r="O313" s="173" t="str">
        <f t="shared" si="21"/>
        <v/>
      </c>
      <c r="P313" s="173" t="str">
        <f>IFERROR(1-SUMIF(WTG_BD!$F:$F,$A313,WTG_BD!$AA:$AA)/($AA313+SUMIF(WTG_BD!$F:$F,$A313,WTG_BD!$AA:$AA)),"")</f>
        <v/>
      </c>
      <c r="Q313" s="173" t="str">
        <f>IFERROR(1-SUMIF(IGA_BD!$F:$F,$A313,IGA_BD!$X:$X)/($AA313+SUMIF(IGA_BD!$F:$F,$A313,IGA_BD!$X:$X)),"")</f>
        <v/>
      </c>
      <c r="R313" s="173" t="str">
        <f>IFERROR(1-SUMIF(Grid_BD!$F:$F,$A313,Grid_BD!$Y:$Y)/($AA313+SUMIF(Grid_BD!$F:$F,$A313,Grid_BD!$Y:$Y)),"")</f>
        <v/>
      </c>
      <c r="S313" s="167"/>
      <c r="T313" s="172"/>
      <c r="U313" s="173"/>
      <c r="V313" s="167"/>
      <c r="W313" s="174" t="str">
        <f t="shared" si="22"/>
        <v/>
      </c>
      <c r="X313" s="167" t="str">
        <f>IFERROR(_xlfn.XLOOKUP($A313,Input_Raw!$A:$A,Input_Raw!$BF:$BF),"")</f>
        <v/>
      </c>
      <c r="Y313" s="167" t="str">
        <f>IFERROR(_xlfn.XLOOKUP($A313,Input_Raw!$A:$A,Input_Raw!BJ:BJ),"")</f>
        <v/>
      </c>
      <c r="Z313" s="167" t="str">
        <f>IFERROR(_xlfn.XLOOKUP($A313,Input_Raw!$A:$A,Input_Raw!BK:BK),"")</f>
        <v/>
      </c>
      <c r="AA313" s="167" t="str">
        <f>IFERROR(_xlfn.XLOOKUP($A313,Input_Raw!$A:$A,Input_Raw!BL:BL),"")</f>
        <v/>
      </c>
      <c r="AB313" s="167" t="str">
        <f>IFERROR(_xlfn.XLOOKUP($A313,Input_Raw!$A:$A,Input_Raw!$BO:$BO),"")</f>
        <v/>
      </c>
      <c r="AC313" s="176">
        <f>IFERROR(_xlfn.XLOOKUP($D313,'Modelling New'!$D:$D,'Modelling New'!$J:$J),"")</f>
        <v>5.52</v>
      </c>
      <c r="AD313" s="166">
        <f>IFERROR(_xlfn.XLOOKUP($D313,'Modelling New'!$D:$D,'Modelling New'!$T:$T)*1000,"")</f>
        <v>522509.05737931043</v>
      </c>
      <c r="AE313" s="174"/>
      <c r="AF313" s="174">
        <f>IFERROR(_xlfn.XLOOKUP($D313,'Modelling New'!$D:$D,'Modelling New'!$W:$W),"")</f>
        <v>0.31013120689655177</v>
      </c>
      <c r="AG313" s="174">
        <f>IFERROR(_xlfn.XLOOKUP($D313,'Modelling New'!$D:$D,'Modelling New'!$AE:$AE),"")</f>
        <v>0.96029999999999993</v>
      </c>
      <c r="AH313" s="174">
        <f>IFERROR(_xlfn.XLOOKUP($D313,'Modelling New'!$D:$D,'Modelling New'!$AF:$AF),"")</f>
        <v>0.995</v>
      </c>
      <c r="AI313" s="177" t="str">
        <f>IFERROR(_xlfn.XLOOKUP($A313,Input_Raw!$A:$A,Input_Raw!$BQ:$BQ),"")</f>
        <v/>
      </c>
      <c r="AJ313" s="167"/>
      <c r="AK313" s="167"/>
      <c r="AL313" s="167"/>
      <c r="AM313" s="167"/>
      <c r="AN313" s="175" t="str">
        <f>IFERROR(_xlfn.XLOOKUP($A313,Input_Raw!$A:$A,Input_Raw!$BN:$BN),"")</f>
        <v/>
      </c>
      <c r="AO313" s="174" t="str">
        <f>IFERROR((_xlfn.XLOOKUP($A313,'WTG Reactive Power'!$A:$A,'WTG Reactive Power'!$AE:$AE))/Table13[[#This Row],[Gen_Exp (kWh)]],"")</f>
        <v/>
      </c>
      <c r="AP313" s="174">
        <f>IFERROR(_xlfn.XLOOKUP($D313,'Modelling New'!$D:$D,'Modelling New'!$AK:$AK),"")</f>
        <v>0.05</v>
      </c>
      <c r="AQ313" s="174">
        <f>IFERROR(_xlfn.XLOOKUP($D313,'Modelling New'!$D:$D,'Modelling New'!$AL:$AL),"")</f>
        <v>0.05</v>
      </c>
      <c r="AR313" s="276">
        <f>IFERROR(_xlfn.XLOOKUP($D313,'Modelling New'!$D:$D,'Modelling New'!$N:$N),"")</f>
        <v>70.2</v>
      </c>
      <c r="AS313" s="276"/>
    </row>
    <row r="314" spans="1:45">
      <c r="A314" s="165">
        <f t="shared" si="23"/>
        <v>46057</v>
      </c>
      <c r="B314" s="166">
        <f>YEAR(Table13[[#This Row],[Date]])+IF(MONTH(Table13[[#This Row],[Date]])&gt;=4,1,0)</f>
        <v>2026</v>
      </c>
      <c r="C314" s="167">
        <f>YEAR(Table13[[#This Row],[Date]])</f>
        <v>2026</v>
      </c>
      <c r="D314" s="168">
        <f>Table13[[#This Row],[Date]]-DAY(Table13[[#This Row],[Date]])+1</f>
        <v>46054</v>
      </c>
      <c r="E314" s="167">
        <f t="shared" si="20"/>
        <v>28</v>
      </c>
      <c r="F314" s="169"/>
      <c r="G314" s="170"/>
      <c r="H314" s="170"/>
      <c r="I314" s="170"/>
      <c r="J314" s="170"/>
      <c r="K314" s="171"/>
      <c r="L314" s="170"/>
      <c r="M314" s="170" t="str">
        <f>IFERROR(_xlfn.XLOOKUP($A314,Input_Raw!$A:$A,Input_Raw!BG:BG),"")</f>
        <v/>
      </c>
      <c r="N314" s="170" t="str">
        <f>IFERROR(_xlfn.XLOOKUP($A314,Input_Raw!$A:$A,Input_Raw!BH:BH),"")</f>
        <v/>
      </c>
      <c r="O314" s="173" t="str">
        <f t="shared" si="21"/>
        <v/>
      </c>
      <c r="P314" s="173" t="str">
        <f>IFERROR(1-SUMIF(WTG_BD!$F:$F,$A314,WTG_BD!$AA:$AA)/($AA314+SUMIF(WTG_BD!$F:$F,$A314,WTG_BD!$AA:$AA)),"")</f>
        <v/>
      </c>
      <c r="Q314" s="173" t="str">
        <f>IFERROR(1-SUMIF(IGA_BD!$F:$F,$A314,IGA_BD!$X:$X)/($AA314+SUMIF(IGA_BD!$F:$F,$A314,IGA_BD!$X:$X)),"")</f>
        <v/>
      </c>
      <c r="R314" s="173" t="str">
        <f>IFERROR(1-SUMIF(Grid_BD!$F:$F,$A314,Grid_BD!$Y:$Y)/($AA314+SUMIF(Grid_BD!$F:$F,$A314,Grid_BD!$Y:$Y)),"")</f>
        <v/>
      </c>
      <c r="S314" s="167"/>
      <c r="T314" s="172"/>
      <c r="U314" s="173"/>
      <c r="V314" s="167"/>
      <c r="W314" s="174" t="str">
        <f t="shared" si="22"/>
        <v/>
      </c>
      <c r="X314" s="167" t="str">
        <f>IFERROR(_xlfn.XLOOKUP($A314,Input_Raw!$A:$A,Input_Raw!$BF:$BF),"")</f>
        <v/>
      </c>
      <c r="Y314" s="167" t="str">
        <f>IFERROR(_xlfn.XLOOKUP($A314,Input_Raw!$A:$A,Input_Raw!BJ:BJ),"")</f>
        <v/>
      </c>
      <c r="Z314" s="167" t="str">
        <f>IFERROR(_xlfn.XLOOKUP($A314,Input_Raw!$A:$A,Input_Raw!BK:BK),"")</f>
        <v/>
      </c>
      <c r="AA314" s="167" t="str">
        <f>IFERROR(_xlfn.XLOOKUP($A314,Input_Raw!$A:$A,Input_Raw!BL:BL),"")</f>
        <v/>
      </c>
      <c r="AB314" s="167" t="str">
        <f>IFERROR(_xlfn.XLOOKUP($A314,Input_Raw!$A:$A,Input_Raw!$BO:$BO),"")</f>
        <v/>
      </c>
      <c r="AC314" s="176">
        <f>IFERROR(_xlfn.XLOOKUP($D314,'Modelling New'!$D:$D,'Modelling New'!$J:$J),"")</f>
        <v>5.52</v>
      </c>
      <c r="AD314" s="166">
        <f>IFERROR(_xlfn.XLOOKUP($D314,'Modelling New'!$D:$D,'Modelling New'!$T:$T)*1000,"")</f>
        <v>522509.05737931043</v>
      </c>
      <c r="AE314" s="174"/>
      <c r="AF314" s="174">
        <f>IFERROR(_xlfn.XLOOKUP($D314,'Modelling New'!$D:$D,'Modelling New'!$W:$W),"")</f>
        <v>0.31013120689655177</v>
      </c>
      <c r="AG314" s="174">
        <f>IFERROR(_xlfn.XLOOKUP($D314,'Modelling New'!$D:$D,'Modelling New'!$AE:$AE),"")</f>
        <v>0.96029999999999993</v>
      </c>
      <c r="AH314" s="174">
        <f>IFERROR(_xlfn.XLOOKUP($D314,'Modelling New'!$D:$D,'Modelling New'!$AF:$AF),"")</f>
        <v>0.995</v>
      </c>
      <c r="AI314" s="177" t="str">
        <f>IFERROR(_xlfn.XLOOKUP($A314,Input_Raw!$A:$A,Input_Raw!$BQ:$BQ),"")</f>
        <v/>
      </c>
      <c r="AJ314" s="167"/>
      <c r="AK314" s="167"/>
      <c r="AL314" s="167"/>
      <c r="AM314" s="167"/>
      <c r="AN314" s="175" t="str">
        <f>IFERROR(_xlfn.XLOOKUP($A314,Input_Raw!$A:$A,Input_Raw!$BN:$BN),"")</f>
        <v/>
      </c>
      <c r="AO314" s="174" t="str">
        <f>IFERROR((_xlfn.XLOOKUP($A314,'WTG Reactive Power'!$A:$A,'WTG Reactive Power'!$AE:$AE))/Table13[[#This Row],[Gen_Exp (kWh)]],"")</f>
        <v/>
      </c>
      <c r="AP314" s="174">
        <f>IFERROR(_xlfn.XLOOKUP($D314,'Modelling New'!$D:$D,'Modelling New'!$AK:$AK),"")</f>
        <v>0.05</v>
      </c>
      <c r="AQ314" s="174">
        <f>IFERROR(_xlfn.XLOOKUP($D314,'Modelling New'!$D:$D,'Modelling New'!$AL:$AL),"")</f>
        <v>0.05</v>
      </c>
      <c r="AR314" s="276">
        <f>IFERROR(_xlfn.XLOOKUP($D314,'Modelling New'!$D:$D,'Modelling New'!$N:$N),"")</f>
        <v>70.2</v>
      </c>
      <c r="AS314" s="276"/>
    </row>
    <row r="315" spans="1:45">
      <c r="A315" s="165">
        <f t="shared" si="23"/>
        <v>46058</v>
      </c>
      <c r="B315" s="166">
        <f>YEAR(Table13[[#This Row],[Date]])+IF(MONTH(Table13[[#This Row],[Date]])&gt;=4,1,0)</f>
        <v>2026</v>
      </c>
      <c r="C315" s="167">
        <f>YEAR(Table13[[#This Row],[Date]])</f>
        <v>2026</v>
      </c>
      <c r="D315" s="168">
        <f>Table13[[#This Row],[Date]]-DAY(Table13[[#This Row],[Date]])+1</f>
        <v>46054</v>
      </c>
      <c r="E315" s="167">
        <f t="shared" si="20"/>
        <v>28</v>
      </c>
      <c r="F315" s="169"/>
      <c r="G315" s="176"/>
      <c r="H315" s="176"/>
      <c r="I315" s="176"/>
      <c r="J315" s="176"/>
      <c r="K315" s="171"/>
      <c r="L315" s="170"/>
      <c r="M315" s="170" t="str">
        <f>IFERROR(_xlfn.XLOOKUP($A315,Input_Raw!$A:$A,Input_Raw!BG:BG),"")</f>
        <v/>
      </c>
      <c r="N315" s="170" t="str">
        <f>IFERROR(_xlfn.XLOOKUP($A315,Input_Raw!$A:$A,Input_Raw!BH:BH),"")</f>
        <v/>
      </c>
      <c r="O315" s="173" t="str">
        <f t="shared" si="21"/>
        <v/>
      </c>
      <c r="P315" s="173" t="str">
        <f>IFERROR(1-SUMIF(WTG_BD!$F:$F,$A315,WTG_BD!$AA:$AA)/($AA315+SUMIF(WTG_BD!$F:$F,$A315,WTG_BD!$AA:$AA)),"")</f>
        <v/>
      </c>
      <c r="Q315" s="173" t="str">
        <f>IFERROR(1-SUMIF(IGA_BD!$F:$F,$A315,IGA_BD!$X:$X)/($AA315+SUMIF(IGA_BD!$F:$F,$A315,IGA_BD!$X:$X)),"")</f>
        <v/>
      </c>
      <c r="R315" s="173" t="str">
        <f>IFERROR(1-SUMIF(Grid_BD!$F:$F,$A315,Grid_BD!$Y:$Y)/($AA315+SUMIF(Grid_BD!$F:$F,$A315,Grid_BD!$Y:$Y)),"")</f>
        <v/>
      </c>
      <c r="S315" s="167"/>
      <c r="T315" s="172"/>
      <c r="U315" s="173"/>
      <c r="V315" s="167"/>
      <c r="W315" s="174" t="str">
        <f t="shared" si="22"/>
        <v/>
      </c>
      <c r="X315" s="167" t="str">
        <f>IFERROR(_xlfn.XLOOKUP($A315,Input_Raw!$A:$A,Input_Raw!$BF:$BF),"")</f>
        <v/>
      </c>
      <c r="Y315" s="167" t="str">
        <f>IFERROR(_xlfn.XLOOKUP($A315,Input_Raw!$A:$A,Input_Raw!BJ:BJ),"")</f>
        <v/>
      </c>
      <c r="Z315" s="167" t="str">
        <f>IFERROR(_xlfn.XLOOKUP($A315,Input_Raw!$A:$A,Input_Raw!BK:BK),"")</f>
        <v/>
      </c>
      <c r="AA315" s="167" t="str">
        <f>IFERROR(_xlfn.XLOOKUP($A315,Input_Raw!$A:$A,Input_Raw!BL:BL),"")</f>
        <v/>
      </c>
      <c r="AB315" s="167" t="str">
        <f>IFERROR(_xlfn.XLOOKUP($A315,Input_Raw!$A:$A,Input_Raw!$BO:$BO),"")</f>
        <v/>
      </c>
      <c r="AC315" s="176">
        <f>IFERROR(_xlfn.XLOOKUP($D315,'Modelling New'!$D:$D,'Modelling New'!$J:$J),"")</f>
        <v>5.52</v>
      </c>
      <c r="AD315" s="166">
        <f>IFERROR(_xlfn.XLOOKUP($D315,'Modelling New'!$D:$D,'Modelling New'!$T:$T)*1000,"")</f>
        <v>522509.05737931043</v>
      </c>
      <c r="AE315" s="174"/>
      <c r="AF315" s="174">
        <f>IFERROR(_xlfn.XLOOKUP($D315,'Modelling New'!$D:$D,'Modelling New'!$W:$W),"")</f>
        <v>0.31013120689655177</v>
      </c>
      <c r="AG315" s="174">
        <f>IFERROR(_xlfn.XLOOKUP($D315,'Modelling New'!$D:$D,'Modelling New'!$AE:$AE),"")</f>
        <v>0.96029999999999993</v>
      </c>
      <c r="AH315" s="174">
        <f>IFERROR(_xlfn.XLOOKUP($D315,'Modelling New'!$D:$D,'Modelling New'!$AF:$AF),"")</f>
        <v>0.995</v>
      </c>
      <c r="AI315" s="177" t="str">
        <f>IFERROR(_xlfn.XLOOKUP($A315,Input_Raw!$A:$A,Input_Raw!$BQ:$BQ),"")</f>
        <v/>
      </c>
      <c r="AJ315" s="167"/>
      <c r="AK315" s="167"/>
      <c r="AL315" s="167"/>
      <c r="AM315" s="167"/>
      <c r="AN315" s="175" t="str">
        <f>IFERROR(_xlfn.XLOOKUP($A315,Input_Raw!$A:$A,Input_Raw!$BN:$BN),"")</f>
        <v/>
      </c>
      <c r="AO315" s="174" t="str">
        <f>IFERROR((_xlfn.XLOOKUP($A315,'WTG Reactive Power'!$A:$A,'WTG Reactive Power'!$AE:$AE))/Table13[[#This Row],[Gen_Exp (kWh)]],"")</f>
        <v/>
      </c>
      <c r="AP315" s="174">
        <f>IFERROR(_xlfn.XLOOKUP($D315,'Modelling New'!$D:$D,'Modelling New'!$AK:$AK),"")</f>
        <v>0.05</v>
      </c>
      <c r="AQ315" s="174">
        <f>IFERROR(_xlfn.XLOOKUP($D315,'Modelling New'!$D:$D,'Modelling New'!$AL:$AL),"")</f>
        <v>0.05</v>
      </c>
      <c r="AR315" s="276">
        <f>IFERROR(_xlfn.XLOOKUP($D315,'Modelling New'!$D:$D,'Modelling New'!$N:$N),"")</f>
        <v>70.2</v>
      </c>
      <c r="AS315" s="276"/>
    </row>
    <row r="316" spans="1:45">
      <c r="A316" s="165">
        <f t="shared" si="23"/>
        <v>46059</v>
      </c>
      <c r="B316" s="166">
        <f>YEAR(Table13[[#This Row],[Date]])+IF(MONTH(Table13[[#This Row],[Date]])&gt;=4,1,0)</f>
        <v>2026</v>
      </c>
      <c r="C316" s="167">
        <f>YEAR(Table13[[#This Row],[Date]])</f>
        <v>2026</v>
      </c>
      <c r="D316" s="168">
        <f>Table13[[#This Row],[Date]]-DAY(Table13[[#This Row],[Date]])+1</f>
        <v>46054</v>
      </c>
      <c r="E316" s="167">
        <f t="shared" si="20"/>
        <v>28</v>
      </c>
      <c r="F316" s="169"/>
      <c r="G316" s="170"/>
      <c r="H316" s="170"/>
      <c r="I316" s="170"/>
      <c r="J316" s="170"/>
      <c r="K316" s="171"/>
      <c r="L316" s="170"/>
      <c r="M316" s="170" t="str">
        <f>IFERROR(_xlfn.XLOOKUP($A316,Input_Raw!$A:$A,Input_Raw!BG:BG),"")</f>
        <v/>
      </c>
      <c r="N316" s="170" t="str">
        <f>IFERROR(_xlfn.XLOOKUP($A316,Input_Raw!$A:$A,Input_Raw!BH:BH),"")</f>
        <v/>
      </c>
      <c r="O316" s="173" t="str">
        <f t="shared" si="21"/>
        <v/>
      </c>
      <c r="P316" s="173" t="str">
        <f>IFERROR(1-SUMIF(WTG_BD!$F:$F,$A316,WTG_BD!$AA:$AA)/($AA316+SUMIF(WTG_BD!$F:$F,$A316,WTG_BD!$AA:$AA)),"")</f>
        <v/>
      </c>
      <c r="Q316" s="173" t="str">
        <f>IFERROR(1-SUMIF(IGA_BD!$F:$F,$A316,IGA_BD!$X:$X)/($AA316+SUMIF(IGA_BD!$F:$F,$A316,IGA_BD!$X:$X)),"")</f>
        <v/>
      </c>
      <c r="R316" s="173" t="str">
        <f>IFERROR(1-SUMIF(Grid_BD!$F:$F,$A316,Grid_BD!$Y:$Y)/($AA316+SUMIF(Grid_BD!$F:$F,$A316,Grid_BD!$Y:$Y)),"")</f>
        <v/>
      </c>
      <c r="S316" s="167"/>
      <c r="T316" s="172"/>
      <c r="U316" s="173"/>
      <c r="V316" s="167"/>
      <c r="W316" s="174" t="str">
        <f t="shared" si="22"/>
        <v/>
      </c>
      <c r="X316" s="167" t="str">
        <f>IFERROR(_xlfn.XLOOKUP($A316,Input_Raw!$A:$A,Input_Raw!$BF:$BF),"")</f>
        <v/>
      </c>
      <c r="Y316" s="167" t="str">
        <f>IFERROR(_xlfn.XLOOKUP($A316,Input_Raw!$A:$A,Input_Raw!BJ:BJ),"")</f>
        <v/>
      </c>
      <c r="Z316" s="167" t="str">
        <f>IFERROR(_xlfn.XLOOKUP($A316,Input_Raw!$A:$A,Input_Raw!BK:BK),"")</f>
        <v/>
      </c>
      <c r="AA316" s="167" t="str">
        <f>IFERROR(_xlfn.XLOOKUP($A316,Input_Raw!$A:$A,Input_Raw!BL:BL),"")</f>
        <v/>
      </c>
      <c r="AB316" s="167" t="str">
        <f>IFERROR(_xlfn.XLOOKUP($A316,Input_Raw!$A:$A,Input_Raw!$BO:$BO),"")</f>
        <v/>
      </c>
      <c r="AC316" s="176">
        <f>IFERROR(_xlfn.XLOOKUP($D316,'Modelling New'!$D:$D,'Modelling New'!$J:$J),"")</f>
        <v>5.52</v>
      </c>
      <c r="AD316" s="166">
        <f>IFERROR(_xlfn.XLOOKUP($D316,'Modelling New'!$D:$D,'Modelling New'!$T:$T)*1000,"")</f>
        <v>522509.05737931043</v>
      </c>
      <c r="AE316" s="174"/>
      <c r="AF316" s="174">
        <f>IFERROR(_xlfn.XLOOKUP($D316,'Modelling New'!$D:$D,'Modelling New'!$W:$W),"")</f>
        <v>0.31013120689655177</v>
      </c>
      <c r="AG316" s="174">
        <f>IFERROR(_xlfn.XLOOKUP($D316,'Modelling New'!$D:$D,'Modelling New'!$AE:$AE),"")</f>
        <v>0.96029999999999993</v>
      </c>
      <c r="AH316" s="174">
        <f>IFERROR(_xlfn.XLOOKUP($D316,'Modelling New'!$D:$D,'Modelling New'!$AF:$AF),"")</f>
        <v>0.995</v>
      </c>
      <c r="AI316" s="177" t="str">
        <f>IFERROR(_xlfn.XLOOKUP($A316,Input_Raw!$A:$A,Input_Raw!$BQ:$BQ),"")</f>
        <v/>
      </c>
      <c r="AJ316" s="167"/>
      <c r="AK316" s="167"/>
      <c r="AL316" s="167"/>
      <c r="AM316" s="167"/>
      <c r="AN316" s="175" t="str">
        <f>IFERROR(_xlfn.XLOOKUP($A316,Input_Raw!$A:$A,Input_Raw!$BN:$BN),"")</f>
        <v/>
      </c>
      <c r="AO316" s="174" t="str">
        <f>IFERROR((_xlfn.XLOOKUP($A316,'WTG Reactive Power'!$A:$A,'WTG Reactive Power'!$AE:$AE))/Table13[[#This Row],[Gen_Exp (kWh)]],"")</f>
        <v/>
      </c>
      <c r="AP316" s="174">
        <f>IFERROR(_xlfn.XLOOKUP($D316,'Modelling New'!$D:$D,'Modelling New'!$AK:$AK),"")</f>
        <v>0.05</v>
      </c>
      <c r="AQ316" s="174">
        <f>IFERROR(_xlfn.XLOOKUP($D316,'Modelling New'!$D:$D,'Modelling New'!$AL:$AL),"")</f>
        <v>0.05</v>
      </c>
      <c r="AR316" s="276">
        <f>IFERROR(_xlfn.XLOOKUP($D316,'Modelling New'!$D:$D,'Modelling New'!$N:$N),"")</f>
        <v>70.2</v>
      </c>
      <c r="AS316" s="276"/>
    </row>
    <row r="317" spans="1:45">
      <c r="A317" s="165">
        <f t="shared" si="23"/>
        <v>46060</v>
      </c>
      <c r="B317" s="166">
        <f>YEAR(Table13[[#This Row],[Date]])+IF(MONTH(Table13[[#This Row],[Date]])&gt;=4,1,0)</f>
        <v>2026</v>
      </c>
      <c r="C317" s="167">
        <f>YEAR(Table13[[#This Row],[Date]])</f>
        <v>2026</v>
      </c>
      <c r="D317" s="168">
        <f>Table13[[#This Row],[Date]]-DAY(Table13[[#This Row],[Date]])+1</f>
        <v>46054</v>
      </c>
      <c r="E317" s="167">
        <f t="shared" si="20"/>
        <v>28</v>
      </c>
      <c r="F317" s="169"/>
      <c r="G317" s="176"/>
      <c r="H317" s="176"/>
      <c r="I317" s="176"/>
      <c r="J317" s="176"/>
      <c r="K317" s="171"/>
      <c r="L317" s="170"/>
      <c r="M317" s="170" t="str">
        <f>IFERROR(_xlfn.XLOOKUP($A317,Input_Raw!$A:$A,Input_Raw!BG:BG),"")</f>
        <v/>
      </c>
      <c r="N317" s="170" t="str">
        <f>IFERROR(_xlfn.XLOOKUP($A317,Input_Raw!$A:$A,Input_Raw!BH:BH),"")</f>
        <v/>
      </c>
      <c r="O317" s="173" t="str">
        <f t="shared" si="21"/>
        <v/>
      </c>
      <c r="P317" s="173" t="str">
        <f>IFERROR(1-SUMIF(WTG_BD!$F:$F,$A317,WTG_BD!$AA:$AA)/($AA317+SUMIF(WTG_BD!$F:$F,$A317,WTG_BD!$AA:$AA)),"")</f>
        <v/>
      </c>
      <c r="Q317" s="173" t="str">
        <f>IFERROR(1-SUMIF(IGA_BD!$F:$F,$A317,IGA_BD!$X:$X)/($AA317+SUMIF(IGA_BD!$F:$F,$A317,IGA_BD!$X:$X)),"")</f>
        <v/>
      </c>
      <c r="R317" s="173" t="str">
        <f>IFERROR(1-SUMIF(Grid_BD!$F:$F,$A317,Grid_BD!$Y:$Y)/($AA317+SUMIF(Grid_BD!$F:$F,$A317,Grid_BD!$Y:$Y)),"")</f>
        <v/>
      </c>
      <c r="S317" s="167"/>
      <c r="T317" s="172"/>
      <c r="U317" s="173"/>
      <c r="V317" s="167"/>
      <c r="W317" s="174" t="str">
        <f t="shared" si="22"/>
        <v/>
      </c>
      <c r="X317" s="167" t="str">
        <f>IFERROR(_xlfn.XLOOKUP($A317,Input_Raw!$A:$A,Input_Raw!$BF:$BF),"")</f>
        <v/>
      </c>
      <c r="Y317" s="167" t="str">
        <f>IFERROR(_xlfn.XLOOKUP($A317,Input_Raw!$A:$A,Input_Raw!BJ:BJ),"")</f>
        <v/>
      </c>
      <c r="Z317" s="167" t="str">
        <f>IFERROR(_xlfn.XLOOKUP($A317,Input_Raw!$A:$A,Input_Raw!BK:BK),"")</f>
        <v/>
      </c>
      <c r="AA317" s="167" t="str">
        <f>IFERROR(_xlfn.XLOOKUP($A317,Input_Raw!$A:$A,Input_Raw!BL:BL),"")</f>
        <v/>
      </c>
      <c r="AB317" s="167" t="str">
        <f>IFERROR(_xlfn.XLOOKUP($A317,Input_Raw!$A:$A,Input_Raw!$BO:$BO),"")</f>
        <v/>
      </c>
      <c r="AC317" s="176">
        <f>IFERROR(_xlfn.XLOOKUP($D317,'Modelling New'!$D:$D,'Modelling New'!$J:$J),"")</f>
        <v>5.52</v>
      </c>
      <c r="AD317" s="166">
        <f>IFERROR(_xlfn.XLOOKUP($D317,'Modelling New'!$D:$D,'Modelling New'!$T:$T)*1000,"")</f>
        <v>522509.05737931043</v>
      </c>
      <c r="AE317" s="174"/>
      <c r="AF317" s="174">
        <f>IFERROR(_xlfn.XLOOKUP($D317,'Modelling New'!$D:$D,'Modelling New'!$W:$W),"")</f>
        <v>0.31013120689655177</v>
      </c>
      <c r="AG317" s="174">
        <f>IFERROR(_xlfn.XLOOKUP($D317,'Modelling New'!$D:$D,'Modelling New'!$AE:$AE),"")</f>
        <v>0.96029999999999993</v>
      </c>
      <c r="AH317" s="174">
        <f>IFERROR(_xlfn.XLOOKUP($D317,'Modelling New'!$D:$D,'Modelling New'!$AF:$AF),"")</f>
        <v>0.995</v>
      </c>
      <c r="AI317" s="177" t="str">
        <f>IFERROR(_xlfn.XLOOKUP($A317,Input_Raw!$A:$A,Input_Raw!$BQ:$BQ),"")</f>
        <v/>
      </c>
      <c r="AJ317" s="167"/>
      <c r="AK317" s="167"/>
      <c r="AL317" s="167"/>
      <c r="AM317" s="167"/>
      <c r="AN317" s="175" t="str">
        <f>IFERROR(_xlfn.XLOOKUP($A317,Input_Raw!$A:$A,Input_Raw!$BN:$BN),"")</f>
        <v/>
      </c>
      <c r="AO317" s="174" t="str">
        <f>IFERROR((_xlfn.XLOOKUP($A317,'WTG Reactive Power'!$A:$A,'WTG Reactive Power'!$AE:$AE))/Table13[[#This Row],[Gen_Exp (kWh)]],"")</f>
        <v/>
      </c>
      <c r="AP317" s="174">
        <f>IFERROR(_xlfn.XLOOKUP($D317,'Modelling New'!$D:$D,'Modelling New'!$AK:$AK),"")</f>
        <v>0.05</v>
      </c>
      <c r="AQ317" s="174">
        <f>IFERROR(_xlfn.XLOOKUP($D317,'Modelling New'!$D:$D,'Modelling New'!$AL:$AL),"")</f>
        <v>0.05</v>
      </c>
      <c r="AR317" s="276">
        <f>IFERROR(_xlfn.XLOOKUP($D317,'Modelling New'!$D:$D,'Modelling New'!$N:$N),"")</f>
        <v>70.2</v>
      </c>
      <c r="AS317" s="276"/>
    </row>
    <row r="318" spans="1:45">
      <c r="A318" s="165">
        <f t="shared" si="23"/>
        <v>46061</v>
      </c>
      <c r="B318" s="166">
        <f>YEAR(Table13[[#This Row],[Date]])+IF(MONTH(Table13[[#This Row],[Date]])&gt;=4,1,0)</f>
        <v>2026</v>
      </c>
      <c r="C318" s="167">
        <f>YEAR(Table13[[#This Row],[Date]])</f>
        <v>2026</v>
      </c>
      <c r="D318" s="168">
        <f>Table13[[#This Row],[Date]]-DAY(Table13[[#This Row],[Date]])+1</f>
        <v>46054</v>
      </c>
      <c r="E318" s="167">
        <f t="shared" si="20"/>
        <v>28</v>
      </c>
      <c r="F318" s="169"/>
      <c r="G318" s="170"/>
      <c r="H318" s="170"/>
      <c r="I318" s="170"/>
      <c r="J318" s="170"/>
      <c r="K318" s="171"/>
      <c r="L318" s="170"/>
      <c r="M318" s="170" t="str">
        <f>IFERROR(_xlfn.XLOOKUP($A318,Input_Raw!$A:$A,Input_Raw!BG:BG),"")</f>
        <v/>
      </c>
      <c r="N318" s="170" t="str">
        <f>IFERROR(_xlfn.XLOOKUP($A318,Input_Raw!$A:$A,Input_Raw!BH:BH),"")</f>
        <v/>
      </c>
      <c r="O318" s="173" t="str">
        <f t="shared" si="21"/>
        <v/>
      </c>
      <c r="P318" s="173" t="str">
        <f>IFERROR(1-SUMIF(WTG_BD!$F:$F,$A318,WTG_BD!$AA:$AA)/($AA318+SUMIF(WTG_BD!$F:$F,$A318,WTG_BD!$AA:$AA)),"")</f>
        <v/>
      </c>
      <c r="Q318" s="173" t="str">
        <f>IFERROR(1-SUMIF(IGA_BD!$F:$F,$A318,IGA_BD!$X:$X)/($AA318+SUMIF(IGA_BD!$F:$F,$A318,IGA_BD!$X:$X)),"")</f>
        <v/>
      </c>
      <c r="R318" s="173" t="str">
        <f>IFERROR(1-SUMIF(Grid_BD!$F:$F,$A318,Grid_BD!$Y:$Y)/($AA318+SUMIF(Grid_BD!$F:$F,$A318,Grid_BD!$Y:$Y)),"")</f>
        <v/>
      </c>
      <c r="S318" s="167"/>
      <c r="T318" s="172"/>
      <c r="U318" s="173"/>
      <c r="V318" s="167"/>
      <c r="W318" s="174" t="str">
        <f t="shared" si="22"/>
        <v/>
      </c>
      <c r="X318" s="167" t="str">
        <f>IFERROR(_xlfn.XLOOKUP($A318,Input_Raw!$A:$A,Input_Raw!$BF:$BF),"")</f>
        <v/>
      </c>
      <c r="Y318" s="167" t="str">
        <f>IFERROR(_xlfn.XLOOKUP($A318,Input_Raw!$A:$A,Input_Raw!BJ:BJ),"")</f>
        <v/>
      </c>
      <c r="Z318" s="167" t="str">
        <f>IFERROR(_xlfn.XLOOKUP($A318,Input_Raw!$A:$A,Input_Raw!BK:BK),"")</f>
        <v/>
      </c>
      <c r="AA318" s="167" t="str">
        <f>IFERROR(_xlfn.XLOOKUP($A318,Input_Raw!$A:$A,Input_Raw!BL:BL),"")</f>
        <v/>
      </c>
      <c r="AB318" s="167" t="str">
        <f>IFERROR(_xlfn.XLOOKUP($A318,Input_Raw!$A:$A,Input_Raw!$BO:$BO),"")</f>
        <v/>
      </c>
      <c r="AC318" s="176">
        <f>IFERROR(_xlfn.XLOOKUP($D318,'Modelling New'!$D:$D,'Modelling New'!$J:$J),"")</f>
        <v>5.52</v>
      </c>
      <c r="AD318" s="166">
        <f>IFERROR(_xlfn.XLOOKUP($D318,'Modelling New'!$D:$D,'Modelling New'!$T:$T)*1000,"")</f>
        <v>522509.05737931043</v>
      </c>
      <c r="AE318" s="174"/>
      <c r="AF318" s="174">
        <f>IFERROR(_xlfn.XLOOKUP($D318,'Modelling New'!$D:$D,'Modelling New'!$W:$W),"")</f>
        <v>0.31013120689655177</v>
      </c>
      <c r="AG318" s="174">
        <f>IFERROR(_xlfn.XLOOKUP($D318,'Modelling New'!$D:$D,'Modelling New'!$AE:$AE),"")</f>
        <v>0.96029999999999993</v>
      </c>
      <c r="AH318" s="174">
        <f>IFERROR(_xlfn.XLOOKUP($D318,'Modelling New'!$D:$D,'Modelling New'!$AF:$AF),"")</f>
        <v>0.995</v>
      </c>
      <c r="AI318" s="177" t="str">
        <f>IFERROR(_xlfn.XLOOKUP($A318,Input_Raw!$A:$A,Input_Raw!$BQ:$BQ),"")</f>
        <v/>
      </c>
      <c r="AJ318" s="167"/>
      <c r="AK318" s="167"/>
      <c r="AL318" s="167"/>
      <c r="AM318" s="167"/>
      <c r="AN318" s="175" t="str">
        <f>IFERROR(_xlfn.XLOOKUP($A318,Input_Raw!$A:$A,Input_Raw!$BN:$BN),"")</f>
        <v/>
      </c>
      <c r="AO318" s="174" t="str">
        <f>IFERROR((_xlfn.XLOOKUP($A318,'WTG Reactive Power'!$A:$A,'WTG Reactive Power'!$AE:$AE))/Table13[[#This Row],[Gen_Exp (kWh)]],"")</f>
        <v/>
      </c>
      <c r="AP318" s="174">
        <f>IFERROR(_xlfn.XLOOKUP($D318,'Modelling New'!$D:$D,'Modelling New'!$AK:$AK),"")</f>
        <v>0.05</v>
      </c>
      <c r="AQ318" s="174">
        <f>IFERROR(_xlfn.XLOOKUP($D318,'Modelling New'!$D:$D,'Modelling New'!$AL:$AL),"")</f>
        <v>0.05</v>
      </c>
      <c r="AR318" s="276">
        <f>IFERROR(_xlfn.XLOOKUP($D318,'Modelling New'!$D:$D,'Modelling New'!$N:$N),"")</f>
        <v>70.2</v>
      </c>
      <c r="AS318" s="276"/>
    </row>
    <row r="319" spans="1:45">
      <c r="A319" s="165">
        <f t="shared" si="23"/>
        <v>46062</v>
      </c>
      <c r="B319" s="166">
        <f>YEAR(Table13[[#This Row],[Date]])+IF(MONTH(Table13[[#This Row],[Date]])&gt;=4,1,0)</f>
        <v>2026</v>
      </c>
      <c r="C319" s="167">
        <f>YEAR(Table13[[#This Row],[Date]])</f>
        <v>2026</v>
      </c>
      <c r="D319" s="168">
        <f>Table13[[#This Row],[Date]]-DAY(Table13[[#This Row],[Date]])+1</f>
        <v>46054</v>
      </c>
      <c r="E319" s="167">
        <f t="shared" si="20"/>
        <v>28</v>
      </c>
      <c r="F319" s="169"/>
      <c r="G319" s="176"/>
      <c r="H319" s="176"/>
      <c r="I319" s="176"/>
      <c r="J319" s="176"/>
      <c r="K319" s="171"/>
      <c r="L319" s="170"/>
      <c r="M319" s="170" t="str">
        <f>IFERROR(_xlfn.XLOOKUP($A319,Input_Raw!$A:$A,Input_Raw!BG:BG),"")</f>
        <v/>
      </c>
      <c r="N319" s="170" t="str">
        <f>IFERROR(_xlfn.XLOOKUP($A319,Input_Raw!$A:$A,Input_Raw!BH:BH),"")</f>
        <v/>
      </c>
      <c r="O319" s="173" t="str">
        <f t="shared" si="21"/>
        <v/>
      </c>
      <c r="P319" s="173" t="str">
        <f>IFERROR(1-SUMIF(WTG_BD!$F:$F,$A319,WTG_BD!$AA:$AA)/($AA319+SUMIF(WTG_BD!$F:$F,$A319,WTG_BD!$AA:$AA)),"")</f>
        <v/>
      </c>
      <c r="Q319" s="173" t="str">
        <f>IFERROR(1-SUMIF(IGA_BD!$F:$F,$A319,IGA_BD!$X:$X)/($AA319+SUMIF(IGA_BD!$F:$F,$A319,IGA_BD!$X:$X)),"")</f>
        <v/>
      </c>
      <c r="R319" s="173" t="str">
        <f>IFERROR(1-SUMIF(Grid_BD!$F:$F,$A319,Grid_BD!$Y:$Y)/($AA319+SUMIF(Grid_BD!$F:$F,$A319,Grid_BD!$Y:$Y)),"")</f>
        <v/>
      </c>
      <c r="S319" s="167"/>
      <c r="T319" s="172"/>
      <c r="U319" s="173"/>
      <c r="V319" s="167"/>
      <c r="W319" s="174" t="str">
        <f t="shared" si="22"/>
        <v/>
      </c>
      <c r="X319" s="167" t="str">
        <f>IFERROR(_xlfn.XLOOKUP($A319,Input_Raw!$A:$A,Input_Raw!$BF:$BF),"")</f>
        <v/>
      </c>
      <c r="Y319" s="167" t="str">
        <f>IFERROR(_xlfn.XLOOKUP($A319,Input_Raw!$A:$A,Input_Raw!BJ:BJ),"")</f>
        <v/>
      </c>
      <c r="Z319" s="167" t="str">
        <f>IFERROR(_xlfn.XLOOKUP($A319,Input_Raw!$A:$A,Input_Raw!BK:BK),"")</f>
        <v/>
      </c>
      <c r="AA319" s="167" t="str">
        <f>IFERROR(_xlfn.XLOOKUP($A319,Input_Raw!$A:$A,Input_Raw!BL:BL),"")</f>
        <v/>
      </c>
      <c r="AB319" s="167" t="str">
        <f>IFERROR(_xlfn.XLOOKUP($A319,Input_Raw!$A:$A,Input_Raw!$BO:$BO),"")</f>
        <v/>
      </c>
      <c r="AC319" s="176">
        <f>IFERROR(_xlfn.XLOOKUP($D319,'Modelling New'!$D:$D,'Modelling New'!$J:$J),"")</f>
        <v>5.52</v>
      </c>
      <c r="AD319" s="166">
        <f>IFERROR(_xlfn.XLOOKUP($D319,'Modelling New'!$D:$D,'Modelling New'!$T:$T)*1000,"")</f>
        <v>522509.05737931043</v>
      </c>
      <c r="AE319" s="174"/>
      <c r="AF319" s="174">
        <f>IFERROR(_xlfn.XLOOKUP($D319,'Modelling New'!$D:$D,'Modelling New'!$W:$W),"")</f>
        <v>0.31013120689655177</v>
      </c>
      <c r="AG319" s="174">
        <f>IFERROR(_xlfn.XLOOKUP($D319,'Modelling New'!$D:$D,'Modelling New'!$AE:$AE),"")</f>
        <v>0.96029999999999993</v>
      </c>
      <c r="AH319" s="174">
        <f>IFERROR(_xlfn.XLOOKUP($D319,'Modelling New'!$D:$D,'Modelling New'!$AF:$AF),"")</f>
        <v>0.995</v>
      </c>
      <c r="AI319" s="177" t="str">
        <f>IFERROR(_xlfn.XLOOKUP($A319,Input_Raw!$A:$A,Input_Raw!$BQ:$BQ),"")</f>
        <v/>
      </c>
      <c r="AJ319" s="167"/>
      <c r="AK319" s="167"/>
      <c r="AL319" s="167"/>
      <c r="AM319" s="167"/>
      <c r="AN319" s="175" t="str">
        <f>IFERROR(_xlfn.XLOOKUP($A319,Input_Raw!$A:$A,Input_Raw!$BN:$BN),"")</f>
        <v/>
      </c>
      <c r="AO319" s="174" t="str">
        <f>IFERROR((_xlfn.XLOOKUP($A319,'WTG Reactive Power'!$A:$A,'WTG Reactive Power'!$AE:$AE))/Table13[[#This Row],[Gen_Exp (kWh)]],"")</f>
        <v/>
      </c>
      <c r="AP319" s="174">
        <f>IFERROR(_xlfn.XLOOKUP($D319,'Modelling New'!$D:$D,'Modelling New'!$AK:$AK),"")</f>
        <v>0.05</v>
      </c>
      <c r="AQ319" s="174">
        <f>IFERROR(_xlfn.XLOOKUP($D319,'Modelling New'!$D:$D,'Modelling New'!$AL:$AL),"")</f>
        <v>0.05</v>
      </c>
      <c r="AR319" s="276">
        <f>IFERROR(_xlfn.XLOOKUP($D319,'Modelling New'!$D:$D,'Modelling New'!$N:$N),"")</f>
        <v>70.2</v>
      </c>
      <c r="AS319" s="276"/>
    </row>
    <row r="320" spans="1:45">
      <c r="A320" s="165">
        <f t="shared" si="23"/>
        <v>46063</v>
      </c>
      <c r="B320" s="166">
        <f>YEAR(Table13[[#This Row],[Date]])+IF(MONTH(Table13[[#This Row],[Date]])&gt;=4,1,0)</f>
        <v>2026</v>
      </c>
      <c r="C320" s="167">
        <f>YEAR(Table13[[#This Row],[Date]])</f>
        <v>2026</v>
      </c>
      <c r="D320" s="168">
        <f>Table13[[#This Row],[Date]]-DAY(Table13[[#This Row],[Date]])+1</f>
        <v>46054</v>
      </c>
      <c r="E320" s="167">
        <f t="shared" si="20"/>
        <v>28</v>
      </c>
      <c r="F320" s="169"/>
      <c r="G320" s="170"/>
      <c r="H320" s="170"/>
      <c r="I320" s="170"/>
      <c r="J320" s="170"/>
      <c r="K320" s="171"/>
      <c r="L320" s="170"/>
      <c r="M320" s="170" t="str">
        <f>IFERROR(_xlfn.XLOOKUP($A320,Input_Raw!$A:$A,Input_Raw!BG:BG),"")</f>
        <v/>
      </c>
      <c r="N320" s="170" t="str">
        <f>IFERROR(_xlfn.XLOOKUP($A320,Input_Raw!$A:$A,Input_Raw!BH:BH),"")</f>
        <v/>
      </c>
      <c r="O320" s="173" t="str">
        <f t="shared" si="21"/>
        <v/>
      </c>
      <c r="P320" s="173" t="str">
        <f>IFERROR(1-SUMIF(WTG_BD!$F:$F,$A320,WTG_BD!$AA:$AA)/($AA320+SUMIF(WTG_BD!$F:$F,$A320,WTG_BD!$AA:$AA)),"")</f>
        <v/>
      </c>
      <c r="Q320" s="173" t="str">
        <f>IFERROR(1-SUMIF(IGA_BD!$F:$F,$A320,IGA_BD!$X:$X)/($AA320+SUMIF(IGA_BD!$F:$F,$A320,IGA_BD!$X:$X)),"")</f>
        <v/>
      </c>
      <c r="R320" s="173" t="str">
        <f>IFERROR(1-SUMIF(Grid_BD!$F:$F,$A320,Grid_BD!$Y:$Y)/($AA320+SUMIF(Grid_BD!$F:$F,$A320,Grid_BD!$Y:$Y)),"")</f>
        <v/>
      </c>
      <c r="S320" s="167"/>
      <c r="T320" s="172"/>
      <c r="U320" s="173"/>
      <c r="V320" s="167"/>
      <c r="W320" s="174" t="str">
        <f t="shared" si="22"/>
        <v/>
      </c>
      <c r="X320" s="167" t="str">
        <f>IFERROR(_xlfn.XLOOKUP($A320,Input_Raw!$A:$A,Input_Raw!$BF:$BF),"")</f>
        <v/>
      </c>
      <c r="Y320" s="167" t="str">
        <f>IFERROR(_xlfn.XLOOKUP($A320,Input_Raw!$A:$A,Input_Raw!BJ:BJ),"")</f>
        <v/>
      </c>
      <c r="Z320" s="167" t="str">
        <f>IFERROR(_xlfn.XLOOKUP($A320,Input_Raw!$A:$A,Input_Raw!BK:BK),"")</f>
        <v/>
      </c>
      <c r="AA320" s="167" t="str">
        <f>IFERROR(_xlfn.XLOOKUP($A320,Input_Raw!$A:$A,Input_Raw!BL:BL),"")</f>
        <v/>
      </c>
      <c r="AB320" s="167" t="str">
        <f>IFERROR(_xlfn.XLOOKUP($A320,Input_Raw!$A:$A,Input_Raw!$BO:$BO),"")</f>
        <v/>
      </c>
      <c r="AC320" s="176">
        <f>IFERROR(_xlfn.XLOOKUP($D320,'Modelling New'!$D:$D,'Modelling New'!$J:$J),"")</f>
        <v>5.52</v>
      </c>
      <c r="AD320" s="166">
        <f>IFERROR(_xlfn.XLOOKUP($D320,'Modelling New'!$D:$D,'Modelling New'!$T:$T)*1000,"")</f>
        <v>522509.05737931043</v>
      </c>
      <c r="AE320" s="174"/>
      <c r="AF320" s="174">
        <f>IFERROR(_xlfn.XLOOKUP($D320,'Modelling New'!$D:$D,'Modelling New'!$W:$W),"")</f>
        <v>0.31013120689655177</v>
      </c>
      <c r="AG320" s="174">
        <f>IFERROR(_xlfn.XLOOKUP($D320,'Modelling New'!$D:$D,'Modelling New'!$AE:$AE),"")</f>
        <v>0.96029999999999993</v>
      </c>
      <c r="AH320" s="174">
        <f>IFERROR(_xlfn.XLOOKUP($D320,'Modelling New'!$D:$D,'Modelling New'!$AF:$AF),"")</f>
        <v>0.995</v>
      </c>
      <c r="AI320" s="177" t="str">
        <f>IFERROR(_xlfn.XLOOKUP($A320,Input_Raw!$A:$A,Input_Raw!$BQ:$BQ),"")</f>
        <v/>
      </c>
      <c r="AJ320" s="167"/>
      <c r="AK320" s="167"/>
      <c r="AL320" s="167"/>
      <c r="AM320" s="167"/>
      <c r="AN320" s="175" t="str">
        <f>IFERROR(_xlfn.XLOOKUP($A320,Input_Raw!$A:$A,Input_Raw!$BN:$BN),"")</f>
        <v/>
      </c>
      <c r="AO320" s="174" t="str">
        <f>IFERROR((_xlfn.XLOOKUP($A320,'WTG Reactive Power'!$A:$A,'WTG Reactive Power'!$AE:$AE))/Table13[[#This Row],[Gen_Exp (kWh)]],"")</f>
        <v/>
      </c>
      <c r="AP320" s="174">
        <f>IFERROR(_xlfn.XLOOKUP($D320,'Modelling New'!$D:$D,'Modelling New'!$AK:$AK),"")</f>
        <v>0.05</v>
      </c>
      <c r="AQ320" s="174">
        <f>IFERROR(_xlfn.XLOOKUP($D320,'Modelling New'!$D:$D,'Modelling New'!$AL:$AL),"")</f>
        <v>0.05</v>
      </c>
      <c r="AR320" s="276">
        <f>IFERROR(_xlfn.XLOOKUP($D320,'Modelling New'!$D:$D,'Modelling New'!$N:$N),"")</f>
        <v>70.2</v>
      </c>
      <c r="AS320" s="276"/>
    </row>
    <row r="321" spans="1:45">
      <c r="A321" s="165">
        <f t="shared" si="23"/>
        <v>46064</v>
      </c>
      <c r="B321" s="166">
        <f>YEAR(Table13[[#This Row],[Date]])+IF(MONTH(Table13[[#This Row],[Date]])&gt;=4,1,0)</f>
        <v>2026</v>
      </c>
      <c r="C321" s="167">
        <f>YEAR(Table13[[#This Row],[Date]])</f>
        <v>2026</v>
      </c>
      <c r="D321" s="168">
        <f>Table13[[#This Row],[Date]]-DAY(Table13[[#This Row],[Date]])+1</f>
        <v>46054</v>
      </c>
      <c r="E321" s="167">
        <f t="shared" si="20"/>
        <v>28</v>
      </c>
      <c r="F321" s="169"/>
      <c r="G321" s="176"/>
      <c r="H321" s="176"/>
      <c r="I321" s="176"/>
      <c r="J321" s="176"/>
      <c r="K321" s="171"/>
      <c r="L321" s="170"/>
      <c r="M321" s="170" t="str">
        <f>IFERROR(_xlfn.XLOOKUP($A321,Input_Raw!$A:$A,Input_Raw!BG:BG),"")</f>
        <v/>
      </c>
      <c r="N321" s="170" t="str">
        <f>IFERROR(_xlfn.XLOOKUP($A321,Input_Raw!$A:$A,Input_Raw!BH:BH),"")</f>
        <v/>
      </c>
      <c r="O321" s="173" t="str">
        <f t="shared" si="21"/>
        <v/>
      </c>
      <c r="P321" s="173" t="str">
        <f>IFERROR(1-SUMIF(WTG_BD!$F:$F,$A321,WTG_BD!$AA:$AA)/($AA321+SUMIF(WTG_BD!$F:$F,$A321,WTG_BD!$AA:$AA)),"")</f>
        <v/>
      </c>
      <c r="Q321" s="173" t="str">
        <f>IFERROR(1-SUMIF(IGA_BD!$F:$F,$A321,IGA_BD!$X:$X)/($AA321+SUMIF(IGA_BD!$F:$F,$A321,IGA_BD!$X:$X)),"")</f>
        <v/>
      </c>
      <c r="R321" s="173" t="str">
        <f>IFERROR(1-SUMIF(Grid_BD!$F:$F,$A321,Grid_BD!$Y:$Y)/($AA321+SUMIF(Grid_BD!$F:$F,$A321,Grid_BD!$Y:$Y)),"")</f>
        <v/>
      </c>
      <c r="S321" s="167"/>
      <c r="T321" s="172"/>
      <c r="U321" s="173"/>
      <c r="V321" s="167"/>
      <c r="W321" s="174" t="str">
        <f t="shared" si="22"/>
        <v/>
      </c>
      <c r="X321" s="167" t="str">
        <f>IFERROR(_xlfn.XLOOKUP($A321,Input_Raw!$A:$A,Input_Raw!$BF:$BF),"")</f>
        <v/>
      </c>
      <c r="Y321" s="167" t="str">
        <f>IFERROR(_xlfn.XLOOKUP($A321,Input_Raw!$A:$A,Input_Raw!BJ:BJ),"")</f>
        <v/>
      </c>
      <c r="Z321" s="167" t="str">
        <f>IFERROR(_xlfn.XLOOKUP($A321,Input_Raw!$A:$A,Input_Raw!BK:BK),"")</f>
        <v/>
      </c>
      <c r="AA321" s="167" t="str">
        <f>IFERROR(_xlfn.XLOOKUP($A321,Input_Raw!$A:$A,Input_Raw!BL:BL),"")</f>
        <v/>
      </c>
      <c r="AB321" s="167" t="str">
        <f>IFERROR(_xlfn.XLOOKUP($A321,Input_Raw!$A:$A,Input_Raw!$BO:$BO),"")</f>
        <v/>
      </c>
      <c r="AC321" s="176">
        <f>IFERROR(_xlfn.XLOOKUP($D321,'Modelling New'!$D:$D,'Modelling New'!$J:$J),"")</f>
        <v>5.52</v>
      </c>
      <c r="AD321" s="166">
        <f>IFERROR(_xlfn.XLOOKUP($D321,'Modelling New'!$D:$D,'Modelling New'!$T:$T)*1000,"")</f>
        <v>522509.05737931043</v>
      </c>
      <c r="AE321" s="174"/>
      <c r="AF321" s="174">
        <f>IFERROR(_xlfn.XLOOKUP($D321,'Modelling New'!$D:$D,'Modelling New'!$W:$W),"")</f>
        <v>0.31013120689655177</v>
      </c>
      <c r="AG321" s="174">
        <f>IFERROR(_xlfn.XLOOKUP($D321,'Modelling New'!$D:$D,'Modelling New'!$AE:$AE),"")</f>
        <v>0.96029999999999993</v>
      </c>
      <c r="AH321" s="174">
        <f>IFERROR(_xlfn.XLOOKUP($D321,'Modelling New'!$D:$D,'Modelling New'!$AF:$AF),"")</f>
        <v>0.995</v>
      </c>
      <c r="AI321" s="177" t="str">
        <f>IFERROR(_xlfn.XLOOKUP($A321,Input_Raw!$A:$A,Input_Raw!$BQ:$BQ),"")</f>
        <v/>
      </c>
      <c r="AJ321" s="167"/>
      <c r="AK321" s="167"/>
      <c r="AL321" s="167"/>
      <c r="AM321" s="167"/>
      <c r="AN321" s="175" t="str">
        <f>IFERROR(_xlfn.XLOOKUP($A321,Input_Raw!$A:$A,Input_Raw!$BN:$BN),"")</f>
        <v/>
      </c>
      <c r="AO321" s="174" t="str">
        <f>IFERROR((_xlfn.XLOOKUP($A321,'WTG Reactive Power'!$A:$A,'WTG Reactive Power'!$AE:$AE))/Table13[[#This Row],[Gen_Exp (kWh)]],"")</f>
        <v/>
      </c>
      <c r="AP321" s="174">
        <f>IFERROR(_xlfn.XLOOKUP($D321,'Modelling New'!$D:$D,'Modelling New'!$AK:$AK),"")</f>
        <v>0.05</v>
      </c>
      <c r="AQ321" s="174">
        <f>IFERROR(_xlfn.XLOOKUP($D321,'Modelling New'!$D:$D,'Modelling New'!$AL:$AL),"")</f>
        <v>0.05</v>
      </c>
      <c r="AR321" s="276">
        <f>IFERROR(_xlfn.XLOOKUP($D321,'Modelling New'!$D:$D,'Modelling New'!$N:$N),"")</f>
        <v>70.2</v>
      </c>
      <c r="AS321" s="276"/>
    </row>
    <row r="322" spans="1:45">
      <c r="A322" s="165">
        <f t="shared" si="23"/>
        <v>46065</v>
      </c>
      <c r="B322" s="166">
        <f>YEAR(Table13[[#This Row],[Date]])+IF(MONTH(Table13[[#This Row],[Date]])&gt;=4,1,0)</f>
        <v>2026</v>
      </c>
      <c r="C322" s="167">
        <f>YEAR(Table13[[#This Row],[Date]])</f>
        <v>2026</v>
      </c>
      <c r="D322" s="168">
        <f>Table13[[#This Row],[Date]]-DAY(Table13[[#This Row],[Date]])+1</f>
        <v>46054</v>
      </c>
      <c r="E322" s="167">
        <f t="shared" si="20"/>
        <v>28</v>
      </c>
      <c r="F322" s="169"/>
      <c r="G322" s="170"/>
      <c r="H322" s="170"/>
      <c r="I322" s="170"/>
      <c r="J322" s="170"/>
      <c r="K322" s="171"/>
      <c r="L322" s="170"/>
      <c r="M322" s="170" t="str">
        <f>IFERROR(_xlfn.XLOOKUP($A322,Input_Raw!$A:$A,Input_Raw!BG:BG),"")</f>
        <v/>
      </c>
      <c r="N322" s="170" t="str">
        <f>IFERROR(_xlfn.XLOOKUP($A322,Input_Raw!$A:$A,Input_Raw!BH:BH),"")</f>
        <v/>
      </c>
      <c r="O322" s="173" t="str">
        <f t="shared" si="21"/>
        <v/>
      </c>
      <c r="P322" s="173" t="str">
        <f>IFERROR(1-SUMIF(WTG_BD!$F:$F,$A322,WTG_BD!$AA:$AA)/($AA322+SUMIF(WTG_BD!$F:$F,$A322,WTG_BD!$AA:$AA)),"")</f>
        <v/>
      </c>
      <c r="Q322" s="173" t="str">
        <f>IFERROR(1-SUMIF(IGA_BD!$F:$F,$A322,IGA_BD!$X:$X)/($AA322+SUMIF(IGA_BD!$F:$F,$A322,IGA_BD!$X:$X)),"")</f>
        <v/>
      </c>
      <c r="R322" s="173" t="str">
        <f>IFERROR(1-SUMIF(Grid_BD!$F:$F,$A322,Grid_BD!$Y:$Y)/($AA322+SUMIF(Grid_BD!$F:$F,$A322,Grid_BD!$Y:$Y)),"")</f>
        <v/>
      </c>
      <c r="S322" s="167"/>
      <c r="T322" s="172"/>
      <c r="U322" s="173"/>
      <c r="V322" s="167"/>
      <c r="W322" s="174" t="str">
        <f t="shared" si="22"/>
        <v/>
      </c>
      <c r="X322" s="167" t="str">
        <f>IFERROR(_xlfn.XLOOKUP($A322,Input_Raw!$A:$A,Input_Raw!$BF:$BF),"")</f>
        <v/>
      </c>
      <c r="Y322" s="167" t="str">
        <f>IFERROR(_xlfn.XLOOKUP($A322,Input_Raw!$A:$A,Input_Raw!BJ:BJ),"")</f>
        <v/>
      </c>
      <c r="Z322" s="167" t="str">
        <f>IFERROR(_xlfn.XLOOKUP($A322,Input_Raw!$A:$A,Input_Raw!BK:BK),"")</f>
        <v/>
      </c>
      <c r="AA322" s="167" t="str">
        <f>IFERROR(_xlfn.XLOOKUP($A322,Input_Raw!$A:$A,Input_Raw!BL:BL),"")</f>
        <v/>
      </c>
      <c r="AB322" s="167" t="str">
        <f>IFERROR(_xlfn.XLOOKUP($A322,Input_Raw!$A:$A,Input_Raw!$BO:$BO),"")</f>
        <v/>
      </c>
      <c r="AC322" s="176">
        <f>IFERROR(_xlfn.XLOOKUP($D322,'Modelling New'!$D:$D,'Modelling New'!$J:$J),"")</f>
        <v>5.52</v>
      </c>
      <c r="AD322" s="166">
        <f>IFERROR(_xlfn.XLOOKUP($D322,'Modelling New'!$D:$D,'Modelling New'!$T:$T)*1000,"")</f>
        <v>522509.05737931043</v>
      </c>
      <c r="AE322" s="174"/>
      <c r="AF322" s="174">
        <f>IFERROR(_xlfn.XLOOKUP($D322,'Modelling New'!$D:$D,'Modelling New'!$W:$W),"")</f>
        <v>0.31013120689655177</v>
      </c>
      <c r="AG322" s="174">
        <f>IFERROR(_xlfn.XLOOKUP($D322,'Modelling New'!$D:$D,'Modelling New'!$AE:$AE),"")</f>
        <v>0.96029999999999993</v>
      </c>
      <c r="AH322" s="174">
        <f>IFERROR(_xlfn.XLOOKUP($D322,'Modelling New'!$D:$D,'Modelling New'!$AF:$AF),"")</f>
        <v>0.995</v>
      </c>
      <c r="AI322" s="177" t="str">
        <f>IFERROR(_xlfn.XLOOKUP($A322,Input_Raw!$A:$A,Input_Raw!$BQ:$BQ),"")</f>
        <v/>
      </c>
      <c r="AJ322" s="167"/>
      <c r="AK322" s="167"/>
      <c r="AL322" s="167"/>
      <c r="AM322" s="167"/>
      <c r="AN322" s="175" t="str">
        <f>IFERROR(_xlfn.XLOOKUP($A322,Input_Raw!$A:$A,Input_Raw!$BN:$BN),"")</f>
        <v/>
      </c>
      <c r="AO322" s="174" t="str">
        <f>IFERROR((_xlfn.XLOOKUP($A322,'WTG Reactive Power'!$A:$A,'WTG Reactive Power'!$AE:$AE))/Table13[[#This Row],[Gen_Exp (kWh)]],"")</f>
        <v/>
      </c>
      <c r="AP322" s="174">
        <f>IFERROR(_xlfn.XLOOKUP($D322,'Modelling New'!$D:$D,'Modelling New'!$AK:$AK),"")</f>
        <v>0.05</v>
      </c>
      <c r="AQ322" s="174">
        <f>IFERROR(_xlfn.XLOOKUP($D322,'Modelling New'!$D:$D,'Modelling New'!$AL:$AL),"")</f>
        <v>0.05</v>
      </c>
      <c r="AR322" s="276">
        <f>IFERROR(_xlfn.XLOOKUP($D322,'Modelling New'!$D:$D,'Modelling New'!$N:$N),"")</f>
        <v>70.2</v>
      </c>
      <c r="AS322" s="276"/>
    </row>
    <row r="323" spans="1:45">
      <c r="A323" s="165">
        <f t="shared" si="23"/>
        <v>46066</v>
      </c>
      <c r="B323" s="166">
        <f>YEAR(Table13[[#This Row],[Date]])+IF(MONTH(Table13[[#This Row],[Date]])&gt;=4,1,0)</f>
        <v>2026</v>
      </c>
      <c r="C323" s="167">
        <f>YEAR(Table13[[#This Row],[Date]])</f>
        <v>2026</v>
      </c>
      <c r="D323" s="168">
        <f>Table13[[#This Row],[Date]]-DAY(Table13[[#This Row],[Date]])+1</f>
        <v>46054</v>
      </c>
      <c r="E323" s="167">
        <f t="shared" si="20"/>
        <v>28</v>
      </c>
      <c r="F323" s="169"/>
      <c r="G323" s="176"/>
      <c r="H323" s="176"/>
      <c r="I323" s="176"/>
      <c r="J323" s="176"/>
      <c r="K323" s="171"/>
      <c r="L323" s="170"/>
      <c r="M323" s="170" t="str">
        <f>IFERROR(_xlfn.XLOOKUP($A323,Input_Raw!$A:$A,Input_Raw!BG:BG),"")</f>
        <v/>
      </c>
      <c r="N323" s="170" t="str">
        <f>IFERROR(_xlfn.XLOOKUP($A323,Input_Raw!$A:$A,Input_Raw!BH:BH),"")</f>
        <v/>
      </c>
      <c r="O323" s="173" t="str">
        <f t="shared" si="21"/>
        <v/>
      </c>
      <c r="P323" s="173" t="str">
        <f>IFERROR(1-SUMIF(WTG_BD!$F:$F,$A323,WTG_BD!$AA:$AA)/($AA323+SUMIF(WTG_BD!$F:$F,$A323,WTG_BD!$AA:$AA)),"")</f>
        <v/>
      </c>
      <c r="Q323" s="173" t="str">
        <f>IFERROR(1-SUMIF(IGA_BD!$F:$F,$A323,IGA_BD!$X:$X)/($AA323+SUMIF(IGA_BD!$F:$F,$A323,IGA_BD!$X:$X)),"")</f>
        <v/>
      </c>
      <c r="R323" s="173" t="str">
        <f>IFERROR(1-SUMIF(Grid_BD!$F:$F,$A323,Grid_BD!$Y:$Y)/($AA323+SUMIF(Grid_BD!$F:$F,$A323,Grid_BD!$Y:$Y)),"")</f>
        <v/>
      </c>
      <c r="S323" s="167"/>
      <c r="T323" s="172"/>
      <c r="U323" s="173"/>
      <c r="V323" s="167"/>
      <c r="W323" s="174" t="str">
        <f t="shared" si="22"/>
        <v/>
      </c>
      <c r="X323" s="167" t="str">
        <f>IFERROR(_xlfn.XLOOKUP($A323,Input_Raw!$A:$A,Input_Raw!$BF:$BF),"")</f>
        <v/>
      </c>
      <c r="Y323" s="167" t="str">
        <f>IFERROR(_xlfn.XLOOKUP($A323,Input_Raw!$A:$A,Input_Raw!BJ:BJ),"")</f>
        <v/>
      </c>
      <c r="Z323" s="167" t="str">
        <f>IFERROR(_xlfn.XLOOKUP($A323,Input_Raw!$A:$A,Input_Raw!BK:BK),"")</f>
        <v/>
      </c>
      <c r="AA323" s="167" t="str">
        <f>IFERROR(_xlfn.XLOOKUP($A323,Input_Raw!$A:$A,Input_Raw!BL:BL),"")</f>
        <v/>
      </c>
      <c r="AB323" s="167" t="str">
        <f>IFERROR(_xlfn.XLOOKUP($A323,Input_Raw!$A:$A,Input_Raw!$BO:$BO),"")</f>
        <v/>
      </c>
      <c r="AC323" s="176">
        <f>IFERROR(_xlfn.XLOOKUP($D323,'Modelling New'!$D:$D,'Modelling New'!$J:$J),"")</f>
        <v>5.52</v>
      </c>
      <c r="AD323" s="166">
        <f>IFERROR(_xlfn.XLOOKUP($D323,'Modelling New'!$D:$D,'Modelling New'!$T:$T)*1000,"")</f>
        <v>522509.05737931043</v>
      </c>
      <c r="AE323" s="174"/>
      <c r="AF323" s="174">
        <f>IFERROR(_xlfn.XLOOKUP($D323,'Modelling New'!$D:$D,'Modelling New'!$W:$W),"")</f>
        <v>0.31013120689655177</v>
      </c>
      <c r="AG323" s="174">
        <f>IFERROR(_xlfn.XLOOKUP($D323,'Modelling New'!$D:$D,'Modelling New'!$AE:$AE),"")</f>
        <v>0.96029999999999993</v>
      </c>
      <c r="AH323" s="174">
        <f>IFERROR(_xlfn.XLOOKUP($D323,'Modelling New'!$D:$D,'Modelling New'!$AF:$AF),"")</f>
        <v>0.995</v>
      </c>
      <c r="AI323" s="177" t="str">
        <f>IFERROR(_xlfn.XLOOKUP($A323,Input_Raw!$A:$A,Input_Raw!$BQ:$BQ),"")</f>
        <v/>
      </c>
      <c r="AJ323" s="167"/>
      <c r="AK323" s="167"/>
      <c r="AL323" s="167"/>
      <c r="AM323" s="167"/>
      <c r="AN323" s="175" t="str">
        <f>IFERROR(_xlfn.XLOOKUP($A323,Input_Raw!$A:$A,Input_Raw!$BN:$BN),"")</f>
        <v/>
      </c>
      <c r="AO323" s="174" t="str">
        <f>IFERROR((_xlfn.XLOOKUP($A323,'WTG Reactive Power'!$A:$A,'WTG Reactive Power'!$AE:$AE))/Table13[[#This Row],[Gen_Exp (kWh)]],"")</f>
        <v/>
      </c>
      <c r="AP323" s="174">
        <f>IFERROR(_xlfn.XLOOKUP($D323,'Modelling New'!$D:$D,'Modelling New'!$AK:$AK),"")</f>
        <v>0.05</v>
      </c>
      <c r="AQ323" s="174">
        <f>IFERROR(_xlfn.XLOOKUP($D323,'Modelling New'!$D:$D,'Modelling New'!$AL:$AL),"")</f>
        <v>0.05</v>
      </c>
      <c r="AR323" s="276">
        <f>IFERROR(_xlfn.XLOOKUP($D323,'Modelling New'!$D:$D,'Modelling New'!$N:$N),"")</f>
        <v>70.2</v>
      </c>
      <c r="AS323" s="276"/>
    </row>
    <row r="324" spans="1:45">
      <c r="A324" s="165">
        <f t="shared" si="23"/>
        <v>46067</v>
      </c>
      <c r="B324" s="166">
        <f>YEAR(Table13[[#This Row],[Date]])+IF(MONTH(Table13[[#This Row],[Date]])&gt;=4,1,0)</f>
        <v>2026</v>
      </c>
      <c r="C324" s="167">
        <f>YEAR(Table13[[#This Row],[Date]])</f>
        <v>2026</v>
      </c>
      <c r="D324" s="168">
        <f>Table13[[#This Row],[Date]]-DAY(Table13[[#This Row],[Date]])+1</f>
        <v>46054</v>
      </c>
      <c r="E324" s="167">
        <f t="shared" si="20"/>
        <v>28</v>
      </c>
      <c r="F324" s="169"/>
      <c r="G324" s="170"/>
      <c r="H324" s="170"/>
      <c r="I324" s="170"/>
      <c r="J324" s="170"/>
      <c r="K324" s="171"/>
      <c r="L324" s="170"/>
      <c r="M324" s="170" t="str">
        <f>IFERROR(_xlfn.XLOOKUP($A324,Input_Raw!$A:$A,Input_Raw!BG:BG),"")</f>
        <v/>
      </c>
      <c r="N324" s="170" t="str">
        <f>IFERROR(_xlfn.XLOOKUP($A324,Input_Raw!$A:$A,Input_Raw!BH:BH),"")</f>
        <v/>
      </c>
      <c r="O324" s="173" t="str">
        <f t="shared" si="21"/>
        <v/>
      </c>
      <c r="P324" s="173" t="str">
        <f>IFERROR(1-SUMIF(WTG_BD!$F:$F,$A324,WTG_BD!$AA:$AA)/($AA324+SUMIF(WTG_BD!$F:$F,$A324,WTG_BD!$AA:$AA)),"")</f>
        <v/>
      </c>
      <c r="Q324" s="173" t="str">
        <f>IFERROR(1-SUMIF(IGA_BD!$F:$F,$A324,IGA_BD!$X:$X)/($AA324+SUMIF(IGA_BD!$F:$F,$A324,IGA_BD!$X:$X)),"")</f>
        <v/>
      </c>
      <c r="R324" s="173" t="str">
        <f>IFERROR(1-SUMIF(Grid_BD!$F:$F,$A324,Grid_BD!$Y:$Y)/($AA324+SUMIF(Grid_BD!$F:$F,$A324,Grid_BD!$Y:$Y)),"")</f>
        <v/>
      </c>
      <c r="S324" s="167"/>
      <c r="T324" s="172"/>
      <c r="U324" s="173"/>
      <c r="V324" s="167"/>
      <c r="W324" s="174" t="str">
        <f t="shared" si="22"/>
        <v/>
      </c>
      <c r="X324" s="167" t="str">
        <f>IFERROR(_xlfn.XLOOKUP($A324,Input_Raw!$A:$A,Input_Raw!$BF:$BF),"")</f>
        <v/>
      </c>
      <c r="Y324" s="167" t="str">
        <f>IFERROR(_xlfn.XLOOKUP($A324,Input_Raw!$A:$A,Input_Raw!BJ:BJ),"")</f>
        <v/>
      </c>
      <c r="Z324" s="167" t="str">
        <f>IFERROR(_xlfn.XLOOKUP($A324,Input_Raw!$A:$A,Input_Raw!BK:BK),"")</f>
        <v/>
      </c>
      <c r="AA324" s="167" t="str">
        <f>IFERROR(_xlfn.XLOOKUP($A324,Input_Raw!$A:$A,Input_Raw!BL:BL),"")</f>
        <v/>
      </c>
      <c r="AB324" s="167" t="str">
        <f>IFERROR(_xlfn.XLOOKUP($A324,Input_Raw!$A:$A,Input_Raw!$BO:$BO),"")</f>
        <v/>
      </c>
      <c r="AC324" s="176">
        <f>IFERROR(_xlfn.XLOOKUP($D324,'Modelling New'!$D:$D,'Modelling New'!$J:$J),"")</f>
        <v>5.52</v>
      </c>
      <c r="AD324" s="166">
        <f>IFERROR(_xlfn.XLOOKUP($D324,'Modelling New'!$D:$D,'Modelling New'!$T:$T)*1000,"")</f>
        <v>522509.05737931043</v>
      </c>
      <c r="AE324" s="174"/>
      <c r="AF324" s="174">
        <f>IFERROR(_xlfn.XLOOKUP($D324,'Modelling New'!$D:$D,'Modelling New'!$W:$W),"")</f>
        <v>0.31013120689655177</v>
      </c>
      <c r="AG324" s="174">
        <f>IFERROR(_xlfn.XLOOKUP($D324,'Modelling New'!$D:$D,'Modelling New'!$AE:$AE),"")</f>
        <v>0.96029999999999993</v>
      </c>
      <c r="AH324" s="174">
        <f>IFERROR(_xlfn.XLOOKUP($D324,'Modelling New'!$D:$D,'Modelling New'!$AF:$AF),"")</f>
        <v>0.995</v>
      </c>
      <c r="AI324" s="177" t="str">
        <f>IFERROR(_xlfn.XLOOKUP($A324,Input_Raw!$A:$A,Input_Raw!$BQ:$BQ),"")</f>
        <v/>
      </c>
      <c r="AJ324" s="167"/>
      <c r="AK324" s="167"/>
      <c r="AL324" s="167"/>
      <c r="AM324" s="167"/>
      <c r="AN324" s="175" t="str">
        <f>IFERROR(_xlfn.XLOOKUP($A324,Input_Raw!$A:$A,Input_Raw!$BN:$BN),"")</f>
        <v/>
      </c>
      <c r="AO324" s="174" t="str">
        <f>IFERROR((_xlfn.XLOOKUP($A324,'WTG Reactive Power'!$A:$A,'WTG Reactive Power'!$AE:$AE))/Table13[[#This Row],[Gen_Exp (kWh)]],"")</f>
        <v/>
      </c>
      <c r="AP324" s="174">
        <f>IFERROR(_xlfn.XLOOKUP($D324,'Modelling New'!$D:$D,'Modelling New'!$AK:$AK),"")</f>
        <v>0.05</v>
      </c>
      <c r="AQ324" s="174">
        <f>IFERROR(_xlfn.XLOOKUP($D324,'Modelling New'!$D:$D,'Modelling New'!$AL:$AL),"")</f>
        <v>0.05</v>
      </c>
      <c r="AR324" s="276">
        <f>IFERROR(_xlfn.XLOOKUP($D324,'Modelling New'!$D:$D,'Modelling New'!$N:$N),"")</f>
        <v>70.2</v>
      </c>
      <c r="AS324" s="276"/>
    </row>
    <row r="325" spans="1:45">
      <c r="A325" s="165">
        <f t="shared" si="23"/>
        <v>46068</v>
      </c>
      <c r="B325" s="166">
        <f>YEAR(Table13[[#This Row],[Date]])+IF(MONTH(Table13[[#This Row],[Date]])&gt;=4,1,0)</f>
        <v>2026</v>
      </c>
      <c r="C325" s="167">
        <f>YEAR(Table13[[#This Row],[Date]])</f>
        <v>2026</v>
      </c>
      <c r="D325" s="168">
        <f>Table13[[#This Row],[Date]]-DAY(Table13[[#This Row],[Date]])+1</f>
        <v>46054</v>
      </c>
      <c r="E325" s="167">
        <f t="shared" si="20"/>
        <v>28</v>
      </c>
      <c r="F325" s="169"/>
      <c r="G325" s="176"/>
      <c r="H325" s="176"/>
      <c r="I325" s="176"/>
      <c r="J325" s="176"/>
      <c r="K325" s="171"/>
      <c r="L325" s="170"/>
      <c r="M325" s="170" t="str">
        <f>IFERROR(_xlfn.XLOOKUP($A325,Input_Raw!$A:$A,Input_Raw!BG:BG),"")</f>
        <v/>
      </c>
      <c r="N325" s="170" t="str">
        <f>IFERROR(_xlfn.XLOOKUP($A325,Input_Raw!$A:$A,Input_Raw!BH:BH),"")</f>
        <v/>
      </c>
      <c r="O325" s="173" t="str">
        <f t="shared" si="21"/>
        <v/>
      </c>
      <c r="P325" s="173" t="str">
        <f>IFERROR(1-SUMIF(WTG_BD!$F:$F,$A325,WTG_BD!$AA:$AA)/($AA325+SUMIF(WTG_BD!$F:$F,$A325,WTG_BD!$AA:$AA)),"")</f>
        <v/>
      </c>
      <c r="Q325" s="173" t="str">
        <f>IFERROR(1-SUMIF(IGA_BD!$F:$F,$A325,IGA_BD!$X:$X)/($AA325+SUMIF(IGA_BD!$F:$F,$A325,IGA_BD!$X:$X)),"")</f>
        <v/>
      </c>
      <c r="R325" s="173" t="str">
        <f>IFERROR(1-SUMIF(Grid_BD!$F:$F,$A325,Grid_BD!$Y:$Y)/($AA325+SUMIF(Grid_BD!$F:$F,$A325,Grid_BD!$Y:$Y)),"")</f>
        <v/>
      </c>
      <c r="S325" s="167"/>
      <c r="T325" s="172"/>
      <c r="U325" s="173"/>
      <c r="V325" s="167"/>
      <c r="W325" s="174" t="str">
        <f t="shared" si="22"/>
        <v/>
      </c>
      <c r="X325" s="167" t="str">
        <f>IFERROR(_xlfn.XLOOKUP($A325,Input_Raw!$A:$A,Input_Raw!$BF:$BF),"")</f>
        <v/>
      </c>
      <c r="Y325" s="167" t="str">
        <f>IFERROR(_xlfn.XLOOKUP($A325,Input_Raw!$A:$A,Input_Raw!BJ:BJ),"")</f>
        <v/>
      </c>
      <c r="Z325" s="167" t="str">
        <f>IFERROR(_xlfn.XLOOKUP($A325,Input_Raw!$A:$A,Input_Raw!BK:BK),"")</f>
        <v/>
      </c>
      <c r="AA325" s="167" t="str">
        <f>IFERROR(_xlfn.XLOOKUP($A325,Input_Raw!$A:$A,Input_Raw!BL:BL),"")</f>
        <v/>
      </c>
      <c r="AB325" s="167" t="str">
        <f>IFERROR(_xlfn.XLOOKUP($A325,Input_Raw!$A:$A,Input_Raw!$BO:$BO),"")</f>
        <v/>
      </c>
      <c r="AC325" s="176">
        <f>IFERROR(_xlfn.XLOOKUP($D325,'Modelling New'!$D:$D,'Modelling New'!$J:$J),"")</f>
        <v>5.52</v>
      </c>
      <c r="AD325" s="166">
        <f>IFERROR(_xlfn.XLOOKUP($D325,'Modelling New'!$D:$D,'Modelling New'!$T:$T)*1000,"")</f>
        <v>522509.05737931043</v>
      </c>
      <c r="AE325" s="174"/>
      <c r="AF325" s="174">
        <f>IFERROR(_xlfn.XLOOKUP($D325,'Modelling New'!$D:$D,'Modelling New'!$W:$W),"")</f>
        <v>0.31013120689655177</v>
      </c>
      <c r="AG325" s="174">
        <f>IFERROR(_xlfn.XLOOKUP($D325,'Modelling New'!$D:$D,'Modelling New'!$AE:$AE),"")</f>
        <v>0.96029999999999993</v>
      </c>
      <c r="AH325" s="174">
        <f>IFERROR(_xlfn.XLOOKUP($D325,'Modelling New'!$D:$D,'Modelling New'!$AF:$AF),"")</f>
        <v>0.995</v>
      </c>
      <c r="AI325" s="177" t="str">
        <f>IFERROR(_xlfn.XLOOKUP($A325,Input_Raw!$A:$A,Input_Raw!$BQ:$BQ),"")</f>
        <v/>
      </c>
      <c r="AJ325" s="167"/>
      <c r="AK325" s="167"/>
      <c r="AL325" s="167"/>
      <c r="AM325" s="167"/>
      <c r="AN325" s="175" t="str">
        <f>IFERROR(_xlfn.XLOOKUP($A325,Input_Raw!$A:$A,Input_Raw!$BN:$BN),"")</f>
        <v/>
      </c>
      <c r="AO325" s="174" t="str">
        <f>IFERROR((_xlfn.XLOOKUP($A325,'WTG Reactive Power'!$A:$A,'WTG Reactive Power'!$AE:$AE))/Table13[[#This Row],[Gen_Exp (kWh)]],"")</f>
        <v/>
      </c>
      <c r="AP325" s="174">
        <f>IFERROR(_xlfn.XLOOKUP($D325,'Modelling New'!$D:$D,'Modelling New'!$AK:$AK),"")</f>
        <v>0.05</v>
      </c>
      <c r="AQ325" s="174">
        <f>IFERROR(_xlfn.XLOOKUP($D325,'Modelling New'!$D:$D,'Modelling New'!$AL:$AL),"")</f>
        <v>0.05</v>
      </c>
      <c r="AR325" s="276">
        <f>IFERROR(_xlfn.XLOOKUP($D325,'Modelling New'!$D:$D,'Modelling New'!$N:$N),"")</f>
        <v>70.2</v>
      </c>
      <c r="AS325" s="276"/>
    </row>
    <row r="326" spans="1:45">
      <c r="A326" s="165">
        <f t="shared" si="23"/>
        <v>46069</v>
      </c>
      <c r="B326" s="166">
        <f>YEAR(Table13[[#This Row],[Date]])+IF(MONTH(Table13[[#This Row],[Date]])&gt;=4,1,0)</f>
        <v>2026</v>
      </c>
      <c r="C326" s="167">
        <f>YEAR(Table13[[#This Row],[Date]])</f>
        <v>2026</v>
      </c>
      <c r="D326" s="168">
        <f>Table13[[#This Row],[Date]]-DAY(Table13[[#This Row],[Date]])+1</f>
        <v>46054</v>
      </c>
      <c r="E326" s="167">
        <f t="shared" si="20"/>
        <v>28</v>
      </c>
      <c r="F326" s="169"/>
      <c r="G326" s="170"/>
      <c r="H326" s="170"/>
      <c r="I326" s="170"/>
      <c r="J326" s="170"/>
      <c r="K326" s="171"/>
      <c r="L326" s="170"/>
      <c r="M326" s="170" t="str">
        <f>IFERROR(_xlfn.XLOOKUP($A326,Input_Raw!$A:$A,Input_Raw!BG:BG),"")</f>
        <v/>
      </c>
      <c r="N326" s="170" t="str">
        <f>IFERROR(_xlfn.XLOOKUP($A326,Input_Raw!$A:$A,Input_Raw!BH:BH),"")</f>
        <v/>
      </c>
      <c r="O326" s="173" t="str">
        <f t="shared" si="21"/>
        <v/>
      </c>
      <c r="P326" s="173" t="str">
        <f>IFERROR(1-SUMIF(WTG_BD!$F:$F,$A326,WTG_BD!$AA:$AA)/($AA326+SUMIF(WTG_BD!$F:$F,$A326,WTG_BD!$AA:$AA)),"")</f>
        <v/>
      </c>
      <c r="Q326" s="173" t="str">
        <f>IFERROR(1-SUMIF(IGA_BD!$F:$F,$A326,IGA_BD!$X:$X)/($AA326+SUMIF(IGA_BD!$F:$F,$A326,IGA_BD!$X:$X)),"")</f>
        <v/>
      </c>
      <c r="R326" s="173" t="str">
        <f>IFERROR(1-SUMIF(Grid_BD!$F:$F,$A326,Grid_BD!$Y:$Y)/($AA326+SUMIF(Grid_BD!$F:$F,$A326,Grid_BD!$Y:$Y)),"")</f>
        <v/>
      </c>
      <c r="S326" s="167"/>
      <c r="T326" s="172"/>
      <c r="U326" s="173"/>
      <c r="V326" s="167"/>
      <c r="W326" s="174" t="str">
        <f t="shared" si="22"/>
        <v/>
      </c>
      <c r="X326" s="167" t="str">
        <f>IFERROR(_xlfn.XLOOKUP($A326,Input_Raw!$A:$A,Input_Raw!$BF:$BF),"")</f>
        <v/>
      </c>
      <c r="Y326" s="167" t="str">
        <f>IFERROR(_xlfn.XLOOKUP($A326,Input_Raw!$A:$A,Input_Raw!BJ:BJ),"")</f>
        <v/>
      </c>
      <c r="Z326" s="167" t="str">
        <f>IFERROR(_xlfn.XLOOKUP($A326,Input_Raw!$A:$A,Input_Raw!BK:BK),"")</f>
        <v/>
      </c>
      <c r="AA326" s="167" t="str">
        <f>IFERROR(_xlfn.XLOOKUP($A326,Input_Raw!$A:$A,Input_Raw!BL:BL),"")</f>
        <v/>
      </c>
      <c r="AB326" s="167" t="str">
        <f>IFERROR(_xlfn.XLOOKUP($A326,Input_Raw!$A:$A,Input_Raw!$BO:$BO),"")</f>
        <v/>
      </c>
      <c r="AC326" s="176">
        <f>IFERROR(_xlfn.XLOOKUP($D326,'Modelling New'!$D:$D,'Modelling New'!$J:$J),"")</f>
        <v>5.52</v>
      </c>
      <c r="AD326" s="166">
        <f>IFERROR(_xlfn.XLOOKUP($D326,'Modelling New'!$D:$D,'Modelling New'!$T:$T)*1000,"")</f>
        <v>522509.05737931043</v>
      </c>
      <c r="AE326" s="174"/>
      <c r="AF326" s="174">
        <f>IFERROR(_xlfn.XLOOKUP($D326,'Modelling New'!$D:$D,'Modelling New'!$W:$W),"")</f>
        <v>0.31013120689655177</v>
      </c>
      <c r="AG326" s="174">
        <f>IFERROR(_xlfn.XLOOKUP($D326,'Modelling New'!$D:$D,'Modelling New'!$AE:$AE),"")</f>
        <v>0.96029999999999993</v>
      </c>
      <c r="AH326" s="174">
        <f>IFERROR(_xlfn.XLOOKUP($D326,'Modelling New'!$D:$D,'Modelling New'!$AF:$AF),"")</f>
        <v>0.995</v>
      </c>
      <c r="AI326" s="177" t="str">
        <f>IFERROR(_xlfn.XLOOKUP($A326,Input_Raw!$A:$A,Input_Raw!$BQ:$BQ),"")</f>
        <v/>
      </c>
      <c r="AJ326" s="167"/>
      <c r="AK326" s="167"/>
      <c r="AL326" s="167"/>
      <c r="AM326" s="167"/>
      <c r="AN326" s="175" t="str">
        <f>IFERROR(_xlfn.XLOOKUP($A326,Input_Raw!$A:$A,Input_Raw!$BN:$BN),"")</f>
        <v/>
      </c>
      <c r="AO326" s="174" t="str">
        <f>IFERROR((_xlfn.XLOOKUP($A326,'WTG Reactive Power'!$A:$A,'WTG Reactive Power'!$AE:$AE))/Table13[[#This Row],[Gen_Exp (kWh)]],"")</f>
        <v/>
      </c>
      <c r="AP326" s="174">
        <f>IFERROR(_xlfn.XLOOKUP($D326,'Modelling New'!$D:$D,'Modelling New'!$AK:$AK),"")</f>
        <v>0.05</v>
      </c>
      <c r="AQ326" s="174">
        <f>IFERROR(_xlfn.XLOOKUP($D326,'Modelling New'!$D:$D,'Modelling New'!$AL:$AL),"")</f>
        <v>0.05</v>
      </c>
      <c r="AR326" s="276">
        <f>IFERROR(_xlfn.XLOOKUP($D326,'Modelling New'!$D:$D,'Modelling New'!$N:$N),"")</f>
        <v>70.2</v>
      </c>
      <c r="AS326" s="276"/>
    </row>
    <row r="327" spans="1:45">
      <c r="A327" s="165">
        <f t="shared" si="23"/>
        <v>46070</v>
      </c>
      <c r="B327" s="166">
        <f>YEAR(Table13[[#This Row],[Date]])+IF(MONTH(Table13[[#This Row],[Date]])&gt;=4,1,0)</f>
        <v>2026</v>
      </c>
      <c r="C327" s="167">
        <f>YEAR(Table13[[#This Row],[Date]])</f>
        <v>2026</v>
      </c>
      <c r="D327" s="168">
        <f>Table13[[#This Row],[Date]]-DAY(Table13[[#This Row],[Date]])+1</f>
        <v>46054</v>
      </c>
      <c r="E327" s="167">
        <f t="shared" si="20"/>
        <v>28</v>
      </c>
      <c r="F327" s="169"/>
      <c r="G327" s="176"/>
      <c r="H327" s="176"/>
      <c r="I327" s="176"/>
      <c r="J327" s="176"/>
      <c r="K327" s="171"/>
      <c r="L327" s="170"/>
      <c r="M327" s="170" t="str">
        <f>IFERROR(_xlfn.XLOOKUP($A327,Input_Raw!$A:$A,Input_Raw!BG:BG),"")</f>
        <v/>
      </c>
      <c r="N327" s="170" t="str">
        <f>IFERROR(_xlfn.XLOOKUP($A327,Input_Raw!$A:$A,Input_Raw!BH:BH),"")</f>
        <v/>
      </c>
      <c r="O327" s="173" t="str">
        <f t="shared" si="21"/>
        <v/>
      </c>
      <c r="P327" s="173" t="str">
        <f>IFERROR(1-SUMIF(WTG_BD!$F:$F,$A327,WTG_BD!$AA:$AA)/($AA327+SUMIF(WTG_BD!$F:$F,$A327,WTG_BD!$AA:$AA)),"")</f>
        <v/>
      </c>
      <c r="Q327" s="173" t="str">
        <f>IFERROR(1-SUMIF(IGA_BD!$F:$F,$A327,IGA_BD!$X:$X)/($AA327+SUMIF(IGA_BD!$F:$F,$A327,IGA_BD!$X:$X)),"")</f>
        <v/>
      </c>
      <c r="R327" s="173" t="str">
        <f>IFERROR(1-SUMIF(Grid_BD!$F:$F,$A327,Grid_BD!$Y:$Y)/($AA327+SUMIF(Grid_BD!$F:$F,$A327,Grid_BD!$Y:$Y)),"")</f>
        <v/>
      </c>
      <c r="S327" s="167"/>
      <c r="T327" s="172"/>
      <c r="U327" s="173"/>
      <c r="V327" s="167"/>
      <c r="W327" s="174" t="str">
        <f t="shared" si="22"/>
        <v/>
      </c>
      <c r="X327" s="167" t="str">
        <f>IFERROR(_xlfn.XLOOKUP($A327,Input_Raw!$A:$A,Input_Raw!$BF:$BF),"")</f>
        <v/>
      </c>
      <c r="Y327" s="167" t="str">
        <f>IFERROR(_xlfn.XLOOKUP($A327,Input_Raw!$A:$A,Input_Raw!BJ:BJ),"")</f>
        <v/>
      </c>
      <c r="Z327" s="167" t="str">
        <f>IFERROR(_xlfn.XLOOKUP($A327,Input_Raw!$A:$A,Input_Raw!BK:BK),"")</f>
        <v/>
      </c>
      <c r="AA327" s="167" t="str">
        <f>IFERROR(_xlfn.XLOOKUP($A327,Input_Raw!$A:$A,Input_Raw!BL:BL),"")</f>
        <v/>
      </c>
      <c r="AB327" s="167" t="str">
        <f>IFERROR(_xlfn.XLOOKUP($A327,Input_Raw!$A:$A,Input_Raw!$BO:$BO),"")</f>
        <v/>
      </c>
      <c r="AC327" s="176">
        <f>IFERROR(_xlfn.XLOOKUP($D327,'Modelling New'!$D:$D,'Modelling New'!$J:$J),"")</f>
        <v>5.52</v>
      </c>
      <c r="AD327" s="166">
        <f>IFERROR(_xlfn.XLOOKUP($D327,'Modelling New'!$D:$D,'Modelling New'!$T:$T)*1000,"")</f>
        <v>522509.05737931043</v>
      </c>
      <c r="AE327" s="174"/>
      <c r="AF327" s="174">
        <f>IFERROR(_xlfn.XLOOKUP($D327,'Modelling New'!$D:$D,'Modelling New'!$W:$W),"")</f>
        <v>0.31013120689655177</v>
      </c>
      <c r="AG327" s="174">
        <f>IFERROR(_xlfn.XLOOKUP($D327,'Modelling New'!$D:$D,'Modelling New'!$AE:$AE),"")</f>
        <v>0.96029999999999993</v>
      </c>
      <c r="AH327" s="174">
        <f>IFERROR(_xlfn.XLOOKUP($D327,'Modelling New'!$D:$D,'Modelling New'!$AF:$AF),"")</f>
        <v>0.995</v>
      </c>
      <c r="AI327" s="177" t="str">
        <f>IFERROR(_xlfn.XLOOKUP($A327,Input_Raw!$A:$A,Input_Raw!$BQ:$BQ),"")</f>
        <v/>
      </c>
      <c r="AJ327" s="167"/>
      <c r="AK327" s="167"/>
      <c r="AL327" s="167"/>
      <c r="AM327" s="167"/>
      <c r="AN327" s="175" t="str">
        <f>IFERROR(_xlfn.XLOOKUP($A327,Input_Raw!$A:$A,Input_Raw!$BN:$BN),"")</f>
        <v/>
      </c>
      <c r="AO327" s="174" t="str">
        <f>IFERROR((_xlfn.XLOOKUP($A327,'WTG Reactive Power'!$A:$A,'WTG Reactive Power'!$AE:$AE))/Table13[[#This Row],[Gen_Exp (kWh)]],"")</f>
        <v/>
      </c>
      <c r="AP327" s="174">
        <f>IFERROR(_xlfn.XLOOKUP($D327,'Modelling New'!$D:$D,'Modelling New'!$AK:$AK),"")</f>
        <v>0.05</v>
      </c>
      <c r="AQ327" s="174">
        <f>IFERROR(_xlfn.XLOOKUP($D327,'Modelling New'!$D:$D,'Modelling New'!$AL:$AL),"")</f>
        <v>0.05</v>
      </c>
      <c r="AR327" s="276">
        <f>IFERROR(_xlfn.XLOOKUP($D327,'Modelling New'!$D:$D,'Modelling New'!$N:$N),"")</f>
        <v>70.2</v>
      </c>
      <c r="AS327" s="276"/>
    </row>
    <row r="328" spans="1:45">
      <c r="A328" s="165">
        <f t="shared" si="23"/>
        <v>46071</v>
      </c>
      <c r="B328" s="166">
        <f>YEAR(Table13[[#This Row],[Date]])+IF(MONTH(Table13[[#This Row],[Date]])&gt;=4,1,0)</f>
        <v>2026</v>
      </c>
      <c r="C328" s="167">
        <f>YEAR(Table13[[#This Row],[Date]])</f>
        <v>2026</v>
      </c>
      <c r="D328" s="168">
        <f>Table13[[#This Row],[Date]]-DAY(Table13[[#This Row],[Date]])+1</f>
        <v>46054</v>
      </c>
      <c r="E328" s="167">
        <f t="shared" si="20"/>
        <v>28</v>
      </c>
      <c r="F328" s="169"/>
      <c r="G328" s="170"/>
      <c r="H328" s="170"/>
      <c r="I328" s="170"/>
      <c r="J328" s="170"/>
      <c r="K328" s="171"/>
      <c r="L328" s="170"/>
      <c r="M328" s="170" t="str">
        <f>IFERROR(_xlfn.XLOOKUP($A328,Input_Raw!$A:$A,Input_Raw!BG:BG),"")</f>
        <v/>
      </c>
      <c r="N328" s="170" t="str">
        <f>IFERROR(_xlfn.XLOOKUP($A328,Input_Raw!$A:$A,Input_Raw!BH:BH),"")</f>
        <v/>
      </c>
      <c r="O328" s="173" t="str">
        <f t="shared" si="21"/>
        <v/>
      </c>
      <c r="P328" s="173" t="str">
        <f>IFERROR(1-SUMIF(WTG_BD!$F:$F,$A328,WTG_BD!$AA:$AA)/($AA328+SUMIF(WTG_BD!$F:$F,$A328,WTG_BD!$AA:$AA)),"")</f>
        <v/>
      </c>
      <c r="Q328" s="173" t="str">
        <f>IFERROR(1-SUMIF(IGA_BD!$F:$F,$A328,IGA_BD!$X:$X)/($AA328+SUMIF(IGA_BD!$F:$F,$A328,IGA_BD!$X:$X)),"")</f>
        <v/>
      </c>
      <c r="R328" s="173" t="str">
        <f>IFERROR(1-SUMIF(Grid_BD!$F:$F,$A328,Grid_BD!$Y:$Y)/($AA328+SUMIF(Grid_BD!$F:$F,$A328,Grid_BD!$Y:$Y)),"")</f>
        <v/>
      </c>
      <c r="S328" s="167"/>
      <c r="T328" s="172"/>
      <c r="U328" s="173"/>
      <c r="V328" s="167"/>
      <c r="W328" s="174" t="str">
        <f t="shared" si="22"/>
        <v/>
      </c>
      <c r="X328" s="167" t="str">
        <f>IFERROR(_xlfn.XLOOKUP($A328,Input_Raw!$A:$A,Input_Raw!$BF:$BF),"")</f>
        <v/>
      </c>
      <c r="Y328" s="167" t="str">
        <f>IFERROR(_xlfn.XLOOKUP($A328,Input_Raw!$A:$A,Input_Raw!BJ:BJ),"")</f>
        <v/>
      </c>
      <c r="Z328" s="167" t="str">
        <f>IFERROR(_xlfn.XLOOKUP($A328,Input_Raw!$A:$A,Input_Raw!BK:BK),"")</f>
        <v/>
      </c>
      <c r="AA328" s="167" t="str">
        <f>IFERROR(_xlfn.XLOOKUP($A328,Input_Raw!$A:$A,Input_Raw!BL:BL),"")</f>
        <v/>
      </c>
      <c r="AB328" s="167" t="str">
        <f>IFERROR(_xlfn.XLOOKUP($A328,Input_Raw!$A:$A,Input_Raw!$BO:$BO),"")</f>
        <v/>
      </c>
      <c r="AC328" s="176">
        <f>IFERROR(_xlfn.XLOOKUP($D328,'Modelling New'!$D:$D,'Modelling New'!$J:$J),"")</f>
        <v>5.52</v>
      </c>
      <c r="AD328" s="166">
        <f>IFERROR(_xlfn.XLOOKUP($D328,'Modelling New'!$D:$D,'Modelling New'!$T:$T)*1000,"")</f>
        <v>522509.05737931043</v>
      </c>
      <c r="AE328" s="174"/>
      <c r="AF328" s="174">
        <f>IFERROR(_xlfn.XLOOKUP($D328,'Modelling New'!$D:$D,'Modelling New'!$W:$W),"")</f>
        <v>0.31013120689655177</v>
      </c>
      <c r="AG328" s="174">
        <f>IFERROR(_xlfn.XLOOKUP($D328,'Modelling New'!$D:$D,'Modelling New'!$AE:$AE),"")</f>
        <v>0.96029999999999993</v>
      </c>
      <c r="AH328" s="174">
        <f>IFERROR(_xlfn.XLOOKUP($D328,'Modelling New'!$D:$D,'Modelling New'!$AF:$AF),"")</f>
        <v>0.995</v>
      </c>
      <c r="AI328" s="177" t="str">
        <f>IFERROR(_xlfn.XLOOKUP($A328,Input_Raw!$A:$A,Input_Raw!$BQ:$BQ),"")</f>
        <v/>
      </c>
      <c r="AJ328" s="167"/>
      <c r="AK328" s="167"/>
      <c r="AL328" s="167"/>
      <c r="AM328" s="167"/>
      <c r="AN328" s="175" t="str">
        <f>IFERROR(_xlfn.XLOOKUP($A328,Input_Raw!$A:$A,Input_Raw!$BN:$BN),"")</f>
        <v/>
      </c>
      <c r="AO328" s="174" t="str">
        <f>IFERROR((_xlfn.XLOOKUP($A328,'WTG Reactive Power'!$A:$A,'WTG Reactive Power'!$AE:$AE))/Table13[[#This Row],[Gen_Exp (kWh)]],"")</f>
        <v/>
      </c>
      <c r="AP328" s="174">
        <f>IFERROR(_xlfn.XLOOKUP($D328,'Modelling New'!$D:$D,'Modelling New'!$AK:$AK),"")</f>
        <v>0.05</v>
      </c>
      <c r="AQ328" s="174">
        <f>IFERROR(_xlfn.XLOOKUP($D328,'Modelling New'!$D:$D,'Modelling New'!$AL:$AL),"")</f>
        <v>0.05</v>
      </c>
      <c r="AR328" s="276">
        <f>IFERROR(_xlfn.XLOOKUP($D328,'Modelling New'!$D:$D,'Modelling New'!$N:$N),"")</f>
        <v>70.2</v>
      </c>
      <c r="AS328" s="276"/>
    </row>
    <row r="329" spans="1:45">
      <c r="A329" s="165">
        <f t="shared" si="23"/>
        <v>46072</v>
      </c>
      <c r="B329" s="166">
        <f>YEAR(Table13[[#This Row],[Date]])+IF(MONTH(Table13[[#This Row],[Date]])&gt;=4,1,0)</f>
        <v>2026</v>
      </c>
      <c r="C329" s="167">
        <f>YEAR(Table13[[#This Row],[Date]])</f>
        <v>2026</v>
      </c>
      <c r="D329" s="168">
        <f>Table13[[#This Row],[Date]]-DAY(Table13[[#This Row],[Date]])+1</f>
        <v>46054</v>
      </c>
      <c r="E329" s="167">
        <f t="shared" si="20"/>
        <v>28</v>
      </c>
      <c r="F329" s="169"/>
      <c r="G329" s="176"/>
      <c r="H329" s="176"/>
      <c r="I329" s="176"/>
      <c r="J329" s="176"/>
      <c r="K329" s="171"/>
      <c r="L329" s="170"/>
      <c r="M329" s="170" t="str">
        <f>IFERROR(_xlfn.XLOOKUP($A329,Input_Raw!$A:$A,Input_Raw!BG:BG),"")</f>
        <v/>
      </c>
      <c r="N329" s="170" t="str">
        <f>IFERROR(_xlfn.XLOOKUP($A329,Input_Raw!$A:$A,Input_Raw!BH:BH),"")</f>
        <v/>
      </c>
      <c r="O329" s="173" t="str">
        <f t="shared" si="21"/>
        <v/>
      </c>
      <c r="P329" s="173" t="str">
        <f>IFERROR(1-SUMIF(WTG_BD!$F:$F,$A329,WTG_BD!$AA:$AA)/($AA329+SUMIF(WTG_BD!$F:$F,$A329,WTG_BD!$AA:$AA)),"")</f>
        <v/>
      </c>
      <c r="Q329" s="173" t="str">
        <f>IFERROR(1-SUMIF(IGA_BD!$F:$F,$A329,IGA_BD!$X:$X)/($AA329+SUMIF(IGA_BD!$F:$F,$A329,IGA_BD!$X:$X)),"")</f>
        <v/>
      </c>
      <c r="R329" s="173" t="str">
        <f>IFERROR(1-SUMIF(Grid_BD!$F:$F,$A329,Grid_BD!$Y:$Y)/($AA329+SUMIF(Grid_BD!$F:$F,$A329,Grid_BD!$Y:$Y)),"")</f>
        <v/>
      </c>
      <c r="S329" s="167"/>
      <c r="T329" s="172"/>
      <c r="U329" s="173"/>
      <c r="V329" s="167"/>
      <c r="W329" s="174" t="str">
        <f t="shared" si="22"/>
        <v/>
      </c>
      <c r="X329" s="167" t="str">
        <f>IFERROR(_xlfn.XLOOKUP($A329,Input_Raw!$A:$A,Input_Raw!$BF:$BF),"")</f>
        <v/>
      </c>
      <c r="Y329" s="167" t="str">
        <f>IFERROR(_xlfn.XLOOKUP($A329,Input_Raw!$A:$A,Input_Raw!BJ:BJ),"")</f>
        <v/>
      </c>
      <c r="Z329" s="167" t="str">
        <f>IFERROR(_xlfn.XLOOKUP($A329,Input_Raw!$A:$A,Input_Raw!BK:BK),"")</f>
        <v/>
      </c>
      <c r="AA329" s="167" t="str">
        <f>IFERROR(_xlfn.XLOOKUP($A329,Input_Raw!$A:$A,Input_Raw!BL:BL),"")</f>
        <v/>
      </c>
      <c r="AB329" s="167" t="str">
        <f>IFERROR(_xlfn.XLOOKUP($A329,Input_Raw!$A:$A,Input_Raw!$BO:$BO),"")</f>
        <v/>
      </c>
      <c r="AC329" s="176">
        <f>IFERROR(_xlfn.XLOOKUP($D329,'Modelling New'!$D:$D,'Modelling New'!$J:$J),"")</f>
        <v>5.52</v>
      </c>
      <c r="AD329" s="166">
        <f>IFERROR(_xlfn.XLOOKUP($D329,'Modelling New'!$D:$D,'Modelling New'!$T:$T)*1000,"")</f>
        <v>522509.05737931043</v>
      </c>
      <c r="AE329" s="174"/>
      <c r="AF329" s="174">
        <f>IFERROR(_xlfn.XLOOKUP($D329,'Modelling New'!$D:$D,'Modelling New'!$W:$W),"")</f>
        <v>0.31013120689655177</v>
      </c>
      <c r="AG329" s="174">
        <f>IFERROR(_xlfn.XLOOKUP($D329,'Modelling New'!$D:$D,'Modelling New'!$AE:$AE),"")</f>
        <v>0.96029999999999993</v>
      </c>
      <c r="AH329" s="174">
        <f>IFERROR(_xlfn.XLOOKUP($D329,'Modelling New'!$D:$D,'Modelling New'!$AF:$AF),"")</f>
        <v>0.995</v>
      </c>
      <c r="AI329" s="177" t="str">
        <f>IFERROR(_xlfn.XLOOKUP($A329,Input_Raw!$A:$A,Input_Raw!$BQ:$BQ),"")</f>
        <v/>
      </c>
      <c r="AJ329" s="167"/>
      <c r="AK329" s="167"/>
      <c r="AL329" s="167"/>
      <c r="AM329" s="167"/>
      <c r="AN329" s="175" t="str">
        <f>IFERROR(_xlfn.XLOOKUP($A329,Input_Raw!$A:$A,Input_Raw!$BN:$BN),"")</f>
        <v/>
      </c>
      <c r="AO329" s="174" t="str">
        <f>IFERROR((_xlfn.XLOOKUP($A329,'WTG Reactive Power'!$A:$A,'WTG Reactive Power'!$AE:$AE))/Table13[[#This Row],[Gen_Exp (kWh)]],"")</f>
        <v/>
      </c>
      <c r="AP329" s="174">
        <f>IFERROR(_xlfn.XLOOKUP($D329,'Modelling New'!$D:$D,'Modelling New'!$AK:$AK),"")</f>
        <v>0.05</v>
      </c>
      <c r="AQ329" s="174">
        <f>IFERROR(_xlfn.XLOOKUP($D329,'Modelling New'!$D:$D,'Modelling New'!$AL:$AL),"")</f>
        <v>0.05</v>
      </c>
      <c r="AR329" s="276">
        <f>IFERROR(_xlfn.XLOOKUP($D329,'Modelling New'!$D:$D,'Modelling New'!$N:$N),"")</f>
        <v>70.2</v>
      </c>
      <c r="AS329" s="276"/>
    </row>
    <row r="330" spans="1:45">
      <c r="A330" s="165">
        <f t="shared" si="23"/>
        <v>46073</v>
      </c>
      <c r="B330" s="166">
        <f>YEAR(Table13[[#This Row],[Date]])+IF(MONTH(Table13[[#This Row],[Date]])&gt;=4,1,0)</f>
        <v>2026</v>
      </c>
      <c r="C330" s="167">
        <f>YEAR(Table13[[#This Row],[Date]])</f>
        <v>2026</v>
      </c>
      <c r="D330" s="168">
        <f>Table13[[#This Row],[Date]]-DAY(Table13[[#This Row],[Date]])+1</f>
        <v>46054</v>
      </c>
      <c r="E330" s="167">
        <f t="shared" si="20"/>
        <v>28</v>
      </c>
      <c r="F330" s="169"/>
      <c r="G330" s="170"/>
      <c r="H330" s="170"/>
      <c r="I330" s="170"/>
      <c r="J330" s="170"/>
      <c r="K330" s="171"/>
      <c r="L330" s="170"/>
      <c r="M330" s="170" t="str">
        <f>IFERROR(_xlfn.XLOOKUP($A330,Input_Raw!$A:$A,Input_Raw!BG:BG),"")</f>
        <v/>
      </c>
      <c r="N330" s="170" t="str">
        <f>IFERROR(_xlfn.XLOOKUP($A330,Input_Raw!$A:$A,Input_Raw!BH:BH),"")</f>
        <v/>
      </c>
      <c r="O330" s="173" t="str">
        <f t="shared" si="21"/>
        <v/>
      </c>
      <c r="P330" s="173" t="str">
        <f>IFERROR(1-SUMIF(WTG_BD!$F:$F,$A330,WTG_BD!$AA:$AA)/($AA330+SUMIF(WTG_BD!$F:$F,$A330,WTG_BD!$AA:$AA)),"")</f>
        <v/>
      </c>
      <c r="Q330" s="173" t="str">
        <f>IFERROR(1-SUMIF(IGA_BD!$F:$F,$A330,IGA_BD!$X:$X)/($AA330+SUMIF(IGA_BD!$F:$F,$A330,IGA_BD!$X:$X)),"")</f>
        <v/>
      </c>
      <c r="R330" s="173" t="str">
        <f>IFERROR(1-SUMIF(Grid_BD!$F:$F,$A330,Grid_BD!$Y:$Y)/($AA330+SUMIF(Grid_BD!$F:$F,$A330,Grid_BD!$Y:$Y)),"")</f>
        <v/>
      </c>
      <c r="S330" s="167"/>
      <c r="T330" s="172"/>
      <c r="U330" s="173"/>
      <c r="V330" s="167"/>
      <c r="W330" s="174" t="str">
        <f t="shared" si="22"/>
        <v/>
      </c>
      <c r="X330" s="167" t="str">
        <f>IFERROR(_xlfn.XLOOKUP($A330,Input_Raw!$A:$A,Input_Raw!$BF:$BF),"")</f>
        <v/>
      </c>
      <c r="Y330" s="167" t="str">
        <f>IFERROR(_xlfn.XLOOKUP($A330,Input_Raw!$A:$A,Input_Raw!BJ:BJ),"")</f>
        <v/>
      </c>
      <c r="Z330" s="167" t="str">
        <f>IFERROR(_xlfn.XLOOKUP($A330,Input_Raw!$A:$A,Input_Raw!BK:BK),"")</f>
        <v/>
      </c>
      <c r="AA330" s="167" t="str">
        <f>IFERROR(_xlfn.XLOOKUP($A330,Input_Raw!$A:$A,Input_Raw!BL:BL),"")</f>
        <v/>
      </c>
      <c r="AB330" s="167" t="str">
        <f>IFERROR(_xlfn.XLOOKUP($A330,Input_Raw!$A:$A,Input_Raw!$BO:$BO),"")</f>
        <v/>
      </c>
      <c r="AC330" s="176">
        <f>IFERROR(_xlfn.XLOOKUP($D330,'Modelling New'!$D:$D,'Modelling New'!$J:$J),"")</f>
        <v>5.52</v>
      </c>
      <c r="AD330" s="166">
        <f>IFERROR(_xlfn.XLOOKUP($D330,'Modelling New'!$D:$D,'Modelling New'!$T:$T)*1000,"")</f>
        <v>522509.05737931043</v>
      </c>
      <c r="AE330" s="174"/>
      <c r="AF330" s="174">
        <f>IFERROR(_xlfn.XLOOKUP($D330,'Modelling New'!$D:$D,'Modelling New'!$W:$W),"")</f>
        <v>0.31013120689655177</v>
      </c>
      <c r="AG330" s="174">
        <f>IFERROR(_xlfn.XLOOKUP($D330,'Modelling New'!$D:$D,'Modelling New'!$AE:$AE),"")</f>
        <v>0.96029999999999993</v>
      </c>
      <c r="AH330" s="174">
        <f>IFERROR(_xlfn.XLOOKUP($D330,'Modelling New'!$D:$D,'Modelling New'!$AF:$AF),"")</f>
        <v>0.995</v>
      </c>
      <c r="AI330" s="177" t="str">
        <f>IFERROR(_xlfn.XLOOKUP($A330,Input_Raw!$A:$A,Input_Raw!$BQ:$BQ),"")</f>
        <v/>
      </c>
      <c r="AJ330" s="167"/>
      <c r="AK330" s="167"/>
      <c r="AL330" s="167"/>
      <c r="AM330" s="167"/>
      <c r="AN330" s="175" t="str">
        <f>IFERROR(_xlfn.XLOOKUP($A330,Input_Raw!$A:$A,Input_Raw!$BN:$BN),"")</f>
        <v/>
      </c>
      <c r="AO330" s="174" t="str">
        <f>IFERROR((_xlfn.XLOOKUP($A330,'WTG Reactive Power'!$A:$A,'WTG Reactive Power'!$AE:$AE))/Table13[[#This Row],[Gen_Exp (kWh)]],"")</f>
        <v/>
      </c>
      <c r="AP330" s="174">
        <f>IFERROR(_xlfn.XLOOKUP($D330,'Modelling New'!$D:$D,'Modelling New'!$AK:$AK),"")</f>
        <v>0.05</v>
      </c>
      <c r="AQ330" s="174">
        <f>IFERROR(_xlfn.XLOOKUP($D330,'Modelling New'!$D:$D,'Modelling New'!$AL:$AL),"")</f>
        <v>0.05</v>
      </c>
      <c r="AR330" s="276">
        <f>IFERROR(_xlfn.XLOOKUP($D330,'Modelling New'!$D:$D,'Modelling New'!$N:$N),"")</f>
        <v>70.2</v>
      </c>
      <c r="AS330" s="276"/>
    </row>
    <row r="331" spans="1:45">
      <c r="A331" s="165">
        <f t="shared" si="23"/>
        <v>46074</v>
      </c>
      <c r="B331" s="166">
        <f>YEAR(Table13[[#This Row],[Date]])+IF(MONTH(Table13[[#This Row],[Date]])&gt;=4,1,0)</f>
        <v>2026</v>
      </c>
      <c r="C331" s="167">
        <f>YEAR(Table13[[#This Row],[Date]])</f>
        <v>2026</v>
      </c>
      <c r="D331" s="168">
        <f>Table13[[#This Row],[Date]]-DAY(Table13[[#This Row],[Date]])+1</f>
        <v>46054</v>
      </c>
      <c r="E331" s="167">
        <f t="shared" si="20"/>
        <v>28</v>
      </c>
      <c r="F331" s="169"/>
      <c r="G331" s="176"/>
      <c r="H331" s="176"/>
      <c r="I331" s="176"/>
      <c r="J331" s="176"/>
      <c r="K331" s="171"/>
      <c r="L331" s="170"/>
      <c r="M331" s="170" t="str">
        <f>IFERROR(_xlfn.XLOOKUP($A331,Input_Raw!$A:$A,Input_Raw!BG:BG),"")</f>
        <v/>
      </c>
      <c r="N331" s="170" t="str">
        <f>IFERROR(_xlfn.XLOOKUP($A331,Input_Raw!$A:$A,Input_Raw!BH:BH),"")</f>
        <v/>
      </c>
      <c r="O331" s="173" t="str">
        <f t="shared" si="21"/>
        <v/>
      </c>
      <c r="P331" s="173" t="str">
        <f>IFERROR(1-SUMIF(WTG_BD!$F:$F,$A331,WTG_BD!$AA:$AA)/($AA331+SUMIF(WTG_BD!$F:$F,$A331,WTG_BD!$AA:$AA)),"")</f>
        <v/>
      </c>
      <c r="Q331" s="173" t="str">
        <f>IFERROR(1-SUMIF(IGA_BD!$F:$F,$A331,IGA_BD!$X:$X)/($AA331+SUMIF(IGA_BD!$F:$F,$A331,IGA_BD!$X:$X)),"")</f>
        <v/>
      </c>
      <c r="R331" s="173" t="str">
        <f>IFERROR(1-SUMIF(Grid_BD!$F:$F,$A331,Grid_BD!$Y:$Y)/($AA331+SUMIF(Grid_BD!$F:$F,$A331,Grid_BD!$Y:$Y)),"")</f>
        <v/>
      </c>
      <c r="S331" s="167"/>
      <c r="T331" s="172"/>
      <c r="U331" s="173"/>
      <c r="V331" s="167"/>
      <c r="W331" s="174" t="str">
        <f t="shared" si="22"/>
        <v/>
      </c>
      <c r="X331" s="167" t="str">
        <f>IFERROR(_xlfn.XLOOKUP($A331,Input_Raw!$A:$A,Input_Raw!$BF:$BF),"")</f>
        <v/>
      </c>
      <c r="Y331" s="167" t="str">
        <f>IFERROR(_xlfn.XLOOKUP($A331,Input_Raw!$A:$A,Input_Raw!BJ:BJ),"")</f>
        <v/>
      </c>
      <c r="Z331" s="167" t="str">
        <f>IFERROR(_xlfn.XLOOKUP($A331,Input_Raw!$A:$A,Input_Raw!BK:BK),"")</f>
        <v/>
      </c>
      <c r="AA331" s="167" t="str">
        <f>IFERROR(_xlfn.XLOOKUP($A331,Input_Raw!$A:$A,Input_Raw!BL:BL),"")</f>
        <v/>
      </c>
      <c r="AB331" s="167" t="str">
        <f>IFERROR(_xlfn.XLOOKUP($A331,Input_Raw!$A:$A,Input_Raw!$BO:$BO),"")</f>
        <v/>
      </c>
      <c r="AC331" s="176">
        <f>IFERROR(_xlfn.XLOOKUP($D331,'Modelling New'!$D:$D,'Modelling New'!$J:$J),"")</f>
        <v>5.52</v>
      </c>
      <c r="AD331" s="166">
        <f>IFERROR(_xlfn.XLOOKUP($D331,'Modelling New'!$D:$D,'Modelling New'!$T:$T)*1000,"")</f>
        <v>522509.05737931043</v>
      </c>
      <c r="AE331" s="174"/>
      <c r="AF331" s="174">
        <f>IFERROR(_xlfn.XLOOKUP($D331,'Modelling New'!$D:$D,'Modelling New'!$W:$W),"")</f>
        <v>0.31013120689655177</v>
      </c>
      <c r="AG331" s="174">
        <f>IFERROR(_xlfn.XLOOKUP($D331,'Modelling New'!$D:$D,'Modelling New'!$AE:$AE),"")</f>
        <v>0.96029999999999993</v>
      </c>
      <c r="AH331" s="174">
        <f>IFERROR(_xlfn.XLOOKUP($D331,'Modelling New'!$D:$D,'Modelling New'!$AF:$AF),"")</f>
        <v>0.995</v>
      </c>
      <c r="AI331" s="177" t="str">
        <f>IFERROR(_xlfn.XLOOKUP($A331,Input_Raw!$A:$A,Input_Raw!$BQ:$BQ),"")</f>
        <v/>
      </c>
      <c r="AJ331" s="167"/>
      <c r="AK331" s="167"/>
      <c r="AL331" s="167"/>
      <c r="AM331" s="167"/>
      <c r="AN331" s="175" t="str">
        <f>IFERROR(_xlfn.XLOOKUP($A331,Input_Raw!$A:$A,Input_Raw!$BN:$BN),"")</f>
        <v/>
      </c>
      <c r="AO331" s="174" t="str">
        <f>IFERROR((_xlfn.XLOOKUP($A331,'WTG Reactive Power'!$A:$A,'WTG Reactive Power'!$AE:$AE))/Table13[[#This Row],[Gen_Exp (kWh)]],"")</f>
        <v/>
      </c>
      <c r="AP331" s="174">
        <f>IFERROR(_xlfn.XLOOKUP($D331,'Modelling New'!$D:$D,'Modelling New'!$AK:$AK),"")</f>
        <v>0.05</v>
      </c>
      <c r="AQ331" s="174">
        <f>IFERROR(_xlfn.XLOOKUP($D331,'Modelling New'!$D:$D,'Modelling New'!$AL:$AL),"")</f>
        <v>0.05</v>
      </c>
      <c r="AR331" s="276">
        <f>IFERROR(_xlfn.XLOOKUP($D331,'Modelling New'!$D:$D,'Modelling New'!$N:$N),"")</f>
        <v>70.2</v>
      </c>
      <c r="AS331" s="276"/>
    </row>
    <row r="332" spans="1:45">
      <c r="A332" s="165">
        <f t="shared" si="23"/>
        <v>46075</v>
      </c>
      <c r="B332" s="166">
        <f>YEAR(Table13[[#This Row],[Date]])+IF(MONTH(Table13[[#This Row],[Date]])&gt;=4,1,0)</f>
        <v>2026</v>
      </c>
      <c r="C332" s="167">
        <f>YEAR(Table13[[#This Row],[Date]])</f>
        <v>2026</v>
      </c>
      <c r="D332" s="168">
        <f>Table13[[#This Row],[Date]]-DAY(Table13[[#This Row],[Date]])+1</f>
        <v>46054</v>
      </c>
      <c r="E332" s="167">
        <f t="shared" si="20"/>
        <v>28</v>
      </c>
      <c r="F332" s="169"/>
      <c r="G332" s="170"/>
      <c r="H332" s="170"/>
      <c r="I332" s="170"/>
      <c r="J332" s="170"/>
      <c r="K332" s="171"/>
      <c r="L332" s="170"/>
      <c r="M332" s="170" t="str">
        <f>IFERROR(_xlfn.XLOOKUP($A332,Input_Raw!$A:$A,Input_Raw!BG:BG),"")</f>
        <v/>
      </c>
      <c r="N332" s="170" t="str">
        <f>IFERROR(_xlfn.XLOOKUP($A332,Input_Raw!$A:$A,Input_Raw!BH:BH),"")</f>
        <v/>
      </c>
      <c r="O332" s="173" t="str">
        <f t="shared" si="21"/>
        <v/>
      </c>
      <c r="P332" s="173" t="str">
        <f>IFERROR(1-SUMIF(WTG_BD!$F:$F,$A332,WTG_BD!$AA:$AA)/($AA332+SUMIF(WTG_BD!$F:$F,$A332,WTG_BD!$AA:$AA)),"")</f>
        <v/>
      </c>
      <c r="Q332" s="173" t="str">
        <f>IFERROR(1-SUMIF(IGA_BD!$F:$F,$A332,IGA_BD!$X:$X)/($AA332+SUMIF(IGA_BD!$F:$F,$A332,IGA_BD!$X:$X)),"")</f>
        <v/>
      </c>
      <c r="R332" s="173" t="str">
        <f>IFERROR(1-SUMIF(Grid_BD!$F:$F,$A332,Grid_BD!$Y:$Y)/($AA332+SUMIF(Grid_BD!$F:$F,$A332,Grid_BD!$Y:$Y)),"")</f>
        <v/>
      </c>
      <c r="S332" s="167"/>
      <c r="T332" s="172"/>
      <c r="U332" s="173"/>
      <c r="V332" s="167"/>
      <c r="W332" s="174" t="str">
        <f t="shared" si="22"/>
        <v/>
      </c>
      <c r="X332" s="167" t="str">
        <f>IFERROR(_xlfn.XLOOKUP($A332,Input_Raw!$A:$A,Input_Raw!$BF:$BF),"")</f>
        <v/>
      </c>
      <c r="Y332" s="167" t="str">
        <f>IFERROR(_xlfn.XLOOKUP($A332,Input_Raw!$A:$A,Input_Raw!BJ:BJ),"")</f>
        <v/>
      </c>
      <c r="Z332" s="167" t="str">
        <f>IFERROR(_xlfn.XLOOKUP($A332,Input_Raw!$A:$A,Input_Raw!BK:BK),"")</f>
        <v/>
      </c>
      <c r="AA332" s="167" t="str">
        <f>IFERROR(_xlfn.XLOOKUP($A332,Input_Raw!$A:$A,Input_Raw!BL:BL),"")</f>
        <v/>
      </c>
      <c r="AB332" s="167" t="str">
        <f>IFERROR(_xlfn.XLOOKUP($A332,Input_Raw!$A:$A,Input_Raw!$BO:$BO),"")</f>
        <v/>
      </c>
      <c r="AC332" s="176">
        <f>IFERROR(_xlfn.XLOOKUP($D332,'Modelling New'!$D:$D,'Modelling New'!$J:$J),"")</f>
        <v>5.52</v>
      </c>
      <c r="AD332" s="166">
        <f>IFERROR(_xlfn.XLOOKUP($D332,'Modelling New'!$D:$D,'Modelling New'!$T:$T)*1000,"")</f>
        <v>522509.05737931043</v>
      </c>
      <c r="AE332" s="174"/>
      <c r="AF332" s="174">
        <f>IFERROR(_xlfn.XLOOKUP($D332,'Modelling New'!$D:$D,'Modelling New'!$W:$W),"")</f>
        <v>0.31013120689655177</v>
      </c>
      <c r="AG332" s="174">
        <f>IFERROR(_xlfn.XLOOKUP($D332,'Modelling New'!$D:$D,'Modelling New'!$AE:$AE),"")</f>
        <v>0.96029999999999993</v>
      </c>
      <c r="AH332" s="174">
        <f>IFERROR(_xlfn.XLOOKUP($D332,'Modelling New'!$D:$D,'Modelling New'!$AF:$AF),"")</f>
        <v>0.995</v>
      </c>
      <c r="AI332" s="177" t="str">
        <f>IFERROR(_xlfn.XLOOKUP($A332,Input_Raw!$A:$A,Input_Raw!$BQ:$BQ),"")</f>
        <v/>
      </c>
      <c r="AJ332" s="167"/>
      <c r="AK332" s="167"/>
      <c r="AL332" s="167"/>
      <c r="AM332" s="167"/>
      <c r="AN332" s="175" t="str">
        <f>IFERROR(_xlfn.XLOOKUP($A332,Input_Raw!$A:$A,Input_Raw!$BN:$BN),"")</f>
        <v/>
      </c>
      <c r="AO332" s="174" t="str">
        <f>IFERROR((_xlfn.XLOOKUP($A332,'WTG Reactive Power'!$A:$A,'WTG Reactive Power'!$AE:$AE))/Table13[[#This Row],[Gen_Exp (kWh)]],"")</f>
        <v/>
      </c>
      <c r="AP332" s="174">
        <f>IFERROR(_xlfn.XLOOKUP($D332,'Modelling New'!$D:$D,'Modelling New'!$AK:$AK),"")</f>
        <v>0.05</v>
      </c>
      <c r="AQ332" s="174">
        <f>IFERROR(_xlfn.XLOOKUP($D332,'Modelling New'!$D:$D,'Modelling New'!$AL:$AL),"")</f>
        <v>0.05</v>
      </c>
      <c r="AR332" s="276">
        <f>IFERROR(_xlfn.XLOOKUP($D332,'Modelling New'!$D:$D,'Modelling New'!$N:$N),"")</f>
        <v>70.2</v>
      </c>
      <c r="AS332" s="276"/>
    </row>
    <row r="333" spans="1:45">
      <c r="A333" s="165">
        <f t="shared" si="23"/>
        <v>46076</v>
      </c>
      <c r="B333" s="166">
        <f>YEAR(Table13[[#This Row],[Date]])+IF(MONTH(Table13[[#This Row],[Date]])&gt;=4,1,0)</f>
        <v>2026</v>
      </c>
      <c r="C333" s="167">
        <f>YEAR(Table13[[#This Row],[Date]])</f>
        <v>2026</v>
      </c>
      <c r="D333" s="168">
        <f>Table13[[#This Row],[Date]]-DAY(Table13[[#This Row],[Date]])+1</f>
        <v>46054</v>
      </c>
      <c r="E333" s="167">
        <f t="shared" si="20"/>
        <v>28</v>
      </c>
      <c r="F333" s="169"/>
      <c r="G333" s="176"/>
      <c r="H333" s="176"/>
      <c r="I333" s="176"/>
      <c r="J333" s="176"/>
      <c r="K333" s="171"/>
      <c r="L333" s="170"/>
      <c r="M333" s="170" t="str">
        <f>IFERROR(_xlfn.XLOOKUP($A333,Input_Raw!$A:$A,Input_Raw!BG:BG),"")</f>
        <v/>
      </c>
      <c r="N333" s="170" t="str">
        <f>IFERROR(_xlfn.XLOOKUP($A333,Input_Raw!$A:$A,Input_Raw!BH:BH),"")</f>
        <v/>
      </c>
      <c r="O333" s="173" t="str">
        <f t="shared" si="21"/>
        <v/>
      </c>
      <c r="P333" s="173" t="str">
        <f>IFERROR(1-SUMIF(WTG_BD!$F:$F,$A333,WTG_BD!$AA:$AA)/($AA333+SUMIF(WTG_BD!$F:$F,$A333,WTG_BD!$AA:$AA)),"")</f>
        <v/>
      </c>
      <c r="Q333" s="173" t="str">
        <f>IFERROR(1-SUMIF(IGA_BD!$F:$F,$A333,IGA_BD!$X:$X)/($AA333+SUMIF(IGA_BD!$F:$F,$A333,IGA_BD!$X:$X)),"")</f>
        <v/>
      </c>
      <c r="R333" s="173" t="str">
        <f>IFERROR(1-SUMIF(Grid_BD!$F:$F,$A333,Grid_BD!$Y:$Y)/($AA333+SUMIF(Grid_BD!$F:$F,$A333,Grid_BD!$Y:$Y)),"")</f>
        <v/>
      </c>
      <c r="S333" s="167"/>
      <c r="T333" s="172"/>
      <c r="U333" s="173"/>
      <c r="V333" s="167"/>
      <c r="W333" s="174" t="str">
        <f t="shared" si="22"/>
        <v/>
      </c>
      <c r="X333" s="167" t="str">
        <f>IFERROR(_xlfn.XLOOKUP($A333,Input_Raw!$A:$A,Input_Raw!$BF:$BF),"")</f>
        <v/>
      </c>
      <c r="Y333" s="167" t="str">
        <f>IFERROR(_xlfn.XLOOKUP($A333,Input_Raw!$A:$A,Input_Raw!BJ:BJ),"")</f>
        <v/>
      </c>
      <c r="Z333" s="167" t="str">
        <f>IFERROR(_xlfn.XLOOKUP($A333,Input_Raw!$A:$A,Input_Raw!BK:BK),"")</f>
        <v/>
      </c>
      <c r="AA333" s="167" t="str">
        <f>IFERROR(_xlfn.XLOOKUP($A333,Input_Raw!$A:$A,Input_Raw!BL:BL),"")</f>
        <v/>
      </c>
      <c r="AB333" s="167" t="str">
        <f>IFERROR(_xlfn.XLOOKUP($A333,Input_Raw!$A:$A,Input_Raw!$BO:$BO),"")</f>
        <v/>
      </c>
      <c r="AC333" s="176">
        <f>IFERROR(_xlfn.XLOOKUP($D333,'Modelling New'!$D:$D,'Modelling New'!$J:$J),"")</f>
        <v>5.52</v>
      </c>
      <c r="AD333" s="166">
        <f>IFERROR(_xlfn.XLOOKUP($D333,'Modelling New'!$D:$D,'Modelling New'!$T:$T)*1000,"")</f>
        <v>522509.05737931043</v>
      </c>
      <c r="AE333" s="174"/>
      <c r="AF333" s="174">
        <f>IFERROR(_xlfn.XLOOKUP($D333,'Modelling New'!$D:$D,'Modelling New'!$W:$W),"")</f>
        <v>0.31013120689655177</v>
      </c>
      <c r="AG333" s="174">
        <f>IFERROR(_xlfn.XLOOKUP($D333,'Modelling New'!$D:$D,'Modelling New'!$AE:$AE),"")</f>
        <v>0.96029999999999993</v>
      </c>
      <c r="AH333" s="174">
        <f>IFERROR(_xlfn.XLOOKUP($D333,'Modelling New'!$D:$D,'Modelling New'!$AF:$AF),"")</f>
        <v>0.995</v>
      </c>
      <c r="AI333" s="177" t="str">
        <f>IFERROR(_xlfn.XLOOKUP($A333,Input_Raw!$A:$A,Input_Raw!$BQ:$BQ),"")</f>
        <v/>
      </c>
      <c r="AJ333" s="167"/>
      <c r="AK333" s="167"/>
      <c r="AL333" s="167"/>
      <c r="AM333" s="167"/>
      <c r="AN333" s="175" t="str">
        <f>IFERROR(_xlfn.XLOOKUP($A333,Input_Raw!$A:$A,Input_Raw!$BN:$BN),"")</f>
        <v/>
      </c>
      <c r="AO333" s="174" t="str">
        <f>IFERROR((_xlfn.XLOOKUP($A333,'WTG Reactive Power'!$A:$A,'WTG Reactive Power'!$AE:$AE))/Table13[[#This Row],[Gen_Exp (kWh)]],"")</f>
        <v/>
      </c>
      <c r="AP333" s="174">
        <f>IFERROR(_xlfn.XLOOKUP($D333,'Modelling New'!$D:$D,'Modelling New'!$AK:$AK),"")</f>
        <v>0.05</v>
      </c>
      <c r="AQ333" s="174">
        <f>IFERROR(_xlfn.XLOOKUP($D333,'Modelling New'!$D:$D,'Modelling New'!$AL:$AL),"")</f>
        <v>0.05</v>
      </c>
      <c r="AR333" s="276">
        <f>IFERROR(_xlfn.XLOOKUP($D333,'Modelling New'!$D:$D,'Modelling New'!$N:$N),"")</f>
        <v>70.2</v>
      </c>
      <c r="AS333" s="276"/>
    </row>
    <row r="334" spans="1:45">
      <c r="A334" s="165">
        <f t="shared" si="23"/>
        <v>46077</v>
      </c>
      <c r="B334" s="166">
        <f>YEAR(Table13[[#This Row],[Date]])+IF(MONTH(Table13[[#This Row],[Date]])&gt;=4,1,0)</f>
        <v>2026</v>
      </c>
      <c r="C334" s="167">
        <f>YEAR(Table13[[#This Row],[Date]])</f>
        <v>2026</v>
      </c>
      <c r="D334" s="168">
        <f>Table13[[#This Row],[Date]]-DAY(Table13[[#This Row],[Date]])+1</f>
        <v>46054</v>
      </c>
      <c r="E334" s="167">
        <f t="shared" si="20"/>
        <v>28</v>
      </c>
      <c r="F334" s="169"/>
      <c r="G334" s="170"/>
      <c r="H334" s="170"/>
      <c r="I334" s="170"/>
      <c r="J334" s="170"/>
      <c r="K334" s="171"/>
      <c r="L334" s="170"/>
      <c r="M334" s="170" t="str">
        <f>IFERROR(_xlfn.XLOOKUP($A334,Input_Raw!$A:$A,Input_Raw!BG:BG),"")</f>
        <v/>
      </c>
      <c r="N334" s="170" t="str">
        <f>IFERROR(_xlfn.XLOOKUP($A334,Input_Raw!$A:$A,Input_Raw!BH:BH),"")</f>
        <v/>
      </c>
      <c r="O334" s="173" t="str">
        <f t="shared" si="21"/>
        <v/>
      </c>
      <c r="P334" s="173" t="str">
        <f>IFERROR(1-SUMIF(WTG_BD!$F:$F,$A334,WTG_BD!$AA:$AA)/($AA334+SUMIF(WTG_BD!$F:$F,$A334,WTG_BD!$AA:$AA)),"")</f>
        <v/>
      </c>
      <c r="Q334" s="173" t="str">
        <f>IFERROR(1-SUMIF(IGA_BD!$F:$F,$A334,IGA_BD!$X:$X)/($AA334+SUMIF(IGA_BD!$F:$F,$A334,IGA_BD!$X:$X)),"")</f>
        <v/>
      </c>
      <c r="R334" s="173" t="str">
        <f>IFERROR(1-SUMIF(Grid_BD!$F:$F,$A334,Grid_BD!$Y:$Y)/($AA334+SUMIF(Grid_BD!$F:$F,$A334,Grid_BD!$Y:$Y)),"")</f>
        <v/>
      </c>
      <c r="S334" s="167"/>
      <c r="T334" s="172"/>
      <c r="U334" s="173"/>
      <c r="V334" s="167"/>
      <c r="W334" s="174" t="str">
        <f t="shared" si="22"/>
        <v/>
      </c>
      <c r="X334" s="167" t="str">
        <f>IFERROR(_xlfn.XLOOKUP($A334,Input_Raw!$A:$A,Input_Raw!$BF:$BF),"")</f>
        <v/>
      </c>
      <c r="Y334" s="167" t="str">
        <f>IFERROR(_xlfn.XLOOKUP($A334,Input_Raw!$A:$A,Input_Raw!BJ:BJ),"")</f>
        <v/>
      </c>
      <c r="Z334" s="167" t="str">
        <f>IFERROR(_xlfn.XLOOKUP($A334,Input_Raw!$A:$A,Input_Raw!BK:BK),"")</f>
        <v/>
      </c>
      <c r="AA334" s="167" t="str">
        <f>IFERROR(_xlfn.XLOOKUP($A334,Input_Raw!$A:$A,Input_Raw!BL:BL),"")</f>
        <v/>
      </c>
      <c r="AB334" s="167" t="str">
        <f>IFERROR(_xlfn.XLOOKUP($A334,Input_Raw!$A:$A,Input_Raw!$BO:$BO),"")</f>
        <v/>
      </c>
      <c r="AC334" s="176">
        <f>IFERROR(_xlfn.XLOOKUP($D334,'Modelling New'!$D:$D,'Modelling New'!$J:$J),"")</f>
        <v>5.52</v>
      </c>
      <c r="AD334" s="166">
        <f>IFERROR(_xlfn.XLOOKUP($D334,'Modelling New'!$D:$D,'Modelling New'!$T:$T)*1000,"")</f>
        <v>522509.05737931043</v>
      </c>
      <c r="AE334" s="174"/>
      <c r="AF334" s="174">
        <f>IFERROR(_xlfn.XLOOKUP($D334,'Modelling New'!$D:$D,'Modelling New'!$W:$W),"")</f>
        <v>0.31013120689655177</v>
      </c>
      <c r="AG334" s="174">
        <f>IFERROR(_xlfn.XLOOKUP($D334,'Modelling New'!$D:$D,'Modelling New'!$AE:$AE),"")</f>
        <v>0.96029999999999993</v>
      </c>
      <c r="AH334" s="174">
        <f>IFERROR(_xlfn.XLOOKUP($D334,'Modelling New'!$D:$D,'Modelling New'!$AF:$AF),"")</f>
        <v>0.995</v>
      </c>
      <c r="AI334" s="177" t="str">
        <f>IFERROR(_xlfn.XLOOKUP($A334,Input_Raw!$A:$A,Input_Raw!$BQ:$BQ),"")</f>
        <v/>
      </c>
      <c r="AJ334" s="167"/>
      <c r="AK334" s="167"/>
      <c r="AL334" s="167"/>
      <c r="AM334" s="167"/>
      <c r="AN334" s="175" t="str">
        <f>IFERROR(_xlfn.XLOOKUP($A334,Input_Raw!$A:$A,Input_Raw!$BN:$BN),"")</f>
        <v/>
      </c>
      <c r="AO334" s="174" t="str">
        <f>IFERROR((_xlfn.XLOOKUP($A334,'WTG Reactive Power'!$A:$A,'WTG Reactive Power'!$AE:$AE))/Table13[[#This Row],[Gen_Exp (kWh)]],"")</f>
        <v/>
      </c>
      <c r="AP334" s="174">
        <f>IFERROR(_xlfn.XLOOKUP($D334,'Modelling New'!$D:$D,'Modelling New'!$AK:$AK),"")</f>
        <v>0.05</v>
      </c>
      <c r="AQ334" s="174">
        <f>IFERROR(_xlfn.XLOOKUP($D334,'Modelling New'!$D:$D,'Modelling New'!$AL:$AL),"")</f>
        <v>0.05</v>
      </c>
      <c r="AR334" s="276">
        <f>IFERROR(_xlfn.XLOOKUP($D334,'Modelling New'!$D:$D,'Modelling New'!$N:$N),"")</f>
        <v>70.2</v>
      </c>
      <c r="AS334" s="276"/>
    </row>
    <row r="335" spans="1:45">
      <c r="A335" s="165">
        <f t="shared" si="23"/>
        <v>46078</v>
      </c>
      <c r="B335" s="166">
        <f>YEAR(Table13[[#This Row],[Date]])+IF(MONTH(Table13[[#This Row],[Date]])&gt;=4,1,0)</f>
        <v>2026</v>
      </c>
      <c r="C335" s="167">
        <f>YEAR(Table13[[#This Row],[Date]])</f>
        <v>2026</v>
      </c>
      <c r="D335" s="168">
        <f>Table13[[#This Row],[Date]]-DAY(Table13[[#This Row],[Date]])+1</f>
        <v>46054</v>
      </c>
      <c r="E335" s="167">
        <f t="shared" si="20"/>
        <v>28</v>
      </c>
      <c r="F335" s="169"/>
      <c r="G335" s="176"/>
      <c r="H335" s="176"/>
      <c r="I335" s="176"/>
      <c r="J335" s="176"/>
      <c r="K335" s="171"/>
      <c r="L335" s="170"/>
      <c r="M335" s="170" t="str">
        <f>IFERROR(_xlfn.XLOOKUP($A335,Input_Raw!$A:$A,Input_Raw!BG:BG),"")</f>
        <v/>
      </c>
      <c r="N335" s="170" t="str">
        <f>IFERROR(_xlfn.XLOOKUP($A335,Input_Raw!$A:$A,Input_Raw!BH:BH),"")</f>
        <v/>
      </c>
      <c r="O335" s="173" t="str">
        <f t="shared" si="21"/>
        <v/>
      </c>
      <c r="P335" s="173" t="str">
        <f>IFERROR(1-SUMIF(WTG_BD!$F:$F,$A335,WTG_BD!$AA:$AA)/($AA335+SUMIF(WTG_BD!$F:$F,$A335,WTG_BD!$AA:$AA)),"")</f>
        <v/>
      </c>
      <c r="Q335" s="173" t="str">
        <f>IFERROR(1-SUMIF(IGA_BD!$F:$F,$A335,IGA_BD!$X:$X)/($AA335+SUMIF(IGA_BD!$F:$F,$A335,IGA_BD!$X:$X)),"")</f>
        <v/>
      </c>
      <c r="R335" s="173" t="str">
        <f>IFERROR(1-SUMIF(Grid_BD!$F:$F,$A335,Grid_BD!$Y:$Y)/($AA335+SUMIF(Grid_BD!$F:$F,$A335,Grid_BD!$Y:$Y)),"")</f>
        <v/>
      </c>
      <c r="S335" s="167"/>
      <c r="T335" s="172"/>
      <c r="U335" s="173"/>
      <c r="V335" s="167"/>
      <c r="W335" s="174" t="str">
        <f t="shared" si="22"/>
        <v/>
      </c>
      <c r="X335" s="167" t="str">
        <f>IFERROR(_xlfn.XLOOKUP($A335,Input_Raw!$A:$A,Input_Raw!$BF:$BF),"")</f>
        <v/>
      </c>
      <c r="Y335" s="167" t="str">
        <f>IFERROR(_xlfn.XLOOKUP($A335,Input_Raw!$A:$A,Input_Raw!BJ:BJ),"")</f>
        <v/>
      </c>
      <c r="Z335" s="167" t="str">
        <f>IFERROR(_xlfn.XLOOKUP($A335,Input_Raw!$A:$A,Input_Raw!BK:BK),"")</f>
        <v/>
      </c>
      <c r="AA335" s="167" t="str">
        <f>IFERROR(_xlfn.XLOOKUP($A335,Input_Raw!$A:$A,Input_Raw!BL:BL),"")</f>
        <v/>
      </c>
      <c r="AB335" s="167" t="str">
        <f>IFERROR(_xlfn.XLOOKUP($A335,Input_Raw!$A:$A,Input_Raw!$BO:$BO),"")</f>
        <v/>
      </c>
      <c r="AC335" s="176">
        <f>IFERROR(_xlfn.XLOOKUP($D335,'Modelling New'!$D:$D,'Modelling New'!$J:$J),"")</f>
        <v>5.52</v>
      </c>
      <c r="AD335" s="166">
        <f>IFERROR(_xlfn.XLOOKUP($D335,'Modelling New'!$D:$D,'Modelling New'!$T:$T)*1000,"")</f>
        <v>522509.05737931043</v>
      </c>
      <c r="AE335" s="174"/>
      <c r="AF335" s="174">
        <f>IFERROR(_xlfn.XLOOKUP($D335,'Modelling New'!$D:$D,'Modelling New'!$W:$W),"")</f>
        <v>0.31013120689655177</v>
      </c>
      <c r="AG335" s="174">
        <f>IFERROR(_xlfn.XLOOKUP($D335,'Modelling New'!$D:$D,'Modelling New'!$AE:$AE),"")</f>
        <v>0.96029999999999993</v>
      </c>
      <c r="AH335" s="174">
        <f>IFERROR(_xlfn.XLOOKUP($D335,'Modelling New'!$D:$D,'Modelling New'!$AF:$AF),"")</f>
        <v>0.995</v>
      </c>
      <c r="AI335" s="177" t="str">
        <f>IFERROR(_xlfn.XLOOKUP($A335,Input_Raw!$A:$A,Input_Raw!$BQ:$BQ),"")</f>
        <v/>
      </c>
      <c r="AJ335" s="167"/>
      <c r="AK335" s="167"/>
      <c r="AL335" s="167"/>
      <c r="AM335" s="167"/>
      <c r="AN335" s="175" t="str">
        <f>IFERROR(_xlfn.XLOOKUP($A335,Input_Raw!$A:$A,Input_Raw!$BN:$BN),"")</f>
        <v/>
      </c>
      <c r="AO335" s="174" t="str">
        <f>IFERROR((_xlfn.XLOOKUP($A335,'WTG Reactive Power'!$A:$A,'WTG Reactive Power'!$AE:$AE))/Table13[[#This Row],[Gen_Exp (kWh)]],"")</f>
        <v/>
      </c>
      <c r="AP335" s="174">
        <f>IFERROR(_xlfn.XLOOKUP($D335,'Modelling New'!$D:$D,'Modelling New'!$AK:$AK),"")</f>
        <v>0.05</v>
      </c>
      <c r="AQ335" s="174">
        <f>IFERROR(_xlfn.XLOOKUP($D335,'Modelling New'!$D:$D,'Modelling New'!$AL:$AL),"")</f>
        <v>0.05</v>
      </c>
      <c r="AR335" s="276">
        <f>IFERROR(_xlfn.XLOOKUP($D335,'Modelling New'!$D:$D,'Modelling New'!$N:$N),"")</f>
        <v>70.2</v>
      </c>
      <c r="AS335" s="276"/>
    </row>
    <row r="336" spans="1:45">
      <c r="A336" s="165">
        <f t="shared" si="23"/>
        <v>46079</v>
      </c>
      <c r="B336" s="166">
        <f>YEAR(Table13[[#This Row],[Date]])+IF(MONTH(Table13[[#This Row],[Date]])&gt;=4,1,0)</f>
        <v>2026</v>
      </c>
      <c r="C336" s="167">
        <f>YEAR(Table13[[#This Row],[Date]])</f>
        <v>2026</v>
      </c>
      <c r="D336" s="168">
        <f>Table13[[#This Row],[Date]]-DAY(Table13[[#This Row],[Date]])+1</f>
        <v>46054</v>
      </c>
      <c r="E336" s="167">
        <f t="shared" si="20"/>
        <v>28</v>
      </c>
      <c r="F336" s="169"/>
      <c r="G336" s="170"/>
      <c r="H336" s="170"/>
      <c r="I336" s="170"/>
      <c r="J336" s="170"/>
      <c r="K336" s="171"/>
      <c r="L336" s="170"/>
      <c r="M336" s="170" t="str">
        <f>IFERROR(_xlfn.XLOOKUP($A336,Input_Raw!$A:$A,Input_Raw!BG:BG),"")</f>
        <v/>
      </c>
      <c r="N336" s="170" t="str">
        <f>IFERROR(_xlfn.XLOOKUP($A336,Input_Raw!$A:$A,Input_Raw!BH:BH),"")</f>
        <v/>
      </c>
      <c r="O336" s="173" t="str">
        <f t="shared" si="21"/>
        <v/>
      </c>
      <c r="P336" s="173" t="str">
        <f>IFERROR(1-SUMIF(WTG_BD!$F:$F,$A336,WTG_BD!$AA:$AA)/($AA336+SUMIF(WTG_BD!$F:$F,$A336,WTG_BD!$AA:$AA)),"")</f>
        <v/>
      </c>
      <c r="Q336" s="173" t="str">
        <f>IFERROR(1-SUMIF(IGA_BD!$F:$F,$A336,IGA_BD!$X:$X)/($AA336+SUMIF(IGA_BD!$F:$F,$A336,IGA_BD!$X:$X)),"")</f>
        <v/>
      </c>
      <c r="R336" s="173" t="str">
        <f>IFERROR(1-SUMIF(Grid_BD!$F:$F,$A336,Grid_BD!$Y:$Y)/($AA336+SUMIF(Grid_BD!$F:$F,$A336,Grid_BD!$Y:$Y)),"")</f>
        <v/>
      </c>
      <c r="S336" s="167"/>
      <c r="T336" s="172"/>
      <c r="U336" s="173"/>
      <c r="V336" s="167"/>
      <c r="W336" s="174" t="str">
        <f t="shared" si="22"/>
        <v/>
      </c>
      <c r="X336" s="167" t="str">
        <f>IFERROR(_xlfn.XLOOKUP($A336,Input_Raw!$A:$A,Input_Raw!$BF:$BF),"")</f>
        <v/>
      </c>
      <c r="Y336" s="167" t="str">
        <f>IFERROR(_xlfn.XLOOKUP($A336,Input_Raw!$A:$A,Input_Raw!BJ:BJ),"")</f>
        <v/>
      </c>
      <c r="Z336" s="167" t="str">
        <f>IFERROR(_xlfn.XLOOKUP($A336,Input_Raw!$A:$A,Input_Raw!BK:BK),"")</f>
        <v/>
      </c>
      <c r="AA336" s="167" t="str">
        <f>IFERROR(_xlfn.XLOOKUP($A336,Input_Raw!$A:$A,Input_Raw!BL:BL),"")</f>
        <v/>
      </c>
      <c r="AB336" s="167" t="str">
        <f>IFERROR(_xlfn.XLOOKUP($A336,Input_Raw!$A:$A,Input_Raw!$BO:$BO),"")</f>
        <v/>
      </c>
      <c r="AC336" s="176">
        <f>IFERROR(_xlfn.XLOOKUP($D336,'Modelling New'!$D:$D,'Modelling New'!$J:$J),"")</f>
        <v>5.52</v>
      </c>
      <c r="AD336" s="166">
        <f>IFERROR(_xlfn.XLOOKUP($D336,'Modelling New'!$D:$D,'Modelling New'!$T:$T)*1000,"")</f>
        <v>522509.05737931043</v>
      </c>
      <c r="AE336" s="174"/>
      <c r="AF336" s="174">
        <f>IFERROR(_xlfn.XLOOKUP($D336,'Modelling New'!$D:$D,'Modelling New'!$W:$W),"")</f>
        <v>0.31013120689655177</v>
      </c>
      <c r="AG336" s="174">
        <f>IFERROR(_xlfn.XLOOKUP($D336,'Modelling New'!$D:$D,'Modelling New'!$AE:$AE),"")</f>
        <v>0.96029999999999993</v>
      </c>
      <c r="AH336" s="174">
        <f>IFERROR(_xlfn.XLOOKUP($D336,'Modelling New'!$D:$D,'Modelling New'!$AF:$AF),"")</f>
        <v>0.995</v>
      </c>
      <c r="AI336" s="177" t="str">
        <f>IFERROR(_xlfn.XLOOKUP($A336,Input_Raw!$A:$A,Input_Raw!$BQ:$BQ),"")</f>
        <v/>
      </c>
      <c r="AJ336" s="167"/>
      <c r="AK336" s="167"/>
      <c r="AL336" s="167"/>
      <c r="AM336" s="167"/>
      <c r="AN336" s="175" t="str">
        <f>IFERROR(_xlfn.XLOOKUP($A336,Input_Raw!$A:$A,Input_Raw!$BN:$BN),"")</f>
        <v/>
      </c>
      <c r="AO336" s="174" t="str">
        <f>IFERROR((_xlfn.XLOOKUP($A336,'WTG Reactive Power'!$A:$A,'WTG Reactive Power'!$AE:$AE))/Table13[[#This Row],[Gen_Exp (kWh)]],"")</f>
        <v/>
      </c>
      <c r="AP336" s="174">
        <f>IFERROR(_xlfn.XLOOKUP($D336,'Modelling New'!$D:$D,'Modelling New'!$AK:$AK),"")</f>
        <v>0.05</v>
      </c>
      <c r="AQ336" s="174">
        <f>IFERROR(_xlfn.XLOOKUP($D336,'Modelling New'!$D:$D,'Modelling New'!$AL:$AL),"")</f>
        <v>0.05</v>
      </c>
      <c r="AR336" s="276">
        <f>IFERROR(_xlfn.XLOOKUP($D336,'Modelling New'!$D:$D,'Modelling New'!$N:$N),"")</f>
        <v>70.2</v>
      </c>
      <c r="AS336" s="276"/>
    </row>
    <row r="337" spans="1:45">
      <c r="A337" s="165">
        <f t="shared" si="23"/>
        <v>46080</v>
      </c>
      <c r="B337" s="166">
        <f>YEAR(Table13[[#This Row],[Date]])+IF(MONTH(Table13[[#This Row],[Date]])&gt;=4,1,0)</f>
        <v>2026</v>
      </c>
      <c r="C337" s="167">
        <f>YEAR(Table13[[#This Row],[Date]])</f>
        <v>2026</v>
      </c>
      <c r="D337" s="168">
        <f>Table13[[#This Row],[Date]]-DAY(Table13[[#This Row],[Date]])+1</f>
        <v>46054</v>
      </c>
      <c r="E337" s="167">
        <f t="shared" si="20"/>
        <v>28</v>
      </c>
      <c r="F337" s="169"/>
      <c r="G337" s="176"/>
      <c r="H337" s="176"/>
      <c r="I337" s="176"/>
      <c r="J337" s="176"/>
      <c r="K337" s="171"/>
      <c r="L337" s="170"/>
      <c r="M337" s="170" t="str">
        <f>IFERROR(_xlfn.XLOOKUP($A337,Input_Raw!$A:$A,Input_Raw!BG:BG),"")</f>
        <v/>
      </c>
      <c r="N337" s="170" t="str">
        <f>IFERROR(_xlfn.XLOOKUP($A337,Input_Raw!$A:$A,Input_Raw!BH:BH),"")</f>
        <v/>
      </c>
      <c r="O337" s="173" t="str">
        <f t="shared" si="21"/>
        <v/>
      </c>
      <c r="P337" s="173" t="str">
        <f>IFERROR(1-SUMIF(WTG_BD!$F:$F,$A337,WTG_BD!$AA:$AA)/($AA337+SUMIF(WTG_BD!$F:$F,$A337,WTG_BD!$AA:$AA)),"")</f>
        <v/>
      </c>
      <c r="Q337" s="173" t="str">
        <f>IFERROR(1-SUMIF(IGA_BD!$F:$F,$A337,IGA_BD!$X:$X)/($AA337+SUMIF(IGA_BD!$F:$F,$A337,IGA_BD!$X:$X)),"")</f>
        <v/>
      </c>
      <c r="R337" s="173" t="str">
        <f>IFERROR(1-SUMIF(Grid_BD!$F:$F,$A337,Grid_BD!$Y:$Y)/($AA337+SUMIF(Grid_BD!$F:$F,$A337,Grid_BD!$Y:$Y)),"")</f>
        <v/>
      </c>
      <c r="S337" s="167"/>
      <c r="T337" s="172"/>
      <c r="U337" s="173"/>
      <c r="V337" s="167"/>
      <c r="W337" s="174" t="str">
        <f t="shared" si="22"/>
        <v/>
      </c>
      <c r="X337" s="167" t="str">
        <f>IFERROR(_xlfn.XLOOKUP($A337,Input_Raw!$A:$A,Input_Raw!$BF:$BF),"")</f>
        <v/>
      </c>
      <c r="Y337" s="167" t="str">
        <f>IFERROR(_xlfn.XLOOKUP($A337,Input_Raw!$A:$A,Input_Raw!BJ:BJ),"")</f>
        <v/>
      </c>
      <c r="Z337" s="167" t="str">
        <f>IFERROR(_xlfn.XLOOKUP($A337,Input_Raw!$A:$A,Input_Raw!BK:BK),"")</f>
        <v/>
      </c>
      <c r="AA337" s="167" t="str">
        <f>IFERROR(_xlfn.XLOOKUP($A337,Input_Raw!$A:$A,Input_Raw!BL:BL),"")</f>
        <v/>
      </c>
      <c r="AB337" s="167" t="str">
        <f>IFERROR(_xlfn.XLOOKUP($A337,Input_Raw!$A:$A,Input_Raw!$BO:$BO),"")</f>
        <v/>
      </c>
      <c r="AC337" s="176">
        <f>IFERROR(_xlfn.XLOOKUP($D337,'Modelling New'!$D:$D,'Modelling New'!$J:$J),"")</f>
        <v>5.52</v>
      </c>
      <c r="AD337" s="166">
        <f>IFERROR(_xlfn.XLOOKUP($D337,'Modelling New'!$D:$D,'Modelling New'!$T:$T)*1000,"")</f>
        <v>522509.05737931043</v>
      </c>
      <c r="AE337" s="174"/>
      <c r="AF337" s="174">
        <f>IFERROR(_xlfn.XLOOKUP($D337,'Modelling New'!$D:$D,'Modelling New'!$W:$W),"")</f>
        <v>0.31013120689655177</v>
      </c>
      <c r="AG337" s="174">
        <f>IFERROR(_xlfn.XLOOKUP($D337,'Modelling New'!$D:$D,'Modelling New'!$AE:$AE),"")</f>
        <v>0.96029999999999993</v>
      </c>
      <c r="AH337" s="174">
        <f>IFERROR(_xlfn.XLOOKUP($D337,'Modelling New'!$D:$D,'Modelling New'!$AF:$AF),"")</f>
        <v>0.995</v>
      </c>
      <c r="AI337" s="177" t="str">
        <f>IFERROR(_xlfn.XLOOKUP($A337,Input_Raw!$A:$A,Input_Raw!$BQ:$BQ),"")</f>
        <v/>
      </c>
      <c r="AJ337" s="167"/>
      <c r="AK337" s="167"/>
      <c r="AL337" s="167"/>
      <c r="AM337" s="167"/>
      <c r="AN337" s="175" t="str">
        <f>IFERROR(_xlfn.XLOOKUP($A337,Input_Raw!$A:$A,Input_Raw!$BN:$BN),"")</f>
        <v/>
      </c>
      <c r="AO337" s="174" t="str">
        <f>IFERROR((_xlfn.XLOOKUP($A337,'WTG Reactive Power'!$A:$A,'WTG Reactive Power'!$AE:$AE))/Table13[[#This Row],[Gen_Exp (kWh)]],"")</f>
        <v/>
      </c>
      <c r="AP337" s="174">
        <f>IFERROR(_xlfn.XLOOKUP($D337,'Modelling New'!$D:$D,'Modelling New'!$AK:$AK),"")</f>
        <v>0.05</v>
      </c>
      <c r="AQ337" s="174">
        <f>IFERROR(_xlfn.XLOOKUP($D337,'Modelling New'!$D:$D,'Modelling New'!$AL:$AL),"")</f>
        <v>0.05</v>
      </c>
      <c r="AR337" s="276">
        <f>IFERROR(_xlfn.XLOOKUP($D337,'Modelling New'!$D:$D,'Modelling New'!$N:$N),"")</f>
        <v>70.2</v>
      </c>
      <c r="AS337" s="276"/>
    </row>
    <row r="338" spans="1:45">
      <c r="A338" s="165">
        <f t="shared" si="23"/>
        <v>46081</v>
      </c>
      <c r="B338" s="166">
        <f>YEAR(Table13[[#This Row],[Date]])+IF(MONTH(Table13[[#This Row],[Date]])&gt;=4,1,0)</f>
        <v>2026</v>
      </c>
      <c r="C338" s="167">
        <f>YEAR(Table13[[#This Row],[Date]])</f>
        <v>2026</v>
      </c>
      <c r="D338" s="168">
        <f>Table13[[#This Row],[Date]]-DAY(Table13[[#This Row],[Date]])+1</f>
        <v>46054</v>
      </c>
      <c r="E338" s="167">
        <f t="shared" si="20"/>
        <v>28</v>
      </c>
      <c r="F338" s="169"/>
      <c r="G338" s="170"/>
      <c r="H338" s="170"/>
      <c r="I338" s="170"/>
      <c r="J338" s="170"/>
      <c r="K338" s="171"/>
      <c r="L338" s="170"/>
      <c r="M338" s="170" t="str">
        <f>IFERROR(_xlfn.XLOOKUP($A338,Input_Raw!$A:$A,Input_Raw!BG:BG),"")</f>
        <v/>
      </c>
      <c r="N338" s="170" t="str">
        <f>IFERROR(_xlfn.XLOOKUP($A338,Input_Raw!$A:$A,Input_Raw!BH:BH),"")</f>
        <v/>
      </c>
      <c r="O338" s="173" t="str">
        <f t="shared" si="21"/>
        <v/>
      </c>
      <c r="P338" s="173" t="str">
        <f>IFERROR(1-SUMIF(WTG_BD!$F:$F,$A338,WTG_BD!$AA:$AA)/($AA338+SUMIF(WTG_BD!$F:$F,$A338,WTG_BD!$AA:$AA)),"")</f>
        <v/>
      </c>
      <c r="Q338" s="173" t="str">
        <f>IFERROR(1-SUMIF(IGA_BD!$F:$F,$A338,IGA_BD!$X:$X)/($AA338+SUMIF(IGA_BD!$F:$F,$A338,IGA_BD!$X:$X)),"")</f>
        <v/>
      </c>
      <c r="R338" s="173" t="str">
        <f>IFERROR(1-SUMIF(Grid_BD!$F:$F,$A338,Grid_BD!$Y:$Y)/($AA338+SUMIF(Grid_BD!$F:$F,$A338,Grid_BD!$Y:$Y)),"")</f>
        <v/>
      </c>
      <c r="S338" s="167"/>
      <c r="T338" s="172"/>
      <c r="U338" s="173"/>
      <c r="V338" s="167"/>
      <c r="W338" s="174" t="str">
        <f t="shared" si="22"/>
        <v/>
      </c>
      <c r="X338" s="167" t="str">
        <f>IFERROR(_xlfn.XLOOKUP($A338,Input_Raw!$A:$A,Input_Raw!$BF:$BF),"")</f>
        <v/>
      </c>
      <c r="Y338" s="167" t="str">
        <f>IFERROR(_xlfn.XLOOKUP($A338,Input_Raw!$A:$A,Input_Raw!BJ:BJ),"")</f>
        <v/>
      </c>
      <c r="Z338" s="167" t="str">
        <f>IFERROR(_xlfn.XLOOKUP($A338,Input_Raw!$A:$A,Input_Raw!BK:BK),"")</f>
        <v/>
      </c>
      <c r="AA338" s="167" t="str">
        <f>IFERROR(_xlfn.XLOOKUP($A338,Input_Raw!$A:$A,Input_Raw!BL:BL),"")</f>
        <v/>
      </c>
      <c r="AB338" s="167" t="str">
        <f>IFERROR(_xlfn.XLOOKUP($A338,Input_Raw!$A:$A,Input_Raw!$BO:$BO),"")</f>
        <v/>
      </c>
      <c r="AC338" s="176">
        <f>IFERROR(_xlfn.XLOOKUP($D338,'Modelling New'!$D:$D,'Modelling New'!$J:$J),"")</f>
        <v>5.52</v>
      </c>
      <c r="AD338" s="166">
        <f>IFERROR(_xlfn.XLOOKUP($D338,'Modelling New'!$D:$D,'Modelling New'!$T:$T)*1000,"")</f>
        <v>522509.05737931043</v>
      </c>
      <c r="AE338" s="174"/>
      <c r="AF338" s="174">
        <f>IFERROR(_xlfn.XLOOKUP($D338,'Modelling New'!$D:$D,'Modelling New'!$W:$W),"")</f>
        <v>0.31013120689655177</v>
      </c>
      <c r="AG338" s="174">
        <f>IFERROR(_xlfn.XLOOKUP($D338,'Modelling New'!$D:$D,'Modelling New'!$AE:$AE),"")</f>
        <v>0.96029999999999993</v>
      </c>
      <c r="AH338" s="174">
        <f>IFERROR(_xlfn.XLOOKUP($D338,'Modelling New'!$D:$D,'Modelling New'!$AF:$AF),"")</f>
        <v>0.995</v>
      </c>
      <c r="AI338" s="177" t="str">
        <f>IFERROR(_xlfn.XLOOKUP($A338,Input_Raw!$A:$A,Input_Raw!$BQ:$BQ),"")</f>
        <v/>
      </c>
      <c r="AJ338" s="167"/>
      <c r="AK338" s="167"/>
      <c r="AL338" s="167"/>
      <c r="AM338" s="167"/>
      <c r="AN338" s="175" t="str">
        <f>IFERROR(_xlfn.XLOOKUP($A338,Input_Raw!$A:$A,Input_Raw!$BN:$BN),"")</f>
        <v/>
      </c>
      <c r="AO338" s="174" t="str">
        <f>IFERROR((_xlfn.XLOOKUP($A338,'WTG Reactive Power'!$A:$A,'WTG Reactive Power'!$AE:$AE))/Table13[[#This Row],[Gen_Exp (kWh)]],"")</f>
        <v/>
      </c>
      <c r="AP338" s="174">
        <f>IFERROR(_xlfn.XLOOKUP($D338,'Modelling New'!$D:$D,'Modelling New'!$AK:$AK),"")</f>
        <v>0.05</v>
      </c>
      <c r="AQ338" s="174">
        <f>IFERROR(_xlfn.XLOOKUP($D338,'Modelling New'!$D:$D,'Modelling New'!$AL:$AL),"")</f>
        <v>0.05</v>
      </c>
      <c r="AR338" s="276">
        <f>IFERROR(_xlfn.XLOOKUP($D338,'Modelling New'!$D:$D,'Modelling New'!$N:$N),"")</f>
        <v>70.2</v>
      </c>
      <c r="AS338" s="276"/>
    </row>
    <row r="339" spans="1:45">
      <c r="A339" s="165">
        <f t="shared" si="23"/>
        <v>46082</v>
      </c>
      <c r="B339" s="166">
        <f>YEAR(Table13[[#This Row],[Date]])+IF(MONTH(Table13[[#This Row],[Date]])&gt;=4,1,0)</f>
        <v>2026</v>
      </c>
      <c r="C339" s="167">
        <f>YEAR(Table13[[#This Row],[Date]])</f>
        <v>2026</v>
      </c>
      <c r="D339" s="168">
        <f>Table13[[#This Row],[Date]]-DAY(Table13[[#This Row],[Date]])+1</f>
        <v>46082</v>
      </c>
      <c r="E339" s="167">
        <f t="shared" si="20"/>
        <v>31</v>
      </c>
      <c r="F339" s="169"/>
      <c r="G339" s="176"/>
      <c r="H339" s="176"/>
      <c r="I339" s="176"/>
      <c r="J339" s="176"/>
      <c r="K339" s="171"/>
      <c r="L339" s="170"/>
      <c r="M339" s="170" t="str">
        <f>IFERROR(_xlfn.XLOOKUP($A339,Input_Raw!$A:$A,Input_Raw!BG:BG),"")</f>
        <v/>
      </c>
      <c r="N339" s="170" t="str">
        <f>IFERROR(_xlfn.XLOOKUP($A339,Input_Raw!$A:$A,Input_Raw!BH:BH),"")</f>
        <v/>
      </c>
      <c r="O339" s="173" t="str">
        <f t="shared" si="21"/>
        <v/>
      </c>
      <c r="P339" s="173" t="str">
        <f>IFERROR(1-SUMIF(WTG_BD!$F:$F,$A339,WTG_BD!$AA:$AA)/($AA339+SUMIF(WTG_BD!$F:$F,$A339,WTG_BD!$AA:$AA)),"")</f>
        <v/>
      </c>
      <c r="Q339" s="173" t="str">
        <f>IFERROR(1-SUMIF(IGA_BD!$F:$F,$A339,IGA_BD!$X:$X)/($AA339+SUMIF(IGA_BD!$F:$F,$A339,IGA_BD!$X:$X)),"")</f>
        <v/>
      </c>
      <c r="R339" s="173" t="str">
        <f>IFERROR(1-SUMIF(Grid_BD!$F:$F,$A339,Grid_BD!$Y:$Y)/($AA339+SUMIF(Grid_BD!$F:$F,$A339,Grid_BD!$Y:$Y)),"")</f>
        <v/>
      </c>
      <c r="S339" s="167"/>
      <c r="T339" s="172"/>
      <c r="U339" s="173"/>
      <c r="V339" s="167"/>
      <c r="W339" s="174" t="str">
        <f t="shared" si="22"/>
        <v/>
      </c>
      <c r="X339" s="167" t="str">
        <f>IFERROR(_xlfn.XLOOKUP($A339,Input_Raw!$A:$A,Input_Raw!$BF:$BF),"")</f>
        <v/>
      </c>
      <c r="Y339" s="167" t="str">
        <f>IFERROR(_xlfn.XLOOKUP($A339,Input_Raw!$A:$A,Input_Raw!BJ:BJ),"")</f>
        <v/>
      </c>
      <c r="Z339" s="167" t="str">
        <f>IFERROR(_xlfn.XLOOKUP($A339,Input_Raw!$A:$A,Input_Raw!BK:BK),"")</f>
        <v/>
      </c>
      <c r="AA339" s="167" t="str">
        <f>IFERROR(_xlfn.XLOOKUP($A339,Input_Raw!$A:$A,Input_Raw!BL:BL),"")</f>
        <v/>
      </c>
      <c r="AB339" s="167" t="str">
        <f>IFERROR(_xlfn.XLOOKUP($A339,Input_Raw!$A:$A,Input_Raw!$BO:$BO),"")</f>
        <v/>
      </c>
      <c r="AC339" s="176">
        <f>IFERROR(_xlfn.XLOOKUP($D339,'Modelling New'!$D:$D,'Modelling New'!$J:$J),"")</f>
        <v>6.89</v>
      </c>
      <c r="AD339" s="166">
        <f>IFERROR(_xlfn.XLOOKUP($D339,'Modelling New'!$D:$D,'Modelling New'!$T:$T)*1000,"")</f>
        <v>629607.18715270935</v>
      </c>
      <c r="AE339" s="174"/>
      <c r="AF339" s="174">
        <f>IFERROR(_xlfn.XLOOKUP($D339,'Modelling New'!$D:$D,'Modelling New'!$W:$W),"")</f>
        <v>0.3736984729064039</v>
      </c>
      <c r="AG339" s="174">
        <f>IFERROR(_xlfn.XLOOKUP($D339,'Modelling New'!$D:$D,'Modelling New'!$AE:$AE),"")</f>
        <v>0.96029999999999993</v>
      </c>
      <c r="AH339" s="174">
        <f>IFERROR(_xlfn.XLOOKUP($D339,'Modelling New'!$D:$D,'Modelling New'!$AF:$AF),"")</f>
        <v>0.995</v>
      </c>
      <c r="AI339" s="177" t="str">
        <f>IFERROR(_xlfn.XLOOKUP($A339,Input_Raw!$A:$A,Input_Raw!$BQ:$BQ),"")</f>
        <v/>
      </c>
      <c r="AJ339" s="167"/>
      <c r="AK339" s="167"/>
      <c r="AL339" s="167"/>
      <c r="AM339" s="167"/>
      <c r="AN339" s="175" t="str">
        <f>IFERROR(_xlfn.XLOOKUP($A339,Input_Raw!$A:$A,Input_Raw!$BN:$BN),"")</f>
        <v/>
      </c>
      <c r="AO339" s="174" t="str">
        <f>IFERROR((_xlfn.XLOOKUP($A339,'WTG Reactive Power'!$A:$A,'WTG Reactive Power'!$AE:$AE))/Table13[[#This Row],[Gen_Exp (kWh)]],"")</f>
        <v/>
      </c>
      <c r="AP339" s="174">
        <f>IFERROR(_xlfn.XLOOKUP($D339,'Modelling New'!$D:$D,'Modelling New'!$AK:$AK),"")</f>
        <v>0.05</v>
      </c>
      <c r="AQ339" s="174">
        <f>IFERROR(_xlfn.XLOOKUP($D339,'Modelling New'!$D:$D,'Modelling New'!$AL:$AL),"")</f>
        <v>0.05</v>
      </c>
      <c r="AR339" s="276">
        <f>IFERROR(_xlfn.XLOOKUP($D339,'Modelling New'!$D:$D,'Modelling New'!$N:$N),"")</f>
        <v>70.2</v>
      </c>
      <c r="AS339" s="276"/>
    </row>
    <row r="340" spans="1:45">
      <c r="A340" s="165">
        <f t="shared" si="23"/>
        <v>46083</v>
      </c>
      <c r="B340" s="166">
        <f>YEAR(Table13[[#This Row],[Date]])+IF(MONTH(Table13[[#This Row],[Date]])&gt;=4,1,0)</f>
        <v>2026</v>
      </c>
      <c r="C340" s="167">
        <f>YEAR(Table13[[#This Row],[Date]])</f>
        <v>2026</v>
      </c>
      <c r="D340" s="168">
        <f>Table13[[#This Row],[Date]]-DAY(Table13[[#This Row],[Date]])+1</f>
        <v>46082</v>
      </c>
      <c r="E340" s="167">
        <f t="shared" si="20"/>
        <v>31</v>
      </c>
      <c r="F340" s="169"/>
      <c r="G340" s="170"/>
      <c r="H340" s="170"/>
      <c r="I340" s="170"/>
      <c r="J340" s="170"/>
      <c r="K340" s="171"/>
      <c r="L340" s="170"/>
      <c r="M340" s="170" t="str">
        <f>IFERROR(_xlfn.XLOOKUP($A340,Input_Raw!$A:$A,Input_Raw!BG:BG),"")</f>
        <v/>
      </c>
      <c r="N340" s="170" t="str">
        <f>IFERROR(_xlfn.XLOOKUP($A340,Input_Raw!$A:$A,Input_Raw!BH:BH),"")</f>
        <v/>
      </c>
      <c r="O340" s="173" t="str">
        <f t="shared" si="21"/>
        <v/>
      </c>
      <c r="P340" s="173" t="str">
        <f>IFERROR(1-SUMIF(WTG_BD!$F:$F,$A340,WTG_BD!$AA:$AA)/($AA340+SUMIF(WTG_BD!$F:$F,$A340,WTG_BD!$AA:$AA)),"")</f>
        <v/>
      </c>
      <c r="Q340" s="173" t="str">
        <f>IFERROR(1-SUMIF(IGA_BD!$F:$F,$A340,IGA_BD!$X:$X)/($AA340+SUMIF(IGA_BD!$F:$F,$A340,IGA_BD!$X:$X)),"")</f>
        <v/>
      </c>
      <c r="R340" s="173" t="str">
        <f>IFERROR(1-SUMIF(Grid_BD!$F:$F,$A340,Grid_BD!$Y:$Y)/($AA340+SUMIF(Grid_BD!$F:$F,$A340,Grid_BD!$Y:$Y)),"")</f>
        <v/>
      </c>
      <c r="S340" s="167"/>
      <c r="T340" s="172"/>
      <c r="U340" s="173"/>
      <c r="V340" s="167"/>
      <c r="W340" s="174" t="str">
        <f t="shared" si="22"/>
        <v/>
      </c>
      <c r="X340" s="167" t="str">
        <f>IFERROR(_xlfn.XLOOKUP($A340,Input_Raw!$A:$A,Input_Raw!$BF:$BF),"")</f>
        <v/>
      </c>
      <c r="Y340" s="167" t="str">
        <f>IFERROR(_xlfn.XLOOKUP($A340,Input_Raw!$A:$A,Input_Raw!BJ:BJ),"")</f>
        <v/>
      </c>
      <c r="Z340" s="167" t="str">
        <f>IFERROR(_xlfn.XLOOKUP($A340,Input_Raw!$A:$A,Input_Raw!BK:BK),"")</f>
        <v/>
      </c>
      <c r="AA340" s="167" t="str">
        <f>IFERROR(_xlfn.XLOOKUP($A340,Input_Raw!$A:$A,Input_Raw!BL:BL),"")</f>
        <v/>
      </c>
      <c r="AB340" s="167" t="str">
        <f>IFERROR(_xlfn.XLOOKUP($A340,Input_Raw!$A:$A,Input_Raw!$BO:$BO),"")</f>
        <v/>
      </c>
      <c r="AC340" s="176">
        <f>IFERROR(_xlfn.XLOOKUP($D340,'Modelling New'!$D:$D,'Modelling New'!$J:$J),"")</f>
        <v>6.89</v>
      </c>
      <c r="AD340" s="166">
        <f>IFERROR(_xlfn.XLOOKUP($D340,'Modelling New'!$D:$D,'Modelling New'!$T:$T)*1000,"")</f>
        <v>629607.18715270935</v>
      </c>
      <c r="AE340" s="174"/>
      <c r="AF340" s="174">
        <f>IFERROR(_xlfn.XLOOKUP($D340,'Modelling New'!$D:$D,'Modelling New'!$W:$W),"")</f>
        <v>0.3736984729064039</v>
      </c>
      <c r="AG340" s="174">
        <f>IFERROR(_xlfn.XLOOKUP($D340,'Modelling New'!$D:$D,'Modelling New'!$AE:$AE),"")</f>
        <v>0.96029999999999993</v>
      </c>
      <c r="AH340" s="174">
        <f>IFERROR(_xlfn.XLOOKUP($D340,'Modelling New'!$D:$D,'Modelling New'!$AF:$AF),"")</f>
        <v>0.995</v>
      </c>
      <c r="AI340" s="177" t="str">
        <f>IFERROR(_xlfn.XLOOKUP($A340,Input_Raw!$A:$A,Input_Raw!$BQ:$BQ),"")</f>
        <v/>
      </c>
      <c r="AJ340" s="167"/>
      <c r="AK340" s="167"/>
      <c r="AL340" s="167"/>
      <c r="AM340" s="167"/>
      <c r="AN340" s="175" t="str">
        <f>IFERROR(_xlfn.XLOOKUP($A340,Input_Raw!$A:$A,Input_Raw!$BN:$BN),"")</f>
        <v/>
      </c>
      <c r="AO340" s="174" t="str">
        <f>IFERROR((_xlfn.XLOOKUP($A340,'WTG Reactive Power'!$A:$A,'WTG Reactive Power'!$AE:$AE))/Table13[[#This Row],[Gen_Exp (kWh)]],"")</f>
        <v/>
      </c>
      <c r="AP340" s="174">
        <f>IFERROR(_xlfn.XLOOKUP($D340,'Modelling New'!$D:$D,'Modelling New'!$AK:$AK),"")</f>
        <v>0.05</v>
      </c>
      <c r="AQ340" s="174">
        <f>IFERROR(_xlfn.XLOOKUP($D340,'Modelling New'!$D:$D,'Modelling New'!$AL:$AL),"")</f>
        <v>0.05</v>
      </c>
      <c r="AR340" s="276">
        <f>IFERROR(_xlfn.XLOOKUP($D340,'Modelling New'!$D:$D,'Modelling New'!$N:$N),"")</f>
        <v>70.2</v>
      </c>
      <c r="AS340" s="276"/>
    </row>
    <row r="341" spans="1:45">
      <c r="A341" s="165">
        <f t="shared" si="23"/>
        <v>46084</v>
      </c>
      <c r="B341" s="166">
        <f>YEAR(Table13[[#This Row],[Date]])+IF(MONTH(Table13[[#This Row],[Date]])&gt;=4,1,0)</f>
        <v>2026</v>
      </c>
      <c r="C341" s="167">
        <f>YEAR(Table13[[#This Row],[Date]])</f>
        <v>2026</v>
      </c>
      <c r="D341" s="168">
        <f>Table13[[#This Row],[Date]]-DAY(Table13[[#This Row],[Date]])+1</f>
        <v>46082</v>
      </c>
      <c r="E341" s="167">
        <f t="shared" si="20"/>
        <v>31</v>
      </c>
      <c r="F341" s="169"/>
      <c r="G341" s="176"/>
      <c r="H341" s="176"/>
      <c r="I341" s="176"/>
      <c r="J341" s="176"/>
      <c r="K341" s="171"/>
      <c r="L341" s="170"/>
      <c r="M341" s="170" t="str">
        <f>IFERROR(_xlfn.XLOOKUP($A341,Input_Raw!$A:$A,Input_Raw!BG:BG),"")</f>
        <v/>
      </c>
      <c r="N341" s="170" t="str">
        <f>IFERROR(_xlfn.XLOOKUP($A341,Input_Raw!$A:$A,Input_Raw!BH:BH),"")</f>
        <v/>
      </c>
      <c r="O341" s="173" t="str">
        <f t="shared" si="21"/>
        <v/>
      </c>
      <c r="P341" s="173" t="str">
        <f>IFERROR(1-SUMIF(WTG_BD!$F:$F,$A341,WTG_BD!$AA:$AA)/($AA341+SUMIF(WTG_BD!$F:$F,$A341,WTG_BD!$AA:$AA)),"")</f>
        <v/>
      </c>
      <c r="Q341" s="173" t="str">
        <f>IFERROR(1-SUMIF(IGA_BD!$F:$F,$A341,IGA_BD!$X:$X)/($AA341+SUMIF(IGA_BD!$F:$F,$A341,IGA_BD!$X:$X)),"")</f>
        <v/>
      </c>
      <c r="R341" s="173" t="str">
        <f>IFERROR(1-SUMIF(Grid_BD!$F:$F,$A341,Grid_BD!$Y:$Y)/($AA341+SUMIF(Grid_BD!$F:$F,$A341,Grid_BD!$Y:$Y)),"")</f>
        <v/>
      </c>
      <c r="S341" s="167"/>
      <c r="T341" s="172"/>
      <c r="U341" s="173"/>
      <c r="V341" s="167"/>
      <c r="W341" s="174" t="str">
        <f t="shared" si="22"/>
        <v/>
      </c>
      <c r="X341" s="167" t="str">
        <f>IFERROR(_xlfn.XLOOKUP($A341,Input_Raw!$A:$A,Input_Raw!$BF:$BF),"")</f>
        <v/>
      </c>
      <c r="Y341" s="167" t="str">
        <f>IFERROR(_xlfn.XLOOKUP($A341,Input_Raw!$A:$A,Input_Raw!BJ:BJ),"")</f>
        <v/>
      </c>
      <c r="Z341" s="167" t="str">
        <f>IFERROR(_xlfn.XLOOKUP($A341,Input_Raw!$A:$A,Input_Raw!BK:BK),"")</f>
        <v/>
      </c>
      <c r="AA341" s="167" t="str">
        <f>IFERROR(_xlfn.XLOOKUP($A341,Input_Raw!$A:$A,Input_Raw!BL:BL),"")</f>
        <v/>
      </c>
      <c r="AB341" s="167" t="str">
        <f>IFERROR(_xlfn.XLOOKUP($A341,Input_Raw!$A:$A,Input_Raw!$BO:$BO),"")</f>
        <v/>
      </c>
      <c r="AC341" s="176">
        <f>IFERROR(_xlfn.XLOOKUP($D341,'Modelling New'!$D:$D,'Modelling New'!$J:$J),"")</f>
        <v>6.89</v>
      </c>
      <c r="AD341" s="166">
        <f>IFERROR(_xlfn.XLOOKUP($D341,'Modelling New'!$D:$D,'Modelling New'!$T:$T)*1000,"")</f>
        <v>629607.18715270935</v>
      </c>
      <c r="AE341" s="174"/>
      <c r="AF341" s="174">
        <f>IFERROR(_xlfn.XLOOKUP($D341,'Modelling New'!$D:$D,'Modelling New'!$W:$W),"")</f>
        <v>0.3736984729064039</v>
      </c>
      <c r="AG341" s="174">
        <f>IFERROR(_xlfn.XLOOKUP($D341,'Modelling New'!$D:$D,'Modelling New'!$AE:$AE),"")</f>
        <v>0.96029999999999993</v>
      </c>
      <c r="AH341" s="174">
        <f>IFERROR(_xlfn.XLOOKUP($D341,'Modelling New'!$D:$D,'Modelling New'!$AF:$AF),"")</f>
        <v>0.995</v>
      </c>
      <c r="AI341" s="177" t="str">
        <f>IFERROR(_xlfn.XLOOKUP($A341,Input_Raw!$A:$A,Input_Raw!$BQ:$BQ),"")</f>
        <v/>
      </c>
      <c r="AJ341" s="167"/>
      <c r="AK341" s="167"/>
      <c r="AL341" s="167"/>
      <c r="AM341" s="167"/>
      <c r="AN341" s="175" t="str">
        <f>IFERROR(_xlfn.XLOOKUP($A341,Input_Raw!$A:$A,Input_Raw!$BN:$BN),"")</f>
        <v/>
      </c>
      <c r="AO341" s="174" t="str">
        <f>IFERROR((_xlfn.XLOOKUP($A341,'WTG Reactive Power'!$A:$A,'WTG Reactive Power'!$AE:$AE))/Table13[[#This Row],[Gen_Exp (kWh)]],"")</f>
        <v/>
      </c>
      <c r="AP341" s="174">
        <f>IFERROR(_xlfn.XLOOKUP($D341,'Modelling New'!$D:$D,'Modelling New'!$AK:$AK),"")</f>
        <v>0.05</v>
      </c>
      <c r="AQ341" s="174">
        <f>IFERROR(_xlfn.XLOOKUP($D341,'Modelling New'!$D:$D,'Modelling New'!$AL:$AL),"")</f>
        <v>0.05</v>
      </c>
      <c r="AR341" s="276">
        <f>IFERROR(_xlfn.XLOOKUP($D341,'Modelling New'!$D:$D,'Modelling New'!$N:$N),"")</f>
        <v>70.2</v>
      </c>
      <c r="AS341" s="276"/>
    </row>
    <row r="342" spans="1:45">
      <c r="A342" s="165">
        <f t="shared" si="23"/>
        <v>46085</v>
      </c>
      <c r="B342" s="166">
        <f>YEAR(Table13[[#This Row],[Date]])+IF(MONTH(Table13[[#This Row],[Date]])&gt;=4,1,0)</f>
        <v>2026</v>
      </c>
      <c r="C342" s="167">
        <f>YEAR(Table13[[#This Row],[Date]])</f>
        <v>2026</v>
      </c>
      <c r="D342" s="168">
        <f>Table13[[#This Row],[Date]]-DAY(Table13[[#This Row],[Date]])+1</f>
        <v>46082</v>
      </c>
      <c r="E342" s="167">
        <f t="shared" si="20"/>
        <v>31</v>
      </c>
      <c r="F342" s="169"/>
      <c r="G342" s="170"/>
      <c r="H342" s="170"/>
      <c r="I342" s="170"/>
      <c r="J342" s="170"/>
      <c r="K342" s="171"/>
      <c r="L342" s="170"/>
      <c r="M342" s="170" t="str">
        <f>IFERROR(_xlfn.XLOOKUP($A342,Input_Raw!$A:$A,Input_Raw!BG:BG),"")</f>
        <v/>
      </c>
      <c r="N342" s="170" t="str">
        <f>IFERROR(_xlfn.XLOOKUP($A342,Input_Raw!$A:$A,Input_Raw!BH:BH),"")</f>
        <v/>
      </c>
      <c r="O342" s="173" t="str">
        <f t="shared" si="21"/>
        <v/>
      </c>
      <c r="P342" s="173" t="str">
        <f>IFERROR(1-SUMIF(WTG_BD!$F:$F,$A342,WTG_BD!$AA:$AA)/($AA342+SUMIF(WTG_BD!$F:$F,$A342,WTG_BD!$AA:$AA)),"")</f>
        <v/>
      </c>
      <c r="Q342" s="173" t="str">
        <f>IFERROR(1-SUMIF(IGA_BD!$F:$F,$A342,IGA_BD!$X:$X)/($AA342+SUMIF(IGA_BD!$F:$F,$A342,IGA_BD!$X:$X)),"")</f>
        <v/>
      </c>
      <c r="R342" s="173" t="str">
        <f>IFERROR(1-SUMIF(Grid_BD!$F:$F,$A342,Grid_BD!$Y:$Y)/($AA342+SUMIF(Grid_BD!$F:$F,$A342,Grid_BD!$Y:$Y)),"")</f>
        <v/>
      </c>
      <c r="S342" s="167"/>
      <c r="T342" s="172"/>
      <c r="U342" s="173"/>
      <c r="V342" s="167"/>
      <c r="W342" s="174" t="str">
        <f t="shared" si="22"/>
        <v/>
      </c>
      <c r="X342" s="167" t="str">
        <f>IFERROR(_xlfn.XLOOKUP($A342,Input_Raw!$A:$A,Input_Raw!$BF:$BF),"")</f>
        <v/>
      </c>
      <c r="Y342" s="167" t="str">
        <f>IFERROR(_xlfn.XLOOKUP($A342,Input_Raw!$A:$A,Input_Raw!BJ:BJ),"")</f>
        <v/>
      </c>
      <c r="Z342" s="167" t="str">
        <f>IFERROR(_xlfn.XLOOKUP($A342,Input_Raw!$A:$A,Input_Raw!BK:BK),"")</f>
        <v/>
      </c>
      <c r="AA342" s="167" t="str">
        <f>IFERROR(_xlfn.XLOOKUP($A342,Input_Raw!$A:$A,Input_Raw!BL:BL),"")</f>
        <v/>
      </c>
      <c r="AB342" s="167" t="str">
        <f>IFERROR(_xlfn.XLOOKUP($A342,Input_Raw!$A:$A,Input_Raw!$BO:$BO),"")</f>
        <v/>
      </c>
      <c r="AC342" s="176">
        <f>IFERROR(_xlfn.XLOOKUP($D342,'Modelling New'!$D:$D,'Modelling New'!$J:$J),"")</f>
        <v>6.89</v>
      </c>
      <c r="AD342" s="166">
        <f>IFERROR(_xlfn.XLOOKUP($D342,'Modelling New'!$D:$D,'Modelling New'!$T:$T)*1000,"")</f>
        <v>629607.18715270935</v>
      </c>
      <c r="AE342" s="174"/>
      <c r="AF342" s="174">
        <f>IFERROR(_xlfn.XLOOKUP($D342,'Modelling New'!$D:$D,'Modelling New'!$W:$W),"")</f>
        <v>0.3736984729064039</v>
      </c>
      <c r="AG342" s="174">
        <f>IFERROR(_xlfn.XLOOKUP($D342,'Modelling New'!$D:$D,'Modelling New'!$AE:$AE),"")</f>
        <v>0.96029999999999993</v>
      </c>
      <c r="AH342" s="174">
        <f>IFERROR(_xlfn.XLOOKUP($D342,'Modelling New'!$D:$D,'Modelling New'!$AF:$AF),"")</f>
        <v>0.995</v>
      </c>
      <c r="AI342" s="177" t="str">
        <f>IFERROR(_xlfn.XLOOKUP($A342,Input_Raw!$A:$A,Input_Raw!$BQ:$BQ),"")</f>
        <v/>
      </c>
      <c r="AJ342" s="167"/>
      <c r="AK342" s="167"/>
      <c r="AL342" s="167"/>
      <c r="AM342" s="167"/>
      <c r="AN342" s="175" t="str">
        <f>IFERROR(_xlfn.XLOOKUP($A342,Input_Raw!$A:$A,Input_Raw!$BN:$BN),"")</f>
        <v/>
      </c>
      <c r="AO342" s="174" t="str">
        <f>IFERROR((_xlfn.XLOOKUP($A342,'WTG Reactive Power'!$A:$A,'WTG Reactive Power'!$AE:$AE))/Table13[[#This Row],[Gen_Exp (kWh)]],"")</f>
        <v/>
      </c>
      <c r="AP342" s="174">
        <f>IFERROR(_xlfn.XLOOKUP($D342,'Modelling New'!$D:$D,'Modelling New'!$AK:$AK),"")</f>
        <v>0.05</v>
      </c>
      <c r="AQ342" s="174">
        <f>IFERROR(_xlfn.XLOOKUP($D342,'Modelling New'!$D:$D,'Modelling New'!$AL:$AL),"")</f>
        <v>0.05</v>
      </c>
      <c r="AR342" s="276">
        <f>IFERROR(_xlfn.XLOOKUP($D342,'Modelling New'!$D:$D,'Modelling New'!$N:$N),"")</f>
        <v>70.2</v>
      </c>
      <c r="AS342" s="276"/>
    </row>
    <row r="343" spans="1:45">
      <c r="A343" s="165">
        <f t="shared" si="23"/>
        <v>46086</v>
      </c>
      <c r="B343" s="166">
        <f>YEAR(Table13[[#This Row],[Date]])+IF(MONTH(Table13[[#This Row],[Date]])&gt;=4,1,0)</f>
        <v>2026</v>
      </c>
      <c r="C343" s="167">
        <f>YEAR(Table13[[#This Row],[Date]])</f>
        <v>2026</v>
      </c>
      <c r="D343" s="168">
        <f>Table13[[#This Row],[Date]]-DAY(Table13[[#This Row],[Date]])+1</f>
        <v>46082</v>
      </c>
      <c r="E343" s="167">
        <f t="shared" si="20"/>
        <v>31</v>
      </c>
      <c r="F343" s="169"/>
      <c r="G343" s="176"/>
      <c r="H343" s="176"/>
      <c r="I343" s="176"/>
      <c r="J343" s="176"/>
      <c r="K343" s="171"/>
      <c r="L343" s="170"/>
      <c r="M343" s="170" t="str">
        <f>IFERROR(_xlfn.XLOOKUP($A343,Input_Raw!$A:$A,Input_Raw!BG:BG),"")</f>
        <v/>
      </c>
      <c r="N343" s="170" t="str">
        <f>IFERROR(_xlfn.XLOOKUP($A343,Input_Raw!$A:$A,Input_Raw!BH:BH),"")</f>
        <v/>
      </c>
      <c r="O343" s="173" t="str">
        <f t="shared" si="21"/>
        <v/>
      </c>
      <c r="P343" s="173" t="str">
        <f>IFERROR(1-SUMIF(WTG_BD!$F:$F,$A343,WTG_BD!$AA:$AA)/($AA343+SUMIF(WTG_BD!$F:$F,$A343,WTG_BD!$AA:$AA)),"")</f>
        <v/>
      </c>
      <c r="Q343" s="173" t="str">
        <f>IFERROR(1-SUMIF(IGA_BD!$F:$F,$A343,IGA_BD!$X:$X)/($AA343+SUMIF(IGA_BD!$F:$F,$A343,IGA_BD!$X:$X)),"")</f>
        <v/>
      </c>
      <c r="R343" s="173" t="str">
        <f>IFERROR(1-SUMIF(Grid_BD!$F:$F,$A343,Grid_BD!$Y:$Y)/($AA343+SUMIF(Grid_BD!$F:$F,$A343,Grid_BD!$Y:$Y)),"")</f>
        <v/>
      </c>
      <c r="S343" s="167"/>
      <c r="T343" s="172"/>
      <c r="U343" s="173"/>
      <c r="V343" s="167"/>
      <c r="W343" s="174" t="str">
        <f t="shared" si="22"/>
        <v/>
      </c>
      <c r="X343" s="167" t="str">
        <f>IFERROR(_xlfn.XLOOKUP($A343,Input_Raw!$A:$A,Input_Raw!$BF:$BF),"")</f>
        <v/>
      </c>
      <c r="Y343" s="167" t="str">
        <f>IFERROR(_xlfn.XLOOKUP($A343,Input_Raw!$A:$A,Input_Raw!BJ:BJ),"")</f>
        <v/>
      </c>
      <c r="Z343" s="167" t="str">
        <f>IFERROR(_xlfn.XLOOKUP($A343,Input_Raw!$A:$A,Input_Raw!BK:BK),"")</f>
        <v/>
      </c>
      <c r="AA343" s="167" t="str">
        <f>IFERROR(_xlfn.XLOOKUP($A343,Input_Raw!$A:$A,Input_Raw!BL:BL),"")</f>
        <v/>
      </c>
      <c r="AB343" s="167" t="str">
        <f>IFERROR(_xlfn.XLOOKUP($A343,Input_Raw!$A:$A,Input_Raw!$BO:$BO),"")</f>
        <v/>
      </c>
      <c r="AC343" s="176">
        <f>IFERROR(_xlfn.XLOOKUP($D343,'Modelling New'!$D:$D,'Modelling New'!$J:$J),"")</f>
        <v>6.89</v>
      </c>
      <c r="AD343" s="166">
        <f>IFERROR(_xlfn.XLOOKUP($D343,'Modelling New'!$D:$D,'Modelling New'!$T:$T)*1000,"")</f>
        <v>629607.18715270935</v>
      </c>
      <c r="AE343" s="174"/>
      <c r="AF343" s="174">
        <f>IFERROR(_xlfn.XLOOKUP($D343,'Modelling New'!$D:$D,'Modelling New'!$W:$W),"")</f>
        <v>0.3736984729064039</v>
      </c>
      <c r="AG343" s="174">
        <f>IFERROR(_xlfn.XLOOKUP($D343,'Modelling New'!$D:$D,'Modelling New'!$AE:$AE),"")</f>
        <v>0.96029999999999993</v>
      </c>
      <c r="AH343" s="174">
        <f>IFERROR(_xlfn.XLOOKUP($D343,'Modelling New'!$D:$D,'Modelling New'!$AF:$AF),"")</f>
        <v>0.995</v>
      </c>
      <c r="AI343" s="177" t="str">
        <f>IFERROR(_xlfn.XLOOKUP($A343,Input_Raw!$A:$A,Input_Raw!$BQ:$BQ),"")</f>
        <v/>
      </c>
      <c r="AJ343" s="167"/>
      <c r="AK343" s="167"/>
      <c r="AL343" s="167"/>
      <c r="AM343" s="167"/>
      <c r="AN343" s="175" t="str">
        <f>IFERROR(_xlfn.XLOOKUP($A343,Input_Raw!$A:$A,Input_Raw!$BN:$BN),"")</f>
        <v/>
      </c>
      <c r="AO343" s="174" t="str">
        <f>IFERROR((_xlfn.XLOOKUP($A343,'WTG Reactive Power'!$A:$A,'WTG Reactive Power'!$AE:$AE))/Table13[[#This Row],[Gen_Exp (kWh)]],"")</f>
        <v/>
      </c>
      <c r="AP343" s="174">
        <f>IFERROR(_xlfn.XLOOKUP($D343,'Modelling New'!$D:$D,'Modelling New'!$AK:$AK),"")</f>
        <v>0.05</v>
      </c>
      <c r="AQ343" s="174">
        <f>IFERROR(_xlfn.XLOOKUP($D343,'Modelling New'!$D:$D,'Modelling New'!$AL:$AL),"")</f>
        <v>0.05</v>
      </c>
      <c r="AR343" s="276">
        <f>IFERROR(_xlfn.XLOOKUP($D343,'Modelling New'!$D:$D,'Modelling New'!$N:$N),"")</f>
        <v>70.2</v>
      </c>
      <c r="AS343" s="276"/>
    </row>
    <row r="344" spans="1:45">
      <c r="A344" s="165">
        <f t="shared" si="23"/>
        <v>46087</v>
      </c>
      <c r="B344" s="166">
        <f>YEAR(Table13[[#This Row],[Date]])+IF(MONTH(Table13[[#This Row],[Date]])&gt;=4,1,0)</f>
        <v>2026</v>
      </c>
      <c r="C344" s="167">
        <f>YEAR(Table13[[#This Row],[Date]])</f>
        <v>2026</v>
      </c>
      <c r="D344" s="168">
        <f>Table13[[#This Row],[Date]]-DAY(Table13[[#This Row],[Date]])+1</f>
        <v>46082</v>
      </c>
      <c r="E344" s="167">
        <f t="shared" ref="E344:E369" si="24">DAY(EOMONTH(A344,0))</f>
        <v>31</v>
      </c>
      <c r="F344" s="169"/>
      <c r="G344" s="170"/>
      <c r="H344" s="170"/>
      <c r="I344" s="170"/>
      <c r="J344" s="170"/>
      <c r="K344" s="171"/>
      <c r="L344" s="170"/>
      <c r="M344" s="170" t="str">
        <f>IFERROR(_xlfn.XLOOKUP($A344,Input_Raw!$A:$A,Input_Raw!BG:BG),"")</f>
        <v/>
      </c>
      <c r="N344" s="170" t="str">
        <f>IFERROR(_xlfn.XLOOKUP($A344,Input_Raw!$A:$A,Input_Raw!BH:BH),"")</f>
        <v/>
      </c>
      <c r="O344" s="173" t="str">
        <f t="shared" ref="O344:O369" si="25">IFERROR(P344*Q344,"")</f>
        <v/>
      </c>
      <c r="P344" s="173" t="str">
        <f>IFERROR(1-SUMIF(WTG_BD!$F:$F,$A344,WTG_BD!$AA:$AA)/($AA344+SUMIF(WTG_BD!$F:$F,$A344,WTG_BD!$AA:$AA)),"")</f>
        <v/>
      </c>
      <c r="Q344" s="173" t="str">
        <f>IFERROR(1-SUMIF(IGA_BD!$F:$F,$A344,IGA_BD!$X:$X)/($AA344+SUMIF(IGA_BD!$F:$F,$A344,IGA_BD!$X:$X)),"")</f>
        <v/>
      </c>
      <c r="R344" s="173" t="str">
        <f>IFERROR(1-SUMIF(Grid_BD!$F:$F,$A344,Grid_BD!$Y:$Y)/($AA344+SUMIF(Grid_BD!$F:$F,$A344,Grid_BD!$Y:$Y)),"")</f>
        <v/>
      </c>
      <c r="S344" s="167"/>
      <c r="T344" s="172"/>
      <c r="U344" s="173"/>
      <c r="V344" s="167"/>
      <c r="W344" s="174" t="str">
        <f t="shared" ref="W344:W369" si="26">IFERROR(AA344/(24*AR344*1000),"")</f>
        <v/>
      </c>
      <c r="X344" s="167" t="str">
        <f>IFERROR(_xlfn.XLOOKUP($A344,Input_Raw!$A:$A,Input_Raw!$BF:$BF),"")</f>
        <v/>
      </c>
      <c r="Y344" s="167" t="str">
        <f>IFERROR(_xlfn.XLOOKUP($A344,Input_Raw!$A:$A,Input_Raw!BJ:BJ),"")</f>
        <v/>
      </c>
      <c r="Z344" s="167" t="str">
        <f>IFERROR(_xlfn.XLOOKUP($A344,Input_Raw!$A:$A,Input_Raw!BK:BK),"")</f>
        <v/>
      </c>
      <c r="AA344" s="167" t="str">
        <f>IFERROR(_xlfn.XLOOKUP($A344,Input_Raw!$A:$A,Input_Raw!BL:BL),"")</f>
        <v/>
      </c>
      <c r="AB344" s="167" t="str">
        <f>IFERROR(_xlfn.XLOOKUP($A344,Input_Raw!$A:$A,Input_Raw!$BO:$BO),"")</f>
        <v/>
      </c>
      <c r="AC344" s="176">
        <f>IFERROR(_xlfn.XLOOKUP($D344,'Modelling New'!$D:$D,'Modelling New'!$J:$J),"")</f>
        <v>6.89</v>
      </c>
      <c r="AD344" s="166">
        <f>IFERROR(_xlfn.XLOOKUP($D344,'Modelling New'!$D:$D,'Modelling New'!$T:$T)*1000,"")</f>
        <v>629607.18715270935</v>
      </c>
      <c r="AE344" s="174"/>
      <c r="AF344" s="174">
        <f>IFERROR(_xlfn.XLOOKUP($D344,'Modelling New'!$D:$D,'Modelling New'!$W:$W),"")</f>
        <v>0.3736984729064039</v>
      </c>
      <c r="AG344" s="174">
        <f>IFERROR(_xlfn.XLOOKUP($D344,'Modelling New'!$D:$D,'Modelling New'!$AE:$AE),"")</f>
        <v>0.96029999999999993</v>
      </c>
      <c r="AH344" s="174">
        <f>IFERROR(_xlfn.XLOOKUP($D344,'Modelling New'!$D:$D,'Modelling New'!$AF:$AF),"")</f>
        <v>0.995</v>
      </c>
      <c r="AI344" s="177" t="str">
        <f>IFERROR(_xlfn.XLOOKUP($A344,Input_Raw!$A:$A,Input_Raw!$BQ:$BQ),"")</f>
        <v/>
      </c>
      <c r="AJ344" s="167"/>
      <c r="AK344" s="167"/>
      <c r="AL344" s="167"/>
      <c r="AM344" s="167"/>
      <c r="AN344" s="175" t="str">
        <f>IFERROR(_xlfn.XLOOKUP($A344,Input_Raw!$A:$A,Input_Raw!$BN:$BN),"")</f>
        <v/>
      </c>
      <c r="AO344" s="174" t="str">
        <f>IFERROR((_xlfn.XLOOKUP($A344,'WTG Reactive Power'!$A:$A,'WTG Reactive Power'!$AE:$AE))/Table13[[#This Row],[Gen_Exp (kWh)]],"")</f>
        <v/>
      </c>
      <c r="AP344" s="174">
        <f>IFERROR(_xlfn.XLOOKUP($D344,'Modelling New'!$D:$D,'Modelling New'!$AK:$AK),"")</f>
        <v>0.05</v>
      </c>
      <c r="AQ344" s="174">
        <f>IFERROR(_xlfn.XLOOKUP($D344,'Modelling New'!$D:$D,'Modelling New'!$AL:$AL),"")</f>
        <v>0.05</v>
      </c>
      <c r="AR344" s="276">
        <f>IFERROR(_xlfn.XLOOKUP($D344,'Modelling New'!$D:$D,'Modelling New'!$N:$N),"")</f>
        <v>70.2</v>
      </c>
      <c r="AS344" s="276"/>
    </row>
    <row r="345" spans="1:45">
      <c r="A345" s="165">
        <f t="shared" si="23"/>
        <v>46088</v>
      </c>
      <c r="B345" s="166">
        <f>YEAR(Table13[[#This Row],[Date]])+IF(MONTH(Table13[[#This Row],[Date]])&gt;=4,1,0)</f>
        <v>2026</v>
      </c>
      <c r="C345" s="167">
        <f>YEAR(Table13[[#This Row],[Date]])</f>
        <v>2026</v>
      </c>
      <c r="D345" s="168">
        <f>Table13[[#This Row],[Date]]-DAY(Table13[[#This Row],[Date]])+1</f>
        <v>46082</v>
      </c>
      <c r="E345" s="167">
        <f t="shared" si="24"/>
        <v>31</v>
      </c>
      <c r="F345" s="169"/>
      <c r="G345" s="176"/>
      <c r="H345" s="176"/>
      <c r="I345" s="176"/>
      <c r="J345" s="176"/>
      <c r="K345" s="171"/>
      <c r="L345" s="170"/>
      <c r="M345" s="170" t="str">
        <f>IFERROR(_xlfn.XLOOKUP($A345,Input_Raw!$A:$A,Input_Raw!BG:BG),"")</f>
        <v/>
      </c>
      <c r="N345" s="170" t="str">
        <f>IFERROR(_xlfn.XLOOKUP($A345,Input_Raw!$A:$A,Input_Raw!BH:BH),"")</f>
        <v/>
      </c>
      <c r="O345" s="173" t="str">
        <f t="shared" si="25"/>
        <v/>
      </c>
      <c r="P345" s="173" t="str">
        <f>IFERROR(1-SUMIF(WTG_BD!$F:$F,$A345,WTG_BD!$AA:$AA)/($AA345+SUMIF(WTG_BD!$F:$F,$A345,WTG_BD!$AA:$AA)),"")</f>
        <v/>
      </c>
      <c r="Q345" s="173" t="str">
        <f>IFERROR(1-SUMIF(IGA_BD!$F:$F,$A345,IGA_BD!$X:$X)/($AA345+SUMIF(IGA_BD!$F:$F,$A345,IGA_BD!$X:$X)),"")</f>
        <v/>
      </c>
      <c r="R345" s="173" t="str">
        <f>IFERROR(1-SUMIF(Grid_BD!$F:$F,$A345,Grid_BD!$Y:$Y)/($AA345+SUMIF(Grid_BD!$F:$F,$A345,Grid_BD!$Y:$Y)),"")</f>
        <v/>
      </c>
      <c r="S345" s="167"/>
      <c r="T345" s="172"/>
      <c r="U345" s="173"/>
      <c r="V345" s="167"/>
      <c r="W345" s="174" t="str">
        <f t="shared" si="26"/>
        <v/>
      </c>
      <c r="X345" s="167" t="str">
        <f>IFERROR(_xlfn.XLOOKUP($A345,Input_Raw!$A:$A,Input_Raw!$BF:$BF),"")</f>
        <v/>
      </c>
      <c r="Y345" s="167" t="str">
        <f>IFERROR(_xlfn.XLOOKUP($A345,Input_Raw!$A:$A,Input_Raw!BJ:BJ),"")</f>
        <v/>
      </c>
      <c r="Z345" s="167" t="str">
        <f>IFERROR(_xlfn.XLOOKUP($A345,Input_Raw!$A:$A,Input_Raw!BK:BK),"")</f>
        <v/>
      </c>
      <c r="AA345" s="167" t="str">
        <f>IFERROR(_xlfn.XLOOKUP($A345,Input_Raw!$A:$A,Input_Raw!BL:BL),"")</f>
        <v/>
      </c>
      <c r="AB345" s="167" t="str">
        <f>IFERROR(_xlfn.XLOOKUP($A345,Input_Raw!$A:$A,Input_Raw!$BO:$BO),"")</f>
        <v/>
      </c>
      <c r="AC345" s="176">
        <f>IFERROR(_xlfn.XLOOKUP($D345,'Modelling New'!$D:$D,'Modelling New'!$J:$J),"")</f>
        <v>6.89</v>
      </c>
      <c r="AD345" s="166">
        <f>IFERROR(_xlfn.XLOOKUP($D345,'Modelling New'!$D:$D,'Modelling New'!$T:$T)*1000,"")</f>
        <v>629607.18715270935</v>
      </c>
      <c r="AE345" s="174"/>
      <c r="AF345" s="174">
        <f>IFERROR(_xlfn.XLOOKUP($D345,'Modelling New'!$D:$D,'Modelling New'!$W:$W),"")</f>
        <v>0.3736984729064039</v>
      </c>
      <c r="AG345" s="174">
        <f>IFERROR(_xlfn.XLOOKUP($D345,'Modelling New'!$D:$D,'Modelling New'!$AE:$AE),"")</f>
        <v>0.96029999999999993</v>
      </c>
      <c r="AH345" s="174">
        <f>IFERROR(_xlfn.XLOOKUP($D345,'Modelling New'!$D:$D,'Modelling New'!$AF:$AF),"")</f>
        <v>0.995</v>
      </c>
      <c r="AI345" s="177" t="str">
        <f>IFERROR(_xlfn.XLOOKUP($A345,Input_Raw!$A:$A,Input_Raw!$BQ:$BQ),"")</f>
        <v/>
      </c>
      <c r="AJ345" s="167"/>
      <c r="AK345" s="167"/>
      <c r="AL345" s="167"/>
      <c r="AM345" s="167"/>
      <c r="AN345" s="175" t="str">
        <f>IFERROR(_xlfn.XLOOKUP($A345,Input_Raw!$A:$A,Input_Raw!$BN:$BN),"")</f>
        <v/>
      </c>
      <c r="AO345" s="174" t="str">
        <f>IFERROR((_xlfn.XLOOKUP($A345,'WTG Reactive Power'!$A:$A,'WTG Reactive Power'!$AE:$AE))/Table13[[#This Row],[Gen_Exp (kWh)]],"")</f>
        <v/>
      </c>
      <c r="AP345" s="174">
        <f>IFERROR(_xlfn.XLOOKUP($D345,'Modelling New'!$D:$D,'Modelling New'!$AK:$AK),"")</f>
        <v>0.05</v>
      </c>
      <c r="AQ345" s="174">
        <f>IFERROR(_xlfn.XLOOKUP($D345,'Modelling New'!$D:$D,'Modelling New'!$AL:$AL),"")</f>
        <v>0.05</v>
      </c>
      <c r="AR345" s="276">
        <f>IFERROR(_xlfn.XLOOKUP($D345,'Modelling New'!$D:$D,'Modelling New'!$N:$N),"")</f>
        <v>70.2</v>
      </c>
      <c r="AS345" s="276"/>
    </row>
    <row r="346" spans="1:45">
      <c r="A346" s="165">
        <f t="shared" ref="A346:A369" si="27">A345+1</f>
        <v>46089</v>
      </c>
      <c r="B346" s="166">
        <f>YEAR(Table13[[#This Row],[Date]])+IF(MONTH(Table13[[#This Row],[Date]])&gt;=4,1,0)</f>
        <v>2026</v>
      </c>
      <c r="C346" s="167">
        <f>YEAR(Table13[[#This Row],[Date]])</f>
        <v>2026</v>
      </c>
      <c r="D346" s="168">
        <f>Table13[[#This Row],[Date]]-DAY(Table13[[#This Row],[Date]])+1</f>
        <v>46082</v>
      </c>
      <c r="E346" s="167">
        <f t="shared" si="24"/>
        <v>31</v>
      </c>
      <c r="F346" s="169"/>
      <c r="G346" s="170"/>
      <c r="H346" s="170"/>
      <c r="I346" s="170"/>
      <c r="J346" s="170"/>
      <c r="K346" s="171"/>
      <c r="L346" s="170"/>
      <c r="M346" s="170" t="str">
        <f>IFERROR(_xlfn.XLOOKUP($A346,Input_Raw!$A:$A,Input_Raw!BG:BG),"")</f>
        <v/>
      </c>
      <c r="N346" s="170" t="str">
        <f>IFERROR(_xlfn.XLOOKUP($A346,Input_Raw!$A:$A,Input_Raw!BH:BH),"")</f>
        <v/>
      </c>
      <c r="O346" s="173" t="str">
        <f t="shared" si="25"/>
        <v/>
      </c>
      <c r="P346" s="173" t="str">
        <f>IFERROR(1-SUMIF(WTG_BD!$F:$F,$A346,WTG_BD!$AA:$AA)/($AA346+SUMIF(WTG_BD!$F:$F,$A346,WTG_BD!$AA:$AA)),"")</f>
        <v/>
      </c>
      <c r="Q346" s="173" t="str">
        <f>IFERROR(1-SUMIF(IGA_BD!$F:$F,$A346,IGA_BD!$X:$X)/($AA346+SUMIF(IGA_BD!$F:$F,$A346,IGA_BD!$X:$X)),"")</f>
        <v/>
      </c>
      <c r="R346" s="173" t="str">
        <f>IFERROR(1-SUMIF(Grid_BD!$F:$F,$A346,Grid_BD!$Y:$Y)/($AA346+SUMIF(Grid_BD!$F:$F,$A346,Grid_BD!$Y:$Y)),"")</f>
        <v/>
      </c>
      <c r="S346" s="167"/>
      <c r="T346" s="172"/>
      <c r="U346" s="173"/>
      <c r="V346" s="167"/>
      <c r="W346" s="174" t="str">
        <f t="shared" si="26"/>
        <v/>
      </c>
      <c r="X346" s="167" t="str">
        <f>IFERROR(_xlfn.XLOOKUP($A346,Input_Raw!$A:$A,Input_Raw!$BF:$BF),"")</f>
        <v/>
      </c>
      <c r="Y346" s="167" t="str">
        <f>IFERROR(_xlfn.XLOOKUP($A346,Input_Raw!$A:$A,Input_Raw!BJ:BJ),"")</f>
        <v/>
      </c>
      <c r="Z346" s="167" t="str">
        <f>IFERROR(_xlfn.XLOOKUP($A346,Input_Raw!$A:$A,Input_Raw!BK:BK),"")</f>
        <v/>
      </c>
      <c r="AA346" s="167" t="str">
        <f>IFERROR(_xlfn.XLOOKUP($A346,Input_Raw!$A:$A,Input_Raw!BL:BL),"")</f>
        <v/>
      </c>
      <c r="AB346" s="167" t="str">
        <f>IFERROR(_xlfn.XLOOKUP($A346,Input_Raw!$A:$A,Input_Raw!$BO:$BO),"")</f>
        <v/>
      </c>
      <c r="AC346" s="176">
        <f>IFERROR(_xlfn.XLOOKUP($D346,'Modelling New'!$D:$D,'Modelling New'!$J:$J),"")</f>
        <v>6.89</v>
      </c>
      <c r="AD346" s="166">
        <f>IFERROR(_xlfn.XLOOKUP($D346,'Modelling New'!$D:$D,'Modelling New'!$T:$T)*1000,"")</f>
        <v>629607.18715270935</v>
      </c>
      <c r="AE346" s="174"/>
      <c r="AF346" s="174">
        <f>IFERROR(_xlfn.XLOOKUP($D346,'Modelling New'!$D:$D,'Modelling New'!$W:$W),"")</f>
        <v>0.3736984729064039</v>
      </c>
      <c r="AG346" s="174">
        <f>IFERROR(_xlfn.XLOOKUP($D346,'Modelling New'!$D:$D,'Modelling New'!$AE:$AE),"")</f>
        <v>0.96029999999999993</v>
      </c>
      <c r="AH346" s="174">
        <f>IFERROR(_xlfn.XLOOKUP($D346,'Modelling New'!$D:$D,'Modelling New'!$AF:$AF),"")</f>
        <v>0.995</v>
      </c>
      <c r="AI346" s="177" t="str">
        <f>IFERROR(_xlfn.XLOOKUP($A346,Input_Raw!$A:$A,Input_Raw!$BQ:$BQ),"")</f>
        <v/>
      </c>
      <c r="AJ346" s="167"/>
      <c r="AK346" s="167"/>
      <c r="AL346" s="167"/>
      <c r="AM346" s="167"/>
      <c r="AN346" s="175" t="str">
        <f>IFERROR(_xlfn.XLOOKUP($A346,Input_Raw!$A:$A,Input_Raw!$BN:$BN),"")</f>
        <v/>
      </c>
      <c r="AO346" s="174" t="str">
        <f>IFERROR((_xlfn.XLOOKUP($A346,'WTG Reactive Power'!$A:$A,'WTG Reactive Power'!$AE:$AE))/Table13[[#This Row],[Gen_Exp (kWh)]],"")</f>
        <v/>
      </c>
      <c r="AP346" s="174">
        <f>IFERROR(_xlfn.XLOOKUP($D346,'Modelling New'!$D:$D,'Modelling New'!$AK:$AK),"")</f>
        <v>0.05</v>
      </c>
      <c r="AQ346" s="174">
        <f>IFERROR(_xlfn.XLOOKUP($D346,'Modelling New'!$D:$D,'Modelling New'!$AL:$AL),"")</f>
        <v>0.05</v>
      </c>
      <c r="AR346" s="276">
        <f>IFERROR(_xlfn.XLOOKUP($D346,'Modelling New'!$D:$D,'Modelling New'!$N:$N),"")</f>
        <v>70.2</v>
      </c>
      <c r="AS346" s="276"/>
    </row>
    <row r="347" spans="1:45">
      <c r="A347" s="165">
        <f t="shared" si="27"/>
        <v>46090</v>
      </c>
      <c r="B347" s="166">
        <f>YEAR(Table13[[#This Row],[Date]])+IF(MONTH(Table13[[#This Row],[Date]])&gt;=4,1,0)</f>
        <v>2026</v>
      </c>
      <c r="C347" s="167">
        <f>YEAR(Table13[[#This Row],[Date]])</f>
        <v>2026</v>
      </c>
      <c r="D347" s="168">
        <f>Table13[[#This Row],[Date]]-DAY(Table13[[#This Row],[Date]])+1</f>
        <v>46082</v>
      </c>
      <c r="E347" s="167">
        <f t="shared" si="24"/>
        <v>31</v>
      </c>
      <c r="F347" s="169"/>
      <c r="G347" s="176"/>
      <c r="H347" s="176"/>
      <c r="I347" s="176"/>
      <c r="J347" s="176"/>
      <c r="K347" s="171"/>
      <c r="L347" s="170"/>
      <c r="M347" s="170" t="str">
        <f>IFERROR(_xlfn.XLOOKUP($A347,Input_Raw!$A:$A,Input_Raw!BG:BG),"")</f>
        <v/>
      </c>
      <c r="N347" s="170" t="str">
        <f>IFERROR(_xlfn.XLOOKUP($A347,Input_Raw!$A:$A,Input_Raw!BH:BH),"")</f>
        <v/>
      </c>
      <c r="O347" s="173" t="str">
        <f t="shared" si="25"/>
        <v/>
      </c>
      <c r="P347" s="173" t="str">
        <f>IFERROR(1-SUMIF(WTG_BD!$F:$F,$A347,WTG_BD!$AA:$AA)/($AA347+SUMIF(WTG_BD!$F:$F,$A347,WTG_BD!$AA:$AA)),"")</f>
        <v/>
      </c>
      <c r="Q347" s="173" t="str">
        <f>IFERROR(1-SUMIF(IGA_BD!$F:$F,$A347,IGA_BD!$X:$X)/($AA347+SUMIF(IGA_BD!$F:$F,$A347,IGA_BD!$X:$X)),"")</f>
        <v/>
      </c>
      <c r="R347" s="173" t="str">
        <f>IFERROR(1-SUMIF(Grid_BD!$F:$F,$A347,Grid_BD!$Y:$Y)/($AA347+SUMIF(Grid_BD!$F:$F,$A347,Grid_BD!$Y:$Y)),"")</f>
        <v/>
      </c>
      <c r="S347" s="167"/>
      <c r="T347" s="172"/>
      <c r="U347" s="173"/>
      <c r="V347" s="167"/>
      <c r="W347" s="174" t="str">
        <f t="shared" si="26"/>
        <v/>
      </c>
      <c r="X347" s="167" t="str">
        <f>IFERROR(_xlfn.XLOOKUP($A347,Input_Raw!$A:$A,Input_Raw!$BF:$BF),"")</f>
        <v/>
      </c>
      <c r="Y347" s="167" t="str">
        <f>IFERROR(_xlfn.XLOOKUP($A347,Input_Raw!$A:$A,Input_Raw!BJ:BJ),"")</f>
        <v/>
      </c>
      <c r="Z347" s="167" t="str">
        <f>IFERROR(_xlfn.XLOOKUP($A347,Input_Raw!$A:$A,Input_Raw!BK:BK),"")</f>
        <v/>
      </c>
      <c r="AA347" s="167" t="str">
        <f>IFERROR(_xlfn.XLOOKUP($A347,Input_Raw!$A:$A,Input_Raw!BL:BL),"")</f>
        <v/>
      </c>
      <c r="AB347" s="167" t="str">
        <f>IFERROR(_xlfn.XLOOKUP($A347,Input_Raw!$A:$A,Input_Raw!$BO:$BO),"")</f>
        <v/>
      </c>
      <c r="AC347" s="176">
        <f>IFERROR(_xlfn.XLOOKUP($D347,'Modelling New'!$D:$D,'Modelling New'!$J:$J),"")</f>
        <v>6.89</v>
      </c>
      <c r="AD347" s="166">
        <f>IFERROR(_xlfn.XLOOKUP($D347,'Modelling New'!$D:$D,'Modelling New'!$T:$T)*1000,"")</f>
        <v>629607.18715270935</v>
      </c>
      <c r="AE347" s="174"/>
      <c r="AF347" s="174">
        <f>IFERROR(_xlfn.XLOOKUP($D347,'Modelling New'!$D:$D,'Modelling New'!$W:$W),"")</f>
        <v>0.3736984729064039</v>
      </c>
      <c r="AG347" s="174">
        <f>IFERROR(_xlfn.XLOOKUP($D347,'Modelling New'!$D:$D,'Modelling New'!$AE:$AE),"")</f>
        <v>0.96029999999999993</v>
      </c>
      <c r="AH347" s="174">
        <f>IFERROR(_xlfn.XLOOKUP($D347,'Modelling New'!$D:$D,'Modelling New'!$AF:$AF),"")</f>
        <v>0.995</v>
      </c>
      <c r="AI347" s="177" t="str">
        <f>IFERROR(_xlfn.XLOOKUP($A347,Input_Raw!$A:$A,Input_Raw!$BQ:$BQ),"")</f>
        <v/>
      </c>
      <c r="AJ347" s="167"/>
      <c r="AK347" s="167"/>
      <c r="AL347" s="167"/>
      <c r="AM347" s="167"/>
      <c r="AN347" s="175" t="str">
        <f>IFERROR(_xlfn.XLOOKUP($A347,Input_Raw!$A:$A,Input_Raw!$BN:$BN),"")</f>
        <v/>
      </c>
      <c r="AO347" s="174" t="str">
        <f>IFERROR((_xlfn.XLOOKUP($A347,'WTG Reactive Power'!$A:$A,'WTG Reactive Power'!$AE:$AE))/Table13[[#This Row],[Gen_Exp (kWh)]],"")</f>
        <v/>
      </c>
      <c r="AP347" s="174">
        <f>IFERROR(_xlfn.XLOOKUP($D347,'Modelling New'!$D:$D,'Modelling New'!$AK:$AK),"")</f>
        <v>0.05</v>
      </c>
      <c r="AQ347" s="174">
        <f>IFERROR(_xlfn.XLOOKUP($D347,'Modelling New'!$D:$D,'Modelling New'!$AL:$AL),"")</f>
        <v>0.05</v>
      </c>
      <c r="AR347" s="276">
        <f>IFERROR(_xlfn.XLOOKUP($D347,'Modelling New'!$D:$D,'Modelling New'!$N:$N),"")</f>
        <v>70.2</v>
      </c>
      <c r="AS347" s="276"/>
    </row>
    <row r="348" spans="1:45">
      <c r="A348" s="165">
        <f t="shared" si="27"/>
        <v>46091</v>
      </c>
      <c r="B348" s="166">
        <f>YEAR(Table13[[#This Row],[Date]])+IF(MONTH(Table13[[#This Row],[Date]])&gt;=4,1,0)</f>
        <v>2026</v>
      </c>
      <c r="C348" s="167">
        <f>YEAR(Table13[[#This Row],[Date]])</f>
        <v>2026</v>
      </c>
      <c r="D348" s="168">
        <f>Table13[[#This Row],[Date]]-DAY(Table13[[#This Row],[Date]])+1</f>
        <v>46082</v>
      </c>
      <c r="E348" s="167">
        <f t="shared" si="24"/>
        <v>31</v>
      </c>
      <c r="F348" s="169"/>
      <c r="G348" s="170"/>
      <c r="H348" s="170"/>
      <c r="I348" s="170"/>
      <c r="J348" s="170"/>
      <c r="K348" s="171"/>
      <c r="L348" s="170"/>
      <c r="M348" s="170" t="str">
        <f>IFERROR(_xlfn.XLOOKUP($A348,Input_Raw!$A:$A,Input_Raw!BG:BG),"")</f>
        <v/>
      </c>
      <c r="N348" s="170" t="str">
        <f>IFERROR(_xlfn.XLOOKUP($A348,Input_Raw!$A:$A,Input_Raw!BH:BH),"")</f>
        <v/>
      </c>
      <c r="O348" s="173" t="str">
        <f t="shared" si="25"/>
        <v/>
      </c>
      <c r="P348" s="173" t="str">
        <f>IFERROR(1-SUMIF(WTG_BD!$F:$F,$A348,WTG_BD!$AA:$AA)/($AA348+SUMIF(WTG_BD!$F:$F,$A348,WTG_BD!$AA:$AA)),"")</f>
        <v/>
      </c>
      <c r="Q348" s="173" t="str">
        <f>IFERROR(1-SUMIF(IGA_BD!$F:$F,$A348,IGA_BD!$X:$X)/($AA348+SUMIF(IGA_BD!$F:$F,$A348,IGA_BD!$X:$X)),"")</f>
        <v/>
      </c>
      <c r="R348" s="173" t="str">
        <f>IFERROR(1-SUMIF(Grid_BD!$F:$F,$A348,Grid_BD!$Y:$Y)/($AA348+SUMIF(Grid_BD!$F:$F,$A348,Grid_BD!$Y:$Y)),"")</f>
        <v/>
      </c>
      <c r="S348" s="167"/>
      <c r="T348" s="172"/>
      <c r="U348" s="173"/>
      <c r="V348" s="167"/>
      <c r="W348" s="174" t="str">
        <f t="shared" si="26"/>
        <v/>
      </c>
      <c r="X348" s="167" t="str">
        <f>IFERROR(_xlfn.XLOOKUP($A348,Input_Raw!$A:$A,Input_Raw!$BF:$BF),"")</f>
        <v/>
      </c>
      <c r="Y348" s="167" t="str">
        <f>IFERROR(_xlfn.XLOOKUP($A348,Input_Raw!$A:$A,Input_Raw!BJ:BJ),"")</f>
        <v/>
      </c>
      <c r="Z348" s="167" t="str">
        <f>IFERROR(_xlfn.XLOOKUP($A348,Input_Raw!$A:$A,Input_Raw!BK:BK),"")</f>
        <v/>
      </c>
      <c r="AA348" s="167" t="str">
        <f>IFERROR(_xlfn.XLOOKUP($A348,Input_Raw!$A:$A,Input_Raw!BL:BL),"")</f>
        <v/>
      </c>
      <c r="AB348" s="167" t="str">
        <f>IFERROR(_xlfn.XLOOKUP($A348,Input_Raw!$A:$A,Input_Raw!$BO:$BO),"")</f>
        <v/>
      </c>
      <c r="AC348" s="176">
        <f>IFERROR(_xlfn.XLOOKUP($D348,'Modelling New'!$D:$D,'Modelling New'!$J:$J),"")</f>
        <v>6.89</v>
      </c>
      <c r="AD348" s="166">
        <f>IFERROR(_xlfn.XLOOKUP($D348,'Modelling New'!$D:$D,'Modelling New'!$T:$T)*1000,"")</f>
        <v>629607.18715270935</v>
      </c>
      <c r="AE348" s="174"/>
      <c r="AF348" s="174">
        <f>IFERROR(_xlfn.XLOOKUP($D348,'Modelling New'!$D:$D,'Modelling New'!$W:$W),"")</f>
        <v>0.3736984729064039</v>
      </c>
      <c r="AG348" s="174">
        <f>IFERROR(_xlfn.XLOOKUP($D348,'Modelling New'!$D:$D,'Modelling New'!$AE:$AE),"")</f>
        <v>0.96029999999999993</v>
      </c>
      <c r="AH348" s="174">
        <f>IFERROR(_xlfn.XLOOKUP($D348,'Modelling New'!$D:$D,'Modelling New'!$AF:$AF),"")</f>
        <v>0.995</v>
      </c>
      <c r="AI348" s="177" t="str">
        <f>IFERROR(_xlfn.XLOOKUP($A348,Input_Raw!$A:$A,Input_Raw!$BQ:$BQ),"")</f>
        <v/>
      </c>
      <c r="AJ348" s="167"/>
      <c r="AK348" s="167"/>
      <c r="AL348" s="167"/>
      <c r="AM348" s="167"/>
      <c r="AN348" s="175" t="str">
        <f>IFERROR(_xlfn.XLOOKUP($A348,Input_Raw!$A:$A,Input_Raw!$BN:$BN),"")</f>
        <v/>
      </c>
      <c r="AO348" s="174" t="str">
        <f>IFERROR((_xlfn.XLOOKUP($A348,'WTG Reactive Power'!$A:$A,'WTG Reactive Power'!$AE:$AE))/Table13[[#This Row],[Gen_Exp (kWh)]],"")</f>
        <v/>
      </c>
      <c r="AP348" s="174">
        <f>IFERROR(_xlfn.XLOOKUP($D348,'Modelling New'!$D:$D,'Modelling New'!$AK:$AK),"")</f>
        <v>0.05</v>
      </c>
      <c r="AQ348" s="174">
        <f>IFERROR(_xlfn.XLOOKUP($D348,'Modelling New'!$D:$D,'Modelling New'!$AL:$AL),"")</f>
        <v>0.05</v>
      </c>
      <c r="AR348" s="276">
        <f>IFERROR(_xlfn.XLOOKUP($D348,'Modelling New'!$D:$D,'Modelling New'!$N:$N),"")</f>
        <v>70.2</v>
      </c>
      <c r="AS348" s="276"/>
    </row>
    <row r="349" spans="1:45">
      <c r="A349" s="165">
        <f t="shared" si="27"/>
        <v>46092</v>
      </c>
      <c r="B349" s="166">
        <f>YEAR(Table13[[#This Row],[Date]])+IF(MONTH(Table13[[#This Row],[Date]])&gt;=4,1,0)</f>
        <v>2026</v>
      </c>
      <c r="C349" s="167">
        <f>YEAR(Table13[[#This Row],[Date]])</f>
        <v>2026</v>
      </c>
      <c r="D349" s="168">
        <f>Table13[[#This Row],[Date]]-DAY(Table13[[#This Row],[Date]])+1</f>
        <v>46082</v>
      </c>
      <c r="E349" s="167">
        <f t="shared" si="24"/>
        <v>31</v>
      </c>
      <c r="F349" s="169"/>
      <c r="G349" s="176"/>
      <c r="H349" s="176"/>
      <c r="I349" s="176"/>
      <c r="J349" s="176"/>
      <c r="K349" s="171"/>
      <c r="L349" s="170"/>
      <c r="M349" s="170" t="str">
        <f>IFERROR(_xlfn.XLOOKUP($A349,Input_Raw!$A:$A,Input_Raw!BG:BG),"")</f>
        <v/>
      </c>
      <c r="N349" s="170" t="str">
        <f>IFERROR(_xlfn.XLOOKUP($A349,Input_Raw!$A:$A,Input_Raw!BH:BH),"")</f>
        <v/>
      </c>
      <c r="O349" s="173" t="str">
        <f t="shared" si="25"/>
        <v/>
      </c>
      <c r="P349" s="173" t="str">
        <f>IFERROR(1-SUMIF(WTG_BD!$F:$F,$A349,WTG_BD!$AA:$AA)/($AA349+SUMIF(WTG_BD!$F:$F,$A349,WTG_BD!$AA:$AA)),"")</f>
        <v/>
      </c>
      <c r="Q349" s="173" t="str">
        <f>IFERROR(1-SUMIF(IGA_BD!$F:$F,$A349,IGA_BD!$X:$X)/($AA349+SUMIF(IGA_BD!$F:$F,$A349,IGA_BD!$X:$X)),"")</f>
        <v/>
      </c>
      <c r="R349" s="173" t="str">
        <f>IFERROR(1-SUMIF(Grid_BD!$F:$F,$A349,Grid_BD!$Y:$Y)/($AA349+SUMIF(Grid_BD!$F:$F,$A349,Grid_BD!$Y:$Y)),"")</f>
        <v/>
      </c>
      <c r="S349" s="167"/>
      <c r="T349" s="172"/>
      <c r="U349" s="173"/>
      <c r="V349" s="167"/>
      <c r="W349" s="174" t="str">
        <f t="shared" si="26"/>
        <v/>
      </c>
      <c r="X349" s="167" t="str">
        <f>IFERROR(_xlfn.XLOOKUP($A349,Input_Raw!$A:$A,Input_Raw!$BF:$BF),"")</f>
        <v/>
      </c>
      <c r="Y349" s="167" t="str">
        <f>IFERROR(_xlfn.XLOOKUP($A349,Input_Raw!$A:$A,Input_Raw!BJ:BJ),"")</f>
        <v/>
      </c>
      <c r="Z349" s="167" t="str">
        <f>IFERROR(_xlfn.XLOOKUP($A349,Input_Raw!$A:$A,Input_Raw!BK:BK),"")</f>
        <v/>
      </c>
      <c r="AA349" s="167" t="str">
        <f>IFERROR(_xlfn.XLOOKUP($A349,Input_Raw!$A:$A,Input_Raw!BL:BL),"")</f>
        <v/>
      </c>
      <c r="AB349" s="167" t="str">
        <f>IFERROR(_xlfn.XLOOKUP($A349,Input_Raw!$A:$A,Input_Raw!$BO:$BO),"")</f>
        <v/>
      </c>
      <c r="AC349" s="176">
        <f>IFERROR(_xlfn.XLOOKUP($D349,'Modelling New'!$D:$D,'Modelling New'!$J:$J),"")</f>
        <v>6.89</v>
      </c>
      <c r="AD349" s="166">
        <f>IFERROR(_xlfn.XLOOKUP($D349,'Modelling New'!$D:$D,'Modelling New'!$T:$T)*1000,"")</f>
        <v>629607.18715270935</v>
      </c>
      <c r="AE349" s="174"/>
      <c r="AF349" s="174">
        <f>IFERROR(_xlfn.XLOOKUP($D349,'Modelling New'!$D:$D,'Modelling New'!$W:$W),"")</f>
        <v>0.3736984729064039</v>
      </c>
      <c r="AG349" s="174">
        <f>IFERROR(_xlfn.XLOOKUP($D349,'Modelling New'!$D:$D,'Modelling New'!$AE:$AE),"")</f>
        <v>0.96029999999999993</v>
      </c>
      <c r="AH349" s="174">
        <f>IFERROR(_xlfn.XLOOKUP($D349,'Modelling New'!$D:$D,'Modelling New'!$AF:$AF),"")</f>
        <v>0.995</v>
      </c>
      <c r="AI349" s="177" t="str">
        <f>IFERROR(_xlfn.XLOOKUP($A349,Input_Raw!$A:$A,Input_Raw!$BQ:$BQ),"")</f>
        <v/>
      </c>
      <c r="AJ349" s="167"/>
      <c r="AK349" s="167"/>
      <c r="AL349" s="167"/>
      <c r="AM349" s="167"/>
      <c r="AN349" s="175" t="str">
        <f>IFERROR(_xlfn.XLOOKUP($A349,Input_Raw!$A:$A,Input_Raw!$BN:$BN),"")</f>
        <v/>
      </c>
      <c r="AO349" s="174" t="str">
        <f>IFERROR((_xlfn.XLOOKUP($A349,'WTG Reactive Power'!$A:$A,'WTG Reactive Power'!$AE:$AE))/Table13[[#This Row],[Gen_Exp (kWh)]],"")</f>
        <v/>
      </c>
      <c r="AP349" s="174">
        <f>IFERROR(_xlfn.XLOOKUP($D349,'Modelling New'!$D:$D,'Modelling New'!$AK:$AK),"")</f>
        <v>0.05</v>
      </c>
      <c r="AQ349" s="174">
        <f>IFERROR(_xlfn.XLOOKUP($D349,'Modelling New'!$D:$D,'Modelling New'!$AL:$AL),"")</f>
        <v>0.05</v>
      </c>
      <c r="AR349" s="276">
        <f>IFERROR(_xlfn.XLOOKUP($D349,'Modelling New'!$D:$D,'Modelling New'!$N:$N),"")</f>
        <v>70.2</v>
      </c>
      <c r="AS349" s="276"/>
    </row>
    <row r="350" spans="1:45">
      <c r="A350" s="165">
        <f t="shared" si="27"/>
        <v>46093</v>
      </c>
      <c r="B350" s="166">
        <f>YEAR(Table13[[#This Row],[Date]])+IF(MONTH(Table13[[#This Row],[Date]])&gt;=4,1,0)</f>
        <v>2026</v>
      </c>
      <c r="C350" s="167">
        <f>YEAR(Table13[[#This Row],[Date]])</f>
        <v>2026</v>
      </c>
      <c r="D350" s="168">
        <f>Table13[[#This Row],[Date]]-DAY(Table13[[#This Row],[Date]])+1</f>
        <v>46082</v>
      </c>
      <c r="E350" s="167">
        <f t="shared" si="24"/>
        <v>31</v>
      </c>
      <c r="F350" s="169"/>
      <c r="G350" s="170"/>
      <c r="H350" s="170"/>
      <c r="I350" s="170"/>
      <c r="J350" s="170"/>
      <c r="K350" s="171"/>
      <c r="L350" s="170"/>
      <c r="M350" s="170" t="str">
        <f>IFERROR(_xlfn.XLOOKUP($A350,Input_Raw!$A:$A,Input_Raw!BG:BG),"")</f>
        <v/>
      </c>
      <c r="N350" s="170" t="str">
        <f>IFERROR(_xlfn.XLOOKUP($A350,Input_Raw!$A:$A,Input_Raw!BH:BH),"")</f>
        <v/>
      </c>
      <c r="O350" s="173" t="str">
        <f t="shared" si="25"/>
        <v/>
      </c>
      <c r="P350" s="173" t="str">
        <f>IFERROR(1-SUMIF(WTG_BD!$F:$F,$A350,WTG_BD!$AA:$AA)/($AA350+SUMIF(WTG_BD!$F:$F,$A350,WTG_BD!$AA:$AA)),"")</f>
        <v/>
      </c>
      <c r="Q350" s="173" t="str">
        <f>IFERROR(1-SUMIF(IGA_BD!$F:$F,$A350,IGA_BD!$X:$X)/($AA350+SUMIF(IGA_BD!$F:$F,$A350,IGA_BD!$X:$X)),"")</f>
        <v/>
      </c>
      <c r="R350" s="173" t="str">
        <f>IFERROR(1-SUMIF(Grid_BD!$F:$F,$A350,Grid_BD!$Y:$Y)/($AA350+SUMIF(Grid_BD!$F:$F,$A350,Grid_BD!$Y:$Y)),"")</f>
        <v/>
      </c>
      <c r="S350" s="167"/>
      <c r="T350" s="172"/>
      <c r="U350" s="173"/>
      <c r="V350" s="167"/>
      <c r="W350" s="174" t="str">
        <f t="shared" si="26"/>
        <v/>
      </c>
      <c r="X350" s="167" t="str">
        <f>IFERROR(_xlfn.XLOOKUP($A350,Input_Raw!$A:$A,Input_Raw!$BF:$BF),"")</f>
        <v/>
      </c>
      <c r="Y350" s="167" t="str">
        <f>IFERROR(_xlfn.XLOOKUP($A350,Input_Raw!$A:$A,Input_Raw!BJ:BJ),"")</f>
        <v/>
      </c>
      <c r="Z350" s="167" t="str">
        <f>IFERROR(_xlfn.XLOOKUP($A350,Input_Raw!$A:$A,Input_Raw!BK:BK),"")</f>
        <v/>
      </c>
      <c r="AA350" s="167" t="str">
        <f>IFERROR(_xlfn.XLOOKUP($A350,Input_Raw!$A:$A,Input_Raw!BL:BL),"")</f>
        <v/>
      </c>
      <c r="AB350" s="167" t="str">
        <f>IFERROR(_xlfn.XLOOKUP($A350,Input_Raw!$A:$A,Input_Raw!$BO:$BO),"")</f>
        <v/>
      </c>
      <c r="AC350" s="176">
        <f>IFERROR(_xlfn.XLOOKUP($D350,'Modelling New'!$D:$D,'Modelling New'!$J:$J),"")</f>
        <v>6.89</v>
      </c>
      <c r="AD350" s="166">
        <f>IFERROR(_xlfn.XLOOKUP($D350,'Modelling New'!$D:$D,'Modelling New'!$T:$T)*1000,"")</f>
        <v>629607.18715270935</v>
      </c>
      <c r="AE350" s="174"/>
      <c r="AF350" s="174">
        <f>IFERROR(_xlfn.XLOOKUP($D350,'Modelling New'!$D:$D,'Modelling New'!$W:$W),"")</f>
        <v>0.3736984729064039</v>
      </c>
      <c r="AG350" s="174">
        <f>IFERROR(_xlfn.XLOOKUP($D350,'Modelling New'!$D:$D,'Modelling New'!$AE:$AE),"")</f>
        <v>0.96029999999999993</v>
      </c>
      <c r="AH350" s="174">
        <f>IFERROR(_xlfn.XLOOKUP($D350,'Modelling New'!$D:$D,'Modelling New'!$AF:$AF),"")</f>
        <v>0.995</v>
      </c>
      <c r="AI350" s="177" t="str">
        <f>IFERROR(_xlfn.XLOOKUP($A350,Input_Raw!$A:$A,Input_Raw!$BQ:$BQ),"")</f>
        <v/>
      </c>
      <c r="AJ350" s="167"/>
      <c r="AK350" s="167"/>
      <c r="AL350" s="167"/>
      <c r="AM350" s="167"/>
      <c r="AN350" s="175" t="str">
        <f>IFERROR(_xlfn.XLOOKUP($A350,Input_Raw!$A:$A,Input_Raw!$BN:$BN),"")</f>
        <v/>
      </c>
      <c r="AO350" s="174" t="str">
        <f>IFERROR((_xlfn.XLOOKUP($A350,'WTG Reactive Power'!$A:$A,'WTG Reactive Power'!$AE:$AE))/Table13[[#This Row],[Gen_Exp (kWh)]],"")</f>
        <v/>
      </c>
      <c r="AP350" s="174">
        <f>IFERROR(_xlfn.XLOOKUP($D350,'Modelling New'!$D:$D,'Modelling New'!$AK:$AK),"")</f>
        <v>0.05</v>
      </c>
      <c r="AQ350" s="174">
        <f>IFERROR(_xlfn.XLOOKUP($D350,'Modelling New'!$D:$D,'Modelling New'!$AL:$AL),"")</f>
        <v>0.05</v>
      </c>
      <c r="AR350" s="276">
        <f>IFERROR(_xlfn.XLOOKUP($D350,'Modelling New'!$D:$D,'Modelling New'!$N:$N),"")</f>
        <v>70.2</v>
      </c>
      <c r="AS350" s="276"/>
    </row>
    <row r="351" spans="1:45">
      <c r="A351" s="165">
        <f t="shared" si="27"/>
        <v>46094</v>
      </c>
      <c r="B351" s="166">
        <f>YEAR(Table13[[#This Row],[Date]])+IF(MONTH(Table13[[#This Row],[Date]])&gt;=4,1,0)</f>
        <v>2026</v>
      </c>
      <c r="C351" s="167">
        <f>YEAR(Table13[[#This Row],[Date]])</f>
        <v>2026</v>
      </c>
      <c r="D351" s="168">
        <f>Table13[[#This Row],[Date]]-DAY(Table13[[#This Row],[Date]])+1</f>
        <v>46082</v>
      </c>
      <c r="E351" s="167">
        <f t="shared" si="24"/>
        <v>31</v>
      </c>
      <c r="F351" s="169"/>
      <c r="G351" s="176"/>
      <c r="H351" s="176"/>
      <c r="I351" s="176"/>
      <c r="J351" s="176"/>
      <c r="K351" s="171"/>
      <c r="L351" s="170"/>
      <c r="M351" s="170" t="str">
        <f>IFERROR(_xlfn.XLOOKUP($A351,Input_Raw!$A:$A,Input_Raw!BG:BG),"")</f>
        <v/>
      </c>
      <c r="N351" s="170" t="str">
        <f>IFERROR(_xlfn.XLOOKUP($A351,Input_Raw!$A:$A,Input_Raw!BH:BH),"")</f>
        <v/>
      </c>
      <c r="O351" s="173" t="str">
        <f t="shared" si="25"/>
        <v/>
      </c>
      <c r="P351" s="173" t="str">
        <f>IFERROR(1-SUMIF(WTG_BD!$F:$F,$A351,WTG_BD!$AA:$AA)/($AA351+SUMIF(WTG_BD!$F:$F,$A351,WTG_BD!$AA:$AA)),"")</f>
        <v/>
      </c>
      <c r="Q351" s="173" t="str">
        <f>IFERROR(1-SUMIF(IGA_BD!$F:$F,$A351,IGA_BD!$X:$X)/($AA351+SUMIF(IGA_BD!$F:$F,$A351,IGA_BD!$X:$X)),"")</f>
        <v/>
      </c>
      <c r="R351" s="173" t="str">
        <f>IFERROR(1-SUMIF(Grid_BD!$F:$F,$A351,Grid_BD!$Y:$Y)/($AA351+SUMIF(Grid_BD!$F:$F,$A351,Grid_BD!$Y:$Y)),"")</f>
        <v/>
      </c>
      <c r="S351" s="167"/>
      <c r="T351" s="172"/>
      <c r="U351" s="173"/>
      <c r="V351" s="167"/>
      <c r="W351" s="174" t="str">
        <f t="shared" si="26"/>
        <v/>
      </c>
      <c r="X351" s="167" t="str">
        <f>IFERROR(_xlfn.XLOOKUP($A351,Input_Raw!$A:$A,Input_Raw!$BF:$BF),"")</f>
        <v/>
      </c>
      <c r="Y351" s="167" t="str">
        <f>IFERROR(_xlfn.XLOOKUP($A351,Input_Raw!$A:$A,Input_Raw!BJ:BJ),"")</f>
        <v/>
      </c>
      <c r="Z351" s="167" t="str">
        <f>IFERROR(_xlfn.XLOOKUP($A351,Input_Raw!$A:$A,Input_Raw!BK:BK),"")</f>
        <v/>
      </c>
      <c r="AA351" s="167" t="str">
        <f>IFERROR(_xlfn.XLOOKUP($A351,Input_Raw!$A:$A,Input_Raw!BL:BL),"")</f>
        <v/>
      </c>
      <c r="AB351" s="167" t="str">
        <f>IFERROR(_xlfn.XLOOKUP($A351,Input_Raw!$A:$A,Input_Raw!$BO:$BO),"")</f>
        <v/>
      </c>
      <c r="AC351" s="176">
        <f>IFERROR(_xlfn.XLOOKUP($D351,'Modelling New'!$D:$D,'Modelling New'!$J:$J),"")</f>
        <v>6.89</v>
      </c>
      <c r="AD351" s="166">
        <f>IFERROR(_xlfn.XLOOKUP($D351,'Modelling New'!$D:$D,'Modelling New'!$T:$T)*1000,"")</f>
        <v>629607.18715270935</v>
      </c>
      <c r="AE351" s="174"/>
      <c r="AF351" s="174">
        <f>IFERROR(_xlfn.XLOOKUP($D351,'Modelling New'!$D:$D,'Modelling New'!$W:$W),"")</f>
        <v>0.3736984729064039</v>
      </c>
      <c r="AG351" s="174">
        <f>IFERROR(_xlfn.XLOOKUP($D351,'Modelling New'!$D:$D,'Modelling New'!$AE:$AE),"")</f>
        <v>0.96029999999999993</v>
      </c>
      <c r="AH351" s="174">
        <f>IFERROR(_xlfn.XLOOKUP($D351,'Modelling New'!$D:$D,'Modelling New'!$AF:$AF),"")</f>
        <v>0.995</v>
      </c>
      <c r="AI351" s="177" t="str">
        <f>IFERROR(_xlfn.XLOOKUP($A351,Input_Raw!$A:$A,Input_Raw!$BQ:$BQ),"")</f>
        <v/>
      </c>
      <c r="AJ351" s="167"/>
      <c r="AK351" s="167"/>
      <c r="AL351" s="167"/>
      <c r="AM351" s="167"/>
      <c r="AN351" s="175" t="str">
        <f>IFERROR(_xlfn.XLOOKUP($A351,Input_Raw!$A:$A,Input_Raw!$BN:$BN),"")</f>
        <v/>
      </c>
      <c r="AO351" s="174" t="str">
        <f>IFERROR((_xlfn.XLOOKUP($A351,'WTG Reactive Power'!$A:$A,'WTG Reactive Power'!$AE:$AE))/Table13[[#This Row],[Gen_Exp (kWh)]],"")</f>
        <v/>
      </c>
      <c r="AP351" s="174">
        <f>IFERROR(_xlfn.XLOOKUP($D351,'Modelling New'!$D:$D,'Modelling New'!$AK:$AK),"")</f>
        <v>0.05</v>
      </c>
      <c r="AQ351" s="174">
        <f>IFERROR(_xlfn.XLOOKUP($D351,'Modelling New'!$D:$D,'Modelling New'!$AL:$AL),"")</f>
        <v>0.05</v>
      </c>
      <c r="AR351" s="276">
        <f>IFERROR(_xlfn.XLOOKUP($D351,'Modelling New'!$D:$D,'Modelling New'!$N:$N),"")</f>
        <v>70.2</v>
      </c>
      <c r="AS351" s="276"/>
    </row>
    <row r="352" spans="1:45">
      <c r="A352" s="165">
        <f t="shared" si="27"/>
        <v>46095</v>
      </c>
      <c r="B352" s="166">
        <f>YEAR(Table13[[#This Row],[Date]])+IF(MONTH(Table13[[#This Row],[Date]])&gt;=4,1,0)</f>
        <v>2026</v>
      </c>
      <c r="C352" s="167">
        <f>YEAR(Table13[[#This Row],[Date]])</f>
        <v>2026</v>
      </c>
      <c r="D352" s="168">
        <f>Table13[[#This Row],[Date]]-DAY(Table13[[#This Row],[Date]])+1</f>
        <v>46082</v>
      </c>
      <c r="E352" s="167">
        <f t="shared" si="24"/>
        <v>31</v>
      </c>
      <c r="F352" s="169"/>
      <c r="G352" s="170"/>
      <c r="H352" s="170"/>
      <c r="I352" s="170"/>
      <c r="J352" s="170"/>
      <c r="K352" s="171"/>
      <c r="L352" s="170"/>
      <c r="M352" s="170" t="str">
        <f>IFERROR(_xlfn.XLOOKUP($A352,Input_Raw!$A:$A,Input_Raw!BG:BG),"")</f>
        <v/>
      </c>
      <c r="N352" s="170" t="str">
        <f>IFERROR(_xlfn.XLOOKUP($A352,Input_Raw!$A:$A,Input_Raw!BH:BH),"")</f>
        <v/>
      </c>
      <c r="O352" s="173" t="str">
        <f t="shared" si="25"/>
        <v/>
      </c>
      <c r="P352" s="173" t="str">
        <f>IFERROR(1-SUMIF(WTG_BD!$F:$F,$A352,WTG_BD!$AA:$AA)/($AA352+SUMIF(WTG_BD!$F:$F,$A352,WTG_BD!$AA:$AA)),"")</f>
        <v/>
      </c>
      <c r="Q352" s="173" t="str">
        <f>IFERROR(1-SUMIF(IGA_BD!$F:$F,$A352,IGA_BD!$X:$X)/($AA352+SUMIF(IGA_BD!$F:$F,$A352,IGA_BD!$X:$X)),"")</f>
        <v/>
      </c>
      <c r="R352" s="173" t="str">
        <f>IFERROR(1-SUMIF(Grid_BD!$F:$F,$A352,Grid_BD!$Y:$Y)/($AA352+SUMIF(Grid_BD!$F:$F,$A352,Grid_BD!$Y:$Y)),"")</f>
        <v/>
      </c>
      <c r="S352" s="167"/>
      <c r="T352" s="172"/>
      <c r="U352" s="173"/>
      <c r="V352" s="167"/>
      <c r="W352" s="174" t="str">
        <f t="shared" si="26"/>
        <v/>
      </c>
      <c r="X352" s="167" t="str">
        <f>IFERROR(_xlfn.XLOOKUP($A352,Input_Raw!$A:$A,Input_Raw!$BF:$BF),"")</f>
        <v/>
      </c>
      <c r="Y352" s="167" t="str">
        <f>IFERROR(_xlfn.XLOOKUP($A352,Input_Raw!$A:$A,Input_Raw!BJ:BJ),"")</f>
        <v/>
      </c>
      <c r="Z352" s="167" t="str">
        <f>IFERROR(_xlfn.XLOOKUP($A352,Input_Raw!$A:$A,Input_Raw!BK:BK),"")</f>
        <v/>
      </c>
      <c r="AA352" s="167" t="str">
        <f>IFERROR(_xlfn.XLOOKUP($A352,Input_Raw!$A:$A,Input_Raw!BL:BL),"")</f>
        <v/>
      </c>
      <c r="AB352" s="167" t="str">
        <f>IFERROR(_xlfn.XLOOKUP($A352,Input_Raw!$A:$A,Input_Raw!$BO:$BO),"")</f>
        <v/>
      </c>
      <c r="AC352" s="176">
        <f>IFERROR(_xlfn.XLOOKUP($D352,'Modelling New'!$D:$D,'Modelling New'!$J:$J),"")</f>
        <v>6.89</v>
      </c>
      <c r="AD352" s="166">
        <f>IFERROR(_xlfn.XLOOKUP($D352,'Modelling New'!$D:$D,'Modelling New'!$T:$T)*1000,"")</f>
        <v>629607.18715270935</v>
      </c>
      <c r="AE352" s="174"/>
      <c r="AF352" s="174">
        <f>IFERROR(_xlfn.XLOOKUP($D352,'Modelling New'!$D:$D,'Modelling New'!$W:$W),"")</f>
        <v>0.3736984729064039</v>
      </c>
      <c r="AG352" s="174">
        <f>IFERROR(_xlfn.XLOOKUP($D352,'Modelling New'!$D:$D,'Modelling New'!$AE:$AE),"")</f>
        <v>0.96029999999999993</v>
      </c>
      <c r="AH352" s="174">
        <f>IFERROR(_xlfn.XLOOKUP($D352,'Modelling New'!$D:$D,'Modelling New'!$AF:$AF),"")</f>
        <v>0.995</v>
      </c>
      <c r="AI352" s="177" t="str">
        <f>IFERROR(_xlfn.XLOOKUP($A352,Input_Raw!$A:$A,Input_Raw!$BQ:$BQ),"")</f>
        <v/>
      </c>
      <c r="AJ352" s="167"/>
      <c r="AK352" s="167"/>
      <c r="AL352" s="167"/>
      <c r="AM352" s="167"/>
      <c r="AN352" s="175" t="str">
        <f>IFERROR(_xlfn.XLOOKUP($A352,Input_Raw!$A:$A,Input_Raw!$BN:$BN),"")</f>
        <v/>
      </c>
      <c r="AO352" s="174" t="str">
        <f>IFERROR((_xlfn.XLOOKUP($A352,'WTG Reactive Power'!$A:$A,'WTG Reactive Power'!$AE:$AE))/Table13[[#This Row],[Gen_Exp (kWh)]],"")</f>
        <v/>
      </c>
      <c r="AP352" s="174">
        <f>IFERROR(_xlfn.XLOOKUP($D352,'Modelling New'!$D:$D,'Modelling New'!$AK:$AK),"")</f>
        <v>0.05</v>
      </c>
      <c r="AQ352" s="174">
        <f>IFERROR(_xlfn.XLOOKUP($D352,'Modelling New'!$D:$D,'Modelling New'!$AL:$AL),"")</f>
        <v>0.05</v>
      </c>
      <c r="AR352" s="276">
        <f>IFERROR(_xlfn.XLOOKUP($D352,'Modelling New'!$D:$D,'Modelling New'!$N:$N),"")</f>
        <v>70.2</v>
      </c>
      <c r="AS352" s="276"/>
    </row>
    <row r="353" spans="1:45">
      <c r="A353" s="165">
        <f t="shared" si="27"/>
        <v>46096</v>
      </c>
      <c r="B353" s="166">
        <f>YEAR(Table13[[#This Row],[Date]])+IF(MONTH(Table13[[#This Row],[Date]])&gt;=4,1,0)</f>
        <v>2026</v>
      </c>
      <c r="C353" s="167">
        <f>YEAR(Table13[[#This Row],[Date]])</f>
        <v>2026</v>
      </c>
      <c r="D353" s="168">
        <f>Table13[[#This Row],[Date]]-DAY(Table13[[#This Row],[Date]])+1</f>
        <v>46082</v>
      </c>
      <c r="E353" s="167">
        <f t="shared" si="24"/>
        <v>31</v>
      </c>
      <c r="F353" s="169"/>
      <c r="G353" s="176"/>
      <c r="H353" s="176"/>
      <c r="I353" s="176"/>
      <c r="J353" s="176"/>
      <c r="K353" s="171"/>
      <c r="L353" s="170"/>
      <c r="M353" s="170" t="str">
        <f>IFERROR(_xlfn.XLOOKUP($A353,Input_Raw!$A:$A,Input_Raw!BG:BG),"")</f>
        <v/>
      </c>
      <c r="N353" s="170" t="str">
        <f>IFERROR(_xlfn.XLOOKUP($A353,Input_Raw!$A:$A,Input_Raw!BH:BH),"")</f>
        <v/>
      </c>
      <c r="O353" s="173" t="str">
        <f t="shared" si="25"/>
        <v/>
      </c>
      <c r="P353" s="173" t="str">
        <f>IFERROR(1-SUMIF(WTG_BD!$F:$F,$A353,WTG_BD!$AA:$AA)/($AA353+SUMIF(WTG_BD!$F:$F,$A353,WTG_BD!$AA:$AA)),"")</f>
        <v/>
      </c>
      <c r="Q353" s="173" t="str">
        <f>IFERROR(1-SUMIF(IGA_BD!$F:$F,$A353,IGA_BD!$X:$X)/($AA353+SUMIF(IGA_BD!$F:$F,$A353,IGA_BD!$X:$X)),"")</f>
        <v/>
      </c>
      <c r="R353" s="173" t="str">
        <f>IFERROR(1-SUMIF(Grid_BD!$F:$F,$A353,Grid_BD!$Y:$Y)/($AA353+SUMIF(Grid_BD!$F:$F,$A353,Grid_BD!$Y:$Y)),"")</f>
        <v/>
      </c>
      <c r="S353" s="167"/>
      <c r="T353" s="172"/>
      <c r="U353" s="173"/>
      <c r="V353" s="167"/>
      <c r="W353" s="174" t="str">
        <f t="shared" si="26"/>
        <v/>
      </c>
      <c r="X353" s="167" t="str">
        <f>IFERROR(_xlfn.XLOOKUP($A353,Input_Raw!$A:$A,Input_Raw!$BF:$BF),"")</f>
        <v/>
      </c>
      <c r="Y353" s="167" t="str">
        <f>IFERROR(_xlfn.XLOOKUP($A353,Input_Raw!$A:$A,Input_Raw!BJ:BJ),"")</f>
        <v/>
      </c>
      <c r="Z353" s="167" t="str">
        <f>IFERROR(_xlfn.XLOOKUP($A353,Input_Raw!$A:$A,Input_Raw!BK:BK),"")</f>
        <v/>
      </c>
      <c r="AA353" s="167" t="str">
        <f>IFERROR(_xlfn.XLOOKUP($A353,Input_Raw!$A:$A,Input_Raw!BL:BL),"")</f>
        <v/>
      </c>
      <c r="AB353" s="167" t="str">
        <f>IFERROR(_xlfn.XLOOKUP($A353,Input_Raw!$A:$A,Input_Raw!$BO:$BO),"")</f>
        <v/>
      </c>
      <c r="AC353" s="176">
        <f>IFERROR(_xlfn.XLOOKUP($D353,'Modelling New'!$D:$D,'Modelling New'!$J:$J),"")</f>
        <v>6.89</v>
      </c>
      <c r="AD353" s="166">
        <f>IFERROR(_xlfn.XLOOKUP($D353,'Modelling New'!$D:$D,'Modelling New'!$T:$T)*1000,"")</f>
        <v>629607.18715270935</v>
      </c>
      <c r="AE353" s="174"/>
      <c r="AF353" s="174">
        <f>IFERROR(_xlfn.XLOOKUP($D353,'Modelling New'!$D:$D,'Modelling New'!$W:$W),"")</f>
        <v>0.3736984729064039</v>
      </c>
      <c r="AG353" s="174">
        <f>IFERROR(_xlfn.XLOOKUP($D353,'Modelling New'!$D:$D,'Modelling New'!$AE:$AE),"")</f>
        <v>0.96029999999999993</v>
      </c>
      <c r="AH353" s="174">
        <f>IFERROR(_xlfn.XLOOKUP($D353,'Modelling New'!$D:$D,'Modelling New'!$AF:$AF),"")</f>
        <v>0.995</v>
      </c>
      <c r="AI353" s="177" t="str">
        <f>IFERROR(_xlfn.XLOOKUP($A353,Input_Raw!$A:$A,Input_Raw!$BQ:$BQ),"")</f>
        <v/>
      </c>
      <c r="AJ353" s="167"/>
      <c r="AK353" s="167"/>
      <c r="AL353" s="167"/>
      <c r="AM353" s="167"/>
      <c r="AN353" s="175" t="str">
        <f>IFERROR(_xlfn.XLOOKUP($A353,Input_Raw!$A:$A,Input_Raw!$BN:$BN),"")</f>
        <v/>
      </c>
      <c r="AO353" s="174" t="str">
        <f>IFERROR((_xlfn.XLOOKUP($A353,'WTG Reactive Power'!$A:$A,'WTG Reactive Power'!$AE:$AE))/Table13[[#This Row],[Gen_Exp (kWh)]],"")</f>
        <v/>
      </c>
      <c r="AP353" s="174">
        <f>IFERROR(_xlfn.XLOOKUP($D353,'Modelling New'!$D:$D,'Modelling New'!$AK:$AK),"")</f>
        <v>0.05</v>
      </c>
      <c r="AQ353" s="174">
        <f>IFERROR(_xlfn.XLOOKUP($D353,'Modelling New'!$D:$D,'Modelling New'!$AL:$AL),"")</f>
        <v>0.05</v>
      </c>
      <c r="AR353" s="276">
        <f>IFERROR(_xlfn.XLOOKUP($D353,'Modelling New'!$D:$D,'Modelling New'!$N:$N),"")</f>
        <v>70.2</v>
      </c>
      <c r="AS353" s="276"/>
    </row>
    <row r="354" spans="1:45">
      <c r="A354" s="165">
        <f t="shared" si="27"/>
        <v>46097</v>
      </c>
      <c r="B354" s="166">
        <f>YEAR(Table13[[#This Row],[Date]])+IF(MONTH(Table13[[#This Row],[Date]])&gt;=4,1,0)</f>
        <v>2026</v>
      </c>
      <c r="C354" s="167">
        <f>YEAR(Table13[[#This Row],[Date]])</f>
        <v>2026</v>
      </c>
      <c r="D354" s="168">
        <f>Table13[[#This Row],[Date]]-DAY(Table13[[#This Row],[Date]])+1</f>
        <v>46082</v>
      </c>
      <c r="E354" s="167">
        <f t="shared" si="24"/>
        <v>31</v>
      </c>
      <c r="F354" s="169"/>
      <c r="G354" s="170"/>
      <c r="H354" s="170"/>
      <c r="I354" s="170"/>
      <c r="J354" s="170"/>
      <c r="K354" s="171"/>
      <c r="L354" s="170"/>
      <c r="M354" s="170" t="str">
        <f>IFERROR(_xlfn.XLOOKUP($A354,Input_Raw!$A:$A,Input_Raw!BG:BG),"")</f>
        <v/>
      </c>
      <c r="N354" s="170" t="str">
        <f>IFERROR(_xlfn.XLOOKUP($A354,Input_Raw!$A:$A,Input_Raw!BH:BH),"")</f>
        <v/>
      </c>
      <c r="O354" s="173" t="str">
        <f t="shared" si="25"/>
        <v/>
      </c>
      <c r="P354" s="173" t="str">
        <f>IFERROR(1-SUMIF(WTG_BD!$F:$F,$A354,WTG_BD!$AA:$AA)/($AA354+SUMIF(WTG_BD!$F:$F,$A354,WTG_BD!$AA:$AA)),"")</f>
        <v/>
      </c>
      <c r="Q354" s="173" t="str">
        <f>IFERROR(1-SUMIF(IGA_BD!$F:$F,$A354,IGA_BD!$X:$X)/($AA354+SUMIF(IGA_BD!$F:$F,$A354,IGA_BD!$X:$X)),"")</f>
        <v/>
      </c>
      <c r="R354" s="173" t="str">
        <f>IFERROR(1-SUMIF(Grid_BD!$F:$F,$A354,Grid_BD!$Y:$Y)/($AA354+SUMIF(Grid_BD!$F:$F,$A354,Grid_BD!$Y:$Y)),"")</f>
        <v/>
      </c>
      <c r="S354" s="167"/>
      <c r="T354" s="172"/>
      <c r="U354" s="173"/>
      <c r="V354" s="167"/>
      <c r="W354" s="174" t="str">
        <f t="shared" si="26"/>
        <v/>
      </c>
      <c r="X354" s="167" t="str">
        <f>IFERROR(_xlfn.XLOOKUP($A354,Input_Raw!$A:$A,Input_Raw!$BF:$BF),"")</f>
        <v/>
      </c>
      <c r="Y354" s="167" t="str">
        <f>IFERROR(_xlfn.XLOOKUP($A354,Input_Raw!$A:$A,Input_Raw!BJ:BJ),"")</f>
        <v/>
      </c>
      <c r="Z354" s="167" t="str">
        <f>IFERROR(_xlfn.XLOOKUP($A354,Input_Raw!$A:$A,Input_Raw!BK:BK),"")</f>
        <v/>
      </c>
      <c r="AA354" s="167" t="str">
        <f>IFERROR(_xlfn.XLOOKUP($A354,Input_Raw!$A:$A,Input_Raw!BL:BL),"")</f>
        <v/>
      </c>
      <c r="AB354" s="167" t="str">
        <f>IFERROR(_xlfn.XLOOKUP($A354,Input_Raw!$A:$A,Input_Raw!$BO:$BO),"")</f>
        <v/>
      </c>
      <c r="AC354" s="176">
        <f>IFERROR(_xlfn.XLOOKUP($D354,'Modelling New'!$D:$D,'Modelling New'!$J:$J),"")</f>
        <v>6.89</v>
      </c>
      <c r="AD354" s="166">
        <f>IFERROR(_xlfn.XLOOKUP($D354,'Modelling New'!$D:$D,'Modelling New'!$T:$T)*1000,"")</f>
        <v>629607.18715270935</v>
      </c>
      <c r="AE354" s="174"/>
      <c r="AF354" s="174">
        <f>IFERROR(_xlfn.XLOOKUP($D354,'Modelling New'!$D:$D,'Modelling New'!$W:$W),"")</f>
        <v>0.3736984729064039</v>
      </c>
      <c r="AG354" s="174">
        <f>IFERROR(_xlfn.XLOOKUP($D354,'Modelling New'!$D:$D,'Modelling New'!$AE:$AE),"")</f>
        <v>0.96029999999999993</v>
      </c>
      <c r="AH354" s="174">
        <f>IFERROR(_xlfn.XLOOKUP($D354,'Modelling New'!$D:$D,'Modelling New'!$AF:$AF),"")</f>
        <v>0.995</v>
      </c>
      <c r="AI354" s="177" t="str">
        <f>IFERROR(_xlfn.XLOOKUP($A354,Input_Raw!$A:$A,Input_Raw!$BQ:$BQ),"")</f>
        <v/>
      </c>
      <c r="AJ354" s="167"/>
      <c r="AK354" s="167"/>
      <c r="AL354" s="167"/>
      <c r="AM354" s="167"/>
      <c r="AN354" s="175" t="str">
        <f>IFERROR(_xlfn.XLOOKUP($A354,Input_Raw!$A:$A,Input_Raw!$BN:$BN),"")</f>
        <v/>
      </c>
      <c r="AO354" s="174" t="str">
        <f>IFERROR((_xlfn.XLOOKUP($A354,'WTG Reactive Power'!$A:$A,'WTG Reactive Power'!$AE:$AE))/Table13[[#This Row],[Gen_Exp (kWh)]],"")</f>
        <v/>
      </c>
      <c r="AP354" s="174">
        <f>IFERROR(_xlfn.XLOOKUP($D354,'Modelling New'!$D:$D,'Modelling New'!$AK:$AK),"")</f>
        <v>0.05</v>
      </c>
      <c r="AQ354" s="174">
        <f>IFERROR(_xlfn.XLOOKUP($D354,'Modelling New'!$D:$D,'Modelling New'!$AL:$AL),"")</f>
        <v>0.05</v>
      </c>
      <c r="AR354" s="276">
        <f>IFERROR(_xlfn.XLOOKUP($D354,'Modelling New'!$D:$D,'Modelling New'!$N:$N),"")</f>
        <v>70.2</v>
      </c>
      <c r="AS354" s="276"/>
    </row>
    <row r="355" spans="1:45">
      <c r="A355" s="165">
        <f t="shared" si="27"/>
        <v>46098</v>
      </c>
      <c r="B355" s="166">
        <f>YEAR(Table13[[#This Row],[Date]])+IF(MONTH(Table13[[#This Row],[Date]])&gt;=4,1,0)</f>
        <v>2026</v>
      </c>
      <c r="C355" s="167">
        <f>YEAR(Table13[[#This Row],[Date]])</f>
        <v>2026</v>
      </c>
      <c r="D355" s="168">
        <f>Table13[[#This Row],[Date]]-DAY(Table13[[#This Row],[Date]])+1</f>
        <v>46082</v>
      </c>
      <c r="E355" s="167">
        <f t="shared" si="24"/>
        <v>31</v>
      </c>
      <c r="F355" s="169"/>
      <c r="G355" s="176"/>
      <c r="H355" s="176"/>
      <c r="I355" s="176"/>
      <c r="J355" s="176"/>
      <c r="K355" s="171"/>
      <c r="L355" s="170"/>
      <c r="M355" s="170" t="str">
        <f>IFERROR(_xlfn.XLOOKUP($A355,Input_Raw!$A:$A,Input_Raw!BG:BG),"")</f>
        <v/>
      </c>
      <c r="N355" s="170" t="str">
        <f>IFERROR(_xlfn.XLOOKUP($A355,Input_Raw!$A:$A,Input_Raw!BH:BH),"")</f>
        <v/>
      </c>
      <c r="O355" s="173" t="str">
        <f t="shared" si="25"/>
        <v/>
      </c>
      <c r="P355" s="173" t="str">
        <f>IFERROR(1-SUMIF(WTG_BD!$F:$F,$A355,WTG_BD!$AA:$AA)/($AA355+SUMIF(WTG_BD!$F:$F,$A355,WTG_BD!$AA:$AA)),"")</f>
        <v/>
      </c>
      <c r="Q355" s="173" t="str">
        <f>IFERROR(1-SUMIF(IGA_BD!$F:$F,$A355,IGA_BD!$X:$X)/($AA355+SUMIF(IGA_BD!$F:$F,$A355,IGA_BD!$X:$X)),"")</f>
        <v/>
      </c>
      <c r="R355" s="173" t="str">
        <f>IFERROR(1-SUMIF(Grid_BD!$F:$F,$A355,Grid_BD!$Y:$Y)/($AA355+SUMIF(Grid_BD!$F:$F,$A355,Grid_BD!$Y:$Y)),"")</f>
        <v/>
      </c>
      <c r="S355" s="167"/>
      <c r="T355" s="172"/>
      <c r="U355" s="173"/>
      <c r="V355" s="167"/>
      <c r="W355" s="174" t="str">
        <f t="shared" si="26"/>
        <v/>
      </c>
      <c r="X355" s="167" t="str">
        <f>IFERROR(_xlfn.XLOOKUP($A355,Input_Raw!$A:$A,Input_Raw!$BF:$BF),"")</f>
        <v/>
      </c>
      <c r="Y355" s="167" t="str">
        <f>IFERROR(_xlfn.XLOOKUP($A355,Input_Raw!$A:$A,Input_Raw!BJ:BJ),"")</f>
        <v/>
      </c>
      <c r="Z355" s="167" t="str">
        <f>IFERROR(_xlfn.XLOOKUP($A355,Input_Raw!$A:$A,Input_Raw!BK:BK),"")</f>
        <v/>
      </c>
      <c r="AA355" s="167" t="str">
        <f>IFERROR(_xlfn.XLOOKUP($A355,Input_Raw!$A:$A,Input_Raw!BL:BL),"")</f>
        <v/>
      </c>
      <c r="AB355" s="167" t="str">
        <f>IFERROR(_xlfn.XLOOKUP($A355,Input_Raw!$A:$A,Input_Raw!$BO:$BO),"")</f>
        <v/>
      </c>
      <c r="AC355" s="176">
        <f>IFERROR(_xlfn.XLOOKUP($D355,'Modelling New'!$D:$D,'Modelling New'!$J:$J),"")</f>
        <v>6.89</v>
      </c>
      <c r="AD355" s="166">
        <f>IFERROR(_xlfn.XLOOKUP($D355,'Modelling New'!$D:$D,'Modelling New'!$T:$T)*1000,"")</f>
        <v>629607.18715270935</v>
      </c>
      <c r="AE355" s="174"/>
      <c r="AF355" s="174">
        <f>IFERROR(_xlfn.XLOOKUP($D355,'Modelling New'!$D:$D,'Modelling New'!$W:$W),"")</f>
        <v>0.3736984729064039</v>
      </c>
      <c r="AG355" s="174">
        <f>IFERROR(_xlfn.XLOOKUP($D355,'Modelling New'!$D:$D,'Modelling New'!$AE:$AE),"")</f>
        <v>0.96029999999999993</v>
      </c>
      <c r="AH355" s="174">
        <f>IFERROR(_xlfn.XLOOKUP($D355,'Modelling New'!$D:$D,'Modelling New'!$AF:$AF),"")</f>
        <v>0.995</v>
      </c>
      <c r="AI355" s="177" t="str">
        <f>IFERROR(_xlfn.XLOOKUP($A355,Input_Raw!$A:$A,Input_Raw!$BQ:$BQ),"")</f>
        <v/>
      </c>
      <c r="AJ355" s="167"/>
      <c r="AK355" s="167"/>
      <c r="AL355" s="167"/>
      <c r="AM355" s="167"/>
      <c r="AN355" s="175" t="str">
        <f>IFERROR(_xlfn.XLOOKUP($A355,Input_Raw!$A:$A,Input_Raw!$BN:$BN),"")</f>
        <v/>
      </c>
      <c r="AO355" s="174" t="str">
        <f>IFERROR((_xlfn.XLOOKUP($A355,'WTG Reactive Power'!$A:$A,'WTG Reactive Power'!$AE:$AE))/Table13[[#This Row],[Gen_Exp (kWh)]],"")</f>
        <v/>
      </c>
      <c r="AP355" s="174">
        <f>IFERROR(_xlfn.XLOOKUP($D355,'Modelling New'!$D:$D,'Modelling New'!$AK:$AK),"")</f>
        <v>0.05</v>
      </c>
      <c r="AQ355" s="174">
        <f>IFERROR(_xlfn.XLOOKUP($D355,'Modelling New'!$D:$D,'Modelling New'!$AL:$AL),"")</f>
        <v>0.05</v>
      </c>
      <c r="AR355" s="276">
        <f>IFERROR(_xlfn.XLOOKUP($D355,'Modelling New'!$D:$D,'Modelling New'!$N:$N),"")</f>
        <v>70.2</v>
      </c>
      <c r="AS355" s="276"/>
    </row>
    <row r="356" spans="1:45">
      <c r="A356" s="165">
        <f t="shared" si="27"/>
        <v>46099</v>
      </c>
      <c r="B356" s="166">
        <f>YEAR(Table13[[#This Row],[Date]])+IF(MONTH(Table13[[#This Row],[Date]])&gt;=4,1,0)</f>
        <v>2026</v>
      </c>
      <c r="C356" s="167">
        <f>YEAR(Table13[[#This Row],[Date]])</f>
        <v>2026</v>
      </c>
      <c r="D356" s="168">
        <f>Table13[[#This Row],[Date]]-DAY(Table13[[#This Row],[Date]])+1</f>
        <v>46082</v>
      </c>
      <c r="E356" s="167">
        <f t="shared" si="24"/>
        <v>31</v>
      </c>
      <c r="F356" s="169"/>
      <c r="G356" s="170"/>
      <c r="H356" s="170"/>
      <c r="I356" s="170"/>
      <c r="J356" s="170"/>
      <c r="K356" s="171"/>
      <c r="L356" s="170"/>
      <c r="M356" s="170" t="str">
        <f>IFERROR(_xlfn.XLOOKUP($A356,Input_Raw!$A:$A,Input_Raw!BG:BG),"")</f>
        <v/>
      </c>
      <c r="N356" s="170" t="str">
        <f>IFERROR(_xlfn.XLOOKUP($A356,Input_Raw!$A:$A,Input_Raw!BH:BH),"")</f>
        <v/>
      </c>
      <c r="O356" s="173" t="str">
        <f t="shared" si="25"/>
        <v/>
      </c>
      <c r="P356" s="173" t="str">
        <f>IFERROR(1-SUMIF(WTG_BD!$F:$F,$A356,WTG_BD!$AA:$AA)/($AA356+SUMIF(WTG_BD!$F:$F,$A356,WTG_BD!$AA:$AA)),"")</f>
        <v/>
      </c>
      <c r="Q356" s="173" t="str">
        <f>IFERROR(1-SUMIF(IGA_BD!$F:$F,$A356,IGA_BD!$X:$X)/($AA356+SUMIF(IGA_BD!$F:$F,$A356,IGA_BD!$X:$X)),"")</f>
        <v/>
      </c>
      <c r="R356" s="173" t="str">
        <f>IFERROR(1-SUMIF(Grid_BD!$F:$F,$A356,Grid_BD!$Y:$Y)/($AA356+SUMIF(Grid_BD!$F:$F,$A356,Grid_BD!$Y:$Y)),"")</f>
        <v/>
      </c>
      <c r="S356" s="167"/>
      <c r="T356" s="172"/>
      <c r="U356" s="173"/>
      <c r="V356" s="167"/>
      <c r="W356" s="174" t="str">
        <f t="shared" si="26"/>
        <v/>
      </c>
      <c r="X356" s="167" t="str">
        <f>IFERROR(_xlfn.XLOOKUP($A356,Input_Raw!$A:$A,Input_Raw!$BF:$BF),"")</f>
        <v/>
      </c>
      <c r="Y356" s="167" t="str">
        <f>IFERROR(_xlfn.XLOOKUP($A356,Input_Raw!$A:$A,Input_Raw!BJ:BJ),"")</f>
        <v/>
      </c>
      <c r="Z356" s="167" t="str">
        <f>IFERROR(_xlfn.XLOOKUP($A356,Input_Raw!$A:$A,Input_Raw!BK:BK),"")</f>
        <v/>
      </c>
      <c r="AA356" s="167" t="str">
        <f>IFERROR(_xlfn.XLOOKUP($A356,Input_Raw!$A:$A,Input_Raw!BL:BL),"")</f>
        <v/>
      </c>
      <c r="AB356" s="167" t="str">
        <f>IFERROR(_xlfn.XLOOKUP($A356,Input_Raw!$A:$A,Input_Raw!$BO:$BO),"")</f>
        <v/>
      </c>
      <c r="AC356" s="176">
        <f>IFERROR(_xlfn.XLOOKUP($D356,'Modelling New'!$D:$D,'Modelling New'!$J:$J),"")</f>
        <v>6.89</v>
      </c>
      <c r="AD356" s="166">
        <f>IFERROR(_xlfn.XLOOKUP($D356,'Modelling New'!$D:$D,'Modelling New'!$T:$T)*1000,"")</f>
        <v>629607.18715270935</v>
      </c>
      <c r="AE356" s="174"/>
      <c r="AF356" s="174">
        <f>IFERROR(_xlfn.XLOOKUP($D356,'Modelling New'!$D:$D,'Modelling New'!$W:$W),"")</f>
        <v>0.3736984729064039</v>
      </c>
      <c r="AG356" s="174">
        <f>IFERROR(_xlfn.XLOOKUP($D356,'Modelling New'!$D:$D,'Modelling New'!$AE:$AE),"")</f>
        <v>0.96029999999999993</v>
      </c>
      <c r="AH356" s="174">
        <f>IFERROR(_xlfn.XLOOKUP($D356,'Modelling New'!$D:$D,'Modelling New'!$AF:$AF),"")</f>
        <v>0.995</v>
      </c>
      <c r="AI356" s="177" t="str">
        <f>IFERROR(_xlfn.XLOOKUP($A356,Input_Raw!$A:$A,Input_Raw!$BQ:$BQ),"")</f>
        <v/>
      </c>
      <c r="AJ356" s="167"/>
      <c r="AK356" s="167"/>
      <c r="AL356" s="167"/>
      <c r="AM356" s="167"/>
      <c r="AN356" s="175" t="str">
        <f>IFERROR(_xlfn.XLOOKUP($A356,Input_Raw!$A:$A,Input_Raw!$BN:$BN),"")</f>
        <v/>
      </c>
      <c r="AO356" s="174" t="str">
        <f>IFERROR((_xlfn.XLOOKUP($A356,'WTG Reactive Power'!$A:$A,'WTG Reactive Power'!$AE:$AE))/Table13[[#This Row],[Gen_Exp (kWh)]],"")</f>
        <v/>
      </c>
      <c r="AP356" s="174">
        <f>IFERROR(_xlfn.XLOOKUP($D356,'Modelling New'!$D:$D,'Modelling New'!$AK:$AK),"")</f>
        <v>0.05</v>
      </c>
      <c r="AQ356" s="174">
        <f>IFERROR(_xlfn.XLOOKUP($D356,'Modelling New'!$D:$D,'Modelling New'!$AL:$AL),"")</f>
        <v>0.05</v>
      </c>
      <c r="AR356" s="276">
        <f>IFERROR(_xlfn.XLOOKUP($D356,'Modelling New'!$D:$D,'Modelling New'!$N:$N),"")</f>
        <v>70.2</v>
      </c>
      <c r="AS356" s="276"/>
    </row>
    <row r="357" spans="1:45">
      <c r="A357" s="165">
        <f t="shared" si="27"/>
        <v>46100</v>
      </c>
      <c r="B357" s="166">
        <f>YEAR(Table13[[#This Row],[Date]])+IF(MONTH(Table13[[#This Row],[Date]])&gt;=4,1,0)</f>
        <v>2026</v>
      </c>
      <c r="C357" s="167">
        <f>YEAR(Table13[[#This Row],[Date]])</f>
        <v>2026</v>
      </c>
      <c r="D357" s="168">
        <f>Table13[[#This Row],[Date]]-DAY(Table13[[#This Row],[Date]])+1</f>
        <v>46082</v>
      </c>
      <c r="E357" s="167">
        <f t="shared" si="24"/>
        <v>31</v>
      </c>
      <c r="F357" s="169"/>
      <c r="G357" s="176"/>
      <c r="H357" s="176"/>
      <c r="I357" s="176"/>
      <c r="J357" s="176"/>
      <c r="K357" s="171"/>
      <c r="L357" s="170"/>
      <c r="M357" s="170" t="str">
        <f>IFERROR(_xlfn.XLOOKUP($A357,Input_Raw!$A:$A,Input_Raw!BG:BG),"")</f>
        <v/>
      </c>
      <c r="N357" s="170" t="str">
        <f>IFERROR(_xlfn.XLOOKUP($A357,Input_Raw!$A:$A,Input_Raw!BH:BH),"")</f>
        <v/>
      </c>
      <c r="O357" s="173" t="str">
        <f t="shared" si="25"/>
        <v/>
      </c>
      <c r="P357" s="173" t="str">
        <f>IFERROR(1-SUMIF(WTG_BD!$F:$F,$A357,WTG_BD!$AA:$AA)/($AA357+SUMIF(WTG_BD!$F:$F,$A357,WTG_BD!$AA:$AA)),"")</f>
        <v/>
      </c>
      <c r="Q357" s="173" t="str">
        <f>IFERROR(1-SUMIF(IGA_BD!$F:$F,$A357,IGA_BD!$X:$X)/($AA357+SUMIF(IGA_BD!$F:$F,$A357,IGA_BD!$X:$X)),"")</f>
        <v/>
      </c>
      <c r="R357" s="173" t="str">
        <f>IFERROR(1-SUMIF(Grid_BD!$F:$F,$A357,Grid_BD!$Y:$Y)/($AA357+SUMIF(Grid_BD!$F:$F,$A357,Grid_BD!$Y:$Y)),"")</f>
        <v/>
      </c>
      <c r="S357" s="167"/>
      <c r="T357" s="172"/>
      <c r="U357" s="173"/>
      <c r="V357" s="167"/>
      <c r="W357" s="174" t="str">
        <f t="shared" si="26"/>
        <v/>
      </c>
      <c r="X357" s="167" t="str">
        <f>IFERROR(_xlfn.XLOOKUP($A357,Input_Raw!$A:$A,Input_Raw!$BF:$BF),"")</f>
        <v/>
      </c>
      <c r="Y357" s="167" t="str">
        <f>IFERROR(_xlfn.XLOOKUP($A357,Input_Raw!$A:$A,Input_Raw!BJ:BJ),"")</f>
        <v/>
      </c>
      <c r="Z357" s="167" t="str">
        <f>IFERROR(_xlfn.XLOOKUP($A357,Input_Raw!$A:$A,Input_Raw!BK:BK),"")</f>
        <v/>
      </c>
      <c r="AA357" s="167" t="str">
        <f>IFERROR(_xlfn.XLOOKUP($A357,Input_Raw!$A:$A,Input_Raw!BL:BL),"")</f>
        <v/>
      </c>
      <c r="AB357" s="167" t="str">
        <f>IFERROR(_xlfn.XLOOKUP($A357,Input_Raw!$A:$A,Input_Raw!$BO:$BO),"")</f>
        <v/>
      </c>
      <c r="AC357" s="176">
        <f>IFERROR(_xlfn.XLOOKUP($D357,'Modelling New'!$D:$D,'Modelling New'!$J:$J),"")</f>
        <v>6.89</v>
      </c>
      <c r="AD357" s="166">
        <f>IFERROR(_xlfn.XLOOKUP($D357,'Modelling New'!$D:$D,'Modelling New'!$T:$T)*1000,"")</f>
        <v>629607.18715270935</v>
      </c>
      <c r="AE357" s="174"/>
      <c r="AF357" s="174">
        <f>IFERROR(_xlfn.XLOOKUP($D357,'Modelling New'!$D:$D,'Modelling New'!$W:$W),"")</f>
        <v>0.3736984729064039</v>
      </c>
      <c r="AG357" s="174">
        <f>IFERROR(_xlfn.XLOOKUP($D357,'Modelling New'!$D:$D,'Modelling New'!$AE:$AE),"")</f>
        <v>0.96029999999999993</v>
      </c>
      <c r="AH357" s="174">
        <f>IFERROR(_xlfn.XLOOKUP($D357,'Modelling New'!$D:$D,'Modelling New'!$AF:$AF),"")</f>
        <v>0.995</v>
      </c>
      <c r="AI357" s="177" t="str">
        <f>IFERROR(_xlfn.XLOOKUP($A357,Input_Raw!$A:$A,Input_Raw!$BQ:$BQ),"")</f>
        <v/>
      </c>
      <c r="AJ357" s="167"/>
      <c r="AK357" s="167"/>
      <c r="AL357" s="167"/>
      <c r="AM357" s="167"/>
      <c r="AN357" s="175" t="str">
        <f>IFERROR(_xlfn.XLOOKUP($A357,Input_Raw!$A:$A,Input_Raw!$BN:$BN),"")</f>
        <v/>
      </c>
      <c r="AO357" s="174" t="str">
        <f>IFERROR((_xlfn.XLOOKUP($A357,'WTG Reactive Power'!$A:$A,'WTG Reactive Power'!$AE:$AE))/Table13[[#This Row],[Gen_Exp (kWh)]],"")</f>
        <v/>
      </c>
      <c r="AP357" s="174">
        <f>IFERROR(_xlfn.XLOOKUP($D357,'Modelling New'!$D:$D,'Modelling New'!$AK:$AK),"")</f>
        <v>0.05</v>
      </c>
      <c r="AQ357" s="174">
        <f>IFERROR(_xlfn.XLOOKUP($D357,'Modelling New'!$D:$D,'Modelling New'!$AL:$AL),"")</f>
        <v>0.05</v>
      </c>
      <c r="AR357" s="276">
        <f>IFERROR(_xlfn.XLOOKUP($D357,'Modelling New'!$D:$D,'Modelling New'!$N:$N),"")</f>
        <v>70.2</v>
      </c>
      <c r="AS357" s="276"/>
    </row>
    <row r="358" spans="1:45">
      <c r="A358" s="165">
        <f t="shared" si="27"/>
        <v>46101</v>
      </c>
      <c r="B358" s="166">
        <f>YEAR(Table13[[#This Row],[Date]])+IF(MONTH(Table13[[#This Row],[Date]])&gt;=4,1,0)</f>
        <v>2026</v>
      </c>
      <c r="C358" s="167">
        <f>YEAR(Table13[[#This Row],[Date]])</f>
        <v>2026</v>
      </c>
      <c r="D358" s="168">
        <f>Table13[[#This Row],[Date]]-DAY(Table13[[#This Row],[Date]])+1</f>
        <v>46082</v>
      </c>
      <c r="E358" s="167">
        <f t="shared" si="24"/>
        <v>31</v>
      </c>
      <c r="F358" s="169"/>
      <c r="G358" s="170"/>
      <c r="H358" s="170"/>
      <c r="I358" s="170"/>
      <c r="J358" s="170"/>
      <c r="K358" s="171"/>
      <c r="L358" s="170"/>
      <c r="M358" s="170" t="str">
        <f>IFERROR(_xlfn.XLOOKUP($A358,Input_Raw!$A:$A,Input_Raw!BG:BG),"")</f>
        <v/>
      </c>
      <c r="N358" s="170" t="str">
        <f>IFERROR(_xlfn.XLOOKUP($A358,Input_Raw!$A:$A,Input_Raw!BH:BH),"")</f>
        <v/>
      </c>
      <c r="O358" s="173" t="str">
        <f t="shared" si="25"/>
        <v/>
      </c>
      <c r="P358" s="173" t="str">
        <f>IFERROR(1-SUMIF(WTG_BD!$F:$F,$A358,WTG_BD!$AA:$AA)/($AA358+SUMIF(WTG_BD!$F:$F,$A358,WTG_BD!$AA:$AA)),"")</f>
        <v/>
      </c>
      <c r="Q358" s="173" t="str">
        <f>IFERROR(1-SUMIF(IGA_BD!$F:$F,$A358,IGA_BD!$X:$X)/($AA358+SUMIF(IGA_BD!$F:$F,$A358,IGA_BD!$X:$X)),"")</f>
        <v/>
      </c>
      <c r="R358" s="173" t="str">
        <f>IFERROR(1-SUMIF(Grid_BD!$F:$F,$A358,Grid_BD!$Y:$Y)/($AA358+SUMIF(Grid_BD!$F:$F,$A358,Grid_BD!$Y:$Y)),"")</f>
        <v/>
      </c>
      <c r="S358" s="167"/>
      <c r="T358" s="172"/>
      <c r="U358" s="173"/>
      <c r="V358" s="167"/>
      <c r="W358" s="174" t="str">
        <f t="shared" si="26"/>
        <v/>
      </c>
      <c r="X358" s="167" t="str">
        <f>IFERROR(_xlfn.XLOOKUP($A358,Input_Raw!$A:$A,Input_Raw!$BF:$BF),"")</f>
        <v/>
      </c>
      <c r="Y358" s="167" t="str">
        <f>IFERROR(_xlfn.XLOOKUP($A358,Input_Raw!$A:$A,Input_Raw!BJ:BJ),"")</f>
        <v/>
      </c>
      <c r="Z358" s="167" t="str">
        <f>IFERROR(_xlfn.XLOOKUP($A358,Input_Raw!$A:$A,Input_Raw!BK:BK),"")</f>
        <v/>
      </c>
      <c r="AA358" s="167" t="str">
        <f>IFERROR(_xlfn.XLOOKUP($A358,Input_Raw!$A:$A,Input_Raw!BL:BL),"")</f>
        <v/>
      </c>
      <c r="AB358" s="167" t="str">
        <f>IFERROR(_xlfn.XLOOKUP($A358,Input_Raw!$A:$A,Input_Raw!$BO:$BO),"")</f>
        <v/>
      </c>
      <c r="AC358" s="176">
        <f>IFERROR(_xlfn.XLOOKUP($D358,'Modelling New'!$D:$D,'Modelling New'!$J:$J),"")</f>
        <v>6.89</v>
      </c>
      <c r="AD358" s="166">
        <f>IFERROR(_xlfn.XLOOKUP($D358,'Modelling New'!$D:$D,'Modelling New'!$T:$T)*1000,"")</f>
        <v>629607.18715270935</v>
      </c>
      <c r="AE358" s="174"/>
      <c r="AF358" s="174">
        <f>IFERROR(_xlfn.XLOOKUP($D358,'Modelling New'!$D:$D,'Modelling New'!$W:$W),"")</f>
        <v>0.3736984729064039</v>
      </c>
      <c r="AG358" s="174">
        <f>IFERROR(_xlfn.XLOOKUP($D358,'Modelling New'!$D:$D,'Modelling New'!$AE:$AE),"")</f>
        <v>0.96029999999999993</v>
      </c>
      <c r="AH358" s="174">
        <f>IFERROR(_xlfn.XLOOKUP($D358,'Modelling New'!$D:$D,'Modelling New'!$AF:$AF),"")</f>
        <v>0.995</v>
      </c>
      <c r="AI358" s="177" t="str">
        <f>IFERROR(_xlfn.XLOOKUP($A358,Input_Raw!$A:$A,Input_Raw!$BQ:$BQ),"")</f>
        <v/>
      </c>
      <c r="AJ358" s="167"/>
      <c r="AK358" s="167"/>
      <c r="AL358" s="167"/>
      <c r="AM358" s="167"/>
      <c r="AN358" s="175" t="str">
        <f>IFERROR(_xlfn.XLOOKUP($A358,Input_Raw!$A:$A,Input_Raw!$BN:$BN),"")</f>
        <v/>
      </c>
      <c r="AO358" s="174" t="str">
        <f>IFERROR((_xlfn.XLOOKUP($A358,'WTG Reactive Power'!$A:$A,'WTG Reactive Power'!$AE:$AE))/Table13[[#This Row],[Gen_Exp (kWh)]],"")</f>
        <v/>
      </c>
      <c r="AP358" s="174">
        <f>IFERROR(_xlfn.XLOOKUP($D358,'Modelling New'!$D:$D,'Modelling New'!$AK:$AK),"")</f>
        <v>0.05</v>
      </c>
      <c r="AQ358" s="174">
        <f>IFERROR(_xlfn.XLOOKUP($D358,'Modelling New'!$D:$D,'Modelling New'!$AL:$AL),"")</f>
        <v>0.05</v>
      </c>
      <c r="AR358" s="276">
        <f>IFERROR(_xlfn.XLOOKUP($D358,'Modelling New'!$D:$D,'Modelling New'!$N:$N),"")</f>
        <v>70.2</v>
      </c>
      <c r="AS358" s="276"/>
    </row>
    <row r="359" spans="1:45">
      <c r="A359" s="165">
        <f t="shared" si="27"/>
        <v>46102</v>
      </c>
      <c r="B359" s="166">
        <f>YEAR(Table13[[#This Row],[Date]])+IF(MONTH(Table13[[#This Row],[Date]])&gt;=4,1,0)</f>
        <v>2026</v>
      </c>
      <c r="C359" s="167">
        <f>YEAR(Table13[[#This Row],[Date]])</f>
        <v>2026</v>
      </c>
      <c r="D359" s="168">
        <f>Table13[[#This Row],[Date]]-DAY(Table13[[#This Row],[Date]])+1</f>
        <v>46082</v>
      </c>
      <c r="E359" s="167">
        <f t="shared" si="24"/>
        <v>31</v>
      </c>
      <c r="F359" s="169"/>
      <c r="G359" s="176"/>
      <c r="H359" s="176"/>
      <c r="I359" s="176"/>
      <c r="J359" s="176"/>
      <c r="K359" s="171"/>
      <c r="L359" s="170"/>
      <c r="M359" s="170" t="str">
        <f>IFERROR(_xlfn.XLOOKUP($A359,Input_Raw!$A:$A,Input_Raw!BG:BG),"")</f>
        <v/>
      </c>
      <c r="N359" s="170" t="str">
        <f>IFERROR(_xlfn.XLOOKUP($A359,Input_Raw!$A:$A,Input_Raw!BH:BH),"")</f>
        <v/>
      </c>
      <c r="O359" s="173" t="str">
        <f t="shared" si="25"/>
        <v/>
      </c>
      <c r="P359" s="173" t="str">
        <f>IFERROR(1-SUMIF(WTG_BD!$F:$F,$A359,WTG_BD!$AA:$AA)/($AA359+SUMIF(WTG_BD!$F:$F,$A359,WTG_BD!$AA:$AA)),"")</f>
        <v/>
      </c>
      <c r="Q359" s="173" t="str">
        <f>IFERROR(1-SUMIF(IGA_BD!$F:$F,$A359,IGA_BD!$X:$X)/($AA359+SUMIF(IGA_BD!$F:$F,$A359,IGA_BD!$X:$X)),"")</f>
        <v/>
      </c>
      <c r="R359" s="173" t="str">
        <f>IFERROR(1-SUMIF(Grid_BD!$F:$F,$A359,Grid_BD!$Y:$Y)/($AA359+SUMIF(Grid_BD!$F:$F,$A359,Grid_BD!$Y:$Y)),"")</f>
        <v/>
      </c>
      <c r="S359" s="167"/>
      <c r="T359" s="172"/>
      <c r="U359" s="173"/>
      <c r="V359" s="167"/>
      <c r="W359" s="174" t="str">
        <f t="shared" si="26"/>
        <v/>
      </c>
      <c r="X359" s="167" t="str">
        <f>IFERROR(_xlfn.XLOOKUP($A359,Input_Raw!$A:$A,Input_Raw!$BF:$BF),"")</f>
        <v/>
      </c>
      <c r="Y359" s="167" t="str">
        <f>IFERROR(_xlfn.XLOOKUP($A359,Input_Raw!$A:$A,Input_Raw!BJ:BJ),"")</f>
        <v/>
      </c>
      <c r="Z359" s="167" t="str">
        <f>IFERROR(_xlfn.XLOOKUP($A359,Input_Raw!$A:$A,Input_Raw!BK:BK),"")</f>
        <v/>
      </c>
      <c r="AA359" s="167" t="str">
        <f>IFERROR(_xlfn.XLOOKUP($A359,Input_Raw!$A:$A,Input_Raw!BL:BL),"")</f>
        <v/>
      </c>
      <c r="AB359" s="167" t="str">
        <f>IFERROR(_xlfn.XLOOKUP($A359,Input_Raw!$A:$A,Input_Raw!$BO:$BO),"")</f>
        <v/>
      </c>
      <c r="AC359" s="176">
        <f>IFERROR(_xlfn.XLOOKUP($D359,'Modelling New'!$D:$D,'Modelling New'!$J:$J),"")</f>
        <v>6.89</v>
      </c>
      <c r="AD359" s="166">
        <f>IFERROR(_xlfn.XLOOKUP($D359,'Modelling New'!$D:$D,'Modelling New'!$T:$T)*1000,"")</f>
        <v>629607.18715270935</v>
      </c>
      <c r="AE359" s="174"/>
      <c r="AF359" s="174">
        <f>IFERROR(_xlfn.XLOOKUP($D359,'Modelling New'!$D:$D,'Modelling New'!$W:$W),"")</f>
        <v>0.3736984729064039</v>
      </c>
      <c r="AG359" s="174">
        <f>IFERROR(_xlfn.XLOOKUP($D359,'Modelling New'!$D:$D,'Modelling New'!$AE:$AE),"")</f>
        <v>0.96029999999999993</v>
      </c>
      <c r="AH359" s="174">
        <f>IFERROR(_xlfn.XLOOKUP($D359,'Modelling New'!$D:$D,'Modelling New'!$AF:$AF),"")</f>
        <v>0.995</v>
      </c>
      <c r="AI359" s="177" t="str">
        <f>IFERROR(_xlfn.XLOOKUP($A359,Input_Raw!$A:$A,Input_Raw!$BQ:$BQ),"")</f>
        <v/>
      </c>
      <c r="AJ359" s="167"/>
      <c r="AK359" s="167"/>
      <c r="AL359" s="167"/>
      <c r="AM359" s="167"/>
      <c r="AN359" s="175" t="str">
        <f>IFERROR(_xlfn.XLOOKUP($A359,Input_Raw!$A:$A,Input_Raw!$BN:$BN),"")</f>
        <v/>
      </c>
      <c r="AO359" s="174" t="str">
        <f>IFERROR((_xlfn.XLOOKUP($A359,'WTG Reactive Power'!$A:$A,'WTG Reactive Power'!$AE:$AE))/Table13[[#This Row],[Gen_Exp (kWh)]],"")</f>
        <v/>
      </c>
      <c r="AP359" s="174">
        <f>IFERROR(_xlfn.XLOOKUP($D359,'Modelling New'!$D:$D,'Modelling New'!$AK:$AK),"")</f>
        <v>0.05</v>
      </c>
      <c r="AQ359" s="174">
        <f>IFERROR(_xlfn.XLOOKUP($D359,'Modelling New'!$D:$D,'Modelling New'!$AL:$AL),"")</f>
        <v>0.05</v>
      </c>
      <c r="AR359" s="276">
        <f>IFERROR(_xlfn.XLOOKUP($D359,'Modelling New'!$D:$D,'Modelling New'!$N:$N),"")</f>
        <v>70.2</v>
      </c>
      <c r="AS359" s="276"/>
    </row>
    <row r="360" spans="1:45">
      <c r="A360" s="165">
        <f t="shared" si="27"/>
        <v>46103</v>
      </c>
      <c r="B360" s="166">
        <f>YEAR(Table13[[#This Row],[Date]])+IF(MONTH(Table13[[#This Row],[Date]])&gt;=4,1,0)</f>
        <v>2026</v>
      </c>
      <c r="C360" s="167">
        <f>YEAR(Table13[[#This Row],[Date]])</f>
        <v>2026</v>
      </c>
      <c r="D360" s="168">
        <f>Table13[[#This Row],[Date]]-DAY(Table13[[#This Row],[Date]])+1</f>
        <v>46082</v>
      </c>
      <c r="E360" s="167">
        <f t="shared" si="24"/>
        <v>31</v>
      </c>
      <c r="F360" s="169"/>
      <c r="G360" s="170"/>
      <c r="H360" s="170"/>
      <c r="I360" s="170"/>
      <c r="J360" s="170"/>
      <c r="K360" s="171"/>
      <c r="L360" s="170"/>
      <c r="M360" s="170" t="str">
        <f>IFERROR(_xlfn.XLOOKUP($A360,Input_Raw!$A:$A,Input_Raw!BG:BG),"")</f>
        <v/>
      </c>
      <c r="N360" s="170" t="str">
        <f>IFERROR(_xlfn.XLOOKUP($A360,Input_Raw!$A:$A,Input_Raw!BH:BH),"")</f>
        <v/>
      </c>
      <c r="O360" s="173" t="str">
        <f t="shared" si="25"/>
        <v/>
      </c>
      <c r="P360" s="173" t="str">
        <f>IFERROR(1-SUMIF(WTG_BD!$F:$F,$A360,WTG_BD!$AA:$AA)/($AA360+SUMIF(WTG_BD!$F:$F,$A360,WTG_BD!$AA:$AA)),"")</f>
        <v/>
      </c>
      <c r="Q360" s="173" t="str">
        <f>IFERROR(1-SUMIF(IGA_BD!$F:$F,$A360,IGA_BD!$X:$X)/($AA360+SUMIF(IGA_BD!$F:$F,$A360,IGA_BD!$X:$X)),"")</f>
        <v/>
      </c>
      <c r="R360" s="173" t="str">
        <f>IFERROR(1-SUMIF(Grid_BD!$F:$F,$A360,Grid_BD!$Y:$Y)/($AA360+SUMIF(Grid_BD!$F:$F,$A360,Grid_BD!$Y:$Y)),"")</f>
        <v/>
      </c>
      <c r="S360" s="167"/>
      <c r="T360" s="172"/>
      <c r="U360" s="173"/>
      <c r="V360" s="167"/>
      <c r="W360" s="174" t="str">
        <f t="shared" si="26"/>
        <v/>
      </c>
      <c r="X360" s="167" t="str">
        <f>IFERROR(_xlfn.XLOOKUP($A360,Input_Raw!$A:$A,Input_Raw!$BF:$BF),"")</f>
        <v/>
      </c>
      <c r="Y360" s="167" t="str">
        <f>IFERROR(_xlfn.XLOOKUP($A360,Input_Raw!$A:$A,Input_Raw!BJ:BJ),"")</f>
        <v/>
      </c>
      <c r="Z360" s="167" t="str">
        <f>IFERROR(_xlfn.XLOOKUP($A360,Input_Raw!$A:$A,Input_Raw!BK:BK),"")</f>
        <v/>
      </c>
      <c r="AA360" s="167" t="str">
        <f>IFERROR(_xlfn.XLOOKUP($A360,Input_Raw!$A:$A,Input_Raw!BL:BL),"")</f>
        <v/>
      </c>
      <c r="AB360" s="167" t="str">
        <f>IFERROR(_xlfn.XLOOKUP($A360,Input_Raw!$A:$A,Input_Raw!$BO:$BO),"")</f>
        <v/>
      </c>
      <c r="AC360" s="176">
        <f>IFERROR(_xlfn.XLOOKUP($D360,'Modelling New'!$D:$D,'Modelling New'!$J:$J),"")</f>
        <v>6.89</v>
      </c>
      <c r="AD360" s="166">
        <f>IFERROR(_xlfn.XLOOKUP($D360,'Modelling New'!$D:$D,'Modelling New'!$T:$T)*1000,"")</f>
        <v>629607.18715270935</v>
      </c>
      <c r="AE360" s="174"/>
      <c r="AF360" s="174">
        <f>IFERROR(_xlfn.XLOOKUP($D360,'Modelling New'!$D:$D,'Modelling New'!$W:$W),"")</f>
        <v>0.3736984729064039</v>
      </c>
      <c r="AG360" s="174">
        <f>IFERROR(_xlfn.XLOOKUP($D360,'Modelling New'!$D:$D,'Modelling New'!$AE:$AE),"")</f>
        <v>0.96029999999999993</v>
      </c>
      <c r="AH360" s="174">
        <f>IFERROR(_xlfn.XLOOKUP($D360,'Modelling New'!$D:$D,'Modelling New'!$AF:$AF),"")</f>
        <v>0.995</v>
      </c>
      <c r="AI360" s="177" t="str">
        <f>IFERROR(_xlfn.XLOOKUP($A360,Input_Raw!$A:$A,Input_Raw!$BQ:$BQ),"")</f>
        <v/>
      </c>
      <c r="AJ360" s="167"/>
      <c r="AK360" s="167"/>
      <c r="AL360" s="167"/>
      <c r="AM360" s="167"/>
      <c r="AN360" s="175" t="str">
        <f>IFERROR(_xlfn.XLOOKUP($A360,Input_Raw!$A:$A,Input_Raw!$BN:$BN),"")</f>
        <v/>
      </c>
      <c r="AO360" s="174" t="str">
        <f>IFERROR((_xlfn.XLOOKUP($A360,'WTG Reactive Power'!$A:$A,'WTG Reactive Power'!$AE:$AE))/Table13[[#This Row],[Gen_Exp (kWh)]],"")</f>
        <v/>
      </c>
      <c r="AP360" s="174">
        <f>IFERROR(_xlfn.XLOOKUP($D360,'Modelling New'!$D:$D,'Modelling New'!$AK:$AK),"")</f>
        <v>0.05</v>
      </c>
      <c r="AQ360" s="174">
        <f>IFERROR(_xlfn.XLOOKUP($D360,'Modelling New'!$D:$D,'Modelling New'!$AL:$AL),"")</f>
        <v>0.05</v>
      </c>
      <c r="AR360" s="276">
        <f>IFERROR(_xlfn.XLOOKUP($D360,'Modelling New'!$D:$D,'Modelling New'!$N:$N),"")</f>
        <v>70.2</v>
      </c>
      <c r="AS360" s="276"/>
    </row>
    <row r="361" spans="1:45">
      <c r="A361" s="165">
        <f t="shared" si="27"/>
        <v>46104</v>
      </c>
      <c r="B361" s="166">
        <f>YEAR(Table13[[#This Row],[Date]])+IF(MONTH(Table13[[#This Row],[Date]])&gt;=4,1,0)</f>
        <v>2026</v>
      </c>
      <c r="C361" s="167">
        <f>YEAR(Table13[[#This Row],[Date]])</f>
        <v>2026</v>
      </c>
      <c r="D361" s="168">
        <f>Table13[[#This Row],[Date]]-DAY(Table13[[#This Row],[Date]])+1</f>
        <v>46082</v>
      </c>
      <c r="E361" s="167">
        <f t="shared" si="24"/>
        <v>31</v>
      </c>
      <c r="F361" s="169"/>
      <c r="G361" s="176"/>
      <c r="H361" s="176"/>
      <c r="I361" s="176"/>
      <c r="J361" s="176"/>
      <c r="K361" s="171"/>
      <c r="L361" s="170"/>
      <c r="M361" s="170" t="str">
        <f>IFERROR(_xlfn.XLOOKUP($A361,Input_Raw!$A:$A,Input_Raw!BG:BG),"")</f>
        <v/>
      </c>
      <c r="N361" s="170" t="str">
        <f>IFERROR(_xlfn.XLOOKUP($A361,Input_Raw!$A:$A,Input_Raw!BH:BH),"")</f>
        <v/>
      </c>
      <c r="O361" s="173" t="str">
        <f t="shared" si="25"/>
        <v/>
      </c>
      <c r="P361" s="173" t="str">
        <f>IFERROR(1-SUMIF(WTG_BD!$F:$F,$A361,WTG_BD!$AA:$AA)/($AA361+SUMIF(WTG_BD!$F:$F,$A361,WTG_BD!$AA:$AA)),"")</f>
        <v/>
      </c>
      <c r="Q361" s="173" t="str">
        <f>IFERROR(1-SUMIF(IGA_BD!$F:$F,$A361,IGA_BD!$X:$X)/($AA361+SUMIF(IGA_BD!$F:$F,$A361,IGA_BD!$X:$X)),"")</f>
        <v/>
      </c>
      <c r="R361" s="173" t="str">
        <f>IFERROR(1-SUMIF(Grid_BD!$F:$F,$A361,Grid_BD!$Y:$Y)/($AA361+SUMIF(Grid_BD!$F:$F,$A361,Grid_BD!$Y:$Y)),"")</f>
        <v/>
      </c>
      <c r="S361" s="167"/>
      <c r="T361" s="172"/>
      <c r="U361" s="173"/>
      <c r="V361" s="167"/>
      <c r="W361" s="174" t="str">
        <f t="shared" si="26"/>
        <v/>
      </c>
      <c r="X361" s="167" t="str">
        <f>IFERROR(_xlfn.XLOOKUP($A361,Input_Raw!$A:$A,Input_Raw!$BF:$BF),"")</f>
        <v/>
      </c>
      <c r="Y361" s="167" t="str">
        <f>IFERROR(_xlfn.XLOOKUP($A361,Input_Raw!$A:$A,Input_Raw!BJ:BJ),"")</f>
        <v/>
      </c>
      <c r="Z361" s="167" t="str">
        <f>IFERROR(_xlfn.XLOOKUP($A361,Input_Raw!$A:$A,Input_Raw!BK:BK),"")</f>
        <v/>
      </c>
      <c r="AA361" s="167" t="str">
        <f>IFERROR(_xlfn.XLOOKUP($A361,Input_Raw!$A:$A,Input_Raw!BL:BL),"")</f>
        <v/>
      </c>
      <c r="AB361" s="167" t="str">
        <f>IFERROR(_xlfn.XLOOKUP($A361,Input_Raw!$A:$A,Input_Raw!$BO:$BO),"")</f>
        <v/>
      </c>
      <c r="AC361" s="176">
        <f>IFERROR(_xlfn.XLOOKUP($D361,'Modelling New'!$D:$D,'Modelling New'!$J:$J),"")</f>
        <v>6.89</v>
      </c>
      <c r="AD361" s="166">
        <f>IFERROR(_xlfn.XLOOKUP($D361,'Modelling New'!$D:$D,'Modelling New'!$T:$T)*1000,"")</f>
        <v>629607.18715270935</v>
      </c>
      <c r="AE361" s="174"/>
      <c r="AF361" s="174">
        <f>IFERROR(_xlfn.XLOOKUP($D361,'Modelling New'!$D:$D,'Modelling New'!$W:$W),"")</f>
        <v>0.3736984729064039</v>
      </c>
      <c r="AG361" s="174">
        <f>IFERROR(_xlfn.XLOOKUP($D361,'Modelling New'!$D:$D,'Modelling New'!$AE:$AE),"")</f>
        <v>0.96029999999999993</v>
      </c>
      <c r="AH361" s="174">
        <f>IFERROR(_xlfn.XLOOKUP($D361,'Modelling New'!$D:$D,'Modelling New'!$AF:$AF),"")</f>
        <v>0.995</v>
      </c>
      <c r="AI361" s="177" t="str">
        <f>IFERROR(_xlfn.XLOOKUP($A361,Input_Raw!$A:$A,Input_Raw!$BQ:$BQ),"")</f>
        <v/>
      </c>
      <c r="AJ361" s="167"/>
      <c r="AK361" s="167"/>
      <c r="AL361" s="167"/>
      <c r="AM361" s="167"/>
      <c r="AN361" s="175" t="str">
        <f>IFERROR(_xlfn.XLOOKUP($A361,Input_Raw!$A:$A,Input_Raw!$BN:$BN),"")</f>
        <v/>
      </c>
      <c r="AO361" s="174" t="str">
        <f>IFERROR((_xlfn.XLOOKUP($A361,'WTG Reactive Power'!$A:$A,'WTG Reactive Power'!$AE:$AE))/Table13[[#This Row],[Gen_Exp (kWh)]],"")</f>
        <v/>
      </c>
      <c r="AP361" s="174">
        <f>IFERROR(_xlfn.XLOOKUP($D361,'Modelling New'!$D:$D,'Modelling New'!$AK:$AK),"")</f>
        <v>0.05</v>
      </c>
      <c r="AQ361" s="174">
        <f>IFERROR(_xlfn.XLOOKUP($D361,'Modelling New'!$D:$D,'Modelling New'!$AL:$AL),"")</f>
        <v>0.05</v>
      </c>
      <c r="AR361" s="276">
        <f>IFERROR(_xlfn.XLOOKUP($D361,'Modelling New'!$D:$D,'Modelling New'!$N:$N),"")</f>
        <v>70.2</v>
      </c>
      <c r="AS361" s="276"/>
    </row>
    <row r="362" spans="1:45">
      <c r="A362" s="165">
        <f t="shared" si="27"/>
        <v>46105</v>
      </c>
      <c r="B362" s="166">
        <f>YEAR(Table13[[#This Row],[Date]])+IF(MONTH(Table13[[#This Row],[Date]])&gt;=4,1,0)</f>
        <v>2026</v>
      </c>
      <c r="C362" s="167">
        <f>YEAR(Table13[[#This Row],[Date]])</f>
        <v>2026</v>
      </c>
      <c r="D362" s="168">
        <f>Table13[[#This Row],[Date]]-DAY(Table13[[#This Row],[Date]])+1</f>
        <v>46082</v>
      </c>
      <c r="E362" s="167">
        <f t="shared" si="24"/>
        <v>31</v>
      </c>
      <c r="F362" s="169"/>
      <c r="G362" s="170"/>
      <c r="H362" s="170"/>
      <c r="I362" s="170"/>
      <c r="J362" s="170"/>
      <c r="K362" s="171"/>
      <c r="L362" s="170"/>
      <c r="M362" s="170" t="str">
        <f>IFERROR(_xlfn.XLOOKUP($A362,Input_Raw!$A:$A,Input_Raw!BG:BG),"")</f>
        <v/>
      </c>
      <c r="N362" s="170" t="str">
        <f>IFERROR(_xlfn.XLOOKUP($A362,Input_Raw!$A:$A,Input_Raw!BH:BH),"")</f>
        <v/>
      </c>
      <c r="O362" s="173" t="str">
        <f t="shared" si="25"/>
        <v/>
      </c>
      <c r="P362" s="173" t="str">
        <f>IFERROR(1-SUMIF(WTG_BD!$F:$F,$A362,WTG_BD!$AA:$AA)/($AA362+SUMIF(WTG_BD!$F:$F,$A362,WTG_BD!$AA:$AA)),"")</f>
        <v/>
      </c>
      <c r="Q362" s="173" t="str">
        <f>IFERROR(1-SUMIF(IGA_BD!$F:$F,$A362,IGA_BD!$X:$X)/($AA362+SUMIF(IGA_BD!$F:$F,$A362,IGA_BD!$X:$X)),"")</f>
        <v/>
      </c>
      <c r="R362" s="173" t="str">
        <f>IFERROR(1-SUMIF(Grid_BD!$F:$F,$A362,Grid_BD!$Y:$Y)/($AA362+SUMIF(Grid_BD!$F:$F,$A362,Grid_BD!$Y:$Y)),"")</f>
        <v/>
      </c>
      <c r="S362" s="167"/>
      <c r="T362" s="172"/>
      <c r="U362" s="173"/>
      <c r="V362" s="167"/>
      <c r="W362" s="174" t="str">
        <f t="shared" si="26"/>
        <v/>
      </c>
      <c r="X362" s="167" t="str">
        <f>IFERROR(_xlfn.XLOOKUP($A362,Input_Raw!$A:$A,Input_Raw!$BF:$BF),"")</f>
        <v/>
      </c>
      <c r="Y362" s="167" t="str">
        <f>IFERROR(_xlfn.XLOOKUP($A362,Input_Raw!$A:$A,Input_Raw!BJ:BJ),"")</f>
        <v/>
      </c>
      <c r="Z362" s="167" t="str">
        <f>IFERROR(_xlfn.XLOOKUP($A362,Input_Raw!$A:$A,Input_Raw!BK:BK),"")</f>
        <v/>
      </c>
      <c r="AA362" s="167" t="str">
        <f>IFERROR(_xlfn.XLOOKUP($A362,Input_Raw!$A:$A,Input_Raw!BL:BL),"")</f>
        <v/>
      </c>
      <c r="AB362" s="167" t="str">
        <f>IFERROR(_xlfn.XLOOKUP($A362,Input_Raw!$A:$A,Input_Raw!$BO:$BO),"")</f>
        <v/>
      </c>
      <c r="AC362" s="176">
        <f>IFERROR(_xlfn.XLOOKUP($D362,'Modelling New'!$D:$D,'Modelling New'!$J:$J),"")</f>
        <v>6.89</v>
      </c>
      <c r="AD362" s="166">
        <f>IFERROR(_xlfn.XLOOKUP($D362,'Modelling New'!$D:$D,'Modelling New'!$T:$T)*1000,"")</f>
        <v>629607.18715270935</v>
      </c>
      <c r="AE362" s="174"/>
      <c r="AF362" s="174">
        <f>IFERROR(_xlfn.XLOOKUP($D362,'Modelling New'!$D:$D,'Modelling New'!$W:$W),"")</f>
        <v>0.3736984729064039</v>
      </c>
      <c r="AG362" s="174">
        <f>IFERROR(_xlfn.XLOOKUP($D362,'Modelling New'!$D:$D,'Modelling New'!$AE:$AE),"")</f>
        <v>0.96029999999999993</v>
      </c>
      <c r="AH362" s="174">
        <f>IFERROR(_xlfn.XLOOKUP($D362,'Modelling New'!$D:$D,'Modelling New'!$AF:$AF),"")</f>
        <v>0.995</v>
      </c>
      <c r="AI362" s="177" t="str">
        <f>IFERROR(_xlfn.XLOOKUP($A362,Input_Raw!$A:$A,Input_Raw!$BQ:$BQ),"")</f>
        <v/>
      </c>
      <c r="AJ362" s="167"/>
      <c r="AK362" s="167"/>
      <c r="AL362" s="167"/>
      <c r="AM362" s="167"/>
      <c r="AN362" s="175" t="str">
        <f>IFERROR(_xlfn.XLOOKUP($A362,Input_Raw!$A:$A,Input_Raw!$BN:$BN),"")</f>
        <v/>
      </c>
      <c r="AO362" s="174" t="str">
        <f>IFERROR((_xlfn.XLOOKUP($A362,'WTG Reactive Power'!$A:$A,'WTG Reactive Power'!$AE:$AE))/Table13[[#This Row],[Gen_Exp (kWh)]],"")</f>
        <v/>
      </c>
      <c r="AP362" s="174">
        <f>IFERROR(_xlfn.XLOOKUP($D362,'Modelling New'!$D:$D,'Modelling New'!$AK:$AK),"")</f>
        <v>0.05</v>
      </c>
      <c r="AQ362" s="174">
        <f>IFERROR(_xlfn.XLOOKUP($D362,'Modelling New'!$D:$D,'Modelling New'!$AL:$AL),"")</f>
        <v>0.05</v>
      </c>
      <c r="AR362" s="276">
        <f>IFERROR(_xlfn.XLOOKUP($D362,'Modelling New'!$D:$D,'Modelling New'!$N:$N),"")</f>
        <v>70.2</v>
      </c>
      <c r="AS362" s="276"/>
    </row>
    <row r="363" spans="1:45">
      <c r="A363" s="165">
        <f t="shared" si="27"/>
        <v>46106</v>
      </c>
      <c r="B363" s="166">
        <f>YEAR(Table13[[#This Row],[Date]])+IF(MONTH(Table13[[#This Row],[Date]])&gt;=4,1,0)</f>
        <v>2026</v>
      </c>
      <c r="C363" s="167">
        <f>YEAR(Table13[[#This Row],[Date]])</f>
        <v>2026</v>
      </c>
      <c r="D363" s="168">
        <f>Table13[[#This Row],[Date]]-DAY(Table13[[#This Row],[Date]])+1</f>
        <v>46082</v>
      </c>
      <c r="E363" s="167">
        <f t="shared" si="24"/>
        <v>31</v>
      </c>
      <c r="F363" s="169"/>
      <c r="G363" s="176"/>
      <c r="H363" s="176"/>
      <c r="I363" s="176"/>
      <c r="J363" s="176"/>
      <c r="K363" s="171"/>
      <c r="L363" s="170"/>
      <c r="M363" s="170" t="str">
        <f>IFERROR(_xlfn.XLOOKUP($A363,Input_Raw!$A:$A,Input_Raw!BG:BG),"")</f>
        <v/>
      </c>
      <c r="N363" s="170" t="str">
        <f>IFERROR(_xlfn.XLOOKUP($A363,Input_Raw!$A:$A,Input_Raw!BH:BH),"")</f>
        <v/>
      </c>
      <c r="O363" s="173" t="str">
        <f t="shared" si="25"/>
        <v/>
      </c>
      <c r="P363" s="173" t="str">
        <f>IFERROR(1-SUMIF(WTG_BD!$F:$F,$A363,WTG_BD!$AA:$AA)/($AA363+SUMIF(WTG_BD!$F:$F,$A363,WTG_BD!$AA:$AA)),"")</f>
        <v/>
      </c>
      <c r="Q363" s="173" t="str">
        <f>IFERROR(1-SUMIF(IGA_BD!$F:$F,$A363,IGA_BD!$X:$X)/($AA363+SUMIF(IGA_BD!$F:$F,$A363,IGA_BD!$X:$X)),"")</f>
        <v/>
      </c>
      <c r="R363" s="173" t="str">
        <f>IFERROR(1-SUMIF(Grid_BD!$F:$F,$A363,Grid_BD!$Y:$Y)/($AA363+SUMIF(Grid_BD!$F:$F,$A363,Grid_BD!$Y:$Y)),"")</f>
        <v/>
      </c>
      <c r="S363" s="167"/>
      <c r="T363" s="172"/>
      <c r="U363" s="173"/>
      <c r="V363" s="167"/>
      <c r="W363" s="174" t="str">
        <f t="shared" si="26"/>
        <v/>
      </c>
      <c r="X363" s="167" t="str">
        <f>IFERROR(_xlfn.XLOOKUP($A363,Input_Raw!$A:$A,Input_Raw!$BF:$BF),"")</f>
        <v/>
      </c>
      <c r="Y363" s="167" t="str">
        <f>IFERROR(_xlfn.XLOOKUP($A363,Input_Raw!$A:$A,Input_Raw!BJ:BJ),"")</f>
        <v/>
      </c>
      <c r="Z363" s="167" t="str">
        <f>IFERROR(_xlfn.XLOOKUP($A363,Input_Raw!$A:$A,Input_Raw!BK:BK),"")</f>
        <v/>
      </c>
      <c r="AA363" s="167" t="str">
        <f>IFERROR(_xlfn.XLOOKUP($A363,Input_Raw!$A:$A,Input_Raw!BL:BL),"")</f>
        <v/>
      </c>
      <c r="AB363" s="167" t="str">
        <f>IFERROR(_xlfn.XLOOKUP($A363,Input_Raw!$A:$A,Input_Raw!$BO:$BO),"")</f>
        <v/>
      </c>
      <c r="AC363" s="176">
        <f>IFERROR(_xlfn.XLOOKUP($D363,'Modelling New'!$D:$D,'Modelling New'!$J:$J),"")</f>
        <v>6.89</v>
      </c>
      <c r="AD363" s="166">
        <f>IFERROR(_xlfn.XLOOKUP($D363,'Modelling New'!$D:$D,'Modelling New'!$T:$T)*1000,"")</f>
        <v>629607.18715270935</v>
      </c>
      <c r="AE363" s="174"/>
      <c r="AF363" s="174">
        <f>IFERROR(_xlfn.XLOOKUP($D363,'Modelling New'!$D:$D,'Modelling New'!$W:$W),"")</f>
        <v>0.3736984729064039</v>
      </c>
      <c r="AG363" s="174">
        <f>IFERROR(_xlfn.XLOOKUP($D363,'Modelling New'!$D:$D,'Modelling New'!$AE:$AE),"")</f>
        <v>0.96029999999999993</v>
      </c>
      <c r="AH363" s="174">
        <f>IFERROR(_xlfn.XLOOKUP($D363,'Modelling New'!$D:$D,'Modelling New'!$AF:$AF),"")</f>
        <v>0.995</v>
      </c>
      <c r="AI363" s="177" t="str">
        <f>IFERROR(_xlfn.XLOOKUP($A363,Input_Raw!$A:$A,Input_Raw!$BQ:$BQ),"")</f>
        <v/>
      </c>
      <c r="AJ363" s="167"/>
      <c r="AK363" s="167"/>
      <c r="AL363" s="167"/>
      <c r="AM363" s="167"/>
      <c r="AN363" s="175" t="str">
        <f>IFERROR(_xlfn.XLOOKUP($A363,Input_Raw!$A:$A,Input_Raw!$BN:$BN),"")</f>
        <v/>
      </c>
      <c r="AO363" s="174" t="str">
        <f>IFERROR((_xlfn.XLOOKUP($A363,'WTG Reactive Power'!$A:$A,'WTG Reactive Power'!$AE:$AE))/Table13[[#This Row],[Gen_Exp (kWh)]],"")</f>
        <v/>
      </c>
      <c r="AP363" s="174">
        <f>IFERROR(_xlfn.XLOOKUP($D363,'Modelling New'!$D:$D,'Modelling New'!$AK:$AK),"")</f>
        <v>0.05</v>
      </c>
      <c r="AQ363" s="174">
        <f>IFERROR(_xlfn.XLOOKUP($D363,'Modelling New'!$D:$D,'Modelling New'!$AL:$AL),"")</f>
        <v>0.05</v>
      </c>
      <c r="AR363" s="276">
        <f>IFERROR(_xlfn.XLOOKUP($D363,'Modelling New'!$D:$D,'Modelling New'!$N:$N),"")</f>
        <v>70.2</v>
      </c>
      <c r="AS363" s="276"/>
    </row>
    <row r="364" spans="1:45">
      <c r="A364" s="165">
        <f t="shared" si="27"/>
        <v>46107</v>
      </c>
      <c r="B364" s="166">
        <f>YEAR(Table13[[#This Row],[Date]])+IF(MONTH(Table13[[#This Row],[Date]])&gt;=4,1,0)</f>
        <v>2026</v>
      </c>
      <c r="C364" s="167">
        <f>YEAR(Table13[[#This Row],[Date]])</f>
        <v>2026</v>
      </c>
      <c r="D364" s="168">
        <f>Table13[[#This Row],[Date]]-DAY(Table13[[#This Row],[Date]])+1</f>
        <v>46082</v>
      </c>
      <c r="E364" s="167">
        <f t="shared" si="24"/>
        <v>31</v>
      </c>
      <c r="F364" s="169"/>
      <c r="G364" s="170"/>
      <c r="H364" s="170"/>
      <c r="I364" s="170"/>
      <c r="J364" s="170"/>
      <c r="K364" s="171"/>
      <c r="L364" s="170"/>
      <c r="M364" s="170" t="str">
        <f>IFERROR(_xlfn.XLOOKUP($A364,Input_Raw!$A:$A,Input_Raw!BG:BG),"")</f>
        <v/>
      </c>
      <c r="N364" s="170" t="str">
        <f>IFERROR(_xlfn.XLOOKUP($A364,Input_Raw!$A:$A,Input_Raw!BH:BH),"")</f>
        <v/>
      </c>
      <c r="O364" s="173" t="str">
        <f t="shared" si="25"/>
        <v/>
      </c>
      <c r="P364" s="173" t="str">
        <f>IFERROR(1-SUMIF(WTG_BD!$F:$F,$A364,WTG_BD!$AA:$AA)/($AA364+SUMIF(WTG_BD!$F:$F,$A364,WTG_BD!$AA:$AA)),"")</f>
        <v/>
      </c>
      <c r="Q364" s="173" t="str">
        <f>IFERROR(1-SUMIF(IGA_BD!$F:$F,$A364,IGA_BD!$X:$X)/($AA364+SUMIF(IGA_BD!$F:$F,$A364,IGA_BD!$X:$X)),"")</f>
        <v/>
      </c>
      <c r="R364" s="173" t="str">
        <f>IFERROR(1-SUMIF(Grid_BD!$F:$F,$A364,Grid_BD!$Y:$Y)/($AA364+SUMIF(Grid_BD!$F:$F,$A364,Grid_BD!$Y:$Y)),"")</f>
        <v/>
      </c>
      <c r="S364" s="167"/>
      <c r="T364" s="172"/>
      <c r="U364" s="173"/>
      <c r="V364" s="167"/>
      <c r="W364" s="174" t="str">
        <f t="shared" si="26"/>
        <v/>
      </c>
      <c r="X364" s="167" t="str">
        <f>IFERROR(_xlfn.XLOOKUP($A364,Input_Raw!$A:$A,Input_Raw!$BF:$BF),"")</f>
        <v/>
      </c>
      <c r="Y364" s="167" t="str">
        <f>IFERROR(_xlfn.XLOOKUP($A364,Input_Raw!$A:$A,Input_Raw!BJ:BJ),"")</f>
        <v/>
      </c>
      <c r="Z364" s="167" t="str">
        <f>IFERROR(_xlfn.XLOOKUP($A364,Input_Raw!$A:$A,Input_Raw!BK:BK),"")</f>
        <v/>
      </c>
      <c r="AA364" s="167" t="str">
        <f>IFERROR(_xlfn.XLOOKUP($A364,Input_Raw!$A:$A,Input_Raw!BL:BL),"")</f>
        <v/>
      </c>
      <c r="AB364" s="167" t="str">
        <f>IFERROR(_xlfn.XLOOKUP($A364,Input_Raw!$A:$A,Input_Raw!$BO:$BO),"")</f>
        <v/>
      </c>
      <c r="AC364" s="176">
        <f>IFERROR(_xlfn.XLOOKUP($D364,'Modelling New'!$D:$D,'Modelling New'!$J:$J),"")</f>
        <v>6.89</v>
      </c>
      <c r="AD364" s="166">
        <f>IFERROR(_xlfn.XLOOKUP($D364,'Modelling New'!$D:$D,'Modelling New'!$T:$T)*1000,"")</f>
        <v>629607.18715270935</v>
      </c>
      <c r="AE364" s="174"/>
      <c r="AF364" s="174">
        <f>IFERROR(_xlfn.XLOOKUP($D364,'Modelling New'!$D:$D,'Modelling New'!$W:$W),"")</f>
        <v>0.3736984729064039</v>
      </c>
      <c r="AG364" s="174">
        <f>IFERROR(_xlfn.XLOOKUP($D364,'Modelling New'!$D:$D,'Modelling New'!$AE:$AE),"")</f>
        <v>0.96029999999999993</v>
      </c>
      <c r="AH364" s="174">
        <f>IFERROR(_xlfn.XLOOKUP($D364,'Modelling New'!$D:$D,'Modelling New'!$AF:$AF),"")</f>
        <v>0.995</v>
      </c>
      <c r="AI364" s="177" t="str">
        <f>IFERROR(_xlfn.XLOOKUP($A364,Input_Raw!$A:$A,Input_Raw!$BQ:$BQ),"")</f>
        <v/>
      </c>
      <c r="AJ364" s="167"/>
      <c r="AK364" s="167"/>
      <c r="AL364" s="167"/>
      <c r="AM364" s="167"/>
      <c r="AN364" s="175" t="str">
        <f>IFERROR(_xlfn.XLOOKUP($A364,Input_Raw!$A:$A,Input_Raw!$BN:$BN),"")</f>
        <v/>
      </c>
      <c r="AO364" s="174" t="str">
        <f>IFERROR((_xlfn.XLOOKUP($A364,'WTG Reactive Power'!$A:$A,'WTG Reactive Power'!$AE:$AE))/Table13[[#This Row],[Gen_Exp (kWh)]],"")</f>
        <v/>
      </c>
      <c r="AP364" s="174">
        <f>IFERROR(_xlfn.XLOOKUP($D364,'Modelling New'!$D:$D,'Modelling New'!$AK:$AK),"")</f>
        <v>0.05</v>
      </c>
      <c r="AQ364" s="174">
        <f>IFERROR(_xlfn.XLOOKUP($D364,'Modelling New'!$D:$D,'Modelling New'!$AL:$AL),"")</f>
        <v>0.05</v>
      </c>
      <c r="AR364" s="276">
        <f>IFERROR(_xlfn.XLOOKUP($D364,'Modelling New'!$D:$D,'Modelling New'!$N:$N),"")</f>
        <v>70.2</v>
      </c>
      <c r="AS364" s="276"/>
    </row>
    <row r="365" spans="1:45">
      <c r="A365" s="165">
        <f t="shared" si="27"/>
        <v>46108</v>
      </c>
      <c r="B365" s="166">
        <f>YEAR(Table13[[#This Row],[Date]])+IF(MONTH(Table13[[#This Row],[Date]])&gt;=4,1,0)</f>
        <v>2026</v>
      </c>
      <c r="C365" s="167">
        <f>YEAR(Table13[[#This Row],[Date]])</f>
        <v>2026</v>
      </c>
      <c r="D365" s="168">
        <f>Table13[[#This Row],[Date]]-DAY(Table13[[#This Row],[Date]])+1</f>
        <v>46082</v>
      </c>
      <c r="E365" s="167">
        <f t="shared" si="24"/>
        <v>31</v>
      </c>
      <c r="F365" s="169"/>
      <c r="G365" s="176"/>
      <c r="H365" s="176"/>
      <c r="I365" s="176"/>
      <c r="J365" s="176"/>
      <c r="K365" s="171"/>
      <c r="L365" s="170"/>
      <c r="M365" s="170" t="str">
        <f>IFERROR(_xlfn.XLOOKUP($A365,Input_Raw!$A:$A,Input_Raw!BG:BG),"")</f>
        <v/>
      </c>
      <c r="N365" s="170" t="str">
        <f>IFERROR(_xlfn.XLOOKUP($A365,Input_Raw!$A:$A,Input_Raw!BH:BH),"")</f>
        <v/>
      </c>
      <c r="O365" s="173" t="str">
        <f t="shared" si="25"/>
        <v/>
      </c>
      <c r="P365" s="173" t="str">
        <f>IFERROR(1-SUMIF(WTG_BD!$F:$F,$A365,WTG_BD!$AA:$AA)/($AA365+SUMIF(WTG_BD!$F:$F,$A365,WTG_BD!$AA:$AA)),"")</f>
        <v/>
      </c>
      <c r="Q365" s="173" t="str">
        <f>IFERROR(1-SUMIF(IGA_BD!$F:$F,$A365,IGA_BD!$X:$X)/($AA365+SUMIF(IGA_BD!$F:$F,$A365,IGA_BD!$X:$X)),"")</f>
        <v/>
      </c>
      <c r="R365" s="173" t="str">
        <f>IFERROR(1-SUMIF(Grid_BD!$F:$F,$A365,Grid_BD!$Y:$Y)/($AA365+SUMIF(Grid_BD!$F:$F,$A365,Grid_BD!$Y:$Y)),"")</f>
        <v/>
      </c>
      <c r="S365" s="167"/>
      <c r="T365" s="172"/>
      <c r="U365" s="173"/>
      <c r="V365" s="167"/>
      <c r="W365" s="174" t="str">
        <f t="shared" si="26"/>
        <v/>
      </c>
      <c r="X365" s="167" t="str">
        <f>IFERROR(_xlfn.XLOOKUP($A365,Input_Raw!$A:$A,Input_Raw!$BF:$BF),"")</f>
        <v/>
      </c>
      <c r="Y365" s="167" t="str">
        <f>IFERROR(_xlfn.XLOOKUP($A365,Input_Raw!$A:$A,Input_Raw!BJ:BJ),"")</f>
        <v/>
      </c>
      <c r="Z365" s="167" t="str">
        <f>IFERROR(_xlfn.XLOOKUP($A365,Input_Raw!$A:$A,Input_Raw!BK:BK),"")</f>
        <v/>
      </c>
      <c r="AA365" s="167" t="str">
        <f>IFERROR(_xlfn.XLOOKUP($A365,Input_Raw!$A:$A,Input_Raw!BL:BL),"")</f>
        <v/>
      </c>
      <c r="AB365" s="167" t="str">
        <f>IFERROR(_xlfn.XLOOKUP($A365,Input_Raw!$A:$A,Input_Raw!$BO:$BO),"")</f>
        <v/>
      </c>
      <c r="AC365" s="176">
        <f>IFERROR(_xlfn.XLOOKUP($D365,'Modelling New'!$D:$D,'Modelling New'!$J:$J),"")</f>
        <v>6.89</v>
      </c>
      <c r="AD365" s="166">
        <f>IFERROR(_xlfn.XLOOKUP($D365,'Modelling New'!$D:$D,'Modelling New'!$T:$T)*1000,"")</f>
        <v>629607.18715270935</v>
      </c>
      <c r="AE365" s="174"/>
      <c r="AF365" s="174">
        <f>IFERROR(_xlfn.XLOOKUP($D365,'Modelling New'!$D:$D,'Modelling New'!$W:$W),"")</f>
        <v>0.3736984729064039</v>
      </c>
      <c r="AG365" s="174">
        <f>IFERROR(_xlfn.XLOOKUP($D365,'Modelling New'!$D:$D,'Modelling New'!$AE:$AE),"")</f>
        <v>0.96029999999999993</v>
      </c>
      <c r="AH365" s="174">
        <f>IFERROR(_xlfn.XLOOKUP($D365,'Modelling New'!$D:$D,'Modelling New'!$AF:$AF),"")</f>
        <v>0.995</v>
      </c>
      <c r="AI365" s="177" t="str">
        <f>IFERROR(_xlfn.XLOOKUP($A365,Input_Raw!$A:$A,Input_Raw!$BQ:$BQ),"")</f>
        <v/>
      </c>
      <c r="AJ365" s="167"/>
      <c r="AK365" s="167"/>
      <c r="AL365" s="167"/>
      <c r="AM365" s="167"/>
      <c r="AN365" s="175" t="str">
        <f>IFERROR(_xlfn.XLOOKUP($A365,Input_Raw!$A:$A,Input_Raw!$BN:$BN),"")</f>
        <v/>
      </c>
      <c r="AO365" s="174" t="str">
        <f>IFERROR((_xlfn.XLOOKUP($A365,'WTG Reactive Power'!$A:$A,'WTG Reactive Power'!$AE:$AE))/Table13[[#This Row],[Gen_Exp (kWh)]],"")</f>
        <v/>
      </c>
      <c r="AP365" s="174">
        <f>IFERROR(_xlfn.XLOOKUP($D365,'Modelling New'!$D:$D,'Modelling New'!$AK:$AK),"")</f>
        <v>0.05</v>
      </c>
      <c r="AQ365" s="174">
        <f>IFERROR(_xlfn.XLOOKUP($D365,'Modelling New'!$D:$D,'Modelling New'!$AL:$AL),"")</f>
        <v>0.05</v>
      </c>
      <c r="AR365" s="276">
        <f>IFERROR(_xlfn.XLOOKUP($D365,'Modelling New'!$D:$D,'Modelling New'!$N:$N),"")</f>
        <v>70.2</v>
      </c>
      <c r="AS365" s="276"/>
    </row>
    <row r="366" spans="1:45">
      <c r="A366" s="165">
        <f t="shared" si="27"/>
        <v>46109</v>
      </c>
      <c r="B366" s="166">
        <f>YEAR(Table13[[#This Row],[Date]])+IF(MONTH(Table13[[#This Row],[Date]])&gt;=4,1,0)</f>
        <v>2026</v>
      </c>
      <c r="C366" s="167">
        <f>YEAR(Table13[[#This Row],[Date]])</f>
        <v>2026</v>
      </c>
      <c r="D366" s="168">
        <f>Table13[[#This Row],[Date]]-DAY(Table13[[#This Row],[Date]])+1</f>
        <v>46082</v>
      </c>
      <c r="E366" s="167">
        <f t="shared" si="24"/>
        <v>31</v>
      </c>
      <c r="F366" s="169"/>
      <c r="G366" s="170"/>
      <c r="H366" s="170"/>
      <c r="I366" s="170"/>
      <c r="J366" s="170"/>
      <c r="K366" s="171"/>
      <c r="L366" s="170"/>
      <c r="M366" s="170" t="str">
        <f>IFERROR(_xlfn.XLOOKUP($A366,Input_Raw!$A:$A,Input_Raw!BG:BG),"")</f>
        <v/>
      </c>
      <c r="N366" s="170" t="str">
        <f>IFERROR(_xlfn.XLOOKUP($A366,Input_Raw!$A:$A,Input_Raw!BH:BH),"")</f>
        <v/>
      </c>
      <c r="O366" s="173" t="str">
        <f t="shared" si="25"/>
        <v/>
      </c>
      <c r="P366" s="173" t="str">
        <f>IFERROR(1-SUMIF(WTG_BD!$F:$F,$A366,WTG_BD!$AA:$AA)/($AA366+SUMIF(WTG_BD!$F:$F,$A366,WTG_BD!$AA:$AA)),"")</f>
        <v/>
      </c>
      <c r="Q366" s="173" t="str">
        <f>IFERROR(1-SUMIF(IGA_BD!$F:$F,$A366,IGA_BD!$X:$X)/($AA366+SUMIF(IGA_BD!$F:$F,$A366,IGA_BD!$X:$X)),"")</f>
        <v/>
      </c>
      <c r="R366" s="173" t="str">
        <f>IFERROR(1-SUMIF(Grid_BD!$F:$F,$A366,Grid_BD!$Y:$Y)/($AA366+SUMIF(Grid_BD!$F:$F,$A366,Grid_BD!$Y:$Y)),"")</f>
        <v/>
      </c>
      <c r="S366" s="167"/>
      <c r="T366" s="172"/>
      <c r="U366" s="173"/>
      <c r="V366" s="167"/>
      <c r="W366" s="174" t="str">
        <f t="shared" si="26"/>
        <v/>
      </c>
      <c r="X366" s="167" t="str">
        <f>IFERROR(_xlfn.XLOOKUP($A366,Input_Raw!$A:$A,Input_Raw!$BF:$BF),"")</f>
        <v/>
      </c>
      <c r="Y366" s="167" t="str">
        <f>IFERROR(_xlfn.XLOOKUP($A366,Input_Raw!$A:$A,Input_Raw!BJ:BJ),"")</f>
        <v/>
      </c>
      <c r="Z366" s="167" t="str">
        <f>IFERROR(_xlfn.XLOOKUP($A366,Input_Raw!$A:$A,Input_Raw!BK:BK),"")</f>
        <v/>
      </c>
      <c r="AA366" s="167" t="str">
        <f>IFERROR(_xlfn.XLOOKUP($A366,Input_Raw!$A:$A,Input_Raw!BL:BL),"")</f>
        <v/>
      </c>
      <c r="AB366" s="167" t="str">
        <f>IFERROR(_xlfn.XLOOKUP($A366,Input_Raw!$A:$A,Input_Raw!$BO:$BO),"")</f>
        <v/>
      </c>
      <c r="AC366" s="176">
        <f>IFERROR(_xlfn.XLOOKUP($D366,'Modelling New'!$D:$D,'Modelling New'!$J:$J),"")</f>
        <v>6.89</v>
      </c>
      <c r="AD366" s="166">
        <f>IFERROR(_xlfn.XLOOKUP($D366,'Modelling New'!$D:$D,'Modelling New'!$T:$T)*1000,"")</f>
        <v>629607.18715270935</v>
      </c>
      <c r="AE366" s="174"/>
      <c r="AF366" s="174">
        <f>IFERROR(_xlfn.XLOOKUP($D366,'Modelling New'!$D:$D,'Modelling New'!$W:$W),"")</f>
        <v>0.3736984729064039</v>
      </c>
      <c r="AG366" s="174">
        <f>IFERROR(_xlfn.XLOOKUP($D366,'Modelling New'!$D:$D,'Modelling New'!$AE:$AE),"")</f>
        <v>0.96029999999999993</v>
      </c>
      <c r="AH366" s="174">
        <f>IFERROR(_xlfn.XLOOKUP($D366,'Modelling New'!$D:$D,'Modelling New'!$AF:$AF),"")</f>
        <v>0.995</v>
      </c>
      <c r="AI366" s="177" t="str">
        <f>IFERROR(_xlfn.XLOOKUP($A366,Input_Raw!$A:$A,Input_Raw!$BQ:$BQ),"")</f>
        <v/>
      </c>
      <c r="AJ366" s="167"/>
      <c r="AK366" s="167"/>
      <c r="AL366" s="167"/>
      <c r="AM366" s="167"/>
      <c r="AN366" s="175" t="str">
        <f>IFERROR(_xlfn.XLOOKUP($A366,Input_Raw!$A:$A,Input_Raw!$BN:$BN),"")</f>
        <v/>
      </c>
      <c r="AO366" s="174" t="str">
        <f>IFERROR((_xlfn.XLOOKUP($A366,'WTG Reactive Power'!$A:$A,'WTG Reactive Power'!$AE:$AE))/Table13[[#This Row],[Gen_Exp (kWh)]],"")</f>
        <v/>
      </c>
      <c r="AP366" s="174">
        <f>IFERROR(_xlfn.XLOOKUP($D366,'Modelling New'!$D:$D,'Modelling New'!$AK:$AK),"")</f>
        <v>0.05</v>
      </c>
      <c r="AQ366" s="174">
        <f>IFERROR(_xlfn.XLOOKUP($D366,'Modelling New'!$D:$D,'Modelling New'!$AL:$AL),"")</f>
        <v>0.05</v>
      </c>
      <c r="AR366" s="276">
        <f>IFERROR(_xlfn.XLOOKUP($D366,'Modelling New'!$D:$D,'Modelling New'!$N:$N),"")</f>
        <v>70.2</v>
      </c>
      <c r="AS366" s="276"/>
    </row>
    <row r="367" spans="1:45">
      <c r="A367" s="165">
        <f t="shared" si="27"/>
        <v>46110</v>
      </c>
      <c r="B367" s="166">
        <f>YEAR(Table13[[#This Row],[Date]])+IF(MONTH(Table13[[#This Row],[Date]])&gt;=4,1,0)</f>
        <v>2026</v>
      </c>
      <c r="C367" s="167">
        <f>YEAR(Table13[[#This Row],[Date]])</f>
        <v>2026</v>
      </c>
      <c r="D367" s="168">
        <f>Table13[[#This Row],[Date]]-DAY(Table13[[#This Row],[Date]])+1</f>
        <v>46082</v>
      </c>
      <c r="E367" s="167">
        <f t="shared" si="24"/>
        <v>31</v>
      </c>
      <c r="F367" s="169"/>
      <c r="G367" s="176"/>
      <c r="H367" s="176"/>
      <c r="I367" s="176"/>
      <c r="J367" s="176"/>
      <c r="K367" s="171"/>
      <c r="L367" s="170"/>
      <c r="M367" s="170" t="str">
        <f>IFERROR(_xlfn.XLOOKUP($A367,Input_Raw!$A:$A,Input_Raw!BG:BG),"")</f>
        <v/>
      </c>
      <c r="N367" s="170" t="str">
        <f>IFERROR(_xlfn.XLOOKUP($A367,Input_Raw!$A:$A,Input_Raw!BH:BH),"")</f>
        <v/>
      </c>
      <c r="O367" s="173" t="str">
        <f t="shared" si="25"/>
        <v/>
      </c>
      <c r="P367" s="173" t="str">
        <f>IFERROR(1-SUMIF(WTG_BD!$F:$F,$A367,WTG_BD!$AA:$AA)/($AA367+SUMIF(WTG_BD!$F:$F,$A367,WTG_BD!$AA:$AA)),"")</f>
        <v/>
      </c>
      <c r="Q367" s="173" t="str">
        <f>IFERROR(1-SUMIF(IGA_BD!$F:$F,$A367,IGA_BD!$X:$X)/($AA367+SUMIF(IGA_BD!$F:$F,$A367,IGA_BD!$X:$X)),"")</f>
        <v/>
      </c>
      <c r="R367" s="173" t="str">
        <f>IFERROR(1-SUMIF(Grid_BD!$F:$F,$A367,Grid_BD!$Y:$Y)/($AA367+SUMIF(Grid_BD!$F:$F,$A367,Grid_BD!$Y:$Y)),"")</f>
        <v/>
      </c>
      <c r="S367" s="167"/>
      <c r="T367" s="172"/>
      <c r="U367" s="173"/>
      <c r="V367" s="167"/>
      <c r="W367" s="174" t="str">
        <f t="shared" si="26"/>
        <v/>
      </c>
      <c r="X367" s="167" t="str">
        <f>IFERROR(_xlfn.XLOOKUP($A367,Input_Raw!$A:$A,Input_Raw!$BF:$BF),"")</f>
        <v/>
      </c>
      <c r="Y367" s="167" t="str">
        <f>IFERROR(_xlfn.XLOOKUP($A367,Input_Raw!$A:$A,Input_Raw!BJ:BJ),"")</f>
        <v/>
      </c>
      <c r="Z367" s="167" t="str">
        <f>IFERROR(_xlfn.XLOOKUP($A367,Input_Raw!$A:$A,Input_Raw!BK:BK),"")</f>
        <v/>
      </c>
      <c r="AA367" s="167" t="str">
        <f>IFERROR(_xlfn.XLOOKUP($A367,Input_Raw!$A:$A,Input_Raw!BL:BL),"")</f>
        <v/>
      </c>
      <c r="AB367" s="167" t="str">
        <f>IFERROR(_xlfn.XLOOKUP($A367,Input_Raw!$A:$A,Input_Raw!$BO:$BO),"")</f>
        <v/>
      </c>
      <c r="AC367" s="176">
        <f>IFERROR(_xlfn.XLOOKUP($D367,'Modelling New'!$D:$D,'Modelling New'!$J:$J),"")</f>
        <v>6.89</v>
      </c>
      <c r="AD367" s="166">
        <f>IFERROR(_xlfn.XLOOKUP($D367,'Modelling New'!$D:$D,'Modelling New'!$T:$T)*1000,"")</f>
        <v>629607.18715270935</v>
      </c>
      <c r="AE367" s="174"/>
      <c r="AF367" s="174">
        <f>IFERROR(_xlfn.XLOOKUP($D367,'Modelling New'!$D:$D,'Modelling New'!$W:$W),"")</f>
        <v>0.3736984729064039</v>
      </c>
      <c r="AG367" s="174">
        <f>IFERROR(_xlfn.XLOOKUP($D367,'Modelling New'!$D:$D,'Modelling New'!$AE:$AE),"")</f>
        <v>0.96029999999999993</v>
      </c>
      <c r="AH367" s="174">
        <f>IFERROR(_xlfn.XLOOKUP($D367,'Modelling New'!$D:$D,'Modelling New'!$AF:$AF),"")</f>
        <v>0.995</v>
      </c>
      <c r="AI367" s="177" t="str">
        <f>IFERROR(_xlfn.XLOOKUP($A367,Input_Raw!$A:$A,Input_Raw!$BQ:$BQ),"")</f>
        <v/>
      </c>
      <c r="AJ367" s="167"/>
      <c r="AK367" s="167"/>
      <c r="AL367" s="167"/>
      <c r="AM367" s="167"/>
      <c r="AN367" s="175" t="str">
        <f>IFERROR(_xlfn.XLOOKUP($A367,Input_Raw!$A:$A,Input_Raw!$BN:$BN),"")</f>
        <v/>
      </c>
      <c r="AO367" s="174" t="str">
        <f>IFERROR((_xlfn.XLOOKUP($A367,'WTG Reactive Power'!$A:$A,'WTG Reactive Power'!$AE:$AE))/Table13[[#This Row],[Gen_Exp (kWh)]],"")</f>
        <v/>
      </c>
      <c r="AP367" s="174">
        <f>IFERROR(_xlfn.XLOOKUP($D367,'Modelling New'!$D:$D,'Modelling New'!$AK:$AK),"")</f>
        <v>0.05</v>
      </c>
      <c r="AQ367" s="174">
        <f>IFERROR(_xlfn.XLOOKUP($D367,'Modelling New'!$D:$D,'Modelling New'!$AL:$AL),"")</f>
        <v>0.05</v>
      </c>
      <c r="AR367" s="276">
        <f>IFERROR(_xlfn.XLOOKUP($D367,'Modelling New'!$D:$D,'Modelling New'!$N:$N),"")</f>
        <v>70.2</v>
      </c>
      <c r="AS367" s="276"/>
    </row>
    <row r="368" spans="1:45">
      <c r="A368" s="165">
        <f t="shared" si="27"/>
        <v>46111</v>
      </c>
      <c r="B368" s="166">
        <f>YEAR(Table13[[#This Row],[Date]])+IF(MONTH(Table13[[#This Row],[Date]])&gt;=4,1,0)</f>
        <v>2026</v>
      </c>
      <c r="C368" s="167">
        <f>YEAR(Table13[[#This Row],[Date]])</f>
        <v>2026</v>
      </c>
      <c r="D368" s="168">
        <f>Table13[[#This Row],[Date]]-DAY(Table13[[#This Row],[Date]])+1</f>
        <v>46082</v>
      </c>
      <c r="E368" s="167">
        <f t="shared" si="24"/>
        <v>31</v>
      </c>
      <c r="F368" s="169"/>
      <c r="G368" s="170"/>
      <c r="H368" s="170"/>
      <c r="I368" s="170"/>
      <c r="J368" s="170"/>
      <c r="K368" s="171"/>
      <c r="L368" s="170"/>
      <c r="M368" s="170" t="str">
        <f>IFERROR(_xlfn.XLOOKUP($A368,Input_Raw!$A:$A,Input_Raw!BG:BG),"")</f>
        <v/>
      </c>
      <c r="N368" s="170" t="str">
        <f>IFERROR(_xlfn.XLOOKUP($A368,Input_Raw!$A:$A,Input_Raw!BH:BH),"")</f>
        <v/>
      </c>
      <c r="O368" s="173" t="str">
        <f t="shared" si="25"/>
        <v/>
      </c>
      <c r="P368" s="173" t="str">
        <f>IFERROR(1-SUMIF(WTG_BD!$F:$F,$A368,WTG_BD!$AA:$AA)/($AA368+SUMIF(WTG_BD!$F:$F,$A368,WTG_BD!$AA:$AA)),"")</f>
        <v/>
      </c>
      <c r="Q368" s="173" t="str">
        <f>IFERROR(1-SUMIF(IGA_BD!$F:$F,$A368,IGA_BD!$X:$X)/($AA368+SUMIF(IGA_BD!$F:$F,$A368,IGA_BD!$X:$X)),"")</f>
        <v/>
      </c>
      <c r="R368" s="173" t="str">
        <f>IFERROR(1-SUMIF(Grid_BD!$F:$F,$A368,Grid_BD!$Y:$Y)/($AA368+SUMIF(Grid_BD!$F:$F,$A368,Grid_BD!$Y:$Y)),"")</f>
        <v/>
      </c>
      <c r="S368" s="167"/>
      <c r="T368" s="172"/>
      <c r="U368" s="173"/>
      <c r="V368" s="167"/>
      <c r="W368" s="174" t="str">
        <f t="shared" si="26"/>
        <v/>
      </c>
      <c r="X368" s="167" t="str">
        <f>IFERROR(_xlfn.XLOOKUP($A368,Input_Raw!$A:$A,Input_Raw!$BF:$BF),"")</f>
        <v/>
      </c>
      <c r="Y368" s="167" t="str">
        <f>IFERROR(_xlfn.XLOOKUP($A368,Input_Raw!$A:$A,Input_Raw!BJ:BJ),"")</f>
        <v/>
      </c>
      <c r="Z368" s="167" t="str">
        <f>IFERROR(_xlfn.XLOOKUP($A368,Input_Raw!$A:$A,Input_Raw!BK:BK),"")</f>
        <v/>
      </c>
      <c r="AA368" s="167" t="str">
        <f>IFERROR(_xlfn.XLOOKUP($A368,Input_Raw!$A:$A,Input_Raw!BL:BL),"")</f>
        <v/>
      </c>
      <c r="AB368" s="167" t="str">
        <f>IFERROR(_xlfn.XLOOKUP($A368,Input_Raw!$A:$A,Input_Raw!$BO:$BO),"")</f>
        <v/>
      </c>
      <c r="AC368" s="176">
        <f>IFERROR(_xlfn.XLOOKUP($D368,'Modelling New'!$D:$D,'Modelling New'!$J:$J),"")</f>
        <v>6.89</v>
      </c>
      <c r="AD368" s="166">
        <f>IFERROR(_xlfn.XLOOKUP($D368,'Modelling New'!$D:$D,'Modelling New'!$T:$T)*1000,"")</f>
        <v>629607.18715270935</v>
      </c>
      <c r="AE368" s="174"/>
      <c r="AF368" s="174">
        <f>IFERROR(_xlfn.XLOOKUP($D368,'Modelling New'!$D:$D,'Modelling New'!$W:$W),"")</f>
        <v>0.3736984729064039</v>
      </c>
      <c r="AG368" s="174">
        <f>IFERROR(_xlfn.XLOOKUP($D368,'Modelling New'!$D:$D,'Modelling New'!$AE:$AE),"")</f>
        <v>0.96029999999999993</v>
      </c>
      <c r="AH368" s="174">
        <f>IFERROR(_xlfn.XLOOKUP($D368,'Modelling New'!$D:$D,'Modelling New'!$AF:$AF),"")</f>
        <v>0.995</v>
      </c>
      <c r="AI368" s="177" t="str">
        <f>IFERROR(_xlfn.XLOOKUP($A368,Input_Raw!$A:$A,Input_Raw!$BQ:$BQ),"")</f>
        <v/>
      </c>
      <c r="AJ368" s="167"/>
      <c r="AK368" s="167"/>
      <c r="AL368" s="167"/>
      <c r="AM368" s="167"/>
      <c r="AN368" s="175" t="str">
        <f>IFERROR(_xlfn.XLOOKUP($A368,Input_Raw!$A:$A,Input_Raw!$BN:$BN),"")</f>
        <v/>
      </c>
      <c r="AO368" s="174" t="str">
        <f>IFERROR((_xlfn.XLOOKUP($A368,'WTG Reactive Power'!$A:$A,'WTG Reactive Power'!$AE:$AE))/Table13[[#This Row],[Gen_Exp (kWh)]],"")</f>
        <v/>
      </c>
      <c r="AP368" s="174">
        <f>IFERROR(_xlfn.XLOOKUP($D368,'Modelling New'!$D:$D,'Modelling New'!$AK:$AK),"")</f>
        <v>0.05</v>
      </c>
      <c r="AQ368" s="174">
        <f>IFERROR(_xlfn.XLOOKUP($D368,'Modelling New'!$D:$D,'Modelling New'!$AL:$AL),"")</f>
        <v>0.05</v>
      </c>
      <c r="AR368" s="276">
        <f>IFERROR(_xlfn.XLOOKUP($D368,'Modelling New'!$D:$D,'Modelling New'!$N:$N),"")</f>
        <v>70.2</v>
      </c>
      <c r="AS368" s="276"/>
    </row>
    <row r="369" spans="1:45">
      <c r="A369" s="165">
        <f t="shared" si="27"/>
        <v>46112</v>
      </c>
      <c r="B369" s="166">
        <f>YEAR(Table13[[#This Row],[Date]])+IF(MONTH(Table13[[#This Row],[Date]])&gt;=4,1,0)</f>
        <v>2026</v>
      </c>
      <c r="C369" s="167">
        <f>YEAR(Table13[[#This Row],[Date]])</f>
        <v>2026</v>
      </c>
      <c r="D369" s="168">
        <f>Table13[[#This Row],[Date]]-DAY(Table13[[#This Row],[Date]])+1</f>
        <v>46082</v>
      </c>
      <c r="E369" s="167">
        <f t="shared" si="24"/>
        <v>31</v>
      </c>
      <c r="F369" s="169"/>
      <c r="G369" s="176"/>
      <c r="H369" s="176"/>
      <c r="I369" s="176"/>
      <c r="J369" s="176"/>
      <c r="K369" s="171"/>
      <c r="L369" s="170"/>
      <c r="M369" s="170" t="str">
        <f>IFERROR(_xlfn.XLOOKUP($A369,Input_Raw!$A:$A,Input_Raw!BG:BG),"")</f>
        <v/>
      </c>
      <c r="N369" s="170" t="str">
        <f>IFERROR(_xlfn.XLOOKUP($A369,Input_Raw!$A:$A,Input_Raw!BH:BH),"")</f>
        <v/>
      </c>
      <c r="O369" s="173" t="str">
        <f t="shared" si="25"/>
        <v/>
      </c>
      <c r="P369" s="173" t="str">
        <f>IFERROR(1-SUMIF(WTG_BD!$F:$F,$A369,WTG_BD!$AA:$AA)/($AA369+SUMIF(WTG_BD!$F:$F,$A369,WTG_BD!$AA:$AA)),"")</f>
        <v/>
      </c>
      <c r="Q369" s="173" t="str">
        <f>IFERROR(1-SUMIF(IGA_BD!$F:$F,$A369,IGA_BD!$X:$X)/($AA369+SUMIF(IGA_BD!$F:$F,$A369,IGA_BD!$X:$X)),"")</f>
        <v/>
      </c>
      <c r="R369" s="173" t="str">
        <f>IFERROR(1-SUMIF(Grid_BD!$F:$F,$A369,Grid_BD!$Y:$Y)/($AA369+SUMIF(Grid_BD!$F:$F,$A369,Grid_BD!$Y:$Y)),"")</f>
        <v/>
      </c>
      <c r="S369" s="167"/>
      <c r="T369" s="172"/>
      <c r="U369" s="173"/>
      <c r="V369" s="167"/>
      <c r="W369" s="174" t="str">
        <f t="shared" si="26"/>
        <v/>
      </c>
      <c r="X369" s="167" t="str">
        <f>IFERROR(_xlfn.XLOOKUP($A369,Input_Raw!$A:$A,Input_Raw!$BF:$BF),"")</f>
        <v/>
      </c>
      <c r="Y369" s="167" t="str">
        <f>IFERROR(_xlfn.XLOOKUP($A369,Input_Raw!$A:$A,Input_Raw!BJ:BJ),"")</f>
        <v/>
      </c>
      <c r="Z369" s="167" t="str">
        <f>IFERROR(_xlfn.XLOOKUP($A369,Input_Raw!$A:$A,Input_Raw!BK:BK),"")</f>
        <v/>
      </c>
      <c r="AA369" s="167" t="str">
        <f>IFERROR(_xlfn.XLOOKUP($A369,Input_Raw!$A:$A,Input_Raw!BL:BL),"")</f>
        <v/>
      </c>
      <c r="AB369" s="167" t="str">
        <f>IFERROR(_xlfn.XLOOKUP($A369,Input_Raw!$A:$A,Input_Raw!$BO:$BO),"")</f>
        <v/>
      </c>
      <c r="AC369" s="176">
        <f>IFERROR(_xlfn.XLOOKUP($D369,'Modelling New'!$D:$D,'Modelling New'!$J:$J),"")</f>
        <v>6.89</v>
      </c>
      <c r="AD369" s="166">
        <f>IFERROR(_xlfn.XLOOKUP($D369,'Modelling New'!$D:$D,'Modelling New'!$T:$T)*1000,"")</f>
        <v>629607.18715270935</v>
      </c>
      <c r="AE369" s="174"/>
      <c r="AF369" s="174">
        <f>IFERROR(_xlfn.XLOOKUP($D369,'Modelling New'!$D:$D,'Modelling New'!$W:$W),"")</f>
        <v>0.3736984729064039</v>
      </c>
      <c r="AG369" s="174">
        <f>IFERROR(_xlfn.XLOOKUP($D369,'Modelling New'!$D:$D,'Modelling New'!$AE:$AE),"")</f>
        <v>0.96029999999999993</v>
      </c>
      <c r="AH369" s="174">
        <f>IFERROR(_xlfn.XLOOKUP($D369,'Modelling New'!$D:$D,'Modelling New'!$AF:$AF),"")</f>
        <v>0.995</v>
      </c>
      <c r="AI369" s="177" t="str">
        <f>IFERROR(_xlfn.XLOOKUP($A369,Input_Raw!$A:$A,Input_Raw!$BQ:$BQ),"")</f>
        <v/>
      </c>
      <c r="AJ369" s="167"/>
      <c r="AK369" s="167"/>
      <c r="AL369" s="167"/>
      <c r="AM369" s="167"/>
      <c r="AN369" s="175" t="str">
        <f>IFERROR(_xlfn.XLOOKUP($A369,Input_Raw!$A:$A,Input_Raw!$BN:$BN),"")</f>
        <v/>
      </c>
      <c r="AO369" s="174" t="str">
        <f>IFERROR((_xlfn.XLOOKUP($A369,'WTG Reactive Power'!$A:$A,'WTG Reactive Power'!$AE:$AE))/Table13[[#This Row],[Gen_Exp (kWh)]],"")</f>
        <v/>
      </c>
      <c r="AP369" s="174">
        <f>IFERROR(_xlfn.XLOOKUP($D369,'Modelling New'!$D:$D,'Modelling New'!$AK:$AK),"")</f>
        <v>0.05</v>
      </c>
      <c r="AQ369" s="174">
        <f>IFERROR(_xlfn.XLOOKUP($D369,'Modelling New'!$D:$D,'Modelling New'!$AL:$AL),"")</f>
        <v>0.05</v>
      </c>
      <c r="AR369" s="276">
        <f>IFERROR(_xlfn.XLOOKUP($D369,'Modelling New'!$D:$D,'Modelling New'!$N:$N),"")</f>
        <v>70.2</v>
      </c>
      <c r="AS369" s="276"/>
    </row>
  </sheetData>
  <sheetProtection algorithmName="SHA-512" hashValue="gqGpylBZsFFbQfkJQ/dELjOIefL9J2v/fOyMyEKEJoxHc1yF++oKP2OyNTB6FPK/q2gHqiGcng/TivU7RtGozg==" saltValue="u6cNAU7BJdOJms5L1pLreg==" spinCount="100000" sheet="1" objects="1" scenarios="1"/>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5"/>
  <sheetViews>
    <sheetView workbookViewId="0">
      <selection activeCell="E4" sqref="E4"/>
    </sheetView>
  </sheetViews>
  <sheetFormatPr defaultColWidth="8.453125" defaultRowHeight="14.5"/>
  <cols>
    <col min="1" max="1" width="11" customWidth="1"/>
    <col min="2" max="2" width="10.453125" customWidth="1"/>
    <col min="3" max="5" width="13.453125" customWidth="1"/>
    <col min="6" max="6" width="14" customWidth="1"/>
    <col min="7" max="7" width="9.453125" customWidth="1"/>
    <col min="8" max="8" width="10.453125" customWidth="1"/>
    <col min="10" max="10" width="9.453125" customWidth="1"/>
    <col min="11" max="11" width="9" customWidth="1"/>
    <col min="12" max="12" width="9.453125" customWidth="1"/>
    <col min="14" max="14" width="9.453125" customWidth="1"/>
    <col min="16" max="16" width="10.453125" customWidth="1"/>
  </cols>
  <sheetData>
    <row r="1" spans="1:19">
      <c r="A1" s="32" t="s">
        <v>43</v>
      </c>
      <c r="B1" s="33">
        <f>O2Summary!B4</f>
        <v>45861</v>
      </c>
      <c r="C1" s="115">
        <f>O2Summary!$B$3</f>
        <v>45839</v>
      </c>
    </row>
    <row r="2" spans="1:19" ht="21">
      <c r="A2" s="628" t="s">
        <v>44</v>
      </c>
      <c r="B2" s="629"/>
      <c r="C2" s="629"/>
      <c r="D2" s="629"/>
      <c r="E2" s="629"/>
      <c r="F2" s="629"/>
      <c r="G2" s="629"/>
      <c r="H2" s="629"/>
      <c r="I2" s="629"/>
      <c r="J2" s="629"/>
      <c r="K2" s="629"/>
      <c r="L2" s="629"/>
      <c r="M2" s="629"/>
      <c r="N2" s="629"/>
      <c r="O2" s="629"/>
      <c r="P2" s="629"/>
    </row>
    <row r="3" spans="1:19" ht="45.75" customHeight="1">
      <c r="A3" s="123" t="s">
        <v>45</v>
      </c>
      <c r="B3" s="123" t="s">
        <v>46</v>
      </c>
      <c r="C3" s="114" t="s">
        <v>47</v>
      </c>
      <c r="D3" s="114" t="s">
        <v>48</v>
      </c>
      <c r="E3" s="114" t="s">
        <v>49</v>
      </c>
      <c r="F3" s="114" t="s">
        <v>50</v>
      </c>
      <c r="G3" s="114" t="s">
        <v>51</v>
      </c>
      <c r="H3" s="114" t="s">
        <v>52</v>
      </c>
      <c r="I3" s="114" t="s">
        <v>53</v>
      </c>
      <c r="J3" s="114" t="s">
        <v>54</v>
      </c>
      <c r="K3" s="114" t="s">
        <v>55</v>
      </c>
      <c r="L3" s="114" t="s">
        <v>56</v>
      </c>
      <c r="M3" s="114" t="s">
        <v>57</v>
      </c>
      <c r="N3" s="114" t="s">
        <v>58</v>
      </c>
      <c r="O3" s="114" t="s">
        <v>59</v>
      </c>
      <c r="P3" s="114" t="s">
        <v>60</v>
      </c>
      <c r="Q3" s="198" t="s">
        <v>61</v>
      </c>
      <c r="R3" s="198" t="s">
        <v>62</v>
      </c>
      <c r="S3" s="198" t="s">
        <v>63</v>
      </c>
    </row>
    <row r="4" spans="1:19" s="35" customFormat="1" ht="15.75" customHeight="1">
      <c r="A4" s="124">
        <f>YEAR(B1)+IF(MONTH(B1)&gt;=4,1,0)</f>
        <v>2026</v>
      </c>
      <c r="B4" s="116">
        <f>$B$1-(O2Summary!$B$6)+1</f>
        <v>114</v>
      </c>
      <c r="C4" s="117">
        <f>_xlfn.XLOOKUP($C$1,'Modelling New'!$D:$D,'Modelling New'!$AD:$AD)</f>
        <v>7.2925000000000004</v>
      </c>
      <c r="D4" s="118">
        <f>AVERAGEIFS('Daily KPI'!$M:$M,'Daily KPI'!$A:$A,"&gt;="&amp;O2Summary!$B$6,'Daily KPI'!$A:$A,"&lt;="&amp;AnnualKPI!$B$1)</f>
        <v>6.7911759522265838</v>
      </c>
      <c r="E4" s="116">
        <f>_xlfn.XLOOKUP($C$1,'Modelling New'!$D:$D,'Modelling New'!$V:$V)</f>
        <v>95320.580896197062</v>
      </c>
      <c r="F4" s="119">
        <f>SUMIFS('Daily KPI'!$AA:$AA,'Daily KPI'!$A:$A,"&gt;="&amp;O2Summary!$B$6,'Daily KPI'!$A:$A,"&lt;="&amp;AnnualKPI!$B$1)/1000</f>
        <v>78096.600000000006</v>
      </c>
      <c r="G4" s="120">
        <f>_xlfn.XLOOKUP($C$1,'Modelling New'!$D:$D,'Modelling New'!$Y:$Y)</f>
        <v>0.49628765815400577</v>
      </c>
      <c r="H4" s="121">
        <f>IFERROR(F4/(B4*24*(_xlfn.XLOOKUP($B$1,'Daily KPI'!$A:$A,'Daily KPI'!$AR:$AR))),"")</f>
        <v>0.4066108112160744</v>
      </c>
      <c r="I4" s="120">
        <f>_xlfn.XLOOKUP($C$1,'Modelling New'!$D:$D,'Modelling New'!$AF:$AF)</f>
        <v>0.995</v>
      </c>
      <c r="J4" s="122">
        <f>AVERAGEIFS('Daily KPI'!$R:$R,'Daily KPI'!$A:$A,"&gt;="&amp;O2Summary!$B$6,'Daily KPI'!$A:$A,"&lt;="&amp;AnnualKPI!$B$1)</f>
        <v>1</v>
      </c>
      <c r="K4" s="120">
        <f>_xlfn.XLOOKUP($C$1,'Modelling New'!$D:$D,'Modelling New'!$AH:$AH)</f>
        <v>0.97</v>
      </c>
      <c r="L4" s="122">
        <f>AVERAGEIFS('Daily KPI'!$P:$P,'Daily KPI'!$A:$A,"&gt;="&amp;O2Summary!$B$6,'Daily KPI'!$A:$A,"&lt;="&amp;AnnualKPI!$B$1)</f>
        <v>0.97016666544977725</v>
      </c>
      <c r="M4" s="120">
        <f>_xlfn.XLOOKUP($C$1,'Modelling New'!$D:$D,'Modelling New'!$AI:$AI)</f>
        <v>0.99</v>
      </c>
      <c r="N4" s="122">
        <f>AVERAGEIFS('Daily KPI'!$Q:$Q,'Daily KPI'!$A:$A,"&gt;="&amp;O2Summary!$B$6,'Daily KPI'!$A:$A,"&lt;="&amp;AnnualKPI!$B$1)</f>
        <v>0.97397843820212515</v>
      </c>
      <c r="O4" s="120">
        <f>K4*M4</f>
        <v>0.96029999999999993</v>
      </c>
      <c r="P4" s="122">
        <f>L4*N4</f>
        <v>0.94492141361053772</v>
      </c>
      <c r="Q4" s="119">
        <f>SUMIFS('Daily KPI'!$AI:$AI,'Daily KPI'!$D:$D,"&gt;="&amp;O2Summary!$B$6,'Daily KPI'!$A:$A,"&lt;="&amp;AnnualKPI!$B$1)</f>
        <v>84876.064499999993</v>
      </c>
      <c r="R4" s="200">
        <f>IFERROR(AVERAGEIFS('Daily KPI'!$AN:$AN,'Daily KPI'!$D:$D,O2Summary!$B$6,'Daily KPI'!$A:$A,"&lt;="&amp;AnnualKPI!$B$1),"")</f>
        <v>3.43142594698315E-2</v>
      </c>
      <c r="S4" s="200">
        <f>IFERROR(AVERAGEIFS('Daily KPI'!$AO:$AO,'Daily KPI'!$D:$D,O2Summary!$B$6,'Daily KPI'!$A:$A,"&lt;="&amp;AnnualKPI!$B$1),"")</f>
        <v>7.9531023515452947E-3</v>
      </c>
    </row>
    <row r="5" spans="1:19" ht="26.25" customHeight="1"/>
  </sheetData>
  <sheetProtection algorithmName="SHA-512" hashValue="b/QWIyxS+9Q9bWD+ApiM3IF4nPsZv1X2oxAefJxNrhDBBzwwh7/WySHwbQM9SFEDaMtRNT1hsAe49BrHAVAWyw==" saltValue="YfXtbfj3Sn15DQ9SNGzETA==" spinCount="100000" sheet="1" objects="1" scenarios="1"/>
  <mergeCells count="1">
    <mergeCell ref="A2:P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AA108"/>
  <sheetViews>
    <sheetView zoomScale="86" workbookViewId="0">
      <selection activeCell="A23" sqref="A23:G23"/>
    </sheetView>
  </sheetViews>
  <sheetFormatPr defaultColWidth="8.453125" defaultRowHeight="29.25" customHeight="1"/>
  <cols>
    <col min="1" max="1" width="14" bestFit="1" customWidth="1"/>
    <col min="2" max="2" width="23.453125" bestFit="1" customWidth="1"/>
    <col min="3" max="3" width="18.54296875" bestFit="1" customWidth="1"/>
    <col min="4" max="4" width="12" customWidth="1"/>
    <col min="5" max="5" width="14.453125" customWidth="1"/>
    <col min="6" max="16" width="12.453125" customWidth="1"/>
    <col min="17" max="17" width="12" customWidth="1"/>
    <col min="18" max="18" width="9.453125" bestFit="1" customWidth="1"/>
    <col min="20" max="20" width="9.453125" bestFit="1" customWidth="1"/>
  </cols>
  <sheetData>
    <row r="2" spans="1:27" ht="29.25" customHeight="1">
      <c r="A2" s="125" t="s">
        <v>69</v>
      </c>
      <c r="B2" s="126">
        <f>O2Summary!B3</f>
        <v>45839</v>
      </c>
    </row>
    <row r="3" spans="1:27" ht="29.25" customHeight="1">
      <c r="A3" s="82" t="s">
        <v>70</v>
      </c>
      <c r="B3" s="83">
        <f>O2Summary!B4</f>
        <v>45861</v>
      </c>
      <c r="C3">
        <f>((B3-B2)+1)*24</f>
        <v>552</v>
      </c>
      <c r="D3" s="81">
        <f>MEDIAN(B21:AA21)</f>
        <v>6.5</v>
      </c>
    </row>
    <row r="4" spans="1:27" ht="29.25" customHeight="1">
      <c r="A4" s="127" t="s">
        <v>73</v>
      </c>
      <c r="B4" s="128" t="s">
        <v>74</v>
      </c>
      <c r="C4" s="128" t="s">
        <v>75</v>
      </c>
      <c r="D4" s="128" t="s">
        <v>76</v>
      </c>
      <c r="E4" s="128" t="s">
        <v>77</v>
      </c>
      <c r="F4" s="128" t="s">
        <v>78</v>
      </c>
      <c r="G4" s="128" t="s">
        <v>79</v>
      </c>
      <c r="H4" s="128" t="s">
        <v>80</v>
      </c>
      <c r="I4" s="128" t="s">
        <v>81</v>
      </c>
      <c r="J4" s="128" t="s">
        <v>82</v>
      </c>
      <c r="K4" s="128" t="s">
        <v>83</v>
      </c>
      <c r="L4" s="128" t="s">
        <v>84</v>
      </c>
      <c r="M4" s="128" t="s">
        <v>85</v>
      </c>
      <c r="N4" s="128" t="s">
        <v>86</v>
      </c>
      <c r="O4" s="128" t="s">
        <v>87</v>
      </c>
      <c r="P4" s="128" t="s">
        <v>88</v>
      </c>
      <c r="Q4" s="128" t="s">
        <v>89</v>
      </c>
      <c r="R4" s="128" t="s">
        <v>90</v>
      </c>
      <c r="S4" s="128" t="s">
        <v>91</v>
      </c>
      <c r="T4" s="128" t="s">
        <v>92</v>
      </c>
      <c r="U4" s="128" t="s">
        <v>93</v>
      </c>
      <c r="V4" s="128" t="s">
        <v>94</v>
      </c>
      <c r="W4" s="128" t="s">
        <v>95</v>
      </c>
      <c r="X4" s="128" t="s">
        <v>96</v>
      </c>
      <c r="Y4" s="128" t="s">
        <v>97</v>
      </c>
      <c r="Z4" s="128" t="s">
        <v>98</v>
      </c>
      <c r="AA4" s="128" t="s">
        <v>99</v>
      </c>
    </row>
    <row r="5" spans="1:27" ht="29.25" customHeight="1">
      <c r="A5" s="127" t="s">
        <v>100</v>
      </c>
      <c r="B5" s="155">
        <f>IFERROR(($C$3-B6)/$C$3,1)</f>
        <v>0.99978864734299511</v>
      </c>
      <c r="C5" s="155">
        <f>IFERROR(($C$3-C6)/$C$3,1)</f>
        <v>0.99978864734299511</v>
      </c>
      <c r="D5" s="155">
        <f t="shared" ref="D5:AA5" si="0">IFERROR(($C$3-D6)/$C$3,1)</f>
        <v>0.99978864734299511</v>
      </c>
      <c r="E5" s="155">
        <f t="shared" si="0"/>
        <v>0.99978864734299511</v>
      </c>
      <c r="F5" s="155">
        <f t="shared" si="0"/>
        <v>0.99978864734299511</v>
      </c>
      <c r="G5" s="155">
        <f t="shared" si="0"/>
        <v>0.99978864734299511</v>
      </c>
      <c r="H5" s="155">
        <f t="shared" si="0"/>
        <v>0.99978864734299511</v>
      </c>
      <c r="I5" s="155">
        <f t="shared" si="0"/>
        <v>0.99978864734299511</v>
      </c>
      <c r="J5" s="155">
        <f t="shared" si="0"/>
        <v>0.99978864734299511</v>
      </c>
      <c r="K5" s="155">
        <f t="shared" si="0"/>
        <v>0.99978864734299511</v>
      </c>
      <c r="L5" s="155">
        <f t="shared" si="0"/>
        <v>0.99978864734299511</v>
      </c>
      <c r="M5" s="155">
        <f t="shared" si="0"/>
        <v>0.99978864734299511</v>
      </c>
      <c r="N5" s="155">
        <f t="shared" si="0"/>
        <v>0.99978864734299511</v>
      </c>
      <c r="O5" s="155">
        <f t="shared" si="0"/>
        <v>0.99978864734299511</v>
      </c>
      <c r="P5" s="155">
        <f t="shared" si="0"/>
        <v>0.99978864734299511</v>
      </c>
      <c r="Q5" s="155">
        <f t="shared" si="0"/>
        <v>0.99978864734299511</v>
      </c>
      <c r="R5" s="155">
        <f t="shared" si="0"/>
        <v>0.99978864734299511</v>
      </c>
      <c r="S5" s="155">
        <f t="shared" si="0"/>
        <v>0.99978864734299511</v>
      </c>
      <c r="T5" s="155">
        <f t="shared" si="0"/>
        <v>0.99978864734299511</v>
      </c>
      <c r="U5" s="155">
        <f t="shared" si="0"/>
        <v>0.99978864734299511</v>
      </c>
      <c r="V5" s="155">
        <f t="shared" si="0"/>
        <v>0.99978864734299511</v>
      </c>
      <c r="W5" s="155">
        <f t="shared" si="0"/>
        <v>0.99978864734299511</v>
      </c>
      <c r="X5" s="155">
        <f t="shared" si="0"/>
        <v>0.99978864734299511</v>
      </c>
      <c r="Y5" s="155">
        <f t="shared" si="0"/>
        <v>0.99978864734299511</v>
      </c>
      <c r="Z5" s="155">
        <f t="shared" si="0"/>
        <v>0.99978864734299511</v>
      </c>
      <c r="AA5" s="155">
        <f t="shared" si="0"/>
        <v>0.99978864734299511</v>
      </c>
    </row>
    <row r="6" spans="1:27" ht="29.25" hidden="1" customHeight="1">
      <c r="A6" s="129" t="s">
        <v>101</v>
      </c>
      <c r="B6" s="154">
        <f>SUMIFS(WTG_BD!$T:$T,WTG_BD!$F:$F,"&gt;="&amp;Analytices!$B$2,WTG_BD!$F:$F,"&lt;="&amp;Analytices!$B$3,WTG_BD!$G:$G,$B$4)</f>
        <v>0.11666666666666625</v>
      </c>
      <c r="C6" s="154">
        <f>SUMIFS(WTG_BD!$T:$T,WTG_BD!$F:$F,"&gt;="&amp;Analytices!$B$2,WTG_BD!$F:$F,"&lt;="&amp;Analytices!$B$3,WTG_BD!$G:$G,$B$4)</f>
        <v>0.11666666666666625</v>
      </c>
      <c r="D6" s="154">
        <f>SUMIFS(WTG_BD!$T:$T,WTG_BD!$F:$F,"&gt;="&amp;Analytices!$B$2,WTG_BD!$F:$F,"&lt;="&amp;Analytices!$B$3,WTG_BD!$G:$G,$B$4)</f>
        <v>0.11666666666666625</v>
      </c>
      <c r="E6" s="154">
        <f>SUMIFS(WTG_BD!$T:$T,WTG_BD!$F:$F,"&gt;="&amp;Analytices!$B$2,WTG_BD!$F:$F,"&lt;="&amp;Analytices!$B$3,WTG_BD!$G:$G,$B$4)</f>
        <v>0.11666666666666625</v>
      </c>
      <c r="F6" s="154">
        <f>SUMIFS(WTG_BD!$T:$T,WTG_BD!$F:$F,"&gt;="&amp;Analytices!$B$2,WTG_BD!$F:$F,"&lt;="&amp;Analytices!$B$3,WTG_BD!$G:$G,$B$4)</f>
        <v>0.11666666666666625</v>
      </c>
      <c r="G6" s="154">
        <f>SUMIFS(WTG_BD!$T:$T,WTG_BD!$F:$F,"&gt;="&amp;Analytices!$B$2,WTG_BD!$F:$F,"&lt;="&amp;Analytices!$B$3,WTG_BD!$G:$G,$B$4)</f>
        <v>0.11666666666666625</v>
      </c>
      <c r="H6" s="154">
        <f>SUMIFS(WTG_BD!$T:$T,WTG_BD!$F:$F,"&gt;="&amp;Analytices!$B$2,WTG_BD!$F:$F,"&lt;="&amp;Analytices!$B$3,WTG_BD!$G:$G,$B$4)</f>
        <v>0.11666666666666625</v>
      </c>
      <c r="I6" s="154">
        <f>SUMIFS(WTG_BD!$T:$T,WTG_BD!$F:$F,"&gt;="&amp;Analytices!$B$2,WTG_BD!$F:$F,"&lt;="&amp;Analytices!$B$3,WTG_BD!$G:$G,$B$4)</f>
        <v>0.11666666666666625</v>
      </c>
      <c r="J6" s="154">
        <f>SUMIFS(WTG_BD!$T:$T,WTG_BD!$F:$F,"&gt;="&amp;Analytices!$B$2,WTG_BD!$F:$F,"&lt;="&amp;Analytices!$B$3,WTG_BD!$G:$G,$B$4)</f>
        <v>0.11666666666666625</v>
      </c>
      <c r="K6" s="154">
        <f>SUMIFS(WTG_BD!$T:$T,WTG_BD!$F:$F,"&gt;="&amp;Analytices!$B$2,WTG_BD!$F:$F,"&lt;="&amp;Analytices!$B$3,WTG_BD!$G:$G,$B$4)</f>
        <v>0.11666666666666625</v>
      </c>
      <c r="L6" s="154">
        <f>SUMIFS(WTG_BD!$T:$T,WTG_BD!$F:$F,"&gt;="&amp;Analytices!$B$2,WTG_BD!$F:$F,"&lt;="&amp;Analytices!$B$3,WTG_BD!$G:$G,$B$4)</f>
        <v>0.11666666666666625</v>
      </c>
      <c r="M6" s="154">
        <f>SUMIFS(WTG_BD!$T:$T,WTG_BD!$F:$F,"&gt;="&amp;Analytices!$B$2,WTG_BD!$F:$F,"&lt;="&amp;Analytices!$B$3,WTG_BD!$G:$G,$B$4)</f>
        <v>0.11666666666666625</v>
      </c>
      <c r="N6" s="154">
        <f>SUMIFS(WTG_BD!$T:$T,WTG_BD!$F:$F,"&gt;="&amp;Analytices!$B$2,WTG_BD!$F:$F,"&lt;="&amp;Analytices!$B$3,WTG_BD!$G:$G,$B$4)</f>
        <v>0.11666666666666625</v>
      </c>
      <c r="O6" s="154">
        <f>SUMIFS(WTG_BD!$T:$T,WTG_BD!$F:$F,"&gt;="&amp;Analytices!$B$2,WTG_BD!$F:$F,"&lt;="&amp;Analytices!$B$3,WTG_BD!$G:$G,$B$4)</f>
        <v>0.11666666666666625</v>
      </c>
      <c r="P6" s="154">
        <f>SUMIFS(WTG_BD!$T:$T,WTG_BD!$F:$F,"&gt;="&amp;Analytices!$B$2,WTG_BD!$F:$F,"&lt;="&amp;Analytices!$B$3,WTG_BD!$G:$G,$B$4)</f>
        <v>0.11666666666666625</v>
      </c>
      <c r="Q6" s="154">
        <f>SUMIFS(WTG_BD!$T:$T,WTG_BD!$F:$F,"&gt;="&amp;Analytices!$B$2,WTG_BD!$F:$F,"&lt;="&amp;Analytices!$B$3,WTG_BD!$G:$G,$B$4)</f>
        <v>0.11666666666666625</v>
      </c>
      <c r="R6" s="154">
        <f>SUMIFS(WTG_BD!$T:$T,WTG_BD!$F:$F,"&gt;="&amp;Analytices!$B$2,WTG_BD!$F:$F,"&lt;="&amp;Analytices!$B$3,WTG_BD!$G:$G,$B$4)</f>
        <v>0.11666666666666625</v>
      </c>
      <c r="S6" s="154">
        <f>SUMIFS(WTG_BD!$T:$T,WTG_BD!$F:$F,"&gt;="&amp;Analytices!$B$2,WTG_BD!$F:$F,"&lt;="&amp;Analytices!$B$3,WTG_BD!$G:$G,$B$4)</f>
        <v>0.11666666666666625</v>
      </c>
      <c r="T6" s="154">
        <f>SUMIFS(WTG_BD!$T:$T,WTG_BD!$F:$F,"&gt;="&amp;Analytices!$B$2,WTG_BD!$F:$F,"&lt;="&amp;Analytices!$B$3,WTG_BD!$G:$G,$B$4)</f>
        <v>0.11666666666666625</v>
      </c>
      <c r="U6" s="154">
        <f>SUMIFS(WTG_BD!$T:$T,WTG_BD!$F:$F,"&gt;="&amp;Analytices!$B$2,WTG_BD!$F:$F,"&lt;="&amp;Analytices!$B$3,WTG_BD!$G:$G,$B$4)</f>
        <v>0.11666666666666625</v>
      </c>
      <c r="V6" s="154">
        <f>SUMIFS(WTG_BD!$T:$T,WTG_BD!$F:$F,"&gt;="&amp;Analytices!$B$2,WTG_BD!$F:$F,"&lt;="&amp;Analytices!$B$3,WTG_BD!$G:$G,$B$4)</f>
        <v>0.11666666666666625</v>
      </c>
      <c r="W6" s="154">
        <f>SUMIFS(WTG_BD!$T:$T,WTG_BD!$F:$F,"&gt;="&amp;Analytices!$B$2,WTG_BD!$F:$F,"&lt;="&amp;Analytices!$B$3,WTG_BD!$G:$G,$B$4)</f>
        <v>0.11666666666666625</v>
      </c>
      <c r="X6" s="154">
        <f>SUMIFS(WTG_BD!$T:$T,WTG_BD!$F:$F,"&gt;="&amp;Analytices!$B$2,WTG_BD!$F:$F,"&lt;="&amp;Analytices!$B$3,WTG_BD!$G:$G,$B$4)</f>
        <v>0.11666666666666625</v>
      </c>
      <c r="Y6" s="154">
        <f>SUMIFS(WTG_BD!$T:$T,WTG_BD!$F:$F,"&gt;="&amp;Analytices!$B$2,WTG_BD!$F:$F,"&lt;="&amp;Analytices!$B$3,WTG_BD!$G:$G,$B$4)</f>
        <v>0.11666666666666625</v>
      </c>
      <c r="Z6" s="154">
        <f>SUMIFS(WTG_BD!$T:$T,WTG_BD!$F:$F,"&gt;="&amp;Analytices!$B$2,WTG_BD!$F:$F,"&lt;="&amp;Analytices!$B$3,WTG_BD!$G:$G,$B$4)</f>
        <v>0.11666666666666625</v>
      </c>
      <c r="AA6" s="154">
        <f>SUMIFS(WTG_BD!$T:$T,WTG_BD!$F:$F,"&gt;="&amp;Analytices!$B$2,WTG_BD!$F:$F,"&lt;="&amp;Analytices!$B$3,WTG_BD!$G:$G,$B$4)</f>
        <v>0.11666666666666625</v>
      </c>
    </row>
    <row r="7" spans="1:27" ht="29.25" customHeight="1">
      <c r="A7" s="127" t="s">
        <v>102</v>
      </c>
      <c r="B7" s="156">
        <f>($C$3-SUM(B8:B12))/$C$3</f>
        <v>0.99544082125603872</v>
      </c>
      <c r="C7" s="156">
        <f t="shared" ref="C7:AA7" si="1">($C$3-SUM(C8:C12))/$C$3</f>
        <v>0.99544082125603872</v>
      </c>
      <c r="D7" s="156">
        <f t="shared" si="1"/>
        <v>0.99544082125603872</v>
      </c>
      <c r="E7" s="156">
        <f t="shared" si="1"/>
        <v>0.99864130434782605</v>
      </c>
      <c r="F7" s="156">
        <f t="shared" si="1"/>
        <v>0.99544082125603872</v>
      </c>
      <c r="G7" s="156">
        <f t="shared" si="1"/>
        <v>0.99864130434782605</v>
      </c>
      <c r="H7" s="156">
        <f t="shared" si="1"/>
        <v>0.99864130434782605</v>
      </c>
      <c r="I7" s="156">
        <f t="shared" si="1"/>
        <v>0.99864130434782605</v>
      </c>
      <c r="J7" s="156">
        <f t="shared" si="1"/>
        <v>0.99544082125603872</v>
      </c>
      <c r="K7" s="156">
        <f t="shared" si="1"/>
        <v>0.99544082125603872</v>
      </c>
      <c r="L7" s="156">
        <f t="shared" si="1"/>
        <v>0.99544082125603872</v>
      </c>
      <c r="M7" s="156">
        <f t="shared" si="1"/>
        <v>0.99544082125603872</v>
      </c>
      <c r="N7" s="156">
        <f t="shared" si="1"/>
        <v>0.99544082125603872</v>
      </c>
      <c r="O7" s="156">
        <f t="shared" si="1"/>
        <v>0.99544082125603872</v>
      </c>
      <c r="P7" s="156">
        <f t="shared" si="1"/>
        <v>0.99544082125603872</v>
      </c>
      <c r="Q7" s="156">
        <f t="shared" si="1"/>
        <v>0.99544082125603872</v>
      </c>
      <c r="R7" s="156">
        <f t="shared" si="1"/>
        <v>0.99864130434782605</v>
      </c>
      <c r="S7" s="156">
        <f t="shared" si="1"/>
        <v>0.99864130434782605</v>
      </c>
      <c r="T7" s="156">
        <f t="shared" si="1"/>
        <v>0.99864130434782605</v>
      </c>
      <c r="U7" s="156">
        <f t="shared" si="1"/>
        <v>0.99544082125603872</v>
      </c>
      <c r="V7" s="156">
        <f t="shared" si="1"/>
        <v>0.99864130434782605</v>
      </c>
      <c r="W7" s="156">
        <f t="shared" si="1"/>
        <v>0.99864130434782605</v>
      </c>
      <c r="X7" s="156">
        <f t="shared" si="1"/>
        <v>0.99864130434782605</v>
      </c>
      <c r="Y7" s="156">
        <f t="shared" si="1"/>
        <v>0.99864130434782605</v>
      </c>
      <c r="Z7" s="156">
        <f t="shared" si="1"/>
        <v>0.99864130434782605</v>
      </c>
      <c r="AA7" s="156">
        <f t="shared" si="1"/>
        <v>0.99864130434782605</v>
      </c>
    </row>
    <row r="8" spans="1:27" ht="29.25" hidden="1" customHeight="1">
      <c r="A8" s="129" t="s">
        <v>103</v>
      </c>
      <c r="B8" s="153"/>
      <c r="C8" s="153"/>
      <c r="D8" s="153"/>
      <c r="E8" s="153"/>
      <c r="F8" s="153"/>
      <c r="G8" s="153"/>
      <c r="H8" s="153"/>
      <c r="I8" s="153"/>
      <c r="J8" s="153"/>
      <c r="K8" s="153"/>
      <c r="L8" s="153"/>
      <c r="M8" s="153"/>
      <c r="N8" s="153"/>
      <c r="O8" s="153"/>
      <c r="P8" s="153"/>
      <c r="Q8" s="153"/>
      <c r="R8" s="153"/>
      <c r="S8" s="153"/>
      <c r="T8" s="153"/>
      <c r="U8" s="153"/>
      <c r="V8" s="153"/>
      <c r="W8" s="153"/>
      <c r="X8" s="153"/>
      <c r="Y8" s="153"/>
      <c r="Z8" s="153"/>
      <c r="AA8" s="153"/>
    </row>
    <row r="9" spans="1:27" ht="29.25" hidden="1" customHeight="1">
      <c r="A9" s="129" t="s">
        <v>104</v>
      </c>
      <c r="B9" s="154">
        <f>SUMIFS(IGA_BD!$Q:$Q,IGA_BD!$G:$G,(VLOOKUP(B$4,'Basic Data'!$A:$F,6,0)),IGA_BD!$F:$F,"&gt;="&amp;Analytices!$B$2,IGA_BD!$F:$F,"&lt;="&amp;Analytices!$B$3)</f>
        <v>2.5166666666666622</v>
      </c>
      <c r="C9" s="154">
        <f>SUMIFS(IGA_BD!$Q:$Q,IGA_BD!$G:$G,(VLOOKUP(C$4,'Basic Data'!$A:$F,6,0)),IGA_BD!$F:$F,"&gt;="&amp;Analytices!$B$2,IGA_BD!$F:$F,"&lt;="&amp;Analytices!$B$3)</f>
        <v>2.5166666666666622</v>
      </c>
      <c r="D9" s="154">
        <f>SUMIFS(IGA_BD!$Q:$Q,IGA_BD!$G:$G,(VLOOKUP(D$4,'Basic Data'!$A:$F,6,0)),IGA_BD!$F:$F,"&gt;="&amp;Analytices!$B$2,IGA_BD!$F:$F,"&lt;="&amp;Analytices!$B$3)</f>
        <v>2.5166666666666622</v>
      </c>
      <c r="E9" s="154">
        <f>SUMIFS(IGA_BD!$Q:$Q,IGA_BD!$G:$G,(VLOOKUP(E$4,'Basic Data'!$A:$F,6,0)),IGA_BD!$F:$F,"&gt;="&amp;Analytices!$B$2,IGA_BD!$F:$F,"&lt;="&amp;Analytices!$B$3)</f>
        <v>0.75</v>
      </c>
      <c r="F9" s="154">
        <f>SUMIFS(IGA_BD!$Q:$Q,IGA_BD!$G:$G,(VLOOKUP(F$4,'Basic Data'!$A:$F,6,0)),IGA_BD!$F:$F,"&gt;="&amp;Analytices!$B$2,IGA_BD!$F:$F,"&lt;="&amp;Analytices!$B$3)</f>
        <v>2.5166666666666622</v>
      </c>
      <c r="G9" s="154">
        <f>SUMIFS(IGA_BD!$Q:$Q,IGA_BD!$G:$G,(VLOOKUP(G$4,'Basic Data'!$A:$F,6,0)),IGA_BD!$F:$F,"&gt;="&amp;Analytices!$B$2,IGA_BD!$F:$F,"&lt;="&amp;Analytices!$B$3)</f>
        <v>0.75</v>
      </c>
      <c r="H9" s="154">
        <f>SUMIFS(IGA_BD!$Q:$Q,IGA_BD!$G:$G,(VLOOKUP(H$4,'Basic Data'!$A:$F,6,0)),IGA_BD!$F:$F,"&gt;="&amp;Analytices!$B$2,IGA_BD!$F:$F,"&lt;="&amp;Analytices!$B$3)</f>
        <v>0.75</v>
      </c>
      <c r="I9" s="154">
        <f>SUMIFS(IGA_BD!$Q:$Q,IGA_BD!$G:$G,(VLOOKUP(I$4,'Basic Data'!$A:$F,6,0)),IGA_BD!$F:$F,"&gt;="&amp;Analytices!$B$2,IGA_BD!$F:$F,"&lt;="&amp;Analytices!$B$3)</f>
        <v>0.75</v>
      </c>
      <c r="J9" s="154">
        <f>SUMIFS(IGA_BD!$Q:$Q,IGA_BD!$G:$G,(VLOOKUP(J$4,'Basic Data'!$A:$F,6,0)),IGA_BD!$F:$F,"&gt;="&amp;Analytices!$B$2,IGA_BD!$F:$F,"&lt;="&amp;Analytices!$B$3)</f>
        <v>2.5166666666666622</v>
      </c>
      <c r="K9" s="154">
        <f>SUMIFS(IGA_BD!$Q:$Q,IGA_BD!$G:$G,(VLOOKUP(K$4,'Basic Data'!$A:$F,6,0)),IGA_BD!$F:$F,"&gt;="&amp;Analytices!$B$2,IGA_BD!$F:$F,"&lt;="&amp;Analytices!$B$3)</f>
        <v>2.5166666666666622</v>
      </c>
      <c r="L9" s="154">
        <f>SUMIFS(IGA_BD!$Q:$Q,IGA_BD!$G:$G,(VLOOKUP(L$4,'Basic Data'!$A:$F,6,0)),IGA_BD!$F:$F,"&gt;="&amp;Analytices!$B$2,IGA_BD!$F:$F,"&lt;="&amp;Analytices!$B$3)</f>
        <v>2.5166666666666622</v>
      </c>
      <c r="M9" s="154">
        <f>SUMIFS(IGA_BD!$Q:$Q,IGA_BD!$G:$G,(VLOOKUP(M$4,'Basic Data'!$A:$F,6,0)),IGA_BD!$F:$F,"&gt;="&amp;Analytices!$B$2,IGA_BD!$F:$F,"&lt;="&amp;Analytices!$B$3)</f>
        <v>2.5166666666666622</v>
      </c>
      <c r="N9" s="154">
        <f>SUMIFS(IGA_BD!$Q:$Q,IGA_BD!$G:$G,(VLOOKUP(N$4,'Basic Data'!$A:$F,6,0)),IGA_BD!$F:$F,"&gt;="&amp;Analytices!$B$2,IGA_BD!$F:$F,"&lt;="&amp;Analytices!$B$3)</f>
        <v>2.5166666666666622</v>
      </c>
      <c r="O9" s="154">
        <f>SUMIFS(IGA_BD!$Q:$Q,IGA_BD!$G:$G,(VLOOKUP(O$4,'Basic Data'!$A:$F,6,0)),IGA_BD!$F:$F,"&gt;="&amp;Analytices!$B$2,IGA_BD!$F:$F,"&lt;="&amp;Analytices!$B$3)</f>
        <v>2.5166666666666622</v>
      </c>
      <c r="P9" s="154">
        <f>SUMIFS(IGA_BD!$Q:$Q,IGA_BD!$G:$G,(VLOOKUP(P$4,'Basic Data'!$A:$F,6,0)),IGA_BD!$F:$F,"&gt;="&amp;Analytices!$B$2,IGA_BD!$F:$F,"&lt;="&amp;Analytices!$B$3)</f>
        <v>2.5166666666666622</v>
      </c>
      <c r="Q9" s="154">
        <f>SUMIFS(IGA_BD!$Q:$Q,IGA_BD!$G:$G,(VLOOKUP(Q$4,'Basic Data'!$A:$F,6,0)),IGA_BD!$F:$F,"&gt;="&amp;Analytices!$B$2,IGA_BD!$F:$F,"&lt;="&amp;Analytices!$B$3)</f>
        <v>2.5166666666666622</v>
      </c>
      <c r="R9" s="154">
        <f>SUMIFS(IGA_BD!$Q:$Q,IGA_BD!$G:$G,(VLOOKUP(R$4,'Basic Data'!$A:$F,6,0)),IGA_BD!$F:$F,"&gt;="&amp;Analytices!$B$2,IGA_BD!$F:$F,"&lt;="&amp;Analytices!$B$3)</f>
        <v>0.75</v>
      </c>
      <c r="S9" s="154">
        <f>SUMIFS(IGA_BD!$Q:$Q,IGA_BD!$G:$G,(VLOOKUP(S$4,'Basic Data'!$A:$F,6,0)),IGA_BD!$F:$F,"&gt;="&amp;Analytices!$B$2,IGA_BD!$F:$F,"&lt;="&amp;Analytices!$B$3)</f>
        <v>0.75</v>
      </c>
      <c r="T9" s="154">
        <f>SUMIFS(IGA_BD!$Q:$Q,IGA_BD!$G:$G,(VLOOKUP(T$4,'Basic Data'!$A:$F,6,0)),IGA_BD!$F:$F,"&gt;="&amp;Analytices!$B$2,IGA_BD!$F:$F,"&lt;="&amp;Analytices!$B$3)</f>
        <v>0.75</v>
      </c>
      <c r="U9" s="154">
        <f>SUMIFS(IGA_BD!$Q:$Q,IGA_BD!$G:$G,(VLOOKUP(U$4,'Basic Data'!$A:$F,6,0)),IGA_BD!$F:$F,"&gt;="&amp;Analytices!$B$2,IGA_BD!$F:$F,"&lt;="&amp;Analytices!$B$3)</f>
        <v>2.5166666666666622</v>
      </c>
      <c r="V9" s="154">
        <f>SUMIFS(IGA_BD!$Q:$Q,IGA_BD!$G:$G,(VLOOKUP(V$4,'Basic Data'!$A:$F,6,0)),IGA_BD!$F:$F,"&gt;="&amp;Analytices!$B$2,IGA_BD!$F:$F,"&lt;="&amp;Analytices!$B$3)</f>
        <v>0.75</v>
      </c>
      <c r="W9" s="154">
        <f>SUMIFS(IGA_BD!$Q:$Q,IGA_BD!$G:$G,(VLOOKUP(W$4,'Basic Data'!$A:$F,6,0)),IGA_BD!$F:$F,"&gt;="&amp;Analytices!$B$2,IGA_BD!$F:$F,"&lt;="&amp;Analytices!$B$3)</f>
        <v>0.75</v>
      </c>
      <c r="X9" s="154">
        <f>SUMIFS(IGA_BD!$Q:$Q,IGA_BD!$G:$G,(VLOOKUP(X$4,'Basic Data'!$A:$F,6,0)),IGA_BD!$F:$F,"&gt;="&amp;Analytices!$B$2,IGA_BD!$F:$F,"&lt;="&amp;Analytices!$B$3)</f>
        <v>0.75</v>
      </c>
      <c r="Y9" s="154">
        <f>SUMIFS(IGA_BD!$Q:$Q,IGA_BD!$G:$G,(VLOOKUP(Y$4,'Basic Data'!$A:$F,6,0)),IGA_BD!$F:$F,"&gt;="&amp;Analytices!$B$2,IGA_BD!$F:$F,"&lt;="&amp;Analytices!$B$3)</f>
        <v>0.75</v>
      </c>
      <c r="Z9" s="154">
        <f>SUMIFS(IGA_BD!$Q:$Q,IGA_BD!$G:$G,(VLOOKUP(Z$4,'Basic Data'!$A:$F,6,0)),IGA_BD!$F:$F,"&gt;="&amp;Analytices!$B$2,IGA_BD!$F:$F,"&lt;="&amp;Analytices!$B$3)</f>
        <v>0.75</v>
      </c>
      <c r="AA9" s="154">
        <f>SUMIFS(IGA_BD!$Q:$Q,IGA_BD!$G:$G,(VLOOKUP(AA$4,'Basic Data'!$A:$F,6,0)),IGA_BD!$F:$F,"&gt;="&amp;Analytices!$B$2,IGA_BD!$F:$F,"&lt;="&amp;Analytices!$B$3)</f>
        <v>0.75</v>
      </c>
    </row>
    <row r="10" spans="1:27" ht="29.25" hidden="1" customHeight="1">
      <c r="A10" s="129" t="s">
        <v>105</v>
      </c>
      <c r="B10" s="153"/>
      <c r="C10" s="153"/>
      <c r="D10" s="153"/>
      <c r="E10" s="153"/>
      <c r="F10" s="153"/>
      <c r="G10" s="153"/>
      <c r="H10" s="153"/>
      <c r="I10" s="153"/>
      <c r="J10" s="153"/>
      <c r="K10" s="153"/>
      <c r="L10" s="153"/>
      <c r="M10" s="153"/>
      <c r="N10" s="153"/>
      <c r="O10" s="153"/>
      <c r="P10" s="153"/>
      <c r="Q10" s="153"/>
      <c r="R10" s="153"/>
      <c r="S10" s="153"/>
      <c r="T10" s="153"/>
      <c r="U10" s="153"/>
      <c r="V10" s="153"/>
      <c r="W10" s="153"/>
      <c r="X10" s="153"/>
      <c r="Y10" s="153"/>
      <c r="Z10" s="153"/>
      <c r="AA10" s="153"/>
    </row>
    <row r="11" spans="1:27" ht="29.25" hidden="1" customHeight="1">
      <c r="A11" s="129" t="s">
        <v>106</v>
      </c>
      <c r="B11" s="153">
        <f>SUMIFS(Grid_BD!$R:$R,Grid_BD!$G:$G,(VLOOKUP(B$4,'Basic Data'!$A:$G,7,0)),Grid_BD!$F:$F,"&gt;="&amp;Analytices!$B$2,Grid_BD!$F:$F,"&lt;="&amp;Analytices!$B$3)</f>
        <v>0</v>
      </c>
      <c r="C11" s="153">
        <f>SUMIFS(Grid_BD!$R:$R,Grid_BD!$G:$G,(VLOOKUP(C$4,'Basic Data'!$A:$G,7,0)),Grid_BD!$F:$F,"&gt;="&amp;Analytices!$B$2,Grid_BD!$F:$F,"&lt;="&amp;Analytices!$B$3)</f>
        <v>0</v>
      </c>
      <c r="D11" s="153">
        <f>SUMIFS(Grid_BD!$R:$R,Grid_BD!$G:$G,(VLOOKUP(D$4,'Basic Data'!$A:$G,7,0)),Grid_BD!$F:$F,"&gt;="&amp;Analytices!$B$2,Grid_BD!$F:$F,"&lt;="&amp;Analytices!$B$3)</f>
        <v>0</v>
      </c>
      <c r="E11" s="153">
        <f>SUMIFS(Grid_BD!$R:$R,Grid_BD!$G:$G,(VLOOKUP(E$4,'Basic Data'!$A:$G,7,0)),Grid_BD!$F:$F,"&gt;="&amp;Analytices!$B$2,Grid_BD!$F:$F,"&lt;="&amp;Analytices!$B$3)</f>
        <v>0</v>
      </c>
      <c r="F11" s="153">
        <f>SUMIFS(Grid_BD!$R:$R,Grid_BD!$G:$G,(VLOOKUP(F$4,'Basic Data'!$A:$G,7,0)),Grid_BD!$F:$F,"&gt;="&amp;Analytices!$B$2,Grid_BD!$F:$F,"&lt;="&amp;Analytices!$B$3)</f>
        <v>0</v>
      </c>
      <c r="G11" s="153">
        <f>SUMIFS(Grid_BD!$R:$R,Grid_BD!$G:$G,(VLOOKUP(G$4,'Basic Data'!$A:$G,7,0)),Grid_BD!$F:$F,"&gt;="&amp;Analytices!$B$2,Grid_BD!$F:$F,"&lt;="&amp;Analytices!$B$3)</f>
        <v>0</v>
      </c>
      <c r="H11" s="153">
        <f>SUMIFS(Grid_BD!$R:$R,Grid_BD!$G:$G,(VLOOKUP(H$4,'Basic Data'!$A:$G,7,0)),Grid_BD!$F:$F,"&gt;="&amp;Analytices!$B$2,Grid_BD!$F:$F,"&lt;="&amp;Analytices!$B$3)</f>
        <v>0</v>
      </c>
      <c r="I11" s="153">
        <f>SUMIFS(Grid_BD!$R:$R,Grid_BD!$G:$G,(VLOOKUP(I$4,'Basic Data'!$A:$G,7,0)),Grid_BD!$F:$F,"&gt;="&amp;Analytices!$B$2,Grid_BD!$F:$F,"&lt;="&amp;Analytices!$B$3)</f>
        <v>0</v>
      </c>
      <c r="J11" s="153">
        <f>SUMIFS(Grid_BD!$R:$R,Grid_BD!$G:$G,(VLOOKUP(J$4,'Basic Data'!$A:$G,7,0)),Grid_BD!$F:$F,"&gt;="&amp;Analytices!$B$2,Grid_BD!$F:$F,"&lt;="&amp;Analytices!$B$3)</f>
        <v>0</v>
      </c>
      <c r="K11" s="153">
        <f>SUMIFS(Grid_BD!$R:$R,Grid_BD!$G:$G,(VLOOKUP(K$4,'Basic Data'!$A:$G,7,0)),Grid_BD!$F:$F,"&gt;="&amp;Analytices!$B$2,Grid_BD!$F:$F,"&lt;="&amp;Analytices!$B$3)</f>
        <v>0</v>
      </c>
      <c r="L11" s="153">
        <f>SUMIFS(Grid_BD!$R:$R,Grid_BD!$G:$G,(VLOOKUP(L$4,'Basic Data'!$A:$G,7,0)),Grid_BD!$F:$F,"&gt;="&amp;Analytices!$B$2,Grid_BD!$F:$F,"&lt;="&amp;Analytices!$B$3)</f>
        <v>0</v>
      </c>
      <c r="M11" s="153">
        <f>SUMIFS(Grid_BD!$R:$R,Grid_BD!$G:$G,(VLOOKUP(M$4,'Basic Data'!$A:$G,7,0)),Grid_BD!$F:$F,"&gt;="&amp;Analytices!$B$2,Grid_BD!$F:$F,"&lt;="&amp;Analytices!$B$3)</f>
        <v>0</v>
      </c>
      <c r="N11" s="153">
        <f>SUMIFS(Grid_BD!$R:$R,Grid_BD!$G:$G,(VLOOKUP(N$4,'Basic Data'!$A:$G,7,0)),Grid_BD!$F:$F,"&gt;="&amp;Analytices!$B$2,Grid_BD!$F:$F,"&lt;="&amp;Analytices!$B$3)</f>
        <v>0</v>
      </c>
      <c r="O11" s="153">
        <f>SUMIFS(Grid_BD!$R:$R,Grid_BD!$G:$G,(VLOOKUP(O$4,'Basic Data'!$A:$G,7,0)),Grid_BD!$F:$F,"&gt;="&amp;Analytices!$B$2,Grid_BD!$F:$F,"&lt;="&amp;Analytices!$B$3)</f>
        <v>0</v>
      </c>
      <c r="P11" s="153">
        <f>SUMIFS(Grid_BD!$R:$R,Grid_BD!$G:$G,(VLOOKUP(P$4,'Basic Data'!$A:$G,7,0)),Grid_BD!$F:$F,"&gt;="&amp;Analytices!$B$2,Grid_BD!$F:$F,"&lt;="&amp;Analytices!$B$3)</f>
        <v>0</v>
      </c>
      <c r="Q11" s="153">
        <f>SUMIFS(Grid_BD!$R:$R,Grid_BD!$G:$G,(VLOOKUP(Q$4,'Basic Data'!$A:$G,7,0)),Grid_BD!$F:$F,"&gt;="&amp;Analytices!$B$2,Grid_BD!$F:$F,"&lt;="&amp;Analytices!$B$3)</f>
        <v>0</v>
      </c>
      <c r="R11" s="153">
        <f>SUMIFS(Grid_BD!$R:$R,Grid_BD!$G:$G,(VLOOKUP(R$4,'Basic Data'!$A:$G,7,0)),Grid_BD!$F:$F,"&gt;="&amp;Analytices!$B$2,Grid_BD!$F:$F,"&lt;="&amp;Analytices!$B$3)</f>
        <v>0</v>
      </c>
      <c r="S11" s="153">
        <f>SUMIFS(Grid_BD!$R:$R,Grid_BD!$G:$G,(VLOOKUP(S$4,'Basic Data'!$A:$G,7,0)),Grid_BD!$F:$F,"&gt;="&amp;Analytices!$B$2,Grid_BD!$F:$F,"&lt;="&amp;Analytices!$B$3)</f>
        <v>0</v>
      </c>
      <c r="T11" s="153">
        <f>SUMIFS(Grid_BD!$R:$R,Grid_BD!$G:$G,(VLOOKUP(T$4,'Basic Data'!$A:$G,7,0)),Grid_BD!$F:$F,"&gt;="&amp;Analytices!$B$2,Grid_BD!$F:$F,"&lt;="&amp;Analytices!$B$3)</f>
        <v>0</v>
      </c>
      <c r="U11" s="153">
        <f>SUMIFS(Grid_BD!$R:$R,Grid_BD!$G:$G,(VLOOKUP(U$4,'Basic Data'!$A:$G,7,0)),Grid_BD!$F:$F,"&gt;="&amp;Analytices!$B$2,Grid_BD!$F:$F,"&lt;="&amp;Analytices!$B$3)</f>
        <v>0</v>
      </c>
      <c r="V11" s="153">
        <f>SUMIFS(Grid_BD!$R:$R,Grid_BD!$G:$G,(VLOOKUP(V$4,'Basic Data'!$A:$G,7,0)),Grid_BD!$F:$F,"&gt;="&amp;Analytices!$B$2,Grid_BD!$F:$F,"&lt;="&amp;Analytices!$B$3)</f>
        <v>0</v>
      </c>
      <c r="W11" s="153">
        <f>SUMIFS(Grid_BD!$R:$R,Grid_BD!$G:$G,(VLOOKUP(W$4,'Basic Data'!$A:$G,7,0)),Grid_BD!$F:$F,"&gt;="&amp;Analytices!$B$2,Grid_BD!$F:$F,"&lt;="&amp;Analytices!$B$3)</f>
        <v>0</v>
      </c>
      <c r="X11" s="153">
        <f>SUMIFS(Grid_BD!$R:$R,Grid_BD!$G:$G,(VLOOKUP(X$4,'Basic Data'!$A:$G,7,0)),Grid_BD!$F:$F,"&gt;="&amp;Analytices!$B$2,Grid_BD!$F:$F,"&lt;="&amp;Analytices!$B$3)</f>
        <v>0</v>
      </c>
      <c r="Y11" s="153">
        <f>SUMIFS(Grid_BD!$R:$R,Grid_BD!$G:$G,(VLOOKUP(Y$4,'Basic Data'!$A:$G,7,0)),Grid_BD!$F:$F,"&gt;="&amp;Analytices!$B$2,Grid_BD!$F:$F,"&lt;="&amp;Analytices!$B$3)</f>
        <v>0</v>
      </c>
      <c r="Z11" s="153">
        <f>SUMIFS(Grid_BD!$R:$R,Grid_BD!$G:$G,(VLOOKUP(Z$4,'Basic Data'!$A:$G,7,0)),Grid_BD!$F:$F,"&gt;="&amp;Analytices!$B$2,Grid_BD!$F:$F,"&lt;="&amp;Analytices!$B$3)</f>
        <v>0</v>
      </c>
      <c r="AA11" s="153">
        <f>SUMIFS(Grid_BD!$R:$R,Grid_BD!$G:$G,(VLOOKUP(AA$4,'Basic Data'!$A:$G,7,0)),Grid_BD!$F:$F,"&gt;="&amp;Analytices!$B$2,Grid_BD!$F:$F,"&lt;="&amp;Analytices!$B$3)</f>
        <v>0</v>
      </c>
    </row>
    <row r="12" spans="1:27" ht="29.25" hidden="1" customHeight="1">
      <c r="A12" s="129" t="s">
        <v>107</v>
      </c>
      <c r="B12" s="153"/>
      <c r="C12" s="153"/>
      <c r="D12" s="153"/>
      <c r="E12" s="153"/>
      <c r="F12" s="153"/>
      <c r="G12" s="153"/>
      <c r="H12" s="153"/>
      <c r="I12" s="153"/>
      <c r="J12" s="153"/>
      <c r="K12" s="153"/>
      <c r="L12" s="153"/>
      <c r="M12" s="153"/>
      <c r="N12" s="153"/>
      <c r="O12" s="153"/>
      <c r="P12" s="153"/>
      <c r="Q12" s="153"/>
      <c r="R12" s="153"/>
      <c r="S12" s="153"/>
      <c r="T12" s="153"/>
      <c r="U12" s="153"/>
      <c r="V12" s="153"/>
      <c r="W12" s="153"/>
      <c r="X12" s="153"/>
      <c r="Y12" s="153"/>
      <c r="Z12" s="153"/>
      <c r="AA12" s="153"/>
    </row>
    <row r="13" spans="1:27" ht="29.25" customHeight="1">
      <c r="A13" s="127" t="s">
        <v>108</v>
      </c>
      <c r="B13" s="157">
        <f>(C3-B14)/C3</f>
        <v>1</v>
      </c>
      <c r="C13" s="157">
        <f t="shared" ref="C13:AA13" si="2">$B$13</f>
        <v>1</v>
      </c>
      <c r="D13" s="157">
        <f t="shared" si="2"/>
        <v>1</v>
      </c>
      <c r="E13" s="158">
        <f t="shared" si="2"/>
        <v>1</v>
      </c>
      <c r="F13" s="158">
        <f t="shared" si="2"/>
        <v>1</v>
      </c>
      <c r="G13" s="158">
        <f t="shared" si="2"/>
        <v>1</v>
      </c>
      <c r="H13" s="158">
        <f t="shared" si="2"/>
        <v>1</v>
      </c>
      <c r="I13" s="158">
        <f t="shared" si="2"/>
        <v>1</v>
      </c>
      <c r="J13" s="158">
        <f t="shared" si="2"/>
        <v>1</v>
      </c>
      <c r="K13" s="158">
        <f t="shared" si="2"/>
        <v>1</v>
      </c>
      <c r="L13" s="158">
        <f t="shared" si="2"/>
        <v>1</v>
      </c>
      <c r="M13" s="158">
        <f t="shared" si="2"/>
        <v>1</v>
      </c>
      <c r="N13" s="158">
        <f t="shared" si="2"/>
        <v>1</v>
      </c>
      <c r="O13" s="158">
        <f t="shared" si="2"/>
        <v>1</v>
      </c>
      <c r="P13" s="158">
        <f t="shared" si="2"/>
        <v>1</v>
      </c>
      <c r="Q13" s="158">
        <f t="shared" si="2"/>
        <v>1</v>
      </c>
      <c r="R13" s="158">
        <f t="shared" si="2"/>
        <v>1</v>
      </c>
      <c r="S13" s="158">
        <f t="shared" si="2"/>
        <v>1</v>
      </c>
      <c r="T13" s="158">
        <f t="shared" si="2"/>
        <v>1</v>
      </c>
      <c r="U13" s="158">
        <f t="shared" si="2"/>
        <v>1</v>
      </c>
      <c r="V13" s="158">
        <f t="shared" si="2"/>
        <v>1</v>
      </c>
      <c r="W13" s="158">
        <f t="shared" si="2"/>
        <v>1</v>
      </c>
      <c r="X13" s="158">
        <f t="shared" si="2"/>
        <v>1</v>
      </c>
      <c r="Y13" s="158">
        <f t="shared" si="2"/>
        <v>1</v>
      </c>
      <c r="Z13" s="158">
        <f t="shared" si="2"/>
        <v>1</v>
      </c>
      <c r="AA13" s="158">
        <f t="shared" si="2"/>
        <v>1</v>
      </c>
    </row>
    <row r="14" spans="1:27" ht="29.25" hidden="1" customHeight="1">
      <c r="A14" s="129" t="s">
        <v>109</v>
      </c>
      <c r="B14" s="153">
        <f>(SUMIFS(Grid_BD!$R:$R,Grid_BD!$F:$F,"&gt;="&amp;Analytices!B2,Grid_BD!$F:$F,"&lt;="&amp;Analytices!B3,Grid_BD!$G:$G,"Line1"))</f>
        <v>0</v>
      </c>
      <c r="C14" s="153">
        <f>$B$14</f>
        <v>0</v>
      </c>
      <c r="D14" s="153">
        <f t="shared" ref="D14:AA14" si="3">$B$14</f>
        <v>0</v>
      </c>
      <c r="E14" s="153">
        <f t="shared" si="3"/>
        <v>0</v>
      </c>
      <c r="F14" s="153">
        <f t="shared" si="3"/>
        <v>0</v>
      </c>
      <c r="G14" s="153">
        <f t="shared" si="3"/>
        <v>0</v>
      </c>
      <c r="H14" s="153">
        <f t="shared" si="3"/>
        <v>0</v>
      </c>
      <c r="I14" s="153">
        <f t="shared" si="3"/>
        <v>0</v>
      </c>
      <c r="J14" s="153">
        <f t="shared" si="3"/>
        <v>0</v>
      </c>
      <c r="K14" s="153">
        <f t="shared" si="3"/>
        <v>0</v>
      </c>
      <c r="L14" s="153">
        <f t="shared" si="3"/>
        <v>0</v>
      </c>
      <c r="M14" s="153">
        <f t="shared" si="3"/>
        <v>0</v>
      </c>
      <c r="N14" s="153">
        <f t="shared" si="3"/>
        <v>0</v>
      </c>
      <c r="O14" s="153">
        <f t="shared" si="3"/>
        <v>0</v>
      </c>
      <c r="P14" s="153">
        <f t="shared" si="3"/>
        <v>0</v>
      </c>
      <c r="Q14" s="153">
        <f t="shared" si="3"/>
        <v>0</v>
      </c>
      <c r="R14" s="153">
        <f t="shared" si="3"/>
        <v>0</v>
      </c>
      <c r="S14" s="153">
        <f t="shared" si="3"/>
        <v>0</v>
      </c>
      <c r="T14" s="153">
        <f t="shared" si="3"/>
        <v>0</v>
      </c>
      <c r="U14" s="153">
        <f t="shared" si="3"/>
        <v>0</v>
      </c>
      <c r="V14" s="153">
        <f t="shared" si="3"/>
        <v>0</v>
      </c>
      <c r="W14" s="153">
        <f t="shared" si="3"/>
        <v>0</v>
      </c>
      <c r="X14" s="153">
        <f t="shared" si="3"/>
        <v>0</v>
      </c>
      <c r="Y14" s="153">
        <f t="shared" si="3"/>
        <v>0</v>
      </c>
      <c r="Z14" s="153">
        <f t="shared" si="3"/>
        <v>0</v>
      </c>
      <c r="AA14" s="153">
        <f t="shared" si="3"/>
        <v>0</v>
      </c>
    </row>
    <row r="15" spans="1:27" ht="29.25" customHeight="1">
      <c r="A15" s="127" t="s">
        <v>110</v>
      </c>
      <c r="B15" s="153">
        <f>SUMIFS(Input_Raw!F:F,Input_Raw!$A:$A,"&gt;="&amp;Analytices!$B$2,Input_Raw!$A:$A,"&lt;="&amp;Analytices!$B$3)</f>
        <v>538202</v>
      </c>
      <c r="C15" s="153">
        <f>SUMIFS(Input_Raw!G:G,Input_Raw!$A:$A,"&gt;="&amp;Analytices!$B$2,Input_Raw!$A:$A,"&lt;="&amp;Analytices!$B$3)</f>
        <v>584367</v>
      </c>
      <c r="D15" s="153">
        <f>SUMIFS(Input_Raw!H:H,Input_Raw!$A:$A,"&gt;="&amp;Analytices!$B$2,Input_Raw!$A:$A,"&lt;="&amp;Analytices!$B$3)</f>
        <v>546143</v>
      </c>
      <c r="E15" s="153">
        <f>SUMIFS(Input_Raw!I:I,Input_Raw!$A:$A,"&gt;="&amp;Analytices!$B$2,Input_Raw!$A:$A,"&lt;="&amp;Analytices!$B$3)</f>
        <v>559671</v>
      </c>
      <c r="F15" s="153">
        <f>SUMIFS(Input_Raw!J:J,Input_Raw!$A:$A,"&gt;="&amp;Analytices!$B$2,Input_Raw!$A:$A,"&lt;="&amp;Analytices!$B$3)</f>
        <v>575622</v>
      </c>
      <c r="G15" s="153">
        <f>SUMIFS(Input_Raw!K:K,Input_Raw!$A:$A,"&gt;="&amp;Analytices!$B$2,Input_Raw!$A:$A,"&lt;="&amp;Analytices!$B$3)</f>
        <v>604758</v>
      </c>
      <c r="H15" s="153">
        <f>SUMIFS(Input_Raw!L:L,Input_Raw!$A:$A,"&gt;="&amp;Analytices!$B$2,Input_Raw!$A:$A,"&lt;="&amp;Analytices!$B$3)</f>
        <v>545662</v>
      </c>
      <c r="I15" s="153">
        <f>SUMIFS(Input_Raw!M:M,Input_Raw!$A:$A,"&gt;="&amp;Analytices!$B$2,Input_Raw!$A:$A,"&lt;="&amp;Analytices!$B$3)</f>
        <v>568099</v>
      </c>
      <c r="J15" s="153">
        <f>SUMIFS(Input_Raw!N:N,Input_Raw!$A:$A,"&gt;="&amp;Analytices!$B$2,Input_Raw!$A:$A,"&lt;="&amp;Analytices!$B$3)</f>
        <v>549901</v>
      </c>
      <c r="K15" s="153">
        <f>SUMIFS(Input_Raw!O:O,Input_Raw!$A:$A,"&gt;="&amp;Analytices!$B$2,Input_Raw!$A:$A,"&lt;="&amp;Analytices!$B$3)</f>
        <v>569256</v>
      </c>
      <c r="L15" s="153">
        <f>SUMIFS(Input_Raw!P:P,Input_Raw!$A:$A,"&gt;="&amp;Analytices!$B$2,Input_Raw!$A:$A,"&lt;="&amp;Analytices!$B$3)</f>
        <v>537635</v>
      </c>
      <c r="M15" s="153">
        <f>SUMIFS(Input_Raw!Q:Q,Input_Raw!$A:$A,"&gt;="&amp;Analytices!$B$2,Input_Raw!$A:$A,"&lt;="&amp;Analytices!$B$3)</f>
        <v>354138</v>
      </c>
      <c r="N15" s="153">
        <f>SUMIFS(Input_Raw!R:R,Input_Raw!$A:$A,"&gt;="&amp;Analytices!$B$2,Input_Raw!$A:$A,"&lt;="&amp;Analytices!$B$3)</f>
        <v>546641</v>
      </c>
      <c r="O15" s="153">
        <f>SUMIFS(Input_Raw!S:S,Input_Raw!$A:$A,"&gt;="&amp;Analytices!$B$2,Input_Raw!$A:$A,"&lt;="&amp;Analytices!$B$3)</f>
        <v>562653</v>
      </c>
      <c r="P15" s="153">
        <f>SUMIFS(Input_Raw!T:T,Input_Raw!$A:$A,"&gt;="&amp;Analytices!$B$2,Input_Raw!$A:$A,"&lt;="&amp;Analytices!$B$3)</f>
        <v>543802</v>
      </c>
      <c r="Q15" s="153">
        <f>SUMIFS(Input_Raw!U:U,Input_Raw!$A:$A,"&gt;="&amp;Analytices!$B$2,Input_Raw!$A:$A,"&lt;="&amp;Analytices!$B$3)</f>
        <v>575628</v>
      </c>
      <c r="R15" s="153">
        <f>SUMIFS(Input_Raw!V:V,Input_Raw!$A:$A,"&gt;="&amp;Analytices!$B$2,Input_Raw!$A:$A,"&lt;="&amp;Analytices!$B$3)</f>
        <v>633712</v>
      </c>
      <c r="S15" s="153">
        <f>SUMIFS(Input_Raw!W:W,Input_Raw!$A:$A,"&gt;="&amp;Analytices!$B$2,Input_Raw!$A:$A,"&lt;="&amp;Analytices!$B$3)</f>
        <v>582491</v>
      </c>
      <c r="T15" s="153">
        <f>SUMIFS(Input_Raw!X:X,Input_Raw!$A:$A,"&gt;="&amp;Analytices!$B$2,Input_Raw!$A:$A,"&lt;="&amp;Analytices!$B$3)</f>
        <v>625710</v>
      </c>
      <c r="U15" s="153">
        <f>SUMIFS(Input_Raw!Y:Y,Input_Raw!$A:$A,"&gt;="&amp;Analytices!$B$2,Input_Raw!$A:$A,"&lt;="&amp;Analytices!$B$3)</f>
        <v>420435</v>
      </c>
      <c r="V15" s="153">
        <f>SUMIFS(Input_Raw!Z:Z,Input_Raw!$A:$A,"&gt;="&amp;Analytices!$B$2,Input_Raw!$A:$A,"&lt;="&amp;Analytices!$B$3)</f>
        <v>601585</v>
      </c>
      <c r="W15" s="153">
        <f>SUMIFS(Input_Raw!AA:AA,Input_Raw!$A:$A,"&gt;="&amp;Analytices!$B$2,Input_Raw!$A:$A,"&lt;="&amp;Analytices!$B$3)</f>
        <v>581579</v>
      </c>
      <c r="X15" s="153">
        <f>SUMIFS(Input_Raw!AB:AB,Input_Raw!$A:$A,"&gt;="&amp;Analytices!$B$2,Input_Raw!$A:$A,"&lt;="&amp;Analytices!$B$3)</f>
        <v>559900</v>
      </c>
      <c r="Y15" s="153">
        <f>SUMIFS(Input_Raw!AC:AC,Input_Raw!$A:$A,"&gt;="&amp;Analytices!$B$2,Input_Raw!$A:$A,"&lt;="&amp;Analytices!$B$3)</f>
        <v>599982</v>
      </c>
      <c r="Z15" s="153">
        <f>SUMIFS(Input_Raw!AD:AD,Input_Raw!$A:$A,"&gt;="&amp;Analytices!$B$2,Input_Raw!$A:$A,"&lt;="&amp;Analytices!$B$3)</f>
        <v>612784</v>
      </c>
      <c r="AA15" s="153">
        <f>SUMIFS(Input_Raw!AE:AE,Input_Raw!$A:$A,"&gt;="&amp;Analytices!$B$2,Input_Raw!$A:$A,"&lt;="&amp;Analytices!$B$3)</f>
        <v>563406</v>
      </c>
    </row>
    <row r="16" spans="1:27" ht="29.25" customHeight="1">
      <c r="A16" s="127" t="s">
        <v>111</v>
      </c>
      <c r="B16" s="155">
        <f>IFERROR(($C$3-(SUM(B8:B12,B14,B6)))/$C$3,1)</f>
        <v>0.99522946859903383</v>
      </c>
      <c r="C16" s="155">
        <f t="shared" ref="C16:AA16" si="4">IFERROR(($C$3-(SUM(C8:C12,C14,C6)))/$C$3,1)</f>
        <v>0.99522946859903383</v>
      </c>
      <c r="D16" s="155">
        <f t="shared" si="4"/>
        <v>0.99522946859903383</v>
      </c>
      <c r="E16" s="155">
        <f t="shared" si="4"/>
        <v>0.99842995169082127</v>
      </c>
      <c r="F16" s="155">
        <f t="shared" si="4"/>
        <v>0.99522946859903383</v>
      </c>
      <c r="G16" s="155">
        <f t="shared" si="4"/>
        <v>0.99842995169082127</v>
      </c>
      <c r="H16" s="155">
        <f t="shared" si="4"/>
        <v>0.99842995169082127</v>
      </c>
      <c r="I16" s="155">
        <f t="shared" si="4"/>
        <v>0.99842995169082127</v>
      </c>
      <c r="J16" s="155">
        <f t="shared" si="4"/>
        <v>0.99522946859903383</v>
      </c>
      <c r="K16" s="155">
        <f t="shared" si="4"/>
        <v>0.99522946859903383</v>
      </c>
      <c r="L16" s="155">
        <f t="shared" si="4"/>
        <v>0.99522946859903383</v>
      </c>
      <c r="M16" s="155">
        <f t="shared" si="4"/>
        <v>0.99522946859903383</v>
      </c>
      <c r="N16" s="155">
        <f t="shared" si="4"/>
        <v>0.99522946859903383</v>
      </c>
      <c r="O16" s="155">
        <f t="shared" si="4"/>
        <v>0.99522946859903383</v>
      </c>
      <c r="P16" s="155">
        <f t="shared" si="4"/>
        <v>0.99522946859903383</v>
      </c>
      <c r="Q16" s="155">
        <f t="shared" si="4"/>
        <v>0.99522946859903383</v>
      </c>
      <c r="R16" s="155">
        <f t="shared" si="4"/>
        <v>0.99842995169082127</v>
      </c>
      <c r="S16" s="155">
        <f t="shared" si="4"/>
        <v>0.99842995169082127</v>
      </c>
      <c r="T16" s="155">
        <f t="shared" si="4"/>
        <v>0.99842995169082127</v>
      </c>
      <c r="U16" s="155">
        <f t="shared" si="4"/>
        <v>0.99522946859903383</v>
      </c>
      <c r="V16" s="155">
        <f t="shared" si="4"/>
        <v>0.99842995169082127</v>
      </c>
      <c r="W16" s="155">
        <f t="shared" si="4"/>
        <v>0.99842995169082127</v>
      </c>
      <c r="X16" s="155">
        <f t="shared" si="4"/>
        <v>0.99842995169082127</v>
      </c>
      <c r="Y16" s="155">
        <f t="shared" si="4"/>
        <v>0.99842995169082127</v>
      </c>
      <c r="Z16" s="155">
        <f t="shared" si="4"/>
        <v>0.99842995169082127</v>
      </c>
      <c r="AA16" s="155">
        <f t="shared" si="4"/>
        <v>0.99842995169082127</v>
      </c>
    </row>
    <row r="17" spans="1:27" ht="29.25" hidden="1" customHeight="1">
      <c r="A17" s="129" t="s">
        <v>112</v>
      </c>
      <c r="B17" s="154">
        <f>SUMIFS(WTG_BD!$T:$T,WTG_BD!$F:$F,"&gt;="&amp;Analytices!$B$2,WTG_BD!$F:$F,"&lt;="&amp;Analytices!$B$3,WTG_BD!$G:$G,B4)</f>
        <v>0.11666666666666625</v>
      </c>
      <c r="C17" s="154">
        <f>SUMIFS(WTG_BD!$T:$T,WTG_BD!$F:$F,"&gt;="&amp;Analytices!$B$2,WTG_BD!$F:$F,"&lt;="&amp;Analytices!$B$3,WTG_BD!$G:$G,C4)</f>
        <v>14.166666666666666</v>
      </c>
      <c r="D17" s="154">
        <f>SUMIFS(WTG_BD!$T:$T,WTG_BD!$F:$F,"&gt;="&amp;Analytices!$B$2,WTG_BD!$F:$F,"&lt;="&amp;Analytices!$B$3,WTG_BD!$G:$G,D4)</f>
        <v>15.149999999999999</v>
      </c>
      <c r="E17" s="154">
        <f>SUMIFS(WTG_BD!$T:$T,WTG_BD!$F:$F,"&gt;="&amp;Analytices!$B$2,WTG_BD!$F:$F,"&lt;="&amp;Analytices!$B$3,WTG_BD!$G:$G,E4)</f>
        <v>6.3500000000000023</v>
      </c>
      <c r="F17" s="154">
        <f>SUMIFS(WTG_BD!$T:$T,WTG_BD!$F:$F,"&gt;="&amp;Analytices!$B$2,WTG_BD!$F:$F,"&lt;="&amp;Analytices!$B$3,WTG_BD!$G:$G,F4)</f>
        <v>3.2166666666666632</v>
      </c>
      <c r="G17" s="154">
        <f>SUMIFS(WTG_BD!$T:$T,WTG_BD!$F:$F,"&gt;="&amp;Analytices!$B$2,WTG_BD!$F:$F,"&lt;="&amp;Analytices!$B$3,WTG_BD!$G:$G,G4)</f>
        <v>10.133333333333333</v>
      </c>
      <c r="H17" s="154">
        <f>SUMIFS(WTG_BD!$T:$T,WTG_BD!$F:$F,"&gt;="&amp;Analytices!$B$2,WTG_BD!$F:$F,"&lt;="&amp;Analytices!$B$3,WTG_BD!$G:$G,H4)</f>
        <v>5.8833333333333382</v>
      </c>
      <c r="I17" s="154">
        <f>SUMIFS(WTG_BD!$T:$T,WTG_BD!$F:$F,"&gt;="&amp;Analytices!$B$2,WTG_BD!$F:$F,"&lt;="&amp;Analytices!$B$3,WTG_BD!$G:$G,I4)</f>
        <v>3.1333333333333342</v>
      </c>
      <c r="J17" s="154">
        <f>SUMIFS(WTG_BD!$T:$T,WTG_BD!$F:$F,"&gt;="&amp;Analytices!$B$2,WTG_BD!$F:$F,"&lt;="&amp;Analytices!$B$3,WTG_BD!$G:$G,J4)</f>
        <v>2.8500000000000005</v>
      </c>
      <c r="K17" s="154">
        <f>SUMIFS(WTG_BD!$T:$T,WTG_BD!$F:$F,"&gt;="&amp;Analytices!$B$2,WTG_BD!$F:$F,"&lt;="&amp;Analytices!$B$3,WTG_BD!$G:$G,K4)</f>
        <v>0.69999999999999885</v>
      </c>
      <c r="L17" s="154">
        <f>SUMIFS(WTG_BD!$T:$T,WTG_BD!$F:$F,"&gt;="&amp;Analytices!$B$2,WTG_BD!$F:$F,"&lt;="&amp;Analytices!$B$3,WTG_BD!$G:$G,L4)</f>
        <v>10.46666666666667</v>
      </c>
      <c r="M17" s="154">
        <f>SUMIFS(WTG_BD!$T:$T,WTG_BD!$F:$F,"&gt;="&amp;Analytices!$B$2,WTG_BD!$F:$F,"&lt;="&amp;Analytices!$B$3,WTG_BD!$G:$G,M4)</f>
        <v>168.11527777777775</v>
      </c>
      <c r="N17" s="154">
        <f>SUMIFS(WTG_BD!$T:$T,WTG_BD!$F:$F,"&gt;="&amp;Analytices!$B$2,WTG_BD!$F:$F,"&lt;="&amp;Analytices!$B$3,WTG_BD!$G:$G,N4)</f>
        <v>3.3166666666666682</v>
      </c>
      <c r="O17" s="154">
        <f>SUMIFS(WTG_BD!$T:$T,WTG_BD!$F:$F,"&gt;="&amp;Analytices!$B$2,WTG_BD!$F:$F,"&lt;="&amp;Analytices!$B$3,WTG_BD!$G:$G,O4)</f>
        <v>1.883333333333336</v>
      </c>
      <c r="P17" s="154">
        <f>SUMIFS(WTG_BD!$T:$T,WTG_BD!$F:$F,"&gt;="&amp;Analytices!$B$2,WTG_BD!$F:$F,"&lt;="&amp;Analytices!$B$3,WTG_BD!$G:$G,P4)</f>
        <v>8.299722222222222</v>
      </c>
      <c r="Q17" s="154">
        <f>SUMIFS(WTG_BD!$T:$T,WTG_BD!$F:$F,"&gt;="&amp;Analytices!$B$2,WTG_BD!$F:$F,"&lt;="&amp;Analytices!$B$3,WTG_BD!$G:$G,Q4)</f>
        <v>3.4500000000000011</v>
      </c>
      <c r="R17" s="154">
        <f>SUMIFS(WTG_BD!$T:$T,WTG_BD!$F:$F,"&gt;="&amp;Analytices!$B$2,WTG_BD!$F:$F,"&lt;="&amp;Analytices!$B$3,WTG_BD!$G:$G,R4)</f>
        <v>4.1833333333333327</v>
      </c>
      <c r="S17" s="154">
        <f>SUMIFS(WTG_BD!$T:$T,WTG_BD!$F:$F,"&gt;="&amp;Analytices!$B$2,WTG_BD!$F:$F,"&lt;="&amp;Analytices!$B$3,WTG_BD!$G:$G,S4)</f>
        <v>22.04999999999999</v>
      </c>
      <c r="T17" s="154">
        <f>SUMIFS(WTG_BD!$T:$T,WTG_BD!$F:$F,"&gt;="&amp;Analytices!$B$2,WTG_BD!$F:$F,"&lt;="&amp;Analytices!$B$3,WTG_BD!$G:$G,T4)</f>
        <v>1.7333333333333325</v>
      </c>
      <c r="U17" s="154">
        <f>SUMIFS(WTG_BD!$T:$T,WTG_BD!$F:$F,"&gt;="&amp;Analytices!$B$2,WTG_BD!$F:$F,"&lt;="&amp;Analytices!$B$3,WTG_BD!$G:$G,U4)</f>
        <v>108.28305555555556</v>
      </c>
      <c r="V17" s="154">
        <f>SUMIFS(WTG_BD!$T:$T,WTG_BD!$F:$F,"&gt;="&amp;Analytices!$B$2,WTG_BD!$F:$F,"&lt;="&amp;Analytices!$B$3,WTG_BD!$G:$G,V4)</f>
        <v>0.36666666666666803</v>
      </c>
      <c r="W17" s="154">
        <f>SUMIFS(WTG_BD!$T:$T,WTG_BD!$F:$F,"&gt;="&amp;Analytices!$B$2,WTG_BD!$F:$F,"&lt;="&amp;Analytices!$B$3,WTG_BD!$G:$G,W4)</f>
        <v>6.533333333333335</v>
      </c>
      <c r="X17" s="154">
        <f>SUMIFS(WTG_BD!$T:$T,WTG_BD!$F:$F,"&gt;="&amp;Analytices!$B$2,WTG_BD!$F:$F,"&lt;="&amp;Analytices!$B$3,WTG_BD!$G:$G,X4)</f>
        <v>4.8000000000000016</v>
      </c>
      <c r="Y17" s="154">
        <f>SUMIFS(WTG_BD!$T:$T,WTG_BD!$F:$F,"&gt;="&amp;Analytices!$B$2,WTG_BD!$F:$F,"&lt;="&amp;Analytices!$B$3,WTG_BD!$G:$G,Y4)</f>
        <v>0.70000000000000151</v>
      </c>
      <c r="Z17" s="154">
        <f>SUMIFS(WTG_BD!$T:$T,WTG_BD!$F:$F,"&gt;="&amp;Analytices!$B$2,WTG_BD!$F:$F,"&lt;="&amp;Analytices!$B$3,WTG_BD!$G:$G,Z4)</f>
        <v>3.3333333333333215E-2</v>
      </c>
      <c r="AA17" s="154">
        <f>SUMIFS(WTG_BD!$T:$T,WTG_BD!$F:$F,"&gt;="&amp;Analytices!$B$2,WTG_BD!$F:$F,"&lt;="&amp;Analytices!$B$3,WTG_BD!$G:$G,AA4)</f>
        <v>4.7666666666666684</v>
      </c>
    </row>
    <row r="18" spans="1:27" ht="29.25" hidden="1" customHeight="1">
      <c r="A18" s="129" t="s">
        <v>113</v>
      </c>
      <c r="B18" s="154">
        <f>COUNTIFS(WTG_BD!$F:$F,"&gt;="&amp;Analytices!$B$2,WTG_BD!$F:$F,"&lt;="&amp;Analytices!$B$3,WTG_BD!$G:$G,B4)</f>
        <v>3</v>
      </c>
      <c r="C18" s="154">
        <f>COUNTIFS(WTG_BD!$F:$F,"&gt;="&amp;Analytices!$B$2,WTG_BD!$F:$F,"&lt;="&amp;Analytices!$B$3,WTG_BD!$G:$G,C4)</f>
        <v>10</v>
      </c>
      <c r="D18" s="154">
        <f>COUNTIFS(WTG_BD!$F:$F,"&gt;="&amp;Analytices!$B$2,WTG_BD!$F:$F,"&lt;="&amp;Analytices!$B$3,WTG_BD!$G:$G,D4)</f>
        <v>4</v>
      </c>
      <c r="E18" s="154">
        <f>COUNTIFS(WTG_BD!$F:$F,"&gt;="&amp;Analytices!$B$2,WTG_BD!$F:$F,"&lt;="&amp;Analytices!$B$3,WTG_BD!$G:$G,E4)</f>
        <v>10</v>
      </c>
      <c r="F18" s="154">
        <f>COUNTIFS(WTG_BD!$F:$F,"&gt;="&amp;Analytices!$B$2,WTG_BD!$F:$F,"&lt;="&amp;Analytices!$B$3,WTG_BD!$G:$G,F4)</f>
        <v>12</v>
      </c>
      <c r="G18" s="154">
        <f>COUNTIFS(WTG_BD!$F:$F,"&gt;="&amp;Analytices!$B$2,WTG_BD!$F:$F,"&lt;="&amp;Analytices!$B$3,WTG_BD!$G:$G,G4)</f>
        <v>5</v>
      </c>
      <c r="H18" s="154">
        <f>COUNTIFS(WTG_BD!$F:$F,"&gt;="&amp;Analytices!$B$2,WTG_BD!$F:$F,"&lt;="&amp;Analytices!$B$3,WTG_BD!$G:$G,H4)</f>
        <v>5</v>
      </c>
      <c r="I18" s="154">
        <f>COUNTIFS(WTG_BD!$F:$F,"&gt;="&amp;Analytices!$B$2,WTG_BD!$F:$F,"&lt;="&amp;Analytices!$B$3,WTG_BD!$G:$G,I4)</f>
        <v>2</v>
      </c>
      <c r="J18" s="154">
        <f>COUNTIFS(WTG_BD!$F:$F,"&gt;="&amp;Analytices!$B$2,WTG_BD!$F:$F,"&lt;="&amp;Analytices!$B$3,WTG_BD!$G:$G,J4)</f>
        <v>4</v>
      </c>
      <c r="K18" s="154">
        <f>COUNTIFS(WTG_BD!$F:$F,"&gt;="&amp;Analytices!$B$2,WTG_BD!$F:$F,"&lt;="&amp;Analytices!$B$3,WTG_BD!$G:$G,K4)</f>
        <v>4</v>
      </c>
      <c r="L18" s="154">
        <f>COUNTIFS(WTG_BD!$F:$F,"&gt;="&amp;Analytices!$B$2,WTG_BD!$F:$F,"&lt;="&amp;Analytices!$B$3,WTG_BD!$G:$G,L4)</f>
        <v>4</v>
      </c>
      <c r="M18" s="154">
        <f>COUNTIFS(WTG_BD!$F:$F,"&gt;="&amp;Analytices!$B$2,WTG_BD!$F:$F,"&lt;="&amp;Analytices!$B$3,WTG_BD!$G:$G,M4)</f>
        <v>45</v>
      </c>
      <c r="N18" s="154">
        <f>COUNTIFS(WTG_BD!$F:$F,"&gt;="&amp;Analytices!$B$2,WTG_BD!$F:$F,"&lt;="&amp;Analytices!$B$3,WTG_BD!$G:$G,N4)</f>
        <v>3</v>
      </c>
      <c r="O18" s="154">
        <f>COUNTIFS(WTG_BD!$F:$F,"&gt;="&amp;Analytices!$B$2,WTG_BD!$F:$F,"&lt;="&amp;Analytices!$B$3,WTG_BD!$G:$G,O4)</f>
        <v>8</v>
      </c>
      <c r="P18" s="154">
        <f>COUNTIFS(WTG_BD!$F:$F,"&gt;="&amp;Analytices!$B$2,WTG_BD!$F:$F,"&lt;="&amp;Analytices!$B$3,WTG_BD!$G:$G,P4)</f>
        <v>8</v>
      </c>
      <c r="Q18" s="154">
        <f>COUNTIFS(WTG_BD!$F:$F,"&gt;="&amp;Analytices!$B$2,WTG_BD!$F:$F,"&lt;="&amp;Analytices!$B$3,WTG_BD!$G:$G,Q4)</f>
        <v>4</v>
      </c>
      <c r="R18" s="154">
        <f>COUNTIFS(WTG_BD!$F:$F,"&gt;="&amp;Analytices!$B$2,WTG_BD!$F:$F,"&lt;="&amp;Analytices!$B$3,WTG_BD!$G:$G,R4)</f>
        <v>3</v>
      </c>
      <c r="S18" s="154">
        <f>COUNTIFS(WTG_BD!$F:$F,"&gt;="&amp;Analytices!$B$2,WTG_BD!$F:$F,"&lt;="&amp;Analytices!$B$3,WTG_BD!$G:$G,S4)</f>
        <v>7</v>
      </c>
      <c r="T18" s="154">
        <f>COUNTIFS(WTG_BD!$F:$F,"&gt;="&amp;Analytices!$B$2,WTG_BD!$F:$F,"&lt;="&amp;Analytices!$B$3,WTG_BD!$G:$G,T4)</f>
        <v>1</v>
      </c>
      <c r="U18" s="154">
        <f>COUNTIFS(WTG_BD!$F:$F,"&gt;="&amp;Analytices!$B$2,WTG_BD!$F:$F,"&lt;="&amp;Analytices!$B$3,WTG_BD!$G:$G,U4)</f>
        <v>10</v>
      </c>
      <c r="V18" s="154">
        <f>COUNTIFS(WTG_BD!$F:$F,"&gt;="&amp;Analytices!$B$2,WTG_BD!$F:$F,"&lt;="&amp;Analytices!$B$3,WTG_BD!$G:$G,V4)</f>
        <v>3</v>
      </c>
      <c r="W18" s="154">
        <f>COUNTIFS(WTG_BD!$F:$F,"&gt;="&amp;Analytices!$B$2,WTG_BD!$F:$F,"&lt;="&amp;Analytices!$B$3,WTG_BD!$G:$G,W4)</f>
        <v>6</v>
      </c>
      <c r="X18" s="154">
        <f>COUNTIFS(WTG_BD!$F:$F,"&gt;="&amp;Analytices!$B$2,WTG_BD!$F:$F,"&lt;="&amp;Analytices!$B$3,WTG_BD!$G:$G,X4)</f>
        <v>7</v>
      </c>
      <c r="Y18" s="154">
        <f>COUNTIFS(WTG_BD!$F:$F,"&gt;="&amp;Analytices!$B$2,WTG_BD!$F:$F,"&lt;="&amp;Analytices!$B$3,WTG_BD!$G:$G,Y4)</f>
        <v>2</v>
      </c>
      <c r="Z18" s="154">
        <f>COUNTIFS(WTG_BD!$F:$F,"&gt;="&amp;Analytices!$B$2,WTG_BD!$F:$F,"&lt;="&amp;Analytices!$B$3,WTG_BD!$G:$G,Z4)</f>
        <v>1</v>
      </c>
      <c r="AA18" s="154">
        <f>COUNTIFS(WTG_BD!$F:$F,"&gt;="&amp;Analytices!$B$2,WTG_BD!$F:$F,"&lt;="&amp;Analytices!$B$3,WTG_BD!$G:$G,AA4)</f>
        <v>5</v>
      </c>
    </row>
    <row r="19" spans="1:27" ht="29.25" customHeight="1">
      <c r="A19" s="127" t="s">
        <v>114</v>
      </c>
      <c r="B19" s="159">
        <f>IFERROR(B17/B18,0)</f>
        <v>3.8888888888888751E-2</v>
      </c>
      <c r="C19" s="159">
        <f t="shared" ref="C19:AA19" si="5">IFERROR(C17/C18,0)</f>
        <v>1.4166666666666665</v>
      </c>
      <c r="D19" s="159">
        <f t="shared" si="5"/>
        <v>3.7874999999999996</v>
      </c>
      <c r="E19" s="159">
        <f t="shared" si="5"/>
        <v>0.63500000000000023</v>
      </c>
      <c r="F19" s="159">
        <f t="shared" si="5"/>
        <v>0.26805555555555527</v>
      </c>
      <c r="G19" s="159">
        <f t="shared" si="5"/>
        <v>2.0266666666666664</v>
      </c>
      <c r="H19" s="159">
        <f t="shared" si="5"/>
        <v>1.1766666666666676</v>
      </c>
      <c r="I19" s="159">
        <f t="shared" si="5"/>
        <v>1.5666666666666671</v>
      </c>
      <c r="J19" s="159">
        <f t="shared" si="5"/>
        <v>0.71250000000000013</v>
      </c>
      <c r="K19" s="159">
        <f t="shared" si="5"/>
        <v>0.17499999999999971</v>
      </c>
      <c r="L19" s="159">
        <f t="shared" si="5"/>
        <v>2.6166666666666676</v>
      </c>
      <c r="M19" s="159">
        <f t="shared" si="5"/>
        <v>3.7358950617283946</v>
      </c>
      <c r="N19" s="159">
        <f t="shared" si="5"/>
        <v>1.1055555555555561</v>
      </c>
      <c r="O19" s="159">
        <f t="shared" si="5"/>
        <v>0.235416666666667</v>
      </c>
      <c r="P19" s="159">
        <f t="shared" si="5"/>
        <v>1.0374652777777778</v>
      </c>
      <c r="Q19" s="159">
        <f t="shared" si="5"/>
        <v>0.86250000000000027</v>
      </c>
      <c r="R19" s="159">
        <f t="shared" si="5"/>
        <v>1.3944444444444442</v>
      </c>
      <c r="S19" s="159">
        <f t="shared" si="5"/>
        <v>3.1499999999999986</v>
      </c>
      <c r="T19" s="159">
        <f t="shared" si="5"/>
        <v>1.7333333333333325</v>
      </c>
      <c r="U19" s="159">
        <f t="shared" si="5"/>
        <v>10.828305555555556</v>
      </c>
      <c r="V19" s="159">
        <f t="shared" si="5"/>
        <v>0.12222222222222268</v>
      </c>
      <c r="W19" s="159">
        <f t="shared" si="5"/>
        <v>1.0888888888888892</v>
      </c>
      <c r="X19" s="159">
        <f t="shared" si="5"/>
        <v>0.68571428571428594</v>
      </c>
      <c r="Y19" s="159">
        <f t="shared" si="5"/>
        <v>0.35000000000000075</v>
      </c>
      <c r="Z19" s="159">
        <f t="shared" si="5"/>
        <v>3.3333333333333215E-2</v>
      </c>
      <c r="AA19" s="159">
        <f t="shared" si="5"/>
        <v>0.9533333333333337</v>
      </c>
    </row>
    <row r="20" spans="1:27" ht="29.25" customHeight="1">
      <c r="A20" s="127" t="s">
        <v>115</v>
      </c>
      <c r="B20" s="159">
        <f>IFERROR(($C$3-B17)/B18,$C$3)</f>
        <v>183.96111111111111</v>
      </c>
      <c r="C20" s="159">
        <f t="shared" ref="C20:AA20" si="6">IFERROR(($C$3-C17)/C18,$C$3)</f>
        <v>53.783333333333339</v>
      </c>
      <c r="D20" s="159">
        <f t="shared" si="6"/>
        <v>134.21250000000001</v>
      </c>
      <c r="E20" s="159">
        <f t="shared" si="6"/>
        <v>54.564999999999998</v>
      </c>
      <c r="F20" s="159">
        <f t="shared" si="6"/>
        <v>45.731944444444444</v>
      </c>
      <c r="G20" s="159">
        <f t="shared" si="6"/>
        <v>108.37333333333333</v>
      </c>
      <c r="H20" s="159">
        <f t="shared" si="6"/>
        <v>109.22333333333333</v>
      </c>
      <c r="I20" s="159">
        <f t="shared" si="6"/>
        <v>274.43333333333334</v>
      </c>
      <c r="J20" s="159">
        <f t="shared" si="6"/>
        <v>137.28749999999999</v>
      </c>
      <c r="K20" s="159">
        <f t="shared" si="6"/>
        <v>137.82499999999999</v>
      </c>
      <c r="L20" s="159">
        <f t="shared" si="6"/>
        <v>135.38333333333333</v>
      </c>
      <c r="M20" s="159">
        <f t="shared" si="6"/>
        <v>8.5307716049382716</v>
      </c>
      <c r="N20" s="159">
        <f t="shared" si="6"/>
        <v>182.89444444444442</v>
      </c>
      <c r="O20" s="159">
        <f t="shared" si="6"/>
        <v>68.764583333333334</v>
      </c>
      <c r="P20" s="159">
        <f t="shared" si="6"/>
        <v>67.962534722222216</v>
      </c>
      <c r="Q20" s="159">
        <f t="shared" si="6"/>
        <v>137.13749999999999</v>
      </c>
      <c r="R20" s="159">
        <f t="shared" si="6"/>
        <v>182.60555555555558</v>
      </c>
      <c r="S20" s="159">
        <f t="shared" si="6"/>
        <v>75.70714285714287</v>
      </c>
      <c r="T20" s="159">
        <f t="shared" si="6"/>
        <v>550.26666666666665</v>
      </c>
      <c r="U20" s="159">
        <f t="shared" si="6"/>
        <v>44.371694444444444</v>
      </c>
      <c r="V20" s="159">
        <f t="shared" si="6"/>
        <v>183.87777777777777</v>
      </c>
      <c r="W20" s="159">
        <f t="shared" si="6"/>
        <v>90.911111111111111</v>
      </c>
      <c r="X20" s="159">
        <f t="shared" si="6"/>
        <v>78.171428571428578</v>
      </c>
      <c r="Y20" s="159">
        <f t="shared" si="6"/>
        <v>275.64999999999998</v>
      </c>
      <c r="Z20" s="159">
        <f t="shared" si="6"/>
        <v>551.9666666666667</v>
      </c>
      <c r="AA20" s="159">
        <f t="shared" si="6"/>
        <v>109.44666666666667</v>
      </c>
    </row>
    <row r="21" spans="1:27" ht="29.25" customHeight="1">
      <c r="A21" s="127" t="s">
        <v>116</v>
      </c>
      <c r="B21" s="159">
        <f>ROUND(AVERAGEIFS(Input_Raw!AF:AF,Input_Raw!$A:$A,"&gt;="&amp;Analytices!$B$2,Input_Raw!$A:$A,"&lt;="&amp;Analytices!$B$3),1)</f>
        <v>6.5</v>
      </c>
      <c r="C21" s="159">
        <f>ROUND(AVERAGEIFS(Input_Raw!AG:AG,Input_Raw!$A:$A,"&gt;="&amp;Analytices!$B$2,Input_Raw!$A:$A,"&lt;="&amp;Analytices!$B$3),1)</f>
        <v>6.5</v>
      </c>
      <c r="D21" s="159">
        <f>ROUND(AVERAGEIFS(Input_Raw!AH:AH,Input_Raw!$A:$A,"&gt;="&amp;Analytices!$B$2,Input_Raw!$A:$A,"&lt;="&amp;Analytices!$B$3),1)</f>
        <v>6.4</v>
      </c>
      <c r="E21" s="159">
        <f>ROUND(AVERAGEIFS(Input_Raw!AI:AI,Input_Raw!$A:$A,"&gt;="&amp;Analytices!$B$2,Input_Raw!$A:$A,"&lt;="&amp;Analytices!$B$3),1)</f>
        <v>6.4</v>
      </c>
      <c r="F21" s="159">
        <f>ROUND(AVERAGEIFS(Input_Raw!AJ:AJ,Input_Raw!$A:$A,"&gt;="&amp;Analytices!$B$2,Input_Raw!$A:$A,"&lt;="&amp;Analytices!$B$3),1)</f>
        <v>6.6</v>
      </c>
      <c r="G21" s="159">
        <f>ROUND(AVERAGEIFS(Input_Raw!AK:AK,Input_Raw!$A:$A,"&gt;="&amp;Analytices!$B$2,Input_Raw!$A:$A,"&lt;="&amp;Analytices!$B$3),1)</f>
        <v>7</v>
      </c>
      <c r="H21" s="159">
        <f>ROUND(AVERAGEIFS(Input_Raw!AL:AL,Input_Raw!$A:$A,"&gt;="&amp;Analytices!$B$2,Input_Raw!$A:$A,"&lt;="&amp;Analytices!$B$3),1)</f>
        <v>6.4</v>
      </c>
      <c r="I21" s="159">
        <f>ROUND(AVERAGEIFS(Input_Raw!AM:AM,Input_Raw!$A:$A,"&gt;="&amp;Analytices!$B$2,Input_Raw!$A:$A,"&lt;="&amp;Analytices!$B$3),1)</f>
        <v>6.4</v>
      </c>
      <c r="J21" s="159">
        <f>ROUND(AVERAGEIFS(Input_Raw!AN:AN,Input_Raw!$A:$A,"&gt;="&amp;Analytices!$B$2,Input_Raw!$A:$A,"&lt;="&amp;Analytices!$B$3),1)</f>
        <v>6.5</v>
      </c>
      <c r="K21" s="159">
        <f>ROUND(AVERAGEIFS(Input_Raw!AO:AO,Input_Raw!$A:$A,"&gt;="&amp;Analytices!$B$2,Input_Raw!$A:$A,"&lt;="&amp;Analytices!$B$3),1)</f>
        <v>6.5</v>
      </c>
      <c r="L21" s="159">
        <f>ROUND(AVERAGEIFS(Input_Raw!AP:AP,Input_Raw!$A:$A,"&gt;="&amp;Analytices!$B$2,Input_Raw!$A:$A,"&lt;="&amp;Analytices!$B$3),1)</f>
        <v>6.5</v>
      </c>
      <c r="M21" s="159">
        <f>ROUND(AVERAGEIFS(Input_Raw!AQ:AQ,Input_Raw!$A:$A,"&gt;="&amp;Analytices!$B$2,Input_Raw!$A:$A,"&lt;="&amp;Analytices!$B$3),1)</f>
        <v>7.4</v>
      </c>
      <c r="N21" s="159">
        <f>ROUND(AVERAGEIFS(Input_Raw!AR:AR,Input_Raw!$A:$A,"&gt;="&amp;Analytices!$B$2,Input_Raw!$A:$A,"&lt;="&amp;Analytices!$B$3),1)</f>
        <v>6.4</v>
      </c>
      <c r="O21" s="159">
        <f>ROUND(AVERAGEIFS(Input_Raw!AS:AS,Input_Raw!$A:$A,"&gt;="&amp;Analytices!$B$2,Input_Raw!$A:$A,"&lt;="&amp;Analytices!$B$3),1)</f>
        <v>6.5</v>
      </c>
      <c r="P21" s="159">
        <f>ROUND(AVERAGEIFS(Input_Raw!AT:AT,Input_Raw!$A:$A,"&gt;="&amp;Analytices!$B$2,Input_Raw!$A:$A,"&lt;="&amp;Analytices!$B$3),1)</f>
        <v>6.4</v>
      </c>
      <c r="Q21" s="159">
        <f>ROUND(AVERAGEIFS(Input_Raw!AU:AU,Input_Raw!$A:$A,"&gt;="&amp;Analytices!$B$2,Input_Raw!$A:$A,"&lt;="&amp;Analytices!$B$3),1)</f>
        <v>6.5</v>
      </c>
      <c r="R21" s="159">
        <f>ROUND(AVERAGEIFS(Input_Raw!AV:AV,Input_Raw!$A:$A,"&gt;="&amp;Analytices!$B$2,Input_Raw!$A:$A,"&lt;="&amp;Analytices!$B$3),1)</f>
        <v>6.9</v>
      </c>
      <c r="S21" s="159">
        <f>ROUND(AVERAGEIFS(Input_Raw!AW:AW,Input_Raw!$A:$A,"&gt;="&amp;Analytices!$B$2,Input_Raw!$A:$A,"&lt;="&amp;Analytices!$B$3),1)</f>
        <v>6.6</v>
      </c>
      <c r="T21" s="159">
        <f>ROUND(AVERAGEIFS(Input_Raw!AX:AX,Input_Raw!$A:$A,"&gt;="&amp;Analytices!$B$2,Input_Raw!$A:$A,"&lt;="&amp;Analytices!$B$3),1)</f>
        <v>6.7</v>
      </c>
      <c r="U21" s="159">
        <f>ROUND(AVERAGEIFS(Input_Raw!AY:AY,Input_Raw!$A:$A,"&gt;="&amp;Analytices!$B$2,Input_Raw!$A:$A,"&lt;="&amp;Analytices!$B$3),1)</f>
        <v>6.4</v>
      </c>
      <c r="V21" s="159">
        <f>ROUND(AVERAGEIFS(Input_Raw!AZ:AZ,Input_Raw!$A:$A,"&gt;="&amp;Analytices!$B$2,Input_Raw!$A:$A,"&lt;="&amp;Analytices!$B$3),1)</f>
        <v>6.6</v>
      </c>
      <c r="W21" s="159">
        <f>ROUND(AVERAGEIFS(Input_Raw!BA:BA,Input_Raw!$A:$A,"&gt;="&amp;Analytices!$B$2,Input_Raw!$A:$A,"&lt;="&amp;Analytices!$B$3),1)</f>
        <v>6.7</v>
      </c>
      <c r="X21" s="159">
        <f>ROUND(AVERAGEIFS(Input_Raw!BB:BB,Input_Raw!$A:$A,"&gt;="&amp;Analytices!$B$2,Input_Raw!$A:$A,"&lt;="&amp;Analytices!$B$3),1)</f>
        <v>6.5</v>
      </c>
      <c r="Y21" s="159">
        <f>ROUND(AVERAGEIFS(Input_Raw!BC:BC,Input_Raw!$A:$A,"&gt;="&amp;Analytices!$B$2,Input_Raw!$A:$A,"&lt;="&amp;Analytices!$B$3),1)</f>
        <v>6.6</v>
      </c>
      <c r="Z21" s="159">
        <f>ROUND(AVERAGEIFS(Input_Raw!BD:BD,Input_Raw!$A:$A,"&gt;="&amp;Analytices!$B$2,Input_Raw!$A:$A,"&lt;="&amp;Analytices!$B$3),1)</f>
        <v>6.6</v>
      </c>
      <c r="AA21" s="159">
        <f>ROUND(AVERAGEIFS(Input_Raw!BE:BE,Input_Raw!$A:$A,"&gt;="&amp;Analytices!$B$2,Input_Raw!$A:$A,"&lt;="&amp;Analytices!$B$3),1)</f>
        <v>6.5</v>
      </c>
    </row>
    <row r="22" spans="1:27" ht="29.25" customHeight="1">
      <c r="A22" s="84"/>
    </row>
    <row r="23" spans="1:27" ht="29.25" customHeight="1">
      <c r="A23" s="632" t="s">
        <v>117</v>
      </c>
      <c r="B23" s="632"/>
      <c r="C23" s="632"/>
      <c r="D23" s="632"/>
      <c r="E23" s="632"/>
      <c r="F23" s="632"/>
      <c r="G23" s="632"/>
    </row>
    <row r="24" spans="1:27" ht="29.25" customHeight="1">
      <c r="A24" s="85">
        <v>45017</v>
      </c>
    </row>
    <row r="25" spans="1:27" ht="29.25" customHeight="1">
      <c r="D25" s="630" t="s">
        <v>118</v>
      </c>
      <c r="E25" s="630"/>
      <c r="F25" s="630" t="s">
        <v>119</v>
      </c>
      <c r="G25" s="630"/>
    </row>
    <row r="26" spans="1:27" ht="29.25" customHeight="1">
      <c r="D26" s="630">
        <f ca="1">F26</f>
        <v>20256</v>
      </c>
      <c r="E26" s="630"/>
      <c r="F26" s="631">
        <f ca="1">((TODAY()-1)-(A24))*24</f>
        <v>20256</v>
      </c>
      <c r="G26" s="631"/>
    </row>
    <row r="27" spans="1:27" ht="29.25" customHeight="1">
      <c r="A27" s="132" t="s">
        <v>120</v>
      </c>
      <c r="B27" s="131" t="s">
        <v>121</v>
      </c>
    </row>
    <row r="29" spans="1:27" ht="29.25" customHeight="1">
      <c r="A29" s="132" t="s">
        <v>122</v>
      </c>
      <c r="B29" s="131" t="s">
        <v>123</v>
      </c>
      <c r="C29" s="131" t="s">
        <v>124</v>
      </c>
      <c r="D29" s="131" t="s">
        <v>125</v>
      </c>
      <c r="E29" s="131" t="s">
        <v>126</v>
      </c>
    </row>
    <row r="30" spans="1:27" ht="29.25" customHeight="1">
      <c r="A30" s="112" t="s">
        <v>127</v>
      </c>
      <c r="B30" s="131"/>
      <c r="C30" s="131"/>
      <c r="D30" s="130" t="e">
        <f>B30/C30</f>
        <v>#DIV/0!</v>
      </c>
      <c r="E30" s="130" t="e">
        <f ca="1">$D$26/C30</f>
        <v>#DIV/0!</v>
      </c>
    </row>
    <row r="31" spans="1:27" ht="29.25" customHeight="1">
      <c r="D31" s="130" t="e">
        <f t="shared" ref="D31:D94" si="7">B31/C31</f>
        <v>#DIV/0!</v>
      </c>
      <c r="E31" s="130" t="e">
        <f t="shared" ref="E31:E94" ca="1" si="8">$D$26/C31</f>
        <v>#DIV/0!</v>
      </c>
    </row>
    <row r="32" spans="1:27" ht="29.25" customHeight="1">
      <c r="D32" s="130" t="e">
        <f t="shared" si="7"/>
        <v>#DIV/0!</v>
      </c>
      <c r="E32" s="130" t="e">
        <f t="shared" ca="1" si="8"/>
        <v>#DIV/0!</v>
      </c>
    </row>
    <row r="33" spans="4:5" ht="29.25" customHeight="1">
      <c r="D33" s="130" t="e">
        <f t="shared" si="7"/>
        <v>#DIV/0!</v>
      </c>
      <c r="E33" s="130" t="e">
        <f t="shared" ca="1" si="8"/>
        <v>#DIV/0!</v>
      </c>
    </row>
    <row r="34" spans="4:5" ht="29.25" customHeight="1">
      <c r="D34" s="130" t="e">
        <f t="shared" si="7"/>
        <v>#DIV/0!</v>
      </c>
      <c r="E34" s="130" t="e">
        <f t="shared" ca="1" si="8"/>
        <v>#DIV/0!</v>
      </c>
    </row>
    <row r="35" spans="4:5" ht="29.25" customHeight="1">
      <c r="D35" s="130" t="e">
        <f t="shared" si="7"/>
        <v>#DIV/0!</v>
      </c>
      <c r="E35" s="130" t="e">
        <f t="shared" ca="1" si="8"/>
        <v>#DIV/0!</v>
      </c>
    </row>
    <row r="36" spans="4:5" ht="29.25" customHeight="1">
      <c r="D36" s="130" t="e">
        <f t="shared" si="7"/>
        <v>#DIV/0!</v>
      </c>
      <c r="E36" s="130" t="e">
        <f t="shared" ca="1" si="8"/>
        <v>#DIV/0!</v>
      </c>
    </row>
    <row r="37" spans="4:5" ht="29.25" customHeight="1">
      <c r="D37" s="130" t="e">
        <f t="shared" si="7"/>
        <v>#DIV/0!</v>
      </c>
      <c r="E37" s="130" t="e">
        <f t="shared" ca="1" si="8"/>
        <v>#DIV/0!</v>
      </c>
    </row>
    <row r="38" spans="4:5" ht="29.25" customHeight="1">
      <c r="D38" s="130" t="e">
        <f t="shared" si="7"/>
        <v>#DIV/0!</v>
      </c>
      <c r="E38" s="130" t="e">
        <f t="shared" ca="1" si="8"/>
        <v>#DIV/0!</v>
      </c>
    </row>
    <row r="39" spans="4:5" ht="29.25" customHeight="1">
      <c r="D39" s="130" t="e">
        <f t="shared" si="7"/>
        <v>#DIV/0!</v>
      </c>
      <c r="E39" s="130" t="e">
        <f t="shared" ca="1" si="8"/>
        <v>#DIV/0!</v>
      </c>
    </row>
    <row r="40" spans="4:5" ht="29.25" customHeight="1">
      <c r="D40" s="130" t="e">
        <f t="shared" si="7"/>
        <v>#DIV/0!</v>
      </c>
      <c r="E40" s="130" t="e">
        <f t="shared" ca="1" si="8"/>
        <v>#DIV/0!</v>
      </c>
    </row>
    <row r="41" spans="4:5" ht="29.25" customHeight="1">
      <c r="D41" s="130" t="e">
        <f t="shared" si="7"/>
        <v>#DIV/0!</v>
      </c>
      <c r="E41" s="130" t="e">
        <f t="shared" ca="1" si="8"/>
        <v>#DIV/0!</v>
      </c>
    </row>
    <row r="42" spans="4:5" ht="29.25" customHeight="1">
      <c r="D42" s="130" t="e">
        <f t="shared" si="7"/>
        <v>#DIV/0!</v>
      </c>
      <c r="E42" s="130" t="e">
        <f t="shared" ca="1" si="8"/>
        <v>#DIV/0!</v>
      </c>
    </row>
    <row r="43" spans="4:5" ht="29.25" customHeight="1">
      <c r="D43" s="130" t="e">
        <f t="shared" si="7"/>
        <v>#DIV/0!</v>
      </c>
      <c r="E43" s="130" t="e">
        <f t="shared" ca="1" si="8"/>
        <v>#DIV/0!</v>
      </c>
    </row>
    <row r="44" spans="4:5" ht="29.25" customHeight="1">
      <c r="D44" s="130" t="e">
        <f t="shared" si="7"/>
        <v>#DIV/0!</v>
      </c>
      <c r="E44" s="130" t="e">
        <f t="shared" ca="1" si="8"/>
        <v>#DIV/0!</v>
      </c>
    </row>
    <row r="45" spans="4:5" ht="29.25" customHeight="1">
      <c r="D45" s="130" t="e">
        <f t="shared" si="7"/>
        <v>#DIV/0!</v>
      </c>
      <c r="E45" s="130" t="e">
        <f t="shared" ca="1" si="8"/>
        <v>#DIV/0!</v>
      </c>
    </row>
    <row r="46" spans="4:5" ht="29.25" customHeight="1">
      <c r="D46" s="130" t="e">
        <f t="shared" si="7"/>
        <v>#DIV/0!</v>
      </c>
      <c r="E46" s="130" t="e">
        <f t="shared" ca="1" si="8"/>
        <v>#DIV/0!</v>
      </c>
    </row>
    <row r="47" spans="4:5" ht="29.25" customHeight="1">
      <c r="D47" s="130" t="e">
        <f t="shared" si="7"/>
        <v>#DIV/0!</v>
      </c>
      <c r="E47" s="130" t="e">
        <f t="shared" ca="1" si="8"/>
        <v>#DIV/0!</v>
      </c>
    </row>
    <row r="48" spans="4:5" ht="29.25" customHeight="1">
      <c r="D48" s="130" t="e">
        <f t="shared" si="7"/>
        <v>#DIV/0!</v>
      </c>
      <c r="E48" s="130" t="e">
        <f t="shared" ca="1" si="8"/>
        <v>#DIV/0!</v>
      </c>
    </row>
    <row r="49" spans="4:5" ht="29.25" customHeight="1">
      <c r="D49" s="130" t="e">
        <f t="shared" si="7"/>
        <v>#DIV/0!</v>
      </c>
      <c r="E49" s="130" t="e">
        <f t="shared" ca="1" si="8"/>
        <v>#DIV/0!</v>
      </c>
    </row>
    <row r="50" spans="4:5" ht="29.25" customHeight="1">
      <c r="D50" s="130" t="e">
        <f t="shared" si="7"/>
        <v>#DIV/0!</v>
      </c>
      <c r="E50" s="130" t="e">
        <f t="shared" ca="1" si="8"/>
        <v>#DIV/0!</v>
      </c>
    </row>
    <row r="51" spans="4:5" ht="29.25" customHeight="1">
      <c r="D51" s="130" t="e">
        <f t="shared" si="7"/>
        <v>#DIV/0!</v>
      </c>
      <c r="E51" s="130" t="e">
        <f t="shared" ca="1" si="8"/>
        <v>#DIV/0!</v>
      </c>
    </row>
    <row r="52" spans="4:5" ht="29.25" customHeight="1">
      <c r="D52" s="130" t="e">
        <f t="shared" si="7"/>
        <v>#DIV/0!</v>
      </c>
      <c r="E52" s="130" t="e">
        <f t="shared" ca="1" si="8"/>
        <v>#DIV/0!</v>
      </c>
    </row>
    <row r="53" spans="4:5" ht="29.25" customHeight="1">
      <c r="D53" s="130" t="e">
        <f t="shared" si="7"/>
        <v>#DIV/0!</v>
      </c>
      <c r="E53" s="130" t="e">
        <f t="shared" ca="1" si="8"/>
        <v>#DIV/0!</v>
      </c>
    </row>
    <row r="54" spans="4:5" ht="29.25" customHeight="1">
      <c r="D54" s="130" t="e">
        <f t="shared" si="7"/>
        <v>#DIV/0!</v>
      </c>
      <c r="E54" s="130" t="e">
        <f t="shared" ca="1" si="8"/>
        <v>#DIV/0!</v>
      </c>
    </row>
    <row r="55" spans="4:5" ht="29.25" customHeight="1">
      <c r="D55" s="130" t="e">
        <f t="shared" si="7"/>
        <v>#DIV/0!</v>
      </c>
      <c r="E55" s="130" t="e">
        <f t="shared" ca="1" si="8"/>
        <v>#DIV/0!</v>
      </c>
    </row>
    <row r="56" spans="4:5" ht="29.25" customHeight="1">
      <c r="D56" s="130" t="e">
        <f t="shared" si="7"/>
        <v>#DIV/0!</v>
      </c>
      <c r="E56" s="130" t="e">
        <f t="shared" ca="1" si="8"/>
        <v>#DIV/0!</v>
      </c>
    </row>
    <row r="57" spans="4:5" ht="29.25" customHeight="1">
      <c r="D57" s="130" t="e">
        <f t="shared" si="7"/>
        <v>#DIV/0!</v>
      </c>
      <c r="E57" s="130" t="e">
        <f t="shared" ca="1" si="8"/>
        <v>#DIV/0!</v>
      </c>
    </row>
    <row r="58" spans="4:5" ht="29.25" customHeight="1">
      <c r="D58" s="130" t="e">
        <f t="shared" si="7"/>
        <v>#DIV/0!</v>
      </c>
      <c r="E58" s="130" t="e">
        <f t="shared" ca="1" si="8"/>
        <v>#DIV/0!</v>
      </c>
    </row>
    <row r="59" spans="4:5" ht="29.25" customHeight="1">
      <c r="D59" s="130" t="e">
        <f t="shared" si="7"/>
        <v>#DIV/0!</v>
      </c>
      <c r="E59" s="130" t="e">
        <f t="shared" ca="1" si="8"/>
        <v>#DIV/0!</v>
      </c>
    </row>
    <row r="60" spans="4:5" ht="29.25" customHeight="1">
      <c r="D60" s="130" t="e">
        <f t="shared" si="7"/>
        <v>#DIV/0!</v>
      </c>
      <c r="E60" s="130" t="e">
        <f t="shared" ca="1" si="8"/>
        <v>#DIV/0!</v>
      </c>
    </row>
    <row r="61" spans="4:5" ht="29.25" customHeight="1">
      <c r="D61" s="130" t="e">
        <f t="shared" si="7"/>
        <v>#DIV/0!</v>
      </c>
      <c r="E61" s="130" t="e">
        <f t="shared" ca="1" si="8"/>
        <v>#DIV/0!</v>
      </c>
    </row>
    <row r="62" spans="4:5" ht="29.25" customHeight="1">
      <c r="D62" s="130" t="e">
        <f t="shared" si="7"/>
        <v>#DIV/0!</v>
      </c>
      <c r="E62" s="130" t="e">
        <f t="shared" ca="1" si="8"/>
        <v>#DIV/0!</v>
      </c>
    </row>
    <row r="63" spans="4:5" ht="29.25" customHeight="1">
      <c r="D63" s="130" t="e">
        <f t="shared" si="7"/>
        <v>#DIV/0!</v>
      </c>
      <c r="E63" s="130" t="e">
        <f t="shared" ca="1" si="8"/>
        <v>#DIV/0!</v>
      </c>
    </row>
    <row r="64" spans="4:5" ht="29.25" customHeight="1">
      <c r="D64" s="130" t="e">
        <f t="shared" si="7"/>
        <v>#DIV/0!</v>
      </c>
      <c r="E64" s="130" t="e">
        <f t="shared" ca="1" si="8"/>
        <v>#DIV/0!</v>
      </c>
    </row>
    <row r="65" spans="4:5" ht="29.25" customHeight="1">
      <c r="D65" s="130" t="e">
        <f t="shared" si="7"/>
        <v>#DIV/0!</v>
      </c>
      <c r="E65" s="130" t="e">
        <f t="shared" ca="1" si="8"/>
        <v>#DIV/0!</v>
      </c>
    </row>
    <row r="66" spans="4:5" ht="29.25" customHeight="1">
      <c r="D66" s="130" t="e">
        <f t="shared" si="7"/>
        <v>#DIV/0!</v>
      </c>
      <c r="E66" s="130" t="e">
        <f t="shared" ca="1" si="8"/>
        <v>#DIV/0!</v>
      </c>
    </row>
    <row r="67" spans="4:5" ht="29.25" customHeight="1">
      <c r="D67" s="130" t="e">
        <f t="shared" si="7"/>
        <v>#DIV/0!</v>
      </c>
      <c r="E67" s="130" t="e">
        <f t="shared" ca="1" si="8"/>
        <v>#DIV/0!</v>
      </c>
    </row>
    <row r="68" spans="4:5" ht="29.25" customHeight="1">
      <c r="D68" s="130" t="e">
        <f t="shared" si="7"/>
        <v>#DIV/0!</v>
      </c>
      <c r="E68" s="130" t="e">
        <f t="shared" ca="1" si="8"/>
        <v>#DIV/0!</v>
      </c>
    </row>
    <row r="69" spans="4:5" ht="29.25" customHeight="1">
      <c r="D69" s="130" t="e">
        <f t="shared" si="7"/>
        <v>#DIV/0!</v>
      </c>
      <c r="E69" s="130" t="e">
        <f t="shared" ca="1" si="8"/>
        <v>#DIV/0!</v>
      </c>
    </row>
    <row r="70" spans="4:5" ht="29.25" customHeight="1">
      <c r="D70" s="130" t="e">
        <f t="shared" si="7"/>
        <v>#DIV/0!</v>
      </c>
      <c r="E70" s="130" t="e">
        <f t="shared" ca="1" si="8"/>
        <v>#DIV/0!</v>
      </c>
    </row>
    <row r="71" spans="4:5" ht="29.25" customHeight="1">
      <c r="D71" s="130" t="e">
        <f t="shared" si="7"/>
        <v>#DIV/0!</v>
      </c>
      <c r="E71" s="130" t="e">
        <f t="shared" ca="1" si="8"/>
        <v>#DIV/0!</v>
      </c>
    </row>
    <row r="72" spans="4:5" ht="29.25" customHeight="1">
      <c r="D72" s="130" t="e">
        <f t="shared" si="7"/>
        <v>#DIV/0!</v>
      </c>
      <c r="E72" s="130" t="e">
        <f t="shared" ca="1" si="8"/>
        <v>#DIV/0!</v>
      </c>
    </row>
    <row r="73" spans="4:5" ht="29.25" customHeight="1">
      <c r="D73" s="130" t="e">
        <f t="shared" si="7"/>
        <v>#DIV/0!</v>
      </c>
      <c r="E73" s="130" t="e">
        <f t="shared" ca="1" si="8"/>
        <v>#DIV/0!</v>
      </c>
    </row>
    <row r="74" spans="4:5" ht="29.25" customHeight="1">
      <c r="D74" s="130" t="e">
        <f t="shared" si="7"/>
        <v>#DIV/0!</v>
      </c>
      <c r="E74" s="130" t="e">
        <f t="shared" ca="1" si="8"/>
        <v>#DIV/0!</v>
      </c>
    </row>
    <row r="75" spans="4:5" ht="29.25" customHeight="1">
      <c r="D75" s="130" t="e">
        <f t="shared" si="7"/>
        <v>#DIV/0!</v>
      </c>
      <c r="E75" s="130" t="e">
        <f t="shared" ca="1" si="8"/>
        <v>#DIV/0!</v>
      </c>
    </row>
    <row r="76" spans="4:5" ht="29.25" customHeight="1">
      <c r="D76" s="130" t="e">
        <f t="shared" si="7"/>
        <v>#DIV/0!</v>
      </c>
      <c r="E76" s="130" t="e">
        <f t="shared" ca="1" si="8"/>
        <v>#DIV/0!</v>
      </c>
    </row>
    <row r="77" spans="4:5" ht="29.25" customHeight="1">
      <c r="D77" s="130" t="e">
        <f t="shared" si="7"/>
        <v>#DIV/0!</v>
      </c>
      <c r="E77" s="130" t="e">
        <f t="shared" ca="1" si="8"/>
        <v>#DIV/0!</v>
      </c>
    </row>
    <row r="78" spans="4:5" ht="29.25" customHeight="1">
      <c r="D78" s="130" t="e">
        <f t="shared" si="7"/>
        <v>#DIV/0!</v>
      </c>
      <c r="E78" s="130" t="e">
        <f t="shared" ca="1" si="8"/>
        <v>#DIV/0!</v>
      </c>
    </row>
    <row r="79" spans="4:5" ht="29.25" customHeight="1">
      <c r="D79" s="130" t="e">
        <f t="shared" si="7"/>
        <v>#DIV/0!</v>
      </c>
      <c r="E79" s="130" t="e">
        <f t="shared" ca="1" si="8"/>
        <v>#DIV/0!</v>
      </c>
    </row>
    <row r="80" spans="4:5" ht="29.25" customHeight="1">
      <c r="D80" s="130" t="e">
        <f t="shared" si="7"/>
        <v>#DIV/0!</v>
      </c>
      <c r="E80" s="130" t="e">
        <f t="shared" ca="1" si="8"/>
        <v>#DIV/0!</v>
      </c>
    </row>
    <row r="81" spans="4:5" ht="29.25" customHeight="1">
      <c r="D81" s="130" t="e">
        <f t="shared" si="7"/>
        <v>#DIV/0!</v>
      </c>
      <c r="E81" s="130" t="e">
        <f t="shared" ca="1" si="8"/>
        <v>#DIV/0!</v>
      </c>
    </row>
    <row r="82" spans="4:5" ht="29.25" customHeight="1">
      <c r="D82" s="130" t="e">
        <f t="shared" si="7"/>
        <v>#DIV/0!</v>
      </c>
      <c r="E82" s="130" t="e">
        <f t="shared" ca="1" si="8"/>
        <v>#DIV/0!</v>
      </c>
    </row>
    <row r="83" spans="4:5" ht="29.25" customHeight="1">
      <c r="D83" s="130" t="e">
        <f t="shared" si="7"/>
        <v>#DIV/0!</v>
      </c>
      <c r="E83" s="130" t="e">
        <f t="shared" ca="1" si="8"/>
        <v>#DIV/0!</v>
      </c>
    </row>
    <row r="84" spans="4:5" ht="29.25" customHeight="1">
      <c r="D84" s="130" t="e">
        <f t="shared" si="7"/>
        <v>#DIV/0!</v>
      </c>
      <c r="E84" s="130" t="e">
        <f t="shared" ca="1" si="8"/>
        <v>#DIV/0!</v>
      </c>
    </row>
    <row r="85" spans="4:5" ht="29.25" customHeight="1">
      <c r="D85" s="130" t="e">
        <f t="shared" si="7"/>
        <v>#DIV/0!</v>
      </c>
      <c r="E85" s="130" t="e">
        <f t="shared" ca="1" si="8"/>
        <v>#DIV/0!</v>
      </c>
    </row>
    <row r="86" spans="4:5" ht="29.25" customHeight="1">
      <c r="D86" s="130" t="e">
        <f t="shared" si="7"/>
        <v>#DIV/0!</v>
      </c>
      <c r="E86" s="130" t="e">
        <f t="shared" ca="1" si="8"/>
        <v>#DIV/0!</v>
      </c>
    </row>
    <row r="87" spans="4:5" ht="29.25" customHeight="1">
      <c r="D87" s="130" t="e">
        <f t="shared" si="7"/>
        <v>#DIV/0!</v>
      </c>
      <c r="E87" s="130" t="e">
        <f t="shared" ca="1" si="8"/>
        <v>#DIV/0!</v>
      </c>
    </row>
    <row r="88" spans="4:5" ht="29.25" customHeight="1">
      <c r="D88" s="130" t="e">
        <f t="shared" si="7"/>
        <v>#DIV/0!</v>
      </c>
      <c r="E88" s="130" t="e">
        <f t="shared" ca="1" si="8"/>
        <v>#DIV/0!</v>
      </c>
    </row>
    <row r="89" spans="4:5" ht="29.25" customHeight="1">
      <c r="D89" s="130" t="e">
        <f t="shared" si="7"/>
        <v>#DIV/0!</v>
      </c>
      <c r="E89" s="130" t="e">
        <f t="shared" ca="1" si="8"/>
        <v>#DIV/0!</v>
      </c>
    </row>
    <row r="90" spans="4:5" ht="29.25" customHeight="1">
      <c r="D90" s="130" t="e">
        <f t="shared" si="7"/>
        <v>#DIV/0!</v>
      </c>
      <c r="E90" s="130" t="e">
        <f t="shared" ca="1" si="8"/>
        <v>#DIV/0!</v>
      </c>
    </row>
    <row r="91" spans="4:5" ht="29.25" customHeight="1">
      <c r="D91" s="130" t="e">
        <f t="shared" si="7"/>
        <v>#DIV/0!</v>
      </c>
      <c r="E91" s="130" t="e">
        <f t="shared" ca="1" si="8"/>
        <v>#DIV/0!</v>
      </c>
    </row>
    <row r="92" spans="4:5" ht="29.25" customHeight="1">
      <c r="D92" s="130" t="e">
        <f t="shared" si="7"/>
        <v>#DIV/0!</v>
      </c>
      <c r="E92" s="130" t="e">
        <f t="shared" ca="1" si="8"/>
        <v>#DIV/0!</v>
      </c>
    </row>
    <row r="93" spans="4:5" ht="29.25" customHeight="1">
      <c r="D93" s="130" t="e">
        <f t="shared" si="7"/>
        <v>#DIV/0!</v>
      </c>
      <c r="E93" s="130" t="e">
        <f t="shared" ca="1" si="8"/>
        <v>#DIV/0!</v>
      </c>
    </row>
    <row r="94" spans="4:5" ht="29.25" customHeight="1">
      <c r="D94" s="130" t="e">
        <f t="shared" si="7"/>
        <v>#DIV/0!</v>
      </c>
      <c r="E94" s="130" t="e">
        <f t="shared" ca="1" si="8"/>
        <v>#DIV/0!</v>
      </c>
    </row>
    <row r="95" spans="4:5" ht="29.25" customHeight="1">
      <c r="D95" s="130" t="e">
        <f t="shared" ref="D95:D108" si="9">B95/C95</f>
        <v>#DIV/0!</v>
      </c>
      <c r="E95" s="130" t="e">
        <f t="shared" ref="E95:E108" ca="1" si="10">$D$26/C95</f>
        <v>#DIV/0!</v>
      </c>
    </row>
    <row r="96" spans="4:5" ht="29.25" customHeight="1">
      <c r="D96" s="130" t="e">
        <f t="shared" si="9"/>
        <v>#DIV/0!</v>
      </c>
      <c r="E96" s="130" t="e">
        <f t="shared" ca="1" si="10"/>
        <v>#DIV/0!</v>
      </c>
    </row>
    <row r="97" spans="4:5" ht="29.25" customHeight="1">
      <c r="D97" s="130" t="e">
        <f t="shared" si="9"/>
        <v>#DIV/0!</v>
      </c>
      <c r="E97" s="130" t="e">
        <f t="shared" ca="1" si="10"/>
        <v>#DIV/0!</v>
      </c>
    </row>
    <row r="98" spans="4:5" ht="29.25" customHeight="1">
      <c r="D98" s="130" t="e">
        <f t="shared" si="9"/>
        <v>#DIV/0!</v>
      </c>
      <c r="E98" s="130" t="e">
        <f t="shared" ca="1" si="10"/>
        <v>#DIV/0!</v>
      </c>
    </row>
    <row r="99" spans="4:5" ht="29.25" customHeight="1">
      <c r="D99" s="130" t="e">
        <f t="shared" si="9"/>
        <v>#DIV/0!</v>
      </c>
      <c r="E99" s="130" t="e">
        <f t="shared" ca="1" si="10"/>
        <v>#DIV/0!</v>
      </c>
    </row>
    <row r="100" spans="4:5" ht="29.25" customHeight="1">
      <c r="D100" s="130" t="e">
        <f t="shared" si="9"/>
        <v>#DIV/0!</v>
      </c>
      <c r="E100" s="130" t="e">
        <f t="shared" ca="1" si="10"/>
        <v>#DIV/0!</v>
      </c>
    </row>
    <row r="101" spans="4:5" ht="29.25" customHeight="1">
      <c r="D101" s="130" t="e">
        <f t="shared" si="9"/>
        <v>#DIV/0!</v>
      </c>
      <c r="E101" s="130" t="e">
        <f t="shared" ca="1" si="10"/>
        <v>#DIV/0!</v>
      </c>
    </row>
    <row r="102" spans="4:5" ht="29.25" customHeight="1">
      <c r="D102" s="130" t="e">
        <f t="shared" si="9"/>
        <v>#DIV/0!</v>
      </c>
      <c r="E102" s="130" t="e">
        <f t="shared" ca="1" si="10"/>
        <v>#DIV/0!</v>
      </c>
    </row>
    <row r="103" spans="4:5" ht="29.25" customHeight="1">
      <c r="D103" s="130" t="e">
        <f t="shared" si="9"/>
        <v>#DIV/0!</v>
      </c>
      <c r="E103" s="130" t="e">
        <f t="shared" ca="1" si="10"/>
        <v>#DIV/0!</v>
      </c>
    </row>
    <row r="104" spans="4:5" ht="29.25" customHeight="1">
      <c r="D104" s="130" t="e">
        <f t="shared" si="9"/>
        <v>#DIV/0!</v>
      </c>
      <c r="E104" s="130" t="e">
        <f t="shared" ca="1" si="10"/>
        <v>#DIV/0!</v>
      </c>
    </row>
    <row r="105" spans="4:5" ht="29.25" customHeight="1">
      <c r="D105" s="130" t="e">
        <f t="shared" si="9"/>
        <v>#DIV/0!</v>
      </c>
      <c r="E105" s="130" t="e">
        <f t="shared" ca="1" si="10"/>
        <v>#DIV/0!</v>
      </c>
    </row>
    <row r="106" spans="4:5" ht="29.25" customHeight="1">
      <c r="D106" s="130" t="e">
        <f t="shared" si="9"/>
        <v>#DIV/0!</v>
      </c>
      <c r="E106" s="130" t="e">
        <f t="shared" ca="1" si="10"/>
        <v>#DIV/0!</v>
      </c>
    </row>
    <row r="107" spans="4:5" ht="29.25" customHeight="1">
      <c r="D107" s="130" t="e">
        <f t="shared" si="9"/>
        <v>#DIV/0!</v>
      </c>
      <c r="E107" s="130" t="e">
        <f t="shared" ca="1" si="10"/>
        <v>#DIV/0!</v>
      </c>
    </row>
    <row r="108" spans="4:5" ht="29.25" customHeight="1">
      <c r="D108" s="130" t="e">
        <f t="shared" si="9"/>
        <v>#DIV/0!</v>
      </c>
      <c r="E108" s="130" t="e">
        <f t="shared" ca="1" si="10"/>
        <v>#DIV/0!</v>
      </c>
    </row>
  </sheetData>
  <mergeCells count="5">
    <mergeCell ref="D26:E26"/>
    <mergeCell ref="F26:G26"/>
    <mergeCell ref="A23:G23"/>
    <mergeCell ref="D25:E25"/>
    <mergeCell ref="F25:G25"/>
  </mergeCells>
  <conditionalFormatting sqref="B5:AA5">
    <cfRule type="colorScale" priority="204">
      <colorScale>
        <cfvo type="min"/>
        <cfvo type="percentile" val="50"/>
        <cfvo type="max"/>
        <color rgb="FFF8696B"/>
        <color rgb="FFFFEB84"/>
        <color rgb="FF63BE7B"/>
      </colorScale>
    </cfRule>
  </conditionalFormatting>
  <conditionalFormatting sqref="B7:AA7">
    <cfRule type="colorScale" priority="205">
      <colorScale>
        <cfvo type="min"/>
        <cfvo type="percentile" val="50"/>
        <cfvo type="max"/>
        <color rgb="FFF8696B"/>
        <color rgb="FFFFEB84"/>
        <color rgb="FF63BE7B"/>
      </colorScale>
    </cfRule>
  </conditionalFormatting>
  <conditionalFormatting sqref="B13:AA13">
    <cfRule type="colorScale" priority="206">
      <colorScale>
        <cfvo type="min"/>
        <cfvo type="percentile" val="50"/>
        <cfvo type="max"/>
        <color rgb="FFF8696B"/>
        <color rgb="FFFFEB84"/>
        <color rgb="FF63BE7B"/>
      </colorScale>
    </cfRule>
  </conditionalFormatting>
  <conditionalFormatting sqref="B15:AA15">
    <cfRule type="colorScale" priority="207">
      <colorScale>
        <cfvo type="min"/>
        <cfvo type="percentile" val="50"/>
        <cfvo type="max"/>
        <color rgb="FFF8696B"/>
        <color rgb="FFFFEB84"/>
        <color rgb="FF63BE7B"/>
      </colorScale>
    </cfRule>
  </conditionalFormatting>
  <conditionalFormatting sqref="B16:AA16">
    <cfRule type="colorScale" priority="208">
      <colorScale>
        <cfvo type="min"/>
        <cfvo type="percentile" val="50"/>
        <cfvo type="max"/>
        <color rgb="FFF8696B"/>
        <color rgb="FFFFEB84"/>
        <color rgb="FF63BE7B"/>
      </colorScale>
    </cfRule>
  </conditionalFormatting>
  <conditionalFormatting sqref="B19:AA19">
    <cfRule type="colorScale" priority="209">
      <colorScale>
        <cfvo type="min"/>
        <cfvo type="percentile" val="50"/>
        <cfvo type="max"/>
        <color rgb="FF63BE7B"/>
        <color rgb="FFFFEB84"/>
        <color rgb="FFF8696B"/>
      </colorScale>
    </cfRule>
  </conditionalFormatting>
  <conditionalFormatting sqref="B20:AA20">
    <cfRule type="colorScale" priority="210">
      <colorScale>
        <cfvo type="min"/>
        <cfvo type="percentile" val="50"/>
        <cfvo type="max"/>
        <color rgb="FFF8696B"/>
        <color rgb="FFFFEB84"/>
        <color rgb="FF63BE7B"/>
      </colorScale>
    </cfRule>
  </conditionalFormatting>
  <conditionalFormatting sqref="B21:AA21">
    <cfRule type="cellIs" dxfId="6" priority="10" operator="lessThan">
      <formula>$D$2+$D$3</formula>
    </cfRule>
    <cfRule type="cellIs" dxfId="5" priority="11" operator="greaterThan">
      <formula>$D$2+$D$3</formula>
    </cfRule>
  </conditionalFormatting>
  <conditionalFormatting sqref="D30:D108">
    <cfRule type="colorScale" priority="2">
      <colorScale>
        <cfvo type="min"/>
        <cfvo type="percentile" val="50"/>
        <cfvo type="max"/>
        <color rgb="FF63BE7B"/>
        <color rgb="FFFFEB84"/>
        <color rgb="FFF8696B"/>
      </colorScale>
    </cfRule>
  </conditionalFormatting>
  <conditionalFormatting sqref="E30:E108">
    <cfRule type="colorScale" priority="1">
      <colorScale>
        <cfvo type="min"/>
        <cfvo type="percentile" val="50"/>
        <cfvo type="max"/>
        <color rgb="FFF8696B"/>
        <color rgb="FFFFEB84"/>
        <color rgb="FF63BE7B"/>
      </colorScale>
    </cfRule>
  </conditionalFormatting>
  <dataValidations count="2">
    <dataValidation allowBlank="1" showInputMessage="1" showErrorMessage="1" prompt="All breakdown including FM, EGA, IGA etc." sqref="A16" xr:uid="{00000000-0002-0000-0300-000000000000}"/>
    <dataValidation allowBlank="1" showInputMessage="1" showErrorMessage="1" prompt="Change the hours if you select specific period using Pivot Table." sqref="D26:E26" xr:uid="{00000000-0002-0000-0300-000001000000}"/>
  </dataValidations>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E9538-0B62-4C2E-9E9F-CA768574DBCE}">
  <dimension ref="A1:AE1463"/>
  <sheetViews>
    <sheetView zoomScale="70" zoomScaleNormal="70" workbookViewId="0">
      <pane xSplit="4" ySplit="2" topLeftCell="E470" activePane="bottomRight" state="frozen"/>
      <selection pane="topRight" activeCell="E1" sqref="E1"/>
      <selection pane="bottomLeft" activeCell="A3" sqref="A3"/>
      <selection pane="bottomRight" activeCell="T488" sqref="T488"/>
    </sheetView>
  </sheetViews>
  <sheetFormatPr defaultColWidth="8.90625" defaultRowHeight="14.5"/>
  <cols>
    <col min="1" max="1" width="10.08984375" style="167" bestFit="1" customWidth="1"/>
    <col min="2" max="3" width="12.08984375" style="167" customWidth="1"/>
    <col min="4" max="4" width="10.90625" style="167" customWidth="1"/>
    <col min="5" max="30" width="8.90625" style="167"/>
    <col min="31" max="31" width="10.90625" style="167" customWidth="1"/>
    <col min="32" max="16384" width="8.90625" style="167"/>
  </cols>
  <sheetData>
    <row r="1" spans="1:31">
      <c r="A1" s="167">
        <v>1</v>
      </c>
      <c r="B1" s="167">
        <f>A1+1</f>
        <v>2</v>
      </c>
      <c r="C1" s="167">
        <f t="shared" ref="C1:AE1" si="0">B1+1</f>
        <v>3</v>
      </c>
      <c r="D1" s="167">
        <f t="shared" si="0"/>
        <v>4</v>
      </c>
      <c r="E1" s="167">
        <f t="shared" si="0"/>
        <v>5</v>
      </c>
      <c r="F1" s="167">
        <f t="shared" si="0"/>
        <v>6</v>
      </c>
      <c r="G1" s="167">
        <f t="shared" si="0"/>
        <v>7</v>
      </c>
      <c r="H1" s="167">
        <f t="shared" si="0"/>
        <v>8</v>
      </c>
      <c r="I1" s="167">
        <f t="shared" si="0"/>
        <v>9</v>
      </c>
      <c r="J1" s="167">
        <f t="shared" si="0"/>
        <v>10</v>
      </c>
      <c r="K1" s="167">
        <f t="shared" si="0"/>
        <v>11</v>
      </c>
      <c r="L1" s="167">
        <f t="shared" si="0"/>
        <v>12</v>
      </c>
      <c r="M1" s="167">
        <f t="shared" si="0"/>
        <v>13</v>
      </c>
      <c r="N1" s="167">
        <f t="shared" si="0"/>
        <v>14</v>
      </c>
      <c r="O1" s="167">
        <f t="shared" si="0"/>
        <v>15</v>
      </c>
      <c r="P1" s="167">
        <f t="shared" si="0"/>
        <v>16</v>
      </c>
      <c r="Q1" s="167">
        <f t="shared" si="0"/>
        <v>17</v>
      </c>
      <c r="R1" s="167">
        <f t="shared" si="0"/>
        <v>18</v>
      </c>
      <c r="S1" s="167">
        <f t="shared" si="0"/>
        <v>19</v>
      </c>
      <c r="T1" s="167">
        <f t="shared" si="0"/>
        <v>20</v>
      </c>
      <c r="U1" s="167">
        <f t="shared" si="0"/>
        <v>21</v>
      </c>
      <c r="V1" s="167">
        <f t="shared" si="0"/>
        <v>22</v>
      </c>
      <c r="W1" s="167">
        <f t="shared" si="0"/>
        <v>23</v>
      </c>
      <c r="X1" s="167">
        <f t="shared" si="0"/>
        <v>24</v>
      </c>
      <c r="Y1" s="167">
        <f t="shared" si="0"/>
        <v>25</v>
      </c>
      <c r="Z1" s="167">
        <f t="shared" si="0"/>
        <v>26</v>
      </c>
      <c r="AA1" s="167">
        <f t="shared" si="0"/>
        <v>27</v>
      </c>
      <c r="AB1" s="167">
        <f t="shared" si="0"/>
        <v>28</v>
      </c>
      <c r="AC1" s="167">
        <f t="shared" si="0"/>
        <v>29</v>
      </c>
      <c r="AD1" s="167">
        <f t="shared" si="0"/>
        <v>30</v>
      </c>
      <c r="AE1" s="167">
        <f t="shared" si="0"/>
        <v>31</v>
      </c>
    </row>
    <row r="2" spans="1:31" ht="36.9" customHeight="1">
      <c r="A2" s="194" t="s">
        <v>128</v>
      </c>
      <c r="B2" s="195" t="s">
        <v>3</v>
      </c>
      <c r="C2" s="195" t="s">
        <v>129</v>
      </c>
      <c r="D2" s="195" t="s">
        <v>130</v>
      </c>
      <c r="E2" s="9" t="s">
        <v>416</v>
      </c>
      <c r="F2" s="9" t="s">
        <v>417</v>
      </c>
      <c r="G2" s="9" t="s">
        <v>418</v>
      </c>
      <c r="H2" s="9" t="s">
        <v>419</v>
      </c>
      <c r="I2" s="9" t="s">
        <v>420</v>
      </c>
      <c r="J2" s="9" t="s">
        <v>421</v>
      </c>
      <c r="K2" s="9" t="s">
        <v>422</v>
      </c>
      <c r="L2" s="97" t="s">
        <v>423</v>
      </c>
      <c r="M2" s="97" t="s">
        <v>424</v>
      </c>
      <c r="N2" s="97" t="s">
        <v>425</v>
      </c>
      <c r="O2" s="97" t="s">
        <v>426</v>
      </c>
      <c r="P2" s="97" t="s">
        <v>427</v>
      </c>
      <c r="Q2" s="97" t="s">
        <v>428</v>
      </c>
      <c r="R2" s="97" t="s">
        <v>429</v>
      </c>
      <c r="S2" s="97" t="s">
        <v>430</v>
      </c>
      <c r="T2" s="9" t="s">
        <v>431</v>
      </c>
      <c r="U2" s="9" t="s">
        <v>432</v>
      </c>
      <c r="V2" s="9" t="s">
        <v>433</v>
      </c>
      <c r="W2" s="9" t="s">
        <v>434</v>
      </c>
      <c r="X2" s="9" t="s">
        <v>435</v>
      </c>
      <c r="Y2" s="9" t="s">
        <v>436</v>
      </c>
      <c r="Z2" s="9" t="s">
        <v>437</v>
      </c>
      <c r="AA2" s="9" t="s">
        <v>438</v>
      </c>
      <c r="AB2" s="9" t="s">
        <v>439</v>
      </c>
      <c r="AC2" s="9" t="s">
        <v>440</v>
      </c>
      <c r="AD2" s="9" t="s">
        <v>441</v>
      </c>
      <c r="AE2" s="195" t="s">
        <v>442</v>
      </c>
    </row>
    <row r="3" spans="1:31">
      <c r="A3" s="196">
        <v>45383</v>
      </c>
      <c r="B3" s="167">
        <f>YEAR(Table7[[#This Row],[Date]])+IF(MONTH(Table7[[#This Row],[Date]])&gt;=4,1,0)</f>
        <v>2025</v>
      </c>
      <c r="C3" s="167">
        <f>YEAR(Table7[[#This Row],[Date]])</f>
        <v>2024</v>
      </c>
      <c r="D3" s="168">
        <f t="shared" ref="D3:D66" si="1">A3-DAY(A3)+1</f>
        <v>45383</v>
      </c>
      <c r="AE3" s="167">
        <f t="shared" ref="AE3:AE66" si="2">SUM(E3:AD3)</f>
        <v>0</v>
      </c>
    </row>
    <row r="4" spans="1:31">
      <c r="A4" s="197">
        <f>A3+1</f>
        <v>45384</v>
      </c>
      <c r="B4" s="167">
        <f>YEAR(Table7[[#This Row],[Date]])+IF(MONTH(Table7[[#This Row],[Date]])&gt;=4,1,0)</f>
        <v>2025</v>
      </c>
      <c r="C4" s="167">
        <f>YEAR(Table7[[#This Row],[Date]])</f>
        <v>2024</v>
      </c>
      <c r="D4" s="168">
        <f t="shared" si="1"/>
        <v>45383</v>
      </c>
      <c r="AE4" s="167">
        <f t="shared" si="2"/>
        <v>0</v>
      </c>
    </row>
    <row r="5" spans="1:31">
      <c r="A5" s="197">
        <f t="shared" ref="A5:A68" si="3">A4+1</f>
        <v>45385</v>
      </c>
      <c r="B5" s="167">
        <f>YEAR(Table7[[#This Row],[Date]])+IF(MONTH(Table7[[#This Row],[Date]])&gt;=4,1,0)</f>
        <v>2025</v>
      </c>
      <c r="C5" s="167">
        <f>YEAR(Table7[[#This Row],[Date]])</f>
        <v>2024</v>
      </c>
      <c r="D5" s="168">
        <f t="shared" si="1"/>
        <v>45383</v>
      </c>
      <c r="AE5" s="167">
        <f t="shared" si="2"/>
        <v>0</v>
      </c>
    </row>
    <row r="6" spans="1:31">
      <c r="A6" s="197">
        <f t="shared" si="3"/>
        <v>45386</v>
      </c>
      <c r="B6" s="167">
        <f>YEAR(Table7[[#This Row],[Date]])+IF(MONTH(Table7[[#This Row],[Date]])&gt;=4,1,0)</f>
        <v>2025</v>
      </c>
      <c r="C6" s="167">
        <f>YEAR(Table7[[#This Row],[Date]])</f>
        <v>2024</v>
      </c>
      <c r="D6" s="168">
        <f t="shared" si="1"/>
        <v>45383</v>
      </c>
      <c r="AE6" s="167">
        <f t="shared" si="2"/>
        <v>0</v>
      </c>
    </row>
    <row r="7" spans="1:31">
      <c r="A7" s="197">
        <f t="shared" si="3"/>
        <v>45387</v>
      </c>
      <c r="B7" s="167">
        <f>YEAR(Table7[[#This Row],[Date]])+IF(MONTH(Table7[[#This Row],[Date]])&gt;=4,1,0)</f>
        <v>2025</v>
      </c>
      <c r="C7" s="167">
        <f>YEAR(Table7[[#This Row],[Date]])</f>
        <v>2024</v>
      </c>
      <c r="D7" s="168">
        <f t="shared" si="1"/>
        <v>45383</v>
      </c>
      <c r="AE7" s="167">
        <f t="shared" si="2"/>
        <v>0</v>
      </c>
    </row>
    <row r="8" spans="1:31">
      <c r="A8" s="197">
        <f t="shared" si="3"/>
        <v>45388</v>
      </c>
      <c r="B8" s="167">
        <f>YEAR(Table7[[#This Row],[Date]])+IF(MONTH(Table7[[#This Row],[Date]])&gt;=4,1,0)</f>
        <v>2025</v>
      </c>
      <c r="C8" s="167">
        <f>YEAR(Table7[[#This Row],[Date]])</f>
        <v>2024</v>
      </c>
      <c r="D8" s="168">
        <f t="shared" si="1"/>
        <v>45383</v>
      </c>
      <c r="AE8" s="167">
        <f t="shared" si="2"/>
        <v>0</v>
      </c>
    </row>
    <row r="9" spans="1:31">
      <c r="A9" s="197">
        <f t="shared" si="3"/>
        <v>45389</v>
      </c>
      <c r="B9" s="167">
        <f>YEAR(Table7[[#This Row],[Date]])+IF(MONTH(Table7[[#This Row],[Date]])&gt;=4,1,0)</f>
        <v>2025</v>
      </c>
      <c r="C9" s="167">
        <f>YEAR(Table7[[#This Row],[Date]])</f>
        <v>2024</v>
      </c>
      <c r="D9" s="168">
        <f t="shared" si="1"/>
        <v>45383</v>
      </c>
      <c r="AE9" s="167">
        <f t="shared" si="2"/>
        <v>0</v>
      </c>
    </row>
    <row r="10" spans="1:31">
      <c r="A10" s="197">
        <f t="shared" si="3"/>
        <v>45390</v>
      </c>
      <c r="B10" s="167">
        <f>YEAR(Table7[[#This Row],[Date]])+IF(MONTH(Table7[[#This Row],[Date]])&gt;=4,1,0)</f>
        <v>2025</v>
      </c>
      <c r="C10" s="167">
        <f>YEAR(Table7[[#This Row],[Date]])</f>
        <v>2024</v>
      </c>
      <c r="D10" s="168">
        <f t="shared" si="1"/>
        <v>45383</v>
      </c>
      <c r="AE10" s="167">
        <f t="shared" si="2"/>
        <v>0</v>
      </c>
    </row>
    <row r="11" spans="1:31">
      <c r="A11" s="197">
        <f t="shared" si="3"/>
        <v>45391</v>
      </c>
      <c r="B11" s="167">
        <f>YEAR(Table7[[#This Row],[Date]])+IF(MONTH(Table7[[#This Row],[Date]])&gt;=4,1,0)</f>
        <v>2025</v>
      </c>
      <c r="C11" s="167">
        <f>YEAR(Table7[[#This Row],[Date]])</f>
        <v>2024</v>
      </c>
      <c r="D11" s="168">
        <f t="shared" si="1"/>
        <v>45383</v>
      </c>
      <c r="AE11" s="167">
        <f t="shared" si="2"/>
        <v>0</v>
      </c>
    </row>
    <row r="12" spans="1:31">
      <c r="A12" s="197">
        <f t="shared" si="3"/>
        <v>45392</v>
      </c>
      <c r="B12" s="167">
        <f>YEAR(Table7[[#This Row],[Date]])+IF(MONTH(Table7[[#This Row],[Date]])&gt;=4,1,0)</f>
        <v>2025</v>
      </c>
      <c r="C12" s="167">
        <f>YEAR(Table7[[#This Row],[Date]])</f>
        <v>2024</v>
      </c>
      <c r="D12" s="168">
        <f t="shared" si="1"/>
        <v>45383</v>
      </c>
      <c r="AE12" s="167">
        <f t="shared" si="2"/>
        <v>0</v>
      </c>
    </row>
    <row r="13" spans="1:31">
      <c r="A13" s="197">
        <f t="shared" si="3"/>
        <v>45393</v>
      </c>
      <c r="B13" s="167">
        <f>YEAR(Table7[[#This Row],[Date]])+IF(MONTH(Table7[[#This Row],[Date]])&gt;=4,1,0)</f>
        <v>2025</v>
      </c>
      <c r="C13" s="167">
        <f>YEAR(Table7[[#This Row],[Date]])</f>
        <v>2024</v>
      </c>
      <c r="D13" s="168">
        <f t="shared" si="1"/>
        <v>45383</v>
      </c>
      <c r="AE13" s="167">
        <f t="shared" si="2"/>
        <v>0</v>
      </c>
    </row>
    <row r="14" spans="1:31">
      <c r="A14" s="197">
        <f t="shared" si="3"/>
        <v>45394</v>
      </c>
      <c r="B14" s="167">
        <f>YEAR(Table7[[#This Row],[Date]])+IF(MONTH(Table7[[#This Row],[Date]])&gt;=4,1,0)</f>
        <v>2025</v>
      </c>
      <c r="C14" s="167">
        <f>YEAR(Table7[[#This Row],[Date]])</f>
        <v>2024</v>
      </c>
      <c r="D14" s="168">
        <f t="shared" si="1"/>
        <v>45383</v>
      </c>
      <c r="AE14" s="167">
        <f t="shared" si="2"/>
        <v>0</v>
      </c>
    </row>
    <row r="15" spans="1:31">
      <c r="A15" s="197">
        <f t="shared" si="3"/>
        <v>45395</v>
      </c>
      <c r="B15" s="167">
        <f>YEAR(Table7[[#This Row],[Date]])+IF(MONTH(Table7[[#This Row],[Date]])&gt;=4,1,0)</f>
        <v>2025</v>
      </c>
      <c r="C15" s="167">
        <f>YEAR(Table7[[#This Row],[Date]])</f>
        <v>2024</v>
      </c>
      <c r="D15" s="168">
        <f t="shared" si="1"/>
        <v>45383</v>
      </c>
      <c r="AE15" s="167">
        <f t="shared" si="2"/>
        <v>0</v>
      </c>
    </row>
    <row r="16" spans="1:31">
      <c r="A16" s="197">
        <f t="shared" si="3"/>
        <v>45396</v>
      </c>
      <c r="B16" s="167">
        <f>YEAR(Table7[[#This Row],[Date]])+IF(MONTH(Table7[[#This Row],[Date]])&gt;=4,1,0)</f>
        <v>2025</v>
      </c>
      <c r="C16" s="167">
        <f>YEAR(Table7[[#This Row],[Date]])</f>
        <v>2024</v>
      </c>
      <c r="D16" s="168">
        <f t="shared" si="1"/>
        <v>45383</v>
      </c>
      <c r="AE16" s="167">
        <f t="shared" si="2"/>
        <v>0</v>
      </c>
    </row>
    <row r="17" spans="1:31">
      <c r="A17" s="197">
        <f t="shared" si="3"/>
        <v>45397</v>
      </c>
      <c r="B17" s="167">
        <f>YEAR(Table7[[#This Row],[Date]])+IF(MONTH(Table7[[#This Row],[Date]])&gt;=4,1,0)</f>
        <v>2025</v>
      </c>
      <c r="C17" s="167">
        <f>YEAR(Table7[[#This Row],[Date]])</f>
        <v>2024</v>
      </c>
      <c r="D17" s="168">
        <f t="shared" si="1"/>
        <v>45383</v>
      </c>
      <c r="AE17" s="167">
        <f t="shared" si="2"/>
        <v>0</v>
      </c>
    </row>
    <row r="18" spans="1:31">
      <c r="A18" s="197">
        <f t="shared" si="3"/>
        <v>45398</v>
      </c>
      <c r="B18" s="167">
        <f>YEAR(Table7[[#This Row],[Date]])+IF(MONTH(Table7[[#This Row],[Date]])&gt;=4,1,0)</f>
        <v>2025</v>
      </c>
      <c r="C18" s="167">
        <f>YEAR(Table7[[#This Row],[Date]])</f>
        <v>2024</v>
      </c>
      <c r="D18" s="168">
        <f t="shared" si="1"/>
        <v>45383</v>
      </c>
      <c r="AE18" s="167">
        <f t="shared" si="2"/>
        <v>0</v>
      </c>
    </row>
    <row r="19" spans="1:31">
      <c r="A19" s="197">
        <f t="shared" si="3"/>
        <v>45399</v>
      </c>
      <c r="B19" s="167">
        <f>YEAR(Table7[[#This Row],[Date]])+IF(MONTH(Table7[[#This Row],[Date]])&gt;=4,1,0)</f>
        <v>2025</v>
      </c>
      <c r="C19" s="167">
        <f>YEAR(Table7[[#This Row],[Date]])</f>
        <v>2024</v>
      </c>
      <c r="D19" s="168">
        <f t="shared" si="1"/>
        <v>45383</v>
      </c>
      <c r="AE19" s="167">
        <f t="shared" si="2"/>
        <v>0</v>
      </c>
    </row>
    <row r="20" spans="1:31">
      <c r="A20" s="197">
        <f t="shared" si="3"/>
        <v>45400</v>
      </c>
      <c r="B20" s="167">
        <f>YEAR(Table7[[#This Row],[Date]])+IF(MONTH(Table7[[#This Row],[Date]])&gt;=4,1,0)</f>
        <v>2025</v>
      </c>
      <c r="C20" s="167">
        <f>YEAR(Table7[[#This Row],[Date]])</f>
        <v>2024</v>
      </c>
      <c r="D20" s="168">
        <f t="shared" si="1"/>
        <v>45383</v>
      </c>
      <c r="AE20" s="167">
        <f t="shared" si="2"/>
        <v>0</v>
      </c>
    </row>
    <row r="21" spans="1:31">
      <c r="A21" s="197">
        <f t="shared" si="3"/>
        <v>45401</v>
      </c>
      <c r="B21" s="167">
        <f>YEAR(Table7[[#This Row],[Date]])+IF(MONTH(Table7[[#This Row],[Date]])&gt;=4,1,0)</f>
        <v>2025</v>
      </c>
      <c r="C21" s="167">
        <f>YEAR(Table7[[#This Row],[Date]])</f>
        <v>2024</v>
      </c>
      <c r="D21" s="168">
        <f t="shared" si="1"/>
        <v>45383</v>
      </c>
      <c r="AE21" s="167">
        <f t="shared" si="2"/>
        <v>0</v>
      </c>
    </row>
    <row r="22" spans="1:31">
      <c r="A22" s="197">
        <f t="shared" si="3"/>
        <v>45402</v>
      </c>
      <c r="B22" s="167">
        <f>YEAR(Table7[[#This Row],[Date]])+IF(MONTH(Table7[[#This Row],[Date]])&gt;=4,1,0)</f>
        <v>2025</v>
      </c>
      <c r="C22" s="167">
        <f>YEAR(Table7[[#This Row],[Date]])</f>
        <v>2024</v>
      </c>
      <c r="D22" s="168">
        <f t="shared" si="1"/>
        <v>45383</v>
      </c>
      <c r="AE22" s="167">
        <f t="shared" si="2"/>
        <v>0</v>
      </c>
    </row>
    <row r="23" spans="1:31">
      <c r="A23" s="197">
        <f t="shared" si="3"/>
        <v>45403</v>
      </c>
      <c r="B23" s="167">
        <f>YEAR(Table7[[#This Row],[Date]])+IF(MONTH(Table7[[#This Row],[Date]])&gt;=4,1,0)</f>
        <v>2025</v>
      </c>
      <c r="C23" s="167">
        <f>YEAR(Table7[[#This Row],[Date]])</f>
        <v>2024</v>
      </c>
      <c r="D23" s="168">
        <f t="shared" si="1"/>
        <v>45383</v>
      </c>
      <c r="AE23" s="167">
        <f t="shared" si="2"/>
        <v>0</v>
      </c>
    </row>
    <row r="24" spans="1:31">
      <c r="A24" s="197">
        <f t="shared" si="3"/>
        <v>45404</v>
      </c>
      <c r="B24" s="167">
        <f>YEAR(Table7[[#This Row],[Date]])+IF(MONTH(Table7[[#This Row],[Date]])&gt;=4,1,0)</f>
        <v>2025</v>
      </c>
      <c r="C24" s="167">
        <f>YEAR(Table7[[#This Row],[Date]])</f>
        <v>2024</v>
      </c>
      <c r="D24" s="168">
        <f t="shared" si="1"/>
        <v>45383</v>
      </c>
      <c r="AE24" s="167">
        <f t="shared" si="2"/>
        <v>0</v>
      </c>
    </row>
    <row r="25" spans="1:31">
      <c r="A25" s="197">
        <f t="shared" si="3"/>
        <v>45405</v>
      </c>
      <c r="B25" s="167">
        <f>YEAR(Table7[[#This Row],[Date]])+IF(MONTH(Table7[[#This Row],[Date]])&gt;=4,1,0)</f>
        <v>2025</v>
      </c>
      <c r="C25" s="167">
        <f>YEAR(Table7[[#This Row],[Date]])</f>
        <v>2024</v>
      </c>
      <c r="D25" s="168">
        <f t="shared" si="1"/>
        <v>45383</v>
      </c>
      <c r="AE25" s="167">
        <f t="shared" si="2"/>
        <v>0</v>
      </c>
    </row>
    <row r="26" spans="1:31">
      <c r="A26" s="197">
        <f t="shared" si="3"/>
        <v>45406</v>
      </c>
      <c r="B26" s="167">
        <f>YEAR(Table7[[#This Row],[Date]])+IF(MONTH(Table7[[#This Row],[Date]])&gt;=4,1,0)</f>
        <v>2025</v>
      </c>
      <c r="C26" s="167">
        <f>YEAR(Table7[[#This Row],[Date]])</f>
        <v>2024</v>
      </c>
      <c r="D26" s="168">
        <f t="shared" si="1"/>
        <v>45383</v>
      </c>
      <c r="AE26" s="167">
        <f t="shared" si="2"/>
        <v>0</v>
      </c>
    </row>
    <row r="27" spans="1:31">
      <c r="A27" s="197">
        <f t="shared" si="3"/>
        <v>45407</v>
      </c>
      <c r="B27" s="167">
        <f>YEAR(Table7[[#This Row],[Date]])+IF(MONTH(Table7[[#This Row],[Date]])&gt;=4,1,0)</f>
        <v>2025</v>
      </c>
      <c r="C27" s="167">
        <f>YEAR(Table7[[#This Row],[Date]])</f>
        <v>2024</v>
      </c>
      <c r="D27" s="168">
        <f t="shared" si="1"/>
        <v>45383</v>
      </c>
      <c r="AE27" s="167">
        <f t="shared" si="2"/>
        <v>0</v>
      </c>
    </row>
    <row r="28" spans="1:31">
      <c r="A28" s="197">
        <f t="shared" si="3"/>
        <v>45408</v>
      </c>
      <c r="B28" s="167">
        <f>YEAR(Table7[[#This Row],[Date]])+IF(MONTH(Table7[[#This Row],[Date]])&gt;=4,1,0)</f>
        <v>2025</v>
      </c>
      <c r="C28" s="167">
        <f>YEAR(Table7[[#This Row],[Date]])</f>
        <v>2024</v>
      </c>
      <c r="D28" s="168">
        <f t="shared" si="1"/>
        <v>45383</v>
      </c>
      <c r="AE28" s="167">
        <f t="shared" si="2"/>
        <v>0</v>
      </c>
    </row>
    <row r="29" spans="1:31">
      <c r="A29" s="197">
        <f t="shared" si="3"/>
        <v>45409</v>
      </c>
      <c r="B29" s="167">
        <f>YEAR(Table7[[#This Row],[Date]])+IF(MONTH(Table7[[#This Row],[Date]])&gt;=4,1,0)</f>
        <v>2025</v>
      </c>
      <c r="C29" s="167">
        <f>YEAR(Table7[[#This Row],[Date]])</f>
        <v>2024</v>
      </c>
      <c r="D29" s="168">
        <f t="shared" si="1"/>
        <v>45383</v>
      </c>
      <c r="AE29" s="167">
        <f t="shared" si="2"/>
        <v>0</v>
      </c>
    </row>
    <row r="30" spans="1:31">
      <c r="A30" s="197">
        <f t="shared" si="3"/>
        <v>45410</v>
      </c>
      <c r="B30" s="167">
        <f>YEAR(Table7[[#This Row],[Date]])+IF(MONTH(Table7[[#This Row],[Date]])&gt;=4,1,0)</f>
        <v>2025</v>
      </c>
      <c r="C30" s="167">
        <f>YEAR(Table7[[#This Row],[Date]])</f>
        <v>2024</v>
      </c>
      <c r="D30" s="168">
        <f t="shared" si="1"/>
        <v>45383</v>
      </c>
      <c r="AE30" s="167">
        <f t="shared" si="2"/>
        <v>0</v>
      </c>
    </row>
    <row r="31" spans="1:31">
      <c r="A31" s="197">
        <f t="shared" si="3"/>
        <v>45411</v>
      </c>
      <c r="B31" s="167">
        <f>YEAR(Table7[[#This Row],[Date]])+IF(MONTH(Table7[[#This Row],[Date]])&gt;=4,1,0)</f>
        <v>2025</v>
      </c>
      <c r="C31" s="167">
        <f>YEAR(Table7[[#This Row],[Date]])</f>
        <v>2024</v>
      </c>
      <c r="D31" s="168">
        <f t="shared" si="1"/>
        <v>45383</v>
      </c>
      <c r="AE31" s="167">
        <f t="shared" si="2"/>
        <v>0</v>
      </c>
    </row>
    <row r="32" spans="1:31">
      <c r="A32" s="197">
        <f t="shared" si="3"/>
        <v>45412</v>
      </c>
      <c r="B32" s="167">
        <f>YEAR(Table7[[#This Row],[Date]])+IF(MONTH(Table7[[#This Row],[Date]])&gt;=4,1,0)</f>
        <v>2025</v>
      </c>
      <c r="C32" s="167">
        <f>YEAR(Table7[[#This Row],[Date]])</f>
        <v>2024</v>
      </c>
      <c r="D32" s="168">
        <f t="shared" si="1"/>
        <v>45383</v>
      </c>
      <c r="AE32" s="167">
        <f t="shared" si="2"/>
        <v>0</v>
      </c>
    </row>
    <row r="33" spans="1:31">
      <c r="A33" s="197">
        <f t="shared" si="3"/>
        <v>45413</v>
      </c>
      <c r="B33" s="167">
        <f>YEAR(Table7[[#This Row],[Date]])+IF(MONTH(Table7[[#This Row],[Date]])&gt;=4,1,0)</f>
        <v>2025</v>
      </c>
      <c r="C33" s="167">
        <f>YEAR(Table7[[#This Row],[Date]])</f>
        <v>2024</v>
      </c>
      <c r="D33" s="168">
        <f t="shared" si="1"/>
        <v>45413</v>
      </c>
      <c r="AE33" s="167">
        <f t="shared" si="2"/>
        <v>0</v>
      </c>
    </row>
    <row r="34" spans="1:31">
      <c r="A34" s="197">
        <f t="shared" si="3"/>
        <v>45414</v>
      </c>
      <c r="B34" s="167">
        <f>YEAR(Table7[[#This Row],[Date]])+IF(MONTH(Table7[[#This Row],[Date]])&gt;=4,1,0)</f>
        <v>2025</v>
      </c>
      <c r="C34" s="167">
        <f>YEAR(Table7[[#This Row],[Date]])</f>
        <v>2024</v>
      </c>
      <c r="D34" s="168">
        <f t="shared" si="1"/>
        <v>45413</v>
      </c>
      <c r="AE34" s="167">
        <f t="shared" si="2"/>
        <v>0</v>
      </c>
    </row>
    <row r="35" spans="1:31">
      <c r="A35" s="197">
        <f t="shared" si="3"/>
        <v>45415</v>
      </c>
      <c r="B35" s="167">
        <f>YEAR(Table7[[#This Row],[Date]])+IF(MONTH(Table7[[#This Row],[Date]])&gt;=4,1,0)</f>
        <v>2025</v>
      </c>
      <c r="C35" s="167">
        <f>YEAR(Table7[[#This Row],[Date]])</f>
        <v>2024</v>
      </c>
      <c r="D35" s="168">
        <f t="shared" si="1"/>
        <v>45413</v>
      </c>
      <c r="AE35" s="167">
        <f t="shared" si="2"/>
        <v>0</v>
      </c>
    </row>
    <row r="36" spans="1:31">
      <c r="A36" s="197">
        <f t="shared" si="3"/>
        <v>45416</v>
      </c>
      <c r="B36" s="167">
        <f>YEAR(Table7[[#This Row],[Date]])+IF(MONTH(Table7[[#This Row],[Date]])&gt;=4,1,0)</f>
        <v>2025</v>
      </c>
      <c r="C36" s="167">
        <f>YEAR(Table7[[#This Row],[Date]])</f>
        <v>2024</v>
      </c>
      <c r="D36" s="168">
        <f t="shared" si="1"/>
        <v>45413</v>
      </c>
      <c r="AE36" s="167">
        <f t="shared" si="2"/>
        <v>0</v>
      </c>
    </row>
    <row r="37" spans="1:31">
      <c r="A37" s="197">
        <f t="shared" si="3"/>
        <v>45417</v>
      </c>
      <c r="B37" s="167">
        <f>YEAR(Table7[[#This Row],[Date]])+IF(MONTH(Table7[[#This Row],[Date]])&gt;=4,1,0)</f>
        <v>2025</v>
      </c>
      <c r="C37" s="167">
        <f>YEAR(Table7[[#This Row],[Date]])</f>
        <v>2024</v>
      </c>
      <c r="D37" s="168">
        <f t="shared" si="1"/>
        <v>45413</v>
      </c>
      <c r="AE37" s="167">
        <f t="shared" si="2"/>
        <v>0</v>
      </c>
    </row>
    <row r="38" spans="1:31">
      <c r="A38" s="197">
        <f t="shared" si="3"/>
        <v>45418</v>
      </c>
      <c r="B38" s="167">
        <f>YEAR(Table7[[#This Row],[Date]])+IF(MONTH(Table7[[#This Row],[Date]])&gt;=4,1,0)</f>
        <v>2025</v>
      </c>
      <c r="C38" s="167">
        <f>YEAR(Table7[[#This Row],[Date]])</f>
        <v>2024</v>
      </c>
      <c r="D38" s="168">
        <f t="shared" si="1"/>
        <v>45413</v>
      </c>
      <c r="AE38" s="167">
        <f t="shared" si="2"/>
        <v>0</v>
      </c>
    </row>
    <row r="39" spans="1:31">
      <c r="A39" s="197">
        <f t="shared" si="3"/>
        <v>45419</v>
      </c>
      <c r="B39" s="167">
        <f>YEAR(Table7[[#This Row],[Date]])+IF(MONTH(Table7[[#This Row],[Date]])&gt;=4,1,0)</f>
        <v>2025</v>
      </c>
      <c r="C39" s="167">
        <f>YEAR(Table7[[#This Row],[Date]])</f>
        <v>2024</v>
      </c>
      <c r="D39" s="168">
        <f t="shared" si="1"/>
        <v>45413</v>
      </c>
      <c r="AE39" s="167">
        <f t="shared" si="2"/>
        <v>0</v>
      </c>
    </row>
    <row r="40" spans="1:31">
      <c r="A40" s="197">
        <f t="shared" si="3"/>
        <v>45420</v>
      </c>
      <c r="B40" s="167">
        <f>YEAR(Table7[[#This Row],[Date]])+IF(MONTH(Table7[[#This Row],[Date]])&gt;=4,1,0)</f>
        <v>2025</v>
      </c>
      <c r="C40" s="167">
        <f>YEAR(Table7[[#This Row],[Date]])</f>
        <v>2024</v>
      </c>
      <c r="D40" s="168">
        <f t="shared" si="1"/>
        <v>45413</v>
      </c>
      <c r="AE40" s="167">
        <f t="shared" si="2"/>
        <v>0</v>
      </c>
    </row>
    <row r="41" spans="1:31">
      <c r="A41" s="197">
        <f t="shared" si="3"/>
        <v>45421</v>
      </c>
      <c r="B41" s="167">
        <f>YEAR(Table7[[#This Row],[Date]])+IF(MONTH(Table7[[#This Row],[Date]])&gt;=4,1,0)</f>
        <v>2025</v>
      </c>
      <c r="C41" s="167">
        <f>YEAR(Table7[[#This Row],[Date]])</f>
        <v>2024</v>
      </c>
      <c r="D41" s="168">
        <f t="shared" si="1"/>
        <v>45413</v>
      </c>
      <c r="AE41" s="167">
        <f t="shared" si="2"/>
        <v>0</v>
      </c>
    </row>
    <row r="42" spans="1:31">
      <c r="A42" s="197">
        <f t="shared" si="3"/>
        <v>45422</v>
      </c>
      <c r="B42" s="167">
        <f>YEAR(Table7[[#This Row],[Date]])+IF(MONTH(Table7[[#This Row],[Date]])&gt;=4,1,0)</f>
        <v>2025</v>
      </c>
      <c r="C42" s="167">
        <f>YEAR(Table7[[#This Row],[Date]])</f>
        <v>2024</v>
      </c>
      <c r="D42" s="168">
        <f t="shared" si="1"/>
        <v>45413</v>
      </c>
      <c r="AE42" s="167">
        <f t="shared" si="2"/>
        <v>0</v>
      </c>
    </row>
    <row r="43" spans="1:31">
      <c r="A43" s="197">
        <f t="shared" si="3"/>
        <v>45423</v>
      </c>
      <c r="B43" s="167">
        <f>YEAR(Table7[[#This Row],[Date]])+IF(MONTH(Table7[[#This Row],[Date]])&gt;=4,1,0)</f>
        <v>2025</v>
      </c>
      <c r="C43" s="167">
        <f>YEAR(Table7[[#This Row],[Date]])</f>
        <v>2024</v>
      </c>
      <c r="D43" s="168">
        <f t="shared" si="1"/>
        <v>45413</v>
      </c>
      <c r="AE43" s="167">
        <f t="shared" si="2"/>
        <v>0</v>
      </c>
    </row>
    <row r="44" spans="1:31">
      <c r="A44" s="197">
        <f t="shared" si="3"/>
        <v>45424</v>
      </c>
      <c r="B44" s="167">
        <f>YEAR(Table7[[#This Row],[Date]])+IF(MONTH(Table7[[#This Row],[Date]])&gt;=4,1,0)</f>
        <v>2025</v>
      </c>
      <c r="C44" s="167">
        <f>YEAR(Table7[[#This Row],[Date]])</f>
        <v>2024</v>
      </c>
      <c r="D44" s="168">
        <f t="shared" si="1"/>
        <v>45413</v>
      </c>
      <c r="AE44" s="167">
        <f t="shared" si="2"/>
        <v>0</v>
      </c>
    </row>
    <row r="45" spans="1:31">
      <c r="A45" s="197">
        <f t="shared" si="3"/>
        <v>45425</v>
      </c>
      <c r="B45" s="167">
        <f>YEAR(Table7[[#This Row],[Date]])+IF(MONTH(Table7[[#This Row],[Date]])&gt;=4,1,0)</f>
        <v>2025</v>
      </c>
      <c r="C45" s="167">
        <f>YEAR(Table7[[#This Row],[Date]])</f>
        <v>2024</v>
      </c>
      <c r="D45" s="168">
        <f t="shared" si="1"/>
        <v>45413</v>
      </c>
      <c r="AE45" s="167">
        <f t="shared" si="2"/>
        <v>0</v>
      </c>
    </row>
    <row r="46" spans="1:31">
      <c r="A46" s="197">
        <f t="shared" si="3"/>
        <v>45426</v>
      </c>
      <c r="B46" s="167">
        <f>YEAR(Table7[[#This Row],[Date]])+IF(MONTH(Table7[[#This Row],[Date]])&gt;=4,1,0)</f>
        <v>2025</v>
      </c>
      <c r="C46" s="167">
        <f>YEAR(Table7[[#This Row],[Date]])</f>
        <v>2024</v>
      </c>
      <c r="D46" s="168">
        <f t="shared" si="1"/>
        <v>45413</v>
      </c>
      <c r="AE46" s="167">
        <f t="shared" si="2"/>
        <v>0</v>
      </c>
    </row>
    <row r="47" spans="1:31">
      <c r="A47" s="197">
        <f t="shared" si="3"/>
        <v>45427</v>
      </c>
      <c r="B47" s="167">
        <f>YEAR(Table7[[#This Row],[Date]])+IF(MONTH(Table7[[#This Row],[Date]])&gt;=4,1,0)</f>
        <v>2025</v>
      </c>
      <c r="C47" s="167">
        <f>YEAR(Table7[[#This Row],[Date]])</f>
        <v>2024</v>
      </c>
      <c r="D47" s="168">
        <f t="shared" si="1"/>
        <v>45413</v>
      </c>
      <c r="AE47" s="167">
        <f t="shared" si="2"/>
        <v>0</v>
      </c>
    </row>
    <row r="48" spans="1:31">
      <c r="A48" s="197">
        <f t="shared" si="3"/>
        <v>45428</v>
      </c>
      <c r="B48" s="167">
        <f>YEAR(Table7[[#This Row],[Date]])+IF(MONTH(Table7[[#This Row],[Date]])&gt;=4,1,0)</f>
        <v>2025</v>
      </c>
      <c r="C48" s="167">
        <f>YEAR(Table7[[#This Row],[Date]])</f>
        <v>2024</v>
      </c>
      <c r="D48" s="168">
        <f t="shared" si="1"/>
        <v>45413</v>
      </c>
      <c r="AE48" s="167">
        <f t="shared" si="2"/>
        <v>0</v>
      </c>
    </row>
    <row r="49" spans="1:31">
      <c r="A49" s="197">
        <f t="shared" si="3"/>
        <v>45429</v>
      </c>
      <c r="B49" s="167">
        <f>YEAR(Table7[[#This Row],[Date]])+IF(MONTH(Table7[[#This Row],[Date]])&gt;=4,1,0)</f>
        <v>2025</v>
      </c>
      <c r="C49" s="167">
        <f>YEAR(Table7[[#This Row],[Date]])</f>
        <v>2024</v>
      </c>
      <c r="D49" s="168">
        <f t="shared" si="1"/>
        <v>45413</v>
      </c>
      <c r="AE49" s="167">
        <f t="shared" si="2"/>
        <v>0</v>
      </c>
    </row>
    <row r="50" spans="1:31">
      <c r="A50" s="197">
        <f t="shared" si="3"/>
        <v>45430</v>
      </c>
      <c r="B50" s="167">
        <f>YEAR(Table7[[#This Row],[Date]])+IF(MONTH(Table7[[#This Row],[Date]])&gt;=4,1,0)</f>
        <v>2025</v>
      </c>
      <c r="C50" s="167">
        <f>YEAR(Table7[[#This Row],[Date]])</f>
        <v>2024</v>
      </c>
      <c r="D50" s="168">
        <f t="shared" si="1"/>
        <v>45413</v>
      </c>
      <c r="AE50" s="167">
        <f t="shared" si="2"/>
        <v>0</v>
      </c>
    </row>
    <row r="51" spans="1:31">
      <c r="A51" s="197">
        <f t="shared" si="3"/>
        <v>45431</v>
      </c>
      <c r="B51" s="167">
        <f>YEAR(Table7[[#This Row],[Date]])+IF(MONTH(Table7[[#This Row],[Date]])&gt;=4,1,0)</f>
        <v>2025</v>
      </c>
      <c r="C51" s="167">
        <f>YEAR(Table7[[#This Row],[Date]])</f>
        <v>2024</v>
      </c>
      <c r="D51" s="168">
        <f t="shared" si="1"/>
        <v>45413</v>
      </c>
      <c r="AE51" s="167">
        <f t="shared" si="2"/>
        <v>0</v>
      </c>
    </row>
    <row r="52" spans="1:31">
      <c r="A52" s="197">
        <f t="shared" si="3"/>
        <v>45432</v>
      </c>
      <c r="B52" s="167">
        <f>YEAR(Table7[[#This Row],[Date]])+IF(MONTH(Table7[[#This Row],[Date]])&gt;=4,1,0)</f>
        <v>2025</v>
      </c>
      <c r="C52" s="167">
        <f>YEAR(Table7[[#This Row],[Date]])</f>
        <v>2024</v>
      </c>
      <c r="D52" s="168">
        <f t="shared" si="1"/>
        <v>45413</v>
      </c>
      <c r="AE52" s="167">
        <f t="shared" si="2"/>
        <v>0</v>
      </c>
    </row>
    <row r="53" spans="1:31">
      <c r="A53" s="197">
        <f t="shared" si="3"/>
        <v>45433</v>
      </c>
      <c r="B53" s="167">
        <f>YEAR(Table7[[#This Row],[Date]])+IF(MONTH(Table7[[#This Row],[Date]])&gt;=4,1,0)</f>
        <v>2025</v>
      </c>
      <c r="C53" s="167">
        <f>YEAR(Table7[[#This Row],[Date]])</f>
        <v>2024</v>
      </c>
      <c r="D53" s="168">
        <f t="shared" si="1"/>
        <v>45413</v>
      </c>
      <c r="AE53" s="167">
        <f t="shared" si="2"/>
        <v>0</v>
      </c>
    </row>
    <row r="54" spans="1:31">
      <c r="A54" s="197">
        <f t="shared" si="3"/>
        <v>45434</v>
      </c>
      <c r="B54" s="167">
        <f>YEAR(Table7[[#This Row],[Date]])+IF(MONTH(Table7[[#This Row],[Date]])&gt;=4,1,0)</f>
        <v>2025</v>
      </c>
      <c r="C54" s="167">
        <f>YEAR(Table7[[#This Row],[Date]])</f>
        <v>2024</v>
      </c>
      <c r="D54" s="168">
        <f t="shared" si="1"/>
        <v>45413</v>
      </c>
      <c r="AE54" s="167">
        <f t="shared" si="2"/>
        <v>0</v>
      </c>
    </row>
    <row r="55" spans="1:31">
      <c r="A55" s="197">
        <f t="shared" si="3"/>
        <v>45435</v>
      </c>
      <c r="B55" s="167">
        <f>YEAR(Table7[[#This Row],[Date]])+IF(MONTH(Table7[[#This Row],[Date]])&gt;=4,1,0)</f>
        <v>2025</v>
      </c>
      <c r="C55" s="167">
        <f>YEAR(Table7[[#This Row],[Date]])</f>
        <v>2024</v>
      </c>
      <c r="D55" s="168">
        <f t="shared" si="1"/>
        <v>45413</v>
      </c>
      <c r="AE55" s="167">
        <f t="shared" si="2"/>
        <v>0</v>
      </c>
    </row>
    <row r="56" spans="1:31">
      <c r="A56" s="197">
        <f t="shared" si="3"/>
        <v>45436</v>
      </c>
      <c r="B56" s="167">
        <f>YEAR(Table7[[#This Row],[Date]])+IF(MONTH(Table7[[#This Row],[Date]])&gt;=4,1,0)</f>
        <v>2025</v>
      </c>
      <c r="C56" s="167">
        <f>YEAR(Table7[[#This Row],[Date]])</f>
        <v>2024</v>
      </c>
      <c r="D56" s="168">
        <f t="shared" si="1"/>
        <v>45413</v>
      </c>
      <c r="AE56" s="167">
        <f t="shared" si="2"/>
        <v>0</v>
      </c>
    </row>
    <row r="57" spans="1:31">
      <c r="A57" s="197">
        <f t="shared" si="3"/>
        <v>45437</v>
      </c>
      <c r="B57" s="167">
        <f>YEAR(Table7[[#This Row],[Date]])+IF(MONTH(Table7[[#This Row],[Date]])&gt;=4,1,0)</f>
        <v>2025</v>
      </c>
      <c r="C57" s="167">
        <f>YEAR(Table7[[#This Row],[Date]])</f>
        <v>2024</v>
      </c>
      <c r="D57" s="168">
        <f t="shared" si="1"/>
        <v>45413</v>
      </c>
      <c r="AE57" s="167">
        <f t="shared" si="2"/>
        <v>0</v>
      </c>
    </row>
    <row r="58" spans="1:31">
      <c r="A58" s="197">
        <f t="shared" si="3"/>
        <v>45438</v>
      </c>
      <c r="B58" s="167">
        <f>YEAR(Table7[[#This Row],[Date]])+IF(MONTH(Table7[[#This Row],[Date]])&gt;=4,1,0)</f>
        <v>2025</v>
      </c>
      <c r="C58" s="167">
        <f>YEAR(Table7[[#This Row],[Date]])</f>
        <v>2024</v>
      </c>
      <c r="D58" s="168">
        <f t="shared" si="1"/>
        <v>45413</v>
      </c>
      <c r="AE58" s="167">
        <f t="shared" si="2"/>
        <v>0</v>
      </c>
    </row>
    <row r="59" spans="1:31">
      <c r="A59" s="197">
        <f t="shared" si="3"/>
        <v>45439</v>
      </c>
      <c r="B59" s="167">
        <f>YEAR(Table7[[#This Row],[Date]])+IF(MONTH(Table7[[#This Row],[Date]])&gt;=4,1,0)</f>
        <v>2025</v>
      </c>
      <c r="C59" s="167">
        <f>YEAR(Table7[[#This Row],[Date]])</f>
        <v>2024</v>
      </c>
      <c r="D59" s="168">
        <f t="shared" si="1"/>
        <v>45413</v>
      </c>
      <c r="AE59" s="167">
        <f t="shared" si="2"/>
        <v>0</v>
      </c>
    </row>
    <row r="60" spans="1:31">
      <c r="A60" s="197">
        <f t="shared" si="3"/>
        <v>45440</v>
      </c>
      <c r="B60" s="167">
        <f>YEAR(Table7[[#This Row],[Date]])+IF(MONTH(Table7[[#This Row],[Date]])&gt;=4,1,0)</f>
        <v>2025</v>
      </c>
      <c r="C60" s="167">
        <f>YEAR(Table7[[#This Row],[Date]])</f>
        <v>2024</v>
      </c>
      <c r="D60" s="168">
        <f t="shared" si="1"/>
        <v>45413</v>
      </c>
      <c r="AE60" s="167">
        <f t="shared" si="2"/>
        <v>0</v>
      </c>
    </row>
    <row r="61" spans="1:31">
      <c r="A61" s="197">
        <f t="shared" si="3"/>
        <v>45441</v>
      </c>
      <c r="B61" s="167">
        <f>YEAR(Table7[[#This Row],[Date]])+IF(MONTH(Table7[[#This Row],[Date]])&gt;=4,1,0)</f>
        <v>2025</v>
      </c>
      <c r="C61" s="167">
        <f>YEAR(Table7[[#This Row],[Date]])</f>
        <v>2024</v>
      </c>
      <c r="D61" s="168">
        <f t="shared" si="1"/>
        <v>45413</v>
      </c>
      <c r="AE61" s="167">
        <f t="shared" si="2"/>
        <v>0</v>
      </c>
    </row>
    <row r="62" spans="1:31">
      <c r="A62" s="197">
        <f t="shared" si="3"/>
        <v>45442</v>
      </c>
      <c r="B62" s="167">
        <f>YEAR(Table7[[#This Row],[Date]])+IF(MONTH(Table7[[#This Row],[Date]])&gt;=4,1,0)</f>
        <v>2025</v>
      </c>
      <c r="C62" s="167">
        <f>YEAR(Table7[[#This Row],[Date]])</f>
        <v>2024</v>
      </c>
      <c r="D62" s="168">
        <f t="shared" si="1"/>
        <v>45413</v>
      </c>
      <c r="AE62" s="167">
        <f t="shared" si="2"/>
        <v>0</v>
      </c>
    </row>
    <row r="63" spans="1:31">
      <c r="A63" s="197">
        <f t="shared" si="3"/>
        <v>45443</v>
      </c>
      <c r="B63" s="167">
        <f>YEAR(Table7[[#This Row],[Date]])+IF(MONTH(Table7[[#This Row],[Date]])&gt;=4,1,0)</f>
        <v>2025</v>
      </c>
      <c r="C63" s="167">
        <f>YEAR(Table7[[#This Row],[Date]])</f>
        <v>2024</v>
      </c>
      <c r="D63" s="168">
        <f t="shared" si="1"/>
        <v>45413</v>
      </c>
      <c r="AE63" s="167">
        <f t="shared" si="2"/>
        <v>0</v>
      </c>
    </row>
    <row r="64" spans="1:31">
      <c r="A64" s="197">
        <f t="shared" si="3"/>
        <v>45444</v>
      </c>
      <c r="B64" s="167">
        <f>YEAR(Table7[[#This Row],[Date]])+IF(MONTH(Table7[[#This Row],[Date]])&gt;=4,1,0)</f>
        <v>2025</v>
      </c>
      <c r="C64" s="167">
        <f>YEAR(Table7[[#This Row],[Date]])</f>
        <v>2024</v>
      </c>
      <c r="D64" s="168">
        <f t="shared" si="1"/>
        <v>45444</v>
      </c>
      <c r="AE64" s="167">
        <f t="shared" si="2"/>
        <v>0</v>
      </c>
    </row>
    <row r="65" spans="1:31">
      <c r="A65" s="197">
        <f t="shared" si="3"/>
        <v>45445</v>
      </c>
      <c r="B65" s="167">
        <f>YEAR(Table7[[#This Row],[Date]])+IF(MONTH(Table7[[#This Row],[Date]])&gt;=4,1,0)</f>
        <v>2025</v>
      </c>
      <c r="C65" s="167">
        <f>YEAR(Table7[[#This Row],[Date]])</f>
        <v>2024</v>
      </c>
      <c r="D65" s="168">
        <f t="shared" si="1"/>
        <v>45444</v>
      </c>
      <c r="AE65" s="167">
        <f t="shared" si="2"/>
        <v>0</v>
      </c>
    </row>
    <row r="66" spans="1:31">
      <c r="A66" s="197">
        <f t="shared" si="3"/>
        <v>45446</v>
      </c>
      <c r="B66" s="167">
        <f>YEAR(Table7[[#This Row],[Date]])+IF(MONTH(Table7[[#This Row],[Date]])&gt;=4,1,0)</f>
        <v>2025</v>
      </c>
      <c r="C66" s="167">
        <f>YEAR(Table7[[#This Row],[Date]])</f>
        <v>2024</v>
      </c>
      <c r="D66" s="168">
        <f t="shared" si="1"/>
        <v>45444</v>
      </c>
      <c r="AE66" s="167">
        <f t="shared" si="2"/>
        <v>0</v>
      </c>
    </row>
    <row r="67" spans="1:31">
      <c r="A67" s="197">
        <f t="shared" si="3"/>
        <v>45447</v>
      </c>
      <c r="B67" s="167">
        <f>YEAR(Table7[[#This Row],[Date]])+IF(MONTH(Table7[[#This Row],[Date]])&gt;=4,1,0)</f>
        <v>2025</v>
      </c>
      <c r="C67" s="167">
        <f>YEAR(Table7[[#This Row],[Date]])</f>
        <v>2024</v>
      </c>
      <c r="D67" s="168">
        <f t="shared" ref="D67:D130" si="4">A67-DAY(A67)+1</f>
        <v>45444</v>
      </c>
      <c r="AE67" s="167">
        <f t="shared" ref="AE67:AE130" si="5">SUM(E67:AD67)</f>
        <v>0</v>
      </c>
    </row>
    <row r="68" spans="1:31">
      <c r="A68" s="197">
        <f t="shared" si="3"/>
        <v>45448</v>
      </c>
      <c r="B68" s="167">
        <f>YEAR(Table7[[#This Row],[Date]])+IF(MONTH(Table7[[#This Row],[Date]])&gt;=4,1,0)</f>
        <v>2025</v>
      </c>
      <c r="C68" s="167">
        <f>YEAR(Table7[[#This Row],[Date]])</f>
        <v>2024</v>
      </c>
      <c r="D68" s="168">
        <f t="shared" si="4"/>
        <v>45444</v>
      </c>
      <c r="AE68" s="167">
        <f t="shared" si="5"/>
        <v>0</v>
      </c>
    </row>
    <row r="69" spans="1:31">
      <c r="A69" s="197">
        <f t="shared" ref="A69:A132" si="6">A68+1</f>
        <v>45449</v>
      </c>
      <c r="B69" s="167">
        <f>YEAR(Table7[[#This Row],[Date]])+IF(MONTH(Table7[[#This Row],[Date]])&gt;=4,1,0)</f>
        <v>2025</v>
      </c>
      <c r="C69" s="167">
        <f>YEAR(Table7[[#This Row],[Date]])</f>
        <v>2024</v>
      </c>
      <c r="D69" s="168">
        <f t="shared" si="4"/>
        <v>45444</v>
      </c>
      <c r="AE69" s="167">
        <f t="shared" si="5"/>
        <v>0</v>
      </c>
    </row>
    <row r="70" spans="1:31">
      <c r="A70" s="197">
        <f t="shared" si="6"/>
        <v>45450</v>
      </c>
      <c r="B70" s="167">
        <f>YEAR(Table7[[#This Row],[Date]])+IF(MONTH(Table7[[#This Row],[Date]])&gt;=4,1,0)</f>
        <v>2025</v>
      </c>
      <c r="C70" s="167">
        <f>YEAR(Table7[[#This Row],[Date]])</f>
        <v>2024</v>
      </c>
      <c r="D70" s="168">
        <f t="shared" si="4"/>
        <v>45444</v>
      </c>
      <c r="AE70" s="167">
        <f t="shared" si="5"/>
        <v>0</v>
      </c>
    </row>
    <row r="71" spans="1:31">
      <c r="A71" s="197">
        <f t="shared" si="6"/>
        <v>45451</v>
      </c>
      <c r="B71" s="167">
        <f>YEAR(Table7[[#This Row],[Date]])+IF(MONTH(Table7[[#This Row],[Date]])&gt;=4,1,0)</f>
        <v>2025</v>
      </c>
      <c r="C71" s="167">
        <f>YEAR(Table7[[#This Row],[Date]])</f>
        <v>2024</v>
      </c>
      <c r="D71" s="168">
        <f t="shared" si="4"/>
        <v>45444</v>
      </c>
      <c r="AE71" s="167">
        <f t="shared" si="5"/>
        <v>0</v>
      </c>
    </row>
    <row r="72" spans="1:31">
      <c r="A72" s="197">
        <f t="shared" si="6"/>
        <v>45452</v>
      </c>
      <c r="B72" s="167">
        <f>YEAR(Table7[[#This Row],[Date]])+IF(MONTH(Table7[[#This Row],[Date]])&gt;=4,1,0)</f>
        <v>2025</v>
      </c>
      <c r="C72" s="167">
        <f>YEAR(Table7[[#This Row],[Date]])</f>
        <v>2024</v>
      </c>
      <c r="D72" s="168">
        <f t="shared" si="4"/>
        <v>45444</v>
      </c>
      <c r="AE72" s="167">
        <f t="shared" si="5"/>
        <v>0</v>
      </c>
    </row>
    <row r="73" spans="1:31">
      <c r="A73" s="197">
        <f t="shared" si="6"/>
        <v>45453</v>
      </c>
      <c r="B73" s="167">
        <f>YEAR(Table7[[#This Row],[Date]])+IF(MONTH(Table7[[#This Row],[Date]])&gt;=4,1,0)</f>
        <v>2025</v>
      </c>
      <c r="C73" s="167">
        <f>YEAR(Table7[[#This Row],[Date]])</f>
        <v>2024</v>
      </c>
      <c r="D73" s="168">
        <f t="shared" si="4"/>
        <v>45444</v>
      </c>
      <c r="AE73" s="167">
        <f t="shared" si="5"/>
        <v>0</v>
      </c>
    </row>
    <row r="74" spans="1:31">
      <c r="A74" s="197">
        <f t="shared" si="6"/>
        <v>45454</v>
      </c>
      <c r="B74" s="167">
        <f>YEAR(Table7[[#This Row],[Date]])+IF(MONTH(Table7[[#This Row],[Date]])&gt;=4,1,0)</f>
        <v>2025</v>
      </c>
      <c r="C74" s="167">
        <f>YEAR(Table7[[#This Row],[Date]])</f>
        <v>2024</v>
      </c>
      <c r="D74" s="168">
        <f t="shared" si="4"/>
        <v>45444</v>
      </c>
      <c r="AE74" s="167">
        <f t="shared" si="5"/>
        <v>0</v>
      </c>
    </row>
    <row r="75" spans="1:31">
      <c r="A75" s="197">
        <f t="shared" si="6"/>
        <v>45455</v>
      </c>
      <c r="B75" s="167">
        <f>YEAR(Table7[[#This Row],[Date]])+IF(MONTH(Table7[[#This Row],[Date]])&gt;=4,1,0)</f>
        <v>2025</v>
      </c>
      <c r="C75" s="167">
        <f>YEAR(Table7[[#This Row],[Date]])</f>
        <v>2024</v>
      </c>
      <c r="D75" s="168">
        <f t="shared" si="4"/>
        <v>45444</v>
      </c>
      <c r="AE75" s="167">
        <f t="shared" si="5"/>
        <v>0</v>
      </c>
    </row>
    <row r="76" spans="1:31">
      <c r="A76" s="197">
        <f t="shared" si="6"/>
        <v>45456</v>
      </c>
      <c r="B76" s="167">
        <f>YEAR(Table7[[#This Row],[Date]])+IF(MONTH(Table7[[#This Row],[Date]])&gt;=4,1,0)</f>
        <v>2025</v>
      </c>
      <c r="C76" s="167">
        <f>YEAR(Table7[[#This Row],[Date]])</f>
        <v>2024</v>
      </c>
      <c r="D76" s="168">
        <f t="shared" si="4"/>
        <v>45444</v>
      </c>
      <c r="AE76" s="167">
        <f t="shared" si="5"/>
        <v>0</v>
      </c>
    </row>
    <row r="77" spans="1:31">
      <c r="A77" s="197">
        <f t="shared" si="6"/>
        <v>45457</v>
      </c>
      <c r="B77" s="167">
        <f>YEAR(Table7[[#This Row],[Date]])+IF(MONTH(Table7[[#This Row],[Date]])&gt;=4,1,0)</f>
        <v>2025</v>
      </c>
      <c r="C77" s="167">
        <f>YEAR(Table7[[#This Row],[Date]])</f>
        <v>2024</v>
      </c>
      <c r="D77" s="168">
        <f t="shared" si="4"/>
        <v>45444</v>
      </c>
      <c r="AE77" s="167">
        <f t="shared" si="5"/>
        <v>0</v>
      </c>
    </row>
    <row r="78" spans="1:31">
      <c r="A78" s="197">
        <f t="shared" si="6"/>
        <v>45458</v>
      </c>
      <c r="B78" s="167">
        <f>YEAR(Table7[[#This Row],[Date]])+IF(MONTH(Table7[[#This Row],[Date]])&gt;=4,1,0)</f>
        <v>2025</v>
      </c>
      <c r="C78" s="167">
        <f>YEAR(Table7[[#This Row],[Date]])</f>
        <v>2024</v>
      </c>
      <c r="D78" s="168">
        <f t="shared" si="4"/>
        <v>45444</v>
      </c>
      <c r="AE78" s="167">
        <f t="shared" si="5"/>
        <v>0</v>
      </c>
    </row>
    <row r="79" spans="1:31">
      <c r="A79" s="197">
        <f t="shared" si="6"/>
        <v>45459</v>
      </c>
      <c r="B79" s="167">
        <f>YEAR(Table7[[#This Row],[Date]])+IF(MONTH(Table7[[#This Row],[Date]])&gt;=4,1,0)</f>
        <v>2025</v>
      </c>
      <c r="C79" s="167">
        <f>YEAR(Table7[[#This Row],[Date]])</f>
        <v>2024</v>
      </c>
      <c r="D79" s="168">
        <f t="shared" si="4"/>
        <v>45444</v>
      </c>
      <c r="AE79" s="167">
        <f t="shared" si="5"/>
        <v>0</v>
      </c>
    </row>
    <row r="80" spans="1:31">
      <c r="A80" s="197">
        <f t="shared" si="6"/>
        <v>45460</v>
      </c>
      <c r="B80" s="167">
        <f>YEAR(Table7[[#This Row],[Date]])+IF(MONTH(Table7[[#This Row],[Date]])&gt;=4,1,0)</f>
        <v>2025</v>
      </c>
      <c r="C80" s="167">
        <f>YEAR(Table7[[#This Row],[Date]])</f>
        <v>2024</v>
      </c>
      <c r="D80" s="168">
        <f t="shared" si="4"/>
        <v>45444</v>
      </c>
      <c r="AE80" s="167">
        <f t="shared" si="5"/>
        <v>0</v>
      </c>
    </row>
    <row r="81" spans="1:31">
      <c r="A81" s="197">
        <f t="shared" si="6"/>
        <v>45461</v>
      </c>
      <c r="B81" s="167">
        <f>YEAR(Table7[[#This Row],[Date]])+IF(MONTH(Table7[[#This Row],[Date]])&gt;=4,1,0)</f>
        <v>2025</v>
      </c>
      <c r="C81" s="167">
        <f>YEAR(Table7[[#This Row],[Date]])</f>
        <v>2024</v>
      </c>
      <c r="D81" s="168">
        <f t="shared" si="4"/>
        <v>45444</v>
      </c>
      <c r="AE81" s="167">
        <f t="shared" si="5"/>
        <v>0</v>
      </c>
    </row>
    <row r="82" spans="1:31">
      <c r="A82" s="197">
        <f t="shared" si="6"/>
        <v>45462</v>
      </c>
      <c r="B82" s="167">
        <f>YEAR(Table7[[#This Row],[Date]])+IF(MONTH(Table7[[#This Row],[Date]])&gt;=4,1,0)</f>
        <v>2025</v>
      </c>
      <c r="C82" s="167">
        <f>YEAR(Table7[[#This Row],[Date]])</f>
        <v>2024</v>
      </c>
      <c r="D82" s="168">
        <f t="shared" si="4"/>
        <v>45444</v>
      </c>
      <c r="AE82" s="167">
        <f t="shared" si="5"/>
        <v>0</v>
      </c>
    </row>
    <row r="83" spans="1:31">
      <c r="A83" s="197">
        <f t="shared" si="6"/>
        <v>45463</v>
      </c>
      <c r="B83" s="167">
        <f>YEAR(Table7[[#This Row],[Date]])+IF(MONTH(Table7[[#This Row],[Date]])&gt;=4,1,0)</f>
        <v>2025</v>
      </c>
      <c r="C83" s="167">
        <f>YEAR(Table7[[#This Row],[Date]])</f>
        <v>2024</v>
      </c>
      <c r="D83" s="168">
        <f t="shared" si="4"/>
        <v>45444</v>
      </c>
      <c r="AE83" s="167">
        <f t="shared" si="5"/>
        <v>0</v>
      </c>
    </row>
    <row r="84" spans="1:31">
      <c r="A84" s="197">
        <f t="shared" si="6"/>
        <v>45464</v>
      </c>
      <c r="B84" s="167">
        <f>YEAR(Table7[[#This Row],[Date]])+IF(MONTH(Table7[[#This Row],[Date]])&gt;=4,1,0)</f>
        <v>2025</v>
      </c>
      <c r="C84" s="167">
        <f>YEAR(Table7[[#This Row],[Date]])</f>
        <v>2024</v>
      </c>
      <c r="D84" s="168">
        <f t="shared" si="4"/>
        <v>45444</v>
      </c>
      <c r="AE84" s="167">
        <f t="shared" si="5"/>
        <v>0</v>
      </c>
    </row>
    <row r="85" spans="1:31">
      <c r="A85" s="197">
        <f t="shared" si="6"/>
        <v>45465</v>
      </c>
      <c r="B85" s="167">
        <f>YEAR(Table7[[#This Row],[Date]])+IF(MONTH(Table7[[#This Row],[Date]])&gt;=4,1,0)</f>
        <v>2025</v>
      </c>
      <c r="C85" s="167">
        <f>YEAR(Table7[[#This Row],[Date]])</f>
        <v>2024</v>
      </c>
      <c r="D85" s="168">
        <f t="shared" si="4"/>
        <v>45444</v>
      </c>
      <c r="AE85" s="167">
        <f t="shared" si="5"/>
        <v>0</v>
      </c>
    </row>
    <row r="86" spans="1:31">
      <c r="A86" s="197">
        <f t="shared" si="6"/>
        <v>45466</v>
      </c>
      <c r="B86" s="167">
        <f>YEAR(Table7[[#This Row],[Date]])+IF(MONTH(Table7[[#This Row],[Date]])&gt;=4,1,0)</f>
        <v>2025</v>
      </c>
      <c r="C86" s="167">
        <f>YEAR(Table7[[#This Row],[Date]])</f>
        <v>2024</v>
      </c>
      <c r="D86" s="168">
        <f t="shared" si="4"/>
        <v>45444</v>
      </c>
      <c r="AE86" s="167">
        <f t="shared" si="5"/>
        <v>0</v>
      </c>
    </row>
    <row r="87" spans="1:31">
      <c r="A87" s="197">
        <f t="shared" si="6"/>
        <v>45467</v>
      </c>
      <c r="B87" s="167">
        <f>YEAR(Table7[[#This Row],[Date]])+IF(MONTH(Table7[[#This Row],[Date]])&gt;=4,1,0)</f>
        <v>2025</v>
      </c>
      <c r="C87" s="167">
        <f>YEAR(Table7[[#This Row],[Date]])</f>
        <v>2024</v>
      </c>
      <c r="D87" s="168">
        <f t="shared" si="4"/>
        <v>45444</v>
      </c>
      <c r="AE87" s="167">
        <f t="shared" si="5"/>
        <v>0</v>
      </c>
    </row>
    <row r="88" spans="1:31">
      <c r="A88" s="197">
        <f t="shared" si="6"/>
        <v>45468</v>
      </c>
      <c r="B88" s="167">
        <f>YEAR(Table7[[#This Row],[Date]])+IF(MONTH(Table7[[#This Row],[Date]])&gt;=4,1,0)</f>
        <v>2025</v>
      </c>
      <c r="C88" s="167">
        <f>YEAR(Table7[[#This Row],[Date]])</f>
        <v>2024</v>
      </c>
      <c r="D88" s="168">
        <f t="shared" si="4"/>
        <v>45444</v>
      </c>
      <c r="AE88" s="167">
        <f t="shared" si="5"/>
        <v>0</v>
      </c>
    </row>
    <row r="89" spans="1:31">
      <c r="A89" s="197">
        <f t="shared" si="6"/>
        <v>45469</v>
      </c>
      <c r="B89" s="167">
        <f>YEAR(Table7[[#This Row],[Date]])+IF(MONTH(Table7[[#This Row],[Date]])&gt;=4,1,0)</f>
        <v>2025</v>
      </c>
      <c r="C89" s="167">
        <f>YEAR(Table7[[#This Row],[Date]])</f>
        <v>2024</v>
      </c>
      <c r="D89" s="168">
        <f t="shared" si="4"/>
        <v>45444</v>
      </c>
      <c r="AE89" s="167">
        <f t="shared" si="5"/>
        <v>0</v>
      </c>
    </row>
    <row r="90" spans="1:31">
      <c r="A90" s="197">
        <f t="shared" si="6"/>
        <v>45470</v>
      </c>
      <c r="B90" s="167">
        <f>YEAR(Table7[[#This Row],[Date]])+IF(MONTH(Table7[[#This Row],[Date]])&gt;=4,1,0)</f>
        <v>2025</v>
      </c>
      <c r="C90" s="167">
        <f>YEAR(Table7[[#This Row],[Date]])</f>
        <v>2024</v>
      </c>
      <c r="D90" s="168">
        <f t="shared" si="4"/>
        <v>45444</v>
      </c>
      <c r="AE90" s="167">
        <f t="shared" si="5"/>
        <v>0</v>
      </c>
    </row>
    <row r="91" spans="1:31">
      <c r="A91" s="197">
        <f t="shared" si="6"/>
        <v>45471</v>
      </c>
      <c r="B91" s="167">
        <f>YEAR(Table7[[#This Row],[Date]])+IF(MONTH(Table7[[#This Row],[Date]])&gt;=4,1,0)</f>
        <v>2025</v>
      </c>
      <c r="C91" s="167">
        <f>YEAR(Table7[[#This Row],[Date]])</f>
        <v>2024</v>
      </c>
      <c r="D91" s="168">
        <f t="shared" si="4"/>
        <v>45444</v>
      </c>
      <c r="AE91" s="167">
        <f t="shared" si="5"/>
        <v>0</v>
      </c>
    </row>
    <row r="92" spans="1:31">
      <c r="A92" s="197">
        <f t="shared" si="6"/>
        <v>45472</v>
      </c>
      <c r="B92" s="167">
        <f>YEAR(Table7[[#This Row],[Date]])+IF(MONTH(Table7[[#This Row],[Date]])&gt;=4,1,0)</f>
        <v>2025</v>
      </c>
      <c r="C92" s="167">
        <f>YEAR(Table7[[#This Row],[Date]])</f>
        <v>2024</v>
      </c>
      <c r="D92" s="168">
        <f t="shared" si="4"/>
        <v>45444</v>
      </c>
      <c r="AE92" s="167">
        <f t="shared" si="5"/>
        <v>0</v>
      </c>
    </row>
    <row r="93" spans="1:31">
      <c r="A93" s="197">
        <f t="shared" si="6"/>
        <v>45473</v>
      </c>
      <c r="B93" s="167">
        <f>YEAR(Table7[[#This Row],[Date]])+IF(MONTH(Table7[[#This Row],[Date]])&gt;=4,1,0)</f>
        <v>2025</v>
      </c>
      <c r="C93" s="167">
        <f>YEAR(Table7[[#This Row],[Date]])</f>
        <v>2024</v>
      </c>
      <c r="D93" s="168">
        <f t="shared" si="4"/>
        <v>45444</v>
      </c>
      <c r="AE93" s="167">
        <f t="shared" si="5"/>
        <v>0</v>
      </c>
    </row>
    <row r="94" spans="1:31">
      <c r="A94" s="197">
        <f t="shared" si="6"/>
        <v>45474</v>
      </c>
      <c r="B94" s="167">
        <f>YEAR(Table7[[#This Row],[Date]])+IF(MONTH(Table7[[#This Row],[Date]])&gt;=4,1,0)</f>
        <v>2025</v>
      </c>
      <c r="C94" s="167">
        <f>YEAR(Table7[[#This Row],[Date]])</f>
        <v>2024</v>
      </c>
      <c r="D94" s="168">
        <f t="shared" si="4"/>
        <v>45474</v>
      </c>
      <c r="AE94" s="167">
        <f t="shared" si="5"/>
        <v>0</v>
      </c>
    </row>
    <row r="95" spans="1:31">
      <c r="A95" s="197">
        <f t="shared" si="6"/>
        <v>45475</v>
      </c>
      <c r="B95" s="167">
        <f>YEAR(Table7[[#This Row],[Date]])+IF(MONTH(Table7[[#This Row],[Date]])&gt;=4,1,0)</f>
        <v>2025</v>
      </c>
      <c r="C95" s="167">
        <f>YEAR(Table7[[#This Row],[Date]])</f>
        <v>2024</v>
      </c>
      <c r="D95" s="168">
        <f t="shared" si="4"/>
        <v>45474</v>
      </c>
      <c r="AE95" s="167">
        <f t="shared" si="5"/>
        <v>0</v>
      </c>
    </row>
    <row r="96" spans="1:31">
      <c r="A96" s="197">
        <f t="shared" si="6"/>
        <v>45476</v>
      </c>
      <c r="B96" s="167">
        <f>YEAR(Table7[[#This Row],[Date]])+IF(MONTH(Table7[[#This Row],[Date]])&gt;=4,1,0)</f>
        <v>2025</v>
      </c>
      <c r="C96" s="167">
        <f>YEAR(Table7[[#This Row],[Date]])</f>
        <v>2024</v>
      </c>
      <c r="D96" s="168">
        <f t="shared" si="4"/>
        <v>45474</v>
      </c>
      <c r="AE96" s="167">
        <f t="shared" si="5"/>
        <v>0</v>
      </c>
    </row>
    <row r="97" spans="1:31">
      <c r="A97" s="197">
        <f t="shared" si="6"/>
        <v>45477</v>
      </c>
      <c r="B97" s="167">
        <f>YEAR(Table7[[#This Row],[Date]])+IF(MONTH(Table7[[#This Row],[Date]])&gt;=4,1,0)</f>
        <v>2025</v>
      </c>
      <c r="C97" s="167">
        <f>YEAR(Table7[[#This Row],[Date]])</f>
        <v>2024</v>
      </c>
      <c r="D97" s="168">
        <f t="shared" si="4"/>
        <v>45474</v>
      </c>
      <c r="AE97" s="167">
        <f t="shared" si="5"/>
        <v>0</v>
      </c>
    </row>
    <row r="98" spans="1:31">
      <c r="A98" s="197">
        <f t="shared" si="6"/>
        <v>45478</v>
      </c>
      <c r="B98" s="167">
        <f>YEAR(Table7[[#This Row],[Date]])+IF(MONTH(Table7[[#This Row],[Date]])&gt;=4,1,0)</f>
        <v>2025</v>
      </c>
      <c r="C98" s="167">
        <f>YEAR(Table7[[#This Row],[Date]])</f>
        <v>2024</v>
      </c>
      <c r="D98" s="168">
        <f t="shared" si="4"/>
        <v>45474</v>
      </c>
      <c r="AE98" s="167">
        <f t="shared" si="5"/>
        <v>0</v>
      </c>
    </row>
    <row r="99" spans="1:31">
      <c r="A99" s="197">
        <f t="shared" si="6"/>
        <v>45479</v>
      </c>
      <c r="B99" s="167">
        <f>YEAR(Table7[[#This Row],[Date]])+IF(MONTH(Table7[[#This Row],[Date]])&gt;=4,1,0)</f>
        <v>2025</v>
      </c>
      <c r="C99" s="167">
        <f>YEAR(Table7[[#This Row],[Date]])</f>
        <v>2024</v>
      </c>
      <c r="D99" s="168">
        <f t="shared" si="4"/>
        <v>45474</v>
      </c>
      <c r="AE99" s="167">
        <f t="shared" si="5"/>
        <v>0</v>
      </c>
    </row>
    <row r="100" spans="1:31">
      <c r="A100" s="197">
        <f t="shared" si="6"/>
        <v>45480</v>
      </c>
      <c r="B100" s="167">
        <f>YEAR(Table7[[#This Row],[Date]])+IF(MONTH(Table7[[#This Row],[Date]])&gt;=4,1,0)</f>
        <v>2025</v>
      </c>
      <c r="C100" s="167">
        <f>YEAR(Table7[[#This Row],[Date]])</f>
        <v>2024</v>
      </c>
      <c r="D100" s="168">
        <f t="shared" si="4"/>
        <v>45474</v>
      </c>
      <c r="AE100" s="167">
        <f t="shared" si="5"/>
        <v>0</v>
      </c>
    </row>
    <row r="101" spans="1:31">
      <c r="A101" s="197">
        <f t="shared" si="6"/>
        <v>45481</v>
      </c>
      <c r="B101" s="167">
        <f>YEAR(Table7[[#This Row],[Date]])+IF(MONTH(Table7[[#This Row],[Date]])&gt;=4,1,0)</f>
        <v>2025</v>
      </c>
      <c r="C101" s="167">
        <f>YEAR(Table7[[#This Row],[Date]])</f>
        <v>2024</v>
      </c>
      <c r="D101" s="168">
        <f t="shared" si="4"/>
        <v>45474</v>
      </c>
      <c r="AE101" s="167">
        <f t="shared" si="5"/>
        <v>0</v>
      </c>
    </row>
    <row r="102" spans="1:31">
      <c r="A102" s="197">
        <f t="shared" si="6"/>
        <v>45482</v>
      </c>
      <c r="B102" s="167">
        <f>YEAR(Table7[[#This Row],[Date]])+IF(MONTH(Table7[[#This Row],[Date]])&gt;=4,1,0)</f>
        <v>2025</v>
      </c>
      <c r="C102" s="167">
        <f>YEAR(Table7[[#This Row],[Date]])</f>
        <v>2024</v>
      </c>
      <c r="D102" s="168">
        <f t="shared" si="4"/>
        <v>45474</v>
      </c>
      <c r="AE102" s="167">
        <f t="shared" si="5"/>
        <v>0</v>
      </c>
    </row>
    <row r="103" spans="1:31">
      <c r="A103" s="197">
        <f t="shared" si="6"/>
        <v>45483</v>
      </c>
      <c r="B103" s="167">
        <f>YEAR(Table7[[#This Row],[Date]])+IF(MONTH(Table7[[#This Row],[Date]])&gt;=4,1,0)</f>
        <v>2025</v>
      </c>
      <c r="C103" s="167">
        <f>YEAR(Table7[[#This Row],[Date]])</f>
        <v>2024</v>
      </c>
      <c r="D103" s="168">
        <f t="shared" si="4"/>
        <v>45474</v>
      </c>
      <c r="AE103" s="167">
        <f t="shared" si="5"/>
        <v>0</v>
      </c>
    </row>
    <row r="104" spans="1:31">
      <c r="A104" s="197">
        <f t="shared" si="6"/>
        <v>45484</v>
      </c>
      <c r="B104" s="167">
        <f>YEAR(Table7[[#This Row],[Date]])+IF(MONTH(Table7[[#This Row],[Date]])&gt;=4,1,0)</f>
        <v>2025</v>
      </c>
      <c r="C104" s="167">
        <f>YEAR(Table7[[#This Row],[Date]])</f>
        <v>2024</v>
      </c>
      <c r="D104" s="168">
        <f t="shared" si="4"/>
        <v>45474</v>
      </c>
      <c r="AE104" s="167">
        <f t="shared" si="5"/>
        <v>0</v>
      </c>
    </row>
    <row r="105" spans="1:31">
      <c r="A105" s="197">
        <f t="shared" si="6"/>
        <v>45485</v>
      </c>
      <c r="B105" s="167">
        <f>YEAR(Table7[[#This Row],[Date]])+IF(MONTH(Table7[[#This Row],[Date]])&gt;=4,1,0)</f>
        <v>2025</v>
      </c>
      <c r="C105" s="167">
        <f>YEAR(Table7[[#This Row],[Date]])</f>
        <v>2024</v>
      </c>
      <c r="D105" s="168">
        <f t="shared" si="4"/>
        <v>45474</v>
      </c>
      <c r="AE105" s="167">
        <f t="shared" si="5"/>
        <v>0</v>
      </c>
    </row>
    <row r="106" spans="1:31">
      <c r="A106" s="197">
        <f t="shared" si="6"/>
        <v>45486</v>
      </c>
      <c r="B106" s="167">
        <f>YEAR(Table7[[#This Row],[Date]])+IF(MONTH(Table7[[#This Row],[Date]])&gt;=4,1,0)</f>
        <v>2025</v>
      </c>
      <c r="C106" s="167">
        <f>YEAR(Table7[[#This Row],[Date]])</f>
        <v>2024</v>
      </c>
      <c r="D106" s="168">
        <f t="shared" si="4"/>
        <v>45474</v>
      </c>
      <c r="AE106" s="167">
        <f t="shared" si="5"/>
        <v>0</v>
      </c>
    </row>
    <row r="107" spans="1:31">
      <c r="A107" s="197">
        <f t="shared" si="6"/>
        <v>45487</v>
      </c>
      <c r="B107" s="167">
        <f>YEAR(Table7[[#This Row],[Date]])+IF(MONTH(Table7[[#This Row],[Date]])&gt;=4,1,0)</f>
        <v>2025</v>
      </c>
      <c r="C107" s="167">
        <f>YEAR(Table7[[#This Row],[Date]])</f>
        <v>2024</v>
      </c>
      <c r="D107" s="168">
        <f t="shared" si="4"/>
        <v>45474</v>
      </c>
      <c r="AE107" s="167">
        <f t="shared" si="5"/>
        <v>0</v>
      </c>
    </row>
    <row r="108" spans="1:31">
      <c r="A108" s="197">
        <f t="shared" si="6"/>
        <v>45488</v>
      </c>
      <c r="B108" s="167">
        <f>YEAR(Table7[[#This Row],[Date]])+IF(MONTH(Table7[[#This Row],[Date]])&gt;=4,1,0)</f>
        <v>2025</v>
      </c>
      <c r="C108" s="167">
        <f>YEAR(Table7[[#This Row],[Date]])</f>
        <v>2024</v>
      </c>
      <c r="D108" s="168">
        <f t="shared" si="4"/>
        <v>45474</v>
      </c>
      <c r="AE108" s="167">
        <f t="shared" si="5"/>
        <v>0</v>
      </c>
    </row>
    <row r="109" spans="1:31">
      <c r="A109" s="197">
        <f t="shared" si="6"/>
        <v>45489</v>
      </c>
      <c r="B109" s="167">
        <f>YEAR(Table7[[#This Row],[Date]])+IF(MONTH(Table7[[#This Row],[Date]])&gt;=4,1,0)</f>
        <v>2025</v>
      </c>
      <c r="C109" s="167">
        <f>YEAR(Table7[[#This Row],[Date]])</f>
        <v>2024</v>
      </c>
      <c r="D109" s="168">
        <f t="shared" si="4"/>
        <v>45474</v>
      </c>
      <c r="AE109" s="167">
        <f t="shared" si="5"/>
        <v>0</v>
      </c>
    </row>
    <row r="110" spans="1:31">
      <c r="A110" s="197">
        <f t="shared" si="6"/>
        <v>45490</v>
      </c>
      <c r="B110" s="167">
        <f>YEAR(Table7[[#This Row],[Date]])+IF(MONTH(Table7[[#This Row],[Date]])&gt;=4,1,0)</f>
        <v>2025</v>
      </c>
      <c r="C110" s="167">
        <f>YEAR(Table7[[#This Row],[Date]])</f>
        <v>2024</v>
      </c>
      <c r="D110" s="168">
        <f t="shared" si="4"/>
        <v>45474</v>
      </c>
      <c r="AE110" s="167">
        <f t="shared" si="5"/>
        <v>0</v>
      </c>
    </row>
    <row r="111" spans="1:31">
      <c r="A111" s="197">
        <f t="shared" si="6"/>
        <v>45491</v>
      </c>
      <c r="B111" s="167">
        <f>YEAR(Table7[[#This Row],[Date]])+IF(MONTH(Table7[[#This Row],[Date]])&gt;=4,1,0)</f>
        <v>2025</v>
      </c>
      <c r="C111" s="167">
        <f>YEAR(Table7[[#This Row],[Date]])</f>
        <v>2024</v>
      </c>
      <c r="D111" s="168">
        <f t="shared" si="4"/>
        <v>45474</v>
      </c>
      <c r="AE111" s="167">
        <f t="shared" si="5"/>
        <v>0</v>
      </c>
    </row>
    <row r="112" spans="1:31">
      <c r="A112" s="197">
        <f t="shared" si="6"/>
        <v>45492</v>
      </c>
      <c r="B112" s="167">
        <f>YEAR(Table7[[#This Row],[Date]])+IF(MONTH(Table7[[#This Row],[Date]])&gt;=4,1,0)</f>
        <v>2025</v>
      </c>
      <c r="C112" s="167">
        <f>YEAR(Table7[[#This Row],[Date]])</f>
        <v>2024</v>
      </c>
      <c r="D112" s="168">
        <f t="shared" si="4"/>
        <v>45474</v>
      </c>
      <c r="AE112" s="167">
        <f t="shared" si="5"/>
        <v>0</v>
      </c>
    </row>
    <row r="113" spans="1:31">
      <c r="A113" s="197">
        <f t="shared" si="6"/>
        <v>45493</v>
      </c>
      <c r="B113" s="167">
        <f>YEAR(Table7[[#This Row],[Date]])+IF(MONTH(Table7[[#This Row],[Date]])&gt;=4,1,0)</f>
        <v>2025</v>
      </c>
      <c r="C113" s="167">
        <f>YEAR(Table7[[#This Row],[Date]])</f>
        <v>2024</v>
      </c>
      <c r="D113" s="168">
        <f t="shared" si="4"/>
        <v>45474</v>
      </c>
      <c r="AE113" s="167">
        <f t="shared" si="5"/>
        <v>0</v>
      </c>
    </row>
    <row r="114" spans="1:31">
      <c r="A114" s="197">
        <f t="shared" si="6"/>
        <v>45494</v>
      </c>
      <c r="B114" s="167">
        <f>YEAR(Table7[[#This Row],[Date]])+IF(MONTH(Table7[[#This Row],[Date]])&gt;=4,1,0)</f>
        <v>2025</v>
      </c>
      <c r="C114" s="167">
        <f>YEAR(Table7[[#This Row],[Date]])</f>
        <v>2024</v>
      </c>
      <c r="D114" s="168">
        <f t="shared" si="4"/>
        <v>45474</v>
      </c>
      <c r="AE114" s="167">
        <f t="shared" si="5"/>
        <v>0</v>
      </c>
    </row>
    <row r="115" spans="1:31">
      <c r="A115" s="197">
        <f t="shared" si="6"/>
        <v>45495</v>
      </c>
      <c r="B115" s="167">
        <f>YEAR(Table7[[#This Row],[Date]])+IF(MONTH(Table7[[#This Row],[Date]])&gt;=4,1,0)</f>
        <v>2025</v>
      </c>
      <c r="C115" s="167">
        <f>YEAR(Table7[[#This Row],[Date]])</f>
        <v>2024</v>
      </c>
      <c r="D115" s="168">
        <f t="shared" si="4"/>
        <v>45474</v>
      </c>
      <c r="AE115" s="167">
        <f t="shared" si="5"/>
        <v>0</v>
      </c>
    </row>
    <row r="116" spans="1:31">
      <c r="A116" s="197">
        <f t="shared" si="6"/>
        <v>45496</v>
      </c>
      <c r="B116" s="167">
        <f>YEAR(Table7[[#This Row],[Date]])+IF(MONTH(Table7[[#This Row],[Date]])&gt;=4,1,0)</f>
        <v>2025</v>
      </c>
      <c r="C116" s="167">
        <f>YEAR(Table7[[#This Row],[Date]])</f>
        <v>2024</v>
      </c>
      <c r="D116" s="168">
        <f t="shared" si="4"/>
        <v>45474</v>
      </c>
      <c r="AE116" s="167">
        <f t="shared" si="5"/>
        <v>0</v>
      </c>
    </row>
    <row r="117" spans="1:31">
      <c r="A117" s="197">
        <f t="shared" si="6"/>
        <v>45497</v>
      </c>
      <c r="B117" s="167">
        <f>YEAR(Table7[[#This Row],[Date]])+IF(MONTH(Table7[[#This Row],[Date]])&gt;=4,1,0)</f>
        <v>2025</v>
      </c>
      <c r="C117" s="167">
        <f>YEAR(Table7[[#This Row],[Date]])</f>
        <v>2024</v>
      </c>
      <c r="D117" s="168">
        <f t="shared" si="4"/>
        <v>45474</v>
      </c>
      <c r="AE117" s="167">
        <f t="shared" si="5"/>
        <v>0</v>
      </c>
    </row>
    <row r="118" spans="1:31">
      <c r="A118" s="197">
        <f t="shared" si="6"/>
        <v>45498</v>
      </c>
      <c r="B118" s="167">
        <f>YEAR(Table7[[#This Row],[Date]])+IF(MONTH(Table7[[#This Row],[Date]])&gt;=4,1,0)</f>
        <v>2025</v>
      </c>
      <c r="C118" s="167">
        <f>YEAR(Table7[[#This Row],[Date]])</f>
        <v>2024</v>
      </c>
      <c r="D118" s="168">
        <f t="shared" si="4"/>
        <v>45474</v>
      </c>
      <c r="AE118" s="167">
        <f t="shared" si="5"/>
        <v>0</v>
      </c>
    </row>
    <row r="119" spans="1:31">
      <c r="A119" s="197">
        <f t="shared" si="6"/>
        <v>45499</v>
      </c>
      <c r="B119" s="167">
        <f>YEAR(Table7[[#This Row],[Date]])+IF(MONTH(Table7[[#This Row],[Date]])&gt;=4,1,0)</f>
        <v>2025</v>
      </c>
      <c r="C119" s="167">
        <f>YEAR(Table7[[#This Row],[Date]])</f>
        <v>2024</v>
      </c>
      <c r="D119" s="168">
        <f t="shared" si="4"/>
        <v>45474</v>
      </c>
      <c r="AE119" s="167">
        <f t="shared" si="5"/>
        <v>0</v>
      </c>
    </row>
    <row r="120" spans="1:31">
      <c r="A120" s="197">
        <f t="shared" si="6"/>
        <v>45500</v>
      </c>
      <c r="B120" s="167">
        <f>YEAR(Table7[[#This Row],[Date]])+IF(MONTH(Table7[[#This Row],[Date]])&gt;=4,1,0)</f>
        <v>2025</v>
      </c>
      <c r="C120" s="167">
        <f>YEAR(Table7[[#This Row],[Date]])</f>
        <v>2024</v>
      </c>
      <c r="D120" s="168">
        <f t="shared" si="4"/>
        <v>45474</v>
      </c>
      <c r="AE120" s="167">
        <f t="shared" si="5"/>
        <v>0</v>
      </c>
    </row>
    <row r="121" spans="1:31">
      <c r="A121" s="197">
        <f t="shared" si="6"/>
        <v>45501</v>
      </c>
      <c r="B121" s="167">
        <f>YEAR(Table7[[#This Row],[Date]])+IF(MONTH(Table7[[#This Row],[Date]])&gt;=4,1,0)</f>
        <v>2025</v>
      </c>
      <c r="C121" s="167">
        <f>YEAR(Table7[[#This Row],[Date]])</f>
        <v>2024</v>
      </c>
      <c r="D121" s="168">
        <f t="shared" si="4"/>
        <v>45474</v>
      </c>
      <c r="AE121" s="167">
        <f t="shared" si="5"/>
        <v>0</v>
      </c>
    </row>
    <row r="122" spans="1:31">
      <c r="A122" s="197">
        <f t="shared" si="6"/>
        <v>45502</v>
      </c>
      <c r="B122" s="167">
        <f>YEAR(Table7[[#This Row],[Date]])+IF(MONTH(Table7[[#This Row],[Date]])&gt;=4,1,0)</f>
        <v>2025</v>
      </c>
      <c r="C122" s="167">
        <f>YEAR(Table7[[#This Row],[Date]])</f>
        <v>2024</v>
      </c>
      <c r="D122" s="168">
        <f t="shared" si="4"/>
        <v>45474</v>
      </c>
      <c r="AE122" s="167">
        <f t="shared" si="5"/>
        <v>0</v>
      </c>
    </row>
    <row r="123" spans="1:31">
      <c r="A123" s="197">
        <f t="shared" si="6"/>
        <v>45503</v>
      </c>
      <c r="B123" s="167">
        <f>YEAR(Table7[[#This Row],[Date]])+IF(MONTH(Table7[[#This Row],[Date]])&gt;=4,1,0)</f>
        <v>2025</v>
      </c>
      <c r="C123" s="167">
        <f>YEAR(Table7[[#This Row],[Date]])</f>
        <v>2024</v>
      </c>
      <c r="D123" s="168">
        <f t="shared" si="4"/>
        <v>45474</v>
      </c>
      <c r="AE123" s="167">
        <f t="shared" si="5"/>
        <v>0</v>
      </c>
    </row>
    <row r="124" spans="1:31">
      <c r="A124" s="197">
        <f t="shared" si="6"/>
        <v>45504</v>
      </c>
      <c r="B124" s="167">
        <f>YEAR(Table7[[#This Row],[Date]])+IF(MONTH(Table7[[#This Row],[Date]])&gt;=4,1,0)</f>
        <v>2025</v>
      </c>
      <c r="C124" s="167">
        <f>YEAR(Table7[[#This Row],[Date]])</f>
        <v>2024</v>
      </c>
      <c r="D124" s="168">
        <f t="shared" si="4"/>
        <v>45474</v>
      </c>
      <c r="AE124" s="167">
        <f t="shared" si="5"/>
        <v>0</v>
      </c>
    </row>
    <row r="125" spans="1:31">
      <c r="A125" s="197">
        <f t="shared" si="6"/>
        <v>45505</v>
      </c>
      <c r="B125" s="167">
        <f>YEAR(Table7[[#This Row],[Date]])+IF(MONTH(Table7[[#This Row],[Date]])&gt;=4,1,0)</f>
        <v>2025</v>
      </c>
      <c r="C125" s="167">
        <f>YEAR(Table7[[#This Row],[Date]])</f>
        <v>2024</v>
      </c>
      <c r="D125" s="168">
        <f t="shared" si="4"/>
        <v>45505</v>
      </c>
      <c r="AE125" s="167">
        <f t="shared" si="5"/>
        <v>0</v>
      </c>
    </row>
    <row r="126" spans="1:31">
      <c r="A126" s="197">
        <f t="shared" si="6"/>
        <v>45506</v>
      </c>
      <c r="B126" s="167">
        <f>YEAR(Table7[[#This Row],[Date]])+IF(MONTH(Table7[[#This Row],[Date]])&gt;=4,1,0)</f>
        <v>2025</v>
      </c>
      <c r="C126" s="167">
        <f>YEAR(Table7[[#This Row],[Date]])</f>
        <v>2024</v>
      </c>
      <c r="D126" s="168">
        <f t="shared" si="4"/>
        <v>45505</v>
      </c>
      <c r="AE126" s="167">
        <f t="shared" si="5"/>
        <v>0</v>
      </c>
    </row>
    <row r="127" spans="1:31">
      <c r="A127" s="197">
        <f t="shared" si="6"/>
        <v>45507</v>
      </c>
      <c r="B127" s="167">
        <f>YEAR(Table7[[#This Row],[Date]])+IF(MONTH(Table7[[#This Row],[Date]])&gt;=4,1,0)</f>
        <v>2025</v>
      </c>
      <c r="C127" s="167">
        <f>YEAR(Table7[[#This Row],[Date]])</f>
        <v>2024</v>
      </c>
      <c r="D127" s="168">
        <f t="shared" si="4"/>
        <v>45505</v>
      </c>
      <c r="AE127" s="167">
        <f t="shared" si="5"/>
        <v>0</v>
      </c>
    </row>
    <row r="128" spans="1:31">
      <c r="A128" s="197">
        <f t="shared" si="6"/>
        <v>45508</v>
      </c>
      <c r="B128" s="167">
        <f>YEAR(Table7[[#This Row],[Date]])+IF(MONTH(Table7[[#This Row],[Date]])&gt;=4,1,0)</f>
        <v>2025</v>
      </c>
      <c r="C128" s="167">
        <f>YEAR(Table7[[#This Row],[Date]])</f>
        <v>2024</v>
      </c>
      <c r="D128" s="168">
        <f t="shared" si="4"/>
        <v>45505</v>
      </c>
      <c r="AE128" s="167">
        <f t="shared" si="5"/>
        <v>0</v>
      </c>
    </row>
    <row r="129" spans="1:31">
      <c r="A129" s="197">
        <f t="shared" si="6"/>
        <v>45509</v>
      </c>
      <c r="B129" s="167">
        <f>YEAR(Table7[[#This Row],[Date]])+IF(MONTH(Table7[[#This Row],[Date]])&gt;=4,1,0)</f>
        <v>2025</v>
      </c>
      <c r="C129" s="167">
        <f>YEAR(Table7[[#This Row],[Date]])</f>
        <v>2024</v>
      </c>
      <c r="D129" s="168">
        <f t="shared" si="4"/>
        <v>45505</v>
      </c>
      <c r="AE129" s="167">
        <f t="shared" si="5"/>
        <v>0</v>
      </c>
    </row>
    <row r="130" spans="1:31">
      <c r="A130" s="197">
        <f t="shared" si="6"/>
        <v>45510</v>
      </c>
      <c r="B130" s="167">
        <f>YEAR(Table7[[#This Row],[Date]])+IF(MONTH(Table7[[#This Row],[Date]])&gt;=4,1,0)</f>
        <v>2025</v>
      </c>
      <c r="C130" s="167">
        <f>YEAR(Table7[[#This Row],[Date]])</f>
        <v>2024</v>
      </c>
      <c r="D130" s="168">
        <f t="shared" si="4"/>
        <v>45505</v>
      </c>
      <c r="AE130" s="167">
        <f t="shared" si="5"/>
        <v>0</v>
      </c>
    </row>
    <row r="131" spans="1:31">
      <c r="A131" s="197">
        <f t="shared" si="6"/>
        <v>45511</v>
      </c>
      <c r="B131" s="167">
        <f>YEAR(Table7[[#This Row],[Date]])+IF(MONTH(Table7[[#This Row],[Date]])&gt;=4,1,0)</f>
        <v>2025</v>
      </c>
      <c r="C131" s="167">
        <f>YEAR(Table7[[#This Row],[Date]])</f>
        <v>2024</v>
      </c>
      <c r="D131" s="168">
        <f t="shared" ref="D131:D194" si="7">A131-DAY(A131)+1</f>
        <v>45505</v>
      </c>
      <c r="AE131" s="167">
        <f t="shared" ref="AE131:AE194" si="8">SUM(E131:AD131)</f>
        <v>0</v>
      </c>
    </row>
    <row r="132" spans="1:31">
      <c r="A132" s="197">
        <f t="shared" si="6"/>
        <v>45512</v>
      </c>
      <c r="B132" s="167">
        <f>YEAR(Table7[[#This Row],[Date]])+IF(MONTH(Table7[[#This Row],[Date]])&gt;=4,1,0)</f>
        <v>2025</v>
      </c>
      <c r="C132" s="167">
        <f>YEAR(Table7[[#This Row],[Date]])</f>
        <v>2024</v>
      </c>
      <c r="D132" s="168">
        <f t="shared" si="7"/>
        <v>45505</v>
      </c>
      <c r="AE132" s="167">
        <f t="shared" si="8"/>
        <v>0</v>
      </c>
    </row>
    <row r="133" spans="1:31">
      <c r="A133" s="197">
        <f t="shared" ref="A133:A196" si="9">A132+1</f>
        <v>45513</v>
      </c>
      <c r="B133" s="167">
        <f>YEAR(Table7[[#This Row],[Date]])+IF(MONTH(Table7[[#This Row],[Date]])&gt;=4,1,0)</f>
        <v>2025</v>
      </c>
      <c r="C133" s="167">
        <f>YEAR(Table7[[#This Row],[Date]])</f>
        <v>2024</v>
      </c>
      <c r="D133" s="168">
        <f t="shared" si="7"/>
        <v>45505</v>
      </c>
      <c r="AE133" s="167">
        <f t="shared" si="8"/>
        <v>0</v>
      </c>
    </row>
    <row r="134" spans="1:31">
      <c r="A134" s="197">
        <f t="shared" si="9"/>
        <v>45514</v>
      </c>
      <c r="B134" s="167">
        <f>YEAR(Table7[[#This Row],[Date]])+IF(MONTH(Table7[[#This Row],[Date]])&gt;=4,1,0)</f>
        <v>2025</v>
      </c>
      <c r="C134" s="167">
        <f>YEAR(Table7[[#This Row],[Date]])</f>
        <v>2024</v>
      </c>
      <c r="D134" s="168">
        <f t="shared" si="7"/>
        <v>45505</v>
      </c>
      <c r="AE134" s="167">
        <f t="shared" si="8"/>
        <v>0</v>
      </c>
    </row>
    <row r="135" spans="1:31">
      <c r="A135" s="197">
        <f t="shared" si="9"/>
        <v>45515</v>
      </c>
      <c r="B135" s="167">
        <f>YEAR(Table7[[#This Row],[Date]])+IF(MONTH(Table7[[#This Row],[Date]])&gt;=4,1,0)</f>
        <v>2025</v>
      </c>
      <c r="C135" s="167">
        <f>YEAR(Table7[[#This Row],[Date]])</f>
        <v>2024</v>
      </c>
      <c r="D135" s="168">
        <f t="shared" si="7"/>
        <v>45505</v>
      </c>
      <c r="AE135" s="167">
        <f t="shared" si="8"/>
        <v>0</v>
      </c>
    </row>
    <row r="136" spans="1:31">
      <c r="A136" s="197">
        <f t="shared" si="9"/>
        <v>45516</v>
      </c>
      <c r="B136" s="167">
        <f>YEAR(Table7[[#This Row],[Date]])+IF(MONTH(Table7[[#This Row],[Date]])&gt;=4,1,0)</f>
        <v>2025</v>
      </c>
      <c r="C136" s="167">
        <f>YEAR(Table7[[#This Row],[Date]])</f>
        <v>2024</v>
      </c>
      <c r="D136" s="168">
        <f t="shared" si="7"/>
        <v>45505</v>
      </c>
      <c r="AE136" s="167">
        <f t="shared" si="8"/>
        <v>0</v>
      </c>
    </row>
    <row r="137" spans="1:31">
      <c r="A137" s="197">
        <f t="shared" si="9"/>
        <v>45517</v>
      </c>
      <c r="B137" s="167">
        <f>YEAR(Table7[[#This Row],[Date]])+IF(MONTH(Table7[[#This Row],[Date]])&gt;=4,1,0)</f>
        <v>2025</v>
      </c>
      <c r="C137" s="167">
        <f>YEAR(Table7[[#This Row],[Date]])</f>
        <v>2024</v>
      </c>
      <c r="D137" s="168">
        <f t="shared" si="7"/>
        <v>45505</v>
      </c>
      <c r="AE137" s="167">
        <f t="shared" si="8"/>
        <v>0</v>
      </c>
    </row>
    <row r="138" spans="1:31">
      <c r="A138" s="197">
        <f t="shared" si="9"/>
        <v>45518</v>
      </c>
      <c r="B138" s="167">
        <f>YEAR(Table7[[#This Row],[Date]])+IF(MONTH(Table7[[#This Row],[Date]])&gt;=4,1,0)</f>
        <v>2025</v>
      </c>
      <c r="C138" s="167">
        <f>YEAR(Table7[[#This Row],[Date]])</f>
        <v>2024</v>
      </c>
      <c r="D138" s="168">
        <f t="shared" si="7"/>
        <v>45505</v>
      </c>
      <c r="AE138" s="167">
        <f t="shared" si="8"/>
        <v>0</v>
      </c>
    </row>
    <row r="139" spans="1:31">
      <c r="A139" s="197">
        <f t="shared" si="9"/>
        <v>45519</v>
      </c>
      <c r="B139" s="167">
        <f>YEAR(Table7[[#This Row],[Date]])+IF(MONTH(Table7[[#This Row],[Date]])&gt;=4,1,0)</f>
        <v>2025</v>
      </c>
      <c r="C139" s="167">
        <f>YEAR(Table7[[#This Row],[Date]])</f>
        <v>2024</v>
      </c>
      <c r="D139" s="168">
        <f t="shared" si="7"/>
        <v>45505</v>
      </c>
      <c r="AE139" s="167">
        <f t="shared" si="8"/>
        <v>0</v>
      </c>
    </row>
    <row r="140" spans="1:31">
      <c r="A140" s="197">
        <f t="shared" si="9"/>
        <v>45520</v>
      </c>
      <c r="B140" s="167">
        <f>YEAR(Table7[[#This Row],[Date]])+IF(MONTH(Table7[[#This Row],[Date]])&gt;=4,1,0)</f>
        <v>2025</v>
      </c>
      <c r="C140" s="167">
        <f>YEAR(Table7[[#This Row],[Date]])</f>
        <v>2024</v>
      </c>
      <c r="D140" s="168">
        <f t="shared" si="7"/>
        <v>45505</v>
      </c>
      <c r="AE140" s="167">
        <f t="shared" si="8"/>
        <v>0</v>
      </c>
    </row>
    <row r="141" spans="1:31">
      <c r="A141" s="197">
        <f t="shared" si="9"/>
        <v>45521</v>
      </c>
      <c r="B141" s="167">
        <f>YEAR(Table7[[#This Row],[Date]])+IF(MONTH(Table7[[#This Row],[Date]])&gt;=4,1,0)</f>
        <v>2025</v>
      </c>
      <c r="C141" s="167">
        <f>YEAR(Table7[[#This Row],[Date]])</f>
        <v>2024</v>
      </c>
      <c r="D141" s="168">
        <f t="shared" si="7"/>
        <v>45505</v>
      </c>
      <c r="AE141" s="167">
        <f t="shared" si="8"/>
        <v>0</v>
      </c>
    </row>
    <row r="142" spans="1:31">
      <c r="A142" s="197">
        <f t="shared" si="9"/>
        <v>45522</v>
      </c>
      <c r="B142" s="167">
        <f>YEAR(Table7[[#This Row],[Date]])+IF(MONTH(Table7[[#This Row],[Date]])&gt;=4,1,0)</f>
        <v>2025</v>
      </c>
      <c r="C142" s="167">
        <f>YEAR(Table7[[#This Row],[Date]])</f>
        <v>2024</v>
      </c>
      <c r="D142" s="168">
        <f t="shared" si="7"/>
        <v>45505</v>
      </c>
      <c r="AE142" s="167">
        <f t="shared" si="8"/>
        <v>0</v>
      </c>
    </row>
    <row r="143" spans="1:31">
      <c r="A143" s="197">
        <f t="shared" si="9"/>
        <v>45523</v>
      </c>
      <c r="B143" s="167">
        <f>YEAR(Table7[[#This Row],[Date]])+IF(MONTH(Table7[[#This Row],[Date]])&gt;=4,1,0)</f>
        <v>2025</v>
      </c>
      <c r="C143" s="167">
        <f>YEAR(Table7[[#This Row],[Date]])</f>
        <v>2024</v>
      </c>
      <c r="D143" s="168">
        <f t="shared" si="7"/>
        <v>45505</v>
      </c>
      <c r="AE143" s="167">
        <f t="shared" si="8"/>
        <v>0</v>
      </c>
    </row>
    <row r="144" spans="1:31">
      <c r="A144" s="197">
        <f t="shared" si="9"/>
        <v>45524</v>
      </c>
      <c r="B144" s="167">
        <f>YEAR(Table7[[#This Row],[Date]])+IF(MONTH(Table7[[#This Row],[Date]])&gt;=4,1,0)</f>
        <v>2025</v>
      </c>
      <c r="C144" s="167">
        <f>YEAR(Table7[[#This Row],[Date]])</f>
        <v>2024</v>
      </c>
      <c r="D144" s="168">
        <f t="shared" si="7"/>
        <v>45505</v>
      </c>
      <c r="AE144" s="167">
        <f t="shared" si="8"/>
        <v>0</v>
      </c>
    </row>
    <row r="145" spans="1:31">
      <c r="A145" s="197">
        <f t="shared" si="9"/>
        <v>45525</v>
      </c>
      <c r="B145" s="167">
        <f>YEAR(Table7[[#This Row],[Date]])+IF(MONTH(Table7[[#This Row],[Date]])&gt;=4,1,0)</f>
        <v>2025</v>
      </c>
      <c r="C145" s="167">
        <f>YEAR(Table7[[#This Row],[Date]])</f>
        <v>2024</v>
      </c>
      <c r="D145" s="168">
        <f t="shared" si="7"/>
        <v>45505</v>
      </c>
      <c r="AE145" s="167">
        <f t="shared" si="8"/>
        <v>0</v>
      </c>
    </row>
    <row r="146" spans="1:31">
      <c r="A146" s="197">
        <f t="shared" si="9"/>
        <v>45526</v>
      </c>
      <c r="B146" s="167">
        <f>YEAR(Table7[[#This Row],[Date]])+IF(MONTH(Table7[[#This Row],[Date]])&gt;=4,1,0)</f>
        <v>2025</v>
      </c>
      <c r="C146" s="167">
        <f>YEAR(Table7[[#This Row],[Date]])</f>
        <v>2024</v>
      </c>
      <c r="D146" s="168">
        <f t="shared" si="7"/>
        <v>45505</v>
      </c>
      <c r="AE146" s="167">
        <f t="shared" si="8"/>
        <v>0</v>
      </c>
    </row>
    <row r="147" spans="1:31">
      <c r="A147" s="197">
        <f t="shared" si="9"/>
        <v>45527</v>
      </c>
      <c r="B147" s="167">
        <f>YEAR(Table7[[#This Row],[Date]])+IF(MONTH(Table7[[#This Row],[Date]])&gt;=4,1,0)</f>
        <v>2025</v>
      </c>
      <c r="C147" s="167">
        <f>YEAR(Table7[[#This Row],[Date]])</f>
        <v>2024</v>
      </c>
      <c r="D147" s="168">
        <f t="shared" si="7"/>
        <v>45505</v>
      </c>
      <c r="AE147" s="167">
        <f t="shared" si="8"/>
        <v>0</v>
      </c>
    </row>
    <row r="148" spans="1:31">
      <c r="A148" s="197">
        <f t="shared" si="9"/>
        <v>45528</v>
      </c>
      <c r="B148" s="167">
        <f>YEAR(Table7[[#This Row],[Date]])+IF(MONTH(Table7[[#This Row],[Date]])&gt;=4,1,0)</f>
        <v>2025</v>
      </c>
      <c r="C148" s="167">
        <f>YEAR(Table7[[#This Row],[Date]])</f>
        <v>2024</v>
      </c>
      <c r="D148" s="168">
        <f t="shared" si="7"/>
        <v>45505</v>
      </c>
      <c r="AE148" s="167">
        <f t="shared" si="8"/>
        <v>0</v>
      </c>
    </row>
    <row r="149" spans="1:31">
      <c r="A149" s="197">
        <f t="shared" si="9"/>
        <v>45529</v>
      </c>
      <c r="B149" s="167">
        <f>YEAR(Table7[[#This Row],[Date]])+IF(MONTH(Table7[[#This Row],[Date]])&gt;=4,1,0)</f>
        <v>2025</v>
      </c>
      <c r="C149" s="167">
        <f>YEAR(Table7[[#This Row],[Date]])</f>
        <v>2024</v>
      </c>
      <c r="D149" s="168">
        <f t="shared" si="7"/>
        <v>45505</v>
      </c>
      <c r="AE149" s="167">
        <f t="shared" si="8"/>
        <v>0</v>
      </c>
    </row>
    <row r="150" spans="1:31">
      <c r="A150" s="197">
        <f t="shared" si="9"/>
        <v>45530</v>
      </c>
      <c r="B150" s="167">
        <f>YEAR(Table7[[#This Row],[Date]])+IF(MONTH(Table7[[#This Row],[Date]])&gt;=4,1,0)</f>
        <v>2025</v>
      </c>
      <c r="C150" s="167">
        <f>YEAR(Table7[[#This Row],[Date]])</f>
        <v>2024</v>
      </c>
      <c r="D150" s="168">
        <f t="shared" si="7"/>
        <v>45505</v>
      </c>
      <c r="AE150" s="167">
        <f t="shared" si="8"/>
        <v>0</v>
      </c>
    </row>
    <row r="151" spans="1:31">
      <c r="A151" s="197">
        <f t="shared" si="9"/>
        <v>45531</v>
      </c>
      <c r="B151" s="167">
        <f>YEAR(Table7[[#This Row],[Date]])+IF(MONTH(Table7[[#This Row],[Date]])&gt;=4,1,0)</f>
        <v>2025</v>
      </c>
      <c r="C151" s="167">
        <f>YEAR(Table7[[#This Row],[Date]])</f>
        <v>2024</v>
      </c>
      <c r="D151" s="168">
        <f t="shared" si="7"/>
        <v>45505</v>
      </c>
      <c r="AE151" s="167">
        <f t="shared" si="8"/>
        <v>0</v>
      </c>
    </row>
    <row r="152" spans="1:31">
      <c r="A152" s="197">
        <f t="shared" si="9"/>
        <v>45532</v>
      </c>
      <c r="B152" s="167">
        <f>YEAR(Table7[[#This Row],[Date]])+IF(MONTH(Table7[[#This Row],[Date]])&gt;=4,1,0)</f>
        <v>2025</v>
      </c>
      <c r="C152" s="167">
        <f>YEAR(Table7[[#This Row],[Date]])</f>
        <v>2024</v>
      </c>
      <c r="D152" s="168">
        <f t="shared" si="7"/>
        <v>45505</v>
      </c>
      <c r="AE152" s="167">
        <f t="shared" si="8"/>
        <v>0</v>
      </c>
    </row>
    <row r="153" spans="1:31">
      <c r="A153" s="197">
        <f t="shared" si="9"/>
        <v>45533</v>
      </c>
      <c r="B153" s="167">
        <f>YEAR(Table7[[#This Row],[Date]])+IF(MONTH(Table7[[#This Row],[Date]])&gt;=4,1,0)</f>
        <v>2025</v>
      </c>
      <c r="C153" s="167">
        <f>YEAR(Table7[[#This Row],[Date]])</f>
        <v>2024</v>
      </c>
      <c r="D153" s="168">
        <f t="shared" si="7"/>
        <v>45505</v>
      </c>
      <c r="AE153" s="167">
        <f t="shared" si="8"/>
        <v>0</v>
      </c>
    </row>
    <row r="154" spans="1:31">
      <c r="A154" s="197">
        <f t="shared" si="9"/>
        <v>45534</v>
      </c>
      <c r="B154" s="167">
        <f>YEAR(Table7[[#This Row],[Date]])+IF(MONTH(Table7[[#This Row],[Date]])&gt;=4,1,0)</f>
        <v>2025</v>
      </c>
      <c r="C154" s="167">
        <f>YEAR(Table7[[#This Row],[Date]])</f>
        <v>2024</v>
      </c>
      <c r="D154" s="168">
        <f t="shared" si="7"/>
        <v>45505</v>
      </c>
      <c r="AE154" s="167">
        <f t="shared" si="8"/>
        <v>0</v>
      </c>
    </row>
    <row r="155" spans="1:31">
      <c r="A155" s="197">
        <f t="shared" si="9"/>
        <v>45535</v>
      </c>
      <c r="B155" s="167">
        <f>YEAR(Table7[[#This Row],[Date]])+IF(MONTH(Table7[[#This Row],[Date]])&gt;=4,1,0)</f>
        <v>2025</v>
      </c>
      <c r="C155" s="167">
        <f>YEAR(Table7[[#This Row],[Date]])</f>
        <v>2024</v>
      </c>
      <c r="D155" s="168">
        <f t="shared" si="7"/>
        <v>45505</v>
      </c>
      <c r="AE155" s="167">
        <f t="shared" si="8"/>
        <v>0</v>
      </c>
    </row>
    <row r="156" spans="1:31">
      <c r="A156" s="197">
        <f t="shared" si="9"/>
        <v>45536</v>
      </c>
      <c r="B156" s="167">
        <f>YEAR(Table7[[#This Row],[Date]])+IF(MONTH(Table7[[#This Row],[Date]])&gt;=4,1,0)</f>
        <v>2025</v>
      </c>
      <c r="C156" s="167">
        <f>YEAR(Table7[[#This Row],[Date]])</f>
        <v>2024</v>
      </c>
      <c r="D156" s="168">
        <f t="shared" si="7"/>
        <v>45536</v>
      </c>
      <c r="AE156" s="167">
        <f t="shared" si="8"/>
        <v>0</v>
      </c>
    </row>
    <row r="157" spans="1:31">
      <c r="A157" s="197">
        <f t="shared" si="9"/>
        <v>45537</v>
      </c>
      <c r="B157" s="167">
        <f>YEAR(Table7[[#This Row],[Date]])+IF(MONTH(Table7[[#This Row],[Date]])&gt;=4,1,0)</f>
        <v>2025</v>
      </c>
      <c r="C157" s="167">
        <f>YEAR(Table7[[#This Row],[Date]])</f>
        <v>2024</v>
      </c>
      <c r="D157" s="168">
        <f t="shared" si="7"/>
        <v>45536</v>
      </c>
      <c r="AE157" s="167">
        <f t="shared" si="8"/>
        <v>0</v>
      </c>
    </row>
    <row r="158" spans="1:31">
      <c r="A158" s="197">
        <f t="shared" si="9"/>
        <v>45538</v>
      </c>
      <c r="B158" s="167">
        <f>YEAR(Table7[[#This Row],[Date]])+IF(MONTH(Table7[[#This Row],[Date]])&gt;=4,1,0)</f>
        <v>2025</v>
      </c>
      <c r="C158" s="167">
        <f>YEAR(Table7[[#This Row],[Date]])</f>
        <v>2024</v>
      </c>
      <c r="D158" s="168">
        <f t="shared" si="7"/>
        <v>45536</v>
      </c>
      <c r="AE158" s="167">
        <f t="shared" si="8"/>
        <v>0</v>
      </c>
    </row>
    <row r="159" spans="1:31">
      <c r="A159" s="197">
        <f t="shared" si="9"/>
        <v>45539</v>
      </c>
      <c r="B159" s="167">
        <f>YEAR(Table7[[#This Row],[Date]])+IF(MONTH(Table7[[#This Row],[Date]])&gt;=4,1,0)</f>
        <v>2025</v>
      </c>
      <c r="C159" s="167">
        <f>YEAR(Table7[[#This Row],[Date]])</f>
        <v>2024</v>
      </c>
      <c r="D159" s="168">
        <f t="shared" si="7"/>
        <v>45536</v>
      </c>
      <c r="AE159" s="167">
        <f t="shared" si="8"/>
        <v>0</v>
      </c>
    </row>
    <row r="160" spans="1:31">
      <c r="A160" s="197">
        <f t="shared" si="9"/>
        <v>45540</v>
      </c>
      <c r="B160" s="167">
        <f>YEAR(Table7[[#This Row],[Date]])+IF(MONTH(Table7[[#This Row],[Date]])&gt;=4,1,0)</f>
        <v>2025</v>
      </c>
      <c r="C160" s="167">
        <f>YEAR(Table7[[#This Row],[Date]])</f>
        <v>2024</v>
      </c>
      <c r="D160" s="168">
        <f t="shared" si="7"/>
        <v>45536</v>
      </c>
      <c r="AE160" s="167">
        <f t="shared" si="8"/>
        <v>0</v>
      </c>
    </row>
    <row r="161" spans="1:31">
      <c r="A161" s="197">
        <f t="shared" si="9"/>
        <v>45541</v>
      </c>
      <c r="B161" s="167">
        <f>YEAR(Table7[[#This Row],[Date]])+IF(MONTH(Table7[[#This Row],[Date]])&gt;=4,1,0)</f>
        <v>2025</v>
      </c>
      <c r="C161" s="167">
        <f>YEAR(Table7[[#This Row],[Date]])</f>
        <v>2024</v>
      </c>
      <c r="D161" s="168">
        <f t="shared" si="7"/>
        <v>45536</v>
      </c>
      <c r="AE161" s="167">
        <f t="shared" si="8"/>
        <v>0</v>
      </c>
    </row>
    <row r="162" spans="1:31">
      <c r="A162" s="197">
        <f t="shared" si="9"/>
        <v>45542</v>
      </c>
      <c r="B162" s="167">
        <f>YEAR(Table7[[#This Row],[Date]])+IF(MONTH(Table7[[#This Row],[Date]])&gt;=4,1,0)</f>
        <v>2025</v>
      </c>
      <c r="C162" s="167">
        <f>YEAR(Table7[[#This Row],[Date]])</f>
        <v>2024</v>
      </c>
      <c r="D162" s="168">
        <f t="shared" si="7"/>
        <v>45536</v>
      </c>
      <c r="AE162" s="167">
        <f t="shared" si="8"/>
        <v>0</v>
      </c>
    </row>
    <row r="163" spans="1:31">
      <c r="A163" s="197">
        <f t="shared" si="9"/>
        <v>45543</v>
      </c>
      <c r="B163" s="167">
        <f>YEAR(Table7[[#This Row],[Date]])+IF(MONTH(Table7[[#This Row],[Date]])&gt;=4,1,0)</f>
        <v>2025</v>
      </c>
      <c r="C163" s="167">
        <f>YEAR(Table7[[#This Row],[Date]])</f>
        <v>2024</v>
      </c>
      <c r="D163" s="168">
        <f t="shared" si="7"/>
        <v>45536</v>
      </c>
      <c r="AE163" s="167">
        <f t="shared" si="8"/>
        <v>0</v>
      </c>
    </row>
    <row r="164" spans="1:31">
      <c r="A164" s="197">
        <f t="shared" si="9"/>
        <v>45544</v>
      </c>
      <c r="B164" s="167">
        <f>YEAR(Table7[[#This Row],[Date]])+IF(MONTH(Table7[[#This Row],[Date]])&gt;=4,1,0)</f>
        <v>2025</v>
      </c>
      <c r="C164" s="167">
        <f>YEAR(Table7[[#This Row],[Date]])</f>
        <v>2024</v>
      </c>
      <c r="D164" s="168">
        <f t="shared" si="7"/>
        <v>45536</v>
      </c>
      <c r="AE164" s="167">
        <f t="shared" si="8"/>
        <v>0</v>
      </c>
    </row>
    <row r="165" spans="1:31">
      <c r="A165" s="197">
        <f t="shared" si="9"/>
        <v>45545</v>
      </c>
      <c r="B165" s="167">
        <f>YEAR(Table7[[#This Row],[Date]])+IF(MONTH(Table7[[#This Row],[Date]])&gt;=4,1,0)</f>
        <v>2025</v>
      </c>
      <c r="C165" s="167">
        <f>YEAR(Table7[[#This Row],[Date]])</f>
        <v>2024</v>
      </c>
      <c r="D165" s="168">
        <f t="shared" si="7"/>
        <v>45536</v>
      </c>
      <c r="AE165" s="167">
        <f t="shared" si="8"/>
        <v>0</v>
      </c>
    </row>
    <row r="166" spans="1:31">
      <c r="A166" s="197">
        <f t="shared" si="9"/>
        <v>45546</v>
      </c>
      <c r="B166" s="167">
        <f>YEAR(Table7[[#This Row],[Date]])+IF(MONTH(Table7[[#This Row],[Date]])&gt;=4,1,0)</f>
        <v>2025</v>
      </c>
      <c r="C166" s="167">
        <f>YEAR(Table7[[#This Row],[Date]])</f>
        <v>2024</v>
      </c>
      <c r="D166" s="168">
        <f t="shared" si="7"/>
        <v>45536</v>
      </c>
      <c r="AE166" s="167">
        <f t="shared" si="8"/>
        <v>0</v>
      </c>
    </row>
    <row r="167" spans="1:31">
      <c r="A167" s="197">
        <f t="shared" si="9"/>
        <v>45547</v>
      </c>
      <c r="B167" s="167">
        <f>YEAR(Table7[[#This Row],[Date]])+IF(MONTH(Table7[[#This Row],[Date]])&gt;=4,1,0)</f>
        <v>2025</v>
      </c>
      <c r="C167" s="167">
        <f>YEAR(Table7[[#This Row],[Date]])</f>
        <v>2024</v>
      </c>
      <c r="D167" s="168">
        <f t="shared" si="7"/>
        <v>45536</v>
      </c>
      <c r="AE167" s="167">
        <f t="shared" si="8"/>
        <v>0</v>
      </c>
    </row>
    <row r="168" spans="1:31">
      <c r="A168" s="197">
        <f t="shared" si="9"/>
        <v>45548</v>
      </c>
      <c r="B168" s="167">
        <f>YEAR(Table7[[#This Row],[Date]])+IF(MONTH(Table7[[#This Row],[Date]])&gt;=4,1,0)</f>
        <v>2025</v>
      </c>
      <c r="C168" s="167">
        <f>YEAR(Table7[[#This Row],[Date]])</f>
        <v>2024</v>
      </c>
      <c r="D168" s="168">
        <f t="shared" si="7"/>
        <v>45536</v>
      </c>
      <c r="AE168" s="167">
        <f t="shared" si="8"/>
        <v>0</v>
      </c>
    </row>
    <row r="169" spans="1:31">
      <c r="A169" s="197">
        <f t="shared" si="9"/>
        <v>45549</v>
      </c>
      <c r="B169" s="167">
        <f>YEAR(Table7[[#This Row],[Date]])+IF(MONTH(Table7[[#This Row],[Date]])&gt;=4,1,0)</f>
        <v>2025</v>
      </c>
      <c r="C169" s="167">
        <f>YEAR(Table7[[#This Row],[Date]])</f>
        <v>2024</v>
      </c>
      <c r="D169" s="168">
        <f t="shared" si="7"/>
        <v>45536</v>
      </c>
      <c r="AE169" s="167">
        <f t="shared" si="8"/>
        <v>0</v>
      </c>
    </row>
    <row r="170" spans="1:31">
      <c r="A170" s="197">
        <f t="shared" si="9"/>
        <v>45550</v>
      </c>
      <c r="B170" s="167">
        <f>YEAR(Table7[[#This Row],[Date]])+IF(MONTH(Table7[[#This Row],[Date]])&gt;=4,1,0)</f>
        <v>2025</v>
      </c>
      <c r="C170" s="167">
        <f>YEAR(Table7[[#This Row],[Date]])</f>
        <v>2024</v>
      </c>
      <c r="D170" s="168">
        <f t="shared" si="7"/>
        <v>45536</v>
      </c>
      <c r="AE170" s="167">
        <f t="shared" si="8"/>
        <v>0</v>
      </c>
    </row>
    <row r="171" spans="1:31">
      <c r="A171" s="197">
        <f t="shared" si="9"/>
        <v>45551</v>
      </c>
      <c r="B171" s="167">
        <f>YEAR(Table7[[#This Row],[Date]])+IF(MONTH(Table7[[#This Row],[Date]])&gt;=4,1,0)</f>
        <v>2025</v>
      </c>
      <c r="C171" s="167">
        <f>YEAR(Table7[[#This Row],[Date]])</f>
        <v>2024</v>
      </c>
      <c r="D171" s="168">
        <f t="shared" si="7"/>
        <v>45536</v>
      </c>
      <c r="AE171" s="167">
        <f t="shared" si="8"/>
        <v>0</v>
      </c>
    </row>
    <row r="172" spans="1:31">
      <c r="A172" s="197">
        <f t="shared" si="9"/>
        <v>45552</v>
      </c>
      <c r="B172" s="167">
        <f>YEAR(Table7[[#This Row],[Date]])+IF(MONTH(Table7[[#This Row],[Date]])&gt;=4,1,0)</f>
        <v>2025</v>
      </c>
      <c r="C172" s="167">
        <f>YEAR(Table7[[#This Row],[Date]])</f>
        <v>2024</v>
      </c>
      <c r="D172" s="168">
        <f t="shared" si="7"/>
        <v>45536</v>
      </c>
      <c r="AE172" s="167">
        <f t="shared" si="8"/>
        <v>0</v>
      </c>
    </row>
    <row r="173" spans="1:31">
      <c r="A173" s="197">
        <f t="shared" si="9"/>
        <v>45553</v>
      </c>
      <c r="B173" s="167">
        <f>YEAR(Table7[[#This Row],[Date]])+IF(MONTH(Table7[[#This Row],[Date]])&gt;=4,1,0)</f>
        <v>2025</v>
      </c>
      <c r="C173" s="167">
        <f>YEAR(Table7[[#This Row],[Date]])</f>
        <v>2024</v>
      </c>
      <c r="D173" s="168">
        <f t="shared" si="7"/>
        <v>45536</v>
      </c>
      <c r="AE173" s="167">
        <f t="shared" si="8"/>
        <v>0</v>
      </c>
    </row>
    <row r="174" spans="1:31">
      <c r="A174" s="197">
        <f t="shared" si="9"/>
        <v>45554</v>
      </c>
      <c r="B174" s="167">
        <f>YEAR(Table7[[#This Row],[Date]])+IF(MONTH(Table7[[#This Row],[Date]])&gt;=4,1,0)</f>
        <v>2025</v>
      </c>
      <c r="C174" s="167">
        <f>YEAR(Table7[[#This Row],[Date]])</f>
        <v>2024</v>
      </c>
      <c r="D174" s="168">
        <f t="shared" si="7"/>
        <v>45536</v>
      </c>
      <c r="AE174" s="167">
        <f t="shared" si="8"/>
        <v>0</v>
      </c>
    </row>
    <row r="175" spans="1:31">
      <c r="A175" s="197">
        <f t="shared" si="9"/>
        <v>45555</v>
      </c>
      <c r="B175" s="167">
        <f>YEAR(Table7[[#This Row],[Date]])+IF(MONTH(Table7[[#This Row],[Date]])&gt;=4,1,0)</f>
        <v>2025</v>
      </c>
      <c r="C175" s="167">
        <f>YEAR(Table7[[#This Row],[Date]])</f>
        <v>2024</v>
      </c>
      <c r="D175" s="168">
        <f t="shared" si="7"/>
        <v>45536</v>
      </c>
      <c r="AE175" s="167">
        <f t="shared" si="8"/>
        <v>0</v>
      </c>
    </row>
    <row r="176" spans="1:31">
      <c r="A176" s="197">
        <f t="shared" si="9"/>
        <v>45556</v>
      </c>
      <c r="B176" s="167">
        <f>YEAR(Table7[[#This Row],[Date]])+IF(MONTH(Table7[[#This Row],[Date]])&gt;=4,1,0)</f>
        <v>2025</v>
      </c>
      <c r="C176" s="167">
        <f>YEAR(Table7[[#This Row],[Date]])</f>
        <v>2024</v>
      </c>
      <c r="D176" s="168">
        <f t="shared" si="7"/>
        <v>45536</v>
      </c>
      <c r="AE176" s="167">
        <f t="shared" si="8"/>
        <v>0</v>
      </c>
    </row>
    <row r="177" spans="1:31">
      <c r="A177" s="197">
        <f t="shared" si="9"/>
        <v>45557</v>
      </c>
      <c r="B177" s="167">
        <f>YEAR(Table7[[#This Row],[Date]])+IF(MONTH(Table7[[#This Row],[Date]])&gt;=4,1,0)</f>
        <v>2025</v>
      </c>
      <c r="C177" s="167">
        <f>YEAR(Table7[[#This Row],[Date]])</f>
        <v>2024</v>
      </c>
      <c r="D177" s="168">
        <f t="shared" si="7"/>
        <v>45536</v>
      </c>
      <c r="AE177" s="167">
        <f t="shared" si="8"/>
        <v>0</v>
      </c>
    </row>
    <row r="178" spans="1:31">
      <c r="A178" s="197">
        <f t="shared" si="9"/>
        <v>45558</v>
      </c>
      <c r="B178" s="167">
        <f>YEAR(Table7[[#This Row],[Date]])+IF(MONTH(Table7[[#This Row],[Date]])&gt;=4,1,0)</f>
        <v>2025</v>
      </c>
      <c r="C178" s="167">
        <f>YEAR(Table7[[#This Row],[Date]])</f>
        <v>2024</v>
      </c>
      <c r="D178" s="168">
        <f t="shared" si="7"/>
        <v>45536</v>
      </c>
      <c r="AE178" s="167">
        <f t="shared" si="8"/>
        <v>0</v>
      </c>
    </row>
    <row r="179" spans="1:31">
      <c r="A179" s="197">
        <f t="shared" si="9"/>
        <v>45559</v>
      </c>
      <c r="B179" s="167">
        <f>YEAR(Table7[[#This Row],[Date]])+IF(MONTH(Table7[[#This Row],[Date]])&gt;=4,1,0)</f>
        <v>2025</v>
      </c>
      <c r="C179" s="167">
        <f>YEAR(Table7[[#This Row],[Date]])</f>
        <v>2024</v>
      </c>
      <c r="D179" s="168">
        <f t="shared" si="7"/>
        <v>45536</v>
      </c>
      <c r="AE179" s="167">
        <f t="shared" si="8"/>
        <v>0</v>
      </c>
    </row>
    <row r="180" spans="1:31">
      <c r="A180" s="197">
        <f t="shared" si="9"/>
        <v>45560</v>
      </c>
      <c r="B180" s="167">
        <f>YEAR(Table7[[#This Row],[Date]])+IF(MONTH(Table7[[#This Row],[Date]])&gt;=4,1,0)</f>
        <v>2025</v>
      </c>
      <c r="C180" s="167">
        <f>YEAR(Table7[[#This Row],[Date]])</f>
        <v>2024</v>
      </c>
      <c r="D180" s="168">
        <f t="shared" si="7"/>
        <v>45536</v>
      </c>
      <c r="AE180" s="167">
        <f t="shared" si="8"/>
        <v>0</v>
      </c>
    </row>
    <row r="181" spans="1:31">
      <c r="A181" s="197">
        <f t="shared" si="9"/>
        <v>45561</v>
      </c>
      <c r="B181" s="167">
        <f>YEAR(Table7[[#This Row],[Date]])+IF(MONTH(Table7[[#This Row],[Date]])&gt;=4,1,0)</f>
        <v>2025</v>
      </c>
      <c r="C181" s="167">
        <f>YEAR(Table7[[#This Row],[Date]])</f>
        <v>2024</v>
      </c>
      <c r="D181" s="168">
        <f t="shared" si="7"/>
        <v>45536</v>
      </c>
      <c r="AE181" s="167">
        <f t="shared" si="8"/>
        <v>0</v>
      </c>
    </row>
    <row r="182" spans="1:31">
      <c r="A182" s="197">
        <f t="shared" si="9"/>
        <v>45562</v>
      </c>
      <c r="B182" s="167">
        <f>YEAR(Table7[[#This Row],[Date]])+IF(MONTH(Table7[[#This Row],[Date]])&gt;=4,1,0)</f>
        <v>2025</v>
      </c>
      <c r="C182" s="167">
        <f>YEAR(Table7[[#This Row],[Date]])</f>
        <v>2024</v>
      </c>
      <c r="D182" s="168">
        <f t="shared" si="7"/>
        <v>45536</v>
      </c>
      <c r="AE182" s="167">
        <f t="shared" si="8"/>
        <v>0</v>
      </c>
    </row>
    <row r="183" spans="1:31">
      <c r="A183" s="197">
        <f t="shared" si="9"/>
        <v>45563</v>
      </c>
      <c r="B183" s="167">
        <f>YEAR(Table7[[#This Row],[Date]])+IF(MONTH(Table7[[#This Row],[Date]])&gt;=4,1,0)</f>
        <v>2025</v>
      </c>
      <c r="C183" s="167">
        <f>YEAR(Table7[[#This Row],[Date]])</f>
        <v>2024</v>
      </c>
      <c r="D183" s="168">
        <f t="shared" si="7"/>
        <v>45536</v>
      </c>
      <c r="AE183" s="167">
        <f t="shared" si="8"/>
        <v>0</v>
      </c>
    </row>
    <row r="184" spans="1:31">
      <c r="A184" s="197">
        <f t="shared" si="9"/>
        <v>45564</v>
      </c>
      <c r="B184" s="167">
        <f>YEAR(Table7[[#This Row],[Date]])+IF(MONTH(Table7[[#This Row],[Date]])&gt;=4,1,0)</f>
        <v>2025</v>
      </c>
      <c r="C184" s="167">
        <f>YEAR(Table7[[#This Row],[Date]])</f>
        <v>2024</v>
      </c>
      <c r="D184" s="168">
        <f t="shared" si="7"/>
        <v>45536</v>
      </c>
      <c r="AE184" s="167">
        <f t="shared" si="8"/>
        <v>0</v>
      </c>
    </row>
    <row r="185" spans="1:31">
      <c r="A185" s="197">
        <f t="shared" si="9"/>
        <v>45565</v>
      </c>
      <c r="B185" s="167">
        <f>YEAR(Table7[[#This Row],[Date]])+IF(MONTH(Table7[[#This Row],[Date]])&gt;=4,1,0)</f>
        <v>2025</v>
      </c>
      <c r="C185" s="167">
        <f>YEAR(Table7[[#This Row],[Date]])</f>
        <v>2024</v>
      </c>
      <c r="D185" s="168">
        <f t="shared" si="7"/>
        <v>45536</v>
      </c>
      <c r="AE185" s="167">
        <f t="shared" si="8"/>
        <v>0</v>
      </c>
    </row>
    <row r="186" spans="1:31">
      <c r="A186" s="197">
        <f t="shared" si="9"/>
        <v>45566</v>
      </c>
      <c r="B186" s="167">
        <f>YEAR(Table7[[#This Row],[Date]])+IF(MONTH(Table7[[#This Row],[Date]])&gt;=4,1,0)</f>
        <v>2025</v>
      </c>
      <c r="C186" s="167">
        <f>YEAR(Table7[[#This Row],[Date]])</f>
        <v>2024</v>
      </c>
      <c r="D186" s="168">
        <f t="shared" si="7"/>
        <v>45566</v>
      </c>
      <c r="AE186" s="167">
        <f t="shared" si="8"/>
        <v>0</v>
      </c>
    </row>
    <row r="187" spans="1:31">
      <c r="A187" s="197">
        <f t="shared" si="9"/>
        <v>45567</v>
      </c>
      <c r="B187" s="167">
        <f>YEAR(Table7[[#This Row],[Date]])+IF(MONTH(Table7[[#This Row],[Date]])&gt;=4,1,0)</f>
        <v>2025</v>
      </c>
      <c r="C187" s="167">
        <f>YEAR(Table7[[#This Row],[Date]])</f>
        <v>2024</v>
      </c>
      <c r="D187" s="168">
        <f t="shared" si="7"/>
        <v>45566</v>
      </c>
      <c r="AE187" s="167">
        <f t="shared" si="8"/>
        <v>0</v>
      </c>
    </row>
    <row r="188" spans="1:31">
      <c r="A188" s="197">
        <f t="shared" si="9"/>
        <v>45568</v>
      </c>
      <c r="B188" s="167">
        <f>YEAR(Table7[[#This Row],[Date]])+IF(MONTH(Table7[[#This Row],[Date]])&gt;=4,1,0)</f>
        <v>2025</v>
      </c>
      <c r="C188" s="167">
        <f>YEAR(Table7[[#This Row],[Date]])</f>
        <v>2024</v>
      </c>
      <c r="D188" s="168">
        <f t="shared" si="7"/>
        <v>45566</v>
      </c>
      <c r="AE188" s="167">
        <f t="shared" si="8"/>
        <v>0</v>
      </c>
    </row>
    <row r="189" spans="1:31">
      <c r="A189" s="197">
        <f t="shared" si="9"/>
        <v>45569</v>
      </c>
      <c r="B189" s="167">
        <f>YEAR(Table7[[#This Row],[Date]])+IF(MONTH(Table7[[#This Row],[Date]])&gt;=4,1,0)</f>
        <v>2025</v>
      </c>
      <c r="C189" s="167">
        <f>YEAR(Table7[[#This Row],[Date]])</f>
        <v>2024</v>
      </c>
      <c r="D189" s="168">
        <f t="shared" si="7"/>
        <v>45566</v>
      </c>
      <c r="AE189" s="167">
        <f t="shared" si="8"/>
        <v>0</v>
      </c>
    </row>
    <row r="190" spans="1:31">
      <c r="A190" s="197">
        <f t="shared" si="9"/>
        <v>45570</v>
      </c>
      <c r="B190" s="167">
        <f>YEAR(Table7[[#This Row],[Date]])+IF(MONTH(Table7[[#This Row],[Date]])&gt;=4,1,0)</f>
        <v>2025</v>
      </c>
      <c r="C190" s="167">
        <f>YEAR(Table7[[#This Row],[Date]])</f>
        <v>2024</v>
      </c>
      <c r="D190" s="168">
        <f t="shared" si="7"/>
        <v>45566</v>
      </c>
      <c r="AE190" s="167">
        <f t="shared" si="8"/>
        <v>0</v>
      </c>
    </row>
    <row r="191" spans="1:31">
      <c r="A191" s="197">
        <f t="shared" si="9"/>
        <v>45571</v>
      </c>
      <c r="B191" s="167">
        <f>YEAR(Table7[[#This Row],[Date]])+IF(MONTH(Table7[[#This Row],[Date]])&gt;=4,1,0)</f>
        <v>2025</v>
      </c>
      <c r="C191" s="167">
        <f>YEAR(Table7[[#This Row],[Date]])</f>
        <v>2024</v>
      </c>
      <c r="D191" s="168">
        <f t="shared" si="7"/>
        <v>45566</v>
      </c>
      <c r="AE191" s="167">
        <f t="shared" si="8"/>
        <v>0</v>
      </c>
    </row>
    <row r="192" spans="1:31">
      <c r="A192" s="197">
        <f t="shared" si="9"/>
        <v>45572</v>
      </c>
      <c r="B192" s="167">
        <f>YEAR(Table7[[#This Row],[Date]])+IF(MONTH(Table7[[#This Row],[Date]])&gt;=4,1,0)</f>
        <v>2025</v>
      </c>
      <c r="C192" s="167">
        <f>YEAR(Table7[[#This Row],[Date]])</f>
        <v>2024</v>
      </c>
      <c r="D192" s="168">
        <f t="shared" si="7"/>
        <v>45566</v>
      </c>
      <c r="AE192" s="167">
        <f t="shared" si="8"/>
        <v>0</v>
      </c>
    </row>
    <row r="193" spans="1:31">
      <c r="A193" s="197">
        <f t="shared" si="9"/>
        <v>45573</v>
      </c>
      <c r="B193" s="167">
        <f>YEAR(Table7[[#This Row],[Date]])+IF(MONTH(Table7[[#This Row],[Date]])&gt;=4,1,0)</f>
        <v>2025</v>
      </c>
      <c r="C193" s="167">
        <f>YEAR(Table7[[#This Row],[Date]])</f>
        <v>2024</v>
      </c>
      <c r="D193" s="168">
        <f t="shared" si="7"/>
        <v>45566</v>
      </c>
      <c r="AE193" s="167">
        <f t="shared" si="8"/>
        <v>0</v>
      </c>
    </row>
    <row r="194" spans="1:31">
      <c r="A194" s="197">
        <f t="shared" si="9"/>
        <v>45574</v>
      </c>
      <c r="B194" s="167">
        <f>YEAR(Table7[[#This Row],[Date]])+IF(MONTH(Table7[[#This Row],[Date]])&gt;=4,1,0)</f>
        <v>2025</v>
      </c>
      <c r="C194" s="167">
        <f>YEAR(Table7[[#This Row],[Date]])</f>
        <v>2024</v>
      </c>
      <c r="D194" s="168">
        <f t="shared" si="7"/>
        <v>45566</v>
      </c>
      <c r="AE194" s="167">
        <f t="shared" si="8"/>
        <v>0</v>
      </c>
    </row>
    <row r="195" spans="1:31">
      <c r="A195" s="197">
        <f t="shared" si="9"/>
        <v>45575</v>
      </c>
      <c r="B195" s="167">
        <f>YEAR(Table7[[#This Row],[Date]])+IF(MONTH(Table7[[#This Row],[Date]])&gt;=4,1,0)</f>
        <v>2025</v>
      </c>
      <c r="C195" s="167">
        <f>YEAR(Table7[[#This Row],[Date]])</f>
        <v>2024</v>
      </c>
      <c r="D195" s="168">
        <f t="shared" ref="D195:D258" si="10">A195-DAY(A195)+1</f>
        <v>45566</v>
      </c>
      <c r="AE195" s="167">
        <f t="shared" ref="AE195:AE258" si="11">SUM(E195:AD195)</f>
        <v>0</v>
      </c>
    </row>
    <row r="196" spans="1:31">
      <c r="A196" s="197">
        <f t="shared" si="9"/>
        <v>45576</v>
      </c>
      <c r="B196" s="167">
        <f>YEAR(Table7[[#This Row],[Date]])+IF(MONTH(Table7[[#This Row],[Date]])&gt;=4,1,0)</f>
        <v>2025</v>
      </c>
      <c r="C196" s="167">
        <f>YEAR(Table7[[#This Row],[Date]])</f>
        <v>2024</v>
      </c>
      <c r="D196" s="168">
        <f t="shared" si="10"/>
        <v>45566</v>
      </c>
      <c r="AE196" s="167">
        <f t="shared" si="11"/>
        <v>0</v>
      </c>
    </row>
    <row r="197" spans="1:31">
      <c r="A197" s="197">
        <f t="shared" ref="A197:A260" si="12">A196+1</f>
        <v>45577</v>
      </c>
      <c r="B197" s="167">
        <f>YEAR(Table7[[#This Row],[Date]])+IF(MONTH(Table7[[#This Row],[Date]])&gt;=4,1,0)</f>
        <v>2025</v>
      </c>
      <c r="C197" s="167">
        <f>YEAR(Table7[[#This Row],[Date]])</f>
        <v>2024</v>
      </c>
      <c r="D197" s="168">
        <f t="shared" si="10"/>
        <v>45566</v>
      </c>
      <c r="AE197" s="167">
        <f t="shared" si="11"/>
        <v>0</v>
      </c>
    </row>
    <row r="198" spans="1:31">
      <c r="A198" s="197">
        <f t="shared" si="12"/>
        <v>45578</v>
      </c>
      <c r="B198" s="167">
        <f>YEAR(Table7[[#This Row],[Date]])+IF(MONTH(Table7[[#This Row],[Date]])&gt;=4,1,0)</f>
        <v>2025</v>
      </c>
      <c r="C198" s="167">
        <f>YEAR(Table7[[#This Row],[Date]])</f>
        <v>2024</v>
      </c>
      <c r="D198" s="168">
        <f t="shared" si="10"/>
        <v>45566</v>
      </c>
      <c r="AE198" s="167">
        <f t="shared" si="11"/>
        <v>0</v>
      </c>
    </row>
    <row r="199" spans="1:31">
      <c r="A199" s="197">
        <f t="shared" si="12"/>
        <v>45579</v>
      </c>
      <c r="B199" s="167">
        <f>YEAR(Table7[[#This Row],[Date]])+IF(MONTH(Table7[[#This Row],[Date]])&gt;=4,1,0)</f>
        <v>2025</v>
      </c>
      <c r="C199" s="167">
        <f>YEAR(Table7[[#This Row],[Date]])</f>
        <v>2024</v>
      </c>
      <c r="D199" s="168">
        <f t="shared" si="10"/>
        <v>45566</v>
      </c>
      <c r="AE199" s="167">
        <f t="shared" si="11"/>
        <v>0</v>
      </c>
    </row>
    <row r="200" spans="1:31">
      <c r="A200" s="197">
        <f t="shared" si="12"/>
        <v>45580</v>
      </c>
      <c r="B200" s="167">
        <f>YEAR(Table7[[#This Row],[Date]])+IF(MONTH(Table7[[#This Row],[Date]])&gt;=4,1,0)</f>
        <v>2025</v>
      </c>
      <c r="C200" s="167">
        <f>YEAR(Table7[[#This Row],[Date]])</f>
        <v>2024</v>
      </c>
      <c r="D200" s="168">
        <f t="shared" si="10"/>
        <v>45566</v>
      </c>
      <c r="AE200" s="167">
        <f t="shared" si="11"/>
        <v>0</v>
      </c>
    </row>
    <row r="201" spans="1:31">
      <c r="A201" s="197">
        <f t="shared" si="12"/>
        <v>45581</v>
      </c>
      <c r="B201" s="167">
        <f>YEAR(Table7[[#This Row],[Date]])+IF(MONTH(Table7[[#This Row],[Date]])&gt;=4,1,0)</f>
        <v>2025</v>
      </c>
      <c r="C201" s="167">
        <f>YEAR(Table7[[#This Row],[Date]])</f>
        <v>2024</v>
      </c>
      <c r="D201" s="168">
        <f t="shared" si="10"/>
        <v>45566</v>
      </c>
      <c r="AE201" s="167">
        <f t="shared" si="11"/>
        <v>0</v>
      </c>
    </row>
    <row r="202" spans="1:31">
      <c r="A202" s="197">
        <f t="shared" si="12"/>
        <v>45582</v>
      </c>
      <c r="B202" s="167">
        <f>YEAR(Table7[[#This Row],[Date]])+IF(MONTH(Table7[[#This Row],[Date]])&gt;=4,1,0)</f>
        <v>2025</v>
      </c>
      <c r="C202" s="167">
        <f>YEAR(Table7[[#This Row],[Date]])</f>
        <v>2024</v>
      </c>
      <c r="D202" s="168">
        <f t="shared" si="10"/>
        <v>45566</v>
      </c>
      <c r="AE202" s="167">
        <f t="shared" si="11"/>
        <v>0</v>
      </c>
    </row>
    <row r="203" spans="1:31">
      <c r="A203" s="197">
        <f t="shared" si="12"/>
        <v>45583</v>
      </c>
      <c r="B203" s="167">
        <f>YEAR(Table7[[#This Row],[Date]])+IF(MONTH(Table7[[#This Row],[Date]])&gt;=4,1,0)</f>
        <v>2025</v>
      </c>
      <c r="C203" s="167">
        <f>YEAR(Table7[[#This Row],[Date]])</f>
        <v>2024</v>
      </c>
      <c r="D203" s="168">
        <f t="shared" si="10"/>
        <v>45566</v>
      </c>
      <c r="AE203" s="167">
        <f t="shared" si="11"/>
        <v>0</v>
      </c>
    </row>
    <row r="204" spans="1:31">
      <c r="A204" s="197">
        <f t="shared" si="12"/>
        <v>45584</v>
      </c>
      <c r="B204" s="167">
        <f>YEAR(Table7[[#This Row],[Date]])+IF(MONTH(Table7[[#This Row],[Date]])&gt;=4,1,0)</f>
        <v>2025</v>
      </c>
      <c r="C204" s="167">
        <f>YEAR(Table7[[#This Row],[Date]])</f>
        <v>2024</v>
      </c>
      <c r="D204" s="168">
        <f t="shared" si="10"/>
        <v>45566</v>
      </c>
      <c r="AE204" s="167">
        <f t="shared" si="11"/>
        <v>0</v>
      </c>
    </row>
    <row r="205" spans="1:31">
      <c r="A205" s="197">
        <f t="shared" si="12"/>
        <v>45585</v>
      </c>
      <c r="B205" s="167">
        <f>YEAR(Table7[[#This Row],[Date]])+IF(MONTH(Table7[[#This Row],[Date]])&gt;=4,1,0)</f>
        <v>2025</v>
      </c>
      <c r="C205" s="167">
        <f>YEAR(Table7[[#This Row],[Date]])</f>
        <v>2024</v>
      </c>
      <c r="D205" s="168">
        <f t="shared" si="10"/>
        <v>45566</v>
      </c>
      <c r="AE205" s="167">
        <f t="shared" si="11"/>
        <v>0</v>
      </c>
    </row>
    <row r="206" spans="1:31">
      <c r="A206" s="197">
        <f t="shared" si="12"/>
        <v>45586</v>
      </c>
      <c r="B206" s="167">
        <f>YEAR(Table7[[#This Row],[Date]])+IF(MONTH(Table7[[#This Row],[Date]])&gt;=4,1,0)</f>
        <v>2025</v>
      </c>
      <c r="C206" s="167">
        <f>YEAR(Table7[[#This Row],[Date]])</f>
        <v>2024</v>
      </c>
      <c r="D206" s="168">
        <f t="shared" si="10"/>
        <v>45566</v>
      </c>
      <c r="AE206" s="167">
        <f t="shared" si="11"/>
        <v>0</v>
      </c>
    </row>
    <row r="207" spans="1:31">
      <c r="A207" s="197">
        <f t="shared" si="12"/>
        <v>45587</v>
      </c>
      <c r="B207" s="167">
        <f>YEAR(Table7[[#This Row],[Date]])+IF(MONTH(Table7[[#This Row],[Date]])&gt;=4,1,0)</f>
        <v>2025</v>
      </c>
      <c r="C207" s="167">
        <f>YEAR(Table7[[#This Row],[Date]])</f>
        <v>2024</v>
      </c>
      <c r="D207" s="168">
        <f t="shared" si="10"/>
        <v>45566</v>
      </c>
      <c r="AE207" s="167">
        <f t="shared" si="11"/>
        <v>0</v>
      </c>
    </row>
    <row r="208" spans="1:31">
      <c r="A208" s="197">
        <f t="shared" si="12"/>
        <v>45588</v>
      </c>
      <c r="B208" s="167">
        <f>YEAR(Table7[[#This Row],[Date]])+IF(MONTH(Table7[[#This Row],[Date]])&gt;=4,1,0)</f>
        <v>2025</v>
      </c>
      <c r="C208" s="167">
        <f>YEAR(Table7[[#This Row],[Date]])</f>
        <v>2024</v>
      </c>
      <c r="D208" s="168">
        <f t="shared" si="10"/>
        <v>45566</v>
      </c>
      <c r="AE208" s="167">
        <f t="shared" si="11"/>
        <v>0</v>
      </c>
    </row>
    <row r="209" spans="1:31">
      <c r="A209" s="197">
        <f t="shared" si="12"/>
        <v>45589</v>
      </c>
      <c r="B209" s="167">
        <f>YEAR(Table7[[#This Row],[Date]])+IF(MONTH(Table7[[#This Row],[Date]])&gt;=4,1,0)</f>
        <v>2025</v>
      </c>
      <c r="C209" s="167">
        <f>YEAR(Table7[[#This Row],[Date]])</f>
        <v>2024</v>
      </c>
      <c r="D209" s="168">
        <f t="shared" si="10"/>
        <v>45566</v>
      </c>
      <c r="AE209" s="167">
        <f t="shared" si="11"/>
        <v>0</v>
      </c>
    </row>
    <row r="210" spans="1:31">
      <c r="A210" s="197">
        <f t="shared" si="12"/>
        <v>45590</v>
      </c>
      <c r="B210" s="167">
        <f>YEAR(Table7[[#This Row],[Date]])+IF(MONTH(Table7[[#This Row],[Date]])&gt;=4,1,0)</f>
        <v>2025</v>
      </c>
      <c r="C210" s="167">
        <f>YEAR(Table7[[#This Row],[Date]])</f>
        <v>2024</v>
      </c>
      <c r="D210" s="168">
        <f t="shared" si="10"/>
        <v>45566</v>
      </c>
      <c r="AE210" s="167">
        <f t="shared" si="11"/>
        <v>0</v>
      </c>
    </row>
    <row r="211" spans="1:31">
      <c r="A211" s="197">
        <f t="shared" si="12"/>
        <v>45591</v>
      </c>
      <c r="B211" s="167">
        <f>YEAR(Table7[[#This Row],[Date]])+IF(MONTH(Table7[[#This Row],[Date]])&gt;=4,1,0)</f>
        <v>2025</v>
      </c>
      <c r="C211" s="167">
        <f>YEAR(Table7[[#This Row],[Date]])</f>
        <v>2024</v>
      </c>
      <c r="D211" s="168">
        <f t="shared" si="10"/>
        <v>45566</v>
      </c>
      <c r="AE211" s="167">
        <f t="shared" si="11"/>
        <v>0</v>
      </c>
    </row>
    <row r="212" spans="1:31">
      <c r="A212" s="197">
        <f t="shared" si="12"/>
        <v>45592</v>
      </c>
      <c r="B212" s="167">
        <f>YEAR(Table7[[#This Row],[Date]])+IF(MONTH(Table7[[#This Row],[Date]])&gt;=4,1,0)</f>
        <v>2025</v>
      </c>
      <c r="C212" s="167">
        <f>YEAR(Table7[[#This Row],[Date]])</f>
        <v>2024</v>
      </c>
      <c r="D212" s="168">
        <f t="shared" si="10"/>
        <v>45566</v>
      </c>
      <c r="AE212" s="167">
        <f t="shared" si="11"/>
        <v>0</v>
      </c>
    </row>
    <row r="213" spans="1:31">
      <c r="A213" s="197">
        <f t="shared" si="12"/>
        <v>45593</v>
      </c>
      <c r="B213" s="167">
        <f>YEAR(Table7[[#This Row],[Date]])+IF(MONTH(Table7[[#This Row],[Date]])&gt;=4,1,0)</f>
        <v>2025</v>
      </c>
      <c r="C213" s="167">
        <f>YEAR(Table7[[#This Row],[Date]])</f>
        <v>2024</v>
      </c>
      <c r="D213" s="168">
        <f t="shared" si="10"/>
        <v>45566</v>
      </c>
      <c r="AE213" s="167">
        <f t="shared" si="11"/>
        <v>0</v>
      </c>
    </row>
    <row r="214" spans="1:31">
      <c r="A214" s="197">
        <f t="shared" si="12"/>
        <v>45594</v>
      </c>
      <c r="B214" s="167">
        <f>YEAR(Table7[[#This Row],[Date]])+IF(MONTH(Table7[[#This Row],[Date]])&gt;=4,1,0)</f>
        <v>2025</v>
      </c>
      <c r="C214" s="167">
        <f>YEAR(Table7[[#This Row],[Date]])</f>
        <v>2024</v>
      </c>
      <c r="D214" s="168">
        <f t="shared" si="10"/>
        <v>45566</v>
      </c>
      <c r="AE214" s="167">
        <f t="shared" si="11"/>
        <v>0</v>
      </c>
    </row>
    <row r="215" spans="1:31">
      <c r="A215" s="197">
        <f t="shared" si="12"/>
        <v>45595</v>
      </c>
      <c r="B215" s="167">
        <f>YEAR(Table7[[#This Row],[Date]])+IF(MONTH(Table7[[#This Row],[Date]])&gt;=4,1,0)</f>
        <v>2025</v>
      </c>
      <c r="C215" s="167">
        <f>YEAR(Table7[[#This Row],[Date]])</f>
        <v>2024</v>
      </c>
      <c r="D215" s="168">
        <f t="shared" si="10"/>
        <v>45566</v>
      </c>
      <c r="AE215" s="167">
        <f t="shared" si="11"/>
        <v>0</v>
      </c>
    </row>
    <row r="216" spans="1:31">
      <c r="A216" s="197">
        <f t="shared" si="12"/>
        <v>45596</v>
      </c>
      <c r="B216" s="167">
        <f>YEAR(Table7[[#This Row],[Date]])+IF(MONTH(Table7[[#This Row],[Date]])&gt;=4,1,0)</f>
        <v>2025</v>
      </c>
      <c r="C216" s="167">
        <f>YEAR(Table7[[#This Row],[Date]])</f>
        <v>2024</v>
      </c>
      <c r="D216" s="168">
        <f t="shared" si="10"/>
        <v>45566</v>
      </c>
      <c r="AE216" s="167">
        <f t="shared" si="11"/>
        <v>0</v>
      </c>
    </row>
    <row r="217" spans="1:31">
      <c r="A217" s="197">
        <f t="shared" si="12"/>
        <v>45597</v>
      </c>
      <c r="B217" s="167">
        <f>YEAR(Table7[[#This Row],[Date]])+IF(MONTH(Table7[[#This Row],[Date]])&gt;=4,1,0)</f>
        <v>2025</v>
      </c>
      <c r="C217" s="167">
        <f>YEAR(Table7[[#This Row],[Date]])</f>
        <v>2024</v>
      </c>
      <c r="D217" s="168">
        <f t="shared" si="10"/>
        <v>45597</v>
      </c>
      <c r="AE217" s="167">
        <f t="shared" si="11"/>
        <v>0</v>
      </c>
    </row>
    <row r="218" spans="1:31">
      <c r="A218" s="197">
        <f t="shared" si="12"/>
        <v>45598</v>
      </c>
      <c r="B218" s="167">
        <f>YEAR(Table7[[#This Row],[Date]])+IF(MONTH(Table7[[#This Row],[Date]])&gt;=4,1,0)</f>
        <v>2025</v>
      </c>
      <c r="C218" s="167">
        <f>YEAR(Table7[[#This Row],[Date]])</f>
        <v>2024</v>
      </c>
      <c r="D218" s="168">
        <f t="shared" si="10"/>
        <v>45597</v>
      </c>
      <c r="AE218" s="167">
        <f t="shared" si="11"/>
        <v>0</v>
      </c>
    </row>
    <row r="219" spans="1:31">
      <c r="A219" s="197">
        <f t="shared" si="12"/>
        <v>45599</v>
      </c>
      <c r="B219" s="167">
        <f>YEAR(Table7[[#This Row],[Date]])+IF(MONTH(Table7[[#This Row],[Date]])&gt;=4,1,0)</f>
        <v>2025</v>
      </c>
      <c r="C219" s="167">
        <f>YEAR(Table7[[#This Row],[Date]])</f>
        <v>2024</v>
      </c>
      <c r="D219" s="168">
        <f t="shared" si="10"/>
        <v>45597</v>
      </c>
      <c r="AE219" s="167">
        <f t="shared" si="11"/>
        <v>0</v>
      </c>
    </row>
    <row r="220" spans="1:31">
      <c r="A220" s="197">
        <f t="shared" si="12"/>
        <v>45600</v>
      </c>
      <c r="B220" s="167">
        <f>YEAR(Table7[[#This Row],[Date]])+IF(MONTH(Table7[[#This Row],[Date]])&gt;=4,1,0)</f>
        <v>2025</v>
      </c>
      <c r="C220" s="167">
        <f>YEAR(Table7[[#This Row],[Date]])</f>
        <v>2024</v>
      </c>
      <c r="D220" s="168">
        <f t="shared" si="10"/>
        <v>45597</v>
      </c>
      <c r="AE220" s="167">
        <f t="shared" si="11"/>
        <v>0</v>
      </c>
    </row>
    <row r="221" spans="1:31">
      <c r="A221" s="197">
        <f t="shared" si="12"/>
        <v>45601</v>
      </c>
      <c r="B221" s="167">
        <f>YEAR(Table7[[#This Row],[Date]])+IF(MONTH(Table7[[#This Row],[Date]])&gt;=4,1,0)</f>
        <v>2025</v>
      </c>
      <c r="C221" s="167">
        <f>YEAR(Table7[[#This Row],[Date]])</f>
        <v>2024</v>
      </c>
      <c r="D221" s="168">
        <f t="shared" si="10"/>
        <v>45597</v>
      </c>
      <c r="AE221" s="167">
        <f t="shared" si="11"/>
        <v>0</v>
      </c>
    </row>
    <row r="222" spans="1:31">
      <c r="A222" s="197">
        <f t="shared" si="12"/>
        <v>45602</v>
      </c>
      <c r="B222" s="167">
        <f>YEAR(Table7[[#This Row],[Date]])+IF(MONTH(Table7[[#This Row],[Date]])&gt;=4,1,0)</f>
        <v>2025</v>
      </c>
      <c r="C222" s="167">
        <f>YEAR(Table7[[#This Row],[Date]])</f>
        <v>2024</v>
      </c>
      <c r="D222" s="168">
        <f t="shared" si="10"/>
        <v>45597</v>
      </c>
      <c r="AE222" s="167">
        <f t="shared" si="11"/>
        <v>0</v>
      </c>
    </row>
    <row r="223" spans="1:31">
      <c r="A223" s="197">
        <f t="shared" si="12"/>
        <v>45603</v>
      </c>
      <c r="B223" s="167">
        <f>YEAR(Table7[[#This Row],[Date]])+IF(MONTH(Table7[[#This Row],[Date]])&gt;=4,1,0)</f>
        <v>2025</v>
      </c>
      <c r="C223" s="167">
        <f>YEAR(Table7[[#This Row],[Date]])</f>
        <v>2024</v>
      </c>
      <c r="D223" s="168">
        <f t="shared" si="10"/>
        <v>45597</v>
      </c>
      <c r="AE223" s="167">
        <f t="shared" si="11"/>
        <v>0</v>
      </c>
    </row>
    <row r="224" spans="1:31">
      <c r="A224" s="197">
        <f t="shared" si="12"/>
        <v>45604</v>
      </c>
      <c r="B224" s="167">
        <f>YEAR(Table7[[#This Row],[Date]])+IF(MONTH(Table7[[#This Row],[Date]])&gt;=4,1,0)</f>
        <v>2025</v>
      </c>
      <c r="C224" s="167">
        <f>YEAR(Table7[[#This Row],[Date]])</f>
        <v>2024</v>
      </c>
      <c r="D224" s="168">
        <f t="shared" si="10"/>
        <v>45597</v>
      </c>
      <c r="AE224" s="167">
        <f t="shared" si="11"/>
        <v>0</v>
      </c>
    </row>
    <row r="225" spans="1:31">
      <c r="A225" s="197">
        <f t="shared" si="12"/>
        <v>45605</v>
      </c>
      <c r="B225" s="167">
        <f>YEAR(Table7[[#This Row],[Date]])+IF(MONTH(Table7[[#This Row],[Date]])&gt;=4,1,0)</f>
        <v>2025</v>
      </c>
      <c r="C225" s="167">
        <f>YEAR(Table7[[#This Row],[Date]])</f>
        <v>2024</v>
      </c>
      <c r="D225" s="168">
        <f t="shared" si="10"/>
        <v>45597</v>
      </c>
      <c r="AE225" s="167">
        <f t="shared" si="11"/>
        <v>0</v>
      </c>
    </row>
    <row r="226" spans="1:31">
      <c r="A226" s="197">
        <f t="shared" si="12"/>
        <v>45606</v>
      </c>
      <c r="B226" s="167">
        <f>YEAR(Table7[[#This Row],[Date]])+IF(MONTH(Table7[[#This Row],[Date]])&gt;=4,1,0)</f>
        <v>2025</v>
      </c>
      <c r="C226" s="167">
        <f>YEAR(Table7[[#This Row],[Date]])</f>
        <v>2024</v>
      </c>
      <c r="D226" s="168">
        <f t="shared" si="10"/>
        <v>45597</v>
      </c>
      <c r="AE226" s="167">
        <f t="shared" si="11"/>
        <v>0</v>
      </c>
    </row>
    <row r="227" spans="1:31">
      <c r="A227" s="197">
        <f t="shared" si="12"/>
        <v>45607</v>
      </c>
      <c r="B227" s="167">
        <f>YEAR(Table7[[#This Row],[Date]])+IF(MONTH(Table7[[#This Row],[Date]])&gt;=4,1,0)</f>
        <v>2025</v>
      </c>
      <c r="C227" s="167">
        <f>YEAR(Table7[[#This Row],[Date]])</f>
        <v>2024</v>
      </c>
      <c r="D227" s="168">
        <f t="shared" si="10"/>
        <v>45597</v>
      </c>
      <c r="AE227" s="167">
        <f t="shared" si="11"/>
        <v>0</v>
      </c>
    </row>
    <row r="228" spans="1:31">
      <c r="A228" s="197">
        <f t="shared" si="12"/>
        <v>45608</v>
      </c>
      <c r="B228" s="167">
        <f>YEAR(Table7[[#This Row],[Date]])+IF(MONTH(Table7[[#This Row],[Date]])&gt;=4,1,0)</f>
        <v>2025</v>
      </c>
      <c r="C228" s="167">
        <f>YEAR(Table7[[#This Row],[Date]])</f>
        <v>2024</v>
      </c>
      <c r="D228" s="168">
        <f t="shared" si="10"/>
        <v>45597</v>
      </c>
      <c r="AE228" s="167">
        <f t="shared" si="11"/>
        <v>0</v>
      </c>
    </row>
    <row r="229" spans="1:31">
      <c r="A229" s="197">
        <f t="shared" si="12"/>
        <v>45609</v>
      </c>
      <c r="B229" s="167">
        <f>YEAR(Table7[[#This Row],[Date]])+IF(MONTH(Table7[[#This Row],[Date]])&gt;=4,1,0)</f>
        <v>2025</v>
      </c>
      <c r="C229" s="167">
        <f>YEAR(Table7[[#This Row],[Date]])</f>
        <v>2024</v>
      </c>
      <c r="D229" s="168">
        <f t="shared" si="10"/>
        <v>45597</v>
      </c>
      <c r="AE229" s="167">
        <f t="shared" si="11"/>
        <v>0</v>
      </c>
    </row>
    <row r="230" spans="1:31">
      <c r="A230" s="197">
        <f t="shared" si="12"/>
        <v>45610</v>
      </c>
      <c r="B230" s="167">
        <f>YEAR(Table7[[#This Row],[Date]])+IF(MONTH(Table7[[#This Row],[Date]])&gt;=4,1,0)</f>
        <v>2025</v>
      </c>
      <c r="C230" s="167">
        <f>YEAR(Table7[[#This Row],[Date]])</f>
        <v>2024</v>
      </c>
      <c r="D230" s="168">
        <f t="shared" si="10"/>
        <v>45597</v>
      </c>
      <c r="AE230" s="167">
        <f t="shared" si="11"/>
        <v>0</v>
      </c>
    </row>
    <row r="231" spans="1:31">
      <c r="A231" s="197">
        <f t="shared" si="12"/>
        <v>45611</v>
      </c>
      <c r="B231" s="167">
        <f>YEAR(Table7[[#This Row],[Date]])+IF(MONTH(Table7[[#This Row],[Date]])&gt;=4,1,0)</f>
        <v>2025</v>
      </c>
      <c r="C231" s="167">
        <f>YEAR(Table7[[#This Row],[Date]])</f>
        <v>2024</v>
      </c>
      <c r="D231" s="168">
        <f t="shared" si="10"/>
        <v>45597</v>
      </c>
      <c r="AE231" s="167">
        <f t="shared" si="11"/>
        <v>0</v>
      </c>
    </row>
    <row r="232" spans="1:31">
      <c r="A232" s="197">
        <f t="shared" si="12"/>
        <v>45612</v>
      </c>
      <c r="B232" s="167">
        <f>YEAR(Table7[[#This Row],[Date]])+IF(MONTH(Table7[[#This Row],[Date]])&gt;=4,1,0)</f>
        <v>2025</v>
      </c>
      <c r="C232" s="167">
        <f>YEAR(Table7[[#This Row],[Date]])</f>
        <v>2024</v>
      </c>
      <c r="D232" s="168">
        <f t="shared" si="10"/>
        <v>45597</v>
      </c>
      <c r="AE232" s="167">
        <f t="shared" si="11"/>
        <v>0</v>
      </c>
    </row>
    <row r="233" spans="1:31">
      <c r="A233" s="197">
        <f t="shared" si="12"/>
        <v>45613</v>
      </c>
      <c r="B233" s="167">
        <f>YEAR(Table7[[#This Row],[Date]])+IF(MONTH(Table7[[#This Row],[Date]])&gt;=4,1,0)</f>
        <v>2025</v>
      </c>
      <c r="C233" s="167">
        <f>YEAR(Table7[[#This Row],[Date]])</f>
        <v>2024</v>
      </c>
      <c r="D233" s="168">
        <f t="shared" si="10"/>
        <v>45597</v>
      </c>
      <c r="AE233" s="167">
        <f t="shared" si="11"/>
        <v>0</v>
      </c>
    </row>
    <row r="234" spans="1:31">
      <c r="A234" s="197">
        <f t="shared" si="12"/>
        <v>45614</v>
      </c>
      <c r="B234" s="167">
        <f>YEAR(Table7[[#This Row],[Date]])+IF(MONTH(Table7[[#This Row],[Date]])&gt;=4,1,0)</f>
        <v>2025</v>
      </c>
      <c r="C234" s="167">
        <f>YEAR(Table7[[#This Row],[Date]])</f>
        <v>2024</v>
      </c>
      <c r="D234" s="168">
        <f t="shared" si="10"/>
        <v>45597</v>
      </c>
      <c r="AE234" s="167">
        <f t="shared" si="11"/>
        <v>0</v>
      </c>
    </row>
    <row r="235" spans="1:31">
      <c r="A235" s="197">
        <f t="shared" si="12"/>
        <v>45615</v>
      </c>
      <c r="B235" s="167">
        <f>YEAR(Table7[[#This Row],[Date]])+IF(MONTH(Table7[[#This Row],[Date]])&gt;=4,1,0)</f>
        <v>2025</v>
      </c>
      <c r="C235" s="167">
        <f>YEAR(Table7[[#This Row],[Date]])</f>
        <v>2024</v>
      </c>
      <c r="D235" s="168">
        <f t="shared" si="10"/>
        <v>45597</v>
      </c>
      <c r="AE235" s="167">
        <f t="shared" si="11"/>
        <v>0</v>
      </c>
    </row>
    <row r="236" spans="1:31">
      <c r="A236" s="197">
        <f t="shared" si="12"/>
        <v>45616</v>
      </c>
      <c r="B236" s="167">
        <f>YEAR(Table7[[#This Row],[Date]])+IF(MONTH(Table7[[#This Row],[Date]])&gt;=4,1,0)</f>
        <v>2025</v>
      </c>
      <c r="C236" s="167">
        <f>YEAR(Table7[[#This Row],[Date]])</f>
        <v>2024</v>
      </c>
      <c r="D236" s="168">
        <f t="shared" si="10"/>
        <v>45597</v>
      </c>
      <c r="AE236" s="167">
        <f t="shared" si="11"/>
        <v>0</v>
      </c>
    </row>
    <row r="237" spans="1:31">
      <c r="A237" s="197">
        <f t="shared" si="12"/>
        <v>45617</v>
      </c>
      <c r="B237" s="167">
        <f>YEAR(Table7[[#This Row],[Date]])+IF(MONTH(Table7[[#This Row],[Date]])&gt;=4,1,0)</f>
        <v>2025</v>
      </c>
      <c r="C237" s="167">
        <f>YEAR(Table7[[#This Row],[Date]])</f>
        <v>2024</v>
      </c>
      <c r="D237" s="168">
        <f t="shared" si="10"/>
        <v>45597</v>
      </c>
      <c r="AE237" s="167">
        <f t="shared" si="11"/>
        <v>0</v>
      </c>
    </row>
    <row r="238" spans="1:31">
      <c r="A238" s="197">
        <f t="shared" si="12"/>
        <v>45618</v>
      </c>
      <c r="B238" s="167">
        <f>YEAR(Table7[[#This Row],[Date]])+IF(MONTH(Table7[[#This Row],[Date]])&gt;=4,1,0)</f>
        <v>2025</v>
      </c>
      <c r="C238" s="167">
        <f>YEAR(Table7[[#This Row],[Date]])</f>
        <v>2024</v>
      </c>
      <c r="D238" s="168">
        <f t="shared" si="10"/>
        <v>45597</v>
      </c>
      <c r="AE238" s="167">
        <f t="shared" si="11"/>
        <v>0</v>
      </c>
    </row>
    <row r="239" spans="1:31">
      <c r="A239" s="197">
        <f t="shared" si="12"/>
        <v>45619</v>
      </c>
      <c r="B239" s="167">
        <f>YEAR(Table7[[#This Row],[Date]])+IF(MONTH(Table7[[#This Row],[Date]])&gt;=4,1,0)</f>
        <v>2025</v>
      </c>
      <c r="C239" s="167">
        <f>YEAR(Table7[[#This Row],[Date]])</f>
        <v>2024</v>
      </c>
      <c r="D239" s="168">
        <f t="shared" si="10"/>
        <v>45597</v>
      </c>
      <c r="AE239" s="167">
        <f t="shared" si="11"/>
        <v>0</v>
      </c>
    </row>
    <row r="240" spans="1:31">
      <c r="A240" s="197">
        <f t="shared" si="12"/>
        <v>45620</v>
      </c>
      <c r="B240" s="167">
        <f>YEAR(Table7[[#This Row],[Date]])+IF(MONTH(Table7[[#This Row],[Date]])&gt;=4,1,0)</f>
        <v>2025</v>
      </c>
      <c r="C240" s="167">
        <f>YEAR(Table7[[#This Row],[Date]])</f>
        <v>2024</v>
      </c>
      <c r="D240" s="168">
        <f t="shared" si="10"/>
        <v>45597</v>
      </c>
      <c r="AE240" s="167">
        <f t="shared" si="11"/>
        <v>0</v>
      </c>
    </row>
    <row r="241" spans="1:31">
      <c r="A241" s="197">
        <f t="shared" si="12"/>
        <v>45621</v>
      </c>
      <c r="B241" s="167">
        <f>YEAR(Table7[[#This Row],[Date]])+IF(MONTH(Table7[[#This Row],[Date]])&gt;=4,1,0)</f>
        <v>2025</v>
      </c>
      <c r="C241" s="167">
        <f>YEAR(Table7[[#This Row],[Date]])</f>
        <v>2024</v>
      </c>
      <c r="D241" s="168">
        <f t="shared" si="10"/>
        <v>45597</v>
      </c>
      <c r="AE241" s="167">
        <f t="shared" si="11"/>
        <v>0</v>
      </c>
    </row>
    <row r="242" spans="1:31">
      <c r="A242" s="197">
        <f t="shared" si="12"/>
        <v>45622</v>
      </c>
      <c r="B242" s="167">
        <f>YEAR(Table7[[#This Row],[Date]])+IF(MONTH(Table7[[#This Row],[Date]])&gt;=4,1,0)</f>
        <v>2025</v>
      </c>
      <c r="C242" s="167">
        <f>YEAR(Table7[[#This Row],[Date]])</f>
        <v>2024</v>
      </c>
      <c r="D242" s="168">
        <f t="shared" si="10"/>
        <v>45597</v>
      </c>
      <c r="AE242" s="167">
        <f t="shared" si="11"/>
        <v>0</v>
      </c>
    </row>
    <row r="243" spans="1:31">
      <c r="A243" s="197">
        <f t="shared" si="12"/>
        <v>45623</v>
      </c>
      <c r="B243" s="167">
        <f>YEAR(Table7[[#This Row],[Date]])+IF(MONTH(Table7[[#This Row],[Date]])&gt;=4,1,0)</f>
        <v>2025</v>
      </c>
      <c r="C243" s="167">
        <f>YEAR(Table7[[#This Row],[Date]])</f>
        <v>2024</v>
      </c>
      <c r="D243" s="168">
        <f t="shared" si="10"/>
        <v>45597</v>
      </c>
      <c r="AE243" s="167">
        <f t="shared" si="11"/>
        <v>0</v>
      </c>
    </row>
    <row r="244" spans="1:31">
      <c r="A244" s="197">
        <f t="shared" si="12"/>
        <v>45624</v>
      </c>
      <c r="B244" s="167">
        <f>YEAR(Table7[[#This Row],[Date]])+IF(MONTH(Table7[[#This Row],[Date]])&gt;=4,1,0)</f>
        <v>2025</v>
      </c>
      <c r="C244" s="167">
        <f>YEAR(Table7[[#This Row],[Date]])</f>
        <v>2024</v>
      </c>
      <c r="D244" s="168">
        <f t="shared" si="10"/>
        <v>45597</v>
      </c>
      <c r="AE244" s="167">
        <f t="shared" si="11"/>
        <v>0</v>
      </c>
    </row>
    <row r="245" spans="1:31">
      <c r="A245" s="197">
        <f t="shared" si="12"/>
        <v>45625</v>
      </c>
      <c r="B245" s="167">
        <f>YEAR(Table7[[#This Row],[Date]])+IF(MONTH(Table7[[#This Row],[Date]])&gt;=4,1,0)</f>
        <v>2025</v>
      </c>
      <c r="C245" s="167">
        <f>YEAR(Table7[[#This Row],[Date]])</f>
        <v>2024</v>
      </c>
      <c r="D245" s="168">
        <f t="shared" si="10"/>
        <v>45597</v>
      </c>
      <c r="AE245" s="167">
        <f t="shared" si="11"/>
        <v>0</v>
      </c>
    </row>
    <row r="246" spans="1:31">
      <c r="A246" s="197">
        <f t="shared" si="12"/>
        <v>45626</v>
      </c>
      <c r="B246" s="167">
        <f>YEAR(Table7[[#This Row],[Date]])+IF(MONTH(Table7[[#This Row],[Date]])&gt;=4,1,0)</f>
        <v>2025</v>
      </c>
      <c r="C246" s="167">
        <f>YEAR(Table7[[#This Row],[Date]])</f>
        <v>2024</v>
      </c>
      <c r="D246" s="168">
        <f t="shared" si="10"/>
        <v>45597</v>
      </c>
      <c r="AE246" s="167">
        <f t="shared" si="11"/>
        <v>0</v>
      </c>
    </row>
    <row r="247" spans="1:31">
      <c r="A247" s="197">
        <f t="shared" si="12"/>
        <v>45627</v>
      </c>
      <c r="B247" s="167">
        <f>YEAR(Table7[[#This Row],[Date]])+IF(MONTH(Table7[[#This Row],[Date]])&gt;=4,1,0)</f>
        <v>2025</v>
      </c>
      <c r="C247" s="167">
        <f>YEAR(Table7[[#This Row],[Date]])</f>
        <v>2024</v>
      </c>
      <c r="D247" s="168">
        <f t="shared" si="10"/>
        <v>45627</v>
      </c>
      <c r="AE247" s="167">
        <f t="shared" si="11"/>
        <v>0</v>
      </c>
    </row>
    <row r="248" spans="1:31">
      <c r="A248" s="197">
        <f t="shared" si="12"/>
        <v>45628</v>
      </c>
      <c r="B248" s="167">
        <f>YEAR(Table7[[#This Row],[Date]])+IF(MONTH(Table7[[#This Row],[Date]])&gt;=4,1,0)</f>
        <v>2025</v>
      </c>
      <c r="C248" s="167">
        <f>YEAR(Table7[[#This Row],[Date]])</f>
        <v>2024</v>
      </c>
      <c r="D248" s="168">
        <f t="shared" si="10"/>
        <v>45627</v>
      </c>
      <c r="AE248" s="167">
        <f t="shared" si="11"/>
        <v>0</v>
      </c>
    </row>
    <row r="249" spans="1:31">
      <c r="A249" s="197">
        <f t="shared" si="12"/>
        <v>45629</v>
      </c>
      <c r="B249" s="167">
        <f>YEAR(Table7[[#This Row],[Date]])+IF(MONTH(Table7[[#This Row],[Date]])&gt;=4,1,0)</f>
        <v>2025</v>
      </c>
      <c r="C249" s="167">
        <f>YEAR(Table7[[#This Row],[Date]])</f>
        <v>2024</v>
      </c>
      <c r="D249" s="168">
        <f t="shared" si="10"/>
        <v>45627</v>
      </c>
      <c r="AE249" s="167">
        <f t="shared" si="11"/>
        <v>0</v>
      </c>
    </row>
    <row r="250" spans="1:31">
      <c r="A250" s="197">
        <f t="shared" si="12"/>
        <v>45630</v>
      </c>
      <c r="B250" s="167">
        <f>YEAR(Table7[[#This Row],[Date]])+IF(MONTH(Table7[[#This Row],[Date]])&gt;=4,1,0)</f>
        <v>2025</v>
      </c>
      <c r="C250" s="167">
        <f>YEAR(Table7[[#This Row],[Date]])</f>
        <v>2024</v>
      </c>
      <c r="D250" s="168">
        <f t="shared" si="10"/>
        <v>45627</v>
      </c>
      <c r="AE250" s="167">
        <f t="shared" si="11"/>
        <v>0</v>
      </c>
    </row>
    <row r="251" spans="1:31">
      <c r="A251" s="197">
        <f t="shared" si="12"/>
        <v>45631</v>
      </c>
      <c r="B251" s="167">
        <f>YEAR(Table7[[#This Row],[Date]])+IF(MONTH(Table7[[#This Row],[Date]])&gt;=4,1,0)</f>
        <v>2025</v>
      </c>
      <c r="C251" s="167">
        <f>YEAR(Table7[[#This Row],[Date]])</f>
        <v>2024</v>
      </c>
      <c r="D251" s="168">
        <f t="shared" si="10"/>
        <v>45627</v>
      </c>
      <c r="AE251" s="167">
        <f t="shared" si="11"/>
        <v>0</v>
      </c>
    </row>
    <row r="252" spans="1:31">
      <c r="A252" s="197">
        <f t="shared" si="12"/>
        <v>45632</v>
      </c>
      <c r="B252" s="167">
        <f>YEAR(Table7[[#This Row],[Date]])+IF(MONTH(Table7[[#This Row],[Date]])&gt;=4,1,0)</f>
        <v>2025</v>
      </c>
      <c r="C252" s="167">
        <f>YEAR(Table7[[#This Row],[Date]])</f>
        <v>2024</v>
      </c>
      <c r="D252" s="168">
        <f t="shared" si="10"/>
        <v>45627</v>
      </c>
      <c r="AE252" s="167">
        <f t="shared" si="11"/>
        <v>0</v>
      </c>
    </row>
    <row r="253" spans="1:31">
      <c r="A253" s="197">
        <f t="shared" si="12"/>
        <v>45633</v>
      </c>
      <c r="B253" s="167">
        <f>YEAR(Table7[[#This Row],[Date]])+IF(MONTH(Table7[[#This Row],[Date]])&gt;=4,1,0)</f>
        <v>2025</v>
      </c>
      <c r="C253" s="167">
        <f>YEAR(Table7[[#This Row],[Date]])</f>
        <v>2024</v>
      </c>
      <c r="D253" s="168">
        <f t="shared" si="10"/>
        <v>45627</v>
      </c>
      <c r="AE253" s="167">
        <f t="shared" si="11"/>
        <v>0</v>
      </c>
    </row>
    <row r="254" spans="1:31">
      <c r="A254" s="197">
        <f t="shared" si="12"/>
        <v>45634</v>
      </c>
      <c r="B254" s="167">
        <f>YEAR(Table7[[#This Row],[Date]])+IF(MONTH(Table7[[#This Row],[Date]])&gt;=4,1,0)</f>
        <v>2025</v>
      </c>
      <c r="C254" s="167">
        <f>YEAR(Table7[[#This Row],[Date]])</f>
        <v>2024</v>
      </c>
      <c r="D254" s="168">
        <f t="shared" si="10"/>
        <v>45627</v>
      </c>
      <c r="AE254" s="167">
        <f t="shared" si="11"/>
        <v>0</v>
      </c>
    </row>
    <row r="255" spans="1:31">
      <c r="A255" s="197">
        <f t="shared" si="12"/>
        <v>45635</v>
      </c>
      <c r="B255" s="167">
        <f>YEAR(Table7[[#This Row],[Date]])+IF(MONTH(Table7[[#This Row],[Date]])&gt;=4,1,0)</f>
        <v>2025</v>
      </c>
      <c r="C255" s="167">
        <f>YEAR(Table7[[#This Row],[Date]])</f>
        <v>2024</v>
      </c>
      <c r="D255" s="168">
        <f t="shared" si="10"/>
        <v>45627</v>
      </c>
      <c r="AE255" s="167">
        <f t="shared" si="11"/>
        <v>0</v>
      </c>
    </row>
    <row r="256" spans="1:31">
      <c r="A256" s="197">
        <f t="shared" si="12"/>
        <v>45636</v>
      </c>
      <c r="B256" s="167">
        <f>YEAR(Table7[[#This Row],[Date]])+IF(MONTH(Table7[[#This Row],[Date]])&gt;=4,1,0)</f>
        <v>2025</v>
      </c>
      <c r="C256" s="167">
        <f>YEAR(Table7[[#This Row],[Date]])</f>
        <v>2024</v>
      </c>
      <c r="D256" s="168">
        <f t="shared" si="10"/>
        <v>45627</v>
      </c>
      <c r="AE256" s="167">
        <f t="shared" si="11"/>
        <v>0</v>
      </c>
    </row>
    <row r="257" spans="1:31">
      <c r="A257" s="197">
        <f t="shared" si="12"/>
        <v>45637</v>
      </c>
      <c r="B257" s="167">
        <f>YEAR(Table7[[#This Row],[Date]])+IF(MONTH(Table7[[#This Row],[Date]])&gt;=4,1,0)</f>
        <v>2025</v>
      </c>
      <c r="C257" s="167">
        <f>YEAR(Table7[[#This Row],[Date]])</f>
        <v>2024</v>
      </c>
      <c r="D257" s="168">
        <f t="shared" si="10"/>
        <v>45627</v>
      </c>
      <c r="AE257" s="167">
        <f t="shared" si="11"/>
        <v>0</v>
      </c>
    </row>
    <row r="258" spans="1:31">
      <c r="A258" s="197">
        <f t="shared" si="12"/>
        <v>45638</v>
      </c>
      <c r="B258" s="167">
        <f>YEAR(Table7[[#This Row],[Date]])+IF(MONTH(Table7[[#This Row],[Date]])&gt;=4,1,0)</f>
        <v>2025</v>
      </c>
      <c r="C258" s="167">
        <f>YEAR(Table7[[#This Row],[Date]])</f>
        <v>2024</v>
      </c>
      <c r="D258" s="168">
        <f t="shared" si="10"/>
        <v>45627</v>
      </c>
      <c r="AE258" s="167">
        <f t="shared" si="11"/>
        <v>0</v>
      </c>
    </row>
    <row r="259" spans="1:31">
      <c r="A259" s="197">
        <f t="shared" si="12"/>
        <v>45639</v>
      </c>
      <c r="B259" s="167">
        <f>YEAR(Table7[[#This Row],[Date]])+IF(MONTH(Table7[[#This Row],[Date]])&gt;=4,1,0)</f>
        <v>2025</v>
      </c>
      <c r="C259" s="167">
        <f>YEAR(Table7[[#This Row],[Date]])</f>
        <v>2024</v>
      </c>
      <c r="D259" s="168">
        <f t="shared" ref="D259:D322" si="13">A259-DAY(A259)+1</f>
        <v>45627</v>
      </c>
      <c r="AE259" s="167">
        <f t="shared" ref="AE259:AE322" si="14">SUM(E259:AD259)</f>
        <v>0</v>
      </c>
    </row>
    <row r="260" spans="1:31">
      <c r="A260" s="197">
        <f t="shared" si="12"/>
        <v>45640</v>
      </c>
      <c r="B260" s="167">
        <f>YEAR(Table7[[#This Row],[Date]])+IF(MONTH(Table7[[#This Row],[Date]])&gt;=4,1,0)</f>
        <v>2025</v>
      </c>
      <c r="C260" s="167">
        <f>YEAR(Table7[[#This Row],[Date]])</f>
        <v>2024</v>
      </c>
      <c r="D260" s="168">
        <f t="shared" si="13"/>
        <v>45627</v>
      </c>
      <c r="AE260" s="167">
        <f t="shared" si="14"/>
        <v>0</v>
      </c>
    </row>
    <row r="261" spans="1:31">
      <c r="A261" s="197">
        <f t="shared" ref="A261:A324" si="15">A260+1</f>
        <v>45641</v>
      </c>
      <c r="B261" s="167">
        <f>YEAR(Table7[[#This Row],[Date]])+IF(MONTH(Table7[[#This Row],[Date]])&gt;=4,1,0)</f>
        <v>2025</v>
      </c>
      <c r="C261" s="167">
        <f>YEAR(Table7[[#This Row],[Date]])</f>
        <v>2024</v>
      </c>
      <c r="D261" s="168">
        <f t="shared" si="13"/>
        <v>45627</v>
      </c>
      <c r="AE261" s="167">
        <f t="shared" si="14"/>
        <v>0</v>
      </c>
    </row>
    <row r="262" spans="1:31">
      <c r="A262" s="197">
        <f t="shared" si="15"/>
        <v>45642</v>
      </c>
      <c r="B262" s="167">
        <f>YEAR(Table7[[#This Row],[Date]])+IF(MONTH(Table7[[#This Row],[Date]])&gt;=4,1,0)</f>
        <v>2025</v>
      </c>
      <c r="C262" s="167">
        <f>YEAR(Table7[[#This Row],[Date]])</f>
        <v>2024</v>
      </c>
      <c r="D262" s="168">
        <f t="shared" si="13"/>
        <v>45627</v>
      </c>
      <c r="AE262" s="167">
        <f t="shared" si="14"/>
        <v>0</v>
      </c>
    </row>
    <row r="263" spans="1:31">
      <c r="A263" s="197">
        <f t="shared" si="15"/>
        <v>45643</v>
      </c>
      <c r="B263" s="167">
        <f>YEAR(Table7[[#This Row],[Date]])+IF(MONTH(Table7[[#This Row],[Date]])&gt;=4,1,0)</f>
        <v>2025</v>
      </c>
      <c r="C263" s="167">
        <f>YEAR(Table7[[#This Row],[Date]])</f>
        <v>2024</v>
      </c>
      <c r="D263" s="168">
        <f t="shared" si="13"/>
        <v>45627</v>
      </c>
      <c r="AE263" s="167">
        <f t="shared" si="14"/>
        <v>0</v>
      </c>
    </row>
    <row r="264" spans="1:31">
      <c r="A264" s="197">
        <f t="shared" si="15"/>
        <v>45644</v>
      </c>
      <c r="B264" s="167">
        <f>YEAR(Table7[[#This Row],[Date]])+IF(MONTH(Table7[[#This Row],[Date]])&gt;=4,1,0)</f>
        <v>2025</v>
      </c>
      <c r="C264" s="167">
        <f>YEAR(Table7[[#This Row],[Date]])</f>
        <v>2024</v>
      </c>
      <c r="D264" s="168">
        <f t="shared" si="13"/>
        <v>45627</v>
      </c>
      <c r="AE264" s="167">
        <f t="shared" si="14"/>
        <v>0</v>
      </c>
    </row>
    <row r="265" spans="1:31">
      <c r="A265" s="197">
        <f t="shared" si="15"/>
        <v>45645</v>
      </c>
      <c r="B265" s="167">
        <f>YEAR(Table7[[#This Row],[Date]])+IF(MONTH(Table7[[#This Row],[Date]])&gt;=4,1,0)</f>
        <v>2025</v>
      </c>
      <c r="C265" s="167">
        <f>YEAR(Table7[[#This Row],[Date]])</f>
        <v>2024</v>
      </c>
      <c r="D265" s="168">
        <f t="shared" si="13"/>
        <v>45627</v>
      </c>
      <c r="AE265" s="167">
        <f t="shared" si="14"/>
        <v>0</v>
      </c>
    </row>
    <row r="266" spans="1:31">
      <c r="A266" s="197">
        <f t="shared" si="15"/>
        <v>45646</v>
      </c>
      <c r="B266" s="167">
        <f>YEAR(Table7[[#This Row],[Date]])+IF(MONTH(Table7[[#This Row],[Date]])&gt;=4,1,0)</f>
        <v>2025</v>
      </c>
      <c r="C266" s="167">
        <f>YEAR(Table7[[#This Row],[Date]])</f>
        <v>2024</v>
      </c>
      <c r="D266" s="168">
        <f t="shared" si="13"/>
        <v>45627</v>
      </c>
      <c r="AE266" s="167">
        <f t="shared" si="14"/>
        <v>0</v>
      </c>
    </row>
    <row r="267" spans="1:31">
      <c r="A267" s="197">
        <f t="shared" si="15"/>
        <v>45647</v>
      </c>
      <c r="B267" s="167">
        <f>YEAR(Table7[[#This Row],[Date]])+IF(MONTH(Table7[[#This Row],[Date]])&gt;=4,1,0)</f>
        <v>2025</v>
      </c>
      <c r="C267" s="167">
        <f>YEAR(Table7[[#This Row],[Date]])</f>
        <v>2024</v>
      </c>
      <c r="D267" s="168">
        <f t="shared" si="13"/>
        <v>45627</v>
      </c>
      <c r="AE267" s="167">
        <f t="shared" si="14"/>
        <v>0</v>
      </c>
    </row>
    <row r="268" spans="1:31">
      <c r="A268" s="197">
        <f t="shared" si="15"/>
        <v>45648</v>
      </c>
      <c r="B268" s="167">
        <f>YEAR(Table7[[#This Row],[Date]])+IF(MONTH(Table7[[#This Row],[Date]])&gt;=4,1,0)</f>
        <v>2025</v>
      </c>
      <c r="C268" s="167">
        <f>YEAR(Table7[[#This Row],[Date]])</f>
        <v>2024</v>
      </c>
      <c r="D268" s="168">
        <f t="shared" si="13"/>
        <v>45627</v>
      </c>
      <c r="AE268" s="167">
        <f t="shared" si="14"/>
        <v>0</v>
      </c>
    </row>
    <row r="269" spans="1:31">
      <c r="A269" s="197">
        <f t="shared" si="15"/>
        <v>45649</v>
      </c>
      <c r="B269" s="167">
        <f>YEAR(Table7[[#This Row],[Date]])+IF(MONTH(Table7[[#This Row],[Date]])&gt;=4,1,0)</f>
        <v>2025</v>
      </c>
      <c r="C269" s="167">
        <f>YEAR(Table7[[#This Row],[Date]])</f>
        <v>2024</v>
      </c>
      <c r="D269" s="168">
        <f t="shared" si="13"/>
        <v>45627</v>
      </c>
      <c r="AE269" s="167">
        <f t="shared" si="14"/>
        <v>0</v>
      </c>
    </row>
    <row r="270" spans="1:31">
      <c r="A270" s="197">
        <f t="shared" si="15"/>
        <v>45650</v>
      </c>
      <c r="B270" s="167">
        <f>YEAR(Table7[[#This Row],[Date]])+IF(MONTH(Table7[[#This Row],[Date]])&gt;=4,1,0)</f>
        <v>2025</v>
      </c>
      <c r="C270" s="167">
        <f>YEAR(Table7[[#This Row],[Date]])</f>
        <v>2024</v>
      </c>
      <c r="D270" s="168">
        <f t="shared" si="13"/>
        <v>45627</v>
      </c>
      <c r="AE270" s="167">
        <f t="shared" si="14"/>
        <v>0</v>
      </c>
    </row>
    <row r="271" spans="1:31">
      <c r="A271" s="197">
        <f t="shared" si="15"/>
        <v>45651</v>
      </c>
      <c r="B271" s="167">
        <f>YEAR(Table7[[#This Row],[Date]])+IF(MONTH(Table7[[#This Row],[Date]])&gt;=4,1,0)</f>
        <v>2025</v>
      </c>
      <c r="C271" s="167">
        <f>YEAR(Table7[[#This Row],[Date]])</f>
        <v>2024</v>
      </c>
      <c r="D271" s="168">
        <f t="shared" si="13"/>
        <v>45627</v>
      </c>
      <c r="AE271" s="167">
        <f t="shared" si="14"/>
        <v>0</v>
      </c>
    </row>
    <row r="272" spans="1:31">
      <c r="A272" s="197">
        <f t="shared" si="15"/>
        <v>45652</v>
      </c>
      <c r="B272" s="167">
        <f>YEAR(Table7[[#This Row],[Date]])+IF(MONTH(Table7[[#This Row],[Date]])&gt;=4,1,0)</f>
        <v>2025</v>
      </c>
      <c r="C272" s="167">
        <f>YEAR(Table7[[#This Row],[Date]])</f>
        <v>2024</v>
      </c>
      <c r="D272" s="168">
        <f t="shared" si="13"/>
        <v>45627</v>
      </c>
      <c r="AE272" s="167">
        <f t="shared" si="14"/>
        <v>0</v>
      </c>
    </row>
    <row r="273" spans="1:31">
      <c r="A273" s="197">
        <f t="shared" si="15"/>
        <v>45653</v>
      </c>
      <c r="B273" s="167">
        <f>YEAR(Table7[[#This Row],[Date]])+IF(MONTH(Table7[[#This Row],[Date]])&gt;=4,1,0)</f>
        <v>2025</v>
      </c>
      <c r="C273" s="167">
        <f>YEAR(Table7[[#This Row],[Date]])</f>
        <v>2024</v>
      </c>
      <c r="D273" s="168">
        <f t="shared" si="13"/>
        <v>45627</v>
      </c>
      <c r="AE273" s="167">
        <f t="shared" si="14"/>
        <v>0</v>
      </c>
    </row>
    <row r="274" spans="1:31">
      <c r="A274" s="197">
        <f t="shared" si="15"/>
        <v>45654</v>
      </c>
      <c r="B274" s="167">
        <f>YEAR(Table7[[#This Row],[Date]])+IF(MONTH(Table7[[#This Row],[Date]])&gt;=4,1,0)</f>
        <v>2025</v>
      </c>
      <c r="C274" s="167">
        <f>YEAR(Table7[[#This Row],[Date]])</f>
        <v>2024</v>
      </c>
      <c r="D274" s="168">
        <f t="shared" si="13"/>
        <v>45627</v>
      </c>
      <c r="AE274" s="167">
        <f t="shared" si="14"/>
        <v>0</v>
      </c>
    </row>
    <row r="275" spans="1:31">
      <c r="A275" s="197">
        <f t="shared" si="15"/>
        <v>45655</v>
      </c>
      <c r="B275" s="167">
        <f>YEAR(Table7[[#This Row],[Date]])+IF(MONTH(Table7[[#This Row],[Date]])&gt;=4,1,0)</f>
        <v>2025</v>
      </c>
      <c r="C275" s="167">
        <f>YEAR(Table7[[#This Row],[Date]])</f>
        <v>2024</v>
      </c>
      <c r="D275" s="168">
        <f t="shared" si="13"/>
        <v>45627</v>
      </c>
      <c r="AE275" s="167">
        <f t="shared" si="14"/>
        <v>0</v>
      </c>
    </row>
    <row r="276" spans="1:31">
      <c r="A276" s="197">
        <f t="shared" si="15"/>
        <v>45656</v>
      </c>
      <c r="B276" s="167">
        <f>YEAR(Table7[[#This Row],[Date]])+IF(MONTH(Table7[[#This Row],[Date]])&gt;=4,1,0)</f>
        <v>2025</v>
      </c>
      <c r="C276" s="167">
        <f>YEAR(Table7[[#This Row],[Date]])</f>
        <v>2024</v>
      </c>
      <c r="D276" s="168">
        <f t="shared" si="13"/>
        <v>45627</v>
      </c>
      <c r="AE276" s="167">
        <f t="shared" si="14"/>
        <v>0</v>
      </c>
    </row>
    <row r="277" spans="1:31">
      <c r="A277" s="197">
        <f t="shared" si="15"/>
        <v>45657</v>
      </c>
      <c r="B277" s="167">
        <f>YEAR(Table7[[#This Row],[Date]])+IF(MONTH(Table7[[#This Row],[Date]])&gt;=4,1,0)</f>
        <v>2025</v>
      </c>
      <c r="C277" s="167">
        <f>YEAR(Table7[[#This Row],[Date]])</f>
        <v>2024</v>
      </c>
      <c r="D277" s="168">
        <f t="shared" si="13"/>
        <v>45627</v>
      </c>
      <c r="AE277" s="167">
        <f t="shared" si="14"/>
        <v>0</v>
      </c>
    </row>
    <row r="278" spans="1:31">
      <c r="A278" s="197">
        <f t="shared" si="15"/>
        <v>45658</v>
      </c>
      <c r="B278" s="167">
        <f>YEAR(Table7[[#This Row],[Date]])+IF(MONTH(Table7[[#This Row],[Date]])&gt;=4,1,0)</f>
        <v>2025</v>
      </c>
      <c r="C278" s="167">
        <f>YEAR(Table7[[#This Row],[Date]])</f>
        <v>2025</v>
      </c>
      <c r="D278" s="168">
        <f t="shared" si="13"/>
        <v>45658</v>
      </c>
      <c r="AE278" s="167">
        <f t="shared" si="14"/>
        <v>0</v>
      </c>
    </row>
    <row r="279" spans="1:31">
      <c r="A279" s="197">
        <f t="shared" si="15"/>
        <v>45659</v>
      </c>
      <c r="B279" s="167">
        <f>YEAR(Table7[[#This Row],[Date]])+IF(MONTH(Table7[[#This Row],[Date]])&gt;=4,1,0)</f>
        <v>2025</v>
      </c>
      <c r="C279" s="167">
        <f>YEAR(Table7[[#This Row],[Date]])</f>
        <v>2025</v>
      </c>
      <c r="D279" s="168">
        <f t="shared" si="13"/>
        <v>45658</v>
      </c>
      <c r="AE279" s="167">
        <f t="shared" si="14"/>
        <v>0</v>
      </c>
    </row>
    <row r="280" spans="1:31">
      <c r="A280" s="197">
        <f t="shared" si="15"/>
        <v>45660</v>
      </c>
      <c r="B280" s="167">
        <f>YEAR(Table7[[#This Row],[Date]])+IF(MONTH(Table7[[#This Row],[Date]])&gt;=4,1,0)</f>
        <v>2025</v>
      </c>
      <c r="C280" s="167">
        <f>YEAR(Table7[[#This Row],[Date]])</f>
        <v>2025</v>
      </c>
      <c r="D280" s="168">
        <f t="shared" si="13"/>
        <v>45658</v>
      </c>
      <c r="AE280" s="167">
        <f t="shared" si="14"/>
        <v>0</v>
      </c>
    </row>
    <row r="281" spans="1:31">
      <c r="A281" s="197">
        <f t="shared" si="15"/>
        <v>45661</v>
      </c>
      <c r="B281" s="167">
        <f>YEAR(Table7[[#This Row],[Date]])+IF(MONTH(Table7[[#This Row],[Date]])&gt;=4,1,0)</f>
        <v>2025</v>
      </c>
      <c r="C281" s="167">
        <f>YEAR(Table7[[#This Row],[Date]])</f>
        <v>2025</v>
      </c>
      <c r="D281" s="168">
        <f t="shared" si="13"/>
        <v>45658</v>
      </c>
      <c r="AE281" s="167">
        <f t="shared" si="14"/>
        <v>0</v>
      </c>
    </row>
    <row r="282" spans="1:31">
      <c r="A282" s="197">
        <f t="shared" si="15"/>
        <v>45662</v>
      </c>
      <c r="B282" s="167">
        <f>YEAR(Table7[[#This Row],[Date]])+IF(MONTH(Table7[[#This Row],[Date]])&gt;=4,1,0)</f>
        <v>2025</v>
      </c>
      <c r="C282" s="167">
        <f>YEAR(Table7[[#This Row],[Date]])</f>
        <v>2025</v>
      </c>
      <c r="D282" s="168">
        <f t="shared" si="13"/>
        <v>45658</v>
      </c>
      <c r="AE282" s="167">
        <f t="shared" si="14"/>
        <v>0</v>
      </c>
    </row>
    <row r="283" spans="1:31">
      <c r="A283" s="197">
        <f t="shared" si="15"/>
        <v>45663</v>
      </c>
      <c r="B283" s="167">
        <f>YEAR(Table7[[#This Row],[Date]])+IF(MONTH(Table7[[#This Row],[Date]])&gt;=4,1,0)</f>
        <v>2025</v>
      </c>
      <c r="C283" s="167">
        <f>YEAR(Table7[[#This Row],[Date]])</f>
        <v>2025</v>
      </c>
      <c r="D283" s="168">
        <f t="shared" si="13"/>
        <v>45658</v>
      </c>
      <c r="AE283" s="167">
        <f t="shared" si="14"/>
        <v>0</v>
      </c>
    </row>
    <row r="284" spans="1:31">
      <c r="A284" s="197">
        <f t="shared" si="15"/>
        <v>45664</v>
      </c>
      <c r="B284" s="167">
        <f>YEAR(Table7[[#This Row],[Date]])+IF(MONTH(Table7[[#This Row],[Date]])&gt;=4,1,0)</f>
        <v>2025</v>
      </c>
      <c r="C284" s="167">
        <f>YEAR(Table7[[#This Row],[Date]])</f>
        <v>2025</v>
      </c>
      <c r="D284" s="168">
        <f t="shared" si="13"/>
        <v>45658</v>
      </c>
      <c r="AE284" s="167">
        <f t="shared" si="14"/>
        <v>0</v>
      </c>
    </row>
    <row r="285" spans="1:31">
      <c r="A285" s="197">
        <f t="shared" si="15"/>
        <v>45665</v>
      </c>
      <c r="B285" s="167">
        <f>YEAR(Table7[[#This Row],[Date]])+IF(MONTH(Table7[[#This Row],[Date]])&gt;=4,1,0)</f>
        <v>2025</v>
      </c>
      <c r="C285" s="167">
        <f>YEAR(Table7[[#This Row],[Date]])</f>
        <v>2025</v>
      </c>
      <c r="D285" s="168">
        <f t="shared" si="13"/>
        <v>45658</v>
      </c>
      <c r="AE285" s="167">
        <f t="shared" si="14"/>
        <v>0</v>
      </c>
    </row>
    <row r="286" spans="1:31">
      <c r="A286" s="197">
        <f t="shared" si="15"/>
        <v>45666</v>
      </c>
      <c r="B286" s="167">
        <f>YEAR(Table7[[#This Row],[Date]])+IF(MONTH(Table7[[#This Row],[Date]])&gt;=4,1,0)</f>
        <v>2025</v>
      </c>
      <c r="C286" s="167">
        <f>YEAR(Table7[[#This Row],[Date]])</f>
        <v>2025</v>
      </c>
      <c r="D286" s="168">
        <f t="shared" si="13"/>
        <v>45658</v>
      </c>
      <c r="AE286" s="167">
        <f t="shared" si="14"/>
        <v>0</v>
      </c>
    </row>
    <row r="287" spans="1:31">
      <c r="A287" s="197">
        <f t="shared" si="15"/>
        <v>45667</v>
      </c>
      <c r="B287" s="167">
        <f>YEAR(Table7[[#This Row],[Date]])+IF(MONTH(Table7[[#This Row],[Date]])&gt;=4,1,0)</f>
        <v>2025</v>
      </c>
      <c r="C287" s="167">
        <f>YEAR(Table7[[#This Row],[Date]])</f>
        <v>2025</v>
      </c>
      <c r="D287" s="168">
        <f t="shared" si="13"/>
        <v>45658</v>
      </c>
      <c r="AE287" s="167">
        <f t="shared" si="14"/>
        <v>0</v>
      </c>
    </row>
    <row r="288" spans="1:31">
      <c r="A288" s="197">
        <f t="shared" si="15"/>
        <v>45668</v>
      </c>
      <c r="B288" s="167">
        <f>YEAR(Table7[[#This Row],[Date]])+IF(MONTH(Table7[[#This Row],[Date]])&gt;=4,1,0)</f>
        <v>2025</v>
      </c>
      <c r="C288" s="167">
        <f>YEAR(Table7[[#This Row],[Date]])</f>
        <v>2025</v>
      </c>
      <c r="D288" s="168">
        <f t="shared" si="13"/>
        <v>45658</v>
      </c>
      <c r="AE288" s="167">
        <f t="shared" si="14"/>
        <v>0</v>
      </c>
    </row>
    <row r="289" spans="1:31">
      <c r="A289" s="197">
        <f t="shared" si="15"/>
        <v>45669</v>
      </c>
      <c r="B289" s="167">
        <f>YEAR(Table7[[#This Row],[Date]])+IF(MONTH(Table7[[#This Row],[Date]])&gt;=4,1,0)</f>
        <v>2025</v>
      </c>
      <c r="C289" s="167">
        <f>YEAR(Table7[[#This Row],[Date]])</f>
        <v>2025</v>
      </c>
      <c r="D289" s="168">
        <f t="shared" si="13"/>
        <v>45658</v>
      </c>
      <c r="AE289" s="167">
        <f t="shared" si="14"/>
        <v>0</v>
      </c>
    </row>
    <row r="290" spans="1:31">
      <c r="A290" s="197">
        <f t="shared" si="15"/>
        <v>45670</v>
      </c>
      <c r="B290" s="167">
        <f>YEAR(Table7[[#This Row],[Date]])+IF(MONTH(Table7[[#This Row],[Date]])&gt;=4,1,0)</f>
        <v>2025</v>
      </c>
      <c r="C290" s="167">
        <f>YEAR(Table7[[#This Row],[Date]])</f>
        <v>2025</v>
      </c>
      <c r="D290" s="168">
        <f t="shared" si="13"/>
        <v>45658</v>
      </c>
      <c r="AE290" s="167">
        <f t="shared" si="14"/>
        <v>0</v>
      </c>
    </row>
    <row r="291" spans="1:31">
      <c r="A291" s="197">
        <f t="shared" si="15"/>
        <v>45671</v>
      </c>
      <c r="B291" s="167">
        <f>YEAR(Table7[[#This Row],[Date]])+IF(MONTH(Table7[[#This Row],[Date]])&gt;=4,1,0)</f>
        <v>2025</v>
      </c>
      <c r="C291" s="167">
        <f>YEAR(Table7[[#This Row],[Date]])</f>
        <v>2025</v>
      </c>
      <c r="D291" s="168">
        <f t="shared" si="13"/>
        <v>45658</v>
      </c>
      <c r="AE291" s="167">
        <f t="shared" si="14"/>
        <v>0</v>
      </c>
    </row>
    <row r="292" spans="1:31">
      <c r="A292" s="197">
        <f t="shared" si="15"/>
        <v>45672</v>
      </c>
      <c r="B292" s="167">
        <f>YEAR(Table7[[#This Row],[Date]])+IF(MONTH(Table7[[#This Row],[Date]])&gt;=4,1,0)</f>
        <v>2025</v>
      </c>
      <c r="C292" s="167">
        <f>YEAR(Table7[[#This Row],[Date]])</f>
        <v>2025</v>
      </c>
      <c r="D292" s="168">
        <f t="shared" si="13"/>
        <v>45658</v>
      </c>
      <c r="AE292" s="167">
        <f t="shared" si="14"/>
        <v>0</v>
      </c>
    </row>
    <row r="293" spans="1:31">
      <c r="A293" s="197">
        <f t="shared" si="15"/>
        <v>45673</v>
      </c>
      <c r="B293" s="167">
        <f>YEAR(Table7[[#This Row],[Date]])+IF(MONTH(Table7[[#This Row],[Date]])&gt;=4,1,0)</f>
        <v>2025</v>
      </c>
      <c r="C293" s="167">
        <f>YEAR(Table7[[#This Row],[Date]])</f>
        <v>2025</v>
      </c>
      <c r="D293" s="168">
        <f t="shared" si="13"/>
        <v>45658</v>
      </c>
      <c r="AE293" s="167">
        <f t="shared" si="14"/>
        <v>0</v>
      </c>
    </row>
    <row r="294" spans="1:31">
      <c r="A294" s="197">
        <f t="shared" si="15"/>
        <v>45674</v>
      </c>
      <c r="B294" s="167">
        <f>YEAR(Table7[[#This Row],[Date]])+IF(MONTH(Table7[[#This Row],[Date]])&gt;=4,1,0)</f>
        <v>2025</v>
      </c>
      <c r="C294" s="167">
        <f>YEAR(Table7[[#This Row],[Date]])</f>
        <v>2025</v>
      </c>
      <c r="D294" s="168">
        <f t="shared" si="13"/>
        <v>45658</v>
      </c>
      <c r="AE294" s="167">
        <f t="shared" si="14"/>
        <v>0</v>
      </c>
    </row>
    <row r="295" spans="1:31">
      <c r="A295" s="197">
        <f t="shared" si="15"/>
        <v>45675</v>
      </c>
      <c r="B295" s="167">
        <f>YEAR(Table7[[#This Row],[Date]])+IF(MONTH(Table7[[#This Row],[Date]])&gt;=4,1,0)</f>
        <v>2025</v>
      </c>
      <c r="C295" s="167">
        <f>YEAR(Table7[[#This Row],[Date]])</f>
        <v>2025</v>
      </c>
      <c r="D295" s="168">
        <f t="shared" si="13"/>
        <v>45658</v>
      </c>
      <c r="AE295" s="167">
        <f t="shared" si="14"/>
        <v>0</v>
      </c>
    </row>
    <row r="296" spans="1:31">
      <c r="A296" s="197">
        <f t="shared" si="15"/>
        <v>45676</v>
      </c>
      <c r="B296" s="167">
        <f>YEAR(Table7[[#This Row],[Date]])+IF(MONTH(Table7[[#This Row],[Date]])&gt;=4,1,0)</f>
        <v>2025</v>
      </c>
      <c r="C296" s="167">
        <f>YEAR(Table7[[#This Row],[Date]])</f>
        <v>2025</v>
      </c>
      <c r="D296" s="168">
        <f t="shared" si="13"/>
        <v>45658</v>
      </c>
      <c r="AE296" s="167">
        <f t="shared" si="14"/>
        <v>0</v>
      </c>
    </row>
    <row r="297" spans="1:31">
      <c r="A297" s="197">
        <f t="shared" si="15"/>
        <v>45677</v>
      </c>
      <c r="B297" s="167">
        <f>YEAR(Table7[[#This Row],[Date]])+IF(MONTH(Table7[[#This Row],[Date]])&gt;=4,1,0)</f>
        <v>2025</v>
      </c>
      <c r="C297" s="167">
        <f>YEAR(Table7[[#This Row],[Date]])</f>
        <v>2025</v>
      </c>
      <c r="D297" s="168">
        <f t="shared" si="13"/>
        <v>45658</v>
      </c>
      <c r="AE297" s="167">
        <f t="shared" si="14"/>
        <v>0</v>
      </c>
    </row>
    <row r="298" spans="1:31">
      <c r="A298" s="197">
        <f t="shared" si="15"/>
        <v>45678</v>
      </c>
      <c r="B298" s="167">
        <f>YEAR(Table7[[#This Row],[Date]])+IF(MONTH(Table7[[#This Row],[Date]])&gt;=4,1,0)</f>
        <v>2025</v>
      </c>
      <c r="C298" s="167">
        <f>YEAR(Table7[[#This Row],[Date]])</f>
        <v>2025</v>
      </c>
      <c r="D298" s="168">
        <f t="shared" si="13"/>
        <v>45658</v>
      </c>
      <c r="AE298" s="167">
        <f t="shared" si="14"/>
        <v>0</v>
      </c>
    </row>
    <row r="299" spans="1:31">
      <c r="A299" s="197">
        <f t="shared" si="15"/>
        <v>45679</v>
      </c>
      <c r="B299" s="167">
        <f>YEAR(Table7[[#This Row],[Date]])+IF(MONTH(Table7[[#This Row],[Date]])&gt;=4,1,0)</f>
        <v>2025</v>
      </c>
      <c r="C299" s="167">
        <f>YEAR(Table7[[#This Row],[Date]])</f>
        <v>2025</v>
      </c>
      <c r="D299" s="168">
        <f t="shared" si="13"/>
        <v>45658</v>
      </c>
      <c r="AE299" s="167">
        <f t="shared" si="14"/>
        <v>0</v>
      </c>
    </row>
    <row r="300" spans="1:31">
      <c r="A300" s="197">
        <f t="shared" si="15"/>
        <v>45680</v>
      </c>
      <c r="B300" s="167">
        <f>YEAR(Table7[[#This Row],[Date]])+IF(MONTH(Table7[[#This Row],[Date]])&gt;=4,1,0)</f>
        <v>2025</v>
      </c>
      <c r="C300" s="167">
        <f>YEAR(Table7[[#This Row],[Date]])</f>
        <v>2025</v>
      </c>
      <c r="D300" s="168">
        <f t="shared" si="13"/>
        <v>45658</v>
      </c>
      <c r="AE300" s="167">
        <f t="shared" si="14"/>
        <v>0</v>
      </c>
    </row>
    <row r="301" spans="1:31">
      <c r="A301" s="197">
        <f t="shared" si="15"/>
        <v>45681</v>
      </c>
      <c r="B301" s="167">
        <f>YEAR(Table7[[#This Row],[Date]])+IF(MONTH(Table7[[#This Row],[Date]])&gt;=4,1,0)</f>
        <v>2025</v>
      </c>
      <c r="C301" s="167">
        <f>YEAR(Table7[[#This Row],[Date]])</f>
        <v>2025</v>
      </c>
      <c r="D301" s="168">
        <f t="shared" si="13"/>
        <v>45658</v>
      </c>
      <c r="AE301" s="167">
        <f t="shared" si="14"/>
        <v>0</v>
      </c>
    </row>
    <row r="302" spans="1:31">
      <c r="A302" s="197">
        <f t="shared" si="15"/>
        <v>45682</v>
      </c>
      <c r="B302" s="167">
        <f>YEAR(Table7[[#This Row],[Date]])+IF(MONTH(Table7[[#This Row],[Date]])&gt;=4,1,0)</f>
        <v>2025</v>
      </c>
      <c r="C302" s="167">
        <f>YEAR(Table7[[#This Row],[Date]])</f>
        <v>2025</v>
      </c>
      <c r="D302" s="168">
        <f t="shared" si="13"/>
        <v>45658</v>
      </c>
      <c r="AE302" s="167">
        <f t="shared" si="14"/>
        <v>0</v>
      </c>
    </row>
    <row r="303" spans="1:31">
      <c r="A303" s="197">
        <f t="shared" si="15"/>
        <v>45683</v>
      </c>
      <c r="B303" s="167">
        <f>YEAR(Table7[[#This Row],[Date]])+IF(MONTH(Table7[[#This Row],[Date]])&gt;=4,1,0)</f>
        <v>2025</v>
      </c>
      <c r="C303" s="167">
        <f>YEAR(Table7[[#This Row],[Date]])</f>
        <v>2025</v>
      </c>
      <c r="D303" s="168">
        <f t="shared" si="13"/>
        <v>45658</v>
      </c>
      <c r="AE303" s="167">
        <f t="shared" si="14"/>
        <v>0</v>
      </c>
    </row>
    <row r="304" spans="1:31">
      <c r="A304" s="197">
        <f t="shared" si="15"/>
        <v>45684</v>
      </c>
      <c r="B304" s="167">
        <f>YEAR(Table7[[#This Row],[Date]])+IF(MONTH(Table7[[#This Row],[Date]])&gt;=4,1,0)</f>
        <v>2025</v>
      </c>
      <c r="C304" s="167">
        <f>YEAR(Table7[[#This Row],[Date]])</f>
        <v>2025</v>
      </c>
      <c r="D304" s="168">
        <f t="shared" si="13"/>
        <v>45658</v>
      </c>
      <c r="AE304" s="167">
        <f t="shared" si="14"/>
        <v>0</v>
      </c>
    </row>
    <row r="305" spans="1:31">
      <c r="A305" s="197">
        <f t="shared" si="15"/>
        <v>45685</v>
      </c>
      <c r="B305" s="167">
        <f>YEAR(Table7[[#This Row],[Date]])+IF(MONTH(Table7[[#This Row],[Date]])&gt;=4,1,0)</f>
        <v>2025</v>
      </c>
      <c r="C305" s="167">
        <f>YEAR(Table7[[#This Row],[Date]])</f>
        <v>2025</v>
      </c>
      <c r="D305" s="168">
        <f t="shared" si="13"/>
        <v>45658</v>
      </c>
      <c r="AE305" s="167">
        <f t="shared" si="14"/>
        <v>0</v>
      </c>
    </row>
    <row r="306" spans="1:31">
      <c r="A306" s="197">
        <f t="shared" si="15"/>
        <v>45686</v>
      </c>
      <c r="B306" s="167">
        <f>YEAR(Table7[[#This Row],[Date]])+IF(MONTH(Table7[[#This Row],[Date]])&gt;=4,1,0)</f>
        <v>2025</v>
      </c>
      <c r="C306" s="167">
        <f>YEAR(Table7[[#This Row],[Date]])</f>
        <v>2025</v>
      </c>
      <c r="D306" s="168">
        <f t="shared" si="13"/>
        <v>45658</v>
      </c>
      <c r="AE306" s="167">
        <f t="shared" si="14"/>
        <v>0</v>
      </c>
    </row>
    <row r="307" spans="1:31">
      <c r="A307" s="197">
        <f t="shared" si="15"/>
        <v>45687</v>
      </c>
      <c r="B307" s="167">
        <f>YEAR(Table7[[#This Row],[Date]])+IF(MONTH(Table7[[#This Row],[Date]])&gt;=4,1,0)</f>
        <v>2025</v>
      </c>
      <c r="C307" s="167">
        <f>YEAR(Table7[[#This Row],[Date]])</f>
        <v>2025</v>
      </c>
      <c r="D307" s="168">
        <f t="shared" si="13"/>
        <v>45658</v>
      </c>
      <c r="AE307" s="167">
        <f t="shared" si="14"/>
        <v>0</v>
      </c>
    </row>
    <row r="308" spans="1:31">
      <c r="A308" s="197">
        <f t="shared" si="15"/>
        <v>45688</v>
      </c>
      <c r="B308" s="167">
        <f>YEAR(Table7[[#This Row],[Date]])+IF(MONTH(Table7[[#This Row],[Date]])&gt;=4,1,0)</f>
        <v>2025</v>
      </c>
      <c r="C308" s="167">
        <f>YEAR(Table7[[#This Row],[Date]])</f>
        <v>2025</v>
      </c>
      <c r="D308" s="168">
        <f t="shared" si="13"/>
        <v>45658</v>
      </c>
      <c r="AE308" s="167">
        <f t="shared" si="14"/>
        <v>0</v>
      </c>
    </row>
    <row r="309" spans="1:31">
      <c r="A309" s="197">
        <f t="shared" si="15"/>
        <v>45689</v>
      </c>
      <c r="B309" s="167">
        <f>YEAR(Table7[[#This Row],[Date]])+IF(MONTH(Table7[[#This Row],[Date]])&gt;=4,1,0)</f>
        <v>2025</v>
      </c>
      <c r="C309" s="167">
        <f>YEAR(Table7[[#This Row],[Date]])</f>
        <v>2025</v>
      </c>
      <c r="D309" s="168">
        <f t="shared" si="13"/>
        <v>45689</v>
      </c>
      <c r="AE309" s="167">
        <f t="shared" si="14"/>
        <v>0</v>
      </c>
    </row>
    <row r="310" spans="1:31">
      <c r="A310" s="197">
        <f t="shared" si="15"/>
        <v>45690</v>
      </c>
      <c r="B310" s="167">
        <f>YEAR(Table7[[#This Row],[Date]])+IF(MONTH(Table7[[#This Row],[Date]])&gt;=4,1,0)</f>
        <v>2025</v>
      </c>
      <c r="C310" s="167">
        <f>YEAR(Table7[[#This Row],[Date]])</f>
        <v>2025</v>
      </c>
      <c r="D310" s="168">
        <f t="shared" si="13"/>
        <v>45689</v>
      </c>
      <c r="AE310" s="167">
        <f t="shared" si="14"/>
        <v>0</v>
      </c>
    </row>
    <row r="311" spans="1:31">
      <c r="A311" s="197">
        <f t="shared" si="15"/>
        <v>45691</v>
      </c>
      <c r="B311" s="167">
        <f>YEAR(Table7[[#This Row],[Date]])+IF(MONTH(Table7[[#This Row],[Date]])&gt;=4,1,0)</f>
        <v>2025</v>
      </c>
      <c r="C311" s="167">
        <f>YEAR(Table7[[#This Row],[Date]])</f>
        <v>2025</v>
      </c>
      <c r="D311" s="168">
        <f t="shared" si="13"/>
        <v>45689</v>
      </c>
      <c r="AE311" s="167">
        <f t="shared" si="14"/>
        <v>0</v>
      </c>
    </row>
    <row r="312" spans="1:31">
      <c r="A312" s="197">
        <f t="shared" si="15"/>
        <v>45692</v>
      </c>
      <c r="B312" s="167">
        <f>YEAR(Table7[[#This Row],[Date]])+IF(MONTH(Table7[[#This Row],[Date]])&gt;=4,1,0)</f>
        <v>2025</v>
      </c>
      <c r="C312" s="167">
        <f>YEAR(Table7[[#This Row],[Date]])</f>
        <v>2025</v>
      </c>
      <c r="D312" s="168">
        <f t="shared" si="13"/>
        <v>45689</v>
      </c>
      <c r="AE312" s="167">
        <f t="shared" si="14"/>
        <v>0</v>
      </c>
    </row>
    <row r="313" spans="1:31">
      <c r="A313" s="197">
        <f t="shared" si="15"/>
        <v>45693</v>
      </c>
      <c r="B313" s="167">
        <f>YEAR(Table7[[#This Row],[Date]])+IF(MONTH(Table7[[#This Row],[Date]])&gt;=4,1,0)</f>
        <v>2025</v>
      </c>
      <c r="C313" s="167">
        <f>YEAR(Table7[[#This Row],[Date]])</f>
        <v>2025</v>
      </c>
      <c r="D313" s="168">
        <f t="shared" si="13"/>
        <v>45689</v>
      </c>
      <c r="AE313" s="167">
        <f t="shared" si="14"/>
        <v>0</v>
      </c>
    </row>
    <row r="314" spans="1:31">
      <c r="A314" s="197">
        <f t="shared" si="15"/>
        <v>45694</v>
      </c>
      <c r="B314" s="167">
        <f>YEAR(Table7[[#This Row],[Date]])+IF(MONTH(Table7[[#This Row],[Date]])&gt;=4,1,0)</f>
        <v>2025</v>
      </c>
      <c r="C314" s="167">
        <f>YEAR(Table7[[#This Row],[Date]])</f>
        <v>2025</v>
      </c>
      <c r="D314" s="168">
        <f t="shared" si="13"/>
        <v>45689</v>
      </c>
      <c r="AE314" s="167">
        <f t="shared" si="14"/>
        <v>0</v>
      </c>
    </row>
    <row r="315" spans="1:31">
      <c r="A315" s="197">
        <f t="shared" si="15"/>
        <v>45695</v>
      </c>
      <c r="B315" s="167">
        <f>YEAR(Table7[[#This Row],[Date]])+IF(MONTH(Table7[[#This Row],[Date]])&gt;=4,1,0)</f>
        <v>2025</v>
      </c>
      <c r="C315" s="167">
        <f>YEAR(Table7[[#This Row],[Date]])</f>
        <v>2025</v>
      </c>
      <c r="D315" s="168">
        <f t="shared" si="13"/>
        <v>45689</v>
      </c>
      <c r="AE315" s="167">
        <f t="shared" si="14"/>
        <v>0</v>
      </c>
    </row>
    <row r="316" spans="1:31">
      <c r="A316" s="197">
        <f t="shared" si="15"/>
        <v>45696</v>
      </c>
      <c r="B316" s="167">
        <f>YEAR(Table7[[#This Row],[Date]])+IF(MONTH(Table7[[#This Row],[Date]])&gt;=4,1,0)</f>
        <v>2025</v>
      </c>
      <c r="C316" s="167">
        <f>YEAR(Table7[[#This Row],[Date]])</f>
        <v>2025</v>
      </c>
      <c r="D316" s="168">
        <f t="shared" si="13"/>
        <v>45689</v>
      </c>
      <c r="AE316" s="167">
        <f t="shared" si="14"/>
        <v>0</v>
      </c>
    </row>
    <row r="317" spans="1:31">
      <c r="A317" s="197">
        <f t="shared" si="15"/>
        <v>45697</v>
      </c>
      <c r="B317" s="167">
        <f>YEAR(Table7[[#This Row],[Date]])+IF(MONTH(Table7[[#This Row],[Date]])&gt;=4,1,0)</f>
        <v>2025</v>
      </c>
      <c r="C317" s="167">
        <f>YEAR(Table7[[#This Row],[Date]])</f>
        <v>2025</v>
      </c>
      <c r="D317" s="168">
        <f t="shared" si="13"/>
        <v>45689</v>
      </c>
      <c r="AE317" s="167">
        <f t="shared" si="14"/>
        <v>0</v>
      </c>
    </row>
    <row r="318" spans="1:31">
      <c r="A318" s="197">
        <f t="shared" si="15"/>
        <v>45698</v>
      </c>
      <c r="B318" s="167">
        <f>YEAR(Table7[[#This Row],[Date]])+IF(MONTH(Table7[[#This Row],[Date]])&gt;=4,1,0)</f>
        <v>2025</v>
      </c>
      <c r="C318" s="167">
        <f>YEAR(Table7[[#This Row],[Date]])</f>
        <v>2025</v>
      </c>
      <c r="D318" s="168">
        <f t="shared" si="13"/>
        <v>45689</v>
      </c>
      <c r="AE318" s="167">
        <f t="shared" si="14"/>
        <v>0</v>
      </c>
    </row>
    <row r="319" spans="1:31">
      <c r="A319" s="197">
        <f t="shared" si="15"/>
        <v>45699</v>
      </c>
      <c r="B319" s="167">
        <f>YEAR(Table7[[#This Row],[Date]])+IF(MONTH(Table7[[#This Row],[Date]])&gt;=4,1,0)</f>
        <v>2025</v>
      </c>
      <c r="C319" s="167">
        <f>YEAR(Table7[[#This Row],[Date]])</f>
        <v>2025</v>
      </c>
      <c r="D319" s="168">
        <f t="shared" si="13"/>
        <v>45689</v>
      </c>
      <c r="AE319" s="167">
        <f t="shared" si="14"/>
        <v>0</v>
      </c>
    </row>
    <row r="320" spans="1:31">
      <c r="A320" s="197">
        <f t="shared" si="15"/>
        <v>45700</v>
      </c>
      <c r="B320" s="167">
        <f>YEAR(Table7[[#This Row],[Date]])+IF(MONTH(Table7[[#This Row],[Date]])&gt;=4,1,0)</f>
        <v>2025</v>
      </c>
      <c r="C320" s="167">
        <f>YEAR(Table7[[#This Row],[Date]])</f>
        <v>2025</v>
      </c>
      <c r="D320" s="168">
        <f t="shared" si="13"/>
        <v>45689</v>
      </c>
      <c r="AE320" s="167">
        <f t="shared" si="14"/>
        <v>0</v>
      </c>
    </row>
    <row r="321" spans="1:31">
      <c r="A321" s="197">
        <f t="shared" si="15"/>
        <v>45701</v>
      </c>
      <c r="B321" s="167">
        <f>YEAR(Table7[[#This Row],[Date]])+IF(MONTH(Table7[[#This Row],[Date]])&gt;=4,1,0)</f>
        <v>2025</v>
      </c>
      <c r="C321" s="167">
        <f>YEAR(Table7[[#This Row],[Date]])</f>
        <v>2025</v>
      </c>
      <c r="D321" s="168">
        <f t="shared" si="13"/>
        <v>45689</v>
      </c>
      <c r="AE321" s="167">
        <f t="shared" si="14"/>
        <v>0</v>
      </c>
    </row>
    <row r="322" spans="1:31">
      <c r="A322" s="197">
        <f t="shared" si="15"/>
        <v>45702</v>
      </c>
      <c r="B322" s="167">
        <f>YEAR(Table7[[#This Row],[Date]])+IF(MONTH(Table7[[#This Row],[Date]])&gt;=4,1,0)</f>
        <v>2025</v>
      </c>
      <c r="C322" s="167">
        <f>YEAR(Table7[[#This Row],[Date]])</f>
        <v>2025</v>
      </c>
      <c r="D322" s="168">
        <f t="shared" si="13"/>
        <v>45689</v>
      </c>
      <c r="AE322" s="167">
        <f t="shared" si="14"/>
        <v>0</v>
      </c>
    </row>
    <row r="323" spans="1:31">
      <c r="A323" s="197">
        <f t="shared" si="15"/>
        <v>45703</v>
      </c>
      <c r="B323" s="167">
        <f>YEAR(Table7[[#This Row],[Date]])+IF(MONTH(Table7[[#This Row],[Date]])&gt;=4,1,0)</f>
        <v>2025</v>
      </c>
      <c r="C323" s="167">
        <f>YEAR(Table7[[#This Row],[Date]])</f>
        <v>2025</v>
      </c>
      <c r="D323" s="168">
        <f t="shared" ref="D323:D386" si="16">A323-DAY(A323)+1</f>
        <v>45689</v>
      </c>
      <c r="AE323" s="167">
        <f t="shared" ref="AE323:AE386" si="17">SUM(E323:AD323)</f>
        <v>0</v>
      </c>
    </row>
    <row r="324" spans="1:31">
      <c r="A324" s="197">
        <f t="shared" si="15"/>
        <v>45704</v>
      </c>
      <c r="B324" s="167">
        <f>YEAR(Table7[[#This Row],[Date]])+IF(MONTH(Table7[[#This Row],[Date]])&gt;=4,1,0)</f>
        <v>2025</v>
      </c>
      <c r="C324" s="167">
        <f>YEAR(Table7[[#This Row],[Date]])</f>
        <v>2025</v>
      </c>
      <c r="D324" s="168">
        <f t="shared" si="16"/>
        <v>45689</v>
      </c>
      <c r="AE324" s="167">
        <f t="shared" si="17"/>
        <v>0</v>
      </c>
    </row>
    <row r="325" spans="1:31">
      <c r="A325" s="197">
        <f t="shared" ref="A325:A388" si="18">A324+1</f>
        <v>45705</v>
      </c>
      <c r="B325" s="167">
        <f>YEAR(Table7[[#This Row],[Date]])+IF(MONTH(Table7[[#This Row],[Date]])&gt;=4,1,0)</f>
        <v>2025</v>
      </c>
      <c r="C325" s="167">
        <f>YEAR(Table7[[#This Row],[Date]])</f>
        <v>2025</v>
      </c>
      <c r="D325" s="168">
        <f t="shared" si="16"/>
        <v>45689</v>
      </c>
      <c r="AE325" s="167">
        <f t="shared" si="17"/>
        <v>0</v>
      </c>
    </row>
    <row r="326" spans="1:31">
      <c r="A326" s="197">
        <f t="shared" si="18"/>
        <v>45706</v>
      </c>
      <c r="B326" s="167">
        <f>YEAR(Table7[[#This Row],[Date]])+IF(MONTH(Table7[[#This Row],[Date]])&gt;=4,1,0)</f>
        <v>2025</v>
      </c>
      <c r="C326" s="167">
        <f>YEAR(Table7[[#This Row],[Date]])</f>
        <v>2025</v>
      </c>
      <c r="D326" s="168">
        <f t="shared" si="16"/>
        <v>45689</v>
      </c>
      <c r="AE326" s="167">
        <f t="shared" si="17"/>
        <v>0</v>
      </c>
    </row>
    <row r="327" spans="1:31">
      <c r="A327" s="197">
        <f t="shared" si="18"/>
        <v>45707</v>
      </c>
      <c r="B327" s="167">
        <f>YEAR(Table7[[#This Row],[Date]])+IF(MONTH(Table7[[#This Row],[Date]])&gt;=4,1,0)</f>
        <v>2025</v>
      </c>
      <c r="C327" s="167">
        <f>YEAR(Table7[[#This Row],[Date]])</f>
        <v>2025</v>
      </c>
      <c r="D327" s="168">
        <f t="shared" si="16"/>
        <v>45689</v>
      </c>
      <c r="AE327" s="167">
        <f t="shared" si="17"/>
        <v>0</v>
      </c>
    </row>
    <row r="328" spans="1:31">
      <c r="A328" s="197">
        <f t="shared" si="18"/>
        <v>45708</v>
      </c>
      <c r="B328" s="167">
        <f>YEAR(Table7[[#This Row],[Date]])+IF(MONTH(Table7[[#This Row],[Date]])&gt;=4,1,0)</f>
        <v>2025</v>
      </c>
      <c r="C328" s="167">
        <f>YEAR(Table7[[#This Row],[Date]])</f>
        <v>2025</v>
      </c>
      <c r="D328" s="168">
        <f t="shared" si="16"/>
        <v>45689</v>
      </c>
      <c r="AE328" s="167">
        <f t="shared" si="17"/>
        <v>0</v>
      </c>
    </row>
    <row r="329" spans="1:31">
      <c r="A329" s="197">
        <f t="shared" si="18"/>
        <v>45709</v>
      </c>
      <c r="B329" s="167">
        <f>YEAR(Table7[[#This Row],[Date]])+IF(MONTH(Table7[[#This Row],[Date]])&gt;=4,1,0)</f>
        <v>2025</v>
      </c>
      <c r="C329" s="167">
        <f>YEAR(Table7[[#This Row],[Date]])</f>
        <v>2025</v>
      </c>
      <c r="D329" s="168">
        <f t="shared" si="16"/>
        <v>45689</v>
      </c>
      <c r="AE329" s="167">
        <f t="shared" si="17"/>
        <v>0</v>
      </c>
    </row>
    <row r="330" spans="1:31">
      <c r="A330" s="197">
        <f t="shared" si="18"/>
        <v>45710</v>
      </c>
      <c r="B330" s="167">
        <f>YEAR(Table7[[#This Row],[Date]])+IF(MONTH(Table7[[#This Row],[Date]])&gt;=4,1,0)</f>
        <v>2025</v>
      </c>
      <c r="C330" s="167">
        <f>YEAR(Table7[[#This Row],[Date]])</f>
        <v>2025</v>
      </c>
      <c r="D330" s="168">
        <f t="shared" si="16"/>
        <v>45689</v>
      </c>
      <c r="AE330" s="167">
        <f t="shared" si="17"/>
        <v>0</v>
      </c>
    </row>
    <row r="331" spans="1:31">
      <c r="A331" s="197">
        <f t="shared" si="18"/>
        <v>45711</v>
      </c>
      <c r="B331" s="167">
        <f>YEAR(Table7[[#This Row],[Date]])+IF(MONTH(Table7[[#This Row],[Date]])&gt;=4,1,0)</f>
        <v>2025</v>
      </c>
      <c r="C331" s="167">
        <f>YEAR(Table7[[#This Row],[Date]])</f>
        <v>2025</v>
      </c>
      <c r="D331" s="168">
        <f t="shared" si="16"/>
        <v>45689</v>
      </c>
      <c r="AE331" s="167">
        <f t="shared" si="17"/>
        <v>0</v>
      </c>
    </row>
    <row r="332" spans="1:31">
      <c r="A332" s="197">
        <f t="shared" si="18"/>
        <v>45712</v>
      </c>
      <c r="B332" s="167">
        <f>YEAR(Table7[[#This Row],[Date]])+IF(MONTH(Table7[[#This Row],[Date]])&gt;=4,1,0)</f>
        <v>2025</v>
      </c>
      <c r="C332" s="167">
        <f>YEAR(Table7[[#This Row],[Date]])</f>
        <v>2025</v>
      </c>
      <c r="D332" s="168">
        <f t="shared" si="16"/>
        <v>45689</v>
      </c>
      <c r="AE332" s="167">
        <f t="shared" si="17"/>
        <v>0</v>
      </c>
    </row>
    <row r="333" spans="1:31">
      <c r="A333" s="197">
        <f t="shared" si="18"/>
        <v>45713</v>
      </c>
      <c r="B333" s="167">
        <f>YEAR(Table7[[#This Row],[Date]])+IF(MONTH(Table7[[#This Row],[Date]])&gt;=4,1,0)</f>
        <v>2025</v>
      </c>
      <c r="C333" s="167">
        <f>YEAR(Table7[[#This Row],[Date]])</f>
        <v>2025</v>
      </c>
      <c r="D333" s="168">
        <f t="shared" si="16"/>
        <v>45689</v>
      </c>
      <c r="AE333" s="167">
        <f t="shared" si="17"/>
        <v>0</v>
      </c>
    </row>
    <row r="334" spans="1:31">
      <c r="A334" s="197">
        <f t="shared" si="18"/>
        <v>45714</v>
      </c>
      <c r="B334" s="167">
        <f>YEAR(Table7[[#This Row],[Date]])+IF(MONTH(Table7[[#This Row],[Date]])&gt;=4,1,0)</f>
        <v>2025</v>
      </c>
      <c r="C334" s="167">
        <f>YEAR(Table7[[#This Row],[Date]])</f>
        <v>2025</v>
      </c>
      <c r="D334" s="168">
        <f t="shared" si="16"/>
        <v>45689</v>
      </c>
      <c r="AE334" s="167">
        <f t="shared" si="17"/>
        <v>0</v>
      </c>
    </row>
    <row r="335" spans="1:31">
      <c r="A335" s="197">
        <f t="shared" si="18"/>
        <v>45715</v>
      </c>
      <c r="B335" s="167">
        <f>YEAR(Table7[[#This Row],[Date]])+IF(MONTH(Table7[[#This Row],[Date]])&gt;=4,1,0)</f>
        <v>2025</v>
      </c>
      <c r="C335" s="167">
        <f>YEAR(Table7[[#This Row],[Date]])</f>
        <v>2025</v>
      </c>
      <c r="D335" s="168">
        <f t="shared" si="16"/>
        <v>45689</v>
      </c>
      <c r="AE335" s="167">
        <f t="shared" si="17"/>
        <v>0</v>
      </c>
    </row>
    <row r="336" spans="1:31">
      <c r="A336" s="197">
        <f t="shared" si="18"/>
        <v>45716</v>
      </c>
      <c r="B336" s="167">
        <f>YEAR(Table7[[#This Row],[Date]])+IF(MONTH(Table7[[#This Row],[Date]])&gt;=4,1,0)</f>
        <v>2025</v>
      </c>
      <c r="C336" s="167">
        <f>YEAR(Table7[[#This Row],[Date]])</f>
        <v>2025</v>
      </c>
      <c r="D336" s="168">
        <f t="shared" si="16"/>
        <v>45689</v>
      </c>
      <c r="AE336" s="167">
        <f t="shared" si="17"/>
        <v>0</v>
      </c>
    </row>
    <row r="337" spans="1:31">
      <c r="A337" s="197">
        <f t="shared" si="18"/>
        <v>45717</v>
      </c>
      <c r="B337" s="167">
        <f>YEAR(Table7[[#This Row],[Date]])+IF(MONTH(Table7[[#This Row],[Date]])&gt;=4,1,0)</f>
        <v>2025</v>
      </c>
      <c r="C337" s="167">
        <f>YEAR(Table7[[#This Row],[Date]])</f>
        <v>2025</v>
      </c>
      <c r="D337" s="168">
        <f t="shared" si="16"/>
        <v>45717</v>
      </c>
      <c r="AE337" s="167">
        <f t="shared" si="17"/>
        <v>0</v>
      </c>
    </row>
    <row r="338" spans="1:31">
      <c r="A338" s="197">
        <f t="shared" si="18"/>
        <v>45718</v>
      </c>
      <c r="B338" s="167">
        <f>YEAR(Table7[[#This Row],[Date]])+IF(MONTH(Table7[[#This Row],[Date]])&gt;=4,1,0)</f>
        <v>2025</v>
      </c>
      <c r="C338" s="167">
        <f>YEAR(Table7[[#This Row],[Date]])</f>
        <v>2025</v>
      </c>
      <c r="D338" s="168">
        <f t="shared" si="16"/>
        <v>45717</v>
      </c>
      <c r="AE338" s="167">
        <f t="shared" si="17"/>
        <v>0</v>
      </c>
    </row>
    <row r="339" spans="1:31">
      <c r="A339" s="197">
        <f t="shared" si="18"/>
        <v>45719</v>
      </c>
      <c r="B339" s="167">
        <f>YEAR(Table7[[#This Row],[Date]])+IF(MONTH(Table7[[#This Row],[Date]])&gt;=4,1,0)</f>
        <v>2025</v>
      </c>
      <c r="C339" s="167">
        <f>YEAR(Table7[[#This Row],[Date]])</f>
        <v>2025</v>
      </c>
      <c r="D339" s="168">
        <f t="shared" si="16"/>
        <v>45717</v>
      </c>
      <c r="AE339" s="167">
        <f t="shared" si="17"/>
        <v>0</v>
      </c>
    </row>
    <row r="340" spans="1:31">
      <c r="A340" s="197">
        <f t="shared" si="18"/>
        <v>45720</v>
      </c>
      <c r="B340" s="167">
        <f>YEAR(Table7[[#This Row],[Date]])+IF(MONTH(Table7[[#This Row],[Date]])&gt;=4,1,0)</f>
        <v>2025</v>
      </c>
      <c r="C340" s="167">
        <f>YEAR(Table7[[#This Row],[Date]])</f>
        <v>2025</v>
      </c>
      <c r="D340" s="168">
        <f t="shared" si="16"/>
        <v>45717</v>
      </c>
      <c r="AE340" s="167">
        <f t="shared" si="17"/>
        <v>0</v>
      </c>
    </row>
    <row r="341" spans="1:31">
      <c r="A341" s="197">
        <f t="shared" si="18"/>
        <v>45721</v>
      </c>
      <c r="B341" s="167">
        <f>YEAR(Table7[[#This Row],[Date]])+IF(MONTH(Table7[[#This Row],[Date]])&gt;=4,1,0)</f>
        <v>2025</v>
      </c>
      <c r="C341" s="167">
        <f>YEAR(Table7[[#This Row],[Date]])</f>
        <v>2025</v>
      </c>
      <c r="D341" s="168">
        <f t="shared" si="16"/>
        <v>45717</v>
      </c>
      <c r="AE341" s="167">
        <f t="shared" si="17"/>
        <v>0</v>
      </c>
    </row>
    <row r="342" spans="1:31">
      <c r="A342" s="197">
        <f t="shared" si="18"/>
        <v>45722</v>
      </c>
      <c r="B342" s="167">
        <f>YEAR(Table7[[#This Row],[Date]])+IF(MONTH(Table7[[#This Row],[Date]])&gt;=4,1,0)</f>
        <v>2025</v>
      </c>
      <c r="C342" s="167">
        <f>YEAR(Table7[[#This Row],[Date]])</f>
        <v>2025</v>
      </c>
      <c r="D342" s="168">
        <f t="shared" si="16"/>
        <v>45717</v>
      </c>
      <c r="AE342" s="167">
        <f t="shared" si="17"/>
        <v>0</v>
      </c>
    </row>
    <row r="343" spans="1:31">
      <c r="A343" s="197">
        <f t="shared" si="18"/>
        <v>45723</v>
      </c>
      <c r="B343" s="167">
        <f>YEAR(Table7[[#This Row],[Date]])+IF(MONTH(Table7[[#This Row],[Date]])&gt;=4,1,0)</f>
        <v>2025</v>
      </c>
      <c r="C343" s="167">
        <f>YEAR(Table7[[#This Row],[Date]])</f>
        <v>2025</v>
      </c>
      <c r="D343" s="168">
        <f t="shared" si="16"/>
        <v>45717</v>
      </c>
      <c r="AE343" s="167">
        <f t="shared" si="17"/>
        <v>0</v>
      </c>
    </row>
    <row r="344" spans="1:31">
      <c r="A344" s="197">
        <f t="shared" si="18"/>
        <v>45724</v>
      </c>
      <c r="B344" s="167">
        <f>YEAR(Table7[[#This Row],[Date]])+IF(MONTH(Table7[[#This Row],[Date]])&gt;=4,1,0)</f>
        <v>2025</v>
      </c>
      <c r="C344" s="167">
        <f>YEAR(Table7[[#This Row],[Date]])</f>
        <v>2025</v>
      </c>
      <c r="D344" s="168">
        <f t="shared" si="16"/>
        <v>45717</v>
      </c>
      <c r="AE344" s="167">
        <f t="shared" si="17"/>
        <v>0</v>
      </c>
    </row>
    <row r="345" spans="1:31">
      <c r="A345" s="197">
        <f t="shared" si="18"/>
        <v>45725</v>
      </c>
      <c r="B345" s="167">
        <f>YEAR(Table7[[#This Row],[Date]])+IF(MONTH(Table7[[#This Row],[Date]])&gt;=4,1,0)</f>
        <v>2025</v>
      </c>
      <c r="C345" s="167">
        <f>YEAR(Table7[[#This Row],[Date]])</f>
        <v>2025</v>
      </c>
      <c r="D345" s="168">
        <f t="shared" si="16"/>
        <v>45717</v>
      </c>
      <c r="AE345" s="167">
        <f t="shared" si="17"/>
        <v>0</v>
      </c>
    </row>
    <row r="346" spans="1:31">
      <c r="A346" s="197">
        <f t="shared" si="18"/>
        <v>45726</v>
      </c>
      <c r="B346" s="167">
        <f>YEAR(Table7[[#This Row],[Date]])+IF(MONTH(Table7[[#This Row],[Date]])&gt;=4,1,0)</f>
        <v>2025</v>
      </c>
      <c r="C346" s="167">
        <f>YEAR(Table7[[#This Row],[Date]])</f>
        <v>2025</v>
      </c>
      <c r="D346" s="168">
        <f t="shared" si="16"/>
        <v>45717</v>
      </c>
      <c r="AE346" s="167">
        <f t="shared" si="17"/>
        <v>0</v>
      </c>
    </row>
    <row r="347" spans="1:31">
      <c r="A347" s="197">
        <f t="shared" si="18"/>
        <v>45727</v>
      </c>
      <c r="B347" s="167">
        <f>YEAR(Table7[[#This Row],[Date]])+IF(MONTH(Table7[[#This Row],[Date]])&gt;=4,1,0)</f>
        <v>2025</v>
      </c>
      <c r="C347" s="167">
        <f>YEAR(Table7[[#This Row],[Date]])</f>
        <v>2025</v>
      </c>
      <c r="D347" s="168">
        <f t="shared" si="16"/>
        <v>45717</v>
      </c>
      <c r="AE347" s="167">
        <f t="shared" si="17"/>
        <v>0</v>
      </c>
    </row>
    <row r="348" spans="1:31">
      <c r="A348" s="197">
        <f t="shared" si="18"/>
        <v>45728</v>
      </c>
      <c r="B348" s="167">
        <f>YEAR(Table7[[#This Row],[Date]])+IF(MONTH(Table7[[#This Row],[Date]])&gt;=4,1,0)</f>
        <v>2025</v>
      </c>
      <c r="C348" s="167">
        <f>YEAR(Table7[[#This Row],[Date]])</f>
        <v>2025</v>
      </c>
      <c r="D348" s="168">
        <f t="shared" si="16"/>
        <v>45717</v>
      </c>
      <c r="AE348" s="167">
        <f t="shared" si="17"/>
        <v>0</v>
      </c>
    </row>
    <row r="349" spans="1:31">
      <c r="A349" s="197">
        <f t="shared" si="18"/>
        <v>45729</v>
      </c>
      <c r="B349" s="167">
        <f>YEAR(Table7[[#This Row],[Date]])+IF(MONTH(Table7[[#This Row],[Date]])&gt;=4,1,0)</f>
        <v>2025</v>
      </c>
      <c r="C349" s="167">
        <f>YEAR(Table7[[#This Row],[Date]])</f>
        <v>2025</v>
      </c>
      <c r="D349" s="168">
        <f t="shared" si="16"/>
        <v>45717</v>
      </c>
      <c r="AE349" s="167">
        <f t="shared" si="17"/>
        <v>0</v>
      </c>
    </row>
    <row r="350" spans="1:31">
      <c r="A350" s="197">
        <f t="shared" si="18"/>
        <v>45730</v>
      </c>
      <c r="B350" s="167">
        <f>YEAR(Table7[[#This Row],[Date]])+IF(MONTH(Table7[[#This Row],[Date]])&gt;=4,1,0)</f>
        <v>2025</v>
      </c>
      <c r="C350" s="167">
        <f>YEAR(Table7[[#This Row],[Date]])</f>
        <v>2025</v>
      </c>
      <c r="D350" s="168">
        <f t="shared" si="16"/>
        <v>45717</v>
      </c>
      <c r="AE350" s="167">
        <f t="shared" si="17"/>
        <v>0</v>
      </c>
    </row>
    <row r="351" spans="1:31">
      <c r="A351" s="197">
        <f t="shared" si="18"/>
        <v>45731</v>
      </c>
      <c r="B351" s="167">
        <f>YEAR(Table7[[#This Row],[Date]])+IF(MONTH(Table7[[#This Row],[Date]])&gt;=4,1,0)</f>
        <v>2025</v>
      </c>
      <c r="C351" s="167">
        <f>YEAR(Table7[[#This Row],[Date]])</f>
        <v>2025</v>
      </c>
      <c r="D351" s="168">
        <f t="shared" si="16"/>
        <v>45717</v>
      </c>
      <c r="AE351" s="167">
        <f t="shared" si="17"/>
        <v>0</v>
      </c>
    </row>
    <row r="352" spans="1:31">
      <c r="A352" s="197">
        <f t="shared" si="18"/>
        <v>45732</v>
      </c>
      <c r="B352" s="167">
        <f>YEAR(Table7[[#This Row],[Date]])+IF(MONTH(Table7[[#This Row],[Date]])&gt;=4,1,0)</f>
        <v>2025</v>
      </c>
      <c r="C352" s="167">
        <f>YEAR(Table7[[#This Row],[Date]])</f>
        <v>2025</v>
      </c>
      <c r="D352" s="168">
        <f t="shared" si="16"/>
        <v>45717</v>
      </c>
      <c r="AE352" s="167">
        <f t="shared" si="17"/>
        <v>0</v>
      </c>
    </row>
    <row r="353" spans="1:31">
      <c r="A353" s="197">
        <f t="shared" si="18"/>
        <v>45733</v>
      </c>
      <c r="B353" s="167">
        <f>YEAR(Table7[[#This Row],[Date]])+IF(MONTH(Table7[[#This Row],[Date]])&gt;=4,1,0)</f>
        <v>2025</v>
      </c>
      <c r="C353" s="167">
        <f>YEAR(Table7[[#This Row],[Date]])</f>
        <v>2025</v>
      </c>
      <c r="D353" s="168">
        <f t="shared" si="16"/>
        <v>45717</v>
      </c>
      <c r="AE353" s="167">
        <f t="shared" si="17"/>
        <v>0</v>
      </c>
    </row>
    <row r="354" spans="1:31">
      <c r="A354" s="197">
        <f t="shared" si="18"/>
        <v>45734</v>
      </c>
      <c r="B354" s="167">
        <f>YEAR(Table7[[#This Row],[Date]])+IF(MONTH(Table7[[#This Row],[Date]])&gt;=4,1,0)</f>
        <v>2025</v>
      </c>
      <c r="C354" s="167">
        <f>YEAR(Table7[[#This Row],[Date]])</f>
        <v>2025</v>
      </c>
      <c r="D354" s="168">
        <f t="shared" si="16"/>
        <v>45717</v>
      </c>
      <c r="AE354" s="167">
        <f t="shared" si="17"/>
        <v>0</v>
      </c>
    </row>
    <row r="355" spans="1:31">
      <c r="A355" s="197">
        <f t="shared" si="18"/>
        <v>45735</v>
      </c>
      <c r="B355" s="167">
        <f>YEAR(Table7[[#This Row],[Date]])+IF(MONTH(Table7[[#This Row],[Date]])&gt;=4,1,0)</f>
        <v>2025</v>
      </c>
      <c r="C355" s="167">
        <f>YEAR(Table7[[#This Row],[Date]])</f>
        <v>2025</v>
      </c>
      <c r="D355" s="168">
        <f t="shared" si="16"/>
        <v>45717</v>
      </c>
      <c r="AE355" s="167">
        <f t="shared" si="17"/>
        <v>0</v>
      </c>
    </row>
    <row r="356" spans="1:31">
      <c r="A356" s="197">
        <f t="shared" si="18"/>
        <v>45736</v>
      </c>
      <c r="B356" s="167">
        <f>YEAR(Table7[[#This Row],[Date]])+IF(MONTH(Table7[[#This Row],[Date]])&gt;=4,1,0)</f>
        <v>2025</v>
      </c>
      <c r="C356" s="167">
        <f>YEAR(Table7[[#This Row],[Date]])</f>
        <v>2025</v>
      </c>
      <c r="D356" s="168">
        <f t="shared" si="16"/>
        <v>45717</v>
      </c>
      <c r="AE356" s="167">
        <f t="shared" si="17"/>
        <v>0</v>
      </c>
    </row>
    <row r="357" spans="1:31">
      <c r="A357" s="197">
        <f t="shared" si="18"/>
        <v>45737</v>
      </c>
      <c r="B357" s="167">
        <f>YEAR(Table7[[#This Row],[Date]])+IF(MONTH(Table7[[#This Row],[Date]])&gt;=4,1,0)</f>
        <v>2025</v>
      </c>
      <c r="C357" s="167">
        <f>YEAR(Table7[[#This Row],[Date]])</f>
        <v>2025</v>
      </c>
      <c r="D357" s="168">
        <f t="shared" si="16"/>
        <v>45717</v>
      </c>
      <c r="AE357" s="167">
        <f t="shared" si="17"/>
        <v>0</v>
      </c>
    </row>
    <row r="358" spans="1:31">
      <c r="A358" s="197">
        <f t="shared" si="18"/>
        <v>45738</v>
      </c>
      <c r="B358" s="167">
        <f>YEAR(Table7[[#This Row],[Date]])+IF(MONTH(Table7[[#This Row],[Date]])&gt;=4,1,0)</f>
        <v>2025</v>
      </c>
      <c r="C358" s="167">
        <f>YEAR(Table7[[#This Row],[Date]])</f>
        <v>2025</v>
      </c>
      <c r="D358" s="168">
        <f t="shared" si="16"/>
        <v>45717</v>
      </c>
      <c r="AE358" s="167">
        <f t="shared" si="17"/>
        <v>0</v>
      </c>
    </row>
    <row r="359" spans="1:31">
      <c r="A359" s="197">
        <f t="shared" si="18"/>
        <v>45739</v>
      </c>
      <c r="B359" s="167">
        <f>YEAR(Table7[[#This Row],[Date]])+IF(MONTH(Table7[[#This Row],[Date]])&gt;=4,1,0)</f>
        <v>2025</v>
      </c>
      <c r="C359" s="167">
        <f>YEAR(Table7[[#This Row],[Date]])</f>
        <v>2025</v>
      </c>
      <c r="D359" s="168">
        <f t="shared" si="16"/>
        <v>45717</v>
      </c>
      <c r="AE359" s="167">
        <f t="shared" si="17"/>
        <v>0</v>
      </c>
    </row>
    <row r="360" spans="1:31">
      <c r="A360" s="197">
        <f t="shared" si="18"/>
        <v>45740</v>
      </c>
      <c r="B360" s="167">
        <f>YEAR(Table7[[#This Row],[Date]])+IF(MONTH(Table7[[#This Row],[Date]])&gt;=4,1,0)</f>
        <v>2025</v>
      </c>
      <c r="C360" s="167">
        <f>YEAR(Table7[[#This Row],[Date]])</f>
        <v>2025</v>
      </c>
      <c r="D360" s="168">
        <f t="shared" si="16"/>
        <v>45717</v>
      </c>
      <c r="AE360" s="167">
        <f t="shared" si="17"/>
        <v>0</v>
      </c>
    </row>
    <row r="361" spans="1:31">
      <c r="A361" s="197">
        <f t="shared" si="18"/>
        <v>45741</v>
      </c>
      <c r="B361" s="167">
        <f>YEAR(Table7[[#This Row],[Date]])+IF(MONTH(Table7[[#This Row],[Date]])&gt;=4,1,0)</f>
        <v>2025</v>
      </c>
      <c r="C361" s="167">
        <f>YEAR(Table7[[#This Row],[Date]])</f>
        <v>2025</v>
      </c>
      <c r="D361" s="168">
        <f t="shared" si="16"/>
        <v>45717</v>
      </c>
      <c r="AE361" s="167">
        <f t="shared" si="17"/>
        <v>0</v>
      </c>
    </row>
    <row r="362" spans="1:31">
      <c r="A362" s="197">
        <f t="shared" si="18"/>
        <v>45742</v>
      </c>
      <c r="B362" s="167">
        <f>YEAR(Table7[[#This Row],[Date]])+IF(MONTH(Table7[[#This Row],[Date]])&gt;=4,1,0)</f>
        <v>2025</v>
      </c>
      <c r="C362" s="167">
        <f>YEAR(Table7[[#This Row],[Date]])</f>
        <v>2025</v>
      </c>
      <c r="D362" s="168">
        <f t="shared" si="16"/>
        <v>45717</v>
      </c>
      <c r="AE362" s="167">
        <f t="shared" si="17"/>
        <v>0</v>
      </c>
    </row>
    <row r="363" spans="1:31">
      <c r="A363" s="197">
        <f t="shared" si="18"/>
        <v>45743</v>
      </c>
      <c r="B363" s="167">
        <f>YEAR(Table7[[#This Row],[Date]])+IF(MONTH(Table7[[#This Row],[Date]])&gt;=4,1,0)</f>
        <v>2025</v>
      </c>
      <c r="C363" s="167">
        <f>YEAR(Table7[[#This Row],[Date]])</f>
        <v>2025</v>
      </c>
      <c r="D363" s="168">
        <f t="shared" si="16"/>
        <v>45717</v>
      </c>
      <c r="AE363" s="167">
        <f t="shared" si="17"/>
        <v>0</v>
      </c>
    </row>
    <row r="364" spans="1:31">
      <c r="A364" s="197">
        <f t="shared" si="18"/>
        <v>45744</v>
      </c>
      <c r="B364" s="167">
        <f>YEAR(Table7[[#This Row],[Date]])+IF(MONTH(Table7[[#This Row],[Date]])&gt;=4,1,0)</f>
        <v>2025</v>
      </c>
      <c r="C364" s="167">
        <f>YEAR(Table7[[#This Row],[Date]])</f>
        <v>2025</v>
      </c>
      <c r="D364" s="168">
        <f t="shared" si="16"/>
        <v>45717</v>
      </c>
      <c r="AE364" s="167">
        <f t="shared" si="17"/>
        <v>0</v>
      </c>
    </row>
    <row r="365" spans="1:31">
      <c r="A365" s="197">
        <f t="shared" si="18"/>
        <v>45745</v>
      </c>
      <c r="B365" s="167">
        <f>YEAR(Table7[[#This Row],[Date]])+IF(MONTH(Table7[[#This Row],[Date]])&gt;=4,1,0)</f>
        <v>2025</v>
      </c>
      <c r="C365" s="167">
        <f>YEAR(Table7[[#This Row],[Date]])</f>
        <v>2025</v>
      </c>
      <c r="D365" s="168">
        <f t="shared" si="16"/>
        <v>45717</v>
      </c>
      <c r="AE365" s="167">
        <f t="shared" si="17"/>
        <v>0</v>
      </c>
    </row>
    <row r="366" spans="1:31">
      <c r="A366" s="197">
        <f t="shared" si="18"/>
        <v>45746</v>
      </c>
      <c r="B366" s="167">
        <f>YEAR(Table7[[#This Row],[Date]])+IF(MONTH(Table7[[#This Row],[Date]])&gt;=4,1,0)</f>
        <v>2025</v>
      </c>
      <c r="C366" s="167">
        <f>YEAR(Table7[[#This Row],[Date]])</f>
        <v>2025</v>
      </c>
      <c r="D366" s="168">
        <f t="shared" si="16"/>
        <v>45717</v>
      </c>
      <c r="AE366" s="167">
        <f t="shared" si="17"/>
        <v>0</v>
      </c>
    </row>
    <row r="367" spans="1:31">
      <c r="A367" s="197">
        <f t="shared" si="18"/>
        <v>45747</v>
      </c>
      <c r="B367" s="167">
        <f>YEAR(Table7[[#This Row],[Date]])+IF(MONTH(Table7[[#This Row],[Date]])&gt;=4,1,0)</f>
        <v>2025</v>
      </c>
      <c r="C367" s="167">
        <f>YEAR(Table7[[#This Row],[Date]])</f>
        <v>2025</v>
      </c>
      <c r="D367" s="168">
        <f t="shared" si="16"/>
        <v>45717</v>
      </c>
      <c r="AE367" s="167">
        <f t="shared" si="17"/>
        <v>0</v>
      </c>
    </row>
    <row r="368" spans="1:31">
      <c r="A368" s="197">
        <f t="shared" si="18"/>
        <v>45748</v>
      </c>
      <c r="B368" s="167">
        <f>YEAR(Table7[[#This Row],[Date]])+IF(MONTH(Table7[[#This Row],[Date]])&gt;=4,1,0)</f>
        <v>2026</v>
      </c>
      <c r="C368" s="167">
        <f>YEAR(Table7[[#This Row],[Date]])</f>
        <v>2025</v>
      </c>
      <c r="D368" s="168">
        <f t="shared" si="16"/>
        <v>45748</v>
      </c>
      <c r="AE368" s="167">
        <f t="shared" si="17"/>
        <v>0</v>
      </c>
    </row>
    <row r="369" spans="1:31">
      <c r="A369" s="197">
        <f t="shared" si="18"/>
        <v>45749</v>
      </c>
      <c r="B369" s="167">
        <f>YEAR(Table7[[#This Row],[Date]])+IF(MONTH(Table7[[#This Row],[Date]])&gt;=4,1,0)</f>
        <v>2026</v>
      </c>
      <c r="C369" s="167">
        <f>YEAR(Table7[[#This Row],[Date]])</f>
        <v>2025</v>
      </c>
      <c r="D369" s="168">
        <f t="shared" si="16"/>
        <v>45748</v>
      </c>
      <c r="AE369" s="167">
        <f t="shared" si="17"/>
        <v>0</v>
      </c>
    </row>
    <row r="370" spans="1:31">
      <c r="A370" s="197">
        <f t="shared" si="18"/>
        <v>45750</v>
      </c>
      <c r="B370" s="167">
        <f>YEAR(Table7[[#This Row],[Date]])+IF(MONTH(Table7[[#This Row],[Date]])&gt;=4,1,0)</f>
        <v>2026</v>
      </c>
      <c r="C370" s="167">
        <f>YEAR(Table7[[#This Row],[Date]])</f>
        <v>2025</v>
      </c>
      <c r="D370" s="168">
        <f t="shared" si="16"/>
        <v>45748</v>
      </c>
      <c r="AE370" s="167">
        <f t="shared" si="17"/>
        <v>0</v>
      </c>
    </row>
    <row r="371" spans="1:31">
      <c r="A371" s="197">
        <f t="shared" si="18"/>
        <v>45751</v>
      </c>
      <c r="B371" s="167">
        <f>YEAR(Table7[[#This Row],[Date]])+IF(MONTH(Table7[[#This Row],[Date]])&gt;=4,1,0)</f>
        <v>2026</v>
      </c>
      <c r="C371" s="167">
        <f>YEAR(Table7[[#This Row],[Date]])</f>
        <v>2025</v>
      </c>
      <c r="D371" s="168">
        <f t="shared" si="16"/>
        <v>45748</v>
      </c>
      <c r="E371" s="167">
        <v>50.19</v>
      </c>
      <c r="F371" s="167">
        <v>50.19</v>
      </c>
      <c r="G371" s="167">
        <v>50.19</v>
      </c>
      <c r="H371" s="167">
        <v>50.19</v>
      </c>
      <c r="I371" s="167">
        <v>50.19</v>
      </c>
      <c r="J371" s="167">
        <v>50.19</v>
      </c>
      <c r="K371" s="167">
        <v>50.19</v>
      </c>
      <c r="L371" s="167">
        <v>50.19</v>
      </c>
      <c r="M371" s="167">
        <v>50.19</v>
      </c>
      <c r="N371" s="167">
        <v>50.19</v>
      </c>
      <c r="O371" s="167">
        <v>50.19</v>
      </c>
      <c r="P371" s="167">
        <v>50.19</v>
      </c>
      <c r="Q371" s="167">
        <v>50.19</v>
      </c>
      <c r="R371" s="167">
        <v>50.19</v>
      </c>
      <c r="S371" s="167">
        <v>50.19</v>
      </c>
      <c r="T371" s="167">
        <v>50.19</v>
      </c>
      <c r="U371" s="167">
        <v>50.19</v>
      </c>
      <c r="V371" s="167">
        <v>50.19</v>
      </c>
      <c r="W371" s="167">
        <v>50.19</v>
      </c>
      <c r="X371" s="167">
        <v>50.19</v>
      </c>
      <c r="Y371" s="167">
        <v>50.19</v>
      </c>
      <c r="Z371" s="167">
        <v>50.19</v>
      </c>
      <c r="AA371" s="167">
        <v>50.19</v>
      </c>
      <c r="AB371" s="167">
        <v>50.19</v>
      </c>
      <c r="AC371" s="167">
        <v>50.19</v>
      </c>
      <c r="AD371" s="167">
        <v>50.19</v>
      </c>
      <c r="AE371" s="167">
        <f t="shared" si="17"/>
        <v>1304.9400000000007</v>
      </c>
    </row>
    <row r="372" spans="1:31">
      <c r="A372" s="197">
        <f t="shared" si="18"/>
        <v>45752</v>
      </c>
      <c r="B372" s="167">
        <f>YEAR(Table7[[#This Row],[Date]])+IF(MONTH(Table7[[#This Row],[Date]])&gt;=4,1,0)</f>
        <v>2026</v>
      </c>
      <c r="C372" s="167">
        <f>YEAR(Table7[[#This Row],[Date]])</f>
        <v>2025</v>
      </c>
      <c r="D372" s="168">
        <f t="shared" si="16"/>
        <v>45748</v>
      </c>
      <c r="E372" s="167">
        <v>34.61</v>
      </c>
      <c r="F372" s="167">
        <v>34.61</v>
      </c>
      <c r="G372" s="167">
        <v>34.61</v>
      </c>
      <c r="H372" s="167">
        <v>34.61</v>
      </c>
      <c r="I372" s="167">
        <v>34.61</v>
      </c>
      <c r="J372" s="167">
        <v>34.61</v>
      </c>
      <c r="K372" s="167">
        <v>34.61</v>
      </c>
      <c r="L372" s="167">
        <v>34.61</v>
      </c>
      <c r="M372" s="167">
        <v>34.61</v>
      </c>
      <c r="N372" s="167">
        <v>34.61</v>
      </c>
      <c r="O372" s="167">
        <v>34.61</v>
      </c>
      <c r="P372" s="167">
        <v>34.61</v>
      </c>
      <c r="Q372" s="167">
        <v>34.61</v>
      </c>
      <c r="R372" s="167">
        <v>34.61</v>
      </c>
      <c r="S372" s="167">
        <v>34.61</v>
      </c>
      <c r="T372" s="167">
        <v>34.61</v>
      </c>
      <c r="U372" s="167">
        <v>34.61</v>
      </c>
      <c r="V372" s="167">
        <v>34.61</v>
      </c>
      <c r="W372" s="167">
        <v>34.61</v>
      </c>
      <c r="X372" s="167">
        <v>34.61</v>
      </c>
      <c r="Y372" s="167">
        <v>34.61</v>
      </c>
      <c r="Z372" s="167">
        <v>34.61</v>
      </c>
      <c r="AA372" s="167">
        <v>34.61</v>
      </c>
      <c r="AB372" s="167">
        <v>34.61</v>
      </c>
      <c r="AC372" s="167">
        <v>34.61</v>
      </c>
      <c r="AD372" s="167">
        <v>34.61</v>
      </c>
      <c r="AE372" s="167">
        <f t="shared" si="17"/>
        <v>899.86000000000024</v>
      </c>
    </row>
    <row r="373" spans="1:31">
      <c r="A373" s="197">
        <f t="shared" si="18"/>
        <v>45753</v>
      </c>
      <c r="B373" s="167">
        <f>YEAR(Table7[[#This Row],[Date]])+IF(MONTH(Table7[[#This Row],[Date]])&gt;=4,1,0)</f>
        <v>2026</v>
      </c>
      <c r="C373" s="167">
        <f>YEAR(Table7[[#This Row],[Date]])</f>
        <v>2025</v>
      </c>
      <c r="D373" s="168">
        <f t="shared" si="16"/>
        <v>45748</v>
      </c>
      <c r="E373" s="167">
        <v>121.15</v>
      </c>
      <c r="F373" s="167">
        <v>121.15</v>
      </c>
      <c r="G373" s="167">
        <v>121.15</v>
      </c>
      <c r="H373" s="167">
        <v>121.15</v>
      </c>
      <c r="I373" s="167">
        <v>121.15</v>
      </c>
      <c r="J373" s="167">
        <v>121.15</v>
      </c>
      <c r="K373" s="167">
        <v>121.15</v>
      </c>
      <c r="L373" s="167">
        <v>121.15</v>
      </c>
      <c r="M373" s="167">
        <v>121.15</v>
      </c>
      <c r="N373" s="167">
        <v>121.15</v>
      </c>
      <c r="O373" s="167">
        <v>121.15</v>
      </c>
      <c r="P373" s="167">
        <v>121.15</v>
      </c>
      <c r="Q373" s="167">
        <v>121.15</v>
      </c>
      <c r="R373" s="167">
        <v>121.15</v>
      </c>
      <c r="S373" s="167">
        <v>121.15</v>
      </c>
      <c r="T373" s="167">
        <v>121.15</v>
      </c>
      <c r="U373" s="167">
        <v>121.15</v>
      </c>
      <c r="V373" s="167">
        <v>121.15</v>
      </c>
      <c r="W373" s="167">
        <v>121.15</v>
      </c>
      <c r="X373" s="167">
        <v>121.15</v>
      </c>
      <c r="Y373" s="167">
        <v>121.15</v>
      </c>
      <c r="Z373" s="167">
        <v>121.15</v>
      </c>
      <c r="AA373" s="167">
        <v>121.15</v>
      </c>
      <c r="AB373" s="167">
        <v>121.15</v>
      </c>
      <c r="AC373" s="167">
        <v>121.15</v>
      </c>
      <c r="AD373" s="167">
        <v>121.15</v>
      </c>
      <c r="AE373" s="167">
        <f t="shared" si="17"/>
        <v>3149.9000000000015</v>
      </c>
    </row>
    <row r="374" spans="1:31">
      <c r="A374" s="197">
        <f t="shared" si="18"/>
        <v>45754</v>
      </c>
      <c r="B374" s="167">
        <f>YEAR(Table7[[#This Row],[Date]])+IF(MONTH(Table7[[#This Row],[Date]])&gt;=4,1,0)</f>
        <v>2026</v>
      </c>
      <c r="C374" s="167">
        <f>YEAR(Table7[[#This Row],[Date]])</f>
        <v>2025</v>
      </c>
      <c r="D374" s="168">
        <f t="shared" si="16"/>
        <v>45748</v>
      </c>
      <c r="E374" s="167">
        <v>1228.8399999999999</v>
      </c>
      <c r="F374" s="167">
        <v>1228.8399999999999</v>
      </c>
      <c r="G374" s="167">
        <v>1228.8399999999999</v>
      </c>
      <c r="H374" s="167">
        <v>1228.8399999999999</v>
      </c>
      <c r="I374" s="167">
        <v>1228.8399999999999</v>
      </c>
      <c r="J374" s="167">
        <v>1228.8399999999999</v>
      </c>
      <c r="K374" s="167">
        <v>1228.8399999999999</v>
      </c>
      <c r="L374" s="167">
        <v>1228.8399999999999</v>
      </c>
      <c r="M374" s="167">
        <v>1228.8399999999999</v>
      </c>
      <c r="N374" s="167">
        <v>1228.8399999999999</v>
      </c>
      <c r="O374" s="167">
        <v>1228.8399999999999</v>
      </c>
      <c r="P374" s="167">
        <v>1228.8399999999999</v>
      </c>
      <c r="Q374" s="167">
        <v>1228.8399999999999</v>
      </c>
      <c r="R374" s="167">
        <v>1228.8399999999999</v>
      </c>
      <c r="S374" s="167">
        <v>1228.8399999999999</v>
      </c>
      <c r="T374" s="167">
        <v>1228.8399999999999</v>
      </c>
      <c r="U374" s="167">
        <v>1228.8399999999999</v>
      </c>
      <c r="V374" s="167">
        <v>1228.8399999999999</v>
      </c>
      <c r="W374" s="167">
        <v>1228.8399999999999</v>
      </c>
      <c r="X374" s="167">
        <v>1228.8399999999999</v>
      </c>
      <c r="Y374" s="167">
        <v>1228.8399999999999</v>
      </c>
      <c r="Z374" s="167">
        <v>1228.8399999999999</v>
      </c>
      <c r="AA374" s="167">
        <v>1228.8399999999999</v>
      </c>
      <c r="AB374" s="167">
        <v>1228.8399999999999</v>
      </c>
      <c r="AC374" s="167">
        <v>1228.8399999999999</v>
      </c>
      <c r="AD374" s="167">
        <v>1228.8399999999999</v>
      </c>
      <c r="AE374" s="167">
        <f t="shared" si="17"/>
        <v>31949.84</v>
      </c>
    </row>
    <row r="375" spans="1:31">
      <c r="A375" s="197">
        <f t="shared" si="18"/>
        <v>45755</v>
      </c>
      <c r="B375" s="167">
        <f>YEAR(Table7[[#This Row],[Date]])+IF(MONTH(Table7[[#This Row],[Date]])&gt;=4,1,0)</f>
        <v>2026</v>
      </c>
      <c r="C375" s="167">
        <f>YEAR(Table7[[#This Row],[Date]])</f>
        <v>2025</v>
      </c>
      <c r="D375" s="168">
        <f t="shared" si="16"/>
        <v>45748</v>
      </c>
      <c r="E375" s="167">
        <v>103.84</v>
      </c>
      <c r="F375" s="167">
        <v>103.84</v>
      </c>
      <c r="G375" s="167">
        <v>103.84</v>
      </c>
      <c r="H375" s="167">
        <v>103.84</v>
      </c>
      <c r="I375" s="167">
        <v>103.84</v>
      </c>
      <c r="J375" s="167">
        <v>103.84</v>
      </c>
      <c r="K375" s="167">
        <v>103.84</v>
      </c>
      <c r="L375" s="167">
        <v>103.84</v>
      </c>
      <c r="M375" s="167">
        <v>103.84</v>
      </c>
      <c r="N375" s="167">
        <v>103.84</v>
      </c>
      <c r="O375" s="167">
        <v>103.84</v>
      </c>
      <c r="P375" s="167">
        <v>103.84</v>
      </c>
      <c r="Q375" s="167">
        <v>103.84</v>
      </c>
      <c r="R375" s="167">
        <v>103.84</v>
      </c>
      <c r="S375" s="167">
        <v>103.84</v>
      </c>
      <c r="T375" s="167">
        <v>103.84</v>
      </c>
      <c r="U375" s="167">
        <v>103.84</v>
      </c>
      <c r="V375" s="167">
        <v>103.84</v>
      </c>
      <c r="W375" s="167">
        <v>103.84</v>
      </c>
      <c r="X375" s="167">
        <v>103.84</v>
      </c>
      <c r="Y375" s="167">
        <v>103.84</v>
      </c>
      <c r="Z375" s="167">
        <v>103.84</v>
      </c>
      <c r="AA375" s="167">
        <v>103.84</v>
      </c>
      <c r="AB375" s="167">
        <v>103.84</v>
      </c>
      <c r="AC375" s="167">
        <v>103.84</v>
      </c>
      <c r="AD375" s="167">
        <v>103.84</v>
      </c>
      <c r="AE375" s="167">
        <f t="shared" si="17"/>
        <v>2699.84</v>
      </c>
    </row>
    <row r="376" spans="1:31">
      <c r="A376" s="197">
        <f t="shared" si="18"/>
        <v>45756</v>
      </c>
      <c r="B376" s="167">
        <f>YEAR(Table7[[#This Row],[Date]])+IF(MONTH(Table7[[#This Row],[Date]])&gt;=4,1,0)</f>
        <v>2026</v>
      </c>
      <c r="C376" s="167">
        <f>YEAR(Table7[[#This Row],[Date]])</f>
        <v>2025</v>
      </c>
      <c r="D376" s="168">
        <f t="shared" si="16"/>
        <v>45748</v>
      </c>
      <c r="E376" s="167">
        <v>103.84</v>
      </c>
      <c r="F376" s="167">
        <v>103.84</v>
      </c>
      <c r="G376" s="167">
        <v>103.84</v>
      </c>
      <c r="H376" s="167">
        <v>103.84</v>
      </c>
      <c r="I376" s="167">
        <v>103.84</v>
      </c>
      <c r="J376" s="167">
        <v>103.84</v>
      </c>
      <c r="K376" s="167">
        <v>103.84</v>
      </c>
      <c r="L376" s="167">
        <v>103.84</v>
      </c>
      <c r="M376" s="167">
        <v>103.84</v>
      </c>
      <c r="N376" s="167">
        <v>103.84</v>
      </c>
      <c r="O376" s="167">
        <v>103.84</v>
      </c>
      <c r="P376" s="167">
        <v>103.84</v>
      </c>
      <c r="Q376" s="167">
        <v>103.84</v>
      </c>
      <c r="R376" s="167">
        <v>103.84</v>
      </c>
      <c r="S376" s="167">
        <v>103.84</v>
      </c>
      <c r="T376" s="167">
        <v>103.84</v>
      </c>
      <c r="U376" s="167">
        <v>103.84</v>
      </c>
      <c r="V376" s="167">
        <v>103.84</v>
      </c>
      <c r="W376" s="167">
        <v>103.84</v>
      </c>
      <c r="X376" s="167">
        <v>103.84</v>
      </c>
      <c r="Y376" s="167">
        <v>103.84</v>
      </c>
      <c r="Z376" s="167">
        <v>103.84</v>
      </c>
      <c r="AA376" s="167">
        <v>103.84</v>
      </c>
      <c r="AB376" s="167">
        <v>103.84</v>
      </c>
      <c r="AC376" s="167">
        <v>103.84</v>
      </c>
      <c r="AD376" s="167">
        <v>103.84</v>
      </c>
      <c r="AE376" s="167">
        <f t="shared" si="17"/>
        <v>2699.84</v>
      </c>
    </row>
    <row r="377" spans="1:31">
      <c r="A377" s="197">
        <f t="shared" si="18"/>
        <v>45757</v>
      </c>
      <c r="B377" s="167">
        <f>YEAR(Table7[[#This Row],[Date]])+IF(MONTH(Table7[[#This Row],[Date]])&gt;=4,1,0)</f>
        <v>2026</v>
      </c>
      <c r="C377" s="167">
        <f>YEAR(Table7[[#This Row],[Date]])</f>
        <v>2025</v>
      </c>
      <c r="D377" s="168">
        <f t="shared" si="16"/>
        <v>45748</v>
      </c>
      <c r="E377" s="167">
        <v>640.38</v>
      </c>
      <c r="F377" s="167">
        <v>640.38</v>
      </c>
      <c r="G377" s="167">
        <v>640.38</v>
      </c>
      <c r="H377" s="167">
        <v>640.38</v>
      </c>
      <c r="I377" s="167">
        <v>640.38</v>
      </c>
      <c r="J377" s="167">
        <v>640.38</v>
      </c>
      <c r="K377" s="167">
        <v>640.38</v>
      </c>
      <c r="L377" s="167">
        <v>640.38</v>
      </c>
      <c r="M377" s="167">
        <v>640.38</v>
      </c>
      <c r="N377" s="167">
        <v>640.38</v>
      </c>
      <c r="O377" s="167">
        <v>640.38</v>
      </c>
      <c r="P377" s="167">
        <v>640.38</v>
      </c>
      <c r="Q377" s="167">
        <v>640.38</v>
      </c>
      <c r="R377" s="167">
        <v>640.38</v>
      </c>
      <c r="S377" s="167">
        <v>640.38</v>
      </c>
      <c r="T377" s="167">
        <v>640.38</v>
      </c>
      <c r="U377" s="167">
        <v>640.38</v>
      </c>
      <c r="V377" s="167">
        <v>640.38</v>
      </c>
      <c r="W377" s="167">
        <v>640.38</v>
      </c>
      <c r="X377" s="167">
        <v>640.38</v>
      </c>
      <c r="Y377" s="167">
        <v>640.38</v>
      </c>
      <c r="Z377" s="167">
        <v>640.38</v>
      </c>
      <c r="AA377" s="167">
        <v>640.38</v>
      </c>
      <c r="AB377" s="167">
        <v>640.38</v>
      </c>
      <c r="AC377" s="167">
        <v>640.38</v>
      </c>
      <c r="AD377" s="167">
        <v>640.38</v>
      </c>
      <c r="AE377" s="167">
        <f t="shared" si="17"/>
        <v>16649.87999999999</v>
      </c>
    </row>
    <row r="378" spans="1:31">
      <c r="A378" s="197">
        <f t="shared" si="18"/>
        <v>45758</v>
      </c>
      <c r="B378" s="167">
        <f>YEAR(Table7[[#This Row],[Date]])+IF(MONTH(Table7[[#This Row],[Date]])&gt;=4,1,0)</f>
        <v>2026</v>
      </c>
      <c r="C378" s="167">
        <f>YEAR(Table7[[#This Row],[Date]])</f>
        <v>2025</v>
      </c>
      <c r="D378" s="168">
        <f t="shared" si="16"/>
        <v>45748</v>
      </c>
      <c r="E378" s="167">
        <v>207.69</v>
      </c>
      <c r="F378" s="167">
        <v>207.69</v>
      </c>
      <c r="G378" s="167">
        <v>207.69</v>
      </c>
      <c r="H378" s="167">
        <v>207.69</v>
      </c>
      <c r="I378" s="167">
        <v>207.69</v>
      </c>
      <c r="J378" s="167">
        <v>207.69</v>
      </c>
      <c r="K378" s="167">
        <v>207.69</v>
      </c>
      <c r="L378" s="167">
        <v>207.69</v>
      </c>
      <c r="M378" s="167">
        <v>207.69</v>
      </c>
      <c r="N378" s="167">
        <v>207.69</v>
      </c>
      <c r="O378" s="167">
        <v>207.69</v>
      </c>
      <c r="P378" s="167">
        <v>207.69</v>
      </c>
      <c r="Q378" s="167">
        <v>207.69</v>
      </c>
      <c r="R378" s="167">
        <v>207.69</v>
      </c>
      <c r="S378" s="167">
        <v>207.69</v>
      </c>
      <c r="T378" s="167">
        <v>207.69</v>
      </c>
      <c r="U378" s="167">
        <v>207.69</v>
      </c>
      <c r="V378" s="167">
        <v>207.69</v>
      </c>
      <c r="W378" s="167">
        <v>207.69</v>
      </c>
      <c r="X378" s="167">
        <v>207.69</v>
      </c>
      <c r="Y378" s="167">
        <v>207.69</v>
      </c>
      <c r="Z378" s="167">
        <v>207.69</v>
      </c>
      <c r="AA378" s="167">
        <v>207.69</v>
      </c>
      <c r="AB378" s="167">
        <v>207.69</v>
      </c>
      <c r="AC378" s="167">
        <v>207.69</v>
      </c>
      <c r="AD378" s="167">
        <v>207.69</v>
      </c>
      <c r="AE378" s="167">
        <f t="shared" si="17"/>
        <v>5399.9399999999978</v>
      </c>
    </row>
    <row r="379" spans="1:31">
      <c r="A379" s="197">
        <f t="shared" si="18"/>
        <v>45759</v>
      </c>
      <c r="B379" s="167">
        <f>YEAR(Table7[[#This Row],[Date]])+IF(MONTH(Table7[[#This Row],[Date]])&gt;=4,1,0)</f>
        <v>2026</v>
      </c>
      <c r="C379" s="167">
        <f>YEAR(Table7[[#This Row],[Date]])</f>
        <v>2025</v>
      </c>
      <c r="D379" s="168">
        <f t="shared" si="16"/>
        <v>45748</v>
      </c>
      <c r="E379" s="167">
        <v>17.3</v>
      </c>
      <c r="F379" s="167">
        <v>17.3</v>
      </c>
      <c r="G379" s="167">
        <v>17.3</v>
      </c>
      <c r="H379" s="167">
        <v>17.3</v>
      </c>
      <c r="I379" s="167">
        <v>17.3</v>
      </c>
      <c r="J379" s="167">
        <v>17.3</v>
      </c>
      <c r="K379" s="167">
        <v>17.3</v>
      </c>
      <c r="L379" s="167">
        <v>17.3</v>
      </c>
      <c r="M379" s="167">
        <v>17.3</v>
      </c>
      <c r="N379" s="167">
        <v>17.3</v>
      </c>
      <c r="O379" s="167">
        <v>17.3</v>
      </c>
      <c r="P379" s="167">
        <v>17.3</v>
      </c>
      <c r="Q379" s="167">
        <v>17.3</v>
      </c>
      <c r="R379" s="167">
        <v>17.3</v>
      </c>
      <c r="S379" s="167">
        <v>17.3</v>
      </c>
      <c r="T379" s="167">
        <v>17.3</v>
      </c>
      <c r="U379" s="167">
        <v>17.3</v>
      </c>
      <c r="V379" s="167">
        <v>17.3</v>
      </c>
      <c r="W379" s="167">
        <v>17.3</v>
      </c>
      <c r="X379" s="167">
        <v>17.3</v>
      </c>
      <c r="Y379" s="167">
        <v>17.3</v>
      </c>
      <c r="Z379" s="167">
        <v>17.3</v>
      </c>
      <c r="AA379" s="167">
        <v>17.3</v>
      </c>
      <c r="AB379" s="167">
        <v>17.3</v>
      </c>
      <c r="AC379" s="167">
        <v>17.3</v>
      </c>
      <c r="AD379" s="167">
        <v>17.3</v>
      </c>
      <c r="AE379" s="167">
        <f t="shared" si="17"/>
        <v>449.80000000000018</v>
      </c>
    </row>
    <row r="380" spans="1:31">
      <c r="A380" s="197">
        <f t="shared" si="18"/>
        <v>45760</v>
      </c>
      <c r="B380" s="167">
        <f>YEAR(Table7[[#This Row],[Date]])+IF(MONTH(Table7[[#This Row],[Date]])&gt;=4,1,0)</f>
        <v>2026</v>
      </c>
      <c r="C380" s="167">
        <f>YEAR(Table7[[#This Row],[Date]])</f>
        <v>2025</v>
      </c>
      <c r="D380" s="168">
        <f t="shared" si="16"/>
        <v>45748</v>
      </c>
      <c r="E380" s="167">
        <v>86.53</v>
      </c>
      <c r="F380" s="167">
        <v>86.53</v>
      </c>
      <c r="G380" s="167">
        <v>86.53</v>
      </c>
      <c r="H380" s="167">
        <v>86.53</v>
      </c>
      <c r="I380" s="167">
        <v>86.53</v>
      </c>
      <c r="J380" s="167">
        <v>86.53</v>
      </c>
      <c r="K380" s="167">
        <v>86.53</v>
      </c>
      <c r="L380" s="167">
        <v>86.53</v>
      </c>
      <c r="M380" s="167">
        <v>86.53</v>
      </c>
      <c r="N380" s="167">
        <v>86.53</v>
      </c>
      <c r="O380" s="167">
        <v>86.53</v>
      </c>
      <c r="P380" s="167">
        <v>86.53</v>
      </c>
      <c r="Q380" s="167">
        <v>86.53</v>
      </c>
      <c r="R380" s="167">
        <v>86.53</v>
      </c>
      <c r="S380" s="167">
        <v>86.53</v>
      </c>
      <c r="T380" s="167">
        <v>86.53</v>
      </c>
      <c r="U380" s="167">
        <v>86.53</v>
      </c>
      <c r="V380" s="167">
        <v>86.53</v>
      </c>
      <c r="W380" s="167">
        <v>86.53</v>
      </c>
      <c r="X380" s="167">
        <v>86.53</v>
      </c>
      <c r="Y380" s="167">
        <v>86.53</v>
      </c>
      <c r="Z380" s="167">
        <v>86.53</v>
      </c>
      <c r="AA380" s="167">
        <v>86.53</v>
      </c>
      <c r="AB380" s="167">
        <v>86.53</v>
      </c>
      <c r="AC380" s="167">
        <v>86.53</v>
      </c>
      <c r="AD380" s="167">
        <v>86.53</v>
      </c>
      <c r="AE380" s="167">
        <f t="shared" si="17"/>
        <v>2249.7800000000002</v>
      </c>
    </row>
    <row r="381" spans="1:31">
      <c r="A381" s="197">
        <f t="shared" si="18"/>
        <v>45761</v>
      </c>
      <c r="B381" s="167">
        <f>YEAR(Table7[[#This Row],[Date]])+IF(MONTH(Table7[[#This Row],[Date]])&gt;=4,1,0)</f>
        <v>2026</v>
      </c>
      <c r="C381" s="167">
        <f>YEAR(Table7[[#This Row],[Date]])</f>
        <v>2025</v>
      </c>
      <c r="D381" s="168">
        <f t="shared" si="16"/>
        <v>45748</v>
      </c>
      <c r="E381" s="167">
        <v>588.46</v>
      </c>
      <c r="F381" s="167">
        <v>588.46</v>
      </c>
      <c r="G381" s="167">
        <v>588.46</v>
      </c>
      <c r="H381" s="167">
        <v>588.46</v>
      </c>
      <c r="I381" s="167">
        <v>588.46</v>
      </c>
      <c r="J381" s="167">
        <v>588.46</v>
      </c>
      <c r="K381" s="167">
        <v>588.46</v>
      </c>
      <c r="L381" s="167">
        <v>588.46</v>
      </c>
      <c r="M381" s="167">
        <v>588.46</v>
      </c>
      <c r="N381" s="167">
        <v>588.46</v>
      </c>
      <c r="O381" s="167">
        <v>588.46</v>
      </c>
      <c r="P381" s="167">
        <v>588.46</v>
      </c>
      <c r="Q381" s="167">
        <v>588.46</v>
      </c>
      <c r="R381" s="167">
        <v>588.46</v>
      </c>
      <c r="S381" s="167">
        <v>588.46</v>
      </c>
      <c r="T381" s="167">
        <v>588.46</v>
      </c>
      <c r="U381" s="167">
        <v>588.46</v>
      </c>
      <c r="V381" s="167">
        <v>588.46</v>
      </c>
      <c r="W381" s="167">
        <v>588.46</v>
      </c>
      <c r="X381" s="167">
        <v>588.46</v>
      </c>
      <c r="Y381" s="167">
        <v>588.46</v>
      </c>
      <c r="Z381" s="167">
        <v>588.46</v>
      </c>
      <c r="AA381" s="167">
        <v>588.46</v>
      </c>
      <c r="AB381" s="167">
        <v>588.46</v>
      </c>
      <c r="AC381" s="167">
        <v>588.46</v>
      </c>
      <c r="AD381" s="167">
        <v>588.46</v>
      </c>
      <c r="AE381" s="167">
        <f t="shared" si="17"/>
        <v>15299.959999999992</v>
      </c>
    </row>
    <row r="382" spans="1:31">
      <c r="A382" s="197">
        <f t="shared" si="18"/>
        <v>45762</v>
      </c>
      <c r="B382" s="167">
        <f>YEAR(Table7[[#This Row],[Date]])+IF(MONTH(Table7[[#This Row],[Date]])&gt;=4,1,0)</f>
        <v>2026</v>
      </c>
      <c r="C382" s="167">
        <f>YEAR(Table7[[#This Row],[Date]])</f>
        <v>2025</v>
      </c>
      <c r="D382" s="168">
        <f t="shared" si="16"/>
        <v>45748</v>
      </c>
      <c r="E382" s="167">
        <v>709.61</v>
      </c>
      <c r="F382" s="167">
        <v>709.61</v>
      </c>
      <c r="G382" s="167">
        <v>709.61</v>
      </c>
      <c r="H382" s="167">
        <v>709.61</v>
      </c>
      <c r="I382" s="167">
        <v>709.61</v>
      </c>
      <c r="J382" s="167">
        <v>709.61</v>
      </c>
      <c r="K382" s="167">
        <v>709.61</v>
      </c>
      <c r="L382" s="167">
        <v>709.61</v>
      </c>
      <c r="M382" s="167">
        <v>709.61</v>
      </c>
      <c r="N382" s="167">
        <v>709.61</v>
      </c>
      <c r="O382" s="167">
        <v>709.61</v>
      </c>
      <c r="P382" s="167">
        <v>709.61</v>
      </c>
      <c r="Q382" s="167">
        <v>709.61</v>
      </c>
      <c r="R382" s="167">
        <v>709.61</v>
      </c>
      <c r="S382" s="167">
        <v>709.61</v>
      </c>
      <c r="T382" s="167">
        <v>709.61</v>
      </c>
      <c r="U382" s="167">
        <v>709.61</v>
      </c>
      <c r="V382" s="167">
        <v>709.61</v>
      </c>
      <c r="W382" s="167">
        <v>709.61</v>
      </c>
      <c r="X382" s="167">
        <v>709.61</v>
      </c>
      <c r="Y382" s="167">
        <v>709.61</v>
      </c>
      <c r="Z382" s="167">
        <v>709.61</v>
      </c>
      <c r="AA382" s="167">
        <v>709.61</v>
      </c>
      <c r="AB382" s="167">
        <v>709.61</v>
      </c>
      <c r="AC382" s="167">
        <v>709.61</v>
      </c>
      <c r="AD382" s="167">
        <v>709.61</v>
      </c>
      <c r="AE382" s="167">
        <f t="shared" si="17"/>
        <v>18449.860000000004</v>
      </c>
    </row>
    <row r="383" spans="1:31">
      <c r="A383" s="197">
        <f t="shared" si="18"/>
        <v>45763</v>
      </c>
      <c r="B383" s="167">
        <f>YEAR(Table7[[#This Row],[Date]])+IF(MONTH(Table7[[#This Row],[Date]])&gt;=4,1,0)</f>
        <v>2026</v>
      </c>
      <c r="C383" s="167">
        <f>YEAR(Table7[[#This Row],[Date]])</f>
        <v>2025</v>
      </c>
      <c r="D383" s="168">
        <f t="shared" si="16"/>
        <v>45748</v>
      </c>
      <c r="E383" s="167">
        <v>1073.07</v>
      </c>
      <c r="F383" s="167">
        <v>1073.07</v>
      </c>
      <c r="G383" s="167">
        <v>1073.07</v>
      </c>
      <c r="H383" s="167">
        <v>1073.07</v>
      </c>
      <c r="I383" s="167">
        <v>1073.07</v>
      </c>
      <c r="J383" s="167">
        <v>1073.07</v>
      </c>
      <c r="K383" s="167">
        <v>1073.07</v>
      </c>
      <c r="L383" s="167">
        <v>1073.07</v>
      </c>
      <c r="M383" s="167">
        <v>1073.07</v>
      </c>
      <c r="N383" s="167">
        <v>1073.07</v>
      </c>
      <c r="O383" s="167">
        <v>1073.07</v>
      </c>
      <c r="P383" s="167">
        <v>1073.07</v>
      </c>
      <c r="Q383" s="167">
        <v>1073.07</v>
      </c>
      <c r="R383" s="167">
        <v>1073.07</v>
      </c>
      <c r="S383" s="167">
        <v>1073.07</v>
      </c>
      <c r="T383" s="167">
        <v>1073.07</v>
      </c>
      <c r="U383" s="167">
        <v>1073.07</v>
      </c>
      <c r="V383" s="167">
        <v>1073.07</v>
      </c>
      <c r="W383" s="167">
        <v>1073.07</v>
      </c>
      <c r="X383" s="167">
        <v>1073.07</v>
      </c>
      <c r="Y383" s="167">
        <v>1073.07</v>
      </c>
      <c r="Z383" s="167">
        <v>1073.07</v>
      </c>
      <c r="AA383" s="167">
        <v>1073.07</v>
      </c>
      <c r="AB383" s="167">
        <v>1073.07</v>
      </c>
      <c r="AC383" s="167">
        <v>1073.07</v>
      </c>
      <c r="AD383" s="167">
        <v>1073.07</v>
      </c>
      <c r="AE383" s="167">
        <f t="shared" si="17"/>
        <v>27899.819999999996</v>
      </c>
    </row>
    <row r="384" spans="1:31">
      <c r="A384" s="197">
        <f t="shared" si="18"/>
        <v>45764</v>
      </c>
      <c r="B384" s="167">
        <f>YEAR(Table7[[#This Row],[Date]])+IF(MONTH(Table7[[#This Row],[Date]])&gt;=4,1,0)</f>
        <v>2026</v>
      </c>
      <c r="C384" s="167">
        <f>YEAR(Table7[[#This Row],[Date]])</f>
        <v>2025</v>
      </c>
      <c r="D384" s="168">
        <f t="shared" si="16"/>
        <v>45748</v>
      </c>
      <c r="E384" s="167">
        <v>1419.23</v>
      </c>
      <c r="F384" s="167">
        <v>1419.23</v>
      </c>
      <c r="G384" s="167">
        <v>1419.23</v>
      </c>
      <c r="H384" s="167">
        <v>1419.23</v>
      </c>
      <c r="I384" s="167">
        <v>1419.23</v>
      </c>
      <c r="J384" s="167">
        <v>1419.23</v>
      </c>
      <c r="K384" s="167">
        <v>1419.23</v>
      </c>
      <c r="L384" s="167">
        <v>1419.23</v>
      </c>
      <c r="M384" s="167">
        <v>1419.23</v>
      </c>
      <c r="N384" s="167">
        <v>1419.23</v>
      </c>
      <c r="O384" s="167">
        <v>1419.23</v>
      </c>
      <c r="P384" s="167">
        <v>1419.23</v>
      </c>
      <c r="Q384" s="167">
        <v>1419.23</v>
      </c>
      <c r="R384" s="167">
        <v>1419.23</v>
      </c>
      <c r="S384" s="167">
        <v>1419.23</v>
      </c>
      <c r="T384" s="167">
        <v>1419.23</v>
      </c>
      <c r="U384" s="167">
        <v>1419.23</v>
      </c>
      <c r="V384" s="167">
        <v>1419.23</v>
      </c>
      <c r="W384" s="167">
        <v>1419.23</v>
      </c>
      <c r="X384" s="167">
        <v>1419.23</v>
      </c>
      <c r="Y384" s="167">
        <v>1419.23</v>
      </c>
      <c r="Z384" s="167">
        <v>1419.23</v>
      </c>
      <c r="AA384" s="167">
        <v>1419.23</v>
      </c>
      <c r="AB384" s="167">
        <v>1419.23</v>
      </c>
      <c r="AC384" s="167">
        <v>1419.23</v>
      </c>
      <c r="AD384" s="167">
        <v>1419.23</v>
      </c>
      <c r="AE384" s="167">
        <f t="shared" si="17"/>
        <v>36899.980000000003</v>
      </c>
    </row>
    <row r="385" spans="1:31">
      <c r="A385" s="197">
        <f t="shared" si="18"/>
        <v>45765</v>
      </c>
      <c r="B385" s="167">
        <f>YEAR(Table7[[#This Row],[Date]])+IF(MONTH(Table7[[#This Row],[Date]])&gt;=4,1,0)</f>
        <v>2026</v>
      </c>
      <c r="C385" s="167">
        <f>YEAR(Table7[[#This Row],[Date]])</f>
        <v>2025</v>
      </c>
      <c r="D385" s="168">
        <f t="shared" si="16"/>
        <v>45748</v>
      </c>
      <c r="E385" s="167">
        <v>86.53</v>
      </c>
      <c r="F385" s="167">
        <v>86.53</v>
      </c>
      <c r="G385" s="167">
        <v>86.53</v>
      </c>
      <c r="H385" s="167">
        <v>86.53</v>
      </c>
      <c r="I385" s="167">
        <v>86.53</v>
      </c>
      <c r="J385" s="167">
        <v>86.53</v>
      </c>
      <c r="K385" s="167">
        <v>86.53</v>
      </c>
      <c r="L385" s="167">
        <v>86.53</v>
      </c>
      <c r="M385" s="167">
        <v>86.53</v>
      </c>
      <c r="N385" s="167">
        <v>86.53</v>
      </c>
      <c r="O385" s="167">
        <v>86.53</v>
      </c>
      <c r="P385" s="167">
        <v>86.53</v>
      </c>
      <c r="Q385" s="167">
        <v>86.53</v>
      </c>
      <c r="R385" s="167">
        <v>86.53</v>
      </c>
      <c r="S385" s="167">
        <v>86.53</v>
      </c>
      <c r="T385" s="167">
        <v>86.53</v>
      </c>
      <c r="U385" s="167">
        <v>86.53</v>
      </c>
      <c r="V385" s="167">
        <v>86.53</v>
      </c>
      <c r="W385" s="167">
        <v>86.53</v>
      </c>
      <c r="X385" s="167">
        <v>86.53</v>
      </c>
      <c r="Y385" s="167">
        <v>86.53</v>
      </c>
      <c r="Z385" s="167">
        <v>86.53</v>
      </c>
      <c r="AA385" s="167">
        <v>86.53</v>
      </c>
      <c r="AB385" s="167">
        <v>86.53</v>
      </c>
      <c r="AC385" s="167">
        <v>86.53</v>
      </c>
      <c r="AD385" s="167">
        <v>86.53</v>
      </c>
      <c r="AE385" s="167">
        <f t="shared" si="17"/>
        <v>2249.7800000000002</v>
      </c>
    </row>
    <row r="386" spans="1:31">
      <c r="A386" s="197">
        <f t="shared" si="18"/>
        <v>45766</v>
      </c>
      <c r="B386" s="167">
        <f>YEAR(Table7[[#This Row],[Date]])+IF(MONTH(Table7[[#This Row],[Date]])&gt;=4,1,0)</f>
        <v>2026</v>
      </c>
      <c r="C386" s="167">
        <f>YEAR(Table7[[#This Row],[Date]])</f>
        <v>2025</v>
      </c>
      <c r="D386" s="168">
        <f t="shared" si="16"/>
        <v>45748</v>
      </c>
      <c r="E386" s="167">
        <v>380.76</v>
      </c>
      <c r="F386" s="167">
        <v>380.76</v>
      </c>
      <c r="G386" s="167">
        <v>380.76</v>
      </c>
      <c r="H386" s="167">
        <v>380.76</v>
      </c>
      <c r="I386" s="167">
        <v>380.76</v>
      </c>
      <c r="J386" s="167">
        <v>380.76</v>
      </c>
      <c r="K386" s="167">
        <v>380.76</v>
      </c>
      <c r="L386" s="167">
        <v>380.76</v>
      </c>
      <c r="M386" s="167">
        <v>380.76</v>
      </c>
      <c r="N386" s="167">
        <v>380.76</v>
      </c>
      <c r="O386" s="167">
        <v>380.76</v>
      </c>
      <c r="P386" s="167">
        <v>380.76</v>
      </c>
      <c r="Q386" s="167">
        <v>380.76</v>
      </c>
      <c r="R386" s="167">
        <v>380.76</v>
      </c>
      <c r="S386" s="167">
        <v>380.76</v>
      </c>
      <c r="T386" s="167">
        <v>380.76</v>
      </c>
      <c r="U386" s="167">
        <v>380.76</v>
      </c>
      <c r="V386" s="167">
        <v>380.76</v>
      </c>
      <c r="W386" s="167">
        <v>380.76</v>
      </c>
      <c r="X386" s="167">
        <v>380.76</v>
      </c>
      <c r="Y386" s="167">
        <v>380.76</v>
      </c>
      <c r="Z386" s="167">
        <v>380.76</v>
      </c>
      <c r="AA386" s="167">
        <v>380.76</v>
      </c>
      <c r="AB386" s="167">
        <v>380.76</v>
      </c>
      <c r="AC386" s="167">
        <v>380.76</v>
      </c>
      <c r="AD386" s="167">
        <v>380.76</v>
      </c>
      <c r="AE386" s="167">
        <f t="shared" si="17"/>
        <v>9899.7600000000039</v>
      </c>
    </row>
    <row r="387" spans="1:31">
      <c r="A387" s="197">
        <f t="shared" si="18"/>
        <v>45767</v>
      </c>
      <c r="B387" s="167">
        <f>YEAR(Table7[[#This Row],[Date]])+IF(MONTH(Table7[[#This Row],[Date]])&gt;=4,1,0)</f>
        <v>2026</v>
      </c>
      <c r="C387" s="167">
        <f>YEAR(Table7[[#This Row],[Date]])</f>
        <v>2025</v>
      </c>
      <c r="D387" s="168">
        <f t="shared" ref="D387:D450" si="19">A387-DAY(A387)+1</f>
        <v>45748</v>
      </c>
      <c r="E387" s="167">
        <v>51.92</v>
      </c>
      <c r="F387" s="167">
        <v>51.92</v>
      </c>
      <c r="G387" s="167">
        <v>51.92</v>
      </c>
      <c r="H387" s="167">
        <v>51.92</v>
      </c>
      <c r="I387" s="167">
        <v>51.92</v>
      </c>
      <c r="J387" s="167">
        <v>51.92</v>
      </c>
      <c r="K387" s="167">
        <v>51.92</v>
      </c>
      <c r="L387" s="167">
        <v>51.92</v>
      </c>
      <c r="M387" s="167">
        <v>51.92</v>
      </c>
      <c r="N387" s="167">
        <v>51.92</v>
      </c>
      <c r="O387" s="167">
        <v>51.92</v>
      </c>
      <c r="P387" s="167">
        <v>51.92</v>
      </c>
      <c r="Q387" s="167">
        <v>51.92</v>
      </c>
      <c r="R387" s="167">
        <v>51.92</v>
      </c>
      <c r="S387" s="167">
        <v>51.92</v>
      </c>
      <c r="T387" s="167">
        <v>51.92</v>
      </c>
      <c r="U387" s="167">
        <v>51.92</v>
      </c>
      <c r="V387" s="167">
        <v>51.92</v>
      </c>
      <c r="W387" s="167">
        <v>51.92</v>
      </c>
      <c r="X387" s="167">
        <v>51.92</v>
      </c>
      <c r="Y387" s="167">
        <v>51.92</v>
      </c>
      <c r="Z387" s="167">
        <v>51.92</v>
      </c>
      <c r="AA387" s="167">
        <v>51.92</v>
      </c>
      <c r="AB387" s="167">
        <v>51.92</v>
      </c>
      <c r="AC387" s="167">
        <v>51.92</v>
      </c>
      <c r="AD387" s="167">
        <v>51.92</v>
      </c>
      <c r="AE387" s="167">
        <f t="shared" ref="AE387:AE450" si="20">SUM(E387:AD387)</f>
        <v>1349.92</v>
      </c>
    </row>
    <row r="388" spans="1:31">
      <c r="A388" s="197">
        <f t="shared" si="18"/>
        <v>45768</v>
      </c>
      <c r="B388" s="167">
        <f>YEAR(Table7[[#This Row],[Date]])+IF(MONTH(Table7[[#This Row],[Date]])&gt;=4,1,0)</f>
        <v>2026</v>
      </c>
      <c r="C388" s="167">
        <f>YEAR(Table7[[#This Row],[Date]])</f>
        <v>2025</v>
      </c>
      <c r="D388" s="168">
        <f t="shared" si="19"/>
        <v>45748</v>
      </c>
      <c r="E388" s="167">
        <v>17.3</v>
      </c>
      <c r="F388" s="167">
        <v>17.3</v>
      </c>
      <c r="G388" s="167">
        <v>17.3</v>
      </c>
      <c r="H388" s="167">
        <v>17.3</v>
      </c>
      <c r="I388" s="167">
        <v>17.3</v>
      </c>
      <c r="J388" s="167">
        <v>17.3</v>
      </c>
      <c r="K388" s="167">
        <v>17.3</v>
      </c>
      <c r="L388" s="167">
        <v>17.3</v>
      </c>
      <c r="M388" s="167">
        <v>17.3</v>
      </c>
      <c r="N388" s="167">
        <v>17.3</v>
      </c>
      <c r="O388" s="167">
        <v>17.3</v>
      </c>
      <c r="P388" s="167">
        <v>17.3</v>
      </c>
      <c r="Q388" s="167">
        <v>17.3</v>
      </c>
      <c r="R388" s="167">
        <v>17.3</v>
      </c>
      <c r="S388" s="167">
        <v>17.3</v>
      </c>
      <c r="T388" s="167">
        <v>17.3</v>
      </c>
      <c r="U388" s="167">
        <v>17.3</v>
      </c>
      <c r="V388" s="167">
        <v>17.3</v>
      </c>
      <c r="W388" s="167">
        <v>17.3</v>
      </c>
      <c r="X388" s="167">
        <v>17.3</v>
      </c>
      <c r="Y388" s="167">
        <v>17.3</v>
      </c>
      <c r="Z388" s="167">
        <v>17.3</v>
      </c>
      <c r="AA388" s="167">
        <v>17.3</v>
      </c>
      <c r="AB388" s="167">
        <v>17.3</v>
      </c>
      <c r="AC388" s="167">
        <v>17.3</v>
      </c>
      <c r="AD388" s="167">
        <v>17.3</v>
      </c>
      <c r="AE388" s="167">
        <f t="shared" si="20"/>
        <v>449.80000000000018</v>
      </c>
    </row>
    <row r="389" spans="1:31">
      <c r="A389" s="197">
        <f t="shared" ref="A389:A452" si="21">A388+1</f>
        <v>45769</v>
      </c>
      <c r="B389" s="167">
        <f>YEAR(Table7[[#This Row],[Date]])+IF(MONTH(Table7[[#This Row],[Date]])&gt;=4,1,0)</f>
        <v>2026</v>
      </c>
      <c r="C389" s="167">
        <f>YEAR(Table7[[#This Row],[Date]])</f>
        <v>2025</v>
      </c>
      <c r="D389" s="168">
        <f t="shared" si="19"/>
        <v>45748</v>
      </c>
      <c r="E389" s="167">
        <v>17.3</v>
      </c>
      <c r="F389" s="167">
        <v>17.3</v>
      </c>
      <c r="G389" s="167">
        <v>17.3</v>
      </c>
      <c r="H389" s="167">
        <v>17.3</v>
      </c>
      <c r="I389" s="167">
        <v>17.3</v>
      </c>
      <c r="J389" s="167">
        <v>17.3</v>
      </c>
      <c r="K389" s="167">
        <v>17.3</v>
      </c>
      <c r="L389" s="167">
        <v>17.3</v>
      </c>
      <c r="M389" s="167">
        <v>17.3</v>
      </c>
      <c r="N389" s="167">
        <v>17.3</v>
      </c>
      <c r="O389" s="167">
        <v>17.3</v>
      </c>
      <c r="P389" s="167">
        <v>17.3</v>
      </c>
      <c r="Q389" s="167">
        <v>17.3</v>
      </c>
      <c r="R389" s="167">
        <v>17.3</v>
      </c>
      <c r="S389" s="167">
        <v>17.3</v>
      </c>
      <c r="T389" s="167">
        <v>17.3</v>
      </c>
      <c r="U389" s="167">
        <v>17.3</v>
      </c>
      <c r="V389" s="167">
        <v>17.3</v>
      </c>
      <c r="W389" s="167">
        <v>17.3</v>
      </c>
      <c r="X389" s="167">
        <v>17.3</v>
      </c>
      <c r="Y389" s="167">
        <v>17.3</v>
      </c>
      <c r="Z389" s="167">
        <v>17.3</v>
      </c>
      <c r="AA389" s="167">
        <v>17.3</v>
      </c>
      <c r="AB389" s="167">
        <v>17.3</v>
      </c>
      <c r="AC389" s="167">
        <v>17.3</v>
      </c>
      <c r="AD389" s="167">
        <v>17.3</v>
      </c>
      <c r="AE389" s="167">
        <f t="shared" si="20"/>
        <v>449.80000000000018</v>
      </c>
    </row>
    <row r="390" spans="1:31">
      <c r="A390" s="197">
        <f t="shared" si="21"/>
        <v>45770</v>
      </c>
      <c r="B390" s="167">
        <f>YEAR(Table7[[#This Row],[Date]])+IF(MONTH(Table7[[#This Row],[Date]])&gt;=4,1,0)</f>
        <v>2026</v>
      </c>
      <c r="C390" s="167">
        <f>YEAR(Table7[[#This Row],[Date]])</f>
        <v>2025</v>
      </c>
      <c r="D390" s="168">
        <f t="shared" si="19"/>
        <v>45748</v>
      </c>
      <c r="E390" s="167">
        <v>34.61</v>
      </c>
      <c r="F390" s="167">
        <v>34.61</v>
      </c>
      <c r="G390" s="167">
        <v>34.61</v>
      </c>
      <c r="H390" s="167">
        <v>34.61</v>
      </c>
      <c r="I390" s="167">
        <v>34.61</v>
      </c>
      <c r="J390" s="167">
        <v>34.61</v>
      </c>
      <c r="K390" s="167">
        <v>34.61</v>
      </c>
      <c r="L390" s="167">
        <v>34.61</v>
      </c>
      <c r="M390" s="167">
        <v>34.61</v>
      </c>
      <c r="N390" s="167">
        <v>34.61</v>
      </c>
      <c r="O390" s="167">
        <v>34.61</v>
      </c>
      <c r="P390" s="167">
        <v>34.61</v>
      </c>
      <c r="Q390" s="167">
        <v>34.61</v>
      </c>
      <c r="R390" s="167">
        <v>34.61</v>
      </c>
      <c r="S390" s="167">
        <v>34.61</v>
      </c>
      <c r="T390" s="167">
        <v>34.61</v>
      </c>
      <c r="U390" s="167">
        <v>34.61</v>
      </c>
      <c r="V390" s="167">
        <v>34.61</v>
      </c>
      <c r="W390" s="167">
        <v>34.61</v>
      </c>
      <c r="X390" s="167">
        <v>34.61</v>
      </c>
      <c r="Y390" s="167">
        <v>34.61</v>
      </c>
      <c r="Z390" s="167">
        <v>34.61</v>
      </c>
      <c r="AA390" s="167">
        <v>34.61</v>
      </c>
      <c r="AB390" s="167">
        <v>34.61</v>
      </c>
      <c r="AC390" s="167">
        <v>34.61</v>
      </c>
      <c r="AD390" s="167">
        <v>34.61</v>
      </c>
      <c r="AE390" s="167">
        <f t="shared" si="20"/>
        <v>899.86000000000024</v>
      </c>
    </row>
    <row r="391" spans="1:31">
      <c r="A391" s="197">
        <f t="shared" si="21"/>
        <v>45771</v>
      </c>
      <c r="B391" s="167">
        <f>YEAR(Table7[[#This Row],[Date]])+IF(MONTH(Table7[[#This Row],[Date]])&gt;=4,1,0)</f>
        <v>2026</v>
      </c>
      <c r="C391" s="167">
        <f>YEAR(Table7[[#This Row],[Date]])</f>
        <v>2025</v>
      </c>
      <c r="D391" s="168">
        <f t="shared" si="19"/>
        <v>45748</v>
      </c>
      <c r="E391" s="167">
        <v>34.61</v>
      </c>
      <c r="F391" s="167">
        <v>34.61</v>
      </c>
      <c r="G391" s="167">
        <v>34.61</v>
      </c>
      <c r="H391" s="167">
        <v>34.61</v>
      </c>
      <c r="I391" s="167">
        <v>34.61</v>
      </c>
      <c r="J391" s="167">
        <v>34.61</v>
      </c>
      <c r="K391" s="167">
        <v>34.61</v>
      </c>
      <c r="L391" s="167">
        <v>34.61</v>
      </c>
      <c r="M391" s="167">
        <v>34.61</v>
      </c>
      <c r="N391" s="167">
        <v>34.61</v>
      </c>
      <c r="O391" s="167">
        <v>34.61</v>
      </c>
      <c r="P391" s="167">
        <v>34.61</v>
      </c>
      <c r="Q391" s="167">
        <v>34.61</v>
      </c>
      <c r="R391" s="167">
        <v>34.61</v>
      </c>
      <c r="S391" s="167">
        <v>34.61</v>
      </c>
      <c r="T391" s="167">
        <v>34.61</v>
      </c>
      <c r="U391" s="167">
        <v>34.61</v>
      </c>
      <c r="V391" s="167">
        <v>34.61</v>
      </c>
      <c r="W391" s="167">
        <v>34.61</v>
      </c>
      <c r="X391" s="167">
        <v>34.61</v>
      </c>
      <c r="Y391" s="167">
        <v>34.61</v>
      </c>
      <c r="Z391" s="167">
        <v>34.61</v>
      </c>
      <c r="AA391" s="167">
        <v>34.61</v>
      </c>
      <c r="AB391" s="167">
        <v>34.61</v>
      </c>
      <c r="AC391" s="167">
        <v>34.61</v>
      </c>
      <c r="AD391" s="167">
        <v>34.61</v>
      </c>
      <c r="AE391" s="167">
        <f t="shared" si="20"/>
        <v>899.86000000000024</v>
      </c>
    </row>
    <row r="392" spans="1:31">
      <c r="A392" s="197">
        <f t="shared" si="21"/>
        <v>45772</v>
      </c>
      <c r="B392" s="167">
        <f>YEAR(Table7[[#This Row],[Date]])+IF(MONTH(Table7[[#This Row],[Date]])&gt;=4,1,0)</f>
        <v>2026</v>
      </c>
      <c r="C392" s="167">
        <f>YEAR(Table7[[#This Row],[Date]])</f>
        <v>2025</v>
      </c>
      <c r="D392" s="168">
        <f t="shared" si="19"/>
        <v>45748</v>
      </c>
      <c r="E392" s="167">
        <v>51.92</v>
      </c>
      <c r="F392" s="167">
        <v>51.92</v>
      </c>
      <c r="G392" s="167">
        <v>51.92</v>
      </c>
      <c r="H392" s="167">
        <v>51.92</v>
      </c>
      <c r="I392" s="167">
        <v>51.92</v>
      </c>
      <c r="J392" s="167">
        <v>51.92</v>
      </c>
      <c r="K392" s="167">
        <v>51.92</v>
      </c>
      <c r="L392" s="167">
        <v>51.92</v>
      </c>
      <c r="M392" s="167">
        <v>51.92</v>
      </c>
      <c r="N392" s="167">
        <v>51.92</v>
      </c>
      <c r="O392" s="167">
        <v>51.92</v>
      </c>
      <c r="P392" s="167">
        <v>51.92</v>
      </c>
      <c r="Q392" s="167">
        <v>51.92</v>
      </c>
      <c r="R392" s="167">
        <v>51.92</v>
      </c>
      <c r="S392" s="167">
        <v>51.92</v>
      </c>
      <c r="T392" s="167">
        <v>51.92</v>
      </c>
      <c r="U392" s="167">
        <v>51.92</v>
      </c>
      <c r="V392" s="167">
        <v>51.92</v>
      </c>
      <c r="W392" s="167">
        <v>51.92</v>
      </c>
      <c r="X392" s="167">
        <v>51.92</v>
      </c>
      <c r="Y392" s="167">
        <v>51.92</v>
      </c>
      <c r="Z392" s="167">
        <v>51.92</v>
      </c>
      <c r="AA392" s="167">
        <v>51.92</v>
      </c>
      <c r="AB392" s="167">
        <v>51.92</v>
      </c>
      <c r="AC392" s="167">
        <v>51.92</v>
      </c>
      <c r="AD392" s="167">
        <v>51.92</v>
      </c>
      <c r="AE392" s="167">
        <f t="shared" si="20"/>
        <v>1349.92</v>
      </c>
    </row>
    <row r="393" spans="1:31">
      <c r="A393" s="197">
        <f t="shared" si="21"/>
        <v>45773</v>
      </c>
      <c r="B393" s="167">
        <f>YEAR(Table7[[#This Row],[Date]])+IF(MONTH(Table7[[#This Row],[Date]])&gt;=4,1,0)</f>
        <v>2026</v>
      </c>
      <c r="C393" s="167">
        <f>YEAR(Table7[[#This Row],[Date]])</f>
        <v>2025</v>
      </c>
      <c r="D393" s="168">
        <f t="shared" si="19"/>
        <v>45748</v>
      </c>
      <c r="E393" s="167">
        <v>415.38</v>
      </c>
      <c r="F393" s="167">
        <v>415.38</v>
      </c>
      <c r="G393" s="167">
        <v>415.38</v>
      </c>
      <c r="H393" s="167">
        <v>415.38</v>
      </c>
      <c r="I393" s="167">
        <v>415.38</v>
      </c>
      <c r="J393" s="167">
        <v>415.38</v>
      </c>
      <c r="K393" s="167">
        <v>415.38</v>
      </c>
      <c r="L393" s="167">
        <v>415.38</v>
      </c>
      <c r="M393" s="167">
        <v>415.38</v>
      </c>
      <c r="N393" s="167">
        <v>415.38</v>
      </c>
      <c r="O393" s="167">
        <v>415.38</v>
      </c>
      <c r="P393" s="167">
        <v>415.38</v>
      </c>
      <c r="Q393" s="167">
        <v>415.38</v>
      </c>
      <c r="R393" s="167">
        <v>415.38</v>
      </c>
      <c r="S393" s="167">
        <v>415.38</v>
      </c>
      <c r="T393" s="167">
        <v>415.38</v>
      </c>
      <c r="U393" s="167">
        <v>415.38</v>
      </c>
      <c r="V393" s="167">
        <v>415.38</v>
      </c>
      <c r="W393" s="167">
        <v>415.38</v>
      </c>
      <c r="X393" s="167">
        <v>415.38</v>
      </c>
      <c r="Y393" s="167">
        <v>415.38</v>
      </c>
      <c r="Z393" s="167">
        <v>415.38</v>
      </c>
      <c r="AA393" s="167">
        <v>415.38</v>
      </c>
      <c r="AB393" s="167">
        <v>415.38</v>
      </c>
      <c r="AC393" s="167">
        <v>415.38</v>
      </c>
      <c r="AD393" s="167">
        <v>415.38</v>
      </c>
      <c r="AE393" s="167">
        <f t="shared" si="20"/>
        <v>10799.879999999996</v>
      </c>
    </row>
    <row r="394" spans="1:31">
      <c r="A394" s="197">
        <f t="shared" si="21"/>
        <v>45774</v>
      </c>
      <c r="B394" s="167">
        <f>YEAR(Table7[[#This Row],[Date]])+IF(MONTH(Table7[[#This Row],[Date]])&gt;=4,1,0)</f>
        <v>2026</v>
      </c>
      <c r="C394" s="167">
        <f>YEAR(Table7[[#This Row],[Date]])</f>
        <v>2025</v>
      </c>
      <c r="D394" s="168">
        <f t="shared" si="19"/>
        <v>45748</v>
      </c>
      <c r="E394" s="167">
        <v>51.92</v>
      </c>
      <c r="F394" s="167">
        <v>51.92</v>
      </c>
      <c r="G394" s="167">
        <v>51.92</v>
      </c>
      <c r="H394" s="167">
        <v>51.92</v>
      </c>
      <c r="I394" s="167">
        <v>51.92</v>
      </c>
      <c r="J394" s="167">
        <v>51.92</v>
      </c>
      <c r="K394" s="167">
        <v>51.92</v>
      </c>
      <c r="L394" s="167">
        <v>51.92</v>
      </c>
      <c r="M394" s="167">
        <v>51.92</v>
      </c>
      <c r="N394" s="167">
        <v>51.92</v>
      </c>
      <c r="O394" s="167">
        <v>51.92</v>
      </c>
      <c r="P394" s="167">
        <v>51.92</v>
      </c>
      <c r="Q394" s="167">
        <v>51.92</v>
      </c>
      <c r="R394" s="167">
        <v>51.92</v>
      </c>
      <c r="S394" s="167">
        <v>51.92</v>
      </c>
      <c r="T394" s="167">
        <v>51.92</v>
      </c>
      <c r="U394" s="167">
        <v>51.92</v>
      </c>
      <c r="V394" s="167">
        <v>51.92</v>
      </c>
      <c r="W394" s="167">
        <v>51.92</v>
      </c>
      <c r="X394" s="167">
        <v>51.92</v>
      </c>
      <c r="Y394" s="167">
        <v>51.92</v>
      </c>
      <c r="Z394" s="167">
        <v>51.92</v>
      </c>
      <c r="AA394" s="167">
        <v>51.92</v>
      </c>
      <c r="AB394" s="167">
        <v>51.92</v>
      </c>
      <c r="AC394" s="167">
        <v>51.92</v>
      </c>
      <c r="AD394" s="167">
        <v>51.92</v>
      </c>
      <c r="AE394" s="167">
        <f t="shared" si="20"/>
        <v>1349.92</v>
      </c>
    </row>
    <row r="395" spans="1:31">
      <c r="A395" s="197">
        <f t="shared" si="21"/>
        <v>45775</v>
      </c>
      <c r="B395" s="167">
        <f>YEAR(Table7[[#This Row],[Date]])+IF(MONTH(Table7[[#This Row],[Date]])&gt;=4,1,0)</f>
        <v>2026</v>
      </c>
      <c r="C395" s="167">
        <f>YEAR(Table7[[#This Row],[Date]])</f>
        <v>2025</v>
      </c>
      <c r="D395" s="168">
        <f t="shared" si="19"/>
        <v>45748</v>
      </c>
      <c r="E395" s="167">
        <v>69.23</v>
      </c>
      <c r="F395" s="167">
        <v>69.23</v>
      </c>
      <c r="G395" s="167">
        <v>69.23</v>
      </c>
      <c r="H395" s="167">
        <v>69.23</v>
      </c>
      <c r="I395" s="167">
        <v>69.23</v>
      </c>
      <c r="J395" s="167">
        <v>69.23</v>
      </c>
      <c r="K395" s="167">
        <v>69.23</v>
      </c>
      <c r="L395" s="167">
        <v>69.23</v>
      </c>
      <c r="M395" s="167">
        <v>69.23</v>
      </c>
      <c r="N395" s="167">
        <v>69.23</v>
      </c>
      <c r="O395" s="167">
        <v>69.23</v>
      </c>
      <c r="P395" s="167">
        <v>69.23</v>
      </c>
      <c r="Q395" s="167">
        <v>69.23</v>
      </c>
      <c r="R395" s="167">
        <v>69.23</v>
      </c>
      <c r="S395" s="167">
        <v>69.23</v>
      </c>
      <c r="T395" s="167">
        <v>69.23</v>
      </c>
      <c r="U395" s="167">
        <v>69.23</v>
      </c>
      <c r="V395" s="167">
        <v>69.23</v>
      </c>
      <c r="W395" s="167">
        <v>69.23</v>
      </c>
      <c r="X395" s="167">
        <v>69.23</v>
      </c>
      <c r="Y395" s="167">
        <v>69.23</v>
      </c>
      <c r="Z395" s="167">
        <v>69.23</v>
      </c>
      <c r="AA395" s="167">
        <v>69.23</v>
      </c>
      <c r="AB395" s="167">
        <v>69.23</v>
      </c>
      <c r="AC395" s="167">
        <v>69.23</v>
      </c>
      <c r="AD395" s="167">
        <v>69.23</v>
      </c>
      <c r="AE395" s="167">
        <f t="shared" si="20"/>
        <v>1799.9800000000002</v>
      </c>
    </row>
    <row r="396" spans="1:31">
      <c r="A396" s="197">
        <f t="shared" si="21"/>
        <v>45776</v>
      </c>
      <c r="B396" s="167">
        <f>YEAR(Table7[[#This Row],[Date]])+IF(MONTH(Table7[[#This Row],[Date]])&gt;=4,1,0)</f>
        <v>2026</v>
      </c>
      <c r="C396" s="167">
        <f>YEAR(Table7[[#This Row],[Date]])</f>
        <v>2025</v>
      </c>
      <c r="D396" s="168">
        <f t="shared" si="19"/>
        <v>45748</v>
      </c>
      <c r="E396" s="167">
        <v>103.84</v>
      </c>
      <c r="F396" s="167">
        <v>103.84</v>
      </c>
      <c r="G396" s="167">
        <v>103.84</v>
      </c>
      <c r="H396" s="167">
        <v>103.84</v>
      </c>
      <c r="I396" s="167">
        <v>103.84</v>
      </c>
      <c r="J396" s="167">
        <v>103.84</v>
      </c>
      <c r="K396" s="167">
        <v>103.84</v>
      </c>
      <c r="L396" s="167">
        <v>103.84</v>
      </c>
      <c r="M396" s="167">
        <v>103.84</v>
      </c>
      <c r="N396" s="167">
        <v>103.84</v>
      </c>
      <c r="O396" s="167">
        <v>103.84</v>
      </c>
      <c r="P396" s="167">
        <v>103.84</v>
      </c>
      <c r="Q396" s="167">
        <v>103.84</v>
      </c>
      <c r="R396" s="167">
        <v>103.84</v>
      </c>
      <c r="S396" s="167">
        <v>103.84</v>
      </c>
      <c r="T396" s="167">
        <v>103.84</v>
      </c>
      <c r="U396" s="167">
        <v>103.84</v>
      </c>
      <c r="V396" s="167">
        <v>103.84</v>
      </c>
      <c r="W396" s="167">
        <v>103.84</v>
      </c>
      <c r="X396" s="167">
        <v>103.84</v>
      </c>
      <c r="Y396" s="167">
        <v>103.84</v>
      </c>
      <c r="Z396" s="167">
        <v>103.84</v>
      </c>
      <c r="AA396" s="167">
        <v>103.84</v>
      </c>
      <c r="AB396" s="167">
        <v>103.84</v>
      </c>
      <c r="AC396" s="167">
        <v>103.84</v>
      </c>
      <c r="AD396" s="167">
        <v>103.84</v>
      </c>
      <c r="AE396" s="167">
        <f t="shared" si="20"/>
        <v>2699.84</v>
      </c>
    </row>
    <row r="397" spans="1:31">
      <c r="A397" s="197">
        <f t="shared" si="21"/>
        <v>45777</v>
      </c>
      <c r="B397" s="167">
        <f>YEAR(Table7[[#This Row],[Date]])+IF(MONTH(Table7[[#This Row],[Date]])&gt;=4,1,0)</f>
        <v>2026</v>
      </c>
      <c r="C397" s="167">
        <f>YEAR(Table7[[#This Row],[Date]])</f>
        <v>2025</v>
      </c>
      <c r="D397" s="168">
        <f t="shared" si="19"/>
        <v>45748</v>
      </c>
      <c r="E397" s="167">
        <v>103.84</v>
      </c>
      <c r="F397" s="167">
        <v>103.84</v>
      </c>
      <c r="G397" s="167">
        <v>103.84</v>
      </c>
      <c r="H397" s="167">
        <v>103.84</v>
      </c>
      <c r="I397" s="167">
        <v>103.84</v>
      </c>
      <c r="J397" s="167">
        <v>103.84</v>
      </c>
      <c r="K397" s="167">
        <v>103.84</v>
      </c>
      <c r="L397" s="167">
        <v>103.84</v>
      </c>
      <c r="M397" s="167">
        <v>103.84</v>
      </c>
      <c r="N397" s="167">
        <v>103.84</v>
      </c>
      <c r="O397" s="167">
        <v>103.84</v>
      </c>
      <c r="P397" s="167">
        <v>103.84</v>
      </c>
      <c r="Q397" s="167">
        <v>103.84</v>
      </c>
      <c r="R397" s="167">
        <v>103.84</v>
      </c>
      <c r="S397" s="167">
        <v>103.84</v>
      </c>
      <c r="T397" s="167">
        <v>103.84</v>
      </c>
      <c r="U397" s="167">
        <v>103.84</v>
      </c>
      <c r="V397" s="167">
        <v>103.84</v>
      </c>
      <c r="W397" s="167">
        <v>103.84</v>
      </c>
      <c r="X397" s="167">
        <v>103.84</v>
      </c>
      <c r="Y397" s="167">
        <v>103.84</v>
      </c>
      <c r="Z397" s="167">
        <v>103.84</v>
      </c>
      <c r="AA397" s="167">
        <v>103.84</v>
      </c>
      <c r="AB397" s="167">
        <v>103.84</v>
      </c>
      <c r="AC397" s="167">
        <v>103.84</v>
      </c>
      <c r="AD397" s="167">
        <v>103.84</v>
      </c>
      <c r="AE397" s="167">
        <f t="shared" si="20"/>
        <v>2699.84</v>
      </c>
    </row>
    <row r="398" spans="1:31">
      <c r="A398" s="197">
        <f t="shared" si="21"/>
        <v>45778</v>
      </c>
      <c r="B398" s="167">
        <f>YEAR(Table7[[#This Row],[Date]])+IF(MONTH(Table7[[#This Row],[Date]])&gt;=4,1,0)</f>
        <v>2026</v>
      </c>
      <c r="C398" s="167">
        <f>YEAR(Table7[[#This Row],[Date]])</f>
        <v>2025</v>
      </c>
      <c r="D398" s="168">
        <f t="shared" si="19"/>
        <v>45778</v>
      </c>
      <c r="E398" s="299">
        <v>103.84</v>
      </c>
      <c r="F398" s="299">
        <v>103.84</v>
      </c>
      <c r="G398" s="299">
        <v>103.84</v>
      </c>
      <c r="H398" s="299">
        <v>103.84</v>
      </c>
      <c r="I398" s="299">
        <v>103.84</v>
      </c>
      <c r="J398" s="299">
        <v>103.84</v>
      </c>
      <c r="K398" s="299">
        <v>103.84</v>
      </c>
      <c r="L398" s="299">
        <v>103.84</v>
      </c>
      <c r="M398" s="299">
        <v>103.84</v>
      </c>
      <c r="N398" s="299">
        <v>103.84</v>
      </c>
      <c r="O398" s="299">
        <v>103.84</v>
      </c>
      <c r="P398" s="299">
        <v>103.84</v>
      </c>
      <c r="Q398" s="299">
        <v>103.84</v>
      </c>
      <c r="R398" s="299">
        <v>103.84</v>
      </c>
      <c r="S398" s="299">
        <v>103.84</v>
      </c>
      <c r="T398" s="299">
        <v>103.84</v>
      </c>
      <c r="U398" s="299">
        <v>103.84</v>
      </c>
      <c r="V398" s="299">
        <v>103.84</v>
      </c>
      <c r="W398" s="299">
        <v>103.84</v>
      </c>
      <c r="X398" s="299">
        <v>103.84</v>
      </c>
      <c r="Y398" s="299">
        <v>103.84</v>
      </c>
      <c r="Z398" s="299">
        <v>103.84</v>
      </c>
      <c r="AA398" s="299">
        <v>103.84</v>
      </c>
      <c r="AB398" s="299">
        <v>103.84</v>
      </c>
      <c r="AC398" s="299">
        <v>103.84</v>
      </c>
      <c r="AD398" s="299">
        <v>103.84</v>
      </c>
      <c r="AE398" s="167">
        <f t="shared" si="20"/>
        <v>2699.84</v>
      </c>
    </row>
    <row r="399" spans="1:31">
      <c r="A399" s="197">
        <f t="shared" si="21"/>
        <v>45779</v>
      </c>
      <c r="B399" s="167">
        <f>YEAR(Table7[[#This Row],[Date]])+IF(MONTH(Table7[[#This Row],[Date]])&gt;=4,1,0)</f>
        <v>2026</v>
      </c>
      <c r="C399" s="167">
        <f>YEAR(Table7[[#This Row],[Date]])</f>
        <v>2025</v>
      </c>
      <c r="D399" s="168">
        <f t="shared" si="19"/>
        <v>45778</v>
      </c>
      <c r="E399" s="300">
        <v>86.53</v>
      </c>
      <c r="F399" s="300">
        <v>86.53</v>
      </c>
      <c r="G399" s="300">
        <v>86.53</v>
      </c>
      <c r="H399" s="300">
        <v>86.53</v>
      </c>
      <c r="I399" s="300">
        <v>86.53</v>
      </c>
      <c r="J399" s="300">
        <v>86.53</v>
      </c>
      <c r="K399" s="300">
        <v>86.53</v>
      </c>
      <c r="L399" s="300">
        <v>86.53</v>
      </c>
      <c r="M399" s="300">
        <v>86.53</v>
      </c>
      <c r="N399" s="300">
        <v>86.53</v>
      </c>
      <c r="O399" s="300">
        <v>86.53</v>
      </c>
      <c r="P399" s="300">
        <v>86.53</v>
      </c>
      <c r="Q399" s="300">
        <v>86.53</v>
      </c>
      <c r="R399" s="300">
        <v>86.53</v>
      </c>
      <c r="S399" s="300">
        <v>86.53</v>
      </c>
      <c r="T399" s="300">
        <v>86.53</v>
      </c>
      <c r="U399" s="300">
        <v>86.53</v>
      </c>
      <c r="V399" s="300">
        <v>86.53</v>
      </c>
      <c r="W399" s="300">
        <v>86.53</v>
      </c>
      <c r="X399" s="300">
        <v>86.53</v>
      </c>
      <c r="Y399" s="300">
        <v>86.53</v>
      </c>
      <c r="Z399" s="300">
        <v>86.53</v>
      </c>
      <c r="AA399" s="300">
        <v>86.53</v>
      </c>
      <c r="AB399" s="300">
        <v>86.53</v>
      </c>
      <c r="AC399" s="300">
        <v>86.53</v>
      </c>
      <c r="AD399" s="300">
        <v>86.53</v>
      </c>
      <c r="AE399" s="167">
        <f t="shared" si="20"/>
        <v>2249.7800000000002</v>
      </c>
    </row>
    <row r="400" spans="1:31">
      <c r="A400" s="197">
        <f t="shared" si="21"/>
        <v>45780</v>
      </c>
      <c r="B400" s="167">
        <f>YEAR(Table7[[#This Row],[Date]])+IF(MONTH(Table7[[#This Row],[Date]])&gt;=4,1,0)</f>
        <v>2026</v>
      </c>
      <c r="C400" s="167">
        <f>YEAR(Table7[[#This Row],[Date]])</f>
        <v>2025</v>
      </c>
      <c r="D400" s="168">
        <f t="shared" si="19"/>
        <v>45778</v>
      </c>
      <c r="E400" s="299">
        <v>1107.69</v>
      </c>
      <c r="F400" s="299">
        <v>1107.69</v>
      </c>
      <c r="G400" s="299">
        <v>1107.69</v>
      </c>
      <c r="H400" s="299">
        <v>1107.69</v>
      </c>
      <c r="I400" s="299">
        <v>1107.69</v>
      </c>
      <c r="J400" s="299">
        <v>1107.69</v>
      </c>
      <c r="K400" s="299">
        <v>1107.69</v>
      </c>
      <c r="L400" s="299">
        <v>1107.69</v>
      </c>
      <c r="M400" s="299">
        <v>1107.69</v>
      </c>
      <c r="N400" s="299">
        <v>1107.69</v>
      </c>
      <c r="O400" s="299">
        <v>1107.69</v>
      </c>
      <c r="P400" s="299">
        <v>1107.69</v>
      </c>
      <c r="Q400" s="299">
        <v>1107.69</v>
      </c>
      <c r="R400" s="299">
        <v>1107.69</v>
      </c>
      <c r="S400" s="299">
        <v>1107.69</v>
      </c>
      <c r="T400" s="299">
        <v>1107.69</v>
      </c>
      <c r="U400" s="299">
        <v>1107.69</v>
      </c>
      <c r="V400" s="299">
        <v>1107.69</v>
      </c>
      <c r="W400" s="299">
        <v>1107.69</v>
      </c>
      <c r="X400" s="299">
        <v>1107.69</v>
      </c>
      <c r="Y400" s="299">
        <v>1107.69</v>
      </c>
      <c r="Z400" s="299">
        <v>1107.69</v>
      </c>
      <c r="AA400" s="299">
        <v>1107.69</v>
      </c>
      <c r="AB400" s="299">
        <v>1107.69</v>
      </c>
      <c r="AC400" s="299">
        <v>1107.69</v>
      </c>
      <c r="AD400" s="299">
        <v>1107.69</v>
      </c>
      <c r="AE400" s="167">
        <f t="shared" si="20"/>
        <v>28799.939999999991</v>
      </c>
    </row>
    <row r="401" spans="1:31">
      <c r="A401" s="197">
        <f t="shared" si="21"/>
        <v>45781</v>
      </c>
      <c r="B401" s="167">
        <f>YEAR(Table7[[#This Row],[Date]])+IF(MONTH(Table7[[#This Row],[Date]])&gt;=4,1,0)</f>
        <v>2026</v>
      </c>
      <c r="C401" s="167">
        <f>YEAR(Table7[[#This Row],[Date]])</f>
        <v>2025</v>
      </c>
      <c r="D401" s="168">
        <f t="shared" si="19"/>
        <v>45778</v>
      </c>
      <c r="E401" s="300">
        <v>796.15</v>
      </c>
      <c r="F401" s="300">
        <v>796.15</v>
      </c>
      <c r="G401" s="300">
        <v>796.15</v>
      </c>
      <c r="H401" s="300">
        <v>796.15</v>
      </c>
      <c r="I401" s="300">
        <v>796.15</v>
      </c>
      <c r="J401" s="300">
        <v>796.15</v>
      </c>
      <c r="K401" s="300">
        <v>796.15</v>
      </c>
      <c r="L401" s="300">
        <v>796.15</v>
      </c>
      <c r="M401" s="300">
        <v>796.15</v>
      </c>
      <c r="N401" s="300">
        <v>796.15</v>
      </c>
      <c r="O401" s="300">
        <v>796.15</v>
      </c>
      <c r="P401" s="300">
        <v>796.15</v>
      </c>
      <c r="Q401" s="300">
        <v>796.15</v>
      </c>
      <c r="R401" s="300">
        <v>796.15</v>
      </c>
      <c r="S401" s="300">
        <v>796.15</v>
      </c>
      <c r="T401" s="300">
        <v>796.15</v>
      </c>
      <c r="U401" s="300">
        <v>796.15</v>
      </c>
      <c r="V401" s="300">
        <v>796.15</v>
      </c>
      <c r="W401" s="300">
        <v>796.15</v>
      </c>
      <c r="X401" s="300">
        <v>796.15</v>
      </c>
      <c r="Y401" s="300">
        <v>796.15</v>
      </c>
      <c r="Z401" s="300">
        <v>796.15</v>
      </c>
      <c r="AA401" s="300">
        <v>796.15</v>
      </c>
      <c r="AB401" s="300">
        <v>796.15</v>
      </c>
      <c r="AC401" s="300">
        <v>796.15</v>
      </c>
      <c r="AD401" s="300">
        <v>796.15</v>
      </c>
      <c r="AE401" s="167">
        <f t="shared" si="20"/>
        <v>20699.900000000001</v>
      </c>
    </row>
    <row r="402" spans="1:31">
      <c r="A402" s="197">
        <f t="shared" si="21"/>
        <v>45782</v>
      </c>
      <c r="B402" s="167">
        <f>YEAR(Table7[[#This Row],[Date]])+IF(MONTH(Table7[[#This Row],[Date]])&gt;=4,1,0)</f>
        <v>2026</v>
      </c>
      <c r="C402" s="167">
        <f>YEAR(Table7[[#This Row],[Date]])</f>
        <v>2025</v>
      </c>
      <c r="D402" s="168">
        <f t="shared" si="19"/>
        <v>45778</v>
      </c>
      <c r="E402" s="167">
        <v>865.38</v>
      </c>
      <c r="F402" s="167">
        <v>865.38</v>
      </c>
      <c r="G402" s="167">
        <v>865.38</v>
      </c>
      <c r="H402" s="167">
        <v>865.38</v>
      </c>
      <c r="I402" s="167">
        <v>865.38</v>
      </c>
      <c r="J402" s="167">
        <v>865.38</v>
      </c>
      <c r="K402" s="167">
        <v>865.38</v>
      </c>
      <c r="L402" s="167">
        <v>865.38</v>
      </c>
      <c r="M402" s="167">
        <v>865.38</v>
      </c>
      <c r="N402" s="167">
        <v>865.38</v>
      </c>
      <c r="O402" s="167">
        <v>865.38</v>
      </c>
      <c r="P402" s="167">
        <v>865.38</v>
      </c>
      <c r="Q402" s="167">
        <v>865.38</v>
      </c>
      <c r="R402" s="167">
        <v>865.38</v>
      </c>
      <c r="S402" s="167">
        <v>865.38</v>
      </c>
      <c r="T402" s="167">
        <v>865.38</v>
      </c>
      <c r="U402" s="167">
        <v>865.38</v>
      </c>
      <c r="V402" s="167">
        <v>865.38</v>
      </c>
      <c r="W402" s="167">
        <v>865.38</v>
      </c>
      <c r="X402" s="167">
        <v>865.38</v>
      </c>
      <c r="Y402" s="167">
        <v>865.38</v>
      </c>
      <c r="Z402" s="167">
        <v>865.38</v>
      </c>
      <c r="AA402" s="167">
        <v>865.38</v>
      </c>
      <c r="AB402" s="167">
        <v>865.38</v>
      </c>
      <c r="AC402" s="167">
        <v>865.38</v>
      </c>
      <c r="AD402" s="167">
        <v>865.38</v>
      </c>
      <c r="AE402" s="167">
        <f t="shared" si="20"/>
        <v>22499.88</v>
      </c>
    </row>
    <row r="403" spans="1:31">
      <c r="A403" s="197">
        <f t="shared" si="21"/>
        <v>45783</v>
      </c>
      <c r="B403" s="167">
        <f>YEAR(Table7[[#This Row],[Date]])+IF(MONTH(Table7[[#This Row],[Date]])&gt;=4,1,0)</f>
        <v>2026</v>
      </c>
      <c r="C403" s="167">
        <f>YEAR(Table7[[#This Row],[Date]])</f>
        <v>2025</v>
      </c>
      <c r="D403" s="168">
        <f t="shared" si="19"/>
        <v>45778</v>
      </c>
      <c r="E403" s="167">
        <v>86.53</v>
      </c>
      <c r="F403" s="167">
        <v>86.53</v>
      </c>
      <c r="G403" s="167">
        <v>86.53</v>
      </c>
      <c r="H403" s="167">
        <v>86.53</v>
      </c>
      <c r="I403" s="167">
        <v>86.53</v>
      </c>
      <c r="J403" s="167">
        <v>86.53</v>
      </c>
      <c r="K403" s="167">
        <v>86.53</v>
      </c>
      <c r="L403" s="167">
        <v>86.53</v>
      </c>
      <c r="M403" s="167">
        <v>86.53</v>
      </c>
      <c r="N403" s="167">
        <v>86.53</v>
      </c>
      <c r="O403" s="167">
        <v>86.53</v>
      </c>
      <c r="P403" s="167">
        <v>86.53</v>
      </c>
      <c r="Q403" s="167">
        <v>86.53</v>
      </c>
      <c r="R403" s="167">
        <v>86.53</v>
      </c>
      <c r="S403" s="167">
        <v>86.53</v>
      </c>
      <c r="T403" s="167">
        <v>86.53</v>
      </c>
      <c r="U403" s="167">
        <v>86.53</v>
      </c>
      <c r="V403" s="167">
        <v>86.53</v>
      </c>
      <c r="W403" s="167">
        <v>86.53</v>
      </c>
      <c r="X403" s="167">
        <v>86.53</v>
      </c>
      <c r="Y403" s="167">
        <v>86.53</v>
      </c>
      <c r="Z403" s="167">
        <v>86.53</v>
      </c>
      <c r="AA403" s="167">
        <v>86.53</v>
      </c>
      <c r="AB403" s="167">
        <v>86.53</v>
      </c>
      <c r="AC403" s="167">
        <v>86.53</v>
      </c>
      <c r="AD403" s="167">
        <v>86.53</v>
      </c>
      <c r="AE403" s="167">
        <f t="shared" si="20"/>
        <v>2249.7800000000002</v>
      </c>
    </row>
    <row r="404" spans="1:31">
      <c r="A404" s="197">
        <f t="shared" si="21"/>
        <v>45784</v>
      </c>
      <c r="B404" s="167">
        <f>YEAR(Table7[[#This Row],[Date]])+IF(MONTH(Table7[[#This Row],[Date]])&gt;=4,1,0)</f>
        <v>2026</v>
      </c>
      <c r="C404" s="167">
        <f>YEAR(Table7[[#This Row],[Date]])</f>
        <v>2025</v>
      </c>
      <c r="D404" s="168">
        <f t="shared" si="19"/>
        <v>45778</v>
      </c>
      <c r="E404" s="167">
        <v>813.46</v>
      </c>
      <c r="F404" s="167">
        <v>813.46</v>
      </c>
      <c r="G404" s="167">
        <v>813.46</v>
      </c>
      <c r="H404" s="167">
        <v>813.46</v>
      </c>
      <c r="I404" s="167">
        <v>813.46</v>
      </c>
      <c r="J404" s="167">
        <v>813.46</v>
      </c>
      <c r="K404" s="167">
        <v>813.46</v>
      </c>
      <c r="L404" s="167">
        <v>813.46</v>
      </c>
      <c r="M404" s="167">
        <v>813.46</v>
      </c>
      <c r="N404" s="167">
        <v>813.46</v>
      </c>
      <c r="O404" s="167">
        <v>813.46</v>
      </c>
      <c r="P404" s="167">
        <v>813.46</v>
      </c>
      <c r="Q404" s="167">
        <v>813.46</v>
      </c>
      <c r="R404" s="167">
        <v>813.46</v>
      </c>
      <c r="S404" s="167">
        <v>813.46</v>
      </c>
      <c r="T404" s="167">
        <v>813.46</v>
      </c>
      <c r="U404" s="167">
        <v>813.46</v>
      </c>
      <c r="V404" s="167">
        <v>813.46</v>
      </c>
      <c r="W404" s="167">
        <v>813.46</v>
      </c>
      <c r="X404" s="167">
        <v>813.46</v>
      </c>
      <c r="Y404" s="167">
        <v>813.46</v>
      </c>
      <c r="Z404" s="167">
        <v>813.46</v>
      </c>
      <c r="AA404" s="167">
        <v>813.46</v>
      </c>
      <c r="AB404" s="167">
        <v>813.46</v>
      </c>
      <c r="AC404" s="167">
        <v>813.46</v>
      </c>
      <c r="AD404" s="167">
        <v>813.46</v>
      </c>
      <c r="AE404" s="167">
        <f t="shared" si="20"/>
        <v>21149.959999999988</v>
      </c>
    </row>
    <row r="405" spans="1:31">
      <c r="A405" s="197">
        <f t="shared" si="21"/>
        <v>45785</v>
      </c>
      <c r="B405" s="167">
        <f>YEAR(Table7[[#This Row],[Date]])+IF(MONTH(Table7[[#This Row],[Date]])&gt;=4,1,0)</f>
        <v>2026</v>
      </c>
      <c r="C405" s="167">
        <f>YEAR(Table7[[#This Row],[Date]])</f>
        <v>2025</v>
      </c>
      <c r="D405" s="168">
        <f t="shared" si="19"/>
        <v>45778</v>
      </c>
      <c r="E405" s="167">
        <v>17.3</v>
      </c>
      <c r="F405" s="167">
        <v>17.3</v>
      </c>
      <c r="G405" s="167">
        <v>17.3</v>
      </c>
      <c r="H405" s="167">
        <v>17.3</v>
      </c>
      <c r="I405" s="167">
        <v>17.3</v>
      </c>
      <c r="J405" s="167">
        <v>17.3</v>
      </c>
      <c r="K405" s="167">
        <v>17.3</v>
      </c>
      <c r="L405" s="167">
        <v>17.3</v>
      </c>
      <c r="M405" s="167">
        <v>17.3</v>
      </c>
      <c r="N405" s="167">
        <v>17.3</v>
      </c>
      <c r="O405" s="167">
        <v>17.3</v>
      </c>
      <c r="P405" s="167">
        <v>17.3</v>
      </c>
      <c r="Q405" s="167">
        <v>17.3</v>
      </c>
      <c r="R405" s="167">
        <v>17.3</v>
      </c>
      <c r="S405" s="167">
        <v>17.3</v>
      </c>
      <c r="T405" s="167">
        <v>17.3</v>
      </c>
      <c r="U405" s="167">
        <v>17.3</v>
      </c>
      <c r="V405" s="167">
        <v>17.3</v>
      </c>
      <c r="W405" s="167">
        <v>17.3</v>
      </c>
      <c r="X405" s="167">
        <v>17.3</v>
      </c>
      <c r="Y405" s="167">
        <v>17.3</v>
      </c>
      <c r="Z405" s="167">
        <v>17.3</v>
      </c>
      <c r="AA405" s="167">
        <v>17.3</v>
      </c>
      <c r="AB405" s="167">
        <v>17.3</v>
      </c>
      <c r="AC405" s="167">
        <v>17.3</v>
      </c>
      <c r="AD405" s="167">
        <v>17.3</v>
      </c>
      <c r="AE405" s="167">
        <f t="shared" si="20"/>
        <v>449.80000000000018</v>
      </c>
    </row>
    <row r="406" spans="1:31">
      <c r="A406" s="197">
        <f t="shared" si="21"/>
        <v>45786</v>
      </c>
      <c r="B406" s="167">
        <f>YEAR(Table7[[#This Row],[Date]])+IF(MONTH(Table7[[#This Row],[Date]])&gt;=4,1,0)</f>
        <v>2026</v>
      </c>
      <c r="C406" s="167">
        <f>YEAR(Table7[[#This Row],[Date]])</f>
        <v>2025</v>
      </c>
      <c r="D406" s="168">
        <f t="shared" si="19"/>
        <v>45778</v>
      </c>
      <c r="E406" s="167">
        <v>17.3</v>
      </c>
      <c r="F406" s="167">
        <v>17.3</v>
      </c>
      <c r="G406" s="167">
        <v>17.3</v>
      </c>
      <c r="H406" s="167">
        <v>17.3</v>
      </c>
      <c r="I406" s="167">
        <v>17.3</v>
      </c>
      <c r="J406" s="167">
        <v>17.3</v>
      </c>
      <c r="K406" s="167">
        <v>17.3</v>
      </c>
      <c r="L406" s="167">
        <v>17.3</v>
      </c>
      <c r="M406" s="167">
        <v>17.3</v>
      </c>
      <c r="N406" s="167">
        <v>17.3</v>
      </c>
      <c r="O406" s="167">
        <v>17.3</v>
      </c>
      <c r="P406" s="167">
        <v>17.3</v>
      </c>
      <c r="Q406" s="167">
        <v>17.3</v>
      </c>
      <c r="R406" s="167">
        <v>17.3</v>
      </c>
      <c r="S406" s="167">
        <v>17.3</v>
      </c>
      <c r="T406" s="167">
        <v>17.3</v>
      </c>
      <c r="U406" s="167">
        <v>17.3</v>
      </c>
      <c r="V406" s="167">
        <v>17.3</v>
      </c>
      <c r="W406" s="167">
        <v>17.3</v>
      </c>
      <c r="X406" s="167">
        <v>17.3</v>
      </c>
      <c r="Y406" s="167">
        <v>17.3</v>
      </c>
      <c r="Z406" s="167">
        <v>17.3</v>
      </c>
      <c r="AA406" s="167">
        <v>17.3</v>
      </c>
      <c r="AB406" s="167">
        <v>17.3</v>
      </c>
      <c r="AC406" s="167">
        <v>17.3</v>
      </c>
      <c r="AD406" s="167">
        <v>17.3</v>
      </c>
      <c r="AE406" s="167">
        <f t="shared" si="20"/>
        <v>449.80000000000018</v>
      </c>
    </row>
    <row r="407" spans="1:31">
      <c r="A407" s="197">
        <f t="shared" si="21"/>
        <v>45787</v>
      </c>
      <c r="B407" s="167">
        <f>YEAR(Table7[[#This Row],[Date]])+IF(MONTH(Table7[[#This Row],[Date]])&gt;=4,1,0)</f>
        <v>2026</v>
      </c>
      <c r="C407" s="167">
        <f>YEAR(Table7[[#This Row],[Date]])</f>
        <v>2025</v>
      </c>
      <c r="D407" s="168">
        <f t="shared" si="19"/>
        <v>45778</v>
      </c>
      <c r="E407" s="167">
        <v>34.61</v>
      </c>
      <c r="F407" s="167">
        <v>34.61</v>
      </c>
      <c r="G407" s="167">
        <v>34.61</v>
      </c>
      <c r="H407" s="167">
        <v>34.61</v>
      </c>
      <c r="I407" s="167">
        <v>34.61</v>
      </c>
      <c r="J407" s="167">
        <v>34.61</v>
      </c>
      <c r="K407" s="167">
        <v>34.61</v>
      </c>
      <c r="L407" s="167">
        <v>34.61</v>
      </c>
      <c r="M407" s="167">
        <v>34.61</v>
      </c>
      <c r="N407" s="167">
        <v>34.61</v>
      </c>
      <c r="O407" s="167">
        <v>34.61</v>
      </c>
      <c r="P407" s="167">
        <v>34.61</v>
      </c>
      <c r="Q407" s="167">
        <v>34.61</v>
      </c>
      <c r="R407" s="167">
        <v>34.61</v>
      </c>
      <c r="S407" s="167">
        <v>34.61</v>
      </c>
      <c r="T407" s="167">
        <v>34.61</v>
      </c>
      <c r="U407" s="167">
        <v>34.61</v>
      </c>
      <c r="V407" s="167">
        <v>34.61</v>
      </c>
      <c r="W407" s="167">
        <v>34.61</v>
      </c>
      <c r="X407" s="167">
        <v>34.61</v>
      </c>
      <c r="Y407" s="167">
        <v>34.61</v>
      </c>
      <c r="Z407" s="167">
        <v>34.61</v>
      </c>
      <c r="AA407" s="167">
        <v>34.61</v>
      </c>
      <c r="AB407" s="167">
        <v>34.61</v>
      </c>
      <c r="AC407" s="167">
        <v>34.61</v>
      </c>
      <c r="AD407" s="167">
        <v>34.61</v>
      </c>
      <c r="AE407" s="167">
        <f t="shared" si="20"/>
        <v>899.86000000000024</v>
      </c>
    </row>
    <row r="408" spans="1:31">
      <c r="A408" s="197">
        <f t="shared" si="21"/>
        <v>45788</v>
      </c>
      <c r="B408" s="167">
        <f>YEAR(Table7[[#This Row],[Date]])+IF(MONTH(Table7[[#This Row],[Date]])&gt;=4,1,0)</f>
        <v>2026</v>
      </c>
      <c r="C408" s="167">
        <f>YEAR(Table7[[#This Row],[Date]])</f>
        <v>2025</v>
      </c>
      <c r="D408" s="168">
        <f t="shared" si="19"/>
        <v>45778</v>
      </c>
      <c r="E408" s="167">
        <v>17.3</v>
      </c>
      <c r="F408" s="167">
        <v>17.3</v>
      </c>
      <c r="G408" s="167">
        <v>17.3</v>
      </c>
      <c r="H408" s="167">
        <v>17.3</v>
      </c>
      <c r="I408" s="167">
        <v>17.3</v>
      </c>
      <c r="J408" s="167">
        <v>17.3</v>
      </c>
      <c r="K408" s="167">
        <v>17.3</v>
      </c>
      <c r="L408" s="167">
        <v>17.3</v>
      </c>
      <c r="M408" s="167">
        <v>17.3</v>
      </c>
      <c r="N408" s="167">
        <v>17.3</v>
      </c>
      <c r="O408" s="167">
        <v>17.3</v>
      </c>
      <c r="P408" s="167">
        <v>17.3</v>
      </c>
      <c r="Q408" s="167">
        <v>17.3</v>
      </c>
      <c r="R408" s="167">
        <v>17.3</v>
      </c>
      <c r="S408" s="167">
        <v>17.3</v>
      </c>
      <c r="T408" s="167">
        <v>17.3</v>
      </c>
      <c r="U408" s="167">
        <v>17.3</v>
      </c>
      <c r="V408" s="167">
        <v>17.3</v>
      </c>
      <c r="W408" s="167">
        <v>17.3</v>
      </c>
      <c r="X408" s="167">
        <v>17.3</v>
      </c>
      <c r="Y408" s="167">
        <v>17.3</v>
      </c>
      <c r="Z408" s="167">
        <v>17.3</v>
      </c>
      <c r="AA408" s="167">
        <v>17.3</v>
      </c>
      <c r="AB408" s="167">
        <v>17.3</v>
      </c>
      <c r="AC408" s="167">
        <v>17.3</v>
      </c>
      <c r="AD408" s="167">
        <v>17.3</v>
      </c>
      <c r="AE408" s="167">
        <f t="shared" si="20"/>
        <v>449.80000000000018</v>
      </c>
    </row>
    <row r="409" spans="1:31">
      <c r="A409" s="197">
        <f t="shared" si="21"/>
        <v>45789</v>
      </c>
      <c r="B409" s="167">
        <f>YEAR(Table7[[#This Row],[Date]])+IF(MONTH(Table7[[#This Row],[Date]])&gt;=4,1,0)</f>
        <v>2026</v>
      </c>
      <c r="C409" s="167">
        <f>YEAR(Table7[[#This Row],[Date]])</f>
        <v>2025</v>
      </c>
      <c r="D409" s="168">
        <f t="shared" si="19"/>
        <v>45778</v>
      </c>
      <c r="E409" s="167">
        <v>34.61</v>
      </c>
      <c r="F409" s="167">
        <v>34.61</v>
      </c>
      <c r="G409" s="167">
        <v>34.61</v>
      </c>
      <c r="H409" s="167">
        <v>34.61</v>
      </c>
      <c r="I409" s="167">
        <v>34.61</v>
      </c>
      <c r="J409" s="167">
        <v>34.61</v>
      </c>
      <c r="K409" s="167">
        <v>34.61</v>
      </c>
      <c r="L409" s="167">
        <v>34.61</v>
      </c>
      <c r="M409" s="167">
        <v>34.61</v>
      </c>
      <c r="N409" s="167">
        <v>34.61</v>
      </c>
      <c r="O409" s="167">
        <v>34.61</v>
      </c>
      <c r="P409" s="167">
        <v>34.61</v>
      </c>
      <c r="Q409" s="167">
        <v>34.61</v>
      </c>
      <c r="R409" s="167">
        <v>34.61</v>
      </c>
      <c r="S409" s="167">
        <v>34.61</v>
      </c>
      <c r="T409" s="167">
        <v>34.61</v>
      </c>
      <c r="U409" s="167">
        <v>34.61</v>
      </c>
      <c r="V409" s="167">
        <v>34.61</v>
      </c>
      <c r="W409" s="167">
        <v>34.61</v>
      </c>
      <c r="X409" s="167">
        <v>34.61</v>
      </c>
      <c r="Y409" s="167">
        <v>34.61</v>
      </c>
      <c r="Z409" s="167">
        <v>34.61</v>
      </c>
      <c r="AA409" s="167">
        <v>34.61</v>
      </c>
      <c r="AB409" s="167">
        <v>34.61</v>
      </c>
      <c r="AC409" s="167">
        <v>34.61</v>
      </c>
      <c r="AD409" s="167">
        <v>34.61</v>
      </c>
      <c r="AE409" s="167">
        <f t="shared" si="20"/>
        <v>899.86000000000024</v>
      </c>
    </row>
    <row r="410" spans="1:31">
      <c r="A410" s="197">
        <f t="shared" si="21"/>
        <v>45790</v>
      </c>
      <c r="B410" s="167">
        <f>YEAR(Table7[[#This Row],[Date]])+IF(MONTH(Table7[[#This Row],[Date]])&gt;=4,1,0)</f>
        <v>2026</v>
      </c>
      <c r="C410" s="167">
        <f>YEAR(Table7[[#This Row],[Date]])</f>
        <v>2025</v>
      </c>
      <c r="D410" s="168">
        <f t="shared" si="19"/>
        <v>45778</v>
      </c>
      <c r="E410" s="167">
        <v>51.92</v>
      </c>
      <c r="F410" s="167">
        <v>51.92</v>
      </c>
      <c r="G410" s="167">
        <v>51.92</v>
      </c>
      <c r="H410" s="167">
        <v>51.92</v>
      </c>
      <c r="I410" s="167">
        <v>51.92</v>
      </c>
      <c r="J410" s="167">
        <v>51.92</v>
      </c>
      <c r="K410" s="167">
        <v>51.92</v>
      </c>
      <c r="L410" s="167">
        <v>51.92</v>
      </c>
      <c r="M410" s="167">
        <v>51.92</v>
      </c>
      <c r="N410" s="167">
        <v>51.92</v>
      </c>
      <c r="O410" s="167">
        <v>51.92</v>
      </c>
      <c r="P410" s="167">
        <v>51.92</v>
      </c>
      <c r="Q410" s="167">
        <v>51.92</v>
      </c>
      <c r="R410" s="167">
        <v>51.92</v>
      </c>
      <c r="S410" s="167">
        <v>51.92</v>
      </c>
      <c r="T410" s="167">
        <v>51.92</v>
      </c>
      <c r="U410" s="167">
        <v>51.92</v>
      </c>
      <c r="V410" s="167">
        <v>51.92</v>
      </c>
      <c r="W410" s="167">
        <v>51.92</v>
      </c>
      <c r="X410" s="167">
        <v>51.92</v>
      </c>
      <c r="Y410" s="167">
        <v>51.92</v>
      </c>
      <c r="Z410" s="167">
        <v>51.92</v>
      </c>
      <c r="AA410" s="167">
        <v>51.92</v>
      </c>
      <c r="AB410" s="167">
        <v>51.92</v>
      </c>
      <c r="AC410" s="167">
        <v>51.92</v>
      </c>
      <c r="AD410" s="167">
        <v>51.92</v>
      </c>
      <c r="AE410" s="167">
        <f t="shared" si="20"/>
        <v>1349.92</v>
      </c>
    </row>
    <row r="411" spans="1:31">
      <c r="A411" s="197">
        <f t="shared" si="21"/>
        <v>45791</v>
      </c>
      <c r="B411" s="167">
        <f>YEAR(Table7[[#This Row],[Date]])+IF(MONTH(Table7[[#This Row],[Date]])&gt;=4,1,0)</f>
        <v>2026</v>
      </c>
      <c r="C411" s="167">
        <f>YEAR(Table7[[#This Row],[Date]])</f>
        <v>2025</v>
      </c>
      <c r="D411" s="168">
        <f t="shared" si="19"/>
        <v>45778</v>
      </c>
      <c r="E411" s="167">
        <v>51.92</v>
      </c>
      <c r="F411" s="167">
        <v>51.92</v>
      </c>
      <c r="G411" s="167">
        <v>51.92</v>
      </c>
      <c r="H411" s="167">
        <v>51.92</v>
      </c>
      <c r="I411" s="167">
        <v>51.92</v>
      </c>
      <c r="J411" s="167">
        <v>51.92</v>
      </c>
      <c r="K411" s="167">
        <v>51.92</v>
      </c>
      <c r="L411" s="167">
        <v>51.92</v>
      </c>
      <c r="M411" s="167">
        <v>51.92</v>
      </c>
      <c r="N411" s="167">
        <v>51.92</v>
      </c>
      <c r="O411" s="167">
        <v>51.92</v>
      </c>
      <c r="P411" s="167">
        <v>51.92</v>
      </c>
      <c r="Q411" s="167">
        <v>51.92</v>
      </c>
      <c r="R411" s="167">
        <v>51.92</v>
      </c>
      <c r="S411" s="167">
        <v>51.92</v>
      </c>
      <c r="T411" s="167">
        <v>51.92</v>
      </c>
      <c r="U411" s="167">
        <v>51.92</v>
      </c>
      <c r="V411" s="167">
        <v>51.92</v>
      </c>
      <c r="W411" s="167">
        <v>51.92</v>
      </c>
      <c r="X411" s="167">
        <v>51.92</v>
      </c>
      <c r="Y411" s="167">
        <v>51.92</v>
      </c>
      <c r="Z411" s="167">
        <v>51.92</v>
      </c>
      <c r="AA411" s="167">
        <v>51.92</v>
      </c>
      <c r="AB411" s="167">
        <v>51.92</v>
      </c>
      <c r="AC411" s="167">
        <v>51.92</v>
      </c>
      <c r="AD411" s="167">
        <v>51.92</v>
      </c>
      <c r="AE411" s="167">
        <f t="shared" si="20"/>
        <v>1349.92</v>
      </c>
    </row>
    <row r="412" spans="1:31">
      <c r="A412" s="197">
        <f t="shared" si="21"/>
        <v>45792</v>
      </c>
      <c r="B412" s="167">
        <f>YEAR(Table7[[#This Row],[Date]])+IF(MONTH(Table7[[#This Row],[Date]])&gt;=4,1,0)</f>
        <v>2026</v>
      </c>
      <c r="C412" s="167">
        <f>YEAR(Table7[[#This Row],[Date]])</f>
        <v>2025</v>
      </c>
      <c r="D412" s="168">
        <f t="shared" si="19"/>
        <v>45778</v>
      </c>
      <c r="E412" s="167">
        <v>121.15</v>
      </c>
      <c r="F412" s="167">
        <v>121.15</v>
      </c>
      <c r="G412" s="167">
        <v>121.15</v>
      </c>
      <c r="H412" s="167">
        <v>121.15</v>
      </c>
      <c r="I412" s="167">
        <v>121.15</v>
      </c>
      <c r="J412" s="167">
        <v>121.15</v>
      </c>
      <c r="K412" s="167">
        <v>121.15</v>
      </c>
      <c r="L412" s="167">
        <v>121.15</v>
      </c>
      <c r="M412" s="167">
        <v>121.15</v>
      </c>
      <c r="N412" s="167">
        <v>121.15</v>
      </c>
      <c r="O412" s="167">
        <v>121.15</v>
      </c>
      <c r="P412" s="167">
        <v>121.15</v>
      </c>
      <c r="Q412" s="167">
        <v>121.15</v>
      </c>
      <c r="R412" s="167">
        <v>121.15</v>
      </c>
      <c r="S412" s="167">
        <v>121.15</v>
      </c>
      <c r="T412" s="167">
        <v>121.15</v>
      </c>
      <c r="U412" s="167">
        <v>121.15</v>
      </c>
      <c r="V412" s="167">
        <v>121.15</v>
      </c>
      <c r="W412" s="167">
        <v>121.15</v>
      </c>
      <c r="X412" s="167">
        <v>121.15</v>
      </c>
      <c r="Y412" s="167">
        <v>121.15</v>
      </c>
      <c r="Z412" s="167">
        <v>121.15</v>
      </c>
      <c r="AA412" s="167">
        <v>121.15</v>
      </c>
      <c r="AB412" s="167">
        <v>121.15</v>
      </c>
      <c r="AC412" s="167">
        <v>121.15</v>
      </c>
      <c r="AD412" s="167">
        <v>121.15</v>
      </c>
      <c r="AE412" s="167">
        <f t="shared" si="20"/>
        <v>3149.9000000000015</v>
      </c>
    </row>
    <row r="413" spans="1:31">
      <c r="A413" s="197">
        <f t="shared" si="21"/>
        <v>45793</v>
      </c>
      <c r="B413" s="167">
        <f>YEAR(Table7[[#This Row],[Date]])+IF(MONTH(Table7[[#This Row],[Date]])&gt;=4,1,0)</f>
        <v>2026</v>
      </c>
      <c r="C413" s="167">
        <f>YEAR(Table7[[#This Row],[Date]])</f>
        <v>2025</v>
      </c>
      <c r="D413" s="168">
        <f t="shared" si="19"/>
        <v>45778</v>
      </c>
      <c r="E413" s="167">
        <v>1194.23</v>
      </c>
      <c r="F413" s="167">
        <v>1194.23</v>
      </c>
      <c r="G413" s="167">
        <v>1194.23</v>
      </c>
      <c r="H413" s="167">
        <v>1194.23</v>
      </c>
      <c r="I413" s="167">
        <v>1194.23</v>
      </c>
      <c r="J413" s="167">
        <v>1194.23</v>
      </c>
      <c r="K413" s="167">
        <v>1194.23</v>
      </c>
      <c r="L413" s="167">
        <v>1194.23</v>
      </c>
      <c r="M413" s="167">
        <v>1194.23</v>
      </c>
      <c r="N413" s="167">
        <v>1194.23</v>
      </c>
      <c r="O413" s="167">
        <v>1194.23</v>
      </c>
      <c r="P413" s="167">
        <v>1194.23</v>
      </c>
      <c r="Q413" s="167">
        <v>1194.23</v>
      </c>
      <c r="R413" s="167">
        <v>1194.23</v>
      </c>
      <c r="S413" s="167">
        <v>1194.23</v>
      </c>
      <c r="T413" s="167">
        <v>1194.23</v>
      </c>
      <c r="U413" s="167">
        <v>1194.23</v>
      </c>
      <c r="V413" s="167">
        <v>1194.23</v>
      </c>
      <c r="W413" s="167">
        <v>1194.23</v>
      </c>
      <c r="X413" s="167">
        <v>1194.23</v>
      </c>
      <c r="Y413" s="167">
        <v>1194.23</v>
      </c>
      <c r="Z413" s="167">
        <v>1194.23</v>
      </c>
      <c r="AA413" s="167">
        <v>1194.23</v>
      </c>
      <c r="AB413" s="167">
        <v>1194.23</v>
      </c>
      <c r="AC413" s="167">
        <v>1194.23</v>
      </c>
      <c r="AD413" s="167">
        <v>1194.23</v>
      </c>
      <c r="AE413" s="167">
        <f t="shared" si="20"/>
        <v>31049.979999999992</v>
      </c>
    </row>
    <row r="414" spans="1:31">
      <c r="A414" s="197">
        <f t="shared" si="21"/>
        <v>45794</v>
      </c>
      <c r="B414" s="167">
        <f>YEAR(Table7[[#This Row],[Date]])+IF(MONTH(Table7[[#This Row],[Date]])&gt;=4,1,0)</f>
        <v>2026</v>
      </c>
      <c r="C414" s="167">
        <f>YEAR(Table7[[#This Row],[Date]])</f>
        <v>2025</v>
      </c>
      <c r="D414" s="168">
        <f t="shared" si="19"/>
        <v>45778</v>
      </c>
      <c r="E414" s="167">
        <v>796.15</v>
      </c>
      <c r="F414" s="167">
        <v>796.15</v>
      </c>
      <c r="G414" s="167">
        <v>796.15</v>
      </c>
      <c r="H414" s="167">
        <v>796.15</v>
      </c>
      <c r="I414" s="167">
        <v>796.15</v>
      </c>
      <c r="J414" s="167">
        <v>796.15</v>
      </c>
      <c r="K414" s="167">
        <v>796.15</v>
      </c>
      <c r="L414" s="167">
        <v>796.15</v>
      </c>
      <c r="M414" s="167">
        <v>796.15</v>
      </c>
      <c r="N414" s="167">
        <v>796.15</v>
      </c>
      <c r="O414" s="167">
        <v>796.15</v>
      </c>
      <c r="P414" s="167">
        <v>796.15</v>
      </c>
      <c r="Q414" s="167">
        <v>796.15</v>
      </c>
      <c r="R414" s="167">
        <v>796.15</v>
      </c>
      <c r="S414" s="167">
        <v>796.15</v>
      </c>
      <c r="T414" s="167">
        <v>796.15</v>
      </c>
      <c r="U414" s="167">
        <v>796.15</v>
      </c>
      <c r="V414" s="167">
        <v>796.15</v>
      </c>
      <c r="W414" s="167">
        <v>796.15</v>
      </c>
      <c r="X414" s="167">
        <v>796.15</v>
      </c>
      <c r="Y414" s="167">
        <v>796.15</v>
      </c>
      <c r="Z414" s="167">
        <v>796.15</v>
      </c>
      <c r="AA414" s="167">
        <v>796.15</v>
      </c>
      <c r="AB414" s="167">
        <v>796.15</v>
      </c>
      <c r="AC414" s="167">
        <v>796.15</v>
      </c>
      <c r="AD414" s="167">
        <v>796.15</v>
      </c>
      <c r="AE414" s="167">
        <f t="shared" si="20"/>
        <v>20699.900000000001</v>
      </c>
    </row>
    <row r="415" spans="1:31">
      <c r="A415" s="197">
        <f t="shared" si="21"/>
        <v>45795</v>
      </c>
      <c r="B415" s="167">
        <f>YEAR(Table7[[#This Row],[Date]])+IF(MONTH(Table7[[#This Row],[Date]])&gt;=4,1,0)</f>
        <v>2026</v>
      </c>
      <c r="C415" s="167">
        <f>YEAR(Table7[[#This Row],[Date]])</f>
        <v>2025</v>
      </c>
      <c r="D415" s="168">
        <f t="shared" si="19"/>
        <v>45778</v>
      </c>
      <c r="E415" s="167">
        <v>51.92</v>
      </c>
      <c r="F415" s="167">
        <v>51.92</v>
      </c>
      <c r="G415" s="167">
        <v>51.92</v>
      </c>
      <c r="H415" s="167">
        <v>51.92</v>
      </c>
      <c r="I415" s="167">
        <v>51.92</v>
      </c>
      <c r="J415" s="167">
        <v>51.92</v>
      </c>
      <c r="K415" s="167">
        <v>51.92</v>
      </c>
      <c r="L415" s="167">
        <v>51.92</v>
      </c>
      <c r="M415" s="167">
        <v>51.92</v>
      </c>
      <c r="N415" s="167">
        <v>51.92</v>
      </c>
      <c r="O415" s="167">
        <v>51.92</v>
      </c>
      <c r="P415" s="167">
        <v>51.92</v>
      </c>
      <c r="Q415" s="167">
        <v>51.92</v>
      </c>
      <c r="R415" s="167">
        <v>51.92</v>
      </c>
      <c r="S415" s="167">
        <v>51.92</v>
      </c>
      <c r="T415" s="167">
        <v>51.92</v>
      </c>
      <c r="U415" s="167">
        <v>51.92</v>
      </c>
      <c r="V415" s="167">
        <v>51.92</v>
      </c>
      <c r="W415" s="167">
        <v>51.92</v>
      </c>
      <c r="X415" s="167">
        <v>51.92</v>
      </c>
      <c r="Y415" s="167">
        <v>51.92</v>
      </c>
      <c r="Z415" s="167">
        <v>51.92</v>
      </c>
      <c r="AA415" s="167">
        <v>51.92</v>
      </c>
      <c r="AB415" s="167">
        <v>51.92</v>
      </c>
      <c r="AC415" s="167">
        <v>51.92</v>
      </c>
      <c r="AD415" s="167">
        <v>51.92</v>
      </c>
      <c r="AE415" s="167">
        <f t="shared" si="20"/>
        <v>1349.92</v>
      </c>
    </row>
    <row r="416" spans="1:31">
      <c r="A416" s="197">
        <f t="shared" si="21"/>
        <v>45796</v>
      </c>
      <c r="B416" s="167">
        <f>YEAR(Table7[[#This Row],[Date]])+IF(MONTH(Table7[[#This Row],[Date]])&gt;=4,1,0)</f>
        <v>2026</v>
      </c>
      <c r="C416" s="167">
        <f>YEAR(Table7[[#This Row],[Date]])</f>
        <v>2025</v>
      </c>
      <c r="D416" s="168">
        <f t="shared" si="19"/>
        <v>45778</v>
      </c>
      <c r="E416" s="167">
        <v>34.61</v>
      </c>
      <c r="F416" s="167">
        <v>34.61</v>
      </c>
      <c r="G416" s="167">
        <v>34.61</v>
      </c>
      <c r="H416" s="167">
        <v>34.61</v>
      </c>
      <c r="I416" s="167">
        <v>34.61</v>
      </c>
      <c r="J416" s="167">
        <v>34.61</v>
      </c>
      <c r="K416" s="167">
        <v>34.61</v>
      </c>
      <c r="L416" s="167">
        <v>34.61</v>
      </c>
      <c r="M416" s="167">
        <v>34.61</v>
      </c>
      <c r="N416" s="167">
        <v>34.61</v>
      </c>
      <c r="O416" s="167">
        <v>34.61</v>
      </c>
      <c r="P416" s="167">
        <v>34.61</v>
      </c>
      <c r="Q416" s="167">
        <v>34.61</v>
      </c>
      <c r="R416" s="167">
        <v>34.61</v>
      </c>
      <c r="S416" s="167">
        <v>34.61</v>
      </c>
      <c r="T416" s="167">
        <v>34.61</v>
      </c>
      <c r="U416" s="167">
        <v>34.61</v>
      </c>
      <c r="V416" s="167">
        <v>34.61</v>
      </c>
      <c r="W416" s="167">
        <v>34.61</v>
      </c>
      <c r="X416" s="167">
        <v>34.61</v>
      </c>
      <c r="Y416" s="167">
        <v>34.61</v>
      </c>
      <c r="Z416" s="167">
        <v>34.61</v>
      </c>
      <c r="AA416" s="167">
        <v>34.61</v>
      </c>
      <c r="AB416" s="167">
        <v>34.61</v>
      </c>
      <c r="AC416" s="167">
        <v>34.61</v>
      </c>
      <c r="AD416" s="167">
        <v>34.61</v>
      </c>
      <c r="AE416" s="167">
        <f t="shared" si="20"/>
        <v>899.86000000000024</v>
      </c>
    </row>
    <row r="417" spans="1:31">
      <c r="A417" s="197">
        <f t="shared" si="21"/>
        <v>45797</v>
      </c>
      <c r="B417" s="167">
        <f>YEAR(Table7[[#This Row],[Date]])+IF(MONTH(Table7[[#This Row],[Date]])&gt;=4,1,0)</f>
        <v>2026</v>
      </c>
      <c r="C417" s="167">
        <f>YEAR(Table7[[#This Row],[Date]])</f>
        <v>2025</v>
      </c>
      <c r="D417" s="168">
        <f t="shared" si="19"/>
        <v>45778</v>
      </c>
      <c r="E417" s="167">
        <v>34.61</v>
      </c>
      <c r="F417" s="167">
        <v>34.61</v>
      </c>
      <c r="G417" s="167">
        <v>34.61</v>
      </c>
      <c r="H417" s="167">
        <v>34.61</v>
      </c>
      <c r="I417" s="167">
        <v>34.61</v>
      </c>
      <c r="J417" s="167">
        <v>34.61</v>
      </c>
      <c r="K417" s="167">
        <v>34.61</v>
      </c>
      <c r="L417" s="167">
        <v>34.61</v>
      </c>
      <c r="M417" s="167">
        <v>34.61</v>
      </c>
      <c r="N417" s="167">
        <v>34.61</v>
      </c>
      <c r="O417" s="167">
        <v>34.61</v>
      </c>
      <c r="P417" s="167">
        <v>34.61</v>
      </c>
      <c r="Q417" s="167">
        <v>34.61</v>
      </c>
      <c r="R417" s="167">
        <v>34.61</v>
      </c>
      <c r="S417" s="167">
        <v>34.61</v>
      </c>
      <c r="T417" s="167">
        <v>34.61</v>
      </c>
      <c r="U417" s="167">
        <v>34.61</v>
      </c>
      <c r="V417" s="167">
        <v>34.61</v>
      </c>
      <c r="W417" s="167">
        <v>34.61</v>
      </c>
      <c r="X417" s="167">
        <v>34.61</v>
      </c>
      <c r="Y417" s="167">
        <v>34.61</v>
      </c>
      <c r="Z417" s="167">
        <v>34.61</v>
      </c>
      <c r="AA417" s="167">
        <v>34.61</v>
      </c>
      <c r="AB417" s="167">
        <v>34.61</v>
      </c>
      <c r="AC417" s="167">
        <v>34.61</v>
      </c>
      <c r="AD417" s="167">
        <v>34.61</v>
      </c>
      <c r="AE417" s="167">
        <f t="shared" si="20"/>
        <v>899.86000000000024</v>
      </c>
    </row>
    <row r="418" spans="1:31">
      <c r="A418" s="197">
        <f t="shared" si="21"/>
        <v>45798</v>
      </c>
      <c r="B418" s="167">
        <f>YEAR(Table7[[#This Row],[Date]])+IF(MONTH(Table7[[#This Row],[Date]])&gt;=4,1,0)</f>
        <v>2026</v>
      </c>
      <c r="C418" s="167">
        <f>YEAR(Table7[[#This Row],[Date]])</f>
        <v>2025</v>
      </c>
      <c r="D418" s="168">
        <f t="shared" si="19"/>
        <v>45778</v>
      </c>
      <c r="E418" s="167">
        <v>17.3</v>
      </c>
      <c r="F418" s="167">
        <v>17.3</v>
      </c>
      <c r="G418" s="167">
        <v>17.3</v>
      </c>
      <c r="H418" s="167">
        <v>17.3</v>
      </c>
      <c r="I418" s="167">
        <v>17.3</v>
      </c>
      <c r="J418" s="167">
        <v>17.3</v>
      </c>
      <c r="K418" s="167">
        <v>17.3</v>
      </c>
      <c r="L418" s="167">
        <v>17.3</v>
      </c>
      <c r="M418" s="167">
        <v>17.3</v>
      </c>
      <c r="N418" s="167">
        <v>17.3</v>
      </c>
      <c r="O418" s="167">
        <v>17.3</v>
      </c>
      <c r="P418" s="167">
        <v>17.3</v>
      </c>
      <c r="Q418" s="167">
        <v>17.3</v>
      </c>
      <c r="R418" s="167">
        <v>17.3</v>
      </c>
      <c r="S418" s="167">
        <v>17.3</v>
      </c>
      <c r="T418" s="167">
        <v>17.3</v>
      </c>
      <c r="U418" s="167">
        <v>17.3</v>
      </c>
      <c r="V418" s="167">
        <v>17.3</v>
      </c>
      <c r="W418" s="167">
        <v>17.3</v>
      </c>
      <c r="X418" s="167">
        <v>17.3</v>
      </c>
      <c r="Y418" s="167">
        <v>17.3</v>
      </c>
      <c r="Z418" s="167">
        <v>17.3</v>
      </c>
      <c r="AA418" s="167">
        <v>17.3</v>
      </c>
      <c r="AB418" s="167">
        <v>17.3</v>
      </c>
      <c r="AC418" s="167">
        <v>17.3</v>
      </c>
      <c r="AD418" s="167">
        <v>17.3</v>
      </c>
      <c r="AE418" s="167">
        <f t="shared" si="20"/>
        <v>449.80000000000018</v>
      </c>
    </row>
    <row r="419" spans="1:31">
      <c r="A419" s="197">
        <f t="shared" si="21"/>
        <v>45799</v>
      </c>
      <c r="B419" s="167">
        <f>YEAR(Table7[[#This Row],[Date]])+IF(MONTH(Table7[[#This Row],[Date]])&gt;=4,1,0)</f>
        <v>2026</v>
      </c>
      <c r="C419" s="167">
        <f>YEAR(Table7[[#This Row],[Date]])</f>
        <v>2025</v>
      </c>
      <c r="D419" s="168">
        <f t="shared" si="19"/>
        <v>45778</v>
      </c>
      <c r="E419" s="167">
        <v>34.61</v>
      </c>
      <c r="F419" s="167">
        <v>34.61</v>
      </c>
      <c r="G419" s="167">
        <v>34.61</v>
      </c>
      <c r="H419" s="167">
        <v>34.61</v>
      </c>
      <c r="I419" s="167">
        <v>34.61</v>
      </c>
      <c r="J419" s="167">
        <v>34.61</v>
      </c>
      <c r="K419" s="167">
        <v>34.61</v>
      </c>
      <c r="L419" s="167">
        <v>34.61</v>
      </c>
      <c r="M419" s="167">
        <v>34.61</v>
      </c>
      <c r="N419" s="167">
        <v>34.61</v>
      </c>
      <c r="O419" s="167">
        <v>34.61</v>
      </c>
      <c r="P419" s="167">
        <v>34.61</v>
      </c>
      <c r="Q419" s="167">
        <v>34.61</v>
      </c>
      <c r="R419" s="167">
        <v>34.61</v>
      </c>
      <c r="S419" s="167">
        <v>34.61</v>
      </c>
      <c r="T419" s="167">
        <v>34.61</v>
      </c>
      <c r="U419" s="167">
        <v>34.61</v>
      </c>
      <c r="V419" s="167">
        <v>34.61</v>
      </c>
      <c r="W419" s="167">
        <v>34.61</v>
      </c>
      <c r="X419" s="167">
        <v>34.61</v>
      </c>
      <c r="Y419" s="167">
        <v>34.61</v>
      </c>
      <c r="Z419" s="167">
        <v>34.61</v>
      </c>
      <c r="AA419" s="167">
        <v>34.61</v>
      </c>
      <c r="AB419" s="167">
        <v>34.61</v>
      </c>
      <c r="AC419" s="167">
        <v>34.61</v>
      </c>
      <c r="AD419" s="167">
        <v>34.61</v>
      </c>
      <c r="AE419" s="167">
        <f t="shared" si="20"/>
        <v>899.86000000000024</v>
      </c>
    </row>
    <row r="420" spans="1:31">
      <c r="A420" s="197">
        <f t="shared" si="21"/>
        <v>45800</v>
      </c>
      <c r="B420" s="167">
        <f>YEAR(Table7[[#This Row],[Date]])+IF(MONTH(Table7[[#This Row],[Date]])&gt;=4,1,0)</f>
        <v>2026</v>
      </c>
      <c r="C420" s="167">
        <f>YEAR(Table7[[#This Row],[Date]])</f>
        <v>2025</v>
      </c>
      <c r="D420" s="168">
        <f t="shared" si="19"/>
        <v>45778</v>
      </c>
      <c r="E420" s="167">
        <v>34.61</v>
      </c>
      <c r="F420" s="167">
        <v>34.61</v>
      </c>
      <c r="G420" s="167">
        <v>34.61</v>
      </c>
      <c r="H420" s="167">
        <v>34.61</v>
      </c>
      <c r="I420" s="167">
        <v>34.61</v>
      </c>
      <c r="J420" s="167">
        <v>34.61</v>
      </c>
      <c r="K420" s="167">
        <v>34.61</v>
      </c>
      <c r="L420" s="167">
        <v>34.61</v>
      </c>
      <c r="M420" s="167">
        <v>34.61</v>
      </c>
      <c r="N420" s="167">
        <v>34.61</v>
      </c>
      <c r="O420" s="167">
        <v>34.61</v>
      </c>
      <c r="P420" s="167">
        <v>34.61</v>
      </c>
      <c r="Q420" s="167">
        <v>34.61</v>
      </c>
      <c r="R420" s="167">
        <v>34.61</v>
      </c>
      <c r="S420" s="167">
        <v>34.61</v>
      </c>
      <c r="T420" s="167">
        <v>34.61</v>
      </c>
      <c r="U420" s="167">
        <v>34.61</v>
      </c>
      <c r="V420" s="167">
        <v>34.61</v>
      </c>
      <c r="W420" s="167">
        <v>34.61</v>
      </c>
      <c r="X420" s="167">
        <v>34.61</v>
      </c>
      <c r="Y420" s="167">
        <v>34.61</v>
      </c>
      <c r="Z420" s="167">
        <v>34.61</v>
      </c>
      <c r="AA420" s="167">
        <v>34.61</v>
      </c>
      <c r="AB420" s="167">
        <v>34.61</v>
      </c>
      <c r="AC420" s="167">
        <v>34.61</v>
      </c>
      <c r="AD420" s="167">
        <v>34.61</v>
      </c>
      <c r="AE420" s="167">
        <f t="shared" si="20"/>
        <v>899.86000000000024</v>
      </c>
    </row>
    <row r="421" spans="1:31">
      <c r="A421" s="197">
        <f t="shared" si="21"/>
        <v>45801</v>
      </c>
      <c r="B421" s="167">
        <f>YEAR(Table7[[#This Row],[Date]])+IF(MONTH(Table7[[#This Row],[Date]])&gt;=4,1,0)</f>
        <v>2026</v>
      </c>
      <c r="C421" s="167">
        <f>YEAR(Table7[[#This Row],[Date]])</f>
        <v>2025</v>
      </c>
      <c r="D421" s="168">
        <f t="shared" si="19"/>
        <v>45778</v>
      </c>
      <c r="E421" s="167">
        <v>69.23</v>
      </c>
      <c r="F421" s="167">
        <v>69.23</v>
      </c>
      <c r="G421" s="167">
        <v>69.23</v>
      </c>
      <c r="H421" s="167">
        <v>69.23</v>
      </c>
      <c r="I421" s="167">
        <v>69.23</v>
      </c>
      <c r="J421" s="167">
        <v>69.23</v>
      </c>
      <c r="K421" s="167">
        <v>69.23</v>
      </c>
      <c r="L421" s="167">
        <v>69.23</v>
      </c>
      <c r="M421" s="167">
        <v>69.23</v>
      </c>
      <c r="N421" s="167">
        <v>69.23</v>
      </c>
      <c r="O421" s="167">
        <v>69.23</v>
      </c>
      <c r="P421" s="167">
        <v>69.23</v>
      </c>
      <c r="Q421" s="167">
        <v>69.23</v>
      </c>
      <c r="R421" s="167">
        <v>69.23</v>
      </c>
      <c r="S421" s="167">
        <v>69.23</v>
      </c>
      <c r="T421" s="167">
        <v>69.23</v>
      </c>
      <c r="U421" s="167">
        <v>69.23</v>
      </c>
      <c r="V421" s="167">
        <v>69.23</v>
      </c>
      <c r="W421" s="167">
        <v>69.23</v>
      </c>
      <c r="X421" s="167">
        <v>69.23</v>
      </c>
      <c r="Y421" s="167">
        <v>69.23</v>
      </c>
      <c r="Z421" s="167">
        <v>69.23</v>
      </c>
      <c r="AA421" s="167">
        <v>69.23</v>
      </c>
      <c r="AB421" s="167">
        <v>69.23</v>
      </c>
      <c r="AC421" s="167">
        <v>69.23</v>
      </c>
      <c r="AD421" s="167">
        <v>69.23</v>
      </c>
      <c r="AE421" s="167">
        <f t="shared" si="20"/>
        <v>1799.9800000000002</v>
      </c>
    </row>
    <row r="422" spans="1:31">
      <c r="A422" s="197">
        <f t="shared" si="21"/>
        <v>45802</v>
      </c>
      <c r="B422" s="167">
        <f>YEAR(Table7[[#This Row],[Date]])+IF(MONTH(Table7[[#This Row],[Date]])&gt;=4,1,0)</f>
        <v>2026</v>
      </c>
      <c r="C422" s="167">
        <f>YEAR(Table7[[#This Row],[Date]])</f>
        <v>2025</v>
      </c>
      <c r="D422" s="168">
        <f t="shared" si="19"/>
        <v>45778</v>
      </c>
      <c r="E422" s="167">
        <v>588.46</v>
      </c>
      <c r="F422" s="167">
        <v>588.46</v>
      </c>
      <c r="G422" s="167">
        <v>588.46</v>
      </c>
      <c r="H422" s="167">
        <v>588.46</v>
      </c>
      <c r="I422" s="167">
        <v>588.46</v>
      </c>
      <c r="J422" s="167">
        <v>588.46</v>
      </c>
      <c r="K422" s="167">
        <v>588.46</v>
      </c>
      <c r="L422" s="167">
        <v>588.46</v>
      </c>
      <c r="M422" s="167">
        <v>588.46</v>
      </c>
      <c r="N422" s="167">
        <v>588.46</v>
      </c>
      <c r="O422" s="167">
        <v>588.46</v>
      </c>
      <c r="P422" s="167">
        <v>588.46</v>
      </c>
      <c r="Q422" s="167">
        <v>588.46</v>
      </c>
      <c r="R422" s="167">
        <v>588.46</v>
      </c>
      <c r="S422" s="167">
        <v>588.46</v>
      </c>
      <c r="T422" s="167">
        <v>588.46</v>
      </c>
      <c r="U422" s="167">
        <v>588.46</v>
      </c>
      <c r="V422" s="167">
        <v>588.46</v>
      </c>
      <c r="W422" s="167">
        <v>588.46</v>
      </c>
      <c r="X422" s="167">
        <v>588.46</v>
      </c>
      <c r="Y422" s="167">
        <v>588.46</v>
      </c>
      <c r="Z422" s="167">
        <v>588.46</v>
      </c>
      <c r="AA422" s="167">
        <v>588.46</v>
      </c>
      <c r="AB422" s="167">
        <v>588.46</v>
      </c>
      <c r="AC422" s="167">
        <v>588.46</v>
      </c>
      <c r="AD422" s="167">
        <v>588.46</v>
      </c>
      <c r="AE422" s="167">
        <f t="shared" si="20"/>
        <v>15299.959999999992</v>
      </c>
    </row>
    <row r="423" spans="1:31">
      <c r="A423" s="197">
        <f t="shared" si="21"/>
        <v>45803</v>
      </c>
      <c r="B423" s="167">
        <f>YEAR(Table7[[#This Row],[Date]])+IF(MONTH(Table7[[#This Row],[Date]])&gt;=4,1,0)</f>
        <v>2026</v>
      </c>
      <c r="C423" s="167">
        <f>YEAR(Table7[[#This Row],[Date]])</f>
        <v>2025</v>
      </c>
      <c r="D423" s="168">
        <f t="shared" si="19"/>
        <v>45778</v>
      </c>
      <c r="E423" s="167">
        <v>138.46</v>
      </c>
      <c r="F423" s="167">
        <v>138.46</v>
      </c>
      <c r="G423" s="167">
        <v>138.46</v>
      </c>
      <c r="H423" s="167">
        <v>138.46</v>
      </c>
      <c r="I423" s="167">
        <v>138.46</v>
      </c>
      <c r="J423" s="167">
        <v>138.46</v>
      </c>
      <c r="K423" s="167">
        <v>138.46</v>
      </c>
      <c r="L423" s="167">
        <v>138.46</v>
      </c>
      <c r="M423" s="167">
        <v>138.46</v>
      </c>
      <c r="N423" s="167">
        <v>138.46</v>
      </c>
      <c r="O423" s="167">
        <v>138.46</v>
      </c>
      <c r="P423" s="167">
        <v>138.46</v>
      </c>
      <c r="Q423" s="167">
        <v>138.46</v>
      </c>
      <c r="R423" s="167">
        <v>138.46</v>
      </c>
      <c r="S423" s="167">
        <v>138.46</v>
      </c>
      <c r="T423" s="167">
        <v>138.46</v>
      </c>
      <c r="U423" s="167">
        <v>138.46</v>
      </c>
      <c r="V423" s="167">
        <v>138.46</v>
      </c>
      <c r="W423" s="167">
        <v>138.46</v>
      </c>
      <c r="X423" s="167">
        <v>138.46</v>
      </c>
      <c r="Y423" s="167">
        <v>138.46</v>
      </c>
      <c r="Z423" s="167">
        <v>138.46</v>
      </c>
      <c r="AA423" s="167">
        <v>138.46</v>
      </c>
      <c r="AB423" s="167">
        <v>138.46</v>
      </c>
      <c r="AC423" s="167">
        <v>138.46</v>
      </c>
      <c r="AD423" s="167">
        <v>138.46</v>
      </c>
      <c r="AE423" s="167">
        <f t="shared" si="20"/>
        <v>3599.9600000000005</v>
      </c>
    </row>
    <row r="424" spans="1:31">
      <c r="A424" s="197">
        <f t="shared" si="21"/>
        <v>45804</v>
      </c>
      <c r="B424" s="167">
        <f>YEAR(Table7[[#This Row],[Date]])+IF(MONTH(Table7[[#This Row],[Date]])&gt;=4,1,0)</f>
        <v>2026</v>
      </c>
      <c r="C424" s="167">
        <f>YEAR(Table7[[#This Row],[Date]])</f>
        <v>2025</v>
      </c>
      <c r="D424" s="168">
        <f t="shared" si="19"/>
        <v>45778</v>
      </c>
      <c r="E424" s="167">
        <v>415.38</v>
      </c>
      <c r="F424" s="167">
        <v>415.38</v>
      </c>
      <c r="G424" s="167">
        <v>415.38</v>
      </c>
      <c r="H424" s="167">
        <v>415.38</v>
      </c>
      <c r="I424" s="167">
        <v>415.38</v>
      </c>
      <c r="J424" s="167">
        <v>415.38</v>
      </c>
      <c r="K424" s="167">
        <v>415.38</v>
      </c>
      <c r="L424" s="167">
        <v>415.38</v>
      </c>
      <c r="M424" s="167">
        <v>415.38</v>
      </c>
      <c r="N424" s="167">
        <v>415.38</v>
      </c>
      <c r="O424" s="167">
        <v>415.38</v>
      </c>
      <c r="P424" s="167">
        <v>415.38</v>
      </c>
      <c r="Q424" s="167">
        <v>415.38</v>
      </c>
      <c r="R424" s="167">
        <v>415.38</v>
      </c>
      <c r="S424" s="167">
        <v>415.38</v>
      </c>
      <c r="T424" s="167">
        <v>415.38</v>
      </c>
      <c r="U424" s="167">
        <v>415.38</v>
      </c>
      <c r="V424" s="167">
        <v>415.38</v>
      </c>
      <c r="W424" s="167">
        <v>415.38</v>
      </c>
      <c r="X424" s="167">
        <v>415.38</v>
      </c>
      <c r="Y424" s="167">
        <v>415.38</v>
      </c>
      <c r="Z424" s="167">
        <v>415.38</v>
      </c>
      <c r="AA424" s="167">
        <v>415.38</v>
      </c>
      <c r="AB424" s="167">
        <v>415.38</v>
      </c>
      <c r="AC424" s="167">
        <v>415.38</v>
      </c>
      <c r="AD424" s="167">
        <v>415.38</v>
      </c>
      <c r="AE424" s="167">
        <f t="shared" si="20"/>
        <v>10799.879999999996</v>
      </c>
    </row>
    <row r="425" spans="1:31">
      <c r="A425" s="197">
        <f t="shared" si="21"/>
        <v>45805</v>
      </c>
      <c r="B425" s="167">
        <f>YEAR(Table7[[#This Row],[Date]])+IF(MONTH(Table7[[#This Row],[Date]])&gt;=4,1,0)</f>
        <v>2026</v>
      </c>
      <c r="C425" s="167">
        <f>YEAR(Table7[[#This Row],[Date]])</f>
        <v>2025</v>
      </c>
      <c r="D425" s="168">
        <f t="shared" si="19"/>
        <v>45778</v>
      </c>
      <c r="E425" s="167">
        <v>138.46</v>
      </c>
      <c r="F425" s="167">
        <v>138.46</v>
      </c>
      <c r="G425" s="167">
        <v>138.46</v>
      </c>
      <c r="H425" s="167">
        <v>138.46</v>
      </c>
      <c r="I425" s="167">
        <v>138.46</v>
      </c>
      <c r="J425" s="167">
        <v>138.46</v>
      </c>
      <c r="K425" s="167">
        <v>138.46</v>
      </c>
      <c r="L425" s="167">
        <v>138.46</v>
      </c>
      <c r="M425" s="167">
        <v>138.46</v>
      </c>
      <c r="N425" s="167">
        <v>138.46</v>
      </c>
      <c r="O425" s="167">
        <v>138.46</v>
      </c>
      <c r="P425" s="167">
        <v>138.46</v>
      </c>
      <c r="Q425" s="167">
        <v>138.46</v>
      </c>
      <c r="R425" s="167">
        <v>138.46</v>
      </c>
      <c r="S425" s="167">
        <v>138.46</v>
      </c>
      <c r="T425" s="167">
        <v>138.46</v>
      </c>
      <c r="U425" s="167">
        <v>138.46</v>
      </c>
      <c r="V425" s="167">
        <v>138.46</v>
      </c>
      <c r="W425" s="167">
        <v>138.46</v>
      </c>
      <c r="X425" s="167">
        <v>138.46</v>
      </c>
      <c r="Y425" s="167">
        <v>138.46</v>
      </c>
      <c r="Z425" s="167">
        <v>138.46</v>
      </c>
      <c r="AA425" s="167">
        <v>138.46</v>
      </c>
      <c r="AB425" s="167">
        <v>138.46</v>
      </c>
      <c r="AC425" s="167">
        <v>138.46</v>
      </c>
      <c r="AD425" s="167">
        <v>138.46</v>
      </c>
      <c r="AE425" s="167">
        <f t="shared" si="20"/>
        <v>3599.9600000000005</v>
      </c>
    </row>
    <row r="426" spans="1:31">
      <c r="A426" s="197">
        <f t="shared" si="21"/>
        <v>45806</v>
      </c>
      <c r="B426" s="167">
        <f>YEAR(Table7[[#This Row],[Date]])+IF(MONTH(Table7[[#This Row],[Date]])&gt;=4,1,0)</f>
        <v>2026</v>
      </c>
      <c r="C426" s="167">
        <f>YEAR(Table7[[#This Row],[Date]])</f>
        <v>2025</v>
      </c>
      <c r="D426" s="168">
        <f t="shared" si="19"/>
        <v>45778</v>
      </c>
      <c r="E426" s="167">
        <v>276.92</v>
      </c>
      <c r="F426" s="167">
        <v>276.92</v>
      </c>
      <c r="G426" s="167">
        <v>276.92</v>
      </c>
      <c r="H426" s="167">
        <v>276.92</v>
      </c>
      <c r="I426" s="167">
        <v>276.92</v>
      </c>
      <c r="J426" s="167">
        <v>276.92</v>
      </c>
      <c r="K426" s="167">
        <v>276.92</v>
      </c>
      <c r="L426" s="167">
        <v>276.92</v>
      </c>
      <c r="M426" s="167">
        <v>276.92</v>
      </c>
      <c r="N426" s="167">
        <v>276.92</v>
      </c>
      <c r="O426" s="167">
        <v>276.92</v>
      </c>
      <c r="P426" s="167">
        <v>276.92</v>
      </c>
      <c r="Q426" s="167">
        <v>276.92</v>
      </c>
      <c r="R426" s="167">
        <v>276.92</v>
      </c>
      <c r="S426" s="167">
        <v>276.92</v>
      </c>
      <c r="T426" s="167">
        <v>276.92</v>
      </c>
      <c r="U426" s="167">
        <v>276.92</v>
      </c>
      <c r="V426" s="167">
        <v>276.92</v>
      </c>
      <c r="W426" s="167">
        <v>276.92</v>
      </c>
      <c r="X426" s="167">
        <v>276.92</v>
      </c>
      <c r="Y426" s="167">
        <v>276.92</v>
      </c>
      <c r="Z426" s="167">
        <v>276.92</v>
      </c>
      <c r="AA426" s="167">
        <v>276.92</v>
      </c>
      <c r="AB426" s="167">
        <v>276.92</v>
      </c>
      <c r="AC426" s="167">
        <v>276.92</v>
      </c>
      <c r="AD426" s="167">
        <v>276.92</v>
      </c>
      <c r="AE426" s="167">
        <f t="shared" si="20"/>
        <v>7199.920000000001</v>
      </c>
    </row>
    <row r="427" spans="1:31">
      <c r="A427" s="197">
        <f t="shared" si="21"/>
        <v>45807</v>
      </c>
      <c r="B427" s="167">
        <f>YEAR(Table7[[#This Row],[Date]])+IF(MONTH(Table7[[#This Row],[Date]])&gt;=4,1,0)</f>
        <v>2026</v>
      </c>
      <c r="C427" s="167">
        <f>YEAR(Table7[[#This Row],[Date]])</f>
        <v>2025</v>
      </c>
      <c r="D427" s="168">
        <f t="shared" si="19"/>
        <v>45778</v>
      </c>
      <c r="E427" s="167">
        <v>1298.07</v>
      </c>
      <c r="F427" s="167">
        <v>1298.07</v>
      </c>
      <c r="G427" s="167">
        <v>1298.07</v>
      </c>
      <c r="H427" s="167">
        <v>1298.07</v>
      </c>
      <c r="I427" s="167">
        <v>1298.07</v>
      </c>
      <c r="J427" s="167">
        <v>1298.07</v>
      </c>
      <c r="K427" s="167">
        <v>1298.07</v>
      </c>
      <c r="L427" s="167">
        <v>1298.07</v>
      </c>
      <c r="M427" s="167">
        <v>1298.07</v>
      </c>
      <c r="N427" s="167">
        <v>1298.07</v>
      </c>
      <c r="O427" s="167">
        <v>1298.07</v>
      </c>
      <c r="P427" s="167">
        <v>1298.07</v>
      </c>
      <c r="Q427" s="167">
        <v>1298.07</v>
      </c>
      <c r="R427" s="167">
        <v>1298.07</v>
      </c>
      <c r="S427" s="167">
        <v>1298.07</v>
      </c>
      <c r="T427" s="167">
        <v>1298.07</v>
      </c>
      <c r="U427" s="167">
        <v>1298.07</v>
      </c>
      <c r="V427" s="167">
        <v>1298.07</v>
      </c>
      <c r="W427" s="167">
        <v>1298.07</v>
      </c>
      <c r="X427" s="167">
        <v>1298.07</v>
      </c>
      <c r="Y427" s="167">
        <v>1298.07</v>
      </c>
      <c r="Z427" s="167">
        <v>1298.07</v>
      </c>
      <c r="AA427" s="167">
        <v>1298.07</v>
      </c>
      <c r="AB427" s="167">
        <v>1298.07</v>
      </c>
      <c r="AC427" s="167">
        <v>1298.07</v>
      </c>
      <c r="AD427" s="167">
        <v>1298.07</v>
      </c>
      <c r="AE427" s="167">
        <f t="shared" si="20"/>
        <v>33749.82</v>
      </c>
    </row>
    <row r="428" spans="1:31">
      <c r="A428" s="197">
        <f t="shared" si="21"/>
        <v>45808</v>
      </c>
      <c r="B428" s="167">
        <f>YEAR(Table7[[#This Row],[Date]])+IF(MONTH(Table7[[#This Row],[Date]])&gt;=4,1,0)</f>
        <v>2026</v>
      </c>
      <c r="C428" s="167">
        <f>YEAR(Table7[[#This Row],[Date]])</f>
        <v>2025</v>
      </c>
      <c r="D428" s="168">
        <f t="shared" si="19"/>
        <v>45778</v>
      </c>
      <c r="E428" s="167">
        <v>1298.07</v>
      </c>
      <c r="F428" s="167">
        <v>1298.07</v>
      </c>
      <c r="G428" s="167">
        <v>1298.07</v>
      </c>
      <c r="H428" s="167">
        <v>1298.07</v>
      </c>
      <c r="I428" s="167">
        <v>1298.07</v>
      </c>
      <c r="J428" s="167">
        <v>1298.07</v>
      </c>
      <c r="K428" s="167">
        <v>1298.07</v>
      </c>
      <c r="L428" s="167">
        <v>1298.07</v>
      </c>
      <c r="M428" s="167">
        <v>1298.07</v>
      </c>
      <c r="N428" s="167">
        <v>1298.07</v>
      </c>
      <c r="O428" s="167">
        <v>1298.07</v>
      </c>
      <c r="P428" s="167">
        <v>1298.07</v>
      </c>
      <c r="Q428" s="167">
        <v>1298.07</v>
      </c>
      <c r="R428" s="167">
        <v>1298.07</v>
      </c>
      <c r="S428" s="167">
        <v>1298.07</v>
      </c>
      <c r="T428" s="167">
        <v>1298.07</v>
      </c>
      <c r="U428" s="167">
        <v>1298.07</v>
      </c>
      <c r="V428" s="167">
        <v>1298.07</v>
      </c>
      <c r="W428" s="167">
        <v>1298.07</v>
      </c>
      <c r="X428" s="167">
        <v>1298.07</v>
      </c>
      <c r="Y428" s="167">
        <v>1298.07</v>
      </c>
      <c r="Z428" s="167">
        <v>1298.07</v>
      </c>
      <c r="AA428" s="167">
        <v>1298.07</v>
      </c>
      <c r="AB428" s="167">
        <v>1298.07</v>
      </c>
      <c r="AC428" s="167">
        <v>1298.07</v>
      </c>
      <c r="AD428" s="167">
        <v>1298.07</v>
      </c>
      <c r="AE428" s="167">
        <f t="shared" si="20"/>
        <v>33749.82</v>
      </c>
    </row>
    <row r="429" spans="1:31">
      <c r="A429" s="197">
        <f t="shared" si="21"/>
        <v>45809</v>
      </c>
      <c r="B429" s="167">
        <f>YEAR(Table7[[#This Row],[Date]])+IF(MONTH(Table7[[#This Row],[Date]])&gt;=4,1,0)</f>
        <v>2026</v>
      </c>
      <c r="C429" s="167">
        <f>YEAR(Table7[[#This Row],[Date]])</f>
        <v>2025</v>
      </c>
      <c r="D429" s="168">
        <f t="shared" si="19"/>
        <v>45809</v>
      </c>
      <c r="E429" s="167">
        <v>1038.46</v>
      </c>
      <c r="F429" s="167">
        <v>1038.46</v>
      </c>
      <c r="G429" s="167">
        <v>1038.46</v>
      </c>
      <c r="H429" s="167">
        <v>1038.46</v>
      </c>
      <c r="I429" s="167">
        <v>1038.46</v>
      </c>
      <c r="J429" s="167">
        <v>1038.46</v>
      </c>
      <c r="K429" s="167">
        <v>1038.46</v>
      </c>
      <c r="L429" s="167">
        <v>1038.46</v>
      </c>
      <c r="M429" s="167">
        <v>1038.46</v>
      </c>
      <c r="N429" s="167">
        <v>1038.46</v>
      </c>
      <c r="O429" s="167">
        <v>1038.46</v>
      </c>
      <c r="P429" s="167">
        <v>1038.46</v>
      </c>
      <c r="Q429" s="167">
        <v>1038.46</v>
      </c>
      <c r="R429" s="167">
        <v>1038.46</v>
      </c>
      <c r="S429" s="167">
        <v>1038.46</v>
      </c>
      <c r="T429" s="167">
        <v>1038.46</v>
      </c>
      <c r="U429" s="167">
        <v>1038.46</v>
      </c>
      <c r="V429" s="167">
        <v>1038.46</v>
      </c>
      <c r="W429" s="167">
        <v>1038.46</v>
      </c>
      <c r="X429" s="167">
        <v>1038.46</v>
      </c>
      <c r="Y429" s="167">
        <v>1038.46</v>
      </c>
      <c r="Z429" s="167">
        <v>1038.46</v>
      </c>
      <c r="AA429" s="167">
        <v>1038.46</v>
      </c>
      <c r="AB429" s="167">
        <v>1038.46</v>
      </c>
      <c r="AC429" s="167">
        <v>1038.46</v>
      </c>
      <c r="AD429" s="167">
        <v>1038.46</v>
      </c>
      <c r="AE429" s="167">
        <f t="shared" si="20"/>
        <v>26999.959999999985</v>
      </c>
    </row>
    <row r="430" spans="1:31">
      <c r="A430" s="197">
        <f t="shared" si="21"/>
        <v>45810</v>
      </c>
      <c r="B430" s="167">
        <f>YEAR(Table7[[#This Row],[Date]])+IF(MONTH(Table7[[#This Row],[Date]])&gt;=4,1,0)</f>
        <v>2026</v>
      </c>
      <c r="C430" s="167">
        <f>YEAR(Table7[[#This Row],[Date]])</f>
        <v>2025</v>
      </c>
      <c r="D430" s="168">
        <f t="shared" si="19"/>
        <v>45809</v>
      </c>
      <c r="E430" s="167">
        <v>1038.46</v>
      </c>
      <c r="F430" s="167">
        <v>1038.46</v>
      </c>
      <c r="G430" s="167">
        <v>1038.46</v>
      </c>
      <c r="H430" s="167">
        <v>1038.46</v>
      </c>
      <c r="I430" s="167">
        <v>1038.46</v>
      </c>
      <c r="J430" s="167">
        <v>1038.46</v>
      </c>
      <c r="K430" s="167">
        <v>1038.46</v>
      </c>
      <c r="L430" s="167">
        <v>1038.46</v>
      </c>
      <c r="M430" s="167">
        <v>1038.46</v>
      </c>
      <c r="N430" s="167">
        <v>1038.46</v>
      </c>
      <c r="O430" s="167">
        <v>1038.46</v>
      </c>
      <c r="P430" s="167">
        <v>1038.46</v>
      </c>
      <c r="Q430" s="167">
        <v>1038.46</v>
      </c>
      <c r="R430" s="167">
        <v>1038.46</v>
      </c>
      <c r="S430" s="167">
        <v>1038.46</v>
      </c>
      <c r="T430" s="167">
        <v>1038.46</v>
      </c>
      <c r="U430" s="167">
        <v>1038.46</v>
      </c>
      <c r="V430" s="167">
        <v>1038.46</v>
      </c>
      <c r="W430" s="167">
        <v>1038.46</v>
      </c>
      <c r="X430" s="167">
        <v>1038.46</v>
      </c>
      <c r="Y430" s="167">
        <v>1038.46</v>
      </c>
      <c r="Z430" s="167">
        <v>1038.46</v>
      </c>
      <c r="AA430" s="167">
        <v>1038.46</v>
      </c>
      <c r="AB430" s="167">
        <v>1038.46</v>
      </c>
      <c r="AC430" s="167">
        <v>1038.46</v>
      </c>
      <c r="AD430" s="167">
        <v>1038.46</v>
      </c>
      <c r="AE430" s="167">
        <f t="shared" si="20"/>
        <v>26999.959999999985</v>
      </c>
    </row>
    <row r="431" spans="1:31">
      <c r="A431" s="197">
        <f t="shared" si="21"/>
        <v>45811</v>
      </c>
      <c r="B431" s="167">
        <f>YEAR(Table7[[#This Row],[Date]])+IF(MONTH(Table7[[#This Row],[Date]])&gt;=4,1,0)</f>
        <v>2026</v>
      </c>
      <c r="C431" s="167">
        <f>YEAR(Table7[[#This Row],[Date]])</f>
        <v>2025</v>
      </c>
      <c r="D431" s="168">
        <f t="shared" si="19"/>
        <v>45809</v>
      </c>
      <c r="E431" s="167">
        <v>155.76</v>
      </c>
      <c r="F431" s="167">
        <v>155.76</v>
      </c>
      <c r="G431" s="167">
        <v>155.76</v>
      </c>
      <c r="H431" s="167">
        <v>155.76</v>
      </c>
      <c r="I431" s="167">
        <v>155.76</v>
      </c>
      <c r="J431" s="167">
        <v>155.76</v>
      </c>
      <c r="K431" s="167">
        <v>155.76</v>
      </c>
      <c r="L431" s="167">
        <v>155.76</v>
      </c>
      <c r="M431" s="167">
        <v>155.76</v>
      </c>
      <c r="N431" s="167">
        <v>155.76</v>
      </c>
      <c r="O431" s="167">
        <v>155.76</v>
      </c>
      <c r="P431" s="167">
        <v>155.76</v>
      </c>
      <c r="Q431" s="167">
        <v>155.76</v>
      </c>
      <c r="R431" s="167">
        <v>155.76</v>
      </c>
      <c r="S431" s="167">
        <v>155.76</v>
      </c>
      <c r="T431" s="167">
        <v>155.76</v>
      </c>
      <c r="U431" s="167">
        <v>155.76</v>
      </c>
      <c r="V431" s="167">
        <v>155.76</v>
      </c>
      <c r="W431" s="167">
        <v>155.76</v>
      </c>
      <c r="X431" s="167">
        <v>155.76</v>
      </c>
      <c r="Y431" s="167">
        <v>155.76</v>
      </c>
      <c r="Z431" s="167">
        <v>155.76</v>
      </c>
      <c r="AA431" s="167">
        <v>155.76</v>
      </c>
      <c r="AB431" s="167">
        <v>155.76</v>
      </c>
      <c r="AC431" s="167">
        <v>155.76</v>
      </c>
      <c r="AD431" s="167">
        <v>155.76</v>
      </c>
      <c r="AE431" s="167">
        <f t="shared" si="20"/>
        <v>4049.760000000002</v>
      </c>
    </row>
    <row r="432" spans="1:31">
      <c r="A432" s="197">
        <f t="shared" si="21"/>
        <v>45812</v>
      </c>
      <c r="B432" s="167">
        <f>YEAR(Table7[[#This Row],[Date]])+IF(MONTH(Table7[[#This Row],[Date]])&gt;=4,1,0)</f>
        <v>2026</v>
      </c>
      <c r="C432" s="167">
        <f>YEAR(Table7[[#This Row],[Date]])</f>
        <v>2025</v>
      </c>
      <c r="D432" s="168">
        <f t="shared" si="19"/>
        <v>45809</v>
      </c>
      <c r="E432" s="167">
        <v>86.53</v>
      </c>
      <c r="F432" s="167">
        <v>86.53</v>
      </c>
      <c r="G432" s="167">
        <v>86.53</v>
      </c>
      <c r="H432" s="167">
        <v>86.53</v>
      </c>
      <c r="I432" s="167">
        <v>86.53</v>
      </c>
      <c r="J432" s="167">
        <v>86.53</v>
      </c>
      <c r="K432" s="167">
        <v>86.53</v>
      </c>
      <c r="L432" s="167">
        <v>86.53</v>
      </c>
      <c r="M432" s="167">
        <v>86.53</v>
      </c>
      <c r="N432" s="167">
        <v>86.53</v>
      </c>
      <c r="O432" s="167">
        <v>86.53</v>
      </c>
      <c r="P432" s="167">
        <v>86.53</v>
      </c>
      <c r="Q432" s="167">
        <v>86.53</v>
      </c>
      <c r="R432" s="167">
        <v>86.53</v>
      </c>
      <c r="S432" s="167">
        <v>86.53</v>
      </c>
      <c r="T432" s="167">
        <v>86.53</v>
      </c>
      <c r="U432" s="167">
        <v>86.53</v>
      </c>
      <c r="V432" s="167">
        <v>86.53</v>
      </c>
      <c r="W432" s="167">
        <v>86.53</v>
      </c>
      <c r="X432" s="167">
        <v>86.53</v>
      </c>
      <c r="Y432" s="167">
        <v>86.53</v>
      </c>
      <c r="Z432" s="167">
        <v>86.53</v>
      </c>
      <c r="AA432" s="167">
        <v>86.53</v>
      </c>
      <c r="AB432" s="167">
        <v>86.53</v>
      </c>
      <c r="AC432" s="167">
        <v>86.53</v>
      </c>
      <c r="AD432" s="167">
        <v>86.53</v>
      </c>
      <c r="AE432" s="167">
        <f t="shared" si="20"/>
        <v>2249.7800000000002</v>
      </c>
    </row>
    <row r="433" spans="1:31">
      <c r="A433" s="197">
        <f t="shared" si="21"/>
        <v>45813</v>
      </c>
      <c r="B433" s="167">
        <f>YEAR(Table7[[#This Row],[Date]])+IF(MONTH(Table7[[#This Row],[Date]])&gt;=4,1,0)</f>
        <v>2026</v>
      </c>
      <c r="C433" s="167">
        <f>YEAR(Table7[[#This Row],[Date]])</f>
        <v>2025</v>
      </c>
      <c r="D433" s="168">
        <f t="shared" si="19"/>
        <v>45809</v>
      </c>
      <c r="E433" s="167">
        <v>380.76</v>
      </c>
      <c r="F433" s="167">
        <v>380.76</v>
      </c>
      <c r="G433" s="167">
        <v>380.76</v>
      </c>
      <c r="H433" s="167">
        <v>380.76</v>
      </c>
      <c r="I433" s="167">
        <v>380.76</v>
      </c>
      <c r="J433" s="167">
        <v>380.76</v>
      </c>
      <c r="K433" s="167">
        <v>380.76</v>
      </c>
      <c r="L433" s="167">
        <v>380.76</v>
      </c>
      <c r="M433" s="167">
        <v>380.76</v>
      </c>
      <c r="N433" s="167">
        <v>380.76</v>
      </c>
      <c r="O433" s="167">
        <v>380.76</v>
      </c>
      <c r="P433" s="167">
        <v>380.76</v>
      </c>
      <c r="Q433" s="167">
        <v>380.76</v>
      </c>
      <c r="R433" s="167">
        <v>380.76</v>
      </c>
      <c r="S433" s="167">
        <v>380.76</v>
      </c>
      <c r="T433" s="167">
        <v>380.76</v>
      </c>
      <c r="U433" s="167">
        <v>380.76</v>
      </c>
      <c r="V433" s="167">
        <v>380.76</v>
      </c>
      <c r="W433" s="167">
        <v>380.76</v>
      </c>
      <c r="X433" s="167">
        <v>380.76</v>
      </c>
      <c r="Y433" s="167">
        <v>380.76</v>
      </c>
      <c r="Z433" s="167">
        <v>380.76</v>
      </c>
      <c r="AA433" s="167">
        <v>380.76</v>
      </c>
      <c r="AB433" s="167">
        <v>380.76</v>
      </c>
      <c r="AC433" s="167">
        <v>380.76</v>
      </c>
      <c r="AD433" s="167">
        <v>380.76</v>
      </c>
      <c r="AE433" s="167">
        <f t="shared" si="20"/>
        <v>9899.7600000000039</v>
      </c>
    </row>
    <row r="434" spans="1:31">
      <c r="A434" s="197">
        <f t="shared" si="21"/>
        <v>45814</v>
      </c>
      <c r="B434" s="167">
        <f>YEAR(Table7[[#This Row],[Date]])+IF(MONTH(Table7[[#This Row],[Date]])&gt;=4,1,0)</f>
        <v>2026</v>
      </c>
      <c r="C434" s="167">
        <f>YEAR(Table7[[#This Row],[Date]])</f>
        <v>2025</v>
      </c>
      <c r="D434" s="168">
        <f t="shared" si="19"/>
        <v>45809</v>
      </c>
      <c r="E434" s="167">
        <v>103.84</v>
      </c>
      <c r="F434" s="167">
        <v>103.84</v>
      </c>
      <c r="G434" s="167">
        <v>103.84</v>
      </c>
      <c r="H434" s="167">
        <v>103.84</v>
      </c>
      <c r="I434" s="167">
        <v>103.84</v>
      </c>
      <c r="J434" s="167">
        <v>103.84</v>
      </c>
      <c r="K434" s="167">
        <v>103.84</v>
      </c>
      <c r="L434" s="167">
        <v>103.84</v>
      </c>
      <c r="M434" s="167">
        <v>103.84</v>
      </c>
      <c r="N434" s="167">
        <v>103.84</v>
      </c>
      <c r="O434" s="167">
        <v>103.84</v>
      </c>
      <c r="P434" s="167">
        <v>103.84</v>
      </c>
      <c r="Q434" s="167">
        <v>103.84</v>
      </c>
      <c r="R434" s="167">
        <v>103.84</v>
      </c>
      <c r="S434" s="167">
        <v>103.84</v>
      </c>
      <c r="T434" s="167">
        <v>103.84</v>
      </c>
      <c r="U434" s="167">
        <v>103.84</v>
      </c>
      <c r="V434" s="167">
        <v>103.84</v>
      </c>
      <c r="W434" s="167">
        <v>103.84</v>
      </c>
      <c r="X434" s="167">
        <v>103.84</v>
      </c>
      <c r="Y434" s="167">
        <v>103.84</v>
      </c>
      <c r="Z434" s="167">
        <v>103.84</v>
      </c>
      <c r="AA434" s="167">
        <v>103.84</v>
      </c>
      <c r="AB434" s="167">
        <v>103.84</v>
      </c>
      <c r="AC434" s="167">
        <v>103.84</v>
      </c>
      <c r="AD434" s="167">
        <v>103.84</v>
      </c>
      <c r="AE434" s="167">
        <f t="shared" si="20"/>
        <v>2699.84</v>
      </c>
    </row>
    <row r="435" spans="1:31">
      <c r="A435" s="197">
        <f t="shared" si="21"/>
        <v>45815</v>
      </c>
      <c r="B435" s="167">
        <f>YEAR(Table7[[#This Row],[Date]])+IF(MONTH(Table7[[#This Row],[Date]])&gt;=4,1,0)</f>
        <v>2026</v>
      </c>
      <c r="C435" s="167">
        <f>YEAR(Table7[[#This Row],[Date]])</f>
        <v>2025</v>
      </c>
      <c r="D435" s="168">
        <f t="shared" si="19"/>
        <v>45809</v>
      </c>
      <c r="E435" s="167">
        <v>103.84</v>
      </c>
      <c r="F435" s="167">
        <v>103.84</v>
      </c>
      <c r="G435" s="167">
        <v>103.84</v>
      </c>
      <c r="H435" s="167">
        <v>103.84</v>
      </c>
      <c r="I435" s="167">
        <v>103.84</v>
      </c>
      <c r="J435" s="167">
        <v>103.84</v>
      </c>
      <c r="K435" s="167">
        <v>103.84</v>
      </c>
      <c r="L435" s="167">
        <v>103.84</v>
      </c>
      <c r="M435" s="167">
        <v>103.84</v>
      </c>
      <c r="N435" s="167">
        <v>103.84</v>
      </c>
      <c r="O435" s="167">
        <v>103.84</v>
      </c>
      <c r="P435" s="167">
        <v>103.84</v>
      </c>
      <c r="Q435" s="167">
        <v>103.84</v>
      </c>
      <c r="R435" s="167">
        <v>103.84</v>
      </c>
      <c r="S435" s="167">
        <v>103.84</v>
      </c>
      <c r="T435" s="167">
        <v>103.84</v>
      </c>
      <c r="U435" s="167">
        <v>103.84</v>
      </c>
      <c r="V435" s="167">
        <v>103.84</v>
      </c>
      <c r="W435" s="167">
        <v>103.84</v>
      </c>
      <c r="X435" s="167">
        <v>103.84</v>
      </c>
      <c r="Y435" s="167">
        <v>103.84</v>
      </c>
      <c r="Z435" s="167">
        <v>103.84</v>
      </c>
      <c r="AA435" s="167">
        <v>103.84</v>
      </c>
      <c r="AB435" s="167">
        <v>103.84</v>
      </c>
      <c r="AC435" s="167">
        <v>103.84</v>
      </c>
      <c r="AD435" s="167">
        <v>103.84</v>
      </c>
      <c r="AE435" s="167">
        <f t="shared" si="20"/>
        <v>2699.84</v>
      </c>
    </row>
    <row r="436" spans="1:31">
      <c r="A436" s="197">
        <f t="shared" si="21"/>
        <v>45816</v>
      </c>
      <c r="B436" s="167">
        <f>YEAR(Table7[[#This Row],[Date]])+IF(MONTH(Table7[[#This Row],[Date]])&gt;=4,1,0)</f>
        <v>2026</v>
      </c>
      <c r="C436" s="167">
        <f>YEAR(Table7[[#This Row],[Date]])</f>
        <v>2025</v>
      </c>
      <c r="D436" s="168">
        <f t="shared" si="19"/>
        <v>45809</v>
      </c>
      <c r="E436" s="167">
        <v>536.53</v>
      </c>
      <c r="F436" s="167">
        <v>536.53</v>
      </c>
      <c r="G436" s="167">
        <v>536.53</v>
      </c>
      <c r="H436" s="167">
        <v>536.53</v>
      </c>
      <c r="I436" s="167">
        <v>536.53</v>
      </c>
      <c r="J436" s="167">
        <v>536.53</v>
      </c>
      <c r="K436" s="167">
        <v>536.53</v>
      </c>
      <c r="L436" s="167">
        <v>536.53</v>
      </c>
      <c r="M436" s="167">
        <v>536.53</v>
      </c>
      <c r="N436" s="167">
        <v>536.53</v>
      </c>
      <c r="O436" s="167">
        <v>536.53</v>
      </c>
      <c r="P436" s="167">
        <v>536.53</v>
      </c>
      <c r="Q436" s="167">
        <v>536.53</v>
      </c>
      <c r="R436" s="167">
        <v>536.53</v>
      </c>
      <c r="S436" s="167">
        <v>536.53</v>
      </c>
      <c r="T436" s="167">
        <v>536.53</v>
      </c>
      <c r="U436" s="167">
        <v>536.53</v>
      </c>
      <c r="V436" s="167">
        <v>536.53</v>
      </c>
      <c r="W436" s="167">
        <v>536.53</v>
      </c>
      <c r="X436" s="167">
        <v>536.53</v>
      </c>
      <c r="Y436" s="167">
        <v>536.53</v>
      </c>
      <c r="Z436" s="167">
        <v>536.53</v>
      </c>
      <c r="AA436" s="167">
        <v>536.53</v>
      </c>
      <c r="AB436" s="167">
        <v>536.53</v>
      </c>
      <c r="AC436" s="167">
        <v>536.53</v>
      </c>
      <c r="AD436" s="167">
        <v>536.53</v>
      </c>
      <c r="AE436" s="167">
        <f t="shared" si="20"/>
        <v>13949.780000000004</v>
      </c>
    </row>
    <row r="437" spans="1:31">
      <c r="A437" s="197">
        <f t="shared" si="21"/>
        <v>45817</v>
      </c>
      <c r="B437" s="167">
        <f>YEAR(Table7[[#This Row],[Date]])+IF(MONTH(Table7[[#This Row],[Date]])&gt;=4,1,0)</f>
        <v>2026</v>
      </c>
      <c r="C437" s="167">
        <f>YEAR(Table7[[#This Row],[Date]])</f>
        <v>2025</v>
      </c>
      <c r="D437" s="168">
        <f t="shared" si="19"/>
        <v>45809</v>
      </c>
      <c r="E437" s="167">
        <v>380.76</v>
      </c>
      <c r="F437" s="167">
        <v>380.76</v>
      </c>
      <c r="G437" s="167">
        <v>380.76</v>
      </c>
      <c r="H437" s="167">
        <v>380.76</v>
      </c>
      <c r="I437" s="167">
        <v>380.76</v>
      </c>
      <c r="J437" s="167">
        <v>380.76</v>
      </c>
      <c r="K437" s="167">
        <v>380.76</v>
      </c>
      <c r="L437" s="167">
        <v>380.76</v>
      </c>
      <c r="M437" s="167">
        <v>380.76</v>
      </c>
      <c r="N437" s="167">
        <v>380.76</v>
      </c>
      <c r="O437" s="167">
        <v>380.76</v>
      </c>
      <c r="P437" s="167">
        <v>380.76</v>
      </c>
      <c r="Q437" s="167">
        <v>380.76</v>
      </c>
      <c r="R437" s="167">
        <v>380.76</v>
      </c>
      <c r="S437" s="167">
        <v>380.76</v>
      </c>
      <c r="T437" s="167">
        <v>380.76</v>
      </c>
      <c r="U437" s="167">
        <v>380.76</v>
      </c>
      <c r="V437" s="167">
        <v>380.76</v>
      </c>
      <c r="W437" s="167">
        <v>380.76</v>
      </c>
      <c r="X437" s="167">
        <v>380.76</v>
      </c>
      <c r="Y437" s="167">
        <v>380.76</v>
      </c>
      <c r="Z437" s="167">
        <v>380.76</v>
      </c>
      <c r="AA437" s="167">
        <v>380.76</v>
      </c>
      <c r="AB437" s="167">
        <v>380.76</v>
      </c>
      <c r="AC437" s="167">
        <v>380.76</v>
      </c>
      <c r="AD437" s="167">
        <v>380.76</v>
      </c>
      <c r="AE437" s="167">
        <f t="shared" si="20"/>
        <v>9899.7600000000039</v>
      </c>
    </row>
    <row r="438" spans="1:31">
      <c r="A438" s="197">
        <f t="shared" si="21"/>
        <v>45818</v>
      </c>
      <c r="B438" s="167">
        <f>YEAR(Table7[[#This Row],[Date]])+IF(MONTH(Table7[[#This Row],[Date]])&gt;=4,1,0)</f>
        <v>2026</v>
      </c>
      <c r="C438" s="167">
        <f>YEAR(Table7[[#This Row],[Date]])</f>
        <v>2025</v>
      </c>
      <c r="D438" s="168">
        <f t="shared" si="19"/>
        <v>45809</v>
      </c>
      <c r="E438" s="167">
        <v>155.76</v>
      </c>
      <c r="F438" s="167">
        <v>155.76</v>
      </c>
      <c r="G438" s="167">
        <v>155.76</v>
      </c>
      <c r="H438" s="167">
        <v>155.76</v>
      </c>
      <c r="I438" s="167">
        <v>155.76</v>
      </c>
      <c r="J438" s="167">
        <v>155.76</v>
      </c>
      <c r="K438" s="167">
        <v>155.76</v>
      </c>
      <c r="L438" s="167">
        <v>155.76</v>
      </c>
      <c r="M438" s="167">
        <v>155.76</v>
      </c>
      <c r="N438" s="167">
        <v>155.76</v>
      </c>
      <c r="O438" s="167">
        <v>155.76</v>
      </c>
      <c r="P438" s="167">
        <v>155.76</v>
      </c>
      <c r="Q438" s="167">
        <v>155.76</v>
      </c>
      <c r="R438" s="167">
        <v>155.76</v>
      </c>
      <c r="S438" s="167">
        <v>155.76</v>
      </c>
      <c r="T438" s="167">
        <v>155.76</v>
      </c>
      <c r="U438" s="167">
        <v>155.76</v>
      </c>
      <c r="V438" s="167">
        <v>155.76</v>
      </c>
      <c r="W438" s="167">
        <v>155.76</v>
      </c>
      <c r="X438" s="167">
        <v>155.76</v>
      </c>
      <c r="Y438" s="167">
        <v>155.76</v>
      </c>
      <c r="Z438" s="167">
        <v>155.76</v>
      </c>
      <c r="AA438" s="167">
        <v>155.76</v>
      </c>
      <c r="AB438" s="167">
        <v>155.76</v>
      </c>
      <c r="AC438" s="167">
        <v>155.76</v>
      </c>
      <c r="AD438" s="167">
        <v>155.76</v>
      </c>
      <c r="AE438" s="167">
        <f t="shared" si="20"/>
        <v>4049.760000000002</v>
      </c>
    </row>
    <row r="439" spans="1:31">
      <c r="A439" s="197">
        <f t="shared" si="21"/>
        <v>45819</v>
      </c>
      <c r="B439" s="167">
        <f>YEAR(Table7[[#This Row],[Date]])+IF(MONTH(Table7[[#This Row],[Date]])&gt;=4,1,0)</f>
        <v>2026</v>
      </c>
      <c r="C439" s="167">
        <f>YEAR(Table7[[#This Row],[Date]])</f>
        <v>2025</v>
      </c>
      <c r="D439" s="168">
        <f t="shared" si="19"/>
        <v>45809</v>
      </c>
      <c r="E439" s="167">
        <v>415.38</v>
      </c>
      <c r="F439" s="167">
        <v>415.38</v>
      </c>
      <c r="G439" s="167">
        <v>415.38</v>
      </c>
      <c r="H439" s="167">
        <v>415.38</v>
      </c>
      <c r="I439" s="167">
        <v>415.38</v>
      </c>
      <c r="J439" s="167">
        <v>415.38</v>
      </c>
      <c r="K439" s="167">
        <v>415.38</v>
      </c>
      <c r="L439" s="167">
        <v>415.38</v>
      </c>
      <c r="M439" s="167">
        <v>415.38</v>
      </c>
      <c r="N439" s="167">
        <v>415.38</v>
      </c>
      <c r="O439" s="167">
        <v>415.38</v>
      </c>
      <c r="P439" s="167">
        <v>415.38</v>
      </c>
      <c r="Q439" s="167">
        <v>415.38</v>
      </c>
      <c r="R439" s="167">
        <v>415.38</v>
      </c>
      <c r="S439" s="167">
        <v>415.38</v>
      </c>
      <c r="T439" s="167">
        <v>415.38</v>
      </c>
      <c r="U439" s="167">
        <v>415.38</v>
      </c>
      <c r="V439" s="167">
        <v>415.38</v>
      </c>
      <c r="W439" s="167">
        <v>415.38</v>
      </c>
      <c r="X439" s="167">
        <v>415.38</v>
      </c>
      <c r="Y439" s="167">
        <v>415.38</v>
      </c>
      <c r="Z439" s="167">
        <v>415.38</v>
      </c>
      <c r="AA439" s="167">
        <v>415.38</v>
      </c>
      <c r="AB439" s="167">
        <v>415.38</v>
      </c>
      <c r="AC439" s="167">
        <v>415.38</v>
      </c>
      <c r="AD439" s="167">
        <v>415.38</v>
      </c>
      <c r="AE439" s="167">
        <f t="shared" si="20"/>
        <v>10799.879999999996</v>
      </c>
    </row>
    <row r="440" spans="1:31">
      <c r="A440" s="197">
        <f t="shared" si="21"/>
        <v>45820</v>
      </c>
      <c r="B440" s="167">
        <f>YEAR(Table7[[#This Row],[Date]])+IF(MONTH(Table7[[#This Row],[Date]])&gt;=4,1,0)</f>
        <v>2026</v>
      </c>
      <c r="C440" s="167">
        <f>YEAR(Table7[[#This Row],[Date]])</f>
        <v>2025</v>
      </c>
      <c r="D440" s="168">
        <f t="shared" si="19"/>
        <v>45809</v>
      </c>
      <c r="E440" s="167">
        <v>103.84</v>
      </c>
      <c r="F440" s="167">
        <v>103.84</v>
      </c>
      <c r="G440" s="167">
        <v>103.84</v>
      </c>
      <c r="H440" s="167">
        <v>103.84</v>
      </c>
      <c r="I440" s="167">
        <v>103.84</v>
      </c>
      <c r="J440" s="167">
        <v>103.84</v>
      </c>
      <c r="K440" s="167">
        <v>103.84</v>
      </c>
      <c r="L440" s="167">
        <v>103.84</v>
      </c>
      <c r="M440" s="167">
        <v>103.84</v>
      </c>
      <c r="N440" s="167">
        <v>103.84</v>
      </c>
      <c r="O440" s="167">
        <v>103.84</v>
      </c>
      <c r="P440" s="167">
        <v>103.84</v>
      </c>
      <c r="Q440" s="167">
        <v>103.84</v>
      </c>
      <c r="R440" s="167">
        <v>103.84</v>
      </c>
      <c r="S440" s="167">
        <v>103.84</v>
      </c>
      <c r="T440" s="167">
        <v>103.84</v>
      </c>
      <c r="U440" s="167">
        <v>103.84</v>
      </c>
      <c r="V440" s="167">
        <v>103.84</v>
      </c>
      <c r="W440" s="167">
        <v>103.84</v>
      </c>
      <c r="X440" s="167">
        <v>103.84</v>
      </c>
      <c r="Y440" s="167">
        <v>103.84</v>
      </c>
      <c r="Z440" s="167">
        <v>103.84</v>
      </c>
      <c r="AA440" s="167">
        <v>103.84</v>
      </c>
      <c r="AB440" s="167">
        <v>103.84</v>
      </c>
      <c r="AC440" s="167">
        <v>103.84</v>
      </c>
      <c r="AD440" s="167">
        <v>103.84</v>
      </c>
      <c r="AE440" s="167">
        <f t="shared" si="20"/>
        <v>2699.84</v>
      </c>
    </row>
    <row r="441" spans="1:31">
      <c r="A441" s="197">
        <f t="shared" si="21"/>
        <v>45821</v>
      </c>
      <c r="B441" s="167">
        <f>YEAR(Table7[[#This Row],[Date]])+IF(MONTH(Table7[[#This Row],[Date]])&gt;=4,1,0)</f>
        <v>2026</v>
      </c>
      <c r="C441" s="167">
        <f>YEAR(Table7[[#This Row],[Date]])</f>
        <v>2025</v>
      </c>
      <c r="D441" s="168">
        <f t="shared" si="19"/>
        <v>45809</v>
      </c>
      <c r="E441" s="167">
        <v>86.53</v>
      </c>
      <c r="F441" s="167">
        <v>86.53</v>
      </c>
      <c r="G441" s="167">
        <v>86.53</v>
      </c>
      <c r="H441" s="167">
        <v>86.53</v>
      </c>
      <c r="I441" s="167">
        <v>86.53</v>
      </c>
      <c r="J441" s="167">
        <v>86.53</v>
      </c>
      <c r="K441" s="167">
        <v>86.53</v>
      </c>
      <c r="L441" s="167">
        <v>86.53</v>
      </c>
      <c r="M441" s="167">
        <v>86.53</v>
      </c>
      <c r="N441" s="167">
        <v>86.53</v>
      </c>
      <c r="O441" s="167">
        <v>86.53</v>
      </c>
      <c r="P441" s="167">
        <v>86.53</v>
      </c>
      <c r="Q441" s="167">
        <v>86.53</v>
      </c>
      <c r="R441" s="167">
        <v>86.53</v>
      </c>
      <c r="S441" s="167">
        <v>86.53</v>
      </c>
      <c r="T441" s="167">
        <v>86.53</v>
      </c>
      <c r="U441" s="167">
        <v>86.53</v>
      </c>
      <c r="V441" s="167">
        <v>86.53</v>
      </c>
      <c r="W441" s="167">
        <v>86.53</v>
      </c>
      <c r="X441" s="167">
        <v>86.53</v>
      </c>
      <c r="Y441" s="167">
        <v>86.53</v>
      </c>
      <c r="Z441" s="167">
        <v>86.53</v>
      </c>
      <c r="AA441" s="167">
        <v>86.53</v>
      </c>
      <c r="AB441" s="167">
        <v>86.53</v>
      </c>
      <c r="AC441" s="167">
        <v>86.53</v>
      </c>
      <c r="AD441" s="167">
        <v>86.53</v>
      </c>
      <c r="AE441" s="167">
        <f t="shared" si="20"/>
        <v>2249.7800000000002</v>
      </c>
    </row>
    <row r="442" spans="1:31">
      <c r="A442" s="197">
        <f t="shared" si="21"/>
        <v>45822</v>
      </c>
      <c r="B442" s="167">
        <f>YEAR(Table7[[#This Row],[Date]])+IF(MONTH(Table7[[#This Row],[Date]])&gt;=4,1,0)</f>
        <v>2026</v>
      </c>
      <c r="C442" s="167">
        <f>YEAR(Table7[[#This Row],[Date]])</f>
        <v>2025</v>
      </c>
      <c r="D442" s="168">
        <f t="shared" si="19"/>
        <v>45809</v>
      </c>
      <c r="E442" s="167">
        <v>69.23</v>
      </c>
      <c r="F442" s="167">
        <v>69.23</v>
      </c>
      <c r="G442" s="167">
        <v>69.23</v>
      </c>
      <c r="H442" s="167">
        <v>69.23</v>
      </c>
      <c r="I442" s="167">
        <v>69.23</v>
      </c>
      <c r="J442" s="167">
        <v>69.23</v>
      </c>
      <c r="K442" s="167">
        <v>69.23</v>
      </c>
      <c r="L442" s="167">
        <v>69.23</v>
      </c>
      <c r="M442" s="167">
        <v>69.23</v>
      </c>
      <c r="N442" s="167">
        <v>69.23</v>
      </c>
      <c r="O442" s="167">
        <v>69.23</v>
      </c>
      <c r="P442" s="167">
        <v>69.23</v>
      </c>
      <c r="Q442" s="167">
        <v>69.23</v>
      </c>
      <c r="R442" s="167">
        <v>69.23</v>
      </c>
      <c r="S442" s="167">
        <v>69.23</v>
      </c>
      <c r="T442" s="167">
        <v>69.23</v>
      </c>
      <c r="U442" s="167">
        <v>69.23</v>
      </c>
      <c r="V442" s="167">
        <v>69.23</v>
      </c>
      <c r="W442" s="167">
        <v>69.23</v>
      </c>
      <c r="X442" s="167">
        <v>69.23</v>
      </c>
      <c r="Y442" s="167">
        <v>69.23</v>
      </c>
      <c r="Z442" s="167">
        <v>69.23</v>
      </c>
      <c r="AA442" s="167">
        <v>69.23</v>
      </c>
      <c r="AB442" s="167">
        <v>69.23</v>
      </c>
      <c r="AC442" s="167">
        <v>69.23</v>
      </c>
      <c r="AD442" s="167">
        <v>69.23</v>
      </c>
      <c r="AE442" s="167">
        <f t="shared" si="20"/>
        <v>1799.9800000000002</v>
      </c>
    </row>
    <row r="443" spans="1:31">
      <c r="A443" s="197">
        <f t="shared" si="21"/>
        <v>45823</v>
      </c>
      <c r="B443" s="167">
        <f>YEAR(Table7[[#This Row],[Date]])+IF(MONTH(Table7[[#This Row],[Date]])&gt;=4,1,0)</f>
        <v>2026</v>
      </c>
      <c r="C443" s="167">
        <f>YEAR(Table7[[#This Row],[Date]])</f>
        <v>2025</v>
      </c>
      <c r="D443" s="168">
        <f t="shared" si="19"/>
        <v>45809</v>
      </c>
      <c r="E443" s="167">
        <v>34.61</v>
      </c>
      <c r="F443" s="167">
        <v>34.61</v>
      </c>
      <c r="G443" s="167">
        <v>34.61</v>
      </c>
      <c r="H443" s="167">
        <v>34.61</v>
      </c>
      <c r="I443" s="167">
        <v>34.61</v>
      </c>
      <c r="J443" s="167">
        <v>34.61</v>
      </c>
      <c r="K443" s="167">
        <v>34.61</v>
      </c>
      <c r="L443" s="167">
        <v>34.61</v>
      </c>
      <c r="M443" s="167">
        <v>34.61</v>
      </c>
      <c r="N443" s="167">
        <v>34.61</v>
      </c>
      <c r="O443" s="167">
        <v>34.61</v>
      </c>
      <c r="P443" s="167">
        <v>34.61</v>
      </c>
      <c r="Q443" s="167">
        <v>34.61</v>
      </c>
      <c r="R443" s="167">
        <v>34.61</v>
      </c>
      <c r="S443" s="167">
        <v>34.61</v>
      </c>
      <c r="T443" s="167">
        <v>34.61</v>
      </c>
      <c r="U443" s="167">
        <v>34.61</v>
      </c>
      <c r="V443" s="167">
        <v>34.61</v>
      </c>
      <c r="W443" s="167">
        <v>34.61</v>
      </c>
      <c r="X443" s="167">
        <v>34.61</v>
      </c>
      <c r="Y443" s="167">
        <v>34.61</v>
      </c>
      <c r="Z443" s="167">
        <v>34.61</v>
      </c>
      <c r="AA443" s="167">
        <v>34.61</v>
      </c>
      <c r="AB443" s="167">
        <v>34.61</v>
      </c>
      <c r="AC443" s="167">
        <v>34.61</v>
      </c>
      <c r="AD443" s="167">
        <v>34.61</v>
      </c>
      <c r="AE443" s="167">
        <f t="shared" si="20"/>
        <v>899.86000000000024</v>
      </c>
    </row>
    <row r="444" spans="1:31">
      <c r="A444" s="197">
        <f t="shared" si="21"/>
        <v>45824</v>
      </c>
      <c r="B444" s="167">
        <f>YEAR(Table7[[#This Row],[Date]])+IF(MONTH(Table7[[#This Row],[Date]])&gt;=4,1,0)</f>
        <v>2026</v>
      </c>
      <c r="C444" s="167">
        <f>YEAR(Table7[[#This Row],[Date]])</f>
        <v>2025</v>
      </c>
      <c r="D444" s="168">
        <f t="shared" si="19"/>
        <v>45809</v>
      </c>
      <c r="E444" s="167">
        <v>848.07</v>
      </c>
      <c r="F444" s="167">
        <v>848.07</v>
      </c>
      <c r="G444" s="167">
        <v>848.07</v>
      </c>
      <c r="H444" s="167">
        <v>848.07</v>
      </c>
      <c r="I444" s="167">
        <v>848.07</v>
      </c>
      <c r="J444" s="167">
        <v>848.07</v>
      </c>
      <c r="K444" s="167">
        <v>848.07</v>
      </c>
      <c r="L444" s="167">
        <v>848.07</v>
      </c>
      <c r="M444" s="167">
        <v>848.07</v>
      </c>
      <c r="N444" s="167">
        <v>848.07</v>
      </c>
      <c r="O444" s="167">
        <v>848.07</v>
      </c>
      <c r="P444" s="167">
        <v>848.07</v>
      </c>
      <c r="Q444" s="167">
        <v>848.07</v>
      </c>
      <c r="R444" s="167">
        <v>848.07</v>
      </c>
      <c r="S444" s="167">
        <v>848.07</v>
      </c>
      <c r="T444" s="167">
        <v>848.07</v>
      </c>
      <c r="U444" s="167">
        <v>848.07</v>
      </c>
      <c r="V444" s="167">
        <v>848.07</v>
      </c>
      <c r="W444" s="167">
        <v>848.07</v>
      </c>
      <c r="X444" s="167">
        <v>848.07</v>
      </c>
      <c r="Y444" s="167">
        <v>848.07</v>
      </c>
      <c r="Z444" s="167">
        <v>848.07</v>
      </c>
      <c r="AA444" s="167">
        <v>848.07</v>
      </c>
      <c r="AB444" s="167">
        <v>848.07</v>
      </c>
      <c r="AC444" s="167">
        <v>848.07</v>
      </c>
      <c r="AD444" s="167">
        <v>848.07</v>
      </c>
      <c r="AE444" s="167">
        <f t="shared" si="20"/>
        <v>22049.819999999996</v>
      </c>
    </row>
    <row r="445" spans="1:31">
      <c r="A445" s="197">
        <f t="shared" si="21"/>
        <v>45825</v>
      </c>
      <c r="B445" s="167">
        <f>YEAR(Table7[[#This Row],[Date]])+IF(MONTH(Table7[[#This Row],[Date]])&gt;=4,1,0)</f>
        <v>2026</v>
      </c>
      <c r="C445" s="167">
        <f>YEAR(Table7[[#This Row],[Date]])</f>
        <v>2025</v>
      </c>
      <c r="D445" s="168">
        <f t="shared" si="19"/>
        <v>45809</v>
      </c>
      <c r="E445" s="167">
        <v>328.84</v>
      </c>
      <c r="F445" s="167">
        <v>328.84</v>
      </c>
      <c r="G445" s="167">
        <v>328.84</v>
      </c>
      <c r="H445" s="167">
        <v>328.84</v>
      </c>
      <c r="I445" s="167">
        <v>328.84</v>
      </c>
      <c r="J445" s="167">
        <v>328.84</v>
      </c>
      <c r="K445" s="167">
        <v>328.84</v>
      </c>
      <c r="L445" s="167">
        <v>328.84</v>
      </c>
      <c r="M445" s="167">
        <v>328.84</v>
      </c>
      <c r="N445" s="167">
        <v>328.84</v>
      </c>
      <c r="O445" s="167">
        <v>328.84</v>
      </c>
      <c r="P445" s="167">
        <v>328.84</v>
      </c>
      <c r="Q445" s="167">
        <v>328.84</v>
      </c>
      <c r="R445" s="167">
        <v>328.84</v>
      </c>
      <c r="S445" s="167">
        <v>328.84</v>
      </c>
      <c r="T445" s="167">
        <v>328.84</v>
      </c>
      <c r="U445" s="167">
        <v>328.84</v>
      </c>
      <c r="V445" s="167">
        <v>328.84</v>
      </c>
      <c r="W445" s="167">
        <v>328.84</v>
      </c>
      <c r="X445" s="167">
        <v>328.84</v>
      </c>
      <c r="Y445" s="167">
        <v>328.84</v>
      </c>
      <c r="Z445" s="167">
        <v>328.84</v>
      </c>
      <c r="AA445" s="167">
        <v>328.84</v>
      </c>
      <c r="AB445" s="167">
        <v>328.84</v>
      </c>
      <c r="AC445" s="167">
        <v>328.84</v>
      </c>
      <c r="AD445" s="167">
        <v>328.84</v>
      </c>
      <c r="AE445" s="167">
        <f t="shared" si="20"/>
        <v>8549.840000000002</v>
      </c>
    </row>
    <row r="446" spans="1:31">
      <c r="A446" s="197">
        <f t="shared" si="21"/>
        <v>45826</v>
      </c>
      <c r="B446" s="167">
        <f>YEAR(Table7[[#This Row],[Date]])+IF(MONTH(Table7[[#This Row],[Date]])&gt;=4,1,0)</f>
        <v>2026</v>
      </c>
      <c r="C446" s="167">
        <f>YEAR(Table7[[#This Row],[Date]])</f>
        <v>2025</v>
      </c>
      <c r="D446" s="168">
        <f t="shared" si="19"/>
        <v>45809</v>
      </c>
      <c r="E446" s="167">
        <v>103.84</v>
      </c>
      <c r="F446" s="167">
        <v>103.84</v>
      </c>
      <c r="G446" s="167">
        <v>103.84</v>
      </c>
      <c r="H446" s="167">
        <v>103.84</v>
      </c>
      <c r="I446" s="167">
        <v>103.84</v>
      </c>
      <c r="J446" s="167">
        <v>103.84</v>
      </c>
      <c r="K446" s="167">
        <v>103.84</v>
      </c>
      <c r="L446" s="167">
        <v>103.84</v>
      </c>
      <c r="M446" s="167">
        <v>103.84</v>
      </c>
      <c r="N446" s="167">
        <v>103.84</v>
      </c>
      <c r="O446" s="167">
        <v>103.84</v>
      </c>
      <c r="P446" s="167">
        <v>103.84</v>
      </c>
      <c r="Q446" s="167">
        <v>103.84</v>
      </c>
      <c r="R446" s="167">
        <v>103.84</v>
      </c>
      <c r="S446" s="167">
        <v>103.84</v>
      </c>
      <c r="T446" s="167">
        <v>103.84</v>
      </c>
      <c r="U446" s="167">
        <v>103.84</v>
      </c>
      <c r="V446" s="167">
        <v>103.84</v>
      </c>
      <c r="W446" s="167">
        <v>103.84</v>
      </c>
      <c r="X446" s="167">
        <v>103.84</v>
      </c>
      <c r="Y446" s="167">
        <v>103.84</v>
      </c>
      <c r="Z446" s="167">
        <v>103.84</v>
      </c>
      <c r="AA446" s="167">
        <v>103.84</v>
      </c>
      <c r="AB446" s="167">
        <v>103.84</v>
      </c>
      <c r="AC446" s="167">
        <v>103.84</v>
      </c>
      <c r="AD446" s="167">
        <v>103.84</v>
      </c>
      <c r="AE446" s="167">
        <f t="shared" si="20"/>
        <v>2699.84</v>
      </c>
    </row>
    <row r="447" spans="1:31">
      <c r="A447" s="197">
        <f t="shared" si="21"/>
        <v>45827</v>
      </c>
      <c r="B447" s="167">
        <f>YEAR(Table7[[#This Row],[Date]])+IF(MONTH(Table7[[#This Row],[Date]])&gt;=4,1,0)</f>
        <v>2026</v>
      </c>
      <c r="C447" s="167">
        <f>YEAR(Table7[[#This Row],[Date]])</f>
        <v>2025</v>
      </c>
      <c r="D447" s="168">
        <f t="shared" si="19"/>
        <v>45809</v>
      </c>
      <c r="E447" s="167">
        <v>259.61</v>
      </c>
      <c r="F447" s="167">
        <v>259.61</v>
      </c>
      <c r="G447" s="167">
        <v>259.61</v>
      </c>
      <c r="H447" s="167">
        <v>259.61</v>
      </c>
      <c r="I447" s="167">
        <v>259.61</v>
      </c>
      <c r="J447" s="167">
        <v>259.61</v>
      </c>
      <c r="K447" s="167">
        <v>259.61</v>
      </c>
      <c r="L447" s="167">
        <v>259.61</v>
      </c>
      <c r="M447" s="167">
        <v>259.61</v>
      </c>
      <c r="N447" s="167">
        <v>259.61</v>
      </c>
      <c r="O447" s="167">
        <v>259.61</v>
      </c>
      <c r="P447" s="167">
        <v>259.61</v>
      </c>
      <c r="Q447" s="167">
        <v>259.61</v>
      </c>
      <c r="R447" s="167">
        <v>259.61</v>
      </c>
      <c r="S447" s="167">
        <v>259.61</v>
      </c>
      <c r="T447" s="167">
        <v>259.61</v>
      </c>
      <c r="U447" s="167">
        <v>259.61</v>
      </c>
      <c r="V447" s="167">
        <v>259.61</v>
      </c>
      <c r="W447" s="167">
        <v>259.61</v>
      </c>
      <c r="X447" s="167">
        <v>259.61</v>
      </c>
      <c r="Y447" s="167">
        <v>259.61</v>
      </c>
      <c r="Z447" s="167">
        <v>259.61</v>
      </c>
      <c r="AA447" s="167">
        <v>259.61</v>
      </c>
      <c r="AB447" s="167">
        <v>259.61</v>
      </c>
      <c r="AC447" s="167">
        <v>259.61</v>
      </c>
      <c r="AD447" s="167">
        <v>259.61</v>
      </c>
      <c r="AE447" s="167">
        <f t="shared" si="20"/>
        <v>6749.8599999999979</v>
      </c>
    </row>
    <row r="448" spans="1:31">
      <c r="A448" s="197">
        <f t="shared" si="21"/>
        <v>45828</v>
      </c>
      <c r="B448" s="167">
        <f>YEAR(Table7[[#This Row],[Date]])+IF(MONTH(Table7[[#This Row],[Date]])&gt;=4,1,0)</f>
        <v>2026</v>
      </c>
      <c r="C448" s="167">
        <f>YEAR(Table7[[#This Row],[Date]])</f>
        <v>2025</v>
      </c>
      <c r="D448" s="168">
        <f t="shared" si="19"/>
        <v>45809</v>
      </c>
      <c r="E448" s="167">
        <v>259.61</v>
      </c>
      <c r="F448" s="167">
        <v>259.61</v>
      </c>
      <c r="G448" s="167">
        <v>259.61</v>
      </c>
      <c r="H448" s="167">
        <v>259.61</v>
      </c>
      <c r="I448" s="167">
        <v>259.61</v>
      </c>
      <c r="J448" s="167">
        <v>259.61</v>
      </c>
      <c r="K448" s="167">
        <v>259.61</v>
      </c>
      <c r="L448" s="167">
        <v>259.61</v>
      </c>
      <c r="M448" s="167">
        <v>259.61</v>
      </c>
      <c r="N448" s="167">
        <v>259.61</v>
      </c>
      <c r="O448" s="167">
        <v>259.61</v>
      </c>
      <c r="P448" s="167">
        <v>259.61</v>
      </c>
      <c r="Q448" s="167">
        <v>259.61</v>
      </c>
      <c r="R448" s="167">
        <v>259.61</v>
      </c>
      <c r="S448" s="167">
        <v>259.61</v>
      </c>
      <c r="T448" s="167">
        <v>259.61</v>
      </c>
      <c r="U448" s="167">
        <v>259.61</v>
      </c>
      <c r="V448" s="167">
        <v>259.61</v>
      </c>
      <c r="W448" s="167">
        <v>259.61</v>
      </c>
      <c r="X448" s="167">
        <v>259.61</v>
      </c>
      <c r="Y448" s="167">
        <v>259.61</v>
      </c>
      <c r="Z448" s="167">
        <v>259.61</v>
      </c>
      <c r="AA448" s="167">
        <v>259.61</v>
      </c>
      <c r="AB448" s="167">
        <v>259.61</v>
      </c>
      <c r="AC448" s="167">
        <v>259.61</v>
      </c>
      <c r="AD448" s="167">
        <v>259.61</v>
      </c>
      <c r="AE448" s="167">
        <f t="shared" si="20"/>
        <v>6749.8599999999979</v>
      </c>
    </row>
    <row r="449" spans="1:31">
      <c r="A449" s="197">
        <f t="shared" si="21"/>
        <v>45829</v>
      </c>
      <c r="B449" s="167">
        <f>YEAR(Table7[[#This Row],[Date]])+IF(MONTH(Table7[[#This Row],[Date]])&gt;=4,1,0)</f>
        <v>2026</v>
      </c>
      <c r="C449" s="167">
        <f>YEAR(Table7[[#This Row],[Date]])</f>
        <v>2025</v>
      </c>
      <c r="D449" s="168">
        <f t="shared" si="19"/>
        <v>45809</v>
      </c>
      <c r="E449" s="167">
        <v>138.46</v>
      </c>
      <c r="F449" s="167">
        <v>138.46</v>
      </c>
      <c r="G449" s="167">
        <v>138.46</v>
      </c>
      <c r="H449" s="167">
        <v>138.46</v>
      </c>
      <c r="I449" s="167">
        <v>138.46</v>
      </c>
      <c r="J449" s="167">
        <v>138.46</v>
      </c>
      <c r="K449" s="167">
        <v>138.46</v>
      </c>
      <c r="L449" s="167">
        <v>138.46</v>
      </c>
      <c r="M449" s="167">
        <v>138.46</v>
      </c>
      <c r="N449" s="167">
        <v>138.46</v>
      </c>
      <c r="O449" s="167">
        <v>138.46</v>
      </c>
      <c r="P449" s="167">
        <v>138.46</v>
      </c>
      <c r="Q449" s="167">
        <v>138.46</v>
      </c>
      <c r="R449" s="167">
        <v>138.46</v>
      </c>
      <c r="S449" s="167">
        <v>138.46</v>
      </c>
      <c r="T449" s="167">
        <v>138.46</v>
      </c>
      <c r="U449" s="167">
        <v>138.46</v>
      </c>
      <c r="V449" s="167">
        <v>138.46</v>
      </c>
      <c r="W449" s="167">
        <v>138.46</v>
      </c>
      <c r="X449" s="167">
        <v>138.46</v>
      </c>
      <c r="Y449" s="167">
        <v>138.46</v>
      </c>
      <c r="Z449" s="167">
        <v>138.46</v>
      </c>
      <c r="AA449" s="167">
        <v>138.46</v>
      </c>
      <c r="AB449" s="167">
        <v>138.46</v>
      </c>
      <c r="AC449" s="167">
        <v>138.46</v>
      </c>
      <c r="AD449" s="167">
        <v>138.46</v>
      </c>
      <c r="AE449" s="167">
        <f t="shared" si="20"/>
        <v>3599.9600000000005</v>
      </c>
    </row>
    <row r="450" spans="1:31">
      <c r="A450" s="197">
        <f t="shared" si="21"/>
        <v>45830</v>
      </c>
      <c r="B450" s="167">
        <f>YEAR(Table7[[#This Row],[Date]])+IF(MONTH(Table7[[#This Row],[Date]])&gt;=4,1,0)</f>
        <v>2026</v>
      </c>
      <c r="C450" s="167">
        <f>YEAR(Table7[[#This Row],[Date]])</f>
        <v>2025</v>
      </c>
      <c r="D450" s="168">
        <f t="shared" si="19"/>
        <v>45809</v>
      </c>
      <c r="E450" s="167">
        <v>69.23</v>
      </c>
      <c r="F450" s="167">
        <v>69.23</v>
      </c>
      <c r="G450" s="167">
        <v>69.23</v>
      </c>
      <c r="H450" s="167">
        <v>69.23</v>
      </c>
      <c r="I450" s="167">
        <v>69.23</v>
      </c>
      <c r="J450" s="167">
        <v>69.23</v>
      </c>
      <c r="K450" s="167">
        <v>69.23</v>
      </c>
      <c r="L450" s="167">
        <v>69.23</v>
      </c>
      <c r="M450" s="167">
        <v>69.23</v>
      </c>
      <c r="N450" s="167">
        <v>69.23</v>
      </c>
      <c r="O450" s="167">
        <v>69.23</v>
      </c>
      <c r="P450" s="167">
        <v>69.23</v>
      </c>
      <c r="Q450" s="167">
        <v>69.23</v>
      </c>
      <c r="R450" s="167">
        <v>69.23</v>
      </c>
      <c r="S450" s="167">
        <v>69.23</v>
      </c>
      <c r="T450" s="167">
        <v>69.23</v>
      </c>
      <c r="U450" s="167">
        <v>69.23</v>
      </c>
      <c r="V450" s="167">
        <v>69.23</v>
      </c>
      <c r="W450" s="167">
        <v>69.23</v>
      </c>
      <c r="X450" s="167">
        <v>69.23</v>
      </c>
      <c r="Y450" s="167">
        <v>69.23</v>
      </c>
      <c r="Z450" s="167">
        <v>69.23</v>
      </c>
      <c r="AA450" s="167">
        <v>69.23</v>
      </c>
      <c r="AB450" s="167">
        <v>69.23</v>
      </c>
      <c r="AC450" s="167">
        <v>69.23</v>
      </c>
      <c r="AD450" s="167">
        <v>69.23</v>
      </c>
      <c r="AE450" s="167">
        <f t="shared" si="20"/>
        <v>1799.9800000000002</v>
      </c>
    </row>
    <row r="451" spans="1:31">
      <c r="A451" s="197">
        <f t="shared" si="21"/>
        <v>45831</v>
      </c>
      <c r="B451" s="167">
        <f>YEAR(Table7[[#This Row],[Date]])+IF(MONTH(Table7[[#This Row],[Date]])&gt;=4,1,0)</f>
        <v>2026</v>
      </c>
      <c r="C451" s="167">
        <f>YEAR(Table7[[#This Row],[Date]])</f>
        <v>2025</v>
      </c>
      <c r="D451" s="168">
        <f t="shared" ref="D451:D514" si="22">A451-DAY(A451)+1</f>
        <v>45809</v>
      </c>
      <c r="E451" s="167">
        <v>69.23</v>
      </c>
      <c r="F451" s="167">
        <v>69.23</v>
      </c>
      <c r="G451" s="167">
        <v>69.23</v>
      </c>
      <c r="H451" s="167">
        <v>69.23</v>
      </c>
      <c r="I451" s="167">
        <v>69.23</v>
      </c>
      <c r="J451" s="167">
        <v>69.23</v>
      </c>
      <c r="K451" s="167">
        <v>69.23</v>
      </c>
      <c r="L451" s="167">
        <v>69.23</v>
      </c>
      <c r="M451" s="167">
        <v>69.23</v>
      </c>
      <c r="N451" s="167">
        <v>69.23</v>
      </c>
      <c r="O451" s="167">
        <v>69.23</v>
      </c>
      <c r="P451" s="167">
        <v>69.23</v>
      </c>
      <c r="Q451" s="167">
        <v>69.23</v>
      </c>
      <c r="R451" s="167">
        <v>69.23</v>
      </c>
      <c r="S451" s="167">
        <v>69.23</v>
      </c>
      <c r="T451" s="167">
        <v>69.23</v>
      </c>
      <c r="U451" s="167">
        <v>69.23</v>
      </c>
      <c r="V451" s="167">
        <v>69.23</v>
      </c>
      <c r="W451" s="167">
        <v>69.23</v>
      </c>
      <c r="X451" s="167">
        <v>69.23</v>
      </c>
      <c r="Y451" s="167">
        <v>69.23</v>
      </c>
      <c r="Z451" s="167">
        <v>69.23</v>
      </c>
      <c r="AA451" s="167">
        <v>69.23</v>
      </c>
      <c r="AB451" s="167">
        <v>69.23</v>
      </c>
      <c r="AC451" s="167">
        <v>69.23</v>
      </c>
      <c r="AD451" s="167">
        <v>69.23</v>
      </c>
      <c r="AE451" s="167">
        <f t="shared" ref="AE451:AE514" si="23">SUM(E451:AD451)</f>
        <v>1799.9800000000002</v>
      </c>
    </row>
    <row r="452" spans="1:31">
      <c r="A452" s="197">
        <f t="shared" si="21"/>
        <v>45832</v>
      </c>
      <c r="B452" s="167">
        <f>YEAR(Table7[[#This Row],[Date]])+IF(MONTH(Table7[[#This Row],[Date]])&gt;=4,1,0)</f>
        <v>2026</v>
      </c>
      <c r="C452" s="167">
        <f>YEAR(Table7[[#This Row],[Date]])</f>
        <v>2025</v>
      </c>
      <c r="D452" s="168">
        <f t="shared" si="22"/>
        <v>45809</v>
      </c>
      <c r="E452" s="167">
        <v>155.76</v>
      </c>
      <c r="F452" s="167">
        <v>155.76</v>
      </c>
      <c r="G452" s="167">
        <v>155.76</v>
      </c>
      <c r="H452" s="167">
        <v>155.76</v>
      </c>
      <c r="I452" s="167">
        <v>155.76</v>
      </c>
      <c r="J452" s="167">
        <v>155.76</v>
      </c>
      <c r="K452" s="167">
        <v>155.76</v>
      </c>
      <c r="L452" s="167">
        <v>155.76</v>
      </c>
      <c r="M452" s="167">
        <v>155.76</v>
      </c>
      <c r="N452" s="167">
        <v>155.76</v>
      </c>
      <c r="O452" s="167">
        <v>155.76</v>
      </c>
      <c r="P452" s="167">
        <v>155.76</v>
      </c>
      <c r="Q452" s="167">
        <v>155.76</v>
      </c>
      <c r="R452" s="167">
        <v>155.76</v>
      </c>
      <c r="S452" s="167">
        <v>155.76</v>
      </c>
      <c r="T452" s="167">
        <v>155.76</v>
      </c>
      <c r="U452" s="167">
        <v>155.76</v>
      </c>
      <c r="V452" s="167">
        <v>155.76</v>
      </c>
      <c r="W452" s="167">
        <v>155.76</v>
      </c>
      <c r="X452" s="167">
        <v>155.76</v>
      </c>
      <c r="Y452" s="167">
        <v>155.76</v>
      </c>
      <c r="Z452" s="167">
        <v>155.76</v>
      </c>
      <c r="AA452" s="167">
        <v>155.76</v>
      </c>
      <c r="AB452" s="167">
        <v>155.76</v>
      </c>
      <c r="AC452" s="167">
        <v>155.76</v>
      </c>
      <c r="AD452" s="167">
        <v>155.76</v>
      </c>
      <c r="AE452" s="167">
        <f t="shared" si="23"/>
        <v>4049.760000000002</v>
      </c>
    </row>
    <row r="453" spans="1:31">
      <c r="A453" s="197">
        <f t="shared" ref="A453:A516" si="24">A452+1</f>
        <v>45833</v>
      </c>
      <c r="B453" s="167">
        <f>YEAR(Table7[[#This Row],[Date]])+IF(MONTH(Table7[[#This Row],[Date]])&gt;=4,1,0)</f>
        <v>2026</v>
      </c>
      <c r="C453" s="167">
        <f>YEAR(Table7[[#This Row],[Date]])</f>
        <v>2025</v>
      </c>
      <c r="D453" s="168">
        <f t="shared" si="22"/>
        <v>45809</v>
      </c>
      <c r="E453" s="167">
        <v>17.3</v>
      </c>
      <c r="F453" s="167">
        <v>17.3</v>
      </c>
      <c r="G453" s="167">
        <v>17.3</v>
      </c>
      <c r="H453" s="167">
        <v>17.3</v>
      </c>
      <c r="I453" s="167">
        <v>17.3</v>
      </c>
      <c r="J453" s="167">
        <v>17.3</v>
      </c>
      <c r="K453" s="167">
        <v>17.3</v>
      </c>
      <c r="L453" s="167">
        <v>17.3</v>
      </c>
      <c r="M453" s="167">
        <v>17.3</v>
      </c>
      <c r="N453" s="167">
        <v>17.3</v>
      </c>
      <c r="O453" s="167">
        <v>17.3</v>
      </c>
      <c r="P453" s="167">
        <v>17.3</v>
      </c>
      <c r="Q453" s="167">
        <v>17.3</v>
      </c>
      <c r="R453" s="167">
        <v>17.3</v>
      </c>
      <c r="S453" s="167">
        <v>17.3</v>
      </c>
      <c r="T453" s="167">
        <v>17.3</v>
      </c>
      <c r="U453" s="167">
        <v>17.3</v>
      </c>
      <c r="V453" s="167">
        <v>17.3</v>
      </c>
      <c r="W453" s="167">
        <v>17.3</v>
      </c>
      <c r="X453" s="167">
        <v>17.3</v>
      </c>
      <c r="Y453" s="167">
        <v>17.3</v>
      </c>
      <c r="Z453" s="167">
        <v>17.3</v>
      </c>
      <c r="AA453" s="167">
        <v>17.3</v>
      </c>
      <c r="AB453" s="167">
        <v>17.3</v>
      </c>
      <c r="AC453" s="167">
        <v>17.3</v>
      </c>
      <c r="AD453" s="167">
        <v>17.3</v>
      </c>
      <c r="AE453" s="167">
        <f t="shared" si="23"/>
        <v>449.80000000000018</v>
      </c>
    </row>
    <row r="454" spans="1:31">
      <c r="A454" s="197">
        <f t="shared" si="24"/>
        <v>45834</v>
      </c>
      <c r="B454" s="167">
        <f>YEAR(Table7[[#This Row],[Date]])+IF(MONTH(Table7[[#This Row],[Date]])&gt;=4,1,0)</f>
        <v>2026</v>
      </c>
      <c r="C454" s="167">
        <f>YEAR(Table7[[#This Row],[Date]])</f>
        <v>2025</v>
      </c>
      <c r="D454" s="168">
        <f t="shared" si="22"/>
        <v>45809</v>
      </c>
      <c r="E454" s="167">
        <v>17.3</v>
      </c>
      <c r="F454" s="167">
        <v>17.3</v>
      </c>
      <c r="G454" s="167">
        <v>17.3</v>
      </c>
      <c r="H454" s="167">
        <v>17.3</v>
      </c>
      <c r="I454" s="167">
        <v>17.3</v>
      </c>
      <c r="J454" s="167">
        <v>17.3</v>
      </c>
      <c r="K454" s="167">
        <v>17.3</v>
      </c>
      <c r="L454" s="167">
        <v>17.3</v>
      </c>
      <c r="M454" s="167">
        <v>17.3</v>
      </c>
      <c r="N454" s="167">
        <v>17.3</v>
      </c>
      <c r="O454" s="167">
        <v>17.3</v>
      </c>
      <c r="P454" s="167">
        <v>17.3</v>
      </c>
      <c r="Q454" s="167">
        <v>17.3</v>
      </c>
      <c r="R454" s="167">
        <v>17.3</v>
      </c>
      <c r="S454" s="167">
        <v>17.3</v>
      </c>
      <c r="T454" s="167">
        <v>17.3</v>
      </c>
      <c r="U454" s="167">
        <v>17.3</v>
      </c>
      <c r="V454" s="167">
        <v>17.3</v>
      </c>
      <c r="W454" s="167">
        <v>17.3</v>
      </c>
      <c r="X454" s="167">
        <v>17.3</v>
      </c>
      <c r="Y454" s="167">
        <v>17.3</v>
      </c>
      <c r="Z454" s="167">
        <v>17.3</v>
      </c>
      <c r="AA454" s="167">
        <v>17.3</v>
      </c>
      <c r="AB454" s="167">
        <v>17.3</v>
      </c>
      <c r="AC454" s="167">
        <v>17.3</v>
      </c>
      <c r="AD454" s="167">
        <v>17.3</v>
      </c>
      <c r="AE454" s="167">
        <f t="shared" si="23"/>
        <v>449.80000000000018</v>
      </c>
    </row>
    <row r="455" spans="1:31">
      <c r="A455" s="197">
        <f t="shared" si="24"/>
        <v>45835</v>
      </c>
      <c r="B455" s="167">
        <f>YEAR(Table7[[#This Row],[Date]])+IF(MONTH(Table7[[#This Row],[Date]])&gt;=4,1,0)</f>
        <v>2026</v>
      </c>
      <c r="C455" s="167">
        <f>YEAR(Table7[[#This Row],[Date]])</f>
        <v>2025</v>
      </c>
      <c r="D455" s="168">
        <f t="shared" si="22"/>
        <v>45809</v>
      </c>
      <c r="E455" s="167">
        <v>86.53</v>
      </c>
      <c r="F455" s="167">
        <v>86.53</v>
      </c>
      <c r="G455" s="167">
        <v>86.53</v>
      </c>
      <c r="H455" s="167">
        <v>86.53</v>
      </c>
      <c r="I455" s="167">
        <v>86.53</v>
      </c>
      <c r="J455" s="167">
        <v>86.53</v>
      </c>
      <c r="K455" s="167">
        <v>86.53</v>
      </c>
      <c r="L455" s="167">
        <v>86.53</v>
      </c>
      <c r="M455" s="167">
        <v>86.53</v>
      </c>
      <c r="N455" s="167">
        <v>86.53</v>
      </c>
      <c r="O455" s="167">
        <v>86.53</v>
      </c>
      <c r="P455" s="167">
        <v>86.53</v>
      </c>
      <c r="Q455" s="167">
        <v>86.53</v>
      </c>
      <c r="R455" s="167">
        <v>86.53</v>
      </c>
      <c r="S455" s="167">
        <v>86.53</v>
      </c>
      <c r="T455" s="167">
        <v>86.53</v>
      </c>
      <c r="U455" s="167">
        <v>86.53</v>
      </c>
      <c r="V455" s="167">
        <v>86.53</v>
      </c>
      <c r="W455" s="167">
        <v>86.53</v>
      </c>
      <c r="X455" s="167">
        <v>86.53</v>
      </c>
      <c r="Y455" s="167">
        <v>86.53</v>
      </c>
      <c r="Z455" s="167">
        <v>86.53</v>
      </c>
      <c r="AA455" s="167">
        <v>86.53</v>
      </c>
      <c r="AB455" s="167">
        <v>86.53</v>
      </c>
      <c r="AC455" s="167">
        <v>86.53</v>
      </c>
      <c r="AD455" s="167">
        <v>86.53</v>
      </c>
      <c r="AE455" s="167">
        <f t="shared" si="23"/>
        <v>2249.7800000000002</v>
      </c>
    </row>
    <row r="456" spans="1:31">
      <c r="A456" s="197">
        <f t="shared" si="24"/>
        <v>45836</v>
      </c>
      <c r="B456" s="167">
        <f>YEAR(Table7[[#This Row],[Date]])+IF(MONTH(Table7[[#This Row],[Date]])&gt;=4,1,0)</f>
        <v>2026</v>
      </c>
      <c r="C456" s="167">
        <f>YEAR(Table7[[#This Row],[Date]])</f>
        <v>2025</v>
      </c>
      <c r="D456" s="168">
        <f t="shared" si="22"/>
        <v>45809</v>
      </c>
      <c r="E456" s="167">
        <v>986.53</v>
      </c>
      <c r="F456" s="167">
        <v>986.53</v>
      </c>
      <c r="G456" s="167">
        <v>986.53</v>
      </c>
      <c r="H456" s="167">
        <v>986.53</v>
      </c>
      <c r="I456" s="167">
        <v>986.53</v>
      </c>
      <c r="J456" s="167">
        <v>986.53</v>
      </c>
      <c r="K456" s="167">
        <v>986.53</v>
      </c>
      <c r="L456" s="167">
        <v>986.53</v>
      </c>
      <c r="M456" s="167">
        <v>986.53</v>
      </c>
      <c r="N456" s="167">
        <v>986.53</v>
      </c>
      <c r="O456" s="167">
        <v>986.53</v>
      </c>
      <c r="P456" s="167">
        <v>986.53</v>
      </c>
      <c r="Q456" s="167">
        <v>986.53</v>
      </c>
      <c r="R456" s="167">
        <v>986.53</v>
      </c>
      <c r="S456" s="167">
        <v>986.53</v>
      </c>
      <c r="T456" s="167">
        <v>986.53</v>
      </c>
      <c r="U456" s="167">
        <v>986.53</v>
      </c>
      <c r="V456" s="167">
        <v>986.53</v>
      </c>
      <c r="W456" s="167">
        <v>986.53</v>
      </c>
      <c r="X456" s="167">
        <v>986.53</v>
      </c>
      <c r="Y456" s="167">
        <v>986.53</v>
      </c>
      <c r="Z456" s="167">
        <v>986.53</v>
      </c>
      <c r="AA456" s="167">
        <v>986.53</v>
      </c>
      <c r="AB456" s="167">
        <v>986.53</v>
      </c>
      <c r="AC456" s="167">
        <v>986.53</v>
      </c>
      <c r="AD456" s="167">
        <v>986.53</v>
      </c>
      <c r="AE456" s="167">
        <f t="shared" ref="AE456" si="25">SUM(E456:AD456)</f>
        <v>25649.779999999992</v>
      </c>
    </row>
    <row r="457" spans="1:31">
      <c r="A457" s="197">
        <f t="shared" si="24"/>
        <v>45837</v>
      </c>
      <c r="B457" s="167">
        <f>YEAR(Table7[[#This Row],[Date]])+IF(MONTH(Table7[[#This Row],[Date]])&gt;=4,1,0)</f>
        <v>2026</v>
      </c>
      <c r="C457" s="167">
        <f>YEAR(Table7[[#This Row],[Date]])</f>
        <v>2025</v>
      </c>
      <c r="D457" s="168">
        <f t="shared" si="22"/>
        <v>45809</v>
      </c>
      <c r="E457" s="167">
        <v>1609.61</v>
      </c>
      <c r="F457" s="167">
        <v>1609.61</v>
      </c>
      <c r="G457" s="167">
        <v>1609.61</v>
      </c>
      <c r="H457" s="167">
        <v>1609.61</v>
      </c>
      <c r="I457" s="167">
        <v>1609.61</v>
      </c>
      <c r="J457" s="167">
        <v>1609.61</v>
      </c>
      <c r="K457" s="167">
        <v>1609.61</v>
      </c>
      <c r="L457" s="167">
        <v>1609.61</v>
      </c>
      <c r="M457" s="167">
        <v>1609.61</v>
      </c>
      <c r="N457" s="167">
        <v>1609.61</v>
      </c>
      <c r="O457" s="167">
        <v>1609.61</v>
      </c>
      <c r="P457" s="167">
        <v>1609.61</v>
      </c>
      <c r="Q457" s="167">
        <v>1609.61</v>
      </c>
      <c r="R457" s="167">
        <v>1609.61</v>
      </c>
      <c r="S457" s="167">
        <v>1609.61</v>
      </c>
      <c r="T457" s="167">
        <v>1609.61</v>
      </c>
      <c r="U457" s="167">
        <v>1609.61</v>
      </c>
      <c r="V457" s="167">
        <v>1609.61</v>
      </c>
      <c r="W457" s="167">
        <v>1609.61</v>
      </c>
      <c r="X457" s="167">
        <v>1609.61</v>
      </c>
      <c r="Y457" s="167">
        <v>1609.61</v>
      </c>
      <c r="Z457" s="167">
        <v>1609.61</v>
      </c>
      <c r="AA457" s="167">
        <v>1609.61</v>
      </c>
      <c r="AB457" s="167">
        <v>1609.61</v>
      </c>
      <c r="AC457" s="167">
        <v>1609.61</v>
      </c>
      <c r="AD457" s="167">
        <v>1609.61</v>
      </c>
      <c r="AE457" s="167">
        <f t="shared" si="23"/>
        <v>41849.860000000008</v>
      </c>
    </row>
    <row r="458" spans="1:31">
      <c r="A458" s="197">
        <f t="shared" si="24"/>
        <v>45838</v>
      </c>
      <c r="B458" s="167">
        <f>YEAR(Table7[[#This Row],[Date]])+IF(MONTH(Table7[[#This Row],[Date]])&gt;=4,1,0)</f>
        <v>2026</v>
      </c>
      <c r="C458" s="167">
        <f>YEAR(Table7[[#This Row],[Date]])</f>
        <v>2025</v>
      </c>
      <c r="D458" s="168">
        <f t="shared" si="22"/>
        <v>45809</v>
      </c>
      <c r="E458" s="167">
        <v>1107.69</v>
      </c>
      <c r="F458" s="167">
        <v>1107.69</v>
      </c>
      <c r="G458" s="167">
        <v>1107.69</v>
      </c>
      <c r="H458" s="167">
        <v>1107.69</v>
      </c>
      <c r="I458" s="167">
        <v>1107.69</v>
      </c>
      <c r="J458" s="167">
        <v>1107.69</v>
      </c>
      <c r="K458" s="167">
        <v>1107.69</v>
      </c>
      <c r="L458" s="167">
        <v>1107.69</v>
      </c>
      <c r="M458" s="167">
        <v>1107.69</v>
      </c>
      <c r="N458" s="167">
        <v>1107.69</v>
      </c>
      <c r="O458" s="167">
        <v>1107.69</v>
      </c>
      <c r="P458" s="167">
        <v>1107.69</v>
      </c>
      <c r="Q458" s="167">
        <v>1107.69</v>
      </c>
      <c r="R458" s="167">
        <v>1107.69</v>
      </c>
      <c r="S458" s="167">
        <v>1107.69</v>
      </c>
      <c r="T458" s="167">
        <v>1107.69</v>
      </c>
      <c r="U458" s="167">
        <v>1107.69</v>
      </c>
      <c r="V458" s="167">
        <v>1107.69</v>
      </c>
      <c r="W458" s="167">
        <v>1107.69</v>
      </c>
      <c r="X458" s="167">
        <v>1107.69</v>
      </c>
      <c r="Y458" s="167">
        <v>1107.69</v>
      </c>
      <c r="Z458" s="167">
        <v>1107.69</v>
      </c>
      <c r="AA458" s="167">
        <v>1107.69</v>
      </c>
      <c r="AB458" s="167">
        <v>1107.69</v>
      </c>
      <c r="AC458" s="167">
        <v>1107.69</v>
      </c>
      <c r="AD458" s="167">
        <v>1107.69</v>
      </c>
      <c r="AE458" s="167">
        <f t="shared" si="23"/>
        <v>28799.939999999991</v>
      </c>
    </row>
    <row r="459" spans="1:31">
      <c r="A459" s="197">
        <f t="shared" si="24"/>
        <v>45839</v>
      </c>
      <c r="B459" s="167">
        <f>YEAR(Table7[[#This Row],[Date]])+IF(MONTH(Table7[[#This Row],[Date]])&gt;=4,1,0)</f>
        <v>2026</v>
      </c>
      <c r="C459" s="167">
        <f>YEAR(Table7[[#This Row],[Date]])</f>
        <v>2025</v>
      </c>
      <c r="D459" s="168">
        <f t="shared" si="22"/>
        <v>45839</v>
      </c>
      <c r="E459" s="167">
        <v>276.92</v>
      </c>
      <c r="F459" s="167">
        <v>276.92</v>
      </c>
      <c r="G459" s="167">
        <v>276.92</v>
      </c>
      <c r="H459" s="167">
        <v>276.92</v>
      </c>
      <c r="I459" s="167">
        <v>276.92</v>
      </c>
      <c r="J459" s="167">
        <v>276.92</v>
      </c>
      <c r="K459" s="167">
        <v>276.92</v>
      </c>
      <c r="L459" s="167">
        <v>276.92</v>
      </c>
      <c r="M459" s="167">
        <v>276.92</v>
      </c>
      <c r="N459" s="167">
        <v>276.92</v>
      </c>
      <c r="O459" s="167">
        <v>276.92</v>
      </c>
      <c r="P459" s="167">
        <v>276.92</v>
      </c>
      <c r="Q459" s="167">
        <v>276.92</v>
      </c>
      <c r="R459" s="167">
        <v>276.92</v>
      </c>
      <c r="S459" s="167">
        <v>276.92</v>
      </c>
      <c r="T459" s="167">
        <v>276.92</v>
      </c>
      <c r="U459" s="167">
        <v>276.92</v>
      </c>
      <c r="V459" s="167">
        <v>276.92</v>
      </c>
      <c r="W459" s="167">
        <v>276.92</v>
      </c>
      <c r="X459" s="167">
        <v>276.92</v>
      </c>
      <c r="Y459" s="167">
        <v>276.92</v>
      </c>
      <c r="Z459" s="167">
        <v>276.92</v>
      </c>
      <c r="AA459" s="167">
        <v>276.92</v>
      </c>
      <c r="AB459" s="167">
        <v>276.92</v>
      </c>
      <c r="AC459" s="167">
        <v>276.92</v>
      </c>
      <c r="AD459" s="167">
        <v>276.92</v>
      </c>
      <c r="AE459" s="167">
        <f t="shared" si="23"/>
        <v>7199.920000000001</v>
      </c>
    </row>
    <row r="460" spans="1:31">
      <c r="A460" s="197">
        <f t="shared" si="24"/>
        <v>45840</v>
      </c>
      <c r="B460" s="167">
        <f>YEAR(Table7[[#This Row],[Date]])+IF(MONTH(Table7[[#This Row],[Date]])&gt;=4,1,0)</f>
        <v>2026</v>
      </c>
      <c r="C460" s="167">
        <f>YEAR(Table7[[#This Row],[Date]])</f>
        <v>2025</v>
      </c>
      <c r="D460" s="168">
        <f t="shared" si="22"/>
        <v>45839</v>
      </c>
      <c r="E460" s="167">
        <v>450</v>
      </c>
      <c r="F460" s="167">
        <v>450</v>
      </c>
      <c r="G460" s="167">
        <v>450</v>
      </c>
      <c r="H460" s="167">
        <v>450</v>
      </c>
      <c r="I460" s="167">
        <v>450</v>
      </c>
      <c r="J460" s="167">
        <v>450</v>
      </c>
      <c r="K460" s="167">
        <v>450</v>
      </c>
      <c r="L460" s="167">
        <v>450</v>
      </c>
      <c r="M460" s="167">
        <v>450</v>
      </c>
      <c r="N460" s="167">
        <v>450</v>
      </c>
      <c r="O460" s="167">
        <v>450</v>
      </c>
      <c r="P460" s="167">
        <v>450</v>
      </c>
      <c r="Q460" s="167">
        <v>450</v>
      </c>
      <c r="R460" s="167">
        <v>450</v>
      </c>
      <c r="S460" s="167">
        <v>450</v>
      </c>
      <c r="T460" s="167">
        <v>450</v>
      </c>
      <c r="U460" s="167">
        <v>450</v>
      </c>
      <c r="V460" s="167">
        <v>450</v>
      </c>
      <c r="W460" s="167">
        <v>450</v>
      </c>
      <c r="X460" s="167">
        <v>450</v>
      </c>
      <c r="Y460" s="167">
        <v>450</v>
      </c>
      <c r="Z460" s="167">
        <v>450</v>
      </c>
      <c r="AA460" s="167">
        <v>450</v>
      </c>
      <c r="AB460" s="167">
        <v>450</v>
      </c>
      <c r="AC460" s="167">
        <v>450</v>
      </c>
      <c r="AD460" s="167">
        <v>450</v>
      </c>
      <c r="AE460" s="167">
        <f t="shared" si="23"/>
        <v>11700</v>
      </c>
    </row>
    <row r="461" spans="1:31">
      <c r="A461" s="197">
        <f t="shared" si="24"/>
        <v>45841</v>
      </c>
      <c r="B461" s="167">
        <f>YEAR(Table7[[#This Row],[Date]])+IF(MONTH(Table7[[#This Row],[Date]])&gt;=4,1,0)</f>
        <v>2026</v>
      </c>
      <c r="C461" s="167">
        <f>YEAR(Table7[[#This Row],[Date]])</f>
        <v>2025</v>
      </c>
      <c r="D461" s="168">
        <f t="shared" si="22"/>
        <v>45839</v>
      </c>
      <c r="E461" s="167">
        <v>69.23</v>
      </c>
      <c r="F461" s="167">
        <v>69.23</v>
      </c>
      <c r="G461" s="167">
        <v>69.23</v>
      </c>
      <c r="H461" s="167">
        <v>69.23</v>
      </c>
      <c r="I461" s="167">
        <v>69.23</v>
      </c>
      <c r="J461" s="167">
        <v>69.23</v>
      </c>
      <c r="K461" s="167">
        <v>69.23</v>
      </c>
      <c r="L461" s="167">
        <v>69.23</v>
      </c>
      <c r="M461" s="167">
        <v>69.23</v>
      </c>
      <c r="N461" s="167">
        <v>69.23</v>
      </c>
      <c r="O461" s="167">
        <v>69.23</v>
      </c>
      <c r="P461" s="167">
        <v>69.23</v>
      </c>
      <c r="Q461" s="167">
        <v>69.23</v>
      </c>
      <c r="R461" s="167">
        <v>69.23</v>
      </c>
      <c r="S461" s="167">
        <v>69.23</v>
      </c>
      <c r="T461" s="167">
        <v>69.23</v>
      </c>
      <c r="U461" s="167">
        <v>69.23</v>
      </c>
      <c r="V461" s="167">
        <v>69.23</v>
      </c>
      <c r="W461" s="167">
        <v>69.23</v>
      </c>
      <c r="X461" s="167">
        <v>69.23</v>
      </c>
      <c r="Y461" s="167">
        <v>69.23</v>
      </c>
      <c r="Z461" s="167">
        <v>69.23</v>
      </c>
      <c r="AA461" s="167">
        <v>69.23</v>
      </c>
      <c r="AB461" s="167">
        <v>69.23</v>
      </c>
      <c r="AC461" s="167">
        <v>69.23</v>
      </c>
      <c r="AD461" s="167">
        <v>69.23</v>
      </c>
      <c r="AE461" s="167">
        <f t="shared" si="23"/>
        <v>1799.9800000000002</v>
      </c>
    </row>
    <row r="462" spans="1:31">
      <c r="A462" s="197">
        <f t="shared" si="24"/>
        <v>45842</v>
      </c>
      <c r="B462" s="167">
        <f>YEAR(Table7[[#This Row],[Date]])+IF(MONTH(Table7[[#This Row],[Date]])&gt;=4,1,0)</f>
        <v>2026</v>
      </c>
      <c r="C462" s="167">
        <f>YEAR(Table7[[#This Row],[Date]])</f>
        <v>2025</v>
      </c>
      <c r="D462" s="168">
        <f t="shared" si="22"/>
        <v>45839</v>
      </c>
      <c r="E462" s="167">
        <v>34.61</v>
      </c>
      <c r="F462" s="167">
        <v>34.61</v>
      </c>
      <c r="G462" s="167">
        <v>34.61</v>
      </c>
      <c r="H462" s="167">
        <v>34.61</v>
      </c>
      <c r="I462" s="167">
        <v>34.61</v>
      </c>
      <c r="J462" s="167">
        <v>34.61</v>
      </c>
      <c r="K462" s="167">
        <v>34.61</v>
      </c>
      <c r="L462" s="167">
        <v>34.61</v>
      </c>
      <c r="M462" s="167">
        <v>34.61</v>
      </c>
      <c r="N462" s="167">
        <v>34.61</v>
      </c>
      <c r="O462" s="167">
        <v>34.61</v>
      </c>
      <c r="P462" s="167">
        <v>34.61</v>
      </c>
      <c r="Q462" s="167">
        <v>34.61</v>
      </c>
      <c r="R462" s="167">
        <v>34.61</v>
      </c>
      <c r="S462" s="167">
        <v>34.61</v>
      </c>
      <c r="T462" s="167">
        <v>34.61</v>
      </c>
      <c r="U462" s="167">
        <v>34.61</v>
      </c>
      <c r="V462" s="167">
        <v>34.61</v>
      </c>
      <c r="W462" s="167">
        <v>34.61</v>
      </c>
      <c r="X462" s="167">
        <v>34.61</v>
      </c>
      <c r="Y462" s="167">
        <v>34.61</v>
      </c>
      <c r="Z462" s="167">
        <v>34.61</v>
      </c>
      <c r="AA462" s="167">
        <v>34.61</v>
      </c>
      <c r="AB462" s="167">
        <v>34.61</v>
      </c>
      <c r="AC462" s="167">
        <v>34.61</v>
      </c>
      <c r="AD462" s="167">
        <v>34.61</v>
      </c>
      <c r="AE462" s="167">
        <f t="shared" si="23"/>
        <v>899.86000000000024</v>
      </c>
    </row>
    <row r="463" spans="1:31">
      <c r="A463" s="197">
        <f t="shared" si="24"/>
        <v>45843</v>
      </c>
      <c r="B463" s="167">
        <f>YEAR(Table7[[#This Row],[Date]])+IF(MONTH(Table7[[#This Row],[Date]])&gt;=4,1,0)</f>
        <v>2026</v>
      </c>
      <c r="C463" s="167">
        <f>YEAR(Table7[[#This Row],[Date]])</f>
        <v>2025</v>
      </c>
      <c r="D463" s="168">
        <f t="shared" si="22"/>
        <v>45839</v>
      </c>
      <c r="E463" s="167">
        <v>51.92</v>
      </c>
      <c r="F463" s="167">
        <v>51.92</v>
      </c>
      <c r="G463" s="167">
        <v>51.92</v>
      </c>
      <c r="H463" s="167">
        <v>51.92</v>
      </c>
      <c r="I463" s="167">
        <v>51.92</v>
      </c>
      <c r="J463" s="167">
        <v>51.92</v>
      </c>
      <c r="K463" s="167">
        <v>51.92</v>
      </c>
      <c r="L463" s="167">
        <v>51.92</v>
      </c>
      <c r="M463" s="167">
        <v>51.92</v>
      </c>
      <c r="N463" s="167">
        <v>51.92</v>
      </c>
      <c r="O463" s="167">
        <v>51.92</v>
      </c>
      <c r="P463" s="167">
        <v>51.92</v>
      </c>
      <c r="Q463" s="167">
        <v>51.92</v>
      </c>
      <c r="R463" s="167">
        <v>51.92</v>
      </c>
      <c r="S463" s="167">
        <v>51.92</v>
      </c>
      <c r="T463" s="167">
        <v>51.92</v>
      </c>
      <c r="U463" s="167">
        <v>51.92</v>
      </c>
      <c r="V463" s="167">
        <v>51.92</v>
      </c>
      <c r="W463" s="167">
        <v>51.92</v>
      </c>
      <c r="X463" s="167">
        <v>51.92</v>
      </c>
      <c r="Y463" s="167">
        <v>51.92</v>
      </c>
      <c r="Z463" s="167">
        <v>51.92</v>
      </c>
      <c r="AA463" s="167">
        <v>51.92</v>
      </c>
      <c r="AB463" s="167">
        <v>51.92</v>
      </c>
      <c r="AC463" s="167">
        <v>51.92</v>
      </c>
      <c r="AD463" s="167">
        <v>51.92</v>
      </c>
      <c r="AE463" s="167">
        <f t="shared" si="23"/>
        <v>1349.92</v>
      </c>
    </row>
    <row r="464" spans="1:31">
      <c r="A464" s="197">
        <f t="shared" si="24"/>
        <v>45844</v>
      </c>
      <c r="B464" s="167">
        <f>YEAR(Table7[[#This Row],[Date]])+IF(MONTH(Table7[[#This Row],[Date]])&gt;=4,1,0)</f>
        <v>2026</v>
      </c>
      <c r="C464" s="167">
        <f>YEAR(Table7[[#This Row],[Date]])</f>
        <v>2025</v>
      </c>
      <c r="D464" s="168">
        <f t="shared" si="22"/>
        <v>45839</v>
      </c>
      <c r="E464" s="167">
        <v>103.84</v>
      </c>
      <c r="F464" s="167">
        <v>103.84</v>
      </c>
      <c r="G464" s="167">
        <v>103.84</v>
      </c>
      <c r="H464" s="167">
        <v>103.84</v>
      </c>
      <c r="I464" s="167">
        <v>103.84</v>
      </c>
      <c r="J464" s="167">
        <v>103.84</v>
      </c>
      <c r="K464" s="167">
        <v>103.84</v>
      </c>
      <c r="L464" s="167">
        <v>103.84</v>
      </c>
      <c r="M464" s="167">
        <v>103.84</v>
      </c>
      <c r="N464" s="167">
        <v>103.84</v>
      </c>
      <c r="O464" s="167">
        <v>103.84</v>
      </c>
      <c r="P464" s="167">
        <v>103.84</v>
      </c>
      <c r="Q464" s="167">
        <v>103.84</v>
      </c>
      <c r="R464" s="167">
        <v>103.84</v>
      </c>
      <c r="S464" s="167">
        <v>103.84</v>
      </c>
      <c r="T464" s="167">
        <v>103.84</v>
      </c>
      <c r="U464" s="167">
        <v>103.84</v>
      </c>
      <c r="V464" s="167">
        <v>103.84</v>
      </c>
      <c r="W464" s="167">
        <v>103.84</v>
      </c>
      <c r="X464" s="167">
        <v>103.84</v>
      </c>
      <c r="Y464" s="167">
        <v>103.84</v>
      </c>
      <c r="Z464" s="167">
        <v>103.84</v>
      </c>
      <c r="AA464" s="167">
        <v>103.84</v>
      </c>
      <c r="AB464" s="167">
        <v>103.84</v>
      </c>
      <c r="AC464" s="167">
        <v>103.84</v>
      </c>
      <c r="AD464" s="167">
        <v>103.84</v>
      </c>
      <c r="AE464" s="167">
        <f t="shared" si="23"/>
        <v>2699.84</v>
      </c>
    </row>
    <row r="465" spans="1:31">
      <c r="A465" s="197">
        <f t="shared" si="24"/>
        <v>45845</v>
      </c>
      <c r="B465" s="167">
        <f>YEAR(Table7[[#This Row],[Date]])+IF(MONTH(Table7[[#This Row],[Date]])&gt;=4,1,0)</f>
        <v>2026</v>
      </c>
      <c r="C465" s="167">
        <f>YEAR(Table7[[#This Row],[Date]])</f>
        <v>2025</v>
      </c>
      <c r="D465" s="168">
        <f t="shared" si="22"/>
        <v>45839</v>
      </c>
      <c r="E465" s="167">
        <v>103.84</v>
      </c>
      <c r="F465" s="167">
        <v>103.84</v>
      </c>
      <c r="G465" s="167">
        <v>103.84</v>
      </c>
      <c r="H465" s="167">
        <v>103.84</v>
      </c>
      <c r="I465" s="167">
        <v>103.84</v>
      </c>
      <c r="J465" s="167">
        <v>103.84</v>
      </c>
      <c r="K465" s="167">
        <v>103.84</v>
      </c>
      <c r="L465" s="167">
        <v>103.84</v>
      </c>
      <c r="M465" s="167">
        <v>103.84</v>
      </c>
      <c r="N465" s="167">
        <v>103.84</v>
      </c>
      <c r="O465" s="167">
        <v>103.84</v>
      </c>
      <c r="P465" s="167">
        <v>103.84</v>
      </c>
      <c r="Q465" s="167">
        <v>103.84</v>
      </c>
      <c r="R465" s="167">
        <v>103.84</v>
      </c>
      <c r="S465" s="167">
        <v>103.84</v>
      </c>
      <c r="T465" s="167">
        <v>103.84</v>
      </c>
      <c r="U465" s="167">
        <v>103.84</v>
      </c>
      <c r="V465" s="167">
        <v>103.84</v>
      </c>
      <c r="W465" s="167">
        <v>103.84</v>
      </c>
      <c r="X465" s="167">
        <v>103.84</v>
      </c>
      <c r="Y465" s="167">
        <v>103.84</v>
      </c>
      <c r="Z465" s="167">
        <v>103.84</v>
      </c>
      <c r="AA465" s="167">
        <v>103.84</v>
      </c>
      <c r="AB465" s="167">
        <v>103.84</v>
      </c>
      <c r="AC465" s="167">
        <v>103.84</v>
      </c>
      <c r="AD465" s="167">
        <v>103.84</v>
      </c>
      <c r="AE465" s="167">
        <f t="shared" si="23"/>
        <v>2699.84</v>
      </c>
    </row>
    <row r="466" spans="1:31">
      <c r="A466" s="197">
        <f t="shared" si="24"/>
        <v>45846</v>
      </c>
      <c r="B466" s="167">
        <f>YEAR(Table7[[#This Row],[Date]])+IF(MONTH(Table7[[#This Row],[Date]])&gt;=4,1,0)</f>
        <v>2026</v>
      </c>
      <c r="C466" s="167">
        <f>YEAR(Table7[[#This Row],[Date]])</f>
        <v>2025</v>
      </c>
      <c r="D466" s="168">
        <f t="shared" si="22"/>
        <v>45839</v>
      </c>
      <c r="E466" s="167">
        <v>69.23</v>
      </c>
      <c r="F466" s="167">
        <v>69.23</v>
      </c>
      <c r="G466" s="167">
        <v>69.23</v>
      </c>
      <c r="H466" s="167">
        <v>69.23</v>
      </c>
      <c r="I466" s="167">
        <v>69.23</v>
      </c>
      <c r="J466" s="167">
        <v>69.23</v>
      </c>
      <c r="K466" s="167">
        <v>69.23</v>
      </c>
      <c r="L466" s="167">
        <v>69.23</v>
      </c>
      <c r="M466" s="167">
        <v>69.23</v>
      </c>
      <c r="N466" s="167">
        <v>69.23</v>
      </c>
      <c r="O466" s="167">
        <v>69.23</v>
      </c>
      <c r="P466" s="167">
        <v>69.23</v>
      </c>
      <c r="Q466" s="167">
        <v>69.23</v>
      </c>
      <c r="R466" s="167">
        <v>69.23</v>
      </c>
      <c r="S466" s="167">
        <v>69.23</v>
      </c>
      <c r="T466" s="167">
        <v>69.23</v>
      </c>
      <c r="U466" s="167">
        <v>69.23</v>
      </c>
      <c r="V466" s="167">
        <v>69.23</v>
      </c>
      <c r="W466" s="167">
        <v>69.23</v>
      </c>
      <c r="X466" s="167">
        <v>69.23</v>
      </c>
      <c r="Y466" s="167">
        <v>69.23</v>
      </c>
      <c r="Z466" s="167">
        <v>69.23</v>
      </c>
      <c r="AA466" s="167">
        <v>69.23</v>
      </c>
      <c r="AB466" s="167">
        <v>69.23</v>
      </c>
      <c r="AC466" s="167">
        <v>69.23</v>
      </c>
      <c r="AD466" s="167">
        <v>69.23</v>
      </c>
      <c r="AE466" s="167">
        <f t="shared" si="23"/>
        <v>1799.9800000000002</v>
      </c>
    </row>
    <row r="467" spans="1:31">
      <c r="A467" s="197">
        <f t="shared" si="24"/>
        <v>45847</v>
      </c>
      <c r="B467" s="167">
        <f>YEAR(Table7[[#This Row],[Date]])+IF(MONTH(Table7[[#This Row],[Date]])&gt;=4,1,0)</f>
        <v>2026</v>
      </c>
      <c r="C467" s="167">
        <f>YEAR(Table7[[#This Row],[Date]])</f>
        <v>2025</v>
      </c>
      <c r="D467" s="168">
        <f t="shared" si="22"/>
        <v>45839</v>
      </c>
      <c r="E467" s="167">
        <v>2855.76</v>
      </c>
      <c r="F467" s="167">
        <v>2855.76</v>
      </c>
      <c r="G467" s="167">
        <v>2855.76</v>
      </c>
      <c r="H467" s="167">
        <v>2855.76</v>
      </c>
      <c r="I467" s="167">
        <v>2855.76</v>
      </c>
      <c r="J467" s="167">
        <v>2855.76</v>
      </c>
      <c r="K467" s="167">
        <v>2855.76</v>
      </c>
      <c r="L467" s="167">
        <v>2855.76</v>
      </c>
      <c r="M467" s="167">
        <v>2855.76</v>
      </c>
      <c r="N467" s="167">
        <v>2855.76</v>
      </c>
      <c r="O467" s="167">
        <v>2855.76</v>
      </c>
      <c r="P467" s="167">
        <v>2855.76</v>
      </c>
      <c r="Q467" s="167">
        <v>2855.76</v>
      </c>
      <c r="R467" s="167">
        <v>2855.76</v>
      </c>
      <c r="S467" s="167">
        <v>2855.76</v>
      </c>
      <c r="T467" s="167">
        <v>2855.76</v>
      </c>
      <c r="U467" s="167">
        <v>2855.76</v>
      </c>
      <c r="V467" s="167">
        <v>2855.76</v>
      </c>
      <c r="W467" s="167">
        <v>2855.76</v>
      </c>
      <c r="X467" s="167">
        <v>2855.76</v>
      </c>
      <c r="Y467" s="167">
        <v>2855.76</v>
      </c>
      <c r="Z467" s="167">
        <v>2855.76</v>
      </c>
      <c r="AA467" s="167">
        <v>2855.76</v>
      </c>
      <c r="AB467" s="167">
        <v>2855.76</v>
      </c>
      <c r="AC467" s="167">
        <v>2855.76</v>
      </c>
      <c r="AD467" s="167">
        <v>2855.76</v>
      </c>
      <c r="AE467" s="167">
        <f t="shared" si="23"/>
        <v>74249.760000000009</v>
      </c>
    </row>
    <row r="468" spans="1:31">
      <c r="A468" s="197">
        <f t="shared" si="24"/>
        <v>45848</v>
      </c>
      <c r="B468" s="167">
        <f>YEAR(Table7[[#This Row],[Date]])+IF(MONTH(Table7[[#This Row],[Date]])&gt;=4,1,0)</f>
        <v>2026</v>
      </c>
      <c r="C468" s="167">
        <f>YEAR(Table7[[#This Row],[Date]])</f>
        <v>2025</v>
      </c>
      <c r="D468" s="168">
        <f t="shared" si="22"/>
        <v>45839</v>
      </c>
      <c r="E468" s="167">
        <v>173.07</v>
      </c>
      <c r="F468" s="167">
        <v>173.07</v>
      </c>
      <c r="G468" s="167">
        <v>173.07</v>
      </c>
      <c r="H468" s="167">
        <v>173.07</v>
      </c>
      <c r="I468" s="167">
        <v>173.07</v>
      </c>
      <c r="J468" s="167">
        <v>173.07</v>
      </c>
      <c r="K468" s="167">
        <v>173.07</v>
      </c>
      <c r="L468" s="167">
        <v>173.07</v>
      </c>
      <c r="M468" s="167">
        <v>173.07</v>
      </c>
      <c r="N468" s="167">
        <v>173.07</v>
      </c>
      <c r="O468" s="167">
        <v>173.07</v>
      </c>
      <c r="P468" s="167">
        <v>173.07</v>
      </c>
      <c r="Q468" s="167">
        <v>173.07</v>
      </c>
      <c r="R468" s="167">
        <v>173.07</v>
      </c>
      <c r="S468" s="167">
        <v>173.07</v>
      </c>
      <c r="T468" s="167">
        <v>173.07</v>
      </c>
      <c r="U468" s="167">
        <v>173.07</v>
      </c>
      <c r="V468" s="167">
        <v>173.07</v>
      </c>
      <c r="W468" s="167">
        <v>173.07</v>
      </c>
      <c r="X468" s="167">
        <v>173.07</v>
      </c>
      <c r="Y468" s="167">
        <v>173.07</v>
      </c>
      <c r="Z468" s="167">
        <v>173.07</v>
      </c>
      <c r="AA468" s="167">
        <v>173.07</v>
      </c>
      <c r="AB468" s="167">
        <v>173.07</v>
      </c>
      <c r="AC468" s="167">
        <v>173.07</v>
      </c>
      <c r="AD468" s="167">
        <v>173.07</v>
      </c>
      <c r="AE468" s="167">
        <f t="shared" si="23"/>
        <v>4499.8200000000006</v>
      </c>
    </row>
    <row r="469" spans="1:31">
      <c r="A469" s="197">
        <f t="shared" si="24"/>
        <v>45849</v>
      </c>
      <c r="B469" s="167">
        <f>YEAR(Table7[[#This Row],[Date]])+IF(MONTH(Table7[[#This Row],[Date]])&gt;=4,1,0)</f>
        <v>2026</v>
      </c>
      <c r="C469" s="167">
        <f>YEAR(Table7[[#This Row],[Date]])</f>
        <v>2025</v>
      </c>
      <c r="D469" s="168">
        <f t="shared" si="22"/>
        <v>45839</v>
      </c>
      <c r="E469" s="167">
        <v>51.92</v>
      </c>
      <c r="F469" s="167">
        <v>51.92</v>
      </c>
      <c r="G469" s="167">
        <v>51.92</v>
      </c>
      <c r="H469" s="167">
        <v>51.92</v>
      </c>
      <c r="I469" s="167">
        <v>51.92</v>
      </c>
      <c r="J469" s="167">
        <v>51.92</v>
      </c>
      <c r="K469" s="167">
        <v>51.92</v>
      </c>
      <c r="L469" s="167">
        <v>51.92</v>
      </c>
      <c r="M469" s="167">
        <v>51.92</v>
      </c>
      <c r="N469" s="167">
        <v>51.92</v>
      </c>
      <c r="O469" s="167">
        <v>51.92</v>
      </c>
      <c r="P469" s="167">
        <v>51.92</v>
      </c>
      <c r="Q469" s="167">
        <v>51.92</v>
      </c>
      <c r="R469" s="167">
        <v>51.92</v>
      </c>
      <c r="S469" s="167">
        <v>51.92</v>
      </c>
      <c r="T469" s="167">
        <v>51.92</v>
      </c>
      <c r="U469" s="167">
        <v>51.92</v>
      </c>
      <c r="V469" s="167">
        <v>51.92</v>
      </c>
      <c r="W469" s="167">
        <v>51.92</v>
      </c>
      <c r="X469" s="167">
        <v>51.92</v>
      </c>
      <c r="Y469" s="167">
        <v>51.92</v>
      </c>
      <c r="Z469" s="167">
        <v>51.92</v>
      </c>
      <c r="AA469" s="167">
        <v>51.92</v>
      </c>
      <c r="AB469" s="167">
        <v>51.92</v>
      </c>
      <c r="AC469" s="167">
        <v>51.92</v>
      </c>
      <c r="AD469" s="167">
        <v>51.92</v>
      </c>
      <c r="AE469" s="167">
        <f t="shared" si="23"/>
        <v>1349.92</v>
      </c>
    </row>
    <row r="470" spans="1:31">
      <c r="A470" s="197">
        <f t="shared" si="24"/>
        <v>45850</v>
      </c>
      <c r="B470" s="167">
        <f>YEAR(Table7[[#This Row],[Date]])+IF(MONTH(Table7[[#This Row],[Date]])&gt;=4,1,0)</f>
        <v>2026</v>
      </c>
      <c r="C470" s="167">
        <f>YEAR(Table7[[#This Row],[Date]])</f>
        <v>2025</v>
      </c>
      <c r="D470" s="168">
        <f t="shared" si="22"/>
        <v>45839</v>
      </c>
      <c r="E470" s="167">
        <v>34.61</v>
      </c>
      <c r="F470" s="167">
        <v>34.61</v>
      </c>
      <c r="G470" s="167">
        <v>34.61</v>
      </c>
      <c r="H470" s="167">
        <v>34.61</v>
      </c>
      <c r="I470" s="167">
        <v>34.61</v>
      </c>
      <c r="J470" s="167">
        <v>34.61</v>
      </c>
      <c r="K470" s="167">
        <v>34.61</v>
      </c>
      <c r="L470" s="167">
        <v>34.61</v>
      </c>
      <c r="M470" s="167">
        <v>34.61</v>
      </c>
      <c r="N470" s="167">
        <v>34.61</v>
      </c>
      <c r="O470" s="167">
        <v>34.61</v>
      </c>
      <c r="P470" s="167">
        <v>34.61</v>
      </c>
      <c r="Q470" s="167">
        <v>34.61</v>
      </c>
      <c r="R470" s="167">
        <v>34.61</v>
      </c>
      <c r="S470" s="167">
        <v>34.61</v>
      </c>
      <c r="T470" s="167">
        <v>34.61</v>
      </c>
      <c r="U470" s="167">
        <v>34.61</v>
      </c>
      <c r="V470" s="167">
        <v>34.61</v>
      </c>
      <c r="W470" s="167">
        <v>34.61</v>
      </c>
      <c r="X470" s="167">
        <v>34.61</v>
      </c>
      <c r="Y470" s="167">
        <v>34.61</v>
      </c>
      <c r="Z470" s="167">
        <v>34.61</v>
      </c>
      <c r="AA470" s="167">
        <v>34.61</v>
      </c>
      <c r="AB470" s="167">
        <v>34.61</v>
      </c>
      <c r="AC470" s="167">
        <v>34.61</v>
      </c>
      <c r="AD470" s="167">
        <v>34.61</v>
      </c>
      <c r="AE470" s="167">
        <f t="shared" si="23"/>
        <v>899.86000000000024</v>
      </c>
    </row>
    <row r="471" spans="1:31">
      <c r="A471" s="197">
        <f t="shared" si="24"/>
        <v>45851</v>
      </c>
      <c r="B471" s="167">
        <f>YEAR(Table7[[#This Row],[Date]])+IF(MONTH(Table7[[#This Row],[Date]])&gt;=4,1,0)</f>
        <v>2026</v>
      </c>
      <c r="C471" s="167">
        <f>YEAR(Table7[[#This Row],[Date]])</f>
        <v>2025</v>
      </c>
      <c r="D471" s="168">
        <f t="shared" si="22"/>
        <v>45839</v>
      </c>
      <c r="E471" s="167">
        <v>86.53</v>
      </c>
      <c r="F471" s="167">
        <v>86.53</v>
      </c>
      <c r="G471" s="167">
        <v>86.53</v>
      </c>
      <c r="H471" s="167">
        <v>86.53</v>
      </c>
      <c r="I471" s="167">
        <v>86.53</v>
      </c>
      <c r="J471" s="167">
        <v>86.53</v>
      </c>
      <c r="K471" s="167">
        <v>86.53</v>
      </c>
      <c r="L471" s="167">
        <v>86.53</v>
      </c>
      <c r="M471" s="167">
        <v>86.53</v>
      </c>
      <c r="N471" s="167">
        <v>86.53</v>
      </c>
      <c r="O471" s="167">
        <v>86.53</v>
      </c>
      <c r="P471" s="167">
        <v>86.53</v>
      </c>
      <c r="Q471" s="167">
        <v>86.53</v>
      </c>
      <c r="R471" s="167">
        <v>86.53</v>
      </c>
      <c r="S471" s="167">
        <v>86.53</v>
      </c>
      <c r="T471" s="167">
        <v>86.53</v>
      </c>
      <c r="U471" s="167">
        <v>86.53</v>
      </c>
      <c r="V471" s="167">
        <v>86.53</v>
      </c>
      <c r="W471" s="167">
        <v>86.53</v>
      </c>
      <c r="X471" s="167">
        <v>86.53</v>
      </c>
      <c r="Y471" s="167">
        <v>86.53</v>
      </c>
      <c r="Z471" s="167">
        <v>86.53</v>
      </c>
      <c r="AA471" s="167">
        <v>86.53</v>
      </c>
      <c r="AB471" s="167">
        <v>86.53</v>
      </c>
      <c r="AC471" s="167">
        <v>86.53</v>
      </c>
      <c r="AD471" s="167">
        <v>86.53</v>
      </c>
      <c r="AE471" s="167">
        <f t="shared" si="23"/>
        <v>2249.7800000000002</v>
      </c>
    </row>
    <row r="472" spans="1:31">
      <c r="A472" s="197">
        <f t="shared" si="24"/>
        <v>45852</v>
      </c>
      <c r="B472" s="167">
        <f>YEAR(Table7[[#This Row],[Date]])+IF(MONTH(Table7[[#This Row],[Date]])&gt;=4,1,0)</f>
        <v>2026</v>
      </c>
      <c r="C472" s="167">
        <f>YEAR(Table7[[#This Row],[Date]])</f>
        <v>2025</v>
      </c>
      <c r="D472" s="168">
        <f t="shared" si="22"/>
        <v>45839</v>
      </c>
      <c r="E472" s="167">
        <v>86.53</v>
      </c>
      <c r="F472" s="167">
        <v>86.53</v>
      </c>
      <c r="G472" s="167">
        <v>86.53</v>
      </c>
      <c r="H472" s="167">
        <v>86.53</v>
      </c>
      <c r="I472" s="167">
        <v>86.53</v>
      </c>
      <c r="J472" s="167">
        <v>86.53</v>
      </c>
      <c r="K472" s="167">
        <v>86.53</v>
      </c>
      <c r="L472" s="167">
        <v>86.53</v>
      </c>
      <c r="M472" s="167">
        <v>86.53</v>
      </c>
      <c r="N472" s="167">
        <v>86.53</v>
      </c>
      <c r="O472" s="167">
        <v>86.53</v>
      </c>
      <c r="P472" s="167">
        <v>86.53</v>
      </c>
      <c r="Q472" s="167">
        <v>86.53</v>
      </c>
      <c r="R472" s="167">
        <v>86.53</v>
      </c>
      <c r="S472" s="167">
        <v>86.53</v>
      </c>
      <c r="T472" s="167">
        <v>86.53</v>
      </c>
      <c r="U472" s="167">
        <v>86.53</v>
      </c>
      <c r="V472" s="167">
        <v>86.53</v>
      </c>
      <c r="W472" s="167">
        <v>86.53</v>
      </c>
      <c r="X472" s="167">
        <v>86.53</v>
      </c>
      <c r="Y472" s="167">
        <v>86.53</v>
      </c>
      <c r="Z472" s="167">
        <v>86.53</v>
      </c>
      <c r="AA472" s="167">
        <v>86.53</v>
      </c>
      <c r="AB472" s="167">
        <v>86.53</v>
      </c>
      <c r="AC472" s="167">
        <v>86.53</v>
      </c>
      <c r="AD472" s="167">
        <v>86.53</v>
      </c>
      <c r="AE472" s="167">
        <f t="shared" si="23"/>
        <v>2249.7800000000002</v>
      </c>
    </row>
    <row r="473" spans="1:31">
      <c r="A473" s="197">
        <f t="shared" si="24"/>
        <v>45853</v>
      </c>
      <c r="B473" s="167">
        <f>YEAR(Table7[[#This Row],[Date]])+IF(MONTH(Table7[[#This Row],[Date]])&gt;=4,1,0)</f>
        <v>2026</v>
      </c>
      <c r="C473" s="167">
        <f>YEAR(Table7[[#This Row],[Date]])</f>
        <v>2025</v>
      </c>
      <c r="D473" s="168">
        <f t="shared" si="22"/>
        <v>45839</v>
      </c>
      <c r="E473" s="167">
        <v>69.23</v>
      </c>
      <c r="F473" s="167">
        <v>69.23</v>
      </c>
      <c r="G473" s="167">
        <v>69.23</v>
      </c>
      <c r="H473" s="167">
        <v>69.23</v>
      </c>
      <c r="I473" s="167">
        <v>69.23</v>
      </c>
      <c r="J473" s="167">
        <v>69.23</v>
      </c>
      <c r="K473" s="167">
        <v>69.23</v>
      </c>
      <c r="L473" s="167">
        <v>69.23</v>
      </c>
      <c r="M473" s="167">
        <v>69.23</v>
      </c>
      <c r="N473" s="167">
        <v>69.23</v>
      </c>
      <c r="O473" s="167">
        <v>69.23</v>
      </c>
      <c r="P473" s="167">
        <v>69.23</v>
      </c>
      <c r="Q473" s="167">
        <v>69.23</v>
      </c>
      <c r="R473" s="167">
        <v>69.23</v>
      </c>
      <c r="S473" s="167">
        <v>69.23</v>
      </c>
      <c r="T473" s="167">
        <v>69.23</v>
      </c>
      <c r="U473" s="167">
        <v>69.23</v>
      </c>
      <c r="V473" s="167">
        <v>69.23</v>
      </c>
      <c r="W473" s="167">
        <v>69.23</v>
      </c>
      <c r="X473" s="167">
        <v>69.23</v>
      </c>
      <c r="Y473" s="167">
        <v>69.23</v>
      </c>
      <c r="Z473" s="167">
        <v>69.23</v>
      </c>
      <c r="AA473" s="167">
        <v>69.23</v>
      </c>
      <c r="AB473" s="167">
        <v>69.23</v>
      </c>
      <c r="AC473" s="167">
        <v>69.23</v>
      </c>
      <c r="AD473" s="167">
        <v>69.23</v>
      </c>
      <c r="AE473" s="167">
        <f t="shared" si="23"/>
        <v>1799.9800000000002</v>
      </c>
    </row>
    <row r="474" spans="1:31">
      <c r="A474" s="197">
        <f t="shared" si="24"/>
        <v>45854</v>
      </c>
      <c r="B474" s="167">
        <f>YEAR(Table7[[#This Row],[Date]])+IF(MONTH(Table7[[#This Row],[Date]])&gt;=4,1,0)</f>
        <v>2026</v>
      </c>
      <c r="C474" s="167">
        <f>YEAR(Table7[[#This Row],[Date]])</f>
        <v>2025</v>
      </c>
      <c r="D474" s="168">
        <f t="shared" si="22"/>
        <v>45839</v>
      </c>
      <c r="E474" s="167">
        <v>51.92</v>
      </c>
      <c r="F474" s="167">
        <v>51.92</v>
      </c>
      <c r="G474" s="167">
        <v>51.92</v>
      </c>
      <c r="H474" s="167">
        <v>51.92</v>
      </c>
      <c r="I474" s="167">
        <v>51.92</v>
      </c>
      <c r="J474" s="167">
        <v>51.92</v>
      </c>
      <c r="K474" s="167">
        <v>51.92</v>
      </c>
      <c r="L474" s="167">
        <v>51.92</v>
      </c>
      <c r="M474" s="167">
        <v>51.92</v>
      </c>
      <c r="N474" s="167">
        <v>51.92</v>
      </c>
      <c r="O474" s="167">
        <v>51.92</v>
      </c>
      <c r="P474" s="167">
        <v>51.92</v>
      </c>
      <c r="Q474" s="167">
        <v>51.92</v>
      </c>
      <c r="R474" s="167">
        <v>51.92</v>
      </c>
      <c r="S474" s="167">
        <v>51.92</v>
      </c>
      <c r="T474" s="167">
        <v>51.92</v>
      </c>
      <c r="U474" s="167">
        <v>51.92</v>
      </c>
      <c r="V474" s="167">
        <v>51.92</v>
      </c>
      <c r="W474" s="167">
        <v>51.92</v>
      </c>
      <c r="X474" s="167">
        <v>51.92</v>
      </c>
      <c r="Y474" s="167">
        <v>51.92</v>
      </c>
      <c r="Z474" s="167">
        <v>51.92</v>
      </c>
      <c r="AA474" s="167">
        <v>51.92</v>
      </c>
      <c r="AB474" s="167">
        <v>51.92</v>
      </c>
      <c r="AC474" s="167">
        <v>51.92</v>
      </c>
      <c r="AD474" s="167">
        <v>51.92</v>
      </c>
      <c r="AE474" s="167">
        <f t="shared" si="23"/>
        <v>1349.92</v>
      </c>
    </row>
    <row r="475" spans="1:31">
      <c r="A475" s="197">
        <f t="shared" si="24"/>
        <v>45855</v>
      </c>
      <c r="B475" s="167">
        <f>YEAR(Table7[[#This Row],[Date]])+IF(MONTH(Table7[[#This Row],[Date]])&gt;=4,1,0)</f>
        <v>2026</v>
      </c>
      <c r="C475" s="167">
        <f>YEAR(Table7[[#This Row],[Date]])</f>
        <v>2025</v>
      </c>
      <c r="D475" s="168">
        <f t="shared" si="22"/>
        <v>45839</v>
      </c>
      <c r="E475" s="167">
        <v>17.3</v>
      </c>
      <c r="F475" s="167">
        <v>17.3</v>
      </c>
      <c r="G475" s="167">
        <v>17.3</v>
      </c>
      <c r="H475" s="167">
        <v>17.3</v>
      </c>
      <c r="I475" s="167">
        <v>17.3</v>
      </c>
      <c r="J475" s="167">
        <v>17.3</v>
      </c>
      <c r="K475" s="167">
        <v>17.3</v>
      </c>
      <c r="L475" s="167">
        <v>17.3</v>
      </c>
      <c r="M475" s="167">
        <v>17.3</v>
      </c>
      <c r="N475" s="167">
        <v>17.3</v>
      </c>
      <c r="O475" s="167">
        <v>17.3</v>
      </c>
      <c r="P475" s="167">
        <v>17.3</v>
      </c>
      <c r="Q475" s="167">
        <v>17.3</v>
      </c>
      <c r="R475" s="167">
        <v>17.3</v>
      </c>
      <c r="S475" s="167">
        <v>17.3</v>
      </c>
      <c r="T475" s="167">
        <v>17.3</v>
      </c>
      <c r="U475" s="167">
        <v>17.3</v>
      </c>
      <c r="V475" s="167">
        <v>17.3</v>
      </c>
      <c r="W475" s="167">
        <v>17.3</v>
      </c>
      <c r="X475" s="167">
        <v>17.3</v>
      </c>
      <c r="Y475" s="167">
        <v>17.3</v>
      </c>
      <c r="Z475" s="167">
        <v>17.3</v>
      </c>
      <c r="AA475" s="167">
        <v>17.3</v>
      </c>
      <c r="AB475" s="167">
        <v>17.3</v>
      </c>
      <c r="AC475" s="167">
        <v>17.3</v>
      </c>
      <c r="AD475" s="167">
        <v>17.3</v>
      </c>
      <c r="AE475" s="167">
        <f t="shared" si="23"/>
        <v>449.80000000000018</v>
      </c>
    </row>
    <row r="476" spans="1:31">
      <c r="A476" s="197">
        <f t="shared" si="24"/>
        <v>45856</v>
      </c>
      <c r="B476" s="167">
        <f>YEAR(Table7[[#This Row],[Date]])+IF(MONTH(Table7[[#This Row],[Date]])&gt;=4,1,0)</f>
        <v>2026</v>
      </c>
      <c r="C476" s="167">
        <f>YEAR(Table7[[#This Row],[Date]])</f>
        <v>2025</v>
      </c>
      <c r="D476" s="168">
        <f t="shared" si="22"/>
        <v>45839</v>
      </c>
      <c r="E476" s="167">
        <v>51.92</v>
      </c>
      <c r="F476" s="167">
        <v>51.92</v>
      </c>
      <c r="G476" s="167">
        <v>51.92</v>
      </c>
      <c r="H476" s="167">
        <v>51.92</v>
      </c>
      <c r="I476" s="167">
        <v>51.92</v>
      </c>
      <c r="J476" s="167">
        <v>51.92</v>
      </c>
      <c r="K476" s="167">
        <v>51.92</v>
      </c>
      <c r="L476" s="167">
        <v>51.92</v>
      </c>
      <c r="M476" s="167">
        <v>51.92</v>
      </c>
      <c r="N476" s="167">
        <v>51.92</v>
      </c>
      <c r="O476" s="167">
        <v>51.92</v>
      </c>
      <c r="P476" s="167">
        <v>51.92</v>
      </c>
      <c r="Q476" s="167">
        <v>51.92</v>
      </c>
      <c r="R476" s="167">
        <v>51.92</v>
      </c>
      <c r="S476" s="167">
        <v>51.92</v>
      </c>
      <c r="T476" s="167">
        <v>51.92</v>
      </c>
      <c r="U476" s="167">
        <v>51.92</v>
      </c>
      <c r="V476" s="167">
        <v>51.92</v>
      </c>
      <c r="W476" s="167">
        <v>51.92</v>
      </c>
      <c r="X476" s="167">
        <v>51.92</v>
      </c>
      <c r="Y476" s="167">
        <v>51.92</v>
      </c>
      <c r="Z476" s="167">
        <v>51.92</v>
      </c>
      <c r="AA476" s="167">
        <v>51.92</v>
      </c>
      <c r="AB476" s="167">
        <v>51.92</v>
      </c>
      <c r="AC476" s="167">
        <v>51.92</v>
      </c>
      <c r="AD476" s="167">
        <v>51.92</v>
      </c>
      <c r="AE476" s="167">
        <f t="shared" si="23"/>
        <v>1349.92</v>
      </c>
    </row>
    <row r="477" spans="1:31">
      <c r="A477" s="197">
        <f t="shared" si="24"/>
        <v>45857</v>
      </c>
      <c r="B477" s="167">
        <f>YEAR(Table7[[#This Row],[Date]])+IF(MONTH(Table7[[#This Row],[Date]])&gt;=4,1,0)</f>
        <v>2026</v>
      </c>
      <c r="C477" s="167">
        <f>YEAR(Table7[[#This Row],[Date]])</f>
        <v>2025</v>
      </c>
      <c r="D477" s="168">
        <f t="shared" si="22"/>
        <v>45839</v>
      </c>
      <c r="E477" s="167">
        <v>86.53</v>
      </c>
      <c r="F477" s="167">
        <v>86.53</v>
      </c>
      <c r="G477" s="167">
        <v>86.53</v>
      </c>
      <c r="H477" s="167">
        <v>86.53</v>
      </c>
      <c r="I477" s="167">
        <v>86.53</v>
      </c>
      <c r="J477" s="167">
        <v>86.53</v>
      </c>
      <c r="K477" s="167">
        <v>86.53</v>
      </c>
      <c r="L477" s="167">
        <v>86.53</v>
      </c>
      <c r="M477" s="167">
        <v>86.53</v>
      </c>
      <c r="N477" s="167">
        <v>86.53</v>
      </c>
      <c r="O477" s="167">
        <v>86.53</v>
      </c>
      <c r="P477" s="167">
        <v>86.53</v>
      </c>
      <c r="Q477" s="167">
        <v>86.53</v>
      </c>
      <c r="R477" s="167">
        <v>86.53</v>
      </c>
      <c r="S477" s="167">
        <v>86.53</v>
      </c>
      <c r="T477" s="167">
        <v>86.53</v>
      </c>
      <c r="U477" s="167">
        <v>86.53</v>
      </c>
      <c r="V477" s="167">
        <v>86.53</v>
      </c>
      <c r="W477" s="167">
        <v>86.53</v>
      </c>
      <c r="X477" s="167">
        <v>86.53</v>
      </c>
      <c r="Y477" s="167">
        <v>86.53</v>
      </c>
      <c r="Z477" s="167">
        <v>86.53</v>
      </c>
      <c r="AA477" s="167">
        <v>86.53</v>
      </c>
      <c r="AB477" s="167">
        <v>86.53</v>
      </c>
      <c r="AC477" s="167">
        <v>86.53</v>
      </c>
      <c r="AD477" s="167">
        <v>86.53</v>
      </c>
      <c r="AE477" s="167">
        <f t="shared" si="23"/>
        <v>2249.7800000000002</v>
      </c>
    </row>
    <row r="478" spans="1:31">
      <c r="A478" s="197">
        <f t="shared" si="24"/>
        <v>45858</v>
      </c>
      <c r="B478" s="167">
        <f>YEAR(Table7[[#This Row],[Date]])+IF(MONTH(Table7[[#This Row],[Date]])&gt;=4,1,0)</f>
        <v>2026</v>
      </c>
      <c r="C478" s="167">
        <f>YEAR(Table7[[#This Row],[Date]])</f>
        <v>2025</v>
      </c>
      <c r="D478" s="168">
        <f t="shared" si="22"/>
        <v>45839</v>
      </c>
      <c r="E478" s="167">
        <v>138.46</v>
      </c>
      <c r="F478" s="167">
        <v>138.46</v>
      </c>
      <c r="G478" s="167">
        <v>138.46</v>
      </c>
      <c r="H478" s="167">
        <v>138.46</v>
      </c>
      <c r="I478" s="167">
        <v>138.46</v>
      </c>
      <c r="J478" s="167">
        <v>138.46</v>
      </c>
      <c r="K478" s="167">
        <v>138.46</v>
      </c>
      <c r="L478" s="167">
        <v>138.46</v>
      </c>
      <c r="M478" s="167">
        <v>138.46</v>
      </c>
      <c r="N478" s="167">
        <v>138.46</v>
      </c>
      <c r="O478" s="167">
        <v>138.46</v>
      </c>
      <c r="P478" s="167">
        <v>138.46</v>
      </c>
      <c r="Q478" s="167">
        <v>138.46</v>
      </c>
      <c r="R478" s="167">
        <v>138.46</v>
      </c>
      <c r="S478" s="167">
        <v>138.46</v>
      </c>
      <c r="T478" s="167">
        <v>138.46</v>
      </c>
      <c r="U478" s="167">
        <v>138.46</v>
      </c>
      <c r="V478" s="167">
        <v>138.46</v>
      </c>
      <c r="W478" s="167">
        <v>138.46</v>
      </c>
      <c r="X478" s="167">
        <v>138.46</v>
      </c>
      <c r="Y478" s="167">
        <v>138.46</v>
      </c>
      <c r="Z478" s="167">
        <v>138.46</v>
      </c>
      <c r="AA478" s="167">
        <v>138.46</v>
      </c>
      <c r="AB478" s="167">
        <v>138.46</v>
      </c>
      <c r="AC478" s="167">
        <v>138.46</v>
      </c>
      <c r="AD478" s="167">
        <v>138.46</v>
      </c>
      <c r="AE478" s="167">
        <f t="shared" si="23"/>
        <v>3599.9600000000005</v>
      </c>
    </row>
    <row r="479" spans="1:31">
      <c r="A479" s="197">
        <f t="shared" si="24"/>
        <v>45859</v>
      </c>
      <c r="B479" s="167">
        <f>YEAR(Table7[[#This Row],[Date]])+IF(MONTH(Table7[[#This Row],[Date]])&gt;=4,1,0)</f>
        <v>2026</v>
      </c>
      <c r="C479" s="167">
        <f>YEAR(Table7[[#This Row],[Date]])</f>
        <v>2025</v>
      </c>
      <c r="D479" s="168">
        <f t="shared" si="22"/>
        <v>45839</v>
      </c>
      <c r="E479" s="167">
        <v>173.07</v>
      </c>
      <c r="F479" s="167">
        <v>173.07</v>
      </c>
      <c r="G479" s="167">
        <v>173.07</v>
      </c>
      <c r="H479" s="167">
        <v>173.07</v>
      </c>
      <c r="I479" s="167">
        <v>173.07</v>
      </c>
      <c r="J479" s="167">
        <v>173.07</v>
      </c>
      <c r="K479" s="167">
        <v>173.07</v>
      </c>
      <c r="L479" s="167">
        <v>173.07</v>
      </c>
      <c r="M479" s="167">
        <v>173.07</v>
      </c>
      <c r="N479" s="167">
        <v>173.07</v>
      </c>
      <c r="O479" s="167">
        <v>173.07</v>
      </c>
      <c r="P479" s="167">
        <v>173.07</v>
      </c>
      <c r="Q479" s="167">
        <v>173.07</v>
      </c>
      <c r="R479" s="167">
        <v>173.07</v>
      </c>
      <c r="S479" s="167">
        <v>173.07</v>
      </c>
      <c r="T479" s="167">
        <v>173.07</v>
      </c>
      <c r="U479" s="167">
        <v>173.07</v>
      </c>
      <c r="V479" s="167">
        <v>173.07</v>
      </c>
      <c r="W479" s="167">
        <v>173.07</v>
      </c>
      <c r="X479" s="167">
        <v>173.07</v>
      </c>
      <c r="Y479" s="167">
        <v>173.07</v>
      </c>
      <c r="Z479" s="167">
        <v>173.07</v>
      </c>
      <c r="AA479" s="167">
        <v>173.07</v>
      </c>
      <c r="AB479" s="167">
        <v>173.07</v>
      </c>
      <c r="AC479" s="167">
        <v>173.07</v>
      </c>
      <c r="AD479" s="167">
        <v>173.07</v>
      </c>
      <c r="AE479" s="167">
        <f t="shared" si="23"/>
        <v>4499.8200000000006</v>
      </c>
    </row>
    <row r="480" spans="1:31">
      <c r="A480" s="197">
        <f t="shared" si="24"/>
        <v>45860</v>
      </c>
      <c r="B480" s="167">
        <f>YEAR(Table7[[#This Row],[Date]])+IF(MONTH(Table7[[#This Row],[Date]])&gt;=4,1,0)</f>
        <v>2026</v>
      </c>
      <c r="C480" s="167">
        <f>YEAR(Table7[[#This Row],[Date]])</f>
        <v>2025</v>
      </c>
      <c r="D480" s="168">
        <f t="shared" si="22"/>
        <v>45839</v>
      </c>
      <c r="E480" s="167">
        <v>121.15</v>
      </c>
      <c r="F480" s="167">
        <v>121.15</v>
      </c>
      <c r="G480" s="167">
        <v>121.15</v>
      </c>
      <c r="H480" s="167">
        <v>121.15</v>
      </c>
      <c r="I480" s="167">
        <v>121.15</v>
      </c>
      <c r="J480" s="167">
        <v>121.15</v>
      </c>
      <c r="K480" s="167">
        <v>121.15</v>
      </c>
      <c r="L480" s="167">
        <v>121.15</v>
      </c>
      <c r="M480" s="167">
        <v>121.15</v>
      </c>
      <c r="N480" s="167">
        <v>121.15</v>
      </c>
      <c r="O480" s="167">
        <v>121.15</v>
      </c>
      <c r="P480" s="167">
        <v>121.15</v>
      </c>
      <c r="Q480" s="167">
        <v>121.15</v>
      </c>
      <c r="R480" s="167">
        <v>121.15</v>
      </c>
      <c r="S480" s="167">
        <v>121.15</v>
      </c>
      <c r="T480" s="167">
        <v>121.15</v>
      </c>
      <c r="U480" s="167">
        <v>121.15</v>
      </c>
      <c r="V480" s="167">
        <v>121.15</v>
      </c>
      <c r="W480" s="167">
        <v>121.15</v>
      </c>
      <c r="X480" s="167">
        <v>121.15</v>
      </c>
      <c r="Y480" s="167">
        <v>121.15</v>
      </c>
      <c r="Z480" s="167">
        <v>121.15</v>
      </c>
      <c r="AA480" s="167">
        <v>121.15</v>
      </c>
      <c r="AB480" s="167">
        <v>121.15</v>
      </c>
      <c r="AC480" s="167">
        <v>121.15</v>
      </c>
      <c r="AD480" s="167">
        <v>121.15</v>
      </c>
      <c r="AE480" s="167">
        <f t="shared" si="23"/>
        <v>3149.9000000000015</v>
      </c>
    </row>
    <row r="481" spans="1:31">
      <c r="A481" s="197">
        <f t="shared" si="24"/>
        <v>45861</v>
      </c>
      <c r="B481" s="167">
        <f>YEAR(Table7[[#This Row],[Date]])+IF(MONTH(Table7[[#This Row],[Date]])&gt;=4,1,0)</f>
        <v>2026</v>
      </c>
      <c r="C481" s="167">
        <f>YEAR(Table7[[#This Row],[Date]])</f>
        <v>2025</v>
      </c>
      <c r="D481" s="168">
        <f t="shared" si="22"/>
        <v>45839</v>
      </c>
      <c r="E481" s="167">
        <v>813.46</v>
      </c>
      <c r="F481" s="167">
        <v>813.46</v>
      </c>
      <c r="G481" s="167">
        <v>813.46</v>
      </c>
      <c r="H481" s="167">
        <v>813.46</v>
      </c>
      <c r="I481" s="167">
        <v>813.46</v>
      </c>
      <c r="J481" s="167">
        <v>813.46</v>
      </c>
      <c r="K481" s="167">
        <v>813.46</v>
      </c>
      <c r="L481" s="167">
        <v>813.46</v>
      </c>
      <c r="M481" s="167">
        <v>813.46</v>
      </c>
      <c r="N481" s="167">
        <v>813.46</v>
      </c>
      <c r="O481" s="167">
        <v>813.46</v>
      </c>
      <c r="P481" s="167">
        <v>813.46</v>
      </c>
      <c r="Q481" s="167">
        <v>813.46</v>
      </c>
      <c r="R481" s="167">
        <v>813.46</v>
      </c>
      <c r="S481" s="167">
        <v>813.46</v>
      </c>
      <c r="T481" s="167">
        <v>813.46</v>
      </c>
      <c r="U481" s="167">
        <v>813.46</v>
      </c>
      <c r="V481" s="167">
        <v>813.46</v>
      </c>
      <c r="W481" s="167">
        <v>813.46</v>
      </c>
      <c r="X481" s="167">
        <v>813.46</v>
      </c>
      <c r="Y481" s="167">
        <v>813.46</v>
      </c>
      <c r="Z481" s="167">
        <v>813.46</v>
      </c>
      <c r="AA481" s="167">
        <v>813.46</v>
      </c>
      <c r="AB481" s="167">
        <v>813.46</v>
      </c>
      <c r="AC481" s="167">
        <v>813.46</v>
      </c>
      <c r="AD481" s="167">
        <v>813.46</v>
      </c>
      <c r="AE481" s="167">
        <f t="shared" si="23"/>
        <v>21149.959999999988</v>
      </c>
    </row>
    <row r="482" spans="1:31">
      <c r="A482" s="197">
        <f t="shared" si="24"/>
        <v>45862</v>
      </c>
      <c r="B482" s="167">
        <f>YEAR(Table7[[#This Row],[Date]])+IF(MONTH(Table7[[#This Row],[Date]])&gt;=4,1,0)</f>
        <v>2026</v>
      </c>
      <c r="C482" s="167">
        <f>YEAR(Table7[[#This Row],[Date]])</f>
        <v>2025</v>
      </c>
      <c r="D482" s="168">
        <f t="shared" si="22"/>
        <v>45839</v>
      </c>
      <c r="AE482" s="167">
        <f t="shared" si="23"/>
        <v>0</v>
      </c>
    </row>
    <row r="483" spans="1:31">
      <c r="A483" s="197">
        <f t="shared" si="24"/>
        <v>45863</v>
      </c>
      <c r="B483" s="167">
        <f>YEAR(Table7[[#This Row],[Date]])+IF(MONTH(Table7[[#This Row],[Date]])&gt;=4,1,0)</f>
        <v>2026</v>
      </c>
      <c r="C483" s="167">
        <f>YEAR(Table7[[#This Row],[Date]])</f>
        <v>2025</v>
      </c>
      <c r="D483" s="168">
        <f t="shared" si="22"/>
        <v>45839</v>
      </c>
      <c r="AE483" s="167">
        <f t="shared" si="23"/>
        <v>0</v>
      </c>
    </row>
    <row r="484" spans="1:31">
      <c r="A484" s="197">
        <f t="shared" si="24"/>
        <v>45864</v>
      </c>
      <c r="B484" s="167">
        <f>YEAR(Table7[[#This Row],[Date]])+IF(MONTH(Table7[[#This Row],[Date]])&gt;=4,1,0)</f>
        <v>2026</v>
      </c>
      <c r="C484" s="167">
        <f>YEAR(Table7[[#This Row],[Date]])</f>
        <v>2025</v>
      </c>
      <c r="D484" s="168">
        <f t="shared" si="22"/>
        <v>45839</v>
      </c>
      <c r="AE484" s="167">
        <f t="shared" si="23"/>
        <v>0</v>
      </c>
    </row>
    <row r="485" spans="1:31">
      <c r="A485" s="197">
        <f t="shared" si="24"/>
        <v>45865</v>
      </c>
      <c r="B485" s="167">
        <f>YEAR(Table7[[#This Row],[Date]])+IF(MONTH(Table7[[#This Row],[Date]])&gt;=4,1,0)</f>
        <v>2026</v>
      </c>
      <c r="C485" s="167">
        <f>YEAR(Table7[[#This Row],[Date]])</f>
        <v>2025</v>
      </c>
      <c r="D485" s="168">
        <f t="shared" si="22"/>
        <v>45839</v>
      </c>
      <c r="AE485" s="167">
        <f t="shared" si="23"/>
        <v>0</v>
      </c>
    </row>
    <row r="486" spans="1:31">
      <c r="A486" s="197">
        <f t="shared" si="24"/>
        <v>45866</v>
      </c>
      <c r="B486" s="167">
        <f>YEAR(Table7[[#This Row],[Date]])+IF(MONTH(Table7[[#This Row],[Date]])&gt;=4,1,0)</f>
        <v>2026</v>
      </c>
      <c r="C486" s="167">
        <f>YEAR(Table7[[#This Row],[Date]])</f>
        <v>2025</v>
      </c>
      <c r="D486" s="168">
        <f t="shared" si="22"/>
        <v>45839</v>
      </c>
      <c r="AE486" s="167">
        <f t="shared" si="23"/>
        <v>0</v>
      </c>
    </row>
    <row r="487" spans="1:31">
      <c r="A487" s="197">
        <f t="shared" si="24"/>
        <v>45867</v>
      </c>
      <c r="B487" s="167">
        <f>YEAR(Table7[[#This Row],[Date]])+IF(MONTH(Table7[[#This Row],[Date]])&gt;=4,1,0)</f>
        <v>2026</v>
      </c>
      <c r="C487" s="167">
        <f>YEAR(Table7[[#This Row],[Date]])</f>
        <v>2025</v>
      </c>
      <c r="D487" s="168">
        <f t="shared" si="22"/>
        <v>45839</v>
      </c>
      <c r="AE487" s="167">
        <f t="shared" si="23"/>
        <v>0</v>
      </c>
    </row>
    <row r="488" spans="1:31">
      <c r="A488" s="197">
        <f t="shared" si="24"/>
        <v>45868</v>
      </c>
      <c r="B488" s="167">
        <f>YEAR(Table7[[#This Row],[Date]])+IF(MONTH(Table7[[#This Row],[Date]])&gt;=4,1,0)</f>
        <v>2026</v>
      </c>
      <c r="C488" s="167">
        <f>YEAR(Table7[[#This Row],[Date]])</f>
        <v>2025</v>
      </c>
      <c r="D488" s="168">
        <f t="shared" si="22"/>
        <v>45839</v>
      </c>
      <c r="AE488" s="167">
        <f t="shared" si="23"/>
        <v>0</v>
      </c>
    </row>
    <row r="489" spans="1:31">
      <c r="A489" s="197">
        <f t="shared" si="24"/>
        <v>45869</v>
      </c>
      <c r="B489" s="167">
        <f>YEAR(Table7[[#This Row],[Date]])+IF(MONTH(Table7[[#This Row],[Date]])&gt;=4,1,0)</f>
        <v>2026</v>
      </c>
      <c r="C489" s="167">
        <f>YEAR(Table7[[#This Row],[Date]])</f>
        <v>2025</v>
      </c>
      <c r="D489" s="168">
        <f t="shared" si="22"/>
        <v>45839</v>
      </c>
      <c r="AE489" s="167">
        <f t="shared" si="23"/>
        <v>0</v>
      </c>
    </row>
    <row r="490" spans="1:31">
      <c r="A490" s="197">
        <f t="shared" si="24"/>
        <v>45870</v>
      </c>
      <c r="B490" s="167">
        <f>YEAR(Table7[[#This Row],[Date]])+IF(MONTH(Table7[[#This Row],[Date]])&gt;=4,1,0)</f>
        <v>2026</v>
      </c>
      <c r="C490" s="167">
        <f>YEAR(Table7[[#This Row],[Date]])</f>
        <v>2025</v>
      </c>
      <c r="D490" s="168">
        <f t="shared" si="22"/>
        <v>45870</v>
      </c>
      <c r="AE490" s="167">
        <f t="shared" si="23"/>
        <v>0</v>
      </c>
    </row>
    <row r="491" spans="1:31">
      <c r="A491" s="197">
        <f t="shared" si="24"/>
        <v>45871</v>
      </c>
      <c r="B491" s="167">
        <f>YEAR(Table7[[#This Row],[Date]])+IF(MONTH(Table7[[#This Row],[Date]])&gt;=4,1,0)</f>
        <v>2026</v>
      </c>
      <c r="C491" s="167">
        <f>YEAR(Table7[[#This Row],[Date]])</f>
        <v>2025</v>
      </c>
      <c r="D491" s="168">
        <f t="shared" si="22"/>
        <v>45870</v>
      </c>
      <c r="AE491" s="167">
        <f t="shared" si="23"/>
        <v>0</v>
      </c>
    </row>
    <row r="492" spans="1:31">
      <c r="A492" s="197">
        <f t="shared" si="24"/>
        <v>45872</v>
      </c>
      <c r="B492" s="167">
        <f>YEAR(Table7[[#This Row],[Date]])+IF(MONTH(Table7[[#This Row],[Date]])&gt;=4,1,0)</f>
        <v>2026</v>
      </c>
      <c r="C492" s="167">
        <f>YEAR(Table7[[#This Row],[Date]])</f>
        <v>2025</v>
      </c>
      <c r="D492" s="168">
        <f t="shared" si="22"/>
        <v>45870</v>
      </c>
      <c r="AE492" s="167">
        <f t="shared" si="23"/>
        <v>0</v>
      </c>
    </row>
    <row r="493" spans="1:31">
      <c r="A493" s="197">
        <f t="shared" si="24"/>
        <v>45873</v>
      </c>
      <c r="B493" s="167">
        <f>YEAR(Table7[[#This Row],[Date]])+IF(MONTH(Table7[[#This Row],[Date]])&gt;=4,1,0)</f>
        <v>2026</v>
      </c>
      <c r="C493" s="167">
        <f>YEAR(Table7[[#This Row],[Date]])</f>
        <v>2025</v>
      </c>
      <c r="D493" s="168">
        <f t="shared" si="22"/>
        <v>45870</v>
      </c>
      <c r="AE493" s="167">
        <f t="shared" si="23"/>
        <v>0</v>
      </c>
    </row>
    <row r="494" spans="1:31">
      <c r="A494" s="197">
        <f t="shared" si="24"/>
        <v>45874</v>
      </c>
      <c r="B494" s="167">
        <f>YEAR(Table7[[#This Row],[Date]])+IF(MONTH(Table7[[#This Row],[Date]])&gt;=4,1,0)</f>
        <v>2026</v>
      </c>
      <c r="C494" s="167">
        <f>YEAR(Table7[[#This Row],[Date]])</f>
        <v>2025</v>
      </c>
      <c r="D494" s="168">
        <f t="shared" si="22"/>
        <v>45870</v>
      </c>
      <c r="AE494" s="167">
        <f t="shared" si="23"/>
        <v>0</v>
      </c>
    </row>
    <row r="495" spans="1:31">
      <c r="A495" s="197">
        <f t="shared" si="24"/>
        <v>45875</v>
      </c>
      <c r="B495" s="167">
        <f>YEAR(Table7[[#This Row],[Date]])+IF(MONTH(Table7[[#This Row],[Date]])&gt;=4,1,0)</f>
        <v>2026</v>
      </c>
      <c r="C495" s="167">
        <f>YEAR(Table7[[#This Row],[Date]])</f>
        <v>2025</v>
      </c>
      <c r="D495" s="168">
        <f t="shared" si="22"/>
        <v>45870</v>
      </c>
      <c r="AE495" s="167">
        <f t="shared" si="23"/>
        <v>0</v>
      </c>
    </row>
    <row r="496" spans="1:31">
      <c r="A496" s="197">
        <f t="shared" si="24"/>
        <v>45876</v>
      </c>
      <c r="B496" s="167">
        <f>YEAR(Table7[[#This Row],[Date]])+IF(MONTH(Table7[[#This Row],[Date]])&gt;=4,1,0)</f>
        <v>2026</v>
      </c>
      <c r="C496" s="167">
        <f>YEAR(Table7[[#This Row],[Date]])</f>
        <v>2025</v>
      </c>
      <c r="D496" s="168">
        <f t="shared" si="22"/>
        <v>45870</v>
      </c>
      <c r="AE496" s="167">
        <f t="shared" si="23"/>
        <v>0</v>
      </c>
    </row>
    <row r="497" spans="1:31">
      <c r="A497" s="197">
        <f t="shared" si="24"/>
        <v>45877</v>
      </c>
      <c r="B497" s="167">
        <f>YEAR(Table7[[#This Row],[Date]])+IF(MONTH(Table7[[#This Row],[Date]])&gt;=4,1,0)</f>
        <v>2026</v>
      </c>
      <c r="C497" s="167">
        <f>YEAR(Table7[[#This Row],[Date]])</f>
        <v>2025</v>
      </c>
      <c r="D497" s="168">
        <f t="shared" si="22"/>
        <v>45870</v>
      </c>
      <c r="AE497" s="167">
        <f t="shared" si="23"/>
        <v>0</v>
      </c>
    </row>
    <row r="498" spans="1:31">
      <c r="A498" s="197">
        <f t="shared" si="24"/>
        <v>45878</v>
      </c>
      <c r="B498" s="167">
        <f>YEAR(Table7[[#This Row],[Date]])+IF(MONTH(Table7[[#This Row],[Date]])&gt;=4,1,0)</f>
        <v>2026</v>
      </c>
      <c r="C498" s="167">
        <f>YEAR(Table7[[#This Row],[Date]])</f>
        <v>2025</v>
      </c>
      <c r="D498" s="168">
        <f t="shared" si="22"/>
        <v>45870</v>
      </c>
      <c r="AE498" s="167">
        <f t="shared" si="23"/>
        <v>0</v>
      </c>
    </row>
    <row r="499" spans="1:31">
      <c r="A499" s="197">
        <f t="shared" si="24"/>
        <v>45879</v>
      </c>
      <c r="B499" s="167">
        <f>YEAR(Table7[[#This Row],[Date]])+IF(MONTH(Table7[[#This Row],[Date]])&gt;=4,1,0)</f>
        <v>2026</v>
      </c>
      <c r="C499" s="167">
        <f>YEAR(Table7[[#This Row],[Date]])</f>
        <v>2025</v>
      </c>
      <c r="D499" s="168">
        <f t="shared" si="22"/>
        <v>45870</v>
      </c>
      <c r="AE499" s="167">
        <f t="shared" si="23"/>
        <v>0</v>
      </c>
    </row>
    <row r="500" spans="1:31">
      <c r="A500" s="197">
        <f t="shared" si="24"/>
        <v>45880</v>
      </c>
      <c r="B500" s="167">
        <f>YEAR(Table7[[#This Row],[Date]])+IF(MONTH(Table7[[#This Row],[Date]])&gt;=4,1,0)</f>
        <v>2026</v>
      </c>
      <c r="C500" s="167">
        <f>YEAR(Table7[[#This Row],[Date]])</f>
        <v>2025</v>
      </c>
      <c r="D500" s="168">
        <f t="shared" si="22"/>
        <v>45870</v>
      </c>
      <c r="AE500" s="167">
        <f t="shared" si="23"/>
        <v>0</v>
      </c>
    </row>
    <row r="501" spans="1:31">
      <c r="A501" s="197">
        <f t="shared" si="24"/>
        <v>45881</v>
      </c>
      <c r="B501" s="167">
        <f>YEAR(Table7[[#This Row],[Date]])+IF(MONTH(Table7[[#This Row],[Date]])&gt;=4,1,0)</f>
        <v>2026</v>
      </c>
      <c r="C501" s="167">
        <f>YEAR(Table7[[#This Row],[Date]])</f>
        <v>2025</v>
      </c>
      <c r="D501" s="168">
        <f t="shared" si="22"/>
        <v>45870</v>
      </c>
      <c r="AE501" s="167">
        <f t="shared" si="23"/>
        <v>0</v>
      </c>
    </row>
    <row r="502" spans="1:31">
      <c r="A502" s="197">
        <f t="shared" si="24"/>
        <v>45882</v>
      </c>
      <c r="B502" s="167">
        <f>YEAR(Table7[[#This Row],[Date]])+IF(MONTH(Table7[[#This Row],[Date]])&gt;=4,1,0)</f>
        <v>2026</v>
      </c>
      <c r="C502" s="167">
        <f>YEAR(Table7[[#This Row],[Date]])</f>
        <v>2025</v>
      </c>
      <c r="D502" s="168">
        <f t="shared" si="22"/>
        <v>45870</v>
      </c>
      <c r="AE502" s="167">
        <f t="shared" si="23"/>
        <v>0</v>
      </c>
    </row>
    <row r="503" spans="1:31">
      <c r="A503" s="197">
        <f t="shared" si="24"/>
        <v>45883</v>
      </c>
      <c r="B503" s="167">
        <f>YEAR(Table7[[#This Row],[Date]])+IF(MONTH(Table7[[#This Row],[Date]])&gt;=4,1,0)</f>
        <v>2026</v>
      </c>
      <c r="C503" s="167">
        <f>YEAR(Table7[[#This Row],[Date]])</f>
        <v>2025</v>
      </c>
      <c r="D503" s="168">
        <f t="shared" si="22"/>
        <v>45870</v>
      </c>
      <c r="AE503" s="167">
        <f t="shared" si="23"/>
        <v>0</v>
      </c>
    </row>
    <row r="504" spans="1:31">
      <c r="A504" s="197">
        <f t="shared" si="24"/>
        <v>45884</v>
      </c>
      <c r="B504" s="167">
        <f>YEAR(Table7[[#This Row],[Date]])+IF(MONTH(Table7[[#This Row],[Date]])&gt;=4,1,0)</f>
        <v>2026</v>
      </c>
      <c r="C504" s="167">
        <f>YEAR(Table7[[#This Row],[Date]])</f>
        <v>2025</v>
      </c>
      <c r="D504" s="168">
        <f t="shared" si="22"/>
        <v>45870</v>
      </c>
      <c r="AE504" s="167">
        <f t="shared" si="23"/>
        <v>0</v>
      </c>
    </row>
    <row r="505" spans="1:31">
      <c r="A505" s="197">
        <f t="shared" si="24"/>
        <v>45885</v>
      </c>
      <c r="B505" s="167">
        <f>YEAR(Table7[[#This Row],[Date]])+IF(MONTH(Table7[[#This Row],[Date]])&gt;=4,1,0)</f>
        <v>2026</v>
      </c>
      <c r="C505" s="167">
        <f>YEAR(Table7[[#This Row],[Date]])</f>
        <v>2025</v>
      </c>
      <c r="D505" s="168">
        <f t="shared" si="22"/>
        <v>45870</v>
      </c>
      <c r="AE505" s="167">
        <f t="shared" si="23"/>
        <v>0</v>
      </c>
    </row>
    <row r="506" spans="1:31">
      <c r="A506" s="197">
        <f t="shared" si="24"/>
        <v>45886</v>
      </c>
      <c r="B506" s="167">
        <f>YEAR(Table7[[#This Row],[Date]])+IF(MONTH(Table7[[#This Row],[Date]])&gt;=4,1,0)</f>
        <v>2026</v>
      </c>
      <c r="C506" s="167">
        <f>YEAR(Table7[[#This Row],[Date]])</f>
        <v>2025</v>
      </c>
      <c r="D506" s="168">
        <f t="shared" si="22"/>
        <v>45870</v>
      </c>
      <c r="AE506" s="167">
        <f t="shared" si="23"/>
        <v>0</v>
      </c>
    </row>
    <row r="507" spans="1:31">
      <c r="A507" s="197">
        <f t="shared" si="24"/>
        <v>45887</v>
      </c>
      <c r="B507" s="167">
        <f>YEAR(Table7[[#This Row],[Date]])+IF(MONTH(Table7[[#This Row],[Date]])&gt;=4,1,0)</f>
        <v>2026</v>
      </c>
      <c r="C507" s="167">
        <f>YEAR(Table7[[#This Row],[Date]])</f>
        <v>2025</v>
      </c>
      <c r="D507" s="168">
        <f t="shared" si="22"/>
        <v>45870</v>
      </c>
      <c r="AE507" s="167">
        <f t="shared" si="23"/>
        <v>0</v>
      </c>
    </row>
    <row r="508" spans="1:31">
      <c r="A508" s="197">
        <f t="shared" si="24"/>
        <v>45888</v>
      </c>
      <c r="B508" s="167">
        <f>YEAR(Table7[[#This Row],[Date]])+IF(MONTH(Table7[[#This Row],[Date]])&gt;=4,1,0)</f>
        <v>2026</v>
      </c>
      <c r="C508" s="167">
        <f>YEAR(Table7[[#This Row],[Date]])</f>
        <v>2025</v>
      </c>
      <c r="D508" s="168">
        <f t="shared" si="22"/>
        <v>45870</v>
      </c>
      <c r="AE508" s="167">
        <f t="shared" si="23"/>
        <v>0</v>
      </c>
    </row>
    <row r="509" spans="1:31">
      <c r="A509" s="197">
        <f t="shared" si="24"/>
        <v>45889</v>
      </c>
      <c r="B509" s="167">
        <f>YEAR(Table7[[#This Row],[Date]])+IF(MONTH(Table7[[#This Row],[Date]])&gt;=4,1,0)</f>
        <v>2026</v>
      </c>
      <c r="C509" s="167">
        <f>YEAR(Table7[[#This Row],[Date]])</f>
        <v>2025</v>
      </c>
      <c r="D509" s="168">
        <f t="shared" si="22"/>
        <v>45870</v>
      </c>
      <c r="AE509" s="167">
        <f t="shared" si="23"/>
        <v>0</v>
      </c>
    </row>
    <row r="510" spans="1:31">
      <c r="A510" s="197">
        <f t="shared" si="24"/>
        <v>45890</v>
      </c>
      <c r="B510" s="167">
        <f>YEAR(Table7[[#This Row],[Date]])+IF(MONTH(Table7[[#This Row],[Date]])&gt;=4,1,0)</f>
        <v>2026</v>
      </c>
      <c r="C510" s="167">
        <f>YEAR(Table7[[#This Row],[Date]])</f>
        <v>2025</v>
      </c>
      <c r="D510" s="168">
        <f t="shared" si="22"/>
        <v>45870</v>
      </c>
      <c r="AE510" s="167">
        <f t="shared" si="23"/>
        <v>0</v>
      </c>
    </row>
    <row r="511" spans="1:31">
      <c r="A511" s="197">
        <f t="shared" si="24"/>
        <v>45891</v>
      </c>
      <c r="B511" s="167">
        <f>YEAR(Table7[[#This Row],[Date]])+IF(MONTH(Table7[[#This Row],[Date]])&gt;=4,1,0)</f>
        <v>2026</v>
      </c>
      <c r="C511" s="167">
        <f>YEAR(Table7[[#This Row],[Date]])</f>
        <v>2025</v>
      </c>
      <c r="D511" s="168">
        <f t="shared" si="22"/>
        <v>45870</v>
      </c>
      <c r="AE511" s="167">
        <f t="shared" si="23"/>
        <v>0</v>
      </c>
    </row>
    <row r="512" spans="1:31">
      <c r="A512" s="197">
        <f t="shared" si="24"/>
        <v>45892</v>
      </c>
      <c r="B512" s="167">
        <f>YEAR(Table7[[#This Row],[Date]])+IF(MONTH(Table7[[#This Row],[Date]])&gt;=4,1,0)</f>
        <v>2026</v>
      </c>
      <c r="C512" s="167">
        <f>YEAR(Table7[[#This Row],[Date]])</f>
        <v>2025</v>
      </c>
      <c r="D512" s="168">
        <f t="shared" si="22"/>
        <v>45870</v>
      </c>
      <c r="AE512" s="167">
        <f t="shared" si="23"/>
        <v>0</v>
      </c>
    </row>
    <row r="513" spans="1:31">
      <c r="A513" s="197">
        <f t="shared" si="24"/>
        <v>45893</v>
      </c>
      <c r="B513" s="167">
        <f>YEAR(Table7[[#This Row],[Date]])+IF(MONTH(Table7[[#This Row],[Date]])&gt;=4,1,0)</f>
        <v>2026</v>
      </c>
      <c r="C513" s="167">
        <f>YEAR(Table7[[#This Row],[Date]])</f>
        <v>2025</v>
      </c>
      <c r="D513" s="168">
        <f t="shared" si="22"/>
        <v>45870</v>
      </c>
      <c r="AE513" s="167">
        <f t="shared" si="23"/>
        <v>0</v>
      </c>
    </row>
    <row r="514" spans="1:31">
      <c r="A514" s="197">
        <f t="shared" si="24"/>
        <v>45894</v>
      </c>
      <c r="B514" s="167">
        <f>YEAR(Table7[[#This Row],[Date]])+IF(MONTH(Table7[[#This Row],[Date]])&gt;=4,1,0)</f>
        <v>2026</v>
      </c>
      <c r="C514" s="167">
        <f>YEAR(Table7[[#This Row],[Date]])</f>
        <v>2025</v>
      </c>
      <c r="D514" s="168">
        <f t="shared" si="22"/>
        <v>45870</v>
      </c>
      <c r="AE514" s="167">
        <f t="shared" si="23"/>
        <v>0</v>
      </c>
    </row>
    <row r="515" spans="1:31">
      <c r="A515" s="197">
        <f t="shared" si="24"/>
        <v>45895</v>
      </c>
      <c r="B515" s="167">
        <f>YEAR(Table7[[#This Row],[Date]])+IF(MONTH(Table7[[#This Row],[Date]])&gt;=4,1,0)</f>
        <v>2026</v>
      </c>
      <c r="C515" s="167">
        <f>YEAR(Table7[[#This Row],[Date]])</f>
        <v>2025</v>
      </c>
      <c r="D515" s="168">
        <f t="shared" ref="D515:D578" si="26">A515-DAY(A515)+1</f>
        <v>45870</v>
      </c>
      <c r="AE515" s="167">
        <f t="shared" ref="AE515:AE578" si="27">SUM(E515:AD515)</f>
        <v>0</v>
      </c>
    </row>
    <row r="516" spans="1:31">
      <c r="A516" s="197">
        <f t="shared" si="24"/>
        <v>45896</v>
      </c>
      <c r="B516" s="167">
        <f>YEAR(Table7[[#This Row],[Date]])+IF(MONTH(Table7[[#This Row],[Date]])&gt;=4,1,0)</f>
        <v>2026</v>
      </c>
      <c r="C516" s="167">
        <f>YEAR(Table7[[#This Row],[Date]])</f>
        <v>2025</v>
      </c>
      <c r="D516" s="168">
        <f t="shared" si="26"/>
        <v>45870</v>
      </c>
      <c r="AE516" s="167">
        <f t="shared" si="27"/>
        <v>0</v>
      </c>
    </row>
    <row r="517" spans="1:31">
      <c r="A517" s="197">
        <f t="shared" ref="A517:A580" si="28">A516+1</f>
        <v>45897</v>
      </c>
      <c r="B517" s="167">
        <f>YEAR(Table7[[#This Row],[Date]])+IF(MONTH(Table7[[#This Row],[Date]])&gt;=4,1,0)</f>
        <v>2026</v>
      </c>
      <c r="C517" s="167">
        <f>YEAR(Table7[[#This Row],[Date]])</f>
        <v>2025</v>
      </c>
      <c r="D517" s="168">
        <f t="shared" si="26"/>
        <v>45870</v>
      </c>
      <c r="AE517" s="167">
        <f t="shared" si="27"/>
        <v>0</v>
      </c>
    </row>
    <row r="518" spans="1:31">
      <c r="A518" s="197">
        <f t="shared" si="28"/>
        <v>45898</v>
      </c>
      <c r="B518" s="167">
        <f>YEAR(Table7[[#This Row],[Date]])+IF(MONTH(Table7[[#This Row],[Date]])&gt;=4,1,0)</f>
        <v>2026</v>
      </c>
      <c r="C518" s="167">
        <f>YEAR(Table7[[#This Row],[Date]])</f>
        <v>2025</v>
      </c>
      <c r="D518" s="168">
        <f t="shared" si="26"/>
        <v>45870</v>
      </c>
      <c r="AE518" s="167">
        <f t="shared" si="27"/>
        <v>0</v>
      </c>
    </row>
    <row r="519" spans="1:31">
      <c r="A519" s="197">
        <f t="shared" si="28"/>
        <v>45899</v>
      </c>
      <c r="B519" s="167">
        <f>YEAR(Table7[[#This Row],[Date]])+IF(MONTH(Table7[[#This Row],[Date]])&gt;=4,1,0)</f>
        <v>2026</v>
      </c>
      <c r="C519" s="167">
        <f>YEAR(Table7[[#This Row],[Date]])</f>
        <v>2025</v>
      </c>
      <c r="D519" s="168">
        <f t="shared" si="26"/>
        <v>45870</v>
      </c>
      <c r="AE519" s="167">
        <f t="shared" si="27"/>
        <v>0</v>
      </c>
    </row>
    <row r="520" spans="1:31">
      <c r="A520" s="197">
        <f t="shared" si="28"/>
        <v>45900</v>
      </c>
      <c r="B520" s="167">
        <f>YEAR(Table7[[#This Row],[Date]])+IF(MONTH(Table7[[#This Row],[Date]])&gt;=4,1,0)</f>
        <v>2026</v>
      </c>
      <c r="C520" s="167">
        <f>YEAR(Table7[[#This Row],[Date]])</f>
        <v>2025</v>
      </c>
      <c r="D520" s="168">
        <f t="shared" si="26"/>
        <v>45870</v>
      </c>
      <c r="AE520" s="167">
        <f t="shared" si="27"/>
        <v>0</v>
      </c>
    </row>
    <row r="521" spans="1:31">
      <c r="A521" s="197">
        <f t="shared" si="28"/>
        <v>45901</v>
      </c>
      <c r="B521" s="167">
        <f>YEAR(Table7[[#This Row],[Date]])+IF(MONTH(Table7[[#This Row],[Date]])&gt;=4,1,0)</f>
        <v>2026</v>
      </c>
      <c r="C521" s="167">
        <f>YEAR(Table7[[#This Row],[Date]])</f>
        <v>2025</v>
      </c>
      <c r="D521" s="168">
        <f t="shared" si="26"/>
        <v>45901</v>
      </c>
      <c r="AE521" s="167">
        <f t="shared" si="27"/>
        <v>0</v>
      </c>
    </row>
    <row r="522" spans="1:31">
      <c r="A522" s="197">
        <f t="shared" si="28"/>
        <v>45902</v>
      </c>
      <c r="B522" s="167">
        <f>YEAR(Table7[[#This Row],[Date]])+IF(MONTH(Table7[[#This Row],[Date]])&gt;=4,1,0)</f>
        <v>2026</v>
      </c>
      <c r="C522" s="167">
        <f>YEAR(Table7[[#This Row],[Date]])</f>
        <v>2025</v>
      </c>
      <c r="D522" s="168">
        <f t="shared" si="26"/>
        <v>45901</v>
      </c>
      <c r="AE522" s="167">
        <f t="shared" si="27"/>
        <v>0</v>
      </c>
    </row>
    <row r="523" spans="1:31">
      <c r="A523" s="197">
        <f t="shared" si="28"/>
        <v>45903</v>
      </c>
      <c r="B523" s="167">
        <f>YEAR(Table7[[#This Row],[Date]])+IF(MONTH(Table7[[#This Row],[Date]])&gt;=4,1,0)</f>
        <v>2026</v>
      </c>
      <c r="C523" s="167">
        <f>YEAR(Table7[[#This Row],[Date]])</f>
        <v>2025</v>
      </c>
      <c r="D523" s="168">
        <f t="shared" si="26"/>
        <v>45901</v>
      </c>
      <c r="AE523" s="167">
        <f t="shared" si="27"/>
        <v>0</v>
      </c>
    </row>
    <row r="524" spans="1:31">
      <c r="A524" s="197">
        <f t="shared" si="28"/>
        <v>45904</v>
      </c>
      <c r="B524" s="167">
        <f>YEAR(Table7[[#This Row],[Date]])+IF(MONTH(Table7[[#This Row],[Date]])&gt;=4,1,0)</f>
        <v>2026</v>
      </c>
      <c r="C524" s="167">
        <f>YEAR(Table7[[#This Row],[Date]])</f>
        <v>2025</v>
      </c>
      <c r="D524" s="168">
        <f t="shared" si="26"/>
        <v>45901</v>
      </c>
      <c r="AE524" s="167">
        <f t="shared" si="27"/>
        <v>0</v>
      </c>
    </row>
    <row r="525" spans="1:31">
      <c r="A525" s="197">
        <f t="shared" si="28"/>
        <v>45905</v>
      </c>
      <c r="B525" s="167">
        <f>YEAR(Table7[[#This Row],[Date]])+IF(MONTH(Table7[[#This Row],[Date]])&gt;=4,1,0)</f>
        <v>2026</v>
      </c>
      <c r="C525" s="167">
        <f>YEAR(Table7[[#This Row],[Date]])</f>
        <v>2025</v>
      </c>
      <c r="D525" s="168">
        <f t="shared" si="26"/>
        <v>45901</v>
      </c>
      <c r="AE525" s="167">
        <f t="shared" si="27"/>
        <v>0</v>
      </c>
    </row>
    <row r="526" spans="1:31">
      <c r="A526" s="197">
        <f t="shared" si="28"/>
        <v>45906</v>
      </c>
      <c r="B526" s="167">
        <f>YEAR(Table7[[#This Row],[Date]])+IF(MONTH(Table7[[#This Row],[Date]])&gt;=4,1,0)</f>
        <v>2026</v>
      </c>
      <c r="C526" s="167">
        <f>YEAR(Table7[[#This Row],[Date]])</f>
        <v>2025</v>
      </c>
      <c r="D526" s="168">
        <f t="shared" si="26"/>
        <v>45901</v>
      </c>
      <c r="AE526" s="167">
        <f t="shared" si="27"/>
        <v>0</v>
      </c>
    </row>
    <row r="527" spans="1:31">
      <c r="A527" s="197">
        <f t="shared" si="28"/>
        <v>45907</v>
      </c>
      <c r="B527" s="167">
        <f>YEAR(Table7[[#This Row],[Date]])+IF(MONTH(Table7[[#This Row],[Date]])&gt;=4,1,0)</f>
        <v>2026</v>
      </c>
      <c r="C527" s="167">
        <f>YEAR(Table7[[#This Row],[Date]])</f>
        <v>2025</v>
      </c>
      <c r="D527" s="168">
        <f t="shared" si="26"/>
        <v>45901</v>
      </c>
      <c r="AE527" s="167">
        <f t="shared" si="27"/>
        <v>0</v>
      </c>
    </row>
    <row r="528" spans="1:31">
      <c r="A528" s="197">
        <f t="shared" si="28"/>
        <v>45908</v>
      </c>
      <c r="B528" s="167">
        <f>YEAR(Table7[[#This Row],[Date]])+IF(MONTH(Table7[[#This Row],[Date]])&gt;=4,1,0)</f>
        <v>2026</v>
      </c>
      <c r="C528" s="167">
        <f>YEAR(Table7[[#This Row],[Date]])</f>
        <v>2025</v>
      </c>
      <c r="D528" s="168">
        <f t="shared" si="26"/>
        <v>45901</v>
      </c>
      <c r="AE528" s="167">
        <f t="shared" si="27"/>
        <v>0</v>
      </c>
    </row>
    <row r="529" spans="1:31">
      <c r="A529" s="197">
        <f t="shared" si="28"/>
        <v>45909</v>
      </c>
      <c r="B529" s="167">
        <f>YEAR(Table7[[#This Row],[Date]])+IF(MONTH(Table7[[#This Row],[Date]])&gt;=4,1,0)</f>
        <v>2026</v>
      </c>
      <c r="C529" s="167">
        <f>YEAR(Table7[[#This Row],[Date]])</f>
        <v>2025</v>
      </c>
      <c r="D529" s="168">
        <f t="shared" si="26"/>
        <v>45901</v>
      </c>
      <c r="AE529" s="167">
        <f t="shared" si="27"/>
        <v>0</v>
      </c>
    </row>
    <row r="530" spans="1:31">
      <c r="A530" s="197">
        <f t="shared" si="28"/>
        <v>45910</v>
      </c>
      <c r="B530" s="167">
        <f>YEAR(Table7[[#This Row],[Date]])+IF(MONTH(Table7[[#This Row],[Date]])&gt;=4,1,0)</f>
        <v>2026</v>
      </c>
      <c r="C530" s="167">
        <f>YEAR(Table7[[#This Row],[Date]])</f>
        <v>2025</v>
      </c>
      <c r="D530" s="168">
        <f t="shared" si="26"/>
        <v>45901</v>
      </c>
      <c r="AE530" s="167">
        <f t="shared" si="27"/>
        <v>0</v>
      </c>
    </row>
    <row r="531" spans="1:31">
      <c r="A531" s="197">
        <f t="shared" si="28"/>
        <v>45911</v>
      </c>
      <c r="B531" s="167">
        <f>YEAR(Table7[[#This Row],[Date]])+IF(MONTH(Table7[[#This Row],[Date]])&gt;=4,1,0)</f>
        <v>2026</v>
      </c>
      <c r="C531" s="167">
        <f>YEAR(Table7[[#This Row],[Date]])</f>
        <v>2025</v>
      </c>
      <c r="D531" s="168">
        <f t="shared" si="26"/>
        <v>45901</v>
      </c>
      <c r="AE531" s="167">
        <f t="shared" si="27"/>
        <v>0</v>
      </c>
    </row>
    <row r="532" spans="1:31">
      <c r="A532" s="197">
        <f t="shared" si="28"/>
        <v>45912</v>
      </c>
      <c r="B532" s="167">
        <f>YEAR(Table7[[#This Row],[Date]])+IF(MONTH(Table7[[#This Row],[Date]])&gt;=4,1,0)</f>
        <v>2026</v>
      </c>
      <c r="C532" s="167">
        <f>YEAR(Table7[[#This Row],[Date]])</f>
        <v>2025</v>
      </c>
      <c r="D532" s="168">
        <f t="shared" si="26"/>
        <v>45901</v>
      </c>
      <c r="AE532" s="167">
        <f t="shared" si="27"/>
        <v>0</v>
      </c>
    </row>
    <row r="533" spans="1:31">
      <c r="A533" s="197">
        <f t="shared" si="28"/>
        <v>45913</v>
      </c>
      <c r="B533" s="167">
        <f>YEAR(Table7[[#This Row],[Date]])+IF(MONTH(Table7[[#This Row],[Date]])&gt;=4,1,0)</f>
        <v>2026</v>
      </c>
      <c r="C533" s="167">
        <f>YEAR(Table7[[#This Row],[Date]])</f>
        <v>2025</v>
      </c>
      <c r="D533" s="168">
        <f t="shared" si="26"/>
        <v>45901</v>
      </c>
      <c r="AE533" s="167">
        <f t="shared" si="27"/>
        <v>0</v>
      </c>
    </row>
    <row r="534" spans="1:31">
      <c r="A534" s="197">
        <f t="shared" si="28"/>
        <v>45914</v>
      </c>
      <c r="B534" s="167">
        <f>YEAR(Table7[[#This Row],[Date]])+IF(MONTH(Table7[[#This Row],[Date]])&gt;=4,1,0)</f>
        <v>2026</v>
      </c>
      <c r="C534" s="167">
        <f>YEAR(Table7[[#This Row],[Date]])</f>
        <v>2025</v>
      </c>
      <c r="D534" s="168">
        <f t="shared" si="26"/>
        <v>45901</v>
      </c>
      <c r="AE534" s="167">
        <f t="shared" si="27"/>
        <v>0</v>
      </c>
    </row>
    <row r="535" spans="1:31">
      <c r="A535" s="197">
        <f t="shared" si="28"/>
        <v>45915</v>
      </c>
      <c r="B535" s="167">
        <f>YEAR(Table7[[#This Row],[Date]])+IF(MONTH(Table7[[#This Row],[Date]])&gt;=4,1,0)</f>
        <v>2026</v>
      </c>
      <c r="C535" s="167">
        <f>YEAR(Table7[[#This Row],[Date]])</f>
        <v>2025</v>
      </c>
      <c r="D535" s="168">
        <f t="shared" si="26"/>
        <v>45901</v>
      </c>
      <c r="AE535" s="167">
        <f t="shared" si="27"/>
        <v>0</v>
      </c>
    </row>
    <row r="536" spans="1:31">
      <c r="A536" s="197">
        <f t="shared" si="28"/>
        <v>45916</v>
      </c>
      <c r="B536" s="167">
        <f>YEAR(Table7[[#This Row],[Date]])+IF(MONTH(Table7[[#This Row],[Date]])&gt;=4,1,0)</f>
        <v>2026</v>
      </c>
      <c r="C536" s="167">
        <f>YEAR(Table7[[#This Row],[Date]])</f>
        <v>2025</v>
      </c>
      <c r="D536" s="168">
        <f t="shared" si="26"/>
        <v>45901</v>
      </c>
      <c r="AE536" s="167">
        <f t="shared" si="27"/>
        <v>0</v>
      </c>
    </row>
    <row r="537" spans="1:31">
      <c r="A537" s="197">
        <f t="shared" si="28"/>
        <v>45917</v>
      </c>
      <c r="B537" s="167">
        <f>YEAR(Table7[[#This Row],[Date]])+IF(MONTH(Table7[[#This Row],[Date]])&gt;=4,1,0)</f>
        <v>2026</v>
      </c>
      <c r="C537" s="167">
        <f>YEAR(Table7[[#This Row],[Date]])</f>
        <v>2025</v>
      </c>
      <c r="D537" s="168">
        <f t="shared" si="26"/>
        <v>45901</v>
      </c>
      <c r="AE537" s="167">
        <f t="shared" si="27"/>
        <v>0</v>
      </c>
    </row>
    <row r="538" spans="1:31">
      <c r="A538" s="197">
        <f t="shared" si="28"/>
        <v>45918</v>
      </c>
      <c r="B538" s="167">
        <f>YEAR(Table7[[#This Row],[Date]])+IF(MONTH(Table7[[#This Row],[Date]])&gt;=4,1,0)</f>
        <v>2026</v>
      </c>
      <c r="C538" s="167">
        <f>YEAR(Table7[[#This Row],[Date]])</f>
        <v>2025</v>
      </c>
      <c r="D538" s="168">
        <f t="shared" si="26"/>
        <v>45901</v>
      </c>
      <c r="AE538" s="167">
        <f t="shared" si="27"/>
        <v>0</v>
      </c>
    </row>
    <row r="539" spans="1:31">
      <c r="A539" s="197">
        <f t="shared" si="28"/>
        <v>45919</v>
      </c>
      <c r="B539" s="167">
        <f>YEAR(Table7[[#This Row],[Date]])+IF(MONTH(Table7[[#This Row],[Date]])&gt;=4,1,0)</f>
        <v>2026</v>
      </c>
      <c r="C539" s="167">
        <f>YEAR(Table7[[#This Row],[Date]])</f>
        <v>2025</v>
      </c>
      <c r="D539" s="168">
        <f t="shared" si="26"/>
        <v>45901</v>
      </c>
      <c r="AE539" s="167">
        <f t="shared" si="27"/>
        <v>0</v>
      </c>
    </row>
    <row r="540" spans="1:31">
      <c r="A540" s="197">
        <f t="shared" si="28"/>
        <v>45920</v>
      </c>
      <c r="B540" s="167">
        <f>YEAR(Table7[[#This Row],[Date]])+IF(MONTH(Table7[[#This Row],[Date]])&gt;=4,1,0)</f>
        <v>2026</v>
      </c>
      <c r="C540" s="167">
        <f>YEAR(Table7[[#This Row],[Date]])</f>
        <v>2025</v>
      </c>
      <c r="D540" s="168">
        <f t="shared" si="26"/>
        <v>45901</v>
      </c>
      <c r="AE540" s="167">
        <f t="shared" si="27"/>
        <v>0</v>
      </c>
    </row>
    <row r="541" spans="1:31">
      <c r="A541" s="197">
        <f t="shared" si="28"/>
        <v>45921</v>
      </c>
      <c r="B541" s="167">
        <f>YEAR(Table7[[#This Row],[Date]])+IF(MONTH(Table7[[#This Row],[Date]])&gt;=4,1,0)</f>
        <v>2026</v>
      </c>
      <c r="C541" s="167">
        <f>YEAR(Table7[[#This Row],[Date]])</f>
        <v>2025</v>
      </c>
      <c r="D541" s="168">
        <f t="shared" si="26"/>
        <v>45901</v>
      </c>
      <c r="AE541" s="167">
        <f t="shared" si="27"/>
        <v>0</v>
      </c>
    </row>
    <row r="542" spans="1:31">
      <c r="A542" s="197">
        <f t="shared" si="28"/>
        <v>45922</v>
      </c>
      <c r="B542" s="167">
        <f>YEAR(Table7[[#This Row],[Date]])+IF(MONTH(Table7[[#This Row],[Date]])&gt;=4,1,0)</f>
        <v>2026</v>
      </c>
      <c r="C542" s="167">
        <f>YEAR(Table7[[#This Row],[Date]])</f>
        <v>2025</v>
      </c>
      <c r="D542" s="168">
        <f t="shared" si="26"/>
        <v>45901</v>
      </c>
      <c r="AE542" s="167">
        <f t="shared" si="27"/>
        <v>0</v>
      </c>
    </row>
    <row r="543" spans="1:31">
      <c r="A543" s="197">
        <f t="shared" si="28"/>
        <v>45923</v>
      </c>
      <c r="B543" s="167">
        <f>YEAR(Table7[[#This Row],[Date]])+IF(MONTH(Table7[[#This Row],[Date]])&gt;=4,1,0)</f>
        <v>2026</v>
      </c>
      <c r="C543" s="167">
        <f>YEAR(Table7[[#This Row],[Date]])</f>
        <v>2025</v>
      </c>
      <c r="D543" s="168">
        <f t="shared" si="26"/>
        <v>45901</v>
      </c>
      <c r="AE543" s="167">
        <f t="shared" si="27"/>
        <v>0</v>
      </c>
    </row>
    <row r="544" spans="1:31">
      <c r="A544" s="197">
        <f t="shared" si="28"/>
        <v>45924</v>
      </c>
      <c r="B544" s="167">
        <f>YEAR(Table7[[#This Row],[Date]])+IF(MONTH(Table7[[#This Row],[Date]])&gt;=4,1,0)</f>
        <v>2026</v>
      </c>
      <c r="C544" s="167">
        <f>YEAR(Table7[[#This Row],[Date]])</f>
        <v>2025</v>
      </c>
      <c r="D544" s="168">
        <f t="shared" si="26"/>
        <v>45901</v>
      </c>
      <c r="AE544" s="167">
        <f t="shared" si="27"/>
        <v>0</v>
      </c>
    </row>
    <row r="545" spans="1:31">
      <c r="A545" s="197">
        <f t="shared" si="28"/>
        <v>45925</v>
      </c>
      <c r="B545" s="167">
        <f>YEAR(Table7[[#This Row],[Date]])+IF(MONTH(Table7[[#This Row],[Date]])&gt;=4,1,0)</f>
        <v>2026</v>
      </c>
      <c r="C545" s="167">
        <f>YEAR(Table7[[#This Row],[Date]])</f>
        <v>2025</v>
      </c>
      <c r="D545" s="168">
        <f t="shared" si="26"/>
        <v>45901</v>
      </c>
      <c r="AE545" s="167">
        <f t="shared" si="27"/>
        <v>0</v>
      </c>
    </row>
    <row r="546" spans="1:31">
      <c r="A546" s="197">
        <f t="shared" si="28"/>
        <v>45926</v>
      </c>
      <c r="B546" s="167">
        <f>YEAR(Table7[[#This Row],[Date]])+IF(MONTH(Table7[[#This Row],[Date]])&gt;=4,1,0)</f>
        <v>2026</v>
      </c>
      <c r="C546" s="167">
        <f>YEAR(Table7[[#This Row],[Date]])</f>
        <v>2025</v>
      </c>
      <c r="D546" s="168">
        <f t="shared" si="26"/>
        <v>45901</v>
      </c>
      <c r="AE546" s="167">
        <f t="shared" si="27"/>
        <v>0</v>
      </c>
    </row>
    <row r="547" spans="1:31">
      <c r="A547" s="197">
        <f t="shared" si="28"/>
        <v>45927</v>
      </c>
      <c r="B547" s="167">
        <f>YEAR(Table7[[#This Row],[Date]])+IF(MONTH(Table7[[#This Row],[Date]])&gt;=4,1,0)</f>
        <v>2026</v>
      </c>
      <c r="C547" s="167">
        <f>YEAR(Table7[[#This Row],[Date]])</f>
        <v>2025</v>
      </c>
      <c r="D547" s="168">
        <f t="shared" si="26"/>
        <v>45901</v>
      </c>
      <c r="AE547" s="167">
        <f t="shared" si="27"/>
        <v>0</v>
      </c>
    </row>
    <row r="548" spans="1:31">
      <c r="A548" s="197">
        <f t="shared" si="28"/>
        <v>45928</v>
      </c>
      <c r="B548" s="167">
        <f>YEAR(Table7[[#This Row],[Date]])+IF(MONTH(Table7[[#This Row],[Date]])&gt;=4,1,0)</f>
        <v>2026</v>
      </c>
      <c r="C548" s="167">
        <f>YEAR(Table7[[#This Row],[Date]])</f>
        <v>2025</v>
      </c>
      <c r="D548" s="168">
        <f t="shared" si="26"/>
        <v>45901</v>
      </c>
      <c r="AE548" s="167">
        <f t="shared" si="27"/>
        <v>0</v>
      </c>
    </row>
    <row r="549" spans="1:31">
      <c r="A549" s="197">
        <f t="shared" si="28"/>
        <v>45929</v>
      </c>
      <c r="B549" s="167">
        <f>YEAR(Table7[[#This Row],[Date]])+IF(MONTH(Table7[[#This Row],[Date]])&gt;=4,1,0)</f>
        <v>2026</v>
      </c>
      <c r="C549" s="167">
        <f>YEAR(Table7[[#This Row],[Date]])</f>
        <v>2025</v>
      </c>
      <c r="D549" s="168">
        <f t="shared" si="26"/>
        <v>45901</v>
      </c>
      <c r="AE549" s="167">
        <f t="shared" si="27"/>
        <v>0</v>
      </c>
    </row>
    <row r="550" spans="1:31">
      <c r="A550" s="197">
        <f t="shared" si="28"/>
        <v>45930</v>
      </c>
      <c r="B550" s="167">
        <f>YEAR(Table7[[#This Row],[Date]])+IF(MONTH(Table7[[#This Row],[Date]])&gt;=4,1,0)</f>
        <v>2026</v>
      </c>
      <c r="C550" s="167">
        <f>YEAR(Table7[[#This Row],[Date]])</f>
        <v>2025</v>
      </c>
      <c r="D550" s="168">
        <f t="shared" si="26"/>
        <v>45901</v>
      </c>
      <c r="AE550" s="167">
        <f t="shared" si="27"/>
        <v>0</v>
      </c>
    </row>
    <row r="551" spans="1:31">
      <c r="A551" s="197">
        <f t="shared" si="28"/>
        <v>45931</v>
      </c>
      <c r="B551" s="167">
        <f>YEAR(Table7[[#This Row],[Date]])+IF(MONTH(Table7[[#This Row],[Date]])&gt;=4,1,0)</f>
        <v>2026</v>
      </c>
      <c r="C551" s="167">
        <f>YEAR(Table7[[#This Row],[Date]])</f>
        <v>2025</v>
      </c>
      <c r="D551" s="168">
        <f t="shared" si="26"/>
        <v>45931</v>
      </c>
      <c r="AE551" s="167">
        <f t="shared" si="27"/>
        <v>0</v>
      </c>
    </row>
    <row r="552" spans="1:31">
      <c r="A552" s="197">
        <f t="shared" si="28"/>
        <v>45932</v>
      </c>
      <c r="B552" s="167">
        <f>YEAR(Table7[[#This Row],[Date]])+IF(MONTH(Table7[[#This Row],[Date]])&gt;=4,1,0)</f>
        <v>2026</v>
      </c>
      <c r="C552" s="167">
        <f>YEAR(Table7[[#This Row],[Date]])</f>
        <v>2025</v>
      </c>
      <c r="D552" s="168">
        <f t="shared" si="26"/>
        <v>45931</v>
      </c>
      <c r="AE552" s="167">
        <f t="shared" si="27"/>
        <v>0</v>
      </c>
    </row>
    <row r="553" spans="1:31">
      <c r="A553" s="197">
        <f t="shared" si="28"/>
        <v>45933</v>
      </c>
      <c r="B553" s="167">
        <f>YEAR(Table7[[#This Row],[Date]])+IF(MONTH(Table7[[#This Row],[Date]])&gt;=4,1,0)</f>
        <v>2026</v>
      </c>
      <c r="C553" s="167">
        <f>YEAR(Table7[[#This Row],[Date]])</f>
        <v>2025</v>
      </c>
      <c r="D553" s="168">
        <f t="shared" si="26"/>
        <v>45931</v>
      </c>
      <c r="AE553" s="167">
        <f t="shared" si="27"/>
        <v>0</v>
      </c>
    </row>
    <row r="554" spans="1:31">
      <c r="A554" s="197">
        <f t="shared" si="28"/>
        <v>45934</v>
      </c>
      <c r="B554" s="167">
        <f>YEAR(Table7[[#This Row],[Date]])+IF(MONTH(Table7[[#This Row],[Date]])&gt;=4,1,0)</f>
        <v>2026</v>
      </c>
      <c r="C554" s="167">
        <f>YEAR(Table7[[#This Row],[Date]])</f>
        <v>2025</v>
      </c>
      <c r="D554" s="168">
        <f t="shared" si="26"/>
        <v>45931</v>
      </c>
      <c r="AE554" s="167">
        <f t="shared" si="27"/>
        <v>0</v>
      </c>
    </row>
    <row r="555" spans="1:31">
      <c r="A555" s="197">
        <f t="shared" si="28"/>
        <v>45935</v>
      </c>
      <c r="B555" s="167">
        <f>YEAR(Table7[[#This Row],[Date]])+IF(MONTH(Table7[[#This Row],[Date]])&gt;=4,1,0)</f>
        <v>2026</v>
      </c>
      <c r="C555" s="167">
        <f>YEAR(Table7[[#This Row],[Date]])</f>
        <v>2025</v>
      </c>
      <c r="D555" s="168">
        <f t="shared" si="26"/>
        <v>45931</v>
      </c>
      <c r="AE555" s="167">
        <f t="shared" si="27"/>
        <v>0</v>
      </c>
    </row>
    <row r="556" spans="1:31">
      <c r="A556" s="197">
        <f t="shared" si="28"/>
        <v>45936</v>
      </c>
      <c r="B556" s="167">
        <f>YEAR(Table7[[#This Row],[Date]])+IF(MONTH(Table7[[#This Row],[Date]])&gt;=4,1,0)</f>
        <v>2026</v>
      </c>
      <c r="C556" s="167">
        <f>YEAR(Table7[[#This Row],[Date]])</f>
        <v>2025</v>
      </c>
      <c r="D556" s="168">
        <f t="shared" si="26"/>
        <v>45931</v>
      </c>
      <c r="AE556" s="167">
        <f t="shared" si="27"/>
        <v>0</v>
      </c>
    </row>
    <row r="557" spans="1:31">
      <c r="A557" s="197">
        <f t="shared" si="28"/>
        <v>45937</v>
      </c>
      <c r="B557" s="167">
        <f>YEAR(Table7[[#This Row],[Date]])+IF(MONTH(Table7[[#This Row],[Date]])&gt;=4,1,0)</f>
        <v>2026</v>
      </c>
      <c r="C557" s="167">
        <f>YEAR(Table7[[#This Row],[Date]])</f>
        <v>2025</v>
      </c>
      <c r="D557" s="168">
        <f t="shared" si="26"/>
        <v>45931</v>
      </c>
      <c r="AE557" s="167">
        <f t="shared" si="27"/>
        <v>0</v>
      </c>
    </row>
    <row r="558" spans="1:31">
      <c r="A558" s="197">
        <f t="shared" si="28"/>
        <v>45938</v>
      </c>
      <c r="B558" s="167">
        <f>YEAR(Table7[[#This Row],[Date]])+IF(MONTH(Table7[[#This Row],[Date]])&gt;=4,1,0)</f>
        <v>2026</v>
      </c>
      <c r="C558" s="167">
        <f>YEAR(Table7[[#This Row],[Date]])</f>
        <v>2025</v>
      </c>
      <c r="D558" s="168">
        <f t="shared" si="26"/>
        <v>45931</v>
      </c>
      <c r="AE558" s="167">
        <f t="shared" si="27"/>
        <v>0</v>
      </c>
    </row>
    <row r="559" spans="1:31">
      <c r="A559" s="197">
        <f t="shared" si="28"/>
        <v>45939</v>
      </c>
      <c r="B559" s="167">
        <f>YEAR(Table7[[#This Row],[Date]])+IF(MONTH(Table7[[#This Row],[Date]])&gt;=4,1,0)</f>
        <v>2026</v>
      </c>
      <c r="C559" s="167">
        <f>YEAR(Table7[[#This Row],[Date]])</f>
        <v>2025</v>
      </c>
      <c r="D559" s="168">
        <f t="shared" si="26"/>
        <v>45931</v>
      </c>
      <c r="AE559" s="167">
        <f t="shared" si="27"/>
        <v>0</v>
      </c>
    </row>
    <row r="560" spans="1:31">
      <c r="A560" s="197">
        <f t="shared" si="28"/>
        <v>45940</v>
      </c>
      <c r="B560" s="167">
        <f>YEAR(Table7[[#This Row],[Date]])+IF(MONTH(Table7[[#This Row],[Date]])&gt;=4,1,0)</f>
        <v>2026</v>
      </c>
      <c r="C560" s="167">
        <f>YEAR(Table7[[#This Row],[Date]])</f>
        <v>2025</v>
      </c>
      <c r="D560" s="168">
        <f t="shared" si="26"/>
        <v>45931</v>
      </c>
      <c r="AE560" s="167">
        <f t="shared" si="27"/>
        <v>0</v>
      </c>
    </row>
    <row r="561" spans="1:31">
      <c r="A561" s="197">
        <f t="shared" si="28"/>
        <v>45941</v>
      </c>
      <c r="B561" s="167">
        <f>YEAR(Table7[[#This Row],[Date]])+IF(MONTH(Table7[[#This Row],[Date]])&gt;=4,1,0)</f>
        <v>2026</v>
      </c>
      <c r="C561" s="167">
        <f>YEAR(Table7[[#This Row],[Date]])</f>
        <v>2025</v>
      </c>
      <c r="D561" s="168">
        <f t="shared" si="26"/>
        <v>45931</v>
      </c>
      <c r="AE561" s="167">
        <f t="shared" si="27"/>
        <v>0</v>
      </c>
    </row>
    <row r="562" spans="1:31">
      <c r="A562" s="197">
        <f t="shared" si="28"/>
        <v>45942</v>
      </c>
      <c r="B562" s="167">
        <f>YEAR(Table7[[#This Row],[Date]])+IF(MONTH(Table7[[#This Row],[Date]])&gt;=4,1,0)</f>
        <v>2026</v>
      </c>
      <c r="C562" s="167">
        <f>YEAR(Table7[[#This Row],[Date]])</f>
        <v>2025</v>
      </c>
      <c r="D562" s="168">
        <f t="shared" si="26"/>
        <v>45931</v>
      </c>
      <c r="AE562" s="167">
        <f t="shared" si="27"/>
        <v>0</v>
      </c>
    </row>
    <row r="563" spans="1:31">
      <c r="A563" s="197">
        <f t="shared" si="28"/>
        <v>45943</v>
      </c>
      <c r="B563" s="167">
        <f>YEAR(Table7[[#This Row],[Date]])+IF(MONTH(Table7[[#This Row],[Date]])&gt;=4,1,0)</f>
        <v>2026</v>
      </c>
      <c r="C563" s="167">
        <f>YEAR(Table7[[#This Row],[Date]])</f>
        <v>2025</v>
      </c>
      <c r="D563" s="168">
        <f t="shared" si="26"/>
        <v>45931</v>
      </c>
      <c r="AE563" s="167">
        <f t="shared" si="27"/>
        <v>0</v>
      </c>
    </row>
    <row r="564" spans="1:31">
      <c r="A564" s="197">
        <f t="shared" si="28"/>
        <v>45944</v>
      </c>
      <c r="B564" s="167">
        <f>YEAR(Table7[[#This Row],[Date]])+IF(MONTH(Table7[[#This Row],[Date]])&gt;=4,1,0)</f>
        <v>2026</v>
      </c>
      <c r="C564" s="167">
        <f>YEAR(Table7[[#This Row],[Date]])</f>
        <v>2025</v>
      </c>
      <c r="D564" s="168">
        <f t="shared" si="26"/>
        <v>45931</v>
      </c>
      <c r="AE564" s="167">
        <f t="shared" si="27"/>
        <v>0</v>
      </c>
    </row>
    <row r="565" spans="1:31">
      <c r="A565" s="197">
        <f t="shared" si="28"/>
        <v>45945</v>
      </c>
      <c r="B565" s="167">
        <f>YEAR(Table7[[#This Row],[Date]])+IF(MONTH(Table7[[#This Row],[Date]])&gt;=4,1,0)</f>
        <v>2026</v>
      </c>
      <c r="C565" s="167">
        <f>YEAR(Table7[[#This Row],[Date]])</f>
        <v>2025</v>
      </c>
      <c r="D565" s="168">
        <f t="shared" si="26"/>
        <v>45931</v>
      </c>
      <c r="AE565" s="167">
        <f t="shared" si="27"/>
        <v>0</v>
      </c>
    </row>
    <row r="566" spans="1:31">
      <c r="A566" s="197">
        <f t="shared" si="28"/>
        <v>45946</v>
      </c>
      <c r="B566" s="167">
        <f>YEAR(Table7[[#This Row],[Date]])+IF(MONTH(Table7[[#This Row],[Date]])&gt;=4,1,0)</f>
        <v>2026</v>
      </c>
      <c r="C566" s="167">
        <f>YEAR(Table7[[#This Row],[Date]])</f>
        <v>2025</v>
      </c>
      <c r="D566" s="168">
        <f t="shared" si="26"/>
        <v>45931</v>
      </c>
      <c r="AE566" s="167">
        <f t="shared" si="27"/>
        <v>0</v>
      </c>
    </row>
    <row r="567" spans="1:31">
      <c r="A567" s="197">
        <f t="shared" si="28"/>
        <v>45947</v>
      </c>
      <c r="B567" s="167">
        <f>YEAR(Table7[[#This Row],[Date]])+IF(MONTH(Table7[[#This Row],[Date]])&gt;=4,1,0)</f>
        <v>2026</v>
      </c>
      <c r="C567" s="167">
        <f>YEAR(Table7[[#This Row],[Date]])</f>
        <v>2025</v>
      </c>
      <c r="D567" s="168">
        <f t="shared" si="26"/>
        <v>45931</v>
      </c>
      <c r="AE567" s="167">
        <f t="shared" si="27"/>
        <v>0</v>
      </c>
    </row>
    <row r="568" spans="1:31">
      <c r="A568" s="197">
        <f t="shared" si="28"/>
        <v>45948</v>
      </c>
      <c r="B568" s="167">
        <f>YEAR(Table7[[#This Row],[Date]])+IF(MONTH(Table7[[#This Row],[Date]])&gt;=4,1,0)</f>
        <v>2026</v>
      </c>
      <c r="C568" s="167">
        <f>YEAR(Table7[[#This Row],[Date]])</f>
        <v>2025</v>
      </c>
      <c r="D568" s="168">
        <f t="shared" si="26"/>
        <v>45931</v>
      </c>
      <c r="AE568" s="167">
        <f t="shared" si="27"/>
        <v>0</v>
      </c>
    </row>
    <row r="569" spans="1:31">
      <c r="A569" s="197">
        <f t="shared" si="28"/>
        <v>45949</v>
      </c>
      <c r="B569" s="167">
        <f>YEAR(Table7[[#This Row],[Date]])+IF(MONTH(Table7[[#This Row],[Date]])&gt;=4,1,0)</f>
        <v>2026</v>
      </c>
      <c r="C569" s="167">
        <f>YEAR(Table7[[#This Row],[Date]])</f>
        <v>2025</v>
      </c>
      <c r="D569" s="168">
        <f t="shared" si="26"/>
        <v>45931</v>
      </c>
      <c r="AE569" s="167">
        <f t="shared" si="27"/>
        <v>0</v>
      </c>
    </row>
    <row r="570" spans="1:31">
      <c r="A570" s="197">
        <f t="shared" si="28"/>
        <v>45950</v>
      </c>
      <c r="B570" s="167">
        <f>YEAR(Table7[[#This Row],[Date]])+IF(MONTH(Table7[[#This Row],[Date]])&gt;=4,1,0)</f>
        <v>2026</v>
      </c>
      <c r="C570" s="167">
        <f>YEAR(Table7[[#This Row],[Date]])</f>
        <v>2025</v>
      </c>
      <c r="D570" s="168">
        <f t="shared" si="26"/>
        <v>45931</v>
      </c>
      <c r="AE570" s="167">
        <f t="shared" si="27"/>
        <v>0</v>
      </c>
    </row>
    <row r="571" spans="1:31">
      <c r="A571" s="197">
        <f t="shared" si="28"/>
        <v>45951</v>
      </c>
      <c r="B571" s="167">
        <f>YEAR(Table7[[#This Row],[Date]])+IF(MONTH(Table7[[#This Row],[Date]])&gt;=4,1,0)</f>
        <v>2026</v>
      </c>
      <c r="C571" s="167">
        <f>YEAR(Table7[[#This Row],[Date]])</f>
        <v>2025</v>
      </c>
      <c r="D571" s="168">
        <f t="shared" si="26"/>
        <v>45931</v>
      </c>
      <c r="AE571" s="167">
        <f t="shared" si="27"/>
        <v>0</v>
      </c>
    </row>
    <row r="572" spans="1:31">
      <c r="A572" s="197">
        <f t="shared" si="28"/>
        <v>45952</v>
      </c>
      <c r="B572" s="167">
        <f>YEAR(Table7[[#This Row],[Date]])+IF(MONTH(Table7[[#This Row],[Date]])&gt;=4,1,0)</f>
        <v>2026</v>
      </c>
      <c r="C572" s="167">
        <f>YEAR(Table7[[#This Row],[Date]])</f>
        <v>2025</v>
      </c>
      <c r="D572" s="168">
        <f t="shared" si="26"/>
        <v>45931</v>
      </c>
      <c r="AE572" s="167">
        <f t="shared" si="27"/>
        <v>0</v>
      </c>
    </row>
    <row r="573" spans="1:31">
      <c r="A573" s="197">
        <f t="shared" si="28"/>
        <v>45953</v>
      </c>
      <c r="B573" s="167">
        <f>YEAR(Table7[[#This Row],[Date]])+IF(MONTH(Table7[[#This Row],[Date]])&gt;=4,1,0)</f>
        <v>2026</v>
      </c>
      <c r="C573" s="167">
        <f>YEAR(Table7[[#This Row],[Date]])</f>
        <v>2025</v>
      </c>
      <c r="D573" s="168">
        <f t="shared" si="26"/>
        <v>45931</v>
      </c>
      <c r="AE573" s="167">
        <f t="shared" si="27"/>
        <v>0</v>
      </c>
    </row>
    <row r="574" spans="1:31">
      <c r="A574" s="197">
        <f t="shared" si="28"/>
        <v>45954</v>
      </c>
      <c r="B574" s="167">
        <f>YEAR(Table7[[#This Row],[Date]])+IF(MONTH(Table7[[#This Row],[Date]])&gt;=4,1,0)</f>
        <v>2026</v>
      </c>
      <c r="C574" s="167">
        <f>YEAR(Table7[[#This Row],[Date]])</f>
        <v>2025</v>
      </c>
      <c r="D574" s="168">
        <f t="shared" si="26"/>
        <v>45931</v>
      </c>
      <c r="AE574" s="167">
        <f t="shared" si="27"/>
        <v>0</v>
      </c>
    </row>
    <row r="575" spans="1:31">
      <c r="A575" s="197">
        <f t="shared" si="28"/>
        <v>45955</v>
      </c>
      <c r="B575" s="167">
        <f>YEAR(Table7[[#This Row],[Date]])+IF(MONTH(Table7[[#This Row],[Date]])&gt;=4,1,0)</f>
        <v>2026</v>
      </c>
      <c r="C575" s="167">
        <f>YEAR(Table7[[#This Row],[Date]])</f>
        <v>2025</v>
      </c>
      <c r="D575" s="168">
        <f t="shared" si="26"/>
        <v>45931</v>
      </c>
      <c r="AE575" s="167">
        <f t="shared" si="27"/>
        <v>0</v>
      </c>
    </row>
    <row r="576" spans="1:31">
      <c r="A576" s="197">
        <f t="shared" si="28"/>
        <v>45956</v>
      </c>
      <c r="B576" s="167">
        <f>YEAR(Table7[[#This Row],[Date]])+IF(MONTH(Table7[[#This Row],[Date]])&gt;=4,1,0)</f>
        <v>2026</v>
      </c>
      <c r="C576" s="167">
        <f>YEAR(Table7[[#This Row],[Date]])</f>
        <v>2025</v>
      </c>
      <c r="D576" s="168">
        <f t="shared" si="26"/>
        <v>45931</v>
      </c>
      <c r="AE576" s="167">
        <f t="shared" si="27"/>
        <v>0</v>
      </c>
    </row>
    <row r="577" spans="1:31">
      <c r="A577" s="197">
        <f t="shared" si="28"/>
        <v>45957</v>
      </c>
      <c r="B577" s="167">
        <f>YEAR(Table7[[#This Row],[Date]])+IF(MONTH(Table7[[#This Row],[Date]])&gt;=4,1,0)</f>
        <v>2026</v>
      </c>
      <c r="C577" s="167">
        <f>YEAR(Table7[[#This Row],[Date]])</f>
        <v>2025</v>
      </c>
      <c r="D577" s="168">
        <f t="shared" si="26"/>
        <v>45931</v>
      </c>
      <c r="AE577" s="167">
        <f t="shared" si="27"/>
        <v>0</v>
      </c>
    </row>
    <row r="578" spans="1:31">
      <c r="A578" s="197">
        <f t="shared" si="28"/>
        <v>45958</v>
      </c>
      <c r="B578" s="167">
        <f>YEAR(Table7[[#This Row],[Date]])+IF(MONTH(Table7[[#This Row],[Date]])&gt;=4,1,0)</f>
        <v>2026</v>
      </c>
      <c r="C578" s="167">
        <f>YEAR(Table7[[#This Row],[Date]])</f>
        <v>2025</v>
      </c>
      <c r="D578" s="168">
        <f t="shared" si="26"/>
        <v>45931</v>
      </c>
      <c r="AE578" s="167">
        <f t="shared" si="27"/>
        <v>0</v>
      </c>
    </row>
    <row r="579" spans="1:31">
      <c r="A579" s="197">
        <f t="shared" si="28"/>
        <v>45959</v>
      </c>
      <c r="B579" s="167">
        <f>YEAR(Table7[[#This Row],[Date]])+IF(MONTH(Table7[[#This Row],[Date]])&gt;=4,1,0)</f>
        <v>2026</v>
      </c>
      <c r="C579" s="167">
        <f>YEAR(Table7[[#This Row],[Date]])</f>
        <v>2025</v>
      </c>
      <c r="D579" s="168">
        <f t="shared" ref="D579:D642" si="29">A579-DAY(A579)+1</f>
        <v>45931</v>
      </c>
      <c r="AE579" s="167">
        <f t="shared" ref="AE579:AE642" si="30">SUM(E579:AD579)</f>
        <v>0</v>
      </c>
    </row>
    <row r="580" spans="1:31">
      <c r="A580" s="197">
        <f t="shared" si="28"/>
        <v>45960</v>
      </c>
      <c r="B580" s="167">
        <f>YEAR(Table7[[#This Row],[Date]])+IF(MONTH(Table7[[#This Row],[Date]])&gt;=4,1,0)</f>
        <v>2026</v>
      </c>
      <c r="C580" s="167">
        <f>YEAR(Table7[[#This Row],[Date]])</f>
        <v>2025</v>
      </c>
      <c r="D580" s="168">
        <f t="shared" si="29"/>
        <v>45931</v>
      </c>
      <c r="AE580" s="167">
        <f t="shared" si="30"/>
        <v>0</v>
      </c>
    </row>
    <row r="581" spans="1:31">
      <c r="A581" s="197">
        <f t="shared" ref="A581:A644" si="31">A580+1</f>
        <v>45961</v>
      </c>
      <c r="B581" s="167">
        <f>YEAR(Table7[[#This Row],[Date]])+IF(MONTH(Table7[[#This Row],[Date]])&gt;=4,1,0)</f>
        <v>2026</v>
      </c>
      <c r="C581" s="167">
        <f>YEAR(Table7[[#This Row],[Date]])</f>
        <v>2025</v>
      </c>
      <c r="D581" s="168">
        <f t="shared" si="29"/>
        <v>45931</v>
      </c>
      <c r="AE581" s="167">
        <f t="shared" si="30"/>
        <v>0</v>
      </c>
    </row>
    <row r="582" spans="1:31">
      <c r="A582" s="197">
        <f t="shared" si="31"/>
        <v>45962</v>
      </c>
      <c r="B582" s="167">
        <f>YEAR(Table7[[#This Row],[Date]])+IF(MONTH(Table7[[#This Row],[Date]])&gt;=4,1,0)</f>
        <v>2026</v>
      </c>
      <c r="C582" s="167">
        <f>YEAR(Table7[[#This Row],[Date]])</f>
        <v>2025</v>
      </c>
      <c r="D582" s="168">
        <f t="shared" si="29"/>
        <v>45962</v>
      </c>
      <c r="AE582" s="167">
        <f t="shared" si="30"/>
        <v>0</v>
      </c>
    </row>
    <row r="583" spans="1:31">
      <c r="A583" s="197">
        <f t="shared" si="31"/>
        <v>45963</v>
      </c>
      <c r="B583" s="167">
        <f>YEAR(Table7[[#This Row],[Date]])+IF(MONTH(Table7[[#This Row],[Date]])&gt;=4,1,0)</f>
        <v>2026</v>
      </c>
      <c r="C583" s="167">
        <f>YEAR(Table7[[#This Row],[Date]])</f>
        <v>2025</v>
      </c>
      <c r="D583" s="168">
        <f t="shared" si="29"/>
        <v>45962</v>
      </c>
      <c r="AE583" s="167">
        <f t="shared" si="30"/>
        <v>0</v>
      </c>
    </row>
    <row r="584" spans="1:31">
      <c r="A584" s="197">
        <f t="shared" si="31"/>
        <v>45964</v>
      </c>
      <c r="B584" s="167">
        <f>YEAR(Table7[[#This Row],[Date]])+IF(MONTH(Table7[[#This Row],[Date]])&gt;=4,1,0)</f>
        <v>2026</v>
      </c>
      <c r="C584" s="167">
        <f>YEAR(Table7[[#This Row],[Date]])</f>
        <v>2025</v>
      </c>
      <c r="D584" s="168">
        <f t="shared" si="29"/>
        <v>45962</v>
      </c>
      <c r="AE584" s="167">
        <f t="shared" si="30"/>
        <v>0</v>
      </c>
    </row>
    <row r="585" spans="1:31">
      <c r="A585" s="197">
        <f t="shared" si="31"/>
        <v>45965</v>
      </c>
      <c r="B585" s="167">
        <f>YEAR(Table7[[#This Row],[Date]])+IF(MONTH(Table7[[#This Row],[Date]])&gt;=4,1,0)</f>
        <v>2026</v>
      </c>
      <c r="C585" s="167">
        <f>YEAR(Table7[[#This Row],[Date]])</f>
        <v>2025</v>
      </c>
      <c r="D585" s="168">
        <f t="shared" si="29"/>
        <v>45962</v>
      </c>
      <c r="AE585" s="167">
        <f t="shared" si="30"/>
        <v>0</v>
      </c>
    </row>
    <row r="586" spans="1:31">
      <c r="A586" s="197">
        <f t="shared" si="31"/>
        <v>45966</v>
      </c>
      <c r="B586" s="167">
        <f>YEAR(Table7[[#This Row],[Date]])+IF(MONTH(Table7[[#This Row],[Date]])&gt;=4,1,0)</f>
        <v>2026</v>
      </c>
      <c r="C586" s="167">
        <f>YEAR(Table7[[#This Row],[Date]])</f>
        <v>2025</v>
      </c>
      <c r="D586" s="168">
        <f t="shared" si="29"/>
        <v>45962</v>
      </c>
      <c r="AE586" s="167">
        <f t="shared" si="30"/>
        <v>0</v>
      </c>
    </row>
    <row r="587" spans="1:31">
      <c r="A587" s="197">
        <f t="shared" si="31"/>
        <v>45967</v>
      </c>
      <c r="B587" s="167">
        <f>YEAR(Table7[[#This Row],[Date]])+IF(MONTH(Table7[[#This Row],[Date]])&gt;=4,1,0)</f>
        <v>2026</v>
      </c>
      <c r="C587" s="167">
        <f>YEAR(Table7[[#This Row],[Date]])</f>
        <v>2025</v>
      </c>
      <c r="D587" s="168">
        <f t="shared" si="29"/>
        <v>45962</v>
      </c>
      <c r="AE587" s="167">
        <f t="shared" si="30"/>
        <v>0</v>
      </c>
    </row>
    <row r="588" spans="1:31">
      <c r="A588" s="197">
        <f t="shared" si="31"/>
        <v>45968</v>
      </c>
      <c r="B588" s="167">
        <f>YEAR(Table7[[#This Row],[Date]])+IF(MONTH(Table7[[#This Row],[Date]])&gt;=4,1,0)</f>
        <v>2026</v>
      </c>
      <c r="C588" s="167">
        <f>YEAR(Table7[[#This Row],[Date]])</f>
        <v>2025</v>
      </c>
      <c r="D588" s="168">
        <f t="shared" si="29"/>
        <v>45962</v>
      </c>
      <c r="AE588" s="167">
        <f t="shared" si="30"/>
        <v>0</v>
      </c>
    </row>
    <row r="589" spans="1:31">
      <c r="A589" s="197">
        <f t="shared" si="31"/>
        <v>45969</v>
      </c>
      <c r="B589" s="167">
        <f>YEAR(Table7[[#This Row],[Date]])+IF(MONTH(Table7[[#This Row],[Date]])&gt;=4,1,0)</f>
        <v>2026</v>
      </c>
      <c r="C589" s="167">
        <f>YEAR(Table7[[#This Row],[Date]])</f>
        <v>2025</v>
      </c>
      <c r="D589" s="168">
        <f t="shared" si="29"/>
        <v>45962</v>
      </c>
      <c r="AE589" s="167">
        <f t="shared" si="30"/>
        <v>0</v>
      </c>
    </row>
    <row r="590" spans="1:31">
      <c r="A590" s="197">
        <f t="shared" si="31"/>
        <v>45970</v>
      </c>
      <c r="B590" s="167">
        <f>YEAR(Table7[[#This Row],[Date]])+IF(MONTH(Table7[[#This Row],[Date]])&gt;=4,1,0)</f>
        <v>2026</v>
      </c>
      <c r="C590" s="167">
        <f>YEAR(Table7[[#This Row],[Date]])</f>
        <v>2025</v>
      </c>
      <c r="D590" s="168">
        <f t="shared" si="29"/>
        <v>45962</v>
      </c>
      <c r="AE590" s="167">
        <f t="shared" si="30"/>
        <v>0</v>
      </c>
    </row>
    <row r="591" spans="1:31">
      <c r="A591" s="197">
        <f t="shared" si="31"/>
        <v>45971</v>
      </c>
      <c r="B591" s="167">
        <f>YEAR(Table7[[#This Row],[Date]])+IF(MONTH(Table7[[#This Row],[Date]])&gt;=4,1,0)</f>
        <v>2026</v>
      </c>
      <c r="C591" s="167">
        <f>YEAR(Table7[[#This Row],[Date]])</f>
        <v>2025</v>
      </c>
      <c r="D591" s="168">
        <f t="shared" si="29"/>
        <v>45962</v>
      </c>
      <c r="AE591" s="167">
        <f t="shared" si="30"/>
        <v>0</v>
      </c>
    </row>
    <row r="592" spans="1:31">
      <c r="A592" s="197">
        <f t="shared" si="31"/>
        <v>45972</v>
      </c>
      <c r="B592" s="167">
        <f>YEAR(Table7[[#This Row],[Date]])+IF(MONTH(Table7[[#This Row],[Date]])&gt;=4,1,0)</f>
        <v>2026</v>
      </c>
      <c r="C592" s="167">
        <f>YEAR(Table7[[#This Row],[Date]])</f>
        <v>2025</v>
      </c>
      <c r="D592" s="168">
        <f t="shared" si="29"/>
        <v>45962</v>
      </c>
      <c r="AE592" s="167">
        <f t="shared" si="30"/>
        <v>0</v>
      </c>
    </row>
    <row r="593" spans="1:31">
      <c r="A593" s="197">
        <f t="shared" si="31"/>
        <v>45973</v>
      </c>
      <c r="B593" s="167">
        <f>YEAR(Table7[[#This Row],[Date]])+IF(MONTH(Table7[[#This Row],[Date]])&gt;=4,1,0)</f>
        <v>2026</v>
      </c>
      <c r="C593" s="167">
        <f>YEAR(Table7[[#This Row],[Date]])</f>
        <v>2025</v>
      </c>
      <c r="D593" s="168">
        <f t="shared" si="29"/>
        <v>45962</v>
      </c>
      <c r="AE593" s="167">
        <f t="shared" si="30"/>
        <v>0</v>
      </c>
    </row>
    <row r="594" spans="1:31">
      <c r="A594" s="197">
        <f t="shared" si="31"/>
        <v>45974</v>
      </c>
      <c r="B594" s="167">
        <f>YEAR(Table7[[#This Row],[Date]])+IF(MONTH(Table7[[#This Row],[Date]])&gt;=4,1,0)</f>
        <v>2026</v>
      </c>
      <c r="C594" s="167">
        <f>YEAR(Table7[[#This Row],[Date]])</f>
        <v>2025</v>
      </c>
      <c r="D594" s="168">
        <f t="shared" si="29"/>
        <v>45962</v>
      </c>
      <c r="AE594" s="167">
        <f t="shared" si="30"/>
        <v>0</v>
      </c>
    </row>
    <row r="595" spans="1:31">
      <c r="A595" s="197">
        <f t="shared" si="31"/>
        <v>45975</v>
      </c>
      <c r="B595" s="167">
        <f>YEAR(Table7[[#This Row],[Date]])+IF(MONTH(Table7[[#This Row],[Date]])&gt;=4,1,0)</f>
        <v>2026</v>
      </c>
      <c r="C595" s="167">
        <f>YEAR(Table7[[#This Row],[Date]])</f>
        <v>2025</v>
      </c>
      <c r="D595" s="168">
        <f t="shared" si="29"/>
        <v>45962</v>
      </c>
      <c r="AE595" s="167">
        <f t="shared" si="30"/>
        <v>0</v>
      </c>
    </row>
    <row r="596" spans="1:31">
      <c r="A596" s="197">
        <f t="shared" si="31"/>
        <v>45976</v>
      </c>
      <c r="B596" s="167">
        <f>YEAR(Table7[[#This Row],[Date]])+IF(MONTH(Table7[[#This Row],[Date]])&gt;=4,1,0)</f>
        <v>2026</v>
      </c>
      <c r="C596" s="167">
        <f>YEAR(Table7[[#This Row],[Date]])</f>
        <v>2025</v>
      </c>
      <c r="D596" s="168">
        <f t="shared" si="29"/>
        <v>45962</v>
      </c>
      <c r="AE596" s="167">
        <f t="shared" si="30"/>
        <v>0</v>
      </c>
    </row>
    <row r="597" spans="1:31">
      <c r="A597" s="197">
        <f t="shared" si="31"/>
        <v>45977</v>
      </c>
      <c r="B597" s="167">
        <f>YEAR(Table7[[#This Row],[Date]])+IF(MONTH(Table7[[#This Row],[Date]])&gt;=4,1,0)</f>
        <v>2026</v>
      </c>
      <c r="C597" s="167">
        <f>YEAR(Table7[[#This Row],[Date]])</f>
        <v>2025</v>
      </c>
      <c r="D597" s="168">
        <f t="shared" si="29"/>
        <v>45962</v>
      </c>
      <c r="AE597" s="167">
        <f t="shared" si="30"/>
        <v>0</v>
      </c>
    </row>
    <row r="598" spans="1:31">
      <c r="A598" s="197">
        <f t="shared" si="31"/>
        <v>45978</v>
      </c>
      <c r="B598" s="167">
        <f>YEAR(Table7[[#This Row],[Date]])+IF(MONTH(Table7[[#This Row],[Date]])&gt;=4,1,0)</f>
        <v>2026</v>
      </c>
      <c r="C598" s="167">
        <f>YEAR(Table7[[#This Row],[Date]])</f>
        <v>2025</v>
      </c>
      <c r="D598" s="168">
        <f t="shared" si="29"/>
        <v>45962</v>
      </c>
      <c r="AE598" s="167">
        <f t="shared" si="30"/>
        <v>0</v>
      </c>
    </row>
    <row r="599" spans="1:31">
      <c r="A599" s="197">
        <f t="shared" si="31"/>
        <v>45979</v>
      </c>
      <c r="B599" s="167">
        <f>YEAR(Table7[[#This Row],[Date]])+IF(MONTH(Table7[[#This Row],[Date]])&gt;=4,1,0)</f>
        <v>2026</v>
      </c>
      <c r="C599" s="167">
        <f>YEAR(Table7[[#This Row],[Date]])</f>
        <v>2025</v>
      </c>
      <c r="D599" s="168">
        <f t="shared" si="29"/>
        <v>45962</v>
      </c>
      <c r="AE599" s="167">
        <f t="shared" si="30"/>
        <v>0</v>
      </c>
    </row>
    <row r="600" spans="1:31">
      <c r="A600" s="197">
        <f t="shared" si="31"/>
        <v>45980</v>
      </c>
      <c r="B600" s="167">
        <f>YEAR(Table7[[#This Row],[Date]])+IF(MONTH(Table7[[#This Row],[Date]])&gt;=4,1,0)</f>
        <v>2026</v>
      </c>
      <c r="C600" s="167">
        <f>YEAR(Table7[[#This Row],[Date]])</f>
        <v>2025</v>
      </c>
      <c r="D600" s="168">
        <f t="shared" si="29"/>
        <v>45962</v>
      </c>
      <c r="AE600" s="167">
        <f t="shared" si="30"/>
        <v>0</v>
      </c>
    </row>
    <row r="601" spans="1:31">
      <c r="A601" s="197">
        <f t="shared" si="31"/>
        <v>45981</v>
      </c>
      <c r="B601" s="167">
        <f>YEAR(Table7[[#This Row],[Date]])+IF(MONTH(Table7[[#This Row],[Date]])&gt;=4,1,0)</f>
        <v>2026</v>
      </c>
      <c r="C601" s="167">
        <f>YEAR(Table7[[#This Row],[Date]])</f>
        <v>2025</v>
      </c>
      <c r="D601" s="168">
        <f t="shared" si="29"/>
        <v>45962</v>
      </c>
      <c r="AE601" s="167">
        <f t="shared" si="30"/>
        <v>0</v>
      </c>
    </row>
    <row r="602" spans="1:31">
      <c r="A602" s="197">
        <f t="shared" si="31"/>
        <v>45982</v>
      </c>
      <c r="B602" s="167">
        <f>YEAR(Table7[[#This Row],[Date]])+IF(MONTH(Table7[[#This Row],[Date]])&gt;=4,1,0)</f>
        <v>2026</v>
      </c>
      <c r="C602" s="167">
        <f>YEAR(Table7[[#This Row],[Date]])</f>
        <v>2025</v>
      </c>
      <c r="D602" s="168">
        <f t="shared" si="29"/>
        <v>45962</v>
      </c>
      <c r="AE602" s="167">
        <f t="shared" si="30"/>
        <v>0</v>
      </c>
    </row>
    <row r="603" spans="1:31">
      <c r="A603" s="197">
        <f t="shared" si="31"/>
        <v>45983</v>
      </c>
      <c r="B603" s="167">
        <f>YEAR(Table7[[#This Row],[Date]])+IF(MONTH(Table7[[#This Row],[Date]])&gt;=4,1,0)</f>
        <v>2026</v>
      </c>
      <c r="C603" s="167">
        <f>YEAR(Table7[[#This Row],[Date]])</f>
        <v>2025</v>
      </c>
      <c r="D603" s="168">
        <f t="shared" si="29"/>
        <v>45962</v>
      </c>
      <c r="AE603" s="167">
        <f t="shared" si="30"/>
        <v>0</v>
      </c>
    </row>
    <row r="604" spans="1:31">
      <c r="A604" s="197">
        <f t="shared" si="31"/>
        <v>45984</v>
      </c>
      <c r="B604" s="167">
        <f>YEAR(Table7[[#This Row],[Date]])+IF(MONTH(Table7[[#This Row],[Date]])&gt;=4,1,0)</f>
        <v>2026</v>
      </c>
      <c r="C604" s="167">
        <f>YEAR(Table7[[#This Row],[Date]])</f>
        <v>2025</v>
      </c>
      <c r="D604" s="168">
        <f t="shared" si="29"/>
        <v>45962</v>
      </c>
      <c r="AE604" s="167">
        <f t="shared" si="30"/>
        <v>0</v>
      </c>
    </row>
    <row r="605" spans="1:31">
      <c r="A605" s="197">
        <f t="shared" si="31"/>
        <v>45985</v>
      </c>
      <c r="B605" s="167">
        <f>YEAR(Table7[[#This Row],[Date]])+IF(MONTH(Table7[[#This Row],[Date]])&gt;=4,1,0)</f>
        <v>2026</v>
      </c>
      <c r="C605" s="167">
        <f>YEAR(Table7[[#This Row],[Date]])</f>
        <v>2025</v>
      </c>
      <c r="D605" s="168">
        <f t="shared" si="29"/>
        <v>45962</v>
      </c>
      <c r="AE605" s="167">
        <f t="shared" si="30"/>
        <v>0</v>
      </c>
    </row>
    <row r="606" spans="1:31">
      <c r="A606" s="197">
        <f t="shared" si="31"/>
        <v>45986</v>
      </c>
      <c r="B606" s="167">
        <f>YEAR(Table7[[#This Row],[Date]])+IF(MONTH(Table7[[#This Row],[Date]])&gt;=4,1,0)</f>
        <v>2026</v>
      </c>
      <c r="C606" s="167">
        <f>YEAR(Table7[[#This Row],[Date]])</f>
        <v>2025</v>
      </c>
      <c r="D606" s="168">
        <f t="shared" si="29"/>
        <v>45962</v>
      </c>
      <c r="AE606" s="167">
        <f t="shared" si="30"/>
        <v>0</v>
      </c>
    </row>
    <row r="607" spans="1:31">
      <c r="A607" s="197">
        <f t="shared" si="31"/>
        <v>45987</v>
      </c>
      <c r="B607" s="167">
        <f>YEAR(Table7[[#This Row],[Date]])+IF(MONTH(Table7[[#This Row],[Date]])&gt;=4,1,0)</f>
        <v>2026</v>
      </c>
      <c r="C607" s="167">
        <f>YEAR(Table7[[#This Row],[Date]])</f>
        <v>2025</v>
      </c>
      <c r="D607" s="168">
        <f t="shared" si="29"/>
        <v>45962</v>
      </c>
      <c r="AE607" s="167">
        <f t="shared" si="30"/>
        <v>0</v>
      </c>
    </row>
    <row r="608" spans="1:31">
      <c r="A608" s="197">
        <f t="shared" si="31"/>
        <v>45988</v>
      </c>
      <c r="B608" s="167">
        <f>YEAR(Table7[[#This Row],[Date]])+IF(MONTH(Table7[[#This Row],[Date]])&gt;=4,1,0)</f>
        <v>2026</v>
      </c>
      <c r="C608" s="167">
        <f>YEAR(Table7[[#This Row],[Date]])</f>
        <v>2025</v>
      </c>
      <c r="D608" s="168">
        <f t="shared" si="29"/>
        <v>45962</v>
      </c>
      <c r="AE608" s="167">
        <f t="shared" si="30"/>
        <v>0</v>
      </c>
    </row>
    <row r="609" spans="1:31">
      <c r="A609" s="197">
        <f t="shared" si="31"/>
        <v>45989</v>
      </c>
      <c r="B609" s="167">
        <f>YEAR(Table7[[#This Row],[Date]])+IF(MONTH(Table7[[#This Row],[Date]])&gt;=4,1,0)</f>
        <v>2026</v>
      </c>
      <c r="C609" s="167">
        <f>YEAR(Table7[[#This Row],[Date]])</f>
        <v>2025</v>
      </c>
      <c r="D609" s="168">
        <f t="shared" si="29"/>
        <v>45962</v>
      </c>
      <c r="AE609" s="167">
        <f t="shared" si="30"/>
        <v>0</v>
      </c>
    </row>
    <row r="610" spans="1:31">
      <c r="A610" s="197">
        <f t="shared" si="31"/>
        <v>45990</v>
      </c>
      <c r="B610" s="167">
        <f>YEAR(Table7[[#This Row],[Date]])+IF(MONTH(Table7[[#This Row],[Date]])&gt;=4,1,0)</f>
        <v>2026</v>
      </c>
      <c r="C610" s="167">
        <f>YEAR(Table7[[#This Row],[Date]])</f>
        <v>2025</v>
      </c>
      <c r="D610" s="168">
        <f t="shared" si="29"/>
        <v>45962</v>
      </c>
      <c r="AE610" s="167">
        <f t="shared" si="30"/>
        <v>0</v>
      </c>
    </row>
    <row r="611" spans="1:31">
      <c r="A611" s="197">
        <f t="shared" si="31"/>
        <v>45991</v>
      </c>
      <c r="B611" s="167">
        <f>YEAR(Table7[[#This Row],[Date]])+IF(MONTH(Table7[[#This Row],[Date]])&gt;=4,1,0)</f>
        <v>2026</v>
      </c>
      <c r="C611" s="167">
        <f>YEAR(Table7[[#This Row],[Date]])</f>
        <v>2025</v>
      </c>
      <c r="D611" s="168">
        <f t="shared" si="29"/>
        <v>45962</v>
      </c>
      <c r="AE611" s="167">
        <f t="shared" si="30"/>
        <v>0</v>
      </c>
    </row>
    <row r="612" spans="1:31">
      <c r="A612" s="197">
        <f t="shared" si="31"/>
        <v>45992</v>
      </c>
      <c r="B612" s="167">
        <f>YEAR(Table7[[#This Row],[Date]])+IF(MONTH(Table7[[#This Row],[Date]])&gt;=4,1,0)</f>
        <v>2026</v>
      </c>
      <c r="C612" s="167">
        <f>YEAR(Table7[[#This Row],[Date]])</f>
        <v>2025</v>
      </c>
      <c r="D612" s="168">
        <f t="shared" si="29"/>
        <v>45992</v>
      </c>
      <c r="AE612" s="167">
        <f t="shared" si="30"/>
        <v>0</v>
      </c>
    </row>
    <row r="613" spans="1:31">
      <c r="A613" s="197">
        <f t="shared" si="31"/>
        <v>45993</v>
      </c>
      <c r="B613" s="167">
        <f>YEAR(Table7[[#This Row],[Date]])+IF(MONTH(Table7[[#This Row],[Date]])&gt;=4,1,0)</f>
        <v>2026</v>
      </c>
      <c r="C613" s="167">
        <f>YEAR(Table7[[#This Row],[Date]])</f>
        <v>2025</v>
      </c>
      <c r="D613" s="168">
        <f t="shared" si="29"/>
        <v>45992</v>
      </c>
      <c r="AE613" s="167">
        <f t="shared" si="30"/>
        <v>0</v>
      </c>
    </row>
    <row r="614" spans="1:31">
      <c r="A614" s="197">
        <f t="shared" si="31"/>
        <v>45994</v>
      </c>
      <c r="B614" s="167">
        <f>YEAR(Table7[[#This Row],[Date]])+IF(MONTH(Table7[[#This Row],[Date]])&gt;=4,1,0)</f>
        <v>2026</v>
      </c>
      <c r="C614" s="167">
        <f>YEAR(Table7[[#This Row],[Date]])</f>
        <v>2025</v>
      </c>
      <c r="D614" s="168">
        <f t="shared" si="29"/>
        <v>45992</v>
      </c>
      <c r="AE614" s="167">
        <f t="shared" si="30"/>
        <v>0</v>
      </c>
    </row>
    <row r="615" spans="1:31">
      <c r="A615" s="197">
        <f t="shared" si="31"/>
        <v>45995</v>
      </c>
      <c r="B615" s="167">
        <f>YEAR(Table7[[#This Row],[Date]])+IF(MONTH(Table7[[#This Row],[Date]])&gt;=4,1,0)</f>
        <v>2026</v>
      </c>
      <c r="C615" s="167">
        <f>YEAR(Table7[[#This Row],[Date]])</f>
        <v>2025</v>
      </c>
      <c r="D615" s="168">
        <f t="shared" si="29"/>
        <v>45992</v>
      </c>
      <c r="AE615" s="167">
        <f t="shared" si="30"/>
        <v>0</v>
      </c>
    </row>
    <row r="616" spans="1:31">
      <c r="A616" s="197">
        <f t="shared" si="31"/>
        <v>45996</v>
      </c>
      <c r="B616" s="167">
        <f>YEAR(Table7[[#This Row],[Date]])+IF(MONTH(Table7[[#This Row],[Date]])&gt;=4,1,0)</f>
        <v>2026</v>
      </c>
      <c r="C616" s="167">
        <f>YEAR(Table7[[#This Row],[Date]])</f>
        <v>2025</v>
      </c>
      <c r="D616" s="168">
        <f t="shared" si="29"/>
        <v>45992</v>
      </c>
      <c r="AE616" s="167">
        <f t="shared" si="30"/>
        <v>0</v>
      </c>
    </row>
    <row r="617" spans="1:31">
      <c r="A617" s="197">
        <f t="shared" si="31"/>
        <v>45997</v>
      </c>
      <c r="B617" s="167">
        <f>YEAR(Table7[[#This Row],[Date]])+IF(MONTH(Table7[[#This Row],[Date]])&gt;=4,1,0)</f>
        <v>2026</v>
      </c>
      <c r="C617" s="167">
        <f>YEAR(Table7[[#This Row],[Date]])</f>
        <v>2025</v>
      </c>
      <c r="D617" s="168">
        <f t="shared" si="29"/>
        <v>45992</v>
      </c>
      <c r="AE617" s="167">
        <f t="shared" si="30"/>
        <v>0</v>
      </c>
    </row>
    <row r="618" spans="1:31">
      <c r="A618" s="197">
        <f t="shared" si="31"/>
        <v>45998</v>
      </c>
      <c r="B618" s="167">
        <f>YEAR(Table7[[#This Row],[Date]])+IF(MONTH(Table7[[#This Row],[Date]])&gt;=4,1,0)</f>
        <v>2026</v>
      </c>
      <c r="C618" s="167">
        <f>YEAR(Table7[[#This Row],[Date]])</f>
        <v>2025</v>
      </c>
      <c r="D618" s="168">
        <f t="shared" si="29"/>
        <v>45992</v>
      </c>
      <c r="AE618" s="167">
        <f t="shared" si="30"/>
        <v>0</v>
      </c>
    </row>
    <row r="619" spans="1:31">
      <c r="A619" s="197">
        <f t="shared" si="31"/>
        <v>45999</v>
      </c>
      <c r="B619" s="167">
        <f>YEAR(Table7[[#This Row],[Date]])+IF(MONTH(Table7[[#This Row],[Date]])&gt;=4,1,0)</f>
        <v>2026</v>
      </c>
      <c r="C619" s="167">
        <f>YEAR(Table7[[#This Row],[Date]])</f>
        <v>2025</v>
      </c>
      <c r="D619" s="168">
        <f t="shared" si="29"/>
        <v>45992</v>
      </c>
      <c r="AE619" s="167">
        <f t="shared" si="30"/>
        <v>0</v>
      </c>
    </row>
    <row r="620" spans="1:31">
      <c r="A620" s="197">
        <f t="shared" si="31"/>
        <v>46000</v>
      </c>
      <c r="B620" s="167">
        <f>YEAR(Table7[[#This Row],[Date]])+IF(MONTH(Table7[[#This Row],[Date]])&gt;=4,1,0)</f>
        <v>2026</v>
      </c>
      <c r="C620" s="167">
        <f>YEAR(Table7[[#This Row],[Date]])</f>
        <v>2025</v>
      </c>
      <c r="D620" s="168">
        <f t="shared" si="29"/>
        <v>45992</v>
      </c>
      <c r="AE620" s="167">
        <f t="shared" si="30"/>
        <v>0</v>
      </c>
    </row>
    <row r="621" spans="1:31">
      <c r="A621" s="197">
        <f t="shared" si="31"/>
        <v>46001</v>
      </c>
      <c r="B621" s="167">
        <f>YEAR(Table7[[#This Row],[Date]])+IF(MONTH(Table7[[#This Row],[Date]])&gt;=4,1,0)</f>
        <v>2026</v>
      </c>
      <c r="C621" s="167">
        <f>YEAR(Table7[[#This Row],[Date]])</f>
        <v>2025</v>
      </c>
      <c r="D621" s="168">
        <f t="shared" si="29"/>
        <v>45992</v>
      </c>
      <c r="AE621" s="167">
        <f t="shared" si="30"/>
        <v>0</v>
      </c>
    </row>
    <row r="622" spans="1:31">
      <c r="A622" s="197">
        <f t="shared" si="31"/>
        <v>46002</v>
      </c>
      <c r="B622" s="167">
        <f>YEAR(Table7[[#This Row],[Date]])+IF(MONTH(Table7[[#This Row],[Date]])&gt;=4,1,0)</f>
        <v>2026</v>
      </c>
      <c r="C622" s="167">
        <f>YEAR(Table7[[#This Row],[Date]])</f>
        <v>2025</v>
      </c>
      <c r="D622" s="168">
        <f t="shared" si="29"/>
        <v>45992</v>
      </c>
      <c r="AE622" s="167">
        <f t="shared" si="30"/>
        <v>0</v>
      </c>
    </row>
    <row r="623" spans="1:31">
      <c r="A623" s="197">
        <f t="shared" si="31"/>
        <v>46003</v>
      </c>
      <c r="B623" s="167">
        <f>YEAR(Table7[[#This Row],[Date]])+IF(MONTH(Table7[[#This Row],[Date]])&gt;=4,1,0)</f>
        <v>2026</v>
      </c>
      <c r="C623" s="167">
        <f>YEAR(Table7[[#This Row],[Date]])</f>
        <v>2025</v>
      </c>
      <c r="D623" s="168">
        <f t="shared" si="29"/>
        <v>45992</v>
      </c>
      <c r="AE623" s="167">
        <f t="shared" si="30"/>
        <v>0</v>
      </c>
    </row>
    <row r="624" spans="1:31">
      <c r="A624" s="197">
        <f t="shared" si="31"/>
        <v>46004</v>
      </c>
      <c r="B624" s="167">
        <f>YEAR(Table7[[#This Row],[Date]])+IF(MONTH(Table7[[#This Row],[Date]])&gt;=4,1,0)</f>
        <v>2026</v>
      </c>
      <c r="C624" s="167">
        <f>YEAR(Table7[[#This Row],[Date]])</f>
        <v>2025</v>
      </c>
      <c r="D624" s="168">
        <f t="shared" si="29"/>
        <v>45992</v>
      </c>
      <c r="AE624" s="167">
        <f t="shared" si="30"/>
        <v>0</v>
      </c>
    </row>
    <row r="625" spans="1:31">
      <c r="A625" s="197">
        <f t="shared" si="31"/>
        <v>46005</v>
      </c>
      <c r="B625" s="167">
        <f>YEAR(Table7[[#This Row],[Date]])+IF(MONTH(Table7[[#This Row],[Date]])&gt;=4,1,0)</f>
        <v>2026</v>
      </c>
      <c r="C625" s="167">
        <f>YEAR(Table7[[#This Row],[Date]])</f>
        <v>2025</v>
      </c>
      <c r="D625" s="168">
        <f t="shared" si="29"/>
        <v>45992</v>
      </c>
      <c r="AE625" s="167">
        <f t="shared" si="30"/>
        <v>0</v>
      </c>
    </row>
    <row r="626" spans="1:31">
      <c r="A626" s="197">
        <f t="shared" si="31"/>
        <v>46006</v>
      </c>
      <c r="B626" s="167">
        <f>YEAR(Table7[[#This Row],[Date]])+IF(MONTH(Table7[[#This Row],[Date]])&gt;=4,1,0)</f>
        <v>2026</v>
      </c>
      <c r="C626" s="167">
        <f>YEAR(Table7[[#This Row],[Date]])</f>
        <v>2025</v>
      </c>
      <c r="D626" s="168">
        <f t="shared" si="29"/>
        <v>45992</v>
      </c>
      <c r="AE626" s="167">
        <f t="shared" si="30"/>
        <v>0</v>
      </c>
    </row>
    <row r="627" spans="1:31">
      <c r="A627" s="197">
        <f t="shared" si="31"/>
        <v>46007</v>
      </c>
      <c r="B627" s="167">
        <f>YEAR(Table7[[#This Row],[Date]])+IF(MONTH(Table7[[#This Row],[Date]])&gt;=4,1,0)</f>
        <v>2026</v>
      </c>
      <c r="C627" s="167">
        <f>YEAR(Table7[[#This Row],[Date]])</f>
        <v>2025</v>
      </c>
      <c r="D627" s="168">
        <f t="shared" si="29"/>
        <v>45992</v>
      </c>
      <c r="AE627" s="167">
        <f t="shared" si="30"/>
        <v>0</v>
      </c>
    </row>
    <row r="628" spans="1:31">
      <c r="A628" s="197">
        <f t="shared" si="31"/>
        <v>46008</v>
      </c>
      <c r="B628" s="167">
        <f>YEAR(Table7[[#This Row],[Date]])+IF(MONTH(Table7[[#This Row],[Date]])&gt;=4,1,0)</f>
        <v>2026</v>
      </c>
      <c r="C628" s="167">
        <f>YEAR(Table7[[#This Row],[Date]])</f>
        <v>2025</v>
      </c>
      <c r="D628" s="168">
        <f t="shared" si="29"/>
        <v>45992</v>
      </c>
      <c r="AE628" s="167">
        <f t="shared" si="30"/>
        <v>0</v>
      </c>
    </row>
    <row r="629" spans="1:31">
      <c r="A629" s="197">
        <f t="shared" si="31"/>
        <v>46009</v>
      </c>
      <c r="B629" s="167">
        <f>YEAR(Table7[[#This Row],[Date]])+IF(MONTH(Table7[[#This Row],[Date]])&gt;=4,1,0)</f>
        <v>2026</v>
      </c>
      <c r="C629" s="167">
        <f>YEAR(Table7[[#This Row],[Date]])</f>
        <v>2025</v>
      </c>
      <c r="D629" s="168">
        <f t="shared" si="29"/>
        <v>45992</v>
      </c>
      <c r="AE629" s="167">
        <f t="shared" si="30"/>
        <v>0</v>
      </c>
    </row>
    <row r="630" spans="1:31">
      <c r="A630" s="197">
        <f t="shared" si="31"/>
        <v>46010</v>
      </c>
      <c r="B630" s="167">
        <f>YEAR(Table7[[#This Row],[Date]])+IF(MONTH(Table7[[#This Row],[Date]])&gt;=4,1,0)</f>
        <v>2026</v>
      </c>
      <c r="C630" s="167">
        <f>YEAR(Table7[[#This Row],[Date]])</f>
        <v>2025</v>
      </c>
      <c r="D630" s="168">
        <f t="shared" si="29"/>
        <v>45992</v>
      </c>
      <c r="AE630" s="167">
        <f t="shared" si="30"/>
        <v>0</v>
      </c>
    </row>
    <row r="631" spans="1:31">
      <c r="A631" s="197">
        <f t="shared" si="31"/>
        <v>46011</v>
      </c>
      <c r="B631" s="167">
        <f>YEAR(Table7[[#This Row],[Date]])+IF(MONTH(Table7[[#This Row],[Date]])&gt;=4,1,0)</f>
        <v>2026</v>
      </c>
      <c r="C631" s="167">
        <f>YEAR(Table7[[#This Row],[Date]])</f>
        <v>2025</v>
      </c>
      <c r="D631" s="168">
        <f t="shared" si="29"/>
        <v>45992</v>
      </c>
      <c r="AE631" s="167">
        <f t="shared" si="30"/>
        <v>0</v>
      </c>
    </row>
    <row r="632" spans="1:31">
      <c r="A632" s="197">
        <f t="shared" si="31"/>
        <v>46012</v>
      </c>
      <c r="B632" s="167">
        <f>YEAR(Table7[[#This Row],[Date]])+IF(MONTH(Table7[[#This Row],[Date]])&gt;=4,1,0)</f>
        <v>2026</v>
      </c>
      <c r="C632" s="167">
        <f>YEAR(Table7[[#This Row],[Date]])</f>
        <v>2025</v>
      </c>
      <c r="D632" s="168">
        <f t="shared" si="29"/>
        <v>45992</v>
      </c>
      <c r="AE632" s="167">
        <f t="shared" si="30"/>
        <v>0</v>
      </c>
    </row>
    <row r="633" spans="1:31">
      <c r="A633" s="197">
        <f t="shared" si="31"/>
        <v>46013</v>
      </c>
      <c r="B633" s="167">
        <f>YEAR(Table7[[#This Row],[Date]])+IF(MONTH(Table7[[#This Row],[Date]])&gt;=4,1,0)</f>
        <v>2026</v>
      </c>
      <c r="C633" s="167">
        <f>YEAR(Table7[[#This Row],[Date]])</f>
        <v>2025</v>
      </c>
      <c r="D633" s="168">
        <f t="shared" si="29"/>
        <v>45992</v>
      </c>
      <c r="AE633" s="167">
        <f t="shared" si="30"/>
        <v>0</v>
      </c>
    </row>
    <row r="634" spans="1:31">
      <c r="A634" s="197">
        <f t="shared" si="31"/>
        <v>46014</v>
      </c>
      <c r="B634" s="167">
        <f>YEAR(Table7[[#This Row],[Date]])+IF(MONTH(Table7[[#This Row],[Date]])&gt;=4,1,0)</f>
        <v>2026</v>
      </c>
      <c r="C634" s="167">
        <f>YEAR(Table7[[#This Row],[Date]])</f>
        <v>2025</v>
      </c>
      <c r="D634" s="168">
        <f t="shared" si="29"/>
        <v>45992</v>
      </c>
      <c r="AE634" s="167">
        <f t="shared" si="30"/>
        <v>0</v>
      </c>
    </row>
    <row r="635" spans="1:31">
      <c r="A635" s="197">
        <f t="shared" si="31"/>
        <v>46015</v>
      </c>
      <c r="B635" s="167">
        <f>YEAR(Table7[[#This Row],[Date]])+IF(MONTH(Table7[[#This Row],[Date]])&gt;=4,1,0)</f>
        <v>2026</v>
      </c>
      <c r="C635" s="167">
        <f>YEAR(Table7[[#This Row],[Date]])</f>
        <v>2025</v>
      </c>
      <c r="D635" s="168">
        <f t="shared" si="29"/>
        <v>45992</v>
      </c>
      <c r="AE635" s="167">
        <f t="shared" si="30"/>
        <v>0</v>
      </c>
    </row>
    <row r="636" spans="1:31">
      <c r="A636" s="197">
        <f t="shared" si="31"/>
        <v>46016</v>
      </c>
      <c r="B636" s="167">
        <f>YEAR(Table7[[#This Row],[Date]])+IF(MONTH(Table7[[#This Row],[Date]])&gt;=4,1,0)</f>
        <v>2026</v>
      </c>
      <c r="C636" s="167">
        <f>YEAR(Table7[[#This Row],[Date]])</f>
        <v>2025</v>
      </c>
      <c r="D636" s="168">
        <f t="shared" si="29"/>
        <v>45992</v>
      </c>
      <c r="AE636" s="167">
        <f t="shared" si="30"/>
        <v>0</v>
      </c>
    </row>
    <row r="637" spans="1:31">
      <c r="A637" s="197">
        <f t="shared" si="31"/>
        <v>46017</v>
      </c>
      <c r="B637" s="167">
        <f>YEAR(Table7[[#This Row],[Date]])+IF(MONTH(Table7[[#This Row],[Date]])&gt;=4,1,0)</f>
        <v>2026</v>
      </c>
      <c r="C637" s="167">
        <f>YEAR(Table7[[#This Row],[Date]])</f>
        <v>2025</v>
      </c>
      <c r="D637" s="168">
        <f t="shared" si="29"/>
        <v>45992</v>
      </c>
      <c r="AE637" s="167">
        <f t="shared" si="30"/>
        <v>0</v>
      </c>
    </row>
    <row r="638" spans="1:31">
      <c r="A638" s="197">
        <f t="shared" si="31"/>
        <v>46018</v>
      </c>
      <c r="B638" s="167">
        <f>YEAR(Table7[[#This Row],[Date]])+IF(MONTH(Table7[[#This Row],[Date]])&gt;=4,1,0)</f>
        <v>2026</v>
      </c>
      <c r="C638" s="167">
        <f>YEAR(Table7[[#This Row],[Date]])</f>
        <v>2025</v>
      </c>
      <c r="D638" s="168">
        <f t="shared" si="29"/>
        <v>45992</v>
      </c>
      <c r="AE638" s="167">
        <f t="shared" si="30"/>
        <v>0</v>
      </c>
    </row>
    <row r="639" spans="1:31">
      <c r="A639" s="197">
        <f t="shared" si="31"/>
        <v>46019</v>
      </c>
      <c r="B639" s="167">
        <f>YEAR(Table7[[#This Row],[Date]])+IF(MONTH(Table7[[#This Row],[Date]])&gt;=4,1,0)</f>
        <v>2026</v>
      </c>
      <c r="C639" s="167">
        <f>YEAR(Table7[[#This Row],[Date]])</f>
        <v>2025</v>
      </c>
      <c r="D639" s="168">
        <f t="shared" si="29"/>
        <v>45992</v>
      </c>
      <c r="AE639" s="167">
        <f t="shared" si="30"/>
        <v>0</v>
      </c>
    </row>
    <row r="640" spans="1:31">
      <c r="A640" s="197">
        <f t="shared" si="31"/>
        <v>46020</v>
      </c>
      <c r="B640" s="167">
        <f>YEAR(Table7[[#This Row],[Date]])+IF(MONTH(Table7[[#This Row],[Date]])&gt;=4,1,0)</f>
        <v>2026</v>
      </c>
      <c r="C640" s="167">
        <f>YEAR(Table7[[#This Row],[Date]])</f>
        <v>2025</v>
      </c>
      <c r="D640" s="168">
        <f t="shared" si="29"/>
        <v>45992</v>
      </c>
      <c r="AE640" s="167">
        <f t="shared" si="30"/>
        <v>0</v>
      </c>
    </row>
    <row r="641" spans="1:31">
      <c r="A641" s="197">
        <f t="shared" si="31"/>
        <v>46021</v>
      </c>
      <c r="B641" s="167">
        <f>YEAR(Table7[[#This Row],[Date]])+IF(MONTH(Table7[[#This Row],[Date]])&gt;=4,1,0)</f>
        <v>2026</v>
      </c>
      <c r="C641" s="167">
        <f>YEAR(Table7[[#This Row],[Date]])</f>
        <v>2025</v>
      </c>
      <c r="D641" s="168">
        <f t="shared" si="29"/>
        <v>45992</v>
      </c>
      <c r="AE641" s="167">
        <f t="shared" si="30"/>
        <v>0</v>
      </c>
    </row>
    <row r="642" spans="1:31">
      <c r="A642" s="197">
        <f t="shared" si="31"/>
        <v>46022</v>
      </c>
      <c r="B642" s="167">
        <f>YEAR(Table7[[#This Row],[Date]])+IF(MONTH(Table7[[#This Row],[Date]])&gt;=4,1,0)</f>
        <v>2026</v>
      </c>
      <c r="C642" s="167">
        <f>YEAR(Table7[[#This Row],[Date]])</f>
        <v>2025</v>
      </c>
      <c r="D642" s="168">
        <f t="shared" si="29"/>
        <v>45992</v>
      </c>
      <c r="AE642" s="167">
        <f t="shared" si="30"/>
        <v>0</v>
      </c>
    </row>
    <row r="643" spans="1:31">
      <c r="A643" s="197">
        <f t="shared" si="31"/>
        <v>46023</v>
      </c>
      <c r="B643" s="167">
        <f>YEAR(Table7[[#This Row],[Date]])+IF(MONTH(Table7[[#This Row],[Date]])&gt;=4,1,0)</f>
        <v>2026</v>
      </c>
      <c r="C643" s="167">
        <f>YEAR(Table7[[#This Row],[Date]])</f>
        <v>2026</v>
      </c>
      <c r="D643" s="168">
        <f t="shared" ref="D643:D706" si="32">A643-DAY(A643)+1</f>
        <v>46023</v>
      </c>
      <c r="AE643" s="167">
        <f t="shared" ref="AE643:AE706" si="33">SUM(E643:AD643)</f>
        <v>0</v>
      </c>
    </row>
    <row r="644" spans="1:31">
      <c r="A644" s="197">
        <f t="shared" si="31"/>
        <v>46024</v>
      </c>
      <c r="B644" s="167">
        <f>YEAR(Table7[[#This Row],[Date]])+IF(MONTH(Table7[[#This Row],[Date]])&gt;=4,1,0)</f>
        <v>2026</v>
      </c>
      <c r="C644" s="167">
        <f>YEAR(Table7[[#This Row],[Date]])</f>
        <v>2026</v>
      </c>
      <c r="D644" s="168">
        <f t="shared" si="32"/>
        <v>46023</v>
      </c>
      <c r="AE644" s="167">
        <f t="shared" si="33"/>
        <v>0</v>
      </c>
    </row>
    <row r="645" spans="1:31">
      <c r="A645" s="197">
        <f t="shared" ref="A645:A708" si="34">A644+1</f>
        <v>46025</v>
      </c>
      <c r="B645" s="167">
        <f>YEAR(Table7[[#This Row],[Date]])+IF(MONTH(Table7[[#This Row],[Date]])&gt;=4,1,0)</f>
        <v>2026</v>
      </c>
      <c r="C645" s="167">
        <f>YEAR(Table7[[#This Row],[Date]])</f>
        <v>2026</v>
      </c>
      <c r="D645" s="168">
        <f t="shared" si="32"/>
        <v>46023</v>
      </c>
      <c r="AE645" s="167">
        <f t="shared" si="33"/>
        <v>0</v>
      </c>
    </row>
    <row r="646" spans="1:31">
      <c r="A646" s="197">
        <f t="shared" si="34"/>
        <v>46026</v>
      </c>
      <c r="B646" s="167">
        <f>YEAR(Table7[[#This Row],[Date]])+IF(MONTH(Table7[[#This Row],[Date]])&gt;=4,1,0)</f>
        <v>2026</v>
      </c>
      <c r="C646" s="167">
        <f>YEAR(Table7[[#This Row],[Date]])</f>
        <v>2026</v>
      </c>
      <c r="D646" s="168">
        <f t="shared" si="32"/>
        <v>46023</v>
      </c>
      <c r="AE646" s="167">
        <f t="shared" si="33"/>
        <v>0</v>
      </c>
    </row>
    <row r="647" spans="1:31">
      <c r="A647" s="197">
        <f t="shared" si="34"/>
        <v>46027</v>
      </c>
      <c r="B647" s="167">
        <f>YEAR(Table7[[#This Row],[Date]])+IF(MONTH(Table7[[#This Row],[Date]])&gt;=4,1,0)</f>
        <v>2026</v>
      </c>
      <c r="C647" s="167">
        <f>YEAR(Table7[[#This Row],[Date]])</f>
        <v>2026</v>
      </c>
      <c r="D647" s="168">
        <f t="shared" si="32"/>
        <v>46023</v>
      </c>
      <c r="AE647" s="167">
        <f t="shared" si="33"/>
        <v>0</v>
      </c>
    </row>
    <row r="648" spans="1:31">
      <c r="A648" s="197">
        <f t="shared" si="34"/>
        <v>46028</v>
      </c>
      <c r="B648" s="167">
        <f>YEAR(Table7[[#This Row],[Date]])+IF(MONTH(Table7[[#This Row],[Date]])&gt;=4,1,0)</f>
        <v>2026</v>
      </c>
      <c r="C648" s="167">
        <f>YEAR(Table7[[#This Row],[Date]])</f>
        <v>2026</v>
      </c>
      <c r="D648" s="168">
        <f t="shared" si="32"/>
        <v>46023</v>
      </c>
      <c r="AE648" s="167">
        <f t="shared" si="33"/>
        <v>0</v>
      </c>
    </row>
    <row r="649" spans="1:31">
      <c r="A649" s="197">
        <f t="shared" si="34"/>
        <v>46029</v>
      </c>
      <c r="B649" s="167">
        <f>YEAR(Table7[[#This Row],[Date]])+IF(MONTH(Table7[[#This Row],[Date]])&gt;=4,1,0)</f>
        <v>2026</v>
      </c>
      <c r="C649" s="167">
        <f>YEAR(Table7[[#This Row],[Date]])</f>
        <v>2026</v>
      </c>
      <c r="D649" s="168">
        <f t="shared" si="32"/>
        <v>46023</v>
      </c>
      <c r="AE649" s="167">
        <f t="shared" si="33"/>
        <v>0</v>
      </c>
    </row>
    <row r="650" spans="1:31">
      <c r="A650" s="197">
        <f t="shared" si="34"/>
        <v>46030</v>
      </c>
      <c r="B650" s="167">
        <f>YEAR(Table7[[#This Row],[Date]])+IF(MONTH(Table7[[#This Row],[Date]])&gt;=4,1,0)</f>
        <v>2026</v>
      </c>
      <c r="C650" s="167">
        <f>YEAR(Table7[[#This Row],[Date]])</f>
        <v>2026</v>
      </c>
      <c r="D650" s="168">
        <f t="shared" si="32"/>
        <v>46023</v>
      </c>
      <c r="AE650" s="167">
        <f t="shared" si="33"/>
        <v>0</v>
      </c>
    </row>
    <row r="651" spans="1:31">
      <c r="A651" s="197">
        <f t="shared" si="34"/>
        <v>46031</v>
      </c>
      <c r="B651" s="167">
        <f>YEAR(Table7[[#This Row],[Date]])+IF(MONTH(Table7[[#This Row],[Date]])&gt;=4,1,0)</f>
        <v>2026</v>
      </c>
      <c r="C651" s="167">
        <f>YEAR(Table7[[#This Row],[Date]])</f>
        <v>2026</v>
      </c>
      <c r="D651" s="168">
        <f t="shared" si="32"/>
        <v>46023</v>
      </c>
      <c r="AE651" s="167">
        <f t="shared" si="33"/>
        <v>0</v>
      </c>
    </row>
    <row r="652" spans="1:31">
      <c r="A652" s="197">
        <f t="shared" si="34"/>
        <v>46032</v>
      </c>
      <c r="B652" s="167">
        <f>YEAR(Table7[[#This Row],[Date]])+IF(MONTH(Table7[[#This Row],[Date]])&gt;=4,1,0)</f>
        <v>2026</v>
      </c>
      <c r="C652" s="167">
        <f>YEAR(Table7[[#This Row],[Date]])</f>
        <v>2026</v>
      </c>
      <c r="D652" s="168">
        <f t="shared" si="32"/>
        <v>46023</v>
      </c>
      <c r="AE652" s="167">
        <f t="shared" si="33"/>
        <v>0</v>
      </c>
    </row>
    <row r="653" spans="1:31">
      <c r="A653" s="197">
        <f t="shared" si="34"/>
        <v>46033</v>
      </c>
      <c r="B653" s="167">
        <f>YEAR(Table7[[#This Row],[Date]])+IF(MONTH(Table7[[#This Row],[Date]])&gt;=4,1,0)</f>
        <v>2026</v>
      </c>
      <c r="C653" s="167">
        <f>YEAR(Table7[[#This Row],[Date]])</f>
        <v>2026</v>
      </c>
      <c r="D653" s="168">
        <f t="shared" si="32"/>
        <v>46023</v>
      </c>
      <c r="AE653" s="167">
        <f t="shared" si="33"/>
        <v>0</v>
      </c>
    </row>
    <row r="654" spans="1:31">
      <c r="A654" s="197">
        <f t="shared" si="34"/>
        <v>46034</v>
      </c>
      <c r="B654" s="167">
        <f>YEAR(Table7[[#This Row],[Date]])+IF(MONTH(Table7[[#This Row],[Date]])&gt;=4,1,0)</f>
        <v>2026</v>
      </c>
      <c r="C654" s="167">
        <f>YEAR(Table7[[#This Row],[Date]])</f>
        <v>2026</v>
      </c>
      <c r="D654" s="168">
        <f t="shared" si="32"/>
        <v>46023</v>
      </c>
      <c r="AE654" s="167">
        <f t="shared" si="33"/>
        <v>0</v>
      </c>
    </row>
    <row r="655" spans="1:31">
      <c r="A655" s="197">
        <f t="shared" si="34"/>
        <v>46035</v>
      </c>
      <c r="B655" s="167">
        <f>YEAR(Table7[[#This Row],[Date]])+IF(MONTH(Table7[[#This Row],[Date]])&gt;=4,1,0)</f>
        <v>2026</v>
      </c>
      <c r="C655" s="167">
        <f>YEAR(Table7[[#This Row],[Date]])</f>
        <v>2026</v>
      </c>
      <c r="D655" s="168">
        <f t="shared" si="32"/>
        <v>46023</v>
      </c>
      <c r="AE655" s="167">
        <f t="shared" si="33"/>
        <v>0</v>
      </c>
    </row>
    <row r="656" spans="1:31">
      <c r="A656" s="197">
        <f t="shared" si="34"/>
        <v>46036</v>
      </c>
      <c r="B656" s="167">
        <f>YEAR(Table7[[#This Row],[Date]])+IF(MONTH(Table7[[#This Row],[Date]])&gt;=4,1,0)</f>
        <v>2026</v>
      </c>
      <c r="C656" s="167">
        <f>YEAR(Table7[[#This Row],[Date]])</f>
        <v>2026</v>
      </c>
      <c r="D656" s="168">
        <f t="shared" si="32"/>
        <v>46023</v>
      </c>
      <c r="AE656" s="167">
        <f t="shared" si="33"/>
        <v>0</v>
      </c>
    </row>
    <row r="657" spans="1:31">
      <c r="A657" s="197">
        <f t="shared" si="34"/>
        <v>46037</v>
      </c>
      <c r="B657" s="167">
        <f>YEAR(Table7[[#This Row],[Date]])+IF(MONTH(Table7[[#This Row],[Date]])&gt;=4,1,0)</f>
        <v>2026</v>
      </c>
      <c r="C657" s="167">
        <f>YEAR(Table7[[#This Row],[Date]])</f>
        <v>2026</v>
      </c>
      <c r="D657" s="168">
        <f t="shared" si="32"/>
        <v>46023</v>
      </c>
      <c r="AE657" s="167">
        <f t="shared" si="33"/>
        <v>0</v>
      </c>
    </row>
    <row r="658" spans="1:31">
      <c r="A658" s="197">
        <f t="shared" si="34"/>
        <v>46038</v>
      </c>
      <c r="B658" s="167">
        <f>YEAR(Table7[[#This Row],[Date]])+IF(MONTH(Table7[[#This Row],[Date]])&gt;=4,1,0)</f>
        <v>2026</v>
      </c>
      <c r="C658" s="167">
        <f>YEAR(Table7[[#This Row],[Date]])</f>
        <v>2026</v>
      </c>
      <c r="D658" s="168">
        <f t="shared" si="32"/>
        <v>46023</v>
      </c>
      <c r="AE658" s="167">
        <f t="shared" si="33"/>
        <v>0</v>
      </c>
    </row>
    <row r="659" spans="1:31">
      <c r="A659" s="197">
        <f t="shared" si="34"/>
        <v>46039</v>
      </c>
      <c r="B659" s="167">
        <f>YEAR(Table7[[#This Row],[Date]])+IF(MONTH(Table7[[#This Row],[Date]])&gt;=4,1,0)</f>
        <v>2026</v>
      </c>
      <c r="C659" s="167">
        <f>YEAR(Table7[[#This Row],[Date]])</f>
        <v>2026</v>
      </c>
      <c r="D659" s="168">
        <f t="shared" si="32"/>
        <v>46023</v>
      </c>
      <c r="AE659" s="167">
        <f t="shared" si="33"/>
        <v>0</v>
      </c>
    </row>
    <row r="660" spans="1:31">
      <c r="A660" s="197">
        <f t="shared" si="34"/>
        <v>46040</v>
      </c>
      <c r="B660" s="167">
        <f>YEAR(Table7[[#This Row],[Date]])+IF(MONTH(Table7[[#This Row],[Date]])&gt;=4,1,0)</f>
        <v>2026</v>
      </c>
      <c r="C660" s="167">
        <f>YEAR(Table7[[#This Row],[Date]])</f>
        <v>2026</v>
      </c>
      <c r="D660" s="168">
        <f t="shared" si="32"/>
        <v>46023</v>
      </c>
      <c r="AE660" s="167">
        <f t="shared" si="33"/>
        <v>0</v>
      </c>
    </row>
    <row r="661" spans="1:31">
      <c r="A661" s="197">
        <f t="shared" si="34"/>
        <v>46041</v>
      </c>
      <c r="B661" s="167">
        <f>YEAR(Table7[[#This Row],[Date]])+IF(MONTH(Table7[[#This Row],[Date]])&gt;=4,1,0)</f>
        <v>2026</v>
      </c>
      <c r="C661" s="167">
        <f>YEAR(Table7[[#This Row],[Date]])</f>
        <v>2026</v>
      </c>
      <c r="D661" s="168">
        <f t="shared" si="32"/>
        <v>46023</v>
      </c>
      <c r="AE661" s="167">
        <f t="shared" si="33"/>
        <v>0</v>
      </c>
    </row>
    <row r="662" spans="1:31">
      <c r="A662" s="197">
        <f t="shared" si="34"/>
        <v>46042</v>
      </c>
      <c r="B662" s="167">
        <f>YEAR(Table7[[#This Row],[Date]])+IF(MONTH(Table7[[#This Row],[Date]])&gt;=4,1,0)</f>
        <v>2026</v>
      </c>
      <c r="C662" s="167">
        <f>YEAR(Table7[[#This Row],[Date]])</f>
        <v>2026</v>
      </c>
      <c r="D662" s="168">
        <f t="shared" si="32"/>
        <v>46023</v>
      </c>
      <c r="AE662" s="167">
        <f t="shared" si="33"/>
        <v>0</v>
      </c>
    </row>
    <row r="663" spans="1:31">
      <c r="A663" s="197">
        <f t="shared" si="34"/>
        <v>46043</v>
      </c>
      <c r="B663" s="167">
        <f>YEAR(Table7[[#This Row],[Date]])+IF(MONTH(Table7[[#This Row],[Date]])&gt;=4,1,0)</f>
        <v>2026</v>
      </c>
      <c r="C663" s="167">
        <f>YEAR(Table7[[#This Row],[Date]])</f>
        <v>2026</v>
      </c>
      <c r="D663" s="168">
        <f t="shared" si="32"/>
        <v>46023</v>
      </c>
      <c r="AE663" s="167">
        <f t="shared" si="33"/>
        <v>0</v>
      </c>
    </row>
    <row r="664" spans="1:31">
      <c r="A664" s="197">
        <f t="shared" si="34"/>
        <v>46044</v>
      </c>
      <c r="B664" s="167">
        <f>YEAR(Table7[[#This Row],[Date]])+IF(MONTH(Table7[[#This Row],[Date]])&gt;=4,1,0)</f>
        <v>2026</v>
      </c>
      <c r="C664" s="167">
        <f>YEAR(Table7[[#This Row],[Date]])</f>
        <v>2026</v>
      </c>
      <c r="D664" s="168">
        <f t="shared" si="32"/>
        <v>46023</v>
      </c>
      <c r="AE664" s="167">
        <f t="shared" si="33"/>
        <v>0</v>
      </c>
    </row>
    <row r="665" spans="1:31">
      <c r="A665" s="197">
        <f t="shared" si="34"/>
        <v>46045</v>
      </c>
      <c r="B665" s="167">
        <f>YEAR(Table7[[#This Row],[Date]])+IF(MONTH(Table7[[#This Row],[Date]])&gt;=4,1,0)</f>
        <v>2026</v>
      </c>
      <c r="C665" s="167">
        <f>YEAR(Table7[[#This Row],[Date]])</f>
        <v>2026</v>
      </c>
      <c r="D665" s="168">
        <f t="shared" si="32"/>
        <v>46023</v>
      </c>
      <c r="AE665" s="167">
        <f t="shared" si="33"/>
        <v>0</v>
      </c>
    </row>
    <row r="666" spans="1:31">
      <c r="A666" s="197">
        <f t="shared" si="34"/>
        <v>46046</v>
      </c>
      <c r="B666" s="167">
        <f>YEAR(Table7[[#This Row],[Date]])+IF(MONTH(Table7[[#This Row],[Date]])&gt;=4,1,0)</f>
        <v>2026</v>
      </c>
      <c r="C666" s="167">
        <f>YEAR(Table7[[#This Row],[Date]])</f>
        <v>2026</v>
      </c>
      <c r="D666" s="168">
        <f t="shared" si="32"/>
        <v>46023</v>
      </c>
      <c r="AE666" s="167">
        <f t="shared" si="33"/>
        <v>0</v>
      </c>
    </row>
    <row r="667" spans="1:31">
      <c r="A667" s="197">
        <f t="shared" si="34"/>
        <v>46047</v>
      </c>
      <c r="B667" s="167">
        <f>YEAR(Table7[[#This Row],[Date]])+IF(MONTH(Table7[[#This Row],[Date]])&gt;=4,1,0)</f>
        <v>2026</v>
      </c>
      <c r="C667" s="167">
        <f>YEAR(Table7[[#This Row],[Date]])</f>
        <v>2026</v>
      </c>
      <c r="D667" s="168">
        <f t="shared" si="32"/>
        <v>46023</v>
      </c>
      <c r="AE667" s="167">
        <f t="shared" si="33"/>
        <v>0</v>
      </c>
    </row>
    <row r="668" spans="1:31">
      <c r="A668" s="197">
        <f t="shared" si="34"/>
        <v>46048</v>
      </c>
      <c r="B668" s="167">
        <f>YEAR(Table7[[#This Row],[Date]])+IF(MONTH(Table7[[#This Row],[Date]])&gt;=4,1,0)</f>
        <v>2026</v>
      </c>
      <c r="C668" s="167">
        <f>YEAR(Table7[[#This Row],[Date]])</f>
        <v>2026</v>
      </c>
      <c r="D668" s="168">
        <f t="shared" si="32"/>
        <v>46023</v>
      </c>
      <c r="AE668" s="167">
        <f t="shared" si="33"/>
        <v>0</v>
      </c>
    </row>
    <row r="669" spans="1:31">
      <c r="A669" s="197">
        <f t="shared" si="34"/>
        <v>46049</v>
      </c>
      <c r="B669" s="167">
        <f>YEAR(Table7[[#This Row],[Date]])+IF(MONTH(Table7[[#This Row],[Date]])&gt;=4,1,0)</f>
        <v>2026</v>
      </c>
      <c r="C669" s="167">
        <f>YEAR(Table7[[#This Row],[Date]])</f>
        <v>2026</v>
      </c>
      <c r="D669" s="168">
        <f t="shared" si="32"/>
        <v>46023</v>
      </c>
      <c r="AE669" s="167">
        <f t="shared" si="33"/>
        <v>0</v>
      </c>
    </row>
    <row r="670" spans="1:31">
      <c r="A670" s="197">
        <f t="shared" si="34"/>
        <v>46050</v>
      </c>
      <c r="B670" s="167">
        <f>YEAR(Table7[[#This Row],[Date]])+IF(MONTH(Table7[[#This Row],[Date]])&gt;=4,1,0)</f>
        <v>2026</v>
      </c>
      <c r="C670" s="167">
        <f>YEAR(Table7[[#This Row],[Date]])</f>
        <v>2026</v>
      </c>
      <c r="D670" s="168">
        <f t="shared" si="32"/>
        <v>46023</v>
      </c>
      <c r="AE670" s="167">
        <f t="shared" si="33"/>
        <v>0</v>
      </c>
    </row>
    <row r="671" spans="1:31">
      <c r="A671" s="197">
        <f t="shared" si="34"/>
        <v>46051</v>
      </c>
      <c r="B671" s="167">
        <f>YEAR(Table7[[#This Row],[Date]])+IF(MONTH(Table7[[#This Row],[Date]])&gt;=4,1,0)</f>
        <v>2026</v>
      </c>
      <c r="C671" s="167">
        <f>YEAR(Table7[[#This Row],[Date]])</f>
        <v>2026</v>
      </c>
      <c r="D671" s="168">
        <f t="shared" si="32"/>
        <v>46023</v>
      </c>
      <c r="AE671" s="167">
        <f t="shared" si="33"/>
        <v>0</v>
      </c>
    </row>
    <row r="672" spans="1:31">
      <c r="A672" s="197">
        <f t="shared" si="34"/>
        <v>46052</v>
      </c>
      <c r="B672" s="167">
        <f>YEAR(Table7[[#This Row],[Date]])+IF(MONTH(Table7[[#This Row],[Date]])&gt;=4,1,0)</f>
        <v>2026</v>
      </c>
      <c r="C672" s="167">
        <f>YEAR(Table7[[#This Row],[Date]])</f>
        <v>2026</v>
      </c>
      <c r="D672" s="168">
        <f t="shared" si="32"/>
        <v>46023</v>
      </c>
      <c r="AE672" s="167">
        <f t="shared" si="33"/>
        <v>0</v>
      </c>
    </row>
    <row r="673" spans="1:31">
      <c r="A673" s="197">
        <f t="shared" si="34"/>
        <v>46053</v>
      </c>
      <c r="B673" s="167">
        <f>YEAR(Table7[[#This Row],[Date]])+IF(MONTH(Table7[[#This Row],[Date]])&gt;=4,1,0)</f>
        <v>2026</v>
      </c>
      <c r="C673" s="167">
        <f>YEAR(Table7[[#This Row],[Date]])</f>
        <v>2026</v>
      </c>
      <c r="D673" s="168">
        <f t="shared" si="32"/>
        <v>46023</v>
      </c>
      <c r="AE673" s="167">
        <f t="shared" si="33"/>
        <v>0</v>
      </c>
    </row>
    <row r="674" spans="1:31">
      <c r="A674" s="197">
        <f t="shared" si="34"/>
        <v>46054</v>
      </c>
      <c r="B674" s="167">
        <f>YEAR(Table7[[#This Row],[Date]])+IF(MONTH(Table7[[#This Row],[Date]])&gt;=4,1,0)</f>
        <v>2026</v>
      </c>
      <c r="C674" s="167">
        <f>YEAR(Table7[[#This Row],[Date]])</f>
        <v>2026</v>
      </c>
      <c r="D674" s="168">
        <f t="shared" si="32"/>
        <v>46054</v>
      </c>
      <c r="AE674" s="167">
        <f t="shared" si="33"/>
        <v>0</v>
      </c>
    </row>
    <row r="675" spans="1:31">
      <c r="A675" s="197">
        <f t="shared" si="34"/>
        <v>46055</v>
      </c>
      <c r="B675" s="167">
        <f>YEAR(Table7[[#This Row],[Date]])+IF(MONTH(Table7[[#This Row],[Date]])&gt;=4,1,0)</f>
        <v>2026</v>
      </c>
      <c r="C675" s="167">
        <f>YEAR(Table7[[#This Row],[Date]])</f>
        <v>2026</v>
      </c>
      <c r="D675" s="168">
        <f t="shared" si="32"/>
        <v>46054</v>
      </c>
      <c r="AE675" s="167">
        <f t="shared" si="33"/>
        <v>0</v>
      </c>
    </row>
    <row r="676" spans="1:31">
      <c r="A676" s="197">
        <f t="shared" si="34"/>
        <v>46056</v>
      </c>
      <c r="B676" s="167">
        <f>YEAR(Table7[[#This Row],[Date]])+IF(MONTH(Table7[[#This Row],[Date]])&gt;=4,1,0)</f>
        <v>2026</v>
      </c>
      <c r="C676" s="167">
        <f>YEAR(Table7[[#This Row],[Date]])</f>
        <v>2026</v>
      </c>
      <c r="D676" s="168">
        <f t="shared" si="32"/>
        <v>46054</v>
      </c>
      <c r="AE676" s="167">
        <f t="shared" si="33"/>
        <v>0</v>
      </c>
    </row>
    <row r="677" spans="1:31">
      <c r="A677" s="197">
        <f t="shared" si="34"/>
        <v>46057</v>
      </c>
      <c r="B677" s="167">
        <f>YEAR(Table7[[#This Row],[Date]])+IF(MONTH(Table7[[#This Row],[Date]])&gt;=4,1,0)</f>
        <v>2026</v>
      </c>
      <c r="C677" s="167">
        <f>YEAR(Table7[[#This Row],[Date]])</f>
        <v>2026</v>
      </c>
      <c r="D677" s="168">
        <f t="shared" si="32"/>
        <v>46054</v>
      </c>
      <c r="AE677" s="167">
        <f t="shared" si="33"/>
        <v>0</v>
      </c>
    </row>
    <row r="678" spans="1:31">
      <c r="A678" s="197">
        <f t="shared" si="34"/>
        <v>46058</v>
      </c>
      <c r="B678" s="167">
        <f>YEAR(Table7[[#This Row],[Date]])+IF(MONTH(Table7[[#This Row],[Date]])&gt;=4,1,0)</f>
        <v>2026</v>
      </c>
      <c r="C678" s="167">
        <f>YEAR(Table7[[#This Row],[Date]])</f>
        <v>2026</v>
      </c>
      <c r="D678" s="168">
        <f t="shared" si="32"/>
        <v>46054</v>
      </c>
      <c r="AE678" s="167">
        <f t="shared" si="33"/>
        <v>0</v>
      </c>
    </row>
    <row r="679" spans="1:31">
      <c r="A679" s="197">
        <f t="shared" si="34"/>
        <v>46059</v>
      </c>
      <c r="B679" s="167">
        <f>YEAR(Table7[[#This Row],[Date]])+IF(MONTH(Table7[[#This Row],[Date]])&gt;=4,1,0)</f>
        <v>2026</v>
      </c>
      <c r="C679" s="167">
        <f>YEAR(Table7[[#This Row],[Date]])</f>
        <v>2026</v>
      </c>
      <c r="D679" s="168">
        <f t="shared" si="32"/>
        <v>46054</v>
      </c>
      <c r="AE679" s="167">
        <f t="shared" si="33"/>
        <v>0</v>
      </c>
    </row>
    <row r="680" spans="1:31">
      <c r="A680" s="197">
        <f t="shared" si="34"/>
        <v>46060</v>
      </c>
      <c r="B680" s="167">
        <f>YEAR(Table7[[#This Row],[Date]])+IF(MONTH(Table7[[#This Row],[Date]])&gt;=4,1,0)</f>
        <v>2026</v>
      </c>
      <c r="C680" s="167">
        <f>YEAR(Table7[[#This Row],[Date]])</f>
        <v>2026</v>
      </c>
      <c r="D680" s="168">
        <f t="shared" si="32"/>
        <v>46054</v>
      </c>
      <c r="AE680" s="167">
        <f t="shared" si="33"/>
        <v>0</v>
      </c>
    </row>
    <row r="681" spans="1:31">
      <c r="A681" s="197">
        <f t="shared" si="34"/>
        <v>46061</v>
      </c>
      <c r="B681" s="167">
        <f>YEAR(Table7[[#This Row],[Date]])+IF(MONTH(Table7[[#This Row],[Date]])&gt;=4,1,0)</f>
        <v>2026</v>
      </c>
      <c r="C681" s="167">
        <f>YEAR(Table7[[#This Row],[Date]])</f>
        <v>2026</v>
      </c>
      <c r="D681" s="168">
        <f t="shared" si="32"/>
        <v>46054</v>
      </c>
      <c r="AE681" s="167">
        <f t="shared" si="33"/>
        <v>0</v>
      </c>
    </row>
    <row r="682" spans="1:31">
      <c r="A682" s="197">
        <f t="shared" si="34"/>
        <v>46062</v>
      </c>
      <c r="B682" s="167">
        <f>YEAR(Table7[[#This Row],[Date]])+IF(MONTH(Table7[[#This Row],[Date]])&gt;=4,1,0)</f>
        <v>2026</v>
      </c>
      <c r="C682" s="167">
        <f>YEAR(Table7[[#This Row],[Date]])</f>
        <v>2026</v>
      </c>
      <c r="D682" s="168">
        <f t="shared" si="32"/>
        <v>46054</v>
      </c>
      <c r="AE682" s="167">
        <f t="shared" si="33"/>
        <v>0</v>
      </c>
    </row>
    <row r="683" spans="1:31">
      <c r="A683" s="197">
        <f t="shared" si="34"/>
        <v>46063</v>
      </c>
      <c r="B683" s="167">
        <f>YEAR(Table7[[#This Row],[Date]])+IF(MONTH(Table7[[#This Row],[Date]])&gt;=4,1,0)</f>
        <v>2026</v>
      </c>
      <c r="C683" s="167">
        <f>YEAR(Table7[[#This Row],[Date]])</f>
        <v>2026</v>
      </c>
      <c r="D683" s="168">
        <f t="shared" si="32"/>
        <v>46054</v>
      </c>
      <c r="AE683" s="167">
        <f t="shared" si="33"/>
        <v>0</v>
      </c>
    </row>
    <row r="684" spans="1:31">
      <c r="A684" s="197">
        <f t="shared" si="34"/>
        <v>46064</v>
      </c>
      <c r="B684" s="167">
        <f>YEAR(Table7[[#This Row],[Date]])+IF(MONTH(Table7[[#This Row],[Date]])&gt;=4,1,0)</f>
        <v>2026</v>
      </c>
      <c r="C684" s="167">
        <f>YEAR(Table7[[#This Row],[Date]])</f>
        <v>2026</v>
      </c>
      <c r="D684" s="168">
        <f t="shared" si="32"/>
        <v>46054</v>
      </c>
      <c r="AE684" s="167">
        <f t="shared" si="33"/>
        <v>0</v>
      </c>
    </row>
    <row r="685" spans="1:31">
      <c r="A685" s="197">
        <f t="shared" si="34"/>
        <v>46065</v>
      </c>
      <c r="B685" s="167">
        <f>YEAR(Table7[[#This Row],[Date]])+IF(MONTH(Table7[[#This Row],[Date]])&gt;=4,1,0)</f>
        <v>2026</v>
      </c>
      <c r="C685" s="167">
        <f>YEAR(Table7[[#This Row],[Date]])</f>
        <v>2026</v>
      </c>
      <c r="D685" s="168">
        <f t="shared" si="32"/>
        <v>46054</v>
      </c>
      <c r="AE685" s="167">
        <f t="shared" si="33"/>
        <v>0</v>
      </c>
    </row>
    <row r="686" spans="1:31">
      <c r="A686" s="197">
        <f t="shared" si="34"/>
        <v>46066</v>
      </c>
      <c r="B686" s="167">
        <f>YEAR(Table7[[#This Row],[Date]])+IF(MONTH(Table7[[#This Row],[Date]])&gt;=4,1,0)</f>
        <v>2026</v>
      </c>
      <c r="C686" s="167">
        <f>YEAR(Table7[[#This Row],[Date]])</f>
        <v>2026</v>
      </c>
      <c r="D686" s="168">
        <f t="shared" si="32"/>
        <v>46054</v>
      </c>
      <c r="AE686" s="167">
        <f t="shared" si="33"/>
        <v>0</v>
      </c>
    </row>
    <row r="687" spans="1:31">
      <c r="A687" s="197">
        <f t="shared" si="34"/>
        <v>46067</v>
      </c>
      <c r="B687" s="167">
        <f>YEAR(Table7[[#This Row],[Date]])+IF(MONTH(Table7[[#This Row],[Date]])&gt;=4,1,0)</f>
        <v>2026</v>
      </c>
      <c r="C687" s="167">
        <f>YEAR(Table7[[#This Row],[Date]])</f>
        <v>2026</v>
      </c>
      <c r="D687" s="168">
        <f t="shared" si="32"/>
        <v>46054</v>
      </c>
      <c r="AE687" s="167">
        <f t="shared" si="33"/>
        <v>0</v>
      </c>
    </row>
    <row r="688" spans="1:31">
      <c r="A688" s="197">
        <f t="shared" si="34"/>
        <v>46068</v>
      </c>
      <c r="B688" s="167">
        <f>YEAR(Table7[[#This Row],[Date]])+IF(MONTH(Table7[[#This Row],[Date]])&gt;=4,1,0)</f>
        <v>2026</v>
      </c>
      <c r="C688" s="167">
        <f>YEAR(Table7[[#This Row],[Date]])</f>
        <v>2026</v>
      </c>
      <c r="D688" s="168">
        <f t="shared" si="32"/>
        <v>46054</v>
      </c>
      <c r="AE688" s="167">
        <f t="shared" si="33"/>
        <v>0</v>
      </c>
    </row>
    <row r="689" spans="1:31">
      <c r="A689" s="197">
        <f t="shared" si="34"/>
        <v>46069</v>
      </c>
      <c r="B689" s="167">
        <f>YEAR(Table7[[#This Row],[Date]])+IF(MONTH(Table7[[#This Row],[Date]])&gt;=4,1,0)</f>
        <v>2026</v>
      </c>
      <c r="C689" s="167">
        <f>YEAR(Table7[[#This Row],[Date]])</f>
        <v>2026</v>
      </c>
      <c r="D689" s="168">
        <f t="shared" si="32"/>
        <v>46054</v>
      </c>
      <c r="AE689" s="167">
        <f t="shared" si="33"/>
        <v>0</v>
      </c>
    </row>
    <row r="690" spans="1:31">
      <c r="A690" s="197">
        <f t="shared" si="34"/>
        <v>46070</v>
      </c>
      <c r="B690" s="167">
        <f>YEAR(Table7[[#This Row],[Date]])+IF(MONTH(Table7[[#This Row],[Date]])&gt;=4,1,0)</f>
        <v>2026</v>
      </c>
      <c r="C690" s="167">
        <f>YEAR(Table7[[#This Row],[Date]])</f>
        <v>2026</v>
      </c>
      <c r="D690" s="168">
        <f t="shared" si="32"/>
        <v>46054</v>
      </c>
      <c r="AE690" s="167">
        <f t="shared" si="33"/>
        <v>0</v>
      </c>
    </row>
    <row r="691" spans="1:31">
      <c r="A691" s="197">
        <f t="shared" si="34"/>
        <v>46071</v>
      </c>
      <c r="B691" s="167">
        <f>YEAR(Table7[[#This Row],[Date]])+IF(MONTH(Table7[[#This Row],[Date]])&gt;=4,1,0)</f>
        <v>2026</v>
      </c>
      <c r="C691" s="167">
        <f>YEAR(Table7[[#This Row],[Date]])</f>
        <v>2026</v>
      </c>
      <c r="D691" s="168">
        <f t="shared" si="32"/>
        <v>46054</v>
      </c>
      <c r="AE691" s="167">
        <f t="shared" si="33"/>
        <v>0</v>
      </c>
    </row>
    <row r="692" spans="1:31">
      <c r="A692" s="197">
        <f t="shared" si="34"/>
        <v>46072</v>
      </c>
      <c r="B692" s="167">
        <f>YEAR(Table7[[#This Row],[Date]])+IF(MONTH(Table7[[#This Row],[Date]])&gt;=4,1,0)</f>
        <v>2026</v>
      </c>
      <c r="C692" s="167">
        <f>YEAR(Table7[[#This Row],[Date]])</f>
        <v>2026</v>
      </c>
      <c r="D692" s="168">
        <f t="shared" si="32"/>
        <v>46054</v>
      </c>
      <c r="AE692" s="167">
        <f t="shared" si="33"/>
        <v>0</v>
      </c>
    </row>
    <row r="693" spans="1:31">
      <c r="A693" s="197">
        <f t="shared" si="34"/>
        <v>46073</v>
      </c>
      <c r="B693" s="167">
        <f>YEAR(Table7[[#This Row],[Date]])+IF(MONTH(Table7[[#This Row],[Date]])&gt;=4,1,0)</f>
        <v>2026</v>
      </c>
      <c r="C693" s="167">
        <f>YEAR(Table7[[#This Row],[Date]])</f>
        <v>2026</v>
      </c>
      <c r="D693" s="168">
        <f t="shared" si="32"/>
        <v>46054</v>
      </c>
      <c r="AE693" s="167">
        <f t="shared" si="33"/>
        <v>0</v>
      </c>
    </row>
    <row r="694" spans="1:31">
      <c r="A694" s="197">
        <f t="shared" si="34"/>
        <v>46074</v>
      </c>
      <c r="B694" s="167">
        <f>YEAR(Table7[[#This Row],[Date]])+IF(MONTH(Table7[[#This Row],[Date]])&gt;=4,1,0)</f>
        <v>2026</v>
      </c>
      <c r="C694" s="167">
        <f>YEAR(Table7[[#This Row],[Date]])</f>
        <v>2026</v>
      </c>
      <c r="D694" s="168">
        <f t="shared" si="32"/>
        <v>46054</v>
      </c>
      <c r="AE694" s="167">
        <f t="shared" si="33"/>
        <v>0</v>
      </c>
    </row>
    <row r="695" spans="1:31">
      <c r="A695" s="197">
        <f t="shared" si="34"/>
        <v>46075</v>
      </c>
      <c r="B695" s="167">
        <f>YEAR(Table7[[#This Row],[Date]])+IF(MONTH(Table7[[#This Row],[Date]])&gt;=4,1,0)</f>
        <v>2026</v>
      </c>
      <c r="C695" s="167">
        <f>YEAR(Table7[[#This Row],[Date]])</f>
        <v>2026</v>
      </c>
      <c r="D695" s="168">
        <f t="shared" si="32"/>
        <v>46054</v>
      </c>
      <c r="AE695" s="167">
        <f t="shared" si="33"/>
        <v>0</v>
      </c>
    </row>
    <row r="696" spans="1:31">
      <c r="A696" s="197">
        <f t="shared" si="34"/>
        <v>46076</v>
      </c>
      <c r="B696" s="167">
        <f>YEAR(Table7[[#This Row],[Date]])+IF(MONTH(Table7[[#This Row],[Date]])&gt;=4,1,0)</f>
        <v>2026</v>
      </c>
      <c r="C696" s="167">
        <f>YEAR(Table7[[#This Row],[Date]])</f>
        <v>2026</v>
      </c>
      <c r="D696" s="168">
        <f t="shared" si="32"/>
        <v>46054</v>
      </c>
      <c r="AE696" s="167">
        <f t="shared" si="33"/>
        <v>0</v>
      </c>
    </row>
    <row r="697" spans="1:31">
      <c r="A697" s="197">
        <f t="shared" si="34"/>
        <v>46077</v>
      </c>
      <c r="B697" s="167">
        <f>YEAR(Table7[[#This Row],[Date]])+IF(MONTH(Table7[[#This Row],[Date]])&gt;=4,1,0)</f>
        <v>2026</v>
      </c>
      <c r="C697" s="167">
        <f>YEAR(Table7[[#This Row],[Date]])</f>
        <v>2026</v>
      </c>
      <c r="D697" s="168">
        <f t="shared" si="32"/>
        <v>46054</v>
      </c>
      <c r="AE697" s="167">
        <f t="shared" si="33"/>
        <v>0</v>
      </c>
    </row>
    <row r="698" spans="1:31">
      <c r="A698" s="197">
        <f t="shared" si="34"/>
        <v>46078</v>
      </c>
      <c r="B698" s="167">
        <f>YEAR(Table7[[#This Row],[Date]])+IF(MONTH(Table7[[#This Row],[Date]])&gt;=4,1,0)</f>
        <v>2026</v>
      </c>
      <c r="C698" s="167">
        <f>YEAR(Table7[[#This Row],[Date]])</f>
        <v>2026</v>
      </c>
      <c r="D698" s="168">
        <f t="shared" si="32"/>
        <v>46054</v>
      </c>
      <c r="AE698" s="167">
        <f t="shared" si="33"/>
        <v>0</v>
      </c>
    </row>
    <row r="699" spans="1:31">
      <c r="A699" s="197">
        <f t="shared" si="34"/>
        <v>46079</v>
      </c>
      <c r="B699" s="167">
        <f>YEAR(Table7[[#This Row],[Date]])+IF(MONTH(Table7[[#This Row],[Date]])&gt;=4,1,0)</f>
        <v>2026</v>
      </c>
      <c r="C699" s="167">
        <f>YEAR(Table7[[#This Row],[Date]])</f>
        <v>2026</v>
      </c>
      <c r="D699" s="168">
        <f t="shared" si="32"/>
        <v>46054</v>
      </c>
      <c r="AE699" s="167">
        <f t="shared" si="33"/>
        <v>0</v>
      </c>
    </row>
    <row r="700" spans="1:31">
      <c r="A700" s="197">
        <f t="shared" si="34"/>
        <v>46080</v>
      </c>
      <c r="B700" s="167">
        <f>YEAR(Table7[[#This Row],[Date]])+IF(MONTH(Table7[[#This Row],[Date]])&gt;=4,1,0)</f>
        <v>2026</v>
      </c>
      <c r="C700" s="167">
        <f>YEAR(Table7[[#This Row],[Date]])</f>
        <v>2026</v>
      </c>
      <c r="D700" s="168">
        <f t="shared" si="32"/>
        <v>46054</v>
      </c>
      <c r="AE700" s="167">
        <f t="shared" si="33"/>
        <v>0</v>
      </c>
    </row>
    <row r="701" spans="1:31">
      <c r="A701" s="197">
        <f t="shared" si="34"/>
        <v>46081</v>
      </c>
      <c r="B701" s="167">
        <f>YEAR(Table7[[#This Row],[Date]])+IF(MONTH(Table7[[#This Row],[Date]])&gt;=4,1,0)</f>
        <v>2026</v>
      </c>
      <c r="C701" s="167">
        <f>YEAR(Table7[[#This Row],[Date]])</f>
        <v>2026</v>
      </c>
      <c r="D701" s="168">
        <f t="shared" si="32"/>
        <v>46054</v>
      </c>
      <c r="AE701" s="167">
        <f t="shared" si="33"/>
        <v>0</v>
      </c>
    </row>
    <row r="702" spans="1:31">
      <c r="A702" s="197">
        <f t="shared" si="34"/>
        <v>46082</v>
      </c>
      <c r="B702" s="167">
        <f>YEAR(Table7[[#This Row],[Date]])+IF(MONTH(Table7[[#This Row],[Date]])&gt;=4,1,0)</f>
        <v>2026</v>
      </c>
      <c r="C702" s="167">
        <f>YEAR(Table7[[#This Row],[Date]])</f>
        <v>2026</v>
      </c>
      <c r="D702" s="168">
        <f t="shared" si="32"/>
        <v>46082</v>
      </c>
      <c r="AE702" s="167">
        <f t="shared" si="33"/>
        <v>0</v>
      </c>
    </row>
    <row r="703" spans="1:31">
      <c r="A703" s="197">
        <f t="shared" si="34"/>
        <v>46083</v>
      </c>
      <c r="B703" s="167">
        <f>YEAR(Table7[[#This Row],[Date]])+IF(MONTH(Table7[[#This Row],[Date]])&gt;=4,1,0)</f>
        <v>2026</v>
      </c>
      <c r="C703" s="167">
        <f>YEAR(Table7[[#This Row],[Date]])</f>
        <v>2026</v>
      </c>
      <c r="D703" s="168">
        <f t="shared" si="32"/>
        <v>46082</v>
      </c>
      <c r="AE703" s="167">
        <f t="shared" si="33"/>
        <v>0</v>
      </c>
    </row>
    <row r="704" spans="1:31">
      <c r="A704" s="197">
        <f t="shared" si="34"/>
        <v>46084</v>
      </c>
      <c r="B704" s="167">
        <f>YEAR(Table7[[#This Row],[Date]])+IF(MONTH(Table7[[#This Row],[Date]])&gt;=4,1,0)</f>
        <v>2026</v>
      </c>
      <c r="C704" s="167">
        <f>YEAR(Table7[[#This Row],[Date]])</f>
        <v>2026</v>
      </c>
      <c r="D704" s="168">
        <f t="shared" si="32"/>
        <v>46082</v>
      </c>
      <c r="AE704" s="167">
        <f t="shared" si="33"/>
        <v>0</v>
      </c>
    </row>
    <row r="705" spans="1:31">
      <c r="A705" s="197">
        <f t="shared" si="34"/>
        <v>46085</v>
      </c>
      <c r="B705" s="167">
        <f>YEAR(Table7[[#This Row],[Date]])+IF(MONTH(Table7[[#This Row],[Date]])&gt;=4,1,0)</f>
        <v>2026</v>
      </c>
      <c r="C705" s="167">
        <f>YEAR(Table7[[#This Row],[Date]])</f>
        <v>2026</v>
      </c>
      <c r="D705" s="168">
        <f t="shared" si="32"/>
        <v>46082</v>
      </c>
      <c r="AE705" s="167">
        <f t="shared" si="33"/>
        <v>0</v>
      </c>
    </row>
    <row r="706" spans="1:31">
      <c r="A706" s="197">
        <f t="shared" si="34"/>
        <v>46086</v>
      </c>
      <c r="B706" s="167">
        <f>YEAR(Table7[[#This Row],[Date]])+IF(MONTH(Table7[[#This Row],[Date]])&gt;=4,1,0)</f>
        <v>2026</v>
      </c>
      <c r="C706" s="167">
        <f>YEAR(Table7[[#This Row],[Date]])</f>
        <v>2026</v>
      </c>
      <c r="D706" s="168">
        <f t="shared" si="32"/>
        <v>46082</v>
      </c>
      <c r="AE706" s="167">
        <f t="shared" si="33"/>
        <v>0</v>
      </c>
    </row>
    <row r="707" spans="1:31">
      <c r="A707" s="197">
        <f t="shared" si="34"/>
        <v>46087</v>
      </c>
      <c r="B707" s="167">
        <f>YEAR(Table7[[#This Row],[Date]])+IF(MONTH(Table7[[#This Row],[Date]])&gt;=4,1,0)</f>
        <v>2026</v>
      </c>
      <c r="C707" s="167">
        <f>YEAR(Table7[[#This Row],[Date]])</f>
        <v>2026</v>
      </c>
      <c r="D707" s="168">
        <f t="shared" ref="D707:D770" si="35">A707-DAY(A707)+1</f>
        <v>46082</v>
      </c>
      <c r="AE707" s="167">
        <f t="shared" ref="AE707:AE770" si="36">SUM(E707:AD707)</f>
        <v>0</v>
      </c>
    </row>
    <row r="708" spans="1:31">
      <c r="A708" s="197">
        <f t="shared" si="34"/>
        <v>46088</v>
      </c>
      <c r="B708" s="167">
        <f>YEAR(Table7[[#This Row],[Date]])+IF(MONTH(Table7[[#This Row],[Date]])&gt;=4,1,0)</f>
        <v>2026</v>
      </c>
      <c r="C708" s="167">
        <f>YEAR(Table7[[#This Row],[Date]])</f>
        <v>2026</v>
      </c>
      <c r="D708" s="168">
        <f t="shared" si="35"/>
        <v>46082</v>
      </c>
      <c r="AE708" s="167">
        <f t="shared" si="36"/>
        <v>0</v>
      </c>
    </row>
    <row r="709" spans="1:31">
      <c r="A709" s="197">
        <f t="shared" ref="A709:A772" si="37">A708+1</f>
        <v>46089</v>
      </c>
      <c r="B709" s="167">
        <f>YEAR(Table7[[#This Row],[Date]])+IF(MONTH(Table7[[#This Row],[Date]])&gt;=4,1,0)</f>
        <v>2026</v>
      </c>
      <c r="C709" s="167">
        <f>YEAR(Table7[[#This Row],[Date]])</f>
        <v>2026</v>
      </c>
      <c r="D709" s="168">
        <f t="shared" si="35"/>
        <v>46082</v>
      </c>
      <c r="AE709" s="167">
        <f t="shared" si="36"/>
        <v>0</v>
      </c>
    </row>
    <row r="710" spans="1:31">
      <c r="A710" s="197">
        <f t="shared" si="37"/>
        <v>46090</v>
      </c>
      <c r="B710" s="167">
        <f>YEAR(Table7[[#This Row],[Date]])+IF(MONTH(Table7[[#This Row],[Date]])&gt;=4,1,0)</f>
        <v>2026</v>
      </c>
      <c r="C710" s="167">
        <f>YEAR(Table7[[#This Row],[Date]])</f>
        <v>2026</v>
      </c>
      <c r="D710" s="168">
        <f t="shared" si="35"/>
        <v>46082</v>
      </c>
      <c r="AE710" s="167">
        <f t="shared" si="36"/>
        <v>0</v>
      </c>
    </row>
    <row r="711" spans="1:31">
      <c r="A711" s="197">
        <f t="shared" si="37"/>
        <v>46091</v>
      </c>
      <c r="B711" s="167">
        <f>YEAR(Table7[[#This Row],[Date]])+IF(MONTH(Table7[[#This Row],[Date]])&gt;=4,1,0)</f>
        <v>2026</v>
      </c>
      <c r="C711" s="167">
        <f>YEAR(Table7[[#This Row],[Date]])</f>
        <v>2026</v>
      </c>
      <c r="D711" s="168">
        <f t="shared" si="35"/>
        <v>46082</v>
      </c>
      <c r="AE711" s="167">
        <f t="shared" si="36"/>
        <v>0</v>
      </c>
    </row>
    <row r="712" spans="1:31">
      <c r="A712" s="197">
        <f t="shared" si="37"/>
        <v>46092</v>
      </c>
      <c r="B712" s="167">
        <f>YEAR(Table7[[#This Row],[Date]])+IF(MONTH(Table7[[#This Row],[Date]])&gt;=4,1,0)</f>
        <v>2026</v>
      </c>
      <c r="C712" s="167">
        <f>YEAR(Table7[[#This Row],[Date]])</f>
        <v>2026</v>
      </c>
      <c r="D712" s="168">
        <f t="shared" si="35"/>
        <v>46082</v>
      </c>
      <c r="AE712" s="167">
        <f t="shared" si="36"/>
        <v>0</v>
      </c>
    </row>
    <row r="713" spans="1:31">
      <c r="A713" s="197">
        <f t="shared" si="37"/>
        <v>46093</v>
      </c>
      <c r="B713" s="167">
        <f>YEAR(Table7[[#This Row],[Date]])+IF(MONTH(Table7[[#This Row],[Date]])&gt;=4,1,0)</f>
        <v>2026</v>
      </c>
      <c r="C713" s="167">
        <f>YEAR(Table7[[#This Row],[Date]])</f>
        <v>2026</v>
      </c>
      <c r="D713" s="168">
        <f t="shared" si="35"/>
        <v>46082</v>
      </c>
      <c r="AE713" s="167">
        <f t="shared" si="36"/>
        <v>0</v>
      </c>
    </row>
    <row r="714" spans="1:31">
      <c r="A714" s="197">
        <f t="shared" si="37"/>
        <v>46094</v>
      </c>
      <c r="B714" s="167">
        <f>YEAR(Table7[[#This Row],[Date]])+IF(MONTH(Table7[[#This Row],[Date]])&gt;=4,1,0)</f>
        <v>2026</v>
      </c>
      <c r="C714" s="167">
        <f>YEAR(Table7[[#This Row],[Date]])</f>
        <v>2026</v>
      </c>
      <c r="D714" s="168">
        <f t="shared" si="35"/>
        <v>46082</v>
      </c>
      <c r="AE714" s="167">
        <f t="shared" si="36"/>
        <v>0</v>
      </c>
    </row>
    <row r="715" spans="1:31">
      <c r="A715" s="197">
        <f t="shared" si="37"/>
        <v>46095</v>
      </c>
      <c r="B715" s="167">
        <f>YEAR(Table7[[#This Row],[Date]])+IF(MONTH(Table7[[#This Row],[Date]])&gt;=4,1,0)</f>
        <v>2026</v>
      </c>
      <c r="C715" s="167">
        <f>YEAR(Table7[[#This Row],[Date]])</f>
        <v>2026</v>
      </c>
      <c r="D715" s="168">
        <f t="shared" si="35"/>
        <v>46082</v>
      </c>
      <c r="AE715" s="167">
        <f t="shared" si="36"/>
        <v>0</v>
      </c>
    </row>
    <row r="716" spans="1:31">
      <c r="A716" s="197">
        <f t="shared" si="37"/>
        <v>46096</v>
      </c>
      <c r="B716" s="167">
        <f>YEAR(Table7[[#This Row],[Date]])+IF(MONTH(Table7[[#This Row],[Date]])&gt;=4,1,0)</f>
        <v>2026</v>
      </c>
      <c r="C716" s="167">
        <f>YEAR(Table7[[#This Row],[Date]])</f>
        <v>2026</v>
      </c>
      <c r="D716" s="168">
        <f t="shared" si="35"/>
        <v>46082</v>
      </c>
      <c r="AE716" s="167">
        <f t="shared" si="36"/>
        <v>0</v>
      </c>
    </row>
    <row r="717" spans="1:31">
      <c r="A717" s="197">
        <f t="shared" si="37"/>
        <v>46097</v>
      </c>
      <c r="B717" s="167">
        <f>YEAR(Table7[[#This Row],[Date]])+IF(MONTH(Table7[[#This Row],[Date]])&gt;=4,1,0)</f>
        <v>2026</v>
      </c>
      <c r="C717" s="167">
        <f>YEAR(Table7[[#This Row],[Date]])</f>
        <v>2026</v>
      </c>
      <c r="D717" s="168">
        <f t="shared" si="35"/>
        <v>46082</v>
      </c>
      <c r="AE717" s="167">
        <f t="shared" si="36"/>
        <v>0</v>
      </c>
    </row>
    <row r="718" spans="1:31">
      <c r="A718" s="197">
        <f t="shared" si="37"/>
        <v>46098</v>
      </c>
      <c r="B718" s="167">
        <f>YEAR(Table7[[#This Row],[Date]])+IF(MONTH(Table7[[#This Row],[Date]])&gt;=4,1,0)</f>
        <v>2026</v>
      </c>
      <c r="C718" s="167">
        <f>YEAR(Table7[[#This Row],[Date]])</f>
        <v>2026</v>
      </c>
      <c r="D718" s="168">
        <f t="shared" si="35"/>
        <v>46082</v>
      </c>
      <c r="AE718" s="167">
        <f t="shared" si="36"/>
        <v>0</v>
      </c>
    </row>
    <row r="719" spans="1:31">
      <c r="A719" s="197">
        <f t="shared" si="37"/>
        <v>46099</v>
      </c>
      <c r="B719" s="167">
        <f>YEAR(Table7[[#This Row],[Date]])+IF(MONTH(Table7[[#This Row],[Date]])&gt;=4,1,0)</f>
        <v>2026</v>
      </c>
      <c r="C719" s="167">
        <f>YEAR(Table7[[#This Row],[Date]])</f>
        <v>2026</v>
      </c>
      <c r="D719" s="168">
        <f t="shared" si="35"/>
        <v>46082</v>
      </c>
      <c r="AE719" s="167">
        <f t="shared" si="36"/>
        <v>0</v>
      </c>
    </row>
    <row r="720" spans="1:31">
      <c r="A720" s="197">
        <f t="shared" si="37"/>
        <v>46100</v>
      </c>
      <c r="B720" s="167">
        <f>YEAR(Table7[[#This Row],[Date]])+IF(MONTH(Table7[[#This Row],[Date]])&gt;=4,1,0)</f>
        <v>2026</v>
      </c>
      <c r="C720" s="167">
        <f>YEAR(Table7[[#This Row],[Date]])</f>
        <v>2026</v>
      </c>
      <c r="D720" s="168">
        <f t="shared" si="35"/>
        <v>46082</v>
      </c>
      <c r="AE720" s="167">
        <f t="shared" si="36"/>
        <v>0</v>
      </c>
    </row>
    <row r="721" spans="1:31">
      <c r="A721" s="197">
        <f t="shared" si="37"/>
        <v>46101</v>
      </c>
      <c r="B721" s="167">
        <f>YEAR(Table7[[#This Row],[Date]])+IF(MONTH(Table7[[#This Row],[Date]])&gt;=4,1,0)</f>
        <v>2026</v>
      </c>
      <c r="C721" s="167">
        <f>YEAR(Table7[[#This Row],[Date]])</f>
        <v>2026</v>
      </c>
      <c r="D721" s="168">
        <f t="shared" si="35"/>
        <v>46082</v>
      </c>
      <c r="AE721" s="167">
        <f t="shared" si="36"/>
        <v>0</v>
      </c>
    </row>
    <row r="722" spans="1:31">
      <c r="A722" s="197">
        <f t="shared" si="37"/>
        <v>46102</v>
      </c>
      <c r="B722" s="167">
        <f>YEAR(Table7[[#This Row],[Date]])+IF(MONTH(Table7[[#This Row],[Date]])&gt;=4,1,0)</f>
        <v>2026</v>
      </c>
      <c r="C722" s="167">
        <f>YEAR(Table7[[#This Row],[Date]])</f>
        <v>2026</v>
      </c>
      <c r="D722" s="168">
        <f t="shared" si="35"/>
        <v>46082</v>
      </c>
      <c r="AE722" s="167">
        <f t="shared" si="36"/>
        <v>0</v>
      </c>
    </row>
    <row r="723" spans="1:31">
      <c r="A723" s="197">
        <f t="shared" si="37"/>
        <v>46103</v>
      </c>
      <c r="B723" s="167">
        <f>YEAR(Table7[[#This Row],[Date]])+IF(MONTH(Table7[[#This Row],[Date]])&gt;=4,1,0)</f>
        <v>2026</v>
      </c>
      <c r="C723" s="167">
        <f>YEAR(Table7[[#This Row],[Date]])</f>
        <v>2026</v>
      </c>
      <c r="D723" s="168">
        <f t="shared" si="35"/>
        <v>46082</v>
      </c>
      <c r="AE723" s="167">
        <f t="shared" si="36"/>
        <v>0</v>
      </c>
    </row>
    <row r="724" spans="1:31">
      <c r="A724" s="197">
        <f t="shared" si="37"/>
        <v>46104</v>
      </c>
      <c r="B724" s="167">
        <f>YEAR(Table7[[#This Row],[Date]])+IF(MONTH(Table7[[#This Row],[Date]])&gt;=4,1,0)</f>
        <v>2026</v>
      </c>
      <c r="C724" s="167">
        <f>YEAR(Table7[[#This Row],[Date]])</f>
        <v>2026</v>
      </c>
      <c r="D724" s="168">
        <f t="shared" si="35"/>
        <v>46082</v>
      </c>
      <c r="AE724" s="167">
        <f t="shared" si="36"/>
        <v>0</v>
      </c>
    </row>
    <row r="725" spans="1:31">
      <c r="A725" s="197">
        <f t="shared" si="37"/>
        <v>46105</v>
      </c>
      <c r="B725" s="167">
        <f>YEAR(Table7[[#This Row],[Date]])+IF(MONTH(Table7[[#This Row],[Date]])&gt;=4,1,0)</f>
        <v>2026</v>
      </c>
      <c r="C725" s="167">
        <f>YEAR(Table7[[#This Row],[Date]])</f>
        <v>2026</v>
      </c>
      <c r="D725" s="168">
        <f t="shared" si="35"/>
        <v>46082</v>
      </c>
      <c r="AE725" s="167">
        <f t="shared" si="36"/>
        <v>0</v>
      </c>
    </row>
    <row r="726" spans="1:31">
      <c r="A726" s="197">
        <f t="shared" si="37"/>
        <v>46106</v>
      </c>
      <c r="B726" s="167">
        <f>YEAR(Table7[[#This Row],[Date]])+IF(MONTH(Table7[[#This Row],[Date]])&gt;=4,1,0)</f>
        <v>2026</v>
      </c>
      <c r="C726" s="167">
        <f>YEAR(Table7[[#This Row],[Date]])</f>
        <v>2026</v>
      </c>
      <c r="D726" s="168">
        <f t="shared" si="35"/>
        <v>46082</v>
      </c>
      <c r="AE726" s="167">
        <f t="shared" si="36"/>
        <v>0</v>
      </c>
    </row>
    <row r="727" spans="1:31">
      <c r="A727" s="197">
        <f t="shared" si="37"/>
        <v>46107</v>
      </c>
      <c r="B727" s="167">
        <f>YEAR(Table7[[#This Row],[Date]])+IF(MONTH(Table7[[#This Row],[Date]])&gt;=4,1,0)</f>
        <v>2026</v>
      </c>
      <c r="C727" s="167">
        <f>YEAR(Table7[[#This Row],[Date]])</f>
        <v>2026</v>
      </c>
      <c r="D727" s="168">
        <f t="shared" si="35"/>
        <v>46082</v>
      </c>
      <c r="AE727" s="167">
        <f t="shared" si="36"/>
        <v>0</v>
      </c>
    </row>
    <row r="728" spans="1:31">
      <c r="A728" s="197">
        <f t="shared" si="37"/>
        <v>46108</v>
      </c>
      <c r="B728" s="167">
        <f>YEAR(Table7[[#This Row],[Date]])+IF(MONTH(Table7[[#This Row],[Date]])&gt;=4,1,0)</f>
        <v>2026</v>
      </c>
      <c r="C728" s="167">
        <f>YEAR(Table7[[#This Row],[Date]])</f>
        <v>2026</v>
      </c>
      <c r="D728" s="168">
        <f t="shared" si="35"/>
        <v>46082</v>
      </c>
      <c r="AE728" s="167">
        <f t="shared" si="36"/>
        <v>0</v>
      </c>
    </row>
    <row r="729" spans="1:31">
      <c r="A729" s="197">
        <f t="shared" si="37"/>
        <v>46109</v>
      </c>
      <c r="B729" s="167">
        <f>YEAR(Table7[[#This Row],[Date]])+IF(MONTH(Table7[[#This Row],[Date]])&gt;=4,1,0)</f>
        <v>2026</v>
      </c>
      <c r="C729" s="167">
        <f>YEAR(Table7[[#This Row],[Date]])</f>
        <v>2026</v>
      </c>
      <c r="D729" s="168">
        <f t="shared" si="35"/>
        <v>46082</v>
      </c>
      <c r="AE729" s="167">
        <f t="shared" si="36"/>
        <v>0</v>
      </c>
    </row>
    <row r="730" spans="1:31">
      <c r="A730" s="197">
        <f t="shared" si="37"/>
        <v>46110</v>
      </c>
      <c r="B730" s="167">
        <f>YEAR(Table7[[#This Row],[Date]])+IF(MONTH(Table7[[#This Row],[Date]])&gt;=4,1,0)</f>
        <v>2026</v>
      </c>
      <c r="C730" s="167">
        <f>YEAR(Table7[[#This Row],[Date]])</f>
        <v>2026</v>
      </c>
      <c r="D730" s="168">
        <f t="shared" si="35"/>
        <v>46082</v>
      </c>
      <c r="AE730" s="167">
        <f t="shared" si="36"/>
        <v>0</v>
      </c>
    </row>
    <row r="731" spans="1:31">
      <c r="A731" s="197">
        <f t="shared" si="37"/>
        <v>46111</v>
      </c>
      <c r="B731" s="167">
        <f>YEAR(Table7[[#This Row],[Date]])+IF(MONTH(Table7[[#This Row],[Date]])&gt;=4,1,0)</f>
        <v>2026</v>
      </c>
      <c r="C731" s="167">
        <f>YEAR(Table7[[#This Row],[Date]])</f>
        <v>2026</v>
      </c>
      <c r="D731" s="168">
        <f t="shared" si="35"/>
        <v>46082</v>
      </c>
      <c r="AE731" s="167">
        <f t="shared" si="36"/>
        <v>0</v>
      </c>
    </row>
    <row r="732" spans="1:31">
      <c r="A732" s="197">
        <f t="shared" si="37"/>
        <v>46112</v>
      </c>
      <c r="B732" s="167">
        <f>YEAR(Table7[[#This Row],[Date]])+IF(MONTH(Table7[[#This Row],[Date]])&gt;=4,1,0)</f>
        <v>2026</v>
      </c>
      <c r="C732" s="167">
        <f>YEAR(Table7[[#This Row],[Date]])</f>
        <v>2026</v>
      </c>
      <c r="D732" s="168">
        <f t="shared" si="35"/>
        <v>46082</v>
      </c>
      <c r="AE732" s="167">
        <f t="shared" si="36"/>
        <v>0</v>
      </c>
    </row>
    <row r="733" spans="1:31">
      <c r="A733" s="197">
        <f t="shared" si="37"/>
        <v>46113</v>
      </c>
      <c r="B733" s="167">
        <f>YEAR(Table7[[#This Row],[Date]])+IF(MONTH(Table7[[#This Row],[Date]])&gt;=4,1,0)</f>
        <v>2027</v>
      </c>
      <c r="C733" s="167">
        <f>YEAR(Table7[[#This Row],[Date]])</f>
        <v>2026</v>
      </c>
      <c r="D733" s="168">
        <f t="shared" si="35"/>
        <v>46113</v>
      </c>
      <c r="AE733" s="167">
        <f t="shared" si="36"/>
        <v>0</v>
      </c>
    </row>
    <row r="734" spans="1:31">
      <c r="A734" s="197">
        <f t="shared" si="37"/>
        <v>46114</v>
      </c>
      <c r="B734" s="167">
        <f>YEAR(Table7[[#This Row],[Date]])+IF(MONTH(Table7[[#This Row],[Date]])&gt;=4,1,0)</f>
        <v>2027</v>
      </c>
      <c r="C734" s="167">
        <f>YEAR(Table7[[#This Row],[Date]])</f>
        <v>2026</v>
      </c>
      <c r="D734" s="168">
        <f t="shared" si="35"/>
        <v>46113</v>
      </c>
      <c r="AE734" s="167">
        <f t="shared" si="36"/>
        <v>0</v>
      </c>
    </row>
    <row r="735" spans="1:31">
      <c r="A735" s="197">
        <f t="shared" si="37"/>
        <v>46115</v>
      </c>
      <c r="B735" s="167">
        <f>YEAR(Table7[[#This Row],[Date]])+IF(MONTH(Table7[[#This Row],[Date]])&gt;=4,1,0)</f>
        <v>2027</v>
      </c>
      <c r="C735" s="167">
        <f>YEAR(Table7[[#This Row],[Date]])</f>
        <v>2026</v>
      </c>
      <c r="D735" s="168">
        <f t="shared" si="35"/>
        <v>46113</v>
      </c>
      <c r="AE735" s="167">
        <f t="shared" si="36"/>
        <v>0</v>
      </c>
    </row>
    <row r="736" spans="1:31">
      <c r="A736" s="197">
        <f t="shared" si="37"/>
        <v>46116</v>
      </c>
      <c r="B736" s="167">
        <f>YEAR(Table7[[#This Row],[Date]])+IF(MONTH(Table7[[#This Row],[Date]])&gt;=4,1,0)</f>
        <v>2027</v>
      </c>
      <c r="C736" s="167">
        <f>YEAR(Table7[[#This Row],[Date]])</f>
        <v>2026</v>
      </c>
      <c r="D736" s="168">
        <f t="shared" si="35"/>
        <v>46113</v>
      </c>
      <c r="AE736" s="167">
        <f t="shared" si="36"/>
        <v>0</v>
      </c>
    </row>
    <row r="737" spans="1:31">
      <c r="A737" s="197">
        <f t="shared" si="37"/>
        <v>46117</v>
      </c>
      <c r="B737" s="167">
        <f>YEAR(Table7[[#This Row],[Date]])+IF(MONTH(Table7[[#This Row],[Date]])&gt;=4,1,0)</f>
        <v>2027</v>
      </c>
      <c r="C737" s="167">
        <f>YEAR(Table7[[#This Row],[Date]])</f>
        <v>2026</v>
      </c>
      <c r="D737" s="168">
        <f t="shared" si="35"/>
        <v>46113</v>
      </c>
      <c r="AE737" s="167">
        <f t="shared" si="36"/>
        <v>0</v>
      </c>
    </row>
    <row r="738" spans="1:31">
      <c r="A738" s="197">
        <f t="shared" si="37"/>
        <v>46118</v>
      </c>
      <c r="B738" s="167">
        <f>YEAR(Table7[[#This Row],[Date]])+IF(MONTH(Table7[[#This Row],[Date]])&gt;=4,1,0)</f>
        <v>2027</v>
      </c>
      <c r="C738" s="167">
        <f>YEAR(Table7[[#This Row],[Date]])</f>
        <v>2026</v>
      </c>
      <c r="D738" s="168">
        <f t="shared" si="35"/>
        <v>46113</v>
      </c>
      <c r="AE738" s="167">
        <f t="shared" si="36"/>
        <v>0</v>
      </c>
    </row>
    <row r="739" spans="1:31">
      <c r="A739" s="197">
        <f t="shared" si="37"/>
        <v>46119</v>
      </c>
      <c r="B739" s="167">
        <f>YEAR(Table7[[#This Row],[Date]])+IF(MONTH(Table7[[#This Row],[Date]])&gt;=4,1,0)</f>
        <v>2027</v>
      </c>
      <c r="C739" s="167">
        <f>YEAR(Table7[[#This Row],[Date]])</f>
        <v>2026</v>
      </c>
      <c r="D739" s="168">
        <f t="shared" si="35"/>
        <v>46113</v>
      </c>
      <c r="AE739" s="167">
        <f t="shared" si="36"/>
        <v>0</v>
      </c>
    </row>
    <row r="740" spans="1:31">
      <c r="A740" s="197">
        <f t="shared" si="37"/>
        <v>46120</v>
      </c>
      <c r="B740" s="167">
        <f>YEAR(Table7[[#This Row],[Date]])+IF(MONTH(Table7[[#This Row],[Date]])&gt;=4,1,0)</f>
        <v>2027</v>
      </c>
      <c r="C740" s="167">
        <f>YEAR(Table7[[#This Row],[Date]])</f>
        <v>2026</v>
      </c>
      <c r="D740" s="168">
        <f t="shared" si="35"/>
        <v>46113</v>
      </c>
      <c r="AE740" s="167">
        <f t="shared" si="36"/>
        <v>0</v>
      </c>
    </row>
    <row r="741" spans="1:31">
      <c r="A741" s="197">
        <f t="shared" si="37"/>
        <v>46121</v>
      </c>
      <c r="B741" s="167">
        <f>YEAR(Table7[[#This Row],[Date]])+IF(MONTH(Table7[[#This Row],[Date]])&gt;=4,1,0)</f>
        <v>2027</v>
      </c>
      <c r="C741" s="167">
        <f>YEAR(Table7[[#This Row],[Date]])</f>
        <v>2026</v>
      </c>
      <c r="D741" s="168">
        <f t="shared" si="35"/>
        <v>46113</v>
      </c>
      <c r="AE741" s="167">
        <f t="shared" si="36"/>
        <v>0</v>
      </c>
    </row>
    <row r="742" spans="1:31">
      <c r="A742" s="197">
        <f t="shared" si="37"/>
        <v>46122</v>
      </c>
      <c r="B742" s="167">
        <f>YEAR(Table7[[#This Row],[Date]])+IF(MONTH(Table7[[#This Row],[Date]])&gt;=4,1,0)</f>
        <v>2027</v>
      </c>
      <c r="C742" s="167">
        <f>YEAR(Table7[[#This Row],[Date]])</f>
        <v>2026</v>
      </c>
      <c r="D742" s="168">
        <f t="shared" si="35"/>
        <v>46113</v>
      </c>
      <c r="AE742" s="167">
        <f t="shared" si="36"/>
        <v>0</v>
      </c>
    </row>
    <row r="743" spans="1:31">
      <c r="A743" s="197">
        <f t="shared" si="37"/>
        <v>46123</v>
      </c>
      <c r="B743" s="167">
        <f>YEAR(Table7[[#This Row],[Date]])+IF(MONTH(Table7[[#This Row],[Date]])&gt;=4,1,0)</f>
        <v>2027</v>
      </c>
      <c r="C743" s="167">
        <f>YEAR(Table7[[#This Row],[Date]])</f>
        <v>2026</v>
      </c>
      <c r="D743" s="168">
        <f t="shared" si="35"/>
        <v>46113</v>
      </c>
      <c r="AE743" s="167">
        <f t="shared" si="36"/>
        <v>0</v>
      </c>
    </row>
    <row r="744" spans="1:31">
      <c r="A744" s="197">
        <f t="shared" si="37"/>
        <v>46124</v>
      </c>
      <c r="B744" s="167">
        <f>YEAR(Table7[[#This Row],[Date]])+IF(MONTH(Table7[[#This Row],[Date]])&gt;=4,1,0)</f>
        <v>2027</v>
      </c>
      <c r="C744" s="167">
        <f>YEAR(Table7[[#This Row],[Date]])</f>
        <v>2026</v>
      </c>
      <c r="D744" s="168">
        <f t="shared" si="35"/>
        <v>46113</v>
      </c>
      <c r="AE744" s="167">
        <f t="shared" si="36"/>
        <v>0</v>
      </c>
    </row>
    <row r="745" spans="1:31">
      <c r="A745" s="197">
        <f t="shared" si="37"/>
        <v>46125</v>
      </c>
      <c r="B745" s="167">
        <f>YEAR(Table7[[#This Row],[Date]])+IF(MONTH(Table7[[#This Row],[Date]])&gt;=4,1,0)</f>
        <v>2027</v>
      </c>
      <c r="C745" s="167">
        <f>YEAR(Table7[[#This Row],[Date]])</f>
        <v>2026</v>
      </c>
      <c r="D745" s="168">
        <f t="shared" si="35"/>
        <v>46113</v>
      </c>
      <c r="AE745" s="167">
        <f t="shared" si="36"/>
        <v>0</v>
      </c>
    </row>
    <row r="746" spans="1:31">
      <c r="A746" s="197">
        <f t="shared" si="37"/>
        <v>46126</v>
      </c>
      <c r="B746" s="167">
        <f>YEAR(Table7[[#This Row],[Date]])+IF(MONTH(Table7[[#This Row],[Date]])&gt;=4,1,0)</f>
        <v>2027</v>
      </c>
      <c r="C746" s="167">
        <f>YEAR(Table7[[#This Row],[Date]])</f>
        <v>2026</v>
      </c>
      <c r="D746" s="168">
        <f t="shared" si="35"/>
        <v>46113</v>
      </c>
      <c r="AE746" s="167">
        <f t="shared" si="36"/>
        <v>0</v>
      </c>
    </row>
    <row r="747" spans="1:31">
      <c r="A747" s="197">
        <f t="shared" si="37"/>
        <v>46127</v>
      </c>
      <c r="B747" s="167">
        <f>YEAR(Table7[[#This Row],[Date]])+IF(MONTH(Table7[[#This Row],[Date]])&gt;=4,1,0)</f>
        <v>2027</v>
      </c>
      <c r="C747" s="167">
        <f>YEAR(Table7[[#This Row],[Date]])</f>
        <v>2026</v>
      </c>
      <c r="D747" s="168">
        <f t="shared" si="35"/>
        <v>46113</v>
      </c>
      <c r="AE747" s="167">
        <f t="shared" si="36"/>
        <v>0</v>
      </c>
    </row>
    <row r="748" spans="1:31">
      <c r="A748" s="197">
        <f t="shared" si="37"/>
        <v>46128</v>
      </c>
      <c r="B748" s="167">
        <f>YEAR(Table7[[#This Row],[Date]])+IF(MONTH(Table7[[#This Row],[Date]])&gt;=4,1,0)</f>
        <v>2027</v>
      </c>
      <c r="C748" s="167">
        <f>YEAR(Table7[[#This Row],[Date]])</f>
        <v>2026</v>
      </c>
      <c r="D748" s="168">
        <f t="shared" si="35"/>
        <v>46113</v>
      </c>
      <c r="AE748" s="167">
        <f t="shared" si="36"/>
        <v>0</v>
      </c>
    </row>
    <row r="749" spans="1:31">
      <c r="A749" s="197">
        <f t="shared" si="37"/>
        <v>46129</v>
      </c>
      <c r="B749" s="167">
        <f>YEAR(Table7[[#This Row],[Date]])+IF(MONTH(Table7[[#This Row],[Date]])&gt;=4,1,0)</f>
        <v>2027</v>
      </c>
      <c r="C749" s="167">
        <f>YEAR(Table7[[#This Row],[Date]])</f>
        <v>2026</v>
      </c>
      <c r="D749" s="168">
        <f t="shared" si="35"/>
        <v>46113</v>
      </c>
      <c r="AE749" s="167">
        <f t="shared" si="36"/>
        <v>0</v>
      </c>
    </row>
    <row r="750" spans="1:31">
      <c r="A750" s="197">
        <f t="shared" si="37"/>
        <v>46130</v>
      </c>
      <c r="B750" s="167">
        <f>YEAR(Table7[[#This Row],[Date]])+IF(MONTH(Table7[[#This Row],[Date]])&gt;=4,1,0)</f>
        <v>2027</v>
      </c>
      <c r="C750" s="167">
        <f>YEAR(Table7[[#This Row],[Date]])</f>
        <v>2026</v>
      </c>
      <c r="D750" s="168">
        <f t="shared" si="35"/>
        <v>46113</v>
      </c>
      <c r="AE750" s="167">
        <f t="shared" si="36"/>
        <v>0</v>
      </c>
    </row>
    <row r="751" spans="1:31">
      <c r="A751" s="197">
        <f t="shared" si="37"/>
        <v>46131</v>
      </c>
      <c r="B751" s="167">
        <f>YEAR(Table7[[#This Row],[Date]])+IF(MONTH(Table7[[#This Row],[Date]])&gt;=4,1,0)</f>
        <v>2027</v>
      </c>
      <c r="C751" s="167">
        <f>YEAR(Table7[[#This Row],[Date]])</f>
        <v>2026</v>
      </c>
      <c r="D751" s="168">
        <f t="shared" si="35"/>
        <v>46113</v>
      </c>
      <c r="AE751" s="167">
        <f t="shared" si="36"/>
        <v>0</v>
      </c>
    </row>
    <row r="752" spans="1:31">
      <c r="A752" s="197">
        <f t="shared" si="37"/>
        <v>46132</v>
      </c>
      <c r="B752" s="167">
        <f>YEAR(Table7[[#This Row],[Date]])+IF(MONTH(Table7[[#This Row],[Date]])&gt;=4,1,0)</f>
        <v>2027</v>
      </c>
      <c r="C752" s="167">
        <f>YEAR(Table7[[#This Row],[Date]])</f>
        <v>2026</v>
      </c>
      <c r="D752" s="168">
        <f t="shared" si="35"/>
        <v>46113</v>
      </c>
      <c r="AE752" s="167">
        <f t="shared" si="36"/>
        <v>0</v>
      </c>
    </row>
    <row r="753" spans="1:31">
      <c r="A753" s="197">
        <f t="shared" si="37"/>
        <v>46133</v>
      </c>
      <c r="B753" s="167">
        <f>YEAR(Table7[[#This Row],[Date]])+IF(MONTH(Table7[[#This Row],[Date]])&gt;=4,1,0)</f>
        <v>2027</v>
      </c>
      <c r="C753" s="167">
        <f>YEAR(Table7[[#This Row],[Date]])</f>
        <v>2026</v>
      </c>
      <c r="D753" s="168">
        <f t="shared" si="35"/>
        <v>46113</v>
      </c>
      <c r="AE753" s="167">
        <f t="shared" si="36"/>
        <v>0</v>
      </c>
    </row>
    <row r="754" spans="1:31">
      <c r="A754" s="197">
        <f t="shared" si="37"/>
        <v>46134</v>
      </c>
      <c r="B754" s="167">
        <f>YEAR(Table7[[#This Row],[Date]])+IF(MONTH(Table7[[#This Row],[Date]])&gt;=4,1,0)</f>
        <v>2027</v>
      </c>
      <c r="C754" s="167">
        <f>YEAR(Table7[[#This Row],[Date]])</f>
        <v>2026</v>
      </c>
      <c r="D754" s="168">
        <f t="shared" si="35"/>
        <v>46113</v>
      </c>
      <c r="AE754" s="167">
        <f t="shared" si="36"/>
        <v>0</v>
      </c>
    </row>
    <row r="755" spans="1:31">
      <c r="A755" s="197">
        <f t="shared" si="37"/>
        <v>46135</v>
      </c>
      <c r="B755" s="167">
        <f>YEAR(Table7[[#This Row],[Date]])+IF(MONTH(Table7[[#This Row],[Date]])&gt;=4,1,0)</f>
        <v>2027</v>
      </c>
      <c r="C755" s="167">
        <f>YEAR(Table7[[#This Row],[Date]])</f>
        <v>2026</v>
      </c>
      <c r="D755" s="168">
        <f t="shared" si="35"/>
        <v>46113</v>
      </c>
      <c r="AE755" s="167">
        <f t="shared" si="36"/>
        <v>0</v>
      </c>
    </row>
    <row r="756" spans="1:31">
      <c r="A756" s="197">
        <f t="shared" si="37"/>
        <v>46136</v>
      </c>
      <c r="B756" s="167">
        <f>YEAR(Table7[[#This Row],[Date]])+IF(MONTH(Table7[[#This Row],[Date]])&gt;=4,1,0)</f>
        <v>2027</v>
      </c>
      <c r="C756" s="167">
        <f>YEAR(Table7[[#This Row],[Date]])</f>
        <v>2026</v>
      </c>
      <c r="D756" s="168">
        <f t="shared" si="35"/>
        <v>46113</v>
      </c>
      <c r="AE756" s="167">
        <f t="shared" si="36"/>
        <v>0</v>
      </c>
    </row>
    <row r="757" spans="1:31">
      <c r="A757" s="197">
        <f t="shared" si="37"/>
        <v>46137</v>
      </c>
      <c r="B757" s="167">
        <f>YEAR(Table7[[#This Row],[Date]])+IF(MONTH(Table7[[#This Row],[Date]])&gt;=4,1,0)</f>
        <v>2027</v>
      </c>
      <c r="C757" s="167">
        <f>YEAR(Table7[[#This Row],[Date]])</f>
        <v>2026</v>
      </c>
      <c r="D757" s="168">
        <f t="shared" si="35"/>
        <v>46113</v>
      </c>
      <c r="AE757" s="167">
        <f t="shared" si="36"/>
        <v>0</v>
      </c>
    </row>
    <row r="758" spans="1:31">
      <c r="A758" s="197">
        <f t="shared" si="37"/>
        <v>46138</v>
      </c>
      <c r="B758" s="167">
        <f>YEAR(Table7[[#This Row],[Date]])+IF(MONTH(Table7[[#This Row],[Date]])&gt;=4,1,0)</f>
        <v>2027</v>
      </c>
      <c r="C758" s="167">
        <f>YEAR(Table7[[#This Row],[Date]])</f>
        <v>2026</v>
      </c>
      <c r="D758" s="168">
        <f t="shared" si="35"/>
        <v>46113</v>
      </c>
      <c r="AE758" s="167">
        <f t="shared" si="36"/>
        <v>0</v>
      </c>
    </row>
    <row r="759" spans="1:31">
      <c r="A759" s="197">
        <f t="shared" si="37"/>
        <v>46139</v>
      </c>
      <c r="B759" s="167">
        <f>YEAR(Table7[[#This Row],[Date]])+IF(MONTH(Table7[[#This Row],[Date]])&gt;=4,1,0)</f>
        <v>2027</v>
      </c>
      <c r="C759" s="167">
        <f>YEAR(Table7[[#This Row],[Date]])</f>
        <v>2026</v>
      </c>
      <c r="D759" s="168">
        <f t="shared" si="35"/>
        <v>46113</v>
      </c>
      <c r="AE759" s="167">
        <f t="shared" si="36"/>
        <v>0</v>
      </c>
    </row>
    <row r="760" spans="1:31">
      <c r="A760" s="197">
        <f t="shared" si="37"/>
        <v>46140</v>
      </c>
      <c r="B760" s="167">
        <f>YEAR(Table7[[#This Row],[Date]])+IF(MONTH(Table7[[#This Row],[Date]])&gt;=4,1,0)</f>
        <v>2027</v>
      </c>
      <c r="C760" s="167">
        <f>YEAR(Table7[[#This Row],[Date]])</f>
        <v>2026</v>
      </c>
      <c r="D760" s="168">
        <f t="shared" si="35"/>
        <v>46113</v>
      </c>
      <c r="AE760" s="167">
        <f t="shared" si="36"/>
        <v>0</v>
      </c>
    </row>
    <row r="761" spans="1:31">
      <c r="A761" s="197">
        <f t="shared" si="37"/>
        <v>46141</v>
      </c>
      <c r="B761" s="167">
        <f>YEAR(Table7[[#This Row],[Date]])+IF(MONTH(Table7[[#This Row],[Date]])&gt;=4,1,0)</f>
        <v>2027</v>
      </c>
      <c r="C761" s="167">
        <f>YEAR(Table7[[#This Row],[Date]])</f>
        <v>2026</v>
      </c>
      <c r="D761" s="168">
        <f t="shared" si="35"/>
        <v>46113</v>
      </c>
      <c r="AE761" s="167">
        <f t="shared" si="36"/>
        <v>0</v>
      </c>
    </row>
    <row r="762" spans="1:31">
      <c r="A762" s="197">
        <f t="shared" si="37"/>
        <v>46142</v>
      </c>
      <c r="B762" s="167">
        <f>YEAR(Table7[[#This Row],[Date]])+IF(MONTH(Table7[[#This Row],[Date]])&gt;=4,1,0)</f>
        <v>2027</v>
      </c>
      <c r="C762" s="167">
        <f>YEAR(Table7[[#This Row],[Date]])</f>
        <v>2026</v>
      </c>
      <c r="D762" s="168">
        <f t="shared" si="35"/>
        <v>46113</v>
      </c>
      <c r="AE762" s="167">
        <f t="shared" si="36"/>
        <v>0</v>
      </c>
    </row>
    <row r="763" spans="1:31">
      <c r="A763" s="197">
        <f t="shared" si="37"/>
        <v>46143</v>
      </c>
      <c r="B763" s="167">
        <f>YEAR(Table7[[#This Row],[Date]])+IF(MONTH(Table7[[#This Row],[Date]])&gt;=4,1,0)</f>
        <v>2027</v>
      </c>
      <c r="C763" s="167">
        <f>YEAR(Table7[[#This Row],[Date]])</f>
        <v>2026</v>
      </c>
      <c r="D763" s="168">
        <f t="shared" si="35"/>
        <v>46143</v>
      </c>
      <c r="AE763" s="167">
        <f t="shared" si="36"/>
        <v>0</v>
      </c>
    </row>
    <row r="764" spans="1:31">
      <c r="A764" s="197">
        <f t="shared" si="37"/>
        <v>46144</v>
      </c>
      <c r="B764" s="167">
        <f>YEAR(Table7[[#This Row],[Date]])+IF(MONTH(Table7[[#This Row],[Date]])&gt;=4,1,0)</f>
        <v>2027</v>
      </c>
      <c r="C764" s="167">
        <f>YEAR(Table7[[#This Row],[Date]])</f>
        <v>2026</v>
      </c>
      <c r="D764" s="168">
        <f t="shared" si="35"/>
        <v>46143</v>
      </c>
      <c r="AE764" s="167">
        <f t="shared" si="36"/>
        <v>0</v>
      </c>
    </row>
    <row r="765" spans="1:31">
      <c r="A765" s="197">
        <f t="shared" si="37"/>
        <v>46145</v>
      </c>
      <c r="B765" s="167">
        <f>YEAR(Table7[[#This Row],[Date]])+IF(MONTH(Table7[[#This Row],[Date]])&gt;=4,1,0)</f>
        <v>2027</v>
      </c>
      <c r="C765" s="167">
        <f>YEAR(Table7[[#This Row],[Date]])</f>
        <v>2026</v>
      </c>
      <c r="D765" s="168">
        <f t="shared" si="35"/>
        <v>46143</v>
      </c>
      <c r="AE765" s="167">
        <f t="shared" si="36"/>
        <v>0</v>
      </c>
    </row>
    <row r="766" spans="1:31">
      <c r="A766" s="197">
        <f t="shared" si="37"/>
        <v>46146</v>
      </c>
      <c r="B766" s="167">
        <f>YEAR(Table7[[#This Row],[Date]])+IF(MONTH(Table7[[#This Row],[Date]])&gt;=4,1,0)</f>
        <v>2027</v>
      </c>
      <c r="C766" s="167">
        <f>YEAR(Table7[[#This Row],[Date]])</f>
        <v>2026</v>
      </c>
      <c r="D766" s="168">
        <f t="shared" si="35"/>
        <v>46143</v>
      </c>
      <c r="AE766" s="167">
        <f t="shared" si="36"/>
        <v>0</v>
      </c>
    </row>
    <row r="767" spans="1:31">
      <c r="A767" s="197">
        <f t="shared" si="37"/>
        <v>46147</v>
      </c>
      <c r="B767" s="167">
        <f>YEAR(Table7[[#This Row],[Date]])+IF(MONTH(Table7[[#This Row],[Date]])&gt;=4,1,0)</f>
        <v>2027</v>
      </c>
      <c r="C767" s="167">
        <f>YEAR(Table7[[#This Row],[Date]])</f>
        <v>2026</v>
      </c>
      <c r="D767" s="168">
        <f t="shared" si="35"/>
        <v>46143</v>
      </c>
      <c r="AE767" s="167">
        <f t="shared" si="36"/>
        <v>0</v>
      </c>
    </row>
    <row r="768" spans="1:31">
      <c r="A768" s="197">
        <f t="shared" si="37"/>
        <v>46148</v>
      </c>
      <c r="B768" s="167">
        <f>YEAR(Table7[[#This Row],[Date]])+IF(MONTH(Table7[[#This Row],[Date]])&gt;=4,1,0)</f>
        <v>2027</v>
      </c>
      <c r="C768" s="167">
        <f>YEAR(Table7[[#This Row],[Date]])</f>
        <v>2026</v>
      </c>
      <c r="D768" s="168">
        <f t="shared" si="35"/>
        <v>46143</v>
      </c>
      <c r="AE768" s="167">
        <f t="shared" si="36"/>
        <v>0</v>
      </c>
    </row>
    <row r="769" spans="1:31">
      <c r="A769" s="197">
        <f t="shared" si="37"/>
        <v>46149</v>
      </c>
      <c r="B769" s="167">
        <f>YEAR(Table7[[#This Row],[Date]])+IF(MONTH(Table7[[#This Row],[Date]])&gt;=4,1,0)</f>
        <v>2027</v>
      </c>
      <c r="C769" s="167">
        <f>YEAR(Table7[[#This Row],[Date]])</f>
        <v>2026</v>
      </c>
      <c r="D769" s="168">
        <f t="shared" si="35"/>
        <v>46143</v>
      </c>
      <c r="AE769" s="167">
        <f t="shared" si="36"/>
        <v>0</v>
      </c>
    </row>
    <row r="770" spans="1:31">
      <c r="A770" s="197">
        <f t="shared" si="37"/>
        <v>46150</v>
      </c>
      <c r="B770" s="167">
        <f>YEAR(Table7[[#This Row],[Date]])+IF(MONTH(Table7[[#This Row],[Date]])&gt;=4,1,0)</f>
        <v>2027</v>
      </c>
      <c r="C770" s="167">
        <f>YEAR(Table7[[#This Row],[Date]])</f>
        <v>2026</v>
      </c>
      <c r="D770" s="168">
        <f t="shared" si="35"/>
        <v>46143</v>
      </c>
      <c r="AE770" s="167">
        <f t="shared" si="36"/>
        <v>0</v>
      </c>
    </row>
    <row r="771" spans="1:31">
      <c r="A771" s="197">
        <f t="shared" si="37"/>
        <v>46151</v>
      </c>
      <c r="B771" s="167">
        <f>YEAR(Table7[[#This Row],[Date]])+IF(MONTH(Table7[[#This Row],[Date]])&gt;=4,1,0)</f>
        <v>2027</v>
      </c>
      <c r="C771" s="167">
        <f>YEAR(Table7[[#This Row],[Date]])</f>
        <v>2026</v>
      </c>
      <c r="D771" s="168">
        <f t="shared" ref="D771:D834" si="38">A771-DAY(A771)+1</f>
        <v>46143</v>
      </c>
      <c r="AE771" s="167">
        <f t="shared" ref="AE771:AE834" si="39">SUM(E771:AD771)</f>
        <v>0</v>
      </c>
    </row>
    <row r="772" spans="1:31">
      <c r="A772" s="197">
        <f t="shared" si="37"/>
        <v>46152</v>
      </c>
      <c r="B772" s="167">
        <f>YEAR(Table7[[#This Row],[Date]])+IF(MONTH(Table7[[#This Row],[Date]])&gt;=4,1,0)</f>
        <v>2027</v>
      </c>
      <c r="C772" s="167">
        <f>YEAR(Table7[[#This Row],[Date]])</f>
        <v>2026</v>
      </c>
      <c r="D772" s="168">
        <f t="shared" si="38"/>
        <v>46143</v>
      </c>
      <c r="AE772" s="167">
        <f t="shared" si="39"/>
        <v>0</v>
      </c>
    </row>
    <row r="773" spans="1:31">
      <c r="A773" s="197">
        <f t="shared" ref="A773:A836" si="40">A772+1</f>
        <v>46153</v>
      </c>
      <c r="B773" s="167">
        <f>YEAR(Table7[[#This Row],[Date]])+IF(MONTH(Table7[[#This Row],[Date]])&gt;=4,1,0)</f>
        <v>2027</v>
      </c>
      <c r="C773" s="167">
        <f>YEAR(Table7[[#This Row],[Date]])</f>
        <v>2026</v>
      </c>
      <c r="D773" s="168">
        <f t="shared" si="38"/>
        <v>46143</v>
      </c>
      <c r="AE773" s="167">
        <f t="shared" si="39"/>
        <v>0</v>
      </c>
    </row>
    <row r="774" spans="1:31">
      <c r="A774" s="197">
        <f t="shared" si="40"/>
        <v>46154</v>
      </c>
      <c r="B774" s="167">
        <f>YEAR(Table7[[#This Row],[Date]])+IF(MONTH(Table7[[#This Row],[Date]])&gt;=4,1,0)</f>
        <v>2027</v>
      </c>
      <c r="C774" s="167">
        <f>YEAR(Table7[[#This Row],[Date]])</f>
        <v>2026</v>
      </c>
      <c r="D774" s="168">
        <f t="shared" si="38"/>
        <v>46143</v>
      </c>
      <c r="AE774" s="167">
        <f t="shared" si="39"/>
        <v>0</v>
      </c>
    </row>
    <row r="775" spans="1:31">
      <c r="A775" s="197">
        <f t="shared" si="40"/>
        <v>46155</v>
      </c>
      <c r="B775" s="167">
        <f>YEAR(Table7[[#This Row],[Date]])+IF(MONTH(Table7[[#This Row],[Date]])&gt;=4,1,0)</f>
        <v>2027</v>
      </c>
      <c r="C775" s="167">
        <f>YEAR(Table7[[#This Row],[Date]])</f>
        <v>2026</v>
      </c>
      <c r="D775" s="168">
        <f t="shared" si="38"/>
        <v>46143</v>
      </c>
      <c r="AE775" s="167">
        <f t="shared" si="39"/>
        <v>0</v>
      </c>
    </row>
    <row r="776" spans="1:31">
      <c r="A776" s="197">
        <f t="shared" si="40"/>
        <v>46156</v>
      </c>
      <c r="B776" s="167">
        <f>YEAR(Table7[[#This Row],[Date]])+IF(MONTH(Table7[[#This Row],[Date]])&gt;=4,1,0)</f>
        <v>2027</v>
      </c>
      <c r="C776" s="167">
        <f>YEAR(Table7[[#This Row],[Date]])</f>
        <v>2026</v>
      </c>
      <c r="D776" s="168">
        <f t="shared" si="38"/>
        <v>46143</v>
      </c>
      <c r="AE776" s="167">
        <f t="shared" si="39"/>
        <v>0</v>
      </c>
    </row>
    <row r="777" spans="1:31">
      <c r="A777" s="197">
        <f t="shared" si="40"/>
        <v>46157</v>
      </c>
      <c r="B777" s="167">
        <f>YEAR(Table7[[#This Row],[Date]])+IF(MONTH(Table7[[#This Row],[Date]])&gt;=4,1,0)</f>
        <v>2027</v>
      </c>
      <c r="C777" s="167">
        <f>YEAR(Table7[[#This Row],[Date]])</f>
        <v>2026</v>
      </c>
      <c r="D777" s="168">
        <f t="shared" si="38"/>
        <v>46143</v>
      </c>
      <c r="AE777" s="167">
        <f t="shared" si="39"/>
        <v>0</v>
      </c>
    </row>
    <row r="778" spans="1:31">
      <c r="A778" s="197">
        <f t="shared" si="40"/>
        <v>46158</v>
      </c>
      <c r="B778" s="167">
        <f>YEAR(Table7[[#This Row],[Date]])+IF(MONTH(Table7[[#This Row],[Date]])&gt;=4,1,0)</f>
        <v>2027</v>
      </c>
      <c r="C778" s="167">
        <f>YEAR(Table7[[#This Row],[Date]])</f>
        <v>2026</v>
      </c>
      <c r="D778" s="168">
        <f t="shared" si="38"/>
        <v>46143</v>
      </c>
      <c r="AE778" s="167">
        <f t="shared" si="39"/>
        <v>0</v>
      </c>
    </row>
    <row r="779" spans="1:31">
      <c r="A779" s="197">
        <f t="shared" si="40"/>
        <v>46159</v>
      </c>
      <c r="B779" s="167">
        <f>YEAR(Table7[[#This Row],[Date]])+IF(MONTH(Table7[[#This Row],[Date]])&gt;=4,1,0)</f>
        <v>2027</v>
      </c>
      <c r="C779" s="167">
        <f>YEAR(Table7[[#This Row],[Date]])</f>
        <v>2026</v>
      </c>
      <c r="D779" s="168">
        <f t="shared" si="38"/>
        <v>46143</v>
      </c>
      <c r="AE779" s="167">
        <f t="shared" si="39"/>
        <v>0</v>
      </c>
    </row>
    <row r="780" spans="1:31">
      <c r="A780" s="197">
        <f t="shared" si="40"/>
        <v>46160</v>
      </c>
      <c r="B780" s="167">
        <f>YEAR(Table7[[#This Row],[Date]])+IF(MONTH(Table7[[#This Row],[Date]])&gt;=4,1,0)</f>
        <v>2027</v>
      </c>
      <c r="C780" s="167">
        <f>YEAR(Table7[[#This Row],[Date]])</f>
        <v>2026</v>
      </c>
      <c r="D780" s="168">
        <f t="shared" si="38"/>
        <v>46143</v>
      </c>
      <c r="AE780" s="167">
        <f t="shared" si="39"/>
        <v>0</v>
      </c>
    </row>
    <row r="781" spans="1:31">
      <c r="A781" s="197">
        <f t="shared" si="40"/>
        <v>46161</v>
      </c>
      <c r="B781" s="167">
        <f>YEAR(Table7[[#This Row],[Date]])+IF(MONTH(Table7[[#This Row],[Date]])&gt;=4,1,0)</f>
        <v>2027</v>
      </c>
      <c r="C781" s="167">
        <f>YEAR(Table7[[#This Row],[Date]])</f>
        <v>2026</v>
      </c>
      <c r="D781" s="168">
        <f t="shared" si="38"/>
        <v>46143</v>
      </c>
      <c r="AE781" s="167">
        <f t="shared" si="39"/>
        <v>0</v>
      </c>
    </row>
    <row r="782" spans="1:31">
      <c r="A782" s="197">
        <f t="shared" si="40"/>
        <v>46162</v>
      </c>
      <c r="B782" s="167">
        <f>YEAR(Table7[[#This Row],[Date]])+IF(MONTH(Table7[[#This Row],[Date]])&gt;=4,1,0)</f>
        <v>2027</v>
      </c>
      <c r="C782" s="167">
        <f>YEAR(Table7[[#This Row],[Date]])</f>
        <v>2026</v>
      </c>
      <c r="D782" s="168">
        <f t="shared" si="38"/>
        <v>46143</v>
      </c>
      <c r="AE782" s="167">
        <f t="shared" si="39"/>
        <v>0</v>
      </c>
    </row>
    <row r="783" spans="1:31">
      <c r="A783" s="197">
        <f t="shared" si="40"/>
        <v>46163</v>
      </c>
      <c r="B783" s="167">
        <f>YEAR(Table7[[#This Row],[Date]])+IF(MONTH(Table7[[#This Row],[Date]])&gt;=4,1,0)</f>
        <v>2027</v>
      </c>
      <c r="C783" s="167">
        <f>YEAR(Table7[[#This Row],[Date]])</f>
        <v>2026</v>
      </c>
      <c r="D783" s="168">
        <f t="shared" si="38"/>
        <v>46143</v>
      </c>
      <c r="AE783" s="167">
        <f t="shared" si="39"/>
        <v>0</v>
      </c>
    </row>
    <row r="784" spans="1:31">
      <c r="A784" s="197">
        <f t="shared" si="40"/>
        <v>46164</v>
      </c>
      <c r="B784" s="167">
        <f>YEAR(Table7[[#This Row],[Date]])+IF(MONTH(Table7[[#This Row],[Date]])&gt;=4,1,0)</f>
        <v>2027</v>
      </c>
      <c r="C784" s="167">
        <f>YEAR(Table7[[#This Row],[Date]])</f>
        <v>2026</v>
      </c>
      <c r="D784" s="168">
        <f t="shared" si="38"/>
        <v>46143</v>
      </c>
      <c r="AE784" s="167">
        <f t="shared" si="39"/>
        <v>0</v>
      </c>
    </row>
    <row r="785" spans="1:31">
      <c r="A785" s="197">
        <f t="shared" si="40"/>
        <v>46165</v>
      </c>
      <c r="B785" s="167">
        <f>YEAR(Table7[[#This Row],[Date]])+IF(MONTH(Table7[[#This Row],[Date]])&gt;=4,1,0)</f>
        <v>2027</v>
      </c>
      <c r="C785" s="167">
        <f>YEAR(Table7[[#This Row],[Date]])</f>
        <v>2026</v>
      </c>
      <c r="D785" s="168">
        <f t="shared" si="38"/>
        <v>46143</v>
      </c>
      <c r="AE785" s="167">
        <f t="shared" si="39"/>
        <v>0</v>
      </c>
    </row>
    <row r="786" spans="1:31">
      <c r="A786" s="197">
        <f t="shared" si="40"/>
        <v>46166</v>
      </c>
      <c r="B786" s="167">
        <f>YEAR(Table7[[#This Row],[Date]])+IF(MONTH(Table7[[#This Row],[Date]])&gt;=4,1,0)</f>
        <v>2027</v>
      </c>
      <c r="C786" s="167">
        <f>YEAR(Table7[[#This Row],[Date]])</f>
        <v>2026</v>
      </c>
      <c r="D786" s="168">
        <f t="shared" si="38"/>
        <v>46143</v>
      </c>
      <c r="AE786" s="167">
        <f t="shared" si="39"/>
        <v>0</v>
      </c>
    </row>
    <row r="787" spans="1:31">
      <c r="A787" s="197">
        <f t="shared" si="40"/>
        <v>46167</v>
      </c>
      <c r="B787" s="167">
        <f>YEAR(Table7[[#This Row],[Date]])+IF(MONTH(Table7[[#This Row],[Date]])&gt;=4,1,0)</f>
        <v>2027</v>
      </c>
      <c r="C787" s="167">
        <f>YEAR(Table7[[#This Row],[Date]])</f>
        <v>2026</v>
      </c>
      <c r="D787" s="168">
        <f t="shared" si="38"/>
        <v>46143</v>
      </c>
      <c r="AE787" s="167">
        <f t="shared" si="39"/>
        <v>0</v>
      </c>
    </row>
    <row r="788" spans="1:31">
      <c r="A788" s="197">
        <f t="shared" si="40"/>
        <v>46168</v>
      </c>
      <c r="B788" s="167">
        <f>YEAR(Table7[[#This Row],[Date]])+IF(MONTH(Table7[[#This Row],[Date]])&gt;=4,1,0)</f>
        <v>2027</v>
      </c>
      <c r="C788" s="167">
        <f>YEAR(Table7[[#This Row],[Date]])</f>
        <v>2026</v>
      </c>
      <c r="D788" s="168">
        <f t="shared" si="38"/>
        <v>46143</v>
      </c>
      <c r="AE788" s="167">
        <f t="shared" si="39"/>
        <v>0</v>
      </c>
    </row>
    <row r="789" spans="1:31">
      <c r="A789" s="197">
        <f t="shared" si="40"/>
        <v>46169</v>
      </c>
      <c r="B789" s="167">
        <f>YEAR(Table7[[#This Row],[Date]])+IF(MONTH(Table7[[#This Row],[Date]])&gt;=4,1,0)</f>
        <v>2027</v>
      </c>
      <c r="C789" s="167">
        <f>YEAR(Table7[[#This Row],[Date]])</f>
        <v>2026</v>
      </c>
      <c r="D789" s="168">
        <f t="shared" si="38"/>
        <v>46143</v>
      </c>
      <c r="AE789" s="167">
        <f t="shared" si="39"/>
        <v>0</v>
      </c>
    </row>
    <row r="790" spans="1:31">
      <c r="A790" s="197">
        <f t="shared" si="40"/>
        <v>46170</v>
      </c>
      <c r="B790" s="167">
        <f>YEAR(Table7[[#This Row],[Date]])+IF(MONTH(Table7[[#This Row],[Date]])&gt;=4,1,0)</f>
        <v>2027</v>
      </c>
      <c r="C790" s="167">
        <f>YEAR(Table7[[#This Row],[Date]])</f>
        <v>2026</v>
      </c>
      <c r="D790" s="168">
        <f t="shared" si="38"/>
        <v>46143</v>
      </c>
      <c r="AE790" s="167">
        <f t="shared" si="39"/>
        <v>0</v>
      </c>
    </row>
    <row r="791" spans="1:31">
      <c r="A791" s="197">
        <f t="shared" si="40"/>
        <v>46171</v>
      </c>
      <c r="B791" s="167">
        <f>YEAR(Table7[[#This Row],[Date]])+IF(MONTH(Table7[[#This Row],[Date]])&gt;=4,1,0)</f>
        <v>2027</v>
      </c>
      <c r="C791" s="167">
        <f>YEAR(Table7[[#This Row],[Date]])</f>
        <v>2026</v>
      </c>
      <c r="D791" s="168">
        <f t="shared" si="38"/>
        <v>46143</v>
      </c>
      <c r="AE791" s="167">
        <f t="shared" si="39"/>
        <v>0</v>
      </c>
    </row>
    <row r="792" spans="1:31">
      <c r="A792" s="197">
        <f t="shared" si="40"/>
        <v>46172</v>
      </c>
      <c r="B792" s="167">
        <f>YEAR(Table7[[#This Row],[Date]])+IF(MONTH(Table7[[#This Row],[Date]])&gt;=4,1,0)</f>
        <v>2027</v>
      </c>
      <c r="C792" s="167">
        <f>YEAR(Table7[[#This Row],[Date]])</f>
        <v>2026</v>
      </c>
      <c r="D792" s="168">
        <f t="shared" si="38"/>
        <v>46143</v>
      </c>
      <c r="AE792" s="167">
        <f t="shared" si="39"/>
        <v>0</v>
      </c>
    </row>
    <row r="793" spans="1:31">
      <c r="A793" s="197">
        <f t="shared" si="40"/>
        <v>46173</v>
      </c>
      <c r="B793" s="167">
        <f>YEAR(Table7[[#This Row],[Date]])+IF(MONTH(Table7[[#This Row],[Date]])&gt;=4,1,0)</f>
        <v>2027</v>
      </c>
      <c r="C793" s="167">
        <f>YEAR(Table7[[#This Row],[Date]])</f>
        <v>2026</v>
      </c>
      <c r="D793" s="168">
        <f t="shared" si="38"/>
        <v>46143</v>
      </c>
      <c r="AE793" s="167">
        <f t="shared" si="39"/>
        <v>0</v>
      </c>
    </row>
    <row r="794" spans="1:31">
      <c r="A794" s="197">
        <f t="shared" si="40"/>
        <v>46174</v>
      </c>
      <c r="B794" s="167">
        <f>YEAR(Table7[[#This Row],[Date]])+IF(MONTH(Table7[[#This Row],[Date]])&gt;=4,1,0)</f>
        <v>2027</v>
      </c>
      <c r="C794" s="167">
        <f>YEAR(Table7[[#This Row],[Date]])</f>
        <v>2026</v>
      </c>
      <c r="D794" s="168">
        <f t="shared" si="38"/>
        <v>46174</v>
      </c>
      <c r="AE794" s="167">
        <f t="shared" si="39"/>
        <v>0</v>
      </c>
    </row>
    <row r="795" spans="1:31">
      <c r="A795" s="197">
        <f t="shared" si="40"/>
        <v>46175</v>
      </c>
      <c r="B795" s="167">
        <f>YEAR(Table7[[#This Row],[Date]])+IF(MONTH(Table7[[#This Row],[Date]])&gt;=4,1,0)</f>
        <v>2027</v>
      </c>
      <c r="C795" s="167">
        <f>YEAR(Table7[[#This Row],[Date]])</f>
        <v>2026</v>
      </c>
      <c r="D795" s="168">
        <f t="shared" si="38"/>
        <v>46174</v>
      </c>
      <c r="AE795" s="167">
        <f t="shared" si="39"/>
        <v>0</v>
      </c>
    </row>
    <row r="796" spans="1:31">
      <c r="A796" s="197">
        <f t="shared" si="40"/>
        <v>46176</v>
      </c>
      <c r="B796" s="167">
        <f>YEAR(Table7[[#This Row],[Date]])+IF(MONTH(Table7[[#This Row],[Date]])&gt;=4,1,0)</f>
        <v>2027</v>
      </c>
      <c r="C796" s="167">
        <f>YEAR(Table7[[#This Row],[Date]])</f>
        <v>2026</v>
      </c>
      <c r="D796" s="168">
        <f t="shared" si="38"/>
        <v>46174</v>
      </c>
      <c r="AE796" s="167">
        <f t="shared" si="39"/>
        <v>0</v>
      </c>
    </row>
    <row r="797" spans="1:31">
      <c r="A797" s="197">
        <f t="shared" si="40"/>
        <v>46177</v>
      </c>
      <c r="B797" s="167">
        <f>YEAR(Table7[[#This Row],[Date]])+IF(MONTH(Table7[[#This Row],[Date]])&gt;=4,1,0)</f>
        <v>2027</v>
      </c>
      <c r="C797" s="167">
        <f>YEAR(Table7[[#This Row],[Date]])</f>
        <v>2026</v>
      </c>
      <c r="D797" s="168">
        <f t="shared" si="38"/>
        <v>46174</v>
      </c>
      <c r="AE797" s="167">
        <f t="shared" si="39"/>
        <v>0</v>
      </c>
    </row>
    <row r="798" spans="1:31">
      <c r="A798" s="197">
        <f t="shared" si="40"/>
        <v>46178</v>
      </c>
      <c r="B798" s="167">
        <f>YEAR(Table7[[#This Row],[Date]])+IF(MONTH(Table7[[#This Row],[Date]])&gt;=4,1,0)</f>
        <v>2027</v>
      </c>
      <c r="C798" s="167">
        <f>YEAR(Table7[[#This Row],[Date]])</f>
        <v>2026</v>
      </c>
      <c r="D798" s="168">
        <f t="shared" si="38"/>
        <v>46174</v>
      </c>
      <c r="AE798" s="167">
        <f t="shared" si="39"/>
        <v>0</v>
      </c>
    </row>
    <row r="799" spans="1:31">
      <c r="A799" s="197">
        <f t="shared" si="40"/>
        <v>46179</v>
      </c>
      <c r="B799" s="167">
        <f>YEAR(Table7[[#This Row],[Date]])+IF(MONTH(Table7[[#This Row],[Date]])&gt;=4,1,0)</f>
        <v>2027</v>
      </c>
      <c r="C799" s="167">
        <f>YEAR(Table7[[#This Row],[Date]])</f>
        <v>2026</v>
      </c>
      <c r="D799" s="168">
        <f t="shared" si="38"/>
        <v>46174</v>
      </c>
      <c r="AE799" s="167">
        <f t="shared" si="39"/>
        <v>0</v>
      </c>
    </row>
    <row r="800" spans="1:31">
      <c r="A800" s="197">
        <f t="shared" si="40"/>
        <v>46180</v>
      </c>
      <c r="B800" s="167">
        <f>YEAR(Table7[[#This Row],[Date]])+IF(MONTH(Table7[[#This Row],[Date]])&gt;=4,1,0)</f>
        <v>2027</v>
      </c>
      <c r="C800" s="167">
        <f>YEAR(Table7[[#This Row],[Date]])</f>
        <v>2026</v>
      </c>
      <c r="D800" s="168">
        <f t="shared" si="38"/>
        <v>46174</v>
      </c>
      <c r="AE800" s="167">
        <f t="shared" si="39"/>
        <v>0</v>
      </c>
    </row>
    <row r="801" spans="1:31">
      <c r="A801" s="197">
        <f t="shared" si="40"/>
        <v>46181</v>
      </c>
      <c r="B801" s="167">
        <f>YEAR(Table7[[#This Row],[Date]])+IF(MONTH(Table7[[#This Row],[Date]])&gt;=4,1,0)</f>
        <v>2027</v>
      </c>
      <c r="C801" s="167">
        <f>YEAR(Table7[[#This Row],[Date]])</f>
        <v>2026</v>
      </c>
      <c r="D801" s="168">
        <f t="shared" si="38"/>
        <v>46174</v>
      </c>
      <c r="AE801" s="167">
        <f t="shared" si="39"/>
        <v>0</v>
      </c>
    </row>
    <row r="802" spans="1:31">
      <c r="A802" s="197">
        <f t="shared" si="40"/>
        <v>46182</v>
      </c>
      <c r="B802" s="167">
        <f>YEAR(Table7[[#This Row],[Date]])+IF(MONTH(Table7[[#This Row],[Date]])&gt;=4,1,0)</f>
        <v>2027</v>
      </c>
      <c r="C802" s="167">
        <f>YEAR(Table7[[#This Row],[Date]])</f>
        <v>2026</v>
      </c>
      <c r="D802" s="168">
        <f t="shared" si="38"/>
        <v>46174</v>
      </c>
      <c r="AE802" s="167">
        <f t="shared" si="39"/>
        <v>0</v>
      </c>
    </row>
    <row r="803" spans="1:31">
      <c r="A803" s="197">
        <f t="shared" si="40"/>
        <v>46183</v>
      </c>
      <c r="B803" s="167">
        <f>YEAR(Table7[[#This Row],[Date]])+IF(MONTH(Table7[[#This Row],[Date]])&gt;=4,1,0)</f>
        <v>2027</v>
      </c>
      <c r="C803" s="167">
        <f>YEAR(Table7[[#This Row],[Date]])</f>
        <v>2026</v>
      </c>
      <c r="D803" s="168">
        <f t="shared" si="38"/>
        <v>46174</v>
      </c>
      <c r="AE803" s="167">
        <f t="shared" si="39"/>
        <v>0</v>
      </c>
    </row>
    <row r="804" spans="1:31">
      <c r="A804" s="197">
        <f t="shared" si="40"/>
        <v>46184</v>
      </c>
      <c r="B804" s="167">
        <f>YEAR(Table7[[#This Row],[Date]])+IF(MONTH(Table7[[#This Row],[Date]])&gt;=4,1,0)</f>
        <v>2027</v>
      </c>
      <c r="C804" s="167">
        <f>YEAR(Table7[[#This Row],[Date]])</f>
        <v>2026</v>
      </c>
      <c r="D804" s="168">
        <f t="shared" si="38"/>
        <v>46174</v>
      </c>
      <c r="AE804" s="167">
        <f t="shared" si="39"/>
        <v>0</v>
      </c>
    </row>
    <row r="805" spans="1:31">
      <c r="A805" s="197">
        <f t="shared" si="40"/>
        <v>46185</v>
      </c>
      <c r="B805" s="167">
        <f>YEAR(Table7[[#This Row],[Date]])+IF(MONTH(Table7[[#This Row],[Date]])&gt;=4,1,0)</f>
        <v>2027</v>
      </c>
      <c r="C805" s="167">
        <f>YEAR(Table7[[#This Row],[Date]])</f>
        <v>2026</v>
      </c>
      <c r="D805" s="168">
        <f t="shared" si="38"/>
        <v>46174</v>
      </c>
      <c r="AE805" s="167">
        <f t="shared" si="39"/>
        <v>0</v>
      </c>
    </row>
    <row r="806" spans="1:31">
      <c r="A806" s="197">
        <f t="shared" si="40"/>
        <v>46186</v>
      </c>
      <c r="B806" s="167">
        <f>YEAR(Table7[[#This Row],[Date]])+IF(MONTH(Table7[[#This Row],[Date]])&gt;=4,1,0)</f>
        <v>2027</v>
      </c>
      <c r="C806" s="167">
        <f>YEAR(Table7[[#This Row],[Date]])</f>
        <v>2026</v>
      </c>
      <c r="D806" s="168">
        <f t="shared" si="38"/>
        <v>46174</v>
      </c>
      <c r="AE806" s="167">
        <f t="shared" si="39"/>
        <v>0</v>
      </c>
    </row>
    <row r="807" spans="1:31">
      <c r="A807" s="197">
        <f t="shared" si="40"/>
        <v>46187</v>
      </c>
      <c r="B807" s="167">
        <f>YEAR(Table7[[#This Row],[Date]])+IF(MONTH(Table7[[#This Row],[Date]])&gt;=4,1,0)</f>
        <v>2027</v>
      </c>
      <c r="C807" s="167">
        <f>YEAR(Table7[[#This Row],[Date]])</f>
        <v>2026</v>
      </c>
      <c r="D807" s="168">
        <f t="shared" si="38"/>
        <v>46174</v>
      </c>
      <c r="AE807" s="167">
        <f t="shared" si="39"/>
        <v>0</v>
      </c>
    </row>
    <row r="808" spans="1:31">
      <c r="A808" s="197">
        <f t="shared" si="40"/>
        <v>46188</v>
      </c>
      <c r="B808" s="167">
        <f>YEAR(Table7[[#This Row],[Date]])+IF(MONTH(Table7[[#This Row],[Date]])&gt;=4,1,0)</f>
        <v>2027</v>
      </c>
      <c r="C808" s="167">
        <f>YEAR(Table7[[#This Row],[Date]])</f>
        <v>2026</v>
      </c>
      <c r="D808" s="168">
        <f t="shared" si="38"/>
        <v>46174</v>
      </c>
      <c r="AE808" s="167">
        <f t="shared" si="39"/>
        <v>0</v>
      </c>
    </row>
    <row r="809" spans="1:31">
      <c r="A809" s="197">
        <f t="shared" si="40"/>
        <v>46189</v>
      </c>
      <c r="B809" s="167">
        <f>YEAR(Table7[[#This Row],[Date]])+IF(MONTH(Table7[[#This Row],[Date]])&gt;=4,1,0)</f>
        <v>2027</v>
      </c>
      <c r="C809" s="167">
        <f>YEAR(Table7[[#This Row],[Date]])</f>
        <v>2026</v>
      </c>
      <c r="D809" s="168">
        <f t="shared" si="38"/>
        <v>46174</v>
      </c>
      <c r="AE809" s="167">
        <f t="shared" si="39"/>
        <v>0</v>
      </c>
    </row>
    <row r="810" spans="1:31">
      <c r="A810" s="197">
        <f t="shared" si="40"/>
        <v>46190</v>
      </c>
      <c r="B810" s="167">
        <f>YEAR(Table7[[#This Row],[Date]])+IF(MONTH(Table7[[#This Row],[Date]])&gt;=4,1,0)</f>
        <v>2027</v>
      </c>
      <c r="C810" s="167">
        <f>YEAR(Table7[[#This Row],[Date]])</f>
        <v>2026</v>
      </c>
      <c r="D810" s="168">
        <f t="shared" si="38"/>
        <v>46174</v>
      </c>
      <c r="AE810" s="167">
        <f t="shared" si="39"/>
        <v>0</v>
      </c>
    </row>
    <row r="811" spans="1:31">
      <c r="A811" s="197">
        <f t="shared" si="40"/>
        <v>46191</v>
      </c>
      <c r="B811" s="167">
        <f>YEAR(Table7[[#This Row],[Date]])+IF(MONTH(Table7[[#This Row],[Date]])&gt;=4,1,0)</f>
        <v>2027</v>
      </c>
      <c r="C811" s="167">
        <f>YEAR(Table7[[#This Row],[Date]])</f>
        <v>2026</v>
      </c>
      <c r="D811" s="168">
        <f t="shared" si="38"/>
        <v>46174</v>
      </c>
      <c r="AE811" s="167">
        <f t="shared" si="39"/>
        <v>0</v>
      </c>
    </row>
    <row r="812" spans="1:31">
      <c r="A812" s="197">
        <f t="shared" si="40"/>
        <v>46192</v>
      </c>
      <c r="B812" s="167">
        <f>YEAR(Table7[[#This Row],[Date]])+IF(MONTH(Table7[[#This Row],[Date]])&gt;=4,1,0)</f>
        <v>2027</v>
      </c>
      <c r="C812" s="167">
        <f>YEAR(Table7[[#This Row],[Date]])</f>
        <v>2026</v>
      </c>
      <c r="D812" s="168">
        <f t="shared" si="38"/>
        <v>46174</v>
      </c>
      <c r="AE812" s="167">
        <f t="shared" si="39"/>
        <v>0</v>
      </c>
    </row>
    <row r="813" spans="1:31">
      <c r="A813" s="197">
        <f t="shared" si="40"/>
        <v>46193</v>
      </c>
      <c r="B813" s="167">
        <f>YEAR(Table7[[#This Row],[Date]])+IF(MONTH(Table7[[#This Row],[Date]])&gt;=4,1,0)</f>
        <v>2027</v>
      </c>
      <c r="C813" s="167">
        <f>YEAR(Table7[[#This Row],[Date]])</f>
        <v>2026</v>
      </c>
      <c r="D813" s="168">
        <f t="shared" si="38"/>
        <v>46174</v>
      </c>
      <c r="AE813" s="167">
        <f t="shared" si="39"/>
        <v>0</v>
      </c>
    </row>
    <row r="814" spans="1:31">
      <c r="A814" s="197">
        <f t="shared" si="40"/>
        <v>46194</v>
      </c>
      <c r="B814" s="167">
        <f>YEAR(Table7[[#This Row],[Date]])+IF(MONTH(Table7[[#This Row],[Date]])&gt;=4,1,0)</f>
        <v>2027</v>
      </c>
      <c r="C814" s="167">
        <f>YEAR(Table7[[#This Row],[Date]])</f>
        <v>2026</v>
      </c>
      <c r="D814" s="168">
        <f t="shared" si="38"/>
        <v>46174</v>
      </c>
      <c r="AE814" s="167">
        <f t="shared" si="39"/>
        <v>0</v>
      </c>
    </row>
    <row r="815" spans="1:31">
      <c r="A815" s="197">
        <f t="shared" si="40"/>
        <v>46195</v>
      </c>
      <c r="B815" s="167">
        <f>YEAR(Table7[[#This Row],[Date]])+IF(MONTH(Table7[[#This Row],[Date]])&gt;=4,1,0)</f>
        <v>2027</v>
      </c>
      <c r="C815" s="167">
        <f>YEAR(Table7[[#This Row],[Date]])</f>
        <v>2026</v>
      </c>
      <c r="D815" s="168">
        <f t="shared" si="38"/>
        <v>46174</v>
      </c>
      <c r="AE815" s="167">
        <f t="shared" si="39"/>
        <v>0</v>
      </c>
    </row>
    <row r="816" spans="1:31">
      <c r="A816" s="197">
        <f t="shared" si="40"/>
        <v>46196</v>
      </c>
      <c r="B816" s="167">
        <f>YEAR(Table7[[#This Row],[Date]])+IF(MONTH(Table7[[#This Row],[Date]])&gt;=4,1,0)</f>
        <v>2027</v>
      </c>
      <c r="C816" s="167">
        <f>YEAR(Table7[[#This Row],[Date]])</f>
        <v>2026</v>
      </c>
      <c r="D816" s="168">
        <f t="shared" si="38"/>
        <v>46174</v>
      </c>
      <c r="AE816" s="167">
        <f t="shared" si="39"/>
        <v>0</v>
      </c>
    </row>
    <row r="817" spans="1:31">
      <c r="A817" s="197">
        <f t="shared" si="40"/>
        <v>46197</v>
      </c>
      <c r="B817" s="167">
        <f>YEAR(Table7[[#This Row],[Date]])+IF(MONTH(Table7[[#This Row],[Date]])&gt;=4,1,0)</f>
        <v>2027</v>
      </c>
      <c r="C817" s="167">
        <f>YEAR(Table7[[#This Row],[Date]])</f>
        <v>2026</v>
      </c>
      <c r="D817" s="168">
        <f t="shared" si="38"/>
        <v>46174</v>
      </c>
      <c r="AE817" s="167">
        <f t="shared" si="39"/>
        <v>0</v>
      </c>
    </row>
    <row r="818" spans="1:31">
      <c r="A818" s="197">
        <f t="shared" si="40"/>
        <v>46198</v>
      </c>
      <c r="B818" s="167">
        <f>YEAR(Table7[[#This Row],[Date]])+IF(MONTH(Table7[[#This Row],[Date]])&gt;=4,1,0)</f>
        <v>2027</v>
      </c>
      <c r="C818" s="167">
        <f>YEAR(Table7[[#This Row],[Date]])</f>
        <v>2026</v>
      </c>
      <c r="D818" s="168">
        <f t="shared" si="38"/>
        <v>46174</v>
      </c>
      <c r="AE818" s="167">
        <f t="shared" si="39"/>
        <v>0</v>
      </c>
    </row>
    <row r="819" spans="1:31">
      <c r="A819" s="197">
        <f t="shared" si="40"/>
        <v>46199</v>
      </c>
      <c r="B819" s="167">
        <f>YEAR(Table7[[#This Row],[Date]])+IF(MONTH(Table7[[#This Row],[Date]])&gt;=4,1,0)</f>
        <v>2027</v>
      </c>
      <c r="C819" s="167">
        <f>YEAR(Table7[[#This Row],[Date]])</f>
        <v>2026</v>
      </c>
      <c r="D819" s="168">
        <f t="shared" si="38"/>
        <v>46174</v>
      </c>
      <c r="AE819" s="167">
        <f t="shared" si="39"/>
        <v>0</v>
      </c>
    </row>
    <row r="820" spans="1:31">
      <c r="A820" s="197">
        <f t="shared" si="40"/>
        <v>46200</v>
      </c>
      <c r="B820" s="167">
        <f>YEAR(Table7[[#This Row],[Date]])+IF(MONTH(Table7[[#This Row],[Date]])&gt;=4,1,0)</f>
        <v>2027</v>
      </c>
      <c r="C820" s="167">
        <f>YEAR(Table7[[#This Row],[Date]])</f>
        <v>2026</v>
      </c>
      <c r="D820" s="168">
        <f t="shared" si="38"/>
        <v>46174</v>
      </c>
      <c r="AE820" s="167">
        <f t="shared" si="39"/>
        <v>0</v>
      </c>
    </row>
    <row r="821" spans="1:31">
      <c r="A821" s="197">
        <f t="shared" si="40"/>
        <v>46201</v>
      </c>
      <c r="B821" s="167">
        <f>YEAR(Table7[[#This Row],[Date]])+IF(MONTH(Table7[[#This Row],[Date]])&gt;=4,1,0)</f>
        <v>2027</v>
      </c>
      <c r="C821" s="167">
        <f>YEAR(Table7[[#This Row],[Date]])</f>
        <v>2026</v>
      </c>
      <c r="D821" s="168">
        <f t="shared" si="38"/>
        <v>46174</v>
      </c>
      <c r="AE821" s="167">
        <f t="shared" si="39"/>
        <v>0</v>
      </c>
    </row>
    <row r="822" spans="1:31">
      <c r="A822" s="197">
        <f t="shared" si="40"/>
        <v>46202</v>
      </c>
      <c r="B822" s="167">
        <f>YEAR(Table7[[#This Row],[Date]])+IF(MONTH(Table7[[#This Row],[Date]])&gt;=4,1,0)</f>
        <v>2027</v>
      </c>
      <c r="C822" s="167">
        <f>YEAR(Table7[[#This Row],[Date]])</f>
        <v>2026</v>
      </c>
      <c r="D822" s="168">
        <f t="shared" si="38"/>
        <v>46174</v>
      </c>
      <c r="AE822" s="167">
        <f t="shared" si="39"/>
        <v>0</v>
      </c>
    </row>
    <row r="823" spans="1:31">
      <c r="A823" s="197">
        <f t="shared" si="40"/>
        <v>46203</v>
      </c>
      <c r="B823" s="167">
        <f>YEAR(Table7[[#This Row],[Date]])+IF(MONTH(Table7[[#This Row],[Date]])&gt;=4,1,0)</f>
        <v>2027</v>
      </c>
      <c r="C823" s="167">
        <f>YEAR(Table7[[#This Row],[Date]])</f>
        <v>2026</v>
      </c>
      <c r="D823" s="168">
        <f t="shared" si="38"/>
        <v>46174</v>
      </c>
      <c r="AE823" s="167">
        <f t="shared" si="39"/>
        <v>0</v>
      </c>
    </row>
    <row r="824" spans="1:31">
      <c r="A824" s="197">
        <f t="shared" si="40"/>
        <v>46204</v>
      </c>
      <c r="B824" s="167">
        <f>YEAR(Table7[[#This Row],[Date]])+IF(MONTH(Table7[[#This Row],[Date]])&gt;=4,1,0)</f>
        <v>2027</v>
      </c>
      <c r="C824" s="167">
        <f>YEAR(Table7[[#This Row],[Date]])</f>
        <v>2026</v>
      </c>
      <c r="D824" s="168">
        <f t="shared" si="38"/>
        <v>46204</v>
      </c>
      <c r="AE824" s="167">
        <f t="shared" si="39"/>
        <v>0</v>
      </c>
    </row>
    <row r="825" spans="1:31">
      <c r="A825" s="197">
        <f t="shared" si="40"/>
        <v>46205</v>
      </c>
      <c r="B825" s="167">
        <f>YEAR(Table7[[#This Row],[Date]])+IF(MONTH(Table7[[#This Row],[Date]])&gt;=4,1,0)</f>
        <v>2027</v>
      </c>
      <c r="C825" s="167">
        <f>YEAR(Table7[[#This Row],[Date]])</f>
        <v>2026</v>
      </c>
      <c r="D825" s="168">
        <f t="shared" si="38"/>
        <v>46204</v>
      </c>
      <c r="AE825" s="167">
        <f t="shared" si="39"/>
        <v>0</v>
      </c>
    </row>
    <row r="826" spans="1:31">
      <c r="A826" s="197">
        <f t="shared" si="40"/>
        <v>46206</v>
      </c>
      <c r="B826" s="167">
        <f>YEAR(Table7[[#This Row],[Date]])+IF(MONTH(Table7[[#This Row],[Date]])&gt;=4,1,0)</f>
        <v>2027</v>
      </c>
      <c r="C826" s="167">
        <f>YEAR(Table7[[#This Row],[Date]])</f>
        <v>2026</v>
      </c>
      <c r="D826" s="168">
        <f t="shared" si="38"/>
        <v>46204</v>
      </c>
      <c r="AE826" s="167">
        <f t="shared" si="39"/>
        <v>0</v>
      </c>
    </row>
    <row r="827" spans="1:31">
      <c r="A827" s="197">
        <f t="shared" si="40"/>
        <v>46207</v>
      </c>
      <c r="B827" s="167">
        <f>YEAR(Table7[[#This Row],[Date]])+IF(MONTH(Table7[[#This Row],[Date]])&gt;=4,1,0)</f>
        <v>2027</v>
      </c>
      <c r="C827" s="167">
        <f>YEAR(Table7[[#This Row],[Date]])</f>
        <v>2026</v>
      </c>
      <c r="D827" s="168">
        <f t="shared" si="38"/>
        <v>46204</v>
      </c>
      <c r="AE827" s="167">
        <f t="shared" si="39"/>
        <v>0</v>
      </c>
    </row>
    <row r="828" spans="1:31">
      <c r="A828" s="197">
        <f t="shared" si="40"/>
        <v>46208</v>
      </c>
      <c r="B828" s="167">
        <f>YEAR(Table7[[#This Row],[Date]])+IF(MONTH(Table7[[#This Row],[Date]])&gt;=4,1,0)</f>
        <v>2027</v>
      </c>
      <c r="C828" s="167">
        <f>YEAR(Table7[[#This Row],[Date]])</f>
        <v>2026</v>
      </c>
      <c r="D828" s="168">
        <f t="shared" si="38"/>
        <v>46204</v>
      </c>
      <c r="AE828" s="167">
        <f t="shared" si="39"/>
        <v>0</v>
      </c>
    </row>
    <row r="829" spans="1:31">
      <c r="A829" s="197">
        <f t="shared" si="40"/>
        <v>46209</v>
      </c>
      <c r="B829" s="167">
        <f>YEAR(Table7[[#This Row],[Date]])+IF(MONTH(Table7[[#This Row],[Date]])&gt;=4,1,0)</f>
        <v>2027</v>
      </c>
      <c r="C829" s="167">
        <f>YEAR(Table7[[#This Row],[Date]])</f>
        <v>2026</v>
      </c>
      <c r="D829" s="168">
        <f t="shared" si="38"/>
        <v>46204</v>
      </c>
      <c r="AE829" s="167">
        <f t="shared" si="39"/>
        <v>0</v>
      </c>
    </row>
    <row r="830" spans="1:31">
      <c r="A830" s="197">
        <f t="shared" si="40"/>
        <v>46210</v>
      </c>
      <c r="B830" s="167">
        <f>YEAR(Table7[[#This Row],[Date]])+IF(MONTH(Table7[[#This Row],[Date]])&gt;=4,1,0)</f>
        <v>2027</v>
      </c>
      <c r="C830" s="167">
        <f>YEAR(Table7[[#This Row],[Date]])</f>
        <v>2026</v>
      </c>
      <c r="D830" s="168">
        <f t="shared" si="38"/>
        <v>46204</v>
      </c>
      <c r="AE830" s="167">
        <f t="shared" si="39"/>
        <v>0</v>
      </c>
    </row>
    <row r="831" spans="1:31">
      <c r="A831" s="197">
        <f t="shared" si="40"/>
        <v>46211</v>
      </c>
      <c r="B831" s="167">
        <f>YEAR(Table7[[#This Row],[Date]])+IF(MONTH(Table7[[#This Row],[Date]])&gt;=4,1,0)</f>
        <v>2027</v>
      </c>
      <c r="C831" s="167">
        <f>YEAR(Table7[[#This Row],[Date]])</f>
        <v>2026</v>
      </c>
      <c r="D831" s="168">
        <f t="shared" si="38"/>
        <v>46204</v>
      </c>
      <c r="AE831" s="167">
        <f t="shared" si="39"/>
        <v>0</v>
      </c>
    </row>
    <row r="832" spans="1:31">
      <c r="A832" s="197">
        <f t="shared" si="40"/>
        <v>46212</v>
      </c>
      <c r="B832" s="167">
        <f>YEAR(Table7[[#This Row],[Date]])+IF(MONTH(Table7[[#This Row],[Date]])&gt;=4,1,0)</f>
        <v>2027</v>
      </c>
      <c r="C832" s="167">
        <f>YEAR(Table7[[#This Row],[Date]])</f>
        <v>2026</v>
      </c>
      <c r="D832" s="168">
        <f t="shared" si="38"/>
        <v>46204</v>
      </c>
      <c r="AE832" s="167">
        <f t="shared" si="39"/>
        <v>0</v>
      </c>
    </row>
    <row r="833" spans="1:31">
      <c r="A833" s="197">
        <f t="shared" si="40"/>
        <v>46213</v>
      </c>
      <c r="B833" s="167">
        <f>YEAR(Table7[[#This Row],[Date]])+IF(MONTH(Table7[[#This Row],[Date]])&gt;=4,1,0)</f>
        <v>2027</v>
      </c>
      <c r="C833" s="167">
        <f>YEAR(Table7[[#This Row],[Date]])</f>
        <v>2026</v>
      </c>
      <c r="D833" s="168">
        <f t="shared" si="38"/>
        <v>46204</v>
      </c>
      <c r="AE833" s="167">
        <f t="shared" si="39"/>
        <v>0</v>
      </c>
    </row>
    <row r="834" spans="1:31">
      <c r="A834" s="197">
        <f t="shared" si="40"/>
        <v>46214</v>
      </c>
      <c r="B834" s="167">
        <f>YEAR(Table7[[#This Row],[Date]])+IF(MONTH(Table7[[#This Row],[Date]])&gt;=4,1,0)</f>
        <v>2027</v>
      </c>
      <c r="C834" s="167">
        <f>YEAR(Table7[[#This Row],[Date]])</f>
        <v>2026</v>
      </c>
      <c r="D834" s="168">
        <f t="shared" si="38"/>
        <v>46204</v>
      </c>
      <c r="AE834" s="167">
        <f t="shared" si="39"/>
        <v>0</v>
      </c>
    </row>
    <row r="835" spans="1:31">
      <c r="A835" s="197">
        <f t="shared" si="40"/>
        <v>46215</v>
      </c>
      <c r="B835" s="167">
        <f>YEAR(Table7[[#This Row],[Date]])+IF(MONTH(Table7[[#This Row],[Date]])&gt;=4,1,0)</f>
        <v>2027</v>
      </c>
      <c r="C835" s="167">
        <f>YEAR(Table7[[#This Row],[Date]])</f>
        <v>2026</v>
      </c>
      <c r="D835" s="168">
        <f t="shared" ref="D835:D898" si="41">A835-DAY(A835)+1</f>
        <v>46204</v>
      </c>
      <c r="AE835" s="167">
        <f t="shared" ref="AE835:AE898" si="42">SUM(E835:AD835)</f>
        <v>0</v>
      </c>
    </row>
    <row r="836" spans="1:31">
      <c r="A836" s="197">
        <f t="shared" si="40"/>
        <v>46216</v>
      </c>
      <c r="B836" s="167">
        <f>YEAR(Table7[[#This Row],[Date]])+IF(MONTH(Table7[[#This Row],[Date]])&gt;=4,1,0)</f>
        <v>2027</v>
      </c>
      <c r="C836" s="167">
        <f>YEAR(Table7[[#This Row],[Date]])</f>
        <v>2026</v>
      </c>
      <c r="D836" s="168">
        <f t="shared" si="41"/>
        <v>46204</v>
      </c>
      <c r="AE836" s="167">
        <f t="shared" si="42"/>
        <v>0</v>
      </c>
    </row>
    <row r="837" spans="1:31">
      <c r="A837" s="197">
        <f t="shared" ref="A837:A900" si="43">A836+1</f>
        <v>46217</v>
      </c>
      <c r="B837" s="167">
        <f>YEAR(Table7[[#This Row],[Date]])+IF(MONTH(Table7[[#This Row],[Date]])&gt;=4,1,0)</f>
        <v>2027</v>
      </c>
      <c r="C837" s="167">
        <f>YEAR(Table7[[#This Row],[Date]])</f>
        <v>2026</v>
      </c>
      <c r="D837" s="168">
        <f t="shared" si="41"/>
        <v>46204</v>
      </c>
      <c r="AE837" s="167">
        <f t="shared" si="42"/>
        <v>0</v>
      </c>
    </row>
    <row r="838" spans="1:31">
      <c r="A838" s="197">
        <f t="shared" si="43"/>
        <v>46218</v>
      </c>
      <c r="B838" s="167">
        <f>YEAR(Table7[[#This Row],[Date]])+IF(MONTH(Table7[[#This Row],[Date]])&gt;=4,1,0)</f>
        <v>2027</v>
      </c>
      <c r="C838" s="167">
        <f>YEAR(Table7[[#This Row],[Date]])</f>
        <v>2026</v>
      </c>
      <c r="D838" s="168">
        <f t="shared" si="41"/>
        <v>46204</v>
      </c>
      <c r="AE838" s="167">
        <f t="shared" si="42"/>
        <v>0</v>
      </c>
    </row>
    <row r="839" spans="1:31">
      <c r="A839" s="197">
        <f t="shared" si="43"/>
        <v>46219</v>
      </c>
      <c r="B839" s="167">
        <f>YEAR(Table7[[#This Row],[Date]])+IF(MONTH(Table7[[#This Row],[Date]])&gt;=4,1,0)</f>
        <v>2027</v>
      </c>
      <c r="C839" s="167">
        <f>YEAR(Table7[[#This Row],[Date]])</f>
        <v>2026</v>
      </c>
      <c r="D839" s="168">
        <f t="shared" si="41"/>
        <v>46204</v>
      </c>
      <c r="AE839" s="167">
        <f t="shared" si="42"/>
        <v>0</v>
      </c>
    </row>
    <row r="840" spans="1:31">
      <c r="A840" s="197">
        <f t="shared" si="43"/>
        <v>46220</v>
      </c>
      <c r="B840" s="167">
        <f>YEAR(Table7[[#This Row],[Date]])+IF(MONTH(Table7[[#This Row],[Date]])&gt;=4,1,0)</f>
        <v>2027</v>
      </c>
      <c r="C840" s="167">
        <f>YEAR(Table7[[#This Row],[Date]])</f>
        <v>2026</v>
      </c>
      <c r="D840" s="168">
        <f t="shared" si="41"/>
        <v>46204</v>
      </c>
      <c r="AE840" s="167">
        <f t="shared" si="42"/>
        <v>0</v>
      </c>
    </row>
    <row r="841" spans="1:31">
      <c r="A841" s="197">
        <f t="shared" si="43"/>
        <v>46221</v>
      </c>
      <c r="B841" s="167">
        <f>YEAR(Table7[[#This Row],[Date]])+IF(MONTH(Table7[[#This Row],[Date]])&gt;=4,1,0)</f>
        <v>2027</v>
      </c>
      <c r="C841" s="167">
        <f>YEAR(Table7[[#This Row],[Date]])</f>
        <v>2026</v>
      </c>
      <c r="D841" s="168">
        <f t="shared" si="41"/>
        <v>46204</v>
      </c>
      <c r="AE841" s="167">
        <f t="shared" si="42"/>
        <v>0</v>
      </c>
    </row>
    <row r="842" spans="1:31">
      <c r="A842" s="197">
        <f t="shared" si="43"/>
        <v>46222</v>
      </c>
      <c r="B842" s="167">
        <f>YEAR(Table7[[#This Row],[Date]])+IF(MONTH(Table7[[#This Row],[Date]])&gt;=4,1,0)</f>
        <v>2027</v>
      </c>
      <c r="C842" s="167">
        <f>YEAR(Table7[[#This Row],[Date]])</f>
        <v>2026</v>
      </c>
      <c r="D842" s="168">
        <f t="shared" si="41"/>
        <v>46204</v>
      </c>
      <c r="AE842" s="167">
        <f t="shared" si="42"/>
        <v>0</v>
      </c>
    </row>
    <row r="843" spans="1:31">
      <c r="A843" s="197">
        <f t="shared" si="43"/>
        <v>46223</v>
      </c>
      <c r="B843" s="167">
        <f>YEAR(Table7[[#This Row],[Date]])+IF(MONTH(Table7[[#This Row],[Date]])&gt;=4,1,0)</f>
        <v>2027</v>
      </c>
      <c r="C843" s="167">
        <f>YEAR(Table7[[#This Row],[Date]])</f>
        <v>2026</v>
      </c>
      <c r="D843" s="168">
        <f t="shared" si="41"/>
        <v>46204</v>
      </c>
      <c r="AE843" s="167">
        <f t="shared" si="42"/>
        <v>0</v>
      </c>
    </row>
    <row r="844" spans="1:31">
      <c r="A844" s="197">
        <f t="shared" si="43"/>
        <v>46224</v>
      </c>
      <c r="B844" s="167">
        <f>YEAR(Table7[[#This Row],[Date]])+IF(MONTH(Table7[[#This Row],[Date]])&gt;=4,1,0)</f>
        <v>2027</v>
      </c>
      <c r="C844" s="167">
        <f>YEAR(Table7[[#This Row],[Date]])</f>
        <v>2026</v>
      </c>
      <c r="D844" s="168">
        <f t="shared" si="41"/>
        <v>46204</v>
      </c>
      <c r="AE844" s="167">
        <f t="shared" si="42"/>
        <v>0</v>
      </c>
    </row>
    <row r="845" spans="1:31">
      <c r="A845" s="197">
        <f t="shared" si="43"/>
        <v>46225</v>
      </c>
      <c r="B845" s="167">
        <f>YEAR(Table7[[#This Row],[Date]])+IF(MONTH(Table7[[#This Row],[Date]])&gt;=4,1,0)</f>
        <v>2027</v>
      </c>
      <c r="C845" s="167">
        <f>YEAR(Table7[[#This Row],[Date]])</f>
        <v>2026</v>
      </c>
      <c r="D845" s="168">
        <f t="shared" si="41"/>
        <v>46204</v>
      </c>
      <c r="AE845" s="167">
        <f t="shared" si="42"/>
        <v>0</v>
      </c>
    </row>
    <row r="846" spans="1:31">
      <c r="A846" s="197">
        <f t="shared" si="43"/>
        <v>46226</v>
      </c>
      <c r="B846" s="167">
        <f>YEAR(Table7[[#This Row],[Date]])+IF(MONTH(Table7[[#This Row],[Date]])&gt;=4,1,0)</f>
        <v>2027</v>
      </c>
      <c r="C846" s="167">
        <f>YEAR(Table7[[#This Row],[Date]])</f>
        <v>2026</v>
      </c>
      <c r="D846" s="168">
        <f t="shared" si="41"/>
        <v>46204</v>
      </c>
      <c r="AE846" s="167">
        <f t="shared" si="42"/>
        <v>0</v>
      </c>
    </row>
    <row r="847" spans="1:31">
      <c r="A847" s="197">
        <f t="shared" si="43"/>
        <v>46227</v>
      </c>
      <c r="B847" s="167">
        <f>YEAR(Table7[[#This Row],[Date]])+IF(MONTH(Table7[[#This Row],[Date]])&gt;=4,1,0)</f>
        <v>2027</v>
      </c>
      <c r="C847" s="167">
        <f>YEAR(Table7[[#This Row],[Date]])</f>
        <v>2026</v>
      </c>
      <c r="D847" s="168">
        <f t="shared" si="41"/>
        <v>46204</v>
      </c>
      <c r="AE847" s="167">
        <f t="shared" si="42"/>
        <v>0</v>
      </c>
    </row>
    <row r="848" spans="1:31">
      <c r="A848" s="197">
        <f t="shared" si="43"/>
        <v>46228</v>
      </c>
      <c r="B848" s="167">
        <f>YEAR(Table7[[#This Row],[Date]])+IF(MONTH(Table7[[#This Row],[Date]])&gt;=4,1,0)</f>
        <v>2027</v>
      </c>
      <c r="C848" s="167">
        <f>YEAR(Table7[[#This Row],[Date]])</f>
        <v>2026</v>
      </c>
      <c r="D848" s="168">
        <f t="shared" si="41"/>
        <v>46204</v>
      </c>
      <c r="AE848" s="167">
        <f t="shared" si="42"/>
        <v>0</v>
      </c>
    </row>
    <row r="849" spans="1:31">
      <c r="A849" s="197">
        <f t="shared" si="43"/>
        <v>46229</v>
      </c>
      <c r="B849" s="167">
        <f>YEAR(Table7[[#This Row],[Date]])+IF(MONTH(Table7[[#This Row],[Date]])&gt;=4,1,0)</f>
        <v>2027</v>
      </c>
      <c r="C849" s="167">
        <f>YEAR(Table7[[#This Row],[Date]])</f>
        <v>2026</v>
      </c>
      <c r="D849" s="168">
        <f t="shared" si="41"/>
        <v>46204</v>
      </c>
      <c r="AE849" s="167">
        <f t="shared" si="42"/>
        <v>0</v>
      </c>
    </row>
    <row r="850" spans="1:31">
      <c r="A850" s="197">
        <f t="shared" si="43"/>
        <v>46230</v>
      </c>
      <c r="B850" s="167">
        <f>YEAR(Table7[[#This Row],[Date]])+IF(MONTH(Table7[[#This Row],[Date]])&gt;=4,1,0)</f>
        <v>2027</v>
      </c>
      <c r="C850" s="167">
        <f>YEAR(Table7[[#This Row],[Date]])</f>
        <v>2026</v>
      </c>
      <c r="D850" s="168">
        <f t="shared" si="41"/>
        <v>46204</v>
      </c>
      <c r="AE850" s="167">
        <f t="shared" si="42"/>
        <v>0</v>
      </c>
    </row>
    <row r="851" spans="1:31">
      <c r="A851" s="197">
        <f t="shared" si="43"/>
        <v>46231</v>
      </c>
      <c r="B851" s="167">
        <f>YEAR(Table7[[#This Row],[Date]])+IF(MONTH(Table7[[#This Row],[Date]])&gt;=4,1,0)</f>
        <v>2027</v>
      </c>
      <c r="C851" s="167">
        <f>YEAR(Table7[[#This Row],[Date]])</f>
        <v>2026</v>
      </c>
      <c r="D851" s="168">
        <f t="shared" si="41"/>
        <v>46204</v>
      </c>
      <c r="AE851" s="167">
        <f t="shared" si="42"/>
        <v>0</v>
      </c>
    </row>
    <row r="852" spans="1:31">
      <c r="A852" s="197">
        <f t="shared" si="43"/>
        <v>46232</v>
      </c>
      <c r="B852" s="167">
        <f>YEAR(Table7[[#This Row],[Date]])+IF(MONTH(Table7[[#This Row],[Date]])&gt;=4,1,0)</f>
        <v>2027</v>
      </c>
      <c r="C852" s="167">
        <f>YEAR(Table7[[#This Row],[Date]])</f>
        <v>2026</v>
      </c>
      <c r="D852" s="168">
        <f t="shared" si="41"/>
        <v>46204</v>
      </c>
      <c r="AE852" s="167">
        <f t="shared" si="42"/>
        <v>0</v>
      </c>
    </row>
    <row r="853" spans="1:31">
      <c r="A853" s="197">
        <f t="shared" si="43"/>
        <v>46233</v>
      </c>
      <c r="B853" s="167">
        <f>YEAR(Table7[[#This Row],[Date]])+IF(MONTH(Table7[[#This Row],[Date]])&gt;=4,1,0)</f>
        <v>2027</v>
      </c>
      <c r="C853" s="167">
        <f>YEAR(Table7[[#This Row],[Date]])</f>
        <v>2026</v>
      </c>
      <c r="D853" s="168">
        <f t="shared" si="41"/>
        <v>46204</v>
      </c>
      <c r="AE853" s="167">
        <f t="shared" si="42"/>
        <v>0</v>
      </c>
    </row>
    <row r="854" spans="1:31">
      <c r="A854" s="197">
        <f t="shared" si="43"/>
        <v>46234</v>
      </c>
      <c r="B854" s="167">
        <f>YEAR(Table7[[#This Row],[Date]])+IF(MONTH(Table7[[#This Row],[Date]])&gt;=4,1,0)</f>
        <v>2027</v>
      </c>
      <c r="C854" s="167">
        <f>YEAR(Table7[[#This Row],[Date]])</f>
        <v>2026</v>
      </c>
      <c r="D854" s="168">
        <f t="shared" si="41"/>
        <v>46204</v>
      </c>
      <c r="AE854" s="167">
        <f t="shared" si="42"/>
        <v>0</v>
      </c>
    </row>
    <row r="855" spans="1:31">
      <c r="A855" s="197">
        <f t="shared" si="43"/>
        <v>46235</v>
      </c>
      <c r="B855" s="167">
        <f>YEAR(Table7[[#This Row],[Date]])+IF(MONTH(Table7[[#This Row],[Date]])&gt;=4,1,0)</f>
        <v>2027</v>
      </c>
      <c r="C855" s="167">
        <f>YEAR(Table7[[#This Row],[Date]])</f>
        <v>2026</v>
      </c>
      <c r="D855" s="168">
        <f t="shared" si="41"/>
        <v>46235</v>
      </c>
      <c r="AE855" s="167">
        <f t="shared" si="42"/>
        <v>0</v>
      </c>
    </row>
    <row r="856" spans="1:31">
      <c r="A856" s="197">
        <f t="shared" si="43"/>
        <v>46236</v>
      </c>
      <c r="B856" s="167">
        <f>YEAR(Table7[[#This Row],[Date]])+IF(MONTH(Table7[[#This Row],[Date]])&gt;=4,1,0)</f>
        <v>2027</v>
      </c>
      <c r="C856" s="167">
        <f>YEAR(Table7[[#This Row],[Date]])</f>
        <v>2026</v>
      </c>
      <c r="D856" s="168">
        <f t="shared" si="41"/>
        <v>46235</v>
      </c>
      <c r="AE856" s="167">
        <f t="shared" si="42"/>
        <v>0</v>
      </c>
    </row>
    <row r="857" spans="1:31">
      <c r="A857" s="197">
        <f t="shared" si="43"/>
        <v>46237</v>
      </c>
      <c r="B857" s="167">
        <f>YEAR(Table7[[#This Row],[Date]])+IF(MONTH(Table7[[#This Row],[Date]])&gt;=4,1,0)</f>
        <v>2027</v>
      </c>
      <c r="C857" s="167">
        <f>YEAR(Table7[[#This Row],[Date]])</f>
        <v>2026</v>
      </c>
      <c r="D857" s="168">
        <f t="shared" si="41"/>
        <v>46235</v>
      </c>
      <c r="AE857" s="167">
        <f t="shared" si="42"/>
        <v>0</v>
      </c>
    </row>
    <row r="858" spans="1:31">
      <c r="A858" s="197">
        <f t="shared" si="43"/>
        <v>46238</v>
      </c>
      <c r="B858" s="167">
        <f>YEAR(Table7[[#This Row],[Date]])+IF(MONTH(Table7[[#This Row],[Date]])&gt;=4,1,0)</f>
        <v>2027</v>
      </c>
      <c r="C858" s="167">
        <f>YEAR(Table7[[#This Row],[Date]])</f>
        <v>2026</v>
      </c>
      <c r="D858" s="168">
        <f t="shared" si="41"/>
        <v>46235</v>
      </c>
      <c r="AE858" s="167">
        <f t="shared" si="42"/>
        <v>0</v>
      </c>
    </row>
    <row r="859" spans="1:31">
      <c r="A859" s="197">
        <f t="shared" si="43"/>
        <v>46239</v>
      </c>
      <c r="B859" s="167">
        <f>YEAR(Table7[[#This Row],[Date]])+IF(MONTH(Table7[[#This Row],[Date]])&gt;=4,1,0)</f>
        <v>2027</v>
      </c>
      <c r="C859" s="167">
        <f>YEAR(Table7[[#This Row],[Date]])</f>
        <v>2026</v>
      </c>
      <c r="D859" s="168">
        <f t="shared" si="41"/>
        <v>46235</v>
      </c>
      <c r="AE859" s="167">
        <f t="shared" si="42"/>
        <v>0</v>
      </c>
    </row>
    <row r="860" spans="1:31">
      <c r="A860" s="197">
        <f t="shared" si="43"/>
        <v>46240</v>
      </c>
      <c r="B860" s="167">
        <f>YEAR(Table7[[#This Row],[Date]])+IF(MONTH(Table7[[#This Row],[Date]])&gt;=4,1,0)</f>
        <v>2027</v>
      </c>
      <c r="C860" s="167">
        <f>YEAR(Table7[[#This Row],[Date]])</f>
        <v>2026</v>
      </c>
      <c r="D860" s="168">
        <f t="shared" si="41"/>
        <v>46235</v>
      </c>
      <c r="AE860" s="167">
        <f t="shared" si="42"/>
        <v>0</v>
      </c>
    </row>
    <row r="861" spans="1:31">
      <c r="A861" s="197">
        <f t="shared" si="43"/>
        <v>46241</v>
      </c>
      <c r="B861" s="167">
        <f>YEAR(Table7[[#This Row],[Date]])+IF(MONTH(Table7[[#This Row],[Date]])&gt;=4,1,0)</f>
        <v>2027</v>
      </c>
      <c r="C861" s="167">
        <f>YEAR(Table7[[#This Row],[Date]])</f>
        <v>2026</v>
      </c>
      <c r="D861" s="168">
        <f t="shared" si="41"/>
        <v>46235</v>
      </c>
      <c r="AE861" s="167">
        <f t="shared" si="42"/>
        <v>0</v>
      </c>
    </row>
    <row r="862" spans="1:31">
      <c r="A862" s="197">
        <f t="shared" si="43"/>
        <v>46242</v>
      </c>
      <c r="B862" s="167">
        <f>YEAR(Table7[[#This Row],[Date]])+IF(MONTH(Table7[[#This Row],[Date]])&gt;=4,1,0)</f>
        <v>2027</v>
      </c>
      <c r="C862" s="167">
        <f>YEAR(Table7[[#This Row],[Date]])</f>
        <v>2026</v>
      </c>
      <c r="D862" s="168">
        <f t="shared" si="41"/>
        <v>46235</v>
      </c>
      <c r="AE862" s="167">
        <f t="shared" si="42"/>
        <v>0</v>
      </c>
    </row>
    <row r="863" spans="1:31">
      <c r="A863" s="197">
        <f t="shared" si="43"/>
        <v>46243</v>
      </c>
      <c r="B863" s="167">
        <f>YEAR(Table7[[#This Row],[Date]])+IF(MONTH(Table7[[#This Row],[Date]])&gt;=4,1,0)</f>
        <v>2027</v>
      </c>
      <c r="C863" s="167">
        <f>YEAR(Table7[[#This Row],[Date]])</f>
        <v>2026</v>
      </c>
      <c r="D863" s="168">
        <f t="shared" si="41"/>
        <v>46235</v>
      </c>
      <c r="AE863" s="167">
        <f t="shared" si="42"/>
        <v>0</v>
      </c>
    </row>
    <row r="864" spans="1:31">
      <c r="A864" s="197">
        <f t="shared" si="43"/>
        <v>46244</v>
      </c>
      <c r="B864" s="167">
        <f>YEAR(Table7[[#This Row],[Date]])+IF(MONTH(Table7[[#This Row],[Date]])&gt;=4,1,0)</f>
        <v>2027</v>
      </c>
      <c r="C864" s="167">
        <f>YEAR(Table7[[#This Row],[Date]])</f>
        <v>2026</v>
      </c>
      <c r="D864" s="168">
        <f t="shared" si="41"/>
        <v>46235</v>
      </c>
      <c r="AE864" s="167">
        <f t="shared" si="42"/>
        <v>0</v>
      </c>
    </row>
    <row r="865" spans="1:31">
      <c r="A865" s="197">
        <f t="shared" si="43"/>
        <v>46245</v>
      </c>
      <c r="B865" s="167">
        <f>YEAR(Table7[[#This Row],[Date]])+IF(MONTH(Table7[[#This Row],[Date]])&gt;=4,1,0)</f>
        <v>2027</v>
      </c>
      <c r="C865" s="167">
        <f>YEAR(Table7[[#This Row],[Date]])</f>
        <v>2026</v>
      </c>
      <c r="D865" s="168">
        <f t="shared" si="41"/>
        <v>46235</v>
      </c>
      <c r="AE865" s="167">
        <f t="shared" si="42"/>
        <v>0</v>
      </c>
    </row>
    <row r="866" spans="1:31">
      <c r="A866" s="197">
        <f t="shared" si="43"/>
        <v>46246</v>
      </c>
      <c r="B866" s="167">
        <f>YEAR(Table7[[#This Row],[Date]])+IF(MONTH(Table7[[#This Row],[Date]])&gt;=4,1,0)</f>
        <v>2027</v>
      </c>
      <c r="C866" s="167">
        <f>YEAR(Table7[[#This Row],[Date]])</f>
        <v>2026</v>
      </c>
      <c r="D866" s="168">
        <f t="shared" si="41"/>
        <v>46235</v>
      </c>
      <c r="AE866" s="167">
        <f t="shared" si="42"/>
        <v>0</v>
      </c>
    </row>
    <row r="867" spans="1:31">
      <c r="A867" s="197">
        <f t="shared" si="43"/>
        <v>46247</v>
      </c>
      <c r="B867" s="167">
        <f>YEAR(Table7[[#This Row],[Date]])+IF(MONTH(Table7[[#This Row],[Date]])&gt;=4,1,0)</f>
        <v>2027</v>
      </c>
      <c r="C867" s="167">
        <f>YEAR(Table7[[#This Row],[Date]])</f>
        <v>2026</v>
      </c>
      <c r="D867" s="168">
        <f t="shared" si="41"/>
        <v>46235</v>
      </c>
      <c r="AE867" s="167">
        <f t="shared" si="42"/>
        <v>0</v>
      </c>
    </row>
    <row r="868" spans="1:31">
      <c r="A868" s="197">
        <f t="shared" si="43"/>
        <v>46248</v>
      </c>
      <c r="B868" s="167">
        <f>YEAR(Table7[[#This Row],[Date]])+IF(MONTH(Table7[[#This Row],[Date]])&gt;=4,1,0)</f>
        <v>2027</v>
      </c>
      <c r="C868" s="167">
        <f>YEAR(Table7[[#This Row],[Date]])</f>
        <v>2026</v>
      </c>
      <c r="D868" s="168">
        <f t="shared" si="41"/>
        <v>46235</v>
      </c>
      <c r="AE868" s="167">
        <f t="shared" si="42"/>
        <v>0</v>
      </c>
    </row>
    <row r="869" spans="1:31">
      <c r="A869" s="197">
        <f t="shared" si="43"/>
        <v>46249</v>
      </c>
      <c r="B869" s="167">
        <f>YEAR(Table7[[#This Row],[Date]])+IF(MONTH(Table7[[#This Row],[Date]])&gt;=4,1,0)</f>
        <v>2027</v>
      </c>
      <c r="C869" s="167">
        <f>YEAR(Table7[[#This Row],[Date]])</f>
        <v>2026</v>
      </c>
      <c r="D869" s="168">
        <f t="shared" si="41"/>
        <v>46235</v>
      </c>
      <c r="AE869" s="167">
        <f t="shared" si="42"/>
        <v>0</v>
      </c>
    </row>
    <row r="870" spans="1:31">
      <c r="A870" s="197">
        <f t="shared" si="43"/>
        <v>46250</v>
      </c>
      <c r="B870" s="167">
        <f>YEAR(Table7[[#This Row],[Date]])+IF(MONTH(Table7[[#This Row],[Date]])&gt;=4,1,0)</f>
        <v>2027</v>
      </c>
      <c r="C870" s="167">
        <f>YEAR(Table7[[#This Row],[Date]])</f>
        <v>2026</v>
      </c>
      <c r="D870" s="168">
        <f t="shared" si="41"/>
        <v>46235</v>
      </c>
      <c r="AE870" s="167">
        <f t="shared" si="42"/>
        <v>0</v>
      </c>
    </row>
    <row r="871" spans="1:31">
      <c r="A871" s="197">
        <f t="shared" si="43"/>
        <v>46251</v>
      </c>
      <c r="B871" s="167">
        <f>YEAR(Table7[[#This Row],[Date]])+IF(MONTH(Table7[[#This Row],[Date]])&gt;=4,1,0)</f>
        <v>2027</v>
      </c>
      <c r="C871" s="167">
        <f>YEAR(Table7[[#This Row],[Date]])</f>
        <v>2026</v>
      </c>
      <c r="D871" s="168">
        <f t="shared" si="41"/>
        <v>46235</v>
      </c>
      <c r="AE871" s="167">
        <f t="shared" si="42"/>
        <v>0</v>
      </c>
    </row>
    <row r="872" spans="1:31">
      <c r="A872" s="197">
        <f t="shared" si="43"/>
        <v>46252</v>
      </c>
      <c r="B872" s="167">
        <f>YEAR(Table7[[#This Row],[Date]])+IF(MONTH(Table7[[#This Row],[Date]])&gt;=4,1,0)</f>
        <v>2027</v>
      </c>
      <c r="C872" s="167">
        <f>YEAR(Table7[[#This Row],[Date]])</f>
        <v>2026</v>
      </c>
      <c r="D872" s="168">
        <f t="shared" si="41"/>
        <v>46235</v>
      </c>
      <c r="AE872" s="167">
        <f t="shared" si="42"/>
        <v>0</v>
      </c>
    </row>
    <row r="873" spans="1:31">
      <c r="A873" s="197">
        <f t="shared" si="43"/>
        <v>46253</v>
      </c>
      <c r="B873" s="167">
        <f>YEAR(Table7[[#This Row],[Date]])+IF(MONTH(Table7[[#This Row],[Date]])&gt;=4,1,0)</f>
        <v>2027</v>
      </c>
      <c r="C873" s="167">
        <f>YEAR(Table7[[#This Row],[Date]])</f>
        <v>2026</v>
      </c>
      <c r="D873" s="168">
        <f t="shared" si="41"/>
        <v>46235</v>
      </c>
      <c r="AE873" s="167">
        <f t="shared" si="42"/>
        <v>0</v>
      </c>
    </row>
    <row r="874" spans="1:31">
      <c r="A874" s="197">
        <f t="shared" si="43"/>
        <v>46254</v>
      </c>
      <c r="B874" s="167">
        <f>YEAR(Table7[[#This Row],[Date]])+IF(MONTH(Table7[[#This Row],[Date]])&gt;=4,1,0)</f>
        <v>2027</v>
      </c>
      <c r="C874" s="167">
        <f>YEAR(Table7[[#This Row],[Date]])</f>
        <v>2026</v>
      </c>
      <c r="D874" s="168">
        <f t="shared" si="41"/>
        <v>46235</v>
      </c>
      <c r="AE874" s="167">
        <f t="shared" si="42"/>
        <v>0</v>
      </c>
    </row>
    <row r="875" spans="1:31">
      <c r="A875" s="197">
        <f t="shared" si="43"/>
        <v>46255</v>
      </c>
      <c r="B875" s="167">
        <f>YEAR(Table7[[#This Row],[Date]])+IF(MONTH(Table7[[#This Row],[Date]])&gt;=4,1,0)</f>
        <v>2027</v>
      </c>
      <c r="C875" s="167">
        <f>YEAR(Table7[[#This Row],[Date]])</f>
        <v>2026</v>
      </c>
      <c r="D875" s="168">
        <f t="shared" si="41"/>
        <v>46235</v>
      </c>
      <c r="AE875" s="167">
        <f t="shared" si="42"/>
        <v>0</v>
      </c>
    </row>
    <row r="876" spans="1:31">
      <c r="A876" s="197">
        <f t="shared" si="43"/>
        <v>46256</v>
      </c>
      <c r="B876" s="167">
        <f>YEAR(Table7[[#This Row],[Date]])+IF(MONTH(Table7[[#This Row],[Date]])&gt;=4,1,0)</f>
        <v>2027</v>
      </c>
      <c r="C876" s="167">
        <f>YEAR(Table7[[#This Row],[Date]])</f>
        <v>2026</v>
      </c>
      <c r="D876" s="168">
        <f t="shared" si="41"/>
        <v>46235</v>
      </c>
      <c r="AE876" s="167">
        <f t="shared" si="42"/>
        <v>0</v>
      </c>
    </row>
    <row r="877" spans="1:31">
      <c r="A877" s="197">
        <f t="shared" si="43"/>
        <v>46257</v>
      </c>
      <c r="B877" s="167">
        <f>YEAR(Table7[[#This Row],[Date]])+IF(MONTH(Table7[[#This Row],[Date]])&gt;=4,1,0)</f>
        <v>2027</v>
      </c>
      <c r="C877" s="167">
        <f>YEAR(Table7[[#This Row],[Date]])</f>
        <v>2026</v>
      </c>
      <c r="D877" s="168">
        <f t="shared" si="41"/>
        <v>46235</v>
      </c>
      <c r="AE877" s="167">
        <f t="shared" si="42"/>
        <v>0</v>
      </c>
    </row>
    <row r="878" spans="1:31">
      <c r="A878" s="197">
        <f t="shared" si="43"/>
        <v>46258</v>
      </c>
      <c r="B878" s="167">
        <f>YEAR(Table7[[#This Row],[Date]])+IF(MONTH(Table7[[#This Row],[Date]])&gt;=4,1,0)</f>
        <v>2027</v>
      </c>
      <c r="C878" s="167">
        <f>YEAR(Table7[[#This Row],[Date]])</f>
        <v>2026</v>
      </c>
      <c r="D878" s="168">
        <f t="shared" si="41"/>
        <v>46235</v>
      </c>
      <c r="AE878" s="167">
        <f t="shared" si="42"/>
        <v>0</v>
      </c>
    </row>
    <row r="879" spans="1:31">
      <c r="A879" s="197">
        <f t="shared" si="43"/>
        <v>46259</v>
      </c>
      <c r="B879" s="167">
        <f>YEAR(Table7[[#This Row],[Date]])+IF(MONTH(Table7[[#This Row],[Date]])&gt;=4,1,0)</f>
        <v>2027</v>
      </c>
      <c r="C879" s="167">
        <f>YEAR(Table7[[#This Row],[Date]])</f>
        <v>2026</v>
      </c>
      <c r="D879" s="168">
        <f t="shared" si="41"/>
        <v>46235</v>
      </c>
      <c r="AE879" s="167">
        <f t="shared" si="42"/>
        <v>0</v>
      </c>
    </row>
    <row r="880" spans="1:31">
      <c r="A880" s="197">
        <f t="shared" si="43"/>
        <v>46260</v>
      </c>
      <c r="B880" s="167">
        <f>YEAR(Table7[[#This Row],[Date]])+IF(MONTH(Table7[[#This Row],[Date]])&gt;=4,1,0)</f>
        <v>2027</v>
      </c>
      <c r="C880" s="167">
        <f>YEAR(Table7[[#This Row],[Date]])</f>
        <v>2026</v>
      </c>
      <c r="D880" s="168">
        <f t="shared" si="41"/>
        <v>46235</v>
      </c>
      <c r="AE880" s="167">
        <f t="shared" si="42"/>
        <v>0</v>
      </c>
    </row>
    <row r="881" spans="1:31">
      <c r="A881" s="197">
        <f t="shared" si="43"/>
        <v>46261</v>
      </c>
      <c r="B881" s="167">
        <f>YEAR(Table7[[#This Row],[Date]])+IF(MONTH(Table7[[#This Row],[Date]])&gt;=4,1,0)</f>
        <v>2027</v>
      </c>
      <c r="C881" s="167">
        <f>YEAR(Table7[[#This Row],[Date]])</f>
        <v>2026</v>
      </c>
      <c r="D881" s="168">
        <f t="shared" si="41"/>
        <v>46235</v>
      </c>
      <c r="AE881" s="167">
        <f t="shared" si="42"/>
        <v>0</v>
      </c>
    </row>
    <row r="882" spans="1:31">
      <c r="A882" s="197">
        <f t="shared" si="43"/>
        <v>46262</v>
      </c>
      <c r="B882" s="167">
        <f>YEAR(Table7[[#This Row],[Date]])+IF(MONTH(Table7[[#This Row],[Date]])&gt;=4,1,0)</f>
        <v>2027</v>
      </c>
      <c r="C882" s="167">
        <f>YEAR(Table7[[#This Row],[Date]])</f>
        <v>2026</v>
      </c>
      <c r="D882" s="168">
        <f t="shared" si="41"/>
        <v>46235</v>
      </c>
      <c r="AE882" s="167">
        <f t="shared" si="42"/>
        <v>0</v>
      </c>
    </row>
    <row r="883" spans="1:31">
      <c r="A883" s="197">
        <f t="shared" si="43"/>
        <v>46263</v>
      </c>
      <c r="B883" s="167">
        <f>YEAR(Table7[[#This Row],[Date]])+IF(MONTH(Table7[[#This Row],[Date]])&gt;=4,1,0)</f>
        <v>2027</v>
      </c>
      <c r="C883" s="167">
        <f>YEAR(Table7[[#This Row],[Date]])</f>
        <v>2026</v>
      </c>
      <c r="D883" s="168">
        <f t="shared" si="41"/>
        <v>46235</v>
      </c>
      <c r="AE883" s="167">
        <f t="shared" si="42"/>
        <v>0</v>
      </c>
    </row>
    <row r="884" spans="1:31">
      <c r="A884" s="197">
        <f t="shared" si="43"/>
        <v>46264</v>
      </c>
      <c r="B884" s="167">
        <f>YEAR(Table7[[#This Row],[Date]])+IF(MONTH(Table7[[#This Row],[Date]])&gt;=4,1,0)</f>
        <v>2027</v>
      </c>
      <c r="C884" s="167">
        <f>YEAR(Table7[[#This Row],[Date]])</f>
        <v>2026</v>
      </c>
      <c r="D884" s="168">
        <f t="shared" si="41"/>
        <v>46235</v>
      </c>
      <c r="AE884" s="167">
        <f t="shared" si="42"/>
        <v>0</v>
      </c>
    </row>
    <row r="885" spans="1:31">
      <c r="A885" s="197">
        <f t="shared" si="43"/>
        <v>46265</v>
      </c>
      <c r="B885" s="167">
        <f>YEAR(Table7[[#This Row],[Date]])+IF(MONTH(Table7[[#This Row],[Date]])&gt;=4,1,0)</f>
        <v>2027</v>
      </c>
      <c r="C885" s="167">
        <f>YEAR(Table7[[#This Row],[Date]])</f>
        <v>2026</v>
      </c>
      <c r="D885" s="168">
        <f t="shared" si="41"/>
        <v>46235</v>
      </c>
      <c r="AE885" s="167">
        <f t="shared" si="42"/>
        <v>0</v>
      </c>
    </row>
    <row r="886" spans="1:31">
      <c r="A886" s="197">
        <f t="shared" si="43"/>
        <v>46266</v>
      </c>
      <c r="B886" s="167">
        <f>YEAR(Table7[[#This Row],[Date]])+IF(MONTH(Table7[[#This Row],[Date]])&gt;=4,1,0)</f>
        <v>2027</v>
      </c>
      <c r="C886" s="167">
        <f>YEAR(Table7[[#This Row],[Date]])</f>
        <v>2026</v>
      </c>
      <c r="D886" s="168">
        <f t="shared" si="41"/>
        <v>46266</v>
      </c>
      <c r="AE886" s="167">
        <f t="shared" si="42"/>
        <v>0</v>
      </c>
    </row>
    <row r="887" spans="1:31">
      <c r="A887" s="197">
        <f t="shared" si="43"/>
        <v>46267</v>
      </c>
      <c r="B887" s="167">
        <f>YEAR(Table7[[#This Row],[Date]])+IF(MONTH(Table7[[#This Row],[Date]])&gt;=4,1,0)</f>
        <v>2027</v>
      </c>
      <c r="C887" s="167">
        <f>YEAR(Table7[[#This Row],[Date]])</f>
        <v>2026</v>
      </c>
      <c r="D887" s="168">
        <f t="shared" si="41"/>
        <v>46266</v>
      </c>
      <c r="AE887" s="167">
        <f t="shared" si="42"/>
        <v>0</v>
      </c>
    </row>
    <row r="888" spans="1:31">
      <c r="A888" s="197">
        <f t="shared" si="43"/>
        <v>46268</v>
      </c>
      <c r="B888" s="167">
        <f>YEAR(Table7[[#This Row],[Date]])+IF(MONTH(Table7[[#This Row],[Date]])&gt;=4,1,0)</f>
        <v>2027</v>
      </c>
      <c r="C888" s="167">
        <f>YEAR(Table7[[#This Row],[Date]])</f>
        <v>2026</v>
      </c>
      <c r="D888" s="168">
        <f t="shared" si="41"/>
        <v>46266</v>
      </c>
      <c r="AE888" s="167">
        <f t="shared" si="42"/>
        <v>0</v>
      </c>
    </row>
    <row r="889" spans="1:31">
      <c r="A889" s="197">
        <f t="shared" si="43"/>
        <v>46269</v>
      </c>
      <c r="B889" s="167">
        <f>YEAR(Table7[[#This Row],[Date]])+IF(MONTH(Table7[[#This Row],[Date]])&gt;=4,1,0)</f>
        <v>2027</v>
      </c>
      <c r="C889" s="167">
        <f>YEAR(Table7[[#This Row],[Date]])</f>
        <v>2026</v>
      </c>
      <c r="D889" s="168">
        <f t="shared" si="41"/>
        <v>46266</v>
      </c>
      <c r="AE889" s="167">
        <f t="shared" si="42"/>
        <v>0</v>
      </c>
    </row>
    <row r="890" spans="1:31">
      <c r="A890" s="197">
        <f t="shared" si="43"/>
        <v>46270</v>
      </c>
      <c r="B890" s="167">
        <f>YEAR(Table7[[#This Row],[Date]])+IF(MONTH(Table7[[#This Row],[Date]])&gt;=4,1,0)</f>
        <v>2027</v>
      </c>
      <c r="C890" s="167">
        <f>YEAR(Table7[[#This Row],[Date]])</f>
        <v>2026</v>
      </c>
      <c r="D890" s="168">
        <f t="shared" si="41"/>
        <v>46266</v>
      </c>
      <c r="AE890" s="167">
        <f t="shared" si="42"/>
        <v>0</v>
      </c>
    </row>
    <row r="891" spans="1:31">
      <c r="A891" s="197">
        <f t="shared" si="43"/>
        <v>46271</v>
      </c>
      <c r="B891" s="167">
        <f>YEAR(Table7[[#This Row],[Date]])+IF(MONTH(Table7[[#This Row],[Date]])&gt;=4,1,0)</f>
        <v>2027</v>
      </c>
      <c r="C891" s="167">
        <f>YEAR(Table7[[#This Row],[Date]])</f>
        <v>2026</v>
      </c>
      <c r="D891" s="168">
        <f t="shared" si="41"/>
        <v>46266</v>
      </c>
      <c r="AE891" s="167">
        <f t="shared" si="42"/>
        <v>0</v>
      </c>
    </row>
    <row r="892" spans="1:31">
      <c r="A892" s="197">
        <f t="shared" si="43"/>
        <v>46272</v>
      </c>
      <c r="B892" s="167">
        <f>YEAR(Table7[[#This Row],[Date]])+IF(MONTH(Table7[[#This Row],[Date]])&gt;=4,1,0)</f>
        <v>2027</v>
      </c>
      <c r="C892" s="167">
        <f>YEAR(Table7[[#This Row],[Date]])</f>
        <v>2026</v>
      </c>
      <c r="D892" s="168">
        <f t="shared" si="41"/>
        <v>46266</v>
      </c>
      <c r="AE892" s="167">
        <f t="shared" si="42"/>
        <v>0</v>
      </c>
    </row>
    <row r="893" spans="1:31">
      <c r="A893" s="197">
        <f t="shared" si="43"/>
        <v>46273</v>
      </c>
      <c r="B893" s="167">
        <f>YEAR(Table7[[#This Row],[Date]])+IF(MONTH(Table7[[#This Row],[Date]])&gt;=4,1,0)</f>
        <v>2027</v>
      </c>
      <c r="C893" s="167">
        <f>YEAR(Table7[[#This Row],[Date]])</f>
        <v>2026</v>
      </c>
      <c r="D893" s="168">
        <f t="shared" si="41"/>
        <v>46266</v>
      </c>
      <c r="AE893" s="167">
        <f t="shared" si="42"/>
        <v>0</v>
      </c>
    </row>
    <row r="894" spans="1:31">
      <c r="A894" s="197">
        <f t="shared" si="43"/>
        <v>46274</v>
      </c>
      <c r="B894" s="167">
        <f>YEAR(Table7[[#This Row],[Date]])+IF(MONTH(Table7[[#This Row],[Date]])&gt;=4,1,0)</f>
        <v>2027</v>
      </c>
      <c r="C894" s="167">
        <f>YEAR(Table7[[#This Row],[Date]])</f>
        <v>2026</v>
      </c>
      <c r="D894" s="168">
        <f t="shared" si="41"/>
        <v>46266</v>
      </c>
      <c r="AE894" s="167">
        <f t="shared" si="42"/>
        <v>0</v>
      </c>
    </row>
    <row r="895" spans="1:31">
      <c r="A895" s="197">
        <f t="shared" si="43"/>
        <v>46275</v>
      </c>
      <c r="B895" s="167">
        <f>YEAR(Table7[[#This Row],[Date]])+IF(MONTH(Table7[[#This Row],[Date]])&gt;=4,1,0)</f>
        <v>2027</v>
      </c>
      <c r="C895" s="167">
        <f>YEAR(Table7[[#This Row],[Date]])</f>
        <v>2026</v>
      </c>
      <c r="D895" s="168">
        <f t="shared" si="41"/>
        <v>46266</v>
      </c>
      <c r="AE895" s="167">
        <f t="shared" si="42"/>
        <v>0</v>
      </c>
    </row>
    <row r="896" spans="1:31">
      <c r="A896" s="197">
        <f t="shared" si="43"/>
        <v>46276</v>
      </c>
      <c r="B896" s="167">
        <f>YEAR(Table7[[#This Row],[Date]])+IF(MONTH(Table7[[#This Row],[Date]])&gt;=4,1,0)</f>
        <v>2027</v>
      </c>
      <c r="C896" s="167">
        <f>YEAR(Table7[[#This Row],[Date]])</f>
        <v>2026</v>
      </c>
      <c r="D896" s="168">
        <f t="shared" si="41"/>
        <v>46266</v>
      </c>
      <c r="AE896" s="167">
        <f t="shared" si="42"/>
        <v>0</v>
      </c>
    </row>
    <row r="897" spans="1:31">
      <c r="A897" s="197">
        <f t="shared" si="43"/>
        <v>46277</v>
      </c>
      <c r="B897" s="167">
        <f>YEAR(Table7[[#This Row],[Date]])+IF(MONTH(Table7[[#This Row],[Date]])&gt;=4,1,0)</f>
        <v>2027</v>
      </c>
      <c r="C897" s="167">
        <f>YEAR(Table7[[#This Row],[Date]])</f>
        <v>2026</v>
      </c>
      <c r="D897" s="168">
        <f t="shared" si="41"/>
        <v>46266</v>
      </c>
      <c r="AE897" s="167">
        <f t="shared" si="42"/>
        <v>0</v>
      </c>
    </row>
    <row r="898" spans="1:31">
      <c r="A898" s="197">
        <f t="shared" si="43"/>
        <v>46278</v>
      </c>
      <c r="B898" s="167">
        <f>YEAR(Table7[[#This Row],[Date]])+IF(MONTH(Table7[[#This Row],[Date]])&gt;=4,1,0)</f>
        <v>2027</v>
      </c>
      <c r="C898" s="167">
        <f>YEAR(Table7[[#This Row],[Date]])</f>
        <v>2026</v>
      </c>
      <c r="D898" s="168">
        <f t="shared" si="41"/>
        <v>46266</v>
      </c>
      <c r="AE898" s="167">
        <f t="shared" si="42"/>
        <v>0</v>
      </c>
    </row>
    <row r="899" spans="1:31">
      <c r="A899" s="197">
        <f t="shared" si="43"/>
        <v>46279</v>
      </c>
      <c r="B899" s="167">
        <f>YEAR(Table7[[#This Row],[Date]])+IF(MONTH(Table7[[#This Row],[Date]])&gt;=4,1,0)</f>
        <v>2027</v>
      </c>
      <c r="C899" s="167">
        <f>YEAR(Table7[[#This Row],[Date]])</f>
        <v>2026</v>
      </c>
      <c r="D899" s="168">
        <f t="shared" ref="D899:D962" si="44">A899-DAY(A899)+1</f>
        <v>46266</v>
      </c>
      <c r="AE899" s="167">
        <f t="shared" ref="AE899:AE962" si="45">SUM(E899:AD899)</f>
        <v>0</v>
      </c>
    </row>
    <row r="900" spans="1:31">
      <c r="A900" s="197">
        <f t="shared" si="43"/>
        <v>46280</v>
      </c>
      <c r="B900" s="167">
        <f>YEAR(Table7[[#This Row],[Date]])+IF(MONTH(Table7[[#This Row],[Date]])&gt;=4,1,0)</f>
        <v>2027</v>
      </c>
      <c r="C900" s="167">
        <f>YEAR(Table7[[#This Row],[Date]])</f>
        <v>2026</v>
      </c>
      <c r="D900" s="168">
        <f t="shared" si="44"/>
        <v>46266</v>
      </c>
      <c r="AE900" s="167">
        <f t="shared" si="45"/>
        <v>0</v>
      </c>
    </row>
    <row r="901" spans="1:31">
      <c r="A901" s="197">
        <f t="shared" ref="A901:A964" si="46">A900+1</f>
        <v>46281</v>
      </c>
      <c r="B901" s="167">
        <f>YEAR(Table7[[#This Row],[Date]])+IF(MONTH(Table7[[#This Row],[Date]])&gt;=4,1,0)</f>
        <v>2027</v>
      </c>
      <c r="C901" s="167">
        <f>YEAR(Table7[[#This Row],[Date]])</f>
        <v>2026</v>
      </c>
      <c r="D901" s="168">
        <f t="shared" si="44"/>
        <v>46266</v>
      </c>
      <c r="AE901" s="167">
        <f t="shared" si="45"/>
        <v>0</v>
      </c>
    </row>
    <row r="902" spans="1:31">
      <c r="A902" s="197">
        <f t="shared" si="46"/>
        <v>46282</v>
      </c>
      <c r="B902" s="167">
        <f>YEAR(Table7[[#This Row],[Date]])+IF(MONTH(Table7[[#This Row],[Date]])&gt;=4,1,0)</f>
        <v>2027</v>
      </c>
      <c r="C902" s="167">
        <f>YEAR(Table7[[#This Row],[Date]])</f>
        <v>2026</v>
      </c>
      <c r="D902" s="168">
        <f t="shared" si="44"/>
        <v>46266</v>
      </c>
      <c r="AE902" s="167">
        <f t="shared" si="45"/>
        <v>0</v>
      </c>
    </row>
    <row r="903" spans="1:31">
      <c r="A903" s="197">
        <f t="shared" si="46"/>
        <v>46283</v>
      </c>
      <c r="B903" s="167">
        <f>YEAR(Table7[[#This Row],[Date]])+IF(MONTH(Table7[[#This Row],[Date]])&gt;=4,1,0)</f>
        <v>2027</v>
      </c>
      <c r="C903" s="167">
        <f>YEAR(Table7[[#This Row],[Date]])</f>
        <v>2026</v>
      </c>
      <c r="D903" s="168">
        <f t="shared" si="44"/>
        <v>46266</v>
      </c>
      <c r="AE903" s="167">
        <f t="shared" si="45"/>
        <v>0</v>
      </c>
    </row>
    <row r="904" spans="1:31">
      <c r="A904" s="197">
        <f t="shared" si="46"/>
        <v>46284</v>
      </c>
      <c r="B904" s="167">
        <f>YEAR(Table7[[#This Row],[Date]])+IF(MONTH(Table7[[#This Row],[Date]])&gt;=4,1,0)</f>
        <v>2027</v>
      </c>
      <c r="C904" s="167">
        <f>YEAR(Table7[[#This Row],[Date]])</f>
        <v>2026</v>
      </c>
      <c r="D904" s="168">
        <f t="shared" si="44"/>
        <v>46266</v>
      </c>
      <c r="AE904" s="167">
        <f t="shared" si="45"/>
        <v>0</v>
      </c>
    </row>
    <row r="905" spans="1:31">
      <c r="A905" s="197">
        <f t="shared" si="46"/>
        <v>46285</v>
      </c>
      <c r="B905" s="167">
        <f>YEAR(Table7[[#This Row],[Date]])+IF(MONTH(Table7[[#This Row],[Date]])&gt;=4,1,0)</f>
        <v>2027</v>
      </c>
      <c r="C905" s="167">
        <f>YEAR(Table7[[#This Row],[Date]])</f>
        <v>2026</v>
      </c>
      <c r="D905" s="168">
        <f t="shared" si="44"/>
        <v>46266</v>
      </c>
      <c r="AE905" s="167">
        <f t="shared" si="45"/>
        <v>0</v>
      </c>
    </row>
    <row r="906" spans="1:31">
      <c r="A906" s="197">
        <f t="shared" si="46"/>
        <v>46286</v>
      </c>
      <c r="B906" s="167">
        <f>YEAR(Table7[[#This Row],[Date]])+IF(MONTH(Table7[[#This Row],[Date]])&gt;=4,1,0)</f>
        <v>2027</v>
      </c>
      <c r="C906" s="167">
        <f>YEAR(Table7[[#This Row],[Date]])</f>
        <v>2026</v>
      </c>
      <c r="D906" s="168">
        <f t="shared" si="44"/>
        <v>46266</v>
      </c>
      <c r="AE906" s="167">
        <f t="shared" si="45"/>
        <v>0</v>
      </c>
    </row>
    <row r="907" spans="1:31">
      <c r="A907" s="197">
        <f t="shared" si="46"/>
        <v>46287</v>
      </c>
      <c r="B907" s="167">
        <f>YEAR(Table7[[#This Row],[Date]])+IF(MONTH(Table7[[#This Row],[Date]])&gt;=4,1,0)</f>
        <v>2027</v>
      </c>
      <c r="C907" s="167">
        <f>YEAR(Table7[[#This Row],[Date]])</f>
        <v>2026</v>
      </c>
      <c r="D907" s="168">
        <f t="shared" si="44"/>
        <v>46266</v>
      </c>
      <c r="AE907" s="167">
        <f t="shared" si="45"/>
        <v>0</v>
      </c>
    </row>
    <row r="908" spans="1:31">
      <c r="A908" s="197">
        <f t="shared" si="46"/>
        <v>46288</v>
      </c>
      <c r="B908" s="167">
        <f>YEAR(Table7[[#This Row],[Date]])+IF(MONTH(Table7[[#This Row],[Date]])&gt;=4,1,0)</f>
        <v>2027</v>
      </c>
      <c r="C908" s="167">
        <f>YEAR(Table7[[#This Row],[Date]])</f>
        <v>2026</v>
      </c>
      <c r="D908" s="168">
        <f t="shared" si="44"/>
        <v>46266</v>
      </c>
      <c r="AE908" s="167">
        <f t="shared" si="45"/>
        <v>0</v>
      </c>
    </row>
    <row r="909" spans="1:31">
      <c r="A909" s="197">
        <f t="shared" si="46"/>
        <v>46289</v>
      </c>
      <c r="B909" s="167">
        <f>YEAR(Table7[[#This Row],[Date]])+IF(MONTH(Table7[[#This Row],[Date]])&gt;=4,1,0)</f>
        <v>2027</v>
      </c>
      <c r="C909" s="167">
        <f>YEAR(Table7[[#This Row],[Date]])</f>
        <v>2026</v>
      </c>
      <c r="D909" s="168">
        <f t="shared" si="44"/>
        <v>46266</v>
      </c>
      <c r="AE909" s="167">
        <f t="shared" si="45"/>
        <v>0</v>
      </c>
    </row>
    <row r="910" spans="1:31">
      <c r="A910" s="197">
        <f t="shared" si="46"/>
        <v>46290</v>
      </c>
      <c r="B910" s="167">
        <f>YEAR(Table7[[#This Row],[Date]])+IF(MONTH(Table7[[#This Row],[Date]])&gt;=4,1,0)</f>
        <v>2027</v>
      </c>
      <c r="C910" s="167">
        <f>YEAR(Table7[[#This Row],[Date]])</f>
        <v>2026</v>
      </c>
      <c r="D910" s="168">
        <f t="shared" si="44"/>
        <v>46266</v>
      </c>
      <c r="AE910" s="167">
        <f t="shared" si="45"/>
        <v>0</v>
      </c>
    </row>
    <row r="911" spans="1:31">
      <c r="A911" s="197">
        <f t="shared" si="46"/>
        <v>46291</v>
      </c>
      <c r="B911" s="167">
        <f>YEAR(Table7[[#This Row],[Date]])+IF(MONTH(Table7[[#This Row],[Date]])&gt;=4,1,0)</f>
        <v>2027</v>
      </c>
      <c r="C911" s="167">
        <f>YEAR(Table7[[#This Row],[Date]])</f>
        <v>2026</v>
      </c>
      <c r="D911" s="168">
        <f t="shared" si="44"/>
        <v>46266</v>
      </c>
      <c r="AE911" s="167">
        <f t="shared" si="45"/>
        <v>0</v>
      </c>
    </row>
    <row r="912" spans="1:31">
      <c r="A912" s="197">
        <f t="shared" si="46"/>
        <v>46292</v>
      </c>
      <c r="B912" s="167">
        <f>YEAR(Table7[[#This Row],[Date]])+IF(MONTH(Table7[[#This Row],[Date]])&gt;=4,1,0)</f>
        <v>2027</v>
      </c>
      <c r="C912" s="167">
        <f>YEAR(Table7[[#This Row],[Date]])</f>
        <v>2026</v>
      </c>
      <c r="D912" s="168">
        <f t="shared" si="44"/>
        <v>46266</v>
      </c>
      <c r="AE912" s="167">
        <f t="shared" si="45"/>
        <v>0</v>
      </c>
    </row>
    <row r="913" spans="1:31">
      <c r="A913" s="197">
        <f t="shared" si="46"/>
        <v>46293</v>
      </c>
      <c r="B913" s="167">
        <f>YEAR(Table7[[#This Row],[Date]])+IF(MONTH(Table7[[#This Row],[Date]])&gt;=4,1,0)</f>
        <v>2027</v>
      </c>
      <c r="C913" s="167">
        <f>YEAR(Table7[[#This Row],[Date]])</f>
        <v>2026</v>
      </c>
      <c r="D913" s="168">
        <f t="shared" si="44"/>
        <v>46266</v>
      </c>
      <c r="AE913" s="167">
        <f t="shared" si="45"/>
        <v>0</v>
      </c>
    </row>
    <row r="914" spans="1:31">
      <c r="A914" s="197">
        <f t="shared" si="46"/>
        <v>46294</v>
      </c>
      <c r="B914" s="167">
        <f>YEAR(Table7[[#This Row],[Date]])+IF(MONTH(Table7[[#This Row],[Date]])&gt;=4,1,0)</f>
        <v>2027</v>
      </c>
      <c r="C914" s="167">
        <f>YEAR(Table7[[#This Row],[Date]])</f>
        <v>2026</v>
      </c>
      <c r="D914" s="168">
        <f t="shared" si="44"/>
        <v>46266</v>
      </c>
      <c r="AE914" s="167">
        <f t="shared" si="45"/>
        <v>0</v>
      </c>
    </row>
    <row r="915" spans="1:31">
      <c r="A915" s="197">
        <f t="shared" si="46"/>
        <v>46295</v>
      </c>
      <c r="B915" s="167">
        <f>YEAR(Table7[[#This Row],[Date]])+IF(MONTH(Table7[[#This Row],[Date]])&gt;=4,1,0)</f>
        <v>2027</v>
      </c>
      <c r="C915" s="167">
        <f>YEAR(Table7[[#This Row],[Date]])</f>
        <v>2026</v>
      </c>
      <c r="D915" s="168">
        <f t="shared" si="44"/>
        <v>46266</v>
      </c>
      <c r="AE915" s="167">
        <f t="shared" si="45"/>
        <v>0</v>
      </c>
    </row>
    <row r="916" spans="1:31">
      <c r="A916" s="197">
        <f t="shared" si="46"/>
        <v>46296</v>
      </c>
      <c r="B916" s="167">
        <f>YEAR(Table7[[#This Row],[Date]])+IF(MONTH(Table7[[#This Row],[Date]])&gt;=4,1,0)</f>
        <v>2027</v>
      </c>
      <c r="C916" s="167">
        <f>YEAR(Table7[[#This Row],[Date]])</f>
        <v>2026</v>
      </c>
      <c r="D916" s="168">
        <f t="shared" si="44"/>
        <v>46296</v>
      </c>
      <c r="AE916" s="167">
        <f t="shared" si="45"/>
        <v>0</v>
      </c>
    </row>
    <row r="917" spans="1:31">
      <c r="A917" s="197">
        <f t="shared" si="46"/>
        <v>46297</v>
      </c>
      <c r="B917" s="167">
        <f>YEAR(Table7[[#This Row],[Date]])+IF(MONTH(Table7[[#This Row],[Date]])&gt;=4,1,0)</f>
        <v>2027</v>
      </c>
      <c r="C917" s="167">
        <f>YEAR(Table7[[#This Row],[Date]])</f>
        <v>2026</v>
      </c>
      <c r="D917" s="168">
        <f t="shared" si="44"/>
        <v>46296</v>
      </c>
      <c r="AE917" s="167">
        <f t="shared" si="45"/>
        <v>0</v>
      </c>
    </row>
    <row r="918" spans="1:31">
      <c r="A918" s="197">
        <f t="shared" si="46"/>
        <v>46298</v>
      </c>
      <c r="B918" s="167">
        <f>YEAR(Table7[[#This Row],[Date]])+IF(MONTH(Table7[[#This Row],[Date]])&gt;=4,1,0)</f>
        <v>2027</v>
      </c>
      <c r="C918" s="167">
        <f>YEAR(Table7[[#This Row],[Date]])</f>
        <v>2026</v>
      </c>
      <c r="D918" s="168">
        <f t="shared" si="44"/>
        <v>46296</v>
      </c>
      <c r="AE918" s="167">
        <f t="shared" si="45"/>
        <v>0</v>
      </c>
    </row>
    <row r="919" spans="1:31">
      <c r="A919" s="197">
        <f t="shared" si="46"/>
        <v>46299</v>
      </c>
      <c r="B919" s="167">
        <f>YEAR(Table7[[#This Row],[Date]])+IF(MONTH(Table7[[#This Row],[Date]])&gt;=4,1,0)</f>
        <v>2027</v>
      </c>
      <c r="C919" s="167">
        <f>YEAR(Table7[[#This Row],[Date]])</f>
        <v>2026</v>
      </c>
      <c r="D919" s="168">
        <f t="shared" si="44"/>
        <v>46296</v>
      </c>
      <c r="AE919" s="167">
        <f t="shared" si="45"/>
        <v>0</v>
      </c>
    </row>
    <row r="920" spans="1:31">
      <c r="A920" s="197">
        <f t="shared" si="46"/>
        <v>46300</v>
      </c>
      <c r="B920" s="167">
        <f>YEAR(Table7[[#This Row],[Date]])+IF(MONTH(Table7[[#This Row],[Date]])&gt;=4,1,0)</f>
        <v>2027</v>
      </c>
      <c r="C920" s="167">
        <f>YEAR(Table7[[#This Row],[Date]])</f>
        <v>2026</v>
      </c>
      <c r="D920" s="168">
        <f t="shared" si="44"/>
        <v>46296</v>
      </c>
      <c r="AE920" s="167">
        <f t="shared" si="45"/>
        <v>0</v>
      </c>
    </row>
    <row r="921" spans="1:31">
      <c r="A921" s="197">
        <f t="shared" si="46"/>
        <v>46301</v>
      </c>
      <c r="B921" s="167">
        <f>YEAR(Table7[[#This Row],[Date]])+IF(MONTH(Table7[[#This Row],[Date]])&gt;=4,1,0)</f>
        <v>2027</v>
      </c>
      <c r="C921" s="167">
        <f>YEAR(Table7[[#This Row],[Date]])</f>
        <v>2026</v>
      </c>
      <c r="D921" s="168">
        <f t="shared" si="44"/>
        <v>46296</v>
      </c>
      <c r="AE921" s="167">
        <f t="shared" si="45"/>
        <v>0</v>
      </c>
    </row>
    <row r="922" spans="1:31">
      <c r="A922" s="197">
        <f t="shared" si="46"/>
        <v>46302</v>
      </c>
      <c r="B922" s="167">
        <f>YEAR(Table7[[#This Row],[Date]])+IF(MONTH(Table7[[#This Row],[Date]])&gt;=4,1,0)</f>
        <v>2027</v>
      </c>
      <c r="C922" s="167">
        <f>YEAR(Table7[[#This Row],[Date]])</f>
        <v>2026</v>
      </c>
      <c r="D922" s="168">
        <f t="shared" si="44"/>
        <v>46296</v>
      </c>
      <c r="AE922" s="167">
        <f t="shared" si="45"/>
        <v>0</v>
      </c>
    </row>
    <row r="923" spans="1:31">
      <c r="A923" s="197">
        <f t="shared" si="46"/>
        <v>46303</v>
      </c>
      <c r="B923" s="167">
        <f>YEAR(Table7[[#This Row],[Date]])+IF(MONTH(Table7[[#This Row],[Date]])&gt;=4,1,0)</f>
        <v>2027</v>
      </c>
      <c r="C923" s="167">
        <f>YEAR(Table7[[#This Row],[Date]])</f>
        <v>2026</v>
      </c>
      <c r="D923" s="168">
        <f t="shared" si="44"/>
        <v>46296</v>
      </c>
      <c r="AE923" s="167">
        <f t="shared" si="45"/>
        <v>0</v>
      </c>
    </row>
    <row r="924" spans="1:31">
      <c r="A924" s="197">
        <f t="shared" si="46"/>
        <v>46304</v>
      </c>
      <c r="B924" s="167">
        <f>YEAR(Table7[[#This Row],[Date]])+IF(MONTH(Table7[[#This Row],[Date]])&gt;=4,1,0)</f>
        <v>2027</v>
      </c>
      <c r="C924" s="167">
        <f>YEAR(Table7[[#This Row],[Date]])</f>
        <v>2026</v>
      </c>
      <c r="D924" s="168">
        <f t="shared" si="44"/>
        <v>46296</v>
      </c>
      <c r="AE924" s="167">
        <f t="shared" si="45"/>
        <v>0</v>
      </c>
    </row>
    <row r="925" spans="1:31">
      <c r="A925" s="197">
        <f t="shared" si="46"/>
        <v>46305</v>
      </c>
      <c r="B925" s="167">
        <f>YEAR(Table7[[#This Row],[Date]])+IF(MONTH(Table7[[#This Row],[Date]])&gt;=4,1,0)</f>
        <v>2027</v>
      </c>
      <c r="C925" s="167">
        <f>YEAR(Table7[[#This Row],[Date]])</f>
        <v>2026</v>
      </c>
      <c r="D925" s="168">
        <f t="shared" si="44"/>
        <v>46296</v>
      </c>
      <c r="AE925" s="167">
        <f t="shared" si="45"/>
        <v>0</v>
      </c>
    </row>
    <row r="926" spans="1:31">
      <c r="A926" s="197">
        <f t="shared" si="46"/>
        <v>46306</v>
      </c>
      <c r="B926" s="167">
        <f>YEAR(Table7[[#This Row],[Date]])+IF(MONTH(Table7[[#This Row],[Date]])&gt;=4,1,0)</f>
        <v>2027</v>
      </c>
      <c r="C926" s="167">
        <f>YEAR(Table7[[#This Row],[Date]])</f>
        <v>2026</v>
      </c>
      <c r="D926" s="168">
        <f t="shared" si="44"/>
        <v>46296</v>
      </c>
      <c r="AE926" s="167">
        <f t="shared" si="45"/>
        <v>0</v>
      </c>
    </row>
    <row r="927" spans="1:31">
      <c r="A927" s="197">
        <f t="shared" si="46"/>
        <v>46307</v>
      </c>
      <c r="B927" s="167">
        <f>YEAR(Table7[[#This Row],[Date]])+IF(MONTH(Table7[[#This Row],[Date]])&gt;=4,1,0)</f>
        <v>2027</v>
      </c>
      <c r="C927" s="167">
        <f>YEAR(Table7[[#This Row],[Date]])</f>
        <v>2026</v>
      </c>
      <c r="D927" s="168">
        <f t="shared" si="44"/>
        <v>46296</v>
      </c>
      <c r="AE927" s="167">
        <f t="shared" si="45"/>
        <v>0</v>
      </c>
    </row>
    <row r="928" spans="1:31">
      <c r="A928" s="197">
        <f t="shared" si="46"/>
        <v>46308</v>
      </c>
      <c r="B928" s="167">
        <f>YEAR(Table7[[#This Row],[Date]])+IF(MONTH(Table7[[#This Row],[Date]])&gt;=4,1,0)</f>
        <v>2027</v>
      </c>
      <c r="C928" s="167">
        <f>YEAR(Table7[[#This Row],[Date]])</f>
        <v>2026</v>
      </c>
      <c r="D928" s="168">
        <f t="shared" si="44"/>
        <v>46296</v>
      </c>
      <c r="AE928" s="167">
        <f t="shared" si="45"/>
        <v>0</v>
      </c>
    </row>
    <row r="929" spans="1:31">
      <c r="A929" s="197">
        <f t="shared" si="46"/>
        <v>46309</v>
      </c>
      <c r="B929" s="167">
        <f>YEAR(Table7[[#This Row],[Date]])+IF(MONTH(Table7[[#This Row],[Date]])&gt;=4,1,0)</f>
        <v>2027</v>
      </c>
      <c r="C929" s="167">
        <f>YEAR(Table7[[#This Row],[Date]])</f>
        <v>2026</v>
      </c>
      <c r="D929" s="168">
        <f t="shared" si="44"/>
        <v>46296</v>
      </c>
      <c r="AE929" s="167">
        <f t="shared" si="45"/>
        <v>0</v>
      </c>
    </row>
    <row r="930" spans="1:31">
      <c r="A930" s="197">
        <f t="shared" si="46"/>
        <v>46310</v>
      </c>
      <c r="B930" s="167">
        <f>YEAR(Table7[[#This Row],[Date]])+IF(MONTH(Table7[[#This Row],[Date]])&gt;=4,1,0)</f>
        <v>2027</v>
      </c>
      <c r="C930" s="167">
        <f>YEAR(Table7[[#This Row],[Date]])</f>
        <v>2026</v>
      </c>
      <c r="D930" s="168">
        <f t="shared" si="44"/>
        <v>46296</v>
      </c>
      <c r="AE930" s="167">
        <f t="shared" si="45"/>
        <v>0</v>
      </c>
    </row>
    <row r="931" spans="1:31">
      <c r="A931" s="197">
        <f t="shared" si="46"/>
        <v>46311</v>
      </c>
      <c r="B931" s="167">
        <f>YEAR(Table7[[#This Row],[Date]])+IF(MONTH(Table7[[#This Row],[Date]])&gt;=4,1,0)</f>
        <v>2027</v>
      </c>
      <c r="C931" s="167">
        <f>YEAR(Table7[[#This Row],[Date]])</f>
        <v>2026</v>
      </c>
      <c r="D931" s="168">
        <f t="shared" si="44"/>
        <v>46296</v>
      </c>
      <c r="AE931" s="167">
        <f t="shared" si="45"/>
        <v>0</v>
      </c>
    </row>
    <row r="932" spans="1:31">
      <c r="A932" s="197">
        <f t="shared" si="46"/>
        <v>46312</v>
      </c>
      <c r="B932" s="167">
        <f>YEAR(Table7[[#This Row],[Date]])+IF(MONTH(Table7[[#This Row],[Date]])&gt;=4,1,0)</f>
        <v>2027</v>
      </c>
      <c r="C932" s="167">
        <f>YEAR(Table7[[#This Row],[Date]])</f>
        <v>2026</v>
      </c>
      <c r="D932" s="168">
        <f t="shared" si="44"/>
        <v>46296</v>
      </c>
      <c r="AE932" s="167">
        <f t="shared" si="45"/>
        <v>0</v>
      </c>
    </row>
    <row r="933" spans="1:31">
      <c r="A933" s="197">
        <f t="shared" si="46"/>
        <v>46313</v>
      </c>
      <c r="B933" s="167">
        <f>YEAR(Table7[[#This Row],[Date]])+IF(MONTH(Table7[[#This Row],[Date]])&gt;=4,1,0)</f>
        <v>2027</v>
      </c>
      <c r="C933" s="167">
        <f>YEAR(Table7[[#This Row],[Date]])</f>
        <v>2026</v>
      </c>
      <c r="D933" s="168">
        <f t="shared" si="44"/>
        <v>46296</v>
      </c>
      <c r="AE933" s="167">
        <f t="shared" si="45"/>
        <v>0</v>
      </c>
    </row>
    <row r="934" spans="1:31">
      <c r="A934" s="197">
        <f t="shared" si="46"/>
        <v>46314</v>
      </c>
      <c r="B934" s="167">
        <f>YEAR(Table7[[#This Row],[Date]])+IF(MONTH(Table7[[#This Row],[Date]])&gt;=4,1,0)</f>
        <v>2027</v>
      </c>
      <c r="C934" s="167">
        <f>YEAR(Table7[[#This Row],[Date]])</f>
        <v>2026</v>
      </c>
      <c r="D934" s="168">
        <f t="shared" si="44"/>
        <v>46296</v>
      </c>
      <c r="AE934" s="167">
        <f t="shared" si="45"/>
        <v>0</v>
      </c>
    </row>
    <row r="935" spans="1:31">
      <c r="A935" s="197">
        <f t="shared" si="46"/>
        <v>46315</v>
      </c>
      <c r="B935" s="167">
        <f>YEAR(Table7[[#This Row],[Date]])+IF(MONTH(Table7[[#This Row],[Date]])&gt;=4,1,0)</f>
        <v>2027</v>
      </c>
      <c r="C935" s="167">
        <f>YEAR(Table7[[#This Row],[Date]])</f>
        <v>2026</v>
      </c>
      <c r="D935" s="168">
        <f t="shared" si="44"/>
        <v>46296</v>
      </c>
      <c r="AE935" s="167">
        <f t="shared" si="45"/>
        <v>0</v>
      </c>
    </row>
    <row r="936" spans="1:31">
      <c r="A936" s="197">
        <f t="shared" si="46"/>
        <v>46316</v>
      </c>
      <c r="B936" s="167">
        <f>YEAR(Table7[[#This Row],[Date]])+IF(MONTH(Table7[[#This Row],[Date]])&gt;=4,1,0)</f>
        <v>2027</v>
      </c>
      <c r="C936" s="167">
        <f>YEAR(Table7[[#This Row],[Date]])</f>
        <v>2026</v>
      </c>
      <c r="D936" s="168">
        <f t="shared" si="44"/>
        <v>46296</v>
      </c>
      <c r="AE936" s="167">
        <f t="shared" si="45"/>
        <v>0</v>
      </c>
    </row>
    <row r="937" spans="1:31">
      <c r="A937" s="197">
        <f t="shared" si="46"/>
        <v>46317</v>
      </c>
      <c r="B937" s="167">
        <f>YEAR(Table7[[#This Row],[Date]])+IF(MONTH(Table7[[#This Row],[Date]])&gt;=4,1,0)</f>
        <v>2027</v>
      </c>
      <c r="C937" s="167">
        <f>YEAR(Table7[[#This Row],[Date]])</f>
        <v>2026</v>
      </c>
      <c r="D937" s="168">
        <f t="shared" si="44"/>
        <v>46296</v>
      </c>
      <c r="AE937" s="167">
        <f t="shared" si="45"/>
        <v>0</v>
      </c>
    </row>
    <row r="938" spans="1:31">
      <c r="A938" s="197">
        <f t="shared" si="46"/>
        <v>46318</v>
      </c>
      <c r="B938" s="167">
        <f>YEAR(Table7[[#This Row],[Date]])+IF(MONTH(Table7[[#This Row],[Date]])&gt;=4,1,0)</f>
        <v>2027</v>
      </c>
      <c r="C938" s="167">
        <f>YEAR(Table7[[#This Row],[Date]])</f>
        <v>2026</v>
      </c>
      <c r="D938" s="168">
        <f t="shared" si="44"/>
        <v>46296</v>
      </c>
      <c r="AE938" s="167">
        <f t="shared" si="45"/>
        <v>0</v>
      </c>
    </row>
    <row r="939" spans="1:31">
      <c r="A939" s="197">
        <f t="shared" si="46"/>
        <v>46319</v>
      </c>
      <c r="B939" s="167">
        <f>YEAR(Table7[[#This Row],[Date]])+IF(MONTH(Table7[[#This Row],[Date]])&gt;=4,1,0)</f>
        <v>2027</v>
      </c>
      <c r="C939" s="167">
        <f>YEAR(Table7[[#This Row],[Date]])</f>
        <v>2026</v>
      </c>
      <c r="D939" s="168">
        <f t="shared" si="44"/>
        <v>46296</v>
      </c>
      <c r="AE939" s="167">
        <f t="shared" si="45"/>
        <v>0</v>
      </c>
    </row>
    <row r="940" spans="1:31">
      <c r="A940" s="197">
        <f t="shared" si="46"/>
        <v>46320</v>
      </c>
      <c r="B940" s="167">
        <f>YEAR(Table7[[#This Row],[Date]])+IF(MONTH(Table7[[#This Row],[Date]])&gt;=4,1,0)</f>
        <v>2027</v>
      </c>
      <c r="C940" s="167">
        <f>YEAR(Table7[[#This Row],[Date]])</f>
        <v>2026</v>
      </c>
      <c r="D940" s="168">
        <f t="shared" si="44"/>
        <v>46296</v>
      </c>
      <c r="AE940" s="167">
        <f t="shared" si="45"/>
        <v>0</v>
      </c>
    </row>
    <row r="941" spans="1:31">
      <c r="A941" s="197">
        <f t="shared" si="46"/>
        <v>46321</v>
      </c>
      <c r="B941" s="167">
        <f>YEAR(Table7[[#This Row],[Date]])+IF(MONTH(Table7[[#This Row],[Date]])&gt;=4,1,0)</f>
        <v>2027</v>
      </c>
      <c r="C941" s="167">
        <f>YEAR(Table7[[#This Row],[Date]])</f>
        <v>2026</v>
      </c>
      <c r="D941" s="168">
        <f t="shared" si="44"/>
        <v>46296</v>
      </c>
      <c r="AE941" s="167">
        <f t="shared" si="45"/>
        <v>0</v>
      </c>
    </row>
    <row r="942" spans="1:31">
      <c r="A942" s="197">
        <f t="shared" si="46"/>
        <v>46322</v>
      </c>
      <c r="B942" s="167">
        <f>YEAR(Table7[[#This Row],[Date]])+IF(MONTH(Table7[[#This Row],[Date]])&gt;=4,1,0)</f>
        <v>2027</v>
      </c>
      <c r="C942" s="167">
        <f>YEAR(Table7[[#This Row],[Date]])</f>
        <v>2026</v>
      </c>
      <c r="D942" s="168">
        <f t="shared" si="44"/>
        <v>46296</v>
      </c>
      <c r="AE942" s="167">
        <f t="shared" si="45"/>
        <v>0</v>
      </c>
    </row>
    <row r="943" spans="1:31">
      <c r="A943" s="197">
        <f t="shared" si="46"/>
        <v>46323</v>
      </c>
      <c r="B943" s="167">
        <f>YEAR(Table7[[#This Row],[Date]])+IF(MONTH(Table7[[#This Row],[Date]])&gt;=4,1,0)</f>
        <v>2027</v>
      </c>
      <c r="C943" s="167">
        <f>YEAR(Table7[[#This Row],[Date]])</f>
        <v>2026</v>
      </c>
      <c r="D943" s="168">
        <f t="shared" si="44"/>
        <v>46296</v>
      </c>
      <c r="AE943" s="167">
        <f t="shared" si="45"/>
        <v>0</v>
      </c>
    </row>
    <row r="944" spans="1:31">
      <c r="A944" s="197">
        <f t="shared" si="46"/>
        <v>46324</v>
      </c>
      <c r="B944" s="167">
        <f>YEAR(Table7[[#This Row],[Date]])+IF(MONTH(Table7[[#This Row],[Date]])&gt;=4,1,0)</f>
        <v>2027</v>
      </c>
      <c r="C944" s="167">
        <f>YEAR(Table7[[#This Row],[Date]])</f>
        <v>2026</v>
      </c>
      <c r="D944" s="168">
        <f t="shared" si="44"/>
        <v>46296</v>
      </c>
      <c r="AE944" s="167">
        <f t="shared" si="45"/>
        <v>0</v>
      </c>
    </row>
    <row r="945" spans="1:31">
      <c r="A945" s="197">
        <f t="shared" si="46"/>
        <v>46325</v>
      </c>
      <c r="B945" s="167">
        <f>YEAR(Table7[[#This Row],[Date]])+IF(MONTH(Table7[[#This Row],[Date]])&gt;=4,1,0)</f>
        <v>2027</v>
      </c>
      <c r="C945" s="167">
        <f>YEAR(Table7[[#This Row],[Date]])</f>
        <v>2026</v>
      </c>
      <c r="D945" s="168">
        <f t="shared" si="44"/>
        <v>46296</v>
      </c>
      <c r="AE945" s="167">
        <f t="shared" si="45"/>
        <v>0</v>
      </c>
    </row>
    <row r="946" spans="1:31">
      <c r="A946" s="197">
        <f t="shared" si="46"/>
        <v>46326</v>
      </c>
      <c r="B946" s="167">
        <f>YEAR(Table7[[#This Row],[Date]])+IF(MONTH(Table7[[#This Row],[Date]])&gt;=4,1,0)</f>
        <v>2027</v>
      </c>
      <c r="C946" s="167">
        <f>YEAR(Table7[[#This Row],[Date]])</f>
        <v>2026</v>
      </c>
      <c r="D946" s="168">
        <f t="shared" si="44"/>
        <v>46296</v>
      </c>
      <c r="AE946" s="167">
        <f t="shared" si="45"/>
        <v>0</v>
      </c>
    </row>
    <row r="947" spans="1:31">
      <c r="A947" s="197">
        <f t="shared" si="46"/>
        <v>46327</v>
      </c>
      <c r="B947" s="167">
        <f>YEAR(Table7[[#This Row],[Date]])+IF(MONTH(Table7[[#This Row],[Date]])&gt;=4,1,0)</f>
        <v>2027</v>
      </c>
      <c r="C947" s="167">
        <f>YEAR(Table7[[#This Row],[Date]])</f>
        <v>2026</v>
      </c>
      <c r="D947" s="168">
        <f t="shared" si="44"/>
        <v>46327</v>
      </c>
      <c r="AE947" s="167">
        <f t="shared" si="45"/>
        <v>0</v>
      </c>
    </row>
    <row r="948" spans="1:31">
      <c r="A948" s="197">
        <f t="shared" si="46"/>
        <v>46328</v>
      </c>
      <c r="B948" s="167">
        <f>YEAR(Table7[[#This Row],[Date]])+IF(MONTH(Table7[[#This Row],[Date]])&gt;=4,1,0)</f>
        <v>2027</v>
      </c>
      <c r="C948" s="167">
        <f>YEAR(Table7[[#This Row],[Date]])</f>
        <v>2026</v>
      </c>
      <c r="D948" s="168">
        <f t="shared" si="44"/>
        <v>46327</v>
      </c>
      <c r="AE948" s="167">
        <f t="shared" si="45"/>
        <v>0</v>
      </c>
    </row>
    <row r="949" spans="1:31">
      <c r="A949" s="197">
        <f t="shared" si="46"/>
        <v>46329</v>
      </c>
      <c r="B949" s="167">
        <f>YEAR(Table7[[#This Row],[Date]])+IF(MONTH(Table7[[#This Row],[Date]])&gt;=4,1,0)</f>
        <v>2027</v>
      </c>
      <c r="C949" s="167">
        <f>YEAR(Table7[[#This Row],[Date]])</f>
        <v>2026</v>
      </c>
      <c r="D949" s="168">
        <f t="shared" si="44"/>
        <v>46327</v>
      </c>
      <c r="AE949" s="167">
        <f t="shared" si="45"/>
        <v>0</v>
      </c>
    </row>
    <row r="950" spans="1:31">
      <c r="A950" s="197">
        <f t="shared" si="46"/>
        <v>46330</v>
      </c>
      <c r="B950" s="167">
        <f>YEAR(Table7[[#This Row],[Date]])+IF(MONTH(Table7[[#This Row],[Date]])&gt;=4,1,0)</f>
        <v>2027</v>
      </c>
      <c r="C950" s="167">
        <f>YEAR(Table7[[#This Row],[Date]])</f>
        <v>2026</v>
      </c>
      <c r="D950" s="168">
        <f t="shared" si="44"/>
        <v>46327</v>
      </c>
      <c r="AE950" s="167">
        <f t="shared" si="45"/>
        <v>0</v>
      </c>
    </row>
    <row r="951" spans="1:31">
      <c r="A951" s="197">
        <f t="shared" si="46"/>
        <v>46331</v>
      </c>
      <c r="B951" s="167">
        <f>YEAR(Table7[[#This Row],[Date]])+IF(MONTH(Table7[[#This Row],[Date]])&gt;=4,1,0)</f>
        <v>2027</v>
      </c>
      <c r="C951" s="167">
        <f>YEAR(Table7[[#This Row],[Date]])</f>
        <v>2026</v>
      </c>
      <c r="D951" s="168">
        <f t="shared" si="44"/>
        <v>46327</v>
      </c>
      <c r="AE951" s="167">
        <f t="shared" si="45"/>
        <v>0</v>
      </c>
    </row>
    <row r="952" spans="1:31">
      <c r="A952" s="197">
        <f t="shared" si="46"/>
        <v>46332</v>
      </c>
      <c r="B952" s="167">
        <f>YEAR(Table7[[#This Row],[Date]])+IF(MONTH(Table7[[#This Row],[Date]])&gt;=4,1,0)</f>
        <v>2027</v>
      </c>
      <c r="C952" s="167">
        <f>YEAR(Table7[[#This Row],[Date]])</f>
        <v>2026</v>
      </c>
      <c r="D952" s="168">
        <f t="shared" si="44"/>
        <v>46327</v>
      </c>
      <c r="AE952" s="167">
        <f t="shared" si="45"/>
        <v>0</v>
      </c>
    </row>
    <row r="953" spans="1:31">
      <c r="A953" s="197">
        <f t="shared" si="46"/>
        <v>46333</v>
      </c>
      <c r="B953" s="167">
        <f>YEAR(Table7[[#This Row],[Date]])+IF(MONTH(Table7[[#This Row],[Date]])&gt;=4,1,0)</f>
        <v>2027</v>
      </c>
      <c r="C953" s="167">
        <f>YEAR(Table7[[#This Row],[Date]])</f>
        <v>2026</v>
      </c>
      <c r="D953" s="168">
        <f t="shared" si="44"/>
        <v>46327</v>
      </c>
      <c r="AE953" s="167">
        <f t="shared" si="45"/>
        <v>0</v>
      </c>
    </row>
    <row r="954" spans="1:31">
      <c r="A954" s="197">
        <f t="shared" si="46"/>
        <v>46334</v>
      </c>
      <c r="B954" s="167">
        <f>YEAR(Table7[[#This Row],[Date]])+IF(MONTH(Table7[[#This Row],[Date]])&gt;=4,1,0)</f>
        <v>2027</v>
      </c>
      <c r="C954" s="167">
        <f>YEAR(Table7[[#This Row],[Date]])</f>
        <v>2026</v>
      </c>
      <c r="D954" s="168">
        <f t="shared" si="44"/>
        <v>46327</v>
      </c>
      <c r="AE954" s="167">
        <f t="shared" si="45"/>
        <v>0</v>
      </c>
    </row>
    <row r="955" spans="1:31">
      <c r="A955" s="197">
        <f t="shared" si="46"/>
        <v>46335</v>
      </c>
      <c r="B955" s="167">
        <f>YEAR(Table7[[#This Row],[Date]])+IF(MONTH(Table7[[#This Row],[Date]])&gt;=4,1,0)</f>
        <v>2027</v>
      </c>
      <c r="C955" s="167">
        <f>YEAR(Table7[[#This Row],[Date]])</f>
        <v>2026</v>
      </c>
      <c r="D955" s="168">
        <f t="shared" si="44"/>
        <v>46327</v>
      </c>
      <c r="AE955" s="167">
        <f t="shared" si="45"/>
        <v>0</v>
      </c>
    </row>
    <row r="956" spans="1:31">
      <c r="A956" s="197">
        <f t="shared" si="46"/>
        <v>46336</v>
      </c>
      <c r="B956" s="167">
        <f>YEAR(Table7[[#This Row],[Date]])+IF(MONTH(Table7[[#This Row],[Date]])&gt;=4,1,0)</f>
        <v>2027</v>
      </c>
      <c r="C956" s="167">
        <f>YEAR(Table7[[#This Row],[Date]])</f>
        <v>2026</v>
      </c>
      <c r="D956" s="168">
        <f t="shared" si="44"/>
        <v>46327</v>
      </c>
      <c r="AE956" s="167">
        <f t="shared" si="45"/>
        <v>0</v>
      </c>
    </row>
    <row r="957" spans="1:31">
      <c r="A957" s="197">
        <f t="shared" si="46"/>
        <v>46337</v>
      </c>
      <c r="B957" s="167">
        <f>YEAR(Table7[[#This Row],[Date]])+IF(MONTH(Table7[[#This Row],[Date]])&gt;=4,1,0)</f>
        <v>2027</v>
      </c>
      <c r="C957" s="167">
        <f>YEAR(Table7[[#This Row],[Date]])</f>
        <v>2026</v>
      </c>
      <c r="D957" s="168">
        <f t="shared" si="44"/>
        <v>46327</v>
      </c>
      <c r="AE957" s="167">
        <f t="shared" si="45"/>
        <v>0</v>
      </c>
    </row>
    <row r="958" spans="1:31">
      <c r="A958" s="197">
        <f t="shared" si="46"/>
        <v>46338</v>
      </c>
      <c r="B958" s="167">
        <f>YEAR(Table7[[#This Row],[Date]])+IF(MONTH(Table7[[#This Row],[Date]])&gt;=4,1,0)</f>
        <v>2027</v>
      </c>
      <c r="C958" s="167">
        <f>YEAR(Table7[[#This Row],[Date]])</f>
        <v>2026</v>
      </c>
      <c r="D958" s="168">
        <f t="shared" si="44"/>
        <v>46327</v>
      </c>
      <c r="AE958" s="167">
        <f t="shared" si="45"/>
        <v>0</v>
      </c>
    </row>
    <row r="959" spans="1:31">
      <c r="A959" s="197">
        <f t="shared" si="46"/>
        <v>46339</v>
      </c>
      <c r="B959" s="167">
        <f>YEAR(Table7[[#This Row],[Date]])+IF(MONTH(Table7[[#This Row],[Date]])&gt;=4,1,0)</f>
        <v>2027</v>
      </c>
      <c r="C959" s="167">
        <f>YEAR(Table7[[#This Row],[Date]])</f>
        <v>2026</v>
      </c>
      <c r="D959" s="168">
        <f t="shared" si="44"/>
        <v>46327</v>
      </c>
      <c r="AE959" s="167">
        <f t="shared" si="45"/>
        <v>0</v>
      </c>
    </row>
    <row r="960" spans="1:31">
      <c r="A960" s="197">
        <f t="shared" si="46"/>
        <v>46340</v>
      </c>
      <c r="B960" s="167">
        <f>YEAR(Table7[[#This Row],[Date]])+IF(MONTH(Table7[[#This Row],[Date]])&gt;=4,1,0)</f>
        <v>2027</v>
      </c>
      <c r="C960" s="167">
        <f>YEAR(Table7[[#This Row],[Date]])</f>
        <v>2026</v>
      </c>
      <c r="D960" s="168">
        <f t="shared" si="44"/>
        <v>46327</v>
      </c>
      <c r="AE960" s="167">
        <f t="shared" si="45"/>
        <v>0</v>
      </c>
    </row>
    <row r="961" spans="1:31">
      <c r="A961" s="197">
        <f t="shared" si="46"/>
        <v>46341</v>
      </c>
      <c r="B961" s="167">
        <f>YEAR(Table7[[#This Row],[Date]])+IF(MONTH(Table7[[#This Row],[Date]])&gt;=4,1,0)</f>
        <v>2027</v>
      </c>
      <c r="C961" s="167">
        <f>YEAR(Table7[[#This Row],[Date]])</f>
        <v>2026</v>
      </c>
      <c r="D961" s="168">
        <f t="shared" si="44"/>
        <v>46327</v>
      </c>
      <c r="AE961" s="167">
        <f t="shared" si="45"/>
        <v>0</v>
      </c>
    </row>
    <row r="962" spans="1:31">
      <c r="A962" s="197">
        <f t="shared" si="46"/>
        <v>46342</v>
      </c>
      <c r="B962" s="167">
        <f>YEAR(Table7[[#This Row],[Date]])+IF(MONTH(Table7[[#This Row],[Date]])&gt;=4,1,0)</f>
        <v>2027</v>
      </c>
      <c r="C962" s="167">
        <f>YEAR(Table7[[#This Row],[Date]])</f>
        <v>2026</v>
      </c>
      <c r="D962" s="168">
        <f t="shared" si="44"/>
        <v>46327</v>
      </c>
      <c r="AE962" s="167">
        <f t="shared" si="45"/>
        <v>0</v>
      </c>
    </row>
    <row r="963" spans="1:31">
      <c r="A963" s="197">
        <f t="shared" si="46"/>
        <v>46343</v>
      </c>
      <c r="B963" s="167">
        <f>YEAR(Table7[[#This Row],[Date]])+IF(MONTH(Table7[[#This Row],[Date]])&gt;=4,1,0)</f>
        <v>2027</v>
      </c>
      <c r="C963" s="167">
        <f>YEAR(Table7[[#This Row],[Date]])</f>
        <v>2026</v>
      </c>
      <c r="D963" s="168">
        <f t="shared" ref="D963:D1026" si="47">A963-DAY(A963)+1</f>
        <v>46327</v>
      </c>
      <c r="AE963" s="167">
        <f t="shared" ref="AE963:AE1026" si="48">SUM(E963:AD963)</f>
        <v>0</v>
      </c>
    </row>
    <row r="964" spans="1:31">
      <c r="A964" s="197">
        <f t="shared" si="46"/>
        <v>46344</v>
      </c>
      <c r="B964" s="167">
        <f>YEAR(Table7[[#This Row],[Date]])+IF(MONTH(Table7[[#This Row],[Date]])&gt;=4,1,0)</f>
        <v>2027</v>
      </c>
      <c r="C964" s="167">
        <f>YEAR(Table7[[#This Row],[Date]])</f>
        <v>2026</v>
      </c>
      <c r="D964" s="168">
        <f t="shared" si="47"/>
        <v>46327</v>
      </c>
      <c r="AE964" s="167">
        <f t="shared" si="48"/>
        <v>0</v>
      </c>
    </row>
    <row r="965" spans="1:31">
      <c r="A965" s="197">
        <f t="shared" ref="A965:A1028" si="49">A964+1</f>
        <v>46345</v>
      </c>
      <c r="B965" s="167">
        <f>YEAR(Table7[[#This Row],[Date]])+IF(MONTH(Table7[[#This Row],[Date]])&gt;=4,1,0)</f>
        <v>2027</v>
      </c>
      <c r="C965" s="167">
        <f>YEAR(Table7[[#This Row],[Date]])</f>
        <v>2026</v>
      </c>
      <c r="D965" s="168">
        <f t="shared" si="47"/>
        <v>46327</v>
      </c>
      <c r="AE965" s="167">
        <f t="shared" si="48"/>
        <v>0</v>
      </c>
    </row>
    <row r="966" spans="1:31">
      <c r="A966" s="197">
        <f t="shared" si="49"/>
        <v>46346</v>
      </c>
      <c r="B966" s="167">
        <f>YEAR(Table7[[#This Row],[Date]])+IF(MONTH(Table7[[#This Row],[Date]])&gt;=4,1,0)</f>
        <v>2027</v>
      </c>
      <c r="C966" s="167">
        <f>YEAR(Table7[[#This Row],[Date]])</f>
        <v>2026</v>
      </c>
      <c r="D966" s="168">
        <f t="shared" si="47"/>
        <v>46327</v>
      </c>
      <c r="AE966" s="167">
        <f t="shared" si="48"/>
        <v>0</v>
      </c>
    </row>
    <row r="967" spans="1:31">
      <c r="A967" s="197">
        <f t="shared" si="49"/>
        <v>46347</v>
      </c>
      <c r="B967" s="167">
        <f>YEAR(Table7[[#This Row],[Date]])+IF(MONTH(Table7[[#This Row],[Date]])&gt;=4,1,0)</f>
        <v>2027</v>
      </c>
      <c r="C967" s="167">
        <f>YEAR(Table7[[#This Row],[Date]])</f>
        <v>2026</v>
      </c>
      <c r="D967" s="168">
        <f t="shared" si="47"/>
        <v>46327</v>
      </c>
      <c r="AE967" s="167">
        <f t="shared" si="48"/>
        <v>0</v>
      </c>
    </row>
    <row r="968" spans="1:31">
      <c r="A968" s="197">
        <f t="shared" si="49"/>
        <v>46348</v>
      </c>
      <c r="B968" s="167">
        <f>YEAR(Table7[[#This Row],[Date]])+IF(MONTH(Table7[[#This Row],[Date]])&gt;=4,1,0)</f>
        <v>2027</v>
      </c>
      <c r="C968" s="167">
        <f>YEAR(Table7[[#This Row],[Date]])</f>
        <v>2026</v>
      </c>
      <c r="D968" s="168">
        <f t="shared" si="47"/>
        <v>46327</v>
      </c>
      <c r="AE968" s="167">
        <f t="shared" si="48"/>
        <v>0</v>
      </c>
    </row>
    <row r="969" spans="1:31">
      <c r="A969" s="197">
        <f t="shared" si="49"/>
        <v>46349</v>
      </c>
      <c r="B969" s="167">
        <f>YEAR(Table7[[#This Row],[Date]])+IF(MONTH(Table7[[#This Row],[Date]])&gt;=4,1,0)</f>
        <v>2027</v>
      </c>
      <c r="C969" s="167">
        <f>YEAR(Table7[[#This Row],[Date]])</f>
        <v>2026</v>
      </c>
      <c r="D969" s="168">
        <f t="shared" si="47"/>
        <v>46327</v>
      </c>
      <c r="AE969" s="167">
        <f t="shared" si="48"/>
        <v>0</v>
      </c>
    </row>
    <row r="970" spans="1:31">
      <c r="A970" s="197">
        <f t="shared" si="49"/>
        <v>46350</v>
      </c>
      <c r="B970" s="167">
        <f>YEAR(Table7[[#This Row],[Date]])+IF(MONTH(Table7[[#This Row],[Date]])&gt;=4,1,0)</f>
        <v>2027</v>
      </c>
      <c r="C970" s="167">
        <f>YEAR(Table7[[#This Row],[Date]])</f>
        <v>2026</v>
      </c>
      <c r="D970" s="168">
        <f t="shared" si="47"/>
        <v>46327</v>
      </c>
      <c r="AE970" s="167">
        <f t="shared" si="48"/>
        <v>0</v>
      </c>
    </row>
    <row r="971" spans="1:31">
      <c r="A971" s="197">
        <f t="shared" si="49"/>
        <v>46351</v>
      </c>
      <c r="B971" s="167">
        <f>YEAR(Table7[[#This Row],[Date]])+IF(MONTH(Table7[[#This Row],[Date]])&gt;=4,1,0)</f>
        <v>2027</v>
      </c>
      <c r="C971" s="167">
        <f>YEAR(Table7[[#This Row],[Date]])</f>
        <v>2026</v>
      </c>
      <c r="D971" s="168">
        <f t="shared" si="47"/>
        <v>46327</v>
      </c>
      <c r="AE971" s="167">
        <f t="shared" si="48"/>
        <v>0</v>
      </c>
    </row>
    <row r="972" spans="1:31">
      <c r="A972" s="197">
        <f t="shared" si="49"/>
        <v>46352</v>
      </c>
      <c r="B972" s="167">
        <f>YEAR(Table7[[#This Row],[Date]])+IF(MONTH(Table7[[#This Row],[Date]])&gt;=4,1,0)</f>
        <v>2027</v>
      </c>
      <c r="C972" s="167">
        <f>YEAR(Table7[[#This Row],[Date]])</f>
        <v>2026</v>
      </c>
      <c r="D972" s="168">
        <f t="shared" si="47"/>
        <v>46327</v>
      </c>
      <c r="AE972" s="167">
        <f t="shared" si="48"/>
        <v>0</v>
      </c>
    </row>
    <row r="973" spans="1:31">
      <c r="A973" s="197">
        <f t="shared" si="49"/>
        <v>46353</v>
      </c>
      <c r="B973" s="167">
        <f>YEAR(Table7[[#This Row],[Date]])+IF(MONTH(Table7[[#This Row],[Date]])&gt;=4,1,0)</f>
        <v>2027</v>
      </c>
      <c r="C973" s="167">
        <f>YEAR(Table7[[#This Row],[Date]])</f>
        <v>2026</v>
      </c>
      <c r="D973" s="168">
        <f t="shared" si="47"/>
        <v>46327</v>
      </c>
      <c r="AE973" s="167">
        <f t="shared" si="48"/>
        <v>0</v>
      </c>
    </row>
    <row r="974" spans="1:31">
      <c r="A974" s="197">
        <f t="shared" si="49"/>
        <v>46354</v>
      </c>
      <c r="B974" s="167">
        <f>YEAR(Table7[[#This Row],[Date]])+IF(MONTH(Table7[[#This Row],[Date]])&gt;=4,1,0)</f>
        <v>2027</v>
      </c>
      <c r="C974" s="167">
        <f>YEAR(Table7[[#This Row],[Date]])</f>
        <v>2026</v>
      </c>
      <c r="D974" s="168">
        <f t="shared" si="47"/>
        <v>46327</v>
      </c>
      <c r="AE974" s="167">
        <f t="shared" si="48"/>
        <v>0</v>
      </c>
    </row>
    <row r="975" spans="1:31">
      <c r="A975" s="197">
        <f t="shared" si="49"/>
        <v>46355</v>
      </c>
      <c r="B975" s="167">
        <f>YEAR(Table7[[#This Row],[Date]])+IF(MONTH(Table7[[#This Row],[Date]])&gt;=4,1,0)</f>
        <v>2027</v>
      </c>
      <c r="C975" s="167">
        <f>YEAR(Table7[[#This Row],[Date]])</f>
        <v>2026</v>
      </c>
      <c r="D975" s="168">
        <f t="shared" si="47"/>
        <v>46327</v>
      </c>
      <c r="AE975" s="167">
        <f t="shared" si="48"/>
        <v>0</v>
      </c>
    </row>
    <row r="976" spans="1:31">
      <c r="A976" s="197">
        <f t="shared" si="49"/>
        <v>46356</v>
      </c>
      <c r="B976" s="167">
        <f>YEAR(Table7[[#This Row],[Date]])+IF(MONTH(Table7[[#This Row],[Date]])&gt;=4,1,0)</f>
        <v>2027</v>
      </c>
      <c r="C976" s="167">
        <f>YEAR(Table7[[#This Row],[Date]])</f>
        <v>2026</v>
      </c>
      <c r="D976" s="168">
        <f t="shared" si="47"/>
        <v>46327</v>
      </c>
      <c r="AE976" s="167">
        <f t="shared" si="48"/>
        <v>0</v>
      </c>
    </row>
    <row r="977" spans="1:31">
      <c r="A977" s="197">
        <f t="shared" si="49"/>
        <v>46357</v>
      </c>
      <c r="B977" s="167">
        <f>YEAR(Table7[[#This Row],[Date]])+IF(MONTH(Table7[[#This Row],[Date]])&gt;=4,1,0)</f>
        <v>2027</v>
      </c>
      <c r="C977" s="167">
        <f>YEAR(Table7[[#This Row],[Date]])</f>
        <v>2026</v>
      </c>
      <c r="D977" s="168">
        <f t="shared" si="47"/>
        <v>46357</v>
      </c>
      <c r="AE977" s="167">
        <f t="shared" si="48"/>
        <v>0</v>
      </c>
    </row>
    <row r="978" spans="1:31">
      <c r="A978" s="197">
        <f t="shared" si="49"/>
        <v>46358</v>
      </c>
      <c r="B978" s="167">
        <f>YEAR(Table7[[#This Row],[Date]])+IF(MONTH(Table7[[#This Row],[Date]])&gt;=4,1,0)</f>
        <v>2027</v>
      </c>
      <c r="C978" s="167">
        <f>YEAR(Table7[[#This Row],[Date]])</f>
        <v>2026</v>
      </c>
      <c r="D978" s="168">
        <f t="shared" si="47"/>
        <v>46357</v>
      </c>
      <c r="AE978" s="167">
        <f t="shared" si="48"/>
        <v>0</v>
      </c>
    </row>
    <row r="979" spans="1:31">
      <c r="A979" s="197">
        <f t="shared" si="49"/>
        <v>46359</v>
      </c>
      <c r="B979" s="167">
        <f>YEAR(Table7[[#This Row],[Date]])+IF(MONTH(Table7[[#This Row],[Date]])&gt;=4,1,0)</f>
        <v>2027</v>
      </c>
      <c r="C979" s="167">
        <f>YEAR(Table7[[#This Row],[Date]])</f>
        <v>2026</v>
      </c>
      <c r="D979" s="168">
        <f t="shared" si="47"/>
        <v>46357</v>
      </c>
      <c r="AE979" s="167">
        <f t="shared" si="48"/>
        <v>0</v>
      </c>
    </row>
    <row r="980" spans="1:31">
      <c r="A980" s="197">
        <f t="shared" si="49"/>
        <v>46360</v>
      </c>
      <c r="B980" s="167">
        <f>YEAR(Table7[[#This Row],[Date]])+IF(MONTH(Table7[[#This Row],[Date]])&gt;=4,1,0)</f>
        <v>2027</v>
      </c>
      <c r="C980" s="167">
        <f>YEAR(Table7[[#This Row],[Date]])</f>
        <v>2026</v>
      </c>
      <c r="D980" s="168">
        <f t="shared" si="47"/>
        <v>46357</v>
      </c>
      <c r="AE980" s="167">
        <f t="shared" si="48"/>
        <v>0</v>
      </c>
    </row>
    <row r="981" spans="1:31">
      <c r="A981" s="197">
        <f t="shared" si="49"/>
        <v>46361</v>
      </c>
      <c r="B981" s="167">
        <f>YEAR(Table7[[#This Row],[Date]])+IF(MONTH(Table7[[#This Row],[Date]])&gt;=4,1,0)</f>
        <v>2027</v>
      </c>
      <c r="C981" s="167">
        <f>YEAR(Table7[[#This Row],[Date]])</f>
        <v>2026</v>
      </c>
      <c r="D981" s="168">
        <f t="shared" si="47"/>
        <v>46357</v>
      </c>
      <c r="AE981" s="167">
        <f t="shared" si="48"/>
        <v>0</v>
      </c>
    </row>
    <row r="982" spans="1:31">
      <c r="A982" s="197">
        <f t="shared" si="49"/>
        <v>46362</v>
      </c>
      <c r="B982" s="167">
        <f>YEAR(Table7[[#This Row],[Date]])+IF(MONTH(Table7[[#This Row],[Date]])&gt;=4,1,0)</f>
        <v>2027</v>
      </c>
      <c r="C982" s="167">
        <f>YEAR(Table7[[#This Row],[Date]])</f>
        <v>2026</v>
      </c>
      <c r="D982" s="168">
        <f t="shared" si="47"/>
        <v>46357</v>
      </c>
      <c r="AE982" s="167">
        <f t="shared" si="48"/>
        <v>0</v>
      </c>
    </row>
    <row r="983" spans="1:31">
      <c r="A983" s="197">
        <f t="shared" si="49"/>
        <v>46363</v>
      </c>
      <c r="B983" s="167">
        <f>YEAR(Table7[[#This Row],[Date]])+IF(MONTH(Table7[[#This Row],[Date]])&gt;=4,1,0)</f>
        <v>2027</v>
      </c>
      <c r="C983" s="167">
        <f>YEAR(Table7[[#This Row],[Date]])</f>
        <v>2026</v>
      </c>
      <c r="D983" s="168">
        <f t="shared" si="47"/>
        <v>46357</v>
      </c>
      <c r="AE983" s="167">
        <f t="shared" si="48"/>
        <v>0</v>
      </c>
    </row>
    <row r="984" spans="1:31">
      <c r="A984" s="197">
        <f t="shared" si="49"/>
        <v>46364</v>
      </c>
      <c r="B984" s="167">
        <f>YEAR(Table7[[#This Row],[Date]])+IF(MONTH(Table7[[#This Row],[Date]])&gt;=4,1,0)</f>
        <v>2027</v>
      </c>
      <c r="C984" s="167">
        <f>YEAR(Table7[[#This Row],[Date]])</f>
        <v>2026</v>
      </c>
      <c r="D984" s="168">
        <f t="shared" si="47"/>
        <v>46357</v>
      </c>
      <c r="AE984" s="167">
        <f t="shared" si="48"/>
        <v>0</v>
      </c>
    </row>
    <row r="985" spans="1:31">
      <c r="A985" s="197">
        <f t="shared" si="49"/>
        <v>46365</v>
      </c>
      <c r="B985" s="167">
        <f>YEAR(Table7[[#This Row],[Date]])+IF(MONTH(Table7[[#This Row],[Date]])&gt;=4,1,0)</f>
        <v>2027</v>
      </c>
      <c r="C985" s="167">
        <f>YEAR(Table7[[#This Row],[Date]])</f>
        <v>2026</v>
      </c>
      <c r="D985" s="168">
        <f t="shared" si="47"/>
        <v>46357</v>
      </c>
      <c r="AE985" s="167">
        <f t="shared" si="48"/>
        <v>0</v>
      </c>
    </row>
    <row r="986" spans="1:31">
      <c r="A986" s="197">
        <f t="shared" si="49"/>
        <v>46366</v>
      </c>
      <c r="B986" s="167">
        <f>YEAR(Table7[[#This Row],[Date]])+IF(MONTH(Table7[[#This Row],[Date]])&gt;=4,1,0)</f>
        <v>2027</v>
      </c>
      <c r="C986" s="167">
        <f>YEAR(Table7[[#This Row],[Date]])</f>
        <v>2026</v>
      </c>
      <c r="D986" s="168">
        <f t="shared" si="47"/>
        <v>46357</v>
      </c>
      <c r="AE986" s="167">
        <f t="shared" si="48"/>
        <v>0</v>
      </c>
    </row>
    <row r="987" spans="1:31">
      <c r="A987" s="197">
        <f t="shared" si="49"/>
        <v>46367</v>
      </c>
      <c r="B987" s="167">
        <f>YEAR(Table7[[#This Row],[Date]])+IF(MONTH(Table7[[#This Row],[Date]])&gt;=4,1,0)</f>
        <v>2027</v>
      </c>
      <c r="C987" s="167">
        <f>YEAR(Table7[[#This Row],[Date]])</f>
        <v>2026</v>
      </c>
      <c r="D987" s="168">
        <f t="shared" si="47"/>
        <v>46357</v>
      </c>
      <c r="AE987" s="167">
        <f t="shared" si="48"/>
        <v>0</v>
      </c>
    </row>
    <row r="988" spans="1:31">
      <c r="A988" s="197">
        <f t="shared" si="49"/>
        <v>46368</v>
      </c>
      <c r="B988" s="167">
        <f>YEAR(Table7[[#This Row],[Date]])+IF(MONTH(Table7[[#This Row],[Date]])&gt;=4,1,0)</f>
        <v>2027</v>
      </c>
      <c r="C988" s="167">
        <f>YEAR(Table7[[#This Row],[Date]])</f>
        <v>2026</v>
      </c>
      <c r="D988" s="168">
        <f t="shared" si="47"/>
        <v>46357</v>
      </c>
      <c r="AE988" s="167">
        <f t="shared" si="48"/>
        <v>0</v>
      </c>
    </row>
    <row r="989" spans="1:31">
      <c r="A989" s="197">
        <f t="shared" si="49"/>
        <v>46369</v>
      </c>
      <c r="B989" s="167">
        <f>YEAR(Table7[[#This Row],[Date]])+IF(MONTH(Table7[[#This Row],[Date]])&gt;=4,1,0)</f>
        <v>2027</v>
      </c>
      <c r="C989" s="167">
        <f>YEAR(Table7[[#This Row],[Date]])</f>
        <v>2026</v>
      </c>
      <c r="D989" s="168">
        <f t="shared" si="47"/>
        <v>46357</v>
      </c>
      <c r="AE989" s="167">
        <f t="shared" si="48"/>
        <v>0</v>
      </c>
    </row>
    <row r="990" spans="1:31">
      <c r="A990" s="197">
        <f t="shared" si="49"/>
        <v>46370</v>
      </c>
      <c r="B990" s="167">
        <f>YEAR(Table7[[#This Row],[Date]])+IF(MONTH(Table7[[#This Row],[Date]])&gt;=4,1,0)</f>
        <v>2027</v>
      </c>
      <c r="C990" s="167">
        <f>YEAR(Table7[[#This Row],[Date]])</f>
        <v>2026</v>
      </c>
      <c r="D990" s="168">
        <f t="shared" si="47"/>
        <v>46357</v>
      </c>
      <c r="AE990" s="167">
        <f t="shared" si="48"/>
        <v>0</v>
      </c>
    </row>
    <row r="991" spans="1:31">
      <c r="A991" s="197">
        <f t="shared" si="49"/>
        <v>46371</v>
      </c>
      <c r="B991" s="167">
        <f>YEAR(Table7[[#This Row],[Date]])+IF(MONTH(Table7[[#This Row],[Date]])&gt;=4,1,0)</f>
        <v>2027</v>
      </c>
      <c r="C991" s="167">
        <f>YEAR(Table7[[#This Row],[Date]])</f>
        <v>2026</v>
      </c>
      <c r="D991" s="168">
        <f t="shared" si="47"/>
        <v>46357</v>
      </c>
      <c r="AE991" s="167">
        <f t="shared" si="48"/>
        <v>0</v>
      </c>
    </row>
    <row r="992" spans="1:31">
      <c r="A992" s="197">
        <f t="shared" si="49"/>
        <v>46372</v>
      </c>
      <c r="B992" s="167">
        <f>YEAR(Table7[[#This Row],[Date]])+IF(MONTH(Table7[[#This Row],[Date]])&gt;=4,1,0)</f>
        <v>2027</v>
      </c>
      <c r="C992" s="167">
        <f>YEAR(Table7[[#This Row],[Date]])</f>
        <v>2026</v>
      </c>
      <c r="D992" s="168">
        <f t="shared" si="47"/>
        <v>46357</v>
      </c>
      <c r="AE992" s="167">
        <f t="shared" si="48"/>
        <v>0</v>
      </c>
    </row>
    <row r="993" spans="1:31">
      <c r="A993" s="197">
        <f t="shared" si="49"/>
        <v>46373</v>
      </c>
      <c r="B993" s="167">
        <f>YEAR(Table7[[#This Row],[Date]])+IF(MONTH(Table7[[#This Row],[Date]])&gt;=4,1,0)</f>
        <v>2027</v>
      </c>
      <c r="C993" s="167">
        <f>YEAR(Table7[[#This Row],[Date]])</f>
        <v>2026</v>
      </c>
      <c r="D993" s="168">
        <f t="shared" si="47"/>
        <v>46357</v>
      </c>
      <c r="AE993" s="167">
        <f t="shared" si="48"/>
        <v>0</v>
      </c>
    </row>
    <row r="994" spans="1:31">
      <c r="A994" s="197">
        <f t="shared" si="49"/>
        <v>46374</v>
      </c>
      <c r="B994" s="167">
        <f>YEAR(Table7[[#This Row],[Date]])+IF(MONTH(Table7[[#This Row],[Date]])&gt;=4,1,0)</f>
        <v>2027</v>
      </c>
      <c r="C994" s="167">
        <f>YEAR(Table7[[#This Row],[Date]])</f>
        <v>2026</v>
      </c>
      <c r="D994" s="168">
        <f t="shared" si="47"/>
        <v>46357</v>
      </c>
      <c r="AE994" s="167">
        <f t="shared" si="48"/>
        <v>0</v>
      </c>
    </row>
    <row r="995" spans="1:31">
      <c r="A995" s="197">
        <f t="shared" si="49"/>
        <v>46375</v>
      </c>
      <c r="B995" s="167">
        <f>YEAR(Table7[[#This Row],[Date]])+IF(MONTH(Table7[[#This Row],[Date]])&gt;=4,1,0)</f>
        <v>2027</v>
      </c>
      <c r="C995" s="167">
        <f>YEAR(Table7[[#This Row],[Date]])</f>
        <v>2026</v>
      </c>
      <c r="D995" s="168">
        <f t="shared" si="47"/>
        <v>46357</v>
      </c>
      <c r="AE995" s="167">
        <f t="shared" si="48"/>
        <v>0</v>
      </c>
    </row>
    <row r="996" spans="1:31">
      <c r="A996" s="197">
        <f t="shared" si="49"/>
        <v>46376</v>
      </c>
      <c r="B996" s="167">
        <f>YEAR(Table7[[#This Row],[Date]])+IF(MONTH(Table7[[#This Row],[Date]])&gt;=4,1,0)</f>
        <v>2027</v>
      </c>
      <c r="C996" s="167">
        <f>YEAR(Table7[[#This Row],[Date]])</f>
        <v>2026</v>
      </c>
      <c r="D996" s="168">
        <f t="shared" si="47"/>
        <v>46357</v>
      </c>
      <c r="AE996" s="167">
        <f t="shared" si="48"/>
        <v>0</v>
      </c>
    </row>
    <row r="997" spans="1:31">
      <c r="A997" s="197">
        <f t="shared" si="49"/>
        <v>46377</v>
      </c>
      <c r="B997" s="167">
        <f>YEAR(Table7[[#This Row],[Date]])+IF(MONTH(Table7[[#This Row],[Date]])&gt;=4,1,0)</f>
        <v>2027</v>
      </c>
      <c r="C997" s="167">
        <f>YEAR(Table7[[#This Row],[Date]])</f>
        <v>2026</v>
      </c>
      <c r="D997" s="168">
        <f t="shared" si="47"/>
        <v>46357</v>
      </c>
      <c r="AE997" s="167">
        <f t="shared" si="48"/>
        <v>0</v>
      </c>
    </row>
    <row r="998" spans="1:31">
      <c r="A998" s="197">
        <f t="shared" si="49"/>
        <v>46378</v>
      </c>
      <c r="B998" s="167">
        <f>YEAR(Table7[[#This Row],[Date]])+IF(MONTH(Table7[[#This Row],[Date]])&gt;=4,1,0)</f>
        <v>2027</v>
      </c>
      <c r="C998" s="167">
        <f>YEAR(Table7[[#This Row],[Date]])</f>
        <v>2026</v>
      </c>
      <c r="D998" s="168">
        <f t="shared" si="47"/>
        <v>46357</v>
      </c>
      <c r="AE998" s="167">
        <f t="shared" si="48"/>
        <v>0</v>
      </c>
    </row>
    <row r="999" spans="1:31">
      <c r="A999" s="197">
        <f t="shared" si="49"/>
        <v>46379</v>
      </c>
      <c r="B999" s="167">
        <f>YEAR(Table7[[#This Row],[Date]])+IF(MONTH(Table7[[#This Row],[Date]])&gt;=4,1,0)</f>
        <v>2027</v>
      </c>
      <c r="C999" s="167">
        <f>YEAR(Table7[[#This Row],[Date]])</f>
        <v>2026</v>
      </c>
      <c r="D999" s="168">
        <f t="shared" si="47"/>
        <v>46357</v>
      </c>
      <c r="AE999" s="167">
        <f t="shared" si="48"/>
        <v>0</v>
      </c>
    </row>
    <row r="1000" spans="1:31">
      <c r="A1000" s="197">
        <f t="shared" si="49"/>
        <v>46380</v>
      </c>
      <c r="B1000" s="167">
        <f>YEAR(Table7[[#This Row],[Date]])+IF(MONTH(Table7[[#This Row],[Date]])&gt;=4,1,0)</f>
        <v>2027</v>
      </c>
      <c r="C1000" s="167">
        <f>YEAR(Table7[[#This Row],[Date]])</f>
        <v>2026</v>
      </c>
      <c r="D1000" s="168">
        <f t="shared" si="47"/>
        <v>46357</v>
      </c>
      <c r="AE1000" s="167">
        <f t="shared" si="48"/>
        <v>0</v>
      </c>
    </row>
    <row r="1001" spans="1:31">
      <c r="A1001" s="197">
        <f t="shared" si="49"/>
        <v>46381</v>
      </c>
      <c r="B1001" s="167">
        <f>YEAR(Table7[[#This Row],[Date]])+IF(MONTH(Table7[[#This Row],[Date]])&gt;=4,1,0)</f>
        <v>2027</v>
      </c>
      <c r="C1001" s="167">
        <f>YEAR(Table7[[#This Row],[Date]])</f>
        <v>2026</v>
      </c>
      <c r="D1001" s="168">
        <f t="shared" si="47"/>
        <v>46357</v>
      </c>
      <c r="AE1001" s="167">
        <f t="shared" si="48"/>
        <v>0</v>
      </c>
    </row>
    <row r="1002" spans="1:31">
      <c r="A1002" s="197">
        <f t="shared" si="49"/>
        <v>46382</v>
      </c>
      <c r="B1002" s="167">
        <f>YEAR(Table7[[#This Row],[Date]])+IF(MONTH(Table7[[#This Row],[Date]])&gt;=4,1,0)</f>
        <v>2027</v>
      </c>
      <c r="C1002" s="167">
        <f>YEAR(Table7[[#This Row],[Date]])</f>
        <v>2026</v>
      </c>
      <c r="D1002" s="168">
        <f t="shared" si="47"/>
        <v>46357</v>
      </c>
      <c r="AE1002" s="167">
        <f t="shared" si="48"/>
        <v>0</v>
      </c>
    </row>
    <row r="1003" spans="1:31">
      <c r="A1003" s="197">
        <f t="shared" si="49"/>
        <v>46383</v>
      </c>
      <c r="B1003" s="167">
        <f>YEAR(Table7[[#This Row],[Date]])+IF(MONTH(Table7[[#This Row],[Date]])&gt;=4,1,0)</f>
        <v>2027</v>
      </c>
      <c r="C1003" s="167">
        <f>YEAR(Table7[[#This Row],[Date]])</f>
        <v>2026</v>
      </c>
      <c r="D1003" s="168">
        <f t="shared" si="47"/>
        <v>46357</v>
      </c>
      <c r="AE1003" s="167">
        <f t="shared" si="48"/>
        <v>0</v>
      </c>
    </row>
    <row r="1004" spans="1:31">
      <c r="A1004" s="197">
        <f t="shared" si="49"/>
        <v>46384</v>
      </c>
      <c r="B1004" s="167">
        <f>YEAR(Table7[[#This Row],[Date]])+IF(MONTH(Table7[[#This Row],[Date]])&gt;=4,1,0)</f>
        <v>2027</v>
      </c>
      <c r="C1004" s="167">
        <f>YEAR(Table7[[#This Row],[Date]])</f>
        <v>2026</v>
      </c>
      <c r="D1004" s="168">
        <f t="shared" si="47"/>
        <v>46357</v>
      </c>
      <c r="AE1004" s="167">
        <f t="shared" si="48"/>
        <v>0</v>
      </c>
    </row>
    <row r="1005" spans="1:31">
      <c r="A1005" s="197">
        <f t="shared" si="49"/>
        <v>46385</v>
      </c>
      <c r="B1005" s="167">
        <f>YEAR(Table7[[#This Row],[Date]])+IF(MONTH(Table7[[#This Row],[Date]])&gt;=4,1,0)</f>
        <v>2027</v>
      </c>
      <c r="C1005" s="167">
        <f>YEAR(Table7[[#This Row],[Date]])</f>
        <v>2026</v>
      </c>
      <c r="D1005" s="168">
        <f t="shared" si="47"/>
        <v>46357</v>
      </c>
      <c r="AE1005" s="167">
        <f t="shared" si="48"/>
        <v>0</v>
      </c>
    </row>
    <row r="1006" spans="1:31">
      <c r="A1006" s="197">
        <f t="shared" si="49"/>
        <v>46386</v>
      </c>
      <c r="B1006" s="167">
        <f>YEAR(Table7[[#This Row],[Date]])+IF(MONTH(Table7[[#This Row],[Date]])&gt;=4,1,0)</f>
        <v>2027</v>
      </c>
      <c r="C1006" s="167">
        <f>YEAR(Table7[[#This Row],[Date]])</f>
        <v>2026</v>
      </c>
      <c r="D1006" s="168">
        <f t="shared" si="47"/>
        <v>46357</v>
      </c>
      <c r="AE1006" s="167">
        <f t="shared" si="48"/>
        <v>0</v>
      </c>
    </row>
    <row r="1007" spans="1:31">
      <c r="A1007" s="197">
        <f t="shared" si="49"/>
        <v>46387</v>
      </c>
      <c r="B1007" s="167">
        <f>YEAR(Table7[[#This Row],[Date]])+IF(MONTH(Table7[[#This Row],[Date]])&gt;=4,1,0)</f>
        <v>2027</v>
      </c>
      <c r="C1007" s="167">
        <f>YEAR(Table7[[#This Row],[Date]])</f>
        <v>2026</v>
      </c>
      <c r="D1007" s="168">
        <f t="shared" si="47"/>
        <v>46357</v>
      </c>
      <c r="AE1007" s="167">
        <f t="shared" si="48"/>
        <v>0</v>
      </c>
    </row>
    <row r="1008" spans="1:31">
      <c r="A1008" s="197">
        <f t="shared" si="49"/>
        <v>46388</v>
      </c>
      <c r="B1008" s="167">
        <f>YEAR(Table7[[#This Row],[Date]])+IF(MONTH(Table7[[#This Row],[Date]])&gt;=4,1,0)</f>
        <v>2027</v>
      </c>
      <c r="C1008" s="167">
        <f>YEAR(Table7[[#This Row],[Date]])</f>
        <v>2027</v>
      </c>
      <c r="D1008" s="168">
        <f t="shared" si="47"/>
        <v>46388</v>
      </c>
      <c r="AE1008" s="167">
        <f t="shared" si="48"/>
        <v>0</v>
      </c>
    </row>
    <row r="1009" spans="1:31">
      <c r="A1009" s="197">
        <f t="shared" si="49"/>
        <v>46389</v>
      </c>
      <c r="B1009" s="167">
        <f>YEAR(Table7[[#This Row],[Date]])+IF(MONTH(Table7[[#This Row],[Date]])&gt;=4,1,0)</f>
        <v>2027</v>
      </c>
      <c r="C1009" s="167">
        <f>YEAR(Table7[[#This Row],[Date]])</f>
        <v>2027</v>
      </c>
      <c r="D1009" s="168">
        <f t="shared" si="47"/>
        <v>46388</v>
      </c>
      <c r="AE1009" s="167">
        <f t="shared" si="48"/>
        <v>0</v>
      </c>
    </row>
    <row r="1010" spans="1:31">
      <c r="A1010" s="197">
        <f t="shared" si="49"/>
        <v>46390</v>
      </c>
      <c r="B1010" s="167">
        <f>YEAR(Table7[[#This Row],[Date]])+IF(MONTH(Table7[[#This Row],[Date]])&gt;=4,1,0)</f>
        <v>2027</v>
      </c>
      <c r="C1010" s="167">
        <f>YEAR(Table7[[#This Row],[Date]])</f>
        <v>2027</v>
      </c>
      <c r="D1010" s="168">
        <f t="shared" si="47"/>
        <v>46388</v>
      </c>
      <c r="AE1010" s="167">
        <f t="shared" si="48"/>
        <v>0</v>
      </c>
    </row>
    <row r="1011" spans="1:31">
      <c r="A1011" s="197">
        <f t="shared" si="49"/>
        <v>46391</v>
      </c>
      <c r="B1011" s="167">
        <f>YEAR(Table7[[#This Row],[Date]])+IF(MONTH(Table7[[#This Row],[Date]])&gt;=4,1,0)</f>
        <v>2027</v>
      </c>
      <c r="C1011" s="167">
        <f>YEAR(Table7[[#This Row],[Date]])</f>
        <v>2027</v>
      </c>
      <c r="D1011" s="168">
        <f t="shared" si="47"/>
        <v>46388</v>
      </c>
      <c r="AE1011" s="167">
        <f t="shared" si="48"/>
        <v>0</v>
      </c>
    </row>
    <row r="1012" spans="1:31">
      <c r="A1012" s="197">
        <f t="shared" si="49"/>
        <v>46392</v>
      </c>
      <c r="B1012" s="167">
        <f>YEAR(Table7[[#This Row],[Date]])+IF(MONTH(Table7[[#This Row],[Date]])&gt;=4,1,0)</f>
        <v>2027</v>
      </c>
      <c r="C1012" s="167">
        <f>YEAR(Table7[[#This Row],[Date]])</f>
        <v>2027</v>
      </c>
      <c r="D1012" s="168">
        <f t="shared" si="47"/>
        <v>46388</v>
      </c>
      <c r="AE1012" s="167">
        <f t="shared" si="48"/>
        <v>0</v>
      </c>
    </row>
    <row r="1013" spans="1:31">
      <c r="A1013" s="197">
        <f t="shared" si="49"/>
        <v>46393</v>
      </c>
      <c r="B1013" s="167">
        <f>YEAR(Table7[[#This Row],[Date]])+IF(MONTH(Table7[[#This Row],[Date]])&gt;=4,1,0)</f>
        <v>2027</v>
      </c>
      <c r="C1013" s="167">
        <f>YEAR(Table7[[#This Row],[Date]])</f>
        <v>2027</v>
      </c>
      <c r="D1013" s="168">
        <f t="shared" si="47"/>
        <v>46388</v>
      </c>
      <c r="AE1013" s="167">
        <f t="shared" si="48"/>
        <v>0</v>
      </c>
    </row>
    <row r="1014" spans="1:31">
      <c r="A1014" s="197">
        <f t="shared" si="49"/>
        <v>46394</v>
      </c>
      <c r="B1014" s="167">
        <f>YEAR(Table7[[#This Row],[Date]])+IF(MONTH(Table7[[#This Row],[Date]])&gt;=4,1,0)</f>
        <v>2027</v>
      </c>
      <c r="C1014" s="167">
        <f>YEAR(Table7[[#This Row],[Date]])</f>
        <v>2027</v>
      </c>
      <c r="D1014" s="168">
        <f t="shared" si="47"/>
        <v>46388</v>
      </c>
      <c r="AE1014" s="167">
        <f t="shared" si="48"/>
        <v>0</v>
      </c>
    </row>
    <row r="1015" spans="1:31">
      <c r="A1015" s="197">
        <f t="shared" si="49"/>
        <v>46395</v>
      </c>
      <c r="B1015" s="167">
        <f>YEAR(Table7[[#This Row],[Date]])+IF(MONTH(Table7[[#This Row],[Date]])&gt;=4,1,0)</f>
        <v>2027</v>
      </c>
      <c r="C1015" s="167">
        <f>YEAR(Table7[[#This Row],[Date]])</f>
        <v>2027</v>
      </c>
      <c r="D1015" s="168">
        <f t="shared" si="47"/>
        <v>46388</v>
      </c>
      <c r="AE1015" s="167">
        <f t="shared" si="48"/>
        <v>0</v>
      </c>
    </row>
    <row r="1016" spans="1:31">
      <c r="A1016" s="197">
        <f t="shared" si="49"/>
        <v>46396</v>
      </c>
      <c r="B1016" s="167">
        <f>YEAR(Table7[[#This Row],[Date]])+IF(MONTH(Table7[[#This Row],[Date]])&gt;=4,1,0)</f>
        <v>2027</v>
      </c>
      <c r="C1016" s="167">
        <f>YEAR(Table7[[#This Row],[Date]])</f>
        <v>2027</v>
      </c>
      <c r="D1016" s="168">
        <f t="shared" si="47"/>
        <v>46388</v>
      </c>
      <c r="AE1016" s="167">
        <f t="shared" si="48"/>
        <v>0</v>
      </c>
    </row>
    <row r="1017" spans="1:31">
      <c r="A1017" s="197">
        <f t="shared" si="49"/>
        <v>46397</v>
      </c>
      <c r="B1017" s="167">
        <f>YEAR(Table7[[#This Row],[Date]])+IF(MONTH(Table7[[#This Row],[Date]])&gt;=4,1,0)</f>
        <v>2027</v>
      </c>
      <c r="C1017" s="167">
        <f>YEAR(Table7[[#This Row],[Date]])</f>
        <v>2027</v>
      </c>
      <c r="D1017" s="168">
        <f t="shared" si="47"/>
        <v>46388</v>
      </c>
      <c r="AE1017" s="167">
        <f t="shared" si="48"/>
        <v>0</v>
      </c>
    </row>
    <row r="1018" spans="1:31">
      <c r="A1018" s="197">
        <f t="shared" si="49"/>
        <v>46398</v>
      </c>
      <c r="B1018" s="167">
        <f>YEAR(Table7[[#This Row],[Date]])+IF(MONTH(Table7[[#This Row],[Date]])&gt;=4,1,0)</f>
        <v>2027</v>
      </c>
      <c r="C1018" s="167">
        <f>YEAR(Table7[[#This Row],[Date]])</f>
        <v>2027</v>
      </c>
      <c r="D1018" s="168">
        <f t="shared" si="47"/>
        <v>46388</v>
      </c>
      <c r="AE1018" s="167">
        <f t="shared" si="48"/>
        <v>0</v>
      </c>
    </row>
    <row r="1019" spans="1:31">
      <c r="A1019" s="197">
        <f t="shared" si="49"/>
        <v>46399</v>
      </c>
      <c r="B1019" s="167">
        <f>YEAR(Table7[[#This Row],[Date]])+IF(MONTH(Table7[[#This Row],[Date]])&gt;=4,1,0)</f>
        <v>2027</v>
      </c>
      <c r="C1019" s="167">
        <f>YEAR(Table7[[#This Row],[Date]])</f>
        <v>2027</v>
      </c>
      <c r="D1019" s="168">
        <f t="shared" si="47"/>
        <v>46388</v>
      </c>
      <c r="AE1019" s="167">
        <f t="shared" si="48"/>
        <v>0</v>
      </c>
    </row>
    <row r="1020" spans="1:31">
      <c r="A1020" s="197">
        <f t="shared" si="49"/>
        <v>46400</v>
      </c>
      <c r="B1020" s="167">
        <f>YEAR(Table7[[#This Row],[Date]])+IF(MONTH(Table7[[#This Row],[Date]])&gt;=4,1,0)</f>
        <v>2027</v>
      </c>
      <c r="C1020" s="167">
        <f>YEAR(Table7[[#This Row],[Date]])</f>
        <v>2027</v>
      </c>
      <c r="D1020" s="168">
        <f t="shared" si="47"/>
        <v>46388</v>
      </c>
      <c r="AE1020" s="167">
        <f t="shared" si="48"/>
        <v>0</v>
      </c>
    </row>
    <row r="1021" spans="1:31">
      <c r="A1021" s="197">
        <f t="shared" si="49"/>
        <v>46401</v>
      </c>
      <c r="B1021" s="167">
        <f>YEAR(Table7[[#This Row],[Date]])+IF(MONTH(Table7[[#This Row],[Date]])&gt;=4,1,0)</f>
        <v>2027</v>
      </c>
      <c r="C1021" s="167">
        <f>YEAR(Table7[[#This Row],[Date]])</f>
        <v>2027</v>
      </c>
      <c r="D1021" s="168">
        <f t="shared" si="47"/>
        <v>46388</v>
      </c>
      <c r="AE1021" s="167">
        <f t="shared" si="48"/>
        <v>0</v>
      </c>
    </row>
    <row r="1022" spans="1:31">
      <c r="A1022" s="197">
        <f t="shared" si="49"/>
        <v>46402</v>
      </c>
      <c r="B1022" s="167">
        <f>YEAR(Table7[[#This Row],[Date]])+IF(MONTH(Table7[[#This Row],[Date]])&gt;=4,1,0)</f>
        <v>2027</v>
      </c>
      <c r="C1022" s="167">
        <f>YEAR(Table7[[#This Row],[Date]])</f>
        <v>2027</v>
      </c>
      <c r="D1022" s="168">
        <f t="shared" si="47"/>
        <v>46388</v>
      </c>
      <c r="AE1022" s="167">
        <f t="shared" si="48"/>
        <v>0</v>
      </c>
    </row>
    <row r="1023" spans="1:31">
      <c r="A1023" s="197">
        <f t="shared" si="49"/>
        <v>46403</v>
      </c>
      <c r="B1023" s="167">
        <f>YEAR(Table7[[#This Row],[Date]])+IF(MONTH(Table7[[#This Row],[Date]])&gt;=4,1,0)</f>
        <v>2027</v>
      </c>
      <c r="C1023" s="167">
        <f>YEAR(Table7[[#This Row],[Date]])</f>
        <v>2027</v>
      </c>
      <c r="D1023" s="168">
        <f t="shared" si="47"/>
        <v>46388</v>
      </c>
      <c r="AE1023" s="167">
        <f t="shared" si="48"/>
        <v>0</v>
      </c>
    </row>
    <row r="1024" spans="1:31">
      <c r="A1024" s="197">
        <f t="shared" si="49"/>
        <v>46404</v>
      </c>
      <c r="B1024" s="167">
        <f>YEAR(Table7[[#This Row],[Date]])+IF(MONTH(Table7[[#This Row],[Date]])&gt;=4,1,0)</f>
        <v>2027</v>
      </c>
      <c r="C1024" s="167">
        <f>YEAR(Table7[[#This Row],[Date]])</f>
        <v>2027</v>
      </c>
      <c r="D1024" s="168">
        <f t="shared" si="47"/>
        <v>46388</v>
      </c>
      <c r="AE1024" s="167">
        <f t="shared" si="48"/>
        <v>0</v>
      </c>
    </row>
    <row r="1025" spans="1:31">
      <c r="A1025" s="197">
        <f t="shared" si="49"/>
        <v>46405</v>
      </c>
      <c r="B1025" s="167">
        <f>YEAR(Table7[[#This Row],[Date]])+IF(MONTH(Table7[[#This Row],[Date]])&gt;=4,1,0)</f>
        <v>2027</v>
      </c>
      <c r="C1025" s="167">
        <f>YEAR(Table7[[#This Row],[Date]])</f>
        <v>2027</v>
      </c>
      <c r="D1025" s="168">
        <f t="shared" si="47"/>
        <v>46388</v>
      </c>
      <c r="AE1025" s="167">
        <f t="shared" si="48"/>
        <v>0</v>
      </c>
    </row>
    <row r="1026" spans="1:31">
      <c r="A1026" s="197">
        <f t="shared" si="49"/>
        <v>46406</v>
      </c>
      <c r="B1026" s="167">
        <f>YEAR(Table7[[#This Row],[Date]])+IF(MONTH(Table7[[#This Row],[Date]])&gt;=4,1,0)</f>
        <v>2027</v>
      </c>
      <c r="C1026" s="167">
        <f>YEAR(Table7[[#This Row],[Date]])</f>
        <v>2027</v>
      </c>
      <c r="D1026" s="168">
        <f t="shared" si="47"/>
        <v>46388</v>
      </c>
      <c r="AE1026" s="167">
        <f t="shared" si="48"/>
        <v>0</v>
      </c>
    </row>
    <row r="1027" spans="1:31">
      <c r="A1027" s="197">
        <f t="shared" si="49"/>
        <v>46407</v>
      </c>
      <c r="B1027" s="167">
        <f>YEAR(Table7[[#This Row],[Date]])+IF(MONTH(Table7[[#This Row],[Date]])&gt;=4,1,0)</f>
        <v>2027</v>
      </c>
      <c r="C1027" s="167">
        <f>YEAR(Table7[[#This Row],[Date]])</f>
        <v>2027</v>
      </c>
      <c r="D1027" s="168">
        <f t="shared" ref="D1027:D1090" si="50">A1027-DAY(A1027)+1</f>
        <v>46388</v>
      </c>
      <c r="AE1027" s="167">
        <f t="shared" ref="AE1027:AE1090" si="51">SUM(E1027:AD1027)</f>
        <v>0</v>
      </c>
    </row>
    <row r="1028" spans="1:31">
      <c r="A1028" s="197">
        <f t="shared" si="49"/>
        <v>46408</v>
      </c>
      <c r="B1028" s="167">
        <f>YEAR(Table7[[#This Row],[Date]])+IF(MONTH(Table7[[#This Row],[Date]])&gt;=4,1,0)</f>
        <v>2027</v>
      </c>
      <c r="C1028" s="167">
        <f>YEAR(Table7[[#This Row],[Date]])</f>
        <v>2027</v>
      </c>
      <c r="D1028" s="168">
        <f t="shared" si="50"/>
        <v>46388</v>
      </c>
      <c r="AE1028" s="167">
        <f t="shared" si="51"/>
        <v>0</v>
      </c>
    </row>
    <row r="1029" spans="1:31">
      <c r="A1029" s="197">
        <f t="shared" ref="A1029:A1092" si="52">A1028+1</f>
        <v>46409</v>
      </c>
      <c r="B1029" s="167">
        <f>YEAR(Table7[[#This Row],[Date]])+IF(MONTH(Table7[[#This Row],[Date]])&gt;=4,1,0)</f>
        <v>2027</v>
      </c>
      <c r="C1029" s="167">
        <f>YEAR(Table7[[#This Row],[Date]])</f>
        <v>2027</v>
      </c>
      <c r="D1029" s="168">
        <f t="shared" si="50"/>
        <v>46388</v>
      </c>
      <c r="AE1029" s="167">
        <f t="shared" si="51"/>
        <v>0</v>
      </c>
    </row>
    <row r="1030" spans="1:31">
      <c r="A1030" s="197">
        <f t="shared" si="52"/>
        <v>46410</v>
      </c>
      <c r="B1030" s="167">
        <f>YEAR(Table7[[#This Row],[Date]])+IF(MONTH(Table7[[#This Row],[Date]])&gt;=4,1,0)</f>
        <v>2027</v>
      </c>
      <c r="C1030" s="167">
        <f>YEAR(Table7[[#This Row],[Date]])</f>
        <v>2027</v>
      </c>
      <c r="D1030" s="168">
        <f t="shared" si="50"/>
        <v>46388</v>
      </c>
      <c r="AE1030" s="167">
        <f t="shared" si="51"/>
        <v>0</v>
      </c>
    </row>
    <row r="1031" spans="1:31">
      <c r="A1031" s="197">
        <f t="shared" si="52"/>
        <v>46411</v>
      </c>
      <c r="B1031" s="167">
        <f>YEAR(Table7[[#This Row],[Date]])+IF(MONTH(Table7[[#This Row],[Date]])&gt;=4,1,0)</f>
        <v>2027</v>
      </c>
      <c r="C1031" s="167">
        <f>YEAR(Table7[[#This Row],[Date]])</f>
        <v>2027</v>
      </c>
      <c r="D1031" s="168">
        <f t="shared" si="50"/>
        <v>46388</v>
      </c>
      <c r="AE1031" s="167">
        <f t="shared" si="51"/>
        <v>0</v>
      </c>
    </row>
    <row r="1032" spans="1:31">
      <c r="A1032" s="197">
        <f t="shared" si="52"/>
        <v>46412</v>
      </c>
      <c r="B1032" s="167">
        <f>YEAR(Table7[[#This Row],[Date]])+IF(MONTH(Table7[[#This Row],[Date]])&gt;=4,1,0)</f>
        <v>2027</v>
      </c>
      <c r="C1032" s="167">
        <f>YEAR(Table7[[#This Row],[Date]])</f>
        <v>2027</v>
      </c>
      <c r="D1032" s="168">
        <f t="shared" si="50"/>
        <v>46388</v>
      </c>
      <c r="AE1032" s="167">
        <f t="shared" si="51"/>
        <v>0</v>
      </c>
    </row>
    <row r="1033" spans="1:31">
      <c r="A1033" s="197">
        <f t="shared" si="52"/>
        <v>46413</v>
      </c>
      <c r="B1033" s="167">
        <f>YEAR(Table7[[#This Row],[Date]])+IF(MONTH(Table7[[#This Row],[Date]])&gt;=4,1,0)</f>
        <v>2027</v>
      </c>
      <c r="C1033" s="167">
        <f>YEAR(Table7[[#This Row],[Date]])</f>
        <v>2027</v>
      </c>
      <c r="D1033" s="168">
        <f t="shared" si="50"/>
        <v>46388</v>
      </c>
      <c r="AE1033" s="167">
        <f t="shared" si="51"/>
        <v>0</v>
      </c>
    </row>
    <row r="1034" spans="1:31">
      <c r="A1034" s="197">
        <f t="shared" si="52"/>
        <v>46414</v>
      </c>
      <c r="B1034" s="167">
        <f>YEAR(Table7[[#This Row],[Date]])+IF(MONTH(Table7[[#This Row],[Date]])&gt;=4,1,0)</f>
        <v>2027</v>
      </c>
      <c r="C1034" s="167">
        <f>YEAR(Table7[[#This Row],[Date]])</f>
        <v>2027</v>
      </c>
      <c r="D1034" s="168">
        <f t="shared" si="50"/>
        <v>46388</v>
      </c>
      <c r="AE1034" s="167">
        <f t="shared" si="51"/>
        <v>0</v>
      </c>
    </row>
    <row r="1035" spans="1:31">
      <c r="A1035" s="197">
        <f t="shared" si="52"/>
        <v>46415</v>
      </c>
      <c r="B1035" s="167">
        <f>YEAR(Table7[[#This Row],[Date]])+IF(MONTH(Table7[[#This Row],[Date]])&gt;=4,1,0)</f>
        <v>2027</v>
      </c>
      <c r="C1035" s="167">
        <f>YEAR(Table7[[#This Row],[Date]])</f>
        <v>2027</v>
      </c>
      <c r="D1035" s="168">
        <f t="shared" si="50"/>
        <v>46388</v>
      </c>
      <c r="AE1035" s="167">
        <f t="shared" si="51"/>
        <v>0</v>
      </c>
    </row>
    <row r="1036" spans="1:31">
      <c r="A1036" s="197">
        <f t="shared" si="52"/>
        <v>46416</v>
      </c>
      <c r="B1036" s="167">
        <f>YEAR(Table7[[#This Row],[Date]])+IF(MONTH(Table7[[#This Row],[Date]])&gt;=4,1,0)</f>
        <v>2027</v>
      </c>
      <c r="C1036" s="167">
        <f>YEAR(Table7[[#This Row],[Date]])</f>
        <v>2027</v>
      </c>
      <c r="D1036" s="168">
        <f t="shared" si="50"/>
        <v>46388</v>
      </c>
      <c r="AE1036" s="167">
        <f t="shared" si="51"/>
        <v>0</v>
      </c>
    </row>
    <row r="1037" spans="1:31">
      <c r="A1037" s="197">
        <f t="shared" si="52"/>
        <v>46417</v>
      </c>
      <c r="B1037" s="167">
        <f>YEAR(Table7[[#This Row],[Date]])+IF(MONTH(Table7[[#This Row],[Date]])&gt;=4,1,0)</f>
        <v>2027</v>
      </c>
      <c r="C1037" s="167">
        <f>YEAR(Table7[[#This Row],[Date]])</f>
        <v>2027</v>
      </c>
      <c r="D1037" s="168">
        <f t="shared" si="50"/>
        <v>46388</v>
      </c>
      <c r="AE1037" s="167">
        <f t="shared" si="51"/>
        <v>0</v>
      </c>
    </row>
    <row r="1038" spans="1:31">
      <c r="A1038" s="197">
        <f t="shared" si="52"/>
        <v>46418</v>
      </c>
      <c r="B1038" s="167">
        <f>YEAR(Table7[[#This Row],[Date]])+IF(MONTH(Table7[[#This Row],[Date]])&gt;=4,1,0)</f>
        <v>2027</v>
      </c>
      <c r="C1038" s="167">
        <f>YEAR(Table7[[#This Row],[Date]])</f>
        <v>2027</v>
      </c>
      <c r="D1038" s="168">
        <f t="shared" si="50"/>
        <v>46388</v>
      </c>
      <c r="AE1038" s="167">
        <f t="shared" si="51"/>
        <v>0</v>
      </c>
    </row>
    <row r="1039" spans="1:31">
      <c r="A1039" s="197">
        <f t="shared" si="52"/>
        <v>46419</v>
      </c>
      <c r="B1039" s="167">
        <f>YEAR(Table7[[#This Row],[Date]])+IF(MONTH(Table7[[#This Row],[Date]])&gt;=4,1,0)</f>
        <v>2027</v>
      </c>
      <c r="C1039" s="167">
        <f>YEAR(Table7[[#This Row],[Date]])</f>
        <v>2027</v>
      </c>
      <c r="D1039" s="168">
        <f t="shared" si="50"/>
        <v>46419</v>
      </c>
      <c r="AE1039" s="167">
        <f t="shared" si="51"/>
        <v>0</v>
      </c>
    </row>
    <row r="1040" spans="1:31">
      <c r="A1040" s="197">
        <f t="shared" si="52"/>
        <v>46420</v>
      </c>
      <c r="B1040" s="167">
        <f>YEAR(Table7[[#This Row],[Date]])+IF(MONTH(Table7[[#This Row],[Date]])&gt;=4,1,0)</f>
        <v>2027</v>
      </c>
      <c r="C1040" s="167">
        <f>YEAR(Table7[[#This Row],[Date]])</f>
        <v>2027</v>
      </c>
      <c r="D1040" s="168">
        <f t="shared" si="50"/>
        <v>46419</v>
      </c>
      <c r="AE1040" s="167">
        <f t="shared" si="51"/>
        <v>0</v>
      </c>
    </row>
    <row r="1041" spans="1:31">
      <c r="A1041" s="197">
        <f t="shared" si="52"/>
        <v>46421</v>
      </c>
      <c r="B1041" s="167">
        <f>YEAR(Table7[[#This Row],[Date]])+IF(MONTH(Table7[[#This Row],[Date]])&gt;=4,1,0)</f>
        <v>2027</v>
      </c>
      <c r="C1041" s="167">
        <f>YEAR(Table7[[#This Row],[Date]])</f>
        <v>2027</v>
      </c>
      <c r="D1041" s="168">
        <f t="shared" si="50"/>
        <v>46419</v>
      </c>
      <c r="AE1041" s="167">
        <f t="shared" si="51"/>
        <v>0</v>
      </c>
    </row>
    <row r="1042" spans="1:31">
      <c r="A1042" s="197">
        <f t="shared" si="52"/>
        <v>46422</v>
      </c>
      <c r="B1042" s="167">
        <f>YEAR(Table7[[#This Row],[Date]])+IF(MONTH(Table7[[#This Row],[Date]])&gt;=4,1,0)</f>
        <v>2027</v>
      </c>
      <c r="C1042" s="167">
        <f>YEAR(Table7[[#This Row],[Date]])</f>
        <v>2027</v>
      </c>
      <c r="D1042" s="168">
        <f t="shared" si="50"/>
        <v>46419</v>
      </c>
      <c r="AE1042" s="167">
        <f t="shared" si="51"/>
        <v>0</v>
      </c>
    </row>
    <row r="1043" spans="1:31">
      <c r="A1043" s="197">
        <f t="shared" si="52"/>
        <v>46423</v>
      </c>
      <c r="B1043" s="167">
        <f>YEAR(Table7[[#This Row],[Date]])+IF(MONTH(Table7[[#This Row],[Date]])&gt;=4,1,0)</f>
        <v>2027</v>
      </c>
      <c r="C1043" s="167">
        <f>YEAR(Table7[[#This Row],[Date]])</f>
        <v>2027</v>
      </c>
      <c r="D1043" s="168">
        <f t="shared" si="50"/>
        <v>46419</v>
      </c>
      <c r="AE1043" s="167">
        <f t="shared" si="51"/>
        <v>0</v>
      </c>
    </row>
    <row r="1044" spans="1:31">
      <c r="A1044" s="197">
        <f t="shared" si="52"/>
        <v>46424</v>
      </c>
      <c r="B1044" s="167">
        <f>YEAR(Table7[[#This Row],[Date]])+IF(MONTH(Table7[[#This Row],[Date]])&gt;=4,1,0)</f>
        <v>2027</v>
      </c>
      <c r="C1044" s="167">
        <f>YEAR(Table7[[#This Row],[Date]])</f>
        <v>2027</v>
      </c>
      <c r="D1044" s="168">
        <f t="shared" si="50"/>
        <v>46419</v>
      </c>
      <c r="AE1044" s="167">
        <f t="shared" si="51"/>
        <v>0</v>
      </c>
    </row>
    <row r="1045" spans="1:31">
      <c r="A1045" s="197">
        <f t="shared" si="52"/>
        <v>46425</v>
      </c>
      <c r="B1045" s="167">
        <f>YEAR(Table7[[#This Row],[Date]])+IF(MONTH(Table7[[#This Row],[Date]])&gt;=4,1,0)</f>
        <v>2027</v>
      </c>
      <c r="C1045" s="167">
        <f>YEAR(Table7[[#This Row],[Date]])</f>
        <v>2027</v>
      </c>
      <c r="D1045" s="168">
        <f t="shared" si="50"/>
        <v>46419</v>
      </c>
      <c r="AE1045" s="167">
        <f t="shared" si="51"/>
        <v>0</v>
      </c>
    </row>
    <row r="1046" spans="1:31">
      <c r="A1046" s="197">
        <f t="shared" si="52"/>
        <v>46426</v>
      </c>
      <c r="B1046" s="167">
        <f>YEAR(Table7[[#This Row],[Date]])+IF(MONTH(Table7[[#This Row],[Date]])&gt;=4,1,0)</f>
        <v>2027</v>
      </c>
      <c r="C1046" s="167">
        <f>YEAR(Table7[[#This Row],[Date]])</f>
        <v>2027</v>
      </c>
      <c r="D1046" s="168">
        <f t="shared" si="50"/>
        <v>46419</v>
      </c>
      <c r="AE1046" s="167">
        <f t="shared" si="51"/>
        <v>0</v>
      </c>
    </row>
    <row r="1047" spans="1:31">
      <c r="A1047" s="197">
        <f t="shared" si="52"/>
        <v>46427</v>
      </c>
      <c r="B1047" s="167">
        <f>YEAR(Table7[[#This Row],[Date]])+IF(MONTH(Table7[[#This Row],[Date]])&gt;=4,1,0)</f>
        <v>2027</v>
      </c>
      <c r="C1047" s="167">
        <f>YEAR(Table7[[#This Row],[Date]])</f>
        <v>2027</v>
      </c>
      <c r="D1047" s="168">
        <f t="shared" si="50"/>
        <v>46419</v>
      </c>
      <c r="AE1047" s="167">
        <f t="shared" si="51"/>
        <v>0</v>
      </c>
    </row>
    <row r="1048" spans="1:31">
      <c r="A1048" s="197">
        <f t="shared" si="52"/>
        <v>46428</v>
      </c>
      <c r="B1048" s="167">
        <f>YEAR(Table7[[#This Row],[Date]])+IF(MONTH(Table7[[#This Row],[Date]])&gt;=4,1,0)</f>
        <v>2027</v>
      </c>
      <c r="C1048" s="167">
        <f>YEAR(Table7[[#This Row],[Date]])</f>
        <v>2027</v>
      </c>
      <c r="D1048" s="168">
        <f t="shared" si="50"/>
        <v>46419</v>
      </c>
      <c r="AE1048" s="167">
        <f t="shared" si="51"/>
        <v>0</v>
      </c>
    </row>
    <row r="1049" spans="1:31">
      <c r="A1049" s="197">
        <f t="shared" si="52"/>
        <v>46429</v>
      </c>
      <c r="B1049" s="167">
        <f>YEAR(Table7[[#This Row],[Date]])+IF(MONTH(Table7[[#This Row],[Date]])&gt;=4,1,0)</f>
        <v>2027</v>
      </c>
      <c r="C1049" s="167">
        <f>YEAR(Table7[[#This Row],[Date]])</f>
        <v>2027</v>
      </c>
      <c r="D1049" s="168">
        <f t="shared" si="50"/>
        <v>46419</v>
      </c>
      <c r="AE1049" s="167">
        <f t="shared" si="51"/>
        <v>0</v>
      </c>
    </row>
    <row r="1050" spans="1:31">
      <c r="A1050" s="197">
        <f t="shared" si="52"/>
        <v>46430</v>
      </c>
      <c r="B1050" s="167">
        <f>YEAR(Table7[[#This Row],[Date]])+IF(MONTH(Table7[[#This Row],[Date]])&gt;=4,1,0)</f>
        <v>2027</v>
      </c>
      <c r="C1050" s="167">
        <f>YEAR(Table7[[#This Row],[Date]])</f>
        <v>2027</v>
      </c>
      <c r="D1050" s="168">
        <f t="shared" si="50"/>
        <v>46419</v>
      </c>
      <c r="AE1050" s="167">
        <f t="shared" si="51"/>
        <v>0</v>
      </c>
    </row>
    <row r="1051" spans="1:31">
      <c r="A1051" s="197">
        <f t="shared" si="52"/>
        <v>46431</v>
      </c>
      <c r="B1051" s="167">
        <f>YEAR(Table7[[#This Row],[Date]])+IF(MONTH(Table7[[#This Row],[Date]])&gt;=4,1,0)</f>
        <v>2027</v>
      </c>
      <c r="C1051" s="167">
        <f>YEAR(Table7[[#This Row],[Date]])</f>
        <v>2027</v>
      </c>
      <c r="D1051" s="168">
        <f t="shared" si="50"/>
        <v>46419</v>
      </c>
      <c r="AE1051" s="167">
        <f t="shared" si="51"/>
        <v>0</v>
      </c>
    </row>
    <row r="1052" spans="1:31">
      <c r="A1052" s="197">
        <f t="shared" si="52"/>
        <v>46432</v>
      </c>
      <c r="B1052" s="167">
        <f>YEAR(Table7[[#This Row],[Date]])+IF(MONTH(Table7[[#This Row],[Date]])&gt;=4,1,0)</f>
        <v>2027</v>
      </c>
      <c r="C1052" s="167">
        <f>YEAR(Table7[[#This Row],[Date]])</f>
        <v>2027</v>
      </c>
      <c r="D1052" s="168">
        <f t="shared" si="50"/>
        <v>46419</v>
      </c>
      <c r="AE1052" s="167">
        <f t="shared" si="51"/>
        <v>0</v>
      </c>
    </row>
    <row r="1053" spans="1:31">
      <c r="A1053" s="197">
        <f t="shared" si="52"/>
        <v>46433</v>
      </c>
      <c r="B1053" s="167">
        <f>YEAR(Table7[[#This Row],[Date]])+IF(MONTH(Table7[[#This Row],[Date]])&gt;=4,1,0)</f>
        <v>2027</v>
      </c>
      <c r="C1053" s="167">
        <f>YEAR(Table7[[#This Row],[Date]])</f>
        <v>2027</v>
      </c>
      <c r="D1053" s="168">
        <f t="shared" si="50"/>
        <v>46419</v>
      </c>
      <c r="AE1053" s="167">
        <f t="shared" si="51"/>
        <v>0</v>
      </c>
    </row>
    <row r="1054" spans="1:31">
      <c r="A1054" s="197">
        <f t="shared" si="52"/>
        <v>46434</v>
      </c>
      <c r="B1054" s="167">
        <f>YEAR(Table7[[#This Row],[Date]])+IF(MONTH(Table7[[#This Row],[Date]])&gt;=4,1,0)</f>
        <v>2027</v>
      </c>
      <c r="C1054" s="167">
        <f>YEAR(Table7[[#This Row],[Date]])</f>
        <v>2027</v>
      </c>
      <c r="D1054" s="168">
        <f t="shared" si="50"/>
        <v>46419</v>
      </c>
      <c r="AE1054" s="167">
        <f t="shared" si="51"/>
        <v>0</v>
      </c>
    </row>
    <row r="1055" spans="1:31">
      <c r="A1055" s="197">
        <f t="shared" si="52"/>
        <v>46435</v>
      </c>
      <c r="B1055" s="167">
        <f>YEAR(Table7[[#This Row],[Date]])+IF(MONTH(Table7[[#This Row],[Date]])&gt;=4,1,0)</f>
        <v>2027</v>
      </c>
      <c r="C1055" s="167">
        <f>YEAR(Table7[[#This Row],[Date]])</f>
        <v>2027</v>
      </c>
      <c r="D1055" s="168">
        <f t="shared" si="50"/>
        <v>46419</v>
      </c>
      <c r="AE1055" s="167">
        <f t="shared" si="51"/>
        <v>0</v>
      </c>
    </row>
    <row r="1056" spans="1:31">
      <c r="A1056" s="197">
        <f t="shared" si="52"/>
        <v>46436</v>
      </c>
      <c r="B1056" s="167">
        <f>YEAR(Table7[[#This Row],[Date]])+IF(MONTH(Table7[[#This Row],[Date]])&gt;=4,1,0)</f>
        <v>2027</v>
      </c>
      <c r="C1056" s="167">
        <f>YEAR(Table7[[#This Row],[Date]])</f>
        <v>2027</v>
      </c>
      <c r="D1056" s="168">
        <f t="shared" si="50"/>
        <v>46419</v>
      </c>
      <c r="AE1056" s="167">
        <f t="shared" si="51"/>
        <v>0</v>
      </c>
    </row>
    <row r="1057" spans="1:31">
      <c r="A1057" s="197">
        <f t="shared" si="52"/>
        <v>46437</v>
      </c>
      <c r="B1057" s="167">
        <f>YEAR(Table7[[#This Row],[Date]])+IF(MONTH(Table7[[#This Row],[Date]])&gt;=4,1,0)</f>
        <v>2027</v>
      </c>
      <c r="C1057" s="167">
        <f>YEAR(Table7[[#This Row],[Date]])</f>
        <v>2027</v>
      </c>
      <c r="D1057" s="168">
        <f t="shared" si="50"/>
        <v>46419</v>
      </c>
      <c r="AE1057" s="167">
        <f t="shared" si="51"/>
        <v>0</v>
      </c>
    </row>
    <row r="1058" spans="1:31">
      <c r="A1058" s="197">
        <f t="shared" si="52"/>
        <v>46438</v>
      </c>
      <c r="B1058" s="167">
        <f>YEAR(Table7[[#This Row],[Date]])+IF(MONTH(Table7[[#This Row],[Date]])&gt;=4,1,0)</f>
        <v>2027</v>
      </c>
      <c r="C1058" s="167">
        <f>YEAR(Table7[[#This Row],[Date]])</f>
        <v>2027</v>
      </c>
      <c r="D1058" s="168">
        <f t="shared" si="50"/>
        <v>46419</v>
      </c>
      <c r="AE1058" s="167">
        <f t="shared" si="51"/>
        <v>0</v>
      </c>
    </row>
    <row r="1059" spans="1:31">
      <c r="A1059" s="197">
        <f t="shared" si="52"/>
        <v>46439</v>
      </c>
      <c r="B1059" s="167">
        <f>YEAR(Table7[[#This Row],[Date]])+IF(MONTH(Table7[[#This Row],[Date]])&gt;=4,1,0)</f>
        <v>2027</v>
      </c>
      <c r="C1059" s="167">
        <f>YEAR(Table7[[#This Row],[Date]])</f>
        <v>2027</v>
      </c>
      <c r="D1059" s="168">
        <f t="shared" si="50"/>
        <v>46419</v>
      </c>
      <c r="AE1059" s="167">
        <f t="shared" si="51"/>
        <v>0</v>
      </c>
    </row>
    <row r="1060" spans="1:31">
      <c r="A1060" s="197">
        <f t="shared" si="52"/>
        <v>46440</v>
      </c>
      <c r="B1060" s="167">
        <f>YEAR(Table7[[#This Row],[Date]])+IF(MONTH(Table7[[#This Row],[Date]])&gt;=4,1,0)</f>
        <v>2027</v>
      </c>
      <c r="C1060" s="167">
        <f>YEAR(Table7[[#This Row],[Date]])</f>
        <v>2027</v>
      </c>
      <c r="D1060" s="168">
        <f t="shared" si="50"/>
        <v>46419</v>
      </c>
      <c r="AE1060" s="167">
        <f t="shared" si="51"/>
        <v>0</v>
      </c>
    </row>
    <row r="1061" spans="1:31">
      <c r="A1061" s="197">
        <f t="shared" si="52"/>
        <v>46441</v>
      </c>
      <c r="B1061" s="167">
        <f>YEAR(Table7[[#This Row],[Date]])+IF(MONTH(Table7[[#This Row],[Date]])&gt;=4,1,0)</f>
        <v>2027</v>
      </c>
      <c r="C1061" s="167">
        <f>YEAR(Table7[[#This Row],[Date]])</f>
        <v>2027</v>
      </c>
      <c r="D1061" s="168">
        <f t="shared" si="50"/>
        <v>46419</v>
      </c>
      <c r="AE1061" s="167">
        <f t="shared" si="51"/>
        <v>0</v>
      </c>
    </row>
    <row r="1062" spans="1:31">
      <c r="A1062" s="197">
        <f t="shared" si="52"/>
        <v>46442</v>
      </c>
      <c r="B1062" s="167">
        <f>YEAR(Table7[[#This Row],[Date]])+IF(MONTH(Table7[[#This Row],[Date]])&gt;=4,1,0)</f>
        <v>2027</v>
      </c>
      <c r="C1062" s="167">
        <f>YEAR(Table7[[#This Row],[Date]])</f>
        <v>2027</v>
      </c>
      <c r="D1062" s="168">
        <f t="shared" si="50"/>
        <v>46419</v>
      </c>
      <c r="AE1062" s="167">
        <f t="shared" si="51"/>
        <v>0</v>
      </c>
    </row>
    <row r="1063" spans="1:31">
      <c r="A1063" s="197">
        <f t="shared" si="52"/>
        <v>46443</v>
      </c>
      <c r="B1063" s="167">
        <f>YEAR(Table7[[#This Row],[Date]])+IF(MONTH(Table7[[#This Row],[Date]])&gt;=4,1,0)</f>
        <v>2027</v>
      </c>
      <c r="C1063" s="167">
        <f>YEAR(Table7[[#This Row],[Date]])</f>
        <v>2027</v>
      </c>
      <c r="D1063" s="168">
        <f t="shared" si="50"/>
        <v>46419</v>
      </c>
      <c r="AE1063" s="167">
        <f t="shared" si="51"/>
        <v>0</v>
      </c>
    </row>
    <row r="1064" spans="1:31">
      <c r="A1064" s="197">
        <f t="shared" si="52"/>
        <v>46444</v>
      </c>
      <c r="B1064" s="167">
        <f>YEAR(Table7[[#This Row],[Date]])+IF(MONTH(Table7[[#This Row],[Date]])&gt;=4,1,0)</f>
        <v>2027</v>
      </c>
      <c r="C1064" s="167">
        <f>YEAR(Table7[[#This Row],[Date]])</f>
        <v>2027</v>
      </c>
      <c r="D1064" s="168">
        <f t="shared" si="50"/>
        <v>46419</v>
      </c>
      <c r="AE1064" s="167">
        <f t="shared" si="51"/>
        <v>0</v>
      </c>
    </row>
    <row r="1065" spans="1:31">
      <c r="A1065" s="197">
        <f t="shared" si="52"/>
        <v>46445</v>
      </c>
      <c r="B1065" s="167">
        <f>YEAR(Table7[[#This Row],[Date]])+IF(MONTH(Table7[[#This Row],[Date]])&gt;=4,1,0)</f>
        <v>2027</v>
      </c>
      <c r="C1065" s="167">
        <f>YEAR(Table7[[#This Row],[Date]])</f>
        <v>2027</v>
      </c>
      <c r="D1065" s="168">
        <f t="shared" si="50"/>
        <v>46419</v>
      </c>
      <c r="AE1065" s="167">
        <f t="shared" si="51"/>
        <v>0</v>
      </c>
    </row>
    <row r="1066" spans="1:31">
      <c r="A1066" s="197">
        <f t="shared" si="52"/>
        <v>46446</v>
      </c>
      <c r="B1066" s="167">
        <f>YEAR(Table7[[#This Row],[Date]])+IF(MONTH(Table7[[#This Row],[Date]])&gt;=4,1,0)</f>
        <v>2027</v>
      </c>
      <c r="C1066" s="167">
        <f>YEAR(Table7[[#This Row],[Date]])</f>
        <v>2027</v>
      </c>
      <c r="D1066" s="168">
        <f t="shared" si="50"/>
        <v>46419</v>
      </c>
      <c r="AE1066" s="167">
        <f t="shared" si="51"/>
        <v>0</v>
      </c>
    </row>
    <row r="1067" spans="1:31">
      <c r="A1067" s="197">
        <f t="shared" si="52"/>
        <v>46447</v>
      </c>
      <c r="B1067" s="167">
        <f>YEAR(Table7[[#This Row],[Date]])+IF(MONTH(Table7[[#This Row],[Date]])&gt;=4,1,0)</f>
        <v>2027</v>
      </c>
      <c r="C1067" s="167">
        <f>YEAR(Table7[[#This Row],[Date]])</f>
        <v>2027</v>
      </c>
      <c r="D1067" s="168">
        <f t="shared" si="50"/>
        <v>46447</v>
      </c>
      <c r="AE1067" s="167">
        <f t="shared" si="51"/>
        <v>0</v>
      </c>
    </row>
    <row r="1068" spans="1:31">
      <c r="A1068" s="197">
        <f t="shared" si="52"/>
        <v>46448</v>
      </c>
      <c r="B1068" s="167">
        <f>YEAR(Table7[[#This Row],[Date]])+IF(MONTH(Table7[[#This Row],[Date]])&gt;=4,1,0)</f>
        <v>2027</v>
      </c>
      <c r="C1068" s="167">
        <f>YEAR(Table7[[#This Row],[Date]])</f>
        <v>2027</v>
      </c>
      <c r="D1068" s="168">
        <f t="shared" si="50"/>
        <v>46447</v>
      </c>
      <c r="AE1068" s="167">
        <f t="shared" si="51"/>
        <v>0</v>
      </c>
    </row>
    <row r="1069" spans="1:31">
      <c r="A1069" s="197">
        <f t="shared" si="52"/>
        <v>46449</v>
      </c>
      <c r="B1069" s="167">
        <f>YEAR(Table7[[#This Row],[Date]])+IF(MONTH(Table7[[#This Row],[Date]])&gt;=4,1,0)</f>
        <v>2027</v>
      </c>
      <c r="C1069" s="167">
        <f>YEAR(Table7[[#This Row],[Date]])</f>
        <v>2027</v>
      </c>
      <c r="D1069" s="168">
        <f t="shared" si="50"/>
        <v>46447</v>
      </c>
      <c r="AE1069" s="167">
        <f t="shared" si="51"/>
        <v>0</v>
      </c>
    </row>
    <row r="1070" spans="1:31">
      <c r="A1070" s="197">
        <f t="shared" si="52"/>
        <v>46450</v>
      </c>
      <c r="B1070" s="167">
        <f>YEAR(Table7[[#This Row],[Date]])+IF(MONTH(Table7[[#This Row],[Date]])&gt;=4,1,0)</f>
        <v>2027</v>
      </c>
      <c r="C1070" s="167">
        <f>YEAR(Table7[[#This Row],[Date]])</f>
        <v>2027</v>
      </c>
      <c r="D1070" s="168">
        <f t="shared" si="50"/>
        <v>46447</v>
      </c>
      <c r="AE1070" s="167">
        <f t="shared" si="51"/>
        <v>0</v>
      </c>
    </row>
    <row r="1071" spans="1:31">
      <c r="A1071" s="197">
        <f t="shared" si="52"/>
        <v>46451</v>
      </c>
      <c r="B1071" s="167">
        <f>YEAR(Table7[[#This Row],[Date]])+IF(MONTH(Table7[[#This Row],[Date]])&gt;=4,1,0)</f>
        <v>2027</v>
      </c>
      <c r="C1071" s="167">
        <f>YEAR(Table7[[#This Row],[Date]])</f>
        <v>2027</v>
      </c>
      <c r="D1071" s="168">
        <f t="shared" si="50"/>
        <v>46447</v>
      </c>
      <c r="AE1071" s="167">
        <f t="shared" si="51"/>
        <v>0</v>
      </c>
    </row>
    <row r="1072" spans="1:31">
      <c r="A1072" s="197">
        <f t="shared" si="52"/>
        <v>46452</v>
      </c>
      <c r="B1072" s="167">
        <f>YEAR(Table7[[#This Row],[Date]])+IF(MONTH(Table7[[#This Row],[Date]])&gt;=4,1,0)</f>
        <v>2027</v>
      </c>
      <c r="C1072" s="167">
        <f>YEAR(Table7[[#This Row],[Date]])</f>
        <v>2027</v>
      </c>
      <c r="D1072" s="168">
        <f t="shared" si="50"/>
        <v>46447</v>
      </c>
      <c r="AE1072" s="167">
        <f t="shared" si="51"/>
        <v>0</v>
      </c>
    </row>
    <row r="1073" spans="1:31">
      <c r="A1073" s="197">
        <f t="shared" si="52"/>
        <v>46453</v>
      </c>
      <c r="B1073" s="167">
        <f>YEAR(Table7[[#This Row],[Date]])+IF(MONTH(Table7[[#This Row],[Date]])&gt;=4,1,0)</f>
        <v>2027</v>
      </c>
      <c r="C1073" s="167">
        <f>YEAR(Table7[[#This Row],[Date]])</f>
        <v>2027</v>
      </c>
      <c r="D1073" s="168">
        <f t="shared" si="50"/>
        <v>46447</v>
      </c>
      <c r="AE1073" s="167">
        <f t="shared" si="51"/>
        <v>0</v>
      </c>
    </row>
    <row r="1074" spans="1:31">
      <c r="A1074" s="197">
        <f t="shared" si="52"/>
        <v>46454</v>
      </c>
      <c r="B1074" s="167">
        <f>YEAR(Table7[[#This Row],[Date]])+IF(MONTH(Table7[[#This Row],[Date]])&gt;=4,1,0)</f>
        <v>2027</v>
      </c>
      <c r="C1074" s="167">
        <f>YEAR(Table7[[#This Row],[Date]])</f>
        <v>2027</v>
      </c>
      <c r="D1074" s="168">
        <f t="shared" si="50"/>
        <v>46447</v>
      </c>
      <c r="AE1074" s="167">
        <f t="shared" si="51"/>
        <v>0</v>
      </c>
    </row>
    <row r="1075" spans="1:31">
      <c r="A1075" s="197">
        <f t="shared" si="52"/>
        <v>46455</v>
      </c>
      <c r="B1075" s="167">
        <f>YEAR(Table7[[#This Row],[Date]])+IF(MONTH(Table7[[#This Row],[Date]])&gt;=4,1,0)</f>
        <v>2027</v>
      </c>
      <c r="C1075" s="167">
        <f>YEAR(Table7[[#This Row],[Date]])</f>
        <v>2027</v>
      </c>
      <c r="D1075" s="168">
        <f t="shared" si="50"/>
        <v>46447</v>
      </c>
      <c r="AE1075" s="167">
        <f t="shared" si="51"/>
        <v>0</v>
      </c>
    </row>
    <row r="1076" spans="1:31">
      <c r="A1076" s="197">
        <f t="shared" si="52"/>
        <v>46456</v>
      </c>
      <c r="B1076" s="167">
        <f>YEAR(Table7[[#This Row],[Date]])+IF(MONTH(Table7[[#This Row],[Date]])&gt;=4,1,0)</f>
        <v>2027</v>
      </c>
      <c r="C1076" s="167">
        <f>YEAR(Table7[[#This Row],[Date]])</f>
        <v>2027</v>
      </c>
      <c r="D1076" s="168">
        <f t="shared" si="50"/>
        <v>46447</v>
      </c>
      <c r="AE1076" s="167">
        <f t="shared" si="51"/>
        <v>0</v>
      </c>
    </row>
    <row r="1077" spans="1:31">
      <c r="A1077" s="197">
        <f t="shared" si="52"/>
        <v>46457</v>
      </c>
      <c r="B1077" s="167">
        <f>YEAR(Table7[[#This Row],[Date]])+IF(MONTH(Table7[[#This Row],[Date]])&gt;=4,1,0)</f>
        <v>2027</v>
      </c>
      <c r="C1077" s="167">
        <f>YEAR(Table7[[#This Row],[Date]])</f>
        <v>2027</v>
      </c>
      <c r="D1077" s="168">
        <f t="shared" si="50"/>
        <v>46447</v>
      </c>
      <c r="AE1077" s="167">
        <f t="shared" si="51"/>
        <v>0</v>
      </c>
    </row>
    <row r="1078" spans="1:31">
      <c r="A1078" s="197">
        <f t="shared" si="52"/>
        <v>46458</v>
      </c>
      <c r="B1078" s="167">
        <f>YEAR(Table7[[#This Row],[Date]])+IF(MONTH(Table7[[#This Row],[Date]])&gt;=4,1,0)</f>
        <v>2027</v>
      </c>
      <c r="C1078" s="167">
        <f>YEAR(Table7[[#This Row],[Date]])</f>
        <v>2027</v>
      </c>
      <c r="D1078" s="168">
        <f t="shared" si="50"/>
        <v>46447</v>
      </c>
      <c r="AE1078" s="167">
        <f t="shared" si="51"/>
        <v>0</v>
      </c>
    </row>
    <row r="1079" spans="1:31">
      <c r="A1079" s="197">
        <f t="shared" si="52"/>
        <v>46459</v>
      </c>
      <c r="B1079" s="167">
        <f>YEAR(Table7[[#This Row],[Date]])+IF(MONTH(Table7[[#This Row],[Date]])&gt;=4,1,0)</f>
        <v>2027</v>
      </c>
      <c r="C1079" s="167">
        <f>YEAR(Table7[[#This Row],[Date]])</f>
        <v>2027</v>
      </c>
      <c r="D1079" s="168">
        <f t="shared" si="50"/>
        <v>46447</v>
      </c>
      <c r="AE1079" s="167">
        <f t="shared" si="51"/>
        <v>0</v>
      </c>
    </row>
    <row r="1080" spans="1:31">
      <c r="A1080" s="197">
        <f t="shared" si="52"/>
        <v>46460</v>
      </c>
      <c r="B1080" s="167">
        <f>YEAR(Table7[[#This Row],[Date]])+IF(MONTH(Table7[[#This Row],[Date]])&gt;=4,1,0)</f>
        <v>2027</v>
      </c>
      <c r="C1080" s="167">
        <f>YEAR(Table7[[#This Row],[Date]])</f>
        <v>2027</v>
      </c>
      <c r="D1080" s="168">
        <f t="shared" si="50"/>
        <v>46447</v>
      </c>
      <c r="AE1080" s="167">
        <f t="shared" si="51"/>
        <v>0</v>
      </c>
    </row>
    <row r="1081" spans="1:31">
      <c r="A1081" s="197">
        <f t="shared" si="52"/>
        <v>46461</v>
      </c>
      <c r="B1081" s="167">
        <f>YEAR(Table7[[#This Row],[Date]])+IF(MONTH(Table7[[#This Row],[Date]])&gt;=4,1,0)</f>
        <v>2027</v>
      </c>
      <c r="C1081" s="167">
        <f>YEAR(Table7[[#This Row],[Date]])</f>
        <v>2027</v>
      </c>
      <c r="D1081" s="168">
        <f t="shared" si="50"/>
        <v>46447</v>
      </c>
      <c r="AE1081" s="167">
        <f t="shared" si="51"/>
        <v>0</v>
      </c>
    </row>
    <row r="1082" spans="1:31">
      <c r="A1082" s="197">
        <f t="shared" si="52"/>
        <v>46462</v>
      </c>
      <c r="B1082" s="167">
        <f>YEAR(Table7[[#This Row],[Date]])+IF(MONTH(Table7[[#This Row],[Date]])&gt;=4,1,0)</f>
        <v>2027</v>
      </c>
      <c r="C1082" s="167">
        <f>YEAR(Table7[[#This Row],[Date]])</f>
        <v>2027</v>
      </c>
      <c r="D1082" s="168">
        <f t="shared" si="50"/>
        <v>46447</v>
      </c>
      <c r="AE1082" s="167">
        <f t="shared" si="51"/>
        <v>0</v>
      </c>
    </row>
    <row r="1083" spans="1:31">
      <c r="A1083" s="197">
        <f t="shared" si="52"/>
        <v>46463</v>
      </c>
      <c r="B1083" s="167">
        <f>YEAR(Table7[[#This Row],[Date]])+IF(MONTH(Table7[[#This Row],[Date]])&gt;=4,1,0)</f>
        <v>2027</v>
      </c>
      <c r="C1083" s="167">
        <f>YEAR(Table7[[#This Row],[Date]])</f>
        <v>2027</v>
      </c>
      <c r="D1083" s="168">
        <f t="shared" si="50"/>
        <v>46447</v>
      </c>
      <c r="AE1083" s="167">
        <f t="shared" si="51"/>
        <v>0</v>
      </c>
    </row>
    <row r="1084" spans="1:31">
      <c r="A1084" s="197">
        <f t="shared" si="52"/>
        <v>46464</v>
      </c>
      <c r="B1084" s="167">
        <f>YEAR(Table7[[#This Row],[Date]])+IF(MONTH(Table7[[#This Row],[Date]])&gt;=4,1,0)</f>
        <v>2027</v>
      </c>
      <c r="C1084" s="167">
        <f>YEAR(Table7[[#This Row],[Date]])</f>
        <v>2027</v>
      </c>
      <c r="D1084" s="168">
        <f t="shared" si="50"/>
        <v>46447</v>
      </c>
      <c r="AE1084" s="167">
        <f t="shared" si="51"/>
        <v>0</v>
      </c>
    </row>
    <row r="1085" spans="1:31">
      <c r="A1085" s="197">
        <f t="shared" si="52"/>
        <v>46465</v>
      </c>
      <c r="B1085" s="167">
        <f>YEAR(Table7[[#This Row],[Date]])+IF(MONTH(Table7[[#This Row],[Date]])&gt;=4,1,0)</f>
        <v>2027</v>
      </c>
      <c r="C1085" s="167">
        <f>YEAR(Table7[[#This Row],[Date]])</f>
        <v>2027</v>
      </c>
      <c r="D1085" s="168">
        <f t="shared" si="50"/>
        <v>46447</v>
      </c>
      <c r="AE1085" s="167">
        <f t="shared" si="51"/>
        <v>0</v>
      </c>
    </row>
    <row r="1086" spans="1:31">
      <c r="A1086" s="197">
        <f t="shared" si="52"/>
        <v>46466</v>
      </c>
      <c r="B1086" s="167">
        <f>YEAR(Table7[[#This Row],[Date]])+IF(MONTH(Table7[[#This Row],[Date]])&gt;=4,1,0)</f>
        <v>2027</v>
      </c>
      <c r="C1086" s="167">
        <f>YEAR(Table7[[#This Row],[Date]])</f>
        <v>2027</v>
      </c>
      <c r="D1086" s="168">
        <f t="shared" si="50"/>
        <v>46447</v>
      </c>
      <c r="AE1086" s="167">
        <f t="shared" si="51"/>
        <v>0</v>
      </c>
    </row>
    <row r="1087" spans="1:31">
      <c r="A1087" s="197">
        <f t="shared" si="52"/>
        <v>46467</v>
      </c>
      <c r="B1087" s="167">
        <f>YEAR(Table7[[#This Row],[Date]])+IF(MONTH(Table7[[#This Row],[Date]])&gt;=4,1,0)</f>
        <v>2027</v>
      </c>
      <c r="C1087" s="167">
        <f>YEAR(Table7[[#This Row],[Date]])</f>
        <v>2027</v>
      </c>
      <c r="D1087" s="168">
        <f t="shared" si="50"/>
        <v>46447</v>
      </c>
      <c r="AE1087" s="167">
        <f t="shared" si="51"/>
        <v>0</v>
      </c>
    </row>
    <row r="1088" spans="1:31">
      <c r="A1088" s="197">
        <f t="shared" si="52"/>
        <v>46468</v>
      </c>
      <c r="B1088" s="167">
        <f>YEAR(Table7[[#This Row],[Date]])+IF(MONTH(Table7[[#This Row],[Date]])&gt;=4,1,0)</f>
        <v>2027</v>
      </c>
      <c r="C1088" s="167">
        <f>YEAR(Table7[[#This Row],[Date]])</f>
        <v>2027</v>
      </c>
      <c r="D1088" s="168">
        <f t="shared" si="50"/>
        <v>46447</v>
      </c>
      <c r="AE1088" s="167">
        <f t="shared" si="51"/>
        <v>0</v>
      </c>
    </row>
    <row r="1089" spans="1:31">
      <c r="A1089" s="197">
        <f t="shared" si="52"/>
        <v>46469</v>
      </c>
      <c r="B1089" s="167">
        <f>YEAR(Table7[[#This Row],[Date]])+IF(MONTH(Table7[[#This Row],[Date]])&gt;=4,1,0)</f>
        <v>2027</v>
      </c>
      <c r="C1089" s="167">
        <f>YEAR(Table7[[#This Row],[Date]])</f>
        <v>2027</v>
      </c>
      <c r="D1089" s="168">
        <f t="shared" si="50"/>
        <v>46447</v>
      </c>
      <c r="AE1089" s="167">
        <f t="shared" si="51"/>
        <v>0</v>
      </c>
    </row>
    <row r="1090" spans="1:31">
      <c r="A1090" s="197">
        <f t="shared" si="52"/>
        <v>46470</v>
      </c>
      <c r="B1090" s="167">
        <f>YEAR(Table7[[#This Row],[Date]])+IF(MONTH(Table7[[#This Row],[Date]])&gt;=4,1,0)</f>
        <v>2027</v>
      </c>
      <c r="C1090" s="167">
        <f>YEAR(Table7[[#This Row],[Date]])</f>
        <v>2027</v>
      </c>
      <c r="D1090" s="168">
        <f t="shared" si="50"/>
        <v>46447</v>
      </c>
      <c r="AE1090" s="167">
        <f t="shared" si="51"/>
        <v>0</v>
      </c>
    </row>
    <row r="1091" spans="1:31">
      <c r="A1091" s="197">
        <f t="shared" si="52"/>
        <v>46471</v>
      </c>
      <c r="B1091" s="167">
        <f>YEAR(Table7[[#This Row],[Date]])+IF(MONTH(Table7[[#This Row],[Date]])&gt;=4,1,0)</f>
        <v>2027</v>
      </c>
      <c r="C1091" s="167">
        <f>YEAR(Table7[[#This Row],[Date]])</f>
        <v>2027</v>
      </c>
      <c r="D1091" s="168">
        <f t="shared" ref="D1091:D1154" si="53">A1091-DAY(A1091)+1</f>
        <v>46447</v>
      </c>
      <c r="AE1091" s="167">
        <f t="shared" ref="AE1091:AE1154" si="54">SUM(E1091:AD1091)</f>
        <v>0</v>
      </c>
    </row>
    <row r="1092" spans="1:31">
      <c r="A1092" s="197">
        <f t="shared" si="52"/>
        <v>46472</v>
      </c>
      <c r="B1092" s="167">
        <f>YEAR(Table7[[#This Row],[Date]])+IF(MONTH(Table7[[#This Row],[Date]])&gt;=4,1,0)</f>
        <v>2027</v>
      </c>
      <c r="C1092" s="167">
        <f>YEAR(Table7[[#This Row],[Date]])</f>
        <v>2027</v>
      </c>
      <c r="D1092" s="168">
        <f t="shared" si="53"/>
        <v>46447</v>
      </c>
      <c r="AE1092" s="167">
        <f t="shared" si="54"/>
        <v>0</v>
      </c>
    </row>
    <row r="1093" spans="1:31">
      <c r="A1093" s="197">
        <f t="shared" ref="A1093:A1156" si="55">A1092+1</f>
        <v>46473</v>
      </c>
      <c r="B1093" s="167">
        <f>YEAR(Table7[[#This Row],[Date]])+IF(MONTH(Table7[[#This Row],[Date]])&gt;=4,1,0)</f>
        <v>2027</v>
      </c>
      <c r="C1093" s="167">
        <f>YEAR(Table7[[#This Row],[Date]])</f>
        <v>2027</v>
      </c>
      <c r="D1093" s="168">
        <f t="shared" si="53"/>
        <v>46447</v>
      </c>
      <c r="AE1093" s="167">
        <f t="shared" si="54"/>
        <v>0</v>
      </c>
    </row>
    <row r="1094" spans="1:31">
      <c r="A1094" s="197">
        <f t="shared" si="55"/>
        <v>46474</v>
      </c>
      <c r="B1094" s="167">
        <f>YEAR(Table7[[#This Row],[Date]])+IF(MONTH(Table7[[#This Row],[Date]])&gt;=4,1,0)</f>
        <v>2027</v>
      </c>
      <c r="C1094" s="167">
        <f>YEAR(Table7[[#This Row],[Date]])</f>
        <v>2027</v>
      </c>
      <c r="D1094" s="168">
        <f t="shared" si="53"/>
        <v>46447</v>
      </c>
      <c r="AE1094" s="167">
        <f t="shared" si="54"/>
        <v>0</v>
      </c>
    </row>
    <row r="1095" spans="1:31">
      <c r="A1095" s="197">
        <f t="shared" si="55"/>
        <v>46475</v>
      </c>
      <c r="B1095" s="167">
        <f>YEAR(Table7[[#This Row],[Date]])+IF(MONTH(Table7[[#This Row],[Date]])&gt;=4,1,0)</f>
        <v>2027</v>
      </c>
      <c r="C1095" s="167">
        <f>YEAR(Table7[[#This Row],[Date]])</f>
        <v>2027</v>
      </c>
      <c r="D1095" s="168">
        <f t="shared" si="53"/>
        <v>46447</v>
      </c>
      <c r="AE1095" s="167">
        <f t="shared" si="54"/>
        <v>0</v>
      </c>
    </row>
    <row r="1096" spans="1:31">
      <c r="A1096" s="197">
        <f t="shared" si="55"/>
        <v>46476</v>
      </c>
      <c r="B1096" s="167">
        <f>YEAR(Table7[[#This Row],[Date]])+IF(MONTH(Table7[[#This Row],[Date]])&gt;=4,1,0)</f>
        <v>2027</v>
      </c>
      <c r="C1096" s="167">
        <f>YEAR(Table7[[#This Row],[Date]])</f>
        <v>2027</v>
      </c>
      <c r="D1096" s="168">
        <f t="shared" si="53"/>
        <v>46447</v>
      </c>
      <c r="AE1096" s="167">
        <f t="shared" si="54"/>
        <v>0</v>
      </c>
    </row>
    <row r="1097" spans="1:31">
      <c r="A1097" s="197">
        <f t="shared" si="55"/>
        <v>46477</v>
      </c>
      <c r="B1097" s="167">
        <f>YEAR(Table7[[#This Row],[Date]])+IF(MONTH(Table7[[#This Row],[Date]])&gt;=4,1,0)</f>
        <v>2027</v>
      </c>
      <c r="C1097" s="167">
        <f>YEAR(Table7[[#This Row],[Date]])</f>
        <v>2027</v>
      </c>
      <c r="D1097" s="168">
        <f t="shared" si="53"/>
        <v>46447</v>
      </c>
      <c r="AE1097" s="167">
        <f t="shared" si="54"/>
        <v>0</v>
      </c>
    </row>
    <row r="1098" spans="1:31">
      <c r="A1098" s="197">
        <f t="shared" si="55"/>
        <v>46478</v>
      </c>
      <c r="B1098" s="167">
        <f>YEAR(Table7[[#This Row],[Date]])+IF(MONTH(Table7[[#This Row],[Date]])&gt;=4,1,0)</f>
        <v>2028</v>
      </c>
      <c r="C1098" s="167">
        <f>YEAR(Table7[[#This Row],[Date]])</f>
        <v>2027</v>
      </c>
      <c r="D1098" s="168">
        <f t="shared" si="53"/>
        <v>46478</v>
      </c>
      <c r="AE1098" s="167">
        <f t="shared" si="54"/>
        <v>0</v>
      </c>
    </row>
    <row r="1099" spans="1:31">
      <c r="A1099" s="197">
        <f t="shared" si="55"/>
        <v>46479</v>
      </c>
      <c r="B1099" s="167">
        <f>YEAR(Table7[[#This Row],[Date]])+IF(MONTH(Table7[[#This Row],[Date]])&gt;=4,1,0)</f>
        <v>2028</v>
      </c>
      <c r="C1099" s="167">
        <f>YEAR(Table7[[#This Row],[Date]])</f>
        <v>2027</v>
      </c>
      <c r="D1099" s="168">
        <f t="shared" si="53"/>
        <v>46478</v>
      </c>
      <c r="AE1099" s="167">
        <f t="shared" si="54"/>
        <v>0</v>
      </c>
    </row>
    <row r="1100" spans="1:31">
      <c r="A1100" s="197">
        <f t="shared" si="55"/>
        <v>46480</v>
      </c>
      <c r="B1100" s="167">
        <f>YEAR(Table7[[#This Row],[Date]])+IF(MONTH(Table7[[#This Row],[Date]])&gt;=4,1,0)</f>
        <v>2028</v>
      </c>
      <c r="C1100" s="167">
        <f>YEAR(Table7[[#This Row],[Date]])</f>
        <v>2027</v>
      </c>
      <c r="D1100" s="168">
        <f t="shared" si="53"/>
        <v>46478</v>
      </c>
      <c r="AE1100" s="167">
        <f t="shared" si="54"/>
        <v>0</v>
      </c>
    </row>
    <row r="1101" spans="1:31">
      <c r="A1101" s="197">
        <f t="shared" si="55"/>
        <v>46481</v>
      </c>
      <c r="B1101" s="167">
        <f>YEAR(Table7[[#This Row],[Date]])+IF(MONTH(Table7[[#This Row],[Date]])&gt;=4,1,0)</f>
        <v>2028</v>
      </c>
      <c r="C1101" s="167">
        <f>YEAR(Table7[[#This Row],[Date]])</f>
        <v>2027</v>
      </c>
      <c r="D1101" s="168">
        <f t="shared" si="53"/>
        <v>46478</v>
      </c>
      <c r="AE1101" s="167">
        <f t="shared" si="54"/>
        <v>0</v>
      </c>
    </row>
    <row r="1102" spans="1:31">
      <c r="A1102" s="197">
        <f t="shared" si="55"/>
        <v>46482</v>
      </c>
      <c r="B1102" s="167">
        <f>YEAR(Table7[[#This Row],[Date]])+IF(MONTH(Table7[[#This Row],[Date]])&gt;=4,1,0)</f>
        <v>2028</v>
      </c>
      <c r="C1102" s="167">
        <f>YEAR(Table7[[#This Row],[Date]])</f>
        <v>2027</v>
      </c>
      <c r="D1102" s="168">
        <f t="shared" si="53"/>
        <v>46478</v>
      </c>
      <c r="AE1102" s="167">
        <f t="shared" si="54"/>
        <v>0</v>
      </c>
    </row>
    <row r="1103" spans="1:31">
      <c r="A1103" s="197">
        <f t="shared" si="55"/>
        <v>46483</v>
      </c>
      <c r="B1103" s="167">
        <f>YEAR(Table7[[#This Row],[Date]])+IF(MONTH(Table7[[#This Row],[Date]])&gt;=4,1,0)</f>
        <v>2028</v>
      </c>
      <c r="C1103" s="167">
        <f>YEAR(Table7[[#This Row],[Date]])</f>
        <v>2027</v>
      </c>
      <c r="D1103" s="168">
        <f t="shared" si="53"/>
        <v>46478</v>
      </c>
      <c r="AE1103" s="167">
        <f t="shared" si="54"/>
        <v>0</v>
      </c>
    </row>
    <row r="1104" spans="1:31">
      <c r="A1104" s="197">
        <f t="shared" si="55"/>
        <v>46484</v>
      </c>
      <c r="B1104" s="167">
        <f>YEAR(Table7[[#This Row],[Date]])+IF(MONTH(Table7[[#This Row],[Date]])&gt;=4,1,0)</f>
        <v>2028</v>
      </c>
      <c r="C1104" s="167">
        <f>YEAR(Table7[[#This Row],[Date]])</f>
        <v>2027</v>
      </c>
      <c r="D1104" s="168">
        <f t="shared" si="53"/>
        <v>46478</v>
      </c>
      <c r="AE1104" s="167">
        <f t="shared" si="54"/>
        <v>0</v>
      </c>
    </row>
    <row r="1105" spans="1:31">
      <c r="A1105" s="197">
        <f t="shared" si="55"/>
        <v>46485</v>
      </c>
      <c r="B1105" s="167">
        <f>YEAR(Table7[[#This Row],[Date]])+IF(MONTH(Table7[[#This Row],[Date]])&gt;=4,1,0)</f>
        <v>2028</v>
      </c>
      <c r="C1105" s="167">
        <f>YEAR(Table7[[#This Row],[Date]])</f>
        <v>2027</v>
      </c>
      <c r="D1105" s="168">
        <f t="shared" si="53"/>
        <v>46478</v>
      </c>
      <c r="AE1105" s="167">
        <f t="shared" si="54"/>
        <v>0</v>
      </c>
    </row>
    <row r="1106" spans="1:31">
      <c r="A1106" s="197">
        <f t="shared" si="55"/>
        <v>46486</v>
      </c>
      <c r="B1106" s="167">
        <f>YEAR(Table7[[#This Row],[Date]])+IF(MONTH(Table7[[#This Row],[Date]])&gt;=4,1,0)</f>
        <v>2028</v>
      </c>
      <c r="C1106" s="167">
        <f>YEAR(Table7[[#This Row],[Date]])</f>
        <v>2027</v>
      </c>
      <c r="D1106" s="168">
        <f t="shared" si="53"/>
        <v>46478</v>
      </c>
      <c r="AE1106" s="167">
        <f t="shared" si="54"/>
        <v>0</v>
      </c>
    </row>
    <row r="1107" spans="1:31">
      <c r="A1107" s="197">
        <f t="shared" si="55"/>
        <v>46487</v>
      </c>
      <c r="B1107" s="167">
        <f>YEAR(Table7[[#This Row],[Date]])+IF(MONTH(Table7[[#This Row],[Date]])&gt;=4,1,0)</f>
        <v>2028</v>
      </c>
      <c r="C1107" s="167">
        <f>YEAR(Table7[[#This Row],[Date]])</f>
        <v>2027</v>
      </c>
      <c r="D1107" s="168">
        <f t="shared" si="53"/>
        <v>46478</v>
      </c>
      <c r="AE1107" s="167">
        <f t="shared" si="54"/>
        <v>0</v>
      </c>
    </row>
    <row r="1108" spans="1:31">
      <c r="A1108" s="197">
        <f t="shared" si="55"/>
        <v>46488</v>
      </c>
      <c r="B1108" s="167">
        <f>YEAR(Table7[[#This Row],[Date]])+IF(MONTH(Table7[[#This Row],[Date]])&gt;=4,1,0)</f>
        <v>2028</v>
      </c>
      <c r="C1108" s="167">
        <f>YEAR(Table7[[#This Row],[Date]])</f>
        <v>2027</v>
      </c>
      <c r="D1108" s="168">
        <f t="shared" si="53"/>
        <v>46478</v>
      </c>
      <c r="AE1108" s="167">
        <f t="shared" si="54"/>
        <v>0</v>
      </c>
    </row>
    <row r="1109" spans="1:31">
      <c r="A1109" s="197">
        <f t="shared" si="55"/>
        <v>46489</v>
      </c>
      <c r="B1109" s="167">
        <f>YEAR(Table7[[#This Row],[Date]])+IF(MONTH(Table7[[#This Row],[Date]])&gt;=4,1,0)</f>
        <v>2028</v>
      </c>
      <c r="C1109" s="167">
        <f>YEAR(Table7[[#This Row],[Date]])</f>
        <v>2027</v>
      </c>
      <c r="D1109" s="168">
        <f t="shared" si="53"/>
        <v>46478</v>
      </c>
      <c r="AE1109" s="167">
        <f t="shared" si="54"/>
        <v>0</v>
      </c>
    </row>
    <row r="1110" spans="1:31">
      <c r="A1110" s="197">
        <f t="shared" si="55"/>
        <v>46490</v>
      </c>
      <c r="B1110" s="167">
        <f>YEAR(Table7[[#This Row],[Date]])+IF(MONTH(Table7[[#This Row],[Date]])&gt;=4,1,0)</f>
        <v>2028</v>
      </c>
      <c r="C1110" s="167">
        <f>YEAR(Table7[[#This Row],[Date]])</f>
        <v>2027</v>
      </c>
      <c r="D1110" s="168">
        <f t="shared" si="53"/>
        <v>46478</v>
      </c>
      <c r="AE1110" s="167">
        <f t="shared" si="54"/>
        <v>0</v>
      </c>
    </row>
    <row r="1111" spans="1:31">
      <c r="A1111" s="197">
        <f t="shared" si="55"/>
        <v>46491</v>
      </c>
      <c r="B1111" s="167">
        <f>YEAR(Table7[[#This Row],[Date]])+IF(MONTH(Table7[[#This Row],[Date]])&gt;=4,1,0)</f>
        <v>2028</v>
      </c>
      <c r="C1111" s="167">
        <f>YEAR(Table7[[#This Row],[Date]])</f>
        <v>2027</v>
      </c>
      <c r="D1111" s="168">
        <f t="shared" si="53"/>
        <v>46478</v>
      </c>
      <c r="AE1111" s="167">
        <f t="shared" si="54"/>
        <v>0</v>
      </c>
    </row>
    <row r="1112" spans="1:31">
      <c r="A1112" s="197">
        <f t="shared" si="55"/>
        <v>46492</v>
      </c>
      <c r="B1112" s="167">
        <f>YEAR(Table7[[#This Row],[Date]])+IF(MONTH(Table7[[#This Row],[Date]])&gt;=4,1,0)</f>
        <v>2028</v>
      </c>
      <c r="C1112" s="167">
        <f>YEAR(Table7[[#This Row],[Date]])</f>
        <v>2027</v>
      </c>
      <c r="D1112" s="168">
        <f t="shared" si="53"/>
        <v>46478</v>
      </c>
      <c r="AE1112" s="167">
        <f t="shared" si="54"/>
        <v>0</v>
      </c>
    </row>
    <row r="1113" spans="1:31">
      <c r="A1113" s="197">
        <f t="shared" si="55"/>
        <v>46493</v>
      </c>
      <c r="B1113" s="167">
        <f>YEAR(Table7[[#This Row],[Date]])+IF(MONTH(Table7[[#This Row],[Date]])&gt;=4,1,0)</f>
        <v>2028</v>
      </c>
      <c r="C1113" s="167">
        <f>YEAR(Table7[[#This Row],[Date]])</f>
        <v>2027</v>
      </c>
      <c r="D1113" s="168">
        <f t="shared" si="53"/>
        <v>46478</v>
      </c>
      <c r="AE1113" s="167">
        <f t="shared" si="54"/>
        <v>0</v>
      </c>
    </row>
    <row r="1114" spans="1:31">
      <c r="A1114" s="197">
        <f t="shared" si="55"/>
        <v>46494</v>
      </c>
      <c r="B1114" s="167">
        <f>YEAR(Table7[[#This Row],[Date]])+IF(MONTH(Table7[[#This Row],[Date]])&gt;=4,1,0)</f>
        <v>2028</v>
      </c>
      <c r="C1114" s="167">
        <f>YEAR(Table7[[#This Row],[Date]])</f>
        <v>2027</v>
      </c>
      <c r="D1114" s="168">
        <f t="shared" si="53"/>
        <v>46478</v>
      </c>
      <c r="AE1114" s="167">
        <f t="shared" si="54"/>
        <v>0</v>
      </c>
    </row>
    <row r="1115" spans="1:31">
      <c r="A1115" s="197">
        <f t="shared" si="55"/>
        <v>46495</v>
      </c>
      <c r="B1115" s="167">
        <f>YEAR(Table7[[#This Row],[Date]])+IF(MONTH(Table7[[#This Row],[Date]])&gt;=4,1,0)</f>
        <v>2028</v>
      </c>
      <c r="C1115" s="167">
        <f>YEAR(Table7[[#This Row],[Date]])</f>
        <v>2027</v>
      </c>
      <c r="D1115" s="168">
        <f t="shared" si="53"/>
        <v>46478</v>
      </c>
      <c r="AE1115" s="167">
        <f t="shared" si="54"/>
        <v>0</v>
      </c>
    </row>
    <row r="1116" spans="1:31">
      <c r="A1116" s="197">
        <f t="shared" si="55"/>
        <v>46496</v>
      </c>
      <c r="B1116" s="167">
        <f>YEAR(Table7[[#This Row],[Date]])+IF(MONTH(Table7[[#This Row],[Date]])&gt;=4,1,0)</f>
        <v>2028</v>
      </c>
      <c r="C1116" s="167">
        <f>YEAR(Table7[[#This Row],[Date]])</f>
        <v>2027</v>
      </c>
      <c r="D1116" s="168">
        <f t="shared" si="53"/>
        <v>46478</v>
      </c>
      <c r="AE1116" s="167">
        <f t="shared" si="54"/>
        <v>0</v>
      </c>
    </row>
    <row r="1117" spans="1:31">
      <c r="A1117" s="197">
        <f t="shared" si="55"/>
        <v>46497</v>
      </c>
      <c r="B1117" s="167">
        <f>YEAR(Table7[[#This Row],[Date]])+IF(MONTH(Table7[[#This Row],[Date]])&gt;=4,1,0)</f>
        <v>2028</v>
      </c>
      <c r="C1117" s="167">
        <f>YEAR(Table7[[#This Row],[Date]])</f>
        <v>2027</v>
      </c>
      <c r="D1117" s="168">
        <f t="shared" si="53"/>
        <v>46478</v>
      </c>
      <c r="AE1117" s="167">
        <f t="shared" si="54"/>
        <v>0</v>
      </c>
    </row>
    <row r="1118" spans="1:31">
      <c r="A1118" s="197">
        <f t="shared" si="55"/>
        <v>46498</v>
      </c>
      <c r="B1118" s="167">
        <f>YEAR(Table7[[#This Row],[Date]])+IF(MONTH(Table7[[#This Row],[Date]])&gt;=4,1,0)</f>
        <v>2028</v>
      </c>
      <c r="C1118" s="167">
        <f>YEAR(Table7[[#This Row],[Date]])</f>
        <v>2027</v>
      </c>
      <c r="D1118" s="168">
        <f t="shared" si="53"/>
        <v>46478</v>
      </c>
      <c r="AE1118" s="167">
        <f t="shared" si="54"/>
        <v>0</v>
      </c>
    </row>
    <row r="1119" spans="1:31">
      <c r="A1119" s="197">
        <f t="shared" si="55"/>
        <v>46499</v>
      </c>
      <c r="B1119" s="167">
        <f>YEAR(Table7[[#This Row],[Date]])+IF(MONTH(Table7[[#This Row],[Date]])&gt;=4,1,0)</f>
        <v>2028</v>
      </c>
      <c r="C1119" s="167">
        <f>YEAR(Table7[[#This Row],[Date]])</f>
        <v>2027</v>
      </c>
      <c r="D1119" s="168">
        <f t="shared" si="53"/>
        <v>46478</v>
      </c>
      <c r="AE1119" s="167">
        <f t="shared" si="54"/>
        <v>0</v>
      </c>
    </row>
    <row r="1120" spans="1:31">
      <c r="A1120" s="197">
        <f t="shared" si="55"/>
        <v>46500</v>
      </c>
      <c r="B1120" s="167">
        <f>YEAR(Table7[[#This Row],[Date]])+IF(MONTH(Table7[[#This Row],[Date]])&gt;=4,1,0)</f>
        <v>2028</v>
      </c>
      <c r="C1120" s="167">
        <f>YEAR(Table7[[#This Row],[Date]])</f>
        <v>2027</v>
      </c>
      <c r="D1120" s="168">
        <f t="shared" si="53"/>
        <v>46478</v>
      </c>
      <c r="AE1120" s="167">
        <f t="shared" si="54"/>
        <v>0</v>
      </c>
    </row>
    <row r="1121" spans="1:31">
      <c r="A1121" s="197">
        <f t="shared" si="55"/>
        <v>46501</v>
      </c>
      <c r="B1121" s="167">
        <f>YEAR(Table7[[#This Row],[Date]])+IF(MONTH(Table7[[#This Row],[Date]])&gt;=4,1,0)</f>
        <v>2028</v>
      </c>
      <c r="C1121" s="167">
        <f>YEAR(Table7[[#This Row],[Date]])</f>
        <v>2027</v>
      </c>
      <c r="D1121" s="168">
        <f t="shared" si="53"/>
        <v>46478</v>
      </c>
      <c r="AE1121" s="167">
        <f t="shared" si="54"/>
        <v>0</v>
      </c>
    </row>
    <row r="1122" spans="1:31">
      <c r="A1122" s="197">
        <f t="shared" si="55"/>
        <v>46502</v>
      </c>
      <c r="B1122" s="167">
        <f>YEAR(Table7[[#This Row],[Date]])+IF(MONTH(Table7[[#This Row],[Date]])&gt;=4,1,0)</f>
        <v>2028</v>
      </c>
      <c r="C1122" s="167">
        <f>YEAR(Table7[[#This Row],[Date]])</f>
        <v>2027</v>
      </c>
      <c r="D1122" s="168">
        <f t="shared" si="53"/>
        <v>46478</v>
      </c>
      <c r="AE1122" s="167">
        <f t="shared" si="54"/>
        <v>0</v>
      </c>
    </row>
    <row r="1123" spans="1:31">
      <c r="A1123" s="197">
        <f t="shared" si="55"/>
        <v>46503</v>
      </c>
      <c r="B1123" s="167">
        <f>YEAR(Table7[[#This Row],[Date]])+IF(MONTH(Table7[[#This Row],[Date]])&gt;=4,1,0)</f>
        <v>2028</v>
      </c>
      <c r="C1123" s="167">
        <f>YEAR(Table7[[#This Row],[Date]])</f>
        <v>2027</v>
      </c>
      <c r="D1123" s="168">
        <f t="shared" si="53"/>
        <v>46478</v>
      </c>
      <c r="AE1123" s="167">
        <f t="shared" si="54"/>
        <v>0</v>
      </c>
    </row>
    <row r="1124" spans="1:31">
      <c r="A1124" s="197">
        <f t="shared" si="55"/>
        <v>46504</v>
      </c>
      <c r="B1124" s="167">
        <f>YEAR(Table7[[#This Row],[Date]])+IF(MONTH(Table7[[#This Row],[Date]])&gt;=4,1,0)</f>
        <v>2028</v>
      </c>
      <c r="C1124" s="167">
        <f>YEAR(Table7[[#This Row],[Date]])</f>
        <v>2027</v>
      </c>
      <c r="D1124" s="168">
        <f t="shared" si="53"/>
        <v>46478</v>
      </c>
      <c r="AE1124" s="167">
        <f t="shared" si="54"/>
        <v>0</v>
      </c>
    </row>
    <row r="1125" spans="1:31">
      <c r="A1125" s="197">
        <f t="shared" si="55"/>
        <v>46505</v>
      </c>
      <c r="B1125" s="167">
        <f>YEAR(Table7[[#This Row],[Date]])+IF(MONTH(Table7[[#This Row],[Date]])&gt;=4,1,0)</f>
        <v>2028</v>
      </c>
      <c r="C1125" s="167">
        <f>YEAR(Table7[[#This Row],[Date]])</f>
        <v>2027</v>
      </c>
      <c r="D1125" s="168">
        <f t="shared" si="53"/>
        <v>46478</v>
      </c>
      <c r="AE1125" s="167">
        <f t="shared" si="54"/>
        <v>0</v>
      </c>
    </row>
    <row r="1126" spans="1:31">
      <c r="A1126" s="197">
        <f t="shared" si="55"/>
        <v>46506</v>
      </c>
      <c r="B1126" s="167">
        <f>YEAR(Table7[[#This Row],[Date]])+IF(MONTH(Table7[[#This Row],[Date]])&gt;=4,1,0)</f>
        <v>2028</v>
      </c>
      <c r="C1126" s="167">
        <f>YEAR(Table7[[#This Row],[Date]])</f>
        <v>2027</v>
      </c>
      <c r="D1126" s="168">
        <f t="shared" si="53"/>
        <v>46478</v>
      </c>
      <c r="AE1126" s="167">
        <f t="shared" si="54"/>
        <v>0</v>
      </c>
    </row>
    <row r="1127" spans="1:31">
      <c r="A1127" s="197">
        <f t="shared" si="55"/>
        <v>46507</v>
      </c>
      <c r="B1127" s="167">
        <f>YEAR(Table7[[#This Row],[Date]])+IF(MONTH(Table7[[#This Row],[Date]])&gt;=4,1,0)</f>
        <v>2028</v>
      </c>
      <c r="C1127" s="167">
        <f>YEAR(Table7[[#This Row],[Date]])</f>
        <v>2027</v>
      </c>
      <c r="D1127" s="168">
        <f t="shared" si="53"/>
        <v>46478</v>
      </c>
      <c r="AE1127" s="167">
        <f t="shared" si="54"/>
        <v>0</v>
      </c>
    </row>
    <row r="1128" spans="1:31">
      <c r="A1128" s="197">
        <f t="shared" si="55"/>
        <v>46508</v>
      </c>
      <c r="B1128" s="167">
        <f>YEAR(Table7[[#This Row],[Date]])+IF(MONTH(Table7[[#This Row],[Date]])&gt;=4,1,0)</f>
        <v>2028</v>
      </c>
      <c r="C1128" s="167">
        <f>YEAR(Table7[[#This Row],[Date]])</f>
        <v>2027</v>
      </c>
      <c r="D1128" s="168">
        <f t="shared" si="53"/>
        <v>46508</v>
      </c>
      <c r="AE1128" s="167">
        <f t="shared" si="54"/>
        <v>0</v>
      </c>
    </row>
    <row r="1129" spans="1:31">
      <c r="A1129" s="197">
        <f t="shared" si="55"/>
        <v>46509</v>
      </c>
      <c r="B1129" s="167">
        <f>YEAR(Table7[[#This Row],[Date]])+IF(MONTH(Table7[[#This Row],[Date]])&gt;=4,1,0)</f>
        <v>2028</v>
      </c>
      <c r="C1129" s="167">
        <f>YEAR(Table7[[#This Row],[Date]])</f>
        <v>2027</v>
      </c>
      <c r="D1129" s="168">
        <f t="shared" si="53"/>
        <v>46508</v>
      </c>
      <c r="AE1129" s="167">
        <f t="shared" si="54"/>
        <v>0</v>
      </c>
    </row>
    <row r="1130" spans="1:31">
      <c r="A1130" s="197">
        <f t="shared" si="55"/>
        <v>46510</v>
      </c>
      <c r="B1130" s="167">
        <f>YEAR(Table7[[#This Row],[Date]])+IF(MONTH(Table7[[#This Row],[Date]])&gt;=4,1,0)</f>
        <v>2028</v>
      </c>
      <c r="C1130" s="167">
        <f>YEAR(Table7[[#This Row],[Date]])</f>
        <v>2027</v>
      </c>
      <c r="D1130" s="168">
        <f t="shared" si="53"/>
        <v>46508</v>
      </c>
      <c r="AE1130" s="167">
        <f t="shared" si="54"/>
        <v>0</v>
      </c>
    </row>
    <row r="1131" spans="1:31">
      <c r="A1131" s="197">
        <f t="shared" si="55"/>
        <v>46511</v>
      </c>
      <c r="B1131" s="167">
        <f>YEAR(Table7[[#This Row],[Date]])+IF(MONTH(Table7[[#This Row],[Date]])&gt;=4,1,0)</f>
        <v>2028</v>
      </c>
      <c r="C1131" s="167">
        <f>YEAR(Table7[[#This Row],[Date]])</f>
        <v>2027</v>
      </c>
      <c r="D1131" s="168">
        <f t="shared" si="53"/>
        <v>46508</v>
      </c>
      <c r="AE1131" s="167">
        <f t="shared" si="54"/>
        <v>0</v>
      </c>
    </row>
    <row r="1132" spans="1:31">
      <c r="A1132" s="197">
        <f t="shared" si="55"/>
        <v>46512</v>
      </c>
      <c r="B1132" s="167">
        <f>YEAR(Table7[[#This Row],[Date]])+IF(MONTH(Table7[[#This Row],[Date]])&gt;=4,1,0)</f>
        <v>2028</v>
      </c>
      <c r="C1132" s="167">
        <f>YEAR(Table7[[#This Row],[Date]])</f>
        <v>2027</v>
      </c>
      <c r="D1132" s="168">
        <f t="shared" si="53"/>
        <v>46508</v>
      </c>
      <c r="AE1132" s="167">
        <f t="shared" si="54"/>
        <v>0</v>
      </c>
    </row>
    <row r="1133" spans="1:31">
      <c r="A1133" s="197">
        <f t="shared" si="55"/>
        <v>46513</v>
      </c>
      <c r="B1133" s="167">
        <f>YEAR(Table7[[#This Row],[Date]])+IF(MONTH(Table7[[#This Row],[Date]])&gt;=4,1,0)</f>
        <v>2028</v>
      </c>
      <c r="C1133" s="167">
        <f>YEAR(Table7[[#This Row],[Date]])</f>
        <v>2027</v>
      </c>
      <c r="D1133" s="168">
        <f t="shared" si="53"/>
        <v>46508</v>
      </c>
      <c r="AE1133" s="167">
        <f t="shared" si="54"/>
        <v>0</v>
      </c>
    </row>
    <row r="1134" spans="1:31">
      <c r="A1134" s="197">
        <f t="shared" si="55"/>
        <v>46514</v>
      </c>
      <c r="B1134" s="167">
        <f>YEAR(Table7[[#This Row],[Date]])+IF(MONTH(Table7[[#This Row],[Date]])&gt;=4,1,0)</f>
        <v>2028</v>
      </c>
      <c r="C1134" s="167">
        <f>YEAR(Table7[[#This Row],[Date]])</f>
        <v>2027</v>
      </c>
      <c r="D1134" s="168">
        <f t="shared" si="53"/>
        <v>46508</v>
      </c>
      <c r="AE1134" s="167">
        <f t="shared" si="54"/>
        <v>0</v>
      </c>
    </row>
    <row r="1135" spans="1:31">
      <c r="A1135" s="197">
        <f t="shared" si="55"/>
        <v>46515</v>
      </c>
      <c r="B1135" s="167">
        <f>YEAR(Table7[[#This Row],[Date]])+IF(MONTH(Table7[[#This Row],[Date]])&gt;=4,1,0)</f>
        <v>2028</v>
      </c>
      <c r="C1135" s="167">
        <f>YEAR(Table7[[#This Row],[Date]])</f>
        <v>2027</v>
      </c>
      <c r="D1135" s="168">
        <f t="shared" si="53"/>
        <v>46508</v>
      </c>
      <c r="AE1135" s="167">
        <f t="shared" si="54"/>
        <v>0</v>
      </c>
    </row>
    <row r="1136" spans="1:31">
      <c r="A1136" s="197">
        <f t="shared" si="55"/>
        <v>46516</v>
      </c>
      <c r="B1136" s="167">
        <f>YEAR(Table7[[#This Row],[Date]])+IF(MONTH(Table7[[#This Row],[Date]])&gt;=4,1,0)</f>
        <v>2028</v>
      </c>
      <c r="C1136" s="167">
        <f>YEAR(Table7[[#This Row],[Date]])</f>
        <v>2027</v>
      </c>
      <c r="D1136" s="168">
        <f t="shared" si="53"/>
        <v>46508</v>
      </c>
      <c r="AE1136" s="167">
        <f t="shared" si="54"/>
        <v>0</v>
      </c>
    </row>
    <row r="1137" spans="1:31">
      <c r="A1137" s="197">
        <f t="shared" si="55"/>
        <v>46517</v>
      </c>
      <c r="B1137" s="167">
        <f>YEAR(Table7[[#This Row],[Date]])+IF(MONTH(Table7[[#This Row],[Date]])&gt;=4,1,0)</f>
        <v>2028</v>
      </c>
      <c r="C1137" s="167">
        <f>YEAR(Table7[[#This Row],[Date]])</f>
        <v>2027</v>
      </c>
      <c r="D1137" s="168">
        <f t="shared" si="53"/>
        <v>46508</v>
      </c>
      <c r="AE1137" s="167">
        <f t="shared" si="54"/>
        <v>0</v>
      </c>
    </row>
    <row r="1138" spans="1:31">
      <c r="A1138" s="197">
        <f t="shared" si="55"/>
        <v>46518</v>
      </c>
      <c r="B1138" s="167">
        <f>YEAR(Table7[[#This Row],[Date]])+IF(MONTH(Table7[[#This Row],[Date]])&gt;=4,1,0)</f>
        <v>2028</v>
      </c>
      <c r="C1138" s="167">
        <f>YEAR(Table7[[#This Row],[Date]])</f>
        <v>2027</v>
      </c>
      <c r="D1138" s="168">
        <f t="shared" si="53"/>
        <v>46508</v>
      </c>
      <c r="AE1138" s="167">
        <f t="shared" si="54"/>
        <v>0</v>
      </c>
    </row>
    <row r="1139" spans="1:31">
      <c r="A1139" s="197">
        <f t="shared" si="55"/>
        <v>46519</v>
      </c>
      <c r="B1139" s="167">
        <f>YEAR(Table7[[#This Row],[Date]])+IF(MONTH(Table7[[#This Row],[Date]])&gt;=4,1,0)</f>
        <v>2028</v>
      </c>
      <c r="C1139" s="167">
        <f>YEAR(Table7[[#This Row],[Date]])</f>
        <v>2027</v>
      </c>
      <c r="D1139" s="168">
        <f t="shared" si="53"/>
        <v>46508</v>
      </c>
      <c r="AE1139" s="167">
        <f t="shared" si="54"/>
        <v>0</v>
      </c>
    </row>
    <row r="1140" spans="1:31">
      <c r="A1140" s="197">
        <f t="shared" si="55"/>
        <v>46520</v>
      </c>
      <c r="B1140" s="167">
        <f>YEAR(Table7[[#This Row],[Date]])+IF(MONTH(Table7[[#This Row],[Date]])&gt;=4,1,0)</f>
        <v>2028</v>
      </c>
      <c r="C1140" s="167">
        <f>YEAR(Table7[[#This Row],[Date]])</f>
        <v>2027</v>
      </c>
      <c r="D1140" s="168">
        <f t="shared" si="53"/>
        <v>46508</v>
      </c>
      <c r="AE1140" s="167">
        <f t="shared" si="54"/>
        <v>0</v>
      </c>
    </row>
    <row r="1141" spans="1:31">
      <c r="A1141" s="197">
        <f t="shared" si="55"/>
        <v>46521</v>
      </c>
      <c r="B1141" s="167">
        <f>YEAR(Table7[[#This Row],[Date]])+IF(MONTH(Table7[[#This Row],[Date]])&gt;=4,1,0)</f>
        <v>2028</v>
      </c>
      <c r="C1141" s="167">
        <f>YEAR(Table7[[#This Row],[Date]])</f>
        <v>2027</v>
      </c>
      <c r="D1141" s="168">
        <f t="shared" si="53"/>
        <v>46508</v>
      </c>
      <c r="AE1141" s="167">
        <f t="shared" si="54"/>
        <v>0</v>
      </c>
    </row>
    <row r="1142" spans="1:31">
      <c r="A1142" s="197">
        <f t="shared" si="55"/>
        <v>46522</v>
      </c>
      <c r="B1142" s="167">
        <f>YEAR(Table7[[#This Row],[Date]])+IF(MONTH(Table7[[#This Row],[Date]])&gt;=4,1,0)</f>
        <v>2028</v>
      </c>
      <c r="C1142" s="167">
        <f>YEAR(Table7[[#This Row],[Date]])</f>
        <v>2027</v>
      </c>
      <c r="D1142" s="168">
        <f t="shared" si="53"/>
        <v>46508</v>
      </c>
      <c r="AE1142" s="167">
        <f t="shared" si="54"/>
        <v>0</v>
      </c>
    </row>
    <row r="1143" spans="1:31">
      <c r="A1143" s="197">
        <f t="shared" si="55"/>
        <v>46523</v>
      </c>
      <c r="B1143" s="167">
        <f>YEAR(Table7[[#This Row],[Date]])+IF(MONTH(Table7[[#This Row],[Date]])&gt;=4,1,0)</f>
        <v>2028</v>
      </c>
      <c r="C1143" s="167">
        <f>YEAR(Table7[[#This Row],[Date]])</f>
        <v>2027</v>
      </c>
      <c r="D1143" s="168">
        <f t="shared" si="53"/>
        <v>46508</v>
      </c>
      <c r="AE1143" s="167">
        <f t="shared" si="54"/>
        <v>0</v>
      </c>
    </row>
    <row r="1144" spans="1:31">
      <c r="A1144" s="197">
        <f t="shared" si="55"/>
        <v>46524</v>
      </c>
      <c r="B1144" s="167">
        <f>YEAR(Table7[[#This Row],[Date]])+IF(MONTH(Table7[[#This Row],[Date]])&gt;=4,1,0)</f>
        <v>2028</v>
      </c>
      <c r="C1144" s="167">
        <f>YEAR(Table7[[#This Row],[Date]])</f>
        <v>2027</v>
      </c>
      <c r="D1144" s="168">
        <f t="shared" si="53"/>
        <v>46508</v>
      </c>
      <c r="AE1144" s="167">
        <f t="shared" si="54"/>
        <v>0</v>
      </c>
    </row>
    <row r="1145" spans="1:31">
      <c r="A1145" s="197">
        <f t="shared" si="55"/>
        <v>46525</v>
      </c>
      <c r="B1145" s="167">
        <f>YEAR(Table7[[#This Row],[Date]])+IF(MONTH(Table7[[#This Row],[Date]])&gt;=4,1,0)</f>
        <v>2028</v>
      </c>
      <c r="C1145" s="167">
        <f>YEAR(Table7[[#This Row],[Date]])</f>
        <v>2027</v>
      </c>
      <c r="D1145" s="168">
        <f t="shared" si="53"/>
        <v>46508</v>
      </c>
      <c r="AE1145" s="167">
        <f t="shared" si="54"/>
        <v>0</v>
      </c>
    </row>
    <row r="1146" spans="1:31">
      <c r="A1146" s="197">
        <f t="shared" si="55"/>
        <v>46526</v>
      </c>
      <c r="B1146" s="167">
        <f>YEAR(Table7[[#This Row],[Date]])+IF(MONTH(Table7[[#This Row],[Date]])&gt;=4,1,0)</f>
        <v>2028</v>
      </c>
      <c r="C1146" s="167">
        <f>YEAR(Table7[[#This Row],[Date]])</f>
        <v>2027</v>
      </c>
      <c r="D1146" s="168">
        <f t="shared" si="53"/>
        <v>46508</v>
      </c>
      <c r="AE1146" s="167">
        <f t="shared" si="54"/>
        <v>0</v>
      </c>
    </row>
    <row r="1147" spans="1:31">
      <c r="A1147" s="197">
        <f t="shared" si="55"/>
        <v>46527</v>
      </c>
      <c r="B1147" s="167">
        <f>YEAR(Table7[[#This Row],[Date]])+IF(MONTH(Table7[[#This Row],[Date]])&gt;=4,1,0)</f>
        <v>2028</v>
      </c>
      <c r="C1147" s="167">
        <f>YEAR(Table7[[#This Row],[Date]])</f>
        <v>2027</v>
      </c>
      <c r="D1147" s="168">
        <f t="shared" si="53"/>
        <v>46508</v>
      </c>
      <c r="AE1147" s="167">
        <f t="shared" si="54"/>
        <v>0</v>
      </c>
    </row>
    <row r="1148" spans="1:31">
      <c r="A1148" s="197">
        <f t="shared" si="55"/>
        <v>46528</v>
      </c>
      <c r="B1148" s="167">
        <f>YEAR(Table7[[#This Row],[Date]])+IF(MONTH(Table7[[#This Row],[Date]])&gt;=4,1,0)</f>
        <v>2028</v>
      </c>
      <c r="C1148" s="167">
        <f>YEAR(Table7[[#This Row],[Date]])</f>
        <v>2027</v>
      </c>
      <c r="D1148" s="168">
        <f t="shared" si="53"/>
        <v>46508</v>
      </c>
      <c r="AE1148" s="167">
        <f t="shared" si="54"/>
        <v>0</v>
      </c>
    </row>
    <row r="1149" spans="1:31">
      <c r="A1149" s="197">
        <f t="shared" si="55"/>
        <v>46529</v>
      </c>
      <c r="B1149" s="167">
        <f>YEAR(Table7[[#This Row],[Date]])+IF(MONTH(Table7[[#This Row],[Date]])&gt;=4,1,0)</f>
        <v>2028</v>
      </c>
      <c r="C1149" s="167">
        <f>YEAR(Table7[[#This Row],[Date]])</f>
        <v>2027</v>
      </c>
      <c r="D1149" s="168">
        <f t="shared" si="53"/>
        <v>46508</v>
      </c>
      <c r="AE1149" s="167">
        <f t="shared" si="54"/>
        <v>0</v>
      </c>
    </row>
    <row r="1150" spans="1:31">
      <c r="A1150" s="197">
        <f t="shared" si="55"/>
        <v>46530</v>
      </c>
      <c r="B1150" s="167">
        <f>YEAR(Table7[[#This Row],[Date]])+IF(MONTH(Table7[[#This Row],[Date]])&gt;=4,1,0)</f>
        <v>2028</v>
      </c>
      <c r="C1150" s="167">
        <f>YEAR(Table7[[#This Row],[Date]])</f>
        <v>2027</v>
      </c>
      <c r="D1150" s="168">
        <f t="shared" si="53"/>
        <v>46508</v>
      </c>
      <c r="AE1150" s="167">
        <f t="shared" si="54"/>
        <v>0</v>
      </c>
    </row>
    <row r="1151" spans="1:31">
      <c r="A1151" s="197">
        <f t="shared" si="55"/>
        <v>46531</v>
      </c>
      <c r="B1151" s="167">
        <f>YEAR(Table7[[#This Row],[Date]])+IF(MONTH(Table7[[#This Row],[Date]])&gt;=4,1,0)</f>
        <v>2028</v>
      </c>
      <c r="C1151" s="167">
        <f>YEAR(Table7[[#This Row],[Date]])</f>
        <v>2027</v>
      </c>
      <c r="D1151" s="168">
        <f t="shared" si="53"/>
        <v>46508</v>
      </c>
      <c r="AE1151" s="167">
        <f t="shared" si="54"/>
        <v>0</v>
      </c>
    </row>
    <row r="1152" spans="1:31">
      <c r="A1152" s="197">
        <f t="shared" si="55"/>
        <v>46532</v>
      </c>
      <c r="B1152" s="167">
        <f>YEAR(Table7[[#This Row],[Date]])+IF(MONTH(Table7[[#This Row],[Date]])&gt;=4,1,0)</f>
        <v>2028</v>
      </c>
      <c r="C1152" s="167">
        <f>YEAR(Table7[[#This Row],[Date]])</f>
        <v>2027</v>
      </c>
      <c r="D1152" s="168">
        <f t="shared" si="53"/>
        <v>46508</v>
      </c>
      <c r="AE1152" s="167">
        <f t="shared" si="54"/>
        <v>0</v>
      </c>
    </row>
    <row r="1153" spans="1:31">
      <c r="A1153" s="197">
        <f t="shared" si="55"/>
        <v>46533</v>
      </c>
      <c r="B1153" s="167">
        <f>YEAR(Table7[[#This Row],[Date]])+IF(MONTH(Table7[[#This Row],[Date]])&gt;=4,1,0)</f>
        <v>2028</v>
      </c>
      <c r="C1153" s="167">
        <f>YEAR(Table7[[#This Row],[Date]])</f>
        <v>2027</v>
      </c>
      <c r="D1153" s="168">
        <f t="shared" si="53"/>
        <v>46508</v>
      </c>
      <c r="AE1153" s="167">
        <f t="shared" si="54"/>
        <v>0</v>
      </c>
    </row>
    <row r="1154" spans="1:31">
      <c r="A1154" s="197">
        <f t="shared" si="55"/>
        <v>46534</v>
      </c>
      <c r="B1154" s="167">
        <f>YEAR(Table7[[#This Row],[Date]])+IF(MONTH(Table7[[#This Row],[Date]])&gt;=4,1,0)</f>
        <v>2028</v>
      </c>
      <c r="C1154" s="167">
        <f>YEAR(Table7[[#This Row],[Date]])</f>
        <v>2027</v>
      </c>
      <c r="D1154" s="168">
        <f t="shared" si="53"/>
        <v>46508</v>
      </c>
      <c r="AE1154" s="167">
        <f t="shared" si="54"/>
        <v>0</v>
      </c>
    </row>
    <row r="1155" spans="1:31">
      <c r="A1155" s="197">
        <f t="shared" si="55"/>
        <v>46535</v>
      </c>
      <c r="B1155" s="167">
        <f>YEAR(Table7[[#This Row],[Date]])+IF(MONTH(Table7[[#This Row],[Date]])&gt;=4,1,0)</f>
        <v>2028</v>
      </c>
      <c r="C1155" s="167">
        <f>YEAR(Table7[[#This Row],[Date]])</f>
        <v>2027</v>
      </c>
      <c r="D1155" s="168">
        <f t="shared" ref="D1155:D1218" si="56">A1155-DAY(A1155)+1</f>
        <v>46508</v>
      </c>
      <c r="AE1155" s="167">
        <f t="shared" ref="AE1155:AE1218" si="57">SUM(E1155:AD1155)</f>
        <v>0</v>
      </c>
    </row>
    <row r="1156" spans="1:31">
      <c r="A1156" s="197">
        <f t="shared" si="55"/>
        <v>46536</v>
      </c>
      <c r="B1156" s="167">
        <f>YEAR(Table7[[#This Row],[Date]])+IF(MONTH(Table7[[#This Row],[Date]])&gt;=4,1,0)</f>
        <v>2028</v>
      </c>
      <c r="C1156" s="167">
        <f>YEAR(Table7[[#This Row],[Date]])</f>
        <v>2027</v>
      </c>
      <c r="D1156" s="168">
        <f t="shared" si="56"/>
        <v>46508</v>
      </c>
      <c r="AE1156" s="167">
        <f t="shared" si="57"/>
        <v>0</v>
      </c>
    </row>
    <row r="1157" spans="1:31">
      <c r="A1157" s="197">
        <f t="shared" ref="A1157:A1220" si="58">A1156+1</f>
        <v>46537</v>
      </c>
      <c r="B1157" s="167">
        <f>YEAR(Table7[[#This Row],[Date]])+IF(MONTH(Table7[[#This Row],[Date]])&gt;=4,1,0)</f>
        <v>2028</v>
      </c>
      <c r="C1157" s="167">
        <f>YEAR(Table7[[#This Row],[Date]])</f>
        <v>2027</v>
      </c>
      <c r="D1157" s="168">
        <f t="shared" si="56"/>
        <v>46508</v>
      </c>
      <c r="AE1157" s="167">
        <f t="shared" si="57"/>
        <v>0</v>
      </c>
    </row>
    <row r="1158" spans="1:31">
      <c r="A1158" s="197">
        <f t="shared" si="58"/>
        <v>46538</v>
      </c>
      <c r="B1158" s="167">
        <f>YEAR(Table7[[#This Row],[Date]])+IF(MONTH(Table7[[#This Row],[Date]])&gt;=4,1,0)</f>
        <v>2028</v>
      </c>
      <c r="C1158" s="167">
        <f>YEAR(Table7[[#This Row],[Date]])</f>
        <v>2027</v>
      </c>
      <c r="D1158" s="168">
        <f t="shared" si="56"/>
        <v>46508</v>
      </c>
      <c r="AE1158" s="167">
        <f t="shared" si="57"/>
        <v>0</v>
      </c>
    </row>
    <row r="1159" spans="1:31">
      <c r="A1159" s="197">
        <f t="shared" si="58"/>
        <v>46539</v>
      </c>
      <c r="B1159" s="167">
        <f>YEAR(Table7[[#This Row],[Date]])+IF(MONTH(Table7[[#This Row],[Date]])&gt;=4,1,0)</f>
        <v>2028</v>
      </c>
      <c r="C1159" s="167">
        <f>YEAR(Table7[[#This Row],[Date]])</f>
        <v>2027</v>
      </c>
      <c r="D1159" s="168">
        <f t="shared" si="56"/>
        <v>46539</v>
      </c>
      <c r="AE1159" s="167">
        <f t="shared" si="57"/>
        <v>0</v>
      </c>
    </row>
    <row r="1160" spans="1:31">
      <c r="A1160" s="197">
        <f t="shared" si="58"/>
        <v>46540</v>
      </c>
      <c r="B1160" s="167">
        <f>YEAR(Table7[[#This Row],[Date]])+IF(MONTH(Table7[[#This Row],[Date]])&gt;=4,1,0)</f>
        <v>2028</v>
      </c>
      <c r="C1160" s="167">
        <f>YEAR(Table7[[#This Row],[Date]])</f>
        <v>2027</v>
      </c>
      <c r="D1160" s="168">
        <f t="shared" si="56"/>
        <v>46539</v>
      </c>
      <c r="AE1160" s="167">
        <f t="shared" si="57"/>
        <v>0</v>
      </c>
    </row>
    <row r="1161" spans="1:31">
      <c r="A1161" s="197">
        <f t="shared" si="58"/>
        <v>46541</v>
      </c>
      <c r="B1161" s="167">
        <f>YEAR(Table7[[#This Row],[Date]])+IF(MONTH(Table7[[#This Row],[Date]])&gt;=4,1,0)</f>
        <v>2028</v>
      </c>
      <c r="C1161" s="167">
        <f>YEAR(Table7[[#This Row],[Date]])</f>
        <v>2027</v>
      </c>
      <c r="D1161" s="168">
        <f t="shared" si="56"/>
        <v>46539</v>
      </c>
      <c r="AE1161" s="167">
        <f t="shared" si="57"/>
        <v>0</v>
      </c>
    </row>
    <row r="1162" spans="1:31">
      <c r="A1162" s="197">
        <f t="shared" si="58"/>
        <v>46542</v>
      </c>
      <c r="B1162" s="167">
        <f>YEAR(Table7[[#This Row],[Date]])+IF(MONTH(Table7[[#This Row],[Date]])&gt;=4,1,0)</f>
        <v>2028</v>
      </c>
      <c r="C1162" s="167">
        <f>YEAR(Table7[[#This Row],[Date]])</f>
        <v>2027</v>
      </c>
      <c r="D1162" s="168">
        <f t="shared" si="56"/>
        <v>46539</v>
      </c>
      <c r="AE1162" s="167">
        <f t="shared" si="57"/>
        <v>0</v>
      </c>
    </row>
    <row r="1163" spans="1:31">
      <c r="A1163" s="197">
        <f t="shared" si="58"/>
        <v>46543</v>
      </c>
      <c r="B1163" s="167">
        <f>YEAR(Table7[[#This Row],[Date]])+IF(MONTH(Table7[[#This Row],[Date]])&gt;=4,1,0)</f>
        <v>2028</v>
      </c>
      <c r="C1163" s="167">
        <f>YEAR(Table7[[#This Row],[Date]])</f>
        <v>2027</v>
      </c>
      <c r="D1163" s="168">
        <f t="shared" si="56"/>
        <v>46539</v>
      </c>
      <c r="AE1163" s="167">
        <f t="shared" si="57"/>
        <v>0</v>
      </c>
    </row>
    <row r="1164" spans="1:31">
      <c r="A1164" s="197">
        <f t="shared" si="58"/>
        <v>46544</v>
      </c>
      <c r="B1164" s="167">
        <f>YEAR(Table7[[#This Row],[Date]])+IF(MONTH(Table7[[#This Row],[Date]])&gt;=4,1,0)</f>
        <v>2028</v>
      </c>
      <c r="C1164" s="167">
        <f>YEAR(Table7[[#This Row],[Date]])</f>
        <v>2027</v>
      </c>
      <c r="D1164" s="168">
        <f t="shared" si="56"/>
        <v>46539</v>
      </c>
      <c r="AE1164" s="167">
        <f t="shared" si="57"/>
        <v>0</v>
      </c>
    </row>
    <row r="1165" spans="1:31">
      <c r="A1165" s="197">
        <f t="shared" si="58"/>
        <v>46545</v>
      </c>
      <c r="B1165" s="167">
        <f>YEAR(Table7[[#This Row],[Date]])+IF(MONTH(Table7[[#This Row],[Date]])&gt;=4,1,0)</f>
        <v>2028</v>
      </c>
      <c r="C1165" s="167">
        <f>YEAR(Table7[[#This Row],[Date]])</f>
        <v>2027</v>
      </c>
      <c r="D1165" s="168">
        <f t="shared" si="56"/>
        <v>46539</v>
      </c>
      <c r="AE1165" s="167">
        <f t="shared" si="57"/>
        <v>0</v>
      </c>
    </row>
    <row r="1166" spans="1:31">
      <c r="A1166" s="197">
        <f t="shared" si="58"/>
        <v>46546</v>
      </c>
      <c r="B1166" s="167">
        <f>YEAR(Table7[[#This Row],[Date]])+IF(MONTH(Table7[[#This Row],[Date]])&gt;=4,1,0)</f>
        <v>2028</v>
      </c>
      <c r="C1166" s="167">
        <f>YEAR(Table7[[#This Row],[Date]])</f>
        <v>2027</v>
      </c>
      <c r="D1166" s="168">
        <f t="shared" si="56"/>
        <v>46539</v>
      </c>
      <c r="AE1166" s="167">
        <f t="shared" si="57"/>
        <v>0</v>
      </c>
    </row>
    <row r="1167" spans="1:31">
      <c r="A1167" s="197">
        <f t="shared" si="58"/>
        <v>46547</v>
      </c>
      <c r="B1167" s="167">
        <f>YEAR(Table7[[#This Row],[Date]])+IF(MONTH(Table7[[#This Row],[Date]])&gt;=4,1,0)</f>
        <v>2028</v>
      </c>
      <c r="C1167" s="167">
        <f>YEAR(Table7[[#This Row],[Date]])</f>
        <v>2027</v>
      </c>
      <c r="D1167" s="168">
        <f t="shared" si="56"/>
        <v>46539</v>
      </c>
      <c r="AE1167" s="167">
        <f t="shared" si="57"/>
        <v>0</v>
      </c>
    </row>
    <row r="1168" spans="1:31">
      <c r="A1168" s="197">
        <f t="shared" si="58"/>
        <v>46548</v>
      </c>
      <c r="B1168" s="167">
        <f>YEAR(Table7[[#This Row],[Date]])+IF(MONTH(Table7[[#This Row],[Date]])&gt;=4,1,0)</f>
        <v>2028</v>
      </c>
      <c r="C1168" s="167">
        <f>YEAR(Table7[[#This Row],[Date]])</f>
        <v>2027</v>
      </c>
      <c r="D1168" s="168">
        <f t="shared" si="56"/>
        <v>46539</v>
      </c>
      <c r="AE1168" s="167">
        <f t="shared" si="57"/>
        <v>0</v>
      </c>
    </row>
    <row r="1169" spans="1:31">
      <c r="A1169" s="197">
        <f t="shared" si="58"/>
        <v>46549</v>
      </c>
      <c r="B1169" s="167">
        <f>YEAR(Table7[[#This Row],[Date]])+IF(MONTH(Table7[[#This Row],[Date]])&gt;=4,1,0)</f>
        <v>2028</v>
      </c>
      <c r="C1169" s="167">
        <f>YEAR(Table7[[#This Row],[Date]])</f>
        <v>2027</v>
      </c>
      <c r="D1169" s="168">
        <f t="shared" si="56"/>
        <v>46539</v>
      </c>
      <c r="AE1169" s="167">
        <f t="shared" si="57"/>
        <v>0</v>
      </c>
    </row>
    <row r="1170" spans="1:31">
      <c r="A1170" s="197">
        <f t="shared" si="58"/>
        <v>46550</v>
      </c>
      <c r="B1170" s="167">
        <f>YEAR(Table7[[#This Row],[Date]])+IF(MONTH(Table7[[#This Row],[Date]])&gt;=4,1,0)</f>
        <v>2028</v>
      </c>
      <c r="C1170" s="167">
        <f>YEAR(Table7[[#This Row],[Date]])</f>
        <v>2027</v>
      </c>
      <c r="D1170" s="168">
        <f t="shared" si="56"/>
        <v>46539</v>
      </c>
      <c r="AE1170" s="167">
        <f t="shared" si="57"/>
        <v>0</v>
      </c>
    </row>
    <row r="1171" spans="1:31">
      <c r="A1171" s="197">
        <f t="shared" si="58"/>
        <v>46551</v>
      </c>
      <c r="B1171" s="167">
        <f>YEAR(Table7[[#This Row],[Date]])+IF(MONTH(Table7[[#This Row],[Date]])&gt;=4,1,0)</f>
        <v>2028</v>
      </c>
      <c r="C1171" s="167">
        <f>YEAR(Table7[[#This Row],[Date]])</f>
        <v>2027</v>
      </c>
      <c r="D1171" s="168">
        <f t="shared" si="56"/>
        <v>46539</v>
      </c>
      <c r="AE1171" s="167">
        <f t="shared" si="57"/>
        <v>0</v>
      </c>
    </row>
    <row r="1172" spans="1:31">
      <c r="A1172" s="197">
        <f t="shared" si="58"/>
        <v>46552</v>
      </c>
      <c r="B1172" s="167">
        <f>YEAR(Table7[[#This Row],[Date]])+IF(MONTH(Table7[[#This Row],[Date]])&gt;=4,1,0)</f>
        <v>2028</v>
      </c>
      <c r="C1172" s="167">
        <f>YEAR(Table7[[#This Row],[Date]])</f>
        <v>2027</v>
      </c>
      <c r="D1172" s="168">
        <f t="shared" si="56"/>
        <v>46539</v>
      </c>
      <c r="AE1172" s="167">
        <f t="shared" si="57"/>
        <v>0</v>
      </c>
    </row>
    <row r="1173" spans="1:31">
      <c r="A1173" s="197">
        <f t="shared" si="58"/>
        <v>46553</v>
      </c>
      <c r="B1173" s="167">
        <f>YEAR(Table7[[#This Row],[Date]])+IF(MONTH(Table7[[#This Row],[Date]])&gt;=4,1,0)</f>
        <v>2028</v>
      </c>
      <c r="C1173" s="167">
        <f>YEAR(Table7[[#This Row],[Date]])</f>
        <v>2027</v>
      </c>
      <c r="D1173" s="168">
        <f t="shared" si="56"/>
        <v>46539</v>
      </c>
      <c r="AE1173" s="167">
        <f t="shared" si="57"/>
        <v>0</v>
      </c>
    </row>
    <row r="1174" spans="1:31">
      <c r="A1174" s="197">
        <f t="shared" si="58"/>
        <v>46554</v>
      </c>
      <c r="B1174" s="167">
        <f>YEAR(Table7[[#This Row],[Date]])+IF(MONTH(Table7[[#This Row],[Date]])&gt;=4,1,0)</f>
        <v>2028</v>
      </c>
      <c r="C1174" s="167">
        <f>YEAR(Table7[[#This Row],[Date]])</f>
        <v>2027</v>
      </c>
      <c r="D1174" s="168">
        <f t="shared" si="56"/>
        <v>46539</v>
      </c>
      <c r="AE1174" s="167">
        <f t="shared" si="57"/>
        <v>0</v>
      </c>
    </row>
    <row r="1175" spans="1:31">
      <c r="A1175" s="197">
        <f t="shared" si="58"/>
        <v>46555</v>
      </c>
      <c r="B1175" s="167">
        <f>YEAR(Table7[[#This Row],[Date]])+IF(MONTH(Table7[[#This Row],[Date]])&gt;=4,1,0)</f>
        <v>2028</v>
      </c>
      <c r="C1175" s="167">
        <f>YEAR(Table7[[#This Row],[Date]])</f>
        <v>2027</v>
      </c>
      <c r="D1175" s="168">
        <f t="shared" si="56"/>
        <v>46539</v>
      </c>
      <c r="AE1175" s="167">
        <f t="shared" si="57"/>
        <v>0</v>
      </c>
    </row>
    <row r="1176" spans="1:31">
      <c r="A1176" s="197">
        <f t="shared" si="58"/>
        <v>46556</v>
      </c>
      <c r="B1176" s="167">
        <f>YEAR(Table7[[#This Row],[Date]])+IF(MONTH(Table7[[#This Row],[Date]])&gt;=4,1,0)</f>
        <v>2028</v>
      </c>
      <c r="C1176" s="167">
        <f>YEAR(Table7[[#This Row],[Date]])</f>
        <v>2027</v>
      </c>
      <c r="D1176" s="168">
        <f t="shared" si="56"/>
        <v>46539</v>
      </c>
      <c r="AE1176" s="167">
        <f t="shared" si="57"/>
        <v>0</v>
      </c>
    </row>
    <row r="1177" spans="1:31">
      <c r="A1177" s="197">
        <f t="shared" si="58"/>
        <v>46557</v>
      </c>
      <c r="B1177" s="167">
        <f>YEAR(Table7[[#This Row],[Date]])+IF(MONTH(Table7[[#This Row],[Date]])&gt;=4,1,0)</f>
        <v>2028</v>
      </c>
      <c r="C1177" s="167">
        <f>YEAR(Table7[[#This Row],[Date]])</f>
        <v>2027</v>
      </c>
      <c r="D1177" s="168">
        <f t="shared" si="56"/>
        <v>46539</v>
      </c>
      <c r="AE1177" s="167">
        <f t="shared" si="57"/>
        <v>0</v>
      </c>
    </row>
    <row r="1178" spans="1:31">
      <c r="A1178" s="197">
        <f t="shared" si="58"/>
        <v>46558</v>
      </c>
      <c r="B1178" s="167">
        <f>YEAR(Table7[[#This Row],[Date]])+IF(MONTH(Table7[[#This Row],[Date]])&gt;=4,1,0)</f>
        <v>2028</v>
      </c>
      <c r="C1178" s="167">
        <f>YEAR(Table7[[#This Row],[Date]])</f>
        <v>2027</v>
      </c>
      <c r="D1178" s="168">
        <f t="shared" si="56"/>
        <v>46539</v>
      </c>
      <c r="AE1178" s="167">
        <f t="shared" si="57"/>
        <v>0</v>
      </c>
    </row>
    <row r="1179" spans="1:31">
      <c r="A1179" s="197">
        <f t="shared" si="58"/>
        <v>46559</v>
      </c>
      <c r="B1179" s="167">
        <f>YEAR(Table7[[#This Row],[Date]])+IF(MONTH(Table7[[#This Row],[Date]])&gt;=4,1,0)</f>
        <v>2028</v>
      </c>
      <c r="C1179" s="167">
        <f>YEAR(Table7[[#This Row],[Date]])</f>
        <v>2027</v>
      </c>
      <c r="D1179" s="168">
        <f t="shared" si="56"/>
        <v>46539</v>
      </c>
      <c r="AE1179" s="167">
        <f t="shared" si="57"/>
        <v>0</v>
      </c>
    </row>
    <row r="1180" spans="1:31">
      <c r="A1180" s="197">
        <f t="shared" si="58"/>
        <v>46560</v>
      </c>
      <c r="B1180" s="167">
        <f>YEAR(Table7[[#This Row],[Date]])+IF(MONTH(Table7[[#This Row],[Date]])&gt;=4,1,0)</f>
        <v>2028</v>
      </c>
      <c r="C1180" s="167">
        <f>YEAR(Table7[[#This Row],[Date]])</f>
        <v>2027</v>
      </c>
      <c r="D1180" s="168">
        <f t="shared" si="56"/>
        <v>46539</v>
      </c>
      <c r="AE1180" s="167">
        <f t="shared" si="57"/>
        <v>0</v>
      </c>
    </row>
    <row r="1181" spans="1:31">
      <c r="A1181" s="197">
        <f t="shared" si="58"/>
        <v>46561</v>
      </c>
      <c r="B1181" s="167">
        <f>YEAR(Table7[[#This Row],[Date]])+IF(MONTH(Table7[[#This Row],[Date]])&gt;=4,1,0)</f>
        <v>2028</v>
      </c>
      <c r="C1181" s="167">
        <f>YEAR(Table7[[#This Row],[Date]])</f>
        <v>2027</v>
      </c>
      <c r="D1181" s="168">
        <f t="shared" si="56"/>
        <v>46539</v>
      </c>
      <c r="AE1181" s="167">
        <f t="shared" si="57"/>
        <v>0</v>
      </c>
    </row>
    <row r="1182" spans="1:31">
      <c r="A1182" s="197">
        <f t="shared" si="58"/>
        <v>46562</v>
      </c>
      <c r="B1182" s="167">
        <f>YEAR(Table7[[#This Row],[Date]])+IF(MONTH(Table7[[#This Row],[Date]])&gt;=4,1,0)</f>
        <v>2028</v>
      </c>
      <c r="C1182" s="167">
        <f>YEAR(Table7[[#This Row],[Date]])</f>
        <v>2027</v>
      </c>
      <c r="D1182" s="168">
        <f t="shared" si="56"/>
        <v>46539</v>
      </c>
      <c r="AE1182" s="167">
        <f t="shared" si="57"/>
        <v>0</v>
      </c>
    </row>
    <row r="1183" spans="1:31">
      <c r="A1183" s="197">
        <f t="shared" si="58"/>
        <v>46563</v>
      </c>
      <c r="B1183" s="167">
        <f>YEAR(Table7[[#This Row],[Date]])+IF(MONTH(Table7[[#This Row],[Date]])&gt;=4,1,0)</f>
        <v>2028</v>
      </c>
      <c r="C1183" s="167">
        <f>YEAR(Table7[[#This Row],[Date]])</f>
        <v>2027</v>
      </c>
      <c r="D1183" s="168">
        <f t="shared" si="56"/>
        <v>46539</v>
      </c>
      <c r="AE1183" s="167">
        <f t="shared" si="57"/>
        <v>0</v>
      </c>
    </row>
    <row r="1184" spans="1:31">
      <c r="A1184" s="197">
        <f t="shared" si="58"/>
        <v>46564</v>
      </c>
      <c r="B1184" s="167">
        <f>YEAR(Table7[[#This Row],[Date]])+IF(MONTH(Table7[[#This Row],[Date]])&gt;=4,1,0)</f>
        <v>2028</v>
      </c>
      <c r="C1184" s="167">
        <f>YEAR(Table7[[#This Row],[Date]])</f>
        <v>2027</v>
      </c>
      <c r="D1184" s="168">
        <f t="shared" si="56"/>
        <v>46539</v>
      </c>
      <c r="AE1184" s="167">
        <f t="shared" si="57"/>
        <v>0</v>
      </c>
    </row>
    <row r="1185" spans="1:31">
      <c r="A1185" s="197">
        <f t="shared" si="58"/>
        <v>46565</v>
      </c>
      <c r="B1185" s="167">
        <f>YEAR(Table7[[#This Row],[Date]])+IF(MONTH(Table7[[#This Row],[Date]])&gt;=4,1,0)</f>
        <v>2028</v>
      </c>
      <c r="C1185" s="167">
        <f>YEAR(Table7[[#This Row],[Date]])</f>
        <v>2027</v>
      </c>
      <c r="D1185" s="168">
        <f t="shared" si="56"/>
        <v>46539</v>
      </c>
      <c r="AE1185" s="167">
        <f t="shared" si="57"/>
        <v>0</v>
      </c>
    </row>
    <row r="1186" spans="1:31">
      <c r="A1186" s="197">
        <f t="shared" si="58"/>
        <v>46566</v>
      </c>
      <c r="B1186" s="167">
        <f>YEAR(Table7[[#This Row],[Date]])+IF(MONTH(Table7[[#This Row],[Date]])&gt;=4,1,0)</f>
        <v>2028</v>
      </c>
      <c r="C1186" s="167">
        <f>YEAR(Table7[[#This Row],[Date]])</f>
        <v>2027</v>
      </c>
      <c r="D1186" s="168">
        <f t="shared" si="56"/>
        <v>46539</v>
      </c>
      <c r="AE1186" s="167">
        <f t="shared" si="57"/>
        <v>0</v>
      </c>
    </row>
    <row r="1187" spans="1:31">
      <c r="A1187" s="197">
        <f t="shared" si="58"/>
        <v>46567</v>
      </c>
      <c r="B1187" s="167">
        <f>YEAR(Table7[[#This Row],[Date]])+IF(MONTH(Table7[[#This Row],[Date]])&gt;=4,1,0)</f>
        <v>2028</v>
      </c>
      <c r="C1187" s="167">
        <f>YEAR(Table7[[#This Row],[Date]])</f>
        <v>2027</v>
      </c>
      <c r="D1187" s="168">
        <f t="shared" si="56"/>
        <v>46539</v>
      </c>
      <c r="AE1187" s="167">
        <f t="shared" si="57"/>
        <v>0</v>
      </c>
    </row>
    <row r="1188" spans="1:31">
      <c r="A1188" s="197">
        <f t="shared" si="58"/>
        <v>46568</v>
      </c>
      <c r="B1188" s="167">
        <f>YEAR(Table7[[#This Row],[Date]])+IF(MONTH(Table7[[#This Row],[Date]])&gt;=4,1,0)</f>
        <v>2028</v>
      </c>
      <c r="C1188" s="167">
        <f>YEAR(Table7[[#This Row],[Date]])</f>
        <v>2027</v>
      </c>
      <c r="D1188" s="168">
        <f t="shared" si="56"/>
        <v>46539</v>
      </c>
      <c r="AE1188" s="167">
        <f t="shared" si="57"/>
        <v>0</v>
      </c>
    </row>
    <row r="1189" spans="1:31">
      <c r="A1189" s="197">
        <f t="shared" si="58"/>
        <v>46569</v>
      </c>
      <c r="B1189" s="167">
        <f>YEAR(Table7[[#This Row],[Date]])+IF(MONTH(Table7[[#This Row],[Date]])&gt;=4,1,0)</f>
        <v>2028</v>
      </c>
      <c r="C1189" s="167">
        <f>YEAR(Table7[[#This Row],[Date]])</f>
        <v>2027</v>
      </c>
      <c r="D1189" s="168">
        <f t="shared" si="56"/>
        <v>46569</v>
      </c>
      <c r="AE1189" s="167">
        <f t="shared" si="57"/>
        <v>0</v>
      </c>
    </row>
    <row r="1190" spans="1:31">
      <c r="A1190" s="197">
        <f t="shared" si="58"/>
        <v>46570</v>
      </c>
      <c r="B1190" s="167">
        <f>YEAR(Table7[[#This Row],[Date]])+IF(MONTH(Table7[[#This Row],[Date]])&gt;=4,1,0)</f>
        <v>2028</v>
      </c>
      <c r="C1190" s="167">
        <f>YEAR(Table7[[#This Row],[Date]])</f>
        <v>2027</v>
      </c>
      <c r="D1190" s="168">
        <f t="shared" si="56"/>
        <v>46569</v>
      </c>
      <c r="AE1190" s="167">
        <f t="shared" si="57"/>
        <v>0</v>
      </c>
    </row>
    <row r="1191" spans="1:31">
      <c r="A1191" s="197">
        <f t="shared" si="58"/>
        <v>46571</v>
      </c>
      <c r="B1191" s="167">
        <f>YEAR(Table7[[#This Row],[Date]])+IF(MONTH(Table7[[#This Row],[Date]])&gt;=4,1,0)</f>
        <v>2028</v>
      </c>
      <c r="C1191" s="167">
        <f>YEAR(Table7[[#This Row],[Date]])</f>
        <v>2027</v>
      </c>
      <c r="D1191" s="168">
        <f t="shared" si="56"/>
        <v>46569</v>
      </c>
      <c r="AE1191" s="167">
        <f t="shared" si="57"/>
        <v>0</v>
      </c>
    </row>
    <row r="1192" spans="1:31">
      <c r="A1192" s="197">
        <f t="shared" si="58"/>
        <v>46572</v>
      </c>
      <c r="B1192" s="167">
        <f>YEAR(Table7[[#This Row],[Date]])+IF(MONTH(Table7[[#This Row],[Date]])&gt;=4,1,0)</f>
        <v>2028</v>
      </c>
      <c r="C1192" s="167">
        <f>YEAR(Table7[[#This Row],[Date]])</f>
        <v>2027</v>
      </c>
      <c r="D1192" s="168">
        <f t="shared" si="56"/>
        <v>46569</v>
      </c>
      <c r="AE1192" s="167">
        <f t="shared" si="57"/>
        <v>0</v>
      </c>
    </row>
    <row r="1193" spans="1:31">
      <c r="A1193" s="197">
        <f t="shared" si="58"/>
        <v>46573</v>
      </c>
      <c r="B1193" s="167">
        <f>YEAR(Table7[[#This Row],[Date]])+IF(MONTH(Table7[[#This Row],[Date]])&gt;=4,1,0)</f>
        <v>2028</v>
      </c>
      <c r="C1193" s="167">
        <f>YEAR(Table7[[#This Row],[Date]])</f>
        <v>2027</v>
      </c>
      <c r="D1193" s="168">
        <f t="shared" si="56"/>
        <v>46569</v>
      </c>
      <c r="AE1193" s="167">
        <f t="shared" si="57"/>
        <v>0</v>
      </c>
    </row>
    <row r="1194" spans="1:31">
      <c r="A1194" s="197">
        <f t="shared" si="58"/>
        <v>46574</v>
      </c>
      <c r="B1194" s="167">
        <f>YEAR(Table7[[#This Row],[Date]])+IF(MONTH(Table7[[#This Row],[Date]])&gt;=4,1,0)</f>
        <v>2028</v>
      </c>
      <c r="C1194" s="167">
        <f>YEAR(Table7[[#This Row],[Date]])</f>
        <v>2027</v>
      </c>
      <c r="D1194" s="168">
        <f t="shared" si="56"/>
        <v>46569</v>
      </c>
      <c r="AE1194" s="167">
        <f t="shared" si="57"/>
        <v>0</v>
      </c>
    </row>
    <row r="1195" spans="1:31">
      <c r="A1195" s="197">
        <f t="shared" si="58"/>
        <v>46575</v>
      </c>
      <c r="B1195" s="167">
        <f>YEAR(Table7[[#This Row],[Date]])+IF(MONTH(Table7[[#This Row],[Date]])&gt;=4,1,0)</f>
        <v>2028</v>
      </c>
      <c r="C1195" s="167">
        <f>YEAR(Table7[[#This Row],[Date]])</f>
        <v>2027</v>
      </c>
      <c r="D1195" s="168">
        <f t="shared" si="56"/>
        <v>46569</v>
      </c>
      <c r="AE1195" s="167">
        <f t="shared" si="57"/>
        <v>0</v>
      </c>
    </row>
    <row r="1196" spans="1:31">
      <c r="A1196" s="197">
        <f t="shared" si="58"/>
        <v>46576</v>
      </c>
      <c r="B1196" s="167">
        <f>YEAR(Table7[[#This Row],[Date]])+IF(MONTH(Table7[[#This Row],[Date]])&gt;=4,1,0)</f>
        <v>2028</v>
      </c>
      <c r="C1196" s="167">
        <f>YEAR(Table7[[#This Row],[Date]])</f>
        <v>2027</v>
      </c>
      <c r="D1196" s="168">
        <f t="shared" si="56"/>
        <v>46569</v>
      </c>
      <c r="AE1196" s="167">
        <f t="shared" si="57"/>
        <v>0</v>
      </c>
    </row>
    <row r="1197" spans="1:31">
      <c r="A1197" s="197">
        <f t="shared" si="58"/>
        <v>46577</v>
      </c>
      <c r="B1197" s="167">
        <f>YEAR(Table7[[#This Row],[Date]])+IF(MONTH(Table7[[#This Row],[Date]])&gt;=4,1,0)</f>
        <v>2028</v>
      </c>
      <c r="C1197" s="167">
        <f>YEAR(Table7[[#This Row],[Date]])</f>
        <v>2027</v>
      </c>
      <c r="D1197" s="168">
        <f t="shared" si="56"/>
        <v>46569</v>
      </c>
      <c r="AE1197" s="167">
        <f t="shared" si="57"/>
        <v>0</v>
      </c>
    </row>
    <row r="1198" spans="1:31">
      <c r="A1198" s="197">
        <f t="shared" si="58"/>
        <v>46578</v>
      </c>
      <c r="B1198" s="167">
        <f>YEAR(Table7[[#This Row],[Date]])+IF(MONTH(Table7[[#This Row],[Date]])&gt;=4,1,0)</f>
        <v>2028</v>
      </c>
      <c r="C1198" s="167">
        <f>YEAR(Table7[[#This Row],[Date]])</f>
        <v>2027</v>
      </c>
      <c r="D1198" s="168">
        <f t="shared" si="56"/>
        <v>46569</v>
      </c>
      <c r="AE1198" s="167">
        <f t="shared" si="57"/>
        <v>0</v>
      </c>
    </row>
    <row r="1199" spans="1:31">
      <c r="A1199" s="197">
        <f t="shared" si="58"/>
        <v>46579</v>
      </c>
      <c r="B1199" s="167">
        <f>YEAR(Table7[[#This Row],[Date]])+IF(MONTH(Table7[[#This Row],[Date]])&gt;=4,1,0)</f>
        <v>2028</v>
      </c>
      <c r="C1199" s="167">
        <f>YEAR(Table7[[#This Row],[Date]])</f>
        <v>2027</v>
      </c>
      <c r="D1199" s="168">
        <f t="shared" si="56"/>
        <v>46569</v>
      </c>
      <c r="AE1199" s="167">
        <f t="shared" si="57"/>
        <v>0</v>
      </c>
    </row>
    <row r="1200" spans="1:31">
      <c r="A1200" s="197">
        <f t="shared" si="58"/>
        <v>46580</v>
      </c>
      <c r="B1200" s="167">
        <f>YEAR(Table7[[#This Row],[Date]])+IF(MONTH(Table7[[#This Row],[Date]])&gt;=4,1,0)</f>
        <v>2028</v>
      </c>
      <c r="C1200" s="167">
        <f>YEAR(Table7[[#This Row],[Date]])</f>
        <v>2027</v>
      </c>
      <c r="D1200" s="168">
        <f t="shared" si="56"/>
        <v>46569</v>
      </c>
      <c r="AE1200" s="167">
        <f t="shared" si="57"/>
        <v>0</v>
      </c>
    </row>
    <row r="1201" spans="1:31">
      <c r="A1201" s="197">
        <f t="shared" si="58"/>
        <v>46581</v>
      </c>
      <c r="B1201" s="167">
        <f>YEAR(Table7[[#This Row],[Date]])+IF(MONTH(Table7[[#This Row],[Date]])&gt;=4,1,0)</f>
        <v>2028</v>
      </c>
      <c r="C1201" s="167">
        <f>YEAR(Table7[[#This Row],[Date]])</f>
        <v>2027</v>
      </c>
      <c r="D1201" s="168">
        <f t="shared" si="56"/>
        <v>46569</v>
      </c>
      <c r="AE1201" s="167">
        <f t="shared" si="57"/>
        <v>0</v>
      </c>
    </row>
    <row r="1202" spans="1:31">
      <c r="A1202" s="197">
        <f t="shared" si="58"/>
        <v>46582</v>
      </c>
      <c r="B1202" s="167">
        <f>YEAR(Table7[[#This Row],[Date]])+IF(MONTH(Table7[[#This Row],[Date]])&gt;=4,1,0)</f>
        <v>2028</v>
      </c>
      <c r="C1202" s="167">
        <f>YEAR(Table7[[#This Row],[Date]])</f>
        <v>2027</v>
      </c>
      <c r="D1202" s="168">
        <f t="shared" si="56"/>
        <v>46569</v>
      </c>
      <c r="AE1202" s="167">
        <f t="shared" si="57"/>
        <v>0</v>
      </c>
    </row>
    <row r="1203" spans="1:31">
      <c r="A1203" s="197">
        <f t="shared" si="58"/>
        <v>46583</v>
      </c>
      <c r="B1203" s="167">
        <f>YEAR(Table7[[#This Row],[Date]])+IF(MONTH(Table7[[#This Row],[Date]])&gt;=4,1,0)</f>
        <v>2028</v>
      </c>
      <c r="C1203" s="167">
        <f>YEAR(Table7[[#This Row],[Date]])</f>
        <v>2027</v>
      </c>
      <c r="D1203" s="168">
        <f t="shared" si="56"/>
        <v>46569</v>
      </c>
      <c r="AE1203" s="167">
        <f t="shared" si="57"/>
        <v>0</v>
      </c>
    </row>
    <row r="1204" spans="1:31">
      <c r="A1204" s="197">
        <f t="shared" si="58"/>
        <v>46584</v>
      </c>
      <c r="B1204" s="167">
        <f>YEAR(Table7[[#This Row],[Date]])+IF(MONTH(Table7[[#This Row],[Date]])&gt;=4,1,0)</f>
        <v>2028</v>
      </c>
      <c r="C1204" s="167">
        <f>YEAR(Table7[[#This Row],[Date]])</f>
        <v>2027</v>
      </c>
      <c r="D1204" s="168">
        <f t="shared" si="56"/>
        <v>46569</v>
      </c>
      <c r="AE1204" s="167">
        <f t="shared" si="57"/>
        <v>0</v>
      </c>
    </row>
    <row r="1205" spans="1:31">
      <c r="A1205" s="197">
        <f t="shared" si="58"/>
        <v>46585</v>
      </c>
      <c r="B1205" s="167">
        <f>YEAR(Table7[[#This Row],[Date]])+IF(MONTH(Table7[[#This Row],[Date]])&gt;=4,1,0)</f>
        <v>2028</v>
      </c>
      <c r="C1205" s="167">
        <f>YEAR(Table7[[#This Row],[Date]])</f>
        <v>2027</v>
      </c>
      <c r="D1205" s="168">
        <f t="shared" si="56"/>
        <v>46569</v>
      </c>
      <c r="AE1205" s="167">
        <f t="shared" si="57"/>
        <v>0</v>
      </c>
    </row>
    <row r="1206" spans="1:31">
      <c r="A1206" s="197">
        <f t="shared" si="58"/>
        <v>46586</v>
      </c>
      <c r="B1206" s="167">
        <f>YEAR(Table7[[#This Row],[Date]])+IF(MONTH(Table7[[#This Row],[Date]])&gt;=4,1,0)</f>
        <v>2028</v>
      </c>
      <c r="C1206" s="167">
        <f>YEAR(Table7[[#This Row],[Date]])</f>
        <v>2027</v>
      </c>
      <c r="D1206" s="168">
        <f t="shared" si="56"/>
        <v>46569</v>
      </c>
      <c r="AE1206" s="167">
        <f t="shared" si="57"/>
        <v>0</v>
      </c>
    </row>
    <row r="1207" spans="1:31">
      <c r="A1207" s="197">
        <f t="shared" si="58"/>
        <v>46587</v>
      </c>
      <c r="B1207" s="167">
        <f>YEAR(Table7[[#This Row],[Date]])+IF(MONTH(Table7[[#This Row],[Date]])&gt;=4,1,0)</f>
        <v>2028</v>
      </c>
      <c r="C1207" s="167">
        <f>YEAR(Table7[[#This Row],[Date]])</f>
        <v>2027</v>
      </c>
      <c r="D1207" s="168">
        <f t="shared" si="56"/>
        <v>46569</v>
      </c>
      <c r="AE1207" s="167">
        <f t="shared" si="57"/>
        <v>0</v>
      </c>
    </row>
    <row r="1208" spans="1:31">
      <c r="A1208" s="197">
        <f t="shared" si="58"/>
        <v>46588</v>
      </c>
      <c r="B1208" s="167">
        <f>YEAR(Table7[[#This Row],[Date]])+IF(MONTH(Table7[[#This Row],[Date]])&gt;=4,1,0)</f>
        <v>2028</v>
      </c>
      <c r="C1208" s="167">
        <f>YEAR(Table7[[#This Row],[Date]])</f>
        <v>2027</v>
      </c>
      <c r="D1208" s="168">
        <f t="shared" si="56"/>
        <v>46569</v>
      </c>
      <c r="AE1208" s="167">
        <f t="shared" si="57"/>
        <v>0</v>
      </c>
    </row>
    <row r="1209" spans="1:31">
      <c r="A1209" s="197">
        <f t="shared" si="58"/>
        <v>46589</v>
      </c>
      <c r="B1209" s="167">
        <f>YEAR(Table7[[#This Row],[Date]])+IF(MONTH(Table7[[#This Row],[Date]])&gt;=4,1,0)</f>
        <v>2028</v>
      </c>
      <c r="C1209" s="167">
        <f>YEAR(Table7[[#This Row],[Date]])</f>
        <v>2027</v>
      </c>
      <c r="D1209" s="168">
        <f t="shared" si="56"/>
        <v>46569</v>
      </c>
      <c r="AE1209" s="167">
        <f t="shared" si="57"/>
        <v>0</v>
      </c>
    </row>
    <row r="1210" spans="1:31">
      <c r="A1210" s="197">
        <f t="shared" si="58"/>
        <v>46590</v>
      </c>
      <c r="B1210" s="167">
        <f>YEAR(Table7[[#This Row],[Date]])+IF(MONTH(Table7[[#This Row],[Date]])&gt;=4,1,0)</f>
        <v>2028</v>
      </c>
      <c r="C1210" s="167">
        <f>YEAR(Table7[[#This Row],[Date]])</f>
        <v>2027</v>
      </c>
      <c r="D1210" s="168">
        <f t="shared" si="56"/>
        <v>46569</v>
      </c>
      <c r="AE1210" s="167">
        <f t="shared" si="57"/>
        <v>0</v>
      </c>
    </row>
    <row r="1211" spans="1:31">
      <c r="A1211" s="197">
        <f t="shared" si="58"/>
        <v>46591</v>
      </c>
      <c r="B1211" s="167">
        <f>YEAR(Table7[[#This Row],[Date]])+IF(MONTH(Table7[[#This Row],[Date]])&gt;=4,1,0)</f>
        <v>2028</v>
      </c>
      <c r="C1211" s="167">
        <f>YEAR(Table7[[#This Row],[Date]])</f>
        <v>2027</v>
      </c>
      <c r="D1211" s="168">
        <f t="shared" si="56"/>
        <v>46569</v>
      </c>
      <c r="AE1211" s="167">
        <f t="shared" si="57"/>
        <v>0</v>
      </c>
    </row>
    <row r="1212" spans="1:31">
      <c r="A1212" s="197">
        <f t="shared" si="58"/>
        <v>46592</v>
      </c>
      <c r="B1212" s="167">
        <f>YEAR(Table7[[#This Row],[Date]])+IF(MONTH(Table7[[#This Row],[Date]])&gt;=4,1,0)</f>
        <v>2028</v>
      </c>
      <c r="C1212" s="167">
        <f>YEAR(Table7[[#This Row],[Date]])</f>
        <v>2027</v>
      </c>
      <c r="D1212" s="168">
        <f t="shared" si="56"/>
        <v>46569</v>
      </c>
      <c r="AE1212" s="167">
        <f t="shared" si="57"/>
        <v>0</v>
      </c>
    </row>
    <row r="1213" spans="1:31">
      <c r="A1213" s="197">
        <f t="shared" si="58"/>
        <v>46593</v>
      </c>
      <c r="B1213" s="167">
        <f>YEAR(Table7[[#This Row],[Date]])+IF(MONTH(Table7[[#This Row],[Date]])&gt;=4,1,0)</f>
        <v>2028</v>
      </c>
      <c r="C1213" s="167">
        <f>YEAR(Table7[[#This Row],[Date]])</f>
        <v>2027</v>
      </c>
      <c r="D1213" s="168">
        <f t="shared" si="56"/>
        <v>46569</v>
      </c>
      <c r="AE1213" s="167">
        <f t="shared" si="57"/>
        <v>0</v>
      </c>
    </row>
    <row r="1214" spans="1:31">
      <c r="A1214" s="197">
        <f t="shared" si="58"/>
        <v>46594</v>
      </c>
      <c r="B1214" s="167">
        <f>YEAR(Table7[[#This Row],[Date]])+IF(MONTH(Table7[[#This Row],[Date]])&gt;=4,1,0)</f>
        <v>2028</v>
      </c>
      <c r="C1214" s="167">
        <f>YEAR(Table7[[#This Row],[Date]])</f>
        <v>2027</v>
      </c>
      <c r="D1214" s="168">
        <f t="shared" si="56"/>
        <v>46569</v>
      </c>
      <c r="AE1214" s="167">
        <f t="shared" si="57"/>
        <v>0</v>
      </c>
    </row>
    <row r="1215" spans="1:31">
      <c r="A1215" s="197">
        <f t="shared" si="58"/>
        <v>46595</v>
      </c>
      <c r="B1215" s="167">
        <f>YEAR(Table7[[#This Row],[Date]])+IF(MONTH(Table7[[#This Row],[Date]])&gt;=4,1,0)</f>
        <v>2028</v>
      </c>
      <c r="C1215" s="167">
        <f>YEAR(Table7[[#This Row],[Date]])</f>
        <v>2027</v>
      </c>
      <c r="D1215" s="168">
        <f t="shared" si="56"/>
        <v>46569</v>
      </c>
      <c r="AE1215" s="167">
        <f t="shared" si="57"/>
        <v>0</v>
      </c>
    </row>
    <row r="1216" spans="1:31">
      <c r="A1216" s="197">
        <f t="shared" si="58"/>
        <v>46596</v>
      </c>
      <c r="B1216" s="167">
        <f>YEAR(Table7[[#This Row],[Date]])+IF(MONTH(Table7[[#This Row],[Date]])&gt;=4,1,0)</f>
        <v>2028</v>
      </c>
      <c r="C1216" s="167">
        <f>YEAR(Table7[[#This Row],[Date]])</f>
        <v>2027</v>
      </c>
      <c r="D1216" s="168">
        <f t="shared" si="56"/>
        <v>46569</v>
      </c>
      <c r="AE1216" s="167">
        <f t="shared" si="57"/>
        <v>0</v>
      </c>
    </row>
    <row r="1217" spans="1:31">
      <c r="A1217" s="197">
        <f t="shared" si="58"/>
        <v>46597</v>
      </c>
      <c r="B1217" s="167">
        <f>YEAR(Table7[[#This Row],[Date]])+IF(MONTH(Table7[[#This Row],[Date]])&gt;=4,1,0)</f>
        <v>2028</v>
      </c>
      <c r="C1217" s="167">
        <f>YEAR(Table7[[#This Row],[Date]])</f>
        <v>2027</v>
      </c>
      <c r="D1217" s="168">
        <f t="shared" si="56"/>
        <v>46569</v>
      </c>
      <c r="AE1217" s="167">
        <f t="shared" si="57"/>
        <v>0</v>
      </c>
    </row>
    <row r="1218" spans="1:31">
      <c r="A1218" s="197">
        <f t="shared" si="58"/>
        <v>46598</v>
      </c>
      <c r="B1218" s="167">
        <f>YEAR(Table7[[#This Row],[Date]])+IF(MONTH(Table7[[#This Row],[Date]])&gt;=4,1,0)</f>
        <v>2028</v>
      </c>
      <c r="C1218" s="167">
        <f>YEAR(Table7[[#This Row],[Date]])</f>
        <v>2027</v>
      </c>
      <c r="D1218" s="168">
        <f t="shared" si="56"/>
        <v>46569</v>
      </c>
      <c r="AE1218" s="167">
        <f t="shared" si="57"/>
        <v>0</v>
      </c>
    </row>
    <row r="1219" spans="1:31">
      <c r="A1219" s="197">
        <f t="shared" si="58"/>
        <v>46599</v>
      </c>
      <c r="B1219" s="167">
        <f>YEAR(Table7[[#This Row],[Date]])+IF(MONTH(Table7[[#This Row],[Date]])&gt;=4,1,0)</f>
        <v>2028</v>
      </c>
      <c r="C1219" s="167">
        <f>YEAR(Table7[[#This Row],[Date]])</f>
        <v>2027</v>
      </c>
      <c r="D1219" s="168">
        <f t="shared" ref="D1219:D1282" si="59">A1219-DAY(A1219)+1</f>
        <v>46569</v>
      </c>
      <c r="AE1219" s="167">
        <f t="shared" ref="AE1219:AE1282" si="60">SUM(E1219:AD1219)</f>
        <v>0</v>
      </c>
    </row>
    <row r="1220" spans="1:31">
      <c r="A1220" s="197">
        <f t="shared" si="58"/>
        <v>46600</v>
      </c>
      <c r="B1220" s="167">
        <f>YEAR(Table7[[#This Row],[Date]])+IF(MONTH(Table7[[#This Row],[Date]])&gt;=4,1,0)</f>
        <v>2028</v>
      </c>
      <c r="C1220" s="167">
        <f>YEAR(Table7[[#This Row],[Date]])</f>
        <v>2027</v>
      </c>
      <c r="D1220" s="168">
        <f t="shared" si="59"/>
        <v>46600</v>
      </c>
      <c r="AE1220" s="167">
        <f t="shared" si="60"/>
        <v>0</v>
      </c>
    </row>
    <row r="1221" spans="1:31">
      <c r="A1221" s="197">
        <f t="shared" ref="A1221:A1284" si="61">A1220+1</f>
        <v>46601</v>
      </c>
      <c r="B1221" s="167">
        <f>YEAR(Table7[[#This Row],[Date]])+IF(MONTH(Table7[[#This Row],[Date]])&gt;=4,1,0)</f>
        <v>2028</v>
      </c>
      <c r="C1221" s="167">
        <f>YEAR(Table7[[#This Row],[Date]])</f>
        <v>2027</v>
      </c>
      <c r="D1221" s="168">
        <f t="shared" si="59"/>
        <v>46600</v>
      </c>
      <c r="AE1221" s="167">
        <f t="shared" si="60"/>
        <v>0</v>
      </c>
    </row>
    <row r="1222" spans="1:31">
      <c r="A1222" s="197">
        <f t="shared" si="61"/>
        <v>46602</v>
      </c>
      <c r="B1222" s="167">
        <f>YEAR(Table7[[#This Row],[Date]])+IF(MONTH(Table7[[#This Row],[Date]])&gt;=4,1,0)</f>
        <v>2028</v>
      </c>
      <c r="C1222" s="167">
        <f>YEAR(Table7[[#This Row],[Date]])</f>
        <v>2027</v>
      </c>
      <c r="D1222" s="168">
        <f t="shared" si="59"/>
        <v>46600</v>
      </c>
      <c r="AE1222" s="167">
        <f t="shared" si="60"/>
        <v>0</v>
      </c>
    </row>
    <row r="1223" spans="1:31">
      <c r="A1223" s="197">
        <f t="shared" si="61"/>
        <v>46603</v>
      </c>
      <c r="B1223" s="167">
        <f>YEAR(Table7[[#This Row],[Date]])+IF(MONTH(Table7[[#This Row],[Date]])&gt;=4,1,0)</f>
        <v>2028</v>
      </c>
      <c r="C1223" s="167">
        <f>YEAR(Table7[[#This Row],[Date]])</f>
        <v>2027</v>
      </c>
      <c r="D1223" s="168">
        <f t="shared" si="59"/>
        <v>46600</v>
      </c>
      <c r="AE1223" s="167">
        <f t="shared" si="60"/>
        <v>0</v>
      </c>
    </row>
    <row r="1224" spans="1:31">
      <c r="A1224" s="197">
        <f t="shared" si="61"/>
        <v>46604</v>
      </c>
      <c r="B1224" s="167">
        <f>YEAR(Table7[[#This Row],[Date]])+IF(MONTH(Table7[[#This Row],[Date]])&gt;=4,1,0)</f>
        <v>2028</v>
      </c>
      <c r="C1224" s="167">
        <f>YEAR(Table7[[#This Row],[Date]])</f>
        <v>2027</v>
      </c>
      <c r="D1224" s="168">
        <f t="shared" si="59"/>
        <v>46600</v>
      </c>
      <c r="AE1224" s="167">
        <f t="shared" si="60"/>
        <v>0</v>
      </c>
    </row>
    <row r="1225" spans="1:31">
      <c r="A1225" s="197">
        <f t="shared" si="61"/>
        <v>46605</v>
      </c>
      <c r="B1225" s="167">
        <f>YEAR(Table7[[#This Row],[Date]])+IF(MONTH(Table7[[#This Row],[Date]])&gt;=4,1,0)</f>
        <v>2028</v>
      </c>
      <c r="C1225" s="167">
        <f>YEAR(Table7[[#This Row],[Date]])</f>
        <v>2027</v>
      </c>
      <c r="D1225" s="168">
        <f t="shared" si="59"/>
        <v>46600</v>
      </c>
      <c r="AE1225" s="167">
        <f t="shared" si="60"/>
        <v>0</v>
      </c>
    </row>
    <row r="1226" spans="1:31">
      <c r="A1226" s="197">
        <f t="shared" si="61"/>
        <v>46606</v>
      </c>
      <c r="B1226" s="167">
        <f>YEAR(Table7[[#This Row],[Date]])+IF(MONTH(Table7[[#This Row],[Date]])&gt;=4,1,0)</f>
        <v>2028</v>
      </c>
      <c r="C1226" s="167">
        <f>YEAR(Table7[[#This Row],[Date]])</f>
        <v>2027</v>
      </c>
      <c r="D1226" s="168">
        <f t="shared" si="59"/>
        <v>46600</v>
      </c>
      <c r="AE1226" s="167">
        <f t="shared" si="60"/>
        <v>0</v>
      </c>
    </row>
    <row r="1227" spans="1:31">
      <c r="A1227" s="197">
        <f t="shared" si="61"/>
        <v>46607</v>
      </c>
      <c r="B1227" s="167">
        <f>YEAR(Table7[[#This Row],[Date]])+IF(MONTH(Table7[[#This Row],[Date]])&gt;=4,1,0)</f>
        <v>2028</v>
      </c>
      <c r="C1227" s="167">
        <f>YEAR(Table7[[#This Row],[Date]])</f>
        <v>2027</v>
      </c>
      <c r="D1227" s="168">
        <f t="shared" si="59"/>
        <v>46600</v>
      </c>
      <c r="AE1227" s="167">
        <f t="shared" si="60"/>
        <v>0</v>
      </c>
    </row>
    <row r="1228" spans="1:31">
      <c r="A1228" s="197">
        <f t="shared" si="61"/>
        <v>46608</v>
      </c>
      <c r="B1228" s="167">
        <f>YEAR(Table7[[#This Row],[Date]])+IF(MONTH(Table7[[#This Row],[Date]])&gt;=4,1,0)</f>
        <v>2028</v>
      </c>
      <c r="C1228" s="167">
        <f>YEAR(Table7[[#This Row],[Date]])</f>
        <v>2027</v>
      </c>
      <c r="D1228" s="168">
        <f t="shared" si="59"/>
        <v>46600</v>
      </c>
      <c r="AE1228" s="167">
        <f t="shared" si="60"/>
        <v>0</v>
      </c>
    </row>
    <row r="1229" spans="1:31">
      <c r="A1229" s="197">
        <f t="shared" si="61"/>
        <v>46609</v>
      </c>
      <c r="B1229" s="167">
        <f>YEAR(Table7[[#This Row],[Date]])+IF(MONTH(Table7[[#This Row],[Date]])&gt;=4,1,0)</f>
        <v>2028</v>
      </c>
      <c r="C1229" s="167">
        <f>YEAR(Table7[[#This Row],[Date]])</f>
        <v>2027</v>
      </c>
      <c r="D1229" s="168">
        <f t="shared" si="59"/>
        <v>46600</v>
      </c>
      <c r="AE1229" s="167">
        <f t="shared" si="60"/>
        <v>0</v>
      </c>
    </row>
    <row r="1230" spans="1:31">
      <c r="A1230" s="197">
        <f t="shared" si="61"/>
        <v>46610</v>
      </c>
      <c r="B1230" s="167">
        <f>YEAR(Table7[[#This Row],[Date]])+IF(MONTH(Table7[[#This Row],[Date]])&gt;=4,1,0)</f>
        <v>2028</v>
      </c>
      <c r="C1230" s="167">
        <f>YEAR(Table7[[#This Row],[Date]])</f>
        <v>2027</v>
      </c>
      <c r="D1230" s="168">
        <f t="shared" si="59"/>
        <v>46600</v>
      </c>
      <c r="AE1230" s="167">
        <f t="shared" si="60"/>
        <v>0</v>
      </c>
    </row>
    <row r="1231" spans="1:31">
      <c r="A1231" s="197">
        <f t="shared" si="61"/>
        <v>46611</v>
      </c>
      <c r="B1231" s="167">
        <f>YEAR(Table7[[#This Row],[Date]])+IF(MONTH(Table7[[#This Row],[Date]])&gt;=4,1,0)</f>
        <v>2028</v>
      </c>
      <c r="C1231" s="167">
        <f>YEAR(Table7[[#This Row],[Date]])</f>
        <v>2027</v>
      </c>
      <c r="D1231" s="168">
        <f t="shared" si="59"/>
        <v>46600</v>
      </c>
      <c r="AE1231" s="167">
        <f t="shared" si="60"/>
        <v>0</v>
      </c>
    </row>
    <row r="1232" spans="1:31">
      <c r="A1232" s="197">
        <f t="shared" si="61"/>
        <v>46612</v>
      </c>
      <c r="B1232" s="167">
        <f>YEAR(Table7[[#This Row],[Date]])+IF(MONTH(Table7[[#This Row],[Date]])&gt;=4,1,0)</f>
        <v>2028</v>
      </c>
      <c r="C1232" s="167">
        <f>YEAR(Table7[[#This Row],[Date]])</f>
        <v>2027</v>
      </c>
      <c r="D1232" s="168">
        <f t="shared" si="59"/>
        <v>46600</v>
      </c>
      <c r="AE1232" s="167">
        <f t="shared" si="60"/>
        <v>0</v>
      </c>
    </row>
    <row r="1233" spans="1:31">
      <c r="A1233" s="197">
        <f t="shared" si="61"/>
        <v>46613</v>
      </c>
      <c r="B1233" s="167">
        <f>YEAR(Table7[[#This Row],[Date]])+IF(MONTH(Table7[[#This Row],[Date]])&gt;=4,1,0)</f>
        <v>2028</v>
      </c>
      <c r="C1233" s="167">
        <f>YEAR(Table7[[#This Row],[Date]])</f>
        <v>2027</v>
      </c>
      <c r="D1233" s="168">
        <f t="shared" si="59"/>
        <v>46600</v>
      </c>
      <c r="AE1233" s="167">
        <f t="shared" si="60"/>
        <v>0</v>
      </c>
    </row>
    <row r="1234" spans="1:31">
      <c r="A1234" s="197">
        <f t="shared" si="61"/>
        <v>46614</v>
      </c>
      <c r="B1234" s="167">
        <f>YEAR(Table7[[#This Row],[Date]])+IF(MONTH(Table7[[#This Row],[Date]])&gt;=4,1,0)</f>
        <v>2028</v>
      </c>
      <c r="C1234" s="167">
        <f>YEAR(Table7[[#This Row],[Date]])</f>
        <v>2027</v>
      </c>
      <c r="D1234" s="168">
        <f t="shared" si="59"/>
        <v>46600</v>
      </c>
      <c r="AE1234" s="167">
        <f t="shared" si="60"/>
        <v>0</v>
      </c>
    </row>
    <row r="1235" spans="1:31">
      <c r="A1235" s="197">
        <f t="shared" si="61"/>
        <v>46615</v>
      </c>
      <c r="B1235" s="167">
        <f>YEAR(Table7[[#This Row],[Date]])+IF(MONTH(Table7[[#This Row],[Date]])&gt;=4,1,0)</f>
        <v>2028</v>
      </c>
      <c r="C1235" s="167">
        <f>YEAR(Table7[[#This Row],[Date]])</f>
        <v>2027</v>
      </c>
      <c r="D1235" s="168">
        <f t="shared" si="59"/>
        <v>46600</v>
      </c>
      <c r="AE1235" s="167">
        <f t="shared" si="60"/>
        <v>0</v>
      </c>
    </row>
    <row r="1236" spans="1:31">
      <c r="A1236" s="197">
        <f t="shared" si="61"/>
        <v>46616</v>
      </c>
      <c r="B1236" s="167">
        <f>YEAR(Table7[[#This Row],[Date]])+IF(MONTH(Table7[[#This Row],[Date]])&gt;=4,1,0)</f>
        <v>2028</v>
      </c>
      <c r="C1236" s="167">
        <f>YEAR(Table7[[#This Row],[Date]])</f>
        <v>2027</v>
      </c>
      <c r="D1236" s="168">
        <f t="shared" si="59"/>
        <v>46600</v>
      </c>
      <c r="AE1236" s="167">
        <f t="shared" si="60"/>
        <v>0</v>
      </c>
    </row>
    <row r="1237" spans="1:31">
      <c r="A1237" s="197">
        <f t="shared" si="61"/>
        <v>46617</v>
      </c>
      <c r="B1237" s="167">
        <f>YEAR(Table7[[#This Row],[Date]])+IF(MONTH(Table7[[#This Row],[Date]])&gt;=4,1,0)</f>
        <v>2028</v>
      </c>
      <c r="C1237" s="167">
        <f>YEAR(Table7[[#This Row],[Date]])</f>
        <v>2027</v>
      </c>
      <c r="D1237" s="168">
        <f t="shared" si="59"/>
        <v>46600</v>
      </c>
      <c r="AE1237" s="167">
        <f t="shared" si="60"/>
        <v>0</v>
      </c>
    </row>
    <row r="1238" spans="1:31">
      <c r="A1238" s="197">
        <f t="shared" si="61"/>
        <v>46618</v>
      </c>
      <c r="B1238" s="167">
        <f>YEAR(Table7[[#This Row],[Date]])+IF(MONTH(Table7[[#This Row],[Date]])&gt;=4,1,0)</f>
        <v>2028</v>
      </c>
      <c r="C1238" s="167">
        <f>YEAR(Table7[[#This Row],[Date]])</f>
        <v>2027</v>
      </c>
      <c r="D1238" s="168">
        <f t="shared" si="59"/>
        <v>46600</v>
      </c>
      <c r="AE1238" s="167">
        <f t="shared" si="60"/>
        <v>0</v>
      </c>
    </row>
    <row r="1239" spans="1:31">
      <c r="A1239" s="197">
        <f t="shared" si="61"/>
        <v>46619</v>
      </c>
      <c r="B1239" s="167">
        <f>YEAR(Table7[[#This Row],[Date]])+IF(MONTH(Table7[[#This Row],[Date]])&gt;=4,1,0)</f>
        <v>2028</v>
      </c>
      <c r="C1239" s="167">
        <f>YEAR(Table7[[#This Row],[Date]])</f>
        <v>2027</v>
      </c>
      <c r="D1239" s="168">
        <f t="shared" si="59"/>
        <v>46600</v>
      </c>
      <c r="AE1239" s="167">
        <f t="shared" si="60"/>
        <v>0</v>
      </c>
    </row>
    <row r="1240" spans="1:31">
      <c r="A1240" s="197">
        <f t="shared" si="61"/>
        <v>46620</v>
      </c>
      <c r="B1240" s="167">
        <f>YEAR(Table7[[#This Row],[Date]])+IF(MONTH(Table7[[#This Row],[Date]])&gt;=4,1,0)</f>
        <v>2028</v>
      </c>
      <c r="C1240" s="167">
        <f>YEAR(Table7[[#This Row],[Date]])</f>
        <v>2027</v>
      </c>
      <c r="D1240" s="168">
        <f t="shared" si="59"/>
        <v>46600</v>
      </c>
      <c r="AE1240" s="167">
        <f t="shared" si="60"/>
        <v>0</v>
      </c>
    </row>
    <row r="1241" spans="1:31">
      <c r="A1241" s="197">
        <f t="shared" si="61"/>
        <v>46621</v>
      </c>
      <c r="B1241" s="167">
        <f>YEAR(Table7[[#This Row],[Date]])+IF(MONTH(Table7[[#This Row],[Date]])&gt;=4,1,0)</f>
        <v>2028</v>
      </c>
      <c r="C1241" s="167">
        <f>YEAR(Table7[[#This Row],[Date]])</f>
        <v>2027</v>
      </c>
      <c r="D1241" s="168">
        <f t="shared" si="59"/>
        <v>46600</v>
      </c>
      <c r="AE1241" s="167">
        <f t="shared" si="60"/>
        <v>0</v>
      </c>
    </row>
    <row r="1242" spans="1:31">
      <c r="A1242" s="197">
        <f t="shared" si="61"/>
        <v>46622</v>
      </c>
      <c r="B1242" s="167">
        <f>YEAR(Table7[[#This Row],[Date]])+IF(MONTH(Table7[[#This Row],[Date]])&gt;=4,1,0)</f>
        <v>2028</v>
      </c>
      <c r="C1242" s="167">
        <f>YEAR(Table7[[#This Row],[Date]])</f>
        <v>2027</v>
      </c>
      <c r="D1242" s="168">
        <f t="shared" si="59"/>
        <v>46600</v>
      </c>
      <c r="AE1242" s="167">
        <f t="shared" si="60"/>
        <v>0</v>
      </c>
    </row>
    <row r="1243" spans="1:31">
      <c r="A1243" s="197">
        <f t="shared" si="61"/>
        <v>46623</v>
      </c>
      <c r="B1243" s="167">
        <f>YEAR(Table7[[#This Row],[Date]])+IF(MONTH(Table7[[#This Row],[Date]])&gt;=4,1,0)</f>
        <v>2028</v>
      </c>
      <c r="C1243" s="167">
        <f>YEAR(Table7[[#This Row],[Date]])</f>
        <v>2027</v>
      </c>
      <c r="D1243" s="168">
        <f t="shared" si="59"/>
        <v>46600</v>
      </c>
      <c r="AE1243" s="167">
        <f t="shared" si="60"/>
        <v>0</v>
      </c>
    </row>
    <row r="1244" spans="1:31">
      <c r="A1244" s="197">
        <f t="shared" si="61"/>
        <v>46624</v>
      </c>
      <c r="B1244" s="167">
        <f>YEAR(Table7[[#This Row],[Date]])+IF(MONTH(Table7[[#This Row],[Date]])&gt;=4,1,0)</f>
        <v>2028</v>
      </c>
      <c r="C1244" s="167">
        <f>YEAR(Table7[[#This Row],[Date]])</f>
        <v>2027</v>
      </c>
      <c r="D1244" s="168">
        <f t="shared" si="59"/>
        <v>46600</v>
      </c>
      <c r="AE1244" s="167">
        <f t="shared" si="60"/>
        <v>0</v>
      </c>
    </row>
    <row r="1245" spans="1:31">
      <c r="A1245" s="197">
        <f t="shared" si="61"/>
        <v>46625</v>
      </c>
      <c r="B1245" s="167">
        <f>YEAR(Table7[[#This Row],[Date]])+IF(MONTH(Table7[[#This Row],[Date]])&gt;=4,1,0)</f>
        <v>2028</v>
      </c>
      <c r="C1245" s="167">
        <f>YEAR(Table7[[#This Row],[Date]])</f>
        <v>2027</v>
      </c>
      <c r="D1245" s="168">
        <f t="shared" si="59"/>
        <v>46600</v>
      </c>
      <c r="AE1245" s="167">
        <f t="shared" si="60"/>
        <v>0</v>
      </c>
    </row>
    <row r="1246" spans="1:31">
      <c r="A1246" s="197">
        <f t="shared" si="61"/>
        <v>46626</v>
      </c>
      <c r="B1246" s="167">
        <f>YEAR(Table7[[#This Row],[Date]])+IF(MONTH(Table7[[#This Row],[Date]])&gt;=4,1,0)</f>
        <v>2028</v>
      </c>
      <c r="C1246" s="167">
        <f>YEAR(Table7[[#This Row],[Date]])</f>
        <v>2027</v>
      </c>
      <c r="D1246" s="168">
        <f t="shared" si="59"/>
        <v>46600</v>
      </c>
      <c r="AE1246" s="167">
        <f t="shared" si="60"/>
        <v>0</v>
      </c>
    </row>
    <row r="1247" spans="1:31">
      <c r="A1247" s="197">
        <f t="shared" si="61"/>
        <v>46627</v>
      </c>
      <c r="B1247" s="167">
        <f>YEAR(Table7[[#This Row],[Date]])+IF(MONTH(Table7[[#This Row],[Date]])&gt;=4,1,0)</f>
        <v>2028</v>
      </c>
      <c r="C1247" s="167">
        <f>YEAR(Table7[[#This Row],[Date]])</f>
        <v>2027</v>
      </c>
      <c r="D1247" s="168">
        <f t="shared" si="59"/>
        <v>46600</v>
      </c>
      <c r="AE1247" s="167">
        <f t="shared" si="60"/>
        <v>0</v>
      </c>
    </row>
    <row r="1248" spans="1:31">
      <c r="A1248" s="197">
        <f t="shared" si="61"/>
        <v>46628</v>
      </c>
      <c r="B1248" s="167">
        <f>YEAR(Table7[[#This Row],[Date]])+IF(MONTH(Table7[[#This Row],[Date]])&gt;=4,1,0)</f>
        <v>2028</v>
      </c>
      <c r="C1248" s="167">
        <f>YEAR(Table7[[#This Row],[Date]])</f>
        <v>2027</v>
      </c>
      <c r="D1248" s="168">
        <f t="shared" si="59"/>
        <v>46600</v>
      </c>
      <c r="AE1248" s="167">
        <f t="shared" si="60"/>
        <v>0</v>
      </c>
    </row>
    <row r="1249" spans="1:31">
      <c r="A1249" s="197">
        <f t="shared" si="61"/>
        <v>46629</v>
      </c>
      <c r="B1249" s="167">
        <f>YEAR(Table7[[#This Row],[Date]])+IF(MONTH(Table7[[#This Row],[Date]])&gt;=4,1,0)</f>
        <v>2028</v>
      </c>
      <c r="C1249" s="167">
        <f>YEAR(Table7[[#This Row],[Date]])</f>
        <v>2027</v>
      </c>
      <c r="D1249" s="168">
        <f t="shared" si="59"/>
        <v>46600</v>
      </c>
      <c r="AE1249" s="167">
        <f t="shared" si="60"/>
        <v>0</v>
      </c>
    </row>
    <row r="1250" spans="1:31">
      <c r="A1250" s="197">
        <f t="shared" si="61"/>
        <v>46630</v>
      </c>
      <c r="B1250" s="167">
        <f>YEAR(Table7[[#This Row],[Date]])+IF(MONTH(Table7[[#This Row],[Date]])&gt;=4,1,0)</f>
        <v>2028</v>
      </c>
      <c r="C1250" s="167">
        <f>YEAR(Table7[[#This Row],[Date]])</f>
        <v>2027</v>
      </c>
      <c r="D1250" s="168">
        <f t="shared" si="59"/>
        <v>46600</v>
      </c>
      <c r="AE1250" s="167">
        <f t="shared" si="60"/>
        <v>0</v>
      </c>
    </row>
    <row r="1251" spans="1:31">
      <c r="A1251" s="197">
        <f t="shared" si="61"/>
        <v>46631</v>
      </c>
      <c r="B1251" s="167">
        <f>YEAR(Table7[[#This Row],[Date]])+IF(MONTH(Table7[[#This Row],[Date]])&gt;=4,1,0)</f>
        <v>2028</v>
      </c>
      <c r="C1251" s="167">
        <f>YEAR(Table7[[#This Row],[Date]])</f>
        <v>2027</v>
      </c>
      <c r="D1251" s="168">
        <f t="shared" si="59"/>
        <v>46631</v>
      </c>
      <c r="AE1251" s="167">
        <f t="shared" si="60"/>
        <v>0</v>
      </c>
    </row>
    <row r="1252" spans="1:31">
      <c r="A1252" s="197">
        <f t="shared" si="61"/>
        <v>46632</v>
      </c>
      <c r="B1252" s="167">
        <f>YEAR(Table7[[#This Row],[Date]])+IF(MONTH(Table7[[#This Row],[Date]])&gt;=4,1,0)</f>
        <v>2028</v>
      </c>
      <c r="C1252" s="167">
        <f>YEAR(Table7[[#This Row],[Date]])</f>
        <v>2027</v>
      </c>
      <c r="D1252" s="168">
        <f t="shared" si="59"/>
        <v>46631</v>
      </c>
      <c r="AE1252" s="167">
        <f t="shared" si="60"/>
        <v>0</v>
      </c>
    </row>
    <row r="1253" spans="1:31">
      <c r="A1253" s="197">
        <f t="shared" si="61"/>
        <v>46633</v>
      </c>
      <c r="B1253" s="167">
        <f>YEAR(Table7[[#This Row],[Date]])+IF(MONTH(Table7[[#This Row],[Date]])&gt;=4,1,0)</f>
        <v>2028</v>
      </c>
      <c r="C1253" s="167">
        <f>YEAR(Table7[[#This Row],[Date]])</f>
        <v>2027</v>
      </c>
      <c r="D1253" s="168">
        <f t="shared" si="59"/>
        <v>46631</v>
      </c>
      <c r="AE1253" s="167">
        <f t="shared" si="60"/>
        <v>0</v>
      </c>
    </row>
    <row r="1254" spans="1:31">
      <c r="A1254" s="197">
        <f t="shared" si="61"/>
        <v>46634</v>
      </c>
      <c r="B1254" s="167">
        <f>YEAR(Table7[[#This Row],[Date]])+IF(MONTH(Table7[[#This Row],[Date]])&gt;=4,1,0)</f>
        <v>2028</v>
      </c>
      <c r="C1254" s="167">
        <f>YEAR(Table7[[#This Row],[Date]])</f>
        <v>2027</v>
      </c>
      <c r="D1254" s="168">
        <f t="shared" si="59"/>
        <v>46631</v>
      </c>
      <c r="AE1254" s="167">
        <f t="shared" si="60"/>
        <v>0</v>
      </c>
    </row>
    <row r="1255" spans="1:31">
      <c r="A1255" s="197">
        <f t="shared" si="61"/>
        <v>46635</v>
      </c>
      <c r="B1255" s="167">
        <f>YEAR(Table7[[#This Row],[Date]])+IF(MONTH(Table7[[#This Row],[Date]])&gt;=4,1,0)</f>
        <v>2028</v>
      </c>
      <c r="C1255" s="167">
        <f>YEAR(Table7[[#This Row],[Date]])</f>
        <v>2027</v>
      </c>
      <c r="D1255" s="168">
        <f t="shared" si="59"/>
        <v>46631</v>
      </c>
      <c r="AE1255" s="167">
        <f t="shared" si="60"/>
        <v>0</v>
      </c>
    </row>
    <row r="1256" spans="1:31">
      <c r="A1256" s="197">
        <f t="shared" si="61"/>
        <v>46636</v>
      </c>
      <c r="B1256" s="167">
        <f>YEAR(Table7[[#This Row],[Date]])+IF(MONTH(Table7[[#This Row],[Date]])&gt;=4,1,0)</f>
        <v>2028</v>
      </c>
      <c r="C1256" s="167">
        <f>YEAR(Table7[[#This Row],[Date]])</f>
        <v>2027</v>
      </c>
      <c r="D1256" s="168">
        <f t="shared" si="59"/>
        <v>46631</v>
      </c>
      <c r="AE1256" s="167">
        <f t="shared" si="60"/>
        <v>0</v>
      </c>
    </row>
    <row r="1257" spans="1:31">
      <c r="A1257" s="197">
        <f t="shared" si="61"/>
        <v>46637</v>
      </c>
      <c r="B1257" s="167">
        <f>YEAR(Table7[[#This Row],[Date]])+IF(MONTH(Table7[[#This Row],[Date]])&gt;=4,1,0)</f>
        <v>2028</v>
      </c>
      <c r="C1257" s="167">
        <f>YEAR(Table7[[#This Row],[Date]])</f>
        <v>2027</v>
      </c>
      <c r="D1257" s="168">
        <f t="shared" si="59"/>
        <v>46631</v>
      </c>
      <c r="AE1257" s="167">
        <f t="shared" si="60"/>
        <v>0</v>
      </c>
    </row>
    <row r="1258" spans="1:31">
      <c r="A1258" s="197">
        <f t="shared" si="61"/>
        <v>46638</v>
      </c>
      <c r="B1258" s="167">
        <f>YEAR(Table7[[#This Row],[Date]])+IF(MONTH(Table7[[#This Row],[Date]])&gt;=4,1,0)</f>
        <v>2028</v>
      </c>
      <c r="C1258" s="167">
        <f>YEAR(Table7[[#This Row],[Date]])</f>
        <v>2027</v>
      </c>
      <c r="D1258" s="168">
        <f t="shared" si="59"/>
        <v>46631</v>
      </c>
      <c r="AE1258" s="167">
        <f t="shared" si="60"/>
        <v>0</v>
      </c>
    </row>
    <row r="1259" spans="1:31">
      <c r="A1259" s="197">
        <f t="shared" si="61"/>
        <v>46639</v>
      </c>
      <c r="B1259" s="167">
        <f>YEAR(Table7[[#This Row],[Date]])+IF(MONTH(Table7[[#This Row],[Date]])&gt;=4,1,0)</f>
        <v>2028</v>
      </c>
      <c r="C1259" s="167">
        <f>YEAR(Table7[[#This Row],[Date]])</f>
        <v>2027</v>
      </c>
      <c r="D1259" s="168">
        <f t="shared" si="59"/>
        <v>46631</v>
      </c>
      <c r="AE1259" s="167">
        <f t="shared" si="60"/>
        <v>0</v>
      </c>
    </row>
    <row r="1260" spans="1:31">
      <c r="A1260" s="197">
        <f t="shared" si="61"/>
        <v>46640</v>
      </c>
      <c r="B1260" s="167">
        <f>YEAR(Table7[[#This Row],[Date]])+IF(MONTH(Table7[[#This Row],[Date]])&gt;=4,1,0)</f>
        <v>2028</v>
      </c>
      <c r="C1260" s="167">
        <f>YEAR(Table7[[#This Row],[Date]])</f>
        <v>2027</v>
      </c>
      <c r="D1260" s="168">
        <f t="shared" si="59"/>
        <v>46631</v>
      </c>
      <c r="AE1260" s="167">
        <f t="shared" si="60"/>
        <v>0</v>
      </c>
    </row>
    <row r="1261" spans="1:31">
      <c r="A1261" s="197">
        <f t="shared" si="61"/>
        <v>46641</v>
      </c>
      <c r="B1261" s="167">
        <f>YEAR(Table7[[#This Row],[Date]])+IF(MONTH(Table7[[#This Row],[Date]])&gt;=4,1,0)</f>
        <v>2028</v>
      </c>
      <c r="C1261" s="167">
        <f>YEAR(Table7[[#This Row],[Date]])</f>
        <v>2027</v>
      </c>
      <c r="D1261" s="168">
        <f t="shared" si="59"/>
        <v>46631</v>
      </c>
      <c r="AE1261" s="167">
        <f t="shared" si="60"/>
        <v>0</v>
      </c>
    </row>
    <row r="1262" spans="1:31">
      <c r="A1262" s="197">
        <f t="shared" si="61"/>
        <v>46642</v>
      </c>
      <c r="B1262" s="167">
        <f>YEAR(Table7[[#This Row],[Date]])+IF(MONTH(Table7[[#This Row],[Date]])&gt;=4,1,0)</f>
        <v>2028</v>
      </c>
      <c r="C1262" s="167">
        <f>YEAR(Table7[[#This Row],[Date]])</f>
        <v>2027</v>
      </c>
      <c r="D1262" s="168">
        <f t="shared" si="59"/>
        <v>46631</v>
      </c>
      <c r="AE1262" s="167">
        <f t="shared" si="60"/>
        <v>0</v>
      </c>
    </row>
    <row r="1263" spans="1:31">
      <c r="A1263" s="197">
        <f t="shared" si="61"/>
        <v>46643</v>
      </c>
      <c r="B1263" s="167">
        <f>YEAR(Table7[[#This Row],[Date]])+IF(MONTH(Table7[[#This Row],[Date]])&gt;=4,1,0)</f>
        <v>2028</v>
      </c>
      <c r="C1263" s="167">
        <f>YEAR(Table7[[#This Row],[Date]])</f>
        <v>2027</v>
      </c>
      <c r="D1263" s="168">
        <f t="shared" si="59"/>
        <v>46631</v>
      </c>
      <c r="AE1263" s="167">
        <f t="shared" si="60"/>
        <v>0</v>
      </c>
    </row>
    <row r="1264" spans="1:31">
      <c r="A1264" s="197">
        <f t="shared" si="61"/>
        <v>46644</v>
      </c>
      <c r="B1264" s="167">
        <f>YEAR(Table7[[#This Row],[Date]])+IF(MONTH(Table7[[#This Row],[Date]])&gt;=4,1,0)</f>
        <v>2028</v>
      </c>
      <c r="C1264" s="167">
        <f>YEAR(Table7[[#This Row],[Date]])</f>
        <v>2027</v>
      </c>
      <c r="D1264" s="168">
        <f t="shared" si="59"/>
        <v>46631</v>
      </c>
      <c r="AE1264" s="167">
        <f t="shared" si="60"/>
        <v>0</v>
      </c>
    </row>
    <row r="1265" spans="1:31">
      <c r="A1265" s="197">
        <f t="shared" si="61"/>
        <v>46645</v>
      </c>
      <c r="B1265" s="167">
        <f>YEAR(Table7[[#This Row],[Date]])+IF(MONTH(Table7[[#This Row],[Date]])&gt;=4,1,0)</f>
        <v>2028</v>
      </c>
      <c r="C1265" s="167">
        <f>YEAR(Table7[[#This Row],[Date]])</f>
        <v>2027</v>
      </c>
      <c r="D1265" s="168">
        <f t="shared" si="59"/>
        <v>46631</v>
      </c>
      <c r="AE1265" s="167">
        <f t="shared" si="60"/>
        <v>0</v>
      </c>
    </row>
    <row r="1266" spans="1:31">
      <c r="A1266" s="197">
        <f t="shared" si="61"/>
        <v>46646</v>
      </c>
      <c r="B1266" s="167">
        <f>YEAR(Table7[[#This Row],[Date]])+IF(MONTH(Table7[[#This Row],[Date]])&gt;=4,1,0)</f>
        <v>2028</v>
      </c>
      <c r="C1266" s="167">
        <f>YEAR(Table7[[#This Row],[Date]])</f>
        <v>2027</v>
      </c>
      <c r="D1266" s="168">
        <f t="shared" si="59"/>
        <v>46631</v>
      </c>
      <c r="AE1266" s="167">
        <f t="shared" si="60"/>
        <v>0</v>
      </c>
    </row>
    <row r="1267" spans="1:31">
      <c r="A1267" s="197">
        <f t="shared" si="61"/>
        <v>46647</v>
      </c>
      <c r="B1267" s="167">
        <f>YEAR(Table7[[#This Row],[Date]])+IF(MONTH(Table7[[#This Row],[Date]])&gt;=4,1,0)</f>
        <v>2028</v>
      </c>
      <c r="C1267" s="167">
        <f>YEAR(Table7[[#This Row],[Date]])</f>
        <v>2027</v>
      </c>
      <c r="D1267" s="168">
        <f t="shared" si="59"/>
        <v>46631</v>
      </c>
      <c r="AE1267" s="167">
        <f t="shared" si="60"/>
        <v>0</v>
      </c>
    </row>
    <row r="1268" spans="1:31">
      <c r="A1268" s="197">
        <f t="shared" si="61"/>
        <v>46648</v>
      </c>
      <c r="B1268" s="167">
        <f>YEAR(Table7[[#This Row],[Date]])+IF(MONTH(Table7[[#This Row],[Date]])&gt;=4,1,0)</f>
        <v>2028</v>
      </c>
      <c r="C1268" s="167">
        <f>YEAR(Table7[[#This Row],[Date]])</f>
        <v>2027</v>
      </c>
      <c r="D1268" s="168">
        <f t="shared" si="59"/>
        <v>46631</v>
      </c>
      <c r="AE1268" s="167">
        <f t="shared" si="60"/>
        <v>0</v>
      </c>
    </row>
    <row r="1269" spans="1:31">
      <c r="A1269" s="197">
        <f t="shared" si="61"/>
        <v>46649</v>
      </c>
      <c r="B1269" s="167">
        <f>YEAR(Table7[[#This Row],[Date]])+IF(MONTH(Table7[[#This Row],[Date]])&gt;=4,1,0)</f>
        <v>2028</v>
      </c>
      <c r="C1269" s="167">
        <f>YEAR(Table7[[#This Row],[Date]])</f>
        <v>2027</v>
      </c>
      <c r="D1269" s="168">
        <f t="shared" si="59"/>
        <v>46631</v>
      </c>
      <c r="AE1269" s="167">
        <f t="shared" si="60"/>
        <v>0</v>
      </c>
    </row>
    <row r="1270" spans="1:31">
      <c r="A1270" s="197">
        <f t="shared" si="61"/>
        <v>46650</v>
      </c>
      <c r="B1270" s="167">
        <f>YEAR(Table7[[#This Row],[Date]])+IF(MONTH(Table7[[#This Row],[Date]])&gt;=4,1,0)</f>
        <v>2028</v>
      </c>
      <c r="C1270" s="167">
        <f>YEAR(Table7[[#This Row],[Date]])</f>
        <v>2027</v>
      </c>
      <c r="D1270" s="168">
        <f t="shared" si="59"/>
        <v>46631</v>
      </c>
      <c r="AE1270" s="167">
        <f t="shared" si="60"/>
        <v>0</v>
      </c>
    </row>
    <row r="1271" spans="1:31">
      <c r="A1271" s="197">
        <f t="shared" si="61"/>
        <v>46651</v>
      </c>
      <c r="B1271" s="167">
        <f>YEAR(Table7[[#This Row],[Date]])+IF(MONTH(Table7[[#This Row],[Date]])&gt;=4,1,0)</f>
        <v>2028</v>
      </c>
      <c r="C1271" s="167">
        <f>YEAR(Table7[[#This Row],[Date]])</f>
        <v>2027</v>
      </c>
      <c r="D1271" s="168">
        <f t="shared" si="59"/>
        <v>46631</v>
      </c>
      <c r="AE1271" s="167">
        <f t="shared" si="60"/>
        <v>0</v>
      </c>
    </row>
    <row r="1272" spans="1:31">
      <c r="A1272" s="197">
        <f t="shared" si="61"/>
        <v>46652</v>
      </c>
      <c r="B1272" s="167">
        <f>YEAR(Table7[[#This Row],[Date]])+IF(MONTH(Table7[[#This Row],[Date]])&gt;=4,1,0)</f>
        <v>2028</v>
      </c>
      <c r="C1272" s="167">
        <f>YEAR(Table7[[#This Row],[Date]])</f>
        <v>2027</v>
      </c>
      <c r="D1272" s="168">
        <f t="shared" si="59"/>
        <v>46631</v>
      </c>
      <c r="AE1272" s="167">
        <f t="shared" si="60"/>
        <v>0</v>
      </c>
    </row>
    <row r="1273" spans="1:31">
      <c r="A1273" s="197">
        <f t="shared" si="61"/>
        <v>46653</v>
      </c>
      <c r="B1273" s="167">
        <f>YEAR(Table7[[#This Row],[Date]])+IF(MONTH(Table7[[#This Row],[Date]])&gt;=4,1,0)</f>
        <v>2028</v>
      </c>
      <c r="C1273" s="167">
        <f>YEAR(Table7[[#This Row],[Date]])</f>
        <v>2027</v>
      </c>
      <c r="D1273" s="168">
        <f t="shared" si="59"/>
        <v>46631</v>
      </c>
      <c r="AE1273" s="167">
        <f t="shared" si="60"/>
        <v>0</v>
      </c>
    </row>
    <row r="1274" spans="1:31">
      <c r="A1274" s="197">
        <f t="shared" si="61"/>
        <v>46654</v>
      </c>
      <c r="B1274" s="167">
        <f>YEAR(Table7[[#This Row],[Date]])+IF(MONTH(Table7[[#This Row],[Date]])&gt;=4,1,0)</f>
        <v>2028</v>
      </c>
      <c r="C1274" s="167">
        <f>YEAR(Table7[[#This Row],[Date]])</f>
        <v>2027</v>
      </c>
      <c r="D1274" s="168">
        <f t="shared" si="59"/>
        <v>46631</v>
      </c>
      <c r="AE1274" s="167">
        <f t="shared" si="60"/>
        <v>0</v>
      </c>
    </row>
    <row r="1275" spans="1:31">
      <c r="A1275" s="197">
        <f t="shared" si="61"/>
        <v>46655</v>
      </c>
      <c r="B1275" s="167">
        <f>YEAR(Table7[[#This Row],[Date]])+IF(MONTH(Table7[[#This Row],[Date]])&gt;=4,1,0)</f>
        <v>2028</v>
      </c>
      <c r="C1275" s="167">
        <f>YEAR(Table7[[#This Row],[Date]])</f>
        <v>2027</v>
      </c>
      <c r="D1275" s="168">
        <f t="shared" si="59"/>
        <v>46631</v>
      </c>
      <c r="AE1275" s="167">
        <f t="shared" si="60"/>
        <v>0</v>
      </c>
    </row>
    <row r="1276" spans="1:31">
      <c r="A1276" s="197">
        <f t="shared" si="61"/>
        <v>46656</v>
      </c>
      <c r="B1276" s="167">
        <f>YEAR(Table7[[#This Row],[Date]])+IF(MONTH(Table7[[#This Row],[Date]])&gt;=4,1,0)</f>
        <v>2028</v>
      </c>
      <c r="C1276" s="167">
        <f>YEAR(Table7[[#This Row],[Date]])</f>
        <v>2027</v>
      </c>
      <c r="D1276" s="168">
        <f t="shared" si="59"/>
        <v>46631</v>
      </c>
      <c r="AE1276" s="167">
        <f t="shared" si="60"/>
        <v>0</v>
      </c>
    </row>
    <row r="1277" spans="1:31">
      <c r="A1277" s="197">
        <f t="shared" si="61"/>
        <v>46657</v>
      </c>
      <c r="B1277" s="167">
        <f>YEAR(Table7[[#This Row],[Date]])+IF(MONTH(Table7[[#This Row],[Date]])&gt;=4,1,0)</f>
        <v>2028</v>
      </c>
      <c r="C1277" s="167">
        <f>YEAR(Table7[[#This Row],[Date]])</f>
        <v>2027</v>
      </c>
      <c r="D1277" s="168">
        <f t="shared" si="59"/>
        <v>46631</v>
      </c>
      <c r="AE1277" s="167">
        <f t="shared" si="60"/>
        <v>0</v>
      </c>
    </row>
    <row r="1278" spans="1:31">
      <c r="A1278" s="197">
        <f t="shared" si="61"/>
        <v>46658</v>
      </c>
      <c r="B1278" s="167">
        <f>YEAR(Table7[[#This Row],[Date]])+IF(MONTH(Table7[[#This Row],[Date]])&gt;=4,1,0)</f>
        <v>2028</v>
      </c>
      <c r="C1278" s="167">
        <f>YEAR(Table7[[#This Row],[Date]])</f>
        <v>2027</v>
      </c>
      <c r="D1278" s="168">
        <f t="shared" si="59"/>
        <v>46631</v>
      </c>
      <c r="AE1278" s="167">
        <f t="shared" si="60"/>
        <v>0</v>
      </c>
    </row>
    <row r="1279" spans="1:31">
      <c r="A1279" s="197">
        <f t="shared" si="61"/>
        <v>46659</v>
      </c>
      <c r="B1279" s="167">
        <f>YEAR(Table7[[#This Row],[Date]])+IF(MONTH(Table7[[#This Row],[Date]])&gt;=4,1,0)</f>
        <v>2028</v>
      </c>
      <c r="C1279" s="167">
        <f>YEAR(Table7[[#This Row],[Date]])</f>
        <v>2027</v>
      </c>
      <c r="D1279" s="168">
        <f t="shared" si="59"/>
        <v>46631</v>
      </c>
      <c r="AE1279" s="167">
        <f t="shared" si="60"/>
        <v>0</v>
      </c>
    </row>
    <row r="1280" spans="1:31">
      <c r="A1280" s="197">
        <f t="shared" si="61"/>
        <v>46660</v>
      </c>
      <c r="B1280" s="167">
        <f>YEAR(Table7[[#This Row],[Date]])+IF(MONTH(Table7[[#This Row],[Date]])&gt;=4,1,0)</f>
        <v>2028</v>
      </c>
      <c r="C1280" s="167">
        <f>YEAR(Table7[[#This Row],[Date]])</f>
        <v>2027</v>
      </c>
      <c r="D1280" s="168">
        <f t="shared" si="59"/>
        <v>46631</v>
      </c>
      <c r="AE1280" s="167">
        <f t="shared" si="60"/>
        <v>0</v>
      </c>
    </row>
    <row r="1281" spans="1:31">
      <c r="A1281" s="197">
        <f t="shared" si="61"/>
        <v>46661</v>
      </c>
      <c r="B1281" s="167">
        <f>YEAR(Table7[[#This Row],[Date]])+IF(MONTH(Table7[[#This Row],[Date]])&gt;=4,1,0)</f>
        <v>2028</v>
      </c>
      <c r="C1281" s="167">
        <f>YEAR(Table7[[#This Row],[Date]])</f>
        <v>2027</v>
      </c>
      <c r="D1281" s="168">
        <f t="shared" si="59"/>
        <v>46661</v>
      </c>
      <c r="AE1281" s="167">
        <f t="shared" si="60"/>
        <v>0</v>
      </c>
    </row>
    <row r="1282" spans="1:31">
      <c r="A1282" s="197">
        <f t="shared" si="61"/>
        <v>46662</v>
      </c>
      <c r="B1282" s="167">
        <f>YEAR(Table7[[#This Row],[Date]])+IF(MONTH(Table7[[#This Row],[Date]])&gt;=4,1,0)</f>
        <v>2028</v>
      </c>
      <c r="C1282" s="167">
        <f>YEAR(Table7[[#This Row],[Date]])</f>
        <v>2027</v>
      </c>
      <c r="D1282" s="168">
        <f t="shared" si="59"/>
        <v>46661</v>
      </c>
      <c r="AE1282" s="167">
        <f t="shared" si="60"/>
        <v>0</v>
      </c>
    </row>
    <row r="1283" spans="1:31">
      <c r="A1283" s="197">
        <f t="shared" si="61"/>
        <v>46663</v>
      </c>
      <c r="B1283" s="167">
        <f>YEAR(Table7[[#This Row],[Date]])+IF(MONTH(Table7[[#This Row],[Date]])&gt;=4,1,0)</f>
        <v>2028</v>
      </c>
      <c r="C1283" s="167">
        <f>YEAR(Table7[[#This Row],[Date]])</f>
        <v>2027</v>
      </c>
      <c r="D1283" s="168">
        <f t="shared" ref="D1283:D1346" si="62">A1283-DAY(A1283)+1</f>
        <v>46661</v>
      </c>
      <c r="AE1283" s="167">
        <f t="shared" ref="AE1283:AE1346" si="63">SUM(E1283:AD1283)</f>
        <v>0</v>
      </c>
    </row>
    <row r="1284" spans="1:31">
      <c r="A1284" s="197">
        <f t="shared" si="61"/>
        <v>46664</v>
      </c>
      <c r="B1284" s="167">
        <f>YEAR(Table7[[#This Row],[Date]])+IF(MONTH(Table7[[#This Row],[Date]])&gt;=4,1,0)</f>
        <v>2028</v>
      </c>
      <c r="C1284" s="167">
        <f>YEAR(Table7[[#This Row],[Date]])</f>
        <v>2027</v>
      </c>
      <c r="D1284" s="168">
        <f t="shared" si="62"/>
        <v>46661</v>
      </c>
      <c r="AE1284" s="167">
        <f t="shared" si="63"/>
        <v>0</v>
      </c>
    </row>
    <row r="1285" spans="1:31">
      <c r="A1285" s="197">
        <f t="shared" ref="A1285:A1348" si="64">A1284+1</f>
        <v>46665</v>
      </c>
      <c r="B1285" s="167">
        <f>YEAR(Table7[[#This Row],[Date]])+IF(MONTH(Table7[[#This Row],[Date]])&gt;=4,1,0)</f>
        <v>2028</v>
      </c>
      <c r="C1285" s="167">
        <f>YEAR(Table7[[#This Row],[Date]])</f>
        <v>2027</v>
      </c>
      <c r="D1285" s="168">
        <f t="shared" si="62"/>
        <v>46661</v>
      </c>
      <c r="AE1285" s="167">
        <f t="shared" si="63"/>
        <v>0</v>
      </c>
    </row>
    <row r="1286" spans="1:31">
      <c r="A1286" s="197">
        <f t="shared" si="64"/>
        <v>46666</v>
      </c>
      <c r="B1286" s="167">
        <f>YEAR(Table7[[#This Row],[Date]])+IF(MONTH(Table7[[#This Row],[Date]])&gt;=4,1,0)</f>
        <v>2028</v>
      </c>
      <c r="C1286" s="167">
        <f>YEAR(Table7[[#This Row],[Date]])</f>
        <v>2027</v>
      </c>
      <c r="D1286" s="168">
        <f t="shared" si="62"/>
        <v>46661</v>
      </c>
      <c r="AE1286" s="167">
        <f t="shared" si="63"/>
        <v>0</v>
      </c>
    </row>
    <row r="1287" spans="1:31">
      <c r="A1287" s="197">
        <f t="shared" si="64"/>
        <v>46667</v>
      </c>
      <c r="B1287" s="167">
        <f>YEAR(Table7[[#This Row],[Date]])+IF(MONTH(Table7[[#This Row],[Date]])&gt;=4,1,0)</f>
        <v>2028</v>
      </c>
      <c r="C1287" s="167">
        <f>YEAR(Table7[[#This Row],[Date]])</f>
        <v>2027</v>
      </c>
      <c r="D1287" s="168">
        <f t="shared" si="62"/>
        <v>46661</v>
      </c>
      <c r="AE1287" s="167">
        <f t="shared" si="63"/>
        <v>0</v>
      </c>
    </row>
    <row r="1288" spans="1:31">
      <c r="A1288" s="197">
        <f t="shared" si="64"/>
        <v>46668</v>
      </c>
      <c r="B1288" s="167">
        <f>YEAR(Table7[[#This Row],[Date]])+IF(MONTH(Table7[[#This Row],[Date]])&gt;=4,1,0)</f>
        <v>2028</v>
      </c>
      <c r="C1288" s="167">
        <f>YEAR(Table7[[#This Row],[Date]])</f>
        <v>2027</v>
      </c>
      <c r="D1288" s="168">
        <f t="shared" si="62"/>
        <v>46661</v>
      </c>
      <c r="AE1288" s="167">
        <f t="shared" si="63"/>
        <v>0</v>
      </c>
    </row>
    <row r="1289" spans="1:31">
      <c r="A1289" s="197">
        <f t="shared" si="64"/>
        <v>46669</v>
      </c>
      <c r="B1289" s="167">
        <f>YEAR(Table7[[#This Row],[Date]])+IF(MONTH(Table7[[#This Row],[Date]])&gt;=4,1,0)</f>
        <v>2028</v>
      </c>
      <c r="C1289" s="167">
        <f>YEAR(Table7[[#This Row],[Date]])</f>
        <v>2027</v>
      </c>
      <c r="D1289" s="168">
        <f t="shared" si="62"/>
        <v>46661</v>
      </c>
      <c r="AE1289" s="167">
        <f t="shared" si="63"/>
        <v>0</v>
      </c>
    </row>
    <row r="1290" spans="1:31">
      <c r="A1290" s="197">
        <f t="shared" si="64"/>
        <v>46670</v>
      </c>
      <c r="B1290" s="167">
        <f>YEAR(Table7[[#This Row],[Date]])+IF(MONTH(Table7[[#This Row],[Date]])&gt;=4,1,0)</f>
        <v>2028</v>
      </c>
      <c r="C1290" s="167">
        <f>YEAR(Table7[[#This Row],[Date]])</f>
        <v>2027</v>
      </c>
      <c r="D1290" s="168">
        <f t="shared" si="62"/>
        <v>46661</v>
      </c>
      <c r="AE1290" s="167">
        <f t="shared" si="63"/>
        <v>0</v>
      </c>
    </row>
    <row r="1291" spans="1:31">
      <c r="A1291" s="197">
        <f t="shared" si="64"/>
        <v>46671</v>
      </c>
      <c r="B1291" s="167">
        <f>YEAR(Table7[[#This Row],[Date]])+IF(MONTH(Table7[[#This Row],[Date]])&gt;=4,1,0)</f>
        <v>2028</v>
      </c>
      <c r="C1291" s="167">
        <f>YEAR(Table7[[#This Row],[Date]])</f>
        <v>2027</v>
      </c>
      <c r="D1291" s="168">
        <f t="shared" si="62"/>
        <v>46661</v>
      </c>
      <c r="AE1291" s="167">
        <f t="shared" si="63"/>
        <v>0</v>
      </c>
    </row>
    <row r="1292" spans="1:31">
      <c r="A1292" s="197">
        <f t="shared" si="64"/>
        <v>46672</v>
      </c>
      <c r="B1292" s="167">
        <f>YEAR(Table7[[#This Row],[Date]])+IF(MONTH(Table7[[#This Row],[Date]])&gt;=4,1,0)</f>
        <v>2028</v>
      </c>
      <c r="C1292" s="167">
        <f>YEAR(Table7[[#This Row],[Date]])</f>
        <v>2027</v>
      </c>
      <c r="D1292" s="168">
        <f t="shared" si="62"/>
        <v>46661</v>
      </c>
      <c r="AE1292" s="167">
        <f t="shared" si="63"/>
        <v>0</v>
      </c>
    </row>
    <row r="1293" spans="1:31">
      <c r="A1293" s="197">
        <f t="shared" si="64"/>
        <v>46673</v>
      </c>
      <c r="B1293" s="167">
        <f>YEAR(Table7[[#This Row],[Date]])+IF(MONTH(Table7[[#This Row],[Date]])&gt;=4,1,0)</f>
        <v>2028</v>
      </c>
      <c r="C1293" s="167">
        <f>YEAR(Table7[[#This Row],[Date]])</f>
        <v>2027</v>
      </c>
      <c r="D1293" s="168">
        <f t="shared" si="62"/>
        <v>46661</v>
      </c>
      <c r="AE1293" s="167">
        <f t="shared" si="63"/>
        <v>0</v>
      </c>
    </row>
    <row r="1294" spans="1:31">
      <c r="A1294" s="197">
        <f t="shared" si="64"/>
        <v>46674</v>
      </c>
      <c r="B1294" s="167">
        <f>YEAR(Table7[[#This Row],[Date]])+IF(MONTH(Table7[[#This Row],[Date]])&gt;=4,1,0)</f>
        <v>2028</v>
      </c>
      <c r="C1294" s="167">
        <f>YEAR(Table7[[#This Row],[Date]])</f>
        <v>2027</v>
      </c>
      <c r="D1294" s="168">
        <f t="shared" si="62"/>
        <v>46661</v>
      </c>
      <c r="AE1294" s="167">
        <f t="shared" si="63"/>
        <v>0</v>
      </c>
    </row>
    <row r="1295" spans="1:31">
      <c r="A1295" s="197">
        <f t="shared" si="64"/>
        <v>46675</v>
      </c>
      <c r="B1295" s="167">
        <f>YEAR(Table7[[#This Row],[Date]])+IF(MONTH(Table7[[#This Row],[Date]])&gt;=4,1,0)</f>
        <v>2028</v>
      </c>
      <c r="C1295" s="167">
        <f>YEAR(Table7[[#This Row],[Date]])</f>
        <v>2027</v>
      </c>
      <c r="D1295" s="168">
        <f t="shared" si="62"/>
        <v>46661</v>
      </c>
      <c r="AE1295" s="167">
        <f t="shared" si="63"/>
        <v>0</v>
      </c>
    </row>
    <row r="1296" spans="1:31">
      <c r="A1296" s="197">
        <f t="shared" si="64"/>
        <v>46676</v>
      </c>
      <c r="B1296" s="167">
        <f>YEAR(Table7[[#This Row],[Date]])+IF(MONTH(Table7[[#This Row],[Date]])&gt;=4,1,0)</f>
        <v>2028</v>
      </c>
      <c r="C1296" s="167">
        <f>YEAR(Table7[[#This Row],[Date]])</f>
        <v>2027</v>
      </c>
      <c r="D1296" s="168">
        <f t="shared" si="62"/>
        <v>46661</v>
      </c>
      <c r="AE1296" s="167">
        <f t="shared" si="63"/>
        <v>0</v>
      </c>
    </row>
    <row r="1297" spans="1:31">
      <c r="A1297" s="197">
        <f t="shared" si="64"/>
        <v>46677</v>
      </c>
      <c r="B1297" s="167">
        <f>YEAR(Table7[[#This Row],[Date]])+IF(MONTH(Table7[[#This Row],[Date]])&gt;=4,1,0)</f>
        <v>2028</v>
      </c>
      <c r="C1297" s="167">
        <f>YEAR(Table7[[#This Row],[Date]])</f>
        <v>2027</v>
      </c>
      <c r="D1297" s="168">
        <f t="shared" si="62"/>
        <v>46661</v>
      </c>
      <c r="AE1297" s="167">
        <f t="shared" si="63"/>
        <v>0</v>
      </c>
    </row>
    <row r="1298" spans="1:31">
      <c r="A1298" s="197">
        <f t="shared" si="64"/>
        <v>46678</v>
      </c>
      <c r="B1298" s="167">
        <f>YEAR(Table7[[#This Row],[Date]])+IF(MONTH(Table7[[#This Row],[Date]])&gt;=4,1,0)</f>
        <v>2028</v>
      </c>
      <c r="C1298" s="167">
        <f>YEAR(Table7[[#This Row],[Date]])</f>
        <v>2027</v>
      </c>
      <c r="D1298" s="168">
        <f t="shared" si="62"/>
        <v>46661</v>
      </c>
      <c r="AE1298" s="167">
        <f t="shared" si="63"/>
        <v>0</v>
      </c>
    </row>
    <row r="1299" spans="1:31">
      <c r="A1299" s="197">
        <f t="shared" si="64"/>
        <v>46679</v>
      </c>
      <c r="B1299" s="167">
        <f>YEAR(Table7[[#This Row],[Date]])+IF(MONTH(Table7[[#This Row],[Date]])&gt;=4,1,0)</f>
        <v>2028</v>
      </c>
      <c r="C1299" s="167">
        <f>YEAR(Table7[[#This Row],[Date]])</f>
        <v>2027</v>
      </c>
      <c r="D1299" s="168">
        <f t="shared" si="62"/>
        <v>46661</v>
      </c>
      <c r="AE1299" s="167">
        <f t="shared" si="63"/>
        <v>0</v>
      </c>
    </row>
    <row r="1300" spans="1:31">
      <c r="A1300" s="197">
        <f t="shared" si="64"/>
        <v>46680</v>
      </c>
      <c r="B1300" s="167">
        <f>YEAR(Table7[[#This Row],[Date]])+IF(MONTH(Table7[[#This Row],[Date]])&gt;=4,1,0)</f>
        <v>2028</v>
      </c>
      <c r="C1300" s="167">
        <f>YEAR(Table7[[#This Row],[Date]])</f>
        <v>2027</v>
      </c>
      <c r="D1300" s="168">
        <f t="shared" si="62"/>
        <v>46661</v>
      </c>
      <c r="AE1300" s="167">
        <f t="shared" si="63"/>
        <v>0</v>
      </c>
    </row>
    <row r="1301" spans="1:31">
      <c r="A1301" s="197">
        <f t="shared" si="64"/>
        <v>46681</v>
      </c>
      <c r="B1301" s="167">
        <f>YEAR(Table7[[#This Row],[Date]])+IF(MONTH(Table7[[#This Row],[Date]])&gt;=4,1,0)</f>
        <v>2028</v>
      </c>
      <c r="C1301" s="167">
        <f>YEAR(Table7[[#This Row],[Date]])</f>
        <v>2027</v>
      </c>
      <c r="D1301" s="168">
        <f t="shared" si="62"/>
        <v>46661</v>
      </c>
      <c r="AE1301" s="167">
        <f t="shared" si="63"/>
        <v>0</v>
      </c>
    </row>
    <row r="1302" spans="1:31">
      <c r="A1302" s="197">
        <f t="shared" si="64"/>
        <v>46682</v>
      </c>
      <c r="B1302" s="167">
        <f>YEAR(Table7[[#This Row],[Date]])+IF(MONTH(Table7[[#This Row],[Date]])&gt;=4,1,0)</f>
        <v>2028</v>
      </c>
      <c r="C1302" s="167">
        <f>YEAR(Table7[[#This Row],[Date]])</f>
        <v>2027</v>
      </c>
      <c r="D1302" s="168">
        <f t="shared" si="62"/>
        <v>46661</v>
      </c>
      <c r="AE1302" s="167">
        <f t="shared" si="63"/>
        <v>0</v>
      </c>
    </row>
    <row r="1303" spans="1:31">
      <c r="A1303" s="197">
        <f t="shared" si="64"/>
        <v>46683</v>
      </c>
      <c r="B1303" s="167">
        <f>YEAR(Table7[[#This Row],[Date]])+IF(MONTH(Table7[[#This Row],[Date]])&gt;=4,1,0)</f>
        <v>2028</v>
      </c>
      <c r="C1303" s="167">
        <f>YEAR(Table7[[#This Row],[Date]])</f>
        <v>2027</v>
      </c>
      <c r="D1303" s="168">
        <f t="shared" si="62"/>
        <v>46661</v>
      </c>
      <c r="AE1303" s="167">
        <f t="shared" si="63"/>
        <v>0</v>
      </c>
    </row>
    <row r="1304" spans="1:31">
      <c r="A1304" s="197">
        <f t="shared" si="64"/>
        <v>46684</v>
      </c>
      <c r="B1304" s="167">
        <f>YEAR(Table7[[#This Row],[Date]])+IF(MONTH(Table7[[#This Row],[Date]])&gt;=4,1,0)</f>
        <v>2028</v>
      </c>
      <c r="C1304" s="167">
        <f>YEAR(Table7[[#This Row],[Date]])</f>
        <v>2027</v>
      </c>
      <c r="D1304" s="168">
        <f t="shared" si="62"/>
        <v>46661</v>
      </c>
      <c r="AE1304" s="167">
        <f t="shared" si="63"/>
        <v>0</v>
      </c>
    </row>
    <row r="1305" spans="1:31">
      <c r="A1305" s="197">
        <f t="shared" si="64"/>
        <v>46685</v>
      </c>
      <c r="B1305" s="167">
        <f>YEAR(Table7[[#This Row],[Date]])+IF(MONTH(Table7[[#This Row],[Date]])&gt;=4,1,0)</f>
        <v>2028</v>
      </c>
      <c r="C1305" s="167">
        <f>YEAR(Table7[[#This Row],[Date]])</f>
        <v>2027</v>
      </c>
      <c r="D1305" s="168">
        <f t="shared" si="62"/>
        <v>46661</v>
      </c>
      <c r="AE1305" s="167">
        <f t="shared" si="63"/>
        <v>0</v>
      </c>
    </row>
    <row r="1306" spans="1:31">
      <c r="A1306" s="197">
        <f t="shared" si="64"/>
        <v>46686</v>
      </c>
      <c r="B1306" s="167">
        <f>YEAR(Table7[[#This Row],[Date]])+IF(MONTH(Table7[[#This Row],[Date]])&gt;=4,1,0)</f>
        <v>2028</v>
      </c>
      <c r="C1306" s="167">
        <f>YEAR(Table7[[#This Row],[Date]])</f>
        <v>2027</v>
      </c>
      <c r="D1306" s="168">
        <f t="shared" si="62"/>
        <v>46661</v>
      </c>
      <c r="AE1306" s="167">
        <f t="shared" si="63"/>
        <v>0</v>
      </c>
    </row>
    <row r="1307" spans="1:31">
      <c r="A1307" s="197">
        <f t="shared" si="64"/>
        <v>46687</v>
      </c>
      <c r="B1307" s="167">
        <f>YEAR(Table7[[#This Row],[Date]])+IF(MONTH(Table7[[#This Row],[Date]])&gt;=4,1,0)</f>
        <v>2028</v>
      </c>
      <c r="C1307" s="167">
        <f>YEAR(Table7[[#This Row],[Date]])</f>
        <v>2027</v>
      </c>
      <c r="D1307" s="168">
        <f t="shared" si="62"/>
        <v>46661</v>
      </c>
      <c r="AE1307" s="167">
        <f t="shared" si="63"/>
        <v>0</v>
      </c>
    </row>
    <row r="1308" spans="1:31">
      <c r="A1308" s="197">
        <f t="shared" si="64"/>
        <v>46688</v>
      </c>
      <c r="B1308" s="167">
        <f>YEAR(Table7[[#This Row],[Date]])+IF(MONTH(Table7[[#This Row],[Date]])&gt;=4,1,0)</f>
        <v>2028</v>
      </c>
      <c r="C1308" s="167">
        <f>YEAR(Table7[[#This Row],[Date]])</f>
        <v>2027</v>
      </c>
      <c r="D1308" s="168">
        <f t="shared" si="62"/>
        <v>46661</v>
      </c>
      <c r="AE1308" s="167">
        <f t="shared" si="63"/>
        <v>0</v>
      </c>
    </row>
    <row r="1309" spans="1:31">
      <c r="A1309" s="197">
        <f t="shared" si="64"/>
        <v>46689</v>
      </c>
      <c r="B1309" s="167">
        <f>YEAR(Table7[[#This Row],[Date]])+IF(MONTH(Table7[[#This Row],[Date]])&gt;=4,1,0)</f>
        <v>2028</v>
      </c>
      <c r="C1309" s="167">
        <f>YEAR(Table7[[#This Row],[Date]])</f>
        <v>2027</v>
      </c>
      <c r="D1309" s="168">
        <f t="shared" si="62"/>
        <v>46661</v>
      </c>
      <c r="AE1309" s="167">
        <f t="shared" si="63"/>
        <v>0</v>
      </c>
    </row>
    <row r="1310" spans="1:31">
      <c r="A1310" s="197">
        <f t="shared" si="64"/>
        <v>46690</v>
      </c>
      <c r="B1310" s="167">
        <f>YEAR(Table7[[#This Row],[Date]])+IF(MONTH(Table7[[#This Row],[Date]])&gt;=4,1,0)</f>
        <v>2028</v>
      </c>
      <c r="C1310" s="167">
        <f>YEAR(Table7[[#This Row],[Date]])</f>
        <v>2027</v>
      </c>
      <c r="D1310" s="168">
        <f t="shared" si="62"/>
        <v>46661</v>
      </c>
      <c r="AE1310" s="167">
        <f t="shared" si="63"/>
        <v>0</v>
      </c>
    </row>
    <row r="1311" spans="1:31">
      <c r="A1311" s="197">
        <f t="shared" si="64"/>
        <v>46691</v>
      </c>
      <c r="B1311" s="167">
        <f>YEAR(Table7[[#This Row],[Date]])+IF(MONTH(Table7[[#This Row],[Date]])&gt;=4,1,0)</f>
        <v>2028</v>
      </c>
      <c r="C1311" s="167">
        <f>YEAR(Table7[[#This Row],[Date]])</f>
        <v>2027</v>
      </c>
      <c r="D1311" s="168">
        <f t="shared" si="62"/>
        <v>46661</v>
      </c>
      <c r="AE1311" s="167">
        <f t="shared" si="63"/>
        <v>0</v>
      </c>
    </row>
    <row r="1312" spans="1:31">
      <c r="A1312" s="197">
        <f t="shared" si="64"/>
        <v>46692</v>
      </c>
      <c r="B1312" s="167">
        <f>YEAR(Table7[[#This Row],[Date]])+IF(MONTH(Table7[[#This Row],[Date]])&gt;=4,1,0)</f>
        <v>2028</v>
      </c>
      <c r="C1312" s="167">
        <f>YEAR(Table7[[#This Row],[Date]])</f>
        <v>2027</v>
      </c>
      <c r="D1312" s="168">
        <f t="shared" si="62"/>
        <v>46692</v>
      </c>
      <c r="AE1312" s="167">
        <f t="shared" si="63"/>
        <v>0</v>
      </c>
    </row>
    <row r="1313" spans="1:31">
      <c r="A1313" s="197">
        <f t="shared" si="64"/>
        <v>46693</v>
      </c>
      <c r="B1313" s="167">
        <f>YEAR(Table7[[#This Row],[Date]])+IF(MONTH(Table7[[#This Row],[Date]])&gt;=4,1,0)</f>
        <v>2028</v>
      </c>
      <c r="C1313" s="167">
        <f>YEAR(Table7[[#This Row],[Date]])</f>
        <v>2027</v>
      </c>
      <c r="D1313" s="168">
        <f t="shared" si="62"/>
        <v>46692</v>
      </c>
      <c r="AE1313" s="167">
        <f t="shared" si="63"/>
        <v>0</v>
      </c>
    </row>
    <row r="1314" spans="1:31">
      <c r="A1314" s="197">
        <f t="shared" si="64"/>
        <v>46694</v>
      </c>
      <c r="B1314" s="167">
        <f>YEAR(Table7[[#This Row],[Date]])+IF(MONTH(Table7[[#This Row],[Date]])&gt;=4,1,0)</f>
        <v>2028</v>
      </c>
      <c r="C1314" s="167">
        <f>YEAR(Table7[[#This Row],[Date]])</f>
        <v>2027</v>
      </c>
      <c r="D1314" s="168">
        <f t="shared" si="62"/>
        <v>46692</v>
      </c>
      <c r="AE1314" s="167">
        <f t="shared" si="63"/>
        <v>0</v>
      </c>
    </row>
    <row r="1315" spans="1:31">
      <c r="A1315" s="197">
        <f t="shared" si="64"/>
        <v>46695</v>
      </c>
      <c r="B1315" s="167">
        <f>YEAR(Table7[[#This Row],[Date]])+IF(MONTH(Table7[[#This Row],[Date]])&gt;=4,1,0)</f>
        <v>2028</v>
      </c>
      <c r="C1315" s="167">
        <f>YEAR(Table7[[#This Row],[Date]])</f>
        <v>2027</v>
      </c>
      <c r="D1315" s="168">
        <f t="shared" si="62"/>
        <v>46692</v>
      </c>
      <c r="AE1315" s="167">
        <f t="shared" si="63"/>
        <v>0</v>
      </c>
    </row>
    <row r="1316" spans="1:31">
      <c r="A1316" s="197">
        <f t="shared" si="64"/>
        <v>46696</v>
      </c>
      <c r="B1316" s="167">
        <f>YEAR(Table7[[#This Row],[Date]])+IF(MONTH(Table7[[#This Row],[Date]])&gt;=4,1,0)</f>
        <v>2028</v>
      </c>
      <c r="C1316" s="167">
        <f>YEAR(Table7[[#This Row],[Date]])</f>
        <v>2027</v>
      </c>
      <c r="D1316" s="168">
        <f t="shared" si="62"/>
        <v>46692</v>
      </c>
      <c r="AE1316" s="167">
        <f t="shared" si="63"/>
        <v>0</v>
      </c>
    </row>
    <row r="1317" spans="1:31">
      <c r="A1317" s="197">
        <f t="shared" si="64"/>
        <v>46697</v>
      </c>
      <c r="B1317" s="167">
        <f>YEAR(Table7[[#This Row],[Date]])+IF(MONTH(Table7[[#This Row],[Date]])&gt;=4,1,0)</f>
        <v>2028</v>
      </c>
      <c r="C1317" s="167">
        <f>YEAR(Table7[[#This Row],[Date]])</f>
        <v>2027</v>
      </c>
      <c r="D1317" s="168">
        <f t="shared" si="62"/>
        <v>46692</v>
      </c>
      <c r="AE1317" s="167">
        <f t="shared" si="63"/>
        <v>0</v>
      </c>
    </row>
    <row r="1318" spans="1:31">
      <c r="A1318" s="197">
        <f t="shared" si="64"/>
        <v>46698</v>
      </c>
      <c r="B1318" s="167">
        <f>YEAR(Table7[[#This Row],[Date]])+IF(MONTH(Table7[[#This Row],[Date]])&gt;=4,1,0)</f>
        <v>2028</v>
      </c>
      <c r="C1318" s="167">
        <f>YEAR(Table7[[#This Row],[Date]])</f>
        <v>2027</v>
      </c>
      <c r="D1318" s="168">
        <f t="shared" si="62"/>
        <v>46692</v>
      </c>
      <c r="AE1318" s="167">
        <f t="shared" si="63"/>
        <v>0</v>
      </c>
    </row>
    <row r="1319" spans="1:31">
      <c r="A1319" s="197">
        <f t="shared" si="64"/>
        <v>46699</v>
      </c>
      <c r="B1319" s="167">
        <f>YEAR(Table7[[#This Row],[Date]])+IF(MONTH(Table7[[#This Row],[Date]])&gt;=4,1,0)</f>
        <v>2028</v>
      </c>
      <c r="C1319" s="167">
        <f>YEAR(Table7[[#This Row],[Date]])</f>
        <v>2027</v>
      </c>
      <c r="D1319" s="168">
        <f t="shared" si="62"/>
        <v>46692</v>
      </c>
      <c r="AE1319" s="167">
        <f t="shared" si="63"/>
        <v>0</v>
      </c>
    </row>
    <row r="1320" spans="1:31">
      <c r="A1320" s="197">
        <f t="shared" si="64"/>
        <v>46700</v>
      </c>
      <c r="B1320" s="167">
        <f>YEAR(Table7[[#This Row],[Date]])+IF(MONTH(Table7[[#This Row],[Date]])&gt;=4,1,0)</f>
        <v>2028</v>
      </c>
      <c r="C1320" s="167">
        <f>YEAR(Table7[[#This Row],[Date]])</f>
        <v>2027</v>
      </c>
      <c r="D1320" s="168">
        <f t="shared" si="62"/>
        <v>46692</v>
      </c>
      <c r="AE1320" s="167">
        <f t="shared" si="63"/>
        <v>0</v>
      </c>
    </row>
    <row r="1321" spans="1:31">
      <c r="A1321" s="197">
        <f t="shared" si="64"/>
        <v>46701</v>
      </c>
      <c r="B1321" s="167">
        <f>YEAR(Table7[[#This Row],[Date]])+IF(MONTH(Table7[[#This Row],[Date]])&gt;=4,1,0)</f>
        <v>2028</v>
      </c>
      <c r="C1321" s="167">
        <f>YEAR(Table7[[#This Row],[Date]])</f>
        <v>2027</v>
      </c>
      <c r="D1321" s="168">
        <f t="shared" si="62"/>
        <v>46692</v>
      </c>
      <c r="AE1321" s="167">
        <f t="shared" si="63"/>
        <v>0</v>
      </c>
    </row>
    <row r="1322" spans="1:31">
      <c r="A1322" s="197">
        <f t="shared" si="64"/>
        <v>46702</v>
      </c>
      <c r="B1322" s="167">
        <f>YEAR(Table7[[#This Row],[Date]])+IF(MONTH(Table7[[#This Row],[Date]])&gt;=4,1,0)</f>
        <v>2028</v>
      </c>
      <c r="C1322" s="167">
        <f>YEAR(Table7[[#This Row],[Date]])</f>
        <v>2027</v>
      </c>
      <c r="D1322" s="168">
        <f t="shared" si="62"/>
        <v>46692</v>
      </c>
      <c r="AE1322" s="167">
        <f t="shared" si="63"/>
        <v>0</v>
      </c>
    </row>
    <row r="1323" spans="1:31">
      <c r="A1323" s="197">
        <f t="shared" si="64"/>
        <v>46703</v>
      </c>
      <c r="B1323" s="167">
        <f>YEAR(Table7[[#This Row],[Date]])+IF(MONTH(Table7[[#This Row],[Date]])&gt;=4,1,0)</f>
        <v>2028</v>
      </c>
      <c r="C1323" s="167">
        <f>YEAR(Table7[[#This Row],[Date]])</f>
        <v>2027</v>
      </c>
      <c r="D1323" s="168">
        <f t="shared" si="62"/>
        <v>46692</v>
      </c>
      <c r="AE1323" s="167">
        <f t="shared" si="63"/>
        <v>0</v>
      </c>
    </row>
    <row r="1324" spans="1:31">
      <c r="A1324" s="197">
        <f t="shared" si="64"/>
        <v>46704</v>
      </c>
      <c r="B1324" s="167">
        <f>YEAR(Table7[[#This Row],[Date]])+IF(MONTH(Table7[[#This Row],[Date]])&gt;=4,1,0)</f>
        <v>2028</v>
      </c>
      <c r="C1324" s="167">
        <f>YEAR(Table7[[#This Row],[Date]])</f>
        <v>2027</v>
      </c>
      <c r="D1324" s="168">
        <f t="shared" si="62"/>
        <v>46692</v>
      </c>
      <c r="AE1324" s="167">
        <f t="shared" si="63"/>
        <v>0</v>
      </c>
    </row>
    <row r="1325" spans="1:31">
      <c r="A1325" s="197">
        <f t="shared" si="64"/>
        <v>46705</v>
      </c>
      <c r="B1325" s="167">
        <f>YEAR(Table7[[#This Row],[Date]])+IF(MONTH(Table7[[#This Row],[Date]])&gt;=4,1,0)</f>
        <v>2028</v>
      </c>
      <c r="C1325" s="167">
        <f>YEAR(Table7[[#This Row],[Date]])</f>
        <v>2027</v>
      </c>
      <c r="D1325" s="168">
        <f t="shared" si="62"/>
        <v>46692</v>
      </c>
      <c r="AE1325" s="167">
        <f t="shared" si="63"/>
        <v>0</v>
      </c>
    </row>
    <row r="1326" spans="1:31">
      <c r="A1326" s="197">
        <f t="shared" si="64"/>
        <v>46706</v>
      </c>
      <c r="B1326" s="167">
        <f>YEAR(Table7[[#This Row],[Date]])+IF(MONTH(Table7[[#This Row],[Date]])&gt;=4,1,0)</f>
        <v>2028</v>
      </c>
      <c r="C1326" s="167">
        <f>YEAR(Table7[[#This Row],[Date]])</f>
        <v>2027</v>
      </c>
      <c r="D1326" s="168">
        <f t="shared" si="62"/>
        <v>46692</v>
      </c>
      <c r="AE1326" s="167">
        <f t="shared" si="63"/>
        <v>0</v>
      </c>
    </row>
    <row r="1327" spans="1:31">
      <c r="A1327" s="197">
        <f t="shared" si="64"/>
        <v>46707</v>
      </c>
      <c r="B1327" s="167">
        <f>YEAR(Table7[[#This Row],[Date]])+IF(MONTH(Table7[[#This Row],[Date]])&gt;=4,1,0)</f>
        <v>2028</v>
      </c>
      <c r="C1327" s="167">
        <f>YEAR(Table7[[#This Row],[Date]])</f>
        <v>2027</v>
      </c>
      <c r="D1327" s="168">
        <f t="shared" si="62"/>
        <v>46692</v>
      </c>
      <c r="AE1327" s="167">
        <f t="shared" si="63"/>
        <v>0</v>
      </c>
    </row>
    <row r="1328" spans="1:31">
      <c r="A1328" s="197">
        <f t="shared" si="64"/>
        <v>46708</v>
      </c>
      <c r="B1328" s="167">
        <f>YEAR(Table7[[#This Row],[Date]])+IF(MONTH(Table7[[#This Row],[Date]])&gt;=4,1,0)</f>
        <v>2028</v>
      </c>
      <c r="C1328" s="167">
        <f>YEAR(Table7[[#This Row],[Date]])</f>
        <v>2027</v>
      </c>
      <c r="D1328" s="168">
        <f t="shared" si="62"/>
        <v>46692</v>
      </c>
      <c r="AE1328" s="167">
        <f t="shared" si="63"/>
        <v>0</v>
      </c>
    </row>
    <row r="1329" spans="1:31">
      <c r="A1329" s="197">
        <f t="shared" si="64"/>
        <v>46709</v>
      </c>
      <c r="B1329" s="167">
        <f>YEAR(Table7[[#This Row],[Date]])+IF(MONTH(Table7[[#This Row],[Date]])&gt;=4,1,0)</f>
        <v>2028</v>
      </c>
      <c r="C1329" s="167">
        <f>YEAR(Table7[[#This Row],[Date]])</f>
        <v>2027</v>
      </c>
      <c r="D1329" s="168">
        <f t="shared" si="62"/>
        <v>46692</v>
      </c>
      <c r="AE1329" s="167">
        <f t="shared" si="63"/>
        <v>0</v>
      </c>
    </row>
    <row r="1330" spans="1:31">
      <c r="A1330" s="197">
        <f t="shared" si="64"/>
        <v>46710</v>
      </c>
      <c r="B1330" s="167">
        <f>YEAR(Table7[[#This Row],[Date]])+IF(MONTH(Table7[[#This Row],[Date]])&gt;=4,1,0)</f>
        <v>2028</v>
      </c>
      <c r="C1330" s="167">
        <f>YEAR(Table7[[#This Row],[Date]])</f>
        <v>2027</v>
      </c>
      <c r="D1330" s="168">
        <f t="shared" si="62"/>
        <v>46692</v>
      </c>
      <c r="AE1330" s="167">
        <f t="shared" si="63"/>
        <v>0</v>
      </c>
    </row>
    <row r="1331" spans="1:31">
      <c r="A1331" s="197">
        <f t="shared" si="64"/>
        <v>46711</v>
      </c>
      <c r="B1331" s="167">
        <f>YEAR(Table7[[#This Row],[Date]])+IF(MONTH(Table7[[#This Row],[Date]])&gt;=4,1,0)</f>
        <v>2028</v>
      </c>
      <c r="C1331" s="167">
        <f>YEAR(Table7[[#This Row],[Date]])</f>
        <v>2027</v>
      </c>
      <c r="D1331" s="168">
        <f t="shared" si="62"/>
        <v>46692</v>
      </c>
      <c r="AE1331" s="167">
        <f t="shared" si="63"/>
        <v>0</v>
      </c>
    </row>
    <row r="1332" spans="1:31">
      <c r="A1332" s="197">
        <f t="shared" si="64"/>
        <v>46712</v>
      </c>
      <c r="B1332" s="167">
        <f>YEAR(Table7[[#This Row],[Date]])+IF(MONTH(Table7[[#This Row],[Date]])&gt;=4,1,0)</f>
        <v>2028</v>
      </c>
      <c r="C1332" s="167">
        <f>YEAR(Table7[[#This Row],[Date]])</f>
        <v>2027</v>
      </c>
      <c r="D1332" s="168">
        <f t="shared" si="62"/>
        <v>46692</v>
      </c>
      <c r="AE1332" s="167">
        <f t="shared" si="63"/>
        <v>0</v>
      </c>
    </row>
    <row r="1333" spans="1:31">
      <c r="A1333" s="197">
        <f t="shared" si="64"/>
        <v>46713</v>
      </c>
      <c r="B1333" s="167">
        <f>YEAR(Table7[[#This Row],[Date]])+IF(MONTH(Table7[[#This Row],[Date]])&gt;=4,1,0)</f>
        <v>2028</v>
      </c>
      <c r="C1333" s="167">
        <f>YEAR(Table7[[#This Row],[Date]])</f>
        <v>2027</v>
      </c>
      <c r="D1333" s="168">
        <f t="shared" si="62"/>
        <v>46692</v>
      </c>
      <c r="AE1333" s="167">
        <f t="shared" si="63"/>
        <v>0</v>
      </c>
    </row>
    <row r="1334" spans="1:31">
      <c r="A1334" s="197">
        <f t="shared" si="64"/>
        <v>46714</v>
      </c>
      <c r="B1334" s="167">
        <f>YEAR(Table7[[#This Row],[Date]])+IF(MONTH(Table7[[#This Row],[Date]])&gt;=4,1,0)</f>
        <v>2028</v>
      </c>
      <c r="C1334" s="167">
        <f>YEAR(Table7[[#This Row],[Date]])</f>
        <v>2027</v>
      </c>
      <c r="D1334" s="168">
        <f t="shared" si="62"/>
        <v>46692</v>
      </c>
      <c r="AE1334" s="167">
        <f t="shared" si="63"/>
        <v>0</v>
      </c>
    </row>
    <row r="1335" spans="1:31">
      <c r="A1335" s="197">
        <f t="shared" si="64"/>
        <v>46715</v>
      </c>
      <c r="B1335" s="167">
        <f>YEAR(Table7[[#This Row],[Date]])+IF(MONTH(Table7[[#This Row],[Date]])&gt;=4,1,0)</f>
        <v>2028</v>
      </c>
      <c r="C1335" s="167">
        <f>YEAR(Table7[[#This Row],[Date]])</f>
        <v>2027</v>
      </c>
      <c r="D1335" s="168">
        <f t="shared" si="62"/>
        <v>46692</v>
      </c>
      <c r="AE1335" s="167">
        <f t="shared" si="63"/>
        <v>0</v>
      </c>
    </row>
    <row r="1336" spans="1:31">
      <c r="A1336" s="197">
        <f t="shared" si="64"/>
        <v>46716</v>
      </c>
      <c r="B1336" s="167">
        <f>YEAR(Table7[[#This Row],[Date]])+IF(MONTH(Table7[[#This Row],[Date]])&gt;=4,1,0)</f>
        <v>2028</v>
      </c>
      <c r="C1336" s="167">
        <f>YEAR(Table7[[#This Row],[Date]])</f>
        <v>2027</v>
      </c>
      <c r="D1336" s="168">
        <f t="shared" si="62"/>
        <v>46692</v>
      </c>
      <c r="AE1336" s="167">
        <f t="shared" si="63"/>
        <v>0</v>
      </c>
    </row>
    <row r="1337" spans="1:31">
      <c r="A1337" s="197">
        <f t="shared" si="64"/>
        <v>46717</v>
      </c>
      <c r="B1337" s="167">
        <f>YEAR(Table7[[#This Row],[Date]])+IF(MONTH(Table7[[#This Row],[Date]])&gt;=4,1,0)</f>
        <v>2028</v>
      </c>
      <c r="C1337" s="167">
        <f>YEAR(Table7[[#This Row],[Date]])</f>
        <v>2027</v>
      </c>
      <c r="D1337" s="168">
        <f t="shared" si="62"/>
        <v>46692</v>
      </c>
      <c r="AE1337" s="167">
        <f t="shared" si="63"/>
        <v>0</v>
      </c>
    </row>
    <row r="1338" spans="1:31">
      <c r="A1338" s="197">
        <f t="shared" si="64"/>
        <v>46718</v>
      </c>
      <c r="B1338" s="167">
        <f>YEAR(Table7[[#This Row],[Date]])+IF(MONTH(Table7[[#This Row],[Date]])&gt;=4,1,0)</f>
        <v>2028</v>
      </c>
      <c r="C1338" s="167">
        <f>YEAR(Table7[[#This Row],[Date]])</f>
        <v>2027</v>
      </c>
      <c r="D1338" s="168">
        <f t="shared" si="62"/>
        <v>46692</v>
      </c>
      <c r="AE1338" s="167">
        <f t="shared" si="63"/>
        <v>0</v>
      </c>
    </row>
    <row r="1339" spans="1:31">
      <c r="A1339" s="197">
        <f t="shared" si="64"/>
        <v>46719</v>
      </c>
      <c r="B1339" s="167">
        <f>YEAR(Table7[[#This Row],[Date]])+IF(MONTH(Table7[[#This Row],[Date]])&gt;=4,1,0)</f>
        <v>2028</v>
      </c>
      <c r="C1339" s="167">
        <f>YEAR(Table7[[#This Row],[Date]])</f>
        <v>2027</v>
      </c>
      <c r="D1339" s="168">
        <f t="shared" si="62"/>
        <v>46692</v>
      </c>
      <c r="AE1339" s="167">
        <f t="shared" si="63"/>
        <v>0</v>
      </c>
    </row>
    <row r="1340" spans="1:31">
      <c r="A1340" s="197">
        <f t="shared" si="64"/>
        <v>46720</v>
      </c>
      <c r="B1340" s="167">
        <f>YEAR(Table7[[#This Row],[Date]])+IF(MONTH(Table7[[#This Row],[Date]])&gt;=4,1,0)</f>
        <v>2028</v>
      </c>
      <c r="C1340" s="167">
        <f>YEAR(Table7[[#This Row],[Date]])</f>
        <v>2027</v>
      </c>
      <c r="D1340" s="168">
        <f t="shared" si="62"/>
        <v>46692</v>
      </c>
      <c r="AE1340" s="167">
        <f t="shared" si="63"/>
        <v>0</v>
      </c>
    </row>
    <row r="1341" spans="1:31">
      <c r="A1341" s="197">
        <f t="shared" si="64"/>
        <v>46721</v>
      </c>
      <c r="B1341" s="167">
        <f>YEAR(Table7[[#This Row],[Date]])+IF(MONTH(Table7[[#This Row],[Date]])&gt;=4,1,0)</f>
        <v>2028</v>
      </c>
      <c r="C1341" s="167">
        <f>YEAR(Table7[[#This Row],[Date]])</f>
        <v>2027</v>
      </c>
      <c r="D1341" s="168">
        <f t="shared" si="62"/>
        <v>46692</v>
      </c>
      <c r="AE1341" s="167">
        <f t="shared" si="63"/>
        <v>0</v>
      </c>
    </row>
    <row r="1342" spans="1:31">
      <c r="A1342" s="197">
        <f t="shared" si="64"/>
        <v>46722</v>
      </c>
      <c r="B1342" s="167">
        <f>YEAR(Table7[[#This Row],[Date]])+IF(MONTH(Table7[[#This Row],[Date]])&gt;=4,1,0)</f>
        <v>2028</v>
      </c>
      <c r="C1342" s="167">
        <f>YEAR(Table7[[#This Row],[Date]])</f>
        <v>2027</v>
      </c>
      <c r="D1342" s="168">
        <f t="shared" si="62"/>
        <v>46722</v>
      </c>
      <c r="AE1342" s="167">
        <f t="shared" si="63"/>
        <v>0</v>
      </c>
    </row>
    <row r="1343" spans="1:31">
      <c r="A1343" s="197">
        <f t="shared" si="64"/>
        <v>46723</v>
      </c>
      <c r="B1343" s="167">
        <f>YEAR(Table7[[#This Row],[Date]])+IF(MONTH(Table7[[#This Row],[Date]])&gt;=4,1,0)</f>
        <v>2028</v>
      </c>
      <c r="C1343" s="167">
        <f>YEAR(Table7[[#This Row],[Date]])</f>
        <v>2027</v>
      </c>
      <c r="D1343" s="168">
        <f t="shared" si="62"/>
        <v>46722</v>
      </c>
      <c r="AE1343" s="167">
        <f t="shared" si="63"/>
        <v>0</v>
      </c>
    </row>
    <row r="1344" spans="1:31">
      <c r="A1344" s="197">
        <f t="shared" si="64"/>
        <v>46724</v>
      </c>
      <c r="B1344" s="167">
        <f>YEAR(Table7[[#This Row],[Date]])+IF(MONTH(Table7[[#This Row],[Date]])&gt;=4,1,0)</f>
        <v>2028</v>
      </c>
      <c r="C1344" s="167">
        <f>YEAR(Table7[[#This Row],[Date]])</f>
        <v>2027</v>
      </c>
      <c r="D1344" s="168">
        <f t="shared" si="62"/>
        <v>46722</v>
      </c>
      <c r="AE1344" s="167">
        <f t="shared" si="63"/>
        <v>0</v>
      </c>
    </row>
    <row r="1345" spans="1:31">
      <c r="A1345" s="197">
        <f t="shared" si="64"/>
        <v>46725</v>
      </c>
      <c r="B1345" s="167">
        <f>YEAR(Table7[[#This Row],[Date]])+IF(MONTH(Table7[[#This Row],[Date]])&gt;=4,1,0)</f>
        <v>2028</v>
      </c>
      <c r="C1345" s="167">
        <f>YEAR(Table7[[#This Row],[Date]])</f>
        <v>2027</v>
      </c>
      <c r="D1345" s="168">
        <f t="shared" si="62"/>
        <v>46722</v>
      </c>
      <c r="AE1345" s="167">
        <f t="shared" si="63"/>
        <v>0</v>
      </c>
    </row>
    <row r="1346" spans="1:31">
      <c r="A1346" s="197">
        <f t="shared" si="64"/>
        <v>46726</v>
      </c>
      <c r="B1346" s="167">
        <f>YEAR(Table7[[#This Row],[Date]])+IF(MONTH(Table7[[#This Row],[Date]])&gt;=4,1,0)</f>
        <v>2028</v>
      </c>
      <c r="C1346" s="167">
        <f>YEAR(Table7[[#This Row],[Date]])</f>
        <v>2027</v>
      </c>
      <c r="D1346" s="168">
        <f t="shared" si="62"/>
        <v>46722</v>
      </c>
      <c r="AE1346" s="167">
        <f t="shared" si="63"/>
        <v>0</v>
      </c>
    </row>
    <row r="1347" spans="1:31">
      <c r="A1347" s="197">
        <f t="shared" si="64"/>
        <v>46727</v>
      </c>
      <c r="B1347" s="167">
        <f>YEAR(Table7[[#This Row],[Date]])+IF(MONTH(Table7[[#This Row],[Date]])&gt;=4,1,0)</f>
        <v>2028</v>
      </c>
      <c r="C1347" s="167">
        <f>YEAR(Table7[[#This Row],[Date]])</f>
        <v>2027</v>
      </c>
      <c r="D1347" s="168">
        <f t="shared" ref="D1347:D1410" si="65">A1347-DAY(A1347)+1</f>
        <v>46722</v>
      </c>
      <c r="AE1347" s="167">
        <f t="shared" ref="AE1347:AE1410" si="66">SUM(E1347:AD1347)</f>
        <v>0</v>
      </c>
    </row>
    <row r="1348" spans="1:31">
      <c r="A1348" s="197">
        <f t="shared" si="64"/>
        <v>46728</v>
      </c>
      <c r="B1348" s="167">
        <f>YEAR(Table7[[#This Row],[Date]])+IF(MONTH(Table7[[#This Row],[Date]])&gt;=4,1,0)</f>
        <v>2028</v>
      </c>
      <c r="C1348" s="167">
        <f>YEAR(Table7[[#This Row],[Date]])</f>
        <v>2027</v>
      </c>
      <c r="D1348" s="168">
        <f t="shared" si="65"/>
        <v>46722</v>
      </c>
      <c r="AE1348" s="167">
        <f t="shared" si="66"/>
        <v>0</v>
      </c>
    </row>
    <row r="1349" spans="1:31">
      <c r="A1349" s="197">
        <f t="shared" ref="A1349:A1412" si="67">A1348+1</f>
        <v>46729</v>
      </c>
      <c r="B1349" s="167">
        <f>YEAR(Table7[[#This Row],[Date]])+IF(MONTH(Table7[[#This Row],[Date]])&gt;=4,1,0)</f>
        <v>2028</v>
      </c>
      <c r="C1349" s="167">
        <f>YEAR(Table7[[#This Row],[Date]])</f>
        <v>2027</v>
      </c>
      <c r="D1349" s="168">
        <f t="shared" si="65"/>
        <v>46722</v>
      </c>
      <c r="AE1349" s="167">
        <f t="shared" si="66"/>
        <v>0</v>
      </c>
    </row>
    <row r="1350" spans="1:31">
      <c r="A1350" s="197">
        <f t="shared" si="67"/>
        <v>46730</v>
      </c>
      <c r="B1350" s="167">
        <f>YEAR(Table7[[#This Row],[Date]])+IF(MONTH(Table7[[#This Row],[Date]])&gt;=4,1,0)</f>
        <v>2028</v>
      </c>
      <c r="C1350" s="167">
        <f>YEAR(Table7[[#This Row],[Date]])</f>
        <v>2027</v>
      </c>
      <c r="D1350" s="168">
        <f t="shared" si="65"/>
        <v>46722</v>
      </c>
      <c r="AE1350" s="167">
        <f t="shared" si="66"/>
        <v>0</v>
      </c>
    </row>
    <row r="1351" spans="1:31">
      <c r="A1351" s="197">
        <f t="shared" si="67"/>
        <v>46731</v>
      </c>
      <c r="B1351" s="167">
        <f>YEAR(Table7[[#This Row],[Date]])+IF(MONTH(Table7[[#This Row],[Date]])&gt;=4,1,0)</f>
        <v>2028</v>
      </c>
      <c r="C1351" s="167">
        <f>YEAR(Table7[[#This Row],[Date]])</f>
        <v>2027</v>
      </c>
      <c r="D1351" s="168">
        <f t="shared" si="65"/>
        <v>46722</v>
      </c>
      <c r="AE1351" s="167">
        <f t="shared" si="66"/>
        <v>0</v>
      </c>
    </row>
    <row r="1352" spans="1:31">
      <c r="A1352" s="197">
        <f t="shared" si="67"/>
        <v>46732</v>
      </c>
      <c r="B1352" s="167">
        <f>YEAR(Table7[[#This Row],[Date]])+IF(MONTH(Table7[[#This Row],[Date]])&gt;=4,1,0)</f>
        <v>2028</v>
      </c>
      <c r="C1352" s="167">
        <f>YEAR(Table7[[#This Row],[Date]])</f>
        <v>2027</v>
      </c>
      <c r="D1352" s="168">
        <f t="shared" si="65"/>
        <v>46722</v>
      </c>
      <c r="AE1352" s="167">
        <f t="shared" si="66"/>
        <v>0</v>
      </c>
    </row>
    <row r="1353" spans="1:31">
      <c r="A1353" s="197">
        <f t="shared" si="67"/>
        <v>46733</v>
      </c>
      <c r="B1353" s="167">
        <f>YEAR(Table7[[#This Row],[Date]])+IF(MONTH(Table7[[#This Row],[Date]])&gt;=4,1,0)</f>
        <v>2028</v>
      </c>
      <c r="C1353" s="167">
        <f>YEAR(Table7[[#This Row],[Date]])</f>
        <v>2027</v>
      </c>
      <c r="D1353" s="168">
        <f t="shared" si="65"/>
        <v>46722</v>
      </c>
      <c r="AE1353" s="167">
        <f t="shared" si="66"/>
        <v>0</v>
      </c>
    </row>
    <row r="1354" spans="1:31">
      <c r="A1354" s="197">
        <f t="shared" si="67"/>
        <v>46734</v>
      </c>
      <c r="B1354" s="167">
        <f>YEAR(Table7[[#This Row],[Date]])+IF(MONTH(Table7[[#This Row],[Date]])&gt;=4,1,0)</f>
        <v>2028</v>
      </c>
      <c r="C1354" s="167">
        <f>YEAR(Table7[[#This Row],[Date]])</f>
        <v>2027</v>
      </c>
      <c r="D1354" s="168">
        <f t="shared" si="65"/>
        <v>46722</v>
      </c>
      <c r="AE1354" s="167">
        <f t="shared" si="66"/>
        <v>0</v>
      </c>
    </row>
    <row r="1355" spans="1:31">
      <c r="A1355" s="197">
        <f t="shared" si="67"/>
        <v>46735</v>
      </c>
      <c r="B1355" s="167">
        <f>YEAR(Table7[[#This Row],[Date]])+IF(MONTH(Table7[[#This Row],[Date]])&gt;=4,1,0)</f>
        <v>2028</v>
      </c>
      <c r="C1355" s="167">
        <f>YEAR(Table7[[#This Row],[Date]])</f>
        <v>2027</v>
      </c>
      <c r="D1355" s="168">
        <f t="shared" si="65"/>
        <v>46722</v>
      </c>
      <c r="AE1355" s="167">
        <f t="shared" si="66"/>
        <v>0</v>
      </c>
    </row>
    <row r="1356" spans="1:31">
      <c r="A1356" s="197">
        <f t="shared" si="67"/>
        <v>46736</v>
      </c>
      <c r="B1356" s="167">
        <f>YEAR(Table7[[#This Row],[Date]])+IF(MONTH(Table7[[#This Row],[Date]])&gt;=4,1,0)</f>
        <v>2028</v>
      </c>
      <c r="C1356" s="167">
        <f>YEAR(Table7[[#This Row],[Date]])</f>
        <v>2027</v>
      </c>
      <c r="D1356" s="168">
        <f t="shared" si="65"/>
        <v>46722</v>
      </c>
      <c r="AE1356" s="167">
        <f t="shared" si="66"/>
        <v>0</v>
      </c>
    </row>
    <row r="1357" spans="1:31">
      <c r="A1357" s="197">
        <f t="shared" si="67"/>
        <v>46737</v>
      </c>
      <c r="B1357" s="167">
        <f>YEAR(Table7[[#This Row],[Date]])+IF(MONTH(Table7[[#This Row],[Date]])&gt;=4,1,0)</f>
        <v>2028</v>
      </c>
      <c r="C1357" s="167">
        <f>YEAR(Table7[[#This Row],[Date]])</f>
        <v>2027</v>
      </c>
      <c r="D1357" s="168">
        <f t="shared" si="65"/>
        <v>46722</v>
      </c>
      <c r="AE1357" s="167">
        <f t="shared" si="66"/>
        <v>0</v>
      </c>
    </row>
    <row r="1358" spans="1:31">
      <c r="A1358" s="197">
        <f t="shared" si="67"/>
        <v>46738</v>
      </c>
      <c r="B1358" s="167">
        <f>YEAR(Table7[[#This Row],[Date]])+IF(MONTH(Table7[[#This Row],[Date]])&gt;=4,1,0)</f>
        <v>2028</v>
      </c>
      <c r="C1358" s="167">
        <f>YEAR(Table7[[#This Row],[Date]])</f>
        <v>2027</v>
      </c>
      <c r="D1358" s="168">
        <f t="shared" si="65"/>
        <v>46722</v>
      </c>
      <c r="AE1358" s="167">
        <f t="shared" si="66"/>
        <v>0</v>
      </c>
    </row>
    <row r="1359" spans="1:31">
      <c r="A1359" s="197">
        <f t="shared" si="67"/>
        <v>46739</v>
      </c>
      <c r="B1359" s="167">
        <f>YEAR(Table7[[#This Row],[Date]])+IF(MONTH(Table7[[#This Row],[Date]])&gt;=4,1,0)</f>
        <v>2028</v>
      </c>
      <c r="C1359" s="167">
        <f>YEAR(Table7[[#This Row],[Date]])</f>
        <v>2027</v>
      </c>
      <c r="D1359" s="168">
        <f t="shared" si="65"/>
        <v>46722</v>
      </c>
      <c r="AE1359" s="167">
        <f t="shared" si="66"/>
        <v>0</v>
      </c>
    </row>
    <row r="1360" spans="1:31">
      <c r="A1360" s="197">
        <f t="shared" si="67"/>
        <v>46740</v>
      </c>
      <c r="B1360" s="167">
        <f>YEAR(Table7[[#This Row],[Date]])+IF(MONTH(Table7[[#This Row],[Date]])&gt;=4,1,0)</f>
        <v>2028</v>
      </c>
      <c r="C1360" s="167">
        <f>YEAR(Table7[[#This Row],[Date]])</f>
        <v>2027</v>
      </c>
      <c r="D1360" s="168">
        <f t="shared" si="65"/>
        <v>46722</v>
      </c>
      <c r="AE1360" s="167">
        <f t="shared" si="66"/>
        <v>0</v>
      </c>
    </row>
    <row r="1361" spans="1:31">
      <c r="A1361" s="197">
        <f t="shared" si="67"/>
        <v>46741</v>
      </c>
      <c r="B1361" s="167">
        <f>YEAR(Table7[[#This Row],[Date]])+IF(MONTH(Table7[[#This Row],[Date]])&gt;=4,1,0)</f>
        <v>2028</v>
      </c>
      <c r="C1361" s="167">
        <f>YEAR(Table7[[#This Row],[Date]])</f>
        <v>2027</v>
      </c>
      <c r="D1361" s="168">
        <f t="shared" si="65"/>
        <v>46722</v>
      </c>
      <c r="AE1361" s="167">
        <f t="shared" si="66"/>
        <v>0</v>
      </c>
    </row>
    <row r="1362" spans="1:31">
      <c r="A1362" s="197">
        <f t="shared" si="67"/>
        <v>46742</v>
      </c>
      <c r="B1362" s="167">
        <f>YEAR(Table7[[#This Row],[Date]])+IF(MONTH(Table7[[#This Row],[Date]])&gt;=4,1,0)</f>
        <v>2028</v>
      </c>
      <c r="C1362" s="167">
        <f>YEAR(Table7[[#This Row],[Date]])</f>
        <v>2027</v>
      </c>
      <c r="D1362" s="168">
        <f t="shared" si="65"/>
        <v>46722</v>
      </c>
      <c r="AE1362" s="167">
        <f t="shared" si="66"/>
        <v>0</v>
      </c>
    </row>
    <row r="1363" spans="1:31">
      <c r="A1363" s="197">
        <f t="shared" si="67"/>
        <v>46743</v>
      </c>
      <c r="B1363" s="167">
        <f>YEAR(Table7[[#This Row],[Date]])+IF(MONTH(Table7[[#This Row],[Date]])&gt;=4,1,0)</f>
        <v>2028</v>
      </c>
      <c r="C1363" s="167">
        <f>YEAR(Table7[[#This Row],[Date]])</f>
        <v>2027</v>
      </c>
      <c r="D1363" s="168">
        <f t="shared" si="65"/>
        <v>46722</v>
      </c>
      <c r="AE1363" s="167">
        <f t="shared" si="66"/>
        <v>0</v>
      </c>
    </row>
    <row r="1364" spans="1:31">
      <c r="A1364" s="197">
        <f t="shared" si="67"/>
        <v>46744</v>
      </c>
      <c r="B1364" s="167">
        <f>YEAR(Table7[[#This Row],[Date]])+IF(MONTH(Table7[[#This Row],[Date]])&gt;=4,1,0)</f>
        <v>2028</v>
      </c>
      <c r="C1364" s="167">
        <f>YEAR(Table7[[#This Row],[Date]])</f>
        <v>2027</v>
      </c>
      <c r="D1364" s="168">
        <f t="shared" si="65"/>
        <v>46722</v>
      </c>
      <c r="AE1364" s="167">
        <f t="shared" si="66"/>
        <v>0</v>
      </c>
    </row>
    <row r="1365" spans="1:31">
      <c r="A1365" s="197">
        <f t="shared" si="67"/>
        <v>46745</v>
      </c>
      <c r="B1365" s="167">
        <f>YEAR(Table7[[#This Row],[Date]])+IF(MONTH(Table7[[#This Row],[Date]])&gt;=4,1,0)</f>
        <v>2028</v>
      </c>
      <c r="C1365" s="167">
        <f>YEAR(Table7[[#This Row],[Date]])</f>
        <v>2027</v>
      </c>
      <c r="D1365" s="168">
        <f t="shared" si="65"/>
        <v>46722</v>
      </c>
      <c r="AE1365" s="167">
        <f t="shared" si="66"/>
        <v>0</v>
      </c>
    </row>
    <row r="1366" spans="1:31">
      <c r="A1366" s="197">
        <f t="shared" si="67"/>
        <v>46746</v>
      </c>
      <c r="B1366" s="167">
        <f>YEAR(Table7[[#This Row],[Date]])+IF(MONTH(Table7[[#This Row],[Date]])&gt;=4,1,0)</f>
        <v>2028</v>
      </c>
      <c r="C1366" s="167">
        <f>YEAR(Table7[[#This Row],[Date]])</f>
        <v>2027</v>
      </c>
      <c r="D1366" s="168">
        <f t="shared" si="65"/>
        <v>46722</v>
      </c>
      <c r="AE1366" s="167">
        <f t="shared" si="66"/>
        <v>0</v>
      </c>
    </row>
    <row r="1367" spans="1:31">
      <c r="A1367" s="197">
        <f t="shared" si="67"/>
        <v>46747</v>
      </c>
      <c r="B1367" s="167">
        <f>YEAR(Table7[[#This Row],[Date]])+IF(MONTH(Table7[[#This Row],[Date]])&gt;=4,1,0)</f>
        <v>2028</v>
      </c>
      <c r="C1367" s="167">
        <f>YEAR(Table7[[#This Row],[Date]])</f>
        <v>2027</v>
      </c>
      <c r="D1367" s="168">
        <f t="shared" si="65"/>
        <v>46722</v>
      </c>
      <c r="AE1367" s="167">
        <f t="shared" si="66"/>
        <v>0</v>
      </c>
    </row>
    <row r="1368" spans="1:31">
      <c r="A1368" s="197">
        <f t="shared" si="67"/>
        <v>46748</v>
      </c>
      <c r="B1368" s="167">
        <f>YEAR(Table7[[#This Row],[Date]])+IF(MONTH(Table7[[#This Row],[Date]])&gt;=4,1,0)</f>
        <v>2028</v>
      </c>
      <c r="C1368" s="167">
        <f>YEAR(Table7[[#This Row],[Date]])</f>
        <v>2027</v>
      </c>
      <c r="D1368" s="168">
        <f t="shared" si="65"/>
        <v>46722</v>
      </c>
      <c r="AE1368" s="167">
        <f t="shared" si="66"/>
        <v>0</v>
      </c>
    </row>
    <row r="1369" spans="1:31">
      <c r="A1369" s="197">
        <f t="shared" si="67"/>
        <v>46749</v>
      </c>
      <c r="B1369" s="167">
        <f>YEAR(Table7[[#This Row],[Date]])+IF(MONTH(Table7[[#This Row],[Date]])&gt;=4,1,0)</f>
        <v>2028</v>
      </c>
      <c r="C1369" s="167">
        <f>YEAR(Table7[[#This Row],[Date]])</f>
        <v>2027</v>
      </c>
      <c r="D1369" s="168">
        <f t="shared" si="65"/>
        <v>46722</v>
      </c>
      <c r="AE1369" s="167">
        <f t="shared" si="66"/>
        <v>0</v>
      </c>
    </row>
    <row r="1370" spans="1:31">
      <c r="A1370" s="197">
        <f t="shared" si="67"/>
        <v>46750</v>
      </c>
      <c r="B1370" s="167">
        <f>YEAR(Table7[[#This Row],[Date]])+IF(MONTH(Table7[[#This Row],[Date]])&gt;=4,1,0)</f>
        <v>2028</v>
      </c>
      <c r="C1370" s="167">
        <f>YEAR(Table7[[#This Row],[Date]])</f>
        <v>2027</v>
      </c>
      <c r="D1370" s="168">
        <f t="shared" si="65"/>
        <v>46722</v>
      </c>
      <c r="AE1370" s="167">
        <f t="shared" si="66"/>
        <v>0</v>
      </c>
    </row>
    <row r="1371" spans="1:31">
      <c r="A1371" s="197">
        <f t="shared" si="67"/>
        <v>46751</v>
      </c>
      <c r="B1371" s="167">
        <f>YEAR(Table7[[#This Row],[Date]])+IF(MONTH(Table7[[#This Row],[Date]])&gt;=4,1,0)</f>
        <v>2028</v>
      </c>
      <c r="C1371" s="167">
        <f>YEAR(Table7[[#This Row],[Date]])</f>
        <v>2027</v>
      </c>
      <c r="D1371" s="168">
        <f t="shared" si="65"/>
        <v>46722</v>
      </c>
      <c r="AE1371" s="167">
        <f t="shared" si="66"/>
        <v>0</v>
      </c>
    </row>
    <row r="1372" spans="1:31">
      <c r="A1372" s="197">
        <f t="shared" si="67"/>
        <v>46752</v>
      </c>
      <c r="B1372" s="167">
        <f>YEAR(Table7[[#This Row],[Date]])+IF(MONTH(Table7[[#This Row],[Date]])&gt;=4,1,0)</f>
        <v>2028</v>
      </c>
      <c r="C1372" s="167">
        <f>YEAR(Table7[[#This Row],[Date]])</f>
        <v>2027</v>
      </c>
      <c r="D1372" s="168">
        <f t="shared" si="65"/>
        <v>46722</v>
      </c>
      <c r="AE1372" s="167">
        <f t="shared" si="66"/>
        <v>0</v>
      </c>
    </row>
    <row r="1373" spans="1:31">
      <c r="A1373" s="197">
        <f t="shared" si="67"/>
        <v>46753</v>
      </c>
      <c r="B1373" s="167">
        <f>YEAR(Table7[[#This Row],[Date]])+IF(MONTH(Table7[[#This Row],[Date]])&gt;=4,1,0)</f>
        <v>2028</v>
      </c>
      <c r="C1373" s="167">
        <f>YEAR(Table7[[#This Row],[Date]])</f>
        <v>2028</v>
      </c>
      <c r="D1373" s="168">
        <f t="shared" si="65"/>
        <v>46753</v>
      </c>
      <c r="AE1373" s="167">
        <f t="shared" si="66"/>
        <v>0</v>
      </c>
    </row>
    <row r="1374" spans="1:31">
      <c r="A1374" s="197">
        <f t="shared" si="67"/>
        <v>46754</v>
      </c>
      <c r="B1374" s="167">
        <f>YEAR(Table7[[#This Row],[Date]])+IF(MONTH(Table7[[#This Row],[Date]])&gt;=4,1,0)</f>
        <v>2028</v>
      </c>
      <c r="C1374" s="167">
        <f>YEAR(Table7[[#This Row],[Date]])</f>
        <v>2028</v>
      </c>
      <c r="D1374" s="168">
        <f t="shared" si="65"/>
        <v>46753</v>
      </c>
      <c r="AE1374" s="167">
        <f t="shared" si="66"/>
        <v>0</v>
      </c>
    </row>
    <row r="1375" spans="1:31">
      <c r="A1375" s="197">
        <f t="shared" si="67"/>
        <v>46755</v>
      </c>
      <c r="B1375" s="167">
        <f>YEAR(Table7[[#This Row],[Date]])+IF(MONTH(Table7[[#This Row],[Date]])&gt;=4,1,0)</f>
        <v>2028</v>
      </c>
      <c r="C1375" s="167">
        <f>YEAR(Table7[[#This Row],[Date]])</f>
        <v>2028</v>
      </c>
      <c r="D1375" s="168">
        <f t="shared" si="65"/>
        <v>46753</v>
      </c>
      <c r="AE1375" s="167">
        <f t="shared" si="66"/>
        <v>0</v>
      </c>
    </row>
    <row r="1376" spans="1:31">
      <c r="A1376" s="197">
        <f t="shared" si="67"/>
        <v>46756</v>
      </c>
      <c r="B1376" s="167">
        <f>YEAR(Table7[[#This Row],[Date]])+IF(MONTH(Table7[[#This Row],[Date]])&gt;=4,1,0)</f>
        <v>2028</v>
      </c>
      <c r="C1376" s="167">
        <f>YEAR(Table7[[#This Row],[Date]])</f>
        <v>2028</v>
      </c>
      <c r="D1376" s="168">
        <f t="shared" si="65"/>
        <v>46753</v>
      </c>
      <c r="AE1376" s="167">
        <f t="shared" si="66"/>
        <v>0</v>
      </c>
    </row>
    <row r="1377" spans="1:31">
      <c r="A1377" s="197">
        <f t="shared" si="67"/>
        <v>46757</v>
      </c>
      <c r="B1377" s="167">
        <f>YEAR(Table7[[#This Row],[Date]])+IF(MONTH(Table7[[#This Row],[Date]])&gt;=4,1,0)</f>
        <v>2028</v>
      </c>
      <c r="C1377" s="167">
        <f>YEAR(Table7[[#This Row],[Date]])</f>
        <v>2028</v>
      </c>
      <c r="D1377" s="168">
        <f t="shared" si="65"/>
        <v>46753</v>
      </c>
      <c r="AE1377" s="167">
        <f t="shared" si="66"/>
        <v>0</v>
      </c>
    </row>
    <row r="1378" spans="1:31">
      <c r="A1378" s="197">
        <f t="shared" si="67"/>
        <v>46758</v>
      </c>
      <c r="B1378" s="167">
        <f>YEAR(Table7[[#This Row],[Date]])+IF(MONTH(Table7[[#This Row],[Date]])&gt;=4,1,0)</f>
        <v>2028</v>
      </c>
      <c r="C1378" s="167">
        <f>YEAR(Table7[[#This Row],[Date]])</f>
        <v>2028</v>
      </c>
      <c r="D1378" s="168">
        <f t="shared" si="65"/>
        <v>46753</v>
      </c>
      <c r="AE1378" s="167">
        <f t="shared" si="66"/>
        <v>0</v>
      </c>
    </row>
    <row r="1379" spans="1:31">
      <c r="A1379" s="197">
        <f t="shared" si="67"/>
        <v>46759</v>
      </c>
      <c r="B1379" s="167">
        <f>YEAR(Table7[[#This Row],[Date]])+IF(MONTH(Table7[[#This Row],[Date]])&gt;=4,1,0)</f>
        <v>2028</v>
      </c>
      <c r="C1379" s="167">
        <f>YEAR(Table7[[#This Row],[Date]])</f>
        <v>2028</v>
      </c>
      <c r="D1379" s="168">
        <f t="shared" si="65"/>
        <v>46753</v>
      </c>
      <c r="AE1379" s="167">
        <f t="shared" si="66"/>
        <v>0</v>
      </c>
    </row>
    <row r="1380" spans="1:31">
      <c r="A1380" s="197">
        <f t="shared" si="67"/>
        <v>46760</v>
      </c>
      <c r="B1380" s="167">
        <f>YEAR(Table7[[#This Row],[Date]])+IF(MONTH(Table7[[#This Row],[Date]])&gt;=4,1,0)</f>
        <v>2028</v>
      </c>
      <c r="C1380" s="167">
        <f>YEAR(Table7[[#This Row],[Date]])</f>
        <v>2028</v>
      </c>
      <c r="D1380" s="168">
        <f t="shared" si="65"/>
        <v>46753</v>
      </c>
      <c r="AE1380" s="167">
        <f t="shared" si="66"/>
        <v>0</v>
      </c>
    </row>
    <row r="1381" spans="1:31">
      <c r="A1381" s="197">
        <f t="shared" si="67"/>
        <v>46761</v>
      </c>
      <c r="B1381" s="167">
        <f>YEAR(Table7[[#This Row],[Date]])+IF(MONTH(Table7[[#This Row],[Date]])&gt;=4,1,0)</f>
        <v>2028</v>
      </c>
      <c r="C1381" s="167">
        <f>YEAR(Table7[[#This Row],[Date]])</f>
        <v>2028</v>
      </c>
      <c r="D1381" s="168">
        <f t="shared" si="65"/>
        <v>46753</v>
      </c>
      <c r="AE1381" s="167">
        <f t="shared" si="66"/>
        <v>0</v>
      </c>
    </row>
    <row r="1382" spans="1:31">
      <c r="A1382" s="197">
        <f t="shared" si="67"/>
        <v>46762</v>
      </c>
      <c r="B1382" s="167">
        <f>YEAR(Table7[[#This Row],[Date]])+IF(MONTH(Table7[[#This Row],[Date]])&gt;=4,1,0)</f>
        <v>2028</v>
      </c>
      <c r="C1382" s="167">
        <f>YEAR(Table7[[#This Row],[Date]])</f>
        <v>2028</v>
      </c>
      <c r="D1382" s="168">
        <f t="shared" si="65"/>
        <v>46753</v>
      </c>
      <c r="AE1382" s="167">
        <f t="shared" si="66"/>
        <v>0</v>
      </c>
    </row>
    <row r="1383" spans="1:31">
      <c r="A1383" s="197">
        <f t="shared" si="67"/>
        <v>46763</v>
      </c>
      <c r="B1383" s="167">
        <f>YEAR(Table7[[#This Row],[Date]])+IF(MONTH(Table7[[#This Row],[Date]])&gt;=4,1,0)</f>
        <v>2028</v>
      </c>
      <c r="C1383" s="167">
        <f>YEAR(Table7[[#This Row],[Date]])</f>
        <v>2028</v>
      </c>
      <c r="D1383" s="168">
        <f t="shared" si="65"/>
        <v>46753</v>
      </c>
      <c r="AE1383" s="167">
        <f t="shared" si="66"/>
        <v>0</v>
      </c>
    </row>
    <row r="1384" spans="1:31">
      <c r="A1384" s="197">
        <f t="shared" si="67"/>
        <v>46764</v>
      </c>
      <c r="B1384" s="167">
        <f>YEAR(Table7[[#This Row],[Date]])+IF(MONTH(Table7[[#This Row],[Date]])&gt;=4,1,0)</f>
        <v>2028</v>
      </c>
      <c r="C1384" s="167">
        <f>YEAR(Table7[[#This Row],[Date]])</f>
        <v>2028</v>
      </c>
      <c r="D1384" s="168">
        <f t="shared" si="65"/>
        <v>46753</v>
      </c>
      <c r="AE1384" s="167">
        <f t="shared" si="66"/>
        <v>0</v>
      </c>
    </row>
    <row r="1385" spans="1:31">
      <c r="A1385" s="197">
        <f t="shared" si="67"/>
        <v>46765</v>
      </c>
      <c r="B1385" s="167">
        <f>YEAR(Table7[[#This Row],[Date]])+IF(MONTH(Table7[[#This Row],[Date]])&gt;=4,1,0)</f>
        <v>2028</v>
      </c>
      <c r="C1385" s="167">
        <f>YEAR(Table7[[#This Row],[Date]])</f>
        <v>2028</v>
      </c>
      <c r="D1385" s="168">
        <f t="shared" si="65"/>
        <v>46753</v>
      </c>
      <c r="AE1385" s="167">
        <f t="shared" si="66"/>
        <v>0</v>
      </c>
    </row>
    <row r="1386" spans="1:31">
      <c r="A1386" s="197">
        <f t="shared" si="67"/>
        <v>46766</v>
      </c>
      <c r="B1386" s="167">
        <f>YEAR(Table7[[#This Row],[Date]])+IF(MONTH(Table7[[#This Row],[Date]])&gt;=4,1,0)</f>
        <v>2028</v>
      </c>
      <c r="C1386" s="167">
        <f>YEAR(Table7[[#This Row],[Date]])</f>
        <v>2028</v>
      </c>
      <c r="D1386" s="168">
        <f t="shared" si="65"/>
        <v>46753</v>
      </c>
      <c r="AE1386" s="167">
        <f t="shared" si="66"/>
        <v>0</v>
      </c>
    </row>
    <row r="1387" spans="1:31">
      <c r="A1387" s="197">
        <f t="shared" si="67"/>
        <v>46767</v>
      </c>
      <c r="B1387" s="167">
        <f>YEAR(Table7[[#This Row],[Date]])+IF(MONTH(Table7[[#This Row],[Date]])&gt;=4,1,0)</f>
        <v>2028</v>
      </c>
      <c r="C1387" s="167">
        <f>YEAR(Table7[[#This Row],[Date]])</f>
        <v>2028</v>
      </c>
      <c r="D1387" s="168">
        <f t="shared" si="65"/>
        <v>46753</v>
      </c>
      <c r="AE1387" s="167">
        <f t="shared" si="66"/>
        <v>0</v>
      </c>
    </row>
    <row r="1388" spans="1:31">
      <c r="A1388" s="197">
        <f t="shared" si="67"/>
        <v>46768</v>
      </c>
      <c r="B1388" s="167">
        <f>YEAR(Table7[[#This Row],[Date]])+IF(MONTH(Table7[[#This Row],[Date]])&gt;=4,1,0)</f>
        <v>2028</v>
      </c>
      <c r="C1388" s="167">
        <f>YEAR(Table7[[#This Row],[Date]])</f>
        <v>2028</v>
      </c>
      <c r="D1388" s="168">
        <f t="shared" si="65"/>
        <v>46753</v>
      </c>
      <c r="AE1388" s="167">
        <f t="shared" si="66"/>
        <v>0</v>
      </c>
    </row>
    <row r="1389" spans="1:31">
      <c r="A1389" s="197">
        <f t="shared" si="67"/>
        <v>46769</v>
      </c>
      <c r="B1389" s="167">
        <f>YEAR(Table7[[#This Row],[Date]])+IF(MONTH(Table7[[#This Row],[Date]])&gt;=4,1,0)</f>
        <v>2028</v>
      </c>
      <c r="C1389" s="167">
        <f>YEAR(Table7[[#This Row],[Date]])</f>
        <v>2028</v>
      </c>
      <c r="D1389" s="168">
        <f t="shared" si="65"/>
        <v>46753</v>
      </c>
      <c r="AE1389" s="167">
        <f t="shared" si="66"/>
        <v>0</v>
      </c>
    </row>
    <row r="1390" spans="1:31">
      <c r="A1390" s="197">
        <f t="shared" si="67"/>
        <v>46770</v>
      </c>
      <c r="B1390" s="167">
        <f>YEAR(Table7[[#This Row],[Date]])+IF(MONTH(Table7[[#This Row],[Date]])&gt;=4,1,0)</f>
        <v>2028</v>
      </c>
      <c r="C1390" s="167">
        <f>YEAR(Table7[[#This Row],[Date]])</f>
        <v>2028</v>
      </c>
      <c r="D1390" s="168">
        <f t="shared" si="65"/>
        <v>46753</v>
      </c>
      <c r="AE1390" s="167">
        <f t="shared" si="66"/>
        <v>0</v>
      </c>
    </row>
    <row r="1391" spans="1:31">
      <c r="A1391" s="197">
        <f t="shared" si="67"/>
        <v>46771</v>
      </c>
      <c r="B1391" s="167">
        <f>YEAR(Table7[[#This Row],[Date]])+IF(MONTH(Table7[[#This Row],[Date]])&gt;=4,1,0)</f>
        <v>2028</v>
      </c>
      <c r="C1391" s="167">
        <f>YEAR(Table7[[#This Row],[Date]])</f>
        <v>2028</v>
      </c>
      <c r="D1391" s="168">
        <f t="shared" si="65"/>
        <v>46753</v>
      </c>
      <c r="AE1391" s="167">
        <f t="shared" si="66"/>
        <v>0</v>
      </c>
    </row>
    <row r="1392" spans="1:31">
      <c r="A1392" s="197">
        <f t="shared" si="67"/>
        <v>46772</v>
      </c>
      <c r="B1392" s="167">
        <f>YEAR(Table7[[#This Row],[Date]])+IF(MONTH(Table7[[#This Row],[Date]])&gt;=4,1,0)</f>
        <v>2028</v>
      </c>
      <c r="C1392" s="167">
        <f>YEAR(Table7[[#This Row],[Date]])</f>
        <v>2028</v>
      </c>
      <c r="D1392" s="168">
        <f t="shared" si="65"/>
        <v>46753</v>
      </c>
      <c r="AE1392" s="167">
        <f t="shared" si="66"/>
        <v>0</v>
      </c>
    </row>
    <row r="1393" spans="1:31">
      <c r="A1393" s="197">
        <f t="shared" si="67"/>
        <v>46773</v>
      </c>
      <c r="B1393" s="167">
        <f>YEAR(Table7[[#This Row],[Date]])+IF(MONTH(Table7[[#This Row],[Date]])&gt;=4,1,0)</f>
        <v>2028</v>
      </c>
      <c r="C1393" s="167">
        <f>YEAR(Table7[[#This Row],[Date]])</f>
        <v>2028</v>
      </c>
      <c r="D1393" s="168">
        <f t="shared" si="65"/>
        <v>46753</v>
      </c>
      <c r="AE1393" s="167">
        <f t="shared" si="66"/>
        <v>0</v>
      </c>
    </row>
    <row r="1394" spans="1:31">
      <c r="A1394" s="197">
        <f t="shared" si="67"/>
        <v>46774</v>
      </c>
      <c r="B1394" s="167">
        <f>YEAR(Table7[[#This Row],[Date]])+IF(MONTH(Table7[[#This Row],[Date]])&gt;=4,1,0)</f>
        <v>2028</v>
      </c>
      <c r="C1394" s="167">
        <f>YEAR(Table7[[#This Row],[Date]])</f>
        <v>2028</v>
      </c>
      <c r="D1394" s="168">
        <f t="shared" si="65"/>
        <v>46753</v>
      </c>
      <c r="AE1394" s="167">
        <f t="shared" si="66"/>
        <v>0</v>
      </c>
    </row>
    <row r="1395" spans="1:31">
      <c r="A1395" s="197">
        <f t="shared" si="67"/>
        <v>46775</v>
      </c>
      <c r="B1395" s="167">
        <f>YEAR(Table7[[#This Row],[Date]])+IF(MONTH(Table7[[#This Row],[Date]])&gt;=4,1,0)</f>
        <v>2028</v>
      </c>
      <c r="C1395" s="167">
        <f>YEAR(Table7[[#This Row],[Date]])</f>
        <v>2028</v>
      </c>
      <c r="D1395" s="168">
        <f t="shared" si="65"/>
        <v>46753</v>
      </c>
      <c r="AE1395" s="167">
        <f t="shared" si="66"/>
        <v>0</v>
      </c>
    </row>
    <row r="1396" spans="1:31">
      <c r="A1396" s="197">
        <f t="shared" si="67"/>
        <v>46776</v>
      </c>
      <c r="B1396" s="167">
        <f>YEAR(Table7[[#This Row],[Date]])+IF(MONTH(Table7[[#This Row],[Date]])&gt;=4,1,0)</f>
        <v>2028</v>
      </c>
      <c r="C1396" s="167">
        <f>YEAR(Table7[[#This Row],[Date]])</f>
        <v>2028</v>
      </c>
      <c r="D1396" s="168">
        <f t="shared" si="65"/>
        <v>46753</v>
      </c>
      <c r="AE1396" s="167">
        <f t="shared" si="66"/>
        <v>0</v>
      </c>
    </row>
    <row r="1397" spans="1:31">
      <c r="A1397" s="197">
        <f t="shared" si="67"/>
        <v>46777</v>
      </c>
      <c r="B1397" s="167">
        <f>YEAR(Table7[[#This Row],[Date]])+IF(MONTH(Table7[[#This Row],[Date]])&gt;=4,1,0)</f>
        <v>2028</v>
      </c>
      <c r="C1397" s="167">
        <f>YEAR(Table7[[#This Row],[Date]])</f>
        <v>2028</v>
      </c>
      <c r="D1397" s="168">
        <f t="shared" si="65"/>
        <v>46753</v>
      </c>
      <c r="AE1397" s="167">
        <f t="shared" si="66"/>
        <v>0</v>
      </c>
    </row>
    <row r="1398" spans="1:31">
      <c r="A1398" s="197">
        <f t="shared" si="67"/>
        <v>46778</v>
      </c>
      <c r="B1398" s="167">
        <f>YEAR(Table7[[#This Row],[Date]])+IF(MONTH(Table7[[#This Row],[Date]])&gt;=4,1,0)</f>
        <v>2028</v>
      </c>
      <c r="C1398" s="167">
        <f>YEAR(Table7[[#This Row],[Date]])</f>
        <v>2028</v>
      </c>
      <c r="D1398" s="168">
        <f t="shared" si="65"/>
        <v>46753</v>
      </c>
      <c r="AE1398" s="167">
        <f t="shared" si="66"/>
        <v>0</v>
      </c>
    </row>
    <row r="1399" spans="1:31">
      <c r="A1399" s="197">
        <f t="shared" si="67"/>
        <v>46779</v>
      </c>
      <c r="B1399" s="167">
        <f>YEAR(Table7[[#This Row],[Date]])+IF(MONTH(Table7[[#This Row],[Date]])&gt;=4,1,0)</f>
        <v>2028</v>
      </c>
      <c r="C1399" s="167">
        <f>YEAR(Table7[[#This Row],[Date]])</f>
        <v>2028</v>
      </c>
      <c r="D1399" s="168">
        <f t="shared" si="65"/>
        <v>46753</v>
      </c>
      <c r="AE1399" s="167">
        <f t="shared" si="66"/>
        <v>0</v>
      </c>
    </row>
    <row r="1400" spans="1:31">
      <c r="A1400" s="197">
        <f t="shared" si="67"/>
        <v>46780</v>
      </c>
      <c r="B1400" s="167">
        <f>YEAR(Table7[[#This Row],[Date]])+IF(MONTH(Table7[[#This Row],[Date]])&gt;=4,1,0)</f>
        <v>2028</v>
      </c>
      <c r="C1400" s="167">
        <f>YEAR(Table7[[#This Row],[Date]])</f>
        <v>2028</v>
      </c>
      <c r="D1400" s="168">
        <f t="shared" si="65"/>
        <v>46753</v>
      </c>
      <c r="AE1400" s="167">
        <f t="shared" si="66"/>
        <v>0</v>
      </c>
    </row>
    <row r="1401" spans="1:31">
      <c r="A1401" s="197">
        <f t="shared" si="67"/>
        <v>46781</v>
      </c>
      <c r="B1401" s="167">
        <f>YEAR(Table7[[#This Row],[Date]])+IF(MONTH(Table7[[#This Row],[Date]])&gt;=4,1,0)</f>
        <v>2028</v>
      </c>
      <c r="C1401" s="167">
        <f>YEAR(Table7[[#This Row],[Date]])</f>
        <v>2028</v>
      </c>
      <c r="D1401" s="168">
        <f t="shared" si="65"/>
        <v>46753</v>
      </c>
      <c r="AE1401" s="167">
        <f t="shared" si="66"/>
        <v>0</v>
      </c>
    </row>
    <row r="1402" spans="1:31">
      <c r="A1402" s="197">
        <f t="shared" si="67"/>
        <v>46782</v>
      </c>
      <c r="B1402" s="167">
        <f>YEAR(Table7[[#This Row],[Date]])+IF(MONTH(Table7[[#This Row],[Date]])&gt;=4,1,0)</f>
        <v>2028</v>
      </c>
      <c r="C1402" s="167">
        <f>YEAR(Table7[[#This Row],[Date]])</f>
        <v>2028</v>
      </c>
      <c r="D1402" s="168">
        <f t="shared" si="65"/>
        <v>46753</v>
      </c>
      <c r="AE1402" s="167">
        <f t="shared" si="66"/>
        <v>0</v>
      </c>
    </row>
    <row r="1403" spans="1:31">
      <c r="A1403" s="197">
        <f t="shared" si="67"/>
        <v>46783</v>
      </c>
      <c r="B1403" s="167">
        <f>YEAR(Table7[[#This Row],[Date]])+IF(MONTH(Table7[[#This Row],[Date]])&gt;=4,1,0)</f>
        <v>2028</v>
      </c>
      <c r="C1403" s="167">
        <f>YEAR(Table7[[#This Row],[Date]])</f>
        <v>2028</v>
      </c>
      <c r="D1403" s="168">
        <f t="shared" si="65"/>
        <v>46753</v>
      </c>
      <c r="AE1403" s="167">
        <f t="shared" si="66"/>
        <v>0</v>
      </c>
    </row>
    <row r="1404" spans="1:31">
      <c r="A1404" s="197">
        <f t="shared" si="67"/>
        <v>46784</v>
      </c>
      <c r="B1404" s="167">
        <f>YEAR(Table7[[#This Row],[Date]])+IF(MONTH(Table7[[#This Row],[Date]])&gt;=4,1,0)</f>
        <v>2028</v>
      </c>
      <c r="C1404" s="167">
        <f>YEAR(Table7[[#This Row],[Date]])</f>
        <v>2028</v>
      </c>
      <c r="D1404" s="168">
        <f t="shared" si="65"/>
        <v>46784</v>
      </c>
      <c r="AE1404" s="167">
        <f t="shared" si="66"/>
        <v>0</v>
      </c>
    </row>
    <row r="1405" spans="1:31">
      <c r="A1405" s="197">
        <f t="shared" si="67"/>
        <v>46785</v>
      </c>
      <c r="B1405" s="167">
        <f>YEAR(Table7[[#This Row],[Date]])+IF(MONTH(Table7[[#This Row],[Date]])&gt;=4,1,0)</f>
        <v>2028</v>
      </c>
      <c r="C1405" s="167">
        <f>YEAR(Table7[[#This Row],[Date]])</f>
        <v>2028</v>
      </c>
      <c r="D1405" s="168">
        <f t="shared" si="65"/>
        <v>46784</v>
      </c>
      <c r="AE1405" s="167">
        <f t="shared" si="66"/>
        <v>0</v>
      </c>
    </row>
    <row r="1406" spans="1:31">
      <c r="A1406" s="197">
        <f t="shared" si="67"/>
        <v>46786</v>
      </c>
      <c r="B1406" s="167">
        <f>YEAR(Table7[[#This Row],[Date]])+IF(MONTH(Table7[[#This Row],[Date]])&gt;=4,1,0)</f>
        <v>2028</v>
      </c>
      <c r="C1406" s="167">
        <f>YEAR(Table7[[#This Row],[Date]])</f>
        <v>2028</v>
      </c>
      <c r="D1406" s="168">
        <f t="shared" si="65"/>
        <v>46784</v>
      </c>
      <c r="AE1406" s="167">
        <f t="shared" si="66"/>
        <v>0</v>
      </c>
    </row>
    <row r="1407" spans="1:31">
      <c r="A1407" s="197">
        <f t="shared" si="67"/>
        <v>46787</v>
      </c>
      <c r="B1407" s="167">
        <f>YEAR(Table7[[#This Row],[Date]])+IF(MONTH(Table7[[#This Row],[Date]])&gt;=4,1,0)</f>
        <v>2028</v>
      </c>
      <c r="C1407" s="167">
        <f>YEAR(Table7[[#This Row],[Date]])</f>
        <v>2028</v>
      </c>
      <c r="D1407" s="168">
        <f t="shared" si="65"/>
        <v>46784</v>
      </c>
      <c r="AE1407" s="167">
        <f t="shared" si="66"/>
        <v>0</v>
      </c>
    </row>
    <row r="1408" spans="1:31">
      <c r="A1408" s="197">
        <f t="shared" si="67"/>
        <v>46788</v>
      </c>
      <c r="B1408" s="167">
        <f>YEAR(Table7[[#This Row],[Date]])+IF(MONTH(Table7[[#This Row],[Date]])&gt;=4,1,0)</f>
        <v>2028</v>
      </c>
      <c r="C1408" s="167">
        <f>YEAR(Table7[[#This Row],[Date]])</f>
        <v>2028</v>
      </c>
      <c r="D1408" s="168">
        <f t="shared" si="65"/>
        <v>46784</v>
      </c>
      <c r="AE1408" s="167">
        <f t="shared" si="66"/>
        <v>0</v>
      </c>
    </row>
    <row r="1409" spans="1:31">
      <c r="A1409" s="197">
        <f t="shared" si="67"/>
        <v>46789</v>
      </c>
      <c r="B1409" s="167">
        <f>YEAR(Table7[[#This Row],[Date]])+IF(MONTH(Table7[[#This Row],[Date]])&gt;=4,1,0)</f>
        <v>2028</v>
      </c>
      <c r="C1409" s="167">
        <f>YEAR(Table7[[#This Row],[Date]])</f>
        <v>2028</v>
      </c>
      <c r="D1409" s="168">
        <f t="shared" si="65"/>
        <v>46784</v>
      </c>
      <c r="AE1409" s="167">
        <f t="shared" si="66"/>
        <v>0</v>
      </c>
    </row>
    <row r="1410" spans="1:31">
      <c r="A1410" s="197">
        <f t="shared" si="67"/>
        <v>46790</v>
      </c>
      <c r="B1410" s="167">
        <f>YEAR(Table7[[#This Row],[Date]])+IF(MONTH(Table7[[#This Row],[Date]])&gt;=4,1,0)</f>
        <v>2028</v>
      </c>
      <c r="C1410" s="167">
        <f>YEAR(Table7[[#This Row],[Date]])</f>
        <v>2028</v>
      </c>
      <c r="D1410" s="168">
        <f t="shared" si="65"/>
        <v>46784</v>
      </c>
      <c r="AE1410" s="167">
        <f t="shared" si="66"/>
        <v>0</v>
      </c>
    </row>
    <row r="1411" spans="1:31">
      <c r="A1411" s="197">
        <f t="shared" si="67"/>
        <v>46791</v>
      </c>
      <c r="B1411" s="167">
        <f>YEAR(Table7[[#This Row],[Date]])+IF(MONTH(Table7[[#This Row],[Date]])&gt;=4,1,0)</f>
        <v>2028</v>
      </c>
      <c r="C1411" s="167">
        <f>YEAR(Table7[[#This Row],[Date]])</f>
        <v>2028</v>
      </c>
      <c r="D1411" s="168">
        <f t="shared" ref="D1411:D1463" si="68">A1411-DAY(A1411)+1</f>
        <v>46784</v>
      </c>
      <c r="AE1411" s="167">
        <f t="shared" ref="AE1411:AE1463" si="69">SUM(E1411:AD1411)</f>
        <v>0</v>
      </c>
    </row>
    <row r="1412" spans="1:31">
      <c r="A1412" s="197">
        <f t="shared" si="67"/>
        <v>46792</v>
      </c>
      <c r="B1412" s="167">
        <f>YEAR(Table7[[#This Row],[Date]])+IF(MONTH(Table7[[#This Row],[Date]])&gt;=4,1,0)</f>
        <v>2028</v>
      </c>
      <c r="C1412" s="167">
        <f>YEAR(Table7[[#This Row],[Date]])</f>
        <v>2028</v>
      </c>
      <c r="D1412" s="168">
        <f t="shared" si="68"/>
        <v>46784</v>
      </c>
      <c r="AE1412" s="167">
        <f t="shared" si="69"/>
        <v>0</v>
      </c>
    </row>
    <row r="1413" spans="1:31">
      <c r="A1413" s="197">
        <f t="shared" ref="A1413:A1463" si="70">A1412+1</f>
        <v>46793</v>
      </c>
      <c r="B1413" s="167">
        <f>YEAR(Table7[[#This Row],[Date]])+IF(MONTH(Table7[[#This Row],[Date]])&gt;=4,1,0)</f>
        <v>2028</v>
      </c>
      <c r="C1413" s="167">
        <f>YEAR(Table7[[#This Row],[Date]])</f>
        <v>2028</v>
      </c>
      <c r="D1413" s="168">
        <f t="shared" si="68"/>
        <v>46784</v>
      </c>
      <c r="AE1413" s="167">
        <f t="shared" si="69"/>
        <v>0</v>
      </c>
    </row>
    <row r="1414" spans="1:31">
      <c r="A1414" s="197">
        <f t="shared" si="70"/>
        <v>46794</v>
      </c>
      <c r="B1414" s="167">
        <f>YEAR(Table7[[#This Row],[Date]])+IF(MONTH(Table7[[#This Row],[Date]])&gt;=4,1,0)</f>
        <v>2028</v>
      </c>
      <c r="C1414" s="167">
        <f>YEAR(Table7[[#This Row],[Date]])</f>
        <v>2028</v>
      </c>
      <c r="D1414" s="168">
        <f t="shared" si="68"/>
        <v>46784</v>
      </c>
      <c r="AE1414" s="167">
        <f t="shared" si="69"/>
        <v>0</v>
      </c>
    </row>
    <row r="1415" spans="1:31">
      <c r="A1415" s="197">
        <f t="shared" si="70"/>
        <v>46795</v>
      </c>
      <c r="B1415" s="167">
        <f>YEAR(Table7[[#This Row],[Date]])+IF(MONTH(Table7[[#This Row],[Date]])&gt;=4,1,0)</f>
        <v>2028</v>
      </c>
      <c r="C1415" s="167">
        <f>YEAR(Table7[[#This Row],[Date]])</f>
        <v>2028</v>
      </c>
      <c r="D1415" s="168">
        <f t="shared" si="68"/>
        <v>46784</v>
      </c>
      <c r="AE1415" s="167">
        <f t="shared" si="69"/>
        <v>0</v>
      </c>
    </row>
    <row r="1416" spans="1:31">
      <c r="A1416" s="197">
        <f t="shared" si="70"/>
        <v>46796</v>
      </c>
      <c r="B1416" s="167">
        <f>YEAR(Table7[[#This Row],[Date]])+IF(MONTH(Table7[[#This Row],[Date]])&gt;=4,1,0)</f>
        <v>2028</v>
      </c>
      <c r="C1416" s="167">
        <f>YEAR(Table7[[#This Row],[Date]])</f>
        <v>2028</v>
      </c>
      <c r="D1416" s="168">
        <f t="shared" si="68"/>
        <v>46784</v>
      </c>
      <c r="AE1416" s="167">
        <f t="shared" si="69"/>
        <v>0</v>
      </c>
    </row>
    <row r="1417" spans="1:31">
      <c r="A1417" s="197">
        <f t="shared" si="70"/>
        <v>46797</v>
      </c>
      <c r="B1417" s="167">
        <f>YEAR(Table7[[#This Row],[Date]])+IF(MONTH(Table7[[#This Row],[Date]])&gt;=4,1,0)</f>
        <v>2028</v>
      </c>
      <c r="C1417" s="167">
        <f>YEAR(Table7[[#This Row],[Date]])</f>
        <v>2028</v>
      </c>
      <c r="D1417" s="168">
        <f t="shared" si="68"/>
        <v>46784</v>
      </c>
      <c r="AE1417" s="167">
        <f t="shared" si="69"/>
        <v>0</v>
      </c>
    </row>
    <row r="1418" spans="1:31">
      <c r="A1418" s="197">
        <f t="shared" si="70"/>
        <v>46798</v>
      </c>
      <c r="B1418" s="167">
        <f>YEAR(Table7[[#This Row],[Date]])+IF(MONTH(Table7[[#This Row],[Date]])&gt;=4,1,0)</f>
        <v>2028</v>
      </c>
      <c r="C1418" s="167">
        <f>YEAR(Table7[[#This Row],[Date]])</f>
        <v>2028</v>
      </c>
      <c r="D1418" s="168">
        <f t="shared" si="68"/>
        <v>46784</v>
      </c>
      <c r="AE1418" s="167">
        <f t="shared" si="69"/>
        <v>0</v>
      </c>
    </row>
    <row r="1419" spans="1:31">
      <c r="A1419" s="197">
        <f t="shared" si="70"/>
        <v>46799</v>
      </c>
      <c r="B1419" s="167">
        <f>YEAR(Table7[[#This Row],[Date]])+IF(MONTH(Table7[[#This Row],[Date]])&gt;=4,1,0)</f>
        <v>2028</v>
      </c>
      <c r="C1419" s="167">
        <f>YEAR(Table7[[#This Row],[Date]])</f>
        <v>2028</v>
      </c>
      <c r="D1419" s="168">
        <f t="shared" si="68"/>
        <v>46784</v>
      </c>
      <c r="AE1419" s="167">
        <f t="shared" si="69"/>
        <v>0</v>
      </c>
    </row>
    <row r="1420" spans="1:31">
      <c r="A1420" s="197">
        <f t="shared" si="70"/>
        <v>46800</v>
      </c>
      <c r="B1420" s="167">
        <f>YEAR(Table7[[#This Row],[Date]])+IF(MONTH(Table7[[#This Row],[Date]])&gt;=4,1,0)</f>
        <v>2028</v>
      </c>
      <c r="C1420" s="167">
        <f>YEAR(Table7[[#This Row],[Date]])</f>
        <v>2028</v>
      </c>
      <c r="D1420" s="168">
        <f t="shared" si="68"/>
        <v>46784</v>
      </c>
      <c r="AE1420" s="167">
        <f t="shared" si="69"/>
        <v>0</v>
      </c>
    </row>
    <row r="1421" spans="1:31">
      <c r="A1421" s="197">
        <f t="shared" si="70"/>
        <v>46801</v>
      </c>
      <c r="B1421" s="167">
        <f>YEAR(Table7[[#This Row],[Date]])+IF(MONTH(Table7[[#This Row],[Date]])&gt;=4,1,0)</f>
        <v>2028</v>
      </c>
      <c r="C1421" s="167">
        <f>YEAR(Table7[[#This Row],[Date]])</f>
        <v>2028</v>
      </c>
      <c r="D1421" s="168">
        <f t="shared" si="68"/>
        <v>46784</v>
      </c>
      <c r="AE1421" s="167">
        <f t="shared" si="69"/>
        <v>0</v>
      </c>
    </row>
    <row r="1422" spans="1:31">
      <c r="A1422" s="197">
        <f t="shared" si="70"/>
        <v>46802</v>
      </c>
      <c r="B1422" s="167">
        <f>YEAR(Table7[[#This Row],[Date]])+IF(MONTH(Table7[[#This Row],[Date]])&gt;=4,1,0)</f>
        <v>2028</v>
      </c>
      <c r="C1422" s="167">
        <f>YEAR(Table7[[#This Row],[Date]])</f>
        <v>2028</v>
      </c>
      <c r="D1422" s="168">
        <f t="shared" si="68"/>
        <v>46784</v>
      </c>
      <c r="AE1422" s="167">
        <f t="shared" si="69"/>
        <v>0</v>
      </c>
    </row>
    <row r="1423" spans="1:31">
      <c r="A1423" s="197">
        <f t="shared" si="70"/>
        <v>46803</v>
      </c>
      <c r="B1423" s="167">
        <f>YEAR(Table7[[#This Row],[Date]])+IF(MONTH(Table7[[#This Row],[Date]])&gt;=4,1,0)</f>
        <v>2028</v>
      </c>
      <c r="C1423" s="167">
        <f>YEAR(Table7[[#This Row],[Date]])</f>
        <v>2028</v>
      </c>
      <c r="D1423" s="168">
        <f t="shared" si="68"/>
        <v>46784</v>
      </c>
      <c r="AE1423" s="167">
        <f t="shared" si="69"/>
        <v>0</v>
      </c>
    </row>
    <row r="1424" spans="1:31">
      <c r="A1424" s="197">
        <f t="shared" si="70"/>
        <v>46804</v>
      </c>
      <c r="B1424" s="167">
        <f>YEAR(Table7[[#This Row],[Date]])+IF(MONTH(Table7[[#This Row],[Date]])&gt;=4,1,0)</f>
        <v>2028</v>
      </c>
      <c r="C1424" s="167">
        <f>YEAR(Table7[[#This Row],[Date]])</f>
        <v>2028</v>
      </c>
      <c r="D1424" s="168">
        <f t="shared" si="68"/>
        <v>46784</v>
      </c>
      <c r="AE1424" s="167">
        <f t="shared" si="69"/>
        <v>0</v>
      </c>
    </row>
    <row r="1425" spans="1:31">
      <c r="A1425" s="197">
        <f t="shared" si="70"/>
        <v>46805</v>
      </c>
      <c r="B1425" s="167">
        <f>YEAR(Table7[[#This Row],[Date]])+IF(MONTH(Table7[[#This Row],[Date]])&gt;=4,1,0)</f>
        <v>2028</v>
      </c>
      <c r="C1425" s="167">
        <f>YEAR(Table7[[#This Row],[Date]])</f>
        <v>2028</v>
      </c>
      <c r="D1425" s="168">
        <f t="shared" si="68"/>
        <v>46784</v>
      </c>
      <c r="AE1425" s="167">
        <f t="shared" si="69"/>
        <v>0</v>
      </c>
    </row>
    <row r="1426" spans="1:31">
      <c r="A1426" s="197">
        <f t="shared" si="70"/>
        <v>46806</v>
      </c>
      <c r="B1426" s="167">
        <f>YEAR(Table7[[#This Row],[Date]])+IF(MONTH(Table7[[#This Row],[Date]])&gt;=4,1,0)</f>
        <v>2028</v>
      </c>
      <c r="C1426" s="167">
        <f>YEAR(Table7[[#This Row],[Date]])</f>
        <v>2028</v>
      </c>
      <c r="D1426" s="168">
        <f t="shared" si="68"/>
        <v>46784</v>
      </c>
      <c r="AE1426" s="167">
        <f t="shared" si="69"/>
        <v>0</v>
      </c>
    </row>
    <row r="1427" spans="1:31">
      <c r="A1427" s="197">
        <f t="shared" si="70"/>
        <v>46807</v>
      </c>
      <c r="B1427" s="167">
        <f>YEAR(Table7[[#This Row],[Date]])+IF(MONTH(Table7[[#This Row],[Date]])&gt;=4,1,0)</f>
        <v>2028</v>
      </c>
      <c r="C1427" s="167">
        <f>YEAR(Table7[[#This Row],[Date]])</f>
        <v>2028</v>
      </c>
      <c r="D1427" s="168">
        <f t="shared" si="68"/>
        <v>46784</v>
      </c>
      <c r="AE1427" s="167">
        <f t="shared" si="69"/>
        <v>0</v>
      </c>
    </row>
    <row r="1428" spans="1:31">
      <c r="A1428" s="197">
        <f t="shared" si="70"/>
        <v>46808</v>
      </c>
      <c r="B1428" s="167">
        <f>YEAR(Table7[[#This Row],[Date]])+IF(MONTH(Table7[[#This Row],[Date]])&gt;=4,1,0)</f>
        <v>2028</v>
      </c>
      <c r="C1428" s="167">
        <f>YEAR(Table7[[#This Row],[Date]])</f>
        <v>2028</v>
      </c>
      <c r="D1428" s="168">
        <f t="shared" si="68"/>
        <v>46784</v>
      </c>
      <c r="AE1428" s="167">
        <f t="shared" si="69"/>
        <v>0</v>
      </c>
    </row>
    <row r="1429" spans="1:31">
      <c r="A1429" s="197">
        <f t="shared" si="70"/>
        <v>46809</v>
      </c>
      <c r="B1429" s="167">
        <f>YEAR(Table7[[#This Row],[Date]])+IF(MONTH(Table7[[#This Row],[Date]])&gt;=4,1,0)</f>
        <v>2028</v>
      </c>
      <c r="C1429" s="167">
        <f>YEAR(Table7[[#This Row],[Date]])</f>
        <v>2028</v>
      </c>
      <c r="D1429" s="168">
        <f t="shared" si="68"/>
        <v>46784</v>
      </c>
      <c r="AE1429" s="167">
        <f t="shared" si="69"/>
        <v>0</v>
      </c>
    </row>
    <row r="1430" spans="1:31">
      <c r="A1430" s="197">
        <f t="shared" si="70"/>
        <v>46810</v>
      </c>
      <c r="B1430" s="167">
        <f>YEAR(Table7[[#This Row],[Date]])+IF(MONTH(Table7[[#This Row],[Date]])&gt;=4,1,0)</f>
        <v>2028</v>
      </c>
      <c r="C1430" s="167">
        <f>YEAR(Table7[[#This Row],[Date]])</f>
        <v>2028</v>
      </c>
      <c r="D1430" s="168">
        <f t="shared" si="68"/>
        <v>46784</v>
      </c>
      <c r="AE1430" s="167">
        <f t="shared" si="69"/>
        <v>0</v>
      </c>
    </row>
    <row r="1431" spans="1:31">
      <c r="A1431" s="197">
        <f t="shared" si="70"/>
        <v>46811</v>
      </c>
      <c r="B1431" s="167">
        <f>YEAR(Table7[[#This Row],[Date]])+IF(MONTH(Table7[[#This Row],[Date]])&gt;=4,1,0)</f>
        <v>2028</v>
      </c>
      <c r="C1431" s="167">
        <f>YEAR(Table7[[#This Row],[Date]])</f>
        <v>2028</v>
      </c>
      <c r="D1431" s="168">
        <f t="shared" si="68"/>
        <v>46784</v>
      </c>
      <c r="AE1431" s="167">
        <f t="shared" si="69"/>
        <v>0</v>
      </c>
    </row>
    <row r="1432" spans="1:31">
      <c r="A1432" s="197">
        <f t="shared" si="70"/>
        <v>46812</v>
      </c>
      <c r="B1432" s="167">
        <f>YEAR(Table7[[#This Row],[Date]])+IF(MONTH(Table7[[#This Row],[Date]])&gt;=4,1,0)</f>
        <v>2028</v>
      </c>
      <c r="C1432" s="167">
        <f>YEAR(Table7[[#This Row],[Date]])</f>
        <v>2028</v>
      </c>
      <c r="D1432" s="168">
        <f t="shared" si="68"/>
        <v>46784</v>
      </c>
      <c r="AE1432" s="167">
        <f t="shared" si="69"/>
        <v>0</v>
      </c>
    </row>
    <row r="1433" spans="1:31">
      <c r="A1433" s="197">
        <f t="shared" si="70"/>
        <v>46813</v>
      </c>
      <c r="B1433" s="167">
        <f>YEAR(Table7[[#This Row],[Date]])+IF(MONTH(Table7[[#This Row],[Date]])&gt;=4,1,0)</f>
        <v>2028</v>
      </c>
      <c r="C1433" s="167">
        <f>YEAR(Table7[[#This Row],[Date]])</f>
        <v>2028</v>
      </c>
      <c r="D1433" s="168">
        <f t="shared" si="68"/>
        <v>46813</v>
      </c>
      <c r="AE1433" s="167">
        <f t="shared" si="69"/>
        <v>0</v>
      </c>
    </row>
    <row r="1434" spans="1:31">
      <c r="A1434" s="197">
        <f t="shared" si="70"/>
        <v>46814</v>
      </c>
      <c r="B1434" s="167">
        <f>YEAR(Table7[[#This Row],[Date]])+IF(MONTH(Table7[[#This Row],[Date]])&gt;=4,1,0)</f>
        <v>2028</v>
      </c>
      <c r="C1434" s="167">
        <f>YEAR(Table7[[#This Row],[Date]])</f>
        <v>2028</v>
      </c>
      <c r="D1434" s="168">
        <f t="shared" si="68"/>
        <v>46813</v>
      </c>
      <c r="AE1434" s="167">
        <f t="shared" si="69"/>
        <v>0</v>
      </c>
    </row>
    <row r="1435" spans="1:31">
      <c r="A1435" s="197">
        <f t="shared" si="70"/>
        <v>46815</v>
      </c>
      <c r="B1435" s="167">
        <f>YEAR(Table7[[#This Row],[Date]])+IF(MONTH(Table7[[#This Row],[Date]])&gt;=4,1,0)</f>
        <v>2028</v>
      </c>
      <c r="C1435" s="167">
        <f>YEAR(Table7[[#This Row],[Date]])</f>
        <v>2028</v>
      </c>
      <c r="D1435" s="168">
        <f t="shared" si="68"/>
        <v>46813</v>
      </c>
      <c r="AE1435" s="167">
        <f t="shared" si="69"/>
        <v>0</v>
      </c>
    </row>
    <row r="1436" spans="1:31">
      <c r="A1436" s="197">
        <f t="shared" si="70"/>
        <v>46816</v>
      </c>
      <c r="B1436" s="167">
        <f>YEAR(Table7[[#This Row],[Date]])+IF(MONTH(Table7[[#This Row],[Date]])&gt;=4,1,0)</f>
        <v>2028</v>
      </c>
      <c r="C1436" s="167">
        <f>YEAR(Table7[[#This Row],[Date]])</f>
        <v>2028</v>
      </c>
      <c r="D1436" s="168">
        <f t="shared" si="68"/>
        <v>46813</v>
      </c>
      <c r="AE1436" s="167">
        <f t="shared" si="69"/>
        <v>0</v>
      </c>
    </row>
    <row r="1437" spans="1:31">
      <c r="A1437" s="197">
        <f t="shared" si="70"/>
        <v>46817</v>
      </c>
      <c r="B1437" s="167">
        <f>YEAR(Table7[[#This Row],[Date]])+IF(MONTH(Table7[[#This Row],[Date]])&gt;=4,1,0)</f>
        <v>2028</v>
      </c>
      <c r="C1437" s="167">
        <f>YEAR(Table7[[#This Row],[Date]])</f>
        <v>2028</v>
      </c>
      <c r="D1437" s="168">
        <f t="shared" si="68"/>
        <v>46813</v>
      </c>
      <c r="AE1437" s="167">
        <f t="shared" si="69"/>
        <v>0</v>
      </c>
    </row>
    <row r="1438" spans="1:31">
      <c r="A1438" s="197">
        <f t="shared" si="70"/>
        <v>46818</v>
      </c>
      <c r="B1438" s="167">
        <f>YEAR(Table7[[#This Row],[Date]])+IF(MONTH(Table7[[#This Row],[Date]])&gt;=4,1,0)</f>
        <v>2028</v>
      </c>
      <c r="C1438" s="167">
        <f>YEAR(Table7[[#This Row],[Date]])</f>
        <v>2028</v>
      </c>
      <c r="D1438" s="168">
        <f t="shared" si="68"/>
        <v>46813</v>
      </c>
      <c r="AE1438" s="167">
        <f t="shared" si="69"/>
        <v>0</v>
      </c>
    </row>
    <row r="1439" spans="1:31">
      <c r="A1439" s="197">
        <f t="shared" si="70"/>
        <v>46819</v>
      </c>
      <c r="B1439" s="167">
        <f>YEAR(Table7[[#This Row],[Date]])+IF(MONTH(Table7[[#This Row],[Date]])&gt;=4,1,0)</f>
        <v>2028</v>
      </c>
      <c r="C1439" s="167">
        <f>YEAR(Table7[[#This Row],[Date]])</f>
        <v>2028</v>
      </c>
      <c r="D1439" s="168">
        <f t="shared" si="68"/>
        <v>46813</v>
      </c>
      <c r="AE1439" s="167">
        <f t="shared" si="69"/>
        <v>0</v>
      </c>
    </row>
    <row r="1440" spans="1:31">
      <c r="A1440" s="197">
        <f t="shared" si="70"/>
        <v>46820</v>
      </c>
      <c r="B1440" s="167">
        <f>YEAR(Table7[[#This Row],[Date]])+IF(MONTH(Table7[[#This Row],[Date]])&gt;=4,1,0)</f>
        <v>2028</v>
      </c>
      <c r="C1440" s="167">
        <f>YEAR(Table7[[#This Row],[Date]])</f>
        <v>2028</v>
      </c>
      <c r="D1440" s="168">
        <f t="shared" si="68"/>
        <v>46813</v>
      </c>
      <c r="AE1440" s="167">
        <f t="shared" si="69"/>
        <v>0</v>
      </c>
    </row>
    <row r="1441" spans="1:31">
      <c r="A1441" s="197">
        <f t="shared" si="70"/>
        <v>46821</v>
      </c>
      <c r="B1441" s="167">
        <f>YEAR(Table7[[#This Row],[Date]])+IF(MONTH(Table7[[#This Row],[Date]])&gt;=4,1,0)</f>
        <v>2028</v>
      </c>
      <c r="C1441" s="167">
        <f>YEAR(Table7[[#This Row],[Date]])</f>
        <v>2028</v>
      </c>
      <c r="D1441" s="168">
        <f t="shared" si="68"/>
        <v>46813</v>
      </c>
      <c r="AE1441" s="167">
        <f t="shared" si="69"/>
        <v>0</v>
      </c>
    </row>
    <row r="1442" spans="1:31">
      <c r="A1442" s="197">
        <f t="shared" si="70"/>
        <v>46822</v>
      </c>
      <c r="B1442" s="167">
        <f>YEAR(Table7[[#This Row],[Date]])+IF(MONTH(Table7[[#This Row],[Date]])&gt;=4,1,0)</f>
        <v>2028</v>
      </c>
      <c r="C1442" s="167">
        <f>YEAR(Table7[[#This Row],[Date]])</f>
        <v>2028</v>
      </c>
      <c r="D1442" s="168">
        <f t="shared" si="68"/>
        <v>46813</v>
      </c>
      <c r="AE1442" s="167">
        <f t="shared" si="69"/>
        <v>0</v>
      </c>
    </row>
    <row r="1443" spans="1:31">
      <c r="A1443" s="197">
        <f t="shared" si="70"/>
        <v>46823</v>
      </c>
      <c r="B1443" s="167">
        <f>YEAR(Table7[[#This Row],[Date]])+IF(MONTH(Table7[[#This Row],[Date]])&gt;=4,1,0)</f>
        <v>2028</v>
      </c>
      <c r="C1443" s="167">
        <f>YEAR(Table7[[#This Row],[Date]])</f>
        <v>2028</v>
      </c>
      <c r="D1443" s="168">
        <f t="shared" si="68"/>
        <v>46813</v>
      </c>
      <c r="AE1443" s="167">
        <f t="shared" si="69"/>
        <v>0</v>
      </c>
    </row>
    <row r="1444" spans="1:31">
      <c r="A1444" s="197">
        <f t="shared" si="70"/>
        <v>46824</v>
      </c>
      <c r="B1444" s="167">
        <f>YEAR(Table7[[#This Row],[Date]])+IF(MONTH(Table7[[#This Row],[Date]])&gt;=4,1,0)</f>
        <v>2028</v>
      </c>
      <c r="C1444" s="167">
        <f>YEAR(Table7[[#This Row],[Date]])</f>
        <v>2028</v>
      </c>
      <c r="D1444" s="168">
        <f t="shared" si="68"/>
        <v>46813</v>
      </c>
      <c r="AE1444" s="167">
        <f t="shared" si="69"/>
        <v>0</v>
      </c>
    </row>
    <row r="1445" spans="1:31">
      <c r="A1445" s="197">
        <f t="shared" si="70"/>
        <v>46825</v>
      </c>
      <c r="B1445" s="167">
        <f>YEAR(Table7[[#This Row],[Date]])+IF(MONTH(Table7[[#This Row],[Date]])&gt;=4,1,0)</f>
        <v>2028</v>
      </c>
      <c r="C1445" s="167">
        <f>YEAR(Table7[[#This Row],[Date]])</f>
        <v>2028</v>
      </c>
      <c r="D1445" s="168">
        <f t="shared" si="68"/>
        <v>46813</v>
      </c>
      <c r="AE1445" s="167">
        <f t="shared" si="69"/>
        <v>0</v>
      </c>
    </row>
    <row r="1446" spans="1:31">
      <c r="A1446" s="197">
        <f t="shared" si="70"/>
        <v>46826</v>
      </c>
      <c r="B1446" s="167">
        <f>YEAR(Table7[[#This Row],[Date]])+IF(MONTH(Table7[[#This Row],[Date]])&gt;=4,1,0)</f>
        <v>2028</v>
      </c>
      <c r="C1446" s="167">
        <f>YEAR(Table7[[#This Row],[Date]])</f>
        <v>2028</v>
      </c>
      <c r="D1446" s="168">
        <f t="shared" si="68"/>
        <v>46813</v>
      </c>
      <c r="AE1446" s="167">
        <f t="shared" si="69"/>
        <v>0</v>
      </c>
    </row>
    <row r="1447" spans="1:31">
      <c r="A1447" s="197">
        <f t="shared" si="70"/>
        <v>46827</v>
      </c>
      <c r="B1447" s="167">
        <f>YEAR(Table7[[#This Row],[Date]])+IF(MONTH(Table7[[#This Row],[Date]])&gt;=4,1,0)</f>
        <v>2028</v>
      </c>
      <c r="C1447" s="167">
        <f>YEAR(Table7[[#This Row],[Date]])</f>
        <v>2028</v>
      </c>
      <c r="D1447" s="168">
        <f t="shared" si="68"/>
        <v>46813</v>
      </c>
      <c r="AE1447" s="167">
        <f t="shared" si="69"/>
        <v>0</v>
      </c>
    </row>
    <row r="1448" spans="1:31">
      <c r="A1448" s="197">
        <f t="shared" si="70"/>
        <v>46828</v>
      </c>
      <c r="B1448" s="167">
        <f>YEAR(Table7[[#This Row],[Date]])+IF(MONTH(Table7[[#This Row],[Date]])&gt;=4,1,0)</f>
        <v>2028</v>
      </c>
      <c r="C1448" s="167">
        <f>YEAR(Table7[[#This Row],[Date]])</f>
        <v>2028</v>
      </c>
      <c r="D1448" s="168">
        <f t="shared" si="68"/>
        <v>46813</v>
      </c>
      <c r="AE1448" s="167">
        <f t="shared" si="69"/>
        <v>0</v>
      </c>
    </row>
    <row r="1449" spans="1:31">
      <c r="A1449" s="197">
        <f t="shared" si="70"/>
        <v>46829</v>
      </c>
      <c r="B1449" s="167">
        <f>YEAR(Table7[[#This Row],[Date]])+IF(MONTH(Table7[[#This Row],[Date]])&gt;=4,1,0)</f>
        <v>2028</v>
      </c>
      <c r="C1449" s="167">
        <f>YEAR(Table7[[#This Row],[Date]])</f>
        <v>2028</v>
      </c>
      <c r="D1449" s="168">
        <f t="shared" si="68"/>
        <v>46813</v>
      </c>
      <c r="AE1449" s="167">
        <f t="shared" si="69"/>
        <v>0</v>
      </c>
    </row>
    <row r="1450" spans="1:31">
      <c r="A1450" s="197">
        <f t="shared" si="70"/>
        <v>46830</v>
      </c>
      <c r="B1450" s="167">
        <f>YEAR(Table7[[#This Row],[Date]])+IF(MONTH(Table7[[#This Row],[Date]])&gt;=4,1,0)</f>
        <v>2028</v>
      </c>
      <c r="C1450" s="167">
        <f>YEAR(Table7[[#This Row],[Date]])</f>
        <v>2028</v>
      </c>
      <c r="D1450" s="168">
        <f t="shared" si="68"/>
        <v>46813</v>
      </c>
      <c r="AE1450" s="167">
        <f t="shared" si="69"/>
        <v>0</v>
      </c>
    </row>
    <row r="1451" spans="1:31">
      <c r="A1451" s="197">
        <f t="shared" si="70"/>
        <v>46831</v>
      </c>
      <c r="B1451" s="167">
        <f>YEAR(Table7[[#This Row],[Date]])+IF(MONTH(Table7[[#This Row],[Date]])&gt;=4,1,0)</f>
        <v>2028</v>
      </c>
      <c r="C1451" s="167">
        <f>YEAR(Table7[[#This Row],[Date]])</f>
        <v>2028</v>
      </c>
      <c r="D1451" s="168">
        <f t="shared" si="68"/>
        <v>46813</v>
      </c>
      <c r="AE1451" s="167">
        <f t="shared" si="69"/>
        <v>0</v>
      </c>
    </row>
    <row r="1452" spans="1:31">
      <c r="A1452" s="197">
        <f t="shared" si="70"/>
        <v>46832</v>
      </c>
      <c r="B1452" s="167">
        <f>YEAR(Table7[[#This Row],[Date]])+IF(MONTH(Table7[[#This Row],[Date]])&gt;=4,1,0)</f>
        <v>2028</v>
      </c>
      <c r="C1452" s="167">
        <f>YEAR(Table7[[#This Row],[Date]])</f>
        <v>2028</v>
      </c>
      <c r="D1452" s="168">
        <f t="shared" si="68"/>
        <v>46813</v>
      </c>
      <c r="AE1452" s="167">
        <f t="shared" si="69"/>
        <v>0</v>
      </c>
    </row>
    <row r="1453" spans="1:31">
      <c r="A1453" s="197">
        <f t="shared" si="70"/>
        <v>46833</v>
      </c>
      <c r="B1453" s="167">
        <f>YEAR(Table7[[#This Row],[Date]])+IF(MONTH(Table7[[#This Row],[Date]])&gt;=4,1,0)</f>
        <v>2028</v>
      </c>
      <c r="C1453" s="167">
        <f>YEAR(Table7[[#This Row],[Date]])</f>
        <v>2028</v>
      </c>
      <c r="D1453" s="168">
        <f t="shared" si="68"/>
        <v>46813</v>
      </c>
      <c r="AE1453" s="167">
        <f t="shared" si="69"/>
        <v>0</v>
      </c>
    </row>
    <row r="1454" spans="1:31">
      <c r="A1454" s="197">
        <f t="shared" si="70"/>
        <v>46834</v>
      </c>
      <c r="B1454" s="167">
        <f>YEAR(Table7[[#This Row],[Date]])+IF(MONTH(Table7[[#This Row],[Date]])&gt;=4,1,0)</f>
        <v>2028</v>
      </c>
      <c r="C1454" s="167">
        <f>YEAR(Table7[[#This Row],[Date]])</f>
        <v>2028</v>
      </c>
      <c r="D1454" s="168">
        <f t="shared" si="68"/>
        <v>46813</v>
      </c>
      <c r="AE1454" s="167">
        <f t="shared" si="69"/>
        <v>0</v>
      </c>
    </row>
    <row r="1455" spans="1:31">
      <c r="A1455" s="197">
        <f t="shared" si="70"/>
        <v>46835</v>
      </c>
      <c r="B1455" s="167">
        <f>YEAR(Table7[[#This Row],[Date]])+IF(MONTH(Table7[[#This Row],[Date]])&gt;=4,1,0)</f>
        <v>2028</v>
      </c>
      <c r="C1455" s="167">
        <f>YEAR(Table7[[#This Row],[Date]])</f>
        <v>2028</v>
      </c>
      <c r="D1455" s="168">
        <f t="shared" si="68"/>
        <v>46813</v>
      </c>
      <c r="AE1455" s="167">
        <f t="shared" si="69"/>
        <v>0</v>
      </c>
    </row>
    <row r="1456" spans="1:31">
      <c r="A1456" s="197">
        <f t="shared" si="70"/>
        <v>46836</v>
      </c>
      <c r="B1456" s="167">
        <f>YEAR(Table7[[#This Row],[Date]])+IF(MONTH(Table7[[#This Row],[Date]])&gt;=4,1,0)</f>
        <v>2028</v>
      </c>
      <c r="C1456" s="167">
        <f>YEAR(Table7[[#This Row],[Date]])</f>
        <v>2028</v>
      </c>
      <c r="D1456" s="168">
        <f t="shared" si="68"/>
        <v>46813</v>
      </c>
      <c r="AE1456" s="167">
        <f t="shared" si="69"/>
        <v>0</v>
      </c>
    </row>
    <row r="1457" spans="1:31">
      <c r="A1457" s="197">
        <f t="shared" si="70"/>
        <v>46837</v>
      </c>
      <c r="B1457" s="167">
        <f>YEAR(Table7[[#This Row],[Date]])+IF(MONTH(Table7[[#This Row],[Date]])&gt;=4,1,0)</f>
        <v>2028</v>
      </c>
      <c r="C1457" s="167">
        <f>YEAR(Table7[[#This Row],[Date]])</f>
        <v>2028</v>
      </c>
      <c r="D1457" s="168">
        <f t="shared" si="68"/>
        <v>46813</v>
      </c>
      <c r="AE1457" s="167">
        <f t="shared" si="69"/>
        <v>0</v>
      </c>
    </row>
    <row r="1458" spans="1:31">
      <c r="A1458" s="197">
        <f t="shared" si="70"/>
        <v>46838</v>
      </c>
      <c r="B1458" s="167">
        <f>YEAR(Table7[[#This Row],[Date]])+IF(MONTH(Table7[[#This Row],[Date]])&gt;=4,1,0)</f>
        <v>2028</v>
      </c>
      <c r="C1458" s="167">
        <f>YEAR(Table7[[#This Row],[Date]])</f>
        <v>2028</v>
      </c>
      <c r="D1458" s="168">
        <f t="shared" si="68"/>
        <v>46813</v>
      </c>
      <c r="AE1458" s="167">
        <f t="shared" si="69"/>
        <v>0</v>
      </c>
    </row>
    <row r="1459" spans="1:31">
      <c r="A1459" s="197">
        <f t="shared" si="70"/>
        <v>46839</v>
      </c>
      <c r="B1459" s="167">
        <f>YEAR(Table7[[#This Row],[Date]])+IF(MONTH(Table7[[#This Row],[Date]])&gt;=4,1,0)</f>
        <v>2028</v>
      </c>
      <c r="C1459" s="167">
        <f>YEAR(Table7[[#This Row],[Date]])</f>
        <v>2028</v>
      </c>
      <c r="D1459" s="168">
        <f t="shared" si="68"/>
        <v>46813</v>
      </c>
      <c r="AE1459" s="167">
        <f t="shared" si="69"/>
        <v>0</v>
      </c>
    </row>
    <row r="1460" spans="1:31">
      <c r="A1460" s="197">
        <f t="shared" si="70"/>
        <v>46840</v>
      </c>
      <c r="B1460" s="167">
        <f>YEAR(Table7[[#This Row],[Date]])+IF(MONTH(Table7[[#This Row],[Date]])&gt;=4,1,0)</f>
        <v>2028</v>
      </c>
      <c r="C1460" s="167">
        <f>YEAR(Table7[[#This Row],[Date]])</f>
        <v>2028</v>
      </c>
      <c r="D1460" s="168">
        <f t="shared" si="68"/>
        <v>46813</v>
      </c>
      <c r="AE1460" s="167">
        <f t="shared" si="69"/>
        <v>0</v>
      </c>
    </row>
    <row r="1461" spans="1:31">
      <c r="A1461" s="197">
        <f t="shared" si="70"/>
        <v>46841</v>
      </c>
      <c r="B1461" s="167">
        <f>YEAR(Table7[[#This Row],[Date]])+IF(MONTH(Table7[[#This Row],[Date]])&gt;=4,1,0)</f>
        <v>2028</v>
      </c>
      <c r="C1461" s="167">
        <f>YEAR(Table7[[#This Row],[Date]])</f>
        <v>2028</v>
      </c>
      <c r="D1461" s="168">
        <f t="shared" si="68"/>
        <v>46813</v>
      </c>
      <c r="AE1461" s="167">
        <f t="shared" si="69"/>
        <v>0</v>
      </c>
    </row>
    <row r="1462" spans="1:31">
      <c r="A1462" s="197">
        <f t="shared" si="70"/>
        <v>46842</v>
      </c>
      <c r="B1462" s="167">
        <f>YEAR(Table7[[#This Row],[Date]])+IF(MONTH(Table7[[#This Row],[Date]])&gt;=4,1,0)</f>
        <v>2028</v>
      </c>
      <c r="C1462" s="167">
        <f>YEAR(Table7[[#This Row],[Date]])</f>
        <v>2028</v>
      </c>
      <c r="D1462" s="168">
        <f t="shared" si="68"/>
        <v>46813</v>
      </c>
      <c r="AE1462" s="167">
        <f t="shared" si="69"/>
        <v>0</v>
      </c>
    </row>
    <row r="1463" spans="1:31">
      <c r="A1463" s="197">
        <f t="shared" si="70"/>
        <v>46843</v>
      </c>
      <c r="B1463" s="167">
        <f>YEAR(Table7[[#This Row],[Date]])+IF(MONTH(Table7[[#This Row],[Date]])&gt;=4,1,0)</f>
        <v>2028</v>
      </c>
      <c r="C1463" s="167">
        <f>YEAR(Table7[[#This Row],[Date]])</f>
        <v>2028</v>
      </c>
      <c r="D1463" s="168">
        <f t="shared" si="68"/>
        <v>46813</v>
      </c>
      <c r="E1463" s="166">
        <v>2411.4870499999997</v>
      </c>
      <c r="F1463" s="166">
        <v>891.6197333333331</v>
      </c>
      <c r="G1463" s="166">
        <v>1879.9699166666667</v>
      </c>
      <c r="H1463" s="166">
        <v>874.26264999999989</v>
      </c>
      <c r="I1463" s="166">
        <v>880.47126666666634</v>
      </c>
      <c r="J1463" s="166">
        <v>636.22654999999975</v>
      </c>
      <c r="K1463" s="166">
        <v>372.88330000000008</v>
      </c>
      <c r="L1463" s="166">
        <v>641.51903333333337</v>
      </c>
      <c r="M1463" s="166">
        <v>906.08874999999966</v>
      </c>
      <c r="N1463" s="166">
        <v>2260.3940000000007</v>
      </c>
      <c r="O1463" s="166">
        <v>383.09098333333333</v>
      </c>
      <c r="P1463" s="166">
        <v>377.68645000000021</v>
      </c>
      <c r="Q1463" s="166">
        <v>2175.7977833333325</v>
      </c>
      <c r="R1463" s="166">
        <v>1993.9216333333334</v>
      </c>
      <c r="S1463" s="166">
        <v>1758.4656500000006</v>
      </c>
      <c r="T1463" s="166">
        <v>2234.110716666667</v>
      </c>
      <c r="U1463" s="166">
        <v>1964.6706833333335</v>
      </c>
      <c r="V1463" s="166">
        <v>2190.6097833333329</v>
      </c>
      <c r="W1463" s="166">
        <v>441.97923333333341</v>
      </c>
      <c r="X1463" s="166">
        <v>670.5095333333328</v>
      </c>
      <c r="Y1463" s="166">
        <v>1570.8375833333334</v>
      </c>
      <c r="Z1463" s="166">
        <v>1180.1706999999994</v>
      </c>
      <c r="AA1463" s="166">
        <v>1761.4244000000006</v>
      </c>
      <c r="AB1463" s="166">
        <v>0</v>
      </c>
      <c r="AC1463" s="166">
        <v>999.70584999999994</v>
      </c>
      <c r="AD1463" s="166">
        <v>1757.0460333333331</v>
      </c>
      <c r="AE1463" s="166">
        <f t="shared" si="69"/>
        <v>33214.949266666663</v>
      </c>
    </row>
  </sheetData>
  <phoneticPr fontId="10"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R121"/>
  <sheetViews>
    <sheetView showGridLines="0" zoomScale="80" zoomScaleNormal="80" workbookViewId="0">
      <pane xSplit="1" ySplit="4" topLeftCell="AW110" activePane="bottomRight" state="frozen"/>
      <selection pane="topRight" activeCell="B5" sqref="B5"/>
      <selection pane="bottomLeft" activeCell="B5" sqref="B5"/>
      <selection pane="bottomRight" activeCell="BH125" sqref="BH125"/>
    </sheetView>
  </sheetViews>
  <sheetFormatPr defaultColWidth="8.453125" defaultRowHeight="14.5"/>
  <cols>
    <col min="1" max="1" width="11.453125" style="1" bestFit="1" customWidth="1"/>
    <col min="2" max="2" width="11.453125" customWidth="1"/>
    <col min="3" max="3" width="12.453125" customWidth="1"/>
    <col min="4" max="4" width="15.453125" customWidth="1"/>
    <col min="7" max="7" width="10.453125" bestFit="1" customWidth="1"/>
    <col min="14" max="14" width="8.453125" customWidth="1"/>
    <col min="16" max="16" width="9.453125" customWidth="1"/>
    <col min="17" max="17" width="11.453125" bestFit="1" customWidth="1"/>
    <col min="58" max="58" width="12.453125" customWidth="1"/>
    <col min="59" max="59" width="11.453125" customWidth="1"/>
    <col min="60" max="60" width="12.54296875" customWidth="1"/>
    <col min="61" max="61" width="11.90625" customWidth="1"/>
    <col min="62" max="62" width="15.453125" style="1" customWidth="1"/>
    <col min="63" max="63" width="13.453125" style="1" customWidth="1"/>
    <col min="64" max="64" width="11.453125" style="1" customWidth="1"/>
    <col min="65" max="66" width="11.453125" customWidth="1"/>
    <col min="67" max="67" width="19.453125" style="2" customWidth="1"/>
    <col min="68" max="68" width="12.453125" customWidth="1"/>
    <col min="69" max="69" width="18.453125" style="110" customWidth="1"/>
    <col min="70" max="70" width="13.453125" customWidth="1"/>
  </cols>
  <sheetData>
    <row r="1" spans="1:70" hidden="1">
      <c r="A1" s="1">
        <v>1</v>
      </c>
      <c r="B1">
        <f>A1+1</f>
        <v>2</v>
      </c>
      <c r="C1">
        <f t="shared" ref="C1:AZ1" si="0">B1+1</f>
        <v>3</v>
      </c>
      <c r="D1">
        <f t="shared" si="0"/>
        <v>4</v>
      </c>
      <c r="E1">
        <f t="shared" si="0"/>
        <v>5</v>
      </c>
      <c r="F1">
        <f t="shared" si="0"/>
        <v>6</v>
      </c>
      <c r="G1">
        <f t="shared" si="0"/>
        <v>7</v>
      </c>
      <c r="H1">
        <f t="shared" si="0"/>
        <v>8</v>
      </c>
      <c r="I1">
        <f t="shared" si="0"/>
        <v>9</v>
      </c>
      <c r="J1">
        <f t="shared" si="0"/>
        <v>10</v>
      </c>
      <c r="K1">
        <f t="shared" si="0"/>
        <v>11</v>
      </c>
      <c r="L1">
        <f t="shared" si="0"/>
        <v>12</v>
      </c>
      <c r="M1">
        <f t="shared" si="0"/>
        <v>13</v>
      </c>
      <c r="N1">
        <f t="shared" si="0"/>
        <v>14</v>
      </c>
      <c r="O1">
        <f t="shared" si="0"/>
        <v>15</v>
      </c>
      <c r="P1">
        <f t="shared" si="0"/>
        <v>16</v>
      </c>
      <c r="Q1">
        <f t="shared" si="0"/>
        <v>17</v>
      </c>
      <c r="R1">
        <f t="shared" si="0"/>
        <v>18</v>
      </c>
      <c r="S1">
        <f t="shared" si="0"/>
        <v>19</v>
      </c>
      <c r="T1">
        <f t="shared" si="0"/>
        <v>20</v>
      </c>
      <c r="U1">
        <f t="shared" si="0"/>
        <v>21</v>
      </c>
      <c r="V1">
        <f t="shared" si="0"/>
        <v>22</v>
      </c>
      <c r="W1">
        <f t="shared" si="0"/>
        <v>23</v>
      </c>
      <c r="X1">
        <f t="shared" si="0"/>
        <v>24</v>
      </c>
      <c r="Y1">
        <f t="shared" si="0"/>
        <v>25</v>
      </c>
      <c r="Z1">
        <f t="shared" si="0"/>
        <v>26</v>
      </c>
      <c r="AA1">
        <f t="shared" si="0"/>
        <v>27</v>
      </c>
      <c r="AB1">
        <f t="shared" si="0"/>
        <v>28</v>
      </c>
      <c r="AC1">
        <f t="shared" si="0"/>
        <v>29</v>
      </c>
      <c r="AD1">
        <f t="shared" si="0"/>
        <v>30</v>
      </c>
      <c r="AE1">
        <f t="shared" si="0"/>
        <v>31</v>
      </c>
      <c r="AF1" t="e">
        <f>#REF!+1</f>
        <v>#REF!</v>
      </c>
      <c r="AG1" t="e">
        <f t="shared" si="0"/>
        <v>#REF!</v>
      </c>
      <c r="AH1" t="e">
        <f t="shared" si="0"/>
        <v>#REF!</v>
      </c>
      <c r="AI1" t="e">
        <f t="shared" si="0"/>
        <v>#REF!</v>
      </c>
      <c r="AJ1" t="e">
        <f t="shared" si="0"/>
        <v>#REF!</v>
      </c>
      <c r="AK1" t="e">
        <f t="shared" si="0"/>
        <v>#REF!</v>
      </c>
      <c r="AL1" t="e">
        <f t="shared" si="0"/>
        <v>#REF!</v>
      </c>
      <c r="AM1" t="e">
        <f t="shared" si="0"/>
        <v>#REF!</v>
      </c>
      <c r="AN1" t="e">
        <f t="shared" si="0"/>
        <v>#REF!</v>
      </c>
      <c r="AO1" t="e">
        <f t="shared" si="0"/>
        <v>#REF!</v>
      </c>
      <c r="AP1" t="e">
        <f t="shared" si="0"/>
        <v>#REF!</v>
      </c>
      <c r="AQ1" t="e">
        <f t="shared" si="0"/>
        <v>#REF!</v>
      </c>
      <c r="AR1" t="e">
        <f t="shared" si="0"/>
        <v>#REF!</v>
      </c>
      <c r="AS1" t="e">
        <f t="shared" si="0"/>
        <v>#REF!</v>
      </c>
      <c r="AT1" t="e">
        <f t="shared" si="0"/>
        <v>#REF!</v>
      </c>
      <c r="AU1" t="e">
        <f t="shared" si="0"/>
        <v>#REF!</v>
      </c>
      <c r="AV1" t="e">
        <f t="shared" si="0"/>
        <v>#REF!</v>
      </c>
      <c r="AW1" t="e">
        <f t="shared" si="0"/>
        <v>#REF!</v>
      </c>
      <c r="AX1" t="e">
        <f t="shared" si="0"/>
        <v>#REF!</v>
      </c>
      <c r="AY1" t="e">
        <f t="shared" si="0"/>
        <v>#REF!</v>
      </c>
      <c r="AZ1" t="e">
        <f t="shared" si="0"/>
        <v>#REF!</v>
      </c>
      <c r="BA1" t="e">
        <f t="shared" ref="BA1:BM1" si="1">AZ1+1</f>
        <v>#REF!</v>
      </c>
      <c r="BB1" t="e">
        <f t="shared" si="1"/>
        <v>#REF!</v>
      </c>
      <c r="BC1" t="e">
        <f t="shared" si="1"/>
        <v>#REF!</v>
      </c>
      <c r="BD1" t="e">
        <f t="shared" si="1"/>
        <v>#REF!</v>
      </c>
      <c r="BE1" t="e">
        <f t="shared" si="1"/>
        <v>#REF!</v>
      </c>
      <c r="BF1" t="e">
        <f>#REF!+1</f>
        <v>#REF!</v>
      </c>
      <c r="BG1" t="e">
        <f t="shared" si="1"/>
        <v>#REF!</v>
      </c>
      <c r="BH1" t="e">
        <f t="shared" si="1"/>
        <v>#REF!</v>
      </c>
      <c r="BI1" t="e">
        <f t="shared" si="1"/>
        <v>#REF!</v>
      </c>
      <c r="BJ1"/>
      <c r="BK1" t="e">
        <f>#REF!+1</f>
        <v>#REF!</v>
      </c>
      <c r="BL1" t="e">
        <f>#REF!+1</f>
        <v>#REF!</v>
      </c>
      <c r="BM1" t="e">
        <f t="shared" si="1"/>
        <v>#REF!</v>
      </c>
    </row>
    <row r="2" spans="1:70" hidden="1">
      <c r="BK2"/>
      <c r="BL2"/>
    </row>
    <row r="3" spans="1:70" hidden="1">
      <c r="F3" s="3" t="s">
        <v>223</v>
      </c>
      <c r="G3" s="3"/>
      <c r="H3" s="3"/>
      <c r="I3" s="3"/>
      <c r="J3" s="3"/>
      <c r="K3" s="3"/>
      <c r="L3" s="3"/>
      <c r="M3" s="3"/>
      <c r="N3" s="3"/>
      <c r="O3" s="3"/>
      <c r="P3" s="3"/>
      <c r="Q3" s="3"/>
      <c r="R3" s="3"/>
      <c r="S3" s="3"/>
      <c r="T3" s="3"/>
      <c r="U3" s="3"/>
      <c r="V3" s="3"/>
      <c r="W3" s="3"/>
      <c r="X3" s="3"/>
      <c r="Y3" s="3"/>
      <c r="Z3" s="3"/>
      <c r="AA3" s="3"/>
      <c r="AB3" s="3"/>
      <c r="AC3" s="3"/>
      <c r="AD3" s="3"/>
      <c r="AE3" s="3"/>
      <c r="AF3" s="4" t="s">
        <v>224</v>
      </c>
      <c r="AG3" s="4"/>
      <c r="AH3" s="4"/>
      <c r="AI3" s="4"/>
      <c r="AJ3" s="4"/>
      <c r="AK3" s="4"/>
      <c r="AL3" s="4"/>
      <c r="AM3" s="4"/>
      <c r="AN3" s="4"/>
      <c r="AO3" s="4"/>
      <c r="AP3" s="4"/>
      <c r="AQ3" s="4"/>
      <c r="AR3" s="4"/>
      <c r="AS3" s="4"/>
      <c r="AT3" s="4"/>
      <c r="AU3" s="4"/>
      <c r="AV3" s="4"/>
      <c r="AW3" s="4"/>
      <c r="AX3" s="4"/>
      <c r="AY3" s="4"/>
      <c r="AZ3" s="4"/>
      <c r="BA3" s="4"/>
      <c r="BB3" s="4"/>
      <c r="BC3" s="4"/>
      <c r="BD3" s="4"/>
      <c r="BE3" s="4"/>
      <c r="BJ3" s="6"/>
      <c r="BK3" s="5" t="s">
        <v>225</v>
      </c>
      <c r="BL3" s="5"/>
      <c r="BM3" s="5"/>
      <c r="BN3" s="5"/>
    </row>
    <row r="4" spans="1:70" ht="48">
      <c r="A4" s="7" t="s">
        <v>128</v>
      </c>
      <c r="B4" s="8" t="s">
        <v>120</v>
      </c>
      <c r="C4" s="8" t="s">
        <v>226</v>
      </c>
      <c r="D4" s="8" t="s">
        <v>130</v>
      </c>
      <c r="E4" s="8" t="s">
        <v>46</v>
      </c>
      <c r="F4" s="9" t="s">
        <v>74</v>
      </c>
      <c r="G4" s="9" t="s">
        <v>75</v>
      </c>
      <c r="H4" s="9" t="s">
        <v>76</v>
      </c>
      <c r="I4" s="9" t="s">
        <v>77</v>
      </c>
      <c r="J4" s="9" t="s">
        <v>78</v>
      </c>
      <c r="K4" s="9" t="s">
        <v>79</v>
      </c>
      <c r="L4" s="9" t="s">
        <v>80</v>
      </c>
      <c r="M4" s="97" t="s">
        <v>81</v>
      </c>
      <c r="N4" s="97" t="s">
        <v>82</v>
      </c>
      <c r="O4" s="97" t="s">
        <v>83</v>
      </c>
      <c r="P4" s="97" t="s">
        <v>84</v>
      </c>
      <c r="Q4" s="97" t="s">
        <v>85</v>
      </c>
      <c r="R4" s="97" t="s">
        <v>86</v>
      </c>
      <c r="S4" s="97" t="s">
        <v>87</v>
      </c>
      <c r="T4" s="97" t="s">
        <v>88</v>
      </c>
      <c r="U4" s="9" t="s">
        <v>89</v>
      </c>
      <c r="V4" s="9" t="s">
        <v>90</v>
      </c>
      <c r="W4" s="9" t="s">
        <v>91</v>
      </c>
      <c r="X4" s="9" t="s">
        <v>92</v>
      </c>
      <c r="Y4" s="9" t="s">
        <v>93</v>
      </c>
      <c r="Z4" s="9" t="s">
        <v>94</v>
      </c>
      <c r="AA4" s="9" t="s">
        <v>95</v>
      </c>
      <c r="AB4" s="9" t="s">
        <v>96</v>
      </c>
      <c r="AC4" s="9" t="s">
        <v>97</v>
      </c>
      <c r="AD4" s="9" t="s">
        <v>98</v>
      </c>
      <c r="AE4" s="9" t="s">
        <v>99</v>
      </c>
      <c r="AF4" s="9" t="s">
        <v>227</v>
      </c>
      <c r="AG4" s="9" t="s">
        <v>228</v>
      </c>
      <c r="AH4" s="9" t="s">
        <v>229</v>
      </c>
      <c r="AI4" s="9" t="s">
        <v>230</v>
      </c>
      <c r="AJ4" s="9" t="s">
        <v>231</v>
      </c>
      <c r="AK4" s="9" t="s">
        <v>232</v>
      </c>
      <c r="AL4" s="9" t="s">
        <v>233</v>
      </c>
      <c r="AM4" s="9" t="s">
        <v>234</v>
      </c>
      <c r="AN4" s="9" t="s">
        <v>235</v>
      </c>
      <c r="AO4" s="9" t="s">
        <v>236</v>
      </c>
      <c r="AP4" s="9" t="s">
        <v>237</v>
      </c>
      <c r="AQ4" s="9" t="s">
        <v>238</v>
      </c>
      <c r="AR4" s="9" t="s">
        <v>239</v>
      </c>
      <c r="AS4" s="9" t="s">
        <v>240</v>
      </c>
      <c r="AT4" s="9" t="s">
        <v>241</v>
      </c>
      <c r="AU4" s="9" t="s">
        <v>242</v>
      </c>
      <c r="AV4" s="9" t="s">
        <v>243</v>
      </c>
      <c r="AW4" s="9" t="s">
        <v>244</v>
      </c>
      <c r="AX4" s="9" t="s">
        <v>245</v>
      </c>
      <c r="AY4" s="9" t="s">
        <v>246</v>
      </c>
      <c r="AZ4" s="9" t="s">
        <v>247</v>
      </c>
      <c r="BA4" s="9" t="s">
        <v>248</v>
      </c>
      <c r="BB4" s="9" t="s">
        <v>249</v>
      </c>
      <c r="BC4" s="9" t="s">
        <v>250</v>
      </c>
      <c r="BD4" s="9" t="s">
        <v>251</v>
      </c>
      <c r="BE4" s="9" t="s">
        <v>252</v>
      </c>
      <c r="BF4" s="9" t="s">
        <v>253</v>
      </c>
      <c r="BG4" s="9" t="s">
        <v>254</v>
      </c>
      <c r="BH4" s="9" t="s">
        <v>255</v>
      </c>
      <c r="BI4" s="9" t="s">
        <v>256</v>
      </c>
      <c r="BJ4" s="9" t="s">
        <v>257</v>
      </c>
      <c r="BK4" s="9" t="s">
        <v>258</v>
      </c>
      <c r="BL4" s="9" t="s">
        <v>259</v>
      </c>
      <c r="BM4" s="10" t="s">
        <v>260</v>
      </c>
      <c r="BN4" s="10" t="s">
        <v>261</v>
      </c>
      <c r="BO4" s="87" t="s">
        <v>262</v>
      </c>
      <c r="BP4" s="88" t="s">
        <v>263</v>
      </c>
      <c r="BQ4" s="134" t="s">
        <v>264</v>
      </c>
      <c r="BR4" s="88" t="s">
        <v>265</v>
      </c>
    </row>
    <row r="5" spans="1:70">
      <c r="A5" s="240">
        <v>45745</v>
      </c>
      <c r="B5" s="16">
        <f>YEAR(Input_Raw[[#This Row],[Date]])+IF(MONTH(Input_Raw[[#This Row],[Date]])&gt;=4,1,0)</f>
        <v>2025</v>
      </c>
      <c r="C5" s="16">
        <f>YEAR(Input_Raw[[#This Row],[Date]])</f>
        <v>2025</v>
      </c>
      <c r="D5" s="17">
        <f t="shared" ref="D5:D10" si="2">A5-DAY(A5)+1</f>
        <v>45717</v>
      </c>
      <c r="E5" s="16">
        <f>DAY(EOMONTH(Input_Raw[[#This Row],[Date]],0))</f>
        <v>31</v>
      </c>
      <c r="F5" s="147">
        <v>35421</v>
      </c>
      <c r="G5" s="147">
        <v>34841</v>
      </c>
      <c r="H5" s="147">
        <v>35623</v>
      </c>
      <c r="I5" s="147">
        <v>29136</v>
      </c>
      <c r="J5" s="147">
        <v>31321</v>
      </c>
      <c r="K5" s="147">
        <v>28804</v>
      </c>
      <c r="L5" s="147">
        <v>27095</v>
      </c>
      <c r="M5" s="147">
        <v>30989</v>
      </c>
      <c r="N5" s="147">
        <v>35332</v>
      </c>
      <c r="O5" s="147">
        <v>31185</v>
      </c>
      <c r="P5" s="147">
        <v>33050</v>
      </c>
      <c r="Q5" s="147">
        <v>33133</v>
      </c>
      <c r="R5" s="147">
        <v>20694</v>
      </c>
      <c r="S5" s="147">
        <v>19735</v>
      </c>
      <c r="T5" s="147">
        <v>33471</v>
      </c>
      <c r="U5" s="147">
        <v>31121</v>
      </c>
      <c r="V5" s="147">
        <v>21884</v>
      </c>
      <c r="W5" s="147">
        <v>33133</v>
      </c>
      <c r="X5" s="147">
        <v>29914</v>
      </c>
      <c r="Y5" s="147">
        <v>31123</v>
      </c>
      <c r="Z5" s="147">
        <v>29026</v>
      </c>
      <c r="AA5" s="147">
        <v>32797</v>
      </c>
      <c r="AB5" s="147">
        <v>33300</v>
      </c>
      <c r="AC5" s="18">
        <v>28578</v>
      </c>
      <c r="AD5" s="18">
        <v>35313</v>
      </c>
      <c r="AE5" s="18">
        <v>35647</v>
      </c>
      <c r="AF5" s="148">
        <v>7.41</v>
      </c>
      <c r="AG5" s="148">
        <v>7.32</v>
      </c>
      <c r="AH5" s="148">
        <v>7.37</v>
      </c>
      <c r="AI5" s="148">
        <v>6.86</v>
      </c>
      <c r="AJ5" s="148">
        <v>7.25</v>
      </c>
      <c r="AK5" s="148">
        <v>6.86</v>
      </c>
      <c r="AL5" s="148">
        <v>6.69</v>
      </c>
      <c r="AM5" s="148">
        <v>6.86</v>
      </c>
      <c r="AN5" s="148">
        <v>7.44</v>
      </c>
      <c r="AO5" s="148">
        <v>7.33</v>
      </c>
      <c r="AP5" s="148">
        <v>7.15</v>
      </c>
      <c r="AQ5" s="148">
        <v>7.16</v>
      </c>
      <c r="AR5" s="148">
        <v>6.95</v>
      </c>
      <c r="AS5" s="148">
        <v>7</v>
      </c>
      <c r="AT5" s="148">
        <v>7.29</v>
      </c>
      <c r="AU5" s="148">
        <v>7.15</v>
      </c>
      <c r="AV5" s="148">
        <v>7.16</v>
      </c>
      <c r="AW5" s="148">
        <v>7.14</v>
      </c>
      <c r="AX5" s="148">
        <v>6.93</v>
      </c>
      <c r="AY5" s="148">
        <v>7.09</v>
      </c>
      <c r="AZ5" s="148">
        <v>6.97</v>
      </c>
      <c r="BA5" s="148">
        <v>7.35</v>
      </c>
      <c r="BB5" s="148">
        <v>7.25</v>
      </c>
      <c r="BC5" s="90">
        <v>6.95</v>
      </c>
      <c r="BD5" s="90">
        <v>7.37</v>
      </c>
      <c r="BE5" s="90">
        <v>7.34</v>
      </c>
      <c r="BF5" s="149">
        <f>SUM(Input_Raw[[#This Row],[O2_01]:[O2_26]])</f>
        <v>801666</v>
      </c>
      <c r="BG5" s="150">
        <f>IFERROR(AVERAGE(Input_Raw[[#This Row],[WS_O2_01]:[WS_O2_26]]),"")</f>
        <v>7.1400000000000006</v>
      </c>
      <c r="BH5" s="151"/>
      <c r="BI5" s="151"/>
      <c r="BJ5" s="18">
        <v>771750</v>
      </c>
      <c r="BK5" s="18">
        <v>0</v>
      </c>
      <c r="BL5" s="91">
        <f>Input_Raw[[#This Row],[66 kV_Wind_F1_Export_reading]]-Input_Raw[[#This Row],[66 kV_Wind_F1_Import_reading]]</f>
        <v>771750</v>
      </c>
      <c r="BM5" s="152">
        <f>Input_Raw[[#This Row],[WTG Total Gneration (KWh)]]-Input_Raw[[#This Row],[66 kV_Wind_F1_Export_reading]]</f>
        <v>29916</v>
      </c>
      <c r="BN5" s="133">
        <f>(Input_Raw[[#This Row],[WTG Total Gneration (KWh)]]-Input_Raw[[#This Row],[66 kV_Wind_F1_Export_reading]])/Input_Raw[[#This Row],[WTG Total Gneration (KWh)]]</f>
        <v>3.7317286750342411E-2</v>
      </c>
      <c r="BO5" s="89">
        <v>70.2</v>
      </c>
      <c r="BP5" s="96">
        <v>10730.750250000001</v>
      </c>
      <c r="BQ5" s="136">
        <v>843.53353333333143</v>
      </c>
      <c r="BR5" s="207"/>
    </row>
    <row r="6" spans="1:70">
      <c r="A6" s="240">
        <f>A5+1</f>
        <v>45746</v>
      </c>
      <c r="B6" s="16">
        <f>YEAR(Input_Raw[[#This Row],[Date]])+IF(MONTH(Input_Raw[[#This Row],[Date]])&gt;=4,1,0)</f>
        <v>2025</v>
      </c>
      <c r="C6" s="16">
        <f>YEAR(Input_Raw[[#This Row],[Date]])</f>
        <v>2025</v>
      </c>
      <c r="D6" s="17">
        <f t="shared" si="2"/>
        <v>45717</v>
      </c>
      <c r="E6" s="16">
        <f>DAY(EOMONTH(Input_Raw[[#This Row],[Date]],0))</f>
        <v>31</v>
      </c>
      <c r="F6" s="147">
        <v>27637</v>
      </c>
      <c r="G6" s="147">
        <v>20373</v>
      </c>
      <c r="H6" s="147">
        <v>26510</v>
      </c>
      <c r="I6" s="147">
        <v>19936</v>
      </c>
      <c r="J6" s="147">
        <v>22120</v>
      </c>
      <c r="K6" s="147">
        <v>15645</v>
      </c>
      <c r="L6" s="147">
        <v>16384</v>
      </c>
      <c r="M6" s="147">
        <v>20002</v>
      </c>
      <c r="N6" s="147">
        <v>27251</v>
      </c>
      <c r="O6" s="147">
        <v>25559</v>
      </c>
      <c r="P6" s="147">
        <v>24523</v>
      </c>
      <c r="Q6" s="147">
        <v>24046</v>
      </c>
      <c r="R6" s="147">
        <v>12208</v>
      </c>
      <c r="S6" s="147">
        <v>21400</v>
      </c>
      <c r="T6" s="147">
        <v>24316</v>
      </c>
      <c r="U6" s="147">
        <v>18394</v>
      </c>
      <c r="V6" s="147">
        <v>15794</v>
      </c>
      <c r="W6" s="147">
        <v>22717</v>
      </c>
      <c r="X6" s="147">
        <v>15830</v>
      </c>
      <c r="Y6" s="147">
        <v>20448</v>
      </c>
      <c r="Z6" s="147">
        <v>14824</v>
      </c>
      <c r="AA6" s="147">
        <v>17472</v>
      </c>
      <c r="AB6" s="147">
        <v>25808</v>
      </c>
      <c r="AC6" s="18">
        <v>23294</v>
      </c>
      <c r="AD6" s="18">
        <v>24269</v>
      </c>
      <c r="AE6" s="18">
        <v>25351</v>
      </c>
      <c r="AF6" s="148">
        <v>6.6009722145067276</v>
      </c>
      <c r="AG6" s="148">
        <v>5.7502777932418709</v>
      </c>
      <c r="AH6" s="148">
        <v>6.2931250085433303</v>
      </c>
      <c r="AI6" s="148">
        <v>5.8126389003462249</v>
      </c>
      <c r="AJ6" s="148">
        <v>6.0320833060476495</v>
      </c>
      <c r="AK6" s="148">
        <v>5.3652083360486555</v>
      </c>
      <c r="AL6" s="148">
        <v>5.4792361222207537</v>
      </c>
      <c r="AM6" s="148">
        <v>5.5715972218248542</v>
      </c>
      <c r="AN6" s="148">
        <v>6.4743055568800933</v>
      </c>
      <c r="AO6" s="148">
        <v>6.3618055639995426</v>
      </c>
      <c r="AP6" s="148">
        <v>6.1913194499082014</v>
      </c>
      <c r="AQ6" s="148">
        <v>6.20736111866103</v>
      </c>
      <c r="AR6" s="148">
        <v>5.5847222076521961</v>
      </c>
      <c r="AS6" s="148">
        <v>6.0429166903098412</v>
      </c>
      <c r="AT6" s="148">
        <v>6.2760416931576177</v>
      </c>
      <c r="AU6" s="148">
        <v>5.7388194352388373</v>
      </c>
      <c r="AV6" s="148">
        <v>5.3019444495439521</v>
      </c>
      <c r="AW6" s="148">
        <v>5.9562499887413436</v>
      </c>
      <c r="AX6" s="148">
        <v>5.3214583065774708</v>
      </c>
      <c r="AY6" s="148">
        <v>5.9622916579246512</v>
      </c>
      <c r="AZ6" s="148">
        <v>5.3554166720973111</v>
      </c>
      <c r="BA6" s="148">
        <v>5.6883333184652853</v>
      </c>
      <c r="BB6" s="148">
        <v>6.3963889016045412</v>
      </c>
      <c r="BC6" s="90">
        <v>6.2214583357175179</v>
      </c>
      <c r="BD6" s="90">
        <v>6.2854166544145968</v>
      </c>
      <c r="BE6" s="90">
        <v>6.2647222330172809</v>
      </c>
      <c r="BF6" s="149">
        <f>SUM(Input_Raw[[#This Row],[O2_01]:[O2_26]])</f>
        <v>552111</v>
      </c>
      <c r="BG6" s="150">
        <f>IFERROR(AVERAGE(Input_Raw[[#This Row],[WS_O2_01]:[WS_O2_26]]),"")</f>
        <v>5.9436965821804399</v>
      </c>
      <c r="BH6" s="151"/>
      <c r="BI6" s="151"/>
      <c r="BJ6" s="18">
        <v>535500</v>
      </c>
      <c r="BK6" s="18">
        <v>0</v>
      </c>
      <c r="BL6" s="91">
        <f>Input_Raw[[#This Row],[66 kV_Wind_F1_Export_reading]]-Input_Raw[[#This Row],[66 kV_Wind_F1_Import_reading]]</f>
        <v>535500</v>
      </c>
      <c r="BM6" s="152">
        <f>Input_Raw[[#This Row],[WTG Total Gneration (KWh)]]-Input_Raw[[#This Row],[66 kV_Wind_F1_Export_reading]]</f>
        <v>16611</v>
      </c>
      <c r="BN6" s="133">
        <f>(Input_Raw[[#This Row],[WTG Total Gneration (KWh)]]-Input_Raw[[#This Row],[66 kV_Wind_F1_Export_reading]])/Input_Raw[[#This Row],[WTG Total Gneration (KWh)]]</f>
        <v>3.0086341333536191E-2</v>
      </c>
      <c r="BO6" s="89">
        <v>70.2</v>
      </c>
      <c r="BP6" s="96">
        <v>10615.750000000002</v>
      </c>
      <c r="BQ6" s="136">
        <v>562.59158333333312</v>
      </c>
      <c r="BR6" s="207"/>
    </row>
    <row r="7" spans="1:70">
      <c r="A7" s="240">
        <f t="shared" ref="A7:A70" si="3">A6+1</f>
        <v>45747</v>
      </c>
      <c r="B7" s="16">
        <f>YEAR(Input_Raw[[#This Row],[Date]])+IF(MONTH(Input_Raw[[#This Row],[Date]])&gt;=4,1,0)</f>
        <v>2025</v>
      </c>
      <c r="C7" s="16">
        <f>YEAR(Input_Raw[[#This Row],[Date]])</f>
        <v>2025</v>
      </c>
      <c r="D7" s="17">
        <f t="shared" si="2"/>
        <v>45717</v>
      </c>
      <c r="E7" s="16">
        <f>DAY(EOMONTH(Input_Raw[[#This Row],[Date]],0))</f>
        <v>31</v>
      </c>
      <c r="F7" s="147">
        <v>30792</v>
      </c>
      <c r="G7" s="147">
        <v>23793</v>
      </c>
      <c r="H7" s="147">
        <v>27249</v>
      </c>
      <c r="I7" s="147">
        <v>21898</v>
      </c>
      <c r="J7" s="147">
        <v>29803</v>
      </c>
      <c r="K7" s="147">
        <v>22412</v>
      </c>
      <c r="L7" s="147">
        <v>21150</v>
      </c>
      <c r="M7" s="147">
        <v>28036</v>
      </c>
      <c r="N7" s="147">
        <v>28127</v>
      </c>
      <c r="O7" s="147">
        <v>27563</v>
      </c>
      <c r="P7" s="147">
        <v>26632</v>
      </c>
      <c r="Q7" s="147">
        <v>27244</v>
      </c>
      <c r="R7" s="147">
        <v>16465</v>
      </c>
      <c r="S7" s="147">
        <v>23397</v>
      </c>
      <c r="T7" s="147">
        <v>27726</v>
      </c>
      <c r="U7" s="147">
        <v>24373</v>
      </c>
      <c r="V7" s="147">
        <v>27055</v>
      </c>
      <c r="W7" s="147">
        <v>25496</v>
      </c>
      <c r="X7" s="147">
        <v>21578</v>
      </c>
      <c r="Y7" s="147">
        <v>25148</v>
      </c>
      <c r="Z7" s="147">
        <v>21585</v>
      </c>
      <c r="AA7" s="147">
        <v>26561</v>
      </c>
      <c r="AB7" s="147">
        <v>26851</v>
      </c>
      <c r="AC7" s="18">
        <v>26200</v>
      </c>
      <c r="AD7" s="18">
        <v>31615</v>
      </c>
      <c r="AE7" s="18">
        <v>28973</v>
      </c>
      <c r="AF7" s="148">
        <v>6.9634722322225553</v>
      </c>
      <c r="AG7" s="148">
        <v>6.1958333419428913</v>
      </c>
      <c r="AH7" s="148">
        <v>6.6372916665342112</v>
      </c>
      <c r="AI7" s="148">
        <v>6.4454166773292743</v>
      </c>
      <c r="AJ7" s="148">
        <v>6.9128472407658883</v>
      </c>
      <c r="AK7" s="148">
        <v>6.25819446477625</v>
      </c>
      <c r="AL7" s="148">
        <v>6.1591666787862769</v>
      </c>
      <c r="AM7" s="148">
        <v>6.5843055413828946</v>
      </c>
      <c r="AN7" s="148">
        <v>6.745624992582532</v>
      </c>
      <c r="AO7" s="148">
        <v>6.7134028027455006</v>
      </c>
      <c r="AP7" s="148">
        <v>6.578125031458006</v>
      </c>
      <c r="AQ7" s="148">
        <v>6.5429861164755287</v>
      </c>
      <c r="AR7" s="148">
        <v>5.6846527606248856</v>
      </c>
      <c r="AS7" s="148">
        <v>6.3172222276528665</v>
      </c>
      <c r="AT7" s="148">
        <v>6.7261110908455315</v>
      </c>
      <c r="AU7" s="148">
        <v>6.4801388863060208</v>
      </c>
      <c r="AV7" s="148">
        <v>6.5284722331497393</v>
      </c>
      <c r="AW7" s="148">
        <v>6.3688888798157368</v>
      </c>
      <c r="AX7" s="148">
        <v>6.120277787248293</v>
      </c>
      <c r="AY7" s="148">
        <v>6.5565972228844949</v>
      </c>
      <c r="AZ7" s="148">
        <v>6.2088194373581134</v>
      </c>
      <c r="BA7" s="148">
        <v>6.6995833284325066</v>
      </c>
      <c r="BB7" s="148">
        <v>6.6097222318251916</v>
      </c>
      <c r="BC7" s="90">
        <v>6.5710416634877511</v>
      </c>
      <c r="BD7" s="90">
        <v>7.0081944101386595</v>
      </c>
      <c r="BE7" s="90">
        <v>6.7216666572623778</v>
      </c>
      <c r="BF7" s="149">
        <f>SUM(Input_Raw[[#This Row],[O2_01]:[O2_26]])</f>
        <v>667722</v>
      </c>
      <c r="BG7" s="150">
        <f>IFERROR(AVERAGE(Input_Raw[[#This Row],[WS_O2_01]:[WS_O2_26]]),"")</f>
        <v>6.5130021386166925</v>
      </c>
      <c r="BH7" s="151"/>
      <c r="BI7" s="151"/>
      <c r="BJ7" s="18">
        <v>646650</v>
      </c>
      <c r="BK7" s="18">
        <v>0</v>
      </c>
      <c r="BL7" s="91">
        <f>Input_Raw[[#This Row],[66 kV_Wind_F1_Export_reading]]-Input_Raw[[#This Row],[66 kV_Wind_F1_Import_reading]]</f>
        <v>646650</v>
      </c>
      <c r="BM7" s="152">
        <f>Input_Raw[[#This Row],[WTG Total Gneration (KWh)]]-Input_Raw[[#This Row],[66 kV_Wind_F1_Export_reading]]</f>
        <v>21072</v>
      </c>
      <c r="BN7" s="133">
        <f>(Input_Raw[[#This Row],[WTG Total Gneration (KWh)]]-Input_Raw[[#This Row],[66 kV_Wind_F1_Export_reading]])/Input_Raw[[#This Row],[WTG Total Gneration (KWh)]]</f>
        <v>3.1558043616954363E-2</v>
      </c>
      <c r="BO7" s="89">
        <v>70.2</v>
      </c>
      <c r="BP7" s="96">
        <v>6658.3755000000001</v>
      </c>
      <c r="BQ7" s="136">
        <v>675.40492499999823</v>
      </c>
      <c r="BR7" s="207"/>
    </row>
    <row r="8" spans="1:70">
      <c r="A8" s="240">
        <f t="shared" si="3"/>
        <v>45748</v>
      </c>
      <c r="B8" s="11">
        <f>YEAR(Input_Raw[[#This Row],[Date]])+IF(MONTH(Input_Raw[[#This Row],[Date]])&gt;=4,1,0)</f>
        <v>2026</v>
      </c>
      <c r="C8" s="11">
        <f>YEAR(Input_Raw[[#This Row],[Date]])</f>
        <v>2025</v>
      </c>
      <c r="D8" s="12">
        <f t="shared" si="2"/>
        <v>45748</v>
      </c>
      <c r="E8" s="11">
        <f>DAY(EOMONTH(Input_Raw[[#This Row],[Date]],0))</f>
        <v>30</v>
      </c>
      <c r="F8" s="137">
        <v>24859</v>
      </c>
      <c r="G8" s="137">
        <v>17522</v>
      </c>
      <c r="H8" s="137">
        <v>22210</v>
      </c>
      <c r="I8" s="137">
        <v>18174</v>
      </c>
      <c r="J8" s="137">
        <v>24626</v>
      </c>
      <c r="K8" s="137">
        <v>19200</v>
      </c>
      <c r="L8" s="137">
        <v>16286</v>
      </c>
      <c r="M8" s="137">
        <v>23133</v>
      </c>
      <c r="N8" s="137">
        <v>22108</v>
      </c>
      <c r="O8" s="137">
        <v>18242</v>
      </c>
      <c r="P8" s="137">
        <v>21579</v>
      </c>
      <c r="Q8" s="137">
        <v>21528</v>
      </c>
      <c r="R8" s="137">
        <v>16565</v>
      </c>
      <c r="S8" s="137">
        <v>18906</v>
      </c>
      <c r="T8" s="137">
        <v>23343</v>
      </c>
      <c r="U8" s="137">
        <v>20048</v>
      </c>
      <c r="V8" s="137">
        <v>25148</v>
      </c>
      <c r="W8" s="137">
        <v>21049</v>
      </c>
      <c r="X8" s="137">
        <v>16398</v>
      </c>
      <c r="Y8" s="137">
        <v>20464</v>
      </c>
      <c r="Z8" s="137">
        <v>19206</v>
      </c>
      <c r="AA8" s="137">
        <v>22090</v>
      </c>
      <c r="AB8" s="137">
        <v>22657</v>
      </c>
      <c r="AC8" s="13">
        <v>20113</v>
      </c>
      <c r="AD8" s="13">
        <v>25900</v>
      </c>
      <c r="AE8" s="13">
        <v>22764</v>
      </c>
      <c r="AF8" s="138">
        <v>6.4824999918540307</v>
      </c>
      <c r="AG8" s="138">
        <v>5.6122222128841601</v>
      </c>
      <c r="AH8" s="138">
        <v>6.1156249857611122</v>
      </c>
      <c r="AI8" s="138">
        <v>5.7691666616333848</v>
      </c>
      <c r="AJ8" s="138">
        <v>6.36208332909478</v>
      </c>
      <c r="AK8" s="138">
        <v>5.8643749923341799</v>
      </c>
      <c r="AL8" s="138">
        <v>5.5517360957132444</v>
      </c>
      <c r="AM8" s="138">
        <v>6.1420833385652962</v>
      </c>
      <c r="AN8" s="138">
        <v>6.300416669911808</v>
      </c>
      <c r="AO8" s="138">
        <v>6.3971527831421948</v>
      </c>
      <c r="AP8" s="138">
        <v>6.1520833406183444</v>
      </c>
      <c r="AQ8" s="138">
        <v>6.038888891537983</v>
      </c>
      <c r="AR8" s="138">
        <v>5.5854860759443703</v>
      </c>
      <c r="AS8" s="138">
        <v>5.8668750143713417</v>
      </c>
      <c r="AT8" s="138">
        <v>6.2559027862217684</v>
      </c>
      <c r="AU8" s="138">
        <v>5.8794444431033392</v>
      </c>
      <c r="AV8" s="138">
        <v>6.1134722042414866</v>
      </c>
      <c r="AW8" s="138">
        <v>5.7825694195926189</v>
      </c>
      <c r="AX8" s="138">
        <v>5.474444444808694</v>
      </c>
      <c r="AY8" s="138">
        <v>6.0081249939070798</v>
      </c>
      <c r="AZ8" s="138">
        <v>5.9768055180708561</v>
      </c>
      <c r="BA8" s="138">
        <v>6.1609722214440499</v>
      </c>
      <c r="BB8" s="138">
        <v>6.2340277814202834</v>
      </c>
      <c r="BC8" s="14">
        <v>5.9270833391282283</v>
      </c>
      <c r="BD8" s="14">
        <v>6.468055546283721</v>
      </c>
      <c r="BE8" s="14">
        <v>6.1780555529726868</v>
      </c>
      <c r="BF8" s="139">
        <f>SUM(Input_Raw[[#This Row],[O2_01]:[O2_26]])</f>
        <v>544118</v>
      </c>
      <c r="BG8" s="140">
        <f>IFERROR(AVERAGE(Input_Raw[[#This Row],[WS_O2_01]:[WS_O2_26]]),"")</f>
        <v>6.0269097167138863</v>
      </c>
      <c r="BH8" s="141"/>
      <c r="BI8" s="141"/>
      <c r="BJ8" s="13">
        <v>525600</v>
      </c>
      <c r="BK8" s="13">
        <v>0</v>
      </c>
      <c r="BL8" s="15">
        <f>Input_Raw[[#This Row],[66 kV_Wind_F1_Export_reading]]-Input_Raw[[#This Row],[66 kV_Wind_F1_Import_reading]]</f>
        <v>525600</v>
      </c>
      <c r="BM8" s="142">
        <f>Input_Raw[[#This Row],[WTG Total Gneration (KWh)]]-Input_Raw[[#This Row],[66 kV_Wind_F1_Export_reading]]</f>
        <v>18518</v>
      </c>
      <c r="BN8" s="111">
        <f>(Input_Raw[[#This Row],[WTG Total Gneration (KWh)]]-Input_Raw[[#This Row],[66 kV_Wind_F1_Export_reading]])/Input_Raw[[#This Row],[WTG Total Gneration (KWh)]]</f>
        <v>3.4033059005583351E-2</v>
      </c>
      <c r="BO8" s="89">
        <v>70.2</v>
      </c>
      <c r="BP8" s="96">
        <v>6090.6249999999982</v>
      </c>
      <c r="BQ8" s="135">
        <v>664.42114166666602</v>
      </c>
      <c r="BR8" s="207"/>
    </row>
    <row r="9" spans="1:70">
      <c r="A9" s="240">
        <f t="shared" si="3"/>
        <v>45749</v>
      </c>
      <c r="B9" s="11">
        <f>YEAR(Input_Raw[[#This Row],[Date]])+IF(MONTH(Input_Raw[[#This Row],[Date]])&gt;=4,1,0)</f>
        <v>2026</v>
      </c>
      <c r="C9" s="11">
        <f>YEAR(Input_Raw[[#This Row],[Date]])</f>
        <v>2025</v>
      </c>
      <c r="D9" s="12">
        <f t="shared" si="2"/>
        <v>45748</v>
      </c>
      <c r="E9" s="11">
        <f>DAY(EOMONTH(Input_Raw[[#This Row],[Date]],0))</f>
        <v>30</v>
      </c>
      <c r="F9" s="137">
        <v>15390</v>
      </c>
      <c r="G9" s="137">
        <v>9289</v>
      </c>
      <c r="H9" s="137">
        <v>11294</v>
      </c>
      <c r="I9" s="137">
        <v>9155</v>
      </c>
      <c r="J9" s="137">
        <v>12752</v>
      </c>
      <c r="K9" s="137">
        <v>10737</v>
      </c>
      <c r="L9" s="137">
        <v>7398</v>
      </c>
      <c r="M9" s="137">
        <v>13309</v>
      </c>
      <c r="N9" s="137">
        <v>13339</v>
      </c>
      <c r="O9" s="137">
        <v>9359</v>
      </c>
      <c r="P9" s="137">
        <v>12012</v>
      </c>
      <c r="Q9" s="137">
        <v>11497</v>
      </c>
      <c r="R9" s="137">
        <v>9164</v>
      </c>
      <c r="S9" s="137">
        <v>11079</v>
      </c>
      <c r="T9" s="137">
        <v>13298</v>
      </c>
      <c r="U9" s="137">
        <v>8978</v>
      </c>
      <c r="V9" s="137">
        <v>9302</v>
      </c>
      <c r="W9" s="137">
        <v>10617</v>
      </c>
      <c r="X9" s="137">
        <v>6666</v>
      </c>
      <c r="Y9" s="137">
        <v>10349</v>
      </c>
      <c r="Z9" s="137">
        <v>9694</v>
      </c>
      <c r="AA9" s="137">
        <v>9405</v>
      </c>
      <c r="AB9" s="137">
        <v>14168</v>
      </c>
      <c r="AC9" s="13">
        <v>10062</v>
      </c>
      <c r="AD9" s="13">
        <v>14691</v>
      </c>
      <c r="AE9" s="13">
        <v>12678</v>
      </c>
      <c r="AF9" s="138">
        <v>4.9065277634395486</v>
      </c>
      <c r="AG9" s="138">
        <v>4.2376388957103082</v>
      </c>
      <c r="AH9" s="138">
        <v>4.4292361131972733</v>
      </c>
      <c r="AI9" s="138">
        <v>4.1886111166742106</v>
      </c>
      <c r="AJ9" s="138">
        <v>4.6670138864881459</v>
      </c>
      <c r="AK9" s="138">
        <v>4.4214583399395142</v>
      </c>
      <c r="AL9" s="138">
        <v>4.0839583368764965</v>
      </c>
      <c r="AM9" s="138">
        <v>4.5752083203858795</v>
      </c>
      <c r="AN9" s="138">
        <v>4.6523611388272705</v>
      </c>
      <c r="AO9" s="138">
        <v>4.4830769138944726</v>
      </c>
      <c r="AP9" s="138">
        <v>4.5495139021012507</v>
      </c>
      <c r="AQ9" s="138">
        <v>4.4724305553568726</v>
      </c>
      <c r="AR9" s="138">
        <v>4.2004166597293473</v>
      </c>
      <c r="AS9" s="138">
        <v>4.4584722295403472</v>
      </c>
      <c r="AT9" s="138">
        <v>4.6362499999296327</v>
      </c>
      <c r="AU9" s="138">
        <v>4.3228472098708144</v>
      </c>
      <c r="AV9" s="138">
        <v>4.191319464395443</v>
      </c>
      <c r="AW9" s="138">
        <v>4.3113194536417714</v>
      </c>
      <c r="AX9" s="138">
        <v>3.8906944410668469</v>
      </c>
      <c r="AY9" s="138">
        <v>4.413680548469225</v>
      </c>
      <c r="AZ9" s="138">
        <v>4.3231249919368153</v>
      </c>
      <c r="BA9" s="138">
        <v>4.4097916773623886</v>
      </c>
      <c r="BB9" s="138">
        <v>4.6671527744167376</v>
      </c>
      <c r="BC9" s="14">
        <v>4.3510416576431847</v>
      </c>
      <c r="BD9" s="14">
        <v>4.9296527579426757</v>
      </c>
      <c r="BE9" s="14">
        <v>4.6202083292106781</v>
      </c>
      <c r="BF9" s="139">
        <f>SUM(Input_Raw[[#This Row],[O2_01]:[O2_26]])</f>
        <v>285682</v>
      </c>
      <c r="BG9" s="140">
        <f>IFERROR(AVERAGE(Input_Raw[[#This Row],[WS_O2_01]:[WS_O2_26]]),"")</f>
        <v>4.4381925953095074</v>
      </c>
      <c r="BH9" s="141"/>
      <c r="BI9" s="141"/>
      <c r="BJ9" s="13">
        <v>275850</v>
      </c>
      <c r="BK9" s="13">
        <v>0</v>
      </c>
      <c r="BL9" s="15">
        <f>Input_Raw[[#This Row],[66 kV_Wind_F1_Export_reading]]-Input_Raw[[#This Row],[66 kV_Wind_F1_Import_reading]]</f>
        <v>275850</v>
      </c>
      <c r="BM9" s="142">
        <f>Input_Raw[[#This Row],[WTG Total Gneration (KWh)]]-Input_Raw[[#This Row],[66 kV_Wind_F1_Export_reading]]</f>
        <v>9832</v>
      </c>
      <c r="BN9" s="111">
        <f>(Input_Raw[[#This Row],[WTG Total Gneration (KWh)]]-Input_Raw[[#This Row],[66 kV_Wind_F1_Export_reading]])/Input_Raw[[#This Row],[WTG Total Gneration (KWh)]]</f>
        <v>3.4415888995456487E-2</v>
      </c>
      <c r="BO9" s="89">
        <v>70.2</v>
      </c>
      <c r="BP9" s="96">
        <v>19037.625</v>
      </c>
      <c r="BQ9" s="135">
        <v>294.64035833333321</v>
      </c>
      <c r="BR9" s="207"/>
    </row>
    <row r="10" spans="1:70">
      <c r="A10" s="240">
        <f t="shared" si="3"/>
        <v>45750</v>
      </c>
      <c r="B10" s="11">
        <f>YEAR(Input_Raw[[#This Row],[Date]])+IF(MONTH(Input_Raw[[#This Row],[Date]])&gt;=4,1,0)</f>
        <v>2026</v>
      </c>
      <c r="C10" s="11">
        <f>YEAR(Input_Raw[[#This Row],[Date]])</f>
        <v>2025</v>
      </c>
      <c r="D10" s="12">
        <f t="shared" si="2"/>
        <v>45748</v>
      </c>
      <c r="E10" s="11">
        <f>DAY(EOMONTH(Input_Raw[[#This Row],[Date]],0))</f>
        <v>30</v>
      </c>
      <c r="F10" s="137">
        <v>13383</v>
      </c>
      <c r="G10" s="137">
        <v>13133</v>
      </c>
      <c r="H10" s="137">
        <v>15729</v>
      </c>
      <c r="I10" s="137">
        <v>11906</v>
      </c>
      <c r="J10" s="137">
        <v>13760</v>
      </c>
      <c r="K10" s="137">
        <v>12347</v>
      </c>
      <c r="L10" s="137">
        <v>9696</v>
      </c>
      <c r="M10" s="137">
        <v>13829</v>
      </c>
      <c r="N10" s="137">
        <v>15125</v>
      </c>
      <c r="O10" s="137">
        <v>15768</v>
      </c>
      <c r="P10" s="137">
        <v>15119</v>
      </c>
      <c r="Q10" s="137">
        <v>14465</v>
      </c>
      <c r="R10" s="137">
        <v>12202</v>
      </c>
      <c r="S10" s="137">
        <v>13740</v>
      </c>
      <c r="T10" s="137">
        <v>16142</v>
      </c>
      <c r="U10" s="137">
        <v>12680</v>
      </c>
      <c r="V10" s="137">
        <v>14651</v>
      </c>
      <c r="W10" s="137">
        <v>15873</v>
      </c>
      <c r="X10" s="137">
        <v>10731</v>
      </c>
      <c r="Y10" s="137">
        <v>14473</v>
      </c>
      <c r="Z10" s="137">
        <v>11665</v>
      </c>
      <c r="AA10" s="137">
        <v>13581</v>
      </c>
      <c r="AB10" s="137">
        <v>15118</v>
      </c>
      <c r="AC10" s="13">
        <v>13382</v>
      </c>
      <c r="AD10" s="13">
        <v>15074</v>
      </c>
      <c r="AE10" s="13">
        <v>13667</v>
      </c>
      <c r="AF10" s="138">
        <v>5.0588194446431256</v>
      </c>
      <c r="AG10" s="138">
        <v>4.7379861093229714</v>
      </c>
      <c r="AH10" s="138">
        <v>4.9966666715012646</v>
      </c>
      <c r="AI10" s="138">
        <v>4.5331944367951813</v>
      </c>
      <c r="AJ10" s="138">
        <v>4.8686805665493003</v>
      </c>
      <c r="AK10" s="138">
        <v>4.7206944450736037</v>
      </c>
      <c r="AL10" s="138">
        <v>4.251874994072649</v>
      </c>
      <c r="AM10" s="138">
        <v>4.790833338267273</v>
      </c>
      <c r="AN10" s="138">
        <v>4.9429166677097474</v>
      </c>
      <c r="AO10" s="138">
        <v>5.1478873454559011</v>
      </c>
      <c r="AP10" s="138">
        <v>4.9330555614497928</v>
      </c>
      <c r="AQ10" s="138">
        <v>4.9057638810740567</v>
      </c>
      <c r="AR10" s="138">
        <v>4.6674305697282144</v>
      </c>
      <c r="AS10" s="138">
        <v>4.8718055532210398</v>
      </c>
      <c r="AT10" s="138">
        <v>5.1028472094072228</v>
      </c>
      <c r="AU10" s="138">
        <v>5.1621428567265708</v>
      </c>
      <c r="AV10" s="138">
        <v>4.8495138883590689</v>
      </c>
      <c r="AW10" s="138">
        <v>4.9915972182320214</v>
      </c>
      <c r="AX10" s="138">
        <v>4.2990972234143143</v>
      </c>
      <c r="AY10" s="138">
        <v>4.9842360905475083</v>
      </c>
      <c r="AZ10" s="138">
        <v>4.6977777861886549</v>
      </c>
      <c r="BA10" s="138">
        <v>4.9977777960399781</v>
      </c>
      <c r="BB10" s="138">
        <v>4.8995139040052882</v>
      </c>
      <c r="BC10" s="14">
        <v>4.8812499857611122</v>
      </c>
      <c r="BD10" s="14">
        <v>5.009861112468772</v>
      </c>
      <c r="BE10" s="14">
        <v>4.7497222315933962</v>
      </c>
      <c r="BF10" s="139">
        <f>SUM(Input_Raw[[#This Row],[O2_01]:[O2_26]])</f>
        <v>357239</v>
      </c>
      <c r="BG10" s="140">
        <f>IFERROR(AVERAGE(Input_Raw[[#This Row],[WS_O2_01]:[WS_O2_26]]),"")</f>
        <v>4.848190264908002</v>
      </c>
      <c r="BH10" s="141"/>
      <c r="BI10" s="141"/>
      <c r="BJ10" s="13">
        <v>346050</v>
      </c>
      <c r="BK10" s="13">
        <v>450</v>
      </c>
      <c r="BL10" s="15">
        <f>Input_Raw[[#This Row],[66 kV_Wind_F1_Export_reading]]-Input_Raw[[#This Row],[66 kV_Wind_F1_Import_reading]]</f>
        <v>345600</v>
      </c>
      <c r="BM10" s="142">
        <f>Input_Raw[[#This Row],[WTG Total Gneration (KWh)]]-Input_Raw[[#This Row],[66 kV_Wind_F1_Export_reading]]</f>
        <v>11189</v>
      </c>
      <c r="BN10" s="111">
        <f>(Input_Raw[[#This Row],[WTG Total Gneration (KWh)]]-Input_Raw[[#This Row],[66 kV_Wind_F1_Export_reading]])/Input_Raw[[#This Row],[WTG Total Gneration (KWh)]]</f>
        <v>3.1320768449133493E-2</v>
      </c>
      <c r="BO10" s="89">
        <v>70.2</v>
      </c>
      <c r="BP10" s="96">
        <v>9135.9995000000017</v>
      </c>
      <c r="BQ10" s="135">
        <v>371.21</v>
      </c>
      <c r="BR10" s="207"/>
    </row>
    <row r="11" spans="1:70">
      <c r="A11" s="240">
        <f t="shared" si="3"/>
        <v>45751</v>
      </c>
      <c r="B11" s="11">
        <f>YEAR(Input_Raw[[#This Row],[Date]])+IF(MONTH(Input_Raw[[#This Row],[Date]])&gt;=4,1,0)</f>
        <v>2026</v>
      </c>
      <c r="C11" s="11">
        <f>YEAR(Input_Raw[[#This Row],[Date]])</f>
        <v>2025</v>
      </c>
      <c r="D11" s="12">
        <f t="shared" ref="D11:D16" si="4">A11-DAY(A11)+1</f>
        <v>45748</v>
      </c>
      <c r="E11" s="11">
        <f>DAY(EOMONTH(Input_Raw[[#This Row],[Date]],0))</f>
        <v>30</v>
      </c>
      <c r="F11" s="137">
        <v>9606</v>
      </c>
      <c r="G11" s="137">
        <v>13454</v>
      </c>
      <c r="H11" s="137">
        <v>10576</v>
      </c>
      <c r="I11" s="137">
        <v>13874</v>
      </c>
      <c r="J11" s="137">
        <v>12870</v>
      </c>
      <c r="K11" s="137">
        <v>10850</v>
      </c>
      <c r="L11" s="137">
        <v>10070</v>
      </c>
      <c r="M11" s="137">
        <v>5950</v>
      </c>
      <c r="N11" s="137">
        <v>9655</v>
      </c>
      <c r="O11" s="137">
        <v>9291</v>
      </c>
      <c r="P11" s="137">
        <v>10519</v>
      </c>
      <c r="Q11" s="137">
        <v>9596</v>
      </c>
      <c r="R11" s="137">
        <v>9913</v>
      </c>
      <c r="S11" s="137">
        <v>9746</v>
      </c>
      <c r="T11" s="137">
        <v>11533</v>
      </c>
      <c r="U11" s="137">
        <v>10880</v>
      </c>
      <c r="V11" s="137">
        <v>10328</v>
      </c>
      <c r="W11" s="137">
        <v>9755</v>
      </c>
      <c r="X11" s="137">
        <v>9910</v>
      </c>
      <c r="Y11" s="137">
        <v>10901</v>
      </c>
      <c r="Z11" s="137">
        <v>10715</v>
      </c>
      <c r="AA11" s="137">
        <v>11247</v>
      </c>
      <c r="AB11" s="137">
        <v>9751</v>
      </c>
      <c r="AC11" s="13">
        <v>9056</v>
      </c>
      <c r="AD11" s="13">
        <v>12074</v>
      </c>
      <c r="AE11" s="13">
        <v>7143</v>
      </c>
      <c r="AF11" s="138">
        <v>4.1074825249143405</v>
      </c>
      <c r="AG11" s="138">
        <v>4.4045833589302159</v>
      </c>
      <c r="AH11" s="138">
        <v>4.1697222271727181</v>
      </c>
      <c r="AI11" s="138">
        <v>4.5421527847647658</v>
      </c>
      <c r="AJ11" s="138">
        <v>4.4670833581023741</v>
      </c>
      <c r="AK11" s="138">
        <v>4.5188194422258272</v>
      </c>
      <c r="AL11" s="138">
        <v>4.2655555564496241</v>
      </c>
      <c r="AM11" s="138">
        <v>3.5977777846985384</v>
      </c>
      <c r="AN11" s="138">
        <v>4.0915277571313906</v>
      </c>
      <c r="AO11" s="138">
        <v>4.200208325352933</v>
      </c>
      <c r="AP11" s="138">
        <v>4.2414583493438025</v>
      </c>
      <c r="AQ11" s="138">
        <v>4.2454166635870925</v>
      </c>
      <c r="AR11" s="138">
        <v>4.2494444573918972</v>
      </c>
      <c r="AS11" s="138">
        <v>4.1895833392110129</v>
      </c>
      <c r="AT11" s="138">
        <v>4.4555555598603345</v>
      </c>
      <c r="AU11" s="138">
        <v>4.5643750023510714</v>
      </c>
      <c r="AV11" s="138">
        <v>4.4336111144059229</v>
      </c>
      <c r="AW11" s="138">
        <v>4.2047222082813569</v>
      </c>
      <c r="AX11" s="138">
        <v>4.284791673223177</v>
      </c>
      <c r="AY11" s="138">
        <v>4.4191666882899066</v>
      </c>
      <c r="AZ11" s="138">
        <v>4.551250017351574</v>
      </c>
      <c r="BA11" s="138">
        <v>4.6810416939357919</v>
      </c>
      <c r="BB11" s="138">
        <v>4.1091666664514266</v>
      </c>
      <c r="BC11" s="14">
        <v>4.5283333493603593</v>
      </c>
      <c r="BD11" s="14">
        <v>4.2424305408365193</v>
      </c>
      <c r="BE11" s="14">
        <v>3.6447222232818595</v>
      </c>
      <c r="BF11" s="139">
        <f>SUM(Input_Raw[[#This Row],[O2_01]:[O2_26]])</f>
        <v>269263</v>
      </c>
      <c r="BG11" s="140">
        <f>IFERROR(AVERAGE(Input_Raw[[#This Row],[WS_O2_01]:[WS_O2_26]]),"")</f>
        <v>4.2849993333425322</v>
      </c>
      <c r="BH11" s="141"/>
      <c r="BI11" s="141"/>
      <c r="BJ11" s="13">
        <v>257400</v>
      </c>
      <c r="BK11" s="13">
        <v>450</v>
      </c>
      <c r="BL11" s="15">
        <f>Input_Raw[[#This Row],[66 kV_Wind_F1_Export_reading]]-Input_Raw[[#This Row],[66 kV_Wind_F1_Import_reading]]</f>
        <v>256950</v>
      </c>
      <c r="BM11" s="142">
        <f>Input_Raw[[#This Row],[WTG Total Gneration (KWh)]]-Input_Raw[[#This Row],[66 kV_Wind_F1_Export_reading]]</f>
        <v>11863</v>
      </c>
      <c r="BN11" s="111">
        <f>(Input_Raw[[#This Row],[WTG Total Gneration (KWh)]]-Input_Raw[[#This Row],[66 kV_Wind_F1_Export_reading]])/Input_Raw[[#This Row],[WTG Total Gneration (KWh)]]</f>
        <v>4.4057297140713728E-2</v>
      </c>
      <c r="BO11" s="89">
        <v>70.2</v>
      </c>
      <c r="BP11" s="96">
        <v>11281.375500000002</v>
      </c>
      <c r="BQ11" s="135">
        <v>281.07</v>
      </c>
      <c r="BR11" s="207"/>
    </row>
    <row r="12" spans="1:70">
      <c r="A12" s="240">
        <f t="shared" si="3"/>
        <v>45752</v>
      </c>
      <c r="B12" s="11">
        <f>YEAR(Input_Raw[[#This Row],[Date]])+IF(MONTH(Input_Raw[[#This Row],[Date]])&gt;=4,1,0)</f>
        <v>2026</v>
      </c>
      <c r="C12" s="11">
        <f>YEAR(Input_Raw[[#This Row],[Date]])</f>
        <v>2025</v>
      </c>
      <c r="D12" s="12">
        <f t="shared" si="4"/>
        <v>45748</v>
      </c>
      <c r="E12" s="11">
        <f>DAY(EOMONTH(Input_Raw[[#This Row],[Date]],0))</f>
        <v>30</v>
      </c>
      <c r="F12" s="137">
        <v>10770</v>
      </c>
      <c r="G12" s="137">
        <v>12690</v>
      </c>
      <c r="H12" s="137">
        <v>8782</v>
      </c>
      <c r="I12" s="137">
        <v>9733</v>
      </c>
      <c r="J12" s="137">
        <v>12146</v>
      </c>
      <c r="K12" s="137">
        <v>6432</v>
      </c>
      <c r="L12" s="137">
        <v>7205</v>
      </c>
      <c r="M12" s="137">
        <v>8811</v>
      </c>
      <c r="N12" s="137">
        <v>10832</v>
      </c>
      <c r="O12" s="137">
        <v>8037</v>
      </c>
      <c r="P12" s="137">
        <v>9830</v>
      </c>
      <c r="Q12" s="137">
        <v>9113</v>
      </c>
      <c r="R12" s="137">
        <v>7542</v>
      </c>
      <c r="S12" s="137">
        <v>7556</v>
      </c>
      <c r="T12" s="137">
        <v>8812</v>
      </c>
      <c r="U12" s="137">
        <v>7842</v>
      </c>
      <c r="V12" s="137">
        <v>7381</v>
      </c>
      <c r="W12" s="137">
        <v>8147</v>
      </c>
      <c r="X12" s="137">
        <v>5738</v>
      </c>
      <c r="Y12" s="137">
        <v>7721</v>
      </c>
      <c r="Z12" s="137">
        <v>6752</v>
      </c>
      <c r="AA12" s="137">
        <v>7069</v>
      </c>
      <c r="AB12" s="137">
        <v>10055</v>
      </c>
      <c r="AC12" s="13">
        <v>3479</v>
      </c>
      <c r="AD12" s="13">
        <v>12113</v>
      </c>
      <c r="AE12" s="13">
        <v>8683</v>
      </c>
      <c r="AF12" s="138">
        <v>4.526267593175592</v>
      </c>
      <c r="AG12" s="138">
        <v>4.7994366019544454</v>
      </c>
      <c r="AH12" s="138">
        <v>4.7470503719590544</v>
      </c>
      <c r="AI12" s="138">
        <v>4.4607638857430878</v>
      </c>
      <c r="AJ12" s="138">
        <v>4.808309856434942</v>
      </c>
      <c r="AK12" s="138">
        <v>4.1983333304524413</v>
      </c>
      <c r="AL12" s="138">
        <v>4.1055555649929572</v>
      </c>
      <c r="AM12" s="138">
        <v>4.2778873212740445</v>
      </c>
      <c r="AN12" s="138">
        <v>4.6021830947466293</v>
      </c>
      <c r="AO12" s="138">
        <v>4.2916197306673283</v>
      </c>
      <c r="AP12" s="138">
        <v>4.4273943674396454</v>
      </c>
      <c r="AQ12" s="138">
        <v>4.3550000073204567</v>
      </c>
      <c r="AR12" s="138">
        <v>4.156126759841408</v>
      </c>
      <c r="AS12" s="138">
        <v>4.1405633801305788</v>
      </c>
      <c r="AT12" s="138">
        <v>4.3870422533700157</v>
      </c>
      <c r="AU12" s="138">
        <v>4.3794444700082131</v>
      </c>
      <c r="AV12" s="138">
        <v>4.1643750038411866</v>
      </c>
      <c r="AW12" s="138">
        <v>4.1691666659381639</v>
      </c>
      <c r="AX12" s="138">
        <v>3.7783333377705666</v>
      </c>
      <c r="AY12" s="138">
        <v>4.2716666741503602</v>
      </c>
      <c r="AZ12" s="138">
        <v>4.2271527854932662</v>
      </c>
      <c r="BA12" s="138">
        <v>4.3282638788223258</v>
      </c>
      <c r="BB12" s="138">
        <v>4.4027464868317168</v>
      </c>
      <c r="BC12" s="14">
        <v>4.5231468669184434</v>
      </c>
      <c r="BD12" s="14">
        <v>4.7241549210649136</v>
      </c>
      <c r="BE12" s="14">
        <v>4.2093007122720021</v>
      </c>
      <c r="BF12" s="139">
        <f>SUM(Input_Raw[[#This Row],[O2_01]:[O2_26]])</f>
        <v>223271</v>
      </c>
      <c r="BG12" s="140">
        <f>IFERROR(AVERAGE(Input_Raw[[#This Row],[WS_O2_01]:[WS_O2_26]]),"")</f>
        <v>4.3638956124082213</v>
      </c>
      <c r="BH12" s="141"/>
      <c r="BI12" s="141"/>
      <c r="BJ12" s="13">
        <v>214200</v>
      </c>
      <c r="BK12" s="13">
        <v>0</v>
      </c>
      <c r="BL12" s="15">
        <f>Input_Raw[[#This Row],[66 kV_Wind_F1_Export_reading]]-Input_Raw[[#This Row],[66 kV_Wind_F1_Import_reading]]</f>
        <v>214200</v>
      </c>
      <c r="BM12" s="142">
        <f>Input_Raw[[#This Row],[WTG Total Gneration (KWh)]]-Input_Raw[[#This Row],[66 kV_Wind_F1_Export_reading]]</f>
        <v>9071</v>
      </c>
      <c r="BN12" s="111">
        <f>(Input_Raw[[#This Row],[WTG Total Gneration (KWh)]]-Input_Raw[[#This Row],[66 kV_Wind_F1_Export_reading]])/Input_Raw[[#This Row],[WTG Total Gneration (KWh)]]</f>
        <v>4.062775729942536E-2</v>
      </c>
      <c r="BO12" s="89">
        <v>70.2</v>
      </c>
      <c r="BP12" s="96">
        <v>8341.2507500000029</v>
      </c>
      <c r="BQ12" s="146">
        <v>230.95</v>
      </c>
      <c r="BR12" s="207"/>
    </row>
    <row r="13" spans="1:70">
      <c r="A13" s="240">
        <f t="shared" si="3"/>
        <v>45753</v>
      </c>
      <c r="B13" s="11">
        <f>YEAR(Input_Raw[[#This Row],[Date]])+IF(MONTH(Input_Raw[[#This Row],[Date]])&gt;=4,1,0)</f>
        <v>2026</v>
      </c>
      <c r="C13" s="11">
        <f>YEAR(Input_Raw[[#This Row],[Date]])</f>
        <v>2025</v>
      </c>
      <c r="D13" s="12">
        <f t="shared" si="4"/>
        <v>45748</v>
      </c>
      <c r="E13" s="11">
        <f>DAY(EOMONTH(Input_Raw[[#This Row],[Date]],0))</f>
        <v>30</v>
      </c>
      <c r="F13" s="137">
        <v>21007</v>
      </c>
      <c r="G13" s="137">
        <v>29659</v>
      </c>
      <c r="H13" s="137">
        <v>17733</v>
      </c>
      <c r="I13" s="137">
        <v>28588</v>
      </c>
      <c r="J13" s="137">
        <v>27930</v>
      </c>
      <c r="K13" s="137">
        <v>24449</v>
      </c>
      <c r="L13" s="137">
        <v>27191</v>
      </c>
      <c r="M13" s="137">
        <v>18202</v>
      </c>
      <c r="N13" s="137">
        <v>19159</v>
      </c>
      <c r="O13" s="137">
        <v>21773</v>
      </c>
      <c r="P13" s="137">
        <v>21595</v>
      </c>
      <c r="Q13" s="137">
        <v>20692</v>
      </c>
      <c r="R13" s="137">
        <v>20944</v>
      </c>
      <c r="S13" s="137">
        <v>20710</v>
      </c>
      <c r="T13" s="137">
        <v>24021</v>
      </c>
      <c r="U13" s="137">
        <v>24525</v>
      </c>
      <c r="V13" s="137">
        <v>36389</v>
      </c>
      <c r="W13" s="137">
        <v>23303</v>
      </c>
      <c r="X13" s="137">
        <v>30908</v>
      </c>
      <c r="Y13" s="137">
        <v>21945</v>
      </c>
      <c r="Z13" s="137">
        <v>23865</v>
      </c>
      <c r="AA13" s="137">
        <v>29600</v>
      </c>
      <c r="AB13" s="137">
        <v>21012</v>
      </c>
      <c r="AC13" s="13">
        <v>24582</v>
      </c>
      <c r="AD13" s="13">
        <v>25647</v>
      </c>
      <c r="AE13" s="13">
        <v>14855</v>
      </c>
      <c r="AF13" s="138">
        <v>6.2017361182305537</v>
      </c>
      <c r="AG13" s="138">
        <v>6.8913888658086453</v>
      </c>
      <c r="AH13" s="138">
        <v>6.0690209898915297</v>
      </c>
      <c r="AI13" s="138">
        <v>6.9020138780275966</v>
      </c>
      <c r="AJ13" s="138">
        <v>6.87944445841842</v>
      </c>
      <c r="AK13" s="138">
        <v>6.585625011059971</v>
      </c>
      <c r="AL13" s="138">
        <v>6.8617360889911634</v>
      </c>
      <c r="AM13" s="138">
        <v>5.6898611105150643</v>
      </c>
      <c r="AN13" s="138">
        <v>5.9826388822661487</v>
      </c>
      <c r="AO13" s="138">
        <v>6.2821527587042896</v>
      </c>
      <c r="AP13" s="138">
        <v>6.2398611348536273</v>
      </c>
      <c r="AQ13" s="138">
        <v>6.1248610930310345</v>
      </c>
      <c r="AR13" s="138">
        <v>6.2118750073843518</v>
      </c>
      <c r="AS13" s="138">
        <v>6.1106249789396925</v>
      </c>
      <c r="AT13" s="138">
        <v>6.494930576119156</v>
      </c>
      <c r="AU13" s="138">
        <v>6.5378472076521952</v>
      </c>
      <c r="AV13" s="138">
        <v>7.2668055734700614</v>
      </c>
      <c r="AW13" s="138">
        <v>6.3951388845841075</v>
      </c>
      <c r="AX13" s="138">
        <v>6.8188888960414404</v>
      </c>
      <c r="AY13" s="138">
        <v>6.5507638901472074</v>
      </c>
      <c r="AZ13" s="138">
        <v>6.6309790161106132</v>
      </c>
      <c r="BA13" s="138">
        <v>7.1518750066558505</v>
      </c>
      <c r="BB13" s="138">
        <v>6.1025000057286674</v>
      </c>
      <c r="BC13" s="14">
        <v>6.6000000105963785</v>
      </c>
      <c r="BD13" s="14">
        <v>6.4892361520065185</v>
      </c>
      <c r="BE13" s="14">
        <v>5.3311805716819221</v>
      </c>
      <c r="BF13" s="139">
        <f>SUM(Input_Raw[[#This Row],[O2_01]:[O2_26]])</f>
        <v>620284</v>
      </c>
      <c r="BG13" s="140">
        <f>IFERROR(AVERAGE(Input_Raw[[#This Row],[WS_O2_01]:[WS_O2_26]]),"")</f>
        <v>6.43857639103524</v>
      </c>
      <c r="BH13" s="141"/>
      <c r="BI13" s="141"/>
      <c r="BJ13" s="13">
        <v>603000</v>
      </c>
      <c r="BK13" s="13">
        <v>0</v>
      </c>
      <c r="BL13" s="15">
        <f>Input_Raw[[#This Row],[66 kV_Wind_F1_Export_reading]]-Input_Raw[[#This Row],[66 kV_Wind_F1_Import_reading]]</f>
        <v>603000</v>
      </c>
      <c r="BM13" s="142">
        <f>Input_Raw[[#This Row],[WTG Total Gneration (KWh)]]-Input_Raw[[#This Row],[66 kV_Wind_F1_Export_reading]]</f>
        <v>17284</v>
      </c>
      <c r="BN13" s="111">
        <f>(Input_Raw[[#This Row],[WTG Total Gneration (KWh)]]-Input_Raw[[#This Row],[66 kV_Wind_F1_Export_reading]])/Input_Raw[[#This Row],[WTG Total Gneration (KWh)]]</f>
        <v>2.7864655544879442E-2</v>
      </c>
      <c r="BO13" s="89">
        <v>70.2</v>
      </c>
      <c r="BP13" s="96"/>
      <c r="BQ13" s="135">
        <v>667.03</v>
      </c>
      <c r="BR13" s="207"/>
    </row>
    <row r="14" spans="1:70">
      <c r="A14" s="240">
        <f t="shared" si="3"/>
        <v>45754</v>
      </c>
      <c r="B14" s="11">
        <f>YEAR(Input_Raw[[#This Row],[Date]])+IF(MONTH(Input_Raw[[#This Row],[Date]])&gt;=4,1,0)</f>
        <v>2026</v>
      </c>
      <c r="C14" s="11">
        <f>YEAR(Input_Raw[[#This Row],[Date]])</f>
        <v>2025</v>
      </c>
      <c r="D14" s="12">
        <f t="shared" si="4"/>
        <v>45748</v>
      </c>
      <c r="E14" s="11">
        <f>DAY(EOMONTH(Input_Raw[[#This Row],[Date]],0))</f>
        <v>30</v>
      </c>
      <c r="F14" s="137">
        <v>31048</v>
      </c>
      <c r="G14" s="137">
        <v>39935</v>
      </c>
      <c r="H14" s="137">
        <v>29201</v>
      </c>
      <c r="I14" s="137">
        <v>37264</v>
      </c>
      <c r="J14" s="137">
        <v>38160</v>
      </c>
      <c r="K14" s="137">
        <v>33948</v>
      </c>
      <c r="L14" s="137">
        <v>36306</v>
      </c>
      <c r="M14" s="137">
        <v>29713</v>
      </c>
      <c r="N14" s="137">
        <v>26172</v>
      </c>
      <c r="O14" s="137">
        <v>29496</v>
      </c>
      <c r="P14" s="137">
        <v>28893</v>
      </c>
      <c r="Q14" s="137">
        <v>29862</v>
      </c>
      <c r="R14" s="137">
        <v>17926</v>
      </c>
      <c r="S14" s="137">
        <v>24680</v>
      </c>
      <c r="T14" s="137">
        <v>30580</v>
      </c>
      <c r="U14" s="137">
        <v>35026</v>
      </c>
      <c r="V14" s="137">
        <v>42573</v>
      </c>
      <c r="W14" s="137">
        <v>32649</v>
      </c>
      <c r="X14" s="137">
        <v>33248</v>
      </c>
      <c r="Y14" s="137">
        <v>28989</v>
      </c>
      <c r="Z14" s="137">
        <v>35533</v>
      </c>
      <c r="AA14" s="137">
        <v>38083</v>
      </c>
      <c r="AB14" s="137">
        <v>29493</v>
      </c>
      <c r="AC14" s="13">
        <v>35825</v>
      </c>
      <c r="AD14" s="13">
        <v>32714</v>
      </c>
      <c r="AE14" s="13">
        <v>27406</v>
      </c>
      <c r="AF14" s="138">
        <v>6.849436631504914</v>
      </c>
      <c r="AG14" s="138">
        <v>7.692816900535357</v>
      </c>
      <c r="AH14" s="138">
        <v>6.7251408528274181</v>
      </c>
      <c r="AI14" s="138">
        <v>7.6072221886780431</v>
      </c>
      <c r="AJ14" s="138">
        <v>7.6880985926574255</v>
      </c>
      <c r="AK14" s="138">
        <v>7.1945833555526137</v>
      </c>
      <c r="AL14" s="138">
        <v>7.4768055578072774</v>
      </c>
      <c r="AM14" s="138">
        <v>6.818239433664667</v>
      </c>
      <c r="AN14" s="138">
        <v>6.777801413485343</v>
      </c>
      <c r="AO14" s="138">
        <v>6.8461267331116611</v>
      </c>
      <c r="AP14" s="138">
        <v>6.8253520743947611</v>
      </c>
      <c r="AQ14" s="138">
        <v>6.897323968544808</v>
      </c>
      <c r="AR14" s="138">
        <v>6.7829577372947165</v>
      </c>
      <c r="AS14" s="138">
        <v>6.9574648070503242</v>
      </c>
      <c r="AT14" s="138">
        <v>6.9857746463426373</v>
      </c>
      <c r="AU14" s="138">
        <v>7.4787500012251984</v>
      </c>
      <c r="AV14" s="138">
        <v>8.0268055357866661</v>
      </c>
      <c r="AW14" s="138">
        <v>6.9819444202714491</v>
      </c>
      <c r="AX14" s="138">
        <v>7.2324305673440188</v>
      </c>
      <c r="AY14" s="138">
        <v>7.2163194426231847</v>
      </c>
      <c r="AZ14" s="138">
        <v>7.4150000272525585</v>
      </c>
      <c r="BA14" s="138">
        <v>7.7591666587524815</v>
      </c>
      <c r="BB14" s="138">
        <v>6.8959154730111747</v>
      </c>
      <c r="BC14" s="14">
        <v>7.4988194356361975</v>
      </c>
      <c r="BD14" s="14">
        <v>7.4038297927125871</v>
      </c>
      <c r="BE14" s="14">
        <v>6.5010489458804352</v>
      </c>
      <c r="BF14" s="139">
        <f>SUM(Input_Raw[[#This Row],[O2_01]:[O2_26]])</f>
        <v>834723</v>
      </c>
      <c r="BG14" s="140">
        <f>IFERROR(AVERAGE(Input_Raw[[#This Row],[WS_O2_01]:[WS_O2_26]]),"")</f>
        <v>7.1744298151518429</v>
      </c>
      <c r="BH14" s="141"/>
      <c r="BI14" s="141"/>
      <c r="BJ14" s="13">
        <v>802800</v>
      </c>
      <c r="BK14" s="13">
        <v>0</v>
      </c>
      <c r="BL14" s="15">
        <f>Input_Raw[[#This Row],[66 kV_Wind_F1_Export_reading]]-Input_Raw[[#This Row],[66 kV_Wind_F1_Import_reading]]</f>
        <v>802800</v>
      </c>
      <c r="BM14" s="142">
        <f>Input_Raw[[#This Row],[WTG Total Gneration (KWh)]]-Input_Raw[[#This Row],[66 kV_Wind_F1_Export_reading]]</f>
        <v>31923</v>
      </c>
      <c r="BN14" s="111">
        <f>(Input_Raw[[#This Row],[WTG Total Gneration (KWh)]]-Input_Raw[[#This Row],[66 kV_Wind_F1_Export_reading]])/Input_Raw[[#This Row],[WTG Total Gneration (KWh)]]</f>
        <v>3.8243824598100211E-2</v>
      </c>
      <c r="BO14" s="89">
        <v>70.2</v>
      </c>
      <c r="BP14" s="96"/>
      <c r="BQ14" s="135">
        <v>890.54</v>
      </c>
      <c r="BR14" s="207"/>
    </row>
    <row r="15" spans="1:70">
      <c r="A15" s="240">
        <f t="shared" si="3"/>
        <v>45755</v>
      </c>
      <c r="B15" s="11">
        <f>YEAR(Input_Raw[[#This Row],[Date]])+IF(MONTH(Input_Raw[[#This Row],[Date]])&gt;=4,1,0)</f>
        <v>2026</v>
      </c>
      <c r="C15" s="11">
        <f>YEAR(Input_Raw[[#This Row],[Date]])</f>
        <v>2025</v>
      </c>
      <c r="D15" s="12">
        <f t="shared" si="4"/>
        <v>45748</v>
      </c>
      <c r="E15" s="11">
        <f>DAY(EOMONTH(Input_Raw[[#This Row],[Date]],0))</f>
        <v>30</v>
      </c>
      <c r="F15" s="137">
        <v>32931</v>
      </c>
      <c r="G15" s="137">
        <v>38913</v>
      </c>
      <c r="H15" s="137">
        <v>30523</v>
      </c>
      <c r="I15" s="137">
        <v>36527</v>
      </c>
      <c r="J15" s="137">
        <v>29686</v>
      </c>
      <c r="K15" s="137">
        <v>31629</v>
      </c>
      <c r="L15" s="137">
        <v>31884</v>
      </c>
      <c r="M15" s="137">
        <v>24450</v>
      </c>
      <c r="N15" s="137">
        <v>23145</v>
      </c>
      <c r="O15" s="137">
        <v>29213</v>
      </c>
      <c r="P15" s="137">
        <v>27130</v>
      </c>
      <c r="Q15" s="137">
        <v>32730</v>
      </c>
      <c r="R15" s="137">
        <v>23942</v>
      </c>
      <c r="S15" s="137">
        <v>30642</v>
      </c>
      <c r="T15" s="137">
        <v>33320</v>
      </c>
      <c r="U15" s="137">
        <v>35024</v>
      </c>
      <c r="V15" s="137">
        <v>41845</v>
      </c>
      <c r="W15" s="137">
        <v>29300</v>
      </c>
      <c r="X15" s="137">
        <v>35384</v>
      </c>
      <c r="Y15" s="137">
        <v>32867</v>
      </c>
      <c r="Z15" s="137">
        <v>32199</v>
      </c>
      <c r="AA15" s="137">
        <v>35456</v>
      </c>
      <c r="AB15" s="137">
        <v>31686</v>
      </c>
      <c r="AC15" s="13">
        <v>34444</v>
      </c>
      <c r="AD15" s="13">
        <v>34312</v>
      </c>
      <c r="AE15" s="13">
        <v>23956</v>
      </c>
      <c r="AF15" s="138">
        <v>7.0247222342424891</v>
      </c>
      <c r="AG15" s="138">
        <v>7.5029861132303779</v>
      </c>
      <c r="AH15" s="138">
        <v>6.8145138720671277</v>
      </c>
      <c r="AI15" s="138">
        <v>7.5483333294590222</v>
      </c>
      <c r="AJ15" s="138">
        <v>7.3111805866161923</v>
      </c>
      <c r="AK15" s="138">
        <v>6.9370138769348433</v>
      </c>
      <c r="AL15" s="138">
        <v>6.9895833507180161</v>
      </c>
      <c r="AM15" s="138">
        <v>6.4570833336975815</v>
      </c>
      <c r="AN15" s="138">
        <v>7.0618749948011468</v>
      </c>
      <c r="AO15" s="138">
        <v>6.8081944692465957</v>
      </c>
      <c r="AP15" s="138">
        <v>6.9609790298488532</v>
      </c>
      <c r="AQ15" s="138">
        <v>7.0232639047834553</v>
      </c>
      <c r="AR15" s="138">
        <v>6.8966666377252972</v>
      </c>
      <c r="AS15" s="138">
        <v>6.8706944427556431</v>
      </c>
      <c r="AT15" s="138">
        <v>7.169236097484819</v>
      </c>
      <c r="AU15" s="138">
        <v>7.4627777520153176</v>
      </c>
      <c r="AV15" s="138">
        <v>7.7798611066407473</v>
      </c>
      <c r="AW15" s="138">
        <v>6.6718055738343107</v>
      </c>
      <c r="AX15" s="138">
        <v>7.2649999902480067</v>
      </c>
      <c r="AY15" s="138">
        <v>7.1443055545290282</v>
      </c>
      <c r="AZ15" s="138">
        <v>7.1197182972666226</v>
      </c>
      <c r="BA15" s="138">
        <v>7.443472214043136</v>
      </c>
      <c r="BB15" s="138">
        <v>7.0236110803153737</v>
      </c>
      <c r="BC15" s="14">
        <v>7.2677777840031474</v>
      </c>
      <c r="BD15" s="14">
        <v>7.3631944606701456</v>
      </c>
      <c r="BE15" s="14">
        <v>6.13854166948133</v>
      </c>
      <c r="BF15" s="139">
        <f>SUM(Input_Raw[[#This Row],[O2_01]:[O2_26]])</f>
        <v>823138</v>
      </c>
      <c r="BG15" s="140">
        <f>IFERROR(AVERAGE(Input_Raw[[#This Row],[WS_O2_01]:[WS_O2_26]]),"")</f>
        <v>7.0790919906407161</v>
      </c>
      <c r="BH15" s="141"/>
      <c r="BI15" s="141"/>
      <c r="BJ15" s="13">
        <v>793800</v>
      </c>
      <c r="BK15" s="13">
        <v>450</v>
      </c>
      <c r="BL15" s="15">
        <f>Input_Raw[[#This Row],[66 kV_Wind_F1_Export_reading]]-Input_Raw[[#This Row],[66 kV_Wind_F1_Import_reading]]</f>
        <v>793350</v>
      </c>
      <c r="BM15" s="142">
        <f>Input_Raw[[#This Row],[WTG Total Gneration (KWh)]]-Input_Raw[[#This Row],[66 kV_Wind_F1_Export_reading]]</f>
        <v>29338</v>
      </c>
      <c r="BN15" s="111">
        <f>(Input_Raw[[#This Row],[WTG Total Gneration (KWh)]]-Input_Raw[[#This Row],[66 kV_Wind_F1_Export_reading]])/Input_Raw[[#This Row],[WTG Total Gneration (KWh)]]</f>
        <v>3.5641654254815108E-2</v>
      </c>
      <c r="BO15" s="89">
        <v>70.2</v>
      </c>
      <c r="BP15" s="96"/>
      <c r="BQ15" s="135">
        <v>885.16</v>
      </c>
      <c r="BR15" s="207"/>
    </row>
    <row r="16" spans="1:70">
      <c r="A16" s="240">
        <f t="shared" si="3"/>
        <v>45756</v>
      </c>
      <c r="B16" s="11">
        <f>YEAR(Input_Raw[[#This Row],[Date]])+IF(MONTH(Input_Raw[[#This Row],[Date]])&gt;=4,1,0)</f>
        <v>2026</v>
      </c>
      <c r="C16" s="11">
        <f>YEAR(Input_Raw[[#This Row],[Date]])</f>
        <v>2025</v>
      </c>
      <c r="D16" s="12">
        <f t="shared" si="4"/>
        <v>45748</v>
      </c>
      <c r="E16" s="11">
        <f>DAY(EOMONTH(Input_Raw[[#This Row],[Date]],0))</f>
        <v>30</v>
      </c>
      <c r="F16" s="137">
        <v>28683</v>
      </c>
      <c r="G16" s="137">
        <v>35985</v>
      </c>
      <c r="H16" s="137">
        <v>29958</v>
      </c>
      <c r="I16" s="137">
        <v>32935</v>
      </c>
      <c r="J16" s="137">
        <v>31490</v>
      </c>
      <c r="K16" s="137">
        <v>28574</v>
      </c>
      <c r="L16" s="137">
        <v>28440</v>
      </c>
      <c r="M16" s="137">
        <v>26245</v>
      </c>
      <c r="N16" s="137">
        <v>28445</v>
      </c>
      <c r="O16" s="137">
        <v>26608</v>
      </c>
      <c r="P16" s="137">
        <v>27370</v>
      </c>
      <c r="Q16" s="137">
        <v>29182</v>
      </c>
      <c r="R16" s="137">
        <v>27038</v>
      </c>
      <c r="S16" s="137">
        <v>28542</v>
      </c>
      <c r="T16" s="137">
        <v>28611</v>
      </c>
      <c r="U16" s="137">
        <v>31225</v>
      </c>
      <c r="V16" s="137">
        <v>36940</v>
      </c>
      <c r="W16" s="137">
        <v>29330</v>
      </c>
      <c r="X16" s="137">
        <v>28437</v>
      </c>
      <c r="Y16" s="137">
        <v>30708</v>
      </c>
      <c r="Z16" s="137">
        <v>28985</v>
      </c>
      <c r="AA16" s="137">
        <v>31056</v>
      </c>
      <c r="AB16" s="137">
        <v>23479</v>
      </c>
      <c r="AC16" s="13">
        <v>32143</v>
      </c>
      <c r="AD16" s="13">
        <v>32309</v>
      </c>
      <c r="AE16" s="13">
        <v>23560</v>
      </c>
      <c r="AF16" s="138">
        <v>7.0391666508383208</v>
      </c>
      <c r="AG16" s="138">
        <v>7.620486120382937</v>
      </c>
      <c r="AH16" s="138">
        <v>7.0383333381679307</v>
      </c>
      <c r="AI16" s="138">
        <v>7.3771527889702035</v>
      </c>
      <c r="AJ16" s="138">
        <v>7.6401408507790283</v>
      </c>
      <c r="AK16" s="138">
        <v>7.0161805782053186</v>
      </c>
      <c r="AL16" s="138">
        <v>6.9249305567807591</v>
      </c>
      <c r="AM16" s="138">
        <v>6.6475694245762291</v>
      </c>
      <c r="AN16" s="138">
        <v>7.0434722188446237</v>
      </c>
      <c r="AO16" s="138">
        <v>6.8212499899996635</v>
      </c>
      <c r="AP16" s="138">
        <v>6.9275694522592746</v>
      </c>
      <c r="AQ16" s="138">
        <v>6.9760416746139509</v>
      </c>
      <c r="AR16" s="138">
        <v>6.8413194715976706</v>
      </c>
      <c r="AS16" s="138">
        <v>6.9870833274390938</v>
      </c>
      <c r="AT16" s="138">
        <v>7.0288194186157646</v>
      </c>
      <c r="AU16" s="138">
        <v>7.2906249860922463</v>
      </c>
      <c r="AV16" s="138">
        <v>7.561597224738855</v>
      </c>
      <c r="AW16" s="138">
        <v>6.9318750037087327</v>
      </c>
      <c r="AX16" s="138">
        <v>6.7921528120835575</v>
      </c>
      <c r="AY16" s="138">
        <v>7.2261111156807987</v>
      </c>
      <c r="AZ16" s="138">
        <v>7.124027753869691</v>
      </c>
      <c r="BA16" s="138">
        <v>7.2808333237965872</v>
      </c>
      <c r="BB16" s="138">
        <v>7.1220138900809786</v>
      </c>
      <c r="BC16" s="14">
        <v>7.2890972114271557</v>
      </c>
      <c r="BD16" s="14">
        <v>7.4078472438785736</v>
      </c>
      <c r="BE16" s="14">
        <v>6.3832638826635133</v>
      </c>
      <c r="BF16" s="139">
        <f>SUM(Input_Raw[[#This Row],[O2_01]:[O2_26]])</f>
        <v>766278</v>
      </c>
      <c r="BG16" s="140">
        <f>IFERROR(AVERAGE(Input_Raw[[#This Row],[WS_O2_01]:[WS_O2_26]]),"")</f>
        <v>7.0899600119265944</v>
      </c>
      <c r="BH16" s="141"/>
      <c r="BI16" s="141"/>
      <c r="BJ16" s="13">
        <v>742500</v>
      </c>
      <c r="BK16" s="13">
        <v>0</v>
      </c>
      <c r="BL16" s="15">
        <f>Input_Raw[[#This Row],[66 kV_Wind_F1_Export_reading]]-Input_Raw[[#This Row],[66 kV_Wind_F1_Import_reading]]</f>
        <v>742500</v>
      </c>
      <c r="BM16" s="142">
        <f>Input_Raw[[#This Row],[WTG Total Gneration (KWh)]]-Input_Raw[[#This Row],[66 kV_Wind_F1_Export_reading]]</f>
        <v>23778</v>
      </c>
      <c r="BN16" s="111">
        <f>(Input_Raw[[#This Row],[WTG Total Gneration (KWh)]]-Input_Raw[[#This Row],[66 kV_Wind_F1_Export_reading]])/Input_Raw[[#This Row],[WTG Total Gneration (KWh)]]</f>
        <v>3.1030513730003994E-2</v>
      </c>
      <c r="BO16" s="89">
        <v>70.2</v>
      </c>
      <c r="BP16" s="96"/>
      <c r="BQ16" s="135">
        <v>808</v>
      </c>
      <c r="BR16" s="207"/>
    </row>
    <row r="17" spans="1:70">
      <c r="A17" s="240">
        <f t="shared" si="3"/>
        <v>45757</v>
      </c>
      <c r="B17" s="11">
        <f>YEAR(Input_Raw[[#This Row],[Date]])+IF(MONTH(Input_Raw[[#This Row],[Date]])&gt;=4,1,0)</f>
        <v>2026</v>
      </c>
      <c r="C17" s="11">
        <f>YEAR(Input_Raw[[#This Row],[Date]])</f>
        <v>2025</v>
      </c>
      <c r="D17" s="12">
        <f t="shared" ref="D17:D22" si="5">A17-DAY(A17)+1</f>
        <v>45748</v>
      </c>
      <c r="E17" s="11">
        <f>DAY(EOMONTH(Input_Raw[[#This Row],[Date]],0))</f>
        <v>30</v>
      </c>
      <c r="F17" s="137">
        <v>37826</v>
      </c>
      <c r="G17" s="137">
        <v>45183</v>
      </c>
      <c r="H17" s="137">
        <v>36893</v>
      </c>
      <c r="I17" s="137">
        <v>42701</v>
      </c>
      <c r="J17" s="137">
        <v>41567</v>
      </c>
      <c r="K17" s="137">
        <v>37890</v>
      </c>
      <c r="L17" s="137">
        <v>42698</v>
      </c>
      <c r="M17" s="137">
        <v>28587</v>
      </c>
      <c r="N17" s="137">
        <v>35022</v>
      </c>
      <c r="O17" s="137">
        <v>35686</v>
      </c>
      <c r="P17" s="137">
        <v>35407</v>
      </c>
      <c r="Q17" s="137">
        <v>38699</v>
      </c>
      <c r="R17" s="137">
        <v>34054</v>
      </c>
      <c r="S17" s="137">
        <v>36725</v>
      </c>
      <c r="T17" s="137">
        <v>33831</v>
      </c>
      <c r="U17" s="137">
        <v>40822</v>
      </c>
      <c r="V17" s="137">
        <v>53780</v>
      </c>
      <c r="W17" s="137">
        <v>33218</v>
      </c>
      <c r="X17" s="137">
        <v>46375</v>
      </c>
      <c r="Y17" s="137">
        <v>40773</v>
      </c>
      <c r="Z17" s="137">
        <v>39808</v>
      </c>
      <c r="AA17" s="137">
        <v>44573</v>
      </c>
      <c r="AB17" s="137">
        <v>30874</v>
      </c>
      <c r="AC17" s="13">
        <v>41245</v>
      </c>
      <c r="AD17" s="13">
        <v>41410</v>
      </c>
      <c r="AE17" s="13">
        <v>30495</v>
      </c>
      <c r="AF17" s="138">
        <v>7.9916666646798404</v>
      </c>
      <c r="AG17" s="138">
        <v>8.559374964899483</v>
      </c>
      <c r="AH17" s="138">
        <v>7.849375006225368</v>
      </c>
      <c r="AI17" s="138">
        <v>8.5015971859296116</v>
      </c>
      <c r="AJ17" s="138">
        <v>8.3636111054155542</v>
      </c>
      <c r="AK17" s="138">
        <v>8.1974305676089383</v>
      </c>
      <c r="AL17" s="138">
        <v>8.6050694849755942</v>
      </c>
      <c r="AM17" s="138">
        <v>7.697500013642836</v>
      </c>
      <c r="AN17" s="138">
        <v>7.7553472204340785</v>
      </c>
      <c r="AO17" s="138">
        <v>7.8514583574400962</v>
      </c>
      <c r="AP17" s="138">
        <v>7.9753472076521961</v>
      </c>
      <c r="AQ17" s="138">
        <v>8.105208353863814</v>
      </c>
      <c r="AR17" s="138">
        <v>7.7773611115084709</v>
      </c>
      <c r="AS17" s="138">
        <v>7.8892361438936627</v>
      </c>
      <c r="AT17" s="138">
        <v>8.1557639141877463</v>
      </c>
      <c r="AU17" s="138">
        <v>8.6734722587797322</v>
      </c>
      <c r="AV17" s="138">
        <v>9.326527771022576</v>
      </c>
      <c r="AW17" s="138">
        <v>7.8660416636202024</v>
      </c>
      <c r="AX17" s="138">
        <v>9.0910416245460439</v>
      </c>
      <c r="AY17" s="138">
        <v>8.3634722299045947</v>
      </c>
      <c r="AZ17" s="138">
        <v>8.3510416845480542</v>
      </c>
      <c r="BA17" s="138">
        <v>8.7168750067551901</v>
      </c>
      <c r="BB17" s="138">
        <v>8.1003472341431486</v>
      </c>
      <c r="BC17" s="14">
        <v>8.3698610928323465</v>
      </c>
      <c r="BD17" s="14">
        <v>8.2224305503898147</v>
      </c>
      <c r="BE17" s="14">
        <v>7.1973610884613413</v>
      </c>
      <c r="BF17" s="139">
        <f>SUM(Input_Raw[[#This Row],[O2_01]:[O2_26]])</f>
        <v>1006142</v>
      </c>
      <c r="BG17" s="140">
        <f>IFERROR(AVERAGE(Input_Raw[[#This Row],[WS_O2_01]:[WS_O2_26]]),"")</f>
        <v>8.2136084425907825</v>
      </c>
      <c r="BH17" s="141"/>
      <c r="BI17" s="141"/>
      <c r="BJ17" s="13">
        <v>974700</v>
      </c>
      <c r="BK17" s="13">
        <v>0</v>
      </c>
      <c r="BL17" s="15">
        <f>Input_Raw[[#This Row],[66 kV_Wind_F1_Export_reading]]-Input_Raw[[#This Row],[66 kV_Wind_F1_Import_reading]]</f>
        <v>974700</v>
      </c>
      <c r="BM17" s="142">
        <f>Input_Raw[[#This Row],[WTG Total Gneration (KWh)]]-Input_Raw[[#This Row],[66 kV_Wind_F1_Export_reading]]</f>
        <v>31442</v>
      </c>
      <c r="BN17" s="111">
        <f>(Input_Raw[[#This Row],[WTG Total Gneration (KWh)]]-Input_Raw[[#This Row],[66 kV_Wind_F1_Export_reading]])/Input_Raw[[#This Row],[WTG Total Gneration (KWh)]]</f>
        <v>3.1250062118468369E-2</v>
      </c>
      <c r="BO17" s="89">
        <v>70.2</v>
      </c>
      <c r="BP17" s="96"/>
      <c r="BQ17" s="135">
        <v>1103.33</v>
      </c>
      <c r="BR17" s="207"/>
    </row>
    <row r="18" spans="1:70">
      <c r="A18" s="240">
        <f t="shared" si="3"/>
        <v>45758</v>
      </c>
      <c r="B18" s="11">
        <f>YEAR(Input_Raw[[#This Row],[Date]])+IF(MONTH(Input_Raw[[#This Row],[Date]])&gt;=4,1,0)</f>
        <v>2026</v>
      </c>
      <c r="C18" s="11">
        <f>YEAR(Input_Raw[[#This Row],[Date]])</f>
        <v>2025</v>
      </c>
      <c r="D18" s="12">
        <f t="shared" si="5"/>
        <v>45748</v>
      </c>
      <c r="E18" s="11">
        <f>DAY(EOMONTH(Input_Raw[[#This Row],[Date]],0))</f>
        <v>30</v>
      </c>
      <c r="F18" s="137">
        <v>41447</v>
      </c>
      <c r="G18" s="137">
        <v>49347</v>
      </c>
      <c r="H18" s="137">
        <v>40931</v>
      </c>
      <c r="I18" s="137">
        <v>44979</v>
      </c>
      <c r="J18" s="137">
        <v>46056</v>
      </c>
      <c r="K18" s="137">
        <v>39764</v>
      </c>
      <c r="L18" s="137">
        <v>38038</v>
      </c>
      <c r="M18" s="137">
        <v>39635</v>
      </c>
      <c r="N18" s="137">
        <v>41407</v>
      </c>
      <c r="O18" s="137">
        <v>40631</v>
      </c>
      <c r="P18" s="137">
        <v>37304</v>
      </c>
      <c r="Q18" s="137">
        <v>42973</v>
      </c>
      <c r="R18" s="137">
        <v>36918</v>
      </c>
      <c r="S18" s="137">
        <v>3872</v>
      </c>
      <c r="T18" s="137">
        <v>40666</v>
      </c>
      <c r="U18" s="137">
        <v>40181</v>
      </c>
      <c r="V18" s="137">
        <v>44076</v>
      </c>
      <c r="W18" s="137">
        <v>39510</v>
      </c>
      <c r="X18" s="137">
        <v>42576</v>
      </c>
      <c r="Y18" s="137">
        <v>40190</v>
      </c>
      <c r="Z18" s="137">
        <v>40132</v>
      </c>
      <c r="AA18" s="137">
        <v>39622</v>
      </c>
      <c r="AB18" s="137">
        <v>41157</v>
      </c>
      <c r="AC18" s="13">
        <v>40939</v>
      </c>
      <c r="AD18" s="13">
        <v>47491</v>
      </c>
      <c r="AE18" s="13">
        <v>41874</v>
      </c>
      <c r="AF18" s="138">
        <v>8.356458326180773</v>
      </c>
      <c r="AG18" s="138">
        <v>8.9343750178813846</v>
      </c>
      <c r="AH18" s="138">
        <v>8.2200000000000006</v>
      </c>
      <c r="AI18" s="138">
        <v>8.6743055648273852</v>
      </c>
      <c r="AJ18" s="138">
        <v>8.8361538907031019</v>
      </c>
      <c r="AK18" s="138">
        <v>8.1363889177640267</v>
      </c>
      <c r="AL18" s="138">
        <v>8.0317361553510001</v>
      </c>
      <c r="AM18" s="138">
        <v>8.221111115482115</v>
      </c>
      <c r="AN18" s="138">
        <v>8.3112499912579807</v>
      </c>
      <c r="AO18" s="138">
        <v>8.1987500091393759</v>
      </c>
      <c r="AP18" s="138">
        <v>8.1662499970859947</v>
      </c>
      <c r="AQ18" s="138">
        <v>8.3396527700953982</v>
      </c>
      <c r="AR18" s="138">
        <v>7.9668055375417062</v>
      </c>
      <c r="AS18" s="138">
        <v>2.436250001990369</v>
      </c>
      <c r="AT18" s="138">
        <v>8.2474305298593276</v>
      </c>
      <c r="AU18" s="138">
        <v>8.3750694526566374</v>
      </c>
      <c r="AV18" s="138">
        <v>8.3534027768505918</v>
      </c>
      <c r="AW18" s="138">
        <v>8.1014583276377792</v>
      </c>
      <c r="AX18" s="138">
        <v>8.3620833158493006</v>
      </c>
      <c r="AY18" s="138">
        <v>8.2546528014871772</v>
      </c>
      <c r="AZ18" s="138">
        <v>8.284027794996895</v>
      </c>
      <c r="BA18" s="138">
        <v>8.1915971901681655</v>
      </c>
      <c r="BB18" s="138">
        <v>8.3780555658870224</v>
      </c>
      <c r="BC18" s="14">
        <v>8.2961111432976153</v>
      </c>
      <c r="BD18" s="14">
        <v>8.7860416836208746</v>
      </c>
      <c r="BE18" s="14">
        <v>8.3384028044011806</v>
      </c>
      <c r="BF18" s="139">
        <f>SUM(Input_Raw[[#This Row],[O2_01]:[O2_26]])</f>
        <v>1041716</v>
      </c>
      <c r="BG18" s="140">
        <f>IFERROR(AVERAGE(Input_Raw[[#This Row],[WS_O2_01]:[WS_O2_26]]),"")</f>
        <v>8.1076084877697365</v>
      </c>
      <c r="BH18" s="141"/>
      <c r="BI18" s="141"/>
      <c r="BJ18" s="13">
        <v>1004400</v>
      </c>
      <c r="BK18" s="13">
        <v>0</v>
      </c>
      <c r="BL18" s="15">
        <f>Input_Raw[[#This Row],[66 kV_Wind_F1_Export_reading]]-Input_Raw[[#This Row],[66 kV_Wind_F1_Import_reading]]</f>
        <v>1004400</v>
      </c>
      <c r="BM18" s="142">
        <f>Input_Raw[[#This Row],[WTG Total Gneration (KWh)]]-Input_Raw[[#This Row],[66 kV_Wind_F1_Export_reading]]</f>
        <v>37316</v>
      </c>
      <c r="BN18" s="111">
        <f>(Input_Raw[[#This Row],[WTG Total Gneration (KWh)]]-Input_Raw[[#This Row],[66 kV_Wind_F1_Export_reading]])/Input_Raw[[#This Row],[WTG Total Gneration (KWh)]]</f>
        <v>3.5821663486017299E-2</v>
      </c>
      <c r="BO18" s="89">
        <v>70.2</v>
      </c>
      <c r="BP18" s="96"/>
      <c r="BQ18" s="135">
        <v>1083.02</v>
      </c>
      <c r="BR18" s="207"/>
    </row>
    <row r="19" spans="1:70">
      <c r="A19" s="240">
        <f t="shared" si="3"/>
        <v>45759</v>
      </c>
      <c r="B19" s="16">
        <f>YEAR(Input_Raw[[#This Row],[Date]])+IF(MONTH(Input_Raw[[#This Row],[Date]])&gt;=4,1,0)</f>
        <v>2026</v>
      </c>
      <c r="C19" s="16">
        <f>YEAR(Input_Raw[[#This Row],[Date]])</f>
        <v>2025</v>
      </c>
      <c r="D19" s="17">
        <f t="shared" si="5"/>
        <v>45748</v>
      </c>
      <c r="E19" s="16">
        <f>DAY(EOMONTH(Input_Raw[[#This Row],[Date]],0))</f>
        <v>30</v>
      </c>
      <c r="F19" s="147">
        <v>7035</v>
      </c>
      <c r="G19" s="147">
        <v>8948</v>
      </c>
      <c r="H19" s="147">
        <v>7003</v>
      </c>
      <c r="I19" s="147">
        <v>6732</v>
      </c>
      <c r="J19" s="147">
        <v>9236</v>
      </c>
      <c r="K19" s="147">
        <v>6096</v>
      </c>
      <c r="L19" s="147">
        <v>5753</v>
      </c>
      <c r="M19" s="147">
        <v>7293</v>
      </c>
      <c r="N19" s="147">
        <v>7028</v>
      </c>
      <c r="O19" s="147">
        <v>7345</v>
      </c>
      <c r="P19" s="147">
        <v>6323</v>
      </c>
      <c r="Q19" s="147">
        <v>7785</v>
      </c>
      <c r="R19" s="147">
        <v>6299</v>
      </c>
      <c r="S19" s="147">
        <v>2021</v>
      </c>
      <c r="T19" s="147">
        <v>7154</v>
      </c>
      <c r="U19" s="147">
        <v>5854</v>
      </c>
      <c r="V19" s="147">
        <v>5199</v>
      </c>
      <c r="W19" s="147">
        <v>5776</v>
      </c>
      <c r="X19" s="147">
        <v>6293</v>
      </c>
      <c r="Y19" s="147">
        <v>5916</v>
      </c>
      <c r="Z19" s="147">
        <v>6933</v>
      </c>
      <c r="AA19" s="147">
        <v>5641</v>
      </c>
      <c r="AB19" s="147">
        <v>6923</v>
      </c>
      <c r="AC19" s="18">
        <v>7181</v>
      </c>
      <c r="AD19" s="18">
        <v>8783</v>
      </c>
      <c r="AE19" s="18">
        <v>7236</v>
      </c>
      <c r="AF19" s="148">
        <v>5.18</v>
      </c>
      <c r="AG19" s="148">
        <v>5.4</v>
      </c>
      <c r="AH19" s="148">
        <v>5.08</v>
      </c>
      <c r="AI19" s="148">
        <v>4.97</v>
      </c>
      <c r="AJ19" s="148">
        <v>5.52</v>
      </c>
      <c r="AK19" s="148">
        <v>4.93</v>
      </c>
      <c r="AL19" s="148">
        <v>4.75</v>
      </c>
      <c r="AM19" s="148">
        <v>5.13</v>
      </c>
      <c r="AN19" s="148">
        <v>5.5</v>
      </c>
      <c r="AO19" s="148">
        <v>5.1100000000000003</v>
      </c>
      <c r="AP19" s="148">
        <v>5.08</v>
      </c>
      <c r="AQ19" s="148">
        <v>5.22</v>
      </c>
      <c r="AR19" s="148">
        <v>4.93</v>
      </c>
      <c r="AS19" s="148">
        <v>3.35</v>
      </c>
      <c r="AT19" s="148">
        <v>5.0999999999999996</v>
      </c>
      <c r="AU19" s="148">
        <v>4.7</v>
      </c>
      <c r="AV19" s="148">
        <v>4.6500000000000004</v>
      </c>
      <c r="AW19" s="148">
        <v>4.7</v>
      </c>
      <c r="AX19" s="148">
        <v>4.8099999999999996</v>
      </c>
      <c r="AY19" s="148">
        <v>4.8600000000000003</v>
      </c>
      <c r="AZ19" s="148">
        <v>5.0599999999999996</v>
      </c>
      <c r="BA19" s="148">
        <v>4.74</v>
      </c>
      <c r="BB19" s="148">
        <v>5.15</v>
      </c>
      <c r="BC19" s="90">
        <v>5.05</v>
      </c>
      <c r="BD19" s="90">
        <v>5.52</v>
      </c>
      <c r="BE19" s="90">
        <v>5.07</v>
      </c>
      <c r="BF19" s="149">
        <f>SUM(Input_Raw[[#This Row],[O2_01]:[O2_26]])</f>
        <v>173786</v>
      </c>
      <c r="BG19" s="150">
        <f>IFERROR(AVERAGE(Input_Raw[[#This Row],[WS_O2_01]:[WS_O2_26]]),"")</f>
        <v>4.983076923076923</v>
      </c>
      <c r="BH19" s="151"/>
      <c r="BI19" s="151"/>
      <c r="BJ19" s="18">
        <v>164700</v>
      </c>
      <c r="BK19" s="18">
        <v>0</v>
      </c>
      <c r="BL19" s="91">
        <f>Input_Raw[[#This Row],[66 kV_Wind_F1_Export_reading]]-Input_Raw[[#This Row],[66 kV_Wind_F1_Import_reading]]</f>
        <v>164700</v>
      </c>
      <c r="BM19" s="152">
        <f>Input_Raw[[#This Row],[WTG Total Gneration (KWh)]]-Input_Raw[[#This Row],[66 kV_Wind_F1_Export_reading]]</f>
        <v>9086</v>
      </c>
      <c r="BN19" s="133">
        <f>(Input_Raw[[#This Row],[WTG Total Gneration (KWh)]]-Input_Raw[[#This Row],[66 kV_Wind_F1_Export_reading]])/Input_Raw[[#This Row],[WTG Total Gneration (KWh)]]</f>
        <v>5.2282692506876276E-2</v>
      </c>
      <c r="BO19" s="89">
        <v>70.2</v>
      </c>
      <c r="BP19" s="96"/>
      <c r="BQ19" s="136">
        <v>176.01</v>
      </c>
      <c r="BR19" s="207"/>
    </row>
    <row r="20" spans="1:70">
      <c r="A20" s="240">
        <f t="shared" si="3"/>
        <v>45760</v>
      </c>
      <c r="B20" s="11">
        <f>YEAR(Input_Raw[[#This Row],[Date]])+IF(MONTH(Input_Raw[[#This Row],[Date]])&gt;=4,1,0)</f>
        <v>2026</v>
      </c>
      <c r="C20" s="11">
        <f>YEAR(Input_Raw[[#This Row],[Date]])</f>
        <v>2025</v>
      </c>
      <c r="D20" s="12">
        <f t="shared" si="5"/>
        <v>45748</v>
      </c>
      <c r="E20" s="11">
        <f>DAY(EOMONTH(Input_Raw[[#This Row],[Date]],0))</f>
        <v>30</v>
      </c>
      <c r="F20" s="137">
        <v>26489</v>
      </c>
      <c r="G20" s="137">
        <v>28616</v>
      </c>
      <c r="H20" s="137">
        <v>25705</v>
      </c>
      <c r="I20" s="137">
        <v>25328</v>
      </c>
      <c r="J20" s="137">
        <v>26101</v>
      </c>
      <c r="K20" s="137">
        <v>23521</v>
      </c>
      <c r="L20" s="137">
        <v>22036</v>
      </c>
      <c r="M20" s="137">
        <v>10825</v>
      </c>
      <c r="N20" s="137">
        <v>24188</v>
      </c>
      <c r="O20" s="137">
        <v>25909</v>
      </c>
      <c r="P20" s="137">
        <v>23698</v>
      </c>
      <c r="Q20" s="137">
        <v>25190</v>
      </c>
      <c r="R20" s="137">
        <v>10703</v>
      </c>
      <c r="S20" s="137">
        <v>23384</v>
      </c>
      <c r="T20" s="137">
        <v>20653</v>
      </c>
      <c r="U20" s="137">
        <v>24367</v>
      </c>
      <c r="V20" s="137">
        <v>23858</v>
      </c>
      <c r="W20" s="137">
        <v>22828</v>
      </c>
      <c r="X20" s="137">
        <v>21328</v>
      </c>
      <c r="Y20" s="137">
        <v>24441</v>
      </c>
      <c r="Z20" s="137">
        <v>23356</v>
      </c>
      <c r="AA20" s="137">
        <v>23878</v>
      </c>
      <c r="AB20" s="137">
        <v>25584</v>
      </c>
      <c r="AC20" s="13">
        <v>24224</v>
      </c>
      <c r="AD20" s="13">
        <v>26202</v>
      </c>
      <c r="AE20" s="13">
        <v>25025</v>
      </c>
      <c r="AF20" s="138">
        <v>7.8559803810774032</v>
      </c>
      <c r="AG20" s="138">
        <v>8.2075490484050562</v>
      </c>
      <c r="AH20" s="138">
        <v>7.5842156714084021</v>
      </c>
      <c r="AI20" s="138">
        <v>7.5783333310893797</v>
      </c>
      <c r="AJ20" s="138">
        <v>8.1324000024795389</v>
      </c>
      <c r="AK20" s="138">
        <v>7.4853921707938644</v>
      </c>
      <c r="AL20" s="138">
        <v>7.1723529404284827</v>
      </c>
      <c r="AM20" s="138">
        <v>7.7007842788509198</v>
      </c>
      <c r="AN20" s="138">
        <v>7.5091089140070446</v>
      </c>
      <c r="AO20" s="138">
        <v>7.9006862687129464</v>
      </c>
      <c r="AP20" s="138">
        <v>7.5850495253458945</v>
      </c>
      <c r="AQ20" s="138">
        <v>7.5129411991904682</v>
      </c>
      <c r="AR20" s="138">
        <v>7.3762745132633194</v>
      </c>
      <c r="AS20" s="138">
        <v>7.4539215447855831</v>
      </c>
      <c r="AT20" s="138">
        <v>8.1923529120052443</v>
      </c>
      <c r="AU20" s="138">
        <v>7.573627436862262</v>
      </c>
      <c r="AV20" s="138">
        <v>7.3921568767697057</v>
      </c>
      <c r="AW20" s="138">
        <v>7.5673529494042455</v>
      </c>
      <c r="AX20" s="138">
        <v>6.9815686251602873</v>
      </c>
      <c r="AY20" s="138">
        <v>7.5215686138938347</v>
      </c>
      <c r="AZ20" s="138">
        <v>7.6606999909877667</v>
      </c>
      <c r="BA20" s="138">
        <v>7.5939394127238797</v>
      </c>
      <c r="BB20" s="138">
        <v>7.6030392050743005</v>
      </c>
      <c r="BC20" s="14">
        <v>7.8745918468553029</v>
      </c>
      <c r="BD20" s="14">
        <v>8.1601960565529499</v>
      </c>
      <c r="BE20" s="14">
        <v>7.4845098081756971</v>
      </c>
      <c r="BF20" s="139">
        <f>SUM(Input_Raw[[#This Row],[O2_01]:[O2_26]])</f>
        <v>607437</v>
      </c>
      <c r="BG20" s="140">
        <f>IFERROR(AVERAGE(Input_Raw[[#This Row],[WS_O2_01]:[WS_O2_26]]),"")</f>
        <v>7.6407920586270697</v>
      </c>
      <c r="BH20" s="141"/>
      <c r="BI20" s="141"/>
      <c r="BJ20" s="13">
        <v>589950</v>
      </c>
      <c r="BK20" s="13">
        <v>0</v>
      </c>
      <c r="BL20" s="15">
        <f>Input_Raw[[#This Row],[66 kV_Wind_F1_Export_reading]]-Input_Raw[[#This Row],[66 kV_Wind_F1_Import_reading]]</f>
        <v>589950</v>
      </c>
      <c r="BM20" s="142">
        <f>Input_Raw[[#This Row],[WTG Total Gneration (KWh)]]-Input_Raw[[#This Row],[66 kV_Wind_F1_Export_reading]]</f>
        <v>17487</v>
      </c>
      <c r="BN20" s="111">
        <f>(Input_Raw[[#This Row],[WTG Total Gneration (KWh)]]-Input_Raw[[#This Row],[66 kV_Wind_F1_Export_reading]])/Input_Raw[[#This Row],[WTG Total Gneration (KWh)]]</f>
        <v>2.8788170625101861E-2</v>
      </c>
      <c r="BO20" s="89">
        <v>70.2</v>
      </c>
      <c r="BP20" s="96"/>
      <c r="BQ20" s="135">
        <v>682.2</v>
      </c>
      <c r="BR20" s="207"/>
    </row>
    <row r="21" spans="1:70">
      <c r="A21" s="240">
        <f t="shared" si="3"/>
        <v>45761</v>
      </c>
      <c r="B21" s="11">
        <f>YEAR(Input_Raw[[#This Row],[Date]])+IF(MONTH(Input_Raw[[#This Row],[Date]])&gt;=4,1,0)</f>
        <v>2026</v>
      </c>
      <c r="C21" s="11">
        <f>YEAR(Input_Raw[[#This Row],[Date]])</f>
        <v>2025</v>
      </c>
      <c r="D21" s="12">
        <f t="shared" si="5"/>
        <v>45748</v>
      </c>
      <c r="E21" s="11">
        <f>DAY(EOMONTH(Input_Raw[[#This Row],[Date]],0))</f>
        <v>30</v>
      </c>
      <c r="F21" s="137">
        <v>49494</v>
      </c>
      <c r="G21" s="137">
        <v>54587</v>
      </c>
      <c r="H21" s="137">
        <v>26547</v>
      </c>
      <c r="I21" s="137">
        <v>55152</v>
      </c>
      <c r="J21" s="137">
        <v>54526</v>
      </c>
      <c r="K21" s="137">
        <v>43979</v>
      </c>
      <c r="L21" s="137">
        <v>52855</v>
      </c>
      <c r="M21" s="137">
        <v>45219</v>
      </c>
      <c r="N21" s="137">
        <v>45058</v>
      </c>
      <c r="O21" s="137">
        <v>42261</v>
      </c>
      <c r="P21" s="137">
        <v>46926</v>
      </c>
      <c r="Q21" s="137">
        <v>44309</v>
      </c>
      <c r="R21" s="137">
        <v>32069</v>
      </c>
      <c r="S21" s="137">
        <v>41611</v>
      </c>
      <c r="T21" s="137">
        <v>35797</v>
      </c>
      <c r="U21" s="137">
        <v>46276</v>
      </c>
      <c r="V21" s="137">
        <v>48303</v>
      </c>
      <c r="W21" s="137">
        <v>42517</v>
      </c>
      <c r="X21" s="137">
        <v>48676</v>
      </c>
      <c r="Y21" s="137">
        <v>47867</v>
      </c>
      <c r="Z21" s="137">
        <v>43699</v>
      </c>
      <c r="AA21" s="137">
        <v>49144</v>
      </c>
      <c r="AB21" s="137">
        <v>47758</v>
      </c>
      <c r="AC21" s="13">
        <v>48527</v>
      </c>
      <c r="AD21" s="13">
        <v>34863</v>
      </c>
      <c r="AE21" s="13">
        <v>46555</v>
      </c>
      <c r="AF21" s="138">
        <v>9.1019444200727637</v>
      </c>
      <c r="AG21" s="138">
        <v>9.6511111127005584</v>
      </c>
      <c r="AH21" s="138">
        <v>8.1617361327840161</v>
      </c>
      <c r="AI21" s="138">
        <v>9.6954861813121269</v>
      </c>
      <c r="AJ21" s="138">
        <v>9.7077777352597892</v>
      </c>
      <c r="AK21" s="138">
        <v>8.5596527821487811</v>
      </c>
      <c r="AL21" s="138">
        <v>9.5654860933621624</v>
      </c>
      <c r="AM21" s="138">
        <v>8.9412500129805643</v>
      </c>
      <c r="AN21" s="138">
        <v>8.6055555178059393</v>
      </c>
      <c r="AO21" s="138">
        <v>8.3949305646949295</v>
      </c>
      <c r="AP21" s="138">
        <v>8.8494444257683185</v>
      </c>
      <c r="AQ21" s="138">
        <v>8.6868750121858316</v>
      </c>
      <c r="AR21" s="138">
        <v>8.6395833392937913</v>
      </c>
      <c r="AS21" s="138">
        <v>8.4447222318914115</v>
      </c>
      <c r="AT21" s="138">
        <v>8.5942656943848057</v>
      </c>
      <c r="AU21" s="138">
        <v>8.9832638998826297</v>
      </c>
      <c r="AV21" s="138">
        <v>9.573541692561566</v>
      </c>
      <c r="AW21" s="138">
        <v>8.3386111193233017</v>
      </c>
      <c r="AX21" s="138">
        <v>9.2368750174840226</v>
      </c>
      <c r="AY21" s="138">
        <v>8.9902777837382377</v>
      </c>
      <c r="AZ21" s="138">
        <v>8.6319444411330704</v>
      </c>
      <c r="BA21" s="138">
        <v>9.0699305699931223</v>
      </c>
      <c r="BB21" s="138">
        <v>8.8649999797344137</v>
      </c>
      <c r="BC21" s="14">
        <v>9.1472222440772484</v>
      </c>
      <c r="BD21" s="14">
        <v>9.547272702197084</v>
      </c>
      <c r="BE21" s="14">
        <v>8.7861805491977218</v>
      </c>
      <c r="BF21" s="139">
        <f>SUM(Input_Raw[[#This Row],[O2_01]:[O2_26]])</f>
        <v>1174575</v>
      </c>
      <c r="BG21" s="140">
        <f>IFERROR(AVERAGE(Input_Raw[[#This Row],[WS_O2_01]:[WS_O2_26]]),"")</f>
        <v>8.9526900483064686</v>
      </c>
      <c r="BH21" s="141"/>
      <c r="BI21" s="141"/>
      <c r="BJ21" s="13">
        <v>1131750</v>
      </c>
      <c r="BK21" s="13">
        <v>0</v>
      </c>
      <c r="BL21" s="15">
        <f>Input_Raw[[#This Row],[66 kV_Wind_F1_Export_reading]]-Input_Raw[[#This Row],[66 kV_Wind_F1_Import_reading]]</f>
        <v>1131750</v>
      </c>
      <c r="BM21" s="142">
        <f>Input_Raw[[#This Row],[WTG Total Gneration (KWh)]]-Input_Raw[[#This Row],[66 kV_Wind_F1_Export_reading]]</f>
        <v>42825</v>
      </c>
      <c r="BN21" s="111">
        <f>(Input_Raw[[#This Row],[WTG Total Gneration (KWh)]]-Input_Raw[[#This Row],[66 kV_Wind_F1_Export_reading]])/Input_Raw[[#This Row],[WTG Total Gneration (KWh)]]</f>
        <v>3.6459996168827023E-2</v>
      </c>
      <c r="BO21" s="89">
        <v>70.2</v>
      </c>
      <c r="BP21" s="96"/>
      <c r="BQ21" s="135">
        <v>1310.71</v>
      </c>
      <c r="BR21" s="207"/>
    </row>
    <row r="22" spans="1:70">
      <c r="A22" s="240">
        <f t="shared" si="3"/>
        <v>45762</v>
      </c>
      <c r="B22" s="11">
        <f>YEAR(Input_Raw[[#This Row],[Date]])+IF(MONTH(Input_Raw[[#This Row],[Date]])&gt;=4,1,0)</f>
        <v>2026</v>
      </c>
      <c r="C22" s="11">
        <f>YEAR(Input_Raw[[#This Row],[Date]])</f>
        <v>2025</v>
      </c>
      <c r="D22" s="12">
        <f t="shared" si="5"/>
        <v>45748</v>
      </c>
      <c r="E22" s="11">
        <f>DAY(EOMONTH(Input_Raw[[#This Row],[Date]],0))</f>
        <v>30</v>
      </c>
      <c r="F22" s="137">
        <v>46514</v>
      </c>
      <c r="G22" s="137">
        <v>48545</v>
      </c>
      <c r="H22" s="137">
        <v>39223</v>
      </c>
      <c r="I22" s="137">
        <v>47687</v>
      </c>
      <c r="J22" s="137">
        <v>30448</v>
      </c>
      <c r="K22" s="137">
        <v>45430</v>
      </c>
      <c r="L22" s="137">
        <v>44148</v>
      </c>
      <c r="M22" s="137">
        <v>45573</v>
      </c>
      <c r="N22" s="137">
        <v>29654</v>
      </c>
      <c r="O22" s="137">
        <v>39470</v>
      </c>
      <c r="P22" s="137">
        <v>43359</v>
      </c>
      <c r="Q22" s="137">
        <v>40662</v>
      </c>
      <c r="R22" s="137">
        <v>40685</v>
      </c>
      <c r="S22" s="137">
        <v>41368</v>
      </c>
      <c r="T22" s="137">
        <v>44736</v>
      </c>
      <c r="U22" s="137">
        <v>36838</v>
      </c>
      <c r="V22" s="137">
        <v>21163</v>
      </c>
      <c r="W22" s="137">
        <v>45796</v>
      </c>
      <c r="X22" s="137">
        <v>44525</v>
      </c>
      <c r="Y22" s="137">
        <v>47068</v>
      </c>
      <c r="Z22" s="137">
        <v>46010</v>
      </c>
      <c r="AA22" s="137">
        <v>50084</v>
      </c>
      <c r="AB22" s="137">
        <v>45181</v>
      </c>
      <c r="AC22" s="13">
        <v>45308</v>
      </c>
      <c r="AD22" s="13">
        <v>43881</v>
      </c>
      <c r="AE22" s="13">
        <v>45361</v>
      </c>
      <c r="AF22" s="138">
        <v>8.6084722379843281</v>
      </c>
      <c r="AG22" s="138">
        <v>9.1473610930972473</v>
      </c>
      <c r="AH22" s="138">
        <v>7.9454861051506462</v>
      </c>
      <c r="AI22" s="138">
        <v>9.1070833371745064</v>
      </c>
      <c r="AJ22" s="138">
        <v>9.1824305587344508</v>
      </c>
      <c r="AK22" s="138">
        <v>8.5748610860771564</v>
      </c>
      <c r="AL22" s="138">
        <v>8.7966666850778683</v>
      </c>
      <c r="AM22" s="138">
        <v>8.5249999827808676</v>
      </c>
      <c r="AN22" s="138">
        <v>8.4452083441946169</v>
      </c>
      <c r="AO22" s="138">
        <v>8.1390209531450566</v>
      </c>
      <c r="AP22" s="138">
        <v>8.3093749781449588</v>
      </c>
      <c r="AQ22" s="138">
        <v>8.1183333330684206</v>
      </c>
      <c r="AR22" s="138">
        <v>8.1345138814714151</v>
      </c>
      <c r="AS22" s="138">
        <v>8.2361805538336412</v>
      </c>
      <c r="AT22" s="138">
        <v>8.4832638601461987</v>
      </c>
      <c r="AU22" s="138">
        <v>9.1687412662105796</v>
      </c>
      <c r="AV22" s="138">
        <v>9.5176388654443826</v>
      </c>
      <c r="AW22" s="138">
        <v>8.4606249862246994</v>
      </c>
      <c r="AX22" s="138">
        <v>8.8021527859899553</v>
      </c>
      <c r="AY22" s="138">
        <v>8.8149305449591626</v>
      </c>
      <c r="AZ22" s="138">
        <v>8.7621527877118712</v>
      </c>
      <c r="BA22" s="138">
        <v>9.1504167053434475</v>
      </c>
      <c r="BB22" s="138">
        <v>8.4670138822661425</v>
      </c>
      <c r="BC22" s="14">
        <v>8.7845138443840725</v>
      </c>
      <c r="BD22" s="14">
        <v>8.7821527487701676</v>
      </c>
      <c r="BE22" s="14">
        <v>8.4726388951142546</v>
      </c>
      <c r="BF22" s="139">
        <f>SUM(Input_Raw[[#This Row],[O2_01]:[O2_26]])</f>
        <v>1098717</v>
      </c>
      <c r="BG22" s="140">
        <f>IFERROR(AVERAGE(Input_Raw[[#This Row],[WS_O2_01]:[WS_O2_26]]),"")</f>
        <v>8.6513936270192335</v>
      </c>
      <c r="BH22" s="141"/>
      <c r="BI22" s="141"/>
      <c r="BJ22" s="13">
        <v>1060200</v>
      </c>
      <c r="BK22" s="13">
        <v>0</v>
      </c>
      <c r="BL22" s="15">
        <f>Input_Raw[[#This Row],[66 kV_Wind_F1_Export_reading]]-Input_Raw[[#This Row],[66 kV_Wind_F1_Import_reading]]</f>
        <v>1060200</v>
      </c>
      <c r="BM22" s="142">
        <f>Input_Raw[[#This Row],[WTG Total Gneration (KWh)]]-Input_Raw[[#This Row],[66 kV_Wind_F1_Export_reading]]</f>
        <v>38517</v>
      </c>
      <c r="BN22" s="111">
        <f>(Input_Raw[[#This Row],[WTG Total Gneration (KWh)]]-Input_Raw[[#This Row],[66 kV_Wind_F1_Export_reading]])/Input_Raw[[#This Row],[WTG Total Gneration (KWh)]]</f>
        <v>3.5056342989140968E-2</v>
      </c>
      <c r="BO22" s="89">
        <v>70.2</v>
      </c>
      <c r="BP22" s="96"/>
      <c r="BQ22" s="135">
        <v>1204.55</v>
      </c>
      <c r="BR22" s="207"/>
    </row>
    <row r="23" spans="1:70">
      <c r="A23" s="240">
        <f t="shared" si="3"/>
        <v>45763</v>
      </c>
      <c r="B23" s="11">
        <f>YEAR(Input_Raw[[#This Row],[Date]])+IF(MONTH(Input_Raw[[#This Row],[Date]])&gt;=4,1,0)</f>
        <v>2026</v>
      </c>
      <c r="C23" s="11">
        <f>YEAR(Input_Raw[[#This Row],[Date]])</f>
        <v>2025</v>
      </c>
      <c r="D23" s="12">
        <f t="shared" ref="D23:D28" si="6">A23-DAY(A23)+1</f>
        <v>45748</v>
      </c>
      <c r="E23" s="11">
        <f>DAY(EOMONTH(Input_Raw[[#This Row],[Date]],0))</f>
        <v>30</v>
      </c>
      <c r="F23" s="137">
        <v>39687</v>
      </c>
      <c r="G23" s="137">
        <v>43551</v>
      </c>
      <c r="H23" s="137">
        <v>33252</v>
      </c>
      <c r="I23" s="137">
        <v>42754</v>
      </c>
      <c r="J23" s="137">
        <v>39116</v>
      </c>
      <c r="K23" s="137">
        <v>41952</v>
      </c>
      <c r="L23" s="137">
        <v>38923</v>
      </c>
      <c r="M23" s="137">
        <v>32217</v>
      </c>
      <c r="N23" s="137">
        <v>37241</v>
      </c>
      <c r="O23" s="137">
        <v>34029</v>
      </c>
      <c r="P23" s="137">
        <v>37090</v>
      </c>
      <c r="Q23" s="137">
        <v>34156</v>
      </c>
      <c r="R23" s="137">
        <v>33570</v>
      </c>
      <c r="S23" s="137">
        <v>30710</v>
      </c>
      <c r="T23" s="137">
        <v>38531</v>
      </c>
      <c r="U23" s="137">
        <v>37845</v>
      </c>
      <c r="V23" s="137">
        <v>5990</v>
      </c>
      <c r="W23" s="137">
        <v>33986</v>
      </c>
      <c r="X23" s="137">
        <v>39068</v>
      </c>
      <c r="Y23" s="137">
        <v>39760</v>
      </c>
      <c r="Z23" s="137">
        <v>41205</v>
      </c>
      <c r="AA23" s="137">
        <v>46060</v>
      </c>
      <c r="AB23" s="137">
        <v>38562</v>
      </c>
      <c r="AC23" s="13">
        <v>36943</v>
      </c>
      <c r="AD23" s="13">
        <v>33701</v>
      </c>
      <c r="AE23" s="13">
        <v>37850</v>
      </c>
      <c r="AF23" s="138">
        <v>7.8429166939523434</v>
      </c>
      <c r="AG23" s="138">
        <v>8.2334721965922135</v>
      </c>
      <c r="AH23" s="138">
        <v>7.3058333115445215</v>
      </c>
      <c r="AI23" s="138">
        <v>8.2092361185285654</v>
      </c>
      <c r="AJ23" s="138">
        <v>8.2520833346578648</v>
      </c>
      <c r="AK23" s="138">
        <v>8.1929166764020884</v>
      </c>
      <c r="AL23" s="138">
        <v>7.9234721875852898</v>
      </c>
      <c r="AM23" s="138">
        <v>7.8644755120043959</v>
      </c>
      <c r="AN23" s="138">
        <v>7.639305533634289</v>
      </c>
      <c r="AO23" s="138">
        <v>7.36930555105209</v>
      </c>
      <c r="AP23" s="138">
        <v>7.6580555687348015</v>
      </c>
      <c r="AQ23" s="138">
        <v>7.4222222417592958</v>
      </c>
      <c r="AR23" s="138">
        <v>7.3970138976971294</v>
      </c>
      <c r="AS23" s="138">
        <v>7.5143749945693514</v>
      </c>
      <c r="AT23" s="138">
        <v>7.7897222373220627</v>
      </c>
      <c r="AU23" s="138">
        <v>8.0988888740539444</v>
      </c>
      <c r="AV23" s="138">
        <v>8.6369444396760588</v>
      </c>
      <c r="AW23" s="138">
        <v>8.0579166958729402</v>
      </c>
      <c r="AX23" s="138">
        <v>7.9155555615822344</v>
      </c>
      <c r="AY23" s="138">
        <v>8.0107638869020565</v>
      </c>
      <c r="AZ23" s="138">
        <v>8.1520138747162232</v>
      </c>
      <c r="BA23" s="138">
        <v>8.6213194761011192</v>
      </c>
      <c r="BB23" s="138">
        <v>7.7801389131281029</v>
      </c>
      <c r="BC23" s="14">
        <v>7.8828472097714677</v>
      </c>
      <c r="BD23" s="14">
        <v>8.014513873391671</v>
      </c>
      <c r="BE23" s="14">
        <v>7.6637500226497606</v>
      </c>
      <c r="BF23" s="139">
        <f>SUM(Input_Raw[[#This Row],[O2_01]:[O2_26]])</f>
        <v>947749</v>
      </c>
      <c r="BG23" s="140">
        <f>IFERROR(AVERAGE(Input_Raw[[#This Row],[WS_O2_01]:[WS_O2_26]]),"")</f>
        <v>7.9018868801493038</v>
      </c>
      <c r="BH23" s="141"/>
      <c r="BI23" s="141"/>
      <c r="BJ23" s="13">
        <v>913950</v>
      </c>
      <c r="BK23" s="13">
        <v>0</v>
      </c>
      <c r="BL23" s="15">
        <f>Input_Raw[[#This Row],[66 kV_Wind_F1_Export_reading]]-Input_Raw[[#This Row],[66 kV_Wind_F1_Import_reading]]</f>
        <v>913950</v>
      </c>
      <c r="BM23" s="142">
        <f>Input_Raw[[#This Row],[WTG Total Gneration (KWh)]]-Input_Raw[[#This Row],[66 kV_Wind_F1_Export_reading]]</f>
        <v>33799</v>
      </c>
      <c r="BN23" s="111">
        <f>(Input_Raw[[#This Row],[WTG Total Gneration (KWh)]]-Input_Raw[[#This Row],[66 kV_Wind_F1_Export_reading]])/Input_Raw[[#This Row],[WTG Total Gneration (KWh)]]</f>
        <v>3.5662395845313472E-2</v>
      </c>
      <c r="BO23" s="89">
        <v>70.2</v>
      </c>
      <c r="BP23" s="96"/>
      <c r="BQ23" s="135">
        <v>1042.18</v>
      </c>
      <c r="BR23" s="207"/>
    </row>
    <row r="24" spans="1:70">
      <c r="A24" s="240">
        <f t="shared" si="3"/>
        <v>45764</v>
      </c>
      <c r="B24" s="11">
        <f>YEAR(Input_Raw[[#This Row],[Date]])+IF(MONTH(Input_Raw[[#This Row],[Date]])&gt;=4,1,0)</f>
        <v>2026</v>
      </c>
      <c r="C24" s="11">
        <f>YEAR(Input_Raw[[#This Row],[Date]])</f>
        <v>2025</v>
      </c>
      <c r="D24" s="12">
        <f t="shared" si="6"/>
        <v>45748</v>
      </c>
      <c r="E24" s="11">
        <f>DAY(EOMONTH(Input_Raw[[#This Row],[Date]],0))</f>
        <v>30</v>
      </c>
      <c r="F24" s="137">
        <v>36843</v>
      </c>
      <c r="G24" s="137">
        <v>37275</v>
      </c>
      <c r="H24" s="137">
        <v>31117</v>
      </c>
      <c r="I24" s="137">
        <v>40506</v>
      </c>
      <c r="J24" s="137">
        <v>38564</v>
      </c>
      <c r="K24" s="137">
        <v>34183</v>
      </c>
      <c r="L24" s="137">
        <v>36587</v>
      </c>
      <c r="M24" s="137">
        <v>34160</v>
      </c>
      <c r="N24" s="137">
        <v>34958</v>
      </c>
      <c r="O24" s="137">
        <v>25644</v>
      </c>
      <c r="P24" s="137">
        <v>32786</v>
      </c>
      <c r="Q24" s="137">
        <v>27764</v>
      </c>
      <c r="R24" s="137">
        <v>29488</v>
      </c>
      <c r="S24" s="137">
        <v>29808</v>
      </c>
      <c r="T24" s="137">
        <v>32423</v>
      </c>
      <c r="U24" s="137">
        <v>30737</v>
      </c>
      <c r="V24" s="137">
        <v>34358</v>
      </c>
      <c r="W24" s="137">
        <v>33701</v>
      </c>
      <c r="X24" s="137">
        <v>35632</v>
      </c>
      <c r="Y24" s="137">
        <v>33211</v>
      </c>
      <c r="Z24" s="137">
        <v>29664</v>
      </c>
      <c r="AA24" s="137">
        <v>37507</v>
      </c>
      <c r="AB24" s="137">
        <v>35381</v>
      </c>
      <c r="AC24" s="13">
        <v>32115</v>
      </c>
      <c r="AD24" s="13">
        <v>35469</v>
      </c>
      <c r="AE24" s="13">
        <v>36110</v>
      </c>
      <c r="AF24" s="138">
        <v>7.4666666769319043</v>
      </c>
      <c r="AG24" s="138">
        <v>7.8992307673800966</v>
      </c>
      <c r="AH24" s="138">
        <v>6.8693055328395589</v>
      </c>
      <c r="AI24" s="138">
        <v>7.7907638810574831</v>
      </c>
      <c r="AJ24" s="138">
        <v>7.9418749933441397</v>
      </c>
      <c r="AK24" s="138">
        <v>7.1636805666817516</v>
      </c>
      <c r="AL24" s="138">
        <v>7.5518750086840596</v>
      </c>
      <c r="AM24" s="138">
        <v>7.2331250293387246</v>
      </c>
      <c r="AN24" s="138">
        <v>7.2426389149493575</v>
      </c>
      <c r="AO24" s="138">
        <v>6.3554860966073132</v>
      </c>
      <c r="AP24" s="138">
        <v>7.1822222247719703</v>
      </c>
      <c r="AQ24" s="138">
        <v>7.0022222027182552</v>
      </c>
      <c r="AR24" s="138">
        <v>6.7729861167026666</v>
      </c>
      <c r="AS24" s="138">
        <v>6.8229861114588042</v>
      </c>
      <c r="AT24" s="138">
        <v>6.9756944303711244</v>
      </c>
      <c r="AU24" s="138">
        <v>7.0449305615491298</v>
      </c>
      <c r="AV24" s="138">
        <v>7.173402744862762</v>
      </c>
      <c r="AW24" s="138">
        <v>7.0145833219091074</v>
      </c>
      <c r="AX24" s="138">
        <v>7.2395833296080339</v>
      </c>
      <c r="AY24" s="138">
        <v>7.1526389117870046</v>
      </c>
      <c r="AZ24" s="138">
        <v>6.9462237533155839</v>
      </c>
      <c r="BA24" s="138">
        <v>7.5787412778480823</v>
      </c>
      <c r="BB24" s="138">
        <v>7.2679861262440619</v>
      </c>
      <c r="BC24" s="14">
        <v>7.1542361196544375</v>
      </c>
      <c r="BD24" s="14">
        <v>7.6755555665327346</v>
      </c>
      <c r="BE24" s="14">
        <v>7.2931249986092199</v>
      </c>
      <c r="BF24" s="139">
        <f>SUM(Input_Raw[[#This Row],[O2_01]:[O2_26]])</f>
        <v>875991</v>
      </c>
      <c r="BG24" s="140">
        <f>IFERROR(AVERAGE(Input_Raw[[#This Row],[WS_O2_01]:[WS_O2_26]]),"")</f>
        <v>7.2235294332983582</v>
      </c>
      <c r="BH24" s="141"/>
      <c r="BI24" s="141"/>
      <c r="BJ24" s="13">
        <v>845100</v>
      </c>
      <c r="BK24" s="13">
        <v>450</v>
      </c>
      <c r="BL24" s="15">
        <f>Input_Raw[[#This Row],[66 kV_Wind_F1_Export_reading]]-Input_Raw[[#This Row],[66 kV_Wind_F1_Import_reading]]</f>
        <v>844650</v>
      </c>
      <c r="BM24" s="142">
        <f>Input_Raw[[#This Row],[WTG Total Gneration (KWh)]]-Input_Raw[[#This Row],[66 kV_Wind_F1_Export_reading]]</f>
        <v>30891</v>
      </c>
      <c r="BN24" s="111">
        <f>(Input_Raw[[#This Row],[WTG Total Gneration (KWh)]]-Input_Raw[[#This Row],[66 kV_Wind_F1_Export_reading]])/Input_Raw[[#This Row],[WTG Total Gneration (KWh)]]</f>
        <v>3.5264060932132864E-2</v>
      </c>
      <c r="BO24" s="89">
        <v>70.2</v>
      </c>
      <c r="BP24" s="96"/>
      <c r="BQ24" s="135">
        <v>924.98</v>
      </c>
      <c r="BR24" s="207"/>
    </row>
    <row r="25" spans="1:70">
      <c r="A25" s="240">
        <f t="shared" si="3"/>
        <v>45765</v>
      </c>
      <c r="B25" s="11">
        <f>YEAR(Input_Raw[[#This Row],[Date]])+IF(MONTH(Input_Raw[[#This Row],[Date]])&gt;=4,1,0)</f>
        <v>2026</v>
      </c>
      <c r="C25" s="11">
        <f>YEAR(Input_Raw[[#This Row],[Date]])</f>
        <v>2025</v>
      </c>
      <c r="D25" s="12">
        <f t="shared" si="6"/>
        <v>45748</v>
      </c>
      <c r="E25" s="11">
        <f>DAY(EOMONTH(Input_Raw[[#This Row],[Date]],0))</f>
        <v>30</v>
      </c>
      <c r="F25" s="137">
        <v>34294</v>
      </c>
      <c r="G25" s="137">
        <v>34912</v>
      </c>
      <c r="H25" s="137">
        <v>27346</v>
      </c>
      <c r="I25" s="137">
        <v>45131</v>
      </c>
      <c r="J25" s="137">
        <v>34316</v>
      </c>
      <c r="K25" s="137">
        <v>28245</v>
      </c>
      <c r="L25" s="137">
        <v>45438</v>
      </c>
      <c r="M25" s="137">
        <v>32009</v>
      </c>
      <c r="N25" s="137">
        <v>31138</v>
      </c>
      <c r="O25" s="137">
        <v>26881</v>
      </c>
      <c r="P25" s="137">
        <v>28371</v>
      </c>
      <c r="Q25" s="137">
        <v>30866</v>
      </c>
      <c r="R25" s="137">
        <v>28163</v>
      </c>
      <c r="S25" s="137">
        <v>29384</v>
      </c>
      <c r="T25" s="137">
        <v>31417</v>
      </c>
      <c r="U25" s="137">
        <v>34039</v>
      </c>
      <c r="V25" s="137">
        <v>42599</v>
      </c>
      <c r="W25" s="137">
        <v>31599</v>
      </c>
      <c r="X25" s="137">
        <v>40021</v>
      </c>
      <c r="Y25" s="137">
        <v>34801</v>
      </c>
      <c r="Z25" s="137">
        <v>31662</v>
      </c>
      <c r="AA25" s="137">
        <v>36369</v>
      </c>
      <c r="AB25" s="137">
        <v>32033</v>
      </c>
      <c r="AC25" s="13">
        <v>31520</v>
      </c>
      <c r="AD25" s="13">
        <v>28659</v>
      </c>
      <c r="AE25" s="13">
        <v>32826</v>
      </c>
      <c r="AF25" s="138">
        <v>7.637847228182677</v>
      </c>
      <c r="AG25" s="138">
        <v>8.3981249961588063</v>
      </c>
      <c r="AH25" s="138">
        <v>6.868333338035475</v>
      </c>
      <c r="AI25" s="138">
        <v>8.6183333761162189</v>
      </c>
      <c r="AJ25" s="138">
        <v>8.4024999903307993</v>
      </c>
      <c r="AK25" s="138">
        <v>7.2827083439462683</v>
      </c>
      <c r="AL25" s="138">
        <v>8.6866666674613846</v>
      </c>
      <c r="AM25" s="138">
        <v>7.3904166420300754</v>
      </c>
      <c r="AN25" s="138">
        <v>7.2176388833257823</v>
      </c>
      <c r="AO25" s="138">
        <v>7.0017361144224788</v>
      </c>
      <c r="AP25" s="138">
        <v>7.2240277727444937</v>
      </c>
      <c r="AQ25" s="138">
        <v>7.2451389034589067</v>
      </c>
      <c r="AR25" s="138">
        <v>7.0875000059604609</v>
      </c>
      <c r="AS25" s="138">
        <v>7.1581249866220666</v>
      </c>
      <c r="AT25" s="138">
        <v>7.3379861017068198</v>
      </c>
      <c r="AU25" s="138">
        <v>7.7957638998826297</v>
      </c>
      <c r="AV25" s="138">
        <v>8.4906944268279521</v>
      </c>
      <c r="AW25" s="138">
        <v>7.2439583440621647</v>
      </c>
      <c r="AX25" s="138">
        <v>8.1028472416930661</v>
      </c>
      <c r="AY25" s="138">
        <v>7.7814583546585441</v>
      </c>
      <c r="AZ25" s="138">
        <v>7.5027777751286813</v>
      </c>
      <c r="BA25" s="138">
        <v>7.9106250173515713</v>
      </c>
      <c r="BB25" s="138">
        <v>7.3529166777928578</v>
      </c>
      <c r="BC25" s="14">
        <v>7.8791666958067106</v>
      </c>
      <c r="BD25" s="14">
        <v>8.1398611068725533</v>
      </c>
      <c r="BE25" s="14">
        <v>7.4213194549083648</v>
      </c>
      <c r="BF25" s="139">
        <f>SUM(Input_Raw[[#This Row],[O2_01]:[O2_26]])</f>
        <v>864039</v>
      </c>
      <c r="BG25" s="140">
        <f>IFERROR(AVERAGE(Input_Raw[[#This Row],[WS_O2_01]:[WS_O2_26]]),"")</f>
        <v>7.6607104748264545</v>
      </c>
      <c r="BH25" s="141"/>
      <c r="BI25" s="141"/>
      <c r="BJ25" s="13">
        <v>836550</v>
      </c>
      <c r="BK25" s="13">
        <v>0</v>
      </c>
      <c r="BL25" s="15">
        <f>Input_Raw[[#This Row],[66 kV_Wind_F1_Export_reading]]-Input_Raw[[#This Row],[66 kV_Wind_F1_Import_reading]]</f>
        <v>836550</v>
      </c>
      <c r="BM25" s="142">
        <f>Input_Raw[[#This Row],[WTG Total Gneration (KWh)]]-Input_Raw[[#This Row],[66 kV_Wind_F1_Export_reading]]</f>
        <v>27489</v>
      </c>
      <c r="BN25" s="111">
        <f>(Input_Raw[[#This Row],[WTG Total Gneration (KWh)]]-Input_Raw[[#This Row],[66 kV_Wind_F1_Export_reading]])/Input_Raw[[#This Row],[WTG Total Gneration (KWh)]]</f>
        <v>3.1814536149409919E-2</v>
      </c>
      <c r="BO25" s="89">
        <v>70.2</v>
      </c>
      <c r="BP25" s="96"/>
      <c r="BQ25" s="135">
        <v>946.76</v>
      </c>
      <c r="BR25" s="207"/>
    </row>
    <row r="26" spans="1:70">
      <c r="A26" s="240">
        <f t="shared" si="3"/>
        <v>45766</v>
      </c>
      <c r="B26" s="11">
        <f>YEAR(Input_Raw[[#This Row],[Date]])+IF(MONTH(Input_Raw[[#This Row],[Date]])&gt;=4,1,0)</f>
        <v>2026</v>
      </c>
      <c r="C26" s="11">
        <f>YEAR(Input_Raw[[#This Row],[Date]])</f>
        <v>2025</v>
      </c>
      <c r="D26" s="12">
        <f t="shared" si="6"/>
        <v>45748</v>
      </c>
      <c r="E26" s="11">
        <f>DAY(EOMONTH(Input_Raw[[#This Row],[Date]],0))</f>
        <v>30</v>
      </c>
      <c r="F26" s="137">
        <v>39027</v>
      </c>
      <c r="G26" s="137">
        <v>53626</v>
      </c>
      <c r="H26" s="137">
        <v>42200</v>
      </c>
      <c r="I26" s="137">
        <v>51178</v>
      </c>
      <c r="J26" s="137">
        <v>48525</v>
      </c>
      <c r="K26" s="137">
        <v>46454</v>
      </c>
      <c r="L26" s="137">
        <v>45064</v>
      </c>
      <c r="M26" s="137">
        <v>39407</v>
      </c>
      <c r="N26" s="137">
        <v>45465</v>
      </c>
      <c r="O26" s="137">
        <v>44515</v>
      </c>
      <c r="P26" s="137">
        <v>45528</v>
      </c>
      <c r="Q26" s="137">
        <v>44692</v>
      </c>
      <c r="R26" s="137">
        <v>38827</v>
      </c>
      <c r="S26" s="137">
        <v>42355</v>
      </c>
      <c r="T26" s="137">
        <v>46436</v>
      </c>
      <c r="U26" s="137">
        <v>44394</v>
      </c>
      <c r="V26" s="137">
        <v>46112</v>
      </c>
      <c r="W26" s="137">
        <v>32014</v>
      </c>
      <c r="X26" s="137">
        <v>49651</v>
      </c>
      <c r="Y26" s="137">
        <v>46167</v>
      </c>
      <c r="Z26" s="137">
        <v>45633</v>
      </c>
      <c r="AA26" s="137">
        <v>46701</v>
      </c>
      <c r="AB26" s="137">
        <v>45695</v>
      </c>
      <c r="AC26" s="13">
        <v>45796</v>
      </c>
      <c r="AD26" s="13">
        <v>37623</v>
      </c>
      <c r="AE26" s="13">
        <v>45701</v>
      </c>
      <c r="AF26" s="138">
        <v>8.9352083305517773</v>
      </c>
      <c r="AG26" s="138">
        <v>9.3668055733044877</v>
      </c>
      <c r="AH26" s="138">
        <v>8.5899305608537375</v>
      </c>
      <c r="AI26" s="138">
        <v>9.26263883709907</v>
      </c>
      <c r="AJ26" s="138">
        <v>9.2918055570787796</v>
      </c>
      <c r="AK26" s="138">
        <v>8.9084027376439749</v>
      </c>
      <c r="AL26" s="138">
        <v>8.7253472573227313</v>
      </c>
      <c r="AM26" s="138">
        <v>8.4040972325536885</v>
      </c>
      <c r="AN26" s="138">
        <v>8.7478471961286246</v>
      </c>
      <c r="AO26" s="138">
        <v>8.7139583362473321</v>
      </c>
      <c r="AP26" s="138">
        <v>8.8479166825612285</v>
      </c>
      <c r="AQ26" s="138">
        <v>8.7184028128782831</v>
      </c>
      <c r="AR26" s="138">
        <v>8.2669444183508531</v>
      </c>
      <c r="AS26" s="138">
        <v>8.6297916803095021</v>
      </c>
      <c r="AT26" s="138">
        <v>8.8724305861525963</v>
      </c>
      <c r="AU26" s="138">
        <v>9.0203472210301197</v>
      </c>
      <c r="AV26" s="138">
        <v>8.9456250071525485</v>
      </c>
      <c r="AW26" s="138">
        <v>9.3123611178662937</v>
      </c>
      <c r="AX26" s="138">
        <v>9.1511111226346689</v>
      </c>
      <c r="AY26" s="138">
        <v>9.0034722122881092</v>
      </c>
      <c r="AZ26" s="138">
        <v>8.9361805584695517</v>
      </c>
      <c r="BA26" s="138">
        <v>9.05374997523095</v>
      </c>
      <c r="BB26" s="138">
        <v>8.8845139079623685</v>
      </c>
      <c r="BC26" s="14">
        <v>8.9090277618831966</v>
      </c>
      <c r="BD26" s="14">
        <v>9.2600694563653665</v>
      </c>
      <c r="BE26" s="14">
        <v>8.7713889115386436</v>
      </c>
      <c r="BF26" s="139">
        <f>SUM(Input_Raw[[#This Row],[O2_01]:[O2_26]])</f>
        <v>1158786</v>
      </c>
      <c r="BG26" s="140">
        <f>IFERROR(AVERAGE(Input_Raw[[#This Row],[WS_O2_01]:[WS_O2_26]]),"")</f>
        <v>8.9049759635176322</v>
      </c>
      <c r="BH26" s="141"/>
      <c r="BI26" s="141"/>
      <c r="BJ26" s="13">
        <v>1118700</v>
      </c>
      <c r="BK26" s="13">
        <v>0</v>
      </c>
      <c r="BL26" s="15">
        <f>Input_Raw[[#This Row],[66 kV_Wind_F1_Export_reading]]-Input_Raw[[#This Row],[66 kV_Wind_F1_Import_reading]]</f>
        <v>1118700</v>
      </c>
      <c r="BM26" s="142">
        <f>Input_Raw[[#This Row],[WTG Total Gneration (KWh)]]-Input_Raw[[#This Row],[66 kV_Wind_F1_Export_reading]]</f>
        <v>40086</v>
      </c>
      <c r="BN26" s="111">
        <f>(Input_Raw[[#This Row],[WTG Total Gneration (KWh)]]-Input_Raw[[#This Row],[66 kV_Wind_F1_Export_reading]])/Input_Raw[[#This Row],[WTG Total Gneration (KWh)]]</f>
        <v>3.459310002019355E-2</v>
      </c>
      <c r="BO26" s="89">
        <v>70.2</v>
      </c>
      <c r="BP26" s="96"/>
      <c r="BQ26" s="135">
        <v>1285.97</v>
      </c>
      <c r="BR26" s="207"/>
    </row>
    <row r="27" spans="1:70">
      <c r="A27" s="240">
        <f t="shared" si="3"/>
        <v>45767</v>
      </c>
      <c r="B27" s="11">
        <f>YEAR(Input_Raw[[#This Row],[Date]])+IF(MONTH(Input_Raw[[#This Row],[Date]])&gt;=4,1,0)</f>
        <v>2026</v>
      </c>
      <c r="C27" s="11">
        <f>YEAR(Input_Raw[[#This Row],[Date]])</f>
        <v>2025</v>
      </c>
      <c r="D27" s="12">
        <f t="shared" si="6"/>
        <v>45748</v>
      </c>
      <c r="E27" s="11">
        <f>DAY(EOMONTH(Input_Raw[[#This Row],[Date]],0))</f>
        <v>30</v>
      </c>
      <c r="F27" s="221">
        <v>24919</v>
      </c>
      <c r="G27" s="221">
        <v>30555</v>
      </c>
      <c r="H27" s="221">
        <v>22769</v>
      </c>
      <c r="I27" s="221">
        <v>30756</v>
      </c>
      <c r="J27" s="221">
        <v>30469</v>
      </c>
      <c r="K27" s="221">
        <v>30187</v>
      </c>
      <c r="L27" s="221">
        <v>26515</v>
      </c>
      <c r="M27" s="221">
        <v>23102</v>
      </c>
      <c r="N27" s="221">
        <v>24698</v>
      </c>
      <c r="O27" s="221">
        <v>25632</v>
      </c>
      <c r="P27" s="221">
        <v>27364</v>
      </c>
      <c r="Q27" s="221">
        <v>27081</v>
      </c>
      <c r="R27" s="221">
        <v>22181</v>
      </c>
      <c r="S27" s="221">
        <v>25432</v>
      </c>
      <c r="T27" s="221">
        <v>28875</v>
      </c>
      <c r="U27" s="221">
        <v>27432</v>
      </c>
      <c r="V27" s="221">
        <v>31607</v>
      </c>
      <c r="W27" s="221">
        <v>26006</v>
      </c>
      <c r="X27" s="221">
        <v>30730</v>
      </c>
      <c r="Y27" s="221">
        <v>28383</v>
      </c>
      <c r="Z27" s="221">
        <v>29926</v>
      </c>
      <c r="AA27" s="221">
        <v>28894</v>
      </c>
      <c r="AB27" s="221">
        <v>26129</v>
      </c>
      <c r="AC27" s="222">
        <v>26522</v>
      </c>
      <c r="AD27" s="222">
        <v>30437</v>
      </c>
      <c r="AE27" s="222">
        <v>22337</v>
      </c>
      <c r="AF27" s="223">
        <v>6.8325694534513675</v>
      </c>
      <c r="AG27" s="223">
        <v>7.0727083186308537</v>
      </c>
      <c r="AH27" s="223">
        <v>6.3584027654594841</v>
      </c>
      <c r="AI27" s="223">
        <v>7.1445138802130987</v>
      </c>
      <c r="AJ27" s="223">
        <v>7.1428472151358893</v>
      </c>
      <c r="AK27" s="223">
        <v>7.1264583269755031</v>
      </c>
      <c r="AL27" s="223">
        <v>6.7780555652247525</v>
      </c>
      <c r="AM27" s="223">
        <v>6.4126389159096604</v>
      </c>
      <c r="AN27" s="223">
        <v>6.6050694402721186</v>
      </c>
      <c r="AO27" s="223">
        <v>6.5861111217074919</v>
      </c>
      <c r="AP27" s="223">
        <v>6.837222236726018</v>
      </c>
      <c r="AQ27" s="223">
        <v>6.7897901918504617</v>
      </c>
      <c r="AR27" s="223">
        <v>6.4397202605134112</v>
      </c>
      <c r="AS27" s="223">
        <v>6.6311805488334752</v>
      </c>
      <c r="AT27" s="223">
        <v>6.9379860775338269</v>
      </c>
      <c r="AU27" s="223">
        <v>7.0153147023874549</v>
      </c>
      <c r="AV27" s="223">
        <v>7.2005555362751057</v>
      </c>
      <c r="AW27" s="223">
        <v>7.068181836521708</v>
      </c>
      <c r="AX27" s="223">
        <v>7.0188194364309284</v>
      </c>
      <c r="AY27" s="223">
        <v>7.0671527849303351</v>
      </c>
      <c r="AZ27" s="223">
        <v>7.1595833450555784</v>
      </c>
      <c r="BA27" s="223">
        <v>7.1419444249735919</v>
      </c>
      <c r="BB27" s="223">
        <v>6.7000000029802314</v>
      </c>
      <c r="BC27" s="224">
        <v>6.8062499728467722</v>
      </c>
      <c r="BD27" s="224">
        <v>7.0358333455191708</v>
      </c>
      <c r="BE27" s="224">
        <v>6.3571527782413684</v>
      </c>
      <c r="BF27" s="225">
        <f>SUM(Input_Raw[[#This Row],[O2_01]:[O2_26]])</f>
        <v>708938</v>
      </c>
      <c r="BG27" s="226">
        <f>IFERROR(AVERAGE(Input_Raw[[#This Row],[WS_O2_01]:[WS_O2_26]]),"")</f>
        <v>6.856387018638447</v>
      </c>
      <c r="BH27" s="227"/>
      <c r="BI27" s="227"/>
      <c r="BJ27" s="222">
        <v>687150</v>
      </c>
      <c r="BK27" s="222">
        <v>0</v>
      </c>
      <c r="BL27" s="228">
        <f>Input_Raw[[#This Row],[66 kV_Wind_F1_Export_reading]]-Input_Raw[[#This Row],[66 kV_Wind_F1_Import_reading]]</f>
        <v>687150</v>
      </c>
      <c r="BM27" s="229">
        <f>Input_Raw[[#This Row],[WTG Total Gneration (KWh)]]-Input_Raw[[#This Row],[66 kV_Wind_F1_Export_reading]]</f>
        <v>21788</v>
      </c>
      <c r="BN27" s="111">
        <f>(Input_Raw[[#This Row],[WTG Total Gneration (KWh)]]-Input_Raw[[#This Row],[66 kV_Wind_F1_Export_reading]])/Input_Raw[[#This Row],[WTG Total Gneration (KWh)]]</f>
        <v>3.0733294025711698E-2</v>
      </c>
      <c r="BO27" s="89">
        <v>70.2</v>
      </c>
      <c r="BP27" s="96"/>
      <c r="BQ27" s="230">
        <v>742.63</v>
      </c>
      <c r="BR27" s="231"/>
    </row>
    <row r="28" spans="1:70">
      <c r="A28" s="240">
        <f t="shared" si="3"/>
        <v>45768</v>
      </c>
      <c r="B28" s="11">
        <f>YEAR(Input_Raw[[#This Row],[Date]])+IF(MONTH(Input_Raw[[#This Row],[Date]])&gt;=4,1,0)</f>
        <v>2026</v>
      </c>
      <c r="C28" s="11">
        <f>YEAR(Input_Raw[[#This Row],[Date]])</f>
        <v>2025</v>
      </c>
      <c r="D28" s="12">
        <f t="shared" si="6"/>
        <v>45748</v>
      </c>
      <c r="E28" s="11">
        <f>DAY(EOMONTH(Input_Raw[[#This Row],[Date]],0))</f>
        <v>30</v>
      </c>
      <c r="F28" s="137">
        <v>9337</v>
      </c>
      <c r="G28" s="137">
        <v>9782</v>
      </c>
      <c r="H28" s="137">
        <v>9730</v>
      </c>
      <c r="I28" s="137">
        <v>15664</v>
      </c>
      <c r="J28" s="137">
        <v>12194</v>
      </c>
      <c r="K28" s="137">
        <v>11266</v>
      </c>
      <c r="L28" s="137">
        <v>14994</v>
      </c>
      <c r="M28" s="137">
        <v>7248</v>
      </c>
      <c r="N28" s="137">
        <v>11238</v>
      </c>
      <c r="O28" s="137">
        <v>8551</v>
      </c>
      <c r="P28" s="137">
        <v>6599</v>
      </c>
      <c r="Q28" s="137">
        <v>9575</v>
      </c>
      <c r="R28" s="137">
        <v>9644</v>
      </c>
      <c r="S28" s="137">
        <v>9107</v>
      </c>
      <c r="T28" s="137">
        <v>9913</v>
      </c>
      <c r="U28" s="137">
        <v>9599</v>
      </c>
      <c r="V28" s="137">
        <v>13528</v>
      </c>
      <c r="W28" s="137">
        <v>11087</v>
      </c>
      <c r="X28" s="137">
        <v>12704</v>
      </c>
      <c r="Y28" s="137">
        <v>11274</v>
      </c>
      <c r="Z28" s="137">
        <v>9310</v>
      </c>
      <c r="AA28" s="137">
        <v>12120</v>
      </c>
      <c r="AB28" s="137">
        <v>11189</v>
      </c>
      <c r="AC28" s="13">
        <v>11760</v>
      </c>
      <c r="AD28" s="13">
        <v>11595</v>
      </c>
      <c r="AE28" s="13">
        <v>7446</v>
      </c>
      <c r="AF28" s="138">
        <v>5.6225609866584207</v>
      </c>
      <c r="AG28" s="138">
        <v>5.7542168756565406</v>
      </c>
      <c r="AH28" s="138">
        <v>4.5597080253336539</v>
      </c>
      <c r="AI28" s="138">
        <v>5.2229861087269249</v>
      </c>
      <c r="AJ28" s="138">
        <v>6.1470731591306071</v>
      </c>
      <c r="AK28" s="138">
        <v>4.8551388863060199</v>
      </c>
      <c r="AL28" s="138">
        <v>5.1047222452859078</v>
      </c>
      <c r="AM28" s="138">
        <v>5.0915853192166569</v>
      </c>
      <c r="AN28" s="138">
        <v>4.8306569635432997</v>
      </c>
      <c r="AO28" s="138">
        <v>4.3584671559995094</v>
      </c>
      <c r="AP28" s="138">
        <v>4.728014722466467</v>
      </c>
      <c r="AQ28" s="138">
        <v>4.6615217397178421</v>
      </c>
      <c r="AR28" s="138">
        <v>4.5958695636279323</v>
      </c>
      <c r="AS28" s="138">
        <v>4.5662773734461632</v>
      </c>
      <c r="AT28" s="138">
        <v>4.6028467120915426</v>
      </c>
      <c r="AU28" s="138">
        <v>5.0521527706748905</v>
      </c>
      <c r="AV28" s="138">
        <v>4.9259027780758</v>
      </c>
      <c r="AW28" s="138">
        <v>4.6639583524730464</v>
      </c>
      <c r="AX28" s="138">
        <v>4.8502083271741858</v>
      </c>
      <c r="AY28" s="138">
        <v>4.8540278052290269</v>
      </c>
      <c r="AZ28" s="138">
        <v>4.4858333327704001</v>
      </c>
      <c r="BA28" s="138">
        <v>4.9747916749782028</v>
      </c>
      <c r="BB28" s="138">
        <v>4.8434306722487834</v>
      </c>
      <c r="BC28" s="14">
        <v>4.9052083450886927</v>
      </c>
      <c r="BD28" s="14">
        <v>6.0381707200189911</v>
      </c>
      <c r="BE28" s="14">
        <v>5.062771099159515</v>
      </c>
      <c r="BF28" s="139">
        <f>SUM(Input_Raw[[#This Row],[O2_01]:[O2_26]])</f>
        <v>276454</v>
      </c>
      <c r="BG28" s="140">
        <f>IFERROR(AVERAGE(Input_Raw[[#This Row],[WS_O2_01]:[WS_O2_26]]),"")</f>
        <v>4.9753116044268859</v>
      </c>
      <c r="BH28" s="141"/>
      <c r="BI28" s="141"/>
      <c r="BJ28" s="13">
        <v>267300</v>
      </c>
      <c r="BK28" s="13">
        <v>0</v>
      </c>
      <c r="BL28" s="15">
        <f>Input_Raw[[#This Row],[66 kV_Wind_F1_Export_reading]]-Input_Raw[[#This Row],[66 kV_Wind_F1_Import_reading]]</f>
        <v>267300</v>
      </c>
      <c r="BM28" s="142">
        <f>Input_Raw[[#This Row],[WTG Total Gneration (KWh)]]-Input_Raw[[#This Row],[66 kV_Wind_F1_Export_reading]]</f>
        <v>9154</v>
      </c>
      <c r="BN28" s="111">
        <f>(Input_Raw[[#This Row],[WTG Total Gneration (KWh)]]-Input_Raw[[#This Row],[66 kV_Wind_F1_Export_reading]])/Input_Raw[[#This Row],[WTG Total Gneration (KWh)]]</f>
        <v>3.3112199497927319E-2</v>
      </c>
      <c r="BO28" s="89">
        <v>70.2</v>
      </c>
      <c r="BP28" s="96"/>
      <c r="BQ28" s="135">
        <v>287.24</v>
      </c>
      <c r="BR28" s="207"/>
    </row>
    <row r="29" spans="1:70">
      <c r="A29" s="240">
        <f t="shared" si="3"/>
        <v>45769</v>
      </c>
      <c r="B29" s="11">
        <f>YEAR(Input_Raw[[#This Row],[Date]])+IF(MONTH(Input_Raw[[#This Row],[Date]])&gt;=4,1,0)</f>
        <v>2026</v>
      </c>
      <c r="C29" s="11">
        <f>YEAR(Input_Raw[[#This Row],[Date]])</f>
        <v>2025</v>
      </c>
      <c r="D29" s="12">
        <f t="shared" ref="D29:D34" si="7">A29-DAY(A29)+1</f>
        <v>45748</v>
      </c>
      <c r="E29" s="11">
        <f>DAY(EOMONTH(Input_Raw[[#This Row],[Date]],0))</f>
        <v>30</v>
      </c>
      <c r="F29" s="137">
        <v>13330</v>
      </c>
      <c r="G29" s="137">
        <v>17425</v>
      </c>
      <c r="H29" s="137">
        <v>13108</v>
      </c>
      <c r="I29" s="137">
        <v>17013</v>
      </c>
      <c r="J29" s="137">
        <v>17905</v>
      </c>
      <c r="K29" s="137">
        <v>10599</v>
      </c>
      <c r="L29" s="137">
        <v>11872</v>
      </c>
      <c r="M29" s="137">
        <v>11512</v>
      </c>
      <c r="N29" s="137">
        <v>13364</v>
      </c>
      <c r="O29" s="137">
        <v>12763</v>
      </c>
      <c r="P29" s="137">
        <v>1075</v>
      </c>
      <c r="Q29" s="137">
        <v>12585</v>
      </c>
      <c r="R29" s="137">
        <v>11275</v>
      </c>
      <c r="S29" s="137">
        <v>13494</v>
      </c>
      <c r="T29" s="137">
        <v>14815</v>
      </c>
      <c r="U29" s="137">
        <v>13908</v>
      </c>
      <c r="V29" s="137">
        <v>17560</v>
      </c>
      <c r="W29" s="137">
        <v>12546</v>
      </c>
      <c r="X29" s="137">
        <v>13070</v>
      </c>
      <c r="Y29" s="137">
        <v>12585</v>
      </c>
      <c r="Z29" s="137">
        <v>9979</v>
      </c>
      <c r="AA29" s="137">
        <v>12902</v>
      </c>
      <c r="AB29" s="137">
        <v>13128</v>
      </c>
      <c r="AC29" s="13">
        <v>14134</v>
      </c>
      <c r="AD29" s="13">
        <v>17975</v>
      </c>
      <c r="AE29" s="13">
        <v>12251</v>
      </c>
      <c r="AF29" s="138">
        <v>5.3520567467872127</v>
      </c>
      <c r="AG29" s="138">
        <v>5.4820138795508271</v>
      </c>
      <c r="AH29" s="138">
        <v>5.0576389067702818</v>
      </c>
      <c r="AI29" s="138">
        <v>5.8486290324118819</v>
      </c>
      <c r="AJ29" s="138">
        <v>5.6060416648785267</v>
      </c>
      <c r="AK29" s="138">
        <v>4.8199290755792701</v>
      </c>
      <c r="AL29" s="138">
        <v>5.1763492264444855</v>
      </c>
      <c r="AM29" s="138">
        <v>4.8684027964870129</v>
      </c>
      <c r="AN29" s="138">
        <v>5.1595138998495198</v>
      </c>
      <c r="AO29" s="138">
        <v>5.1080555435683976</v>
      </c>
      <c r="AP29" s="138">
        <v>5.3994405572335191</v>
      </c>
      <c r="AQ29" s="138">
        <v>5.0492361187934858</v>
      </c>
      <c r="AR29" s="138">
        <v>4.9237500056624404</v>
      </c>
      <c r="AS29" s="138">
        <v>5.1631944461001282</v>
      </c>
      <c r="AT29" s="138">
        <v>5.3535416622956582</v>
      </c>
      <c r="AU29" s="138">
        <v>5.3234042478791359</v>
      </c>
      <c r="AV29" s="138">
        <v>5.5097872323178221</v>
      </c>
      <c r="AW29" s="138">
        <v>4.9448936120838134</v>
      </c>
      <c r="AX29" s="138">
        <v>5.219274215159877</v>
      </c>
      <c r="AY29" s="138">
        <v>5.1947517936111334</v>
      </c>
      <c r="AZ29" s="138">
        <v>4.7258155937735902</v>
      </c>
      <c r="BA29" s="138">
        <v>5.207304975665207</v>
      </c>
      <c r="BB29" s="138">
        <v>5.1302083482344933</v>
      </c>
      <c r="BC29" s="14">
        <v>5.2644680789176448</v>
      </c>
      <c r="BD29" s="14">
        <v>5.6368750019205933</v>
      </c>
      <c r="BE29" s="14">
        <v>4.9868055383364354</v>
      </c>
      <c r="BF29" s="139">
        <f>SUM(Input_Raw[[#This Row],[O2_01]:[O2_26]])</f>
        <v>342173</v>
      </c>
      <c r="BG29" s="140">
        <f>IFERROR(AVERAGE(Input_Raw[[#This Row],[WS_O2_01]:[WS_O2_26]]),"")</f>
        <v>5.2119762384735528</v>
      </c>
      <c r="BH29" s="141"/>
      <c r="BI29" s="141"/>
      <c r="BJ29" s="13">
        <v>332100</v>
      </c>
      <c r="BK29" s="13">
        <v>0</v>
      </c>
      <c r="BL29" s="15">
        <f>Input_Raw[[#This Row],[66 kV_Wind_F1_Export_reading]]-Input_Raw[[#This Row],[66 kV_Wind_F1_Import_reading]]</f>
        <v>332100</v>
      </c>
      <c r="BM29" s="142">
        <f>Input_Raw[[#This Row],[WTG Total Gneration (KWh)]]-Input_Raw[[#This Row],[66 kV_Wind_F1_Export_reading]]</f>
        <v>10073</v>
      </c>
      <c r="BN29" s="111">
        <f>(Input_Raw[[#This Row],[WTG Total Gneration (KWh)]]-Input_Raw[[#This Row],[66 kV_Wind_F1_Export_reading]])/Input_Raw[[#This Row],[WTG Total Gneration (KWh)]]</f>
        <v>2.9438325057792404E-2</v>
      </c>
      <c r="BO29" s="89">
        <v>70.2</v>
      </c>
      <c r="BP29" s="96"/>
      <c r="BQ29" s="135">
        <v>353.11</v>
      </c>
      <c r="BR29" s="207"/>
    </row>
    <row r="30" spans="1:70">
      <c r="A30" s="240">
        <f t="shared" si="3"/>
        <v>45770</v>
      </c>
      <c r="B30" s="11">
        <f>YEAR(Input_Raw[[#This Row],[Date]])+IF(MONTH(Input_Raw[[#This Row],[Date]])&gt;=4,1,0)</f>
        <v>2026</v>
      </c>
      <c r="C30" s="11">
        <f>YEAR(Input_Raw[[#This Row],[Date]])</f>
        <v>2025</v>
      </c>
      <c r="D30" s="12">
        <f t="shared" si="7"/>
        <v>45748</v>
      </c>
      <c r="E30" s="11">
        <f>DAY(EOMONTH(Input_Raw[[#This Row],[Date]],0))</f>
        <v>30</v>
      </c>
      <c r="F30" s="254">
        <v>16960</v>
      </c>
      <c r="G30" s="254">
        <v>21906</v>
      </c>
      <c r="H30" s="254">
        <v>18529</v>
      </c>
      <c r="I30" s="254">
        <v>21315</v>
      </c>
      <c r="J30" s="254">
        <v>22924</v>
      </c>
      <c r="K30" s="254">
        <v>18174</v>
      </c>
      <c r="L30" s="254">
        <v>18316</v>
      </c>
      <c r="M30" s="254">
        <v>12455</v>
      </c>
      <c r="N30" s="254">
        <v>18013</v>
      </c>
      <c r="O30" s="254">
        <v>16676</v>
      </c>
      <c r="P30" s="254">
        <v>10518</v>
      </c>
      <c r="Q30" s="254">
        <v>18749</v>
      </c>
      <c r="R30" s="254">
        <v>17915</v>
      </c>
      <c r="S30" s="254">
        <v>18765</v>
      </c>
      <c r="T30" s="254">
        <v>20642</v>
      </c>
      <c r="U30" s="254">
        <v>20193</v>
      </c>
      <c r="V30" s="254">
        <v>25074</v>
      </c>
      <c r="W30" s="254">
        <v>14474</v>
      </c>
      <c r="X30" s="254">
        <v>20286</v>
      </c>
      <c r="Y30" s="254">
        <v>18572</v>
      </c>
      <c r="Z30" s="254">
        <v>16989</v>
      </c>
      <c r="AA30" s="254">
        <v>19787</v>
      </c>
      <c r="AB30" s="254">
        <v>19115</v>
      </c>
      <c r="AC30" s="255">
        <v>20098</v>
      </c>
      <c r="AD30" s="255">
        <v>20542</v>
      </c>
      <c r="AE30" s="255">
        <v>13113</v>
      </c>
      <c r="AF30" s="256">
        <v>5.46652778238058</v>
      </c>
      <c r="AG30" s="256">
        <v>5.7305555749270649</v>
      </c>
      <c r="AH30" s="256">
        <v>5.6083333326710587</v>
      </c>
      <c r="AI30" s="256">
        <v>5.7503472210632411</v>
      </c>
      <c r="AJ30" s="256">
        <v>5.9512500125500862</v>
      </c>
      <c r="AK30" s="256">
        <v>5.6327083127366162</v>
      </c>
      <c r="AL30" s="256">
        <v>5.4509722168246872</v>
      </c>
      <c r="AM30" s="256">
        <v>4.8827083342605162</v>
      </c>
      <c r="AN30" s="256">
        <v>5.6152083426713935</v>
      </c>
      <c r="AO30" s="256">
        <v>5.4491666770643654</v>
      </c>
      <c r="AP30" s="256">
        <v>6.0307746479209028</v>
      </c>
      <c r="AQ30" s="256">
        <v>5.7333333359824277</v>
      </c>
      <c r="AR30" s="256">
        <v>5.6360416834553071</v>
      </c>
      <c r="AS30" s="256">
        <v>5.7172916440500146</v>
      </c>
      <c r="AT30" s="256">
        <v>5.8374999993377257</v>
      </c>
      <c r="AU30" s="256">
        <v>5.8208333485656309</v>
      </c>
      <c r="AV30" s="256">
        <v>6.1107639140552932</v>
      </c>
      <c r="AW30" s="256">
        <v>5.522361119588215</v>
      </c>
      <c r="AX30" s="256">
        <v>5.4928472364942227</v>
      </c>
      <c r="AY30" s="256">
        <v>5.731736096243063</v>
      </c>
      <c r="AZ30" s="256">
        <v>5.6434027916855278</v>
      </c>
      <c r="BA30" s="256">
        <v>5.8226389065384856</v>
      </c>
      <c r="BB30" s="256">
        <v>5.7935416681898957</v>
      </c>
      <c r="BC30" s="257">
        <v>5.8375000208616248</v>
      </c>
      <c r="BD30" s="257">
        <v>5.6965972433487568</v>
      </c>
      <c r="BE30" s="257">
        <v>4.9991666467653371</v>
      </c>
      <c r="BF30" s="258">
        <f>SUM(Input_Raw[[#This Row],[O2_01]:[O2_26]])</f>
        <v>480100</v>
      </c>
      <c r="BG30" s="259">
        <f>IFERROR(AVERAGE(Input_Raw[[#This Row],[WS_O2_01]:[WS_O2_26]]),"")</f>
        <v>5.6524656965473854</v>
      </c>
      <c r="BH30" s="260"/>
      <c r="BI30" s="260"/>
      <c r="BJ30" s="255">
        <v>464400</v>
      </c>
      <c r="BK30" s="255">
        <v>0</v>
      </c>
      <c r="BL30" s="261">
        <f>Input_Raw[[#This Row],[66 kV_Wind_F1_Export_reading]]-Input_Raw[[#This Row],[66 kV_Wind_F1_Import_reading]]</f>
        <v>464400</v>
      </c>
      <c r="BM30" s="262">
        <f>Input_Raw[[#This Row],[WTG Total Gneration (KWh)]]-Input_Raw[[#This Row],[66 kV_Wind_F1_Export_reading]]</f>
        <v>15700</v>
      </c>
      <c r="BN30" s="111">
        <f>(Input_Raw[[#This Row],[WTG Total Gneration (KWh)]]-Input_Raw[[#This Row],[66 kV_Wind_F1_Export_reading]])/Input_Raw[[#This Row],[WTG Total Gneration (KWh)]]</f>
        <v>3.270152051655905E-2</v>
      </c>
      <c r="BO30" s="89">
        <v>70.2</v>
      </c>
      <c r="BP30" s="96"/>
      <c r="BQ30" s="263">
        <v>502.87</v>
      </c>
      <c r="BR30" s="264"/>
    </row>
    <row r="31" spans="1:70">
      <c r="A31" s="240">
        <f t="shared" si="3"/>
        <v>45771</v>
      </c>
      <c r="B31" s="11">
        <f>YEAR(Input_Raw[[#This Row],[Date]])+IF(MONTH(Input_Raw[[#This Row],[Date]])&gt;=4,1,0)</f>
        <v>2026</v>
      </c>
      <c r="C31" s="11">
        <f>YEAR(Input_Raw[[#This Row],[Date]])</f>
        <v>2025</v>
      </c>
      <c r="D31" s="12">
        <f t="shared" si="7"/>
        <v>45748</v>
      </c>
      <c r="E31" s="11">
        <f>DAY(EOMONTH(Input_Raw[[#This Row],[Date]],0))</f>
        <v>30</v>
      </c>
      <c r="F31" s="137">
        <v>19242</v>
      </c>
      <c r="G31" s="137">
        <v>25780</v>
      </c>
      <c r="H31" s="137">
        <v>15669</v>
      </c>
      <c r="I31" s="137">
        <v>26930</v>
      </c>
      <c r="J31" s="137">
        <v>25923</v>
      </c>
      <c r="K31" s="137">
        <v>18405</v>
      </c>
      <c r="L31" s="137">
        <v>22688</v>
      </c>
      <c r="M31" s="137">
        <v>18517</v>
      </c>
      <c r="N31" s="137">
        <v>17720</v>
      </c>
      <c r="O31" s="137">
        <v>14637</v>
      </c>
      <c r="P31" s="137">
        <v>16559</v>
      </c>
      <c r="Q31" s="137">
        <v>17908</v>
      </c>
      <c r="R31" s="137">
        <v>15286</v>
      </c>
      <c r="S31" s="137">
        <v>15295</v>
      </c>
      <c r="T31" s="137">
        <v>16927</v>
      </c>
      <c r="U31" s="137">
        <v>20003</v>
      </c>
      <c r="V31" s="137">
        <v>22418</v>
      </c>
      <c r="W31" s="137">
        <v>15157</v>
      </c>
      <c r="X31" s="137">
        <v>19991</v>
      </c>
      <c r="Y31" s="137">
        <v>18458</v>
      </c>
      <c r="Z31" s="137">
        <v>18477</v>
      </c>
      <c r="AA31" s="137">
        <v>20201</v>
      </c>
      <c r="AB31" s="137">
        <v>18383</v>
      </c>
      <c r="AC31" s="13">
        <v>19838</v>
      </c>
      <c r="AD31" s="13">
        <v>23888</v>
      </c>
      <c r="AE31" s="13">
        <v>18406</v>
      </c>
      <c r="AF31" s="138">
        <v>5.8055555588669243</v>
      </c>
      <c r="AG31" s="138">
        <v>6.2621527951624651</v>
      </c>
      <c r="AH31" s="138">
        <v>5.429652775327364</v>
      </c>
      <c r="AI31" s="138">
        <v>6.5065972407658883</v>
      </c>
      <c r="AJ31" s="138">
        <v>6.3698611226346751</v>
      </c>
      <c r="AK31" s="138">
        <v>5.7963194532526856</v>
      </c>
      <c r="AL31" s="138">
        <v>6.215763881802558</v>
      </c>
      <c r="AM31" s="138">
        <v>5.7027083271079588</v>
      </c>
      <c r="AN31" s="138">
        <v>5.688750008742014</v>
      </c>
      <c r="AO31" s="138">
        <v>5.3343750039736424</v>
      </c>
      <c r="AP31" s="138">
        <v>5.6219444374243412</v>
      </c>
      <c r="AQ31" s="138">
        <v>5.7265972445408488</v>
      </c>
      <c r="AR31" s="138">
        <v>5.4586805734369479</v>
      </c>
      <c r="AS31" s="138">
        <v>5.4043055474758139</v>
      </c>
      <c r="AT31" s="138">
        <v>5.5900694388482286</v>
      </c>
      <c r="AU31" s="138">
        <v>5.9982638789547806</v>
      </c>
      <c r="AV31" s="138">
        <v>6.4048610942231274</v>
      </c>
      <c r="AW31" s="138">
        <v>5.7536111142900248</v>
      </c>
      <c r="AX31" s="138">
        <v>5.716111130184597</v>
      </c>
      <c r="AY31" s="138">
        <v>5.8345833569765082</v>
      </c>
      <c r="AZ31" s="138">
        <v>5.8631250080135127</v>
      </c>
      <c r="BA31" s="138">
        <v>5.981111110912428</v>
      </c>
      <c r="BB31" s="138">
        <v>5.7443055452571965</v>
      </c>
      <c r="BC31" s="14">
        <v>5.9727083328697406</v>
      </c>
      <c r="BD31" s="14">
        <v>6.1442361126343403</v>
      </c>
      <c r="BE31" s="14">
        <v>5.7595138864384747</v>
      </c>
      <c r="BF31" s="139">
        <f>SUM(Input_Raw[[#This Row],[O2_01]:[O2_26]])</f>
        <v>502706</v>
      </c>
      <c r="BG31" s="140">
        <f>IFERROR(AVERAGE(Input_Raw[[#This Row],[WS_O2_01]:[WS_O2_26]]),"")</f>
        <v>5.8494524607737333</v>
      </c>
      <c r="BH31" s="141"/>
      <c r="BI31" s="141"/>
      <c r="BJ31" s="13">
        <v>488700</v>
      </c>
      <c r="BK31" s="13">
        <v>0</v>
      </c>
      <c r="BL31" s="15">
        <f>Input_Raw[[#This Row],[66 kV_Wind_F1_Export_reading]]-Input_Raw[[#This Row],[66 kV_Wind_F1_Import_reading]]</f>
        <v>488700</v>
      </c>
      <c r="BM31" s="142">
        <f>Input_Raw[[#This Row],[WTG Total Gneration (KWh)]]-Input_Raw[[#This Row],[66 kV_Wind_F1_Export_reading]]</f>
        <v>14006</v>
      </c>
      <c r="BN31" s="111">
        <f>(Input_Raw[[#This Row],[WTG Total Gneration (KWh)]]-Input_Raw[[#This Row],[66 kV_Wind_F1_Export_reading]])/Input_Raw[[#This Row],[WTG Total Gneration (KWh)]]</f>
        <v>2.786121510385792E-2</v>
      </c>
      <c r="BO31" s="89">
        <v>70.2</v>
      </c>
      <c r="BP31" s="96"/>
      <c r="BQ31" s="135">
        <v>510</v>
      </c>
      <c r="BR31" s="207"/>
    </row>
    <row r="32" spans="1:70">
      <c r="A32" s="240">
        <f t="shared" si="3"/>
        <v>45772</v>
      </c>
      <c r="B32" s="11">
        <f>YEAR(Input_Raw[[#This Row],[Date]])+IF(MONTH(Input_Raw[[#This Row],[Date]])&gt;=4,1,0)</f>
        <v>2026</v>
      </c>
      <c r="C32" s="11">
        <f>YEAR(Input_Raw[[#This Row],[Date]])</f>
        <v>2025</v>
      </c>
      <c r="D32" s="12">
        <f t="shared" si="7"/>
        <v>45748</v>
      </c>
      <c r="E32" s="11">
        <f>DAY(EOMONTH(Input_Raw[[#This Row],[Date]],0))</f>
        <v>30</v>
      </c>
      <c r="F32" s="137">
        <v>25182</v>
      </c>
      <c r="G32" s="137">
        <v>30384</v>
      </c>
      <c r="H32" s="137">
        <v>18648</v>
      </c>
      <c r="I32" s="137">
        <v>19463</v>
      </c>
      <c r="J32" s="137">
        <v>24911</v>
      </c>
      <c r="K32" s="137">
        <v>24475</v>
      </c>
      <c r="L32" s="137">
        <v>25522</v>
      </c>
      <c r="M32" s="137">
        <v>21799</v>
      </c>
      <c r="N32" s="137">
        <v>23355</v>
      </c>
      <c r="O32" s="137">
        <v>18318</v>
      </c>
      <c r="P32" s="137">
        <v>20809</v>
      </c>
      <c r="Q32" s="137">
        <v>19079</v>
      </c>
      <c r="R32" s="137">
        <v>18888</v>
      </c>
      <c r="S32" s="137">
        <v>19630</v>
      </c>
      <c r="T32" s="137">
        <v>22699</v>
      </c>
      <c r="U32" s="137">
        <v>24574</v>
      </c>
      <c r="V32" s="137">
        <v>27533</v>
      </c>
      <c r="W32" s="137">
        <v>17366</v>
      </c>
      <c r="X32" s="137">
        <v>29263</v>
      </c>
      <c r="Y32" s="137">
        <v>19709</v>
      </c>
      <c r="Z32" s="137">
        <v>19854</v>
      </c>
      <c r="AA32" s="137">
        <v>23524</v>
      </c>
      <c r="AB32" s="137">
        <v>20988</v>
      </c>
      <c r="AC32" s="13">
        <v>22510</v>
      </c>
      <c r="AD32" s="13">
        <v>29620</v>
      </c>
      <c r="AE32" s="13">
        <v>24404</v>
      </c>
      <c r="AF32" s="138">
        <v>6.280694444560341</v>
      </c>
      <c r="AG32" s="138">
        <v>6.6538194393118202</v>
      </c>
      <c r="AH32" s="138">
        <v>5.8173611039916668</v>
      </c>
      <c r="AI32" s="138">
        <v>6.6102778058912994</v>
      </c>
      <c r="AJ32" s="138">
        <v>6.5820279646586686</v>
      </c>
      <c r="AK32" s="138">
        <v>6.2723611402842714</v>
      </c>
      <c r="AL32" s="138">
        <v>6.3304861187934867</v>
      </c>
      <c r="AM32" s="138">
        <v>5.957986097368928</v>
      </c>
      <c r="AN32" s="138">
        <v>6.106319450669818</v>
      </c>
      <c r="AO32" s="138">
        <v>5.5884722024202338</v>
      </c>
      <c r="AP32" s="138">
        <v>5.9245138714710848</v>
      </c>
      <c r="AQ32" s="138">
        <v>5.8795138953460571</v>
      </c>
      <c r="AR32" s="138">
        <v>5.7398611141575691</v>
      </c>
      <c r="AS32" s="138">
        <v>5.8197916729582673</v>
      </c>
      <c r="AT32" s="138">
        <v>6.039722238977749</v>
      </c>
      <c r="AU32" s="138">
        <v>6.3218749811251946</v>
      </c>
      <c r="AV32" s="138">
        <v>6.467847234672969</v>
      </c>
      <c r="AW32" s="138">
        <v>6.1920138647158929</v>
      </c>
      <c r="AX32" s="138">
        <v>6.616250029040704</v>
      </c>
      <c r="AY32" s="138">
        <v>6.3277777863873368</v>
      </c>
      <c r="AZ32" s="138">
        <v>5.8688888930612118</v>
      </c>
      <c r="BA32" s="138">
        <v>6.2653472224871294</v>
      </c>
      <c r="BB32" s="138">
        <v>5.9163194381528426</v>
      </c>
      <c r="BC32" s="14">
        <v>6.1279861198531229</v>
      </c>
      <c r="BD32" s="14">
        <v>6.5909722455673734</v>
      </c>
      <c r="BE32" s="14">
        <v>6.194583337340088</v>
      </c>
      <c r="BF32" s="139">
        <f>SUM(Input_Raw[[#This Row],[O2_01]:[O2_26]])</f>
        <v>592507</v>
      </c>
      <c r="BG32" s="140">
        <f>IFERROR(AVERAGE(Input_Raw[[#This Row],[WS_O2_01]:[WS_O2_26]]),"")</f>
        <v>6.1728103735871196</v>
      </c>
      <c r="BH32" s="141"/>
      <c r="BI32" s="141"/>
      <c r="BJ32" s="13">
        <v>573300</v>
      </c>
      <c r="BK32" s="13">
        <v>0</v>
      </c>
      <c r="BL32" s="15">
        <f>Input_Raw[[#This Row],[66 kV_Wind_F1_Export_reading]]-Input_Raw[[#This Row],[66 kV_Wind_F1_Import_reading]]</f>
        <v>573300</v>
      </c>
      <c r="BM32" s="142">
        <f>Input_Raw[[#This Row],[WTG Total Gneration (KWh)]]-Input_Raw[[#This Row],[66 kV_Wind_F1_Export_reading]]</f>
        <v>19207</v>
      </c>
      <c r="BN32" s="111">
        <f>(Input_Raw[[#This Row],[WTG Total Gneration (KWh)]]-Input_Raw[[#This Row],[66 kV_Wind_F1_Export_reading]])/Input_Raw[[#This Row],[WTG Total Gneration (KWh)]]</f>
        <v>3.2416494657447087E-2</v>
      </c>
      <c r="BO32" s="89">
        <v>70.2</v>
      </c>
      <c r="BP32" s="96"/>
      <c r="BQ32" s="135">
        <v>628.86</v>
      </c>
      <c r="BR32" s="207"/>
    </row>
    <row r="33" spans="1:70">
      <c r="A33" s="240">
        <f t="shared" si="3"/>
        <v>45773</v>
      </c>
      <c r="B33" s="11">
        <f>YEAR(Input_Raw[[#This Row],[Date]])+IF(MONTH(Input_Raw[[#This Row],[Date]])&gt;=4,1,0)</f>
        <v>2026</v>
      </c>
      <c r="C33" s="11">
        <f>YEAR(Input_Raw[[#This Row],[Date]])</f>
        <v>2025</v>
      </c>
      <c r="D33" s="12">
        <f t="shared" si="7"/>
        <v>45748</v>
      </c>
      <c r="E33" s="11">
        <f>DAY(EOMONTH(Input_Raw[[#This Row],[Date]],0))</f>
        <v>30</v>
      </c>
      <c r="F33" s="265">
        <v>23625</v>
      </c>
      <c r="G33" s="265">
        <v>30087</v>
      </c>
      <c r="H33" s="265">
        <v>18188</v>
      </c>
      <c r="I33" s="265">
        <v>32299</v>
      </c>
      <c r="J33" s="265">
        <v>21016</v>
      </c>
      <c r="K33" s="265">
        <v>25979</v>
      </c>
      <c r="L33" s="265">
        <v>32148</v>
      </c>
      <c r="M33" s="265">
        <v>22049</v>
      </c>
      <c r="N33" s="265">
        <v>21341</v>
      </c>
      <c r="O33" s="265">
        <v>18454</v>
      </c>
      <c r="P33" s="265">
        <v>20631</v>
      </c>
      <c r="Q33" s="265">
        <v>21342</v>
      </c>
      <c r="R33" s="265">
        <v>18941</v>
      </c>
      <c r="S33" s="265">
        <v>19393</v>
      </c>
      <c r="T33" s="265">
        <v>21293</v>
      </c>
      <c r="U33" s="265">
        <v>26007</v>
      </c>
      <c r="V33" s="265">
        <v>30680</v>
      </c>
      <c r="W33" s="265">
        <v>22536</v>
      </c>
      <c r="X33" s="265">
        <v>26408</v>
      </c>
      <c r="Y33" s="265">
        <v>20947</v>
      </c>
      <c r="Z33" s="265">
        <v>22561</v>
      </c>
      <c r="AA33" s="265">
        <v>28932</v>
      </c>
      <c r="AB33" s="265">
        <v>21099</v>
      </c>
      <c r="AC33" s="266">
        <v>23190</v>
      </c>
      <c r="AD33" s="266">
        <v>21022</v>
      </c>
      <c r="AE33" s="266">
        <v>23193</v>
      </c>
      <c r="AF33" s="267">
        <v>6.1047916917337268</v>
      </c>
      <c r="AG33" s="267">
        <v>6.6689583352870363</v>
      </c>
      <c r="AH33" s="267">
        <v>5.5809027743008377</v>
      </c>
      <c r="AI33" s="267">
        <v>7.020208329790159</v>
      </c>
      <c r="AJ33" s="267">
        <v>6.7056944403383421</v>
      </c>
      <c r="AK33" s="267">
        <v>6.3908333472079679</v>
      </c>
      <c r="AL33" s="267">
        <v>7.0044444559348875</v>
      </c>
      <c r="AM33" s="267">
        <v>5.8493749681446268</v>
      </c>
      <c r="AN33" s="267">
        <v>5.8084027783738215</v>
      </c>
      <c r="AO33" s="267">
        <v>5.7264583342605135</v>
      </c>
      <c r="AP33" s="267">
        <v>5.8411111119720651</v>
      </c>
      <c r="AQ33" s="267">
        <v>5.8868055277400533</v>
      </c>
      <c r="AR33" s="267">
        <v>5.6961111004153864</v>
      </c>
      <c r="AS33" s="267">
        <v>5.6830555482043117</v>
      </c>
      <c r="AT33" s="267">
        <v>5.8809722405340903</v>
      </c>
      <c r="AU33" s="267">
        <v>6.3784027968843704</v>
      </c>
      <c r="AV33" s="267">
        <v>6.8856944607363708</v>
      </c>
      <c r="AW33" s="267">
        <v>6.0894444593124852</v>
      </c>
      <c r="AX33" s="267">
        <v>6.6792361169225583</v>
      </c>
      <c r="AY33" s="267">
        <v>6.0615277795327991</v>
      </c>
      <c r="AZ33" s="267">
        <v>6.1051389012071775</v>
      </c>
      <c r="BA33" s="267">
        <v>6.7019444190793518</v>
      </c>
      <c r="BB33" s="267">
        <v>5.8595138746831115</v>
      </c>
      <c r="BC33" s="268">
        <v>6.1435416696800065</v>
      </c>
      <c r="BD33" s="268">
        <v>6.7364583487311958</v>
      </c>
      <c r="BE33" s="268">
        <v>6.0562500100996717</v>
      </c>
      <c r="BF33" s="269">
        <f>SUM(Input_Raw[[#This Row],[O2_01]:[O2_26]])</f>
        <v>613361</v>
      </c>
      <c r="BG33" s="270">
        <f>IFERROR(AVERAGE(Input_Raw[[#This Row],[WS_O2_01]:[WS_O2_26]]),"")</f>
        <v>6.2132799161964192</v>
      </c>
      <c r="BH33" s="271"/>
      <c r="BI33" s="271"/>
      <c r="BJ33" s="266">
        <v>591750</v>
      </c>
      <c r="BK33" s="266">
        <v>0</v>
      </c>
      <c r="BL33" s="272">
        <f>Input_Raw[[#This Row],[66 kV_Wind_F1_Export_reading]]-Input_Raw[[#This Row],[66 kV_Wind_F1_Import_reading]]</f>
        <v>591750</v>
      </c>
      <c r="BM33" s="273">
        <f>Input_Raw[[#This Row],[WTG Total Gneration (KWh)]]-Input_Raw[[#This Row],[66 kV_Wind_F1_Export_reading]]</f>
        <v>21611</v>
      </c>
      <c r="BN33" s="111">
        <f>(Input_Raw[[#This Row],[WTG Total Gneration (KWh)]]-Input_Raw[[#This Row],[66 kV_Wind_F1_Export_reading]])/Input_Raw[[#This Row],[WTG Total Gneration (KWh)]]</f>
        <v>3.5233736739049268E-2</v>
      </c>
      <c r="BO33" s="89">
        <v>70.2</v>
      </c>
      <c r="BP33" s="96"/>
      <c r="BQ33" s="274">
        <v>645.69000000000005</v>
      </c>
      <c r="BR33" s="275"/>
    </row>
    <row r="34" spans="1:70">
      <c r="A34" s="240">
        <f t="shared" si="3"/>
        <v>45774</v>
      </c>
      <c r="B34" s="11">
        <f>YEAR(Input_Raw[[#This Row],[Date]])+IF(MONTH(Input_Raw[[#This Row],[Date]])&gt;=4,1,0)</f>
        <v>2026</v>
      </c>
      <c r="C34" s="11">
        <f>YEAR(Input_Raw[[#This Row],[Date]])</f>
        <v>2025</v>
      </c>
      <c r="D34" s="12">
        <f t="shared" si="7"/>
        <v>45748</v>
      </c>
      <c r="E34" s="11">
        <f>DAY(EOMONTH(Input_Raw[[#This Row],[Date]],0))</f>
        <v>30</v>
      </c>
      <c r="F34" s="137">
        <v>21657</v>
      </c>
      <c r="G34" s="137">
        <v>27721</v>
      </c>
      <c r="H34" s="137">
        <v>15919</v>
      </c>
      <c r="I34" s="137">
        <v>25863</v>
      </c>
      <c r="J34" s="137">
        <v>25391</v>
      </c>
      <c r="K34" s="137">
        <v>21983</v>
      </c>
      <c r="L34" s="137">
        <v>23298</v>
      </c>
      <c r="M34" s="137">
        <v>18429</v>
      </c>
      <c r="N34" s="137">
        <v>17843</v>
      </c>
      <c r="O34" s="137">
        <v>16452</v>
      </c>
      <c r="P34" s="137">
        <v>18496</v>
      </c>
      <c r="Q34" s="137">
        <v>19386</v>
      </c>
      <c r="R34" s="137">
        <v>18292</v>
      </c>
      <c r="S34" s="137">
        <v>17831</v>
      </c>
      <c r="T34" s="137">
        <v>19004</v>
      </c>
      <c r="U34" s="137">
        <v>20954</v>
      </c>
      <c r="V34" s="137">
        <v>22543</v>
      </c>
      <c r="W34" s="137">
        <v>21921</v>
      </c>
      <c r="X34" s="137">
        <v>7065</v>
      </c>
      <c r="Y34" s="137">
        <v>20943</v>
      </c>
      <c r="Z34" s="137">
        <v>17092</v>
      </c>
      <c r="AA34" s="137">
        <v>24160</v>
      </c>
      <c r="AB34" s="137">
        <v>18865</v>
      </c>
      <c r="AC34" s="13">
        <v>20722</v>
      </c>
      <c r="AD34" s="13">
        <v>24769</v>
      </c>
      <c r="AE34" s="13">
        <v>19397</v>
      </c>
      <c r="AF34" s="138">
        <v>5.747222212453682</v>
      </c>
      <c r="AG34" s="138">
        <v>6.159236087981192</v>
      </c>
      <c r="AH34" s="138">
        <v>5.1196527754267045</v>
      </c>
      <c r="AI34" s="138">
        <v>6.0952083186970789</v>
      </c>
      <c r="AJ34" s="138">
        <v>6.1183333430025284</v>
      </c>
      <c r="AK34" s="138">
        <v>5.889861077898078</v>
      </c>
      <c r="AL34" s="138">
        <v>5.8612500271863395</v>
      </c>
      <c r="AM34" s="138">
        <v>5.3437500062088166</v>
      </c>
      <c r="AN34" s="138">
        <v>5.3545833155512801</v>
      </c>
      <c r="AO34" s="138">
        <v>5.317916670607195</v>
      </c>
      <c r="AP34" s="138">
        <v>5.4116666619148512</v>
      </c>
      <c r="AQ34" s="138">
        <v>5.496319438434309</v>
      </c>
      <c r="AR34" s="138">
        <v>5.468819446861743</v>
      </c>
      <c r="AS34" s="138">
        <v>5.3865277692675573</v>
      </c>
      <c r="AT34" s="138">
        <v>5.5786111056804648</v>
      </c>
      <c r="AU34" s="138">
        <v>5.6499999935428287</v>
      </c>
      <c r="AV34" s="138">
        <v>5.8973611280735989</v>
      </c>
      <c r="AW34" s="138">
        <v>5.7474305546945983</v>
      </c>
      <c r="AX34" s="138">
        <v>5.991592938393616</v>
      </c>
      <c r="AY34" s="138">
        <v>5.6646527734895535</v>
      </c>
      <c r="AZ34" s="138">
        <v>5.3840277762048769</v>
      </c>
      <c r="BA34" s="138">
        <v>6.1233333245747623</v>
      </c>
      <c r="BB34" s="138">
        <v>5.4082638865543728</v>
      </c>
      <c r="BC34" s="14">
        <v>5.6394444592297077</v>
      </c>
      <c r="BD34" s="14">
        <v>5.9616666684548054</v>
      </c>
      <c r="BE34" s="14">
        <v>5.551250009487072</v>
      </c>
      <c r="BF34" s="139">
        <f>SUM(Input_Raw[[#This Row],[O2_01]:[O2_26]])</f>
        <v>525996</v>
      </c>
      <c r="BG34" s="140">
        <f>IFERROR(AVERAGE(Input_Raw[[#This Row],[WS_O2_01]:[WS_O2_26]]),"")</f>
        <v>5.6679992988412149</v>
      </c>
      <c r="BH34" s="141"/>
      <c r="BI34" s="141"/>
      <c r="BJ34" s="13">
        <v>507150</v>
      </c>
      <c r="BK34" s="13">
        <v>450</v>
      </c>
      <c r="BL34" s="15">
        <f>Input_Raw[[#This Row],[66 kV_Wind_F1_Export_reading]]-Input_Raw[[#This Row],[66 kV_Wind_F1_Import_reading]]</f>
        <v>506700</v>
      </c>
      <c r="BM34" s="142">
        <f>Input_Raw[[#This Row],[WTG Total Gneration (KWh)]]-Input_Raw[[#This Row],[66 kV_Wind_F1_Export_reading]]</f>
        <v>18846</v>
      </c>
      <c r="BN34" s="111">
        <f>(Input_Raw[[#This Row],[WTG Total Gneration (KWh)]]-Input_Raw[[#This Row],[66 kV_Wind_F1_Export_reading]])/Input_Raw[[#This Row],[WTG Total Gneration (KWh)]]</f>
        <v>3.5829169803572654E-2</v>
      </c>
      <c r="BO34" s="89">
        <v>70.2</v>
      </c>
      <c r="BP34" s="96"/>
      <c r="BQ34" s="135">
        <v>546.95000000000005</v>
      </c>
      <c r="BR34" s="207"/>
    </row>
    <row r="35" spans="1:70">
      <c r="A35" s="240">
        <f t="shared" si="3"/>
        <v>45775</v>
      </c>
      <c r="B35" s="11">
        <f>YEAR(Input_Raw[[#This Row],[Date]])+IF(MONTH(Input_Raw[[#This Row],[Date]])&gt;=4,1,0)</f>
        <v>2026</v>
      </c>
      <c r="C35" s="11">
        <f>YEAR(Input_Raw[[#This Row],[Date]])</f>
        <v>2025</v>
      </c>
      <c r="D35" s="12">
        <f t="shared" ref="D35:D40" si="8">A35-DAY(A35)+1</f>
        <v>45748</v>
      </c>
      <c r="E35" s="11">
        <f>DAY(EOMONTH(Input_Raw[[#This Row],[Date]],0))</f>
        <v>30</v>
      </c>
      <c r="F35" s="277">
        <v>25969</v>
      </c>
      <c r="G35" s="277">
        <v>33725</v>
      </c>
      <c r="H35" s="277">
        <v>20195</v>
      </c>
      <c r="I35" s="277">
        <v>35034</v>
      </c>
      <c r="J35" s="277">
        <v>28941</v>
      </c>
      <c r="K35" s="277">
        <v>18752</v>
      </c>
      <c r="L35" s="277">
        <v>34349</v>
      </c>
      <c r="M35" s="277">
        <v>25046</v>
      </c>
      <c r="N35" s="277">
        <v>23663</v>
      </c>
      <c r="O35" s="277">
        <v>17565</v>
      </c>
      <c r="P35" s="277">
        <v>22680</v>
      </c>
      <c r="Q35" s="277">
        <v>16866</v>
      </c>
      <c r="R35" s="277">
        <v>21105</v>
      </c>
      <c r="S35" s="277">
        <v>20172</v>
      </c>
      <c r="T35" s="277">
        <v>22472</v>
      </c>
      <c r="U35" s="277">
        <v>26758</v>
      </c>
      <c r="V35" s="277">
        <v>30758</v>
      </c>
      <c r="W35" s="277">
        <v>24323</v>
      </c>
      <c r="X35" s="277">
        <v>33584</v>
      </c>
      <c r="Y35" s="277">
        <v>24463</v>
      </c>
      <c r="Z35" s="277">
        <v>21721</v>
      </c>
      <c r="AA35" s="277">
        <v>28665</v>
      </c>
      <c r="AB35" s="277">
        <v>23637</v>
      </c>
      <c r="AC35" s="278">
        <v>25311</v>
      </c>
      <c r="AD35" s="278">
        <v>30829</v>
      </c>
      <c r="AE35" s="278">
        <v>22931</v>
      </c>
      <c r="AF35" s="279">
        <v>6.5059440544435203</v>
      </c>
      <c r="AG35" s="279">
        <v>7.2239860304585655</v>
      </c>
      <c r="AH35" s="279">
        <v>5.9941258726420079</v>
      </c>
      <c r="AI35" s="279">
        <v>7.3876388768354992</v>
      </c>
      <c r="AJ35" s="279">
        <v>7.4201398662753757</v>
      </c>
      <c r="AK35" s="279">
        <v>6.5766666465335399</v>
      </c>
      <c r="AL35" s="279">
        <v>7.4234722306330934</v>
      </c>
      <c r="AM35" s="279">
        <v>6.4560139912825285</v>
      </c>
      <c r="AN35" s="279">
        <v>6.2309091257882239</v>
      </c>
      <c r="AO35" s="279">
        <v>5.8613986068672226</v>
      </c>
      <c r="AP35" s="279">
        <v>6.3037062941731241</v>
      </c>
      <c r="AQ35" s="279">
        <v>6.2456643281283073</v>
      </c>
      <c r="AR35" s="279">
        <v>6.1618181758827211</v>
      </c>
      <c r="AS35" s="279">
        <v>6.1025362040685529</v>
      </c>
      <c r="AT35" s="279">
        <v>6.2818881164897542</v>
      </c>
      <c r="AU35" s="279">
        <v>6.7829166584544689</v>
      </c>
      <c r="AV35" s="279">
        <v>7.3135416847136252</v>
      </c>
      <c r="AW35" s="279">
        <v>6.2672916551430973</v>
      </c>
      <c r="AX35" s="279">
        <v>7.0571527654925914</v>
      </c>
      <c r="AY35" s="279">
        <v>6.4876389056444133</v>
      </c>
      <c r="AZ35" s="279">
        <v>6.3334027843342859</v>
      </c>
      <c r="BA35" s="279">
        <v>6.8922916503830054</v>
      </c>
      <c r="BB35" s="279">
        <v>6.3926760378018193</v>
      </c>
      <c r="BC35" s="280">
        <v>6.6690277987056268</v>
      </c>
      <c r="BD35" s="280">
        <v>7.1105594418265543</v>
      </c>
      <c r="BE35" s="280">
        <v>6.3776388838887188</v>
      </c>
      <c r="BF35" s="281">
        <f>SUM(Input_Raw[[#This Row],[O2_01]:[O2_26]])</f>
        <v>659514</v>
      </c>
      <c r="BG35" s="282">
        <f>IFERROR(AVERAGE(Input_Raw[[#This Row],[WS_O2_01]:[WS_O2_26]]),"")</f>
        <v>6.610001795649624</v>
      </c>
      <c r="BH35" s="283"/>
      <c r="BI35" s="283"/>
      <c r="BJ35" s="278">
        <v>638550</v>
      </c>
      <c r="BK35" s="278">
        <v>0</v>
      </c>
      <c r="BL35" s="284">
        <f>Input_Raw[[#This Row],[66 kV_Wind_F1_Export_reading]]-Input_Raw[[#This Row],[66 kV_Wind_F1_Import_reading]]</f>
        <v>638550</v>
      </c>
      <c r="BM35" s="285">
        <f>Input_Raw[[#This Row],[WTG Total Gneration (KWh)]]-Input_Raw[[#This Row],[66 kV_Wind_F1_Export_reading]]</f>
        <v>20964</v>
      </c>
      <c r="BN35" s="111">
        <f>(Input_Raw[[#This Row],[WTG Total Gneration (KWh)]]-Input_Raw[[#This Row],[66 kV_Wind_F1_Export_reading]])/Input_Raw[[#This Row],[WTG Total Gneration (KWh)]]</f>
        <v>3.1787043186346307E-2</v>
      </c>
      <c r="BO35" s="89">
        <v>70.2</v>
      </c>
      <c r="BP35" s="96"/>
      <c r="BQ35" s="286">
        <v>695.35</v>
      </c>
      <c r="BR35" s="287"/>
    </row>
    <row r="36" spans="1:70">
      <c r="A36" s="240">
        <f t="shared" si="3"/>
        <v>45776</v>
      </c>
      <c r="B36" s="11">
        <f>YEAR(Input_Raw[[#This Row],[Date]])+IF(MONTH(Input_Raw[[#This Row],[Date]])&gt;=4,1,0)</f>
        <v>2026</v>
      </c>
      <c r="C36" s="11">
        <f>YEAR(Input_Raw[[#This Row],[Date]])</f>
        <v>2025</v>
      </c>
      <c r="D36" s="12">
        <f t="shared" si="8"/>
        <v>45748</v>
      </c>
      <c r="E36" s="11">
        <f>DAY(EOMONTH(Input_Raw[[#This Row],[Date]],0))</f>
        <v>30</v>
      </c>
      <c r="F36" s="277">
        <v>39002</v>
      </c>
      <c r="G36" s="277">
        <v>46987</v>
      </c>
      <c r="H36" s="277">
        <v>27484</v>
      </c>
      <c r="I36" s="277">
        <v>47661</v>
      </c>
      <c r="J36" s="277">
        <v>37871</v>
      </c>
      <c r="K36" s="277">
        <v>30203</v>
      </c>
      <c r="L36" s="277">
        <v>47322</v>
      </c>
      <c r="M36" s="277">
        <v>39218</v>
      </c>
      <c r="N36" s="277">
        <v>40871</v>
      </c>
      <c r="O36" s="277">
        <v>33673</v>
      </c>
      <c r="P36" s="277">
        <v>38381</v>
      </c>
      <c r="Q36" s="277">
        <v>36596</v>
      </c>
      <c r="R36" s="277">
        <v>34720</v>
      </c>
      <c r="S36" s="277">
        <v>36243</v>
      </c>
      <c r="T36" s="277">
        <v>40415</v>
      </c>
      <c r="U36" s="277">
        <v>41729</v>
      </c>
      <c r="V36" s="277">
        <v>48820</v>
      </c>
      <c r="W36" s="277">
        <v>43095</v>
      </c>
      <c r="X36" s="277">
        <v>45273</v>
      </c>
      <c r="Y36" s="277">
        <v>41925</v>
      </c>
      <c r="Z36" s="277">
        <v>35807</v>
      </c>
      <c r="AA36" s="277">
        <v>41434</v>
      </c>
      <c r="AB36" s="277">
        <v>38719</v>
      </c>
      <c r="AC36" s="278">
        <v>40826</v>
      </c>
      <c r="AD36" s="278">
        <v>27193</v>
      </c>
      <c r="AE36" s="278">
        <v>40476</v>
      </c>
      <c r="AF36" s="279">
        <v>8.2575362557950154</v>
      </c>
      <c r="AG36" s="279">
        <v>8.9462499684757599</v>
      </c>
      <c r="AH36" s="279">
        <v>7.7197916607061972</v>
      </c>
      <c r="AI36" s="279">
        <v>9.1398611432976153</v>
      </c>
      <c r="AJ36" s="279">
        <v>9.0705555578072801</v>
      </c>
      <c r="AK36" s="279">
        <v>8.4181944661670247</v>
      </c>
      <c r="AL36" s="279">
        <v>9.349166678057772</v>
      </c>
      <c r="AM36" s="279">
        <v>8.2625000046359158</v>
      </c>
      <c r="AN36" s="279">
        <v>8.1900000274181295</v>
      </c>
      <c r="AO36" s="279">
        <v>7.5788194520605892</v>
      </c>
      <c r="AP36" s="279">
        <v>8.0100694364971545</v>
      </c>
      <c r="AQ36" s="279">
        <v>8.0178472333484159</v>
      </c>
      <c r="AR36" s="279">
        <v>7.8329166703753952</v>
      </c>
      <c r="AS36" s="279">
        <v>7.8897222578525499</v>
      </c>
      <c r="AT36" s="279">
        <v>8.2663889030615447</v>
      </c>
      <c r="AU36" s="279">
        <v>8.5734265234086866</v>
      </c>
      <c r="AV36" s="279">
        <v>9.0420833362473338</v>
      </c>
      <c r="AW36" s="279">
        <v>8.2504166596465573</v>
      </c>
      <c r="AX36" s="279">
        <v>8.9582638641198447</v>
      </c>
      <c r="AY36" s="279">
        <v>8.3747916387187047</v>
      </c>
      <c r="AZ36" s="279">
        <v>7.9308333430025204</v>
      </c>
      <c r="BA36" s="279">
        <v>8.5792360968059924</v>
      </c>
      <c r="BB36" s="279">
        <v>8.180902765856839</v>
      </c>
      <c r="BC36" s="280">
        <v>8.381666630506512</v>
      </c>
      <c r="BD36" s="280">
        <v>8.7623611589272752</v>
      </c>
      <c r="BE36" s="280">
        <v>8.3297916418976214</v>
      </c>
      <c r="BF36" s="281">
        <f>SUM(Input_Raw[[#This Row],[O2_01]:[O2_26]])</f>
        <v>1021944</v>
      </c>
      <c r="BG36" s="282">
        <f>IFERROR(AVERAGE(Input_Raw[[#This Row],[WS_O2_01]:[WS_O2_26]]),"")</f>
        <v>8.3966689759497797</v>
      </c>
      <c r="BH36" s="283"/>
      <c r="BI36" s="283"/>
      <c r="BJ36" s="278">
        <v>988650</v>
      </c>
      <c r="BK36" s="278">
        <v>0</v>
      </c>
      <c r="BL36" s="284">
        <f>Input_Raw[[#This Row],[66 kV_Wind_F1_Export_reading]]-Input_Raw[[#This Row],[66 kV_Wind_F1_Import_reading]]</f>
        <v>988650</v>
      </c>
      <c r="BM36" s="285">
        <f>Input_Raw[[#This Row],[WTG Total Gneration (KWh)]]-Input_Raw[[#This Row],[66 kV_Wind_F1_Export_reading]]</f>
        <v>33294</v>
      </c>
      <c r="BN36" s="111">
        <f>(Input_Raw[[#This Row],[WTG Total Gneration (KWh)]]-Input_Raw[[#This Row],[66 kV_Wind_F1_Export_reading]])/Input_Raw[[#This Row],[WTG Total Gneration (KWh)]]</f>
        <v>3.2579084568234662E-2</v>
      </c>
      <c r="BO36" s="89">
        <v>70.2</v>
      </c>
      <c r="BP36" s="96"/>
      <c r="BQ36" s="286">
        <v>1133.8399999999999</v>
      </c>
      <c r="BR36" s="287"/>
    </row>
    <row r="37" spans="1:70">
      <c r="A37" s="240">
        <f t="shared" si="3"/>
        <v>45777</v>
      </c>
      <c r="B37" s="11">
        <f>YEAR(Input_Raw[[#This Row],[Date]])+IF(MONTH(Input_Raw[[#This Row],[Date]])&gt;=4,1,0)</f>
        <v>2026</v>
      </c>
      <c r="C37" s="11">
        <f>YEAR(Input_Raw[[#This Row],[Date]])</f>
        <v>2025</v>
      </c>
      <c r="D37" s="12">
        <f t="shared" si="8"/>
        <v>45748</v>
      </c>
      <c r="E37" s="11">
        <f>DAY(EOMONTH(Input_Raw[[#This Row],[Date]],0))</f>
        <v>30</v>
      </c>
      <c r="F37" s="137">
        <v>30766</v>
      </c>
      <c r="G37" s="137">
        <v>46976</v>
      </c>
      <c r="H37" s="137">
        <v>35656</v>
      </c>
      <c r="I37" s="137">
        <v>44874</v>
      </c>
      <c r="J37" s="137">
        <v>37428</v>
      </c>
      <c r="K37" s="137">
        <v>40195</v>
      </c>
      <c r="L37" s="137">
        <v>43595</v>
      </c>
      <c r="M37" s="137">
        <v>31504</v>
      </c>
      <c r="N37" s="137">
        <v>39102</v>
      </c>
      <c r="O37" s="137">
        <v>33815</v>
      </c>
      <c r="P37" s="137">
        <v>39981</v>
      </c>
      <c r="Q37" s="137">
        <v>32408</v>
      </c>
      <c r="R37" s="137">
        <v>36204</v>
      </c>
      <c r="S37" s="137">
        <v>35100</v>
      </c>
      <c r="T37" s="137">
        <v>39028</v>
      </c>
      <c r="U37" s="137">
        <v>40390</v>
      </c>
      <c r="V37" s="137">
        <v>47298</v>
      </c>
      <c r="W37" s="137">
        <v>40243</v>
      </c>
      <c r="X37" s="137">
        <v>41700</v>
      </c>
      <c r="Y37" s="137">
        <v>39680</v>
      </c>
      <c r="Z37" s="137">
        <v>34897</v>
      </c>
      <c r="AA37" s="137">
        <v>40527</v>
      </c>
      <c r="AB37" s="137">
        <v>40076</v>
      </c>
      <c r="AC37" s="13">
        <v>39729</v>
      </c>
      <c r="AD37" s="13">
        <v>39918</v>
      </c>
      <c r="AE37" s="13">
        <v>38333</v>
      </c>
      <c r="AF37" s="138">
        <v>8.1939682355002699</v>
      </c>
      <c r="AG37" s="138">
        <v>8.6500000125831971</v>
      </c>
      <c r="AH37" s="138">
        <v>7.6236111157470265</v>
      </c>
      <c r="AI37" s="138">
        <v>8.8324999842378773</v>
      </c>
      <c r="AJ37" s="138">
        <v>8.8410416460699448</v>
      </c>
      <c r="AK37" s="138">
        <v>8.0704861183961238</v>
      </c>
      <c r="AL37" s="138">
        <v>8.646458311213383</v>
      </c>
      <c r="AM37" s="138">
        <v>8.07763889100816</v>
      </c>
      <c r="AN37" s="138">
        <v>8.035624987549248</v>
      </c>
      <c r="AO37" s="138">
        <v>7.6161111162768425</v>
      </c>
      <c r="AP37" s="138">
        <v>8.0497222277853187</v>
      </c>
      <c r="AQ37" s="138">
        <v>7.843402749962272</v>
      </c>
      <c r="AR37" s="138">
        <v>7.8399305476082679</v>
      </c>
      <c r="AS37" s="138">
        <v>7.7304861048857321</v>
      </c>
      <c r="AT37" s="138">
        <v>8.0103472140100216</v>
      </c>
      <c r="AU37" s="138">
        <v>8.2764583362473338</v>
      </c>
      <c r="AV37" s="138">
        <v>8.6798611150847513</v>
      </c>
      <c r="AW37" s="138">
        <v>7.9735664587754433</v>
      </c>
      <c r="AX37" s="138">
        <v>8.4427083399560683</v>
      </c>
      <c r="AY37" s="138">
        <v>8.1253472202353976</v>
      </c>
      <c r="AZ37" s="138">
        <v>7.8634027871820615</v>
      </c>
      <c r="BA37" s="138">
        <v>8.3184722496403545</v>
      </c>
      <c r="BB37" s="138">
        <v>8.1649305588669208</v>
      </c>
      <c r="BC37" s="14">
        <v>8.2602083053853743</v>
      </c>
      <c r="BD37" s="14">
        <v>8.5588889022668155</v>
      </c>
      <c r="BE37" s="14">
        <v>7.9543055560853713</v>
      </c>
      <c r="BF37" s="139">
        <f>SUM(Input_Raw[[#This Row],[O2_01]:[O2_26]])</f>
        <v>1009423</v>
      </c>
      <c r="BG37" s="140">
        <f>IFERROR(AVERAGE(Input_Raw[[#This Row],[WS_O2_01]:[WS_O2_26]]),"")</f>
        <v>8.1799799650984433</v>
      </c>
      <c r="BH37" s="141"/>
      <c r="BI37" s="141"/>
      <c r="BJ37" s="13">
        <v>975600</v>
      </c>
      <c r="BK37" s="13">
        <v>0</v>
      </c>
      <c r="BL37" s="15">
        <f>Input_Raw[[#This Row],[66 kV_Wind_F1_Export_reading]]-Input_Raw[[#This Row],[66 kV_Wind_F1_Import_reading]]</f>
        <v>975600</v>
      </c>
      <c r="BM37" s="142">
        <f>Input_Raw[[#This Row],[WTG Total Gneration (KWh)]]-Input_Raw[[#This Row],[66 kV_Wind_F1_Export_reading]]</f>
        <v>33823</v>
      </c>
      <c r="BN37" s="111">
        <f>(Input_Raw[[#This Row],[WTG Total Gneration (KWh)]]-Input_Raw[[#This Row],[66 kV_Wind_F1_Export_reading]])/Input_Raw[[#This Row],[WTG Total Gneration (KWh)]]</f>
        <v>3.3507261078853962E-2</v>
      </c>
      <c r="BO37" s="89">
        <v>70.2</v>
      </c>
      <c r="BP37" s="96"/>
      <c r="BQ37" s="135">
        <v>1088.32</v>
      </c>
      <c r="BR37" s="207"/>
    </row>
    <row r="38" spans="1:70">
      <c r="A38" s="240">
        <f t="shared" si="3"/>
        <v>45778</v>
      </c>
      <c r="B38" s="11">
        <f>YEAR(Input_Raw[[#This Row],[Date]])+IF(MONTH(Input_Raw[[#This Row],[Date]])&gt;=4,1,0)</f>
        <v>2026</v>
      </c>
      <c r="C38" s="11">
        <f>YEAR(Input_Raw[[#This Row],[Date]])</f>
        <v>2025</v>
      </c>
      <c r="D38" s="12">
        <f t="shared" si="8"/>
        <v>45778</v>
      </c>
      <c r="E38" s="11">
        <f>DAY(EOMONTH(Input_Raw[[#This Row],[Date]],0))</f>
        <v>31</v>
      </c>
      <c r="F38" s="137">
        <v>44015</v>
      </c>
      <c r="G38" s="137">
        <v>49670</v>
      </c>
      <c r="H38" s="137">
        <v>35787</v>
      </c>
      <c r="I38" s="137">
        <v>49041</v>
      </c>
      <c r="J38" s="137">
        <v>47609</v>
      </c>
      <c r="K38" s="137">
        <v>46547</v>
      </c>
      <c r="L38" s="137">
        <v>45834</v>
      </c>
      <c r="M38" s="137">
        <v>40949</v>
      </c>
      <c r="N38" s="137">
        <v>42067</v>
      </c>
      <c r="O38" s="137">
        <v>34234</v>
      </c>
      <c r="P38" s="137">
        <v>40516</v>
      </c>
      <c r="Q38" s="137">
        <v>37980</v>
      </c>
      <c r="R38" s="137">
        <v>36887</v>
      </c>
      <c r="S38" s="137">
        <v>38537</v>
      </c>
      <c r="T38" s="137">
        <v>42682</v>
      </c>
      <c r="U38" s="137">
        <v>45078</v>
      </c>
      <c r="V38" s="137">
        <v>48276</v>
      </c>
      <c r="W38" s="137">
        <v>46077</v>
      </c>
      <c r="X38" s="137">
        <v>47537</v>
      </c>
      <c r="Y38" s="137">
        <v>43931</v>
      </c>
      <c r="Z38" s="137">
        <v>38412</v>
      </c>
      <c r="AA38" s="137">
        <v>47524</v>
      </c>
      <c r="AB38" s="137">
        <v>41723</v>
      </c>
      <c r="AC38" s="13">
        <v>41385</v>
      </c>
      <c r="AD38" s="13">
        <v>45723</v>
      </c>
      <c r="AE38" s="13">
        <v>44674</v>
      </c>
      <c r="AF38" s="138">
        <v>8.4306249784098721</v>
      </c>
      <c r="AG38" s="138">
        <v>8.8270833624733722</v>
      </c>
      <c r="AH38" s="138">
        <v>7.7422222296396876</v>
      </c>
      <c r="AI38" s="138">
        <v>9.0086111393239658</v>
      </c>
      <c r="AJ38" s="138">
        <v>8.9182638823985965</v>
      </c>
      <c r="AK38" s="138">
        <v>8.6306250260935862</v>
      </c>
      <c r="AL38" s="138">
        <v>8.9895139303472149</v>
      </c>
      <c r="AM38" s="138">
        <v>8.3081944286823255</v>
      </c>
      <c r="AN38" s="138">
        <v>8.2972222665945683</v>
      </c>
      <c r="AO38" s="138">
        <v>7.6025000313917763</v>
      </c>
      <c r="AP38" s="138">
        <v>8.079374962382845</v>
      </c>
      <c r="AQ38" s="138">
        <v>8.0581250356303311</v>
      </c>
      <c r="AR38" s="138">
        <v>7.9119444555706435</v>
      </c>
      <c r="AS38" s="138">
        <v>7.9995833006170045</v>
      </c>
      <c r="AT38" s="138">
        <v>8.2834027641349337</v>
      </c>
      <c r="AU38" s="138">
        <v>8.7056250307295038</v>
      </c>
      <c r="AV38" s="138">
        <v>8.7573611223035268</v>
      </c>
      <c r="AW38" s="138">
        <v>8.5745833350552427</v>
      </c>
      <c r="AX38" s="138">
        <v>9.1474999818536791</v>
      </c>
      <c r="AY38" s="138">
        <v>8.5126388900809822</v>
      </c>
      <c r="AZ38" s="138">
        <v>8.1459722022215502</v>
      </c>
      <c r="BA38" s="138">
        <v>8.9811805221769472</v>
      </c>
      <c r="BB38" s="138">
        <v>8.2779166731569482</v>
      </c>
      <c r="BC38" s="14">
        <v>8.5275694628556558</v>
      </c>
      <c r="BD38" s="14">
        <v>8.4943055775430452</v>
      </c>
      <c r="BE38" s="14">
        <v>8.4674305584695571</v>
      </c>
      <c r="BF38" s="139">
        <f>SUM(Input_Raw[[#This Row],[O2_01]:[O2_26]])</f>
        <v>1122695</v>
      </c>
      <c r="BG38" s="140">
        <f>IFERROR(AVERAGE(Input_Raw[[#This Row],[WS_O2_01]:[WS_O2_26]]),"")</f>
        <v>8.4492067365437453</v>
      </c>
      <c r="BH38" s="141"/>
      <c r="BI38" s="141"/>
      <c r="BJ38" s="13">
        <v>1082700</v>
      </c>
      <c r="BK38" s="13">
        <v>0</v>
      </c>
      <c r="BL38" s="15">
        <f>Input_Raw[[#This Row],[66 kV_Wind_F1_Export_reading]]-Input_Raw[[#This Row],[66 kV_Wind_F1_Import_reading]]</f>
        <v>1082700</v>
      </c>
      <c r="BM38" s="142">
        <f>Input_Raw[[#This Row],[WTG Total Gneration (KWh)]]-Input_Raw[[#This Row],[66 kV_Wind_F1_Export_reading]]</f>
        <v>39995</v>
      </c>
      <c r="BN38" s="111">
        <f>(Input_Raw[[#This Row],[WTG Total Gneration (KWh)]]-Input_Raw[[#This Row],[66 kV_Wind_F1_Export_reading]])/Input_Raw[[#This Row],[WTG Total Gneration (KWh)]]</f>
        <v>3.5624100935694909E-2</v>
      </c>
      <c r="BO38" s="89">
        <v>70.2</v>
      </c>
      <c r="BP38" s="96"/>
      <c r="BQ38" s="135">
        <v>1190.71</v>
      </c>
      <c r="BR38" s="207"/>
    </row>
    <row r="39" spans="1:70">
      <c r="A39" s="240">
        <f t="shared" si="3"/>
        <v>45779</v>
      </c>
      <c r="B39" s="11">
        <f>YEAR(Input_Raw[[#This Row],[Date]])+IF(MONTH(Input_Raw[[#This Row],[Date]])&gt;=4,1,0)</f>
        <v>2026</v>
      </c>
      <c r="C39" s="11">
        <f>YEAR(Input_Raw[[#This Row],[Date]])</f>
        <v>2025</v>
      </c>
      <c r="D39" s="12">
        <f t="shared" si="8"/>
        <v>45778</v>
      </c>
      <c r="E39" s="11">
        <f>DAY(EOMONTH(Input_Raw[[#This Row],[Date]],0))</f>
        <v>31</v>
      </c>
      <c r="F39" s="137">
        <v>29702</v>
      </c>
      <c r="G39" s="137">
        <v>32978</v>
      </c>
      <c r="H39" s="137">
        <v>24447</v>
      </c>
      <c r="I39" s="137">
        <v>31464</v>
      </c>
      <c r="J39" s="137">
        <v>33306</v>
      </c>
      <c r="K39" s="137">
        <v>29048</v>
      </c>
      <c r="L39" s="137">
        <v>26581</v>
      </c>
      <c r="M39" s="137">
        <v>23768</v>
      </c>
      <c r="N39" s="137">
        <v>27074</v>
      </c>
      <c r="O39" s="137">
        <v>27547</v>
      </c>
      <c r="P39" s="137">
        <v>26607</v>
      </c>
      <c r="Q39" s="137">
        <v>25954</v>
      </c>
      <c r="R39" s="137">
        <v>22606</v>
      </c>
      <c r="S39" s="137">
        <v>25514</v>
      </c>
      <c r="T39" s="137">
        <v>27055</v>
      </c>
      <c r="U39" s="137">
        <v>29106</v>
      </c>
      <c r="V39" s="137">
        <v>34884</v>
      </c>
      <c r="W39" s="137">
        <v>32010</v>
      </c>
      <c r="X39" s="137">
        <v>27520</v>
      </c>
      <c r="Y39" s="137">
        <v>27553</v>
      </c>
      <c r="Z39" s="137">
        <v>23738</v>
      </c>
      <c r="AA39" s="137">
        <v>28813</v>
      </c>
      <c r="AB39" s="137">
        <v>28402</v>
      </c>
      <c r="AC39" s="13">
        <v>27823</v>
      </c>
      <c r="AD39" s="13">
        <v>33472</v>
      </c>
      <c r="AE39" s="13">
        <v>25628</v>
      </c>
      <c r="AF39" s="138">
        <v>6.9220139119360171</v>
      </c>
      <c r="AG39" s="138">
        <v>7.1905555443631259</v>
      </c>
      <c r="AH39" s="138">
        <v>6.3538888725969525</v>
      </c>
      <c r="AI39" s="138">
        <v>7.1813194321261493</v>
      </c>
      <c r="AJ39" s="138">
        <v>7.2627777970499432</v>
      </c>
      <c r="AK39" s="138">
        <v>6.8560416648785258</v>
      </c>
      <c r="AL39" s="138">
        <v>6.7724305540323249</v>
      </c>
      <c r="AM39" s="138">
        <v>6.3505555503070346</v>
      </c>
      <c r="AN39" s="138">
        <v>6.6204860889249382</v>
      </c>
      <c r="AO39" s="138">
        <v>6.6927778025468179</v>
      </c>
      <c r="AP39" s="138">
        <v>6.5622222117251816</v>
      </c>
      <c r="AQ39" s="138">
        <v>6.507777787744998</v>
      </c>
      <c r="AR39" s="138">
        <v>6.2274305812186661</v>
      </c>
      <c r="AS39" s="138">
        <v>6.4797916561365119</v>
      </c>
      <c r="AT39" s="138">
        <v>6.6525694628556558</v>
      </c>
      <c r="AU39" s="138">
        <v>6.9530555614166785</v>
      </c>
      <c r="AV39" s="138">
        <v>7.4079861160781588</v>
      </c>
      <c r="AW39" s="138">
        <v>7.0755555729071284</v>
      </c>
      <c r="AX39" s="138">
        <v>6.668611110912428</v>
      </c>
      <c r="AY39" s="138">
        <v>6.7271527879767943</v>
      </c>
      <c r="AZ39" s="138">
        <v>7.2083333101537477</v>
      </c>
      <c r="BA39" s="138">
        <v>7.0423611170715734</v>
      </c>
      <c r="BB39" s="138">
        <v>6.7050694467292882</v>
      </c>
      <c r="BC39" s="14">
        <v>6.73458331823349</v>
      </c>
      <c r="BD39" s="14">
        <v>7.2115277697642632</v>
      </c>
      <c r="BE39" s="14">
        <v>6.4763889130618839</v>
      </c>
      <c r="BF39" s="139">
        <f>SUM(Input_Raw[[#This Row],[O2_01]:[O2_26]])</f>
        <v>732600</v>
      </c>
      <c r="BG39" s="140">
        <f>IFERROR(AVERAGE(Input_Raw[[#This Row],[WS_O2_01]:[WS_O2_26]]),"")</f>
        <v>6.8016639977980118</v>
      </c>
      <c r="BH39" s="141"/>
      <c r="BI39" s="141"/>
      <c r="BJ39" s="13">
        <v>681750</v>
      </c>
      <c r="BK39" s="13">
        <v>0</v>
      </c>
      <c r="BL39" s="15">
        <f>Input_Raw[[#This Row],[66 kV_Wind_F1_Export_reading]]-Input_Raw[[#This Row],[66 kV_Wind_F1_Import_reading]]</f>
        <v>681750</v>
      </c>
      <c r="BM39" s="142">
        <f>Input_Raw[[#This Row],[WTG Total Gneration (KWh)]]-Input_Raw[[#This Row],[66 kV_Wind_F1_Export_reading]]</f>
        <v>50850</v>
      </c>
      <c r="BN39" s="111">
        <f>(Input_Raw[[#This Row],[WTG Total Gneration (KWh)]]-Input_Raw[[#This Row],[66 kV_Wind_F1_Export_reading]])/Input_Raw[[#This Row],[WTG Total Gneration (KWh)]]</f>
        <v>6.9410319410319415E-2</v>
      </c>
      <c r="BO39" s="89">
        <v>70.2</v>
      </c>
      <c r="BP39" s="96"/>
      <c r="BQ39" s="135">
        <v>781.68</v>
      </c>
      <c r="BR39" s="207"/>
    </row>
    <row r="40" spans="1:70">
      <c r="A40" s="240">
        <f t="shared" si="3"/>
        <v>45780</v>
      </c>
      <c r="B40" s="11">
        <f>YEAR(Input_Raw[[#This Row],[Date]])+IF(MONTH(Input_Raw[[#This Row],[Date]])&gt;=4,1,0)</f>
        <v>2026</v>
      </c>
      <c r="C40" s="11">
        <f>YEAR(Input_Raw[[#This Row],[Date]])</f>
        <v>2025</v>
      </c>
      <c r="D40" s="12">
        <f t="shared" si="8"/>
        <v>45778</v>
      </c>
      <c r="E40" s="11">
        <f>DAY(EOMONTH(Input_Raw[[#This Row],[Date]],0))</f>
        <v>31</v>
      </c>
      <c r="F40" s="137">
        <v>29084</v>
      </c>
      <c r="G40" s="137">
        <v>50749</v>
      </c>
      <c r="H40" s="137">
        <v>38653</v>
      </c>
      <c r="I40" s="137">
        <v>45482</v>
      </c>
      <c r="J40" s="137">
        <v>50589</v>
      </c>
      <c r="K40" s="137">
        <v>39457</v>
      </c>
      <c r="L40" s="137">
        <v>42306</v>
      </c>
      <c r="M40" s="137">
        <v>24327</v>
      </c>
      <c r="N40" s="137">
        <v>40568</v>
      </c>
      <c r="O40" s="137">
        <v>43941</v>
      </c>
      <c r="P40" s="137">
        <v>41617</v>
      </c>
      <c r="Q40" s="137">
        <v>43049</v>
      </c>
      <c r="R40" s="137">
        <v>33999</v>
      </c>
      <c r="S40" s="137">
        <v>39854</v>
      </c>
      <c r="T40" s="137">
        <v>42149</v>
      </c>
      <c r="U40" s="137">
        <v>47857</v>
      </c>
      <c r="V40" s="137">
        <v>52503</v>
      </c>
      <c r="W40" s="137">
        <v>42004</v>
      </c>
      <c r="X40" s="137">
        <v>45398</v>
      </c>
      <c r="Y40" s="137">
        <v>44438</v>
      </c>
      <c r="Z40" s="137">
        <v>47180</v>
      </c>
      <c r="AA40" s="137">
        <v>46189</v>
      </c>
      <c r="AB40" s="137">
        <v>43594</v>
      </c>
      <c r="AC40" s="13">
        <v>20716</v>
      </c>
      <c r="AD40" s="13">
        <v>45983</v>
      </c>
      <c r="AE40" s="13">
        <v>43445</v>
      </c>
      <c r="AF40" s="138">
        <v>8.512900752875634</v>
      </c>
      <c r="AG40" s="138">
        <v>9.0660416450765311</v>
      </c>
      <c r="AH40" s="138">
        <v>8.0985416538185486</v>
      </c>
      <c r="AI40" s="138">
        <v>8.8031944334506935</v>
      </c>
      <c r="AJ40" s="138">
        <v>9.138125009006913</v>
      </c>
      <c r="AK40" s="138">
        <v>8.6613888972335324</v>
      </c>
      <c r="AL40" s="138">
        <v>8.4251388609409243</v>
      </c>
      <c r="AM40" s="138">
        <v>8.1320138971010731</v>
      </c>
      <c r="AN40" s="138">
        <v>8.3518750038411795</v>
      </c>
      <c r="AO40" s="138">
        <v>8.6157638728618551</v>
      </c>
      <c r="AP40" s="138">
        <v>8.3834722075197377</v>
      </c>
      <c r="AQ40" s="138">
        <v>8.4734027816189581</v>
      </c>
      <c r="AR40" s="138">
        <v>7.8183333377043329</v>
      </c>
      <c r="AS40" s="138">
        <v>8.2896527614858329</v>
      </c>
      <c r="AT40" s="138">
        <v>8.4081249998675318</v>
      </c>
      <c r="AU40" s="138">
        <v>9.0143749912579771</v>
      </c>
      <c r="AV40" s="138">
        <v>9.3542360994550826</v>
      </c>
      <c r="AW40" s="138">
        <v>8.900138888094153</v>
      </c>
      <c r="AX40" s="138">
        <v>8.8602778050634488</v>
      </c>
      <c r="AY40" s="138">
        <v>8.6981250147024731</v>
      </c>
      <c r="AZ40" s="138">
        <v>8.9399305582046438</v>
      </c>
      <c r="BA40" s="138">
        <v>8.9670139087570941</v>
      </c>
      <c r="BB40" s="138">
        <v>8.6198611391915136</v>
      </c>
      <c r="BC40" s="14">
        <v>9.0588811027420117</v>
      </c>
      <c r="BD40" s="14">
        <v>8.9480555256207719</v>
      </c>
      <c r="BE40" s="14">
        <v>8.5371527440018031</v>
      </c>
      <c r="BF40" s="139">
        <f>SUM(Input_Raw[[#This Row],[O2_01]:[O2_26]])</f>
        <v>1085131</v>
      </c>
      <c r="BG40" s="140">
        <f>IFERROR(AVERAGE(Input_Raw[[#This Row],[WS_O2_01]:[WS_O2_26]]),"")</f>
        <v>8.656769918903624</v>
      </c>
      <c r="BH40" s="141"/>
      <c r="BI40" s="141"/>
      <c r="BJ40" s="13">
        <v>1074150</v>
      </c>
      <c r="BK40" s="13">
        <v>0</v>
      </c>
      <c r="BL40" s="15">
        <f>Input_Raw[[#This Row],[66 kV_Wind_F1_Export_reading]]-Input_Raw[[#This Row],[66 kV_Wind_F1_Import_reading]]</f>
        <v>1074150</v>
      </c>
      <c r="BM40" s="142">
        <f>Input_Raw[[#This Row],[WTG Total Gneration (KWh)]]-Input_Raw[[#This Row],[66 kV_Wind_F1_Export_reading]]</f>
        <v>10981</v>
      </c>
      <c r="BN40" s="111">
        <f>(Input_Raw[[#This Row],[WTG Total Gneration (KWh)]]-Input_Raw[[#This Row],[66 kV_Wind_F1_Export_reading]])/Input_Raw[[#This Row],[WTG Total Gneration (KWh)]]</f>
        <v>1.0119515523932133E-2</v>
      </c>
      <c r="BO40" s="89">
        <v>70.2</v>
      </c>
      <c r="BP40" s="96"/>
      <c r="BQ40" s="135">
        <v>1224.47</v>
      </c>
      <c r="BR40" s="207"/>
    </row>
    <row r="41" spans="1:70">
      <c r="A41" s="240">
        <f t="shared" si="3"/>
        <v>45781</v>
      </c>
      <c r="B41" s="11">
        <f>YEAR(Input_Raw[[#This Row],[Date]])+IF(MONTH(Input_Raw[[#This Row],[Date]])&gt;=4,1,0)</f>
        <v>2026</v>
      </c>
      <c r="C41" s="11">
        <f>YEAR(Input_Raw[[#This Row],[Date]])</f>
        <v>2025</v>
      </c>
      <c r="D41" s="12">
        <f t="shared" ref="D41:D46" si="9">A41-DAY(A41)+1</f>
        <v>45778</v>
      </c>
      <c r="E41" s="11">
        <f>DAY(EOMONTH(Input_Raw[[#This Row],[Date]],0))</f>
        <v>31</v>
      </c>
      <c r="F41" s="288">
        <v>17974</v>
      </c>
      <c r="G41" s="288">
        <v>29174</v>
      </c>
      <c r="H41" s="288">
        <v>25699</v>
      </c>
      <c r="I41" s="288">
        <v>27656</v>
      </c>
      <c r="J41" s="288">
        <v>29142</v>
      </c>
      <c r="K41" s="288">
        <v>28832</v>
      </c>
      <c r="L41" s="288">
        <v>23702</v>
      </c>
      <c r="M41" s="288">
        <v>17190</v>
      </c>
      <c r="N41" s="288">
        <v>28449</v>
      </c>
      <c r="O41" s="288">
        <v>29343</v>
      </c>
      <c r="P41" s="288">
        <v>28037</v>
      </c>
      <c r="Q41" s="288">
        <v>29548</v>
      </c>
      <c r="R41" s="288">
        <v>25159</v>
      </c>
      <c r="S41" s="288">
        <v>26738</v>
      </c>
      <c r="T41" s="288">
        <v>27808</v>
      </c>
      <c r="U41" s="288">
        <v>28968</v>
      </c>
      <c r="V41" s="288">
        <v>30672</v>
      </c>
      <c r="W41" s="288">
        <v>30284</v>
      </c>
      <c r="X41" s="288">
        <v>28628</v>
      </c>
      <c r="Y41" s="288">
        <v>26654</v>
      </c>
      <c r="Z41" s="288">
        <v>30867</v>
      </c>
      <c r="AA41" s="288">
        <v>28077</v>
      </c>
      <c r="AB41" s="288">
        <v>29011</v>
      </c>
      <c r="AC41" s="289">
        <v>28077</v>
      </c>
      <c r="AD41" s="289">
        <v>25433</v>
      </c>
      <c r="AE41" s="289">
        <v>30825</v>
      </c>
      <c r="AF41" s="290">
        <v>6.6283333823084725</v>
      </c>
      <c r="AG41" s="290">
        <v>6.7306944347090134</v>
      </c>
      <c r="AH41" s="290">
        <v>6.555486115316544</v>
      </c>
      <c r="AI41" s="290">
        <v>6.7367361138264261</v>
      </c>
      <c r="AJ41" s="290">
        <v>6.8492361216081461</v>
      </c>
      <c r="AK41" s="290">
        <v>6.7620833247072092</v>
      </c>
      <c r="AL41" s="290">
        <v>6.2467361030479234</v>
      </c>
      <c r="AM41" s="290">
        <v>6.5400000371866707</v>
      </c>
      <c r="AN41" s="290">
        <v>6.7583333386315161</v>
      </c>
      <c r="AO41" s="290">
        <v>6.9047916821307567</v>
      </c>
      <c r="AP41" s="290">
        <v>6.8123611062765059</v>
      </c>
      <c r="AQ41" s="290">
        <v>6.877708334889669</v>
      </c>
      <c r="AR41" s="290">
        <v>6.532847223182511</v>
      </c>
      <c r="AS41" s="290">
        <v>6.6881250060266852</v>
      </c>
      <c r="AT41" s="290">
        <v>6.7800694488816742</v>
      </c>
      <c r="AU41" s="290">
        <v>7.0406569403181463</v>
      </c>
      <c r="AV41" s="290">
        <v>7.0868055737680802</v>
      </c>
      <c r="AW41" s="290">
        <v>6.8567361268732201</v>
      </c>
      <c r="AX41" s="290">
        <v>6.820000018510548</v>
      </c>
      <c r="AY41" s="290">
        <v>6.5916666504409527</v>
      </c>
      <c r="AZ41" s="290">
        <v>6.9837500196364104</v>
      </c>
      <c r="BA41" s="290">
        <v>6.7583333286974074</v>
      </c>
      <c r="BB41" s="290">
        <v>6.8652777688370774</v>
      </c>
      <c r="BC41" s="291">
        <v>6.6847222256991508</v>
      </c>
      <c r="BD41" s="291">
        <v>6.8663380498617403</v>
      </c>
      <c r="BE41" s="291">
        <v>6.9373611037929761</v>
      </c>
      <c r="BF41" s="292">
        <f>SUM(Input_Raw[[#This Row],[O2_01]:[O2_26]])</f>
        <v>711947</v>
      </c>
      <c r="BG41" s="293">
        <f>IFERROR(AVERAGE(Input_Raw[[#This Row],[WS_O2_01]:[WS_O2_26]]),"")</f>
        <v>6.7651995991986684</v>
      </c>
      <c r="BH41" s="294"/>
      <c r="BI41" s="294"/>
      <c r="BJ41" s="289">
        <v>685800</v>
      </c>
      <c r="BK41" s="289">
        <v>450</v>
      </c>
      <c r="BL41" s="295">
        <f>Input_Raw[[#This Row],[66 kV_Wind_F1_Export_reading]]-Input_Raw[[#This Row],[66 kV_Wind_F1_Import_reading]]</f>
        <v>685350</v>
      </c>
      <c r="BM41" s="296">
        <f>Input_Raw[[#This Row],[WTG Total Gneration (KWh)]]-Input_Raw[[#This Row],[66 kV_Wind_F1_Export_reading]]</f>
        <v>26147</v>
      </c>
      <c r="BN41" s="111">
        <f>(Input_Raw[[#This Row],[WTG Total Gneration (KWh)]]-Input_Raw[[#This Row],[66 kV_Wind_F1_Export_reading]])/Input_Raw[[#This Row],[WTG Total Gneration (KWh)]]</f>
        <v>3.6726048427762177E-2</v>
      </c>
      <c r="BO41" s="89">
        <v>70.2</v>
      </c>
      <c r="BP41" s="96"/>
      <c r="BQ41" s="297">
        <v>773.86</v>
      </c>
      <c r="BR41" s="298"/>
    </row>
    <row r="42" spans="1:70">
      <c r="A42" s="240">
        <f t="shared" si="3"/>
        <v>45782</v>
      </c>
      <c r="B42" s="11">
        <f>YEAR(Input_Raw[[#This Row],[Date]])+IF(MONTH(Input_Raw[[#This Row],[Date]])&gt;=4,1,0)</f>
        <v>2026</v>
      </c>
      <c r="C42" s="11">
        <f>YEAR(Input_Raw[[#This Row],[Date]])</f>
        <v>2025</v>
      </c>
      <c r="D42" s="12">
        <f t="shared" si="9"/>
        <v>45778</v>
      </c>
      <c r="E42" s="11">
        <f>DAY(EOMONTH(Input_Raw[[#This Row],[Date]],0))</f>
        <v>31</v>
      </c>
      <c r="F42" s="137">
        <v>18835</v>
      </c>
      <c r="G42" s="137">
        <v>31559</v>
      </c>
      <c r="H42" s="137">
        <v>29715</v>
      </c>
      <c r="I42" s="137">
        <v>30722</v>
      </c>
      <c r="J42" s="137">
        <v>30948</v>
      </c>
      <c r="K42" s="137">
        <v>30904</v>
      </c>
      <c r="L42" s="137">
        <v>28268</v>
      </c>
      <c r="M42" s="137">
        <v>27202</v>
      </c>
      <c r="N42" s="137">
        <v>31886</v>
      </c>
      <c r="O42" s="137">
        <v>31922</v>
      </c>
      <c r="P42" s="137">
        <v>20276</v>
      </c>
      <c r="Q42" s="137">
        <v>31332</v>
      </c>
      <c r="R42" s="137">
        <v>28547</v>
      </c>
      <c r="S42" s="137">
        <v>29701</v>
      </c>
      <c r="T42" s="137">
        <v>31905</v>
      </c>
      <c r="U42" s="137">
        <v>30318</v>
      </c>
      <c r="V42" s="137">
        <v>28089</v>
      </c>
      <c r="W42" s="137">
        <v>33937</v>
      </c>
      <c r="X42" s="137">
        <v>30708</v>
      </c>
      <c r="Y42" s="137">
        <v>29830</v>
      </c>
      <c r="Z42" s="137">
        <v>31289</v>
      </c>
      <c r="AA42" s="137">
        <v>25892</v>
      </c>
      <c r="AB42" s="137">
        <v>32518</v>
      </c>
      <c r="AC42" s="13">
        <v>30515</v>
      </c>
      <c r="AD42" s="13">
        <v>29760</v>
      </c>
      <c r="AE42" s="13">
        <v>31214</v>
      </c>
      <c r="AF42" s="138">
        <v>7.3474999682770736</v>
      </c>
      <c r="AG42" s="138">
        <v>7.3098611103163726</v>
      </c>
      <c r="AH42" s="138">
        <v>7.1845833278364513</v>
      </c>
      <c r="AI42" s="138">
        <v>7.2252777831421895</v>
      </c>
      <c r="AJ42" s="138">
        <v>7.3093055569463257</v>
      </c>
      <c r="AK42" s="138">
        <v>7.2811111261447179</v>
      </c>
      <c r="AL42" s="138">
        <v>6.972152822547482</v>
      </c>
      <c r="AM42" s="138">
        <v>7.1834027535385481</v>
      </c>
      <c r="AN42" s="138">
        <v>7.4029861026339994</v>
      </c>
      <c r="AO42" s="138">
        <v>7.4420139094193694</v>
      </c>
      <c r="AP42" s="138">
        <v>7.3673611167404296</v>
      </c>
      <c r="AQ42" s="138">
        <v>7.3700000080797299</v>
      </c>
      <c r="AR42" s="138">
        <v>7.1775694373581054</v>
      </c>
      <c r="AS42" s="138">
        <v>7.246944470538021</v>
      </c>
      <c r="AT42" s="138">
        <v>7.3884722126854747</v>
      </c>
      <c r="AU42" s="138">
        <v>7.349791662560559</v>
      </c>
      <c r="AV42" s="138">
        <v>7.2903471903668411</v>
      </c>
      <c r="AW42" s="138">
        <v>7.529791674680169</v>
      </c>
      <c r="AX42" s="138">
        <v>7.2361805389324747</v>
      </c>
      <c r="AY42" s="138">
        <v>7.2921527706914384</v>
      </c>
      <c r="AZ42" s="138">
        <v>7.3963888949817989</v>
      </c>
      <c r="BA42" s="138">
        <v>6.8902777781089064</v>
      </c>
      <c r="BB42" s="138">
        <v>7.4494444512658573</v>
      </c>
      <c r="BC42" s="14">
        <v>7.2443749888075608</v>
      </c>
      <c r="BD42" s="14">
        <v>7.150347231162911</v>
      </c>
      <c r="BE42" s="14">
        <v>7.3709722045395019</v>
      </c>
      <c r="BF42" s="139">
        <f>SUM(Input_Raw[[#This Row],[O2_01]:[O2_26]])</f>
        <v>767792</v>
      </c>
      <c r="BG42" s="140">
        <f>IFERROR(AVERAGE(Input_Raw[[#This Row],[WS_O2_01]:[WS_O2_26]]),"")</f>
        <v>7.2849465804731652</v>
      </c>
      <c r="BH42" s="141"/>
      <c r="BI42" s="141"/>
      <c r="BJ42" s="13">
        <v>741600</v>
      </c>
      <c r="BK42" s="13">
        <v>0</v>
      </c>
      <c r="BL42" s="15">
        <f>Input_Raw[[#This Row],[66 kV_Wind_F1_Export_reading]]-Input_Raw[[#This Row],[66 kV_Wind_F1_Import_reading]]</f>
        <v>741600</v>
      </c>
      <c r="BM42" s="142">
        <f>Input_Raw[[#This Row],[WTG Total Gneration (KWh)]]-Input_Raw[[#This Row],[66 kV_Wind_F1_Export_reading]]</f>
        <v>26192</v>
      </c>
      <c r="BN42" s="111">
        <f>(Input_Raw[[#This Row],[WTG Total Gneration (KWh)]]-Input_Raw[[#This Row],[66 kV_Wind_F1_Export_reading]])/Input_Raw[[#This Row],[WTG Total Gneration (KWh)]]</f>
        <v>3.4113405714047557E-2</v>
      </c>
      <c r="BO42" s="89">
        <v>70.2</v>
      </c>
      <c r="BP42" s="96"/>
      <c r="BQ42" s="135">
        <v>837.33</v>
      </c>
      <c r="BR42" s="207"/>
    </row>
    <row r="43" spans="1:70">
      <c r="A43" s="240">
        <f t="shared" si="3"/>
        <v>45783</v>
      </c>
      <c r="B43" s="11">
        <f>YEAR(Input_Raw[[#This Row],[Date]])+IF(MONTH(Input_Raw[[#This Row],[Date]])&gt;=4,1,0)</f>
        <v>2026</v>
      </c>
      <c r="C43" s="11">
        <f>YEAR(Input_Raw[[#This Row],[Date]])</f>
        <v>2025</v>
      </c>
      <c r="D43" s="12">
        <f t="shared" si="9"/>
        <v>45778</v>
      </c>
      <c r="E43" s="11">
        <f>DAY(EOMONTH(Input_Raw[[#This Row],[Date]],0))</f>
        <v>31</v>
      </c>
      <c r="F43" s="301">
        <v>10165</v>
      </c>
      <c r="G43" s="301">
        <v>15091</v>
      </c>
      <c r="H43" s="301">
        <v>15302</v>
      </c>
      <c r="I43" s="301">
        <v>15082</v>
      </c>
      <c r="J43" s="301">
        <v>14339</v>
      </c>
      <c r="K43" s="301">
        <v>23291</v>
      </c>
      <c r="L43" s="301">
        <v>18793</v>
      </c>
      <c r="M43" s="301">
        <v>11190</v>
      </c>
      <c r="N43" s="301">
        <v>15245</v>
      </c>
      <c r="O43" s="301">
        <v>18504</v>
      </c>
      <c r="P43" s="301">
        <v>16459</v>
      </c>
      <c r="Q43" s="301">
        <v>15671</v>
      </c>
      <c r="R43" s="301">
        <v>14458</v>
      </c>
      <c r="S43" s="301">
        <v>16788</v>
      </c>
      <c r="T43" s="301">
        <v>17961</v>
      </c>
      <c r="U43" s="301">
        <v>177</v>
      </c>
      <c r="V43" s="301">
        <v>24296</v>
      </c>
      <c r="W43" s="301">
        <v>25931</v>
      </c>
      <c r="X43" s="301">
        <v>26460</v>
      </c>
      <c r="Y43" s="301">
        <v>24540</v>
      </c>
      <c r="Z43" s="301">
        <v>23651</v>
      </c>
      <c r="AA43" s="301">
        <v>21281</v>
      </c>
      <c r="AB43" s="301">
        <v>15228</v>
      </c>
      <c r="AC43" s="302">
        <v>87</v>
      </c>
      <c r="AD43" s="302">
        <v>14231</v>
      </c>
      <c r="AE43" s="302">
        <v>10926</v>
      </c>
      <c r="AF43" s="303">
        <v>7.0833333301544128</v>
      </c>
      <c r="AG43" s="303">
        <v>6.633473677384222</v>
      </c>
      <c r="AH43" s="303">
        <v>6.8706315887601717</v>
      </c>
      <c r="AI43" s="303">
        <v>6.3598425228764661</v>
      </c>
      <c r="AJ43" s="303">
        <v>6.7275257712786924</v>
      </c>
      <c r="AK43" s="303">
        <v>6.9846456820570557</v>
      </c>
      <c r="AL43" s="303">
        <v>6.177559055446638</v>
      </c>
      <c r="AM43" s="303">
        <v>6.7677895012654705</v>
      </c>
      <c r="AN43" s="303">
        <v>6.8908421240354789</v>
      </c>
      <c r="AO43" s="303">
        <v>7.1290526358704769</v>
      </c>
      <c r="AP43" s="303">
        <v>6.996526287731367</v>
      </c>
      <c r="AQ43" s="303">
        <v>6.9836841972250667</v>
      </c>
      <c r="AR43" s="303">
        <v>6.851263171748105</v>
      </c>
      <c r="AS43" s="303">
        <v>6.9905262796502328</v>
      </c>
      <c r="AT43" s="303">
        <v>7.1088421118886824</v>
      </c>
      <c r="AU43" s="303">
        <v>7.1131868228152495</v>
      </c>
      <c r="AV43" s="303">
        <v>7.266614180380901</v>
      </c>
      <c r="AW43" s="303">
        <v>7.1201575065222293</v>
      </c>
      <c r="AX43" s="303">
        <v>6.9016535317334595</v>
      </c>
      <c r="AY43" s="303">
        <v>6.8773228042707659</v>
      </c>
      <c r="AZ43" s="303">
        <v>6.9615872805080681</v>
      </c>
      <c r="BA43" s="303">
        <v>6.8491269842026705</v>
      </c>
      <c r="BB43" s="303">
        <v>6.8997894883155784</v>
      </c>
      <c r="BC43" s="304">
        <v>7.1285483708545057</v>
      </c>
      <c r="BD43" s="304">
        <v>6.4670212890239451</v>
      </c>
      <c r="BE43" s="304">
        <v>6.9038947400293802</v>
      </c>
      <c r="BF43" s="305">
        <f>SUM(Input_Raw[[#This Row],[O2_01]:[O2_26]])</f>
        <v>425147</v>
      </c>
      <c r="BG43" s="306">
        <f>IFERROR(AVERAGE(Input_Raw[[#This Row],[WS_O2_01]:[WS_O2_26]]),"")</f>
        <v>6.8863246513857428</v>
      </c>
      <c r="BH43" s="307"/>
      <c r="BI43" s="307"/>
      <c r="BJ43" s="302">
        <v>412650</v>
      </c>
      <c r="BK43" s="302">
        <v>0</v>
      </c>
      <c r="BL43" s="308">
        <f>Input_Raw[[#This Row],[66 kV_Wind_F1_Export_reading]]-Input_Raw[[#This Row],[66 kV_Wind_F1_Import_reading]]</f>
        <v>412650</v>
      </c>
      <c r="BM43" s="309">
        <f>Input_Raw[[#This Row],[WTG Total Gneration (KWh)]]-Input_Raw[[#This Row],[66 kV_Wind_F1_Export_reading]]</f>
        <v>12497</v>
      </c>
      <c r="BN43" s="111">
        <f>(Input_Raw[[#This Row],[WTG Total Gneration (KWh)]]-Input_Raw[[#This Row],[66 kV_Wind_F1_Export_reading]])/Input_Raw[[#This Row],[WTG Total Gneration (KWh)]]</f>
        <v>2.9394538830098765E-2</v>
      </c>
      <c r="BO43" s="89">
        <v>70.2</v>
      </c>
      <c r="BP43" s="96"/>
      <c r="BQ43" s="310">
        <v>541.99</v>
      </c>
      <c r="BR43" s="311"/>
    </row>
    <row r="44" spans="1:70">
      <c r="A44" s="240">
        <f t="shared" si="3"/>
        <v>45784</v>
      </c>
      <c r="B44" s="11">
        <f>YEAR(Input_Raw[[#This Row],[Date]])+IF(MONTH(Input_Raw[[#This Row],[Date]])&gt;=4,1,0)</f>
        <v>2026</v>
      </c>
      <c r="C44" s="11">
        <f>YEAR(Input_Raw[[#This Row],[Date]])</f>
        <v>2025</v>
      </c>
      <c r="D44" s="12">
        <f t="shared" si="9"/>
        <v>45778</v>
      </c>
      <c r="E44" s="11">
        <f>DAY(EOMONTH(Input_Raw[[#This Row],[Date]],0))</f>
        <v>31</v>
      </c>
      <c r="F44" s="301">
        <v>11319</v>
      </c>
      <c r="G44" s="301">
        <v>16965</v>
      </c>
      <c r="H44" s="301">
        <v>1852</v>
      </c>
      <c r="I44" s="301">
        <v>19556</v>
      </c>
      <c r="J44" s="301">
        <v>16886</v>
      </c>
      <c r="K44" s="301">
        <v>19918</v>
      </c>
      <c r="L44" s="301">
        <v>16111</v>
      </c>
      <c r="M44" s="301">
        <v>11676</v>
      </c>
      <c r="N44" s="301">
        <v>15126</v>
      </c>
      <c r="O44" s="301">
        <v>14677</v>
      </c>
      <c r="P44" s="301">
        <v>14545</v>
      </c>
      <c r="Q44" s="301">
        <v>11445</v>
      </c>
      <c r="R44" s="301">
        <v>15086</v>
      </c>
      <c r="S44" s="301">
        <v>14856</v>
      </c>
      <c r="T44" s="301">
        <v>14641</v>
      </c>
      <c r="U44" s="301">
        <v>1279</v>
      </c>
      <c r="V44" s="301">
        <v>19367</v>
      </c>
      <c r="W44" s="301">
        <v>21456</v>
      </c>
      <c r="X44" s="301">
        <v>20272</v>
      </c>
      <c r="Y44" s="301">
        <v>19397</v>
      </c>
      <c r="Z44" s="301">
        <v>21725</v>
      </c>
      <c r="AA44" s="301">
        <v>19485</v>
      </c>
      <c r="AB44" s="301">
        <v>12584</v>
      </c>
      <c r="AC44" s="302">
        <v>10416</v>
      </c>
      <c r="AD44" s="302">
        <v>15407</v>
      </c>
      <c r="AE44" s="302">
        <v>15166</v>
      </c>
      <c r="AF44" s="303">
        <v>5.7431746153604379</v>
      </c>
      <c r="AG44" s="303">
        <v>5.8574400138854941</v>
      </c>
      <c r="AH44" s="303">
        <v>5.5644628060750687</v>
      </c>
      <c r="AI44" s="303">
        <v>5.6082638866371539</v>
      </c>
      <c r="AJ44" s="303">
        <v>5.9282399761676734</v>
      </c>
      <c r="AK44" s="303">
        <v>6.0339583332339899</v>
      </c>
      <c r="AL44" s="303">
        <v>5.3851388750804761</v>
      </c>
      <c r="AM44" s="303">
        <v>5.6519200096130326</v>
      </c>
      <c r="AN44" s="303">
        <v>5.6112698453759347</v>
      </c>
      <c r="AO44" s="303">
        <v>5.6850793636773505</v>
      </c>
      <c r="AP44" s="303">
        <v>5.7726190563971285</v>
      </c>
      <c r="AQ44" s="303">
        <v>5.8937301455095135</v>
      </c>
      <c r="AR44" s="303">
        <v>5.800880002498622</v>
      </c>
      <c r="AS44" s="303">
        <v>5.7049206317003236</v>
      </c>
      <c r="AT44" s="303">
        <v>5.6931967223063058</v>
      </c>
      <c r="AU44" s="303">
        <v>5.7809243668027266</v>
      </c>
      <c r="AV44" s="303">
        <v>6.1783333114451802</v>
      </c>
      <c r="AW44" s="303">
        <v>6.1342360915409149</v>
      </c>
      <c r="AX44" s="303">
        <v>5.7728472294078905</v>
      </c>
      <c r="AY44" s="303">
        <v>6.1546808472761843</v>
      </c>
      <c r="AZ44" s="303">
        <v>6.0544444616470052</v>
      </c>
      <c r="BA44" s="303">
        <v>5.9904861185285743</v>
      </c>
      <c r="BB44" s="303">
        <v>5.7900000253160053</v>
      </c>
      <c r="BC44" s="304">
        <v>6.1613194454047395</v>
      </c>
      <c r="BD44" s="304">
        <v>6.000416666346907</v>
      </c>
      <c r="BE44" s="304">
        <v>5.7176190587056244</v>
      </c>
      <c r="BF44" s="305">
        <f>SUM(Input_Raw[[#This Row],[O2_01]:[O2_26]])</f>
        <v>391213</v>
      </c>
      <c r="BG44" s="306">
        <f>IFERROR(AVERAGE(Input_Raw[[#This Row],[WS_O2_01]:[WS_O2_26]]),"")</f>
        <v>5.8334462271515468</v>
      </c>
      <c r="BH44" s="307"/>
      <c r="BI44" s="307"/>
      <c r="BJ44" s="302">
        <v>377100</v>
      </c>
      <c r="BK44" s="302">
        <v>0</v>
      </c>
      <c r="BL44" s="308">
        <f>Input_Raw[[#This Row],[66 kV_Wind_F1_Export_reading]]-Input_Raw[[#This Row],[66 kV_Wind_F1_Import_reading]]</f>
        <v>377100</v>
      </c>
      <c r="BM44" s="309">
        <f>Input_Raw[[#This Row],[WTG Total Gneration (KWh)]]-Input_Raw[[#This Row],[66 kV_Wind_F1_Export_reading]]</f>
        <v>14113</v>
      </c>
      <c r="BN44" s="111">
        <f>(Input_Raw[[#This Row],[WTG Total Gneration (KWh)]]-Input_Raw[[#This Row],[66 kV_Wind_F1_Export_reading]])/Input_Raw[[#This Row],[WTG Total Gneration (KWh)]]</f>
        <v>3.6074977058533332E-2</v>
      </c>
      <c r="BO44" s="89">
        <v>70.2</v>
      </c>
      <c r="BP44" s="96"/>
      <c r="BQ44" s="310">
        <v>371.67</v>
      </c>
      <c r="BR44" s="311"/>
    </row>
    <row r="45" spans="1:70">
      <c r="A45" s="240">
        <f t="shared" si="3"/>
        <v>45785</v>
      </c>
      <c r="B45" s="11">
        <f>YEAR(Input_Raw[[#This Row],[Date]])+IF(MONTH(Input_Raw[[#This Row],[Date]])&gt;=4,1,0)</f>
        <v>2026</v>
      </c>
      <c r="C45" s="11">
        <f>YEAR(Input_Raw[[#This Row],[Date]])</f>
        <v>2025</v>
      </c>
      <c r="D45" s="12">
        <f t="shared" si="9"/>
        <v>45778</v>
      </c>
      <c r="E45" s="11">
        <f>DAY(EOMONTH(Input_Raw[[#This Row],[Date]],0))</f>
        <v>31</v>
      </c>
      <c r="F45" s="137">
        <v>7575</v>
      </c>
      <c r="G45" s="137">
        <v>10183</v>
      </c>
      <c r="H45" s="137">
        <v>6151</v>
      </c>
      <c r="I45" s="137">
        <v>9882</v>
      </c>
      <c r="J45" s="137">
        <v>9278</v>
      </c>
      <c r="K45" s="137">
        <v>7917</v>
      </c>
      <c r="L45" s="137">
        <v>7381</v>
      </c>
      <c r="M45" s="137">
        <v>6257</v>
      </c>
      <c r="N45" s="137">
        <v>6464</v>
      </c>
      <c r="O45" s="137">
        <v>6233</v>
      </c>
      <c r="P45" s="137">
        <v>7094</v>
      </c>
      <c r="Q45" s="137">
        <v>6716</v>
      </c>
      <c r="R45" s="137">
        <v>6390</v>
      </c>
      <c r="S45" s="137">
        <v>6051</v>
      </c>
      <c r="T45" s="137">
        <v>7149</v>
      </c>
      <c r="U45" s="137">
        <v>7733</v>
      </c>
      <c r="V45" s="137">
        <v>7908</v>
      </c>
      <c r="W45" s="137">
        <v>8265</v>
      </c>
      <c r="X45" s="137">
        <v>8140</v>
      </c>
      <c r="Y45" s="137">
        <v>6207</v>
      </c>
      <c r="Z45" s="137">
        <v>7764</v>
      </c>
      <c r="AA45" s="137">
        <v>7733</v>
      </c>
      <c r="AB45" s="137">
        <v>5173</v>
      </c>
      <c r="AC45" s="13">
        <v>9370</v>
      </c>
      <c r="AD45" s="13">
        <v>8720</v>
      </c>
      <c r="AE45" s="13">
        <v>6869</v>
      </c>
      <c r="AF45" s="138">
        <v>4.2821126748138738</v>
      </c>
      <c r="AG45" s="138">
        <v>4.4326056174828947</v>
      </c>
      <c r="AH45" s="138">
        <v>3.9808450886900988</v>
      </c>
      <c r="AI45" s="138">
        <v>4.3881944525572969</v>
      </c>
      <c r="AJ45" s="138">
        <v>4.4838028155582039</v>
      </c>
      <c r="AK45" s="138">
        <v>4.2509722279177762</v>
      </c>
      <c r="AL45" s="138">
        <v>4.077430562012724</v>
      </c>
      <c r="AM45" s="138">
        <v>3.857394362839174</v>
      </c>
      <c r="AN45" s="138">
        <v>3.9505633611074629</v>
      </c>
      <c r="AO45" s="138">
        <v>4.0057042148751263</v>
      </c>
      <c r="AP45" s="138">
        <v>4.1706337987537108</v>
      </c>
      <c r="AQ45" s="138">
        <v>4.0231690322849101</v>
      </c>
      <c r="AR45" s="138">
        <v>3.9823943594811659</v>
      </c>
      <c r="AS45" s="138">
        <v>3.9163120545394023</v>
      </c>
      <c r="AT45" s="138">
        <v>4.0493661971159378</v>
      </c>
      <c r="AU45" s="138">
        <v>4.1438028283522135</v>
      </c>
      <c r="AV45" s="138">
        <v>4.2415972120232048</v>
      </c>
      <c r="AW45" s="138">
        <v>4.1926388823323775</v>
      </c>
      <c r="AX45" s="138">
        <v>4.1281944455371953</v>
      </c>
      <c r="AY45" s="138">
        <v>4.3725757513082364</v>
      </c>
      <c r="AZ45" s="138">
        <v>4.025833336843383</v>
      </c>
      <c r="BA45" s="138">
        <v>4.1731944291128036</v>
      </c>
      <c r="BB45" s="138">
        <v>3.9137323809341638</v>
      </c>
      <c r="BC45" s="14">
        <v>4.3361805354555436</v>
      </c>
      <c r="BD45" s="14">
        <v>4.3219718379034111</v>
      </c>
      <c r="BE45" s="14">
        <v>4.0434265632729423</v>
      </c>
      <c r="BF45" s="139">
        <f>SUM(Input_Raw[[#This Row],[O2_01]:[O2_26]])</f>
        <v>194603</v>
      </c>
      <c r="BG45" s="140">
        <f>IFERROR(AVERAGE(Input_Raw[[#This Row],[WS_O2_01]:[WS_O2_26]]),"")</f>
        <v>4.1440249624271237</v>
      </c>
      <c r="BH45" s="141"/>
      <c r="BI45" s="141"/>
      <c r="BJ45" s="13">
        <v>187200</v>
      </c>
      <c r="BK45" s="13">
        <v>450</v>
      </c>
      <c r="BL45" s="15">
        <f>Input_Raw[[#This Row],[66 kV_Wind_F1_Export_reading]]-Input_Raw[[#This Row],[66 kV_Wind_F1_Import_reading]]</f>
        <v>186750</v>
      </c>
      <c r="BM45" s="142">
        <f>Input_Raw[[#This Row],[WTG Total Gneration (KWh)]]-Input_Raw[[#This Row],[66 kV_Wind_F1_Export_reading]]</f>
        <v>7403</v>
      </c>
      <c r="BN45" s="111">
        <f>(Input_Raw[[#This Row],[WTG Total Gneration (KWh)]]-Input_Raw[[#This Row],[66 kV_Wind_F1_Export_reading]])/Input_Raw[[#This Row],[WTG Total Gneration (KWh)]]</f>
        <v>3.8041551260771932E-2</v>
      </c>
      <c r="BO45" s="89">
        <v>70.2</v>
      </c>
      <c r="BP45" s="96"/>
      <c r="BQ45" s="135">
        <v>194.40299999999999</v>
      </c>
      <c r="BR45" s="207"/>
    </row>
    <row r="46" spans="1:70">
      <c r="A46" s="240">
        <f t="shared" si="3"/>
        <v>45786</v>
      </c>
      <c r="B46" s="11">
        <f>YEAR(Input_Raw[[#This Row],[Date]])+IF(MONTH(Input_Raw[[#This Row],[Date]])&gt;=4,1,0)</f>
        <v>2026</v>
      </c>
      <c r="C46" s="11">
        <f>YEAR(Input_Raw[[#This Row],[Date]])</f>
        <v>2025</v>
      </c>
      <c r="D46" s="12">
        <f t="shared" si="9"/>
        <v>45778</v>
      </c>
      <c r="E46" s="11">
        <f>DAY(EOMONTH(Input_Raw[[#This Row],[Date]],0))</f>
        <v>31</v>
      </c>
      <c r="F46" s="137">
        <v>9128</v>
      </c>
      <c r="G46" s="137">
        <v>12509</v>
      </c>
      <c r="H46" s="137">
        <v>9207</v>
      </c>
      <c r="I46" s="137">
        <v>5316</v>
      </c>
      <c r="J46" s="137">
        <v>11663</v>
      </c>
      <c r="K46" s="137">
        <v>6891</v>
      </c>
      <c r="L46" s="137">
        <v>4777</v>
      </c>
      <c r="M46" s="137">
        <v>9913</v>
      </c>
      <c r="N46" s="137">
        <v>8780</v>
      </c>
      <c r="O46" s="137">
        <v>9374</v>
      </c>
      <c r="P46" s="137">
        <v>9372</v>
      </c>
      <c r="Q46" s="137">
        <v>10322</v>
      </c>
      <c r="R46" s="137">
        <v>10508</v>
      </c>
      <c r="S46" s="137">
        <v>10289</v>
      </c>
      <c r="T46" s="137">
        <v>10040</v>
      </c>
      <c r="U46" s="137">
        <v>6386</v>
      </c>
      <c r="V46" s="137">
        <v>6518</v>
      </c>
      <c r="W46" s="137">
        <v>6914</v>
      </c>
      <c r="X46" s="137">
        <v>4077</v>
      </c>
      <c r="Y46" s="137">
        <v>6597</v>
      </c>
      <c r="Z46" s="137">
        <v>5387</v>
      </c>
      <c r="AA46" s="137">
        <v>7622</v>
      </c>
      <c r="AB46" s="137">
        <v>9232</v>
      </c>
      <c r="AC46" s="13">
        <v>7052</v>
      </c>
      <c r="AD46" s="13">
        <v>11182</v>
      </c>
      <c r="AE46" s="13">
        <v>9743</v>
      </c>
      <c r="AF46" s="138">
        <v>4.3499999999999996</v>
      </c>
      <c r="AG46" s="138">
        <v>4.66</v>
      </c>
      <c r="AH46" s="138">
        <v>4.13</v>
      </c>
      <c r="AI46" s="138">
        <v>4</v>
      </c>
      <c r="AJ46" s="138">
        <v>4.67</v>
      </c>
      <c r="AK46" s="138">
        <v>4.13</v>
      </c>
      <c r="AL46" s="138">
        <v>3.94</v>
      </c>
      <c r="AM46" s="138">
        <v>4.25</v>
      </c>
      <c r="AN46" s="138">
        <v>4.1399999999999997</v>
      </c>
      <c r="AO46" s="138">
        <v>4.17</v>
      </c>
      <c r="AP46" s="138">
        <v>4.3099999999999996</v>
      </c>
      <c r="AQ46" s="138">
        <v>4.34</v>
      </c>
      <c r="AR46" s="138">
        <v>4.3099999999999996</v>
      </c>
      <c r="AS46" s="138">
        <v>4.3600000000000003</v>
      </c>
      <c r="AT46" s="138">
        <v>4.29</v>
      </c>
      <c r="AU46" s="138">
        <v>4.0599999999999996</v>
      </c>
      <c r="AV46" s="138">
        <v>4.33</v>
      </c>
      <c r="AW46" s="138">
        <v>3.93</v>
      </c>
      <c r="AX46" s="138">
        <v>3.79</v>
      </c>
      <c r="AY46" s="138">
        <v>4.0999999999999996</v>
      </c>
      <c r="AZ46" s="138">
        <v>3.76</v>
      </c>
      <c r="BA46" s="138">
        <v>4.26</v>
      </c>
      <c r="BB46" s="138">
        <v>4.26</v>
      </c>
      <c r="BC46" s="14">
        <v>4.1399999999999997</v>
      </c>
      <c r="BD46" s="14">
        <v>4.55</v>
      </c>
      <c r="BE46" s="14">
        <v>4.29</v>
      </c>
      <c r="BF46" s="139">
        <f>SUM(Input_Raw[[#This Row],[O2_01]:[O2_26]])</f>
        <v>218799</v>
      </c>
      <c r="BG46" s="140">
        <f>IFERROR(AVERAGE(Input_Raw[[#This Row],[WS_O2_01]:[WS_O2_26]]),"")</f>
        <v>4.2123076923076939</v>
      </c>
      <c r="BH46" s="141"/>
      <c r="BI46" s="141"/>
      <c r="BJ46" s="13">
        <v>210150</v>
      </c>
      <c r="BK46" s="13">
        <v>0</v>
      </c>
      <c r="BL46" s="15">
        <f>Input_Raw[[#This Row],[66 kV_Wind_F1_Export_reading]]-Input_Raw[[#This Row],[66 kV_Wind_F1_Import_reading]]</f>
        <v>210150</v>
      </c>
      <c r="BM46" s="142">
        <f>Input_Raw[[#This Row],[WTG Total Gneration (KWh)]]-Input_Raw[[#This Row],[66 kV_Wind_F1_Export_reading]]</f>
        <v>8649</v>
      </c>
      <c r="BN46" s="111">
        <f>(Input_Raw[[#This Row],[WTG Total Gneration (KWh)]]-Input_Raw[[#This Row],[66 kV_Wind_F1_Export_reading]])/Input_Raw[[#This Row],[WTG Total Gneration (KWh)]]</f>
        <v>3.9529431121714448E-2</v>
      </c>
      <c r="BO46" s="89">
        <v>70.2</v>
      </c>
      <c r="BP46" s="96"/>
      <c r="BQ46" s="135">
        <v>215.78</v>
      </c>
      <c r="BR46" s="207"/>
    </row>
    <row r="47" spans="1:70">
      <c r="A47" s="240">
        <f t="shared" si="3"/>
        <v>45787</v>
      </c>
      <c r="B47" s="11">
        <f>YEAR(Input_Raw[[#This Row],[Date]])+IF(MONTH(Input_Raw[[#This Row],[Date]])&gt;=4,1,0)</f>
        <v>2026</v>
      </c>
      <c r="C47" s="11">
        <f>YEAR(Input_Raw[[#This Row],[Date]])</f>
        <v>2025</v>
      </c>
      <c r="D47" s="12">
        <f t="shared" ref="D47:D52" si="10">A47-DAY(A47)+1</f>
        <v>45778</v>
      </c>
      <c r="E47" s="11">
        <f>DAY(EOMONTH(Input_Raw[[#This Row],[Date]],0))</f>
        <v>31</v>
      </c>
      <c r="F47" s="137">
        <v>14837</v>
      </c>
      <c r="G47" s="137">
        <v>21132</v>
      </c>
      <c r="H47" s="137">
        <v>12290</v>
      </c>
      <c r="I47" s="137">
        <v>17359</v>
      </c>
      <c r="J47" s="137">
        <v>19838</v>
      </c>
      <c r="K47" s="137">
        <v>12904</v>
      </c>
      <c r="L47" s="137">
        <v>13014</v>
      </c>
      <c r="M47" s="137">
        <v>12886</v>
      </c>
      <c r="N47" s="137">
        <v>13132</v>
      </c>
      <c r="O47" s="137">
        <v>11294</v>
      </c>
      <c r="P47" s="137">
        <v>13194</v>
      </c>
      <c r="Q47" s="137">
        <v>13400</v>
      </c>
      <c r="R47" s="137">
        <v>12510</v>
      </c>
      <c r="S47" s="137">
        <v>12935</v>
      </c>
      <c r="T47" s="137">
        <v>13423</v>
      </c>
      <c r="U47" s="137">
        <v>13663</v>
      </c>
      <c r="V47" s="137">
        <v>15113</v>
      </c>
      <c r="W47" s="137">
        <v>11997</v>
      </c>
      <c r="X47" s="137">
        <v>0</v>
      </c>
      <c r="Y47" s="137">
        <v>12177</v>
      </c>
      <c r="Z47" s="137">
        <v>11514</v>
      </c>
      <c r="AA47" s="137">
        <v>15068</v>
      </c>
      <c r="AB47" s="137">
        <v>11818</v>
      </c>
      <c r="AC47" s="13">
        <v>12570</v>
      </c>
      <c r="AD47" s="13">
        <v>20756</v>
      </c>
      <c r="AE47" s="13">
        <v>14169</v>
      </c>
      <c r="AF47" s="138">
        <v>5.0740277839617587</v>
      </c>
      <c r="AG47" s="138">
        <v>5.6715277752114659</v>
      </c>
      <c r="AH47" s="138">
        <v>4.8212500152488538</v>
      </c>
      <c r="AI47" s="138">
        <v>5.5293129815911968</v>
      </c>
      <c r="AJ47" s="138">
        <v>5.6067361065910912</v>
      </c>
      <c r="AK47" s="138">
        <v>5.1671641771473098</v>
      </c>
      <c r="AL47" s="138">
        <v>4.9638636312306375</v>
      </c>
      <c r="AM47" s="138">
        <v>5.0511188813439611</v>
      </c>
      <c r="AN47" s="138">
        <v>4.8700694603224584</v>
      </c>
      <c r="AO47" s="138">
        <v>4.7189583198891727</v>
      </c>
      <c r="AP47" s="138">
        <v>4.9155555533038235</v>
      </c>
      <c r="AQ47" s="138">
        <v>4.999861116210619</v>
      </c>
      <c r="AR47" s="138">
        <v>4.8692361145383778</v>
      </c>
      <c r="AS47" s="138">
        <v>4.976527770774231</v>
      </c>
      <c r="AT47" s="138">
        <v>4.9661805613173371</v>
      </c>
      <c r="AU47" s="138">
        <v>5.2099999974467854</v>
      </c>
      <c r="AV47" s="138">
        <v>5.9096694258618925</v>
      </c>
      <c r="AW47" s="138">
        <v>4.9218656614200382</v>
      </c>
      <c r="AX47" s="138">
        <v>0</v>
      </c>
      <c r="AY47" s="138">
        <v>5.0039552217210401</v>
      </c>
      <c r="AZ47" s="138">
        <v>4.856015048080816</v>
      </c>
      <c r="BA47" s="138">
        <v>5.7399166618784259</v>
      </c>
      <c r="BB47" s="138">
        <v>4.913472226924366</v>
      </c>
      <c r="BC47" s="14">
        <v>4.9544776122627852</v>
      </c>
      <c r="BD47" s="14">
        <v>5.5285416657312041</v>
      </c>
      <c r="BE47" s="14">
        <v>4.9138194500572148</v>
      </c>
      <c r="BF47" s="139">
        <f>SUM(Input_Raw[[#This Row],[O2_01]:[O2_26]])</f>
        <v>352993</v>
      </c>
      <c r="BG47" s="140">
        <f>IFERROR(AVERAGE(Input_Raw[[#This Row],[WS_O2_01]:[WS_O2_26]]),"")</f>
        <v>4.9289662776948795</v>
      </c>
      <c r="BH47" s="141"/>
      <c r="BI47" s="141"/>
      <c r="BJ47" s="13">
        <v>341550</v>
      </c>
      <c r="BK47" s="13">
        <v>900</v>
      </c>
      <c r="BL47" s="15">
        <f>Input_Raw[[#This Row],[66 kV_Wind_F1_Export_reading]]-Input_Raw[[#This Row],[66 kV_Wind_F1_Import_reading]]</f>
        <v>340650</v>
      </c>
      <c r="BM47" s="142">
        <f>Input_Raw[[#This Row],[WTG Total Gneration (KWh)]]-Input_Raw[[#This Row],[66 kV_Wind_F1_Export_reading]]</f>
        <v>11443</v>
      </c>
      <c r="BN47" s="111">
        <f>(Input_Raw[[#This Row],[WTG Total Gneration (KWh)]]-Input_Raw[[#This Row],[66 kV_Wind_F1_Export_reading]])/Input_Raw[[#This Row],[WTG Total Gneration (KWh)]]</f>
        <v>3.2417073426385223E-2</v>
      </c>
      <c r="BO47" s="89">
        <v>70.2</v>
      </c>
      <c r="BP47" s="96"/>
      <c r="BQ47" s="135">
        <v>361.29</v>
      </c>
      <c r="BR47" s="207"/>
    </row>
    <row r="48" spans="1:70">
      <c r="A48" s="240">
        <f t="shared" si="3"/>
        <v>45788</v>
      </c>
      <c r="B48" s="11">
        <f>YEAR(Input_Raw[[#This Row],[Date]])+IF(MONTH(Input_Raw[[#This Row],[Date]])&gt;=4,1,0)</f>
        <v>2026</v>
      </c>
      <c r="C48" s="11">
        <f>YEAR(Input_Raw[[#This Row],[Date]])</f>
        <v>2025</v>
      </c>
      <c r="D48" s="12">
        <f t="shared" si="10"/>
        <v>45778</v>
      </c>
      <c r="E48" s="11">
        <f>DAY(EOMONTH(Input_Raw[[#This Row],[Date]],0))</f>
        <v>31</v>
      </c>
      <c r="F48" s="312">
        <v>11784</v>
      </c>
      <c r="G48" s="312">
        <v>18152</v>
      </c>
      <c r="H48" s="312">
        <v>10710</v>
      </c>
      <c r="I48" s="312">
        <v>14944</v>
      </c>
      <c r="J48" s="312">
        <v>16638</v>
      </c>
      <c r="K48" s="312">
        <v>12050</v>
      </c>
      <c r="L48" s="312">
        <v>12314</v>
      </c>
      <c r="M48" s="312">
        <v>12976</v>
      </c>
      <c r="N48" s="312">
        <v>11136</v>
      </c>
      <c r="O48" s="312">
        <v>9042</v>
      </c>
      <c r="P48" s="312">
        <v>10160</v>
      </c>
      <c r="Q48" s="312">
        <v>7229</v>
      </c>
      <c r="R48" s="312">
        <v>10619</v>
      </c>
      <c r="S48" s="312">
        <v>10415</v>
      </c>
      <c r="T48" s="312">
        <v>11894</v>
      </c>
      <c r="U48" s="312">
        <v>10970</v>
      </c>
      <c r="V48" s="312">
        <v>13086</v>
      </c>
      <c r="W48" s="312">
        <v>10907</v>
      </c>
      <c r="X48" s="312">
        <v>9508</v>
      </c>
      <c r="Y48" s="312">
        <v>9816</v>
      </c>
      <c r="Z48" s="312">
        <v>9404</v>
      </c>
      <c r="AA48" s="312">
        <v>13232</v>
      </c>
      <c r="AB48" s="312">
        <v>10858</v>
      </c>
      <c r="AC48" s="313">
        <v>10039</v>
      </c>
      <c r="AD48" s="313">
        <v>17651</v>
      </c>
      <c r="AE48" s="313">
        <v>10027</v>
      </c>
      <c r="AF48" s="314">
        <v>4.9400000000000004</v>
      </c>
      <c r="AG48" s="314">
        <v>5.32</v>
      </c>
      <c r="AH48" s="314">
        <v>4.51</v>
      </c>
      <c r="AI48" s="314">
        <v>5.05</v>
      </c>
      <c r="AJ48" s="314">
        <v>5.31</v>
      </c>
      <c r="AK48" s="314">
        <v>4.9000000000000004</v>
      </c>
      <c r="AL48" s="314">
        <v>4.6500000000000004</v>
      </c>
      <c r="AM48" s="314">
        <v>4.7699999999999996</v>
      </c>
      <c r="AN48" s="314">
        <v>4.58</v>
      </c>
      <c r="AO48" s="314">
        <v>4.33</v>
      </c>
      <c r="AP48" s="314">
        <v>4.5</v>
      </c>
      <c r="AQ48" s="314">
        <v>4.53</v>
      </c>
      <c r="AR48" s="314">
        <v>4.5</v>
      </c>
      <c r="AS48" s="314">
        <v>4.54</v>
      </c>
      <c r="AT48" s="314">
        <v>4.7</v>
      </c>
      <c r="AU48" s="314">
        <v>4.5999999999999996</v>
      </c>
      <c r="AV48" s="314">
        <v>5.08</v>
      </c>
      <c r="AW48" s="314">
        <v>4.5999999999999996</v>
      </c>
      <c r="AX48" s="314">
        <v>4.58</v>
      </c>
      <c r="AY48" s="314">
        <v>4.5</v>
      </c>
      <c r="AZ48" s="314">
        <v>4.3499999999999996</v>
      </c>
      <c r="BA48" s="314">
        <v>5.04</v>
      </c>
      <c r="BB48" s="314">
        <v>4.55</v>
      </c>
      <c r="BC48" s="315">
        <v>4.46</v>
      </c>
      <c r="BD48" s="315">
        <v>5.37</v>
      </c>
      <c r="BE48" s="315">
        <v>4.62</v>
      </c>
      <c r="BF48" s="316">
        <f>SUM(Input_Raw[[#This Row],[O2_01]:[O2_26]])</f>
        <v>305561</v>
      </c>
      <c r="BG48" s="317">
        <f>IFERROR(AVERAGE(Input_Raw[[#This Row],[WS_O2_01]:[WS_O2_26]]),"")</f>
        <v>4.7261538461538457</v>
      </c>
      <c r="BH48" s="318"/>
      <c r="BI48" s="318"/>
      <c r="BJ48" s="313">
        <v>296550</v>
      </c>
      <c r="BK48" s="313">
        <v>450</v>
      </c>
      <c r="BL48" s="319">
        <f>Input_Raw[[#This Row],[66 kV_Wind_F1_Export_reading]]-Input_Raw[[#This Row],[66 kV_Wind_F1_Import_reading]]</f>
        <v>296100</v>
      </c>
      <c r="BM48" s="320">
        <f>Input_Raw[[#This Row],[WTG Total Gneration (KWh)]]-Input_Raw[[#This Row],[66 kV_Wind_F1_Export_reading]]</f>
        <v>9011</v>
      </c>
      <c r="BN48" s="111">
        <f>(Input_Raw[[#This Row],[WTG Total Gneration (KWh)]]-Input_Raw[[#This Row],[66 kV_Wind_F1_Export_reading]])/Input_Raw[[#This Row],[WTG Total Gneration (KWh)]]</f>
        <v>2.9490019996007345E-2</v>
      </c>
      <c r="BO48" s="89">
        <v>70.2</v>
      </c>
      <c r="BP48" s="96"/>
      <c r="BQ48" s="321">
        <v>313.27999999999997</v>
      </c>
      <c r="BR48" s="322"/>
    </row>
    <row r="49" spans="1:70">
      <c r="A49" s="240">
        <f t="shared" si="3"/>
        <v>45789</v>
      </c>
      <c r="B49" s="11">
        <f>YEAR(Input_Raw[[#This Row],[Date]])+IF(MONTH(Input_Raw[[#This Row],[Date]])&gt;=4,1,0)</f>
        <v>2026</v>
      </c>
      <c r="C49" s="11">
        <f>YEAR(Input_Raw[[#This Row],[Date]])</f>
        <v>2025</v>
      </c>
      <c r="D49" s="12">
        <f t="shared" si="10"/>
        <v>45778</v>
      </c>
      <c r="E49" s="11">
        <f>DAY(EOMONTH(Input_Raw[[#This Row],[Date]],0))</f>
        <v>31</v>
      </c>
      <c r="F49" s="323">
        <v>13179</v>
      </c>
      <c r="G49" s="323">
        <v>18885</v>
      </c>
      <c r="H49" s="323">
        <v>12004</v>
      </c>
      <c r="I49" s="323">
        <v>15005</v>
      </c>
      <c r="J49" s="323">
        <v>16569</v>
      </c>
      <c r="K49" s="323">
        <v>11228</v>
      </c>
      <c r="L49" s="323">
        <v>10674</v>
      </c>
      <c r="M49" s="323">
        <v>12686</v>
      </c>
      <c r="N49" s="323">
        <v>12783</v>
      </c>
      <c r="O49" s="323">
        <v>10350</v>
      </c>
      <c r="P49" s="323">
        <v>11071</v>
      </c>
      <c r="Q49" s="323">
        <v>9535</v>
      </c>
      <c r="R49" s="323">
        <v>10103</v>
      </c>
      <c r="S49" s="323">
        <v>11238</v>
      </c>
      <c r="T49" s="323">
        <v>11575</v>
      </c>
      <c r="U49" s="323">
        <v>10406</v>
      </c>
      <c r="V49" s="323">
        <v>12451</v>
      </c>
      <c r="W49" s="323">
        <v>11034</v>
      </c>
      <c r="X49" s="323">
        <v>9396</v>
      </c>
      <c r="Y49" s="323">
        <v>9383</v>
      </c>
      <c r="Z49" s="323">
        <v>9631</v>
      </c>
      <c r="AA49" s="323">
        <v>11832</v>
      </c>
      <c r="AB49" s="323">
        <v>12422</v>
      </c>
      <c r="AC49" s="324">
        <v>10435</v>
      </c>
      <c r="AD49" s="324">
        <v>17749</v>
      </c>
      <c r="AE49" s="324">
        <v>13322</v>
      </c>
      <c r="AF49" s="325">
        <v>5.2</v>
      </c>
      <c r="AG49" s="325">
        <v>5.56</v>
      </c>
      <c r="AH49" s="325">
        <v>4.87</v>
      </c>
      <c r="AI49" s="325">
        <v>5.29</v>
      </c>
      <c r="AJ49" s="325">
        <v>5.43</v>
      </c>
      <c r="AK49" s="325">
        <v>5.14</v>
      </c>
      <c r="AL49" s="325">
        <v>4.58</v>
      </c>
      <c r="AM49" s="325">
        <v>4.9000000000000004</v>
      </c>
      <c r="AN49" s="325">
        <v>4.99</v>
      </c>
      <c r="AO49" s="325">
        <v>4.59</v>
      </c>
      <c r="AP49" s="325">
        <v>4.8</v>
      </c>
      <c r="AQ49" s="325">
        <v>4.76</v>
      </c>
      <c r="AR49" s="325">
        <v>4.6100000000000003</v>
      </c>
      <c r="AS49" s="325">
        <v>4.79</v>
      </c>
      <c r="AT49" s="325">
        <v>4.8099999999999996</v>
      </c>
      <c r="AU49" s="325">
        <v>4.7300000000000004</v>
      </c>
      <c r="AV49" s="325">
        <v>5.14</v>
      </c>
      <c r="AW49" s="325">
        <v>4.8099999999999996</v>
      </c>
      <c r="AX49" s="325">
        <v>4.66</v>
      </c>
      <c r="AY49" s="325">
        <v>4.5599999999999996</v>
      </c>
      <c r="AZ49" s="325">
        <v>4.5999999999999996</v>
      </c>
      <c r="BA49" s="325">
        <v>5.18</v>
      </c>
      <c r="BB49" s="325">
        <v>4.91</v>
      </c>
      <c r="BC49" s="326">
        <v>4.6500000000000004</v>
      </c>
      <c r="BD49" s="326">
        <v>5.62</v>
      </c>
      <c r="BE49" s="326">
        <v>5</v>
      </c>
      <c r="BF49" s="327">
        <f>SUM(Input_Raw[[#This Row],[O2_01]:[O2_26]])</f>
        <v>314946</v>
      </c>
      <c r="BG49" s="328">
        <f>IFERROR(AVERAGE(Input_Raw[[#This Row],[WS_O2_01]:[WS_O2_26]]),"")</f>
        <v>4.9300000000000006</v>
      </c>
      <c r="BH49" s="329"/>
      <c r="BI49" s="329"/>
      <c r="BJ49" s="324">
        <v>306000</v>
      </c>
      <c r="BK49" s="324">
        <v>0</v>
      </c>
      <c r="BL49" s="330">
        <f>Input_Raw[[#This Row],[66 kV_Wind_F1_Export_reading]]-Input_Raw[[#This Row],[66 kV_Wind_F1_Import_reading]]</f>
        <v>306000</v>
      </c>
      <c r="BM49" s="331">
        <f>Input_Raw[[#This Row],[WTG Total Gneration (KWh)]]-Input_Raw[[#This Row],[66 kV_Wind_F1_Export_reading]]</f>
        <v>8946</v>
      </c>
      <c r="BN49" s="111">
        <f>(Input_Raw[[#This Row],[WTG Total Gneration (KWh)]]-Input_Raw[[#This Row],[66 kV_Wind_F1_Export_reading]])/Input_Raw[[#This Row],[WTG Total Gneration (KWh)]]</f>
        <v>2.8404869406183916E-2</v>
      </c>
      <c r="BO49" s="89">
        <v>70.2</v>
      </c>
      <c r="BP49" s="96"/>
      <c r="BQ49" s="332">
        <v>314.91000000000003</v>
      </c>
      <c r="BR49" s="333"/>
    </row>
    <row r="50" spans="1:70">
      <c r="A50" s="240">
        <f t="shared" si="3"/>
        <v>45790</v>
      </c>
      <c r="B50" s="11">
        <f>YEAR(Input_Raw[[#This Row],[Date]])+IF(MONTH(Input_Raw[[#This Row],[Date]])&gt;=4,1,0)</f>
        <v>2026</v>
      </c>
      <c r="C50" s="11">
        <f>YEAR(Input_Raw[[#This Row],[Date]])</f>
        <v>2025</v>
      </c>
      <c r="D50" s="12">
        <f t="shared" si="10"/>
        <v>45778</v>
      </c>
      <c r="E50" s="11">
        <f>DAY(EOMONTH(Input_Raw[[#This Row],[Date]],0))</f>
        <v>31</v>
      </c>
      <c r="F50" s="137">
        <v>15857</v>
      </c>
      <c r="G50" s="137">
        <v>18876</v>
      </c>
      <c r="H50" s="137">
        <v>15776</v>
      </c>
      <c r="I50" s="137">
        <v>17095</v>
      </c>
      <c r="J50" s="137">
        <v>17236</v>
      </c>
      <c r="K50" s="137">
        <v>17663</v>
      </c>
      <c r="L50" s="137">
        <v>12778</v>
      </c>
      <c r="M50" s="137">
        <v>15814</v>
      </c>
      <c r="N50" s="137">
        <v>16473</v>
      </c>
      <c r="O50" s="137">
        <v>13813</v>
      </c>
      <c r="P50" s="137">
        <v>14778</v>
      </c>
      <c r="Q50" s="137">
        <v>15300</v>
      </c>
      <c r="R50" s="137">
        <v>13332</v>
      </c>
      <c r="S50" s="137">
        <v>15553</v>
      </c>
      <c r="T50" s="137">
        <v>14487</v>
      </c>
      <c r="U50" s="137">
        <v>14790</v>
      </c>
      <c r="V50" s="137">
        <v>16970</v>
      </c>
      <c r="W50" s="137">
        <v>17995</v>
      </c>
      <c r="X50" s="137">
        <v>15025</v>
      </c>
      <c r="Y50" s="137">
        <v>15229</v>
      </c>
      <c r="Z50" s="137">
        <v>16195</v>
      </c>
      <c r="AA50" s="137">
        <v>18584</v>
      </c>
      <c r="AB50" s="137">
        <v>16842</v>
      </c>
      <c r="AC50" s="13">
        <v>15551</v>
      </c>
      <c r="AD50" s="13">
        <v>17764</v>
      </c>
      <c r="AE50" s="13">
        <v>15898</v>
      </c>
      <c r="AF50" s="138">
        <v>5.4114285839455469</v>
      </c>
      <c r="AG50" s="138">
        <v>5.4338888832264471</v>
      </c>
      <c r="AH50" s="138">
        <v>5.0700694703393507</v>
      </c>
      <c r="AI50" s="138">
        <v>5.3211805497606592</v>
      </c>
      <c r="AJ50" s="138">
        <v>5.3029166700111485</v>
      </c>
      <c r="AK50" s="138">
        <v>5.6258333341942883</v>
      </c>
      <c r="AL50" s="138">
        <v>4.8813333246442996</v>
      </c>
      <c r="AM50" s="138">
        <v>5.102499997450245</v>
      </c>
      <c r="AN50" s="138">
        <v>5.1879861114753609</v>
      </c>
      <c r="AO50" s="138">
        <v>4.8715277827448302</v>
      </c>
      <c r="AP50" s="138">
        <v>5.0689583246906587</v>
      </c>
      <c r="AQ50" s="138">
        <v>5.0838194646769086</v>
      </c>
      <c r="AR50" s="138">
        <v>4.9721527728769503</v>
      </c>
      <c r="AS50" s="138">
        <v>5.1481249862247038</v>
      </c>
      <c r="AT50" s="138">
        <v>5.0596527887715235</v>
      </c>
      <c r="AU50" s="138">
        <v>5.1416666756073619</v>
      </c>
      <c r="AV50" s="138">
        <v>5.5261110903488255</v>
      </c>
      <c r="AW50" s="138">
        <v>5.3896527803606453</v>
      </c>
      <c r="AX50" s="138">
        <v>5.0405555491646128</v>
      </c>
      <c r="AY50" s="138">
        <v>5.1537499932779198</v>
      </c>
      <c r="AZ50" s="138">
        <v>5.1898611320389625</v>
      </c>
      <c r="BA50" s="138">
        <v>5.8051389066709405</v>
      </c>
      <c r="BB50" s="138">
        <v>5.2140972134139787</v>
      </c>
      <c r="BC50" s="14">
        <v>5.1443750096691971</v>
      </c>
      <c r="BD50" s="14">
        <v>5.4789583616786528</v>
      </c>
      <c r="BE50" s="14">
        <v>5.1698611097203351</v>
      </c>
      <c r="BF50" s="139">
        <f>SUM(Input_Raw[[#This Row],[O2_01]:[O2_26]])</f>
        <v>415674</v>
      </c>
      <c r="BG50" s="140">
        <f>IFERROR(AVERAGE(Input_Raw[[#This Row],[WS_O2_01]:[WS_O2_26]]),"")</f>
        <v>5.2229000333455513</v>
      </c>
      <c r="BH50" s="141"/>
      <c r="BI50" s="141"/>
      <c r="BJ50" s="13">
        <v>400950</v>
      </c>
      <c r="BK50" s="13">
        <v>0</v>
      </c>
      <c r="BL50" s="15">
        <f>Input_Raw[[#This Row],[66 kV_Wind_F1_Export_reading]]-Input_Raw[[#This Row],[66 kV_Wind_F1_Import_reading]]</f>
        <v>400950</v>
      </c>
      <c r="BM50" s="142">
        <f>Input_Raw[[#This Row],[WTG Total Gneration (KWh)]]-Input_Raw[[#This Row],[66 kV_Wind_F1_Export_reading]]</f>
        <v>14724</v>
      </c>
      <c r="BN50" s="111">
        <f>(Input_Raw[[#This Row],[WTG Total Gneration (KWh)]]-Input_Raw[[#This Row],[66 kV_Wind_F1_Export_reading]])/Input_Raw[[#This Row],[WTG Total Gneration (KWh)]]</f>
        <v>3.5421989347421294E-2</v>
      </c>
      <c r="BO50" s="89">
        <v>70.2</v>
      </c>
      <c r="BP50" s="96"/>
      <c r="BQ50" s="135">
        <v>410.17</v>
      </c>
      <c r="BR50" s="207"/>
    </row>
    <row r="51" spans="1:70">
      <c r="A51" s="240">
        <f t="shared" si="3"/>
        <v>45791</v>
      </c>
      <c r="B51" s="11">
        <f>YEAR(Input_Raw[[#This Row],[Date]])+IF(MONTH(Input_Raw[[#This Row],[Date]])&gt;=4,1,0)</f>
        <v>2026</v>
      </c>
      <c r="C51" s="11">
        <f>YEAR(Input_Raw[[#This Row],[Date]])</f>
        <v>2025</v>
      </c>
      <c r="D51" s="12">
        <f t="shared" si="10"/>
        <v>45778</v>
      </c>
      <c r="E51" s="11">
        <f>DAY(EOMONTH(Input_Raw[[#This Row],[Date]],0))</f>
        <v>31</v>
      </c>
      <c r="F51" s="334">
        <v>16319</v>
      </c>
      <c r="G51" s="334">
        <v>18583</v>
      </c>
      <c r="H51" s="334">
        <v>14080</v>
      </c>
      <c r="I51" s="334">
        <v>17417</v>
      </c>
      <c r="J51" s="334">
        <v>15099</v>
      </c>
      <c r="K51" s="334">
        <v>17720</v>
      </c>
      <c r="L51" s="334">
        <v>11697</v>
      </c>
      <c r="M51" s="334">
        <v>15283</v>
      </c>
      <c r="N51" s="334">
        <v>15322</v>
      </c>
      <c r="O51" s="334">
        <v>15415</v>
      </c>
      <c r="P51" s="334">
        <v>14181</v>
      </c>
      <c r="Q51" s="334">
        <v>15302</v>
      </c>
      <c r="R51" s="334">
        <v>13452</v>
      </c>
      <c r="S51" s="334">
        <v>14700</v>
      </c>
      <c r="T51" s="334">
        <v>15173</v>
      </c>
      <c r="U51" s="334">
        <v>15303</v>
      </c>
      <c r="V51" s="334">
        <v>18475</v>
      </c>
      <c r="W51" s="334">
        <v>17089</v>
      </c>
      <c r="X51" s="334">
        <v>16326</v>
      </c>
      <c r="Y51" s="334">
        <v>15624</v>
      </c>
      <c r="Z51" s="334">
        <v>16085</v>
      </c>
      <c r="AA51" s="334">
        <v>19544</v>
      </c>
      <c r="AB51" s="334">
        <v>14410</v>
      </c>
      <c r="AC51" s="335">
        <v>16242</v>
      </c>
      <c r="AD51" s="335">
        <v>16100</v>
      </c>
      <c r="AE51" s="335">
        <v>15454</v>
      </c>
      <c r="AF51" s="336">
        <v>5.0697222265104447</v>
      </c>
      <c r="AG51" s="336">
        <v>5.2796527701947404</v>
      </c>
      <c r="AH51" s="336">
        <v>5.0058333228031771</v>
      </c>
      <c r="AI51" s="336">
        <v>5.2352083424727116</v>
      </c>
      <c r="AJ51" s="336">
        <v>5.3366666841838075</v>
      </c>
      <c r="AK51" s="336">
        <v>5.4969444332851287</v>
      </c>
      <c r="AL51" s="336">
        <v>4.6087407412352377</v>
      </c>
      <c r="AM51" s="336">
        <v>4.9868055598603336</v>
      </c>
      <c r="AN51" s="336">
        <v>5.0220833408335821</v>
      </c>
      <c r="AO51" s="336">
        <v>5.1212499849498263</v>
      </c>
      <c r="AP51" s="336">
        <v>4.9609722122549984</v>
      </c>
      <c r="AQ51" s="336">
        <v>5.0131250172853434</v>
      </c>
      <c r="AR51" s="336">
        <v>4.8337500062253715</v>
      </c>
      <c r="AS51" s="336">
        <v>5.0288194426231909</v>
      </c>
      <c r="AT51" s="336">
        <v>5.0727777878443394</v>
      </c>
      <c r="AU51" s="336">
        <v>5.1334722331828528</v>
      </c>
      <c r="AV51" s="336">
        <v>5.5704861175682785</v>
      </c>
      <c r="AW51" s="336">
        <v>5.2768750050001643</v>
      </c>
      <c r="AX51" s="336">
        <v>5.0336805486844645</v>
      </c>
      <c r="AY51" s="336">
        <v>5.0945138848490181</v>
      </c>
      <c r="AZ51" s="336">
        <v>5.1834722244077245</v>
      </c>
      <c r="BA51" s="336">
        <v>5.7272222141424809</v>
      </c>
      <c r="BB51" s="336">
        <v>5.0188732184994356</v>
      </c>
      <c r="BC51" s="337">
        <v>5.0988194222251568</v>
      </c>
      <c r="BD51" s="337">
        <v>5.3312499945362397</v>
      </c>
      <c r="BE51" s="337">
        <v>5.0004861218233891</v>
      </c>
      <c r="BF51" s="338">
        <f>SUM(Input_Raw[[#This Row],[O2_01]:[O2_26]])</f>
        <v>410395</v>
      </c>
      <c r="BG51" s="339">
        <f>IFERROR(AVERAGE(Input_Raw[[#This Row],[WS_O2_01]:[WS_O2_26]]),"")</f>
        <v>5.1362116483646725</v>
      </c>
      <c r="BH51" s="340"/>
      <c r="BI51" s="340"/>
      <c r="BJ51" s="335">
        <v>396450</v>
      </c>
      <c r="BK51" s="335">
        <v>450</v>
      </c>
      <c r="BL51" s="341">
        <f>Input_Raw[[#This Row],[66 kV_Wind_F1_Export_reading]]-Input_Raw[[#This Row],[66 kV_Wind_F1_Import_reading]]</f>
        <v>396000</v>
      </c>
      <c r="BM51" s="342">
        <f>Input_Raw[[#This Row],[WTG Total Gneration (KWh)]]-Input_Raw[[#This Row],[66 kV_Wind_F1_Export_reading]]</f>
        <v>13945</v>
      </c>
      <c r="BN51" s="111">
        <f>(Input_Raw[[#This Row],[WTG Total Gneration (KWh)]]-Input_Raw[[#This Row],[66 kV_Wind_F1_Export_reading]])/Input_Raw[[#This Row],[WTG Total Gneration (KWh)]]</f>
        <v>3.3979458814069372E-2</v>
      </c>
      <c r="BO51" s="89">
        <v>70.2</v>
      </c>
      <c r="BP51" s="96"/>
      <c r="BQ51" s="343">
        <v>415.16</v>
      </c>
      <c r="BR51" s="344"/>
    </row>
    <row r="52" spans="1:70">
      <c r="A52" s="240">
        <f t="shared" si="3"/>
        <v>45792</v>
      </c>
      <c r="B52" s="11">
        <f>YEAR(Input_Raw[[#This Row],[Date]])+IF(MONTH(Input_Raw[[#This Row],[Date]])&gt;=4,1,0)</f>
        <v>2026</v>
      </c>
      <c r="C52" s="11">
        <f>YEAR(Input_Raw[[#This Row],[Date]])</f>
        <v>2025</v>
      </c>
      <c r="D52" s="12">
        <f t="shared" si="10"/>
        <v>45778</v>
      </c>
      <c r="E52" s="11">
        <f>DAY(EOMONTH(Input_Raw[[#This Row],[Date]],0))</f>
        <v>31</v>
      </c>
      <c r="F52" s="137">
        <v>10977</v>
      </c>
      <c r="G52" s="137">
        <v>13755</v>
      </c>
      <c r="H52" s="137">
        <v>10870</v>
      </c>
      <c r="I52" s="137">
        <v>10727</v>
      </c>
      <c r="J52" s="137">
        <v>12109</v>
      </c>
      <c r="K52" s="137">
        <v>10080</v>
      </c>
      <c r="L52" s="137">
        <v>3143</v>
      </c>
      <c r="M52" s="137">
        <v>9579</v>
      </c>
      <c r="N52" s="137">
        <v>10970</v>
      </c>
      <c r="O52" s="137">
        <v>9261</v>
      </c>
      <c r="P52" s="137">
        <v>9679</v>
      </c>
      <c r="Q52" s="137">
        <v>10295</v>
      </c>
      <c r="R52" s="137">
        <v>9066</v>
      </c>
      <c r="S52" s="137">
        <v>10110</v>
      </c>
      <c r="T52" s="137">
        <v>10258</v>
      </c>
      <c r="U52" s="137">
        <v>9560</v>
      </c>
      <c r="V52" s="137">
        <v>7809</v>
      </c>
      <c r="W52" s="137">
        <v>9672</v>
      </c>
      <c r="X52" s="137">
        <v>9583</v>
      </c>
      <c r="Y52" s="137">
        <v>8813</v>
      </c>
      <c r="Z52" s="137">
        <v>8783</v>
      </c>
      <c r="AA52" s="137">
        <v>9938</v>
      </c>
      <c r="AB52" s="137">
        <v>8838</v>
      </c>
      <c r="AC52" s="13">
        <v>9045</v>
      </c>
      <c r="AD52" s="13">
        <v>14292</v>
      </c>
      <c r="AE52" s="13">
        <v>11056</v>
      </c>
      <c r="AF52" s="138">
        <v>4.6133333262470027</v>
      </c>
      <c r="AG52" s="138">
        <v>4.6856944494777251</v>
      </c>
      <c r="AH52" s="138">
        <v>4.575069420039652</v>
      </c>
      <c r="AI52" s="138">
        <v>4.4538405839947677</v>
      </c>
      <c r="AJ52" s="138">
        <v>4.758741268328019</v>
      </c>
      <c r="AK52" s="138">
        <v>4.681071439811161</v>
      </c>
      <c r="AL52" s="138">
        <v>4.0415872974055143</v>
      </c>
      <c r="AM52" s="138">
        <v>4.3451388722492581</v>
      </c>
      <c r="AN52" s="138">
        <v>4.6019444349739276</v>
      </c>
      <c r="AO52" s="138">
        <v>4.4359027635720034</v>
      </c>
      <c r="AP52" s="138">
        <v>4.4327083354194947</v>
      </c>
      <c r="AQ52" s="138">
        <v>4.5008333217766534</v>
      </c>
      <c r="AR52" s="138">
        <v>4.2769444460670147</v>
      </c>
      <c r="AS52" s="138">
        <v>4.5787500060266915</v>
      </c>
      <c r="AT52" s="138">
        <v>4.5176388869682933</v>
      </c>
      <c r="AU52" s="138">
        <v>4.4710000216960895</v>
      </c>
      <c r="AV52" s="138">
        <v>4.5254918043730683</v>
      </c>
      <c r="AW52" s="138">
        <v>4.4989130306934948</v>
      </c>
      <c r="AX52" s="138">
        <v>4.3185507391673923</v>
      </c>
      <c r="AY52" s="138">
        <v>4.4651428380182807</v>
      </c>
      <c r="AZ52" s="138">
        <v>4.3517985651604558</v>
      </c>
      <c r="BA52" s="138">
        <v>4.825619827617297</v>
      </c>
      <c r="BB52" s="138">
        <v>4.4763889051973802</v>
      </c>
      <c r="BC52" s="14">
        <v>4.3887142905167167</v>
      </c>
      <c r="BD52" s="14">
        <v>4.8763194456696484</v>
      </c>
      <c r="BE52" s="14">
        <v>4.4815972298383704</v>
      </c>
      <c r="BF52" s="139">
        <f>SUM(Input_Raw[[#This Row],[O2_01]:[O2_26]])</f>
        <v>258268</v>
      </c>
      <c r="BG52" s="140">
        <f>IFERROR(AVERAGE(Input_Raw[[#This Row],[WS_O2_01]:[WS_O2_26]]),"")</f>
        <v>4.5068744442425146</v>
      </c>
      <c r="BH52" s="141"/>
      <c r="BI52" s="141"/>
      <c r="BJ52" s="13">
        <v>248850</v>
      </c>
      <c r="BK52" s="13">
        <v>450</v>
      </c>
      <c r="BL52" s="15">
        <f>Input_Raw[[#This Row],[66 kV_Wind_F1_Export_reading]]-Input_Raw[[#This Row],[66 kV_Wind_F1_Import_reading]]</f>
        <v>248400</v>
      </c>
      <c r="BM52" s="142">
        <f>Input_Raw[[#This Row],[WTG Total Gneration (KWh)]]-Input_Raw[[#This Row],[66 kV_Wind_F1_Export_reading]]</f>
        <v>9418</v>
      </c>
      <c r="BN52" s="111">
        <f>(Input_Raw[[#This Row],[WTG Total Gneration (KWh)]]-Input_Raw[[#This Row],[66 kV_Wind_F1_Export_reading]])/Input_Raw[[#This Row],[WTG Total Gneration (KWh)]]</f>
        <v>3.6465996561711088E-2</v>
      </c>
      <c r="BO52" s="89">
        <v>70.2</v>
      </c>
      <c r="BP52" s="96"/>
      <c r="BQ52" s="135">
        <v>270.48</v>
      </c>
      <c r="BR52" s="207"/>
    </row>
    <row r="53" spans="1:70">
      <c r="A53" s="240">
        <f t="shared" si="3"/>
        <v>45793</v>
      </c>
      <c r="B53" s="11">
        <f>YEAR(Input_Raw[[#This Row],[Date]])+IF(MONTH(Input_Raw[[#This Row],[Date]])&gt;=4,1,0)</f>
        <v>2026</v>
      </c>
      <c r="C53" s="11">
        <f>YEAR(Input_Raw[[#This Row],[Date]])</f>
        <v>2025</v>
      </c>
      <c r="D53" s="12">
        <f t="shared" ref="D53:D58" si="11">A53-DAY(A53)+1</f>
        <v>45778</v>
      </c>
      <c r="E53" s="11">
        <f>DAY(EOMONTH(Input_Raw[[#This Row],[Date]],0))</f>
        <v>31</v>
      </c>
      <c r="F53" s="137">
        <v>15323</v>
      </c>
      <c r="G53" s="137">
        <v>18473</v>
      </c>
      <c r="H53" s="137">
        <v>17202</v>
      </c>
      <c r="I53" s="137">
        <v>13328</v>
      </c>
      <c r="J53" s="137">
        <v>17636</v>
      </c>
      <c r="K53" s="137">
        <v>15436</v>
      </c>
      <c r="L53" s="137">
        <v>0</v>
      </c>
      <c r="M53" s="137">
        <v>17474</v>
      </c>
      <c r="N53" s="137">
        <v>4818</v>
      </c>
      <c r="O53" s="137">
        <v>15439</v>
      </c>
      <c r="P53" s="137">
        <v>17201</v>
      </c>
      <c r="Q53" s="137">
        <v>16669</v>
      </c>
      <c r="R53" s="137">
        <v>15204</v>
      </c>
      <c r="S53" s="137">
        <v>17755</v>
      </c>
      <c r="T53" s="137">
        <v>16720</v>
      </c>
      <c r="U53" s="137">
        <v>13381</v>
      </c>
      <c r="V53" s="137">
        <v>17700</v>
      </c>
      <c r="W53" s="137">
        <v>16087</v>
      </c>
      <c r="X53" s="137">
        <v>17687</v>
      </c>
      <c r="Y53" s="137">
        <v>13373</v>
      </c>
      <c r="Z53" s="137">
        <v>16523</v>
      </c>
      <c r="AA53" s="137">
        <v>14989</v>
      </c>
      <c r="AB53" s="137">
        <v>15167</v>
      </c>
      <c r="AC53" s="13">
        <v>15031</v>
      </c>
      <c r="AD53" s="13">
        <v>17672</v>
      </c>
      <c r="AE53" s="13">
        <v>17902</v>
      </c>
      <c r="AF53" s="138">
        <v>5.5061111102501537</v>
      </c>
      <c r="AG53" s="138">
        <v>5.6145138815045348</v>
      </c>
      <c r="AH53" s="138">
        <v>5.4803472177849839</v>
      </c>
      <c r="AI53" s="138">
        <v>5.2666406128555527</v>
      </c>
      <c r="AJ53" s="138">
        <v>5.6365972277190934</v>
      </c>
      <c r="AK53" s="138">
        <v>5.5566911697387686</v>
      </c>
      <c r="AL53" s="138">
        <v>5.2728571460715354</v>
      </c>
      <c r="AM53" s="138">
        <v>5.519027789433796</v>
      </c>
      <c r="AN53" s="138">
        <v>5.3178472311960316</v>
      </c>
      <c r="AO53" s="138">
        <v>5.2530555592642871</v>
      </c>
      <c r="AP53" s="138">
        <v>5.5726388767361623</v>
      </c>
      <c r="AQ53" s="138">
        <v>5.5027083307504645</v>
      </c>
      <c r="AR53" s="138">
        <v>5.3639583455191691</v>
      </c>
      <c r="AS53" s="138">
        <v>5.5334027922815743</v>
      </c>
      <c r="AT53" s="138">
        <v>5.3434722009632312</v>
      </c>
      <c r="AU53" s="138">
        <v>5.2425735154572637</v>
      </c>
      <c r="AV53" s="138">
        <v>5.9712307975842398</v>
      </c>
      <c r="AW53" s="138">
        <v>5.4458955206088158</v>
      </c>
      <c r="AX53" s="138">
        <v>5.6101562511175862</v>
      </c>
      <c r="AY53" s="138">
        <v>5.2697761241179784</v>
      </c>
      <c r="AZ53" s="138">
        <v>5.4585925691657584</v>
      </c>
      <c r="BA53" s="138">
        <v>5.5387692180390529</v>
      </c>
      <c r="BB53" s="138">
        <v>5.2906249827808791</v>
      </c>
      <c r="BC53" s="14">
        <v>5.3910218925371645</v>
      </c>
      <c r="BD53" s="14">
        <v>5.625486104852623</v>
      </c>
      <c r="BE53" s="14">
        <v>5.5839583261145451</v>
      </c>
      <c r="BF53" s="139">
        <f>SUM(Input_Raw[[#This Row],[O2_01]:[O2_26]])</f>
        <v>394190</v>
      </c>
      <c r="BG53" s="140">
        <f>IFERROR(AVERAGE(Input_Raw[[#This Row],[WS_O2_01]:[WS_O2_26]]),"")</f>
        <v>5.4679982613248184</v>
      </c>
      <c r="BH53" s="141"/>
      <c r="BI53" s="141"/>
      <c r="BJ53" s="13">
        <v>380700</v>
      </c>
      <c r="BK53" s="13">
        <v>0</v>
      </c>
      <c r="BL53" s="15">
        <f>Input_Raw[[#This Row],[66 kV_Wind_F1_Export_reading]]-Input_Raw[[#This Row],[66 kV_Wind_F1_Import_reading]]</f>
        <v>380700</v>
      </c>
      <c r="BM53" s="142">
        <f>Input_Raw[[#This Row],[WTG Total Gneration (KWh)]]-Input_Raw[[#This Row],[66 kV_Wind_F1_Export_reading]]</f>
        <v>13490</v>
      </c>
      <c r="BN53" s="111">
        <f>(Input_Raw[[#This Row],[WTG Total Gneration (KWh)]]-Input_Raw[[#This Row],[66 kV_Wind_F1_Export_reading]])/Input_Raw[[#This Row],[WTG Total Gneration (KWh)]]</f>
        <v>3.4222075648798804E-2</v>
      </c>
      <c r="BO53" s="89">
        <v>70.2</v>
      </c>
      <c r="BP53" s="96"/>
      <c r="BQ53" s="135">
        <v>429.76</v>
      </c>
      <c r="BR53" s="207"/>
    </row>
    <row r="54" spans="1:70">
      <c r="A54" s="240">
        <f t="shared" si="3"/>
        <v>45794</v>
      </c>
      <c r="B54" s="11">
        <f>YEAR(Input_Raw[[#This Row],[Date]])+IF(MONTH(Input_Raw[[#This Row],[Date]])&gt;=4,1,0)</f>
        <v>2026</v>
      </c>
      <c r="C54" s="11">
        <f>YEAR(Input_Raw[[#This Row],[Date]])</f>
        <v>2025</v>
      </c>
      <c r="D54" s="12">
        <f t="shared" si="11"/>
        <v>45778</v>
      </c>
      <c r="E54" s="11">
        <f>DAY(EOMONTH(Input_Raw[[#This Row],[Date]],0))</f>
        <v>31</v>
      </c>
      <c r="F54" s="137">
        <v>12936</v>
      </c>
      <c r="G54" s="137">
        <v>13841</v>
      </c>
      <c r="H54" s="137">
        <v>13636</v>
      </c>
      <c r="I54" s="137">
        <v>14208</v>
      </c>
      <c r="J54" s="137">
        <v>13981</v>
      </c>
      <c r="K54" s="137">
        <v>15568</v>
      </c>
      <c r="L54" s="137">
        <v>6613</v>
      </c>
      <c r="M54" s="137">
        <v>13646</v>
      </c>
      <c r="N54" s="137">
        <v>0</v>
      </c>
      <c r="O54" s="137">
        <v>12377</v>
      </c>
      <c r="P54" s="137">
        <v>12651</v>
      </c>
      <c r="Q54" s="137">
        <v>12234</v>
      </c>
      <c r="R54" s="137">
        <v>12639</v>
      </c>
      <c r="S54" s="137">
        <v>13588</v>
      </c>
      <c r="T54" s="137">
        <v>11589</v>
      </c>
      <c r="U54" s="137">
        <v>13521</v>
      </c>
      <c r="V54" s="137">
        <v>16123</v>
      </c>
      <c r="W54" s="137">
        <v>16373</v>
      </c>
      <c r="X54" s="137">
        <v>16562</v>
      </c>
      <c r="Y54" s="137">
        <v>14646</v>
      </c>
      <c r="Z54" s="137">
        <v>15887</v>
      </c>
      <c r="AA54" s="137">
        <v>15871</v>
      </c>
      <c r="AB54" s="137">
        <v>12728</v>
      </c>
      <c r="AC54" s="13">
        <v>14583</v>
      </c>
      <c r="AD54" s="13">
        <v>14600</v>
      </c>
      <c r="AE54" s="13">
        <v>12529</v>
      </c>
      <c r="AF54" s="138">
        <v>4.9874305882387686</v>
      </c>
      <c r="AG54" s="138">
        <v>5.0358333239952717</v>
      </c>
      <c r="AH54" s="138">
        <v>5.0377083304855539</v>
      </c>
      <c r="AI54" s="138">
        <v>5.0834964980612254</v>
      </c>
      <c r="AJ54" s="138">
        <v>5.1158333321412393</v>
      </c>
      <c r="AK54" s="138">
        <v>5.5332167732132058</v>
      </c>
      <c r="AL54" s="138">
        <v>5.1147142814738409</v>
      </c>
      <c r="AM54" s="138">
        <v>5.0207638889551154</v>
      </c>
      <c r="AN54" s="138">
        <v>5.0653472145398446</v>
      </c>
      <c r="AO54" s="138">
        <v>4.975763887166976</v>
      </c>
      <c r="AP54" s="138">
        <v>5.0732638951804887</v>
      </c>
      <c r="AQ54" s="138">
        <v>4.9411111242241326</v>
      </c>
      <c r="AR54" s="138">
        <v>5.0441666791836415</v>
      </c>
      <c r="AS54" s="138">
        <v>5.1525000035762778</v>
      </c>
      <c r="AT54" s="138">
        <v>4.9207638651132575</v>
      </c>
      <c r="AU54" s="138">
        <v>5.1011888063870927</v>
      </c>
      <c r="AV54" s="138">
        <v>5.6313286811321754</v>
      </c>
      <c r="AW54" s="138">
        <v>5.4148251735247088</v>
      </c>
      <c r="AX54" s="138">
        <v>5.4193706433256184</v>
      </c>
      <c r="AY54" s="138">
        <v>5.2999999998332727</v>
      </c>
      <c r="AZ54" s="138">
        <v>5.4233802708101937</v>
      </c>
      <c r="BA54" s="138">
        <v>5.629790209390066</v>
      </c>
      <c r="BB54" s="138">
        <v>4.9781249960263558</v>
      </c>
      <c r="BC54" s="14">
        <v>5.2519580313375771</v>
      </c>
      <c r="BD54" s="14">
        <v>5.1213194479544946</v>
      </c>
      <c r="BE54" s="14">
        <v>4.916041666434869</v>
      </c>
      <c r="BF54" s="139">
        <f>SUM(Input_Raw[[#This Row],[O2_01]:[O2_26]])</f>
        <v>342930</v>
      </c>
      <c r="BG54" s="140">
        <f>IFERROR(AVERAGE(Input_Raw[[#This Row],[WS_O2_01]:[WS_O2_26]]),"")</f>
        <v>5.164970831219434</v>
      </c>
      <c r="BH54" s="141"/>
      <c r="BI54" s="141"/>
      <c r="BJ54" s="13">
        <v>332550</v>
      </c>
      <c r="BK54" s="13">
        <v>0</v>
      </c>
      <c r="BL54" s="15">
        <f>Input_Raw[[#This Row],[66 kV_Wind_F1_Export_reading]]-Input_Raw[[#This Row],[66 kV_Wind_F1_Import_reading]]</f>
        <v>332550</v>
      </c>
      <c r="BM54" s="142">
        <f>Input_Raw[[#This Row],[WTG Total Gneration (KWh)]]-Input_Raw[[#This Row],[66 kV_Wind_F1_Export_reading]]</f>
        <v>10380</v>
      </c>
      <c r="BN54" s="111">
        <f>(Input_Raw[[#This Row],[WTG Total Gneration (KWh)]]-Input_Raw[[#This Row],[66 kV_Wind_F1_Export_reading]])/Input_Raw[[#This Row],[WTG Total Gneration (KWh)]]</f>
        <v>3.026856792931502E-2</v>
      </c>
      <c r="BO54" s="89">
        <v>70.2</v>
      </c>
      <c r="BP54" s="96"/>
      <c r="BQ54" s="135">
        <v>357.08</v>
      </c>
      <c r="BR54" s="207"/>
    </row>
    <row r="55" spans="1:70">
      <c r="A55" s="240">
        <f t="shared" si="3"/>
        <v>45795</v>
      </c>
      <c r="B55" s="11">
        <f>YEAR(Input_Raw[[#This Row],[Date]])+IF(MONTH(Input_Raw[[#This Row],[Date]])&gt;=4,1,0)</f>
        <v>2026</v>
      </c>
      <c r="C55" s="11">
        <f>YEAR(Input_Raw[[#This Row],[Date]])</f>
        <v>2025</v>
      </c>
      <c r="D55" s="12">
        <f t="shared" si="11"/>
        <v>45778</v>
      </c>
      <c r="E55" s="11">
        <f>DAY(EOMONTH(Input_Raw[[#This Row],[Date]],0))</f>
        <v>31</v>
      </c>
      <c r="F55" s="137">
        <v>11946</v>
      </c>
      <c r="G55" s="137">
        <v>13720</v>
      </c>
      <c r="H55" s="137">
        <v>12694</v>
      </c>
      <c r="I55" s="137">
        <v>13552</v>
      </c>
      <c r="J55" s="137">
        <v>13489</v>
      </c>
      <c r="K55" s="137">
        <v>14126</v>
      </c>
      <c r="L55" s="137">
        <v>12289</v>
      </c>
      <c r="M55" s="137">
        <v>12152</v>
      </c>
      <c r="N55" s="137">
        <v>10459</v>
      </c>
      <c r="O55" s="137">
        <v>13272</v>
      </c>
      <c r="P55" s="137">
        <v>12398</v>
      </c>
      <c r="Q55" s="137">
        <v>12617</v>
      </c>
      <c r="R55" s="137">
        <v>11059</v>
      </c>
      <c r="S55" s="137">
        <v>11662</v>
      </c>
      <c r="T55" s="137">
        <v>11511</v>
      </c>
      <c r="U55" s="137">
        <v>13018</v>
      </c>
      <c r="V55" s="137">
        <v>14762</v>
      </c>
      <c r="W55" s="137">
        <v>14428</v>
      </c>
      <c r="X55" s="137">
        <v>14526</v>
      </c>
      <c r="Y55" s="137">
        <v>11805</v>
      </c>
      <c r="Z55" s="137">
        <v>13482</v>
      </c>
      <c r="AA55" s="137">
        <v>13318</v>
      </c>
      <c r="AB55" s="137">
        <v>12401</v>
      </c>
      <c r="AC55" s="13">
        <v>13791</v>
      </c>
      <c r="AD55" s="13">
        <v>14092</v>
      </c>
      <c r="AE55" s="13">
        <v>12416</v>
      </c>
      <c r="AF55" s="138">
        <v>5.046423375606536</v>
      </c>
      <c r="AG55" s="138">
        <v>5.1148175182786293</v>
      </c>
      <c r="AH55" s="138">
        <v>5.0214598603057157</v>
      </c>
      <c r="AI55" s="138">
        <v>4.9959722368253594</v>
      </c>
      <c r="AJ55" s="138">
        <v>5.163941613078987</v>
      </c>
      <c r="AK55" s="138">
        <v>5.3815972175863047</v>
      </c>
      <c r="AL55" s="138">
        <v>4.9450694546103469</v>
      </c>
      <c r="AM55" s="138">
        <v>4.9597810311038995</v>
      </c>
      <c r="AN55" s="138">
        <v>5.1681022121958478</v>
      </c>
      <c r="AO55" s="138">
        <v>5.1108029306369964</v>
      </c>
      <c r="AP55" s="138">
        <v>5.0664963498167728</v>
      </c>
      <c r="AQ55" s="138">
        <v>5.0717518279587255</v>
      </c>
      <c r="AR55" s="138">
        <v>4.9144525412660425</v>
      </c>
      <c r="AS55" s="138">
        <v>4.9746715426444998</v>
      </c>
      <c r="AT55" s="138">
        <v>4.8934558851315684</v>
      </c>
      <c r="AU55" s="138">
        <v>5.0484027663866673</v>
      </c>
      <c r="AV55" s="138">
        <v>5.4293055683374396</v>
      </c>
      <c r="AW55" s="138">
        <v>5.2306944529215489</v>
      </c>
      <c r="AX55" s="138">
        <v>5.1164583381679316</v>
      </c>
      <c r="AY55" s="138">
        <v>4.9770138818356715</v>
      </c>
      <c r="AZ55" s="138">
        <v>5.048680532309743</v>
      </c>
      <c r="BA55" s="138">
        <v>5.3207638925976219</v>
      </c>
      <c r="BB55" s="138">
        <v>4.9559854195065727</v>
      </c>
      <c r="BC55" s="14">
        <v>5.1420833402209798</v>
      </c>
      <c r="BD55" s="14">
        <v>5.1713868473133022</v>
      </c>
      <c r="BE55" s="14">
        <v>4.9966423363581178</v>
      </c>
      <c r="BF55" s="139">
        <f>SUM(Input_Raw[[#This Row],[O2_01]:[O2_26]])</f>
        <v>334985</v>
      </c>
      <c r="BG55" s="140">
        <f>IFERROR(AVERAGE(Input_Raw[[#This Row],[WS_O2_01]:[WS_O2_26]]),"")</f>
        <v>5.0871620374231474</v>
      </c>
      <c r="BH55" s="141"/>
      <c r="BI55" s="141"/>
      <c r="BJ55" s="13">
        <v>324900</v>
      </c>
      <c r="BK55" s="13">
        <v>0</v>
      </c>
      <c r="BL55" s="15">
        <f>Input_Raw[[#This Row],[66 kV_Wind_F1_Export_reading]]-Input_Raw[[#This Row],[66 kV_Wind_F1_Import_reading]]</f>
        <v>324900</v>
      </c>
      <c r="BM55" s="142">
        <f>Input_Raw[[#This Row],[WTG Total Gneration (KWh)]]-Input_Raw[[#This Row],[66 kV_Wind_F1_Export_reading]]</f>
        <v>10085</v>
      </c>
      <c r="BN55" s="111">
        <f>(Input_Raw[[#This Row],[WTG Total Gneration (KWh)]]-Input_Raw[[#This Row],[66 kV_Wind_F1_Export_reading]])/Input_Raw[[#This Row],[WTG Total Gneration (KWh)]]</f>
        <v>3.0105825633983611E-2</v>
      </c>
      <c r="BO55" s="89">
        <v>70.2</v>
      </c>
      <c r="BP55" s="96"/>
      <c r="BQ55" s="135">
        <v>337.37</v>
      </c>
      <c r="BR55" s="207"/>
    </row>
    <row r="56" spans="1:70">
      <c r="A56" s="240">
        <f t="shared" si="3"/>
        <v>45796</v>
      </c>
      <c r="B56" s="11">
        <f>YEAR(Input_Raw[[#This Row],[Date]])+IF(MONTH(Input_Raw[[#This Row],[Date]])&gt;=4,1,0)</f>
        <v>2026</v>
      </c>
      <c r="C56" s="11">
        <f>YEAR(Input_Raw[[#This Row],[Date]])</f>
        <v>2025</v>
      </c>
      <c r="D56" s="12">
        <f t="shared" si="11"/>
        <v>45778</v>
      </c>
      <c r="E56" s="11">
        <f>DAY(EOMONTH(Input_Raw[[#This Row],[Date]],0))</f>
        <v>31</v>
      </c>
      <c r="F56" s="137">
        <v>15558</v>
      </c>
      <c r="G56" s="137">
        <v>18002</v>
      </c>
      <c r="H56" s="137">
        <v>13334</v>
      </c>
      <c r="I56" s="137">
        <v>16163</v>
      </c>
      <c r="J56" s="137">
        <v>16621</v>
      </c>
      <c r="K56" s="137">
        <v>15698</v>
      </c>
      <c r="L56" s="137">
        <v>15577</v>
      </c>
      <c r="M56" s="137">
        <v>13643</v>
      </c>
      <c r="N56" s="137">
        <v>15728</v>
      </c>
      <c r="O56" s="137">
        <v>14496</v>
      </c>
      <c r="P56" s="137">
        <v>12657</v>
      </c>
      <c r="Q56" s="137">
        <v>13600</v>
      </c>
      <c r="R56" s="137">
        <v>13181</v>
      </c>
      <c r="S56" s="137">
        <v>14141</v>
      </c>
      <c r="T56" s="137">
        <v>13808</v>
      </c>
      <c r="U56" s="137">
        <v>14766</v>
      </c>
      <c r="V56" s="137">
        <v>16170</v>
      </c>
      <c r="W56" s="137">
        <v>16444</v>
      </c>
      <c r="X56" s="137">
        <v>15562</v>
      </c>
      <c r="Y56" s="137">
        <v>13464</v>
      </c>
      <c r="Z56" s="137">
        <v>14918</v>
      </c>
      <c r="AA56" s="137">
        <v>15617</v>
      </c>
      <c r="AB56" s="137">
        <v>14305</v>
      </c>
      <c r="AC56" s="13">
        <v>14413</v>
      </c>
      <c r="AD56" s="13">
        <v>18378</v>
      </c>
      <c r="AE56" s="13">
        <v>14378</v>
      </c>
      <c r="AF56" s="138">
        <v>5.2353472304013033</v>
      </c>
      <c r="AG56" s="138">
        <v>5.3891666647460719</v>
      </c>
      <c r="AH56" s="138">
        <v>4.9309722454183627</v>
      </c>
      <c r="AI56" s="138">
        <v>5.1550694422589398</v>
      </c>
      <c r="AJ56" s="138">
        <v>5.3842361263102951</v>
      </c>
      <c r="AK56" s="138">
        <v>5.4276388908425961</v>
      </c>
      <c r="AL56" s="138">
        <v>5.1707638924320527</v>
      </c>
      <c r="AM56" s="138">
        <v>4.8987500137752953</v>
      </c>
      <c r="AN56" s="138">
        <v>5.2003472207321053</v>
      </c>
      <c r="AO56" s="138">
        <v>5.0985416463679734</v>
      </c>
      <c r="AP56" s="138">
        <v>4.9034027904272071</v>
      </c>
      <c r="AQ56" s="138">
        <v>4.9524305611848822</v>
      </c>
      <c r="AR56" s="138">
        <v>4.9085416818658496</v>
      </c>
      <c r="AS56" s="138">
        <v>5.075347203347417</v>
      </c>
      <c r="AT56" s="138">
        <v>4.9822222342093774</v>
      </c>
      <c r="AU56" s="138">
        <v>5.2070833428038483</v>
      </c>
      <c r="AV56" s="138">
        <v>5.5333333197567178</v>
      </c>
      <c r="AW56" s="138">
        <v>5.2872916708389912</v>
      </c>
      <c r="AX56" s="138">
        <v>5.1227777798970529</v>
      </c>
      <c r="AY56" s="138">
        <v>4.9800694468948556</v>
      </c>
      <c r="AZ56" s="138">
        <v>5.1851388836900387</v>
      </c>
      <c r="BA56" s="138">
        <v>5.3824305652330313</v>
      </c>
      <c r="BB56" s="138">
        <v>5.0475694545441199</v>
      </c>
      <c r="BC56" s="14">
        <v>5.0415972065594454</v>
      </c>
      <c r="BD56" s="14">
        <v>5.4907638927300759</v>
      </c>
      <c r="BE56" s="14">
        <v>5.0734722167253485</v>
      </c>
      <c r="BF56" s="139">
        <f>SUM(Input_Raw[[#This Row],[O2_01]:[O2_26]])</f>
        <v>390622</v>
      </c>
      <c r="BG56" s="140">
        <f>IFERROR(AVERAGE(Input_Raw[[#This Row],[WS_O2_01]:[WS_O2_26]]),"")</f>
        <v>5.1563194470766645</v>
      </c>
      <c r="BH56" s="141"/>
      <c r="BI56" s="141"/>
      <c r="BJ56" s="13">
        <v>377550</v>
      </c>
      <c r="BK56" s="13">
        <v>0</v>
      </c>
      <c r="BL56" s="15">
        <f>Input_Raw[[#This Row],[66 kV_Wind_F1_Export_reading]]-Input_Raw[[#This Row],[66 kV_Wind_F1_Import_reading]]</f>
        <v>377550</v>
      </c>
      <c r="BM56" s="142">
        <f>Input_Raw[[#This Row],[WTG Total Gneration (KWh)]]-Input_Raw[[#This Row],[66 kV_Wind_F1_Export_reading]]</f>
        <v>13072</v>
      </c>
      <c r="BN56" s="111">
        <f>(Input_Raw[[#This Row],[WTG Total Gneration (KWh)]]-Input_Raw[[#This Row],[66 kV_Wind_F1_Export_reading]])/Input_Raw[[#This Row],[WTG Total Gneration (KWh)]]</f>
        <v>3.346457700795142E-2</v>
      </c>
      <c r="BO56" s="89">
        <v>70.2</v>
      </c>
      <c r="BP56" s="96"/>
      <c r="BQ56" s="135">
        <v>390.56</v>
      </c>
      <c r="BR56" s="207"/>
    </row>
    <row r="57" spans="1:70">
      <c r="A57" s="240">
        <f t="shared" si="3"/>
        <v>45797</v>
      </c>
      <c r="B57" s="11">
        <f>YEAR(Input_Raw[[#This Row],[Date]])+IF(MONTH(Input_Raw[[#This Row],[Date]])&gt;=4,1,0)</f>
        <v>2026</v>
      </c>
      <c r="C57" s="11">
        <f>YEAR(Input_Raw[[#This Row],[Date]])</f>
        <v>2025</v>
      </c>
      <c r="D57" s="12">
        <f t="shared" si="11"/>
        <v>45778</v>
      </c>
      <c r="E57" s="11">
        <f>DAY(EOMONTH(Input_Raw[[#This Row],[Date]],0))</f>
        <v>31</v>
      </c>
      <c r="F57" s="137">
        <v>13354</v>
      </c>
      <c r="G57" s="137">
        <v>14878</v>
      </c>
      <c r="H57" s="137">
        <v>13186</v>
      </c>
      <c r="I57" s="137">
        <v>14713</v>
      </c>
      <c r="J57" s="137">
        <v>13341</v>
      </c>
      <c r="K57" s="137">
        <v>17635</v>
      </c>
      <c r="L57" s="137">
        <v>12687</v>
      </c>
      <c r="M57" s="137">
        <v>11853</v>
      </c>
      <c r="N57" s="137">
        <v>13578</v>
      </c>
      <c r="O57" s="137">
        <v>11868</v>
      </c>
      <c r="P57" s="137">
        <v>12633</v>
      </c>
      <c r="Q57" s="137">
        <v>12059</v>
      </c>
      <c r="R57" s="137">
        <v>13608</v>
      </c>
      <c r="S57" s="137">
        <v>13779</v>
      </c>
      <c r="T57" s="137">
        <v>14995</v>
      </c>
      <c r="U57" s="137">
        <v>15196</v>
      </c>
      <c r="V57" s="137">
        <v>16025</v>
      </c>
      <c r="W57" s="137">
        <v>16145</v>
      </c>
      <c r="X57" s="137">
        <v>14966</v>
      </c>
      <c r="Y57" s="137">
        <v>13323</v>
      </c>
      <c r="Z57" s="137">
        <v>13934</v>
      </c>
      <c r="AA57" s="137">
        <v>19816</v>
      </c>
      <c r="AB57" s="137">
        <v>13677</v>
      </c>
      <c r="AC57" s="13">
        <v>13270</v>
      </c>
      <c r="AD57" s="13">
        <v>11901</v>
      </c>
      <c r="AE57" s="13">
        <v>14103</v>
      </c>
      <c r="AF57" s="138">
        <v>5.1533803075132214</v>
      </c>
      <c r="AG57" s="138">
        <v>5.1649999778035633</v>
      </c>
      <c r="AH57" s="138">
        <v>5.1110563164865441</v>
      </c>
      <c r="AI57" s="138">
        <v>5.3349999919743585</v>
      </c>
      <c r="AJ57" s="138">
        <v>5.0267605731185032</v>
      </c>
      <c r="AK57" s="138">
        <v>5.9038028221734793</v>
      </c>
      <c r="AL57" s="138">
        <v>5.0602816888983799</v>
      </c>
      <c r="AM57" s="138">
        <v>5.2739436567669156</v>
      </c>
      <c r="AN57" s="138">
        <v>5.1929577366566955</v>
      </c>
      <c r="AO57" s="138">
        <v>4.9713380412316637</v>
      </c>
      <c r="AP57" s="138">
        <v>5.1108391572545422</v>
      </c>
      <c r="AQ57" s="138">
        <v>5.0331690143531462</v>
      </c>
      <c r="AR57" s="138">
        <v>5.1620979067328898</v>
      </c>
      <c r="AS57" s="138">
        <v>5.2392307690807129</v>
      </c>
      <c r="AT57" s="138">
        <v>5.2847183162057876</v>
      </c>
      <c r="AU57" s="138">
        <v>5.4679577426171617</v>
      </c>
      <c r="AV57" s="138">
        <v>5.6388732413171025</v>
      </c>
      <c r="AW57" s="138">
        <v>5.5709859183136832</v>
      </c>
      <c r="AX57" s="138">
        <v>5.2465492864729644</v>
      </c>
      <c r="AY57" s="138">
        <v>5.2659859128401285</v>
      </c>
      <c r="AZ57" s="138">
        <v>5.3047887405879033</v>
      </c>
      <c r="BA57" s="138">
        <v>5.9965248209364859</v>
      </c>
      <c r="BB57" s="138">
        <v>5.2114084661006901</v>
      </c>
      <c r="BC57" s="14">
        <v>5.1680281758308402</v>
      </c>
      <c r="BD57" s="14">
        <v>5.222112662355662</v>
      </c>
      <c r="BE57" s="14">
        <v>5.1611888066090463</v>
      </c>
      <c r="BF57" s="139">
        <f>SUM(Input_Raw[[#This Row],[O2_01]:[O2_26]])</f>
        <v>366523</v>
      </c>
      <c r="BG57" s="140">
        <f>IFERROR(AVERAGE(Input_Raw[[#This Row],[WS_O2_01]:[WS_O2_26]]),"")</f>
        <v>5.2799223096243102</v>
      </c>
      <c r="BH57" s="141"/>
      <c r="BI57" s="141"/>
      <c r="BJ57" s="13">
        <v>354150</v>
      </c>
      <c r="BK57" s="13">
        <v>450</v>
      </c>
      <c r="BL57" s="15">
        <f>Input_Raw[[#This Row],[66 kV_Wind_F1_Export_reading]]-Input_Raw[[#This Row],[66 kV_Wind_F1_Import_reading]]</f>
        <v>353700</v>
      </c>
      <c r="BM57" s="142">
        <f>Input_Raw[[#This Row],[WTG Total Gneration (KWh)]]-Input_Raw[[#This Row],[66 kV_Wind_F1_Export_reading]]</f>
        <v>12373</v>
      </c>
      <c r="BN57" s="111">
        <f>(Input_Raw[[#This Row],[WTG Total Gneration (KWh)]]-Input_Raw[[#This Row],[66 kV_Wind_F1_Export_reading]])/Input_Raw[[#This Row],[WTG Total Gneration (KWh)]]</f>
        <v>3.3757772363535166E-2</v>
      </c>
      <c r="BO57" s="89">
        <v>70.2</v>
      </c>
      <c r="BP57" s="96"/>
      <c r="BQ57" s="135">
        <v>390.19</v>
      </c>
      <c r="BR57" s="207"/>
    </row>
    <row r="58" spans="1:70">
      <c r="A58" s="240">
        <f t="shared" si="3"/>
        <v>45798</v>
      </c>
      <c r="B58" s="11">
        <f>YEAR(Input_Raw[[#This Row],[Date]])+IF(MONTH(Input_Raw[[#This Row],[Date]])&gt;=4,1,0)</f>
        <v>2026</v>
      </c>
      <c r="C58" s="11">
        <f>YEAR(Input_Raw[[#This Row],[Date]])</f>
        <v>2025</v>
      </c>
      <c r="D58" s="12">
        <f t="shared" si="11"/>
        <v>45778</v>
      </c>
      <c r="E58" s="11">
        <f>DAY(EOMONTH(Input_Raw[[#This Row],[Date]],0))</f>
        <v>31</v>
      </c>
      <c r="F58" s="137">
        <v>5803</v>
      </c>
      <c r="G58" s="137">
        <v>6870</v>
      </c>
      <c r="H58" s="137">
        <v>4988</v>
      </c>
      <c r="I58" s="137">
        <v>8746</v>
      </c>
      <c r="J58" s="137">
        <v>6797</v>
      </c>
      <c r="K58" s="137">
        <v>12064</v>
      </c>
      <c r="L58" s="137">
        <v>8259</v>
      </c>
      <c r="M58" s="137">
        <v>5500</v>
      </c>
      <c r="N58" s="137">
        <v>5730</v>
      </c>
      <c r="O58" s="137">
        <v>4705</v>
      </c>
      <c r="P58" s="137">
        <v>4932</v>
      </c>
      <c r="Q58" s="137">
        <v>5048</v>
      </c>
      <c r="R58" s="137">
        <v>5506</v>
      </c>
      <c r="S58" s="137">
        <v>4919</v>
      </c>
      <c r="T58" s="137">
        <v>6055</v>
      </c>
      <c r="U58" s="137">
        <v>9269</v>
      </c>
      <c r="V58" s="137">
        <v>12347</v>
      </c>
      <c r="W58" s="137">
        <v>10658</v>
      </c>
      <c r="X58" s="137">
        <v>9074</v>
      </c>
      <c r="Y58" s="137">
        <v>7738</v>
      </c>
      <c r="Z58" s="137">
        <v>9422</v>
      </c>
      <c r="AA58" s="137">
        <v>13881</v>
      </c>
      <c r="AB58" s="137">
        <v>5134</v>
      </c>
      <c r="AC58" s="13">
        <v>7917</v>
      </c>
      <c r="AD58" s="13">
        <v>6874</v>
      </c>
      <c r="AE58" s="13">
        <v>5324</v>
      </c>
      <c r="AF58" s="138">
        <v>4.4813333464993361</v>
      </c>
      <c r="AG58" s="138">
        <v>4.6071110824743897</v>
      </c>
      <c r="AH58" s="138">
        <v>4.2281111200650523</v>
      </c>
      <c r="AI58" s="138">
        <v>4.4624786473746987</v>
      </c>
      <c r="AJ58" s="138">
        <v>4.6091111083825425</v>
      </c>
      <c r="AK58" s="138">
        <v>5.2309322104615648</v>
      </c>
      <c r="AL58" s="138">
        <v>4.3907627150163808</v>
      </c>
      <c r="AM58" s="138">
        <v>4.3135555452770644</v>
      </c>
      <c r="AN58" s="138">
        <v>4.3977777765856834</v>
      </c>
      <c r="AO58" s="138">
        <v>4.1453333324856221</v>
      </c>
      <c r="AP58" s="138">
        <v>4.1941111074553579</v>
      </c>
      <c r="AQ58" s="138">
        <v>4.2657777733272972</v>
      </c>
      <c r="AR58" s="138">
        <v>4.2231111221843287</v>
      </c>
      <c r="AS58" s="138">
        <v>4.2792222301165248</v>
      </c>
      <c r="AT58" s="138">
        <v>4.4516666637526603</v>
      </c>
      <c r="AU58" s="138">
        <v>4.6977966215650895</v>
      </c>
      <c r="AV58" s="138">
        <v>5.031016923108341</v>
      </c>
      <c r="AW58" s="138">
        <v>4.9651282078180525</v>
      </c>
      <c r="AX58" s="138">
        <v>4.5521367472461138</v>
      </c>
      <c r="AY58" s="138">
        <v>4.3837288133168606</v>
      </c>
      <c r="AZ58" s="138">
        <v>4.7535897289585831</v>
      </c>
      <c r="BA58" s="138">
        <v>5.3845217611478713</v>
      </c>
      <c r="BB58" s="138">
        <v>4.2631111145019522</v>
      </c>
      <c r="BC58" s="14">
        <v>4.4425423519086022</v>
      </c>
      <c r="BD58" s="14">
        <v>4.6386666615804026</v>
      </c>
      <c r="BE58" s="14">
        <v>4.4501099088689777</v>
      </c>
      <c r="BF58" s="139">
        <f>SUM(Input_Raw[[#This Row],[O2_01]:[O2_26]])</f>
        <v>193560</v>
      </c>
      <c r="BG58" s="140">
        <f>IFERROR(AVERAGE(Input_Raw[[#This Row],[WS_O2_01]:[WS_O2_26]]),"")</f>
        <v>4.5324132546722824</v>
      </c>
      <c r="BH58" s="141"/>
      <c r="BI58" s="141"/>
      <c r="BJ58" s="13">
        <v>186750</v>
      </c>
      <c r="BK58" s="13">
        <v>0</v>
      </c>
      <c r="BL58" s="15">
        <f>Input_Raw[[#This Row],[66 kV_Wind_F1_Export_reading]]-Input_Raw[[#This Row],[66 kV_Wind_F1_Import_reading]]</f>
        <v>186750</v>
      </c>
      <c r="BM58" s="142">
        <f>Input_Raw[[#This Row],[WTG Total Gneration (KWh)]]-Input_Raw[[#This Row],[66 kV_Wind_F1_Export_reading]]</f>
        <v>6810</v>
      </c>
      <c r="BN58" s="111">
        <f>(Input_Raw[[#This Row],[WTG Total Gneration (KWh)]]-Input_Raw[[#This Row],[66 kV_Wind_F1_Export_reading]])/Input_Raw[[#This Row],[WTG Total Gneration (KWh)]]</f>
        <v>3.51828890266584E-2</v>
      </c>
      <c r="BO58" s="89">
        <v>70.2</v>
      </c>
      <c r="BP58" s="96"/>
      <c r="BQ58" s="135">
        <v>202.65</v>
      </c>
      <c r="BR58" s="207"/>
    </row>
    <row r="59" spans="1:70">
      <c r="A59" s="240">
        <f t="shared" si="3"/>
        <v>45799</v>
      </c>
      <c r="B59" s="11">
        <f>YEAR(Input_Raw[[#This Row],[Date]])+IF(MONTH(Input_Raw[[#This Row],[Date]])&gt;=4,1,0)</f>
        <v>2026</v>
      </c>
      <c r="C59" s="11">
        <f>YEAR(Input_Raw[[#This Row],[Date]])</f>
        <v>2025</v>
      </c>
      <c r="D59" s="12">
        <f t="shared" ref="D59:D64" si="12">A59-DAY(A59)+1</f>
        <v>45778</v>
      </c>
      <c r="E59" s="11">
        <f>DAY(EOMONTH(Input_Raw[[#This Row],[Date]],0))</f>
        <v>31</v>
      </c>
      <c r="F59" s="137">
        <v>5325</v>
      </c>
      <c r="G59" s="137">
        <v>4261</v>
      </c>
      <c r="H59" s="137">
        <v>2693</v>
      </c>
      <c r="I59" s="137">
        <v>5901</v>
      </c>
      <c r="J59" s="137">
        <v>5814</v>
      </c>
      <c r="K59" s="137">
        <v>7702</v>
      </c>
      <c r="L59" s="137">
        <v>5581</v>
      </c>
      <c r="M59" s="137">
        <v>3597</v>
      </c>
      <c r="N59" s="137">
        <v>4651</v>
      </c>
      <c r="O59" s="137">
        <v>4928</v>
      </c>
      <c r="P59" s="137">
        <v>4947</v>
      </c>
      <c r="Q59" s="137">
        <v>3211</v>
      </c>
      <c r="R59" s="137">
        <v>4996</v>
      </c>
      <c r="S59" s="137">
        <v>4869</v>
      </c>
      <c r="T59" s="137">
        <v>5244</v>
      </c>
      <c r="U59" s="137">
        <v>7051</v>
      </c>
      <c r="V59" s="137">
        <v>7589</v>
      </c>
      <c r="W59" s="137">
        <v>7942</v>
      </c>
      <c r="X59" s="137">
        <v>5630</v>
      </c>
      <c r="Y59" s="137">
        <v>6725</v>
      </c>
      <c r="Z59" s="137">
        <v>6408</v>
      </c>
      <c r="AA59" s="137">
        <v>7766</v>
      </c>
      <c r="AB59" s="137">
        <v>2985</v>
      </c>
      <c r="AC59" s="13">
        <v>6850</v>
      </c>
      <c r="AD59" s="13">
        <v>3810</v>
      </c>
      <c r="AE59" s="13">
        <v>3271</v>
      </c>
      <c r="AF59" s="138">
        <v>4.1617857274554995</v>
      </c>
      <c r="AG59" s="138">
        <v>4.1426190244299974</v>
      </c>
      <c r="AH59" s="138">
        <v>3.9926190745262837</v>
      </c>
      <c r="AI59" s="138">
        <v>3.2891735552756214</v>
      </c>
      <c r="AJ59" s="138">
        <v>4.2083333393647528</v>
      </c>
      <c r="AK59" s="138">
        <v>3.7441304261269752</v>
      </c>
      <c r="AL59" s="138">
        <v>3.2204877918328658</v>
      </c>
      <c r="AM59" s="138">
        <v>3.7531325565763241</v>
      </c>
      <c r="AN59" s="138">
        <v>3.9939285569957277</v>
      </c>
      <c r="AO59" s="138">
        <v>3.4765040738795783</v>
      </c>
      <c r="AP59" s="138">
        <v>4.0461904803911786</v>
      </c>
      <c r="AQ59" s="138">
        <v>4.0371428557804609</v>
      </c>
      <c r="AR59" s="138">
        <v>3.4254032253257654</v>
      </c>
      <c r="AS59" s="138">
        <v>4.0647619097005707</v>
      </c>
      <c r="AT59" s="138">
        <v>3.5270731885258715</v>
      </c>
      <c r="AU59" s="138">
        <v>3.5916666850663579</v>
      </c>
      <c r="AV59" s="138">
        <v>3.8218115969844453</v>
      </c>
      <c r="AW59" s="138">
        <v>3.643430643273093</v>
      </c>
      <c r="AX59" s="138">
        <v>3.3441322298089298</v>
      </c>
      <c r="AY59" s="138">
        <v>3.5102877788406457</v>
      </c>
      <c r="AZ59" s="138">
        <v>3.3943795752405661</v>
      </c>
      <c r="BA59" s="138">
        <v>3.7944274672115097</v>
      </c>
      <c r="BB59" s="138">
        <v>4.00285713481051</v>
      </c>
      <c r="BC59" s="14">
        <v>3.5226618767642259</v>
      </c>
      <c r="BD59" s="14">
        <v>4.263690478744957</v>
      </c>
      <c r="BE59" s="14">
        <v>3.8772619164415723</v>
      </c>
      <c r="BF59" s="139">
        <f>SUM(Input_Raw[[#This Row],[O2_01]:[O2_26]])</f>
        <v>139747</v>
      </c>
      <c r="BG59" s="140">
        <f>IFERROR(AVERAGE(Input_Raw[[#This Row],[WS_O2_01]:[WS_O2_26]]),"")</f>
        <v>3.7634574295913192</v>
      </c>
      <c r="BH59" s="141"/>
      <c r="BI59" s="141"/>
      <c r="BJ59" s="13">
        <v>134100</v>
      </c>
      <c r="BK59" s="13">
        <v>1350</v>
      </c>
      <c r="BL59" s="15">
        <f>Input_Raw[[#This Row],[66 kV_Wind_F1_Export_reading]]-Input_Raw[[#This Row],[66 kV_Wind_F1_Import_reading]]</f>
        <v>132750</v>
      </c>
      <c r="BM59" s="142">
        <f>Input_Raw[[#This Row],[WTG Total Gneration (KWh)]]-Input_Raw[[#This Row],[66 kV_Wind_F1_Export_reading]]</f>
        <v>5647</v>
      </c>
      <c r="BN59" s="111">
        <f>(Input_Raw[[#This Row],[WTG Total Gneration (KWh)]]-Input_Raw[[#This Row],[66 kV_Wind_F1_Export_reading]])/Input_Raw[[#This Row],[WTG Total Gneration (KWh)]]</f>
        <v>4.0408738649130214E-2</v>
      </c>
      <c r="BO59" s="89">
        <v>70.2</v>
      </c>
      <c r="BP59" s="96"/>
      <c r="BQ59" s="135">
        <v>158.54</v>
      </c>
      <c r="BR59" s="207"/>
    </row>
    <row r="60" spans="1:70">
      <c r="A60" s="240">
        <f t="shared" si="3"/>
        <v>45800</v>
      </c>
      <c r="B60" s="11">
        <f>YEAR(Input_Raw[[#This Row],[Date]])+IF(MONTH(Input_Raw[[#This Row],[Date]])&gt;=4,1,0)</f>
        <v>2026</v>
      </c>
      <c r="C60" s="11">
        <f>YEAR(Input_Raw[[#This Row],[Date]])</f>
        <v>2025</v>
      </c>
      <c r="D60" s="12">
        <f t="shared" si="12"/>
        <v>45778</v>
      </c>
      <c r="E60" s="11">
        <f>DAY(EOMONTH(Input_Raw[[#This Row],[Date]],0))</f>
        <v>31</v>
      </c>
      <c r="F60" s="137">
        <v>13668</v>
      </c>
      <c r="G60" s="137">
        <v>14033</v>
      </c>
      <c r="H60" s="137">
        <v>15582</v>
      </c>
      <c r="I60" s="137">
        <v>13541</v>
      </c>
      <c r="J60" s="137">
        <v>13606</v>
      </c>
      <c r="K60" s="137">
        <v>14664</v>
      </c>
      <c r="L60" s="137">
        <v>12284</v>
      </c>
      <c r="M60" s="137">
        <v>12198</v>
      </c>
      <c r="N60" s="137">
        <v>13305</v>
      </c>
      <c r="O60" s="137">
        <v>12638</v>
      </c>
      <c r="P60" s="137">
        <v>15506</v>
      </c>
      <c r="Q60" s="137">
        <v>12864</v>
      </c>
      <c r="R60" s="137">
        <v>12326</v>
      </c>
      <c r="S60" s="137">
        <v>13110</v>
      </c>
      <c r="T60" s="137">
        <v>13871</v>
      </c>
      <c r="U60" s="137">
        <v>14234</v>
      </c>
      <c r="V60" s="137">
        <v>13106</v>
      </c>
      <c r="W60" s="137">
        <v>14776</v>
      </c>
      <c r="X60" s="137">
        <v>12232</v>
      </c>
      <c r="Y60" s="137">
        <v>13537</v>
      </c>
      <c r="Z60" s="137">
        <v>12398</v>
      </c>
      <c r="AA60" s="137">
        <v>14801</v>
      </c>
      <c r="AB60" s="137">
        <v>15126</v>
      </c>
      <c r="AC60" s="13">
        <v>12086</v>
      </c>
      <c r="AD60" s="13">
        <v>12387</v>
      </c>
      <c r="AE60" s="13">
        <v>12236</v>
      </c>
      <c r="AF60" s="138">
        <v>4.8401389097173988</v>
      </c>
      <c r="AG60" s="138">
        <v>4.7563888786567574</v>
      </c>
      <c r="AH60" s="138">
        <v>5.1458333333333313</v>
      </c>
      <c r="AI60" s="138">
        <v>4.7270422619833061</v>
      </c>
      <c r="AJ60" s="138">
        <v>4.8063888827131844</v>
      </c>
      <c r="AK60" s="138">
        <v>5.3009790142516131</v>
      </c>
      <c r="AL60" s="138">
        <v>4.5339860172121655</v>
      </c>
      <c r="AM60" s="138">
        <v>4.7814583405852291</v>
      </c>
      <c r="AN60" s="138">
        <v>4.9096527745326348</v>
      </c>
      <c r="AO60" s="138">
        <v>4.9009722276694223</v>
      </c>
      <c r="AP60" s="138">
        <v>5.1874999937911808</v>
      </c>
      <c r="AQ60" s="138">
        <v>4.8190972262786467</v>
      </c>
      <c r="AR60" s="138">
        <v>4.7542361244559261</v>
      </c>
      <c r="AS60" s="138">
        <v>4.9659722310801317</v>
      </c>
      <c r="AT60" s="138">
        <v>4.9406944480207198</v>
      </c>
      <c r="AU60" s="138">
        <v>5.0180281694506235</v>
      </c>
      <c r="AV60" s="138">
        <v>4.8983688035332538</v>
      </c>
      <c r="AW60" s="138">
        <v>5.1885211220089786</v>
      </c>
      <c r="AX60" s="138">
        <v>4.5147887149327213</v>
      </c>
      <c r="AY60" s="138">
        <v>4.9509091012544557</v>
      </c>
      <c r="AZ60" s="138">
        <v>4.8264084546498829</v>
      </c>
      <c r="BA60" s="138">
        <v>5.2289436642132978</v>
      </c>
      <c r="BB60" s="138">
        <v>5.1030555603404819</v>
      </c>
      <c r="BC60" s="14">
        <v>4.7421678379699044</v>
      </c>
      <c r="BD60" s="14">
        <v>4.8134027789864264</v>
      </c>
      <c r="BE60" s="14">
        <v>4.6903472108145543</v>
      </c>
      <c r="BF60" s="139">
        <f>SUM(Input_Raw[[#This Row],[O2_01]:[O2_26]])</f>
        <v>350115</v>
      </c>
      <c r="BG60" s="140">
        <f>IFERROR(AVERAGE(Input_Raw[[#This Row],[WS_O2_01]:[WS_O2_26]]),"")</f>
        <v>4.8978954647090855</v>
      </c>
      <c r="BH60" s="141"/>
      <c r="BI60" s="141"/>
      <c r="BJ60" s="13">
        <v>337950</v>
      </c>
      <c r="BK60" s="13">
        <v>0</v>
      </c>
      <c r="BL60" s="15">
        <f>Input_Raw[[#This Row],[66 kV_Wind_F1_Export_reading]]-Input_Raw[[#This Row],[66 kV_Wind_F1_Import_reading]]</f>
        <v>337950</v>
      </c>
      <c r="BM60" s="142">
        <f>Input_Raw[[#This Row],[WTG Total Gneration (KWh)]]-Input_Raw[[#This Row],[66 kV_Wind_F1_Export_reading]]</f>
        <v>12165</v>
      </c>
      <c r="BN60" s="111">
        <f>(Input_Raw[[#This Row],[WTG Total Gneration (KWh)]]-Input_Raw[[#This Row],[66 kV_Wind_F1_Export_reading]])/Input_Raw[[#This Row],[WTG Total Gneration (KWh)]]</f>
        <v>3.4745726404181485E-2</v>
      </c>
      <c r="BO60" s="89">
        <v>70.2</v>
      </c>
      <c r="BP60" s="96"/>
      <c r="BQ60" s="135">
        <v>371.21</v>
      </c>
      <c r="BR60" s="207"/>
    </row>
    <row r="61" spans="1:70">
      <c r="A61" s="240">
        <f t="shared" si="3"/>
        <v>45801</v>
      </c>
      <c r="B61" s="11">
        <f>YEAR(Input_Raw[[#This Row],[Date]])+IF(MONTH(Input_Raw[[#This Row],[Date]])&gt;=4,1,0)</f>
        <v>2026</v>
      </c>
      <c r="C61" s="11">
        <f>YEAR(Input_Raw[[#This Row],[Date]])</f>
        <v>2025</v>
      </c>
      <c r="D61" s="12">
        <f t="shared" si="12"/>
        <v>45778</v>
      </c>
      <c r="E61" s="11">
        <f>DAY(EOMONTH(Input_Raw[[#This Row],[Date]],0))</f>
        <v>31</v>
      </c>
      <c r="F61" s="371">
        <v>27867</v>
      </c>
      <c r="G61" s="371">
        <v>31651</v>
      </c>
      <c r="H61" s="371">
        <v>27965</v>
      </c>
      <c r="I61" s="371">
        <v>37041</v>
      </c>
      <c r="J61" s="371">
        <v>32935</v>
      </c>
      <c r="K61" s="371">
        <v>34792</v>
      </c>
      <c r="L61" s="371">
        <v>37142</v>
      </c>
      <c r="M61" s="371">
        <v>16489</v>
      </c>
      <c r="N61" s="371">
        <v>27378</v>
      </c>
      <c r="O61" s="371">
        <v>28918</v>
      </c>
      <c r="P61" s="371">
        <v>28336</v>
      </c>
      <c r="Q61" s="371">
        <v>14646</v>
      </c>
      <c r="R61" s="371">
        <v>29021</v>
      </c>
      <c r="S61" s="371">
        <v>28337</v>
      </c>
      <c r="T61" s="371">
        <v>27961</v>
      </c>
      <c r="U61" s="371">
        <v>36391</v>
      </c>
      <c r="V61" s="371">
        <v>43558</v>
      </c>
      <c r="W61" s="371">
        <v>34099</v>
      </c>
      <c r="X61" s="371">
        <v>37403</v>
      </c>
      <c r="Y61" s="371">
        <v>35369</v>
      </c>
      <c r="Z61" s="371">
        <v>36290</v>
      </c>
      <c r="AA61" s="371">
        <v>39991</v>
      </c>
      <c r="AB61" s="371">
        <v>28932</v>
      </c>
      <c r="AC61" s="372">
        <v>36419</v>
      </c>
      <c r="AD61" s="372">
        <v>29481</v>
      </c>
      <c r="AE61" s="372">
        <v>25631</v>
      </c>
      <c r="AF61" s="373">
        <v>8.5741110695732896</v>
      </c>
      <c r="AG61" s="373">
        <v>9.3281111293368735</v>
      </c>
      <c r="AH61" s="373">
        <v>6.7628682482150069</v>
      </c>
      <c r="AI61" s="373">
        <v>7.3269444596436175</v>
      </c>
      <c r="AJ61" s="373">
        <v>9.2793332841661034</v>
      </c>
      <c r="AK61" s="373">
        <v>7.164027791056359</v>
      </c>
      <c r="AL61" s="373">
        <v>7.2506250217556873</v>
      </c>
      <c r="AM61" s="373">
        <v>8.7490000036027595</v>
      </c>
      <c r="AN61" s="373">
        <v>8.5430000093248033</v>
      </c>
      <c r="AO61" s="373">
        <v>6.8703876179318009</v>
      </c>
      <c r="AP61" s="373">
        <v>6.8695384474900969</v>
      </c>
      <c r="AQ61" s="373">
        <v>6.7288372119267699</v>
      </c>
      <c r="AR61" s="373">
        <v>6.8412307450404448</v>
      </c>
      <c r="AS61" s="373">
        <v>6.8389230975737867</v>
      </c>
      <c r="AT61" s="373">
        <v>6.8010852660319525</v>
      </c>
      <c r="AU61" s="373">
        <v>7.3260416537523172</v>
      </c>
      <c r="AV61" s="373">
        <v>8.0110416817996111</v>
      </c>
      <c r="AW61" s="373">
        <v>6.9788194584349714</v>
      </c>
      <c r="AX61" s="373">
        <v>7.2005555538667494</v>
      </c>
      <c r="AY61" s="373">
        <v>7.0827083190282121</v>
      </c>
      <c r="AZ61" s="373">
        <v>7.1904166547788391</v>
      </c>
      <c r="BA61" s="373">
        <v>7.7211111196213222</v>
      </c>
      <c r="BB61" s="373">
        <v>6.8802325369775668</v>
      </c>
      <c r="BC61" s="374">
        <v>7.1316666189167188</v>
      </c>
      <c r="BD61" s="374">
        <v>8.7936666859520738</v>
      </c>
      <c r="BE61" s="374">
        <v>8.5232222186194395</v>
      </c>
      <c r="BF61" s="375">
        <f>SUM(Input_Raw[[#This Row],[O2_01]:[O2_26]])</f>
        <v>814043</v>
      </c>
      <c r="BG61" s="376">
        <f>IFERROR(AVERAGE(Input_Raw[[#This Row],[WS_O2_01]:[WS_O2_26]]),"")</f>
        <v>7.5679809963237359</v>
      </c>
      <c r="BH61" s="377"/>
      <c r="BI61" s="377"/>
      <c r="BJ61" s="372">
        <v>785250</v>
      </c>
      <c r="BK61" s="372">
        <v>0</v>
      </c>
      <c r="BL61" s="378">
        <f>Input_Raw[[#This Row],[66 kV_Wind_F1_Export_reading]]-Input_Raw[[#This Row],[66 kV_Wind_F1_Import_reading]]</f>
        <v>785250</v>
      </c>
      <c r="BM61" s="379">
        <f>Input_Raw[[#This Row],[WTG Total Gneration (KWh)]]-Input_Raw[[#This Row],[66 kV_Wind_F1_Export_reading]]</f>
        <v>28793</v>
      </c>
      <c r="BN61" s="111">
        <f>(Input_Raw[[#This Row],[WTG Total Gneration (KWh)]]-Input_Raw[[#This Row],[66 kV_Wind_F1_Export_reading]])/Input_Raw[[#This Row],[WTG Total Gneration (KWh)]]</f>
        <v>3.5370367413023636E-2</v>
      </c>
      <c r="BO61" s="89">
        <v>70.2</v>
      </c>
      <c r="BP61" s="96"/>
      <c r="BQ61" s="380">
        <v>847.72</v>
      </c>
      <c r="BR61" s="381"/>
    </row>
    <row r="62" spans="1:70">
      <c r="A62" s="240">
        <f t="shared" si="3"/>
        <v>45802</v>
      </c>
      <c r="B62" s="11">
        <f>YEAR(Input_Raw[[#This Row],[Date]])+IF(MONTH(Input_Raw[[#This Row],[Date]])&gt;=4,1,0)</f>
        <v>2026</v>
      </c>
      <c r="C62" s="11">
        <f>YEAR(Input_Raw[[#This Row],[Date]])</f>
        <v>2025</v>
      </c>
      <c r="D62" s="12">
        <f t="shared" si="12"/>
        <v>45778</v>
      </c>
      <c r="E62" s="11">
        <f>DAY(EOMONTH(Input_Raw[[#This Row],[Date]],0))</f>
        <v>31</v>
      </c>
      <c r="F62" s="371">
        <v>31523</v>
      </c>
      <c r="G62" s="371">
        <v>31804</v>
      </c>
      <c r="H62" s="371">
        <v>32524</v>
      </c>
      <c r="I62" s="371">
        <v>35537</v>
      </c>
      <c r="J62" s="371">
        <v>30576</v>
      </c>
      <c r="K62" s="371">
        <v>37549</v>
      </c>
      <c r="L62" s="371">
        <v>32089</v>
      </c>
      <c r="M62" s="371">
        <v>13402</v>
      </c>
      <c r="N62" s="371">
        <v>32584</v>
      </c>
      <c r="O62" s="371">
        <v>30599</v>
      </c>
      <c r="P62" s="371">
        <v>32802</v>
      </c>
      <c r="Q62" s="371">
        <v>29518</v>
      </c>
      <c r="R62" s="371">
        <v>33578</v>
      </c>
      <c r="S62" s="371">
        <v>34055</v>
      </c>
      <c r="T62" s="371">
        <v>34662</v>
      </c>
      <c r="U62" s="371">
        <v>37245</v>
      </c>
      <c r="V62" s="371">
        <v>36698</v>
      </c>
      <c r="W62" s="371">
        <v>36409</v>
      </c>
      <c r="X62" s="371">
        <v>34792</v>
      </c>
      <c r="Y62" s="371">
        <v>36870</v>
      </c>
      <c r="Z62" s="371">
        <v>19043</v>
      </c>
      <c r="AA62" s="371">
        <v>39460</v>
      </c>
      <c r="AB62" s="371">
        <v>33513</v>
      </c>
      <c r="AC62" s="372">
        <v>36629</v>
      </c>
      <c r="AD62" s="372">
        <v>24177</v>
      </c>
      <c r="AE62" s="372">
        <v>33380</v>
      </c>
      <c r="AF62" s="373">
        <v>7.39</v>
      </c>
      <c r="AG62" s="373">
        <v>8.5399999999999991</v>
      </c>
      <c r="AH62" s="373">
        <v>7.42</v>
      </c>
      <c r="AI62" s="373">
        <v>7.44</v>
      </c>
      <c r="AJ62" s="373">
        <v>8.41</v>
      </c>
      <c r="AK62" s="373">
        <v>7.81</v>
      </c>
      <c r="AL62" s="373">
        <v>7.1</v>
      </c>
      <c r="AM62" s="373">
        <v>7.66</v>
      </c>
      <c r="AN62" s="373">
        <v>7.5</v>
      </c>
      <c r="AO62" s="373">
        <v>7.36</v>
      </c>
      <c r="AP62" s="373">
        <v>7.55</v>
      </c>
      <c r="AQ62" s="373">
        <v>7.49</v>
      </c>
      <c r="AR62" s="373">
        <v>7.53</v>
      </c>
      <c r="AS62" s="373">
        <v>7.64</v>
      </c>
      <c r="AT62" s="373">
        <v>7.72</v>
      </c>
      <c r="AU62" s="373">
        <v>7.75</v>
      </c>
      <c r="AV62" s="373">
        <v>7.77</v>
      </c>
      <c r="AW62" s="373">
        <v>7.61</v>
      </c>
      <c r="AX62" s="373">
        <v>7.37</v>
      </c>
      <c r="AY62" s="373">
        <v>7.68</v>
      </c>
      <c r="AZ62" s="373">
        <v>7.9</v>
      </c>
      <c r="BA62" s="373">
        <v>8.09</v>
      </c>
      <c r="BB62" s="373">
        <v>7.57</v>
      </c>
      <c r="BC62" s="374">
        <v>7.6</v>
      </c>
      <c r="BD62" s="374">
        <v>8.27</v>
      </c>
      <c r="BE62" s="374">
        <v>7.56</v>
      </c>
      <c r="BF62" s="375">
        <f>SUM(Input_Raw[[#This Row],[O2_01]:[O2_26]])</f>
        <v>841018</v>
      </c>
      <c r="BG62" s="376">
        <f>IFERROR(AVERAGE(Input_Raw[[#This Row],[WS_O2_01]:[WS_O2_26]]),"")</f>
        <v>7.6819230769230789</v>
      </c>
      <c r="BH62" s="377"/>
      <c r="BI62" s="377"/>
      <c r="BJ62" s="372">
        <v>812250</v>
      </c>
      <c r="BK62" s="372">
        <v>0</v>
      </c>
      <c r="BL62" s="378">
        <f>Input_Raw[[#This Row],[66 kV_Wind_F1_Export_reading]]-Input_Raw[[#This Row],[66 kV_Wind_F1_Import_reading]]</f>
        <v>812250</v>
      </c>
      <c r="BM62" s="379">
        <f>Input_Raw[[#This Row],[WTG Total Gneration (KWh)]]-Input_Raw[[#This Row],[66 kV_Wind_F1_Export_reading]]</f>
        <v>28768</v>
      </c>
      <c r="BN62" s="111">
        <f>(Input_Raw[[#This Row],[WTG Total Gneration (KWh)]]-Input_Raw[[#This Row],[66 kV_Wind_F1_Export_reading]])/Input_Raw[[#This Row],[WTG Total Gneration (KWh)]]</f>
        <v>3.4206164434054921E-2</v>
      </c>
      <c r="BO62" s="89">
        <v>70.2</v>
      </c>
      <c r="BP62" s="96"/>
      <c r="BQ62" s="380">
        <v>893.8</v>
      </c>
      <c r="BR62" s="381"/>
    </row>
    <row r="63" spans="1:70">
      <c r="A63" s="240">
        <f t="shared" si="3"/>
        <v>45803</v>
      </c>
      <c r="B63" s="11">
        <f>YEAR(Input_Raw[[#This Row],[Date]])+IF(MONTH(Input_Raw[[#This Row],[Date]])&gt;=4,1,0)</f>
        <v>2026</v>
      </c>
      <c r="C63" s="11">
        <f>YEAR(Input_Raw[[#This Row],[Date]])</f>
        <v>2025</v>
      </c>
      <c r="D63" s="12">
        <f t="shared" si="12"/>
        <v>45778</v>
      </c>
      <c r="E63" s="11">
        <f>DAY(EOMONTH(Input_Raw[[#This Row],[Date]],0))</f>
        <v>31</v>
      </c>
      <c r="F63" s="382">
        <v>30294</v>
      </c>
      <c r="G63" s="382">
        <v>31689</v>
      </c>
      <c r="H63" s="382">
        <v>28918</v>
      </c>
      <c r="I63" s="382">
        <v>30880</v>
      </c>
      <c r="J63" s="382">
        <v>29206</v>
      </c>
      <c r="K63" s="382">
        <v>30683</v>
      </c>
      <c r="L63" s="382">
        <v>29635</v>
      </c>
      <c r="M63" s="382">
        <v>26348</v>
      </c>
      <c r="N63" s="382">
        <v>30386</v>
      </c>
      <c r="O63" s="382">
        <v>26076</v>
      </c>
      <c r="P63" s="382">
        <v>29120</v>
      </c>
      <c r="Q63" s="382">
        <v>27828</v>
      </c>
      <c r="R63" s="382">
        <v>27161</v>
      </c>
      <c r="S63" s="382">
        <v>28114</v>
      </c>
      <c r="T63" s="382">
        <v>26878</v>
      </c>
      <c r="U63" s="382">
        <v>28386</v>
      </c>
      <c r="V63" s="382">
        <v>31939</v>
      </c>
      <c r="W63" s="382">
        <v>31288</v>
      </c>
      <c r="X63" s="382">
        <v>28966</v>
      </c>
      <c r="Y63" s="382">
        <v>26825</v>
      </c>
      <c r="Z63" s="382">
        <v>27558</v>
      </c>
      <c r="AA63" s="382">
        <v>31331</v>
      </c>
      <c r="AB63" s="382">
        <v>30243</v>
      </c>
      <c r="AC63" s="383">
        <v>28117</v>
      </c>
      <c r="AD63" s="383">
        <v>27468</v>
      </c>
      <c r="AE63" s="383">
        <v>29985</v>
      </c>
      <c r="AF63" s="384">
        <v>7.26</v>
      </c>
      <c r="AG63" s="384">
        <v>7.51</v>
      </c>
      <c r="AH63" s="384">
        <v>6.95</v>
      </c>
      <c r="AI63" s="384">
        <v>7.26</v>
      </c>
      <c r="AJ63" s="384">
        <v>7.45</v>
      </c>
      <c r="AK63" s="384">
        <v>7.23</v>
      </c>
      <c r="AL63" s="384">
        <v>7.14</v>
      </c>
      <c r="AM63" s="384">
        <v>7.21</v>
      </c>
      <c r="AN63" s="384">
        <v>7.18</v>
      </c>
      <c r="AO63" s="384">
        <v>6.69</v>
      </c>
      <c r="AP63" s="384">
        <v>7.06</v>
      </c>
      <c r="AQ63" s="384">
        <v>6.95</v>
      </c>
      <c r="AR63" s="384">
        <v>6.86</v>
      </c>
      <c r="AS63" s="384">
        <v>6.97</v>
      </c>
      <c r="AT63" s="384">
        <v>6.79</v>
      </c>
      <c r="AU63" s="384">
        <v>6.98</v>
      </c>
      <c r="AV63" s="384">
        <v>7.38</v>
      </c>
      <c r="AW63" s="384">
        <v>7.15</v>
      </c>
      <c r="AX63" s="384">
        <v>6.93</v>
      </c>
      <c r="AY63" s="384">
        <v>6.81</v>
      </c>
      <c r="AZ63" s="384">
        <v>7.15</v>
      </c>
      <c r="BA63" s="384">
        <v>7.45</v>
      </c>
      <c r="BB63" s="384">
        <v>7.14</v>
      </c>
      <c r="BC63" s="385">
        <v>6.94</v>
      </c>
      <c r="BD63" s="385">
        <v>7.29</v>
      </c>
      <c r="BE63" s="385">
        <v>7.39</v>
      </c>
      <c r="BF63" s="386">
        <f>SUM(Input_Raw[[#This Row],[O2_01]:[O2_26]])</f>
        <v>755322</v>
      </c>
      <c r="BG63" s="387">
        <f>IFERROR(AVERAGE(Input_Raw[[#This Row],[WS_O2_01]:[WS_O2_26]]),"")</f>
        <v>7.1199999999999992</v>
      </c>
      <c r="BH63" s="388"/>
      <c r="BI63" s="388"/>
      <c r="BJ63" s="383">
        <v>731700</v>
      </c>
      <c r="BK63" s="383">
        <v>0</v>
      </c>
      <c r="BL63" s="389">
        <f>Input_Raw[[#This Row],[66 kV_Wind_F1_Export_reading]]-Input_Raw[[#This Row],[66 kV_Wind_F1_Import_reading]]</f>
        <v>731700</v>
      </c>
      <c r="BM63" s="390">
        <f>Input_Raw[[#This Row],[WTG Total Gneration (KWh)]]-Input_Raw[[#This Row],[66 kV_Wind_F1_Export_reading]]</f>
        <v>23622</v>
      </c>
      <c r="BN63" s="111">
        <f>(Input_Raw[[#This Row],[WTG Total Gneration (KWh)]]-Input_Raw[[#This Row],[66 kV_Wind_F1_Export_reading]])/Input_Raw[[#This Row],[WTG Total Gneration (KWh)]]</f>
        <v>3.1274079134461862E-2</v>
      </c>
      <c r="BO63" s="89">
        <v>70.2</v>
      </c>
      <c r="BP63" s="96"/>
      <c r="BQ63" s="391">
        <v>797.2</v>
      </c>
      <c r="BR63" s="392"/>
    </row>
    <row r="64" spans="1:70">
      <c r="A64" s="240">
        <f t="shared" si="3"/>
        <v>45804</v>
      </c>
      <c r="B64" s="11">
        <f>YEAR(Input_Raw[[#This Row],[Date]])+IF(MONTH(Input_Raw[[#This Row],[Date]])&gt;=4,1,0)</f>
        <v>2026</v>
      </c>
      <c r="C64" s="11">
        <f>YEAR(Input_Raw[[#This Row],[Date]])</f>
        <v>2025</v>
      </c>
      <c r="D64" s="12">
        <f t="shared" si="12"/>
        <v>45778</v>
      </c>
      <c r="E64" s="11">
        <f>DAY(EOMONTH(Input_Raw[[#This Row],[Date]],0))</f>
        <v>31</v>
      </c>
      <c r="F64" s="137">
        <v>45298</v>
      </c>
      <c r="G64" s="137">
        <v>48703</v>
      </c>
      <c r="H64" s="137">
        <v>30098</v>
      </c>
      <c r="I64" s="137">
        <v>55945</v>
      </c>
      <c r="J64" s="137">
        <v>44273</v>
      </c>
      <c r="K64" s="137">
        <v>54646</v>
      </c>
      <c r="L64" s="137">
        <v>50912</v>
      </c>
      <c r="M64" s="137">
        <v>10998</v>
      </c>
      <c r="N64" s="137">
        <v>43632</v>
      </c>
      <c r="O64" s="137">
        <v>44057</v>
      </c>
      <c r="P64" s="137">
        <v>43495</v>
      </c>
      <c r="Q64" s="137">
        <v>44780</v>
      </c>
      <c r="R64" s="137">
        <v>44658</v>
      </c>
      <c r="S64" s="137">
        <v>45661</v>
      </c>
      <c r="T64" s="137">
        <v>45816</v>
      </c>
      <c r="U64" s="137">
        <v>53730</v>
      </c>
      <c r="V64" s="137">
        <v>55315</v>
      </c>
      <c r="W64" s="137">
        <v>55192</v>
      </c>
      <c r="X64" s="137">
        <v>55584</v>
      </c>
      <c r="Y64" s="137">
        <v>52891</v>
      </c>
      <c r="Z64" s="137">
        <v>53312</v>
      </c>
      <c r="AA64" s="137">
        <v>54059</v>
      </c>
      <c r="AB64" s="137">
        <v>44797</v>
      </c>
      <c r="AC64" s="13">
        <v>54974</v>
      </c>
      <c r="AD64" s="13">
        <v>24864</v>
      </c>
      <c r="AE64" s="13">
        <v>45417</v>
      </c>
      <c r="AF64" s="138">
        <v>9.3000000000000007</v>
      </c>
      <c r="AG64" s="138">
        <v>9.7100000000000009</v>
      </c>
      <c r="AH64" s="138">
        <v>8.98</v>
      </c>
      <c r="AI64" s="138">
        <v>9.82</v>
      </c>
      <c r="AJ64" s="138">
        <v>9.44</v>
      </c>
      <c r="AK64" s="138">
        <v>9.5</v>
      </c>
      <c r="AL64" s="138">
        <v>9.7200000000000006</v>
      </c>
      <c r="AM64" s="138">
        <v>9.58</v>
      </c>
      <c r="AN64" s="138">
        <v>9.19</v>
      </c>
      <c r="AO64" s="138">
        <v>9.2899999999999991</v>
      </c>
      <c r="AP64" s="138">
        <v>9.2100000000000009</v>
      </c>
      <c r="AQ64" s="138">
        <v>9.31</v>
      </c>
      <c r="AR64" s="138">
        <v>9.2200000000000006</v>
      </c>
      <c r="AS64" s="138">
        <v>9.36</v>
      </c>
      <c r="AT64" s="138">
        <v>9.43</v>
      </c>
      <c r="AU64" s="138">
        <v>9.59</v>
      </c>
      <c r="AV64" s="138">
        <v>9.86</v>
      </c>
      <c r="AW64" s="138">
        <v>9.48</v>
      </c>
      <c r="AX64" s="138">
        <v>9.7799999999999994</v>
      </c>
      <c r="AY64" s="138">
        <v>9.4700000000000006</v>
      </c>
      <c r="AZ64" s="138">
        <v>9.43</v>
      </c>
      <c r="BA64" s="138">
        <v>9.83</v>
      </c>
      <c r="BB64" s="138">
        <v>9.33</v>
      </c>
      <c r="BC64" s="14">
        <v>9.5299999999999994</v>
      </c>
      <c r="BD64" s="14">
        <v>9.65</v>
      </c>
      <c r="BE64" s="14">
        <v>9.43</v>
      </c>
      <c r="BF64" s="139">
        <f>SUM(Input_Raw[[#This Row],[O2_01]:[O2_26]])</f>
        <v>1203107</v>
      </c>
      <c r="BG64" s="140">
        <f>IFERROR(AVERAGE(Input_Raw[[#This Row],[WS_O2_01]:[WS_O2_26]]),"")</f>
        <v>9.4784615384615396</v>
      </c>
      <c r="BH64" s="141"/>
      <c r="BI64" s="141"/>
      <c r="BJ64" s="13">
        <v>1159200</v>
      </c>
      <c r="BK64" s="13">
        <v>0</v>
      </c>
      <c r="BL64" s="15">
        <f>Input_Raw[[#This Row],[66 kV_Wind_F1_Export_reading]]-Input_Raw[[#This Row],[66 kV_Wind_F1_Import_reading]]</f>
        <v>1159200</v>
      </c>
      <c r="BM64" s="142">
        <f>Input_Raw[[#This Row],[WTG Total Gneration (KWh)]]-Input_Raw[[#This Row],[66 kV_Wind_F1_Export_reading]]</f>
        <v>43907</v>
      </c>
      <c r="BN64" s="111">
        <f>(Input_Raw[[#This Row],[WTG Total Gneration (KWh)]]-Input_Raw[[#This Row],[66 kV_Wind_F1_Export_reading]])/Input_Raw[[#This Row],[WTG Total Gneration (KWh)]]</f>
        <v>3.6494675868397407E-2</v>
      </c>
      <c r="BO64" s="89">
        <v>70.2</v>
      </c>
      <c r="BP64" s="96"/>
      <c r="BQ64" s="135">
        <v>1294.8800000000001</v>
      </c>
      <c r="BR64" s="207"/>
    </row>
    <row r="65" spans="1:70">
      <c r="A65" s="240">
        <f t="shared" si="3"/>
        <v>45805</v>
      </c>
      <c r="B65" s="11">
        <f>YEAR(Input_Raw[[#This Row],[Date]])+IF(MONTH(Input_Raw[[#This Row],[Date]])&gt;=4,1,0)</f>
        <v>2026</v>
      </c>
      <c r="C65" s="11">
        <f>YEAR(Input_Raw[[#This Row],[Date]])</f>
        <v>2025</v>
      </c>
      <c r="D65" s="12">
        <f t="shared" ref="D65:D70" si="13">A65-DAY(A65)+1</f>
        <v>45778</v>
      </c>
      <c r="E65" s="11">
        <f>DAY(EOMONTH(Input_Raw[[#This Row],[Date]],0))</f>
        <v>31</v>
      </c>
      <c r="F65" s="137">
        <v>36145</v>
      </c>
      <c r="G65" s="137">
        <v>38104</v>
      </c>
      <c r="H65" s="137">
        <v>36941</v>
      </c>
      <c r="I65" s="137">
        <v>36974</v>
      </c>
      <c r="J65" s="137">
        <v>37270</v>
      </c>
      <c r="K65" s="137">
        <v>38856</v>
      </c>
      <c r="L65" s="137">
        <v>38555</v>
      </c>
      <c r="M65" s="137">
        <v>28269</v>
      </c>
      <c r="N65" s="137">
        <v>35976</v>
      </c>
      <c r="O65" s="137">
        <v>40745</v>
      </c>
      <c r="P65" s="137">
        <v>37551</v>
      </c>
      <c r="Q65" s="137">
        <v>39371</v>
      </c>
      <c r="R65" s="137">
        <v>36909</v>
      </c>
      <c r="S65" s="137">
        <v>39144</v>
      </c>
      <c r="T65" s="137">
        <v>38829</v>
      </c>
      <c r="U65" s="137">
        <v>38163</v>
      </c>
      <c r="V65" s="137">
        <v>42635</v>
      </c>
      <c r="W65" s="137">
        <v>39115</v>
      </c>
      <c r="X65" s="137">
        <v>41216</v>
      </c>
      <c r="Y65" s="137">
        <v>35547</v>
      </c>
      <c r="Z65" s="137">
        <v>38234</v>
      </c>
      <c r="AA65" s="137">
        <v>39494</v>
      </c>
      <c r="AB65" s="137">
        <v>40262</v>
      </c>
      <c r="AC65" s="13">
        <v>37785</v>
      </c>
      <c r="AD65" s="13">
        <v>29365</v>
      </c>
      <c r="AE65" s="13">
        <v>30364</v>
      </c>
      <c r="AF65" s="138">
        <v>8.2899999999999991</v>
      </c>
      <c r="AG65" s="138">
        <v>8.39</v>
      </c>
      <c r="AH65" s="138">
        <v>7.92</v>
      </c>
      <c r="AI65" s="138">
        <v>8.51</v>
      </c>
      <c r="AJ65" s="138">
        <v>8.3000000000000007</v>
      </c>
      <c r="AK65" s="138">
        <v>8.6199999999999992</v>
      </c>
      <c r="AL65" s="138">
        <v>8.6199999999999992</v>
      </c>
      <c r="AM65" s="138">
        <v>8.51</v>
      </c>
      <c r="AN65" s="138">
        <v>8.26</v>
      </c>
      <c r="AO65" s="138">
        <v>8.2899999999999991</v>
      </c>
      <c r="AP65" s="138">
        <v>8.08</v>
      </c>
      <c r="AQ65" s="138">
        <v>8.19</v>
      </c>
      <c r="AR65" s="138">
        <v>8.0399999999999991</v>
      </c>
      <c r="AS65" s="138">
        <v>8.18</v>
      </c>
      <c r="AT65" s="138">
        <v>8.18</v>
      </c>
      <c r="AU65" s="138">
        <v>8.6300000000000008</v>
      </c>
      <c r="AV65" s="138">
        <v>9.1199999999999992</v>
      </c>
      <c r="AW65" s="138">
        <v>8.56</v>
      </c>
      <c r="AX65" s="138">
        <v>8.8800000000000008</v>
      </c>
      <c r="AY65" s="138">
        <v>8.35</v>
      </c>
      <c r="AZ65" s="138">
        <v>8.51</v>
      </c>
      <c r="BA65" s="138">
        <v>8.86</v>
      </c>
      <c r="BB65" s="138">
        <v>8.3000000000000007</v>
      </c>
      <c r="BC65" s="14">
        <v>8.4600000000000009</v>
      </c>
      <c r="BD65" s="14">
        <v>8.39</v>
      </c>
      <c r="BE65" s="14">
        <v>8.48</v>
      </c>
      <c r="BF65" s="139">
        <f>SUM(Input_Raw[[#This Row],[O2_01]:[O2_26]])</f>
        <v>971819</v>
      </c>
      <c r="BG65" s="140">
        <f>IFERROR(AVERAGE(Input_Raw[[#This Row],[WS_O2_01]:[WS_O2_26]]),"")</f>
        <v>8.4200000000000017</v>
      </c>
      <c r="BH65" s="141"/>
      <c r="BI65" s="141"/>
      <c r="BJ65" s="13">
        <v>940050</v>
      </c>
      <c r="BK65" s="13">
        <v>0</v>
      </c>
      <c r="BL65" s="15">
        <f>Input_Raw[[#This Row],[66 kV_Wind_F1_Export_reading]]-Input_Raw[[#This Row],[66 kV_Wind_F1_Import_reading]]</f>
        <v>940050</v>
      </c>
      <c r="BM65" s="142">
        <f>Input_Raw[[#This Row],[WTG Total Gneration (KWh)]]-Input_Raw[[#This Row],[66 kV_Wind_F1_Export_reading]]</f>
        <v>31769</v>
      </c>
      <c r="BN65" s="111">
        <f>(Input_Raw[[#This Row],[WTG Total Gneration (KWh)]]-Input_Raw[[#This Row],[66 kV_Wind_F1_Export_reading]])/Input_Raw[[#This Row],[WTG Total Gneration (KWh)]]</f>
        <v>3.2690243759383175E-2</v>
      </c>
      <c r="BO65" s="89">
        <v>70.2</v>
      </c>
      <c r="BP65" s="96"/>
      <c r="BQ65" s="135">
        <v>1024.6199999999999</v>
      </c>
      <c r="BR65" s="207"/>
    </row>
    <row r="66" spans="1:70">
      <c r="A66" s="240">
        <f t="shared" si="3"/>
        <v>45806</v>
      </c>
      <c r="B66" s="11">
        <f>YEAR(Input_Raw[[#This Row],[Date]])+IF(MONTH(Input_Raw[[#This Row],[Date]])&gt;=4,1,0)</f>
        <v>2026</v>
      </c>
      <c r="C66" s="11">
        <f>YEAR(Input_Raw[[#This Row],[Date]])</f>
        <v>2025</v>
      </c>
      <c r="D66" s="12">
        <f t="shared" si="13"/>
        <v>45778</v>
      </c>
      <c r="E66" s="11">
        <f>DAY(EOMONTH(Input_Raw[[#This Row],[Date]],0))</f>
        <v>31</v>
      </c>
      <c r="F66" s="393">
        <v>34991</v>
      </c>
      <c r="G66" s="393">
        <v>35336</v>
      </c>
      <c r="H66" s="393">
        <v>34454</v>
      </c>
      <c r="I66" s="393">
        <v>27457</v>
      </c>
      <c r="J66" s="393">
        <v>34066</v>
      </c>
      <c r="K66" s="393">
        <v>38069</v>
      </c>
      <c r="L66" s="393">
        <v>36624</v>
      </c>
      <c r="M66" s="393">
        <v>36586</v>
      </c>
      <c r="N66" s="393">
        <v>35770</v>
      </c>
      <c r="O66" s="393">
        <v>35884</v>
      </c>
      <c r="P66" s="393">
        <v>35836</v>
      </c>
      <c r="Q66" s="393">
        <v>35861</v>
      </c>
      <c r="R66" s="393">
        <v>34932</v>
      </c>
      <c r="S66" s="393">
        <v>36054</v>
      </c>
      <c r="T66" s="393">
        <v>35776</v>
      </c>
      <c r="U66" s="393">
        <v>34759</v>
      </c>
      <c r="V66" s="393">
        <v>40825</v>
      </c>
      <c r="W66" s="393">
        <v>38317</v>
      </c>
      <c r="X66" s="393">
        <v>35573</v>
      </c>
      <c r="Y66" s="393">
        <v>33065</v>
      </c>
      <c r="Z66" s="393">
        <v>38437</v>
      </c>
      <c r="AA66" s="393">
        <v>38478</v>
      </c>
      <c r="AB66" s="393">
        <v>36437</v>
      </c>
      <c r="AC66" s="394">
        <v>36704</v>
      </c>
      <c r="AD66" s="394">
        <v>36147</v>
      </c>
      <c r="AE66" s="394">
        <v>36092</v>
      </c>
      <c r="AF66" s="395">
        <v>7.31</v>
      </c>
      <c r="AG66" s="395">
        <v>7.48</v>
      </c>
      <c r="AH66" s="395">
        <v>7.19</v>
      </c>
      <c r="AI66" s="395">
        <v>7.46</v>
      </c>
      <c r="AJ66" s="395">
        <v>7.41</v>
      </c>
      <c r="AK66" s="395">
        <v>7.75</v>
      </c>
      <c r="AL66" s="395">
        <v>7.54</v>
      </c>
      <c r="AM66" s="395">
        <v>7.41</v>
      </c>
      <c r="AN66" s="395">
        <v>7.34</v>
      </c>
      <c r="AO66" s="395">
        <v>7.39</v>
      </c>
      <c r="AP66" s="395">
        <v>7.49</v>
      </c>
      <c r="AQ66" s="395">
        <v>7.42</v>
      </c>
      <c r="AR66" s="395">
        <v>7.29</v>
      </c>
      <c r="AS66" s="395">
        <v>7.4</v>
      </c>
      <c r="AT66" s="395">
        <v>7.39</v>
      </c>
      <c r="AU66" s="395">
        <v>7.36</v>
      </c>
      <c r="AV66" s="395">
        <v>7.97</v>
      </c>
      <c r="AW66" s="395">
        <v>7.64</v>
      </c>
      <c r="AX66" s="395">
        <v>7.4</v>
      </c>
      <c r="AY66" s="395">
        <v>7.17</v>
      </c>
      <c r="AZ66" s="395">
        <v>7.7</v>
      </c>
      <c r="BA66" s="395">
        <v>7.86</v>
      </c>
      <c r="BB66" s="395">
        <v>7.49</v>
      </c>
      <c r="BC66" s="396">
        <v>7.43</v>
      </c>
      <c r="BD66" s="396">
        <v>7.38</v>
      </c>
      <c r="BE66" s="396">
        <v>7.46</v>
      </c>
      <c r="BF66" s="397">
        <f>SUM(Input_Raw[[#This Row],[O2_01]:[O2_26]])</f>
        <v>932530</v>
      </c>
      <c r="BG66" s="398">
        <f>IFERROR(AVERAGE(Input_Raw[[#This Row],[WS_O2_01]:[WS_O2_26]]),"")</f>
        <v>7.4665384615384625</v>
      </c>
      <c r="BH66" s="399"/>
      <c r="BI66" s="399"/>
      <c r="BJ66" s="394">
        <v>901800</v>
      </c>
      <c r="BK66" s="394">
        <v>450</v>
      </c>
      <c r="BL66" s="400">
        <f>Input_Raw[[#This Row],[66 kV_Wind_F1_Export_reading]]-Input_Raw[[#This Row],[66 kV_Wind_F1_Import_reading]]</f>
        <v>901350</v>
      </c>
      <c r="BM66" s="401">
        <f>Input_Raw[[#This Row],[WTG Total Gneration (KWh)]]-Input_Raw[[#This Row],[66 kV_Wind_F1_Export_reading]]</f>
        <v>30730</v>
      </c>
      <c r="BN66" s="111">
        <f>(Input_Raw[[#This Row],[WTG Total Gneration (KWh)]]-Input_Raw[[#This Row],[66 kV_Wind_F1_Export_reading]])/Input_Raw[[#This Row],[WTG Total Gneration (KWh)]]</f>
        <v>3.2953363430667112E-2</v>
      </c>
      <c r="BO66" s="89">
        <v>70.2</v>
      </c>
      <c r="BP66" s="96"/>
      <c r="BQ66" s="402">
        <v>986.68</v>
      </c>
      <c r="BR66" s="403"/>
    </row>
    <row r="67" spans="1:70">
      <c r="A67" s="240">
        <f t="shared" si="3"/>
        <v>45807</v>
      </c>
      <c r="B67" s="11">
        <f>YEAR(Input_Raw[[#This Row],[Date]])+IF(MONTH(Input_Raw[[#This Row],[Date]])&gt;=4,1,0)</f>
        <v>2026</v>
      </c>
      <c r="C67" s="11">
        <f>YEAR(Input_Raw[[#This Row],[Date]])</f>
        <v>2025</v>
      </c>
      <c r="D67" s="12">
        <f t="shared" si="13"/>
        <v>45778</v>
      </c>
      <c r="E67" s="11">
        <f>DAY(EOMONTH(Input_Raw[[#This Row],[Date]],0))</f>
        <v>31</v>
      </c>
      <c r="F67" s="137">
        <v>54422</v>
      </c>
      <c r="G67" s="137">
        <v>56778</v>
      </c>
      <c r="H67" s="137">
        <v>55357</v>
      </c>
      <c r="I67" s="137">
        <v>51855</v>
      </c>
      <c r="J67" s="137">
        <v>54055</v>
      </c>
      <c r="K67" s="137">
        <v>55099</v>
      </c>
      <c r="L67" s="137">
        <v>52504</v>
      </c>
      <c r="M67" s="137">
        <v>54379</v>
      </c>
      <c r="N67" s="137">
        <v>53124</v>
      </c>
      <c r="O67" s="137">
        <v>54576</v>
      </c>
      <c r="P67" s="137">
        <v>55825</v>
      </c>
      <c r="Q67" s="137">
        <v>54494</v>
      </c>
      <c r="R67" s="137">
        <v>54331</v>
      </c>
      <c r="S67" s="137">
        <v>55074</v>
      </c>
      <c r="T67" s="137">
        <v>55209</v>
      </c>
      <c r="U67" s="137">
        <v>53676</v>
      </c>
      <c r="V67" s="137">
        <v>48430</v>
      </c>
      <c r="W67" s="137">
        <v>54614</v>
      </c>
      <c r="X67" s="137">
        <v>54160</v>
      </c>
      <c r="Y67" s="137">
        <v>53978</v>
      </c>
      <c r="Z67" s="137">
        <v>57017</v>
      </c>
      <c r="AA67" s="137">
        <v>57090</v>
      </c>
      <c r="AB67" s="137">
        <v>56047</v>
      </c>
      <c r="AC67" s="13">
        <v>56687</v>
      </c>
      <c r="AD67" s="13">
        <v>57270</v>
      </c>
      <c r="AE67" s="13">
        <v>56413</v>
      </c>
      <c r="AF67" s="138">
        <v>9.9</v>
      </c>
      <c r="AG67" s="138">
        <v>10.18</v>
      </c>
      <c r="AH67" s="138">
        <v>9.76</v>
      </c>
      <c r="AI67" s="138">
        <v>9.77</v>
      </c>
      <c r="AJ67" s="138">
        <v>10.130000000000001</v>
      </c>
      <c r="AK67" s="138">
        <v>9.69</v>
      </c>
      <c r="AL67" s="138">
        <v>9.7100000000000009</v>
      </c>
      <c r="AM67" s="138">
        <v>10.039999999999999</v>
      </c>
      <c r="AN67" s="138">
        <v>9.74</v>
      </c>
      <c r="AO67" s="138">
        <v>9.86</v>
      </c>
      <c r="AP67" s="138">
        <v>9.98</v>
      </c>
      <c r="AQ67" s="138">
        <v>9.98</v>
      </c>
      <c r="AR67" s="138">
        <v>9.82</v>
      </c>
      <c r="AS67" s="138">
        <v>9.76</v>
      </c>
      <c r="AT67" s="138">
        <v>9.86</v>
      </c>
      <c r="AU67" s="138">
        <v>9.8800000000000008</v>
      </c>
      <c r="AV67" s="138">
        <v>9.77</v>
      </c>
      <c r="AW67" s="138">
        <v>9.82</v>
      </c>
      <c r="AX67" s="138">
        <v>9.85</v>
      </c>
      <c r="AY67" s="138">
        <v>9.64</v>
      </c>
      <c r="AZ67" s="138">
        <v>9.92</v>
      </c>
      <c r="BA67" s="138">
        <v>10.039999999999999</v>
      </c>
      <c r="BB67" s="138">
        <v>10</v>
      </c>
      <c r="BC67" s="14">
        <v>9.9499999999999993</v>
      </c>
      <c r="BD67" s="14">
        <v>10.09</v>
      </c>
      <c r="BE67" s="14">
        <v>10.06</v>
      </c>
      <c r="BF67" s="139">
        <f>SUM(Input_Raw[[#This Row],[O2_01]:[O2_26]])</f>
        <v>1422464</v>
      </c>
      <c r="BG67" s="140">
        <f>IFERROR(AVERAGE(Input_Raw[[#This Row],[WS_O2_01]:[WS_O2_26]]),"")</f>
        <v>9.8923076923076891</v>
      </c>
      <c r="BH67" s="141"/>
      <c r="BI67" s="141"/>
      <c r="BJ67" s="13">
        <v>1370700</v>
      </c>
      <c r="BK67" s="13">
        <v>0</v>
      </c>
      <c r="BL67" s="15">
        <f>Input_Raw[[#This Row],[66 kV_Wind_F1_Export_reading]]-Input_Raw[[#This Row],[66 kV_Wind_F1_Import_reading]]</f>
        <v>1370700</v>
      </c>
      <c r="BM67" s="142">
        <f>Input_Raw[[#This Row],[WTG Total Gneration (KWh)]]-Input_Raw[[#This Row],[66 kV_Wind_F1_Export_reading]]</f>
        <v>51764</v>
      </c>
      <c r="BN67" s="111">
        <f>(Input_Raw[[#This Row],[WTG Total Gneration (KWh)]]-Input_Raw[[#This Row],[66 kV_Wind_F1_Export_reading]])/Input_Raw[[#This Row],[WTG Total Gneration (KWh)]]</f>
        <v>3.6390376136056869E-2</v>
      </c>
      <c r="BO67" s="89">
        <v>70.2</v>
      </c>
      <c r="BP67" s="96"/>
      <c r="BQ67" s="135">
        <v>1505.57</v>
      </c>
      <c r="BR67" s="207"/>
    </row>
    <row r="68" spans="1:70">
      <c r="A68" s="240">
        <f t="shared" si="3"/>
        <v>45808</v>
      </c>
      <c r="B68" s="11">
        <f>YEAR(Input_Raw[[#This Row],[Date]])+IF(MONTH(Input_Raw[[#This Row],[Date]])&gt;=4,1,0)</f>
        <v>2026</v>
      </c>
      <c r="C68" s="11">
        <f>YEAR(Input_Raw[[#This Row],[Date]])</f>
        <v>2025</v>
      </c>
      <c r="D68" s="12">
        <f t="shared" si="13"/>
        <v>45778</v>
      </c>
      <c r="E68" s="11">
        <f>DAY(EOMONTH(Input_Raw[[#This Row],[Date]],0))</f>
        <v>31</v>
      </c>
      <c r="F68" s="137">
        <v>54328</v>
      </c>
      <c r="G68" s="137">
        <v>59812</v>
      </c>
      <c r="H68" s="137">
        <v>55547</v>
      </c>
      <c r="I68" s="137">
        <v>48432</v>
      </c>
      <c r="J68" s="137">
        <v>57780</v>
      </c>
      <c r="K68" s="137">
        <v>47521</v>
      </c>
      <c r="L68" s="137">
        <v>50547</v>
      </c>
      <c r="M68" s="137">
        <v>51528</v>
      </c>
      <c r="N68" s="137">
        <v>52803</v>
      </c>
      <c r="O68" s="137">
        <v>45951</v>
      </c>
      <c r="P68" s="137">
        <v>54037</v>
      </c>
      <c r="Q68" s="137">
        <v>53252</v>
      </c>
      <c r="R68" s="137">
        <v>50292</v>
      </c>
      <c r="S68" s="137">
        <v>52651</v>
      </c>
      <c r="T68" s="137">
        <v>52780</v>
      </c>
      <c r="U68" s="137">
        <v>45969</v>
      </c>
      <c r="V68" s="137">
        <v>51878</v>
      </c>
      <c r="W68" s="137">
        <v>48505</v>
      </c>
      <c r="X68" s="137">
        <v>48391</v>
      </c>
      <c r="Y68" s="137">
        <v>47567</v>
      </c>
      <c r="Z68" s="137">
        <v>47315</v>
      </c>
      <c r="AA68" s="137">
        <v>50992</v>
      </c>
      <c r="AB68" s="137">
        <v>54330</v>
      </c>
      <c r="AC68" s="13">
        <v>47157</v>
      </c>
      <c r="AD68" s="13">
        <v>60528</v>
      </c>
      <c r="AE68" s="13">
        <v>51268</v>
      </c>
      <c r="AF68" s="138">
        <v>9.89</v>
      </c>
      <c r="AG68" s="138">
        <v>10.23</v>
      </c>
      <c r="AH68" s="138">
        <v>9.6199999999999992</v>
      </c>
      <c r="AI68" s="138">
        <v>9.86</v>
      </c>
      <c r="AJ68" s="138">
        <v>10.1</v>
      </c>
      <c r="AK68" s="138">
        <v>9.17</v>
      </c>
      <c r="AL68" s="138">
        <v>9.7200000000000006</v>
      </c>
      <c r="AM68" s="138">
        <v>9.64</v>
      </c>
      <c r="AN68" s="138">
        <v>9.68</v>
      </c>
      <c r="AO68" s="138">
        <v>9.25</v>
      </c>
      <c r="AP68" s="138">
        <v>9.65</v>
      </c>
      <c r="AQ68" s="138">
        <v>9.5500000000000007</v>
      </c>
      <c r="AR68" s="138">
        <v>9.65</v>
      </c>
      <c r="AS68" s="138">
        <v>9.5500000000000007</v>
      </c>
      <c r="AT68" s="138">
        <v>9.5299999999999994</v>
      </c>
      <c r="AU68" s="138">
        <v>9.31</v>
      </c>
      <c r="AV68" s="138">
        <v>9.65</v>
      </c>
      <c r="AW68" s="138">
        <v>9.2799999999999994</v>
      </c>
      <c r="AX68" s="138">
        <v>9.41</v>
      </c>
      <c r="AY68" s="138">
        <v>9.34</v>
      </c>
      <c r="AZ68" s="138">
        <v>9.3699999999999992</v>
      </c>
      <c r="BA68" s="138">
        <v>9.7100000000000009</v>
      </c>
      <c r="BB68" s="138">
        <v>9.65</v>
      </c>
      <c r="BC68" s="14">
        <v>9.42</v>
      </c>
      <c r="BD68" s="14">
        <v>10.27</v>
      </c>
      <c r="BE68" s="14">
        <v>9.7200000000000006</v>
      </c>
      <c r="BF68" s="139">
        <f>SUM(Input_Raw[[#This Row],[O2_01]:[O2_26]])</f>
        <v>1341161</v>
      </c>
      <c r="BG68" s="140">
        <f>IFERROR(AVERAGE(Input_Raw[[#This Row],[WS_O2_01]:[WS_O2_26]]),"")</f>
        <v>9.6238461538461557</v>
      </c>
      <c r="BH68" s="141"/>
      <c r="BI68" s="141"/>
      <c r="BJ68" s="13">
        <v>1292850</v>
      </c>
      <c r="BK68" s="13">
        <v>0</v>
      </c>
      <c r="BL68" s="15">
        <f>Input_Raw[[#This Row],[66 kV_Wind_F1_Export_reading]]-Input_Raw[[#This Row],[66 kV_Wind_F1_Import_reading]]</f>
        <v>1292850</v>
      </c>
      <c r="BM68" s="142">
        <f>Input_Raw[[#This Row],[WTG Total Gneration (KWh)]]-Input_Raw[[#This Row],[66 kV_Wind_F1_Export_reading]]</f>
        <v>48311</v>
      </c>
      <c r="BN68" s="111">
        <f>(Input_Raw[[#This Row],[WTG Total Gneration (KWh)]]-Input_Raw[[#This Row],[66 kV_Wind_F1_Export_reading]])/Input_Raw[[#This Row],[WTG Total Gneration (KWh)]]</f>
        <v>3.602177516345912E-2</v>
      </c>
      <c r="BO68" s="89">
        <v>70.2</v>
      </c>
      <c r="BP68" s="96"/>
      <c r="BQ68" s="135">
        <v>1438.1</v>
      </c>
      <c r="BR68" s="207"/>
    </row>
    <row r="69" spans="1:70">
      <c r="A69" s="240">
        <f t="shared" si="3"/>
        <v>45809</v>
      </c>
      <c r="B69" s="11">
        <f>YEAR(Input_Raw[[#This Row],[Date]])+IF(MONTH(Input_Raw[[#This Row],[Date]])&gt;=4,1,0)</f>
        <v>2026</v>
      </c>
      <c r="C69" s="11">
        <f>YEAR(Input_Raw[[#This Row],[Date]])</f>
        <v>2025</v>
      </c>
      <c r="D69" s="12">
        <f t="shared" si="13"/>
        <v>45809</v>
      </c>
      <c r="E69" s="11">
        <f>DAY(EOMONTH(Input_Raw[[#This Row],[Date]],0))</f>
        <v>30</v>
      </c>
      <c r="F69" s="137">
        <v>51452</v>
      </c>
      <c r="G69" s="137">
        <v>51968</v>
      </c>
      <c r="H69" s="137">
        <v>49583</v>
      </c>
      <c r="I69" s="137">
        <v>54729</v>
      </c>
      <c r="J69" s="137">
        <v>51526</v>
      </c>
      <c r="K69" s="137">
        <v>52898</v>
      </c>
      <c r="L69" s="137">
        <v>52421</v>
      </c>
      <c r="M69" s="137">
        <v>50512</v>
      </c>
      <c r="N69" s="137">
        <v>46509</v>
      </c>
      <c r="O69" s="137">
        <v>49419</v>
      </c>
      <c r="P69" s="137">
        <v>52508</v>
      </c>
      <c r="Q69" s="137">
        <v>50282</v>
      </c>
      <c r="R69" s="137">
        <v>53279</v>
      </c>
      <c r="S69" s="137">
        <v>50629</v>
      </c>
      <c r="T69" s="137">
        <v>55744</v>
      </c>
      <c r="U69" s="137">
        <v>52351</v>
      </c>
      <c r="V69" s="137">
        <v>53866</v>
      </c>
      <c r="W69" s="137">
        <v>55945</v>
      </c>
      <c r="X69" s="137">
        <v>53972</v>
      </c>
      <c r="Y69" s="137">
        <v>54727</v>
      </c>
      <c r="Z69" s="137">
        <v>53202</v>
      </c>
      <c r="AA69" s="137">
        <v>56693</v>
      </c>
      <c r="AB69" s="137">
        <v>50635</v>
      </c>
      <c r="AC69" s="13">
        <v>54417</v>
      </c>
      <c r="AD69" s="13">
        <v>52009</v>
      </c>
      <c r="AE69" s="13">
        <v>51125</v>
      </c>
      <c r="AF69" s="138">
        <v>9.59</v>
      </c>
      <c r="AG69" s="138">
        <v>9.56</v>
      </c>
      <c r="AH69" s="138">
        <v>9.25</v>
      </c>
      <c r="AI69" s="138">
        <v>9.8000000000000007</v>
      </c>
      <c r="AJ69" s="138">
        <v>9.61</v>
      </c>
      <c r="AK69" s="138">
        <v>9.83</v>
      </c>
      <c r="AL69" s="138">
        <v>9.67</v>
      </c>
      <c r="AM69" s="138">
        <v>9.51</v>
      </c>
      <c r="AN69" s="138">
        <v>9.19</v>
      </c>
      <c r="AO69" s="138">
        <v>9.32</v>
      </c>
      <c r="AP69" s="138">
        <v>9.66</v>
      </c>
      <c r="AQ69" s="138">
        <v>9.43</v>
      </c>
      <c r="AR69" s="138">
        <v>9.68</v>
      </c>
      <c r="AS69" s="138">
        <v>9.5299999999999994</v>
      </c>
      <c r="AT69" s="138">
        <v>9.69</v>
      </c>
      <c r="AU69" s="138">
        <v>9.74</v>
      </c>
      <c r="AV69" s="138">
        <v>10.119999999999999</v>
      </c>
      <c r="AW69" s="138">
        <v>9.94</v>
      </c>
      <c r="AX69" s="138">
        <v>9.94</v>
      </c>
      <c r="AY69" s="138">
        <v>9.85</v>
      </c>
      <c r="AZ69" s="138">
        <v>9.8800000000000008</v>
      </c>
      <c r="BA69" s="138">
        <v>10.26</v>
      </c>
      <c r="BB69" s="138">
        <v>9.4</v>
      </c>
      <c r="BC69" s="14">
        <v>9.7100000000000009</v>
      </c>
      <c r="BD69" s="14">
        <v>9.56</v>
      </c>
      <c r="BE69" s="14">
        <v>9.59</v>
      </c>
      <c r="BF69" s="139">
        <f>SUM(Input_Raw[[#This Row],[O2_01]:[O2_26]])</f>
        <v>1362401</v>
      </c>
      <c r="BG69" s="140">
        <f>IFERROR(AVERAGE(Input_Raw[[#This Row],[WS_O2_01]:[WS_O2_26]]),"")</f>
        <v>9.6657692307692322</v>
      </c>
      <c r="BH69" s="141"/>
      <c r="BI69" s="141"/>
      <c r="BJ69" s="13">
        <v>1315800</v>
      </c>
      <c r="BK69" s="13">
        <v>0</v>
      </c>
      <c r="BL69" s="15">
        <f>Input_Raw[[#This Row],[66 kV_Wind_F1_Export_reading]]-Input_Raw[[#This Row],[66 kV_Wind_F1_Import_reading]]</f>
        <v>1315800</v>
      </c>
      <c r="BM69" s="142">
        <f>Input_Raw[[#This Row],[WTG Total Gneration (KWh)]]-Input_Raw[[#This Row],[66 kV_Wind_F1_Export_reading]]</f>
        <v>46601</v>
      </c>
      <c r="BN69" s="111">
        <f>(Input_Raw[[#This Row],[WTG Total Gneration (KWh)]]-Input_Raw[[#This Row],[66 kV_Wind_F1_Export_reading]])/Input_Raw[[#This Row],[WTG Total Gneration (KWh)]]</f>
        <v>3.4205054165403578E-2</v>
      </c>
      <c r="BO69" s="89">
        <v>70.2</v>
      </c>
      <c r="BP69" s="96"/>
      <c r="BQ69" s="135">
        <v>1430.08</v>
      </c>
      <c r="BR69" s="207"/>
    </row>
    <row r="70" spans="1:70">
      <c r="A70" s="240">
        <f t="shared" si="3"/>
        <v>45810</v>
      </c>
      <c r="B70" s="11">
        <f>YEAR(Input_Raw[[#This Row],[Date]])+IF(MONTH(Input_Raw[[#This Row],[Date]])&gt;=4,1,0)</f>
        <v>2026</v>
      </c>
      <c r="C70" s="11">
        <f>YEAR(Input_Raw[[#This Row],[Date]])</f>
        <v>2025</v>
      </c>
      <c r="D70" s="12">
        <f t="shared" si="13"/>
        <v>45809</v>
      </c>
      <c r="E70" s="11">
        <f>DAY(EOMONTH(Input_Raw[[#This Row],[Date]],0))</f>
        <v>30</v>
      </c>
      <c r="F70" s="137">
        <v>45136</v>
      </c>
      <c r="G70" s="137">
        <v>43458</v>
      </c>
      <c r="H70" s="137">
        <v>43320</v>
      </c>
      <c r="I70" s="137">
        <v>43885</v>
      </c>
      <c r="J70" s="137">
        <v>37935</v>
      </c>
      <c r="K70" s="137">
        <v>47284</v>
      </c>
      <c r="L70" s="137">
        <v>43351</v>
      </c>
      <c r="M70" s="137">
        <v>40665</v>
      </c>
      <c r="N70" s="137">
        <v>43095</v>
      </c>
      <c r="O70" s="137">
        <v>42160</v>
      </c>
      <c r="P70" s="137">
        <v>43507</v>
      </c>
      <c r="Q70" s="137">
        <v>42074</v>
      </c>
      <c r="R70" s="137">
        <v>42757</v>
      </c>
      <c r="S70" s="137">
        <v>42499</v>
      </c>
      <c r="T70" s="137">
        <v>43008</v>
      </c>
      <c r="U70" s="137">
        <v>42883</v>
      </c>
      <c r="V70" s="137">
        <v>49276</v>
      </c>
      <c r="W70" s="137">
        <v>48790</v>
      </c>
      <c r="X70" s="137">
        <v>47122</v>
      </c>
      <c r="Y70" s="137">
        <v>44390</v>
      </c>
      <c r="Z70" s="137">
        <v>47930</v>
      </c>
      <c r="AA70" s="137">
        <v>51083</v>
      </c>
      <c r="AB70" s="137">
        <v>42240</v>
      </c>
      <c r="AC70" s="13">
        <v>45499</v>
      </c>
      <c r="AD70" s="13">
        <v>45713</v>
      </c>
      <c r="AE70" s="13">
        <v>44306</v>
      </c>
      <c r="AF70" s="138">
        <v>8.84</v>
      </c>
      <c r="AG70" s="138">
        <v>8.67</v>
      </c>
      <c r="AH70" s="138">
        <v>8.9499999999999993</v>
      </c>
      <c r="AI70" s="138">
        <v>8.84</v>
      </c>
      <c r="AJ70" s="138">
        <v>8.61</v>
      </c>
      <c r="AK70" s="138">
        <v>9.11</v>
      </c>
      <c r="AL70" s="138">
        <v>8.7200000000000006</v>
      </c>
      <c r="AM70" s="138">
        <v>8.67</v>
      </c>
      <c r="AN70" s="138">
        <v>8.59</v>
      </c>
      <c r="AO70" s="138">
        <v>8.5299999999999994</v>
      </c>
      <c r="AP70" s="138">
        <v>8.7100000000000009</v>
      </c>
      <c r="AQ70" s="138">
        <v>8.5500000000000007</v>
      </c>
      <c r="AR70" s="138">
        <v>8.68</v>
      </c>
      <c r="AS70" s="138">
        <v>8.68</v>
      </c>
      <c r="AT70" s="138">
        <v>8.7100000000000009</v>
      </c>
      <c r="AU70" s="138">
        <v>8.6199999999999992</v>
      </c>
      <c r="AV70" s="138">
        <v>9.5399999999999991</v>
      </c>
      <c r="AW70" s="138">
        <v>9.1</v>
      </c>
      <c r="AX70" s="138">
        <v>9.09</v>
      </c>
      <c r="AY70" s="138">
        <v>8.82</v>
      </c>
      <c r="AZ70" s="138">
        <v>9.17</v>
      </c>
      <c r="BA70" s="138">
        <v>9.6</v>
      </c>
      <c r="BB70" s="138">
        <v>8.61</v>
      </c>
      <c r="BC70" s="14">
        <v>8.84</v>
      </c>
      <c r="BD70" s="14">
        <v>8.74</v>
      </c>
      <c r="BE70" s="14">
        <v>8.82</v>
      </c>
      <c r="BF70" s="139">
        <f>SUM(Input_Raw[[#This Row],[O2_01]:[O2_26]])</f>
        <v>1153366</v>
      </c>
      <c r="BG70" s="140">
        <f>IFERROR(AVERAGE(Input_Raw[[#This Row],[WS_O2_01]:[WS_O2_26]]),"")</f>
        <v>8.838846153846152</v>
      </c>
      <c r="BH70" s="141"/>
      <c r="BI70" s="141"/>
      <c r="BJ70" s="13">
        <v>1115550</v>
      </c>
      <c r="BK70" s="13">
        <v>0</v>
      </c>
      <c r="BL70" s="15">
        <f>Input_Raw[[#This Row],[66 kV_Wind_F1_Export_reading]]-Input_Raw[[#This Row],[66 kV_Wind_F1_Import_reading]]</f>
        <v>1115550</v>
      </c>
      <c r="BM70" s="142">
        <f>Input_Raw[[#This Row],[WTG Total Gneration (KWh)]]-Input_Raw[[#This Row],[66 kV_Wind_F1_Export_reading]]</f>
        <v>37816</v>
      </c>
      <c r="BN70" s="111">
        <f>(Input_Raw[[#This Row],[WTG Total Gneration (KWh)]]-Input_Raw[[#This Row],[66 kV_Wind_F1_Export_reading]])/Input_Raw[[#This Row],[WTG Total Gneration (KWh)]]</f>
        <v>3.2787510642762141E-2</v>
      </c>
      <c r="BO70" s="89">
        <v>70.2</v>
      </c>
      <c r="BP70" s="96"/>
      <c r="BQ70" s="135">
        <v>1231.2</v>
      </c>
      <c r="BR70" s="207"/>
    </row>
    <row r="71" spans="1:70">
      <c r="A71" s="240">
        <f t="shared" ref="A71:A121" si="14">A70+1</f>
        <v>45811</v>
      </c>
      <c r="B71" s="11">
        <f>YEAR(Input_Raw[[#This Row],[Date]])+IF(MONTH(Input_Raw[[#This Row],[Date]])&gt;=4,1,0)</f>
        <v>2026</v>
      </c>
      <c r="C71" s="11">
        <f>YEAR(Input_Raw[[#This Row],[Date]])</f>
        <v>2025</v>
      </c>
      <c r="D71" s="12">
        <f t="shared" ref="D71:D76" si="15">A71-DAY(A71)+1</f>
        <v>45809</v>
      </c>
      <c r="E71" s="11">
        <f>DAY(EOMONTH(Input_Raw[[#This Row],[Date]],0))</f>
        <v>30</v>
      </c>
      <c r="F71" s="137">
        <v>40925</v>
      </c>
      <c r="G71" s="137">
        <v>42209</v>
      </c>
      <c r="H71" s="137">
        <v>38087</v>
      </c>
      <c r="I71" s="137">
        <v>42047</v>
      </c>
      <c r="J71" s="137">
        <v>36685</v>
      </c>
      <c r="K71" s="137">
        <v>45651</v>
      </c>
      <c r="L71" s="137">
        <v>40929</v>
      </c>
      <c r="M71" s="137">
        <v>42705</v>
      </c>
      <c r="N71" s="137">
        <v>38850</v>
      </c>
      <c r="O71" s="137">
        <v>41700</v>
      </c>
      <c r="P71" s="137">
        <v>40451</v>
      </c>
      <c r="Q71" s="137">
        <v>41874</v>
      </c>
      <c r="R71" s="137">
        <v>43273</v>
      </c>
      <c r="S71" s="137">
        <v>42846</v>
      </c>
      <c r="T71" s="137">
        <v>42470</v>
      </c>
      <c r="U71" s="137">
        <v>42266</v>
      </c>
      <c r="V71" s="137">
        <v>44084</v>
      </c>
      <c r="W71" s="137">
        <v>49499</v>
      </c>
      <c r="X71" s="137">
        <v>42974</v>
      </c>
      <c r="Y71" s="137">
        <v>43980</v>
      </c>
      <c r="Z71" s="137">
        <v>45569</v>
      </c>
      <c r="AA71" s="137">
        <v>49028</v>
      </c>
      <c r="AB71" s="137">
        <v>39881</v>
      </c>
      <c r="AC71" s="13">
        <v>43980</v>
      </c>
      <c r="AD71" s="13">
        <v>40698</v>
      </c>
      <c r="AE71" s="13">
        <v>40020</v>
      </c>
      <c r="AF71" s="138">
        <v>8.3613194624582885</v>
      </c>
      <c r="AG71" s="138">
        <v>8.3293055560853659</v>
      </c>
      <c r="AH71" s="138">
        <v>7.9692307539753129</v>
      </c>
      <c r="AI71" s="138">
        <v>8.4647222095065562</v>
      </c>
      <c r="AJ71" s="138">
        <v>8.2581944233841327</v>
      </c>
      <c r="AK71" s="138">
        <v>8.8278472390439706</v>
      </c>
      <c r="AL71" s="138">
        <v>8.2865972220897604</v>
      </c>
      <c r="AM71" s="138">
        <v>8.355416652229092</v>
      </c>
      <c r="AN71" s="138">
        <v>8.0950000120533794</v>
      </c>
      <c r="AO71" s="138">
        <v>8.3623610834280573</v>
      </c>
      <c r="AP71" s="138">
        <v>8.3172222243414939</v>
      </c>
      <c r="AQ71" s="138">
        <v>8.3362499972184434</v>
      </c>
      <c r="AR71" s="138">
        <v>8.4629861348205075</v>
      </c>
      <c r="AS71" s="138">
        <v>8.4296527869171509</v>
      </c>
      <c r="AT71" s="138">
        <v>8.4470833374394267</v>
      </c>
      <c r="AU71" s="138">
        <v>8.417361146873894</v>
      </c>
      <c r="AV71" s="138">
        <v>8.7751389079623632</v>
      </c>
      <c r="AW71" s="138">
        <v>8.9645139243867593</v>
      </c>
      <c r="AX71" s="138">
        <v>8.5000694526566338</v>
      </c>
      <c r="AY71" s="138">
        <v>8.5966666638851095</v>
      </c>
      <c r="AZ71" s="138">
        <v>8.731736111972058</v>
      </c>
      <c r="BA71" s="138">
        <v>9.2118749784098632</v>
      </c>
      <c r="BB71" s="138">
        <v>8.2733333110809273</v>
      </c>
      <c r="BC71" s="14">
        <v>8.5871527791023183</v>
      </c>
      <c r="BD71" s="14">
        <v>8.1647916403081631</v>
      </c>
      <c r="BE71" s="14">
        <v>8.3164583411481594</v>
      </c>
      <c r="BF71" s="405">
        <f>SUM(Input_Raw[[#This Row],[O2_01]:[O2_26]])</f>
        <v>1102681</v>
      </c>
      <c r="BG71" s="406">
        <f>IFERROR(AVERAGE(Input_Raw[[#This Row],[WS_O2_01]:[WS_O2_26]]),"")</f>
        <v>8.4554725520298923</v>
      </c>
      <c r="BH71" s="407"/>
      <c r="BI71" s="407"/>
      <c r="BJ71" s="404">
        <v>1066950</v>
      </c>
      <c r="BK71" s="404">
        <v>0</v>
      </c>
      <c r="BL71" s="408">
        <f>Input_Raw[[#This Row],[66 kV_Wind_F1_Export_reading]]-Input_Raw[[#This Row],[66 kV_Wind_F1_Import_reading]]</f>
        <v>1066950</v>
      </c>
      <c r="BM71" s="409">
        <f>Input_Raw[[#This Row],[WTG Total Gneration (KWh)]]-Input_Raw[[#This Row],[66 kV_Wind_F1_Export_reading]]</f>
        <v>35731</v>
      </c>
      <c r="BN71" s="111">
        <f>(Input_Raw[[#This Row],[WTG Total Gneration (KWh)]]-Input_Raw[[#This Row],[66 kV_Wind_F1_Export_reading]])/Input_Raw[[#This Row],[WTG Total Gneration (KWh)]]</f>
        <v>3.2403750495383521E-2</v>
      </c>
      <c r="BO71" s="89">
        <v>70.2</v>
      </c>
      <c r="BP71" s="410"/>
      <c r="BQ71" s="411">
        <v>1108.56</v>
      </c>
      <c r="BR71" s="412"/>
    </row>
    <row r="72" spans="1:70">
      <c r="A72" s="240">
        <f t="shared" si="14"/>
        <v>45812</v>
      </c>
      <c r="B72" s="11">
        <f>YEAR(Input_Raw[[#This Row],[Date]])+IF(MONTH(Input_Raw[[#This Row],[Date]])&gt;=4,1,0)</f>
        <v>2026</v>
      </c>
      <c r="C72" s="11">
        <f>YEAR(Input_Raw[[#This Row],[Date]])</f>
        <v>2025</v>
      </c>
      <c r="D72" s="12">
        <f t="shared" si="15"/>
        <v>45809</v>
      </c>
      <c r="E72" s="11">
        <f>DAY(EOMONTH(Input_Raw[[#This Row],[Date]],0))</f>
        <v>30</v>
      </c>
      <c r="F72" s="414">
        <v>24898</v>
      </c>
      <c r="G72" s="414">
        <v>25759</v>
      </c>
      <c r="H72" s="414">
        <v>26108</v>
      </c>
      <c r="I72" s="414">
        <v>25763</v>
      </c>
      <c r="J72" s="414">
        <v>24508</v>
      </c>
      <c r="K72" s="414">
        <v>27140</v>
      </c>
      <c r="L72" s="414">
        <v>24286</v>
      </c>
      <c r="M72" s="414">
        <v>27126</v>
      </c>
      <c r="N72" s="414">
        <v>25943</v>
      </c>
      <c r="O72" s="414">
        <v>25043</v>
      </c>
      <c r="P72" s="414">
        <v>25689</v>
      </c>
      <c r="Q72" s="414">
        <v>27206</v>
      </c>
      <c r="R72" s="414">
        <v>25486</v>
      </c>
      <c r="S72" s="414">
        <v>26571</v>
      </c>
      <c r="T72" s="414">
        <v>25789</v>
      </c>
      <c r="U72" s="414">
        <v>25548</v>
      </c>
      <c r="V72" s="414">
        <v>27895</v>
      </c>
      <c r="W72" s="414">
        <v>27513</v>
      </c>
      <c r="X72" s="414">
        <v>26102</v>
      </c>
      <c r="Y72" s="414">
        <v>25085</v>
      </c>
      <c r="Z72" s="414">
        <v>26598</v>
      </c>
      <c r="AA72" s="414">
        <v>27739</v>
      </c>
      <c r="AB72" s="414">
        <v>27511</v>
      </c>
      <c r="AC72" s="404">
        <v>27210</v>
      </c>
      <c r="AD72" s="404">
        <v>26511</v>
      </c>
      <c r="AE72" s="404">
        <v>26960</v>
      </c>
      <c r="AF72" s="415">
        <v>6.4132638805442355</v>
      </c>
      <c r="AG72" s="415">
        <v>6.3800000117884696</v>
      </c>
      <c r="AH72" s="415">
        <v>6.3997222168577999</v>
      </c>
      <c r="AI72" s="415">
        <v>6.5212499904963677</v>
      </c>
      <c r="AJ72" s="415">
        <v>6.3159722329841692</v>
      </c>
      <c r="AK72" s="415">
        <v>6.8665972103675115</v>
      </c>
      <c r="AL72" s="415">
        <v>6.3281944245099933</v>
      </c>
      <c r="AM72" s="415">
        <v>6.5190972329841683</v>
      </c>
      <c r="AN72" s="415">
        <v>6.4479166832235082</v>
      </c>
      <c r="AO72" s="415">
        <v>6.4703472190433038</v>
      </c>
      <c r="AP72" s="415">
        <v>6.5356944501399932</v>
      </c>
      <c r="AQ72" s="415">
        <v>6.5947916838857807</v>
      </c>
      <c r="AR72" s="415">
        <v>6.4675694406032527</v>
      </c>
      <c r="AS72" s="415">
        <v>6.5563888765043608</v>
      </c>
      <c r="AT72" s="415">
        <v>6.4813888784911837</v>
      </c>
      <c r="AU72" s="415">
        <v>6.5064583321412357</v>
      </c>
      <c r="AV72" s="415">
        <v>6.9205555733707129</v>
      </c>
      <c r="AW72" s="415">
        <v>6.6986805333031478</v>
      </c>
      <c r="AX72" s="415">
        <v>6.5718055533038191</v>
      </c>
      <c r="AY72" s="415">
        <v>6.4743749962912602</v>
      </c>
      <c r="AZ72" s="415">
        <v>6.6207638697491662</v>
      </c>
      <c r="BA72" s="415">
        <v>6.9824999819199185</v>
      </c>
      <c r="BB72" s="415">
        <v>6.6159722324874606</v>
      </c>
      <c r="BC72" s="413">
        <v>6.6070833479364657</v>
      </c>
      <c r="BD72" s="413">
        <v>6.3788889100154194</v>
      </c>
      <c r="BE72" s="413">
        <v>6.5644444310002807</v>
      </c>
      <c r="BF72" s="405">
        <f>SUM(Input_Raw[[#This Row],[O2_01]:[O2_26]])</f>
        <v>681987</v>
      </c>
      <c r="BG72" s="406">
        <f>IFERROR(AVERAGE(Input_Raw[[#This Row],[WS_O2_01]:[WS_O2_26]]),"")</f>
        <v>6.5476816228439612</v>
      </c>
      <c r="BH72" s="407"/>
      <c r="BI72" s="407"/>
      <c r="BJ72" s="404">
        <v>661950</v>
      </c>
      <c r="BK72" s="404">
        <v>0</v>
      </c>
      <c r="BL72" s="408">
        <f>Input_Raw[[#This Row],[66 kV_Wind_F1_Export_reading]]-Input_Raw[[#This Row],[66 kV_Wind_F1_Import_reading]]</f>
        <v>661950</v>
      </c>
      <c r="BM72" s="409">
        <f>Input_Raw[[#This Row],[WTG Total Gneration (KWh)]]-Input_Raw[[#This Row],[66 kV_Wind_F1_Export_reading]]</f>
        <v>20037</v>
      </c>
      <c r="BN72" s="111">
        <f>(Input_Raw[[#This Row],[WTG Total Gneration (KWh)]]-Input_Raw[[#This Row],[66 kV_Wind_F1_Export_reading]])/Input_Raw[[#This Row],[WTG Total Gneration (KWh)]]</f>
        <v>2.9380325431423181E-2</v>
      </c>
      <c r="BO72" s="89">
        <v>70.2</v>
      </c>
      <c r="BP72" s="410"/>
      <c r="BQ72" s="411">
        <v>27.04</v>
      </c>
      <c r="BR72" s="412"/>
    </row>
    <row r="73" spans="1:70">
      <c r="A73" s="240">
        <f t="shared" si="14"/>
        <v>45813</v>
      </c>
      <c r="B73" s="11">
        <f>YEAR(Input_Raw[[#This Row],[Date]])+IF(MONTH(Input_Raw[[#This Row],[Date]])&gt;=4,1,0)</f>
        <v>2026</v>
      </c>
      <c r="C73" s="11">
        <f>YEAR(Input_Raw[[#This Row],[Date]])</f>
        <v>2025</v>
      </c>
      <c r="D73" s="12">
        <f t="shared" si="15"/>
        <v>45809</v>
      </c>
      <c r="E73" s="11">
        <f>DAY(EOMONTH(Input_Raw[[#This Row],[Date]],0))</f>
        <v>30</v>
      </c>
      <c r="F73" s="137">
        <v>13550</v>
      </c>
      <c r="G73" s="137">
        <v>16125</v>
      </c>
      <c r="H73" s="137">
        <v>13730</v>
      </c>
      <c r="I73" s="137">
        <v>13586</v>
      </c>
      <c r="J73" s="137">
        <v>16515</v>
      </c>
      <c r="K73" s="137">
        <v>16771</v>
      </c>
      <c r="L73" s="137">
        <v>12137</v>
      </c>
      <c r="M73" s="137">
        <v>14453</v>
      </c>
      <c r="N73" s="137">
        <v>13444</v>
      </c>
      <c r="O73" s="137">
        <v>15036</v>
      </c>
      <c r="P73" s="137">
        <v>14184</v>
      </c>
      <c r="Q73" s="137">
        <v>14072</v>
      </c>
      <c r="R73" s="137">
        <v>11586</v>
      </c>
      <c r="S73" s="137">
        <v>13691</v>
      </c>
      <c r="T73" s="137">
        <v>13908</v>
      </c>
      <c r="U73" s="137">
        <v>15393</v>
      </c>
      <c r="V73" s="137">
        <v>17046</v>
      </c>
      <c r="W73" s="137">
        <v>16278</v>
      </c>
      <c r="X73" s="137">
        <v>13284</v>
      </c>
      <c r="Y73" s="137">
        <v>13474</v>
      </c>
      <c r="Z73" s="137">
        <v>14863</v>
      </c>
      <c r="AA73" s="137">
        <v>17240</v>
      </c>
      <c r="AB73" s="137">
        <v>13874</v>
      </c>
      <c r="AC73" s="13">
        <v>14133</v>
      </c>
      <c r="AD73" s="13">
        <v>16460</v>
      </c>
      <c r="AE73" s="13">
        <v>14824</v>
      </c>
      <c r="AF73" s="138">
        <v>5.0131250222523995</v>
      </c>
      <c r="AG73" s="138">
        <v>5.241250000894067</v>
      </c>
      <c r="AH73" s="138">
        <v>5.0058333285980749</v>
      </c>
      <c r="AI73" s="138">
        <v>5.0889583337638093</v>
      </c>
      <c r="AJ73" s="138">
        <v>5.3499999990065872</v>
      </c>
      <c r="AK73" s="138">
        <v>5.5488194459014455</v>
      </c>
      <c r="AL73" s="138">
        <v>4.7424305424922037</v>
      </c>
      <c r="AM73" s="138">
        <v>4.9907638844516526</v>
      </c>
      <c r="AN73" s="138">
        <v>4.9435416724946757</v>
      </c>
      <c r="AO73" s="138">
        <v>5.2642361103660509</v>
      </c>
      <c r="AP73" s="138">
        <v>5.140972233480877</v>
      </c>
      <c r="AQ73" s="138">
        <v>5.0789583408170254</v>
      </c>
      <c r="AR73" s="138">
        <v>4.7872916749782011</v>
      </c>
      <c r="AS73" s="138">
        <v>5.0693055515487977</v>
      </c>
      <c r="AT73" s="138">
        <v>5.0745833218097678</v>
      </c>
      <c r="AU73" s="138">
        <v>5.1962500032451411</v>
      </c>
      <c r="AV73" s="138">
        <v>5.4157638707094717</v>
      </c>
      <c r="AW73" s="138">
        <v>5.3292361299196864</v>
      </c>
      <c r="AX73" s="138">
        <v>4.7404861077666274</v>
      </c>
      <c r="AY73" s="138">
        <v>5.0078472230169497</v>
      </c>
      <c r="AZ73" s="138">
        <v>5.1640972114271584</v>
      </c>
      <c r="BA73" s="138">
        <v>5.5612500061591437</v>
      </c>
      <c r="BB73" s="138">
        <v>5.0562500208616239</v>
      </c>
      <c r="BC73" s="14">
        <v>5.079791675839159</v>
      </c>
      <c r="BD73" s="14">
        <v>5.2020138824979449</v>
      </c>
      <c r="BE73" s="14">
        <v>5.0754861103163815</v>
      </c>
      <c r="BF73" s="139">
        <f>SUM(Input_Raw[[#This Row],[O2_01]:[O2_26]])</f>
        <v>379657</v>
      </c>
      <c r="BG73" s="140">
        <f>IFERROR(AVERAGE(Input_Raw[[#This Row],[WS_O2_01]:[WS_O2_26]]),"")</f>
        <v>5.1218669886390362</v>
      </c>
      <c r="BH73" s="141"/>
      <c r="BI73" s="141"/>
      <c r="BJ73" s="13">
        <v>367200</v>
      </c>
      <c r="BK73" s="13">
        <v>450</v>
      </c>
      <c r="BL73" s="15">
        <f>Input_Raw[[#This Row],[66 kV_Wind_F1_Export_reading]]-Input_Raw[[#This Row],[66 kV_Wind_F1_Import_reading]]</f>
        <v>366750</v>
      </c>
      <c r="BM73" s="142">
        <f>Input_Raw[[#This Row],[WTG Total Gneration (KWh)]]-Input_Raw[[#This Row],[66 kV_Wind_F1_Export_reading]]</f>
        <v>12457</v>
      </c>
      <c r="BN73" s="111">
        <f>(Input_Raw[[#This Row],[WTG Total Gneration (KWh)]]-Input_Raw[[#This Row],[66 kV_Wind_F1_Export_reading]])/Input_Raw[[#This Row],[WTG Total Gneration (KWh)]]</f>
        <v>3.2811195368450993E-2</v>
      </c>
      <c r="BO73" s="89">
        <v>70.2</v>
      </c>
      <c r="BP73" s="99"/>
      <c r="BQ73" s="135">
        <v>385.8</v>
      </c>
      <c r="BR73" s="207"/>
    </row>
    <row r="74" spans="1:70">
      <c r="A74" s="240">
        <f t="shared" si="14"/>
        <v>45814</v>
      </c>
      <c r="B74" s="11">
        <f>YEAR(Input_Raw[[#This Row],[Date]])+IF(MONTH(Input_Raw[[#This Row],[Date]])&gt;=4,1,0)</f>
        <v>2026</v>
      </c>
      <c r="C74" s="11">
        <f>YEAR(Input_Raw[[#This Row],[Date]])</f>
        <v>2025</v>
      </c>
      <c r="D74" s="12">
        <f t="shared" si="15"/>
        <v>45809</v>
      </c>
      <c r="E74" s="11">
        <f>DAY(EOMONTH(Input_Raw[[#This Row],[Date]],0))</f>
        <v>30</v>
      </c>
      <c r="F74" s="137">
        <v>23542</v>
      </c>
      <c r="G74" s="137">
        <v>28011</v>
      </c>
      <c r="H74" s="137">
        <v>21461</v>
      </c>
      <c r="I74" s="137">
        <v>25991</v>
      </c>
      <c r="J74" s="137">
        <v>25186</v>
      </c>
      <c r="K74" s="137">
        <v>21010</v>
      </c>
      <c r="L74" s="137">
        <v>24124</v>
      </c>
      <c r="M74" s="137">
        <v>23491</v>
      </c>
      <c r="N74" s="137">
        <v>22922</v>
      </c>
      <c r="O74" s="137">
        <v>19049</v>
      </c>
      <c r="P74" s="137">
        <v>21231</v>
      </c>
      <c r="Q74" s="137">
        <v>21248</v>
      </c>
      <c r="R74" s="137">
        <v>15424</v>
      </c>
      <c r="S74" s="137">
        <v>21157</v>
      </c>
      <c r="T74" s="137">
        <v>21726</v>
      </c>
      <c r="U74" s="137">
        <v>21529</v>
      </c>
      <c r="V74" s="137">
        <v>21983</v>
      </c>
      <c r="W74" s="137">
        <v>20504</v>
      </c>
      <c r="X74" s="137">
        <v>24299</v>
      </c>
      <c r="Y74" s="137">
        <v>21713</v>
      </c>
      <c r="Z74" s="137">
        <v>17959</v>
      </c>
      <c r="AA74" s="137">
        <v>22267</v>
      </c>
      <c r="AB74" s="137">
        <v>20887</v>
      </c>
      <c r="AC74" s="13">
        <v>22271</v>
      </c>
      <c r="AD74" s="13">
        <v>27512</v>
      </c>
      <c r="AE74" s="13">
        <v>23651</v>
      </c>
      <c r="AF74" s="138">
        <v>6.3960416730907177</v>
      </c>
      <c r="AG74" s="138">
        <v>6.5940972177518695</v>
      </c>
      <c r="AH74" s="138">
        <v>6.1097916577839166</v>
      </c>
      <c r="AI74" s="138">
        <v>6.4729166453083309</v>
      </c>
      <c r="AJ74" s="138">
        <v>6.5211111000842488</v>
      </c>
      <c r="AK74" s="138">
        <v>6.0504861233962872</v>
      </c>
      <c r="AL74" s="138">
        <v>6.2221527886059516</v>
      </c>
      <c r="AM74" s="138">
        <v>6.1627083635992417</v>
      </c>
      <c r="AN74" s="138">
        <v>6.3327777766519082</v>
      </c>
      <c r="AO74" s="138">
        <v>5.7900000032451384</v>
      </c>
      <c r="AP74" s="138">
        <v>6.0824999941719868</v>
      </c>
      <c r="AQ74" s="138">
        <v>6.0129861243897</v>
      </c>
      <c r="AR74" s="138">
        <v>5.6118705079709876</v>
      </c>
      <c r="AS74" s="138">
        <v>6.0166666681567786</v>
      </c>
      <c r="AT74" s="138">
        <v>6.0845138877630198</v>
      </c>
      <c r="AU74" s="138">
        <v>5.9181250027484342</v>
      </c>
      <c r="AV74" s="138">
        <v>6.0956250015232287</v>
      </c>
      <c r="AW74" s="138">
        <v>5.8436110971702444</v>
      </c>
      <c r="AX74" s="138">
        <v>6.1320833555526173</v>
      </c>
      <c r="AY74" s="138">
        <v>5.9603472409976828</v>
      </c>
      <c r="AZ74" s="138">
        <v>5.6739583495590384</v>
      </c>
      <c r="BA74" s="138">
        <v>6.1553472404678651</v>
      </c>
      <c r="BB74" s="138">
        <v>6.2453471927179196</v>
      </c>
      <c r="BC74" s="14">
        <v>6.0591666814353715</v>
      </c>
      <c r="BD74" s="14">
        <v>6.5123610935277316</v>
      </c>
      <c r="BE74" s="14">
        <v>6.2502083165778028</v>
      </c>
      <c r="BF74" s="139">
        <f>SUM(Input_Raw[[#This Row],[O2_01]:[O2_26]])</f>
        <v>580148</v>
      </c>
      <c r="BG74" s="140">
        <f>IFERROR(AVERAGE(Input_Raw[[#This Row],[WS_O2_01]:[WS_O2_26]]),"")</f>
        <v>6.127184657855695</v>
      </c>
      <c r="BH74" s="141"/>
      <c r="BI74" s="141"/>
      <c r="BJ74" s="13">
        <v>562950</v>
      </c>
      <c r="BK74" s="13">
        <v>0</v>
      </c>
      <c r="BL74" s="15">
        <f>Input_Raw[[#This Row],[66 kV_Wind_F1_Export_reading]]-Input_Raw[[#This Row],[66 kV_Wind_F1_Import_reading]]</f>
        <v>562950</v>
      </c>
      <c r="BM74" s="142">
        <f>Input_Raw[[#This Row],[WTG Total Gneration (KWh)]]-Input_Raw[[#This Row],[66 kV_Wind_F1_Export_reading]]</f>
        <v>17198</v>
      </c>
      <c r="BN74" s="111">
        <f>(Input_Raw[[#This Row],[WTG Total Gneration (KWh)]]-Input_Raw[[#This Row],[66 kV_Wind_F1_Export_reading]])/Input_Raw[[#This Row],[WTG Total Gneration (KWh)]]</f>
        <v>2.9644159766128643E-2</v>
      </c>
      <c r="BO74" s="89">
        <v>70.2</v>
      </c>
      <c r="BP74" s="99"/>
      <c r="BQ74" s="135">
        <v>593.58000000000004</v>
      </c>
      <c r="BR74" s="207"/>
    </row>
    <row r="75" spans="1:70">
      <c r="A75" s="240">
        <f t="shared" si="14"/>
        <v>45815</v>
      </c>
      <c r="B75" s="11">
        <f>YEAR(Input_Raw[[#This Row],[Date]])+IF(MONTH(Input_Raw[[#This Row],[Date]])&gt;=4,1,0)</f>
        <v>2026</v>
      </c>
      <c r="C75" s="11">
        <f>YEAR(Input_Raw[[#This Row],[Date]])</f>
        <v>2025</v>
      </c>
      <c r="D75" s="12">
        <f t="shared" si="15"/>
        <v>45809</v>
      </c>
      <c r="E75" s="11">
        <f>DAY(EOMONTH(Input_Raw[[#This Row],[Date]],0))</f>
        <v>30</v>
      </c>
      <c r="F75" s="416">
        <v>36444</v>
      </c>
      <c r="G75" s="416">
        <v>39249</v>
      </c>
      <c r="H75" s="416">
        <v>34508</v>
      </c>
      <c r="I75" s="416">
        <v>37281</v>
      </c>
      <c r="J75" s="416">
        <v>35981</v>
      </c>
      <c r="K75" s="416">
        <v>35598</v>
      </c>
      <c r="L75" s="416">
        <v>29552</v>
      </c>
      <c r="M75" s="416">
        <v>35543</v>
      </c>
      <c r="N75" s="416">
        <v>35377</v>
      </c>
      <c r="O75" s="416">
        <v>27739</v>
      </c>
      <c r="P75" s="416">
        <v>32412</v>
      </c>
      <c r="Q75" s="416">
        <v>32626</v>
      </c>
      <c r="R75" s="416">
        <v>30645</v>
      </c>
      <c r="S75" s="416">
        <v>31718</v>
      </c>
      <c r="T75" s="416">
        <v>32828</v>
      </c>
      <c r="U75" s="416">
        <v>34805</v>
      </c>
      <c r="V75" s="416">
        <v>36795</v>
      </c>
      <c r="W75" s="416">
        <v>33687</v>
      </c>
      <c r="X75" s="416">
        <v>34286</v>
      </c>
      <c r="Y75" s="416">
        <v>33556</v>
      </c>
      <c r="Z75" s="416">
        <v>30481</v>
      </c>
      <c r="AA75" s="416">
        <v>36261</v>
      </c>
      <c r="AB75" s="416">
        <v>33585</v>
      </c>
      <c r="AC75" s="417">
        <v>33319</v>
      </c>
      <c r="AD75" s="417">
        <v>36168</v>
      </c>
      <c r="AE75" s="417">
        <v>36341</v>
      </c>
      <c r="AF75" s="418">
        <v>7.768541673819219</v>
      </c>
      <c r="AG75" s="418">
        <v>7.8717361258135856</v>
      </c>
      <c r="AH75" s="418">
        <v>7.4576388763056816</v>
      </c>
      <c r="AI75" s="418">
        <v>8.0348529478206316</v>
      </c>
      <c r="AJ75" s="418">
        <v>7.7257639037238182</v>
      </c>
      <c r="AK75" s="418">
        <v>7.6244444325566256</v>
      </c>
      <c r="AL75" s="418">
        <v>7.9134545152837532</v>
      </c>
      <c r="AM75" s="418">
        <v>7.6634722368584676</v>
      </c>
      <c r="AN75" s="418">
        <v>7.6497222118907473</v>
      </c>
      <c r="AO75" s="418">
        <v>6.8254166576597362</v>
      </c>
      <c r="AP75" s="418">
        <v>7.3805555552244151</v>
      </c>
      <c r="AQ75" s="418">
        <v>7.3603472146722941</v>
      </c>
      <c r="AR75" s="418">
        <v>7.1381249941057598</v>
      </c>
      <c r="AS75" s="418">
        <v>7.2479166189829458</v>
      </c>
      <c r="AT75" s="418">
        <v>7.2613888780275921</v>
      </c>
      <c r="AU75" s="418">
        <v>7.4703472256660399</v>
      </c>
      <c r="AV75" s="418">
        <v>7.7663194421264814</v>
      </c>
      <c r="AW75" s="418">
        <v>7.3791666593816485</v>
      </c>
      <c r="AX75" s="418">
        <v>7.4386764571947168</v>
      </c>
      <c r="AY75" s="418">
        <v>7.3408333443933032</v>
      </c>
      <c r="AZ75" s="418">
        <v>7.1206944808363835</v>
      </c>
      <c r="BA75" s="418">
        <v>7.8234027442004885</v>
      </c>
      <c r="BB75" s="418">
        <v>7.6009027792347723</v>
      </c>
      <c r="BC75" s="419">
        <v>7.3146527691019827</v>
      </c>
      <c r="BD75" s="419">
        <v>7.5798611210452158</v>
      </c>
      <c r="BE75" s="419">
        <v>7.7581944697433016</v>
      </c>
      <c r="BF75" s="420">
        <f>SUM(Input_Raw[[#This Row],[O2_01]:[O2_26]])</f>
        <v>886785</v>
      </c>
      <c r="BG75" s="421">
        <f>IFERROR(AVERAGE(Input_Raw[[#This Row],[WS_O2_01]:[WS_O2_26]]),"")</f>
        <v>7.5198626282949839</v>
      </c>
      <c r="BH75" s="422"/>
      <c r="BI75" s="422"/>
      <c r="BJ75" s="417">
        <v>860400</v>
      </c>
      <c r="BK75" s="417">
        <v>0</v>
      </c>
      <c r="BL75" s="423">
        <f>Input_Raw[[#This Row],[66 kV_Wind_F1_Export_reading]]-Input_Raw[[#This Row],[66 kV_Wind_F1_Import_reading]]</f>
        <v>860400</v>
      </c>
      <c r="BM75" s="424">
        <f>Input_Raw[[#This Row],[WTG Total Gneration (KWh)]]-Input_Raw[[#This Row],[66 kV_Wind_F1_Export_reading]]</f>
        <v>26385</v>
      </c>
      <c r="BN75" s="111">
        <f>(Input_Raw[[#This Row],[WTG Total Gneration (KWh)]]-Input_Raw[[#This Row],[66 kV_Wind_F1_Export_reading]])/Input_Raw[[#This Row],[WTG Total Gneration (KWh)]]</f>
        <v>2.9753547928753871E-2</v>
      </c>
      <c r="BO75" s="89">
        <v>70.2</v>
      </c>
      <c r="BP75" s="425"/>
      <c r="BQ75" s="426">
        <v>899.42</v>
      </c>
      <c r="BR75" s="427"/>
    </row>
    <row r="76" spans="1:70">
      <c r="A76" s="240">
        <f t="shared" si="14"/>
        <v>45816</v>
      </c>
      <c r="B76" s="11">
        <f>YEAR(Input_Raw[[#This Row],[Date]])+IF(MONTH(Input_Raw[[#This Row],[Date]])&gt;=4,1,0)</f>
        <v>2026</v>
      </c>
      <c r="C76" s="11">
        <f>YEAR(Input_Raw[[#This Row],[Date]])</f>
        <v>2025</v>
      </c>
      <c r="D76" s="12">
        <f t="shared" si="15"/>
        <v>45809</v>
      </c>
      <c r="E76" s="11">
        <f>DAY(EOMONTH(Input_Raw[[#This Row],[Date]],0))</f>
        <v>30</v>
      </c>
      <c r="F76" s="137">
        <v>32831</v>
      </c>
      <c r="G76" s="137">
        <v>38753</v>
      </c>
      <c r="H76" s="137">
        <v>28801</v>
      </c>
      <c r="I76" s="137">
        <v>31181</v>
      </c>
      <c r="J76" s="137">
        <v>35576</v>
      </c>
      <c r="K76" s="137">
        <v>34796</v>
      </c>
      <c r="L76" s="137">
        <v>27380</v>
      </c>
      <c r="M76" s="137">
        <v>32471</v>
      </c>
      <c r="N76" s="137">
        <v>32169</v>
      </c>
      <c r="O76" s="137">
        <v>21370</v>
      </c>
      <c r="P76" s="137">
        <v>27931</v>
      </c>
      <c r="Q76" s="137">
        <v>28514</v>
      </c>
      <c r="R76" s="137">
        <v>29599</v>
      </c>
      <c r="S76" s="137">
        <v>29807</v>
      </c>
      <c r="T76" s="137">
        <v>29849</v>
      </c>
      <c r="U76" s="137">
        <v>27769</v>
      </c>
      <c r="V76" s="137">
        <v>37806</v>
      </c>
      <c r="W76" s="137">
        <v>34026</v>
      </c>
      <c r="X76" s="137">
        <v>32013</v>
      </c>
      <c r="Y76" s="137">
        <v>31913</v>
      </c>
      <c r="Z76" s="137">
        <v>29442</v>
      </c>
      <c r="AA76" s="137">
        <v>37250</v>
      </c>
      <c r="AB76" s="137">
        <v>30447</v>
      </c>
      <c r="AC76" s="13">
        <v>31586</v>
      </c>
      <c r="AD76" s="13">
        <v>36044</v>
      </c>
      <c r="AE76" s="13">
        <v>31644</v>
      </c>
      <c r="AF76" s="138">
        <v>7.4014583263132288</v>
      </c>
      <c r="AG76" s="138">
        <v>7.7237499819861499</v>
      </c>
      <c r="AH76" s="138">
        <v>6.9159027884403859</v>
      </c>
      <c r="AI76" s="138">
        <v>7.5827612598885343</v>
      </c>
      <c r="AJ76" s="138">
        <v>7.5311805754899961</v>
      </c>
      <c r="AK76" s="138">
        <v>7.4843055440319892</v>
      </c>
      <c r="AL76" s="138">
        <v>8.5572940994711448</v>
      </c>
      <c r="AM76" s="138">
        <v>7.2618055641651118</v>
      </c>
      <c r="AN76" s="138">
        <v>7.363958338896432</v>
      </c>
      <c r="AO76" s="138">
        <v>6.7677777840031501</v>
      </c>
      <c r="AP76" s="138">
        <v>6.9064583331346494</v>
      </c>
      <c r="AQ76" s="138">
        <v>6.9400694585508758</v>
      </c>
      <c r="AR76" s="138">
        <v>7.0047916736867686</v>
      </c>
      <c r="AS76" s="138">
        <v>7.0736805498599997</v>
      </c>
      <c r="AT76" s="138">
        <v>7.0331250064902813</v>
      </c>
      <c r="AU76" s="138">
        <v>7.2334751757324147</v>
      </c>
      <c r="AV76" s="138">
        <v>7.7297916511694558</v>
      </c>
      <c r="AW76" s="138">
        <v>7.2961111168066646</v>
      </c>
      <c r="AX76" s="138">
        <v>7.1388806051282705</v>
      </c>
      <c r="AY76" s="138">
        <v>7.1741666611697905</v>
      </c>
      <c r="AZ76" s="138">
        <v>6.9294444587495585</v>
      </c>
      <c r="BA76" s="138">
        <v>7.8553472326861469</v>
      </c>
      <c r="BB76" s="138">
        <v>7.1546527511543685</v>
      </c>
      <c r="BC76" s="14">
        <v>7.145555529329509</v>
      </c>
      <c r="BD76" s="14">
        <v>7.4145138826635133</v>
      </c>
      <c r="BE76" s="14">
        <v>7.2670139074325544</v>
      </c>
      <c r="BF76" s="139">
        <f>SUM(Input_Raw[[#This Row],[O2_01]:[O2_26]])</f>
        <v>820968</v>
      </c>
      <c r="BG76" s="140">
        <f>IFERROR(AVERAGE(Input_Raw[[#This Row],[WS_O2_01]:[WS_O2_26]]),"")</f>
        <v>7.3033566252473445</v>
      </c>
      <c r="BH76" s="141"/>
      <c r="BI76" s="141"/>
      <c r="BJ76" s="13">
        <v>796950</v>
      </c>
      <c r="BK76" s="13">
        <v>0</v>
      </c>
      <c r="BL76" s="15">
        <f>Input_Raw[[#This Row],[66 kV_Wind_F1_Export_reading]]-Input_Raw[[#This Row],[66 kV_Wind_F1_Import_reading]]</f>
        <v>796950</v>
      </c>
      <c r="BM76" s="142">
        <f>Input_Raw[[#This Row],[WTG Total Gneration (KWh)]]-Input_Raw[[#This Row],[66 kV_Wind_F1_Export_reading]]</f>
        <v>24018</v>
      </c>
      <c r="BN76" s="111">
        <f>(Input_Raw[[#This Row],[WTG Total Gneration (KWh)]]-Input_Raw[[#This Row],[66 kV_Wind_F1_Export_reading]])/Input_Raw[[#This Row],[WTG Total Gneration (KWh)]]</f>
        <v>2.9255707896044668E-2</v>
      </c>
      <c r="BO76" s="89">
        <v>70.2</v>
      </c>
      <c r="BP76" s="99"/>
      <c r="BQ76" s="135">
        <v>846.28</v>
      </c>
      <c r="BR76" s="207"/>
    </row>
    <row r="77" spans="1:70">
      <c r="A77" s="240">
        <f t="shared" si="14"/>
        <v>45817</v>
      </c>
      <c r="B77" s="11">
        <f>YEAR(Input_Raw[[#This Row],[Date]])+IF(MONTH(Input_Raw[[#This Row],[Date]])&gt;=4,1,0)</f>
        <v>2026</v>
      </c>
      <c r="C77" s="11">
        <f>YEAR(Input_Raw[[#This Row],[Date]])</f>
        <v>2025</v>
      </c>
      <c r="D77" s="12">
        <f>A77-DAY(A77)+1</f>
        <v>45809</v>
      </c>
      <c r="E77" s="11">
        <f>DAY(EOMONTH(Input_Raw[[#This Row],[Date]],0))</f>
        <v>30</v>
      </c>
      <c r="F77" s="137">
        <v>38655</v>
      </c>
      <c r="G77" s="137">
        <v>43809</v>
      </c>
      <c r="H77" s="137">
        <v>35879</v>
      </c>
      <c r="I77" s="137">
        <v>43999</v>
      </c>
      <c r="J77" s="137">
        <v>40683</v>
      </c>
      <c r="K77" s="137">
        <v>40911</v>
      </c>
      <c r="L77" s="137">
        <v>42416</v>
      </c>
      <c r="M77" s="137">
        <v>40286</v>
      </c>
      <c r="N77" s="137">
        <v>37517</v>
      </c>
      <c r="O77" s="137">
        <v>33817</v>
      </c>
      <c r="P77" s="137">
        <v>35565</v>
      </c>
      <c r="Q77" s="137">
        <v>36462</v>
      </c>
      <c r="R77" s="137">
        <v>36617</v>
      </c>
      <c r="S77" s="137">
        <v>36339</v>
      </c>
      <c r="T77" s="137">
        <v>38249</v>
      </c>
      <c r="U77" s="137">
        <v>35416</v>
      </c>
      <c r="V77" s="137">
        <v>43247</v>
      </c>
      <c r="W77" s="137">
        <v>39577</v>
      </c>
      <c r="X77" s="137">
        <v>43313</v>
      </c>
      <c r="Y77" s="137">
        <v>39588</v>
      </c>
      <c r="Z77" s="137">
        <v>36821</v>
      </c>
      <c r="AA77" s="137">
        <v>41992</v>
      </c>
      <c r="AB77" s="137">
        <v>38136</v>
      </c>
      <c r="AC77" s="13">
        <v>39136</v>
      </c>
      <c r="AD77" s="13">
        <v>41879</v>
      </c>
      <c r="AE77" s="13">
        <v>38713</v>
      </c>
      <c r="AF77" s="138">
        <v>7.908472203546097</v>
      </c>
      <c r="AG77" s="138">
        <v>8.260902775658499</v>
      </c>
      <c r="AH77" s="138">
        <v>7.5985416471958098</v>
      </c>
      <c r="AI77" s="138">
        <v>8.3585416608386485</v>
      </c>
      <c r="AJ77" s="138">
        <v>8.042569425370953</v>
      </c>
      <c r="AK77" s="138">
        <v>8.0915972193082091</v>
      </c>
      <c r="AL77" s="138">
        <v>8.1930555883381011</v>
      </c>
      <c r="AM77" s="138">
        <v>7.9800000223848508</v>
      </c>
      <c r="AN77" s="138">
        <v>7.8343055480056307</v>
      </c>
      <c r="AO77" s="138">
        <v>7.4884027623467881</v>
      </c>
      <c r="AP77" s="138">
        <v>7.7117361078659599</v>
      </c>
      <c r="AQ77" s="138">
        <v>7.7317361136277452</v>
      </c>
      <c r="AR77" s="138">
        <v>7.7313888602786545</v>
      </c>
      <c r="AS77" s="138">
        <v>7.7606250080797343</v>
      </c>
      <c r="AT77" s="138">
        <v>7.8295833302868703</v>
      </c>
      <c r="AU77" s="138">
        <v>7.9068749845027879</v>
      </c>
      <c r="AV77" s="138">
        <v>8.2959027853276961</v>
      </c>
      <c r="AW77" s="138">
        <v>7.9583333432674372</v>
      </c>
      <c r="AX77" s="138">
        <v>8.2127777636051107</v>
      </c>
      <c r="AY77" s="138">
        <v>7.97062503960397</v>
      </c>
      <c r="AZ77" s="138">
        <v>7.7406249923838413</v>
      </c>
      <c r="BA77" s="138">
        <v>8.3485416803095021</v>
      </c>
      <c r="BB77" s="138">
        <v>7.9217361079321904</v>
      </c>
      <c r="BC77" s="14">
        <v>7.9288194311989582</v>
      </c>
      <c r="BD77" s="14">
        <v>8.0008333126703839</v>
      </c>
      <c r="BE77" s="14">
        <v>7.9616666535536389</v>
      </c>
      <c r="BF77" s="139">
        <f>SUM(Input_Raw[[#This Row],[O2_01]:[O2_26]])</f>
        <v>1019022</v>
      </c>
      <c r="BG77" s="140">
        <f>IFERROR(AVERAGE(Input_Raw[[#This Row],[WS_O2_01]:[WS_O2_26]]),"")</f>
        <v>7.9526228602880016</v>
      </c>
      <c r="BH77" s="141"/>
      <c r="BI77" s="141"/>
      <c r="BJ77" s="13">
        <v>986400</v>
      </c>
      <c r="BK77" s="13">
        <v>0</v>
      </c>
      <c r="BL77" s="15">
        <f>Input_Raw[[#This Row],[66 kV_Wind_F1_Export_reading]]-Input_Raw[[#This Row],[66 kV_Wind_F1_Import_reading]]</f>
        <v>986400</v>
      </c>
      <c r="BM77" s="142">
        <f>Input_Raw[[#This Row],[WTG Total Gneration (KWh)]]-Input_Raw[[#This Row],[66 kV_Wind_F1_Export_reading]]</f>
        <v>32622</v>
      </c>
      <c r="BN77" s="111">
        <f>(Input_Raw[[#This Row],[WTG Total Gneration (KWh)]]-Input_Raw[[#This Row],[66 kV_Wind_F1_Export_reading]])/Input_Raw[[#This Row],[WTG Total Gneration (KWh)]]</f>
        <v>3.2013047804659765E-2</v>
      </c>
      <c r="BO77" s="89">
        <v>70.2</v>
      </c>
      <c r="BP77" s="99"/>
      <c r="BQ77" s="135">
        <v>1032.83</v>
      </c>
      <c r="BR77" s="207"/>
    </row>
    <row r="78" spans="1:70">
      <c r="A78" s="240">
        <f t="shared" si="14"/>
        <v>45818</v>
      </c>
      <c r="B78" s="11">
        <f>YEAR(Input_Raw[[#This Row],[Date]])+IF(MONTH(Input_Raw[[#This Row],[Date]])&gt;=4,1,0)</f>
        <v>2026</v>
      </c>
      <c r="C78" s="11">
        <f>YEAR(Input_Raw[[#This Row],[Date]])</f>
        <v>2025</v>
      </c>
      <c r="D78" s="12">
        <f>A78-DAY(A78)+1</f>
        <v>45809</v>
      </c>
      <c r="E78" s="11">
        <f>DAY(EOMONTH(Input_Raw[[#This Row],[Date]],0))</f>
        <v>30</v>
      </c>
      <c r="F78" s="137">
        <v>31902</v>
      </c>
      <c r="G78" s="137">
        <v>48133</v>
      </c>
      <c r="H78" s="137">
        <v>38820</v>
      </c>
      <c r="I78" s="137">
        <v>45191</v>
      </c>
      <c r="J78" s="137">
        <v>45509</v>
      </c>
      <c r="K78" s="137">
        <v>45918</v>
      </c>
      <c r="L78" s="137">
        <v>44939</v>
      </c>
      <c r="M78" s="137">
        <v>41406</v>
      </c>
      <c r="N78" s="137">
        <v>40203</v>
      </c>
      <c r="O78" s="137">
        <v>24662</v>
      </c>
      <c r="P78" s="137">
        <v>39174</v>
      </c>
      <c r="Q78" s="137">
        <v>38012</v>
      </c>
      <c r="R78" s="137">
        <v>38340</v>
      </c>
      <c r="S78" s="137">
        <v>40587</v>
      </c>
      <c r="T78" s="137">
        <v>39946</v>
      </c>
      <c r="U78" s="137">
        <v>36929</v>
      </c>
      <c r="V78" s="137">
        <v>47784</v>
      </c>
      <c r="W78" s="137">
        <v>45025</v>
      </c>
      <c r="X78" s="137">
        <v>45854</v>
      </c>
      <c r="Y78" s="137">
        <v>41819</v>
      </c>
      <c r="Z78" s="137">
        <v>39222</v>
      </c>
      <c r="AA78" s="137">
        <v>47621</v>
      </c>
      <c r="AB78" s="137">
        <v>41629</v>
      </c>
      <c r="AC78" s="13">
        <v>42452</v>
      </c>
      <c r="AD78" s="13">
        <v>44148</v>
      </c>
      <c r="AE78" s="13">
        <v>40326</v>
      </c>
      <c r="AF78" s="138">
        <v>7.9992253696414757</v>
      </c>
      <c r="AG78" s="138">
        <v>8.5848610947529362</v>
      </c>
      <c r="AH78" s="138">
        <v>7.7553472187783949</v>
      </c>
      <c r="AI78" s="138">
        <v>8.7191367166505263</v>
      </c>
      <c r="AJ78" s="138">
        <v>8.4429861406485145</v>
      </c>
      <c r="AK78" s="138">
        <v>8.4359027991692184</v>
      </c>
      <c r="AL78" s="138">
        <v>8.9128030412124701</v>
      </c>
      <c r="AM78" s="138">
        <v>8.1028472152021163</v>
      </c>
      <c r="AN78" s="138">
        <v>7.9327777822812351</v>
      </c>
      <c r="AO78" s="138">
        <v>7.2728800144195542</v>
      </c>
      <c r="AP78" s="138">
        <v>7.9554166793823207</v>
      </c>
      <c r="AQ78" s="138">
        <v>7.7859722524881301</v>
      </c>
      <c r="AR78" s="138">
        <v>7.8585416608386538</v>
      </c>
      <c r="AS78" s="138">
        <v>8.0125694672266619</v>
      </c>
      <c r="AT78" s="138">
        <v>7.9769444449080344</v>
      </c>
      <c r="AU78" s="138">
        <v>8.1075694544447767</v>
      </c>
      <c r="AV78" s="138">
        <v>8.6870138893524604</v>
      </c>
      <c r="AW78" s="138">
        <v>8.3173611048195024</v>
      </c>
      <c r="AX78" s="138">
        <v>8.5791367043694002</v>
      </c>
      <c r="AY78" s="138">
        <v>8.0747222271230434</v>
      </c>
      <c r="AZ78" s="138">
        <v>7.8759027851952412</v>
      </c>
      <c r="BA78" s="138">
        <v>8.8274305827087645</v>
      </c>
      <c r="BB78" s="138">
        <v>8.1327777471807217</v>
      </c>
      <c r="BC78" s="14">
        <v>8.1260416987869437</v>
      </c>
      <c r="BD78" s="14">
        <v>8.1667360977994043</v>
      </c>
      <c r="BE78" s="14">
        <v>8.0075694686836609</v>
      </c>
      <c r="BF78" s="139">
        <f>SUM(Input_Raw[[#This Row],[O2_01]:[O2_26]])</f>
        <v>1075551</v>
      </c>
      <c r="BG78" s="140">
        <f>IFERROR(AVERAGE(Input_Raw[[#This Row],[WS_O2_01]:[WS_O2_26]]),"")</f>
        <v>8.1788643714640052</v>
      </c>
      <c r="BH78" s="141"/>
      <c r="BI78" s="141"/>
      <c r="BJ78" s="13">
        <v>1039950</v>
      </c>
      <c r="BK78" s="13">
        <v>0</v>
      </c>
      <c r="BL78" s="15">
        <f>Input_Raw[[#This Row],[66 kV_Wind_F1_Export_reading]]-Input_Raw[[#This Row],[66 kV_Wind_F1_Import_reading]]</f>
        <v>1039950</v>
      </c>
      <c r="BM78" s="142">
        <f>Input_Raw[[#This Row],[WTG Total Gneration (KWh)]]-Input_Raw[[#This Row],[66 kV_Wind_F1_Export_reading]]</f>
        <v>35601</v>
      </c>
      <c r="BN78" s="111">
        <f>(Input_Raw[[#This Row],[WTG Total Gneration (KWh)]]-Input_Raw[[#This Row],[66 kV_Wind_F1_Export_reading]])/Input_Raw[[#This Row],[WTG Total Gneration (KWh)]]</f>
        <v>3.3100243503097482E-2</v>
      </c>
      <c r="BO78" s="89">
        <v>70.2</v>
      </c>
      <c r="BP78" s="99"/>
      <c r="BQ78" s="135">
        <v>1108.3499999999999</v>
      </c>
      <c r="BR78" s="207"/>
    </row>
    <row r="79" spans="1:70">
      <c r="A79" s="240">
        <f t="shared" si="14"/>
        <v>45819</v>
      </c>
      <c r="B79" s="11">
        <f>YEAR(Input_Raw[[#This Row],[Date]])+IF(MONTH(Input_Raw[[#This Row],[Date]])&gt;=4,1,0)</f>
        <v>2026</v>
      </c>
      <c r="C79" s="11">
        <f>YEAR(Input_Raw[[#This Row],[Date]])</f>
        <v>2025</v>
      </c>
      <c r="D79" s="12">
        <f>A79-DAY(A79)+1</f>
        <v>45809</v>
      </c>
      <c r="E79" s="11">
        <f>DAY(EOMONTH(Input_Raw[[#This Row],[Date]],0))</f>
        <v>30</v>
      </c>
      <c r="F79" s="428">
        <v>9734</v>
      </c>
      <c r="G79" s="428">
        <v>36977</v>
      </c>
      <c r="H79" s="428">
        <v>29844</v>
      </c>
      <c r="I79" s="428">
        <v>39436</v>
      </c>
      <c r="J79" s="428">
        <v>36794</v>
      </c>
      <c r="K79" s="428">
        <v>40136</v>
      </c>
      <c r="L79" s="428">
        <v>37443</v>
      </c>
      <c r="M79" s="428">
        <v>32554</v>
      </c>
      <c r="N79" s="428">
        <v>31584</v>
      </c>
      <c r="O79" s="428">
        <v>29395</v>
      </c>
      <c r="P79" s="428">
        <v>30425</v>
      </c>
      <c r="Q79" s="428">
        <v>29594</v>
      </c>
      <c r="R79" s="428">
        <v>30667</v>
      </c>
      <c r="S79" s="428">
        <v>31516</v>
      </c>
      <c r="T79" s="428">
        <v>33467</v>
      </c>
      <c r="U79" s="428">
        <v>31802</v>
      </c>
      <c r="V79" s="428">
        <v>43028</v>
      </c>
      <c r="W79" s="428">
        <v>38012</v>
      </c>
      <c r="X79" s="428">
        <v>38995</v>
      </c>
      <c r="Y79" s="428">
        <v>36328</v>
      </c>
      <c r="Z79" s="428">
        <v>32780</v>
      </c>
      <c r="AA79" s="428">
        <v>42577</v>
      </c>
      <c r="AB79" s="428">
        <v>32660</v>
      </c>
      <c r="AC79" s="429">
        <v>32861</v>
      </c>
      <c r="AD79" s="429">
        <v>34949</v>
      </c>
      <c r="AE79" s="429">
        <v>31821</v>
      </c>
      <c r="AF79" s="430">
        <v>7.0827272463511743</v>
      </c>
      <c r="AG79" s="430">
        <v>7.347777799185776</v>
      </c>
      <c r="AH79" s="430">
        <v>6.8309722393751136</v>
      </c>
      <c r="AI79" s="430">
        <v>7.7086111058791396</v>
      </c>
      <c r="AJ79" s="430">
        <v>7.4347916940848018</v>
      </c>
      <c r="AK79" s="430">
        <v>7.79847219917509</v>
      </c>
      <c r="AL79" s="430">
        <v>7.5847916685872496</v>
      </c>
      <c r="AM79" s="430">
        <v>7.1610416637526599</v>
      </c>
      <c r="AN79" s="430">
        <v>7.0099305609862004</v>
      </c>
      <c r="AO79" s="430">
        <v>6.8956944545110055</v>
      </c>
      <c r="AP79" s="430">
        <v>6.9265277783075963</v>
      </c>
      <c r="AQ79" s="430">
        <v>6.8605555925104342</v>
      </c>
      <c r="AR79" s="430">
        <v>6.9643356583335176</v>
      </c>
      <c r="AS79" s="430">
        <v>7.0265972697072527</v>
      </c>
      <c r="AT79" s="430">
        <v>7.2197222262620908</v>
      </c>
      <c r="AU79" s="430">
        <v>7.3999305533038227</v>
      </c>
      <c r="AV79" s="430">
        <v>8.0122916466659859</v>
      </c>
      <c r="AW79" s="430">
        <v>7.5482639041211836</v>
      </c>
      <c r="AX79" s="430">
        <v>7.5443749990728053</v>
      </c>
      <c r="AY79" s="430">
        <v>7.3913194421264841</v>
      </c>
      <c r="AZ79" s="430">
        <v>7.1441666666004373</v>
      </c>
      <c r="BA79" s="430">
        <v>8.2018749896022918</v>
      </c>
      <c r="BB79" s="430">
        <v>7.1577083749903556</v>
      </c>
      <c r="BC79" s="431">
        <v>7.1293749958276731</v>
      </c>
      <c r="BD79" s="431">
        <v>7.1595833400885249</v>
      </c>
      <c r="BE79" s="431">
        <v>7.0726388825310593</v>
      </c>
      <c r="BF79" s="432">
        <f>SUM(Input_Raw[[#This Row],[O2_01]:[O2_26]])</f>
        <v>875379</v>
      </c>
      <c r="BG79" s="433">
        <f>IFERROR(AVERAGE(Input_Raw[[#This Row],[WS_O2_01]:[WS_O2_26]]),"")</f>
        <v>7.2928491135361435</v>
      </c>
      <c r="BH79" s="434"/>
      <c r="BI79" s="434"/>
      <c r="BJ79" s="429">
        <v>847350</v>
      </c>
      <c r="BK79" s="429">
        <v>0</v>
      </c>
      <c r="BL79" s="435">
        <f>Input_Raw[[#This Row],[66 kV_Wind_F1_Export_reading]]-Input_Raw[[#This Row],[66 kV_Wind_F1_Import_reading]]</f>
        <v>847350</v>
      </c>
      <c r="BM79" s="436">
        <f>Input_Raw[[#This Row],[WTG Total Gneration (KWh)]]-Input_Raw[[#This Row],[66 kV_Wind_F1_Export_reading]]</f>
        <v>28029</v>
      </c>
      <c r="BN79" s="111">
        <f>(Input_Raw[[#This Row],[WTG Total Gneration (KWh)]]-Input_Raw[[#This Row],[66 kV_Wind_F1_Export_reading]])/Input_Raw[[#This Row],[WTG Total Gneration (KWh)]]</f>
        <v>3.2019273937345993E-2</v>
      </c>
      <c r="BO79" s="89">
        <v>70.2</v>
      </c>
      <c r="BP79" s="437"/>
      <c r="BQ79" s="438">
        <v>911.21</v>
      </c>
      <c r="BR79" s="439"/>
    </row>
    <row r="80" spans="1:70">
      <c r="A80" s="240">
        <f t="shared" si="14"/>
        <v>45820</v>
      </c>
      <c r="B80" s="11">
        <f>YEAR(Input_Raw[[#This Row],[Date]])+IF(MONTH(Input_Raw[[#This Row],[Date]])&gt;=4,1,0)</f>
        <v>2026</v>
      </c>
      <c r="C80" s="11">
        <f>YEAR(Input_Raw[[#This Row],[Date]])</f>
        <v>2025</v>
      </c>
      <c r="D80" s="12">
        <f>A80-DAY(A80)+1</f>
        <v>45809</v>
      </c>
      <c r="E80" s="11">
        <f>DAY(EOMONTH(Input_Raw[[#This Row],[Date]],0))</f>
        <v>30</v>
      </c>
      <c r="F80" s="137">
        <v>34477</v>
      </c>
      <c r="G80" s="137">
        <v>39052</v>
      </c>
      <c r="H80" s="137">
        <v>34841</v>
      </c>
      <c r="I80" s="137">
        <v>38026</v>
      </c>
      <c r="J80" s="137">
        <v>39640</v>
      </c>
      <c r="K80" s="137">
        <v>38942</v>
      </c>
      <c r="L80" s="137">
        <v>35495</v>
      </c>
      <c r="M80" s="137">
        <v>35425</v>
      </c>
      <c r="N80" s="137">
        <v>34158</v>
      </c>
      <c r="O80" s="137">
        <v>32656</v>
      </c>
      <c r="P80" s="137">
        <v>35464</v>
      </c>
      <c r="Q80" s="137">
        <v>35020</v>
      </c>
      <c r="R80" s="137">
        <v>36239</v>
      </c>
      <c r="S80" s="137">
        <v>33546</v>
      </c>
      <c r="T80" s="137">
        <v>34042</v>
      </c>
      <c r="U80" s="137">
        <v>33459</v>
      </c>
      <c r="V80" s="137">
        <v>38207</v>
      </c>
      <c r="W80" s="137">
        <v>38826</v>
      </c>
      <c r="X80" s="137">
        <v>31298</v>
      </c>
      <c r="Y80" s="137">
        <v>36557</v>
      </c>
      <c r="Z80" s="137">
        <v>36826</v>
      </c>
      <c r="AA80" s="137">
        <v>38525</v>
      </c>
      <c r="AB80" s="137">
        <v>34706</v>
      </c>
      <c r="AC80" s="13">
        <v>35891</v>
      </c>
      <c r="AD80" s="13">
        <v>39349</v>
      </c>
      <c r="AE80" s="13">
        <v>34057</v>
      </c>
      <c r="AF80" s="138">
        <v>7.5340277916855216</v>
      </c>
      <c r="AG80" s="138">
        <v>7.9267361313104532</v>
      </c>
      <c r="AH80" s="138">
        <v>7.3832638611396142</v>
      </c>
      <c r="AI80" s="138">
        <v>7.9136111074023701</v>
      </c>
      <c r="AJ80" s="138">
        <v>8.0056944555706373</v>
      </c>
      <c r="AK80" s="138">
        <v>7.9624305615822379</v>
      </c>
      <c r="AL80" s="138">
        <v>7.6538888663053433</v>
      </c>
      <c r="AM80" s="138">
        <v>7.5211805684698891</v>
      </c>
      <c r="AN80" s="138">
        <v>7.420763889948522</v>
      </c>
      <c r="AO80" s="138">
        <v>7.3535416887866081</v>
      </c>
      <c r="AP80" s="138">
        <v>7.5993749764230483</v>
      </c>
      <c r="AQ80" s="138">
        <v>7.5746527993016723</v>
      </c>
      <c r="AR80" s="138">
        <v>7.6446527590354219</v>
      </c>
      <c r="AS80" s="138">
        <v>7.4270833498901743</v>
      </c>
      <c r="AT80" s="138">
        <v>7.4801389094855999</v>
      </c>
      <c r="AU80" s="138">
        <v>7.7636805640326543</v>
      </c>
      <c r="AV80" s="138">
        <v>8.1264583402209709</v>
      </c>
      <c r="AW80" s="138">
        <v>7.857986140582284</v>
      </c>
      <c r="AX80" s="138">
        <v>7.1226389076974597</v>
      </c>
      <c r="AY80" s="138">
        <v>7.7411111146211562</v>
      </c>
      <c r="AZ80" s="138">
        <v>7.7532639205455718</v>
      </c>
      <c r="BA80" s="138">
        <v>8.1178472257322642</v>
      </c>
      <c r="BB80" s="138">
        <v>7.5440971950689901</v>
      </c>
      <c r="BC80" s="14">
        <v>7.6123611198531229</v>
      </c>
      <c r="BD80" s="14">
        <v>7.7410416752099911</v>
      </c>
      <c r="BE80" s="14">
        <v>7.4847222152683441</v>
      </c>
      <c r="BF80" s="139">
        <f>SUM(Input_Raw[[#This Row],[O2_01]:[O2_26]])</f>
        <v>934724</v>
      </c>
      <c r="BG80" s="140">
        <f>IFERROR(AVERAGE(Input_Raw[[#This Row],[WS_O2_01]:[WS_O2_26]]),"")</f>
        <v>7.6640865436603827</v>
      </c>
      <c r="BH80" s="141"/>
      <c r="BI80" s="141"/>
      <c r="BJ80" s="13">
        <v>904050</v>
      </c>
      <c r="BK80" s="13">
        <v>0</v>
      </c>
      <c r="BL80" s="15">
        <f>Input_Raw[[#This Row],[66 kV_Wind_F1_Export_reading]]-Input_Raw[[#This Row],[66 kV_Wind_F1_Import_reading]]</f>
        <v>904050</v>
      </c>
      <c r="BM80" s="142">
        <f>Input_Raw[[#This Row],[WTG Total Gneration (KWh)]]-Input_Raw[[#This Row],[66 kV_Wind_F1_Export_reading]]</f>
        <v>30674</v>
      </c>
      <c r="BN80" s="111">
        <f>(Input_Raw[[#This Row],[WTG Total Gneration (KWh)]]-Input_Raw[[#This Row],[66 kV_Wind_F1_Export_reading]])/Input_Raw[[#This Row],[WTG Total Gneration (KWh)]]</f>
        <v>3.2816104005032501E-2</v>
      </c>
      <c r="BO80" s="89">
        <v>70.2</v>
      </c>
      <c r="BP80" s="99"/>
      <c r="BQ80" s="135">
        <v>956.64</v>
      </c>
      <c r="BR80" s="207"/>
    </row>
    <row r="81" spans="1:70">
      <c r="A81" s="240">
        <f t="shared" si="14"/>
        <v>45821</v>
      </c>
      <c r="B81" s="11">
        <f>YEAR(Input_Raw[[#This Row],[Date]])+IF(MONTH(Input_Raw[[#This Row],[Date]])&gt;=4,1,0)</f>
        <v>2026</v>
      </c>
      <c r="C81" s="11">
        <f>YEAR(Input_Raw[[#This Row],[Date]])</f>
        <v>2025</v>
      </c>
      <c r="D81" s="12">
        <f>A81-DAY(A81)+1</f>
        <v>45809</v>
      </c>
      <c r="E81" s="11">
        <f>DAY(EOMONTH(Input_Raw[[#This Row],[Date]],0))</f>
        <v>30</v>
      </c>
      <c r="F81" s="137">
        <v>32934</v>
      </c>
      <c r="G81" s="137">
        <v>36638</v>
      </c>
      <c r="H81" s="137">
        <v>25663</v>
      </c>
      <c r="I81" s="137">
        <v>36067</v>
      </c>
      <c r="J81" s="137">
        <v>36849</v>
      </c>
      <c r="K81" s="137">
        <v>39258</v>
      </c>
      <c r="L81" s="137">
        <v>36104</v>
      </c>
      <c r="M81" s="137">
        <v>34334</v>
      </c>
      <c r="N81" s="137">
        <v>33994</v>
      </c>
      <c r="O81" s="137">
        <v>34029</v>
      </c>
      <c r="P81" s="137">
        <v>32527</v>
      </c>
      <c r="Q81" s="137">
        <v>34595</v>
      </c>
      <c r="R81" s="137">
        <v>33442</v>
      </c>
      <c r="S81" s="137">
        <v>34593</v>
      </c>
      <c r="T81" s="137">
        <v>34646</v>
      </c>
      <c r="U81" s="137">
        <v>37642</v>
      </c>
      <c r="V81" s="137">
        <v>39839</v>
      </c>
      <c r="W81" s="137">
        <v>38863</v>
      </c>
      <c r="X81" s="137">
        <v>37802</v>
      </c>
      <c r="Y81" s="137">
        <v>35544</v>
      </c>
      <c r="Z81" s="137">
        <v>36906</v>
      </c>
      <c r="AA81" s="137">
        <v>38130</v>
      </c>
      <c r="AB81" s="137">
        <v>34730</v>
      </c>
      <c r="AC81" s="13">
        <v>36590</v>
      </c>
      <c r="AD81" s="13">
        <v>37779</v>
      </c>
      <c r="AE81" s="13">
        <v>35207</v>
      </c>
      <c r="AF81" s="138">
        <v>7.4088888929949821</v>
      </c>
      <c r="AG81" s="138">
        <v>7.6950000127156546</v>
      </c>
      <c r="AH81" s="138">
        <v>7.197222231162919</v>
      </c>
      <c r="AI81" s="138">
        <v>7.6814583448900073</v>
      </c>
      <c r="AJ81" s="138">
        <v>7.7422916558053698</v>
      </c>
      <c r="AK81" s="138">
        <v>7.8988888851470351</v>
      </c>
      <c r="AL81" s="138">
        <v>7.6506944174567808</v>
      </c>
      <c r="AM81" s="138">
        <v>7.4099305669466622</v>
      </c>
      <c r="AN81" s="138">
        <v>7.4380555335018324</v>
      </c>
      <c r="AO81" s="138">
        <v>7.4325694450073758</v>
      </c>
      <c r="AP81" s="138">
        <v>7.3402097758713269</v>
      </c>
      <c r="AQ81" s="138">
        <v>7.4908333486980849</v>
      </c>
      <c r="AR81" s="138">
        <v>7.4000694470273096</v>
      </c>
      <c r="AS81" s="138">
        <v>7.4993055562178261</v>
      </c>
      <c r="AT81" s="138">
        <v>7.4936111172040292</v>
      </c>
      <c r="AU81" s="138">
        <v>7.7504166728920394</v>
      </c>
      <c r="AV81" s="138">
        <v>8.0449305342303337</v>
      </c>
      <c r="AW81" s="138">
        <v>7.8056250090400328</v>
      </c>
      <c r="AX81" s="138">
        <v>7.701666672196648</v>
      </c>
      <c r="AY81" s="138">
        <v>7.5675694197416261</v>
      </c>
      <c r="AZ81" s="138">
        <v>7.6529861398869095</v>
      </c>
      <c r="BA81" s="138">
        <v>7.9468055582708708</v>
      </c>
      <c r="BB81" s="138">
        <v>7.5195833163128931</v>
      </c>
      <c r="BC81" s="14">
        <v>7.6123611330985987</v>
      </c>
      <c r="BD81" s="14">
        <v>7.6494444376892483</v>
      </c>
      <c r="BE81" s="14">
        <v>7.5599305886361305</v>
      </c>
      <c r="BF81" s="139">
        <f>SUM(Input_Raw[[#This Row],[O2_01]:[O2_26]])</f>
        <v>924705</v>
      </c>
      <c r="BG81" s="140">
        <f>IFERROR(AVERAGE(Input_Raw[[#This Row],[WS_O2_01]:[WS_O2_26]]),"")</f>
        <v>7.5996287966400979</v>
      </c>
      <c r="BH81" s="141"/>
      <c r="BI81" s="141"/>
      <c r="BJ81" s="13">
        <v>917550</v>
      </c>
      <c r="BK81" s="13">
        <v>0</v>
      </c>
      <c r="BL81" s="15">
        <f>Input_Raw[[#This Row],[66 kV_Wind_F1_Export_reading]]-Input_Raw[[#This Row],[66 kV_Wind_F1_Import_reading]]</f>
        <v>917550</v>
      </c>
      <c r="BM81" s="142">
        <f>Input_Raw[[#This Row],[WTG Total Gneration (KWh)]]-Input_Raw[[#This Row],[66 kV_Wind_F1_Export_reading]]</f>
        <v>7155</v>
      </c>
      <c r="BN81" s="111">
        <f>(Input_Raw[[#This Row],[WTG Total Gneration (KWh)]]-Input_Raw[[#This Row],[66 kV_Wind_F1_Export_reading]])/Input_Raw[[#This Row],[WTG Total Gneration (KWh)]]</f>
        <v>7.73760280305611E-3</v>
      </c>
      <c r="BO81" s="89">
        <v>70.2</v>
      </c>
      <c r="BP81" s="99"/>
      <c r="BQ81" s="135">
        <v>974.61</v>
      </c>
      <c r="BR81" s="207"/>
    </row>
    <row r="82" spans="1:70">
      <c r="A82" s="240">
        <f t="shared" si="14"/>
        <v>45822</v>
      </c>
      <c r="B82" s="11">
        <f>YEAR(Input_Raw[[#This Row],[Date]])+IF(MONTH(Input_Raw[[#This Row],[Date]])&gt;=4,1,0)</f>
        <v>2026</v>
      </c>
      <c r="C82" s="11">
        <f>YEAR(Input_Raw[[#This Row],[Date]])</f>
        <v>2025</v>
      </c>
      <c r="D82" s="12">
        <f t="shared" ref="D82:D83" si="16">A82-DAY(A82)+1</f>
        <v>45809</v>
      </c>
      <c r="E82" s="11">
        <f>DAY(EOMONTH(Input_Raw[[#This Row],[Date]],0))</f>
        <v>30</v>
      </c>
      <c r="F82" s="137">
        <v>19047</v>
      </c>
      <c r="G82" s="137">
        <v>22274</v>
      </c>
      <c r="H82" s="137">
        <v>13499</v>
      </c>
      <c r="I82" s="137">
        <v>19604</v>
      </c>
      <c r="J82" s="137">
        <v>21920</v>
      </c>
      <c r="K82" s="137">
        <v>17769</v>
      </c>
      <c r="L82" s="137">
        <v>17345</v>
      </c>
      <c r="M82" s="137">
        <v>16297</v>
      </c>
      <c r="N82" s="137">
        <v>17985</v>
      </c>
      <c r="O82" s="137">
        <v>16628</v>
      </c>
      <c r="P82" s="137">
        <v>17271</v>
      </c>
      <c r="Q82" s="137">
        <v>18334</v>
      </c>
      <c r="R82" s="137">
        <v>18635</v>
      </c>
      <c r="S82" s="137">
        <v>18138</v>
      </c>
      <c r="T82" s="137">
        <v>17305</v>
      </c>
      <c r="U82" s="137">
        <v>17419</v>
      </c>
      <c r="V82" s="137">
        <v>18673</v>
      </c>
      <c r="W82" s="137">
        <v>15821</v>
      </c>
      <c r="X82" s="137">
        <v>17165</v>
      </c>
      <c r="Y82" s="137">
        <v>16544</v>
      </c>
      <c r="Z82" s="137">
        <v>15053</v>
      </c>
      <c r="AA82" s="137">
        <v>18674</v>
      </c>
      <c r="AB82" s="137">
        <v>18024</v>
      </c>
      <c r="AC82" s="13">
        <v>16943</v>
      </c>
      <c r="AD82" s="13">
        <v>22054</v>
      </c>
      <c r="AE82" s="13">
        <v>14946</v>
      </c>
      <c r="AF82" s="138">
        <v>5.5225694684518691</v>
      </c>
      <c r="AG82" s="138">
        <v>5.7699999954137491</v>
      </c>
      <c r="AH82" s="138">
        <v>5.44187502728568</v>
      </c>
      <c r="AI82" s="138">
        <v>5.6206060507983855</v>
      </c>
      <c r="AJ82" s="138">
        <v>5.7986805513501141</v>
      </c>
      <c r="AK82" s="138">
        <v>5.5409701555244508</v>
      </c>
      <c r="AL82" s="138">
        <v>5.390970164715351</v>
      </c>
      <c r="AM82" s="138">
        <v>5.215075758822036</v>
      </c>
      <c r="AN82" s="138">
        <v>5.4499305834372826</v>
      </c>
      <c r="AO82" s="138">
        <v>5.2748610989914999</v>
      </c>
      <c r="AP82" s="138">
        <v>5.4329166652427769</v>
      </c>
      <c r="AQ82" s="138">
        <v>5.3913194371594297</v>
      </c>
      <c r="AR82" s="138">
        <v>5.4374305473433591</v>
      </c>
      <c r="AS82" s="138">
        <v>5.4235416617658387</v>
      </c>
      <c r="AT82" s="138">
        <v>5.6494405548889315</v>
      </c>
      <c r="AU82" s="138">
        <v>5.4108209040627546</v>
      </c>
      <c r="AV82" s="138">
        <v>5.6648507456281267</v>
      </c>
      <c r="AW82" s="138">
        <v>5.2827272726730854</v>
      </c>
      <c r="AX82" s="138">
        <v>5.284242425001028</v>
      </c>
      <c r="AY82" s="138">
        <v>5.3307462543693935</v>
      </c>
      <c r="AZ82" s="138">
        <v>5.1782575777985826</v>
      </c>
      <c r="BA82" s="138">
        <v>5.662913382522702</v>
      </c>
      <c r="BB82" s="138">
        <v>5.4460416932900735</v>
      </c>
      <c r="BC82" s="14">
        <v>5.3006716526266349</v>
      </c>
      <c r="BD82" s="14">
        <v>5.7179166670474713</v>
      </c>
      <c r="BE82" s="14">
        <v>5.2453030234936495</v>
      </c>
      <c r="BF82" s="139">
        <f>SUM(Input_Raw[[#This Row],[O2_01]:[O2_26]])</f>
        <v>463367</v>
      </c>
      <c r="BG82" s="140">
        <f>IFERROR(AVERAGE(Input_Raw[[#This Row],[WS_O2_01]:[WS_O2_26]]),"")</f>
        <v>5.4571030507578548</v>
      </c>
      <c r="BH82" s="141"/>
      <c r="BI82" s="141"/>
      <c r="BJ82" s="13">
        <v>429300</v>
      </c>
      <c r="BK82" s="13">
        <v>450</v>
      </c>
      <c r="BL82" s="15">
        <f>Input_Raw[[#This Row],[66 kV_Wind_F1_Export_reading]]-Input_Raw[[#This Row],[66 kV_Wind_F1_Import_reading]]</f>
        <v>428850</v>
      </c>
      <c r="BM82" s="142">
        <f>Input_Raw[[#This Row],[WTG Total Gneration (KWh)]]-Input_Raw[[#This Row],[66 kV_Wind_F1_Export_reading]]</f>
        <v>34067</v>
      </c>
      <c r="BN82" s="111">
        <f>(Input_Raw[[#This Row],[WTG Total Gneration (KWh)]]-Input_Raw[[#This Row],[66 kV_Wind_F1_Export_reading]])/Input_Raw[[#This Row],[WTG Total Gneration (KWh)]]</f>
        <v>7.3520557139373333E-2</v>
      </c>
      <c r="BO82" s="89">
        <v>70.2</v>
      </c>
      <c r="BP82" s="99"/>
      <c r="BQ82" s="135">
        <v>487.83</v>
      </c>
      <c r="BR82" s="207"/>
    </row>
    <row r="83" spans="1:70">
      <c r="A83" s="240">
        <f t="shared" si="14"/>
        <v>45823</v>
      </c>
      <c r="B83" s="11">
        <f>YEAR(Input_Raw[[#This Row],[Date]])+IF(MONTH(Input_Raw[[#This Row],[Date]])&gt;=4,1,0)</f>
        <v>2026</v>
      </c>
      <c r="C83" s="11">
        <f>YEAR(Input_Raw[[#This Row],[Date]])</f>
        <v>2025</v>
      </c>
      <c r="D83" s="12">
        <f t="shared" si="16"/>
        <v>45809</v>
      </c>
      <c r="E83" s="11">
        <f>DAY(EOMONTH(Input_Raw[[#This Row],[Date]],0))</f>
        <v>30</v>
      </c>
      <c r="F83" s="137">
        <v>6873</v>
      </c>
      <c r="G83" s="137">
        <v>7405</v>
      </c>
      <c r="H83" s="137">
        <v>6039</v>
      </c>
      <c r="I83" s="137">
        <v>7279</v>
      </c>
      <c r="J83" s="137">
        <v>7628</v>
      </c>
      <c r="K83" s="137">
        <v>6453</v>
      </c>
      <c r="L83" s="137">
        <v>6199</v>
      </c>
      <c r="M83" s="137">
        <v>6049</v>
      </c>
      <c r="N83" s="137">
        <v>6230</v>
      </c>
      <c r="O83" s="137">
        <v>5616</v>
      </c>
      <c r="P83" s="137">
        <v>5733</v>
      </c>
      <c r="Q83" s="137">
        <v>6246</v>
      </c>
      <c r="R83" s="137">
        <v>5738</v>
      </c>
      <c r="S83" s="137">
        <v>5678</v>
      </c>
      <c r="T83" s="137">
        <v>6379</v>
      </c>
      <c r="U83" s="137">
        <v>6661</v>
      </c>
      <c r="V83" s="137">
        <v>7576</v>
      </c>
      <c r="W83" s="137">
        <v>6368</v>
      </c>
      <c r="X83" s="137">
        <v>6397</v>
      </c>
      <c r="Y83" s="137">
        <v>6037</v>
      </c>
      <c r="Z83" s="137">
        <v>6617</v>
      </c>
      <c r="AA83" s="137">
        <v>7684</v>
      </c>
      <c r="AB83" s="137">
        <v>6606</v>
      </c>
      <c r="AC83" s="13">
        <v>6770</v>
      </c>
      <c r="AD83" s="13">
        <v>7091</v>
      </c>
      <c r="AE83" s="13">
        <v>6614</v>
      </c>
      <c r="AF83" s="138">
        <v>3.451597220781776</v>
      </c>
      <c r="AG83" s="138">
        <v>3.5475694475074602</v>
      </c>
      <c r="AH83" s="138">
        <v>3.34840278699994</v>
      </c>
      <c r="AI83" s="138">
        <v>3.5663194341791993</v>
      </c>
      <c r="AJ83" s="138">
        <v>3.6200000018709226</v>
      </c>
      <c r="AK83" s="138">
        <v>3.7085416656401415</v>
      </c>
      <c r="AL83" s="138">
        <v>3.3538194497426344</v>
      </c>
      <c r="AM83" s="138">
        <v>3.3354861123694306</v>
      </c>
      <c r="AN83" s="138">
        <v>3.2886805488831459</v>
      </c>
      <c r="AO83" s="138">
        <v>3.4709722192751027</v>
      </c>
      <c r="AP83" s="138">
        <v>3.375486114372809</v>
      </c>
      <c r="AQ83" s="138">
        <v>3.5652777896159216</v>
      </c>
      <c r="AR83" s="138">
        <v>3.4454166793988801</v>
      </c>
      <c r="AS83" s="138">
        <v>3.4982638913724151</v>
      </c>
      <c r="AT83" s="138">
        <v>3.560347215169005</v>
      </c>
      <c r="AU83" s="138">
        <v>3.6470138836238104</v>
      </c>
      <c r="AV83" s="138">
        <v>3.9023611057135787</v>
      </c>
      <c r="AW83" s="138">
        <v>3.5278472238116785</v>
      </c>
      <c r="AX83" s="138">
        <v>3.4488194489644624</v>
      </c>
      <c r="AY83" s="138">
        <v>3.5579861183133383</v>
      </c>
      <c r="AZ83" s="138">
        <v>3.5865972220069824</v>
      </c>
      <c r="BA83" s="138">
        <v>3.8318750080135127</v>
      </c>
      <c r="BB83" s="138">
        <v>3.4724305665327435</v>
      </c>
      <c r="BC83" s="14">
        <v>3.577916655689477</v>
      </c>
      <c r="BD83" s="14">
        <v>3.5811111152999922</v>
      </c>
      <c r="BE83" s="14">
        <v>3.4431250062253733</v>
      </c>
      <c r="BF83" s="139">
        <f>SUM(Input_Raw[[#This Row],[O2_01]:[O2_26]])</f>
        <v>169966</v>
      </c>
      <c r="BG83" s="140">
        <f>IFERROR(AVERAGE(Input_Raw[[#This Row],[WS_O2_01]:[WS_O2_26]]),"")</f>
        <v>3.5274332281297589</v>
      </c>
      <c r="BH83" s="141"/>
      <c r="BI83" s="141"/>
      <c r="BJ83" s="13">
        <v>162900</v>
      </c>
      <c r="BK83" s="13">
        <v>1800</v>
      </c>
      <c r="BL83" s="15">
        <f>Input_Raw[[#This Row],[66 kV_Wind_F1_Export_reading]]-Input_Raw[[#This Row],[66 kV_Wind_F1_Import_reading]]</f>
        <v>161100</v>
      </c>
      <c r="BM83" s="142">
        <f>Input_Raw[[#This Row],[WTG Total Gneration (KWh)]]-Input_Raw[[#This Row],[66 kV_Wind_F1_Export_reading]]</f>
        <v>7066</v>
      </c>
      <c r="BN83" s="111">
        <f>(Input_Raw[[#This Row],[WTG Total Gneration (KWh)]]-Input_Raw[[#This Row],[66 kV_Wind_F1_Export_reading]])/Input_Raw[[#This Row],[WTG Total Gneration (KWh)]]</f>
        <v>4.157302048645023E-2</v>
      </c>
      <c r="BO83" s="89">
        <v>70.2</v>
      </c>
      <c r="BP83" s="99"/>
      <c r="BQ83" s="135">
        <v>170.73</v>
      </c>
      <c r="BR83" s="207"/>
    </row>
    <row r="84" spans="1:70">
      <c r="A84" s="240">
        <f t="shared" si="14"/>
        <v>45824</v>
      </c>
      <c r="B84" s="11">
        <f>YEAR(Input_Raw[[#This Row],[Date]])+IF(MONTH(Input_Raw[[#This Row],[Date]])&gt;=4,1,0)</f>
        <v>2026</v>
      </c>
      <c r="C84" s="11">
        <f>YEAR(Input_Raw[[#This Row],[Date]])</f>
        <v>2025</v>
      </c>
      <c r="D84" s="12">
        <f>A84-DAY(A84)+1</f>
        <v>45809</v>
      </c>
      <c r="E84" s="11">
        <f>DAY(EOMONTH(Input_Raw[[#This Row],[Date]],0))</f>
        <v>30</v>
      </c>
      <c r="F84" s="440">
        <v>39130</v>
      </c>
      <c r="G84" s="440">
        <v>42568</v>
      </c>
      <c r="H84" s="440">
        <v>38565</v>
      </c>
      <c r="I84" s="440">
        <v>36994</v>
      </c>
      <c r="J84" s="440">
        <v>40178</v>
      </c>
      <c r="K84" s="440">
        <v>31287</v>
      </c>
      <c r="L84" s="440">
        <v>35642</v>
      </c>
      <c r="M84" s="440">
        <v>32516</v>
      </c>
      <c r="N84" s="440">
        <v>37258</v>
      </c>
      <c r="O84" s="440">
        <v>39353</v>
      </c>
      <c r="P84" s="440">
        <v>39549</v>
      </c>
      <c r="Q84" s="440">
        <v>9859</v>
      </c>
      <c r="R84" s="440">
        <v>39723</v>
      </c>
      <c r="S84" s="440">
        <v>41004</v>
      </c>
      <c r="T84" s="440">
        <v>40211</v>
      </c>
      <c r="U84" s="440">
        <v>34356</v>
      </c>
      <c r="V84" s="440">
        <v>38744</v>
      </c>
      <c r="W84" s="440">
        <v>30414</v>
      </c>
      <c r="X84" s="440">
        <v>34847</v>
      </c>
      <c r="Y84" s="440">
        <v>27510</v>
      </c>
      <c r="Z84" s="440">
        <v>32444</v>
      </c>
      <c r="AA84" s="440">
        <v>35130</v>
      </c>
      <c r="AB84" s="440">
        <v>38850</v>
      </c>
      <c r="AC84" s="441">
        <v>35934</v>
      </c>
      <c r="AD84" s="441">
        <v>41655</v>
      </c>
      <c r="AE84" s="441">
        <v>30609</v>
      </c>
      <c r="AF84" s="442">
        <v>8.16</v>
      </c>
      <c r="AG84" s="442">
        <v>8.51</v>
      </c>
      <c r="AH84" s="442">
        <v>8.0500000000000007</v>
      </c>
      <c r="AI84" s="442">
        <v>8.5399999999999991</v>
      </c>
      <c r="AJ84" s="442">
        <v>8.36</v>
      </c>
      <c r="AK84" s="442">
        <v>7.97</v>
      </c>
      <c r="AL84" s="442">
        <v>8.4499999999999993</v>
      </c>
      <c r="AM84" s="442">
        <v>7.81</v>
      </c>
      <c r="AN84" s="442">
        <v>7.9</v>
      </c>
      <c r="AO84" s="442">
        <v>8.17</v>
      </c>
      <c r="AP84" s="442">
        <v>8.32</v>
      </c>
      <c r="AQ84" s="442">
        <v>8.02</v>
      </c>
      <c r="AR84" s="442">
        <v>8.23</v>
      </c>
      <c r="AS84" s="442">
        <v>8.4499999999999993</v>
      </c>
      <c r="AT84" s="442">
        <v>8.3699999999999992</v>
      </c>
      <c r="AU84" s="442">
        <v>8.2100000000000009</v>
      </c>
      <c r="AV84" s="442">
        <v>8.9</v>
      </c>
      <c r="AW84" s="442">
        <v>7.81</v>
      </c>
      <c r="AX84" s="442">
        <v>8.17</v>
      </c>
      <c r="AY84" s="442">
        <v>8.0500000000000007</v>
      </c>
      <c r="AZ84" s="442">
        <v>8.01</v>
      </c>
      <c r="BA84" s="442">
        <v>8.4700000000000006</v>
      </c>
      <c r="BB84" s="442">
        <v>8.19</v>
      </c>
      <c r="BC84" s="443">
        <v>8.1</v>
      </c>
      <c r="BD84" s="443">
        <v>8.35</v>
      </c>
      <c r="BE84" s="443">
        <v>7.76</v>
      </c>
      <c r="BF84" s="444">
        <f>SUM(Input_Raw[[#This Row],[O2_01]:[O2_26]])</f>
        <v>924330</v>
      </c>
      <c r="BG84" s="445">
        <f>IFERROR(AVERAGE(Input_Raw[[#This Row],[WS_O2_01]:[WS_O2_26]]),"")</f>
        <v>8.2050000000000001</v>
      </c>
      <c r="BH84" s="446"/>
      <c r="BI84" s="446"/>
      <c r="BJ84" s="441">
        <v>899100</v>
      </c>
      <c r="BK84" s="441">
        <v>0</v>
      </c>
      <c r="BL84" s="447">
        <f>Input_Raw[[#This Row],[66 kV_Wind_F1_Export_reading]]-Input_Raw[[#This Row],[66 kV_Wind_F1_Import_reading]]</f>
        <v>899100</v>
      </c>
      <c r="BM84" s="448">
        <f>Input_Raw[[#This Row],[WTG Total Gneration (KWh)]]-Input_Raw[[#This Row],[66 kV_Wind_F1_Export_reading]]</f>
        <v>25230</v>
      </c>
      <c r="BN84" s="111">
        <f>(Input_Raw[[#This Row],[WTG Total Gneration (KWh)]]-Input_Raw[[#This Row],[66 kV_Wind_F1_Export_reading]])/Input_Raw[[#This Row],[WTG Total Gneration (KWh)]]</f>
        <v>2.7295446431469281E-2</v>
      </c>
      <c r="BO84" s="89">
        <v>70.2</v>
      </c>
      <c r="BP84" s="449"/>
      <c r="BQ84" s="450">
        <v>988.32</v>
      </c>
      <c r="BR84" s="451"/>
    </row>
    <row r="85" spans="1:70">
      <c r="A85" s="240">
        <f t="shared" si="14"/>
        <v>45825</v>
      </c>
      <c r="B85" s="11">
        <f>YEAR(Input_Raw[[#This Row],[Date]])+IF(MONTH(Input_Raw[[#This Row],[Date]])&gt;=4,1,0)</f>
        <v>2026</v>
      </c>
      <c r="C85" s="11">
        <f>YEAR(Input_Raw[[#This Row],[Date]])</f>
        <v>2025</v>
      </c>
      <c r="D85" s="12">
        <f>A85-DAY(A85)+1</f>
        <v>45809</v>
      </c>
      <c r="E85" s="11">
        <f>DAY(EOMONTH(Input_Raw[[#This Row],[Date]],0))</f>
        <v>30</v>
      </c>
      <c r="F85" s="137">
        <v>37729</v>
      </c>
      <c r="G85" s="137">
        <v>42080</v>
      </c>
      <c r="H85" s="137">
        <v>35379</v>
      </c>
      <c r="I85" s="137">
        <v>41258</v>
      </c>
      <c r="J85" s="137">
        <v>38415</v>
      </c>
      <c r="K85" s="137">
        <v>36528</v>
      </c>
      <c r="L85" s="137">
        <v>41267</v>
      </c>
      <c r="M85" s="137">
        <v>38538</v>
      </c>
      <c r="N85" s="137">
        <v>35719</v>
      </c>
      <c r="O85" s="137">
        <v>35315</v>
      </c>
      <c r="P85" s="137">
        <v>36162</v>
      </c>
      <c r="Q85" s="137">
        <v>0</v>
      </c>
      <c r="R85" s="137">
        <v>37389</v>
      </c>
      <c r="S85" s="137">
        <v>38123</v>
      </c>
      <c r="T85" s="137">
        <v>36756</v>
      </c>
      <c r="U85" s="137">
        <v>35950</v>
      </c>
      <c r="V85" s="137">
        <v>36964</v>
      </c>
      <c r="W85" s="137">
        <v>37972</v>
      </c>
      <c r="X85" s="137">
        <v>42584</v>
      </c>
      <c r="Y85" s="137">
        <v>37144</v>
      </c>
      <c r="Z85" s="137">
        <v>38228</v>
      </c>
      <c r="AA85" s="137">
        <v>38185</v>
      </c>
      <c r="AB85" s="137">
        <v>36578</v>
      </c>
      <c r="AC85" s="13">
        <v>39219</v>
      </c>
      <c r="AD85" s="13">
        <v>39729</v>
      </c>
      <c r="AE85" s="13">
        <v>37582</v>
      </c>
      <c r="AF85" s="138">
        <v>7.88</v>
      </c>
      <c r="AG85" s="138">
        <v>8.19</v>
      </c>
      <c r="AH85" s="138">
        <v>7.45</v>
      </c>
      <c r="AI85" s="138">
        <v>8.1300000000000008</v>
      </c>
      <c r="AJ85" s="138">
        <v>8.14</v>
      </c>
      <c r="AK85" s="138">
        <v>7.74</v>
      </c>
      <c r="AL85" s="138">
        <v>8.14</v>
      </c>
      <c r="AM85" s="138">
        <v>7.77</v>
      </c>
      <c r="AN85" s="138">
        <v>7.61</v>
      </c>
      <c r="AO85" s="138">
        <v>7.4</v>
      </c>
      <c r="AP85" s="138">
        <v>7.71</v>
      </c>
      <c r="AQ85" s="138">
        <v>7.68</v>
      </c>
      <c r="AR85" s="138">
        <v>7.69</v>
      </c>
      <c r="AS85" s="138">
        <v>7.74</v>
      </c>
      <c r="AT85" s="138">
        <v>7.62</v>
      </c>
      <c r="AU85" s="138">
        <v>7.6</v>
      </c>
      <c r="AV85" s="138">
        <v>8.11</v>
      </c>
      <c r="AW85" s="138">
        <v>7.73</v>
      </c>
      <c r="AX85" s="138">
        <v>8.3000000000000007</v>
      </c>
      <c r="AY85" s="138">
        <v>7.65</v>
      </c>
      <c r="AZ85" s="138">
        <v>7.83</v>
      </c>
      <c r="BA85" s="138">
        <v>7.91</v>
      </c>
      <c r="BB85" s="138">
        <v>7.6</v>
      </c>
      <c r="BC85" s="14">
        <v>7.79</v>
      </c>
      <c r="BD85" s="14">
        <v>8.0500000000000007</v>
      </c>
      <c r="BE85" s="14">
        <v>7.75</v>
      </c>
      <c r="BF85" s="139">
        <f>SUM(Input_Raw[[#This Row],[O2_01]:[O2_26]])</f>
        <v>950793</v>
      </c>
      <c r="BG85" s="140">
        <f>IFERROR(AVERAGE(Input_Raw[[#This Row],[WS_O2_01]:[WS_O2_26]]),"")</f>
        <v>7.8157692307692308</v>
      </c>
      <c r="BH85" s="141"/>
      <c r="BI85" s="141"/>
      <c r="BJ85" s="13">
        <v>919350</v>
      </c>
      <c r="BK85" s="13">
        <v>450</v>
      </c>
      <c r="BL85" s="15">
        <f>Input_Raw[[#This Row],[66 kV_Wind_F1_Export_reading]]-Input_Raw[[#This Row],[66 kV_Wind_F1_Import_reading]]</f>
        <v>918900</v>
      </c>
      <c r="BM85" s="142">
        <f>Input_Raw[[#This Row],[WTG Total Gneration (KWh)]]-Input_Raw[[#This Row],[66 kV_Wind_F1_Export_reading]]</f>
        <v>31443</v>
      </c>
      <c r="BN85" s="111">
        <f>(Input_Raw[[#This Row],[WTG Total Gneration (KWh)]]-Input_Raw[[#This Row],[66 kV_Wind_F1_Export_reading]])/Input_Raw[[#This Row],[WTG Total Gneration (KWh)]]</f>
        <v>3.3070289747610677E-2</v>
      </c>
      <c r="BO85" s="89">
        <v>70.2</v>
      </c>
      <c r="BP85" s="99"/>
      <c r="BQ85" s="135">
        <v>991.84</v>
      </c>
      <c r="BR85" s="207"/>
    </row>
    <row r="86" spans="1:70">
      <c r="A86" s="240">
        <f t="shared" si="14"/>
        <v>45826</v>
      </c>
      <c r="B86" s="11">
        <f>YEAR(Input_Raw[[#This Row],[Date]])+IF(MONTH(Input_Raw[[#This Row],[Date]])&gt;=4,1,0)</f>
        <v>2026</v>
      </c>
      <c r="C86" s="11">
        <f>YEAR(Input_Raw[[#This Row],[Date]])</f>
        <v>2025</v>
      </c>
      <c r="D86" s="12">
        <f>A86-DAY(A86)+1</f>
        <v>45809</v>
      </c>
      <c r="E86" s="11">
        <f>DAY(EOMONTH(Input_Raw[[#This Row],[Date]],0))</f>
        <v>30</v>
      </c>
      <c r="F86" s="452">
        <v>44447</v>
      </c>
      <c r="G86" s="452">
        <v>46395</v>
      </c>
      <c r="H86" s="452">
        <v>44523</v>
      </c>
      <c r="I86" s="452">
        <v>46220</v>
      </c>
      <c r="J86" s="452">
        <v>44448</v>
      </c>
      <c r="K86" s="452">
        <v>46246</v>
      </c>
      <c r="L86" s="452">
        <v>45647</v>
      </c>
      <c r="M86" s="452">
        <v>35384</v>
      </c>
      <c r="N86" s="452">
        <v>43011</v>
      </c>
      <c r="O86" s="452">
        <v>43123</v>
      </c>
      <c r="P86" s="452">
        <v>44761</v>
      </c>
      <c r="Q86" s="452">
        <v>0</v>
      </c>
      <c r="R86" s="452">
        <v>42752</v>
      </c>
      <c r="S86" s="452">
        <v>45291</v>
      </c>
      <c r="T86" s="452">
        <v>47505</v>
      </c>
      <c r="U86" s="452">
        <v>45385</v>
      </c>
      <c r="V86" s="452">
        <v>47491</v>
      </c>
      <c r="W86" s="452">
        <v>46030</v>
      </c>
      <c r="X86" s="452">
        <v>46597</v>
      </c>
      <c r="Y86" s="452">
        <v>45114</v>
      </c>
      <c r="Z86" s="452">
        <v>43476</v>
      </c>
      <c r="AA86" s="452">
        <v>45732</v>
      </c>
      <c r="AB86" s="452">
        <v>45536</v>
      </c>
      <c r="AC86" s="453">
        <v>45654</v>
      </c>
      <c r="AD86" s="453">
        <v>46792</v>
      </c>
      <c r="AE86" s="453">
        <v>46495</v>
      </c>
      <c r="AF86" s="454">
        <v>8.41</v>
      </c>
      <c r="AG86" s="454">
        <v>8.6199999999999992</v>
      </c>
      <c r="AH86" s="454">
        <v>8.26</v>
      </c>
      <c r="AI86" s="454">
        <v>8.6</v>
      </c>
      <c r="AJ86" s="454">
        <v>8.43</v>
      </c>
      <c r="AK86" s="454">
        <v>8.7799999999999994</v>
      </c>
      <c r="AL86" s="454">
        <v>8.5299999999999994</v>
      </c>
      <c r="AM86" s="454">
        <v>8.3699999999999992</v>
      </c>
      <c r="AN86" s="454">
        <v>8.27</v>
      </c>
      <c r="AO86" s="454">
        <v>8.17</v>
      </c>
      <c r="AP86" s="454">
        <v>8.42</v>
      </c>
      <c r="AQ86" s="454">
        <v>8.64</v>
      </c>
      <c r="AR86" s="454">
        <v>8.1999999999999993</v>
      </c>
      <c r="AS86" s="454">
        <v>8.43</v>
      </c>
      <c r="AT86" s="454">
        <v>8.5299999999999994</v>
      </c>
      <c r="AU86" s="454">
        <v>8.69</v>
      </c>
      <c r="AV86" s="454">
        <v>9.0399999999999991</v>
      </c>
      <c r="AW86" s="454">
        <v>8.61</v>
      </c>
      <c r="AX86" s="454">
        <v>8.8000000000000007</v>
      </c>
      <c r="AY86" s="454">
        <v>8.5399999999999991</v>
      </c>
      <c r="AZ86" s="454">
        <v>8.4600000000000009</v>
      </c>
      <c r="BA86" s="454">
        <v>8.86</v>
      </c>
      <c r="BB86" s="454">
        <v>8.44</v>
      </c>
      <c r="BC86" s="455">
        <v>8.48</v>
      </c>
      <c r="BD86" s="455">
        <v>8.49</v>
      </c>
      <c r="BE86" s="455">
        <v>8.4600000000000009</v>
      </c>
      <c r="BF86" s="456">
        <f>SUM(Input_Raw[[#This Row],[O2_01]:[O2_26]])</f>
        <v>1124055</v>
      </c>
      <c r="BG86" s="457">
        <f>IFERROR(AVERAGE(Input_Raw[[#This Row],[WS_O2_01]:[WS_O2_26]]),"")</f>
        <v>8.5203846153846161</v>
      </c>
      <c r="BH86" s="458"/>
      <c r="BI86" s="458"/>
      <c r="BJ86" s="453">
        <v>1089450</v>
      </c>
      <c r="BK86" s="453">
        <v>0</v>
      </c>
      <c r="BL86" s="459">
        <f>Input_Raw[[#This Row],[66 kV_Wind_F1_Export_reading]]-Input_Raw[[#This Row],[66 kV_Wind_F1_Import_reading]]</f>
        <v>1089450</v>
      </c>
      <c r="BM86" s="460">
        <f>Input_Raw[[#This Row],[WTG Total Gneration (KWh)]]-Input_Raw[[#This Row],[66 kV_Wind_F1_Export_reading]]</f>
        <v>34605</v>
      </c>
      <c r="BN86" s="111">
        <f>(Input_Raw[[#This Row],[WTG Total Gneration (KWh)]]-Input_Raw[[#This Row],[66 kV_Wind_F1_Export_reading]])/Input_Raw[[#This Row],[WTG Total Gneration (KWh)]]</f>
        <v>3.0785860122502902E-2</v>
      </c>
      <c r="BO86" s="89">
        <v>70.2</v>
      </c>
      <c r="BP86" s="461"/>
      <c r="BQ86" s="462">
        <v>1202.27</v>
      </c>
      <c r="BR86" s="463"/>
    </row>
    <row r="87" spans="1:70">
      <c r="A87" s="240">
        <f t="shared" si="14"/>
        <v>45827</v>
      </c>
      <c r="B87" s="11">
        <f>YEAR(Input_Raw[[#This Row],[Date]])+IF(MONTH(Input_Raw[[#This Row],[Date]])&gt;=4,1,0)</f>
        <v>2026</v>
      </c>
      <c r="C87" s="11">
        <f>YEAR(Input_Raw[[#This Row],[Date]])</f>
        <v>2025</v>
      </c>
      <c r="D87" s="12">
        <f>A87-DAY(A87)+1</f>
        <v>45809</v>
      </c>
      <c r="E87" s="11">
        <f>DAY(EOMONTH(Input_Raw[[#This Row],[Date]],0))</f>
        <v>30</v>
      </c>
      <c r="F87" s="137">
        <v>60392</v>
      </c>
      <c r="G87" s="137">
        <v>61807</v>
      </c>
      <c r="H87" s="137">
        <v>60544</v>
      </c>
      <c r="I87" s="137">
        <v>60132</v>
      </c>
      <c r="J87" s="137">
        <v>58668</v>
      </c>
      <c r="K87" s="137">
        <v>63667</v>
      </c>
      <c r="L87" s="137">
        <v>58782</v>
      </c>
      <c r="M87" s="137">
        <v>58864</v>
      </c>
      <c r="N87" s="137">
        <v>61695</v>
      </c>
      <c r="O87" s="137">
        <v>62876</v>
      </c>
      <c r="P87" s="137">
        <v>59212</v>
      </c>
      <c r="Q87" s="137">
        <v>1</v>
      </c>
      <c r="R87" s="137">
        <v>60450</v>
      </c>
      <c r="S87" s="137">
        <v>62218</v>
      </c>
      <c r="T87" s="137">
        <v>61780</v>
      </c>
      <c r="U87" s="137">
        <v>63183</v>
      </c>
      <c r="V87" s="137">
        <v>56889</v>
      </c>
      <c r="W87" s="137">
        <v>63849</v>
      </c>
      <c r="X87" s="137">
        <v>61676</v>
      </c>
      <c r="Y87" s="137">
        <v>61808</v>
      </c>
      <c r="Z87" s="137">
        <v>64593</v>
      </c>
      <c r="AA87" s="137">
        <v>61067</v>
      </c>
      <c r="AB87" s="137">
        <v>63255</v>
      </c>
      <c r="AC87" s="13">
        <v>63198</v>
      </c>
      <c r="AD87" s="13">
        <v>61713</v>
      </c>
      <c r="AE87" s="13">
        <v>61863</v>
      </c>
      <c r="AF87" s="138">
        <v>10.18</v>
      </c>
      <c r="AG87" s="138">
        <v>10.5</v>
      </c>
      <c r="AH87" s="138">
        <v>10.06</v>
      </c>
      <c r="AI87" s="138">
        <v>10.49</v>
      </c>
      <c r="AJ87" s="138">
        <v>10.41</v>
      </c>
      <c r="AK87" s="138">
        <v>10.57</v>
      </c>
      <c r="AL87" s="138">
        <v>10.44</v>
      </c>
      <c r="AM87" s="138">
        <v>10.56</v>
      </c>
      <c r="AN87" s="138">
        <v>10.3</v>
      </c>
      <c r="AO87" s="138">
        <v>10.43</v>
      </c>
      <c r="AP87" s="138">
        <v>10.220000000000001</v>
      </c>
      <c r="AQ87" s="138">
        <v>10.3</v>
      </c>
      <c r="AR87" s="138">
        <v>10.3</v>
      </c>
      <c r="AS87" s="138">
        <v>10.42</v>
      </c>
      <c r="AT87" s="138">
        <v>10.49</v>
      </c>
      <c r="AU87" s="138">
        <v>10.75</v>
      </c>
      <c r="AV87" s="138">
        <v>10.79</v>
      </c>
      <c r="AW87" s="138">
        <v>10.49</v>
      </c>
      <c r="AX87" s="138">
        <v>10.74</v>
      </c>
      <c r="AY87" s="138">
        <v>10.47</v>
      </c>
      <c r="AZ87" s="138">
        <v>10.68</v>
      </c>
      <c r="BA87" s="138">
        <v>10.65</v>
      </c>
      <c r="BB87" s="138">
        <v>10.45</v>
      </c>
      <c r="BC87" s="14">
        <v>10.57</v>
      </c>
      <c r="BD87" s="14">
        <v>10.32</v>
      </c>
      <c r="BE87" s="14">
        <v>10.41</v>
      </c>
      <c r="BF87" s="139">
        <f>SUM(Input_Raw[[#This Row],[O2_01]:[O2_26]])</f>
        <v>1534182</v>
      </c>
      <c r="BG87" s="140">
        <f>IFERROR(AVERAGE(Input_Raw[[#This Row],[WS_O2_01]:[WS_O2_26]]),"")</f>
        <v>10.461153846153847</v>
      </c>
      <c r="BH87" s="141"/>
      <c r="BI87" s="141"/>
      <c r="BJ87" s="13">
        <v>1476900</v>
      </c>
      <c r="BK87" s="13">
        <v>0</v>
      </c>
      <c r="BL87" s="15">
        <f>Input_Raw[[#This Row],[66 kV_Wind_F1_Export_reading]]-Input_Raw[[#This Row],[66 kV_Wind_F1_Import_reading]]</f>
        <v>1476900</v>
      </c>
      <c r="BM87" s="142">
        <f>Input_Raw[[#This Row],[WTG Total Gneration (KWh)]]-Input_Raw[[#This Row],[66 kV_Wind_F1_Export_reading]]</f>
        <v>57282</v>
      </c>
      <c r="BN87" s="111">
        <f>(Input_Raw[[#This Row],[WTG Total Gneration (KWh)]]-Input_Raw[[#This Row],[66 kV_Wind_F1_Export_reading]])/Input_Raw[[#This Row],[WTG Total Gneration (KWh)]]</f>
        <v>3.7337160780142119E-2</v>
      </c>
      <c r="BO87" s="89">
        <v>70.2</v>
      </c>
      <c r="BP87" s="99"/>
      <c r="BQ87" s="462">
        <v>1596.54</v>
      </c>
      <c r="BR87" s="207"/>
    </row>
    <row r="88" spans="1:70">
      <c r="A88" s="240">
        <f t="shared" si="14"/>
        <v>45828</v>
      </c>
      <c r="B88" s="11">
        <f>YEAR(Input_Raw[[#This Row],[Date]])+IF(MONTH(Input_Raw[[#This Row],[Date]])&gt;=4,1,0)</f>
        <v>2026</v>
      </c>
      <c r="C88" s="11">
        <f>YEAR(Input_Raw[[#This Row],[Date]])</f>
        <v>2025</v>
      </c>
      <c r="D88" s="12">
        <f t="shared" ref="D88:D89" si="17">A88-DAY(A88)+1</f>
        <v>45809</v>
      </c>
      <c r="E88" s="11">
        <f>DAY(EOMONTH(Input_Raw[[#This Row],[Date]],0))</f>
        <v>30</v>
      </c>
      <c r="F88" s="495">
        <v>53793</v>
      </c>
      <c r="G88" s="495">
        <v>54625</v>
      </c>
      <c r="H88" s="495">
        <v>53938</v>
      </c>
      <c r="I88" s="495">
        <v>28462</v>
      </c>
      <c r="J88" s="495">
        <v>54458</v>
      </c>
      <c r="K88" s="495">
        <v>25348</v>
      </c>
      <c r="L88" s="495">
        <v>26899</v>
      </c>
      <c r="M88" s="495">
        <v>26779</v>
      </c>
      <c r="N88" s="495">
        <v>55200</v>
      </c>
      <c r="O88" s="495">
        <v>51226</v>
      </c>
      <c r="P88" s="495">
        <v>52720</v>
      </c>
      <c r="Q88" s="495">
        <v>2</v>
      </c>
      <c r="R88" s="495">
        <v>52599</v>
      </c>
      <c r="S88" s="495">
        <v>53088</v>
      </c>
      <c r="T88" s="495">
        <v>48939</v>
      </c>
      <c r="U88" s="495">
        <v>23998</v>
      </c>
      <c r="V88" s="495">
        <v>30663</v>
      </c>
      <c r="W88" s="495">
        <v>26196</v>
      </c>
      <c r="X88" s="495">
        <v>22014</v>
      </c>
      <c r="Y88" s="495">
        <v>28404</v>
      </c>
      <c r="Z88" s="495">
        <v>26386</v>
      </c>
      <c r="AA88" s="495">
        <v>26278</v>
      </c>
      <c r="AB88" s="495">
        <v>54129</v>
      </c>
      <c r="AC88" s="496">
        <v>30076</v>
      </c>
      <c r="AD88" s="496">
        <v>56557</v>
      </c>
      <c r="AE88" s="496">
        <v>26295</v>
      </c>
      <c r="AF88" s="497">
        <v>9.5837499996026256</v>
      </c>
      <c r="AG88" s="497">
        <v>9.7621527810891351</v>
      </c>
      <c r="AH88" s="497">
        <v>9.5527778102291876</v>
      </c>
      <c r="AI88" s="497">
        <v>8.3640403880013281</v>
      </c>
      <c r="AJ88" s="497">
        <v>9.5911805563502757</v>
      </c>
      <c r="AK88" s="497">
        <v>8.0910999810695579</v>
      </c>
      <c r="AL88" s="497">
        <v>8.1708421305606187</v>
      </c>
      <c r="AM88" s="497">
        <v>8.6714141513361991</v>
      </c>
      <c r="AN88" s="497">
        <v>9.7222222321563176</v>
      </c>
      <c r="AO88" s="497">
        <v>9.4076388743188488</v>
      </c>
      <c r="AP88" s="497">
        <v>9.5963193807336875</v>
      </c>
      <c r="AQ88" s="497">
        <v>9.5979166858725868</v>
      </c>
      <c r="AR88" s="497">
        <v>9.5624305407206034</v>
      </c>
      <c r="AS88" s="497">
        <v>9.5958333214123943</v>
      </c>
      <c r="AT88" s="497">
        <v>9.2876388629277411</v>
      </c>
      <c r="AU88" s="497">
        <v>7.6072000169753959</v>
      </c>
      <c r="AV88" s="497">
        <v>8.4265999937057465</v>
      </c>
      <c r="AW88" s="497">
        <v>8.0541414323479152</v>
      </c>
      <c r="AX88" s="497">
        <v>7.8661616131512764</v>
      </c>
      <c r="AY88" s="497">
        <v>8.0892999839782682</v>
      </c>
      <c r="AZ88" s="497">
        <v>8.1819191677401726</v>
      </c>
      <c r="BA88" s="497">
        <v>7.9512121219827661</v>
      </c>
      <c r="BB88" s="497">
        <v>9.7455244731236021</v>
      </c>
      <c r="BC88" s="498">
        <v>8.2485999941825767</v>
      </c>
      <c r="BD88" s="498">
        <v>9.6964583297570428</v>
      </c>
      <c r="BE88" s="498">
        <v>8.5580434851024361</v>
      </c>
      <c r="BF88" s="499">
        <f>SUM(Input_Raw[[#This Row],[O2_01]:[O2_26]])</f>
        <v>989072</v>
      </c>
      <c r="BG88" s="500">
        <f>IFERROR(AVERAGE(Input_Raw[[#This Row],[WS_O2_01]:[WS_O2_26]]),"")</f>
        <v>8.8839391657087781</v>
      </c>
      <c r="BH88" s="501"/>
      <c r="BI88" s="501"/>
      <c r="BJ88" s="496">
        <v>956250</v>
      </c>
      <c r="BK88" s="496">
        <v>0</v>
      </c>
      <c r="BL88" s="502">
        <f>Input_Raw[[#This Row],[66 kV_Wind_F1_Export_reading]]-Input_Raw[[#This Row],[66 kV_Wind_F1_Import_reading]]</f>
        <v>956250</v>
      </c>
      <c r="BM88" s="503">
        <f>Input_Raw[[#This Row],[WTG Total Gneration (KWh)]]-Input_Raw[[#This Row],[66 kV_Wind_F1_Export_reading]]</f>
        <v>32822</v>
      </c>
      <c r="BN88" s="111">
        <f>(Input_Raw[[#This Row],[WTG Total Gneration (KWh)]]-Input_Raw[[#This Row],[66 kV_Wind_F1_Export_reading]])/Input_Raw[[#This Row],[WTG Total Gneration (KWh)]]</f>
        <v>3.3184641765210215E-2</v>
      </c>
      <c r="BO88" s="89">
        <v>70.2</v>
      </c>
      <c r="BP88" s="504"/>
      <c r="BQ88" s="505">
        <v>1078.22</v>
      </c>
      <c r="BR88" s="506"/>
    </row>
    <row r="89" spans="1:70">
      <c r="A89" s="240">
        <f t="shared" si="14"/>
        <v>45829</v>
      </c>
      <c r="B89" s="11">
        <f>YEAR(Input_Raw[[#This Row],[Date]])+IF(MONTH(Input_Raw[[#This Row],[Date]])&gt;=4,1,0)</f>
        <v>2026</v>
      </c>
      <c r="C89" s="11">
        <f>YEAR(Input_Raw[[#This Row],[Date]])</f>
        <v>2025</v>
      </c>
      <c r="D89" s="12">
        <f t="shared" si="17"/>
        <v>45809</v>
      </c>
      <c r="E89" s="11">
        <f>DAY(EOMONTH(Input_Raw[[#This Row],[Date]],0))</f>
        <v>30</v>
      </c>
      <c r="F89" s="495">
        <v>48915</v>
      </c>
      <c r="G89" s="495">
        <v>52214</v>
      </c>
      <c r="H89" s="495">
        <v>49894</v>
      </c>
      <c r="I89" s="495">
        <v>46630</v>
      </c>
      <c r="J89" s="495">
        <v>51899</v>
      </c>
      <c r="K89" s="495">
        <v>43979</v>
      </c>
      <c r="L89" s="495">
        <v>48182</v>
      </c>
      <c r="M89" s="495">
        <v>50739</v>
      </c>
      <c r="N89" s="495">
        <v>52017</v>
      </c>
      <c r="O89" s="495">
        <v>50278</v>
      </c>
      <c r="P89" s="495">
        <v>47808</v>
      </c>
      <c r="Q89" s="495">
        <v>3</v>
      </c>
      <c r="R89" s="495">
        <v>49448</v>
      </c>
      <c r="S89" s="495">
        <v>48944</v>
      </c>
      <c r="T89" s="495">
        <v>45933</v>
      </c>
      <c r="U89" s="495">
        <v>42701</v>
      </c>
      <c r="V89" s="495">
        <v>49013</v>
      </c>
      <c r="W89" s="495">
        <v>44036</v>
      </c>
      <c r="X89" s="495">
        <v>40849</v>
      </c>
      <c r="Y89" s="495">
        <v>45324</v>
      </c>
      <c r="Z89" s="495">
        <v>45389</v>
      </c>
      <c r="AA89" s="495">
        <v>40673</v>
      </c>
      <c r="AB89" s="495">
        <v>51283</v>
      </c>
      <c r="AC89" s="496">
        <v>50597</v>
      </c>
      <c r="AD89" s="496">
        <v>54700</v>
      </c>
      <c r="AE89" s="496">
        <v>52790</v>
      </c>
      <c r="AF89" s="497">
        <v>8.98</v>
      </c>
      <c r="AG89" s="497">
        <v>9.25</v>
      </c>
      <c r="AH89" s="497">
        <v>8.8800000000000008</v>
      </c>
      <c r="AI89" s="497">
        <v>8.81</v>
      </c>
      <c r="AJ89" s="497">
        <v>9.26</v>
      </c>
      <c r="AK89" s="497">
        <v>8.4499999999999993</v>
      </c>
      <c r="AL89" s="497">
        <v>8.94</v>
      </c>
      <c r="AM89" s="497">
        <v>9.01</v>
      </c>
      <c r="AN89" s="497">
        <v>9.24</v>
      </c>
      <c r="AO89" s="497">
        <v>8.92</v>
      </c>
      <c r="AP89" s="497">
        <v>8.9</v>
      </c>
      <c r="AQ89" s="497">
        <v>8.75</v>
      </c>
      <c r="AR89" s="497">
        <v>8.92</v>
      </c>
      <c r="AS89" s="497">
        <v>8.8800000000000008</v>
      </c>
      <c r="AT89" s="497">
        <v>8.81</v>
      </c>
      <c r="AU89" s="497">
        <v>8.2899999999999991</v>
      </c>
      <c r="AV89" s="497">
        <v>8.76</v>
      </c>
      <c r="AW89" s="497">
        <v>8.34</v>
      </c>
      <c r="AX89" s="497">
        <v>8.44</v>
      </c>
      <c r="AY89" s="497">
        <v>8.65</v>
      </c>
      <c r="AZ89" s="497">
        <v>8.4600000000000009</v>
      </c>
      <c r="BA89" s="497">
        <v>8.07</v>
      </c>
      <c r="BB89" s="497">
        <v>9.25</v>
      </c>
      <c r="BC89" s="498">
        <v>8.93</v>
      </c>
      <c r="BD89" s="498">
        <v>9.3000000000000007</v>
      </c>
      <c r="BE89" s="498">
        <v>9.24</v>
      </c>
      <c r="BF89" s="499">
        <f>SUM(Input_Raw[[#This Row],[O2_01]:[O2_26]])</f>
        <v>1204238</v>
      </c>
      <c r="BG89" s="500">
        <f>IFERROR(AVERAGE(Input_Raw[[#This Row],[WS_O2_01]:[WS_O2_26]]),"")</f>
        <v>8.8357692307692322</v>
      </c>
      <c r="BH89" s="501"/>
      <c r="BI89" s="501"/>
      <c r="BJ89" s="496">
        <v>1165500</v>
      </c>
      <c r="BK89" s="496">
        <v>0</v>
      </c>
      <c r="BL89" s="502">
        <f>Input_Raw[[#This Row],[66 kV_Wind_F1_Export_reading]]-Input_Raw[[#This Row],[66 kV_Wind_F1_Import_reading]]</f>
        <v>1165500</v>
      </c>
      <c r="BM89" s="503">
        <f>Input_Raw[[#This Row],[WTG Total Gneration (KWh)]]-Input_Raw[[#This Row],[66 kV_Wind_F1_Export_reading]]</f>
        <v>38738</v>
      </c>
      <c r="BN89" s="111">
        <f>(Input_Raw[[#This Row],[WTG Total Gneration (KWh)]]-Input_Raw[[#This Row],[66 kV_Wind_F1_Export_reading]])/Input_Raw[[#This Row],[WTG Total Gneration (KWh)]]</f>
        <v>3.2168059802132137E-2</v>
      </c>
      <c r="BO89" s="89">
        <v>70.2</v>
      </c>
      <c r="BP89" s="504"/>
      <c r="BQ89" s="505">
        <v>1261.1600000000001</v>
      </c>
      <c r="BR89" s="506"/>
    </row>
    <row r="90" spans="1:70">
      <c r="A90" s="240">
        <f t="shared" si="14"/>
        <v>45830</v>
      </c>
      <c r="B90" s="11">
        <f>YEAR(Input_Raw[[#This Row],[Date]])+IF(MONTH(Input_Raw[[#This Row],[Date]])&gt;=4,1,0)</f>
        <v>2026</v>
      </c>
      <c r="C90" s="11">
        <f>YEAR(Input_Raw[[#This Row],[Date]])</f>
        <v>2025</v>
      </c>
      <c r="D90" s="12">
        <f t="shared" ref="D90:D95" si="18">A90-DAY(A90)+1</f>
        <v>45809</v>
      </c>
      <c r="E90" s="11">
        <f>DAY(EOMONTH(Input_Raw[[#This Row],[Date]],0))</f>
        <v>30</v>
      </c>
      <c r="F90" s="495">
        <v>29608</v>
      </c>
      <c r="G90" s="495">
        <v>32913</v>
      </c>
      <c r="H90" s="495">
        <v>33071</v>
      </c>
      <c r="I90" s="495">
        <v>28909</v>
      </c>
      <c r="J90" s="495">
        <v>33162</v>
      </c>
      <c r="K90" s="495">
        <v>28395</v>
      </c>
      <c r="L90" s="495">
        <v>25670</v>
      </c>
      <c r="M90" s="495">
        <v>33659</v>
      </c>
      <c r="N90" s="495">
        <v>32328</v>
      </c>
      <c r="O90" s="495">
        <v>29827</v>
      </c>
      <c r="P90" s="495">
        <v>29493</v>
      </c>
      <c r="Q90" s="495">
        <v>1</v>
      </c>
      <c r="R90" s="495">
        <v>30075</v>
      </c>
      <c r="S90" s="495">
        <v>31473</v>
      </c>
      <c r="T90" s="495">
        <v>26706</v>
      </c>
      <c r="U90" s="495">
        <v>26754</v>
      </c>
      <c r="V90" s="495">
        <v>30399</v>
      </c>
      <c r="W90" s="495">
        <v>29382</v>
      </c>
      <c r="X90" s="495">
        <v>26158</v>
      </c>
      <c r="Y90" s="495">
        <v>27533</v>
      </c>
      <c r="Z90" s="495">
        <v>30069</v>
      </c>
      <c r="AA90" s="495">
        <v>24705</v>
      </c>
      <c r="AB90" s="495">
        <v>32944</v>
      </c>
      <c r="AC90" s="496">
        <v>30198</v>
      </c>
      <c r="AD90" s="496">
        <v>35011</v>
      </c>
      <c r="AE90" s="496">
        <v>31309</v>
      </c>
      <c r="AF90" s="497">
        <v>7.15</v>
      </c>
      <c r="AG90" s="497">
        <v>7.3</v>
      </c>
      <c r="AH90" s="497">
        <v>7.28</v>
      </c>
      <c r="AI90" s="497">
        <v>6.95</v>
      </c>
      <c r="AJ90" s="497">
        <v>7.4</v>
      </c>
      <c r="AK90" s="497">
        <v>7.1</v>
      </c>
      <c r="AL90" s="497">
        <v>6.57</v>
      </c>
      <c r="AM90" s="497">
        <v>7.25</v>
      </c>
      <c r="AN90" s="497">
        <v>7.32</v>
      </c>
      <c r="AO90" s="497">
        <v>7.03</v>
      </c>
      <c r="AP90" s="497">
        <v>7.11</v>
      </c>
      <c r="AQ90" s="497">
        <v>7.51</v>
      </c>
      <c r="AR90" s="497">
        <v>7.07</v>
      </c>
      <c r="AS90" s="497">
        <v>7.21</v>
      </c>
      <c r="AT90" s="497">
        <v>6.77</v>
      </c>
      <c r="AU90" s="497">
        <v>6.76</v>
      </c>
      <c r="AV90" s="497">
        <v>7.21</v>
      </c>
      <c r="AW90" s="497">
        <v>7.02</v>
      </c>
      <c r="AX90" s="497">
        <v>6.84</v>
      </c>
      <c r="AY90" s="497">
        <v>6.86</v>
      </c>
      <c r="AZ90" s="497">
        <v>7.06</v>
      </c>
      <c r="BA90" s="497">
        <v>6.61</v>
      </c>
      <c r="BB90" s="497">
        <v>7.32</v>
      </c>
      <c r="BC90" s="498">
        <v>6.98</v>
      </c>
      <c r="BD90" s="498">
        <v>7.4</v>
      </c>
      <c r="BE90" s="498">
        <v>7.21</v>
      </c>
      <c r="BF90" s="499">
        <f>SUM(Input_Raw[[#This Row],[O2_01]:[O2_26]])</f>
        <v>749752</v>
      </c>
      <c r="BG90" s="500">
        <f>IFERROR(AVERAGE(Input_Raw[[#This Row],[WS_O2_01]:[WS_O2_26]]),"")</f>
        <v>7.0880769230769243</v>
      </c>
      <c r="BH90" s="501"/>
      <c r="BI90" s="501"/>
      <c r="BJ90" s="496">
        <v>729900</v>
      </c>
      <c r="BK90" s="496">
        <v>0</v>
      </c>
      <c r="BL90" s="502">
        <f>Input_Raw[[#This Row],[66 kV_Wind_F1_Export_reading]]-Input_Raw[[#This Row],[66 kV_Wind_F1_Import_reading]]</f>
        <v>729900</v>
      </c>
      <c r="BM90" s="503">
        <f>Input_Raw[[#This Row],[WTG Total Gneration (KWh)]]-Input_Raw[[#This Row],[66 kV_Wind_F1_Export_reading]]</f>
        <v>19852</v>
      </c>
      <c r="BN90" s="111">
        <f>(Input_Raw[[#This Row],[WTG Total Gneration (KWh)]]-Input_Raw[[#This Row],[66 kV_Wind_F1_Export_reading]])/Input_Raw[[#This Row],[WTG Total Gneration (KWh)]]</f>
        <v>2.6478088754681547E-2</v>
      </c>
      <c r="BO90" s="89">
        <v>70.2</v>
      </c>
      <c r="BP90" s="504"/>
      <c r="BQ90" s="505">
        <v>790.8</v>
      </c>
      <c r="BR90" s="506"/>
    </row>
    <row r="91" spans="1:70">
      <c r="A91" s="240">
        <f t="shared" si="14"/>
        <v>45831</v>
      </c>
      <c r="B91" s="11">
        <f>YEAR(Input_Raw[[#This Row],[Date]])+IF(MONTH(Input_Raw[[#This Row],[Date]])&gt;=4,1,0)</f>
        <v>2026</v>
      </c>
      <c r="C91" s="11">
        <f>YEAR(Input_Raw[[#This Row],[Date]])</f>
        <v>2025</v>
      </c>
      <c r="D91" s="12">
        <f t="shared" si="18"/>
        <v>45809</v>
      </c>
      <c r="E91" s="11">
        <f>DAY(EOMONTH(Input_Raw[[#This Row],[Date]],0))</f>
        <v>30</v>
      </c>
      <c r="F91" s="507">
        <v>32259</v>
      </c>
      <c r="G91" s="507">
        <v>36662</v>
      </c>
      <c r="H91" s="507">
        <v>33725</v>
      </c>
      <c r="I91" s="507">
        <v>28913</v>
      </c>
      <c r="J91" s="507">
        <v>33535</v>
      </c>
      <c r="K91" s="507">
        <v>32886</v>
      </c>
      <c r="L91" s="507">
        <v>30932</v>
      </c>
      <c r="M91" s="507">
        <v>33205</v>
      </c>
      <c r="N91" s="507">
        <v>35738</v>
      </c>
      <c r="O91" s="507">
        <v>33998</v>
      </c>
      <c r="P91" s="507">
        <v>33536</v>
      </c>
      <c r="Q91" s="507">
        <v>0</v>
      </c>
      <c r="R91" s="507">
        <v>34442</v>
      </c>
      <c r="S91" s="507">
        <v>35000</v>
      </c>
      <c r="T91" s="507">
        <v>33852</v>
      </c>
      <c r="U91" s="507">
        <v>32991</v>
      </c>
      <c r="V91" s="507">
        <v>35432</v>
      </c>
      <c r="W91" s="507">
        <v>33258</v>
      </c>
      <c r="X91" s="507">
        <v>34347</v>
      </c>
      <c r="Y91" s="507">
        <v>30969</v>
      </c>
      <c r="Z91" s="507">
        <v>32231</v>
      </c>
      <c r="AA91" s="507">
        <v>28383</v>
      </c>
      <c r="AB91" s="507">
        <v>36008</v>
      </c>
      <c r="AC91" s="508">
        <v>33852</v>
      </c>
      <c r="AD91" s="508">
        <v>38693</v>
      </c>
      <c r="AE91" s="508">
        <v>35736</v>
      </c>
      <c r="AF91" s="509">
        <v>7.43</v>
      </c>
      <c r="AG91" s="509">
        <v>7.67</v>
      </c>
      <c r="AH91" s="509">
        <v>7.6</v>
      </c>
      <c r="AI91" s="509">
        <v>7.05</v>
      </c>
      <c r="AJ91" s="509">
        <v>7.64</v>
      </c>
      <c r="AK91" s="509">
        <v>7.68</v>
      </c>
      <c r="AL91" s="509">
        <v>7.18</v>
      </c>
      <c r="AM91" s="509">
        <v>7.45</v>
      </c>
      <c r="AN91" s="509">
        <v>7.78</v>
      </c>
      <c r="AO91" s="509">
        <v>7.57</v>
      </c>
      <c r="AP91" s="509">
        <v>7.67</v>
      </c>
      <c r="AQ91" s="509">
        <v>8.9700000000000006</v>
      </c>
      <c r="AR91" s="509">
        <v>7.57</v>
      </c>
      <c r="AS91" s="509">
        <v>7.66</v>
      </c>
      <c r="AT91" s="509">
        <v>7.54</v>
      </c>
      <c r="AU91" s="509">
        <v>7.58</v>
      </c>
      <c r="AV91" s="509">
        <v>7.84</v>
      </c>
      <c r="AW91" s="509">
        <v>7.52</v>
      </c>
      <c r="AX91" s="509">
        <v>7.63</v>
      </c>
      <c r="AY91" s="509">
        <v>7.31</v>
      </c>
      <c r="AZ91" s="509">
        <v>7.45</v>
      </c>
      <c r="BA91" s="509">
        <v>7.07</v>
      </c>
      <c r="BB91" s="509">
        <v>7.76</v>
      </c>
      <c r="BC91" s="510">
        <v>7.43</v>
      </c>
      <c r="BD91" s="510">
        <v>7.78</v>
      </c>
      <c r="BE91" s="510">
        <v>7.68</v>
      </c>
      <c r="BF91" s="511">
        <f>SUM(Input_Raw[[#This Row],[O2_01]:[O2_26]])</f>
        <v>840583</v>
      </c>
      <c r="BG91" s="512">
        <f>IFERROR(AVERAGE(Input_Raw[[#This Row],[WS_O2_01]:[WS_O2_26]]),"")</f>
        <v>7.5965384615384624</v>
      </c>
      <c r="BH91" s="513"/>
      <c r="BI91" s="513"/>
      <c r="BJ91" s="508">
        <v>820350</v>
      </c>
      <c r="BK91" s="508">
        <v>0</v>
      </c>
      <c r="BL91" s="514">
        <f>Input_Raw[[#This Row],[66 kV_Wind_F1_Export_reading]]-Input_Raw[[#This Row],[66 kV_Wind_F1_Import_reading]]</f>
        <v>820350</v>
      </c>
      <c r="BM91" s="515">
        <f>Input_Raw[[#This Row],[WTG Total Gneration (KWh)]]-Input_Raw[[#This Row],[66 kV_Wind_F1_Export_reading]]</f>
        <v>20233</v>
      </c>
      <c r="BN91" s="111">
        <f>(Input_Raw[[#This Row],[WTG Total Gneration (KWh)]]-Input_Raw[[#This Row],[66 kV_Wind_F1_Export_reading]])/Input_Raw[[#This Row],[WTG Total Gneration (KWh)]]</f>
        <v>2.4070198897669832E-2</v>
      </c>
      <c r="BO91" s="89">
        <v>70.2</v>
      </c>
      <c r="BP91" s="516"/>
      <c r="BQ91" s="517">
        <v>894.97</v>
      </c>
      <c r="BR91" s="518"/>
    </row>
    <row r="92" spans="1:70">
      <c r="A92" s="240">
        <f t="shared" si="14"/>
        <v>45832</v>
      </c>
      <c r="B92" s="11">
        <f>YEAR(Input_Raw[[#This Row],[Date]])+IF(MONTH(Input_Raw[[#This Row],[Date]])&gt;=4,1,0)</f>
        <v>2026</v>
      </c>
      <c r="C92" s="11">
        <f>YEAR(Input_Raw[[#This Row],[Date]])</f>
        <v>2025</v>
      </c>
      <c r="D92" s="12">
        <f t="shared" si="18"/>
        <v>45809</v>
      </c>
      <c r="E92" s="11">
        <f>DAY(EOMONTH(Input_Raw[[#This Row],[Date]],0))</f>
        <v>30</v>
      </c>
      <c r="F92" s="507">
        <v>43504</v>
      </c>
      <c r="G92" s="507">
        <v>46613</v>
      </c>
      <c r="H92" s="507">
        <v>43680</v>
      </c>
      <c r="I92" s="507">
        <v>42991</v>
      </c>
      <c r="J92" s="507">
        <v>46848</v>
      </c>
      <c r="K92" s="507">
        <v>42185</v>
      </c>
      <c r="L92" s="507">
        <v>44567</v>
      </c>
      <c r="M92" s="507">
        <v>39645</v>
      </c>
      <c r="N92" s="507">
        <v>44922</v>
      </c>
      <c r="O92" s="507">
        <v>41740</v>
      </c>
      <c r="P92" s="507">
        <v>43228</v>
      </c>
      <c r="Q92" s="507">
        <v>0</v>
      </c>
      <c r="R92" s="507">
        <v>43455</v>
      </c>
      <c r="S92" s="507">
        <v>43210</v>
      </c>
      <c r="T92" s="507">
        <v>40798</v>
      </c>
      <c r="U92" s="507">
        <v>38965</v>
      </c>
      <c r="V92" s="507">
        <v>45630</v>
      </c>
      <c r="W92" s="507">
        <v>41810</v>
      </c>
      <c r="X92" s="507">
        <v>48279</v>
      </c>
      <c r="Y92" s="507">
        <v>41972</v>
      </c>
      <c r="Z92" s="507">
        <v>44172</v>
      </c>
      <c r="AA92" s="507">
        <v>40585</v>
      </c>
      <c r="AB92" s="507">
        <v>44719</v>
      </c>
      <c r="AC92" s="508">
        <v>43964</v>
      </c>
      <c r="AD92" s="508">
        <v>49046</v>
      </c>
      <c r="AE92" s="508">
        <v>45247</v>
      </c>
      <c r="AF92" s="509">
        <v>8.31</v>
      </c>
      <c r="AG92" s="509">
        <v>8.58</v>
      </c>
      <c r="AH92" s="509">
        <v>8.1999999999999993</v>
      </c>
      <c r="AI92" s="509">
        <v>8.34</v>
      </c>
      <c r="AJ92" s="509">
        <v>8.6999999999999993</v>
      </c>
      <c r="AK92" s="509">
        <v>8.23</v>
      </c>
      <c r="AL92" s="509">
        <v>8.35</v>
      </c>
      <c r="AM92" s="509">
        <v>8.36</v>
      </c>
      <c r="AN92" s="509">
        <v>8.44</v>
      </c>
      <c r="AO92" s="509">
        <v>8.0299999999999994</v>
      </c>
      <c r="AP92" s="509">
        <v>8.2899999999999991</v>
      </c>
      <c r="AQ92" s="509">
        <v>9.76</v>
      </c>
      <c r="AR92" s="509">
        <v>8.23</v>
      </c>
      <c r="AS92" s="509">
        <v>8.23</v>
      </c>
      <c r="AT92" s="509">
        <v>8.01</v>
      </c>
      <c r="AU92" s="509">
        <v>7.85</v>
      </c>
      <c r="AV92" s="509">
        <v>8.5299999999999994</v>
      </c>
      <c r="AW92" s="509">
        <v>8.08</v>
      </c>
      <c r="AX92" s="509">
        <v>8.59</v>
      </c>
      <c r="AY92" s="509">
        <v>8.14</v>
      </c>
      <c r="AZ92" s="509">
        <v>8.25</v>
      </c>
      <c r="BA92" s="509">
        <v>8.08</v>
      </c>
      <c r="BB92" s="509">
        <v>8.35</v>
      </c>
      <c r="BC92" s="510">
        <v>8.19</v>
      </c>
      <c r="BD92" s="510">
        <v>8.61</v>
      </c>
      <c r="BE92" s="510">
        <v>8.41</v>
      </c>
      <c r="BF92" s="511">
        <f>SUM(Input_Raw[[#This Row],[O2_01]:[O2_26]])</f>
        <v>1091775</v>
      </c>
      <c r="BG92" s="512">
        <f>IFERROR(AVERAGE(Input_Raw[[#This Row],[WS_O2_01]:[WS_O2_26]]),"")</f>
        <v>8.3515384615384622</v>
      </c>
      <c r="BH92" s="513"/>
      <c r="BI92" s="513"/>
      <c r="BJ92" s="508">
        <v>1056600</v>
      </c>
      <c r="BK92" s="508">
        <v>0</v>
      </c>
      <c r="BL92" s="514">
        <f>Input_Raw[[#This Row],[66 kV_Wind_F1_Export_reading]]-Input_Raw[[#This Row],[66 kV_Wind_F1_Import_reading]]</f>
        <v>1056600</v>
      </c>
      <c r="BM92" s="515">
        <f>Input_Raw[[#This Row],[WTG Total Gneration (KWh)]]-Input_Raw[[#This Row],[66 kV_Wind_F1_Export_reading]]</f>
        <v>35175</v>
      </c>
      <c r="BN92" s="111">
        <f>(Input_Raw[[#This Row],[WTG Total Gneration (KWh)]]-Input_Raw[[#This Row],[66 kV_Wind_F1_Export_reading]])/Input_Raw[[#This Row],[WTG Total Gneration (KWh)]]</f>
        <v>3.2218176822147421E-2</v>
      </c>
      <c r="BO92" s="89">
        <v>70.2</v>
      </c>
      <c r="BP92" s="516"/>
      <c r="BQ92" s="517">
        <v>1165.22</v>
      </c>
      <c r="BR92" s="518"/>
    </row>
    <row r="93" spans="1:70">
      <c r="A93" s="240">
        <f t="shared" si="14"/>
        <v>45833</v>
      </c>
      <c r="B93" s="11">
        <f>YEAR(Input_Raw[[#This Row],[Date]])+IF(MONTH(Input_Raw[[#This Row],[Date]])&gt;=4,1,0)</f>
        <v>2026</v>
      </c>
      <c r="C93" s="11">
        <f>YEAR(Input_Raw[[#This Row],[Date]])</f>
        <v>2025</v>
      </c>
      <c r="D93" s="12">
        <f t="shared" si="18"/>
        <v>45809</v>
      </c>
      <c r="E93" s="11">
        <f>DAY(EOMONTH(Input_Raw[[#This Row],[Date]],0))</f>
        <v>30</v>
      </c>
      <c r="F93" s="519">
        <v>9881</v>
      </c>
      <c r="G93" s="519">
        <v>9958</v>
      </c>
      <c r="H93" s="519">
        <v>9307</v>
      </c>
      <c r="I93" s="519">
        <v>10703</v>
      </c>
      <c r="J93" s="519">
        <v>10550</v>
      </c>
      <c r="K93" s="519">
        <v>13541</v>
      </c>
      <c r="L93" s="519">
        <v>10134</v>
      </c>
      <c r="M93" s="519">
        <v>9903</v>
      </c>
      <c r="N93" s="519">
        <v>9690</v>
      </c>
      <c r="O93" s="519">
        <v>8295</v>
      </c>
      <c r="P93" s="519">
        <v>10093</v>
      </c>
      <c r="Q93" s="519">
        <v>0</v>
      </c>
      <c r="R93" s="519">
        <v>8970</v>
      </c>
      <c r="S93" s="519">
        <v>8612</v>
      </c>
      <c r="T93" s="519">
        <v>8951</v>
      </c>
      <c r="U93" s="519">
        <v>10180</v>
      </c>
      <c r="V93" s="519">
        <v>15934</v>
      </c>
      <c r="W93" s="519">
        <v>12551</v>
      </c>
      <c r="X93" s="519">
        <v>13990</v>
      </c>
      <c r="Y93" s="519">
        <v>10246</v>
      </c>
      <c r="Z93" s="519">
        <v>13211</v>
      </c>
      <c r="AA93" s="519">
        <v>14081</v>
      </c>
      <c r="AB93" s="519">
        <v>9260</v>
      </c>
      <c r="AC93" s="520">
        <v>11296</v>
      </c>
      <c r="AD93" s="520">
        <v>11852</v>
      </c>
      <c r="AE93" s="520">
        <v>9536</v>
      </c>
      <c r="AF93" s="521">
        <v>4.8899999999999997</v>
      </c>
      <c r="AG93" s="521">
        <v>4.76</v>
      </c>
      <c r="AH93" s="521">
        <v>4.66</v>
      </c>
      <c r="AI93" s="521">
        <v>4.8499999999999996</v>
      </c>
      <c r="AJ93" s="521">
        <v>4.84</v>
      </c>
      <c r="AK93" s="521">
        <v>5.7</v>
      </c>
      <c r="AL93" s="521">
        <v>4.78</v>
      </c>
      <c r="AM93" s="521">
        <v>4.66</v>
      </c>
      <c r="AN93" s="521">
        <v>4.75</v>
      </c>
      <c r="AO93" s="521">
        <v>4.53</v>
      </c>
      <c r="AP93" s="521">
        <v>4.88</v>
      </c>
      <c r="AQ93" s="521">
        <v>5.4</v>
      </c>
      <c r="AR93" s="521">
        <v>4.6900000000000004</v>
      </c>
      <c r="AS93" s="521">
        <v>4.6100000000000003</v>
      </c>
      <c r="AT93" s="521">
        <v>4.59</v>
      </c>
      <c r="AU93" s="521">
        <v>4.84</v>
      </c>
      <c r="AV93" s="521">
        <v>5.87</v>
      </c>
      <c r="AW93" s="521">
        <v>5.25</v>
      </c>
      <c r="AX93" s="521">
        <v>5.34</v>
      </c>
      <c r="AY93" s="521">
        <v>4.9000000000000004</v>
      </c>
      <c r="AZ93" s="521">
        <v>5.31</v>
      </c>
      <c r="BA93" s="521">
        <v>5.48</v>
      </c>
      <c r="BB93" s="521">
        <v>4.63</v>
      </c>
      <c r="BC93" s="522">
        <v>4.97</v>
      </c>
      <c r="BD93" s="522">
        <v>4.97</v>
      </c>
      <c r="BE93" s="522">
        <v>4.7</v>
      </c>
      <c r="BF93" s="523">
        <f>SUM(Input_Raw[[#This Row],[O2_01]:[O2_26]])</f>
        <v>270725</v>
      </c>
      <c r="BG93" s="524">
        <f>IFERROR(AVERAGE(Input_Raw[[#This Row],[WS_O2_01]:[WS_O2_26]]),"")</f>
        <v>4.9557692307692314</v>
      </c>
      <c r="BH93" s="525"/>
      <c r="BI93" s="525"/>
      <c r="BJ93" s="520">
        <v>263250</v>
      </c>
      <c r="BK93" s="520">
        <v>0</v>
      </c>
      <c r="BL93" s="526">
        <f>Input_Raw[[#This Row],[66 kV_Wind_F1_Export_reading]]-Input_Raw[[#This Row],[66 kV_Wind_F1_Import_reading]]</f>
        <v>263250</v>
      </c>
      <c r="BM93" s="527">
        <f>Input_Raw[[#This Row],[WTG Total Gneration (KWh)]]-Input_Raw[[#This Row],[66 kV_Wind_F1_Export_reading]]</f>
        <v>7475</v>
      </c>
      <c r="BN93" s="111">
        <f>(Input_Raw[[#This Row],[WTG Total Gneration (KWh)]]-Input_Raw[[#This Row],[66 kV_Wind_F1_Export_reading]])/Input_Raw[[#This Row],[WTG Total Gneration (KWh)]]</f>
        <v>2.7611044417767107E-2</v>
      </c>
      <c r="BO93" s="89">
        <v>70.2</v>
      </c>
      <c r="BP93" s="528"/>
      <c r="BQ93" s="529">
        <v>286.3</v>
      </c>
      <c r="BR93" s="530"/>
    </row>
    <row r="94" spans="1:70">
      <c r="A94" s="240">
        <f t="shared" si="14"/>
        <v>45834</v>
      </c>
      <c r="B94" s="11">
        <f>YEAR(Input_Raw[[#This Row],[Date]])+IF(MONTH(Input_Raw[[#This Row],[Date]])&gt;=4,1,0)</f>
        <v>2026</v>
      </c>
      <c r="C94" s="11">
        <f>YEAR(Input_Raw[[#This Row],[Date]])</f>
        <v>2025</v>
      </c>
      <c r="D94" s="12">
        <f t="shared" si="18"/>
        <v>45809</v>
      </c>
      <c r="E94" s="11">
        <f>DAY(EOMONTH(Input_Raw[[#This Row],[Date]],0))</f>
        <v>30</v>
      </c>
      <c r="F94" s="137">
        <v>5982</v>
      </c>
      <c r="G94" s="137">
        <v>6461</v>
      </c>
      <c r="H94" s="137">
        <v>5250</v>
      </c>
      <c r="I94" s="137">
        <v>6918</v>
      </c>
      <c r="J94" s="137">
        <v>6206</v>
      </c>
      <c r="K94" s="137">
        <v>7570</v>
      </c>
      <c r="L94" s="137">
        <v>6102</v>
      </c>
      <c r="M94" s="137">
        <v>6987</v>
      </c>
      <c r="N94" s="137">
        <v>5838</v>
      </c>
      <c r="O94" s="137">
        <v>5654</v>
      </c>
      <c r="P94" s="137">
        <v>6362</v>
      </c>
      <c r="Q94" s="137">
        <v>0</v>
      </c>
      <c r="R94" s="137">
        <v>7100</v>
      </c>
      <c r="S94" s="137">
        <v>6657</v>
      </c>
      <c r="T94" s="137">
        <v>6563</v>
      </c>
      <c r="U94" s="137">
        <v>5760</v>
      </c>
      <c r="V94" s="137">
        <v>9140</v>
      </c>
      <c r="W94" s="137">
        <v>7687</v>
      </c>
      <c r="X94" s="137">
        <v>7434</v>
      </c>
      <c r="Y94" s="137">
        <v>6217</v>
      </c>
      <c r="Z94" s="137">
        <v>7106</v>
      </c>
      <c r="AA94" s="137">
        <v>7623</v>
      </c>
      <c r="AB94" s="137">
        <v>5808</v>
      </c>
      <c r="AC94" s="13">
        <v>6764</v>
      </c>
      <c r="AD94" s="13">
        <v>6817</v>
      </c>
      <c r="AE94" s="13">
        <v>6401</v>
      </c>
      <c r="AF94" s="138">
        <v>3.92</v>
      </c>
      <c r="AG94" s="138">
        <v>3.9</v>
      </c>
      <c r="AH94" s="138">
        <v>3.67</v>
      </c>
      <c r="AI94" s="138">
        <v>3.89</v>
      </c>
      <c r="AJ94" s="138">
        <v>3.93</v>
      </c>
      <c r="AK94" s="138">
        <v>4.6100000000000003</v>
      </c>
      <c r="AL94" s="138">
        <v>3.73</v>
      </c>
      <c r="AM94" s="138">
        <v>3.83</v>
      </c>
      <c r="AN94" s="138">
        <v>3.78</v>
      </c>
      <c r="AO94" s="138">
        <v>3.73</v>
      </c>
      <c r="AP94" s="138">
        <v>3.95</v>
      </c>
      <c r="AQ94" s="138">
        <v>2.72</v>
      </c>
      <c r="AR94" s="138">
        <v>3.94</v>
      </c>
      <c r="AS94" s="138">
        <v>3.96</v>
      </c>
      <c r="AT94" s="138">
        <v>3.85</v>
      </c>
      <c r="AU94" s="138">
        <v>3.72</v>
      </c>
      <c r="AV94" s="138">
        <v>4.55</v>
      </c>
      <c r="AW94" s="138">
        <v>4.09</v>
      </c>
      <c r="AX94" s="138">
        <v>3.99</v>
      </c>
      <c r="AY94" s="138">
        <v>3.93</v>
      </c>
      <c r="AZ94" s="138">
        <v>4.13</v>
      </c>
      <c r="BA94" s="138">
        <v>4.1900000000000004</v>
      </c>
      <c r="BB94" s="138">
        <v>3.76</v>
      </c>
      <c r="BC94" s="14">
        <v>3.97</v>
      </c>
      <c r="BD94" s="14">
        <v>3.98</v>
      </c>
      <c r="BE94" s="14">
        <v>3.85</v>
      </c>
      <c r="BF94" s="139">
        <f>SUM(Input_Raw[[#This Row],[O2_01]:[O2_26]])</f>
        <v>166407</v>
      </c>
      <c r="BG94" s="140">
        <f>IFERROR(AVERAGE(Input_Raw[[#This Row],[WS_O2_01]:[WS_O2_26]]),"")</f>
        <v>3.906538461538462</v>
      </c>
      <c r="BH94" s="141"/>
      <c r="BI94" s="141"/>
      <c r="BJ94" s="13">
        <v>161100</v>
      </c>
      <c r="BK94" s="13">
        <v>900</v>
      </c>
      <c r="BL94" s="15">
        <f>Input_Raw[[#This Row],[66 kV_Wind_F1_Export_reading]]-Input_Raw[[#This Row],[66 kV_Wind_F1_Import_reading]]</f>
        <v>160200</v>
      </c>
      <c r="BM94" s="142">
        <f>Input_Raw[[#This Row],[WTG Total Gneration (KWh)]]-Input_Raw[[#This Row],[66 kV_Wind_F1_Export_reading]]</f>
        <v>5307</v>
      </c>
      <c r="BN94" s="111">
        <f>(Input_Raw[[#This Row],[WTG Total Gneration (KWh)]]-Input_Raw[[#This Row],[66 kV_Wind_F1_Export_reading]])/Input_Raw[[#This Row],[WTG Total Gneration (KWh)]]</f>
        <v>3.1891687248733529E-2</v>
      </c>
      <c r="BO94" s="89">
        <v>70.2</v>
      </c>
      <c r="BP94" s="99"/>
      <c r="BQ94" s="135">
        <v>172.06</v>
      </c>
      <c r="BR94" s="207"/>
    </row>
    <row r="95" spans="1:70">
      <c r="A95" s="240">
        <f t="shared" si="14"/>
        <v>45835</v>
      </c>
      <c r="B95" s="11">
        <f>YEAR(Input_Raw[[#This Row],[Date]])+IF(MONTH(Input_Raw[[#This Row],[Date]])&gt;=4,1,0)</f>
        <v>2026</v>
      </c>
      <c r="C95" s="11">
        <f>YEAR(Input_Raw[[#This Row],[Date]])</f>
        <v>2025</v>
      </c>
      <c r="D95" s="12">
        <f t="shared" si="18"/>
        <v>45809</v>
      </c>
      <c r="E95" s="11">
        <f>DAY(EOMONTH(Input_Raw[[#This Row],[Date]],0))</f>
        <v>30</v>
      </c>
      <c r="F95" s="137">
        <v>29710</v>
      </c>
      <c r="G95" s="137">
        <v>29694</v>
      </c>
      <c r="H95" s="137">
        <v>30983</v>
      </c>
      <c r="I95" s="137">
        <v>29532</v>
      </c>
      <c r="J95" s="137">
        <v>28858</v>
      </c>
      <c r="K95" s="137">
        <v>35928</v>
      </c>
      <c r="L95" s="137">
        <v>27937</v>
      </c>
      <c r="M95" s="137">
        <v>31893</v>
      </c>
      <c r="N95" s="137">
        <v>31282</v>
      </c>
      <c r="O95" s="137">
        <v>31871</v>
      </c>
      <c r="P95" s="137">
        <v>32970</v>
      </c>
      <c r="Q95" s="137">
        <v>0</v>
      </c>
      <c r="R95" s="137">
        <v>25886</v>
      </c>
      <c r="S95" s="137">
        <v>32706</v>
      </c>
      <c r="T95" s="137">
        <v>33647</v>
      </c>
      <c r="U95" s="137">
        <v>33184</v>
      </c>
      <c r="V95" s="137">
        <v>35884</v>
      </c>
      <c r="W95" s="137">
        <v>35848</v>
      </c>
      <c r="X95" s="137">
        <v>32324</v>
      </c>
      <c r="Y95" s="137">
        <v>29446</v>
      </c>
      <c r="Z95" s="137">
        <v>32170</v>
      </c>
      <c r="AA95" s="137">
        <v>37800</v>
      </c>
      <c r="AB95" s="137">
        <v>29380</v>
      </c>
      <c r="AC95" s="13">
        <v>32878</v>
      </c>
      <c r="AD95" s="13">
        <v>30869</v>
      </c>
      <c r="AE95" s="13">
        <v>31562</v>
      </c>
      <c r="AF95" s="138">
        <v>6.9103472166591189</v>
      </c>
      <c r="AG95" s="138">
        <v>6.8454860978656331</v>
      </c>
      <c r="AH95" s="138">
        <v>6.8801388508743688</v>
      </c>
      <c r="AI95" s="138">
        <v>6.8813194466961738</v>
      </c>
      <c r="AJ95" s="138">
        <v>6.8432639042536394</v>
      </c>
      <c r="AK95" s="138">
        <v>7.6981249931785767</v>
      </c>
      <c r="AL95" s="138">
        <v>6.7058333489629938</v>
      </c>
      <c r="AM95" s="138">
        <v>6.9772222257322705</v>
      </c>
      <c r="AN95" s="138">
        <v>7.0093749993377168</v>
      </c>
      <c r="AO95" s="138">
        <v>7.0302083541949552</v>
      </c>
      <c r="AP95" s="138">
        <v>7.2204166601101498</v>
      </c>
      <c r="AQ95" s="138">
        <v>0</v>
      </c>
      <c r="AR95" s="138">
        <v>7.1977622475657395</v>
      </c>
      <c r="AS95" s="138">
        <v>7.107152748439046</v>
      </c>
      <c r="AT95" s="138">
        <v>7.1796527471807234</v>
      </c>
      <c r="AU95" s="138">
        <v>7.1360416395796635</v>
      </c>
      <c r="AV95" s="138">
        <v>7.7323611014419065</v>
      </c>
      <c r="AW95" s="138">
        <v>7.3764583220084479</v>
      </c>
      <c r="AX95" s="138">
        <v>7.1459027760558644</v>
      </c>
      <c r="AY95" s="138">
        <v>6.9877083086305154</v>
      </c>
      <c r="AZ95" s="138">
        <v>7.173472205797828</v>
      </c>
      <c r="BA95" s="138">
        <v>7.776527739233436</v>
      </c>
      <c r="BB95" s="138">
        <v>6.887083331743872</v>
      </c>
      <c r="BC95" s="14">
        <v>7.1539583388302015</v>
      </c>
      <c r="BD95" s="14">
        <v>6.8993055688010294</v>
      </c>
      <c r="BE95" s="14">
        <v>7.0188889188898909</v>
      </c>
      <c r="BF95" s="139">
        <f>SUM(Input_Raw[[#This Row],[O2_01]:[O2_26]])</f>
        <v>794242</v>
      </c>
      <c r="BG95" s="140">
        <f>IFERROR(AVERAGE(Input_Raw[[#This Row],[WS_O2_01]:[WS_O2_26]]),"")</f>
        <v>6.8374620035409128</v>
      </c>
      <c r="BH95" s="141"/>
      <c r="BI95" s="141"/>
      <c r="BJ95" s="13">
        <v>772650</v>
      </c>
      <c r="BK95" s="13">
        <v>0</v>
      </c>
      <c r="BL95" s="15">
        <f>Input_Raw[[#This Row],[66 kV_Wind_F1_Export_reading]]-Input_Raw[[#This Row],[66 kV_Wind_F1_Import_reading]]</f>
        <v>772650</v>
      </c>
      <c r="BM95" s="142">
        <f>Input_Raw[[#This Row],[WTG Total Gneration (KWh)]]-Input_Raw[[#This Row],[66 kV_Wind_F1_Export_reading]]</f>
        <v>21592</v>
      </c>
      <c r="BN95" s="111">
        <f>(Input_Raw[[#This Row],[WTG Total Gneration (KWh)]]-Input_Raw[[#This Row],[66 kV_Wind_F1_Export_reading]])/Input_Raw[[#This Row],[WTG Total Gneration (KWh)]]</f>
        <v>2.7185668851559097E-2</v>
      </c>
      <c r="BO95" s="89">
        <v>70.2</v>
      </c>
      <c r="BP95" s="99"/>
      <c r="BQ95" s="135">
        <v>807.27</v>
      </c>
      <c r="BR95" s="207"/>
    </row>
    <row r="96" spans="1:70">
      <c r="A96" s="240">
        <f t="shared" si="14"/>
        <v>45836</v>
      </c>
      <c r="B96" s="11">
        <f>YEAR(Input_Raw[[#This Row],[Date]])+IF(MONTH(Input_Raw[[#This Row],[Date]])&gt;=4,1,0)</f>
        <v>2026</v>
      </c>
      <c r="C96" s="11">
        <f>YEAR(Input_Raw[[#This Row],[Date]])</f>
        <v>2025</v>
      </c>
      <c r="D96" s="12">
        <f t="shared" ref="D96:D101" si="19">A96-DAY(A96)+1</f>
        <v>45809</v>
      </c>
      <c r="E96" s="11">
        <f>DAY(EOMONTH(Input_Raw[[#This Row],[Date]],0))</f>
        <v>30</v>
      </c>
      <c r="F96" s="532">
        <v>56204</v>
      </c>
      <c r="G96" s="532">
        <v>55284</v>
      </c>
      <c r="H96" s="532">
        <v>54660</v>
      </c>
      <c r="I96" s="532">
        <v>53600</v>
      </c>
      <c r="J96" s="532">
        <v>54703</v>
      </c>
      <c r="K96" s="532">
        <v>58092</v>
      </c>
      <c r="L96" s="532">
        <v>53572</v>
      </c>
      <c r="M96" s="532">
        <v>42838</v>
      </c>
      <c r="N96" s="532">
        <v>56209</v>
      </c>
      <c r="O96" s="532">
        <v>54705</v>
      </c>
      <c r="P96" s="532">
        <v>56457</v>
      </c>
      <c r="Q96" s="532">
        <v>0</v>
      </c>
      <c r="R96" s="532">
        <v>56738</v>
      </c>
      <c r="S96" s="532">
        <v>56319</v>
      </c>
      <c r="T96" s="532">
        <v>58053</v>
      </c>
      <c r="U96" s="532">
        <v>55682</v>
      </c>
      <c r="V96" s="532">
        <v>56104</v>
      </c>
      <c r="W96" s="532">
        <v>58276</v>
      </c>
      <c r="X96" s="532">
        <v>57627</v>
      </c>
      <c r="Y96" s="532">
        <v>52311</v>
      </c>
      <c r="Z96" s="532">
        <v>56225</v>
      </c>
      <c r="AA96" s="532">
        <v>58011</v>
      </c>
      <c r="AB96" s="532">
        <v>53851</v>
      </c>
      <c r="AC96" s="533">
        <v>54860</v>
      </c>
      <c r="AD96" s="533">
        <v>56866</v>
      </c>
      <c r="AE96" s="533">
        <v>55344</v>
      </c>
      <c r="AF96" s="534">
        <v>9.8893749978807044</v>
      </c>
      <c r="AG96" s="534">
        <v>9.882500025961118</v>
      </c>
      <c r="AH96" s="534">
        <v>9.6034722295072203</v>
      </c>
      <c r="AI96" s="534">
        <v>9.6678472459316094</v>
      </c>
      <c r="AJ96" s="534">
        <v>9.7336111234293856</v>
      </c>
      <c r="AK96" s="534">
        <v>10.148611088593784</v>
      </c>
      <c r="AL96" s="534">
        <v>9.5979166461361629</v>
      </c>
      <c r="AM96" s="534">
        <v>9.7179166351755288</v>
      </c>
      <c r="AN96" s="534">
        <v>9.8218055533038058</v>
      </c>
      <c r="AO96" s="534">
        <v>9.6160416636201962</v>
      </c>
      <c r="AP96" s="534">
        <v>9.9553472333484123</v>
      </c>
      <c r="AQ96" s="534">
        <v>5.8127777808242165</v>
      </c>
      <c r="AR96" s="534">
        <v>9.8643055326408664</v>
      </c>
      <c r="AS96" s="534">
        <v>9.7319444417953331</v>
      </c>
      <c r="AT96" s="534">
        <v>9.9236111144224601</v>
      </c>
      <c r="AU96" s="534">
        <v>9.9079860978656171</v>
      </c>
      <c r="AV96" s="534">
        <v>10.319583321611068</v>
      </c>
      <c r="AW96" s="534">
        <v>9.96680551767348</v>
      </c>
      <c r="AX96" s="534">
        <v>10.145625011788461</v>
      </c>
      <c r="AY96" s="534">
        <v>9.5035416450765222</v>
      </c>
      <c r="AZ96" s="534">
        <v>10.035208341148147</v>
      </c>
      <c r="BA96" s="534">
        <v>10.341805544164432</v>
      </c>
      <c r="BB96" s="534">
        <v>9.751041690508508</v>
      </c>
      <c r="BC96" s="535">
        <v>9.6993750267558489</v>
      </c>
      <c r="BD96" s="535">
        <v>9.8125694427225216</v>
      </c>
      <c r="BE96" s="535">
        <v>9.7290277613533771</v>
      </c>
      <c r="BF96" s="536">
        <f>SUM(Input_Raw[[#This Row],[O2_01]:[O2_26]])</f>
        <v>1382591</v>
      </c>
      <c r="BG96" s="537">
        <f>IFERROR(AVERAGE(Input_Raw[[#This Row],[WS_O2_01]:[WS_O2_26]]),"")</f>
        <v>9.6992174120476466</v>
      </c>
      <c r="BH96" s="538"/>
      <c r="BI96" s="538"/>
      <c r="BJ96" s="533">
        <v>1334250</v>
      </c>
      <c r="BK96" s="533">
        <v>0</v>
      </c>
      <c r="BL96" s="539">
        <f>Input_Raw[[#This Row],[66 kV_Wind_F1_Export_reading]]-Input_Raw[[#This Row],[66 kV_Wind_F1_Import_reading]]</f>
        <v>1334250</v>
      </c>
      <c r="BM96" s="540">
        <f>Input_Raw[[#This Row],[WTG Total Gneration (KWh)]]-Input_Raw[[#This Row],[66 kV_Wind_F1_Export_reading]]</f>
        <v>48341</v>
      </c>
      <c r="BN96" s="111">
        <f>(Input_Raw[[#This Row],[WTG Total Gneration (KWh)]]-Input_Raw[[#This Row],[66 kV_Wind_F1_Export_reading]])/Input_Raw[[#This Row],[WTG Total Gneration (KWh)]]</f>
        <v>3.4964063848238559E-2</v>
      </c>
      <c r="BO96" s="89">
        <v>70.2</v>
      </c>
      <c r="BP96" s="541"/>
      <c r="BQ96" s="542">
        <v>1434.41</v>
      </c>
      <c r="BR96" s="543"/>
    </row>
    <row r="97" spans="1:70">
      <c r="A97" s="240">
        <f t="shared" si="14"/>
        <v>45837</v>
      </c>
      <c r="B97" s="11">
        <f>YEAR(Input_Raw[[#This Row],[Date]])+IF(MONTH(Input_Raw[[#This Row],[Date]])&gt;=4,1,0)</f>
        <v>2026</v>
      </c>
      <c r="C97" s="11">
        <f>YEAR(Input_Raw[[#This Row],[Date]])</f>
        <v>2025</v>
      </c>
      <c r="D97" s="12">
        <f t="shared" si="19"/>
        <v>45809</v>
      </c>
      <c r="E97" s="11">
        <f>DAY(EOMONTH(Input_Raw[[#This Row],[Date]],0))</f>
        <v>30</v>
      </c>
      <c r="F97" s="532">
        <v>54692</v>
      </c>
      <c r="G97" s="532">
        <v>56261</v>
      </c>
      <c r="H97" s="532">
        <v>53336</v>
      </c>
      <c r="I97" s="532">
        <v>58716</v>
      </c>
      <c r="J97" s="532">
        <v>53004</v>
      </c>
      <c r="K97" s="532">
        <v>62725</v>
      </c>
      <c r="L97" s="532">
        <v>57606</v>
      </c>
      <c r="M97" s="532">
        <v>46179</v>
      </c>
      <c r="N97" s="532">
        <v>45425</v>
      </c>
      <c r="O97" s="532">
        <v>55795</v>
      </c>
      <c r="P97" s="532">
        <v>57284</v>
      </c>
      <c r="Q97" s="532">
        <v>0</v>
      </c>
      <c r="R97" s="532">
        <v>57422</v>
      </c>
      <c r="S97" s="532">
        <v>58023</v>
      </c>
      <c r="T97" s="532">
        <v>56720</v>
      </c>
      <c r="U97" s="532">
        <v>58947</v>
      </c>
      <c r="V97" s="532">
        <v>61742</v>
      </c>
      <c r="W97" s="532">
        <v>63546</v>
      </c>
      <c r="X97" s="532">
        <v>62375</v>
      </c>
      <c r="Y97" s="532">
        <v>60462</v>
      </c>
      <c r="Z97" s="532">
        <v>62347</v>
      </c>
      <c r="AA97" s="532">
        <v>63422</v>
      </c>
      <c r="AB97" s="532">
        <v>53083</v>
      </c>
      <c r="AC97" s="533">
        <v>60695</v>
      </c>
      <c r="AD97" s="533">
        <v>55475</v>
      </c>
      <c r="AE97" s="533">
        <v>55208</v>
      </c>
      <c r="AF97" s="534">
        <v>9.73</v>
      </c>
      <c r="AG97" s="534">
        <v>9.94</v>
      </c>
      <c r="AH97" s="534">
        <v>9.48</v>
      </c>
      <c r="AI97" s="534">
        <v>10.119999999999999</v>
      </c>
      <c r="AJ97" s="534">
        <v>9.74</v>
      </c>
      <c r="AK97" s="534">
        <v>10.8</v>
      </c>
      <c r="AL97" s="534">
        <v>10.09</v>
      </c>
      <c r="AM97" s="534">
        <v>9.86</v>
      </c>
      <c r="AN97" s="534">
        <v>9.5299999999999994</v>
      </c>
      <c r="AO97" s="534">
        <v>9.8800000000000008</v>
      </c>
      <c r="AP97" s="534">
        <v>10.01</v>
      </c>
      <c r="AQ97" s="534">
        <v>10.9</v>
      </c>
      <c r="AR97" s="534">
        <v>9.9600000000000009</v>
      </c>
      <c r="AS97" s="534">
        <v>10.039999999999999</v>
      </c>
      <c r="AT97" s="534">
        <v>9.9600000000000009</v>
      </c>
      <c r="AU97" s="534">
        <v>10.28</v>
      </c>
      <c r="AV97" s="534">
        <v>11.07</v>
      </c>
      <c r="AW97" s="534">
        <v>10.65</v>
      </c>
      <c r="AX97" s="534">
        <v>10.77</v>
      </c>
      <c r="AY97" s="534">
        <v>10.29</v>
      </c>
      <c r="AZ97" s="534">
        <v>10.64</v>
      </c>
      <c r="BA97" s="534">
        <v>11.09</v>
      </c>
      <c r="BB97" s="534">
        <v>9.6</v>
      </c>
      <c r="BC97" s="535">
        <v>10.220000000000001</v>
      </c>
      <c r="BD97" s="535">
        <v>9.64</v>
      </c>
      <c r="BE97" s="535">
        <v>9.7899999999999991</v>
      </c>
      <c r="BF97" s="536">
        <f>SUM(Input_Raw[[#This Row],[O2_01]:[O2_26]])</f>
        <v>1430490</v>
      </c>
      <c r="BG97" s="537">
        <f>IFERROR(AVERAGE(Input_Raw[[#This Row],[WS_O2_01]:[WS_O2_26]]),"")</f>
        <v>10.156923076923078</v>
      </c>
      <c r="BH97" s="538"/>
      <c r="BI97" s="538"/>
      <c r="BJ97" s="533">
        <v>1379250</v>
      </c>
      <c r="BK97" s="533">
        <v>0</v>
      </c>
      <c r="BL97" s="539">
        <f>Input_Raw[[#This Row],[66 kV_Wind_F1_Export_reading]]-Input_Raw[[#This Row],[66 kV_Wind_F1_Import_reading]]</f>
        <v>1379250</v>
      </c>
      <c r="BM97" s="540">
        <f>Input_Raw[[#This Row],[WTG Total Gneration (KWh)]]-Input_Raw[[#This Row],[66 kV_Wind_F1_Export_reading]]</f>
        <v>51240</v>
      </c>
      <c r="BN97" s="111">
        <f>(Input_Raw[[#This Row],[WTG Total Gneration (KWh)]]-Input_Raw[[#This Row],[66 kV_Wind_F1_Export_reading]])/Input_Raw[[#This Row],[WTG Total Gneration (KWh)]]</f>
        <v>3.5819893882515781E-2</v>
      </c>
      <c r="BO97" s="89">
        <v>70.2</v>
      </c>
      <c r="BP97" s="541"/>
      <c r="BQ97" s="542">
        <v>1508.13</v>
      </c>
      <c r="BR97" s="543"/>
    </row>
    <row r="98" spans="1:70">
      <c r="A98" s="240">
        <f t="shared" si="14"/>
        <v>45838</v>
      </c>
      <c r="B98" s="11">
        <f>YEAR(Input_Raw[[#This Row],[Date]])+IF(MONTH(Input_Raw[[#This Row],[Date]])&gt;=4,1,0)</f>
        <v>2026</v>
      </c>
      <c r="C98" s="11">
        <f>YEAR(Input_Raw[[#This Row],[Date]])</f>
        <v>2025</v>
      </c>
      <c r="D98" s="12">
        <f t="shared" si="19"/>
        <v>45809</v>
      </c>
      <c r="E98" s="11">
        <f>DAY(EOMONTH(Input_Raw[[#This Row],[Date]],0))</f>
        <v>30</v>
      </c>
      <c r="F98" s="137">
        <v>53426</v>
      </c>
      <c r="G98" s="137">
        <v>53878</v>
      </c>
      <c r="H98" s="137">
        <v>52369</v>
      </c>
      <c r="I98" s="137">
        <v>55594</v>
      </c>
      <c r="J98" s="137">
        <v>52759</v>
      </c>
      <c r="K98" s="137">
        <v>57647</v>
      </c>
      <c r="L98" s="137">
        <v>55087</v>
      </c>
      <c r="M98" s="137">
        <v>38128</v>
      </c>
      <c r="N98" s="137">
        <v>44861</v>
      </c>
      <c r="O98" s="137">
        <v>49805</v>
      </c>
      <c r="P98" s="137">
        <v>54194</v>
      </c>
      <c r="Q98" s="137">
        <v>0</v>
      </c>
      <c r="R98" s="137">
        <v>53550</v>
      </c>
      <c r="S98" s="137">
        <v>53754</v>
      </c>
      <c r="T98" s="137">
        <v>51323</v>
      </c>
      <c r="U98" s="137">
        <v>51935</v>
      </c>
      <c r="V98" s="137">
        <v>59127</v>
      </c>
      <c r="W98" s="137">
        <v>58437</v>
      </c>
      <c r="X98" s="137">
        <v>59722</v>
      </c>
      <c r="Y98" s="137">
        <v>55431</v>
      </c>
      <c r="Z98" s="137">
        <v>59418</v>
      </c>
      <c r="AA98" s="137">
        <v>58811</v>
      </c>
      <c r="AB98" s="137">
        <v>53587</v>
      </c>
      <c r="AC98" s="13">
        <v>55787</v>
      </c>
      <c r="AD98" s="13">
        <v>56331</v>
      </c>
      <c r="AE98" s="13">
        <v>53074</v>
      </c>
      <c r="AF98" s="138">
        <v>9.3382638659742074</v>
      </c>
      <c r="AG98" s="138">
        <v>9.4255555735693903</v>
      </c>
      <c r="AH98" s="138">
        <v>9.1932639016045368</v>
      </c>
      <c r="AI98" s="138">
        <v>9.511111097203349</v>
      </c>
      <c r="AJ98" s="138">
        <v>9.4017360974620523</v>
      </c>
      <c r="AK98" s="138">
        <v>9.9126388728618409</v>
      </c>
      <c r="AL98" s="138">
        <v>9.5431250035762663</v>
      </c>
      <c r="AM98" s="138">
        <v>9.3521527759730727</v>
      </c>
      <c r="AN98" s="138">
        <v>9.3041666547457211</v>
      </c>
      <c r="AO98" s="138">
        <v>9.1195104839084777</v>
      </c>
      <c r="AP98" s="138">
        <v>9.4489583240614863</v>
      </c>
      <c r="AQ98" s="138">
        <v>10.460555556747629</v>
      </c>
      <c r="AR98" s="138">
        <v>9.3081944717301148</v>
      </c>
      <c r="AS98" s="138">
        <v>9.294861074950953</v>
      </c>
      <c r="AT98" s="138">
        <v>9.1254861222373052</v>
      </c>
      <c r="AU98" s="138">
        <v>9.3398611148198327</v>
      </c>
      <c r="AV98" s="138">
        <v>10.260559462167141</v>
      </c>
      <c r="AW98" s="138">
        <v>9.7431249817212287</v>
      </c>
      <c r="AX98" s="138">
        <v>10.096250017484012</v>
      </c>
      <c r="AY98" s="138">
        <v>9.5286111003822622</v>
      </c>
      <c r="AZ98" s="138">
        <v>9.9463889135254533</v>
      </c>
      <c r="BA98" s="138">
        <v>10.069583319955379</v>
      </c>
      <c r="BB98" s="138">
        <v>9.3122222125530101</v>
      </c>
      <c r="BC98" s="14">
        <v>9.5404166612360086</v>
      </c>
      <c r="BD98" s="14">
        <v>9.4933333628707359</v>
      </c>
      <c r="BE98" s="14">
        <v>9.3251388933923405</v>
      </c>
      <c r="BF98" s="139">
        <f>SUM(Input_Raw[[#This Row],[O2_01]:[O2_26]])</f>
        <v>1348035</v>
      </c>
      <c r="BG98" s="140">
        <f>IFERROR(AVERAGE(Input_Raw[[#This Row],[WS_O2_01]:[WS_O2_26]]),"")</f>
        <v>9.5536565352582237</v>
      </c>
      <c r="BH98" s="141"/>
      <c r="BI98" s="141"/>
      <c r="BJ98" s="13">
        <v>1301850</v>
      </c>
      <c r="BK98" s="13">
        <v>0</v>
      </c>
      <c r="BL98" s="15">
        <f>Input_Raw[[#This Row],[66 kV_Wind_F1_Export_reading]]-Input_Raw[[#This Row],[66 kV_Wind_F1_Import_reading]]</f>
        <v>1301850</v>
      </c>
      <c r="BM98" s="142">
        <f>Input_Raw[[#This Row],[WTG Total Gneration (KWh)]]-Input_Raw[[#This Row],[66 kV_Wind_F1_Export_reading]]</f>
        <v>46185</v>
      </c>
      <c r="BN98" s="111">
        <f>(Input_Raw[[#This Row],[WTG Total Gneration (KWh)]]-Input_Raw[[#This Row],[66 kV_Wind_F1_Export_reading]])/Input_Raw[[#This Row],[WTG Total Gneration (KWh)]]</f>
        <v>3.4260979870700689E-2</v>
      </c>
      <c r="BO98" s="89">
        <v>70.2</v>
      </c>
      <c r="BP98" s="99"/>
      <c r="BQ98" s="135">
        <v>1451.83</v>
      </c>
      <c r="BR98" s="207"/>
    </row>
    <row r="99" spans="1:70">
      <c r="A99" s="240">
        <f t="shared" si="14"/>
        <v>45839</v>
      </c>
      <c r="B99" s="11">
        <f>YEAR(Input_Raw[[#This Row],[Date]])+IF(MONTH(Input_Raw[[#This Row],[Date]])&gt;=4,1,0)</f>
        <v>2026</v>
      </c>
      <c r="C99" s="11">
        <f>YEAR(Input_Raw[[#This Row],[Date]])</f>
        <v>2025</v>
      </c>
      <c r="D99" s="12">
        <f t="shared" si="19"/>
        <v>45839</v>
      </c>
      <c r="E99" s="11">
        <f>DAY(EOMONTH(Input_Raw[[#This Row],[Date]],0))</f>
        <v>31</v>
      </c>
      <c r="F99" s="137">
        <v>33007</v>
      </c>
      <c r="G99" s="137">
        <v>35634</v>
      </c>
      <c r="H99" s="137">
        <v>27997</v>
      </c>
      <c r="I99" s="137">
        <v>34887</v>
      </c>
      <c r="J99" s="137">
        <v>37135</v>
      </c>
      <c r="K99" s="137">
        <v>40044</v>
      </c>
      <c r="L99" s="137">
        <v>30187</v>
      </c>
      <c r="M99" s="137">
        <v>37613</v>
      </c>
      <c r="N99" s="137">
        <v>35286</v>
      </c>
      <c r="O99" s="137">
        <v>34711</v>
      </c>
      <c r="P99" s="137">
        <v>32474</v>
      </c>
      <c r="Q99" s="137">
        <v>0</v>
      </c>
      <c r="R99" s="137">
        <v>31527</v>
      </c>
      <c r="S99" s="137">
        <v>33961</v>
      </c>
      <c r="T99" s="137">
        <v>27463</v>
      </c>
      <c r="U99" s="137">
        <v>28146</v>
      </c>
      <c r="V99" s="137">
        <v>46982</v>
      </c>
      <c r="W99" s="137">
        <v>40056</v>
      </c>
      <c r="X99" s="137">
        <v>41590</v>
      </c>
      <c r="Y99" s="137">
        <v>34692</v>
      </c>
      <c r="Z99" s="137">
        <v>42013</v>
      </c>
      <c r="AA99" s="137">
        <v>38603</v>
      </c>
      <c r="AB99" s="137">
        <v>32499</v>
      </c>
      <c r="AC99" s="13">
        <v>34010</v>
      </c>
      <c r="AD99" s="13">
        <v>38182</v>
      </c>
      <c r="AE99" s="13">
        <v>30946</v>
      </c>
      <c r="AF99" s="138">
        <v>7.4600699197995901</v>
      </c>
      <c r="AG99" s="138">
        <v>7.6240140401141732</v>
      </c>
      <c r="AH99" s="138">
        <v>7.3918181943309875</v>
      </c>
      <c r="AI99" s="138">
        <v>7.4640277557902852</v>
      </c>
      <c r="AJ99" s="138">
        <v>7.7702097967788042</v>
      </c>
      <c r="AK99" s="138">
        <v>8.1718749701976723</v>
      </c>
      <c r="AL99" s="138">
        <v>7.0523611290587311</v>
      </c>
      <c r="AM99" s="138">
        <v>7.6222916775279561</v>
      </c>
      <c r="AN99" s="138">
        <v>7.7065034979706866</v>
      </c>
      <c r="AO99" s="138">
        <v>7.5143356856766266</v>
      </c>
      <c r="AP99" s="138">
        <v>7.4249650548388058</v>
      </c>
      <c r="AQ99" s="138">
        <v>8.1511805852254184</v>
      </c>
      <c r="AR99" s="138">
        <v>7.2206293719631791</v>
      </c>
      <c r="AS99" s="138">
        <v>7.48370629757434</v>
      </c>
      <c r="AT99" s="138">
        <v>6.8951408392946476</v>
      </c>
      <c r="AU99" s="138">
        <v>6.8672222163942118</v>
      </c>
      <c r="AV99" s="138">
        <v>8.6352777745988583</v>
      </c>
      <c r="AW99" s="138">
        <v>7.854166643487078</v>
      </c>
      <c r="AX99" s="138">
        <v>7.9751388529936458</v>
      </c>
      <c r="AY99" s="138">
        <v>7.4495833085642902</v>
      </c>
      <c r="AZ99" s="138">
        <v>8.0753472281826824</v>
      </c>
      <c r="BA99" s="138">
        <v>7.9930555522441828</v>
      </c>
      <c r="BB99" s="138">
        <v>7.4841957792535512</v>
      </c>
      <c r="BC99" s="14">
        <v>7.3502777748637715</v>
      </c>
      <c r="BD99" s="14">
        <v>7.7376923361024659</v>
      </c>
      <c r="BE99" s="14">
        <v>7.2721527483728181</v>
      </c>
      <c r="BF99" s="139">
        <f>SUM(Input_Raw[[#This Row],[O2_01]:[O2_26]])</f>
        <v>879645</v>
      </c>
      <c r="BG99" s="140">
        <f>IFERROR(AVERAGE(Input_Raw[[#This Row],[WS_O2_01]:[WS_O2_26]]),"")</f>
        <v>7.6018168858153654</v>
      </c>
      <c r="BH99" s="141"/>
      <c r="BI99" s="141"/>
      <c r="BJ99" s="13">
        <v>855000</v>
      </c>
      <c r="BK99" s="13">
        <v>0</v>
      </c>
      <c r="BL99" s="15">
        <f>Input_Raw[[#This Row],[66 kV_Wind_F1_Export_reading]]-Input_Raw[[#This Row],[66 kV_Wind_F1_Import_reading]]</f>
        <v>855000</v>
      </c>
      <c r="BM99" s="142">
        <f>Input_Raw[[#This Row],[WTG Total Gneration (KWh)]]-Input_Raw[[#This Row],[66 kV_Wind_F1_Export_reading]]</f>
        <v>24645</v>
      </c>
      <c r="BN99" s="111">
        <f>(Input_Raw[[#This Row],[WTG Total Gneration (KWh)]]-Input_Raw[[#This Row],[66 kV_Wind_F1_Export_reading]])/Input_Raw[[#This Row],[WTG Total Gneration (KWh)]]</f>
        <v>2.8016984124277406E-2</v>
      </c>
      <c r="BO99" s="89">
        <v>70.2</v>
      </c>
      <c r="BP99" s="99"/>
      <c r="BQ99" s="135">
        <v>938.65</v>
      </c>
      <c r="BR99" s="207"/>
    </row>
    <row r="100" spans="1:70">
      <c r="A100" s="240">
        <f t="shared" si="14"/>
        <v>45840</v>
      </c>
      <c r="B100" s="11">
        <f>YEAR(Input_Raw[[#This Row],[Date]])+IF(MONTH(Input_Raw[[#This Row],[Date]])&gt;=4,1,0)</f>
        <v>2026</v>
      </c>
      <c r="C100" s="11">
        <f>YEAR(Input_Raw[[#This Row],[Date]])</f>
        <v>2025</v>
      </c>
      <c r="D100" s="12">
        <f t="shared" si="19"/>
        <v>45839</v>
      </c>
      <c r="E100" s="11">
        <f>DAY(EOMONTH(Input_Raw[[#This Row],[Date]],0))</f>
        <v>31</v>
      </c>
      <c r="F100" s="137">
        <v>29644</v>
      </c>
      <c r="G100" s="137">
        <v>35182</v>
      </c>
      <c r="H100" s="137">
        <v>30573</v>
      </c>
      <c r="I100" s="137">
        <v>30431</v>
      </c>
      <c r="J100" s="137">
        <v>34556</v>
      </c>
      <c r="K100" s="137">
        <v>29022</v>
      </c>
      <c r="L100" s="137">
        <v>29432</v>
      </c>
      <c r="M100" s="137">
        <v>30920</v>
      </c>
      <c r="N100" s="137">
        <v>31596</v>
      </c>
      <c r="O100" s="137">
        <v>29275</v>
      </c>
      <c r="P100" s="137">
        <v>29363</v>
      </c>
      <c r="Q100" s="137">
        <v>0</v>
      </c>
      <c r="R100" s="137">
        <v>30690</v>
      </c>
      <c r="S100" s="137">
        <v>32433</v>
      </c>
      <c r="T100" s="137">
        <v>29199</v>
      </c>
      <c r="U100" s="137">
        <v>29949</v>
      </c>
      <c r="V100" s="137">
        <v>32659</v>
      </c>
      <c r="W100" s="137">
        <v>30013</v>
      </c>
      <c r="X100" s="137">
        <v>34116</v>
      </c>
      <c r="Y100" s="137">
        <v>27208</v>
      </c>
      <c r="Z100" s="137">
        <v>30365</v>
      </c>
      <c r="AA100" s="137">
        <v>27741</v>
      </c>
      <c r="AB100" s="137">
        <v>33314</v>
      </c>
      <c r="AC100" s="13">
        <v>31248</v>
      </c>
      <c r="AD100" s="13">
        <v>35246</v>
      </c>
      <c r="AE100" s="13">
        <v>30658</v>
      </c>
      <c r="AF100" s="138">
        <v>7.0535416669315758</v>
      </c>
      <c r="AG100" s="138">
        <v>7.4395138621330243</v>
      </c>
      <c r="AH100" s="138">
        <v>6.975069476498498</v>
      </c>
      <c r="AI100" s="138">
        <v>7.1133566736341338</v>
      </c>
      <c r="AJ100" s="138">
        <v>7.4834722098377018</v>
      </c>
      <c r="AK100" s="138">
        <v>7.3784615509993516</v>
      </c>
      <c r="AL100" s="138">
        <v>7.1705594512966133</v>
      </c>
      <c r="AM100" s="138">
        <v>7.0909285545349103</v>
      </c>
      <c r="AN100" s="138">
        <v>7.2404861450195295</v>
      </c>
      <c r="AO100" s="138">
        <v>7.027291688654155</v>
      </c>
      <c r="AP100" s="138">
        <v>7.0705555528402293</v>
      </c>
      <c r="AQ100" s="138">
        <v>8.3115972578525472</v>
      </c>
      <c r="AR100" s="138">
        <v>7.082222210036381</v>
      </c>
      <c r="AS100" s="138">
        <v>7.2642361190583937</v>
      </c>
      <c r="AT100" s="138">
        <v>6.9958333207501289</v>
      </c>
      <c r="AU100" s="138">
        <v>7.1137762436499932</v>
      </c>
      <c r="AV100" s="138">
        <v>7.5181119125206086</v>
      </c>
      <c r="AW100" s="138">
        <v>7.0520979074331409</v>
      </c>
      <c r="AX100" s="138">
        <v>7.4484615659380244</v>
      </c>
      <c r="AY100" s="138">
        <v>6.8849650513042091</v>
      </c>
      <c r="AZ100" s="138">
        <v>7.1702797412872279</v>
      </c>
      <c r="BA100" s="138">
        <v>7.0178321791695533</v>
      </c>
      <c r="BB100" s="138">
        <v>7.2938194374243404</v>
      </c>
      <c r="BC100" s="14">
        <v>7.1297902043882777</v>
      </c>
      <c r="BD100" s="14">
        <v>7.3915277719497663</v>
      </c>
      <c r="BE100" s="14">
        <v>7.134999993774624</v>
      </c>
      <c r="BF100" s="139">
        <f>SUM(Input_Raw[[#This Row],[O2_01]:[O2_26]])</f>
        <v>774833</v>
      </c>
      <c r="BG100" s="140">
        <f>IFERROR(AVERAGE(Input_Raw[[#This Row],[WS_O2_01]:[WS_O2_26]]),"")</f>
        <v>7.2251072211121912</v>
      </c>
      <c r="BH100" s="141"/>
      <c r="BI100" s="141"/>
      <c r="BJ100" s="13">
        <v>753750</v>
      </c>
      <c r="BK100" s="13">
        <v>0</v>
      </c>
      <c r="BL100" s="15">
        <f>Input_Raw[[#This Row],[66 kV_Wind_F1_Export_reading]]-Input_Raw[[#This Row],[66 kV_Wind_F1_Import_reading]]</f>
        <v>753750</v>
      </c>
      <c r="BM100" s="142">
        <f>Input_Raw[[#This Row],[WTG Total Gneration (KWh)]]-Input_Raw[[#This Row],[66 kV_Wind_F1_Export_reading]]</f>
        <v>21083</v>
      </c>
      <c r="BN100" s="111">
        <f>(Input_Raw[[#This Row],[WTG Total Gneration (KWh)]]-Input_Raw[[#This Row],[66 kV_Wind_F1_Export_reading]])/Input_Raw[[#This Row],[WTG Total Gneration (KWh)]]</f>
        <v>2.7209734226601088E-2</v>
      </c>
      <c r="BO100" s="89">
        <v>70.2</v>
      </c>
      <c r="BP100" s="99"/>
      <c r="BQ100" s="135">
        <v>831.68</v>
      </c>
      <c r="BR100" s="207"/>
    </row>
    <row r="101" spans="1:70">
      <c r="A101" s="240">
        <f t="shared" si="14"/>
        <v>45841</v>
      </c>
      <c r="B101" s="11">
        <f>YEAR(Input_Raw[[#This Row],[Date]])+IF(MONTH(Input_Raw[[#This Row],[Date]])&gt;=4,1,0)</f>
        <v>2026</v>
      </c>
      <c r="C101" s="11">
        <f>YEAR(Input_Raw[[#This Row],[Date]])</f>
        <v>2025</v>
      </c>
      <c r="D101" s="12">
        <f t="shared" si="19"/>
        <v>45839</v>
      </c>
      <c r="E101" s="11">
        <f>DAY(EOMONTH(Input_Raw[[#This Row],[Date]],0))</f>
        <v>31</v>
      </c>
      <c r="F101" s="137">
        <v>28439</v>
      </c>
      <c r="G101" s="137">
        <v>31434</v>
      </c>
      <c r="H101" s="137">
        <v>31484</v>
      </c>
      <c r="I101" s="137">
        <v>26987</v>
      </c>
      <c r="J101" s="137">
        <v>31756</v>
      </c>
      <c r="K101" s="137">
        <v>28199</v>
      </c>
      <c r="L101" s="137">
        <v>27508</v>
      </c>
      <c r="M101" s="137">
        <v>29908</v>
      </c>
      <c r="N101" s="137">
        <v>29781</v>
      </c>
      <c r="O101" s="137">
        <v>30174</v>
      </c>
      <c r="P101" s="137">
        <v>29961</v>
      </c>
      <c r="Q101" s="137">
        <v>0</v>
      </c>
      <c r="R101" s="137">
        <v>29021</v>
      </c>
      <c r="S101" s="137">
        <v>31450</v>
      </c>
      <c r="T101" s="137">
        <v>28823</v>
      </c>
      <c r="U101" s="137">
        <v>30206</v>
      </c>
      <c r="V101" s="137">
        <v>28833</v>
      </c>
      <c r="W101" s="137">
        <v>28810</v>
      </c>
      <c r="X101" s="137">
        <v>30867</v>
      </c>
      <c r="Y101" s="137">
        <v>28283</v>
      </c>
      <c r="Z101" s="137">
        <v>29253</v>
      </c>
      <c r="AA101" s="137">
        <v>24323</v>
      </c>
      <c r="AB101" s="137">
        <v>30668</v>
      </c>
      <c r="AC101" s="13">
        <v>30396</v>
      </c>
      <c r="AD101" s="13">
        <v>33208</v>
      </c>
      <c r="AE101" s="13">
        <v>30243</v>
      </c>
      <c r="AF101" s="138">
        <v>6.9407639139228392</v>
      </c>
      <c r="AG101" s="138">
        <v>7.1092361062765121</v>
      </c>
      <c r="AH101" s="138">
        <v>7.1079166465335417</v>
      </c>
      <c r="AI101" s="138">
        <v>6.710555545157856</v>
      </c>
      <c r="AJ101" s="138">
        <v>7.2015277975135383</v>
      </c>
      <c r="AK101" s="138">
        <v>7.1495833281013672</v>
      </c>
      <c r="AL101" s="138">
        <v>6.7293749998013173</v>
      </c>
      <c r="AM101" s="138">
        <v>6.8711111264096356</v>
      </c>
      <c r="AN101" s="138">
        <v>7.0476388848490181</v>
      </c>
      <c r="AO101" s="138">
        <v>6.9788194414642115</v>
      </c>
      <c r="AP101" s="138">
        <v>7.061944436695839</v>
      </c>
      <c r="AQ101" s="138">
        <v>7.8986111250188582</v>
      </c>
      <c r="AR101" s="138">
        <v>6.8575000067551919</v>
      </c>
      <c r="AS101" s="138">
        <v>7.0886805637015229</v>
      </c>
      <c r="AT101" s="138">
        <v>6.8239583406183444</v>
      </c>
      <c r="AU101" s="138">
        <v>6.9354166669978028</v>
      </c>
      <c r="AV101" s="138">
        <v>7.0225694560342351</v>
      </c>
      <c r="AW101" s="138">
        <v>6.8334027843342877</v>
      </c>
      <c r="AX101" s="138">
        <v>7.0106250014569991</v>
      </c>
      <c r="AY101" s="138">
        <v>6.8624305360847035</v>
      </c>
      <c r="AZ101" s="138">
        <v>6.919444436828293</v>
      </c>
      <c r="BA101" s="138">
        <v>6.5720138930612135</v>
      </c>
      <c r="BB101" s="138">
        <v>7.0516666521628695</v>
      </c>
      <c r="BC101" s="14">
        <v>6.9123610672023554</v>
      </c>
      <c r="BD101" s="14">
        <v>7.1961805505885019</v>
      </c>
      <c r="BE101" s="14">
        <v>6.9929166684548054</v>
      </c>
      <c r="BF101" s="139">
        <f>SUM(Input_Raw[[#This Row],[O2_01]:[O2_26]])</f>
        <v>740015</v>
      </c>
      <c r="BG101" s="140">
        <f>IFERROR(AVERAGE(Input_Raw[[#This Row],[WS_O2_01]:[WS_O2_26]]),"")</f>
        <v>6.9956249990779096</v>
      </c>
      <c r="BH101" s="141"/>
      <c r="BI101" s="141"/>
      <c r="BJ101" s="13">
        <v>720900</v>
      </c>
      <c r="BK101" s="13">
        <v>0</v>
      </c>
      <c r="BL101" s="15">
        <f>Input_Raw[[#This Row],[66 kV_Wind_F1_Export_reading]]-Input_Raw[[#This Row],[66 kV_Wind_F1_Import_reading]]</f>
        <v>720900</v>
      </c>
      <c r="BM101" s="142">
        <f>Input_Raw[[#This Row],[WTG Total Gneration (KWh)]]-Input_Raw[[#This Row],[66 kV_Wind_F1_Export_reading]]</f>
        <v>19115</v>
      </c>
      <c r="BN101" s="111">
        <f>(Input_Raw[[#This Row],[WTG Total Gneration (KWh)]]-Input_Raw[[#This Row],[66 kV_Wind_F1_Export_reading]])/Input_Raw[[#This Row],[WTG Total Gneration (KWh)]]</f>
        <v>2.5830557488699554E-2</v>
      </c>
      <c r="BO101" s="89">
        <v>70.2</v>
      </c>
      <c r="BP101" s="99"/>
      <c r="BQ101" s="135">
        <v>789.12</v>
      </c>
      <c r="BR101" s="207"/>
    </row>
    <row r="102" spans="1:70">
      <c r="A102" s="240">
        <f t="shared" si="14"/>
        <v>45842</v>
      </c>
      <c r="B102" s="11">
        <f>YEAR(Input_Raw[[#This Row],[Date]])+IF(MONTH(Input_Raw[[#This Row],[Date]])&gt;=4,1,0)</f>
        <v>2026</v>
      </c>
      <c r="C102" s="11">
        <f>YEAR(Input_Raw[[#This Row],[Date]])</f>
        <v>2025</v>
      </c>
      <c r="D102" s="12">
        <f t="shared" ref="D102" si="20">A102-DAY(A102)+1</f>
        <v>45839</v>
      </c>
      <c r="E102" s="11">
        <f>DAY(EOMONTH(Input_Raw[[#This Row],[Date]],0))</f>
        <v>31</v>
      </c>
      <c r="F102" s="553">
        <v>16805</v>
      </c>
      <c r="G102" s="553">
        <v>19166</v>
      </c>
      <c r="H102" s="553">
        <v>16241</v>
      </c>
      <c r="I102" s="553">
        <v>17686</v>
      </c>
      <c r="J102" s="553">
        <v>19538</v>
      </c>
      <c r="K102" s="553">
        <v>17027</v>
      </c>
      <c r="L102" s="553">
        <v>17148</v>
      </c>
      <c r="M102" s="553">
        <v>17269</v>
      </c>
      <c r="N102" s="553">
        <v>16169</v>
      </c>
      <c r="O102" s="553">
        <v>16197</v>
      </c>
      <c r="P102" s="553">
        <v>15861</v>
      </c>
      <c r="Q102" s="553">
        <v>0</v>
      </c>
      <c r="R102" s="553">
        <v>15946</v>
      </c>
      <c r="S102" s="553">
        <v>16553</v>
      </c>
      <c r="T102" s="553">
        <v>16111</v>
      </c>
      <c r="U102" s="553">
        <v>15978</v>
      </c>
      <c r="V102" s="553">
        <v>18015</v>
      </c>
      <c r="W102" s="553">
        <v>17420</v>
      </c>
      <c r="X102" s="553">
        <v>17110</v>
      </c>
      <c r="Y102" s="553">
        <v>2838</v>
      </c>
      <c r="Z102" s="553">
        <v>17444</v>
      </c>
      <c r="AA102" s="553">
        <v>17634</v>
      </c>
      <c r="AB102" s="553">
        <v>15831</v>
      </c>
      <c r="AC102" s="554">
        <v>18545</v>
      </c>
      <c r="AD102" s="554">
        <v>21118</v>
      </c>
      <c r="AE102" s="554">
        <v>16699</v>
      </c>
      <c r="AF102" s="555">
        <v>5.6438888923989392</v>
      </c>
      <c r="AG102" s="555">
        <v>5.7808333436648045</v>
      </c>
      <c r="AH102" s="555">
        <v>5.4604166572292634</v>
      </c>
      <c r="AI102" s="555">
        <v>5.5066666669315758</v>
      </c>
      <c r="AJ102" s="555">
        <v>5.9132638855112916</v>
      </c>
      <c r="AK102" s="555">
        <v>5.9399305598603345</v>
      </c>
      <c r="AL102" s="555">
        <v>5.4963889022668191</v>
      </c>
      <c r="AM102" s="555">
        <v>5.4656944390800257</v>
      </c>
      <c r="AN102" s="555">
        <v>5.5429861173033705</v>
      </c>
      <c r="AO102" s="555">
        <v>5.4837500138415223</v>
      </c>
      <c r="AP102" s="555">
        <v>5.519652762346797</v>
      </c>
      <c r="AQ102" s="555">
        <v>6.2409027872814065</v>
      </c>
      <c r="AR102" s="555">
        <v>5.4021527717510853</v>
      </c>
      <c r="AS102" s="555">
        <v>5.5036111209127627</v>
      </c>
      <c r="AT102" s="555">
        <v>5.385972221692402</v>
      </c>
      <c r="AU102" s="555">
        <v>5.3752777824799214</v>
      </c>
      <c r="AV102" s="555">
        <v>5.677222217950554</v>
      </c>
      <c r="AW102" s="555">
        <v>5.5332639018694554</v>
      </c>
      <c r="AX102" s="555">
        <v>5.4981944461663552</v>
      </c>
      <c r="AY102" s="555">
        <v>4.341333338419596</v>
      </c>
      <c r="AZ102" s="555">
        <v>5.6029166744814969</v>
      </c>
      <c r="BA102" s="555">
        <v>5.6165277858575173</v>
      </c>
      <c r="BB102" s="555">
        <v>5.4295138857430869</v>
      </c>
      <c r="BC102" s="556">
        <v>5.688541665673255</v>
      </c>
      <c r="BD102" s="556">
        <v>6.0053472138113442</v>
      </c>
      <c r="BE102" s="556">
        <v>5.5500694695446215</v>
      </c>
      <c r="BF102" s="557">
        <f>SUM(Input_Raw[[#This Row],[O2_01]:[O2_26]])</f>
        <v>416349</v>
      </c>
      <c r="BG102" s="558">
        <f>IFERROR(AVERAGE(Input_Raw[[#This Row],[WS_O2_01]:[WS_O2_26]]),"")</f>
        <v>5.5617045970796006</v>
      </c>
      <c r="BH102" s="559"/>
      <c r="BI102" s="559"/>
      <c r="BJ102" s="554">
        <v>405900</v>
      </c>
      <c r="BK102" s="554">
        <v>0</v>
      </c>
      <c r="BL102" s="560">
        <f>Input_Raw[[#This Row],[66 kV_Wind_F1_Export_reading]]-Input_Raw[[#This Row],[66 kV_Wind_F1_Import_reading]]</f>
        <v>405900</v>
      </c>
      <c r="BM102" s="561">
        <f>Input_Raw[[#This Row],[WTG Total Gneration (KWh)]]-Input_Raw[[#This Row],[66 kV_Wind_F1_Export_reading]]</f>
        <v>10449</v>
      </c>
      <c r="BN102" s="111">
        <f>(Input_Raw[[#This Row],[WTG Total Gneration (KWh)]]-Input_Raw[[#This Row],[66 kV_Wind_F1_Export_reading]])/Input_Raw[[#This Row],[WTG Total Gneration (KWh)]]</f>
        <v>2.5096733749810855E-2</v>
      </c>
      <c r="BO102" s="89">
        <v>70.2</v>
      </c>
      <c r="BP102" s="562"/>
      <c r="BQ102" s="563">
        <v>445.95</v>
      </c>
      <c r="BR102" s="564"/>
    </row>
    <row r="103" spans="1:70">
      <c r="A103" s="240">
        <f t="shared" si="14"/>
        <v>45843</v>
      </c>
      <c r="B103" s="11">
        <f>YEAR(Input_Raw[[#This Row],[Date]])+IF(MONTH(Input_Raw[[#This Row],[Date]])&gt;=4,1,0)</f>
        <v>2026</v>
      </c>
      <c r="C103" s="11">
        <f>YEAR(Input_Raw[[#This Row],[Date]])</f>
        <v>2025</v>
      </c>
      <c r="D103" s="12">
        <f t="shared" ref="D103:D108" si="21">A103-DAY(A103)+1</f>
        <v>45839</v>
      </c>
      <c r="E103" s="11">
        <f>DAY(EOMONTH(Input_Raw[[#This Row],[Date]],0))</f>
        <v>31</v>
      </c>
      <c r="F103" s="137">
        <v>22004</v>
      </c>
      <c r="G103" s="137">
        <v>25131</v>
      </c>
      <c r="H103" s="137">
        <v>17163</v>
      </c>
      <c r="I103" s="137">
        <v>21747</v>
      </c>
      <c r="J103" s="137">
        <v>23947</v>
      </c>
      <c r="K103" s="137">
        <v>25629</v>
      </c>
      <c r="L103" s="137">
        <v>23229</v>
      </c>
      <c r="M103" s="137">
        <v>22598</v>
      </c>
      <c r="N103" s="137">
        <v>22640</v>
      </c>
      <c r="O103" s="137">
        <v>23595</v>
      </c>
      <c r="P103" s="137">
        <v>22244</v>
      </c>
      <c r="Q103" s="137">
        <v>0</v>
      </c>
      <c r="R103" s="137">
        <v>22617</v>
      </c>
      <c r="S103" s="137">
        <v>23730</v>
      </c>
      <c r="T103" s="137">
        <v>23029</v>
      </c>
      <c r="U103" s="137">
        <v>25015</v>
      </c>
      <c r="V103" s="137">
        <v>27951</v>
      </c>
      <c r="W103" s="137">
        <v>25593</v>
      </c>
      <c r="X103" s="137">
        <v>27741</v>
      </c>
      <c r="Y103" s="137">
        <v>0</v>
      </c>
      <c r="Z103" s="137">
        <v>25703</v>
      </c>
      <c r="AA103" s="137">
        <v>24899</v>
      </c>
      <c r="AB103" s="137">
        <v>22530</v>
      </c>
      <c r="AC103" s="13">
        <v>25208</v>
      </c>
      <c r="AD103" s="13">
        <v>26245</v>
      </c>
      <c r="AE103" s="13">
        <v>22761</v>
      </c>
      <c r="AF103" s="138">
        <v>6.3547916644149351</v>
      </c>
      <c r="AG103" s="138">
        <v>6.5410416490501815</v>
      </c>
      <c r="AH103" s="138">
        <v>6.2407801469378432</v>
      </c>
      <c r="AI103" s="138">
        <v>6.2110416607724286</v>
      </c>
      <c r="AJ103" s="138">
        <v>6.5098611397875672</v>
      </c>
      <c r="AK103" s="138">
        <v>7.0049999919202586</v>
      </c>
      <c r="AL103" s="138">
        <v>6.3134027818838749</v>
      </c>
      <c r="AM103" s="138">
        <v>6.2443750020530473</v>
      </c>
      <c r="AN103" s="138">
        <v>6.3986805578072854</v>
      </c>
      <c r="AO103" s="138">
        <v>6.3965972248050882</v>
      </c>
      <c r="AP103" s="138">
        <v>6.4163888759083214</v>
      </c>
      <c r="AQ103" s="138">
        <v>7.1613888757096369</v>
      </c>
      <c r="AR103" s="138">
        <v>6.3571527649958917</v>
      </c>
      <c r="AS103" s="138">
        <v>6.478263894716898</v>
      </c>
      <c r="AT103" s="138">
        <v>6.3453471942080384</v>
      </c>
      <c r="AU103" s="138">
        <v>6.4939583407507984</v>
      </c>
      <c r="AV103" s="138">
        <v>7.0193055835035096</v>
      </c>
      <c r="AW103" s="138">
        <v>6.5780555473433582</v>
      </c>
      <c r="AX103" s="138">
        <v>6.7811111195219871</v>
      </c>
      <c r="AY103" s="138">
        <v>6.3328571679100127</v>
      </c>
      <c r="AZ103" s="138">
        <v>6.6822221775849648</v>
      </c>
      <c r="BA103" s="138">
        <v>6.7017361323038713</v>
      </c>
      <c r="BB103" s="138">
        <v>6.2898611028989144</v>
      </c>
      <c r="BC103" s="14">
        <v>6.5270833439297142</v>
      </c>
      <c r="BD103" s="14">
        <v>6.5607639071014185</v>
      </c>
      <c r="BE103" s="14">
        <v>6.3711805376741601</v>
      </c>
      <c r="BF103" s="139">
        <f>SUM(Input_Raw[[#This Row],[O2_01]:[O2_26]])</f>
        <v>572949</v>
      </c>
      <c r="BG103" s="140">
        <f>IFERROR(AVERAGE(Input_Raw[[#This Row],[WS_O2_01]:[WS_O2_26]]),"")</f>
        <v>6.5120095532882321</v>
      </c>
      <c r="BH103" s="141"/>
      <c r="BI103" s="141"/>
      <c r="BJ103" s="13">
        <v>558900</v>
      </c>
      <c r="BK103" s="13">
        <v>0</v>
      </c>
      <c r="BL103" s="15">
        <f>Input_Raw[[#This Row],[66 kV_Wind_F1_Export_reading]]-Input_Raw[[#This Row],[66 kV_Wind_F1_Import_reading]]</f>
        <v>558900</v>
      </c>
      <c r="BM103" s="142">
        <f>Input_Raw[[#This Row],[WTG Total Gneration (KWh)]]-Input_Raw[[#This Row],[66 kV_Wind_F1_Export_reading]]</f>
        <v>14049</v>
      </c>
      <c r="BN103" s="111">
        <f>(Input_Raw[[#This Row],[WTG Total Gneration (KWh)]]-Input_Raw[[#This Row],[66 kV_Wind_F1_Export_reading]])/Input_Raw[[#This Row],[WTG Total Gneration (KWh)]]</f>
        <v>2.4520507060837877E-2</v>
      </c>
      <c r="BO103" s="89">
        <v>70.2</v>
      </c>
      <c r="BP103" s="99"/>
      <c r="BQ103" s="135">
        <v>637.63</v>
      </c>
      <c r="BR103" s="207"/>
    </row>
    <row r="104" spans="1:70">
      <c r="A104" s="240">
        <f t="shared" si="14"/>
        <v>45844</v>
      </c>
      <c r="B104" s="11">
        <f>YEAR(Input_Raw[[#This Row],[Date]])+IF(MONTH(Input_Raw[[#This Row],[Date]])&gt;=4,1,0)</f>
        <v>2026</v>
      </c>
      <c r="C104" s="11">
        <f>YEAR(Input_Raw[[#This Row],[Date]])</f>
        <v>2025</v>
      </c>
      <c r="D104" s="12">
        <f t="shared" si="21"/>
        <v>45839</v>
      </c>
      <c r="E104" s="11">
        <f>DAY(EOMONTH(Input_Raw[[#This Row],[Date]],0))</f>
        <v>31</v>
      </c>
      <c r="F104" s="137">
        <v>35095</v>
      </c>
      <c r="G104" s="137">
        <v>38375</v>
      </c>
      <c r="H104" s="137">
        <v>35395</v>
      </c>
      <c r="I104" s="137">
        <v>32259</v>
      </c>
      <c r="J104" s="137">
        <v>36829</v>
      </c>
      <c r="K104" s="137">
        <v>31487</v>
      </c>
      <c r="L104" s="137">
        <v>28614</v>
      </c>
      <c r="M104" s="137">
        <v>34196</v>
      </c>
      <c r="N104" s="137">
        <v>36397</v>
      </c>
      <c r="O104" s="137">
        <v>36147</v>
      </c>
      <c r="P104" s="137">
        <v>34101</v>
      </c>
      <c r="Q104" s="137">
        <v>0</v>
      </c>
      <c r="R104" s="137">
        <v>36718</v>
      </c>
      <c r="S104" s="137">
        <v>35152</v>
      </c>
      <c r="T104" s="137">
        <v>37104</v>
      </c>
      <c r="U104" s="137">
        <v>35391</v>
      </c>
      <c r="V104" s="137">
        <v>29044</v>
      </c>
      <c r="W104" s="137">
        <v>34467</v>
      </c>
      <c r="X104" s="137">
        <v>32522</v>
      </c>
      <c r="Y104" s="137">
        <v>0</v>
      </c>
      <c r="Z104" s="137">
        <v>32757</v>
      </c>
      <c r="AA104" s="137">
        <v>24090</v>
      </c>
      <c r="AB104" s="137">
        <v>35957</v>
      </c>
      <c r="AC104" s="13">
        <v>37017</v>
      </c>
      <c r="AD104" s="13">
        <v>39778</v>
      </c>
      <c r="AE104" s="13">
        <v>33624</v>
      </c>
      <c r="AF104" s="138">
        <v>7.694652802414363</v>
      </c>
      <c r="AG104" s="138">
        <v>7.8912499944368983</v>
      </c>
      <c r="AH104" s="138">
        <v>7.639513889948522</v>
      </c>
      <c r="AI104" s="138">
        <v>7.4339007384388163</v>
      </c>
      <c r="AJ104" s="138">
        <v>7.8213194774256793</v>
      </c>
      <c r="AK104" s="138">
        <v>7.7027659585289889</v>
      </c>
      <c r="AL104" s="138">
        <v>7.0541843945252971</v>
      </c>
      <c r="AM104" s="138">
        <v>7.5241843893172859</v>
      </c>
      <c r="AN104" s="138">
        <v>7.8234722316265071</v>
      </c>
      <c r="AO104" s="138">
        <v>7.7853472232818559</v>
      </c>
      <c r="AP104" s="138">
        <v>7.6802777780426856</v>
      </c>
      <c r="AQ104" s="138">
        <v>8.6623610920376173</v>
      </c>
      <c r="AR104" s="138">
        <v>7.770208342207801</v>
      </c>
      <c r="AS104" s="138">
        <v>7.7290972239441293</v>
      </c>
      <c r="AT104" s="138">
        <v>7.8477083411481594</v>
      </c>
      <c r="AU104" s="138">
        <v>7.7672340413357333</v>
      </c>
      <c r="AV104" s="138">
        <v>7.3686524790229475</v>
      </c>
      <c r="AW104" s="138">
        <v>7.6621276639031981</v>
      </c>
      <c r="AX104" s="138">
        <v>7.5500709351072874</v>
      </c>
      <c r="AY104" s="138">
        <v>7.4724822314918447</v>
      </c>
      <c r="AZ104" s="138">
        <v>7.6238297976500551</v>
      </c>
      <c r="BA104" s="138">
        <v>6.7897872223076225</v>
      </c>
      <c r="BB104" s="138">
        <v>7.7540972067250111</v>
      </c>
      <c r="BC104" s="14">
        <v>7.8131915051886374</v>
      </c>
      <c r="BD104" s="14">
        <v>7.899513910214103</v>
      </c>
      <c r="BE104" s="14">
        <v>7.7616911635679324</v>
      </c>
      <c r="BF104" s="139">
        <f>SUM(Input_Raw[[#This Row],[O2_01]:[O2_26]])</f>
        <v>822516</v>
      </c>
      <c r="BG104" s="140">
        <f>IFERROR(AVERAGE(Input_Raw[[#This Row],[WS_O2_01]:[WS_O2_26]]),"")</f>
        <v>7.6739585397630368</v>
      </c>
      <c r="BH104" s="141"/>
      <c r="BI104" s="141"/>
      <c r="BJ104" s="13">
        <v>801450</v>
      </c>
      <c r="BK104" s="13">
        <v>0</v>
      </c>
      <c r="BL104" s="15">
        <f>Input_Raw[[#This Row],[66 kV_Wind_F1_Export_reading]]-Input_Raw[[#This Row],[66 kV_Wind_F1_Import_reading]]</f>
        <v>801450</v>
      </c>
      <c r="BM104" s="142">
        <f>Input_Raw[[#This Row],[WTG Total Gneration (KWh)]]-Input_Raw[[#This Row],[66 kV_Wind_F1_Export_reading]]</f>
        <v>21066</v>
      </c>
      <c r="BN104" s="111">
        <f>(Input_Raw[[#This Row],[WTG Total Gneration (KWh)]]-Input_Raw[[#This Row],[66 kV_Wind_F1_Export_reading]])/Input_Raw[[#This Row],[WTG Total Gneration (KWh)]]</f>
        <v>2.5611659833972834E-2</v>
      </c>
      <c r="BO104" s="89">
        <v>70.2</v>
      </c>
      <c r="BP104" s="99"/>
      <c r="BQ104" s="135">
        <v>935.58</v>
      </c>
      <c r="BR104" s="207"/>
    </row>
    <row r="105" spans="1:70">
      <c r="A105" s="240">
        <f t="shared" si="14"/>
        <v>45845</v>
      </c>
      <c r="B105" s="11">
        <f>YEAR(Input_Raw[[#This Row],[Date]])+IF(MONTH(Input_Raw[[#This Row],[Date]])&gt;=4,1,0)</f>
        <v>2026</v>
      </c>
      <c r="C105" s="11">
        <f>YEAR(Input_Raw[[#This Row],[Date]])</f>
        <v>2025</v>
      </c>
      <c r="D105" s="12">
        <f t="shared" si="21"/>
        <v>45839</v>
      </c>
      <c r="E105" s="11">
        <f>DAY(EOMONTH(Input_Raw[[#This Row],[Date]],0))</f>
        <v>31</v>
      </c>
      <c r="F105" s="137">
        <v>32308</v>
      </c>
      <c r="G105" s="137">
        <v>32365</v>
      </c>
      <c r="H105" s="137">
        <v>32768</v>
      </c>
      <c r="I105" s="137">
        <v>33919</v>
      </c>
      <c r="J105" s="137">
        <v>33272</v>
      </c>
      <c r="K105" s="137">
        <v>41185</v>
      </c>
      <c r="L105" s="137">
        <v>32816</v>
      </c>
      <c r="M105" s="137">
        <v>38046</v>
      </c>
      <c r="N105" s="137">
        <v>31820</v>
      </c>
      <c r="O105" s="137">
        <v>35947</v>
      </c>
      <c r="P105" s="137">
        <v>26959</v>
      </c>
      <c r="Q105" s="137">
        <v>4654</v>
      </c>
      <c r="R105" s="137">
        <v>36860</v>
      </c>
      <c r="S105" s="137">
        <v>33429</v>
      </c>
      <c r="T105" s="137">
        <v>34608</v>
      </c>
      <c r="U105" s="137">
        <v>35309</v>
      </c>
      <c r="V105" s="137">
        <v>43946</v>
      </c>
      <c r="W105" s="137">
        <v>42136</v>
      </c>
      <c r="X105" s="137">
        <v>38174</v>
      </c>
      <c r="Y105" s="137">
        <v>0</v>
      </c>
      <c r="Z105" s="137">
        <v>36191</v>
      </c>
      <c r="AA105" s="137">
        <v>43469</v>
      </c>
      <c r="AB105" s="137">
        <v>31303</v>
      </c>
      <c r="AC105" s="13">
        <v>38504</v>
      </c>
      <c r="AD105" s="13">
        <v>33585</v>
      </c>
      <c r="AE105" s="13">
        <v>33715</v>
      </c>
      <c r="AF105" s="138">
        <v>7.4441134583020006</v>
      </c>
      <c r="AG105" s="138">
        <v>7.4912142515182483</v>
      </c>
      <c r="AH105" s="138">
        <v>7.3930496391675131</v>
      </c>
      <c r="AI105" s="138">
        <v>7.4790278060568669</v>
      </c>
      <c r="AJ105" s="138">
        <v>7.5117605477571452</v>
      </c>
      <c r="AK105" s="138">
        <v>8.3981944157017541</v>
      </c>
      <c r="AL105" s="138">
        <v>7.4637499931785776</v>
      </c>
      <c r="AM105" s="138">
        <v>7.7366666495799974</v>
      </c>
      <c r="AN105" s="138">
        <v>7.4615603085105269</v>
      </c>
      <c r="AO105" s="138">
        <v>7.7531914710998473</v>
      </c>
      <c r="AP105" s="138">
        <v>7.5065942009290039</v>
      </c>
      <c r="AQ105" s="138">
        <v>8.9972727382099649</v>
      </c>
      <c r="AR105" s="138">
        <v>7.8097887374985353</v>
      </c>
      <c r="AS105" s="138">
        <v>7.6414184367403006</v>
      </c>
      <c r="AT105" s="138">
        <v>7.6537588775580625</v>
      </c>
      <c r="AU105" s="138">
        <v>7.6493055555555491</v>
      </c>
      <c r="AV105" s="138">
        <v>8.6287500295374056</v>
      </c>
      <c r="AW105" s="138">
        <v>8.1815972063276448</v>
      </c>
      <c r="AX105" s="138">
        <v>7.8990277714199415</v>
      </c>
      <c r="AY105" s="138">
        <v>7.3388235208367076</v>
      </c>
      <c r="AZ105" s="138">
        <v>7.7313194672266583</v>
      </c>
      <c r="BA105" s="138">
        <v>8.5748610993226304</v>
      </c>
      <c r="BB105" s="138">
        <v>7.3329077950606081</v>
      </c>
      <c r="BC105" s="14">
        <v>7.8052777581744675</v>
      </c>
      <c r="BD105" s="14">
        <v>7.4629077979013401</v>
      </c>
      <c r="BE105" s="14">
        <v>7.5034027596314719</v>
      </c>
      <c r="BF105" s="139">
        <f>SUM(Input_Raw[[#This Row],[O2_01]:[O2_26]])</f>
        <v>857288</v>
      </c>
      <c r="BG105" s="140">
        <f>IFERROR(AVERAGE(Input_Raw[[#This Row],[WS_O2_01]:[WS_O2_26]]),"")</f>
        <v>7.7634439343385679</v>
      </c>
      <c r="BH105" s="141"/>
      <c r="BI105" s="141"/>
      <c r="BJ105" s="13">
        <v>832500</v>
      </c>
      <c r="BK105" s="13">
        <v>0</v>
      </c>
      <c r="BL105" s="15">
        <f>Input_Raw[[#This Row],[66 kV_Wind_F1_Export_reading]]-Input_Raw[[#This Row],[66 kV_Wind_F1_Import_reading]]</f>
        <v>832500</v>
      </c>
      <c r="BM105" s="142">
        <f>Input_Raw[[#This Row],[WTG Total Gneration (KWh)]]-Input_Raw[[#This Row],[66 kV_Wind_F1_Export_reading]]</f>
        <v>24788</v>
      </c>
      <c r="BN105" s="111">
        <f>(Input_Raw[[#This Row],[WTG Total Gneration (KWh)]]-Input_Raw[[#This Row],[66 kV_Wind_F1_Export_reading]])/Input_Raw[[#This Row],[WTG Total Gneration (KWh)]]</f>
        <v>2.8914437155308368E-2</v>
      </c>
      <c r="BO105" s="89">
        <v>70.2</v>
      </c>
      <c r="BP105" s="99"/>
      <c r="BQ105" s="135">
        <v>948.36</v>
      </c>
      <c r="BR105" s="207"/>
    </row>
    <row r="106" spans="1:70">
      <c r="A106" s="240">
        <f t="shared" si="14"/>
        <v>45846</v>
      </c>
      <c r="B106" s="11">
        <f>YEAR(Input_Raw[[#This Row],[Date]])+IF(MONTH(Input_Raw[[#This Row],[Date]])&gt;=4,1,0)</f>
        <v>2026</v>
      </c>
      <c r="C106" s="11">
        <f>YEAR(Input_Raw[[#This Row],[Date]])</f>
        <v>2025</v>
      </c>
      <c r="D106" s="12">
        <f t="shared" si="21"/>
        <v>45839</v>
      </c>
      <c r="E106" s="11">
        <f>DAY(EOMONTH(Input_Raw[[#This Row],[Date]],0))</f>
        <v>31</v>
      </c>
      <c r="F106" s="137">
        <v>25143</v>
      </c>
      <c r="G106" s="137">
        <v>25412</v>
      </c>
      <c r="H106" s="137">
        <v>24897</v>
      </c>
      <c r="I106" s="137">
        <v>27113</v>
      </c>
      <c r="J106" s="137">
        <v>24474</v>
      </c>
      <c r="K106" s="137">
        <v>31743</v>
      </c>
      <c r="L106" s="137">
        <v>25827</v>
      </c>
      <c r="M106" s="137">
        <v>26686</v>
      </c>
      <c r="N106" s="137">
        <v>25023</v>
      </c>
      <c r="O106" s="137">
        <v>22965</v>
      </c>
      <c r="P106" s="137">
        <v>21016</v>
      </c>
      <c r="Q106" s="137">
        <v>25006</v>
      </c>
      <c r="R106" s="137">
        <v>25805</v>
      </c>
      <c r="S106" s="137">
        <v>22138</v>
      </c>
      <c r="T106" s="137">
        <v>23523</v>
      </c>
      <c r="U106" s="137">
        <v>25814</v>
      </c>
      <c r="V106" s="137">
        <v>35849</v>
      </c>
      <c r="W106" s="137">
        <v>15751</v>
      </c>
      <c r="X106" s="137">
        <v>29709</v>
      </c>
      <c r="Y106" s="137">
        <v>2523</v>
      </c>
      <c r="Z106" s="137">
        <v>28180</v>
      </c>
      <c r="AA106" s="137">
        <v>34665</v>
      </c>
      <c r="AB106" s="137">
        <v>23527</v>
      </c>
      <c r="AC106" s="13">
        <v>27774</v>
      </c>
      <c r="AD106" s="13">
        <v>26953</v>
      </c>
      <c r="AE106" s="13">
        <v>25901</v>
      </c>
      <c r="AF106" s="138">
        <v>6.7196527851952439</v>
      </c>
      <c r="AG106" s="138">
        <v>6.6025000148349324</v>
      </c>
      <c r="AH106" s="138">
        <v>6.5993055370118876</v>
      </c>
      <c r="AI106" s="138">
        <v>6.7581250005298168</v>
      </c>
      <c r="AJ106" s="138">
        <v>6.6359722150696641</v>
      </c>
      <c r="AK106" s="138">
        <v>7.5204860965410854</v>
      </c>
      <c r="AL106" s="138">
        <v>6.6401388810740558</v>
      </c>
      <c r="AM106" s="138">
        <v>6.6511111060778285</v>
      </c>
      <c r="AN106" s="138">
        <v>6.689305553833643</v>
      </c>
      <c r="AO106" s="138">
        <v>6.4999999768204146</v>
      </c>
      <c r="AP106" s="138">
        <v>6.7873611152172089</v>
      </c>
      <c r="AQ106" s="138">
        <v>8.0134027633402063</v>
      </c>
      <c r="AR106" s="138">
        <v>6.7419444256358663</v>
      </c>
      <c r="AS106" s="138">
        <v>6.3547916478580886</v>
      </c>
      <c r="AT106" s="138">
        <v>6.4549999899334365</v>
      </c>
      <c r="AU106" s="138">
        <v>6.670833319425582</v>
      </c>
      <c r="AV106" s="138">
        <v>7.7286805940998891</v>
      </c>
      <c r="AW106" s="138">
        <v>6.4218644166396786</v>
      </c>
      <c r="AX106" s="138">
        <v>7.0088888771004134</v>
      </c>
      <c r="AY106" s="138">
        <v>6.7952083531353198</v>
      </c>
      <c r="AZ106" s="138">
        <v>6.8511805435021707</v>
      </c>
      <c r="BA106" s="138">
        <v>7.6903472112284748</v>
      </c>
      <c r="BB106" s="138">
        <v>6.4990277820163298</v>
      </c>
      <c r="BC106" s="14">
        <v>6.8768750098016511</v>
      </c>
      <c r="BD106" s="14">
        <v>6.6927083333333321</v>
      </c>
      <c r="BE106" s="14">
        <v>6.7281944586171036</v>
      </c>
      <c r="BF106" s="139">
        <f>SUM(Input_Raw[[#This Row],[O2_01]:[O2_26]])</f>
        <v>653417</v>
      </c>
      <c r="BG106" s="140">
        <f>IFERROR(AVERAGE(Input_Raw[[#This Row],[WS_O2_01]:[WS_O2_26]]),"")</f>
        <v>6.8320348464566667</v>
      </c>
      <c r="BH106" s="141"/>
      <c r="BI106" s="141"/>
      <c r="BJ106" s="13">
        <v>637650</v>
      </c>
      <c r="BK106" s="13">
        <v>0</v>
      </c>
      <c r="BL106" s="15">
        <f>Input_Raw[[#This Row],[66 kV_Wind_F1_Export_reading]]-Input_Raw[[#This Row],[66 kV_Wind_F1_Import_reading]]</f>
        <v>637650</v>
      </c>
      <c r="BM106" s="142">
        <f>Input_Raw[[#This Row],[WTG Total Gneration (KWh)]]-Input_Raw[[#This Row],[66 kV_Wind_F1_Export_reading]]</f>
        <v>15767</v>
      </c>
      <c r="BN106" s="111">
        <f>(Input_Raw[[#This Row],[WTG Total Gneration (KWh)]]-Input_Raw[[#This Row],[66 kV_Wind_F1_Export_reading]])/Input_Raw[[#This Row],[WTG Total Gneration (KWh)]]</f>
        <v>2.4130073138592965E-2</v>
      </c>
      <c r="BO106" s="89">
        <v>70.2</v>
      </c>
      <c r="BP106" s="99"/>
      <c r="BQ106" s="135">
        <v>712.07</v>
      </c>
      <c r="BR106" s="207"/>
    </row>
    <row r="107" spans="1:70">
      <c r="A107" s="240">
        <f t="shared" si="14"/>
        <v>45847</v>
      </c>
      <c r="B107" s="11">
        <f>YEAR(Input_Raw[[#This Row],[Date]])+IF(MONTH(Input_Raw[[#This Row],[Date]])&gt;=4,1,0)</f>
        <v>2026</v>
      </c>
      <c r="C107" s="11">
        <f>YEAR(Input_Raw[[#This Row],[Date]])</f>
        <v>2025</v>
      </c>
      <c r="D107" s="12">
        <f t="shared" si="21"/>
        <v>45839</v>
      </c>
      <c r="E107" s="11">
        <f>DAY(EOMONTH(Input_Raw[[#This Row],[Date]],0))</f>
        <v>31</v>
      </c>
      <c r="F107" s="137">
        <v>28154</v>
      </c>
      <c r="G107" s="137">
        <v>28942</v>
      </c>
      <c r="H107" s="137">
        <v>29294</v>
      </c>
      <c r="I107" s="137">
        <v>28373</v>
      </c>
      <c r="J107" s="137">
        <v>23617</v>
      </c>
      <c r="K107" s="137">
        <v>32672</v>
      </c>
      <c r="L107" s="137">
        <v>26667</v>
      </c>
      <c r="M107" s="137">
        <v>30216</v>
      </c>
      <c r="N107" s="137">
        <v>28877</v>
      </c>
      <c r="O107" s="137">
        <v>31514</v>
      </c>
      <c r="P107" s="137">
        <v>30700</v>
      </c>
      <c r="Q107" s="137">
        <v>27245</v>
      </c>
      <c r="R107" s="137">
        <v>32830</v>
      </c>
      <c r="S107" s="137">
        <v>31153</v>
      </c>
      <c r="T107" s="137">
        <v>31399</v>
      </c>
      <c r="U107" s="137">
        <v>28035</v>
      </c>
      <c r="V107" s="137">
        <v>32675</v>
      </c>
      <c r="W107" s="137">
        <v>31322</v>
      </c>
      <c r="X107" s="137">
        <v>31191</v>
      </c>
      <c r="Y107" s="137">
        <v>31507</v>
      </c>
      <c r="Z107" s="137">
        <v>29193</v>
      </c>
      <c r="AA107" s="137">
        <v>32351</v>
      </c>
      <c r="AB107" s="137">
        <v>26108</v>
      </c>
      <c r="AC107" s="13">
        <v>33552</v>
      </c>
      <c r="AD107" s="13">
        <v>29701</v>
      </c>
      <c r="AE107" s="13">
        <v>29139</v>
      </c>
      <c r="AF107" s="138">
        <v>6.8968749890724812</v>
      </c>
      <c r="AG107" s="138">
        <v>6.825347224871317</v>
      </c>
      <c r="AH107" s="138">
        <v>6.8590972456667147</v>
      </c>
      <c r="AI107" s="138">
        <v>6.796805550654728</v>
      </c>
      <c r="AJ107" s="138">
        <v>6.8102777550617848</v>
      </c>
      <c r="AK107" s="138">
        <v>7.6234027809566891</v>
      </c>
      <c r="AL107" s="138">
        <v>6.6666666583882419</v>
      </c>
      <c r="AM107" s="138">
        <v>6.8880555331706992</v>
      </c>
      <c r="AN107" s="138">
        <v>6.9097916632890684</v>
      </c>
      <c r="AO107" s="138">
        <v>7.1470138877630216</v>
      </c>
      <c r="AP107" s="138">
        <v>7.1511805421776229</v>
      </c>
      <c r="AQ107" s="138">
        <v>7.920069426298137</v>
      </c>
      <c r="AR107" s="138">
        <v>7.2384027888377478</v>
      </c>
      <c r="AS107" s="138">
        <v>7.1195833418104382</v>
      </c>
      <c r="AT107" s="138">
        <v>7.0439583361148808</v>
      </c>
      <c r="AU107" s="138">
        <v>6.8122916734880867</v>
      </c>
      <c r="AV107" s="138">
        <v>7.4576388763056833</v>
      </c>
      <c r="AW107" s="138">
        <v>7.3730555276075984</v>
      </c>
      <c r="AX107" s="138">
        <v>7.1492361260784953</v>
      </c>
      <c r="AY107" s="138">
        <v>7.2813888589541085</v>
      </c>
      <c r="AZ107" s="138">
        <v>7.0525694224569513</v>
      </c>
      <c r="BA107" s="138">
        <v>7.4420833355850613</v>
      </c>
      <c r="BB107" s="138">
        <v>6.7552083498901787</v>
      </c>
      <c r="BC107" s="14">
        <v>7.2693750378158342</v>
      </c>
      <c r="BD107" s="14">
        <v>6.8297916336192017</v>
      </c>
      <c r="BE107" s="14">
        <v>6.9501389215389873</v>
      </c>
      <c r="BF107" s="139">
        <f>SUM(Input_Raw[[#This Row],[O2_01]:[O2_26]])</f>
        <v>776427</v>
      </c>
      <c r="BG107" s="140">
        <f>IFERROR(AVERAGE(Input_Raw[[#This Row],[WS_O2_01]:[WS_O2_26]]),"")</f>
        <v>7.0872809802874519</v>
      </c>
      <c r="BH107" s="141"/>
      <c r="BI107" s="141"/>
      <c r="BJ107" s="13">
        <v>754650</v>
      </c>
      <c r="BK107" s="13">
        <v>0</v>
      </c>
      <c r="BL107" s="15">
        <f>Input_Raw[[#This Row],[66 kV_Wind_F1_Export_reading]]-Input_Raw[[#This Row],[66 kV_Wind_F1_Import_reading]]</f>
        <v>754650</v>
      </c>
      <c r="BM107" s="142">
        <f>Input_Raw[[#This Row],[WTG Total Gneration (KWh)]]-Input_Raw[[#This Row],[66 kV_Wind_F1_Export_reading]]</f>
        <v>21777</v>
      </c>
      <c r="BN107" s="111">
        <f>(Input_Raw[[#This Row],[WTG Total Gneration (KWh)]]-Input_Raw[[#This Row],[66 kV_Wind_F1_Export_reading]])/Input_Raw[[#This Row],[WTG Total Gneration (KWh)]]</f>
        <v>2.8047710860132375E-2</v>
      </c>
      <c r="BO107" s="89">
        <v>70.2</v>
      </c>
      <c r="BP107" s="99"/>
      <c r="BQ107" s="135">
        <v>814.18</v>
      </c>
      <c r="BR107" s="207"/>
    </row>
    <row r="108" spans="1:70">
      <c r="A108" s="240">
        <f t="shared" si="14"/>
        <v>45848</v>
      </c>
      <c r="B108" s="11">
        <f>YEAR(Input_Raw[[#This Row],[Date]])+IF(MONTH(Input_Raw[[#This Row],[Date]])&gt;=4,1,0)</f>
        <v>2026</v>
      </c>
      <c r="C108" s="11">
        <f>YEAR(Input_Raw[[#This Row],[Date]])</f>
        <v>2025</v>
      </c>
      <c r="D108" s="12">
        <f t="shared" si="21"/>
        <v>45839</v>
      </c>
      <c r="E108" s="11">
        <f>DAY(EOMONTH(Input_Raw[[#This Row],[Date]],0))</f>
        <v>31</v>
      </c>
      <c r="F108" s="137">
        <v>15988</v>
      </c>
      <c r="G108" s="137">
        <v>15882</v>
      </c>
      <c r="H108" s="137">
        <v>16117</v>
      </c>
      <c r="I108" s="137">
        <v>13092</v>
      </c>
      <c r="J108" s="137">
        <v>15403</v>
      </c>
      <c r="K108" s="137">
        <v>16500</v>
      </c>
      <c r="L108" s="137">
        <v>14852</v>
      </c>
      <c r="M108" s="137">
        <v>15927</v>
      </c>
      <c r="N108" s="137">
        <v>15360</v>
      </c>
      <c r="O108" s="137">
        <v>15516</v>
      </c>
      <c r="P108" s="137">
        <v>17640</v>
      </c>
      <c r="Q108" s="137">
        <v>11192</v>
      </c>
      <c r="R108" s="137">
        <v>16932</v>
      </c>
      <c r="S108" s="137">
        <v>16323</v>
      </c>
      <c r="T108" s="137">
        <v>18106</v>
      </c>
      <c r="U108" s="137">
        <v>16562</v>
      </c>
      <c r="V108" s="137">
        <v>22302</v>
      </c>
      <c r="W108" s="137">
        <v>21558</v>
      </c>
      <c r="X108" s="137">
        <v>17392</v>
      </c>
      <c r="Y108" s="137">
        <v>16310</v>
      </c>
      <c r="Z108" s="137">
        <v>19373</v>
      </c>
      <c r="AA108" s="137">
        <v>21723</v>
      </c>
      <c r="AB108" s="137">
        <v>14879</v>
      </c>
      <c r="AC108" s="13">
        <v>18002</v>
      </c>
      <c r="AD108" s="13">
        <v>17058</v>
      </c>
      <c r="AE108" s="13">
        <v>16155</v>
      </c>
      <c r="AF108" s="138">
        <v>5.6718750033113681</v>
      </c>
      <c r="AG108" s="138">
        <v>5.4374305340978824</v>
      </c>
      <c r="AH108" s="138">
        <v>5.4870833257834111</v>
      </c>
      <c r="AI108" s="138">
        <v>5.6518055647611609</v>
      </c>
      <c r="AJ108" s="138">
        <v>5.5133333206176749</v>
      </c>
      <c r="AK108" s="138">
        <v>5.716805544164445</v>
      </c>
      <c r="AL108" s="138">
        <v>5.3379861190915099</v>
      </c>
      <c r="AM108" s="138">
        <v>5.425833334525425</v>
      </c>
      <c r="AN108" s="138">
        <v>5.5066666669315758</v>
      </c>
      <c r="AO108" s="138">
        <v>5.5020139084921933</v>
      </c>
      <c r="AP108" s="138">
        <v>5.7791666769319106</v>
      </c>
      <c r="AQ108" s="138">
        <v>6.5272916720973111</v>
      </c>
      <c r="AR108" s="138">
        <v>5.6572222014268227</v>
      </c>
      <c r="AS108" s="138">
        <v>5.5722222328186026</v>
      </c>
      <c r="AT108" s="138">
        <v>5.7077777799632816</v>
      </c>
      <c r="AU108" s="138">
        <v>5.59152778238058</v>
      </c>
      <c r="AV108" s="138">
        <v>6.4133333348565618</v>
      </c>
      <c r="AW108" s="138">
        <v>6.1715277781089135</v>
      </c>
      <c r="AX108" s="138">
        <v>5.682361110217041</v>
      </c>
      <c r="AY108" s="138">
        <v>5.703888894783125</v>
      </c>
      <c r="AZ108" s="138">
        <v>6.0147222148047543</v>
      </c>
      <c r="BA108" s="138">
        <v>6.3407638834582425</v>
      </c>
      <c r="BB108" s="138">
        <v>5.4338194529215489</v>
      </c>
      <c r="BC108" s="14">
        <v>5.7892361217074919</v>
      </c>
      <c r="BD108" s="14">
        <v>5.6441666649447546</v>
      </c>
      <c r="BE108" s="14">
        <v>5.5981249941719895</v>
      </c>
      <c r="BF108" s="139">
        <f>SUM(Input_Raw[[#This Row],[O2_01]:[O2_26]])</f>
        <v>436144</v>
      </c>
      <c r="BG108" s="140">
        <f>IFERROR(AVERAGE(Input_Raw[[#This Row],[WS_O2_01]:[WS_O2_26]]),"")</f>
        <v>5.7260763891295987</v>
      </c>
      <c r="BH108" s="141"/>
      <c r="BI108" s="141"/>
      <c r="BJ108" s="13">
        <v>425700</v>
      </c>
      <c r="BK108" s="13">
        <v>0</v>
      </c>
      <c r="BL108" s="15">
        <f>Input_Raw[[#This Row],[66 kV_Wind_F1_Export_reading]]-Input_Raw[[#This Row],[66 kV_Wind_F1_Import_reading]]</f>
        <v>425700</v>
      </c>
      <c r="BM108" s="142">
        <f>Input_Raw[[#This Row],[WTG Total Gneration (KWh)]]-Input_Raw[[#This Row],[66 kV_Wind_F1_Export_reading]]</f>
        <v>10444</v>
      </c>
      <c r="BN108" s="111">
        <f>(Input_Raw[[#This Row],[WTG Total Gneration (KWh)]]-Input_Raw[[#This Row],[66 kV_Wind_F1_Export_reading]])/Input_Raw[[#This Row],[WTG Total Gneration (KWh)]]</f>
        <v>2.3946219597197255E-2</v>
      </c>
      <c r="BO108" s="89">
        <v>70.2</v>
      </c>
      <c r="BP108" s="99"/>
      <c r="BQ108" s="135">
        <v>462.9</v>
      </c>
      <c r="BR108" s="207"/>
    </row>
    <row r="109" spans="1:70">
      <c r="A109" s="240">
        <f t="shared" si="14"/>
        <v>45849</v>
      </c>
      <c r="B109" s="11">
        <f>YEAR(Input_Raw[[#This Row],[Date]])+IF(MONTH(Input_Raw[[#This Row],[Date]])&gt;=4,1,0)</f>
        <v>2026</v>
      </c>
      <c r="C109" s="11">
        <f>YEAR(Input_Raw[[#This Row],[Date]])</f>
        <v>2025</v>
      </c>
      <c r="D109" s="12">
        <f t="shared" ref="D109:D114" si="22">A109-DAY(A109)+1</f>
        <v>45839</v>
      </c>
      <c r="E109" s="11">
        <f>DAY(EOMONTH(Input_Raw[[#This Row],[Date]],0))</f>
        <v>31</v>
      </c>
      <c r="F109" s="137">
        <v>18103</v>
      </c>
      <c r="G109" s="137">
        <v>20440</v>
      </c>
      <c r="H109" s="137">
        <v>19907</v>
      </c>
      <c r="I109" s="137">
        <v>21640</v>
      </c>
      <c r="J109" s="137">
        <v>21381</v>
      </c>
      <c r="K109" s="137">
        <v>18900</v>
      </c>
      <c r="L109" s="137">
        <v>17379</v>
      </c>
      <c r="M109" s="137">
        <v>18791</v>
      </c>
      <c r="N109" s="137">
        <v>18502</v>
      </c>
      <c r="O109" s="137">
        <v>19451</v>
      </c>
      <c r="P109" s="137">
        <v>21063</v>
      </c>
      <c r="Q109" s="137">
        <v>19116</v>
      </c>
      <c r="R109" s="137">
        <v>17850</v>
      </c>
      <c r="S109" s="137">
        <v>20451</v>
      </c>
      <c r="T109" s="137">
        <v>18652</v>
      </c>
      <c r="U109" s="137">
        <v>18658</v>
      </c>
      <c r="V109" s="137">
        <v>20642</v>
      </c>
      <c r="W109" s="137">
        <v>18624</v>
      </c>
      <c r="X109" s="137">
        <v>22949</v>
      </c>
      <c r="Y109" s="137">
        <v>18271</v>
      </c>
      <c r="Z109" s="137">
        <v>19090</v>
      </c>
      <c r="AA109" s="137">
        <v>19486</v>
      </c>
      <c r="AB109" s="137">
        <v>20648</v>
      </c>
      <c r="AC109" s="13">
        <v>20988</v>
      </c>
      <c r="AD109" s="13">
        <v>21810</v>
      </c>
      <c r="AE109" s="13">
        <v>20720</v>
      </c>
      <c r="AF109" s="138">
        <v>5.9238888969024011</v>
      </c>
      <c r="AG109" s="138">
        <v>6.0802083296908265</v>
      </c>
      <c r="AH109" s="138">
        <v>5.9455555263492785</v>
      </c>
      <c r="AI109" s="138">
        <v>6.1536805464161759</v>
      </c>
      <c r="AJ109" s="138">
        <v>6.2384027805593263</v>
      </c>
      <c r="AK109" s="138">
        <v>6.5159722202354002</v>
      </c>
      <c r="AL109" s="138">
        <v>6.0007031303830436</v>
      </c>
      <c r="AM109" s="138">
        <v>6.0393700787401556</v>
      </c>
      <c r="AN109" s="138">
        <v>5.8715277844005156</v>
      </c>
      <c r="AO109" s="138">
        <v>5.9740845082511349</v>
      </c>
      <c r="AP109" s="138">
        <v>6.2272222306993257</v>
      </c>
      <c r="AQ109" s="138">
        <v>7.2629166642824776</v>
      </c>
      <c r="AR109" s="138">
        <v>5.7477083404858895</v>
      </c>
      <c r="AS109" s="138">
        <v>6.0689583205514479</v>
      </c>
      <c r="AT109" s="138">
        <v>5.7881944328546515</v>
      </c>
      <c r="AU109" s="138">
        <v>5.8480555547608262</v>
      </c>
      <c r="AV109" s="138">
        <v>6.3347222308317814</v>
      </c>
      <c r="AW109" s="138">
        <v>5.9776389151811591</v>
      </c>
      <c r="AX109" s="138">
        <v>6.36979168322351</v>
      </c>
      <c r="AY109" s="138">
        <v>6.0064583155843936</v>
      </c>
      <c r="AZ109" s="138">
        <v>6.0613888998826333</v>
      </c>
      <c r="BA109" s="138">
        <v>6.1565277808242369</v>
      </c>
      <c r="BB109" s="138">
        <v>6.0315972252024528</v>
      </c>
      <c r="BC109" s="14">
        <v>6.1036805642975693</v>
      </c>
      <c r="BD109" s="14">
        <v>6.1786805656221162</v>
      </c>
      <c r="BE109" s="14">
        <v>6.1233333531353189</v>
      </c>
      <c r="BF109" s="139">
        <f>SUM(Input_Raw[[#This Row],[O2_01]:[O2_26]])</f>
        <v>513512</v>
      </c>
      <c r="BG109" s="140">
        <f>IFERROR(AVERAGE(Input_Raw[[#This Row],[WS_O2_01]:[WS_O2_26]]),"")</f>
        <v>6.116548803051848</v>
      </c>
      <c r="BH109" s="141"/>
      <c r="BI109" s="141"/>
      <c r="BJ109" s="13">
        <v>500850</v>
      </c>
      <c r="BK109" s="13">
        <v>0</v>
      </c>
      <c r="BL109" s="15">
        <f>Input_Raw[[#This Row],[66 kV_Wind_F1_Export_reading]]-Input_Raw[[#This Row],[66 kV_Wind_F1_Import_reading]]</f>
        <v>500850</v>
      </c>
      <c r="BM109" s="142">
        <f>Input_Raw[[#This Row],[WTG Total Gneration (KWh)]]-Input_Raw[[#This Row],[66 kV_Wind_F1_Export_reading]]</f>
        <v>12662</v>
      </c>
      <c r="BN109" s="111">
        <f>(Input_Raw[[#This Row],[WTG Total Gneration (KWh)]]-Input_Raw[[#This Row],[66 kV_Wind_F1_Export_reading]])/Input_Raw[[#This Row],[WTG Total Gneration (KWh)]]</f>
        <v>2.4657651622552151E-2</v>
      </c>
      <c r="BO109" s="89">
        <v>70.2</v>
      </c>
      <c r="BP109" s="99"/>
      <c r="BQ109" s="135">
        <v>536.44000000000005</v>
      </c>
      <c r="BR109" s="207"/>
    </row>
    <row r="110" spans="1:70">
      <c r="A110" s="240">
        <f t="shared" si="14"/>
        <v>45850</v>
      </c>
      <c r="B110" s="11">
        <f>YEAR(Input_Raw[[#This Row],[Date]])+IF(MONTH(Input_Raw[[#This Row],[Date]])&gt;=4,1,0)</f>
        <v>2026</v>
      </c>
      <c r="C110" s="11">
        <f>YEAR(Input_Raw[[#This Row],[Date]])</f>
        <v>2025</v>
      </c>
      <c r="D110" s="12">
        <f t="shared" si="22"/>
        <v>45839</v>
      </c>
      <c r="E110" s="11">
        <f>DAY(EOMONTH(Input_Raw[[#This Row],[Date]],0))</f>
        <v>31</v>
      </c>
      <c r="F110" s="589">
        <v>15673</v>
      </c>
      <c r="G110" s="589">
        <v>19382</v>
      </c>
      <c r="H110" s="589">
        <v>19725</v>
      </c>
      <c r="I110" s="589">
        <v>18338</v>
      </c>
      <c r="J110" s="589">
        <v>18317</v>
      </c>
      <c r="K110" s="589">
        <v>21452</v>
      </c>
      <c r="L110" s="589">
        <v>21040</v>
      </c>
      <c r="M110" s="589">
        <v>16762</v>
      </c>
      <c r="N110" s="589">
        <v>17782</v>
      </c>
      <c r="O110" s="589">
        <v>21459</v>
      </c>
      <c r="P110" s="589">
        <v>19340</v>
      </c>
      <c r="Q110" s="589">
        <v>17843</v>
      </c>
      <c r="R110" s="589">
        <v>19241</v>
      </c>
      <c r="S110" s="589">
        <v>20643</v>
      </c>
      <c r="T110" s="589">
        <v>20717</v>
      </c>
      <c r="U110" s="589">
        <v>18674</v>
      </c>
      <c r="V110" s="589">
        <v>21051</v>
      </c>
      <c r="W110" s="589">
        <v>12862</v>
      </c>
      <c r="X110" s="589">
        <v>22191</v>
      </c>
      <c r="Y110" s="589">
        <v>18985</v>
      </c>
      <c r="Z110" s="589">
        <v>20519</v>
      </c>
      <c r="AA110" s="589">
        <v>19570</v>
      </c>
      <c r="AB110" s="589">
        <v>19415</v>
      </c>
      <c r="AC110" s="590">
        <v>18473</v>
      </c>
      <c r="AD110" s="590">
        <v>18716</v>
      </c>
      <c r="AE110" s="590">
        <v>16351</v>
      </c>
      <c r="AF110" s="591">
        <v>5.6394405681770161</v>
      </c>
      <c r="AG110" s="591">
        <v>5.8697202947589897</v>
      </c>
      <c r="AH110" s="591">
        <v>5.9504895060212464</v>
      </c>
      <c r="AI110" s="591">
        <v>5.79</v>
      </c>
      <c r="AJ110" s="591">
        <v>5.8511805567476474</v>
      </c>
      <c r="AK110" s="591">
        <v>6.7864583416117554</v>
      </c>
      <c r="AL110" s="591">
        <v>6.12</v>
      </c>
      <c r="AM110" s="591">
        <v>5.5972222139437982</v>
      </c>
      <c r="AN110" s="591">
        <v>5.7861538483546324</v>
      </c>
      <c r="AO110" s="591">
        <v>6.2721678427049321</v>
      </c>
      <c r="AP110" s="591">
        <v>6.080139842066731</v>
      </c>
      <c r="AQ110" s="591">
        <v>7.1408391465673899</v>
      </c>
      <c r="AR110" s="591">
        <v>5.9806992874278881</v>
      </c>
      <c r="AS110" s="591">
        <v>6.1616083908747949</v>
      </c>
      <c r="AT110" s="591">
        <v>6.1143356585627657</v>
      </c>
      <c r="AU110" s="591">
        <v>6.158055532309743</v>
      </c>
      <c r="AV110" s="591">
        <v>6.4044444428549863</v>
      </c>
      <c r="AW110" s="591">
        <v>6.157986101177003</v>
      </c>
      <c r="AX110" s="591">
        <v>6.3</v>
      </c>
      <c r="AY110" s="591">
        <v>6.0699305550919629</v>
      </c>
      <c r="AZ110" s="591">
        <v>6.2273611028989144</v>
      </c>
      <c r="BA110" s="591">
        <v>6.1643055627743397</v>
      </c>
      <c r="BB110" s="591">
        <v>5.9635664316324091</v>
      </c>
      <c r="BC110" s="592">
        <v>5.7941666709052182</v>
      </c>
      <c r="BD110" s="592">
        <v>5.7924475603170329</v>
      </c>
      <c r="BE110" s="592">
        <v>5.6487499881121837</v>
      </c>
      <c r="BF110" s="593">
        <f>SUM(Input_Raw[[#This Row],[O2_01]:[O2_26]])</f>
        <v>494521</v>
      </c>
      <c r="BG110" s="594">
        <f>IFERROR(AVERAGE(Input_Raw[[#This Row],[WS_O2_01]:[WS_O2_26]]),"")</f>
        <v>6.0700565171497436</v>
      </c>
      <c r="BH110" s="595"/>
      <c r="BI110" s="595"/>
      <c r="BJ110" s="590">
        <v>483300</v>
      </c>
      <c r="BK110" s="13">
        <v>0</v>
      </c>
      <c r="BL110" s="596">
        <f>Input_Raw[[#This Row],[66 kV_Wind_F1_Export_reading]]-Input_Raw[[#This Row],[66 kV_Wind_F1_Import_reading]]</f>
        <v>483300</v>
      </c>
      <c r="BM110" s="597">
        <f>Input_Raw[[#This Row],[WTG Total Gneration (KWh)]]-Input_Raw[[#This Row],[66 kV_Wind_F1_Export_reading]]</f>
        <v>11221</v>
      </c>
      <c r="BN110" s="111">
        <f>(Input_Raw[[#This Row],[WTG Total Gneration (KWh)]]-Input_Raw[[#This Row],[66 kV_Wind_F1_Export_reading]])/Input_Raw[[#This Row],[WTG Total Gneration (KWh)]]</f>
        <v>2.2690644077804582E-2</v>
      </c>
      <c r="BO110" s="89">
        <v>70.2</v>
      </c>
      <c r="BP110" s="598"/>
      <c r="BQ110" s="599">
        <v>520.01</v>
      </c>
      <c r="BR110" s="600"/>
    </row>
    <row r="111" spans="1:70">
      <c r="A111" s="240">
        <f t="shared" si="14"/>
        <v>45851</v>
      </c>
      <c r="B111" s="11">
        <f>YEAR(Input_Raw[[#This Row],[Date]])+IF(MONTH(Input_Raw[[#This Row],[Date]])&gt;=4,1,0)</f>
        <v>2026</v>
      </c>
      <c r="C111" s="11">
        <f>YEAR(Input_Raw[[#This Row],[Date]])</f>
        <v>2025</v>
      </c>
      <c r="D111" s="12">
        <f t="shared" si="22"/>
        <v>45839</v>
      </c>
      <c r="E111" s="11">
        <f>DAY(EOMONTH(Input_Raw[[#This Row],[Date]],0))</f>
        <v>31</v>
      </c>
      <c r="F111" s="589">
        <v>21476</v>
      </c>
      <c r="G111" s="589">
        <v>19172</v>
      </c>
      <c r="H111" s="589">
        <v>23007</v>
      </c>
      <c r="I111" s="589">
        <v>25030</v>
      </c>
      <c r="J111" s="589">
        <v>19845</v>
      </c>
      <c r="K111" s="589">
        <v>25393</v>
      </c>
      <c r="L111" s="589">
        <v>26035</v>
      </c>
      <c r="M111" s="589">
        <v>25797</v>
      </c>
      <c r="N111" s="589">
        <v>23027</v>
      </c>
      <c r="O111" s="589">
        <v>23848</v>
      </c>
      <c r="P111" s="589">
        <v>23082</v>
      </c>
      <c r="Q111" s="589">
        <v>22644</v>
      </c>
      <c r="R111" s="589">
        <v>21874</v>
      </c>
      <c r="S111" s="589">
        <v>24027</v>
      </c>
      <c r="T111" s="589">
        <v>18576</v>
      </c>
      <c r="U111" s="589">
        <v>27315</v>
      </c>
      <c r="V111" s="589">
        <v>25755</v>
      </c>
      <c r="W111" s="589">
        <v>24764</v>
      </c>
      <c r="X111" s="589">
        <v>27632</v>
      </c>
      <c r="Y111" s="589">
        <v>24434</v>
      </c>
      <c r="Z111" s="589">
        <v>25153</v>
      </c>
      <c r="AA111" s="589">
        <v>22901</v>
      </c>
      <c r="AB111" s="589">
        <v>23865</v>
      </c>
      <c r="AC111" s="590">
        <v>27569</v>
      </c>
      <c r="AD111" s="590">
        <v>21595</v>
      </c>
      <c r="AE111" s="590">
        <v>26374</v>
      </c>
      <c r="AF111" s="591">
        <v>6.47</v>
      </c>
      <c r="AG111" s="591">
        <v>6.72</v>
      </c>
      <c r="AH111" s="591">
        <v>6.44</v>
      </c>
      <c r="AI111" s="591">
        <v>6.65</v>
      </c>
      <c r="AJ111" s="591">
        <v>6.77</v>
      </c>
      <c r="AK111" s="591">
        <v>7.06</v>
      </c>
      <c r="AL111" s="591">
        <v>6.71</v>
      </c>
      <c r="AM111" s="591">
        <v>6.55</v>
      </c>
      <c r="AN111" s="591">
        <v>6.54</v>
      </c>
      <c r="AO111" s="591">
        <v>6.56</v>
      </c>
      <c r="AP111" s="591">
        <v>6.58</v>
      </c>
      <c r="AQ111" s="591">
        <v>7.73</v>
      </c>
      <c r="AR111" s="591">
        <v>6.47</v>
      </c>
      <c r="AS111" s="591">
        <v>6.62</v>
      </c>
      <c r="AT111" s="591">
        <v>6.45</v>
      </c>
      <c r="AU111" s="591">
        <v>6.78</v>
      </c>
      <c r="AV111" s="591">
        <v>6.9</v>
      </c>
      <c r="AW111" s="591">
        <v>6.6</v>
      </c>
      <c r="AX111" s="591">
        <v>6.81</v>
      </c>
      <c r="AY111" s="591">
        <v>6.63</v>
      </c>
      <c r="AZ111" s="591">
        <v>6.59</v>
      </c>
      <c r="BA111" s="591">
        <v>6.63</v>
      </c>
      <c r="BB111" s="591">
        <v>6.6</v>
      </c>
      <c r="BC111" s="592">
        <v>6.81</v>
      </c>
      <c r="BD111" s="592">
        <v>6.78</v>
      </c>
      <c r="BE111" s="592">
        <v>6.77</v>
      </c>
      <c r="BF111" s="593">
        <f>SUM(Input_Raw[[#This Row],[O2_01]:[O2_26]])</f>
        <v>620190</v>
      </c>
      <c r="BG111" s="594">
        <f>IFERROR(AVERAGE(Input_Raw[[#This Row],[WS_O2_01]:[WS_O2_26]]),"")</f>
        <v>6.7007692307692315</v>
      </c>
      <c r="BH111" s="595"/>
      <c r="BI111" s="595"/>
      <c r="BJ111" s="590">
        <v>606150</v>
      </c>
      <c r="BK111" s="590">
        <v>0</v>
      </c>
      <c r="BL111" s="596">
        <f>Input_Raw[[#This Row],[66 kV_Wind_F1_Export_reading]]-Input_Raw[[#This Row],[66 kV_Wind_F1_Import_reading]]</f>
        <v>606150</v>
      </c>
      <c r="BM111" s="597">
        <f>Input_Raw[[#This Row],[WTG Total Gneration (KWh)]]-Input_Raw[[#This Row],[66 kV_Wind_F1_Export_reading]]</f>
        <v>14040</v>
      </c>
      <c r="BN111" s="111">
        <f>(Input_Raw[[#This Row],[WTG Total Gneration (KWh)]]-Input_Raw[[#This Row],[66 kV_Wind_F1_Export_reading]])/Input_Raw[[#This Row],[WTG Total Gneration (KWh)]]</f>
        <v>2.2638223770134958E-2</v>
      </c>
      <c r="BO111" s="89">
        <v>70.2</v>
      </c>
      <c r="BP111" s="598"/>
      <c r="BQ111" s="599">
        <v>663.92</v>
      </c>
      <c r="BR111" s="600"/>
    </row>
    <row r="112" spans="1:70">
      <c r="A112" s="240">
        <f t="shared" si="14"/>
        <v>45852</v>
      </c>
      <c r="B112" s="11">
        <f>YEAR(Input_Raw[[#This Row],[Date]])+IF(MONTH(Input_Raw[[#This Row],[Date]])&gt;=4,1,0)</f>
        <v>2026</v>
      </c>
      <c r="C112" s="11">
        <f>YEAR(Input_Raw[[#This Row],[Date]])</f>
        <v>2025</v>
      </c>
      <c r="D112" s="12">
        <f t="shared" si="22"/>
        <v>45839</v>
      </c>
      <c r="E112" s="11">
        <f>DAY(EOMONTH(Input_Raw[[#This Row],[Date]],0))</f>
        <v>31</v>
      </c>
      <c r="F112" s="589">
        <v>31296</v>
      </c>
      <c r="G112" s="589">
        <v>33542</v>
      </c>
      <c r="H112" s="589">
        <v>31057</v>
      </c>
      <c r="I112" s="589">
        <v>31467</v>
      </c>
      <c r="J112" s="589">
        <v>33446</v>
      </c>
      <c r="K112" s="589">
        <v>33434</v>
      </c>
      <c r="L112" s="589">
        <v>29036</v>
      </c>
      <c r="M112" s="589">
        <v>31247</v>
      </c>
      <c r="N112" s="589">
        <v>29890</v>
      </c>
      <c r="O112" s="589">
        <v>30515</v>
      </c>
      <c r="P112" s="589">
        <v>29505</v>
      </c>
      <c r="Q112" s="589">
        <v>29951</v>
      </c>
      <c r="R112" s="589">
        <v>27081</v>
      </c>
      <c r="S112" s="589">
        <v>30868</v>
      </c>
      <c r="T112" s="589">
        <v>28225</v>
      </c>
      <c r="U112" s="589">
        <v>32718</v>
      </c>
      <c r="V112" s="589">
        <v>33800</v>
      </c>
      <c r="W112" s="589">
        <v>30697</v>
      </c>
      <c r="X112" s="589">
        <v>31036</v>
      </c>
      <c r="Y112" s="589">
        <v>29550</v>
      </c>
      <c r="Z112" s="589">
        <v>32896</v>
      </c>
      <c r="AA112" s="589">
        <v>32203</v>
      </c>
      <c r="AB112" s="589">
        <v>32237</v>
      </c>
      <c r="AC112" s="590">
        <v>32387</v>
      </c>
      <c r="AD112" s="590">
        <v>35152</v>
      </c>
      <c r="AE112" s="590">
        <v>31215</v>
      </c>
      <c r="AF112" s="591">
        <v>7.29</v>
      </c>
      <c r="AG112" s="591">
        <v>7.42</v>
      </c>
      <c r="AH112" s="591">
        <v>7.15</v>
      </c>
      <c r="AI112" s="591">
        <v>7.28</v>
      </c>
      <c r="AJ112" s="591">
        <v>7.48</v>
      </c>
      <c r="AK112" s="591">
        <v>7.74</v>
      </c>
      <c r="AL112" s="591">
        <v>7.05</v>
      </c>
      <c r="AM112" s="591">
        <v>7.14</v>
      </c>
      <c r="AN112" s="591">
        <v>7.18</v>
      </c>
      <c r="AO112" s="591">
        <v>7.21</v>
      </c>
      <c r="AP112" s="591">
        <v>7.16</v>
      </c>
      <c r="AQ112" s="591">
        <v>7.96</v>
      </c>
      <c r="AR112" s="591">
        <v>6.89</v>
      </c>
      <c r="AS112" s="591">
        <v>7.23</v>
      </c>
      <c r="AT112" s="591">
        <v>7</v>
      </c>
      <c r="AU112" s="591">
        <v>7.34</v>
      </c>
      <c r="AV112" s="591">
        <v>7.58</v>
      </c>
      <c r="AW112" s="591">
        <v>7.28</v>
      </c>
      <c r="AX112" s="591">
        <v>7.18</v>
      </c>
      <c r="AY112" s="591">
        <v>7.14</v>
      </c>
      <c r="AZ112" s="591">
        <v>7.38</v>
      </c>
      <c r="BA112" s="591">
        <v>7.67</v>
      </c>
      <c r="BB112" s="591">
        <v>7.32</v>
      </c>
      <c r="BC112" s="592">
        <v>7.3</v>
      </c>
      <c r="BD112" s="592">
        <v>7.44</v>
      </c>
      <c r="BE112" s="592">
        <v>7.26</v>
      </c>
      <c r="BF112" s="593">
        <f>SUM(Input_Raw[[#This Row],[O2_01]:[O2_26]])</f>
        <v>814451</v>
      </c>
      <c r="BG112" s="594">
        <f>IFERROR(AVERAGE(Input_Raw[[#This Row],[WS_O2_01]:[WS_O2_26]]),"")</f>
        <v>7.3103846153846144</v>
      </c>
      <c r="BH112" s="595"/>
      <c r="BI112" s="595"/>
      <c r="BJ112" s="590">
        <v>793350</v>
      </c>
      <c r="BK112" s="590">
        <v>0</v>
      </c>
      <c r="BL112" s="596">
        <f>Input_Raw[[#This Row],[66 kV_Wind_F1_Export_reading]]-Input_Raw[[#This Row],[66 kV_Wind_F1_Import_reading]]</f>
        <v>793350</v>
      </c>
      <c r="BM112" s="597">
        <f>Input_Raw[[#This Row],[WTG Total Gneration (KWh)]]-Input_Raw[[#This Row],[66 kV_Wind_F1_Export_reading]]</f>
        <v>21101</v>
      </c>
      <c r="BN112" s="111">
        <f>(Input_Raw[[#This Row],[WTG Total Gneration (KWh)]]-Input_Raw[[#This Row],[66 kV_Wind_F1_Export_reading]])/Input_Raw[[#This Row],[WTG Total Gneration (KWh)]]</f>
        <v>2.590824985174062E-2</v>
      </c>
      <c r="BO112" s="89">
        <v>70.2</v>
      </c>
      <c r="BP112" s="598"/>
      <c r="BQ112" s="599">
        <v>845.66</v>
      </c>
      <c r="BR112" s="600"/>
    </row>
    <row r="113" spans="1:70">
      <c r="A113" s="240">
        <f t="shared" si="14"/>
        <v>45853</v>
      </c>
      <c r="B113" s="11">
        <f>YEAR(Input_Raw[[#This Row],[Date]])+IF(MONTH(Input_Raw[[#This Row],[Date]])&gt;=4,1,0)</f>
        <v>2026</v>
      </c>
      <c r="C113" s="11">
        <f>YEAR(Input_Raw[[#This Row],[Date]])</f>
        <v>2025</v>
      </c>
      <c r="D113" s="12">
        <f t="shared" si="22"/>
        <v>45839</v>
      </c>
      <c r="E113" s="11">
        <f>DAY(EOMONTH(Input_Raw[[#This Row],[Date]],0))</f>
        <v>31</v>
      </c>
      <c r="F113" s="137">
        <v>23611</v>
      </c>
      <c r="G113" s="137">
        <v>27595</v>
      </c>
      <c r="H113" s="137">
        <v>25492</v>
      </c>
      <c r="I113" s="137">
        <v>28747</v>
      </c>
      <c r="J113" s="137">
        <v>27162</v>
      </c>
      <c r="K113" s="137">
        <v>30867</v>
      </c>
      <c r="L113" s="137">
        <v>27931</v>
      </c>
      <c r="M113" s="137">
        <v>27299</v>
      </c>
      <c r="N113" s="137">
        <v>24062</v>
      </c>
      <c r="O113" s="137">
        <v>27088</v>
      </c>
      <c r="P113" s="137">
        <v>26350</v>
      </c>
      <c r="Q113" s="137">
        <v>26219</v>
      </c>
      <c r="R113" s="137">
        <v>26384</v>
      </c>
      <c r="S113" s="137">
        <v>27162</v>
      </c>
      <c r="T113" s="137">
        <v>28230</v>
      </c>
      <c r="U113" s="137">
        <v>30093</v>
      </c>
      <c r="V113" s="137">
        <v>32284</v>
      </c>
      <c r="W113" s="137">
        <v>30506</v>
      </c>
      <c r="X113" s="137">
        <v>32916</v>
      </c>
      <c r="Y113" s="137">
        <v>26807</v>
      </c>
      <c r="Z113" s="137">
        <v>30679</v>
      </c>
      <c r="AA113" s="137">
        <v>27944</v>
      </c>
      <c r="AB113" s="137">
        <v>25967</v>
      </c>
      <c r="AC113" s="13">
        <v>28679</v>
      </c>
      <c r="AD113" s="13">
        <v>29306</v>
      </c>
      <c r="AE113" s="13">
        <v>27402</v>
      </c>
      <c r="AF113" s="138">
        <v>6.59</v>
      </c>
      <c r="AG113" s="138">
        <v>6.82</v>
      </c>
      <c r="AH113" s="138">
        <v>6.55</v>
      </c>
      <c r="AI113" s="138">
        <v>6.95</v>
      </c>
      <c r="AJ113" s="138">
        <v>6.86</v>
      </c>
      <c r="AK113" s="138">
        <v>7.51</v>
      </c>
      <c r="AL113" s="138">
        <v>6.86</v>
      </c>
      <c r="AM113" s="138">
        <v>6.71</v>
      </c>
      <c r="AN113" s="138">
        <v>6.59</v>
      </c>
      <c r="AO113" s="138">
        <v>6.74</v>
      </c>
      <c r="AP113" s="138">
        <v>6.81</v>
      </c>
      <c r="AQ113" s="138">
        <v>6.92</v>
      </c>
      <c r="AR113" s="138">
        <v>6.76</v>
      </c>
      <c r="AS113" s="138">
        <v>6.83</v>
      </c>
      <c r="AT113" s="138">
        <v>6.86</v>
      </c>
      <c r="AU113" s="138">
        <v>7.02</v>
      </c>
      <c r="AV113" s="138">
        <v>7.43</v>
      </c>
      <c r="AW113" s="138">
        <v>7.16</v>
      </c>
      <c r="AX113" s="138">
        <v>7.23</v>
      </c>
      <c r="AY113" s="138">
        <v>6.83</v>
      </c>
      <c r="AZ113" s="138">
        <v>7.12</v>
      </c>
      <c r="BA113" s="138">
        <v>7.27</v>
      </c>
      <c r="BB113" s="138">
        <v>6.68</v>
      </c>
      <c r="BC113" s="14">
        <v>6.91</v>
      </c>
      <c r="BD113" s="14">
        <v>6.92</v>
      </c>
      <c r="BE113" s="14">
        <v>6.82</v>
      </c>
      <c r="BF113" s="139">
        <f>SUM(Input_Raw[[#This Row],[O2_01]:[O2_26]])</f>
        <v>726782</v>
      </c>
      <c r="BG113" s="140">
        <f>IFERROR(AVERAGE(Input_Raw[[#This Row],[WS_O2_01]:[WS_O2_26]]),"")</f>
        <v>6.9134615384615383</v>
      </c>
      <c r="BH113" s="141"/>
      <c r="BI113" s="141"/>
      <c r="BJ113" s="13">
        <v>706950</v>
      </c>
      <c r="BK113" s="13">
        <v>0</v>
      </c>
      <c r="BL113" s="15">
        <f>Input_Raw[[#This Row],[66 kV_Wind_F1_Export_reading]]-Input_Raw[[#This Row],[66 kV_Wind_F1_Import_reading]]</f>
        <v>706950</v>
      </c>
      <c r="BM113" s="142">
        <f>Input_Raw[[#This Row],[WTG Total Gneration (KWh)]]-Input_Raw[[#This Row],[66 kV_Wind_F1_Export_reading]]</f>
        <v>19832</v>
      </c>
      <c r="BN113" s="111">
        <f>(Input_Raw[[#This Row],[WTG Total Gneration (KWh)]]-Input_Raw[[#This Row],[66 kV_Wind_F1_Export_reading]])/Input_Raw[[#This Row],[WTG Total Gneration (KWh)]]</f>
        <v>2.7287412181369378E-2</v>
      </c>
      <c r="BO113" s="89">
        <v>70.2</v>
      </c>
      <c r="BP113" s="99"/>
      <c r="BQ113" s="135">
        <v>751.95</v>
      </c>
      <c r="BR113" s="207"/>
    </row>
    <row r="114" spans="1:70">
      <c r="A114" s="240">
        <f t="shared" si="14"/>
        <v>45854</v>
      </c>
      <c r="B114" s="11">
        <f>YEAR(Input_Raw[[#This Row],[Date]])+IF(MONTH(Input_Raw[[#This Row],[Date]])&gt;=4,1,0)</f>
        <v>2026</v>
      </c>
      <c r="C114" s="11">
        <f>YEAR(Input_Raw[[#This Row],[Date]])</f>
        <v>2025</v>
      </c>
      <c r="D114" s="12">
        <f t="shared" si="22"/>
        <v>45839</v>
      </c>
      <c r="E114" s="11">
        <f>DAY(EOMONTH(Input_Raw[[#This Row],[Date]],0))</f>
        <v>31</v>
      </c>
      <c r="F114" s="601">
        <v>21201</v>
      </c>
      <c r="G114" s="601">
        <v>24523</v>
      </c>
      <c r="H114" s="601">
        <v>19207</v>
      </c>
      <c r="I114" s="601">
        <v>21352</v>
      </c>
      <c r="J114" s="601">
        <v>23890</v>
      </c>
      <c r="K114" s="601">
        <v>23752</v>
      </c>
      <c r="L114" s="601">
        <v>21755</v>
      </c>
      <c r="M114" s="601">
        <v>21865</v>
      </c>
      <c r="N114" s="601">
        <v>21748</v>
      </c>
      <c r="O114" s="601">
        <v>22866</v>
      </c>
      <c r="P114" s="601">
        <v>20018</v>
      </c>
      <c r="Q114" s="601">
        <v>23069</v>
      </c>
      <c r="R114" s="601">
        <v>20377</v>
      </c>
      <c r="S114" s="601">
        <v>21454</v>
      </c>
      <c r="T114" s="601">
        <v>22687</v>
      </c>
      <c r="U114" s="601">
        <v>23642</v>
      </c>
      <c r="V114" s="601">
        <v>24254</v>
      </c>
      <c r="W114" s="601">
        <v>23318</v>
      </c>
      <c r="X114" s="601">
        <v>23931</v>
      </c>
      <c r="Y114" s="601">
        <v>20675</v>
      </c>
      <c r="Z114" s="601">
        <v>23833</v>
      </c>
      <c r="AA114" s="601">
        <v>20968</v>
      </c>
      <c r="AB114" s="601">
        <v>21199</v>
      </c>
      <c r="AC114" s="602">
        <v>24581</v>
      </c>
      <c r="AD114" s="602">
        <v>25183</v>
      </c>
      <c r="AE114" s="602">
        <v>22028</v>
      </c>
      <c r="AF114" s="603">
        <v>6.29</v>
      </c>
      <c r="AG114" s="603">
        <v>6.46</v>
      </c>
      <c r="AH114" s="603">
        <v>6.15</v>
      </c>
      <c r="AI114" s="603">
        <v>6.15</v>
      </c>
      <c r="AJ114" s="603">
        <v>6.5</v>
      </c>
      <c r="AK114" s="603">
        <v>6.88</v>
      </c>
      <c r="AL114" s="603">
        <v>6.12</v>
      </c>
      <c r="AM114" s="603">
        <v>6.14</v>
      </c>
      <c r="AN114" s="603">
        <v>6.35</v>
      </c>
      <c r="AO114" s="603">
        <v>6.37</v>
      </c>
      <c r="AP114" s="603">
        <v>6.17</v>
      </c>
      <c r="AQ114" s="603">
        <v>7.14</v>
      </c>
      <c r="AR114" s="603">
        <v>6.13</v>
      </c>
      <c r="AS114" s="603">
        <v>6.28</v>
      </c>
      <c r="AT114" s="603">
        <v>6.31</v>
      </c>
      <c r="AU114" s="603">
        <v>6.43</v>
      </c>
      <c r="AV114" s="603">
        <v>6.55</v>
      </c>
      <c r="AW114" s="603">
        <v>6.44</v>
      </c>
      <c r="AX114" s="603">
        <v>6.34</v>
      </c>
      <c r="AY114" s="603">
        <v>6.21</v>
      </c>
      <c r="AZ114" s="603">
        <v>6.49</v>
      </c>
      <c r="BA114" s="603">
        <v>6.25</v>
      </c>
      <c r="BB114" s="603">
        <v>6.21</v>
      </c>
      <c r="BC114" s="604">
        <v>6.51</v>
      </c>
      <c r="BD114" s="604">
        <v>6.46</v>
      </c>
      <c r="BE114" s="604">
        <v>6.29</v>
      </c>
      <c r="BF114" s="605">
        <f>SUM(Input_Raw[[#This Row],[O2_01]:[O2_26]])</f>
        <v>583376</v>
      </c>
      <c r="BG114" s="606">
        <f>IFERROR(AVERAGE(Input_Raw[[#This Row],[WS_O2_01]:[WS_O2_26]]),"")</f>
        <v>6.37</v>
      </c>
      <c r="BH114" s="607"/>
      <c r="BI114" s="607"/>
      <c r="BJ114" s="602">
        <v>569250</v>
      </c>
      <c r="BK114" s="602">
        <v>0</v>
      </c>
      <c r="BL114" s="608">
        <f>Input_Raw[[#This Row],[66 kV_Wind_F1_Export_reading]]-Input_Raw[[#This Row],[66 kV_Wind_F1_Import_reading]]</f>
        <v>569250</v>
      </c>
      <c r="BM114" s="609">
        <f>Input_Raw[[#This Row],[WTG Total Gneration (KWh)]]-Input_Raw[[#This Row],[66 kV_Wind_F1_Export_reading]]</f>
        <v>14126</v>
      </c>
      <c r="BN114" s="111">
        <f>(Input_Raw[[#This Row],[WTG Total Gneration (KWh)]]-Input_Raw[[#This Row],[66 kV_Wind_F1_Export_reading]])/Input_Raw[[#This Row],[WTG Total Gneration (KWh)]]</f>
        <v>2.4214228902114589E-2</v>
      </c>
      <c r="BO114" s="89">
        <v>70.2</v>
      </c>
      <c r="BP114" s="610"/>
      <c r="BQ114" s="611">
        <v>607.82000000000005</v>
      </c>
      <c r="BR114" s="612"/>
    </row>
    <row r="115" spans="1:70">
      <c r="A115" s="240">
        <f t="shared" si="14"/>
        <v>45855</v>
      </c>
      <c r="B115" s="11">
        <f>YEAR(Input_Raw[[#This Row],[Date]])+IF(MONTH(Input_Raw[[#This Row],[Date]])&gt;=4,1,0)</f>
        <v>2026</v>
      </c>
      <c r="C115" s="11">
        <f>YEAR(Input_Raw[[#This Row],[Date]])</f>
        <v>2025</v>
      </c>
      <c r="D115" s="12">
        <f t="shared" ref="D115:D120" si="23">A115-DAY(A115)+1</f>
        <v>45839</v>
      </c>
      <c r="E115" s="11">
        <f>DAY(EOMONTH(Input_Raw[[#This Row],[Date]],0))</f>
        <v>31</v>
      </c>
      <c r="F115" s="601">
        <v>11206</v>
      </c>
      <c r="G115" s="601">
        <v>13664</v>
      </c>
      <c r="H115" s="601">
        <v>12302</v>
      </c>
      <c r="I115" s="601">
        <v>11526</v>
      </c>
      <c r="J115" s="601">
        <v>12086</v>
      </c>
      <c r="K115" s="601">
        <v>13467</v>
      </c>
      <c r="L115" s="601">
        <v>11953</v>
      </c>
      <c r="M115" s="601">
        <v>12366</v>
      </c>
      <c r="N115" s="601">
        <v>12337</v>
      </c>
      <c r="O115" s="601">
        <v>13836</v>
      </c>
      <c r="P115" s="601">
        <v>11605</v>
      </c>
      <c r="Q115" s="601">
        <v>13245</v>
      </c>
      <c r="R115" s="601">
        <v>12668</v>
      </c>
      <c r="S115" s="601">
        <v>12738</v>
      </c>
      <c r="T115" s="601">
        <v>8858</v>
      </c>
      <c r="U115" s="601">
        <v>13356</v>
      </c>
      <c r="V115" s="601">
        <v>12521</v>
      </c>
      <c r="W115" s="601">
        <v>14123</v>
      </c>
      <c r="X115" s="601">
        <v>14031</v>
      </c>
      <c r="Y115" s="601">
        <v>10765</v>
      </c>
      <c r="Z115" s="601">
        <v>13539</v>
      </c>
      <c r="AA115" s="601">
        <v>10502</v>
      </c>
      <c r="AB115" s="601">
        <v>13294</v>
      </c>
      <c r="AC115" s="602">
        <v>13633</v>
      </c>
      <c r="AD115" s="602">
        <v>13816</v>
      </c>
      <c r="AE115" s="602">
        <v>13049</v>
      </c>
      <c r="AF115" s="603">
        <v>4.97</v>
      </c>
      <c r="AG115" s="603">
        <v>5.09</v>
      </c>
      <c r="AH115" s="603">
        <v>4.9800000000000004</v>
      </c>
      <c r="AI115" s="603">
        <v>4.82</v>
      </c>
      <c r="AJ115" s="603">
        <v>4.97</v>
      </c>
      <c r="AK115" s="603">
        <v>5.73</v>
      </c>
      <c r="AL115" s="603">
        <v>4.8</v>
      </c>
      <c r="AM115" s="603">
        <v>4.91</v>
      </c>
      <c r="AN115" s="603">
        <v>5.07</v>
      </c>
      <c r="AO115" s="603">
        <v>5.18</v>
      </c>
      <c r="AP115" s="603">
        <v>5.03</v>
      </c>
      <c r="AQ115" s="603">
        <v>5.99</v>
      </c>
      <c r="AR115" s="603">
        <v>5.05</v>
      </c>
      <c r="AS115" s="603">
        <v>5.1100000000000003</v>
      </c>
      <c r="AT115" s="603">
        <v>4.8499999999999996</v>
      </c>
      <c r="AU115" s="603">
        <v>5.0999999999999996</v>
      </c>
      <c r="AV115" s="603">
        <v>5.08</v>
      </c>
      <c r="AW115" s="603">
        <v>5.19</v>
      </c>
      <c r="AX115" s="603">
        <v>5.09</v>
      </c>
      <c r="AY115" s="603">
        <v>4.99</v>
      </c>
      <c r="AZ115" s="603">
        <v>5.14</v>
      </c>
      <c r="BA115" s="603">
        <v>4.82</v>
      </c>
      <c r="BB115" s="603">
        <v>5.08</v>
      </c>
      <c r="BC115" s="604">
        <v>5.17</v>
      </c>
      <c r="BD115" s="604">
        <v>5.08</v>
      </c>
      <c r="BE115" s="604">
        <v>5.0599999999999996</v>
      </c>
      <c r="BF115" s="605">
        <f>SUM(Input_Raw[[#This Row],[O2_01]:[O2_26]])</f>
        <v>326486</v>
      </c>
      <c r="BG115" s="606">
        <f>IFERROR(AVERAGE(Input_Raw[[#This Row],[WS_O2_01]:[WS_O2_26]]),"")</f>
        <v>5.0903846153846137</v>
      </c>
      <c r="BH115" s="607"/>
      <c r="BI115" s="607"/>
      <c r="BJ115" s="602">
        <v>316800</v>
      </c>
      <c r="BK115" s="602">
        <v>0</v>
      </c>
      <c r="BL115" s="608">
        <f>Input_Raw[[#This Row],[66 kV_Wind_F1_Export_reading]]-Input_Raw[[#This Row],[66 kV_Wind_F1_Import_reading]]</f>
        <v>316800</v>
      </c>
      <c r="BM115" s="609">
        <f>Input_Raw[[#This Row],[WTG Total Gneration (KWh)]]-Input_Raw[[#This Row],[66 kV_Wind_F1_Export_reading]]</f>
        <v>9686</v>
      </c>
      <c r="BN115" s="111">
        <f>(Input_Raw[[#This Row],[WTG Total Gneration (KWh)]]-Input_Raw[[#This Row],[66 kV_Wind_F1_Export_reading]])/Input_Raw[[#This Row],[WTG Total Gneration (KWh)]]</f>
        <v>2.966742831239318E-2</v>
      </c>
      <c r="BO115" s="89">
        <v>70.2</v>
      </c>
      <c r="BP115" s="610"/>
      <c r="BQ115" s="611">
        <v>339.36</v>
      </c>
      <c r="BR115" s="612"/>
    </row>
    <row r="116" spans="1:70">
      <c r="A116" s="240">
        <f t="shared" si="14"/>
        <v>45856</v>
      </c>
      <c r="B116" s="11">
        <f>YEAR(Input_Raw[[#This Row],[Date]])+IF(MONTH(Input_Raw[[#This Row],[Date]])&gt;=4,1,0)</f>
        <v>2026</v>
      </c>
      <c r="C116" s="11">
        <f>YEAR(Input_Raw[[#This Row],[Date]])</f>
        <v>2025</v>
      </c>
      <c r="D116" s="12">
        <f t="shared" si="23"/>
        <v>45839</v>
      </c>
      <c r="E116" s="11">
        <f>DAY(EOMONTH(Input_Raw[[#This Row],[Date]],0))</f>
        <v>31</v>
      </c>
      <c r="F116" s="137">
        <v>17523</v>
      </c>
      <c r="G116" s="137">
        <v>19484</v>
      </c>
      <c r="H116" s="137">
        <v>19227</v>
      </c>
      <c r="I116" s="137">
        <v>18268</v>
      </c>
      <c r="J116" s="137">
        <v>17513</v>
      </c>
      <c r="K116" s="137">
        <v>19837</v>
      </c>
      <c r="L116" s="137">
        <v>18294</v>
      </c>
      <c r="M116" s="137">
        <v>17246</v>
      </c>
      <c r="N116" s="137">
        <v>17045</v>
      </c>
      <c r="O116" s="137">
        <v>20039</v>
      </c>
      <c r="P116" s="137">
        <v>17893</v>
      </c>
      <c r="Q116" s="137">
        <v>19434</v>
      </c>
      <c r="R116" s="137">
        <v>16909</v>
      </c>
      <c r="S116" s="137">
        <v>17969</v>
      </c>
      <c r="T116" s="137">
        <v>18759</v>
      </c>
      <c r="U116" s="137">
        <v>21185</v>
      </c>
      <c r="V116" s="137">
        <v>20949</v>
      </c>
      <c r="W116" s="137">
        <v>19950</v>
      </c>
      <c r="X116" s="137">
        <v>20646</v>
      </c>
      <c r="Y116" s="137">
        <v>17950</v>
      </c>
      <c r="Z116" s="137">
        <v>19693</v>
      </c>
      <c r="AA116" s="137">
        <v>19045</v>
      </c>
      <c r="AB116" s="137">
        <v>19976</v>
      </c>
      <c r="AC116" s="13">
        <v>19737</v>
      </c>
      <c r="AD116" s="13">
        <v>18981</v>
      </c>
      <c r="AE116" s="13">
        <v>20353</v>
      </c>
      <c r="AF116" s="138">
        <v>5.87</v>
      </c>
      <c r="AG116" s="138">
        <v>5.96</v>
      </c>
      <c r="AH116" s="138">
        <v>5.89</v>
      </c>
      <c r="AI116" s="138">
        <v>5.77</v>
      </c>
      <c r="AJ116" s="138">
        <v>5.82</v>
      </c>
      <c r="AK116" s="138">
        <v>6.36</v>
      </c>
      <c r="AL116" s="138">
        <v>5.75</v>
      </c>
      <c r="AM116" s="138">
        <v>5.86</v>
      </c>
      <c r="AN116" s="138">
        <v>5.88</v>
      </c>
      <c r="AO116" s="138">
        <v>5.99</v>
      </c>
      <c r="AP116" s="138">
        <v>5.89</v>
      </c>
      <c r="AQ116" s="138">
        <v>6.71</v>
      </c>
      <c r="AR116" s="138">
        <v>5.71</v>
      </c>
      <c r="AS116" s="138">
        <v>5.86</v>
      </c>
      <c r="AT116" s="138">
        <v>5.8</v>
      </c>
      <c r="AU116" s="138">
        <v>6.08</v>
      </c>
      <c r="AV116" s="138">
        <v>6.17</v>
      </c>
      <c r="AW116" s="138">
        <v>5.94</v>
      </c>
      <c r="AX116" s="138">
        <v>6.13</v>
      </c>
      <c r="AY116" s="138">
        <v>5.82</v>
      </c>
      <c r="AZ116" s="138">
        <v>5.87</v>
      </c>
      <c r="BA116" s="138">
        <v>5.92</v>
      </c>
      <c r="BB116" s="138">
        <v>6.01</v>
      </c>
      <c r="BC116" s="14">
        <v>5.96</v>
      </c>
      <c r="BD116" s="14">
        <v>5.9</v>
      </c>
      <c r="BE116" s="14">
        <v>6.07</v>
      </c>
      <c r="BF116" s="139">
        <f>SUM(Input_Raw[[#This Row],[O2_01]:[O2_26]])</f>
        <v>493905</v>
      </c>
      <c r="BG116" s="140">
        <f>IFERROR(AVERAGE(Input_Raw[[#This Row],[WS_O2_01]:[WS_O2_26]]),"")</f>
        <v>5.9611538461538451</v>
      </c>
      <c r="BH116" s="141"/>
      <c r="BI116" s="141"/>
      <c r="BJ116" s="13">
        <v>482400</v>
      </c>
      <c r="BK116" s="13">
        <v>0</v>
      </c>
      <c r="BL116" s="15">
        <f>Input_Raw[[#This Row],[66 kV_Wind_F1_Export_reading]]-Input_Raw[[#This Row],[66 kV_Wind_F1_Import_reading]]</f>
        <v>482400</v>
      </c>
      <c r="BM116" s="142">
        <f>Input_Raw[[#This Row],[WTG Total Gneration (KWh)]]-Input_Raw[[#This Row],[66 kV_Wind_F1_Export_reading]]</f>
        <v>11505</v>
      </c>
      <c r="BN116" s="111">
        <f>(Input_Raw[[#This Row],[WTG Total Gneration (KWh)]]-Input_Raw[[#This Row],[66 kV_Wind_F1_Export_reading]])/Input_Raw[[#This Row],[WTG Total Gneration (KWh)]]</f>
        <v>2.3293953290612568E-2</v>
      </c>
      <c r="BO116" s="89">
        <v>70.2</v>
      </c>
      <c r="BP116" s="99"/>
      <c r="BQ116" s="135">
        <v>509.83</v>
      </c>
      <c r="BR116" s="207"/>
    </row>
    <row r="117" spans="1:70">
      <c r="A117" s="240">
        <f t="shared" si="14"/>
        <v>45857</v>
      </c>
      <c r="B117" s="11">
        <f>YEAR(Input_Raw[[#This Row],[Date]])+IF(MONTH(Input_Raw[[#This Row],[Date]])&gt;=4,1,0)</f>
        <v>2026</v>
      </c>
      <c r="C117" s="11">
        <f>YEAR(Input_Raw[[#This Row],[Date]])</f>
        <v>2025</v>
      </c>
      <c r="D117" s="12">
        <f t="shared" si="23"/>
        <v>45839</v>
      </c>
      <c r="E117" s="11">
        <f>DAY(EOMONTH(Input_Raw[[#This Row],[Date]],0))</f>
        <v>31</v>
      </c>
      <c r="F117" s="613">
        <v>25328</v>
      </c>
      <c r="G117" s="613">
        <v>29193</v>
      </c>
      <c r="H117" s="613">
        <v>27329</v>
      </c>
      <c r="I117" s="613">
        <v>28603</v>
      </c>
      <c r="J117" s="613">
        <v>28298</v>
      </c>
      <c r="K117" s="613">
        <v>30433</v>
      </c>
      <c r="L117" s="613">
        <v>26642</v>
      </c>
      <c r="M117" s="613">
        <v>27147</v>
      </c>
      <c r="N117" s="613">
        <v>26672</v>
      </c>
      <c r="O117" s="613">
        <v>25937</v>
      </c>
      <c r="P117" s="613">
        <v>25525</v>
      </c>
      <c r="Q117" s="613">
        <v>26690</v>
      </c>
      <c r="R117" s="613">
        <v>24909</v>
      </c>
      <c r="S117" s="613">
        <v>24565</v>
      </c>
      <c r="T117" s="613">
        <v>24294</v>
      </c>
      <c r="U117" s="613">
        <v>27155</v>
      </c>
      <c r="V117" s="613">
        <v>32012</v>
      </c>
      <c r="W117" s="613">
        <v>29909</v>
      </c>
      <c r="X117" s="613">
        <v>30835</v>
      </c>
      <c r="Y117" s="613">
        <v>25492</v>
      </c>
      <c r="Z117" s="613">
        <v>30391</v>
      </c>
      <c r="AA117" s="613">
        <v>30278</v>
      </c>
      <c r="AB117" s="613">
        <v>27630</v>
      </c>
      <c r="AC117" s="614">
        <v>28143</v>
      </c>
      <c r="AD117" s="614">
        <v>28808</v>
      </c>
      <c r="AE117" s="614">
        <v>27719</v>
      </c>
      <c r="AF117" s="615">
        <v>6.84</v>
      </c>
      <c r="AG117" s="615">
        <v>7.02</v>
      </c>
      <c r="AH117" s="615">
        <v>6.83</v>
      </c>
      <c r="AI117" s="615">
        <v>6.94</v>
      </c>
      <c r="AJ117" s="615">
        <v>7.01</v>
      </c>
      <c r="AK117" s="615">
        <v>7.45</v>
      </c>
      <c r="AL117" s="615">
        <v>6.78</v>
      </c>
      <c r="AM117" s="615">
        <v>6.76</v>
      </c>
      <c r="AN117" s="615">
        <v>6.89</v>
      </c>
      <c r="AO117" s="615">
        <v>6.73</v>
      </c>
      <c r="AP117" s="615">
        <v>6.8</v>
      </c>
      <c r="AQ117" s="615">
        <v>7.45</v>
      </c>
      <c r="AR117" s="615">
        <v>6.64</v>
      </c>
      <c r="AS117" s="615">
        <v>6.61</v>
      </c>
      <c r="AT117" s="615">
        <v>6.69</v>
      </c>
      <c r="AU117" s="615">
        <v>6.84</v>
      </c>
      <c r="AV117" s="615">
        <v>7.46</v>
      </c>
      <c r="AW117" s="615">
        <v>7.2</v>
      </c>
      <c r="AX117" s="615">
        <v>7.09</v>
      </c>
      <c r="AY117" s="615">
        <v>6.74</v>
      </c>
      <c r="AZ117" s="615">
        <v>7.23</v>
      </c>
      <c r="BA117" s="615">
        <v>7.3</v>
      </c>
      <c r="BB117" s="615">
        <v>6.91</v>
      </c>
      <c r="BC117" s="616">
        <v>6.9</v>
      </c>
      <c r="BD117" s="616">
        <v>6.92</v>
      </c>
      <c r="BE117" s="616">
        <v>6.91</v>
      </c>
      <c r="BF117" s="617">
        <f>SUM(Input_Raw[[#This Row],[O2_01]:[O2_26]])</f>
        <v>719937</v>
      </c>
      <c r="BG117" s="618">
        <f>IFERROR(AVERAGE(Input_Raw[[#This Row],[WS_O2_01]:[WS_O2_26]]),"")</f>
        <v>6.9592307692307696</v>
      </c>
      <c r="BH117" s="619"/>
      <c r="BI117" s="619"/>
      <c r="BJ117" s="614">
        <v>702000</v>
      </c>
      <c r="BK117" s="614">
        <v>0</v>
      </c>
      <c r="BL117" s="620">
        <f>Input_Raw[[#This Row],[66 kV_Wind_F1_Export_reading]]-Input_Raw[[#This Row],[66 kV_Wind_F1_Import_reading]]</f>
        <v>702000</v>
      </c>
      <c r="BM117" s="621">
        <f>Input_Raw[[#This Row],[WTG Total Gneration (KWh)]]-Input_Raw[[#This Row],[66 kV_Wind_F1_Export_reading]]</f>
        <v>17937</v>
      </c>
      <c r="BN117" s="111">
        <f>(Input_Raw[[#This Row],[WTG Total Gneration (KWh)]]-Input_Raw[[#This Row],[66 kV_Wind_F1_Export_reading]])/Input_Raw[[#This Row],[WTG Total Gneration (KWh)]]</f>
        <v>2.491468003450302E-2</v>
      </c>
      <c r="BO117" s="89">
        <v>70.2</v>
      </c>
      <c r="BP117" s="622"/>
      <c r="BQ117" s="623">
        <v>752.09</v>
      </c>
      <c r="BR117" s="624"/>
    </row>
    <row r="118" spans="1:70">
      <c r="A118" s="240">
        <f t="shared" si="14"/>
        <v>45858</v>
      </c>
      <c r="B118" s="11">
        <f>YEAR(Input_Raw[[#This Row],[Date]])+IF(MONTH(Input_Raw[[#This Row],[Date]])&gt;=4,1,0)</f>
        <v>2026</v>
      </c>
      <c r="C118" s="11">
        <f>YEAR(Input_Raw[[#This Row],[Date]])</f>
        <v>2025</v>
      </c>
      <c r="D118" s="12">
        <f t="shared" si="23"/>
        <v>45839</v>
      </c>
      <c r="E118" s="11">
        <f>DAY(EOMONTH(Input_Raw[[#This Row],[Date]],0))</f>
        <v>31</v>
      </c>
      <c r="F118" s="137">
        <v>18595</v>
      </c>
      <c r="G118" s="137">
        <v>21388</v>
      </c>
      <c r="H118" s="137">
        <v>18490</v>
      </c>
      <c r="I118" s="137">
        <v>19926</v>
      </c>
      <c r="J118" s="137">
        <v>19843</v>
      </c>
      <c r="K118" s="137">
        <v>18615</v>
      </c>
      <c r="L118" s="137">
        <v>19714</v>
      </c>
      <c r="M118" s="137">
        <v>18575</v>
      </c>
      <c r="N118" s="137">
        <v>19385</v>
      </c>
      <c r="O118" s="137">
        <v>17957</v>
      </c>
      <c r="P118" s="137">
        <v>17396</v>
      </c>
      <c r="Q118" s="137">
        <v>18654</v>
      </c>
      <c r="R118" s="137">
        <v>18232</v>
      </c>
      <c r="S118" s="137">
        <v>19183</v>
      </c>
      <c r="T118" s="137">
        <v>18975</v>
      </c>
      <c r="U118" s="137">
        <v>18123</v>
      </c>
      <c r="V118" s="137">
        <v>21673</v>
      </c>
      <c r="W118" s="137">
        <v>16406</v>
      </c>
      <c r="X118" s="137">
        <v>21946</v>
      </c>
      <c r="Y118" s="137">
        <v>16967</v>
      </c>
      <c r="Z118" s="137">
        <v>18298</v>
      </c>
      <c r="AA118" s="137">
        <v>18096</v>
      </c>
      <c r="AB118" s="137">
        <v>18336</v>
      </c>
      <c r="AC118" s="13">
        <v>18590</v>
      </c>
      <c r="AD118" s="13">
        <v>20741</v>
      </c>
      <c r="AE118" s="13">
        <v>18765</v>
      </c>
      <c r="AF118" s="138">
        <v>5.7395139187574378</v>
      </c>
      <c r="AG118" s="138">
        <v>5.9680555694633055</v>
      </c>
      <c r="AH118" s="138">
        <v>5.6138194236490451</v>
      </c>
      <c r="AI118" s="138">
        <v>5.7924305556548958</v>
      </c>
      <c r="AJ118" s="138">
        <v>5.8705555523435269</v>
      </c>
      <c r="AK118" s="138">
        <v>6.0074305584033318</v>
      </c>
      <c r="AL118" s="138">
        <v>5.7363888898657418</v>
      </c>
      <c r="AM118" s="138">
        <v>5.6296527741683846</v>
      </c>
      <c r="AN118" s="138">
        <v>5.7314583477046739</v>
      </c>
      <c r="AO118" s="138">
        <v>5.70847222705682</v>
      </c>
      <c r="AP118" s="138">
        <v>5.6454166596134483</v>
      </c>
      <c r="AQ118" s="138">
        <v>6.4322916550768729</v>
      </c>
      <c r="AR118" s="138">
        <v>5.6803472273879567</v>
      </c>
      <c r="AS118" s="138">
        <v>5.8066666788525039</v>
      </c>
      <c r="AT118" s="138">
        <v>5.7113194482194025</v>
      </c>
      <c r="AU118" s="138">
        <v>5.6129861134621812</v>
      </c>
      <c r="AV118" s="138">
        <v>6.1845138801468726</v>
      </c>
      <c r="AW118" s="138">
        <v>5.539851840337116</v>
      </c>
      <c r="AX118" s="138">
        <v>5.9725694631536799</v>
      </c>
      <c r="AY118" s="138">
        <v>5.6111805604563818</v>
      </c>
      <c r="AZ118" s="138">
        <v>5.6015277744995222</v>
      </c>
      <c r="BA118" s="138">
        <v>5.7863194619615861</v>
      </c>
      <c r="BB118" s="138">
        <v>5.6657638955447389</v>
      </c>
      <c r="BC118" s="14">
        <v>5.7813194369276353</v>
      </c>
      <c r="BD118" s="14">
        <v>5.8378472261958647</v>
      </c>
      <c r="BE118" s="14">
        <v>5.7489583409494802</v>
      </c>
      <c r="BF118" s="139">
        <f>SUM(Input_Raw[[#This Row],[O2_01]:[O2_26]])</f>
        <v>492869</v>
      </c>
      <c r="BG118" s="140">
        <f>IFERROR(AVERAGE(Input_Raw[[#This Row],[WS_O2_01]:[WS_O2_26]]),"")</f>
        <v>5.7852560569173992</v>
      </c>
      <c r="BH118" s="141"/>
      <c r="BI118" s="141"/>
      <c r="BJ118" s="13">
        <v>479250</v>
      </c>
      <c r="BK118" s="13">
        <v>0</v>
      </c>
      <c r="BL118" s="15">
        <f>Input_Raw[[#This Row],[66 kV_Wind_F1_Export_reading]]-Input_Raw[[#This Row],[66 kV_Wind_F1_Import_reading]]</f>
        <v>479250</v>
      </c>
      <c r="BM118" s="142">
        <f>Input_Raw[[#This Row],[WTG Total Gneration (KWh)]]-Input_Raw[[#This Row],[66 kV_Wind_F1_Export_reading]]</f>
        <v>13619</v>
      </c>
      <c r="BN118" s="111">
        <f>(Input_Raw[[#This Row],[WTG Total Gneration (KWh)]]-Input_Raw[[#This Row],[66 kV_Wind_F1_Export_reading]])/Input_Raw[[#This Row],[WTG Total Gneration (KWh)]]</f>
        <v>2.7632088851195755E-2</v>
      </c>
      <c r="BO118" s="89">
        <v>70.2</v>
      </c>
      <c r="BP118" s="99"/>
      <c r="BQ118" s="135">
        <v>507.35</v>
      </c>
      <c r="BR118" s="207"/>
    </row>
    <row r="119" spans="1:70">
      <c r="A119" s="240">
        <f t="shared" si="14"/>
        <v>45859</v>
      </c>
      <c r="B119" s="11">
        <f>YEAR(Input_Raw[[#This Row],[Date]])+IF(MONTH(Input_Raw[[#This Row],[Date]])&gt;=4,1,0)</f>
        <v>2026</v>
      </c>
      <c r="C119" s="11">
        <f>YEAR(Input_Raw[[#This Row],[Date]])</f>
        <v>2025</v>
      </c>
      <c r="D119" s="12">
        <f t="shared" si="23"/>
        <v>45839</v>
      </c>
      <c r="E119" s="11">
        <f>DAY(EOMONTH(Input_Raw[[#This Row],[Date]],0))</f>
        <v>31</v>
      </c>
      <c r="F119" s="137">
        <v>10341</v>
      </c>
      <c r="G119" s="137">
        <v>12796</v>
      </c>
      <c r="H119" s="137">
        <v>10892</v>
      </c>
      <c r="I119" s="137">
        <v>12612</v>
      </c>
      <c r="J119" s="137">
        <v>12171</v>
      </c>
      <c r="K119" s="137">
        <v>13391</v>
      </c>
      <c r="L119" s="137">
        <v>10778</v>
      </c>
      <c r="M119" s="137">
        <v>8997</v>
      </c>
      <c r="N119" s="137">
        <v>9411</v>
      </c>
      <c r="O119" s="137">
        <v>10712</v>
      </c>
      <c r="P119" s="137">
        <v>10509</v>
      </c>
      <c r="Q119" s="137">
        <v>11094</v>
      </c>
      <c r="R119" s="137">
        <v>9387</v>
      </c>
      <c r="S119" s="137">
        <v>10491</v>
      </c>
      <c r="T119" s="137">
        <v>10213</v>
      </c>
      <c r="U119" s="137">
        <v>12579</v>
      </c>
      <c r="V119" s="137">
        <v>14665</v>
      </c>
      <c r="W119" s="137">
        <v>12326</v>
      </c>
      <c r="X119" s="137">
        <v>12967</v>
      </c>
      <c r="Y119" s="137">
        <v>10892</v>
      </c>
      <c r="Z119" s="137">
        <v>13352</v>
      </c>
      <c r="AA119" s="137">
        <v>13832</v>
      </c>
      <c r="AB119" s="137">
        <v>11274</v>
      </c>
      <c r="AC119" s="13">
        <v>12015</v>
      </c>
      <c r="AD119" s="13">
        <v>12860</v>
      </c>
      <c r="AE119" s="13">
        <v>9260</v>
      </c>
      <c r="AF119" s="138">
        <v>4.84</v>
      </c>
      <c r="AG119" s="138">
        <v>5.03</v>
      </c>
      <c r="AH119" s="138">
        <v>4.76</v>
      </c>
      <c r="AI119" s="138">
        <v>5</v>
      </c>
      <c r="AJ119" s="138">
        <v>5.0599999999999996</v>
      </c>
      <c r="AK119" s="138">
        <v>5.59</v>
      </c>
      <c r="AL119" s="138">
        <v>4.76</v>
      </c>
      <c r="AM119" s="138">
        <v>4.57</v>
      </c>
      <c r="AN119" s="138">
        <v>4.66</v>
      </c>
      <c r="AO119" s="138">
        <v>4.8</v>
      </c>
      <c r="AP119" s="138">
        <v>4.79</v>
      </c>
      <c r="AQ119" s="138">
        <v>5.7</v>
      </c>
      <c r="AR119" s="138">
        <v>4.62</v>
      </c>
      <c r="AS119" s="138">
        <v>4.79</v>
      </c>
      <c r="AT119" s="138">
        <v>4.63</v>
      </c>
      <c r="AU119" s="138">
        <v>4.9800000000000004</v>
      </c>
      <c r="AV119" s="138">
        <v>5.4</v>
      </c>
      <c r="AW119" s="138">
        <v>4.95</v>
      </c>
      <c r="AX119" s="138">
        <v>5.04</v>
      </c>
      <c r="AY119" s="138">
        <v>4.8499999999999996</v>
      </c>
      <c r="AZ119" s="138">
        <v>5.04</v>
      </c>
      <c r="BA119" s="138">
        <v>5.33</v>
      </c>
      <c r="BB119" s="138">
        <v>4.83</v>
      </c>
      <c r="BC119" s="14">
        <v>4.9800000000000004</v>
      </c>
      <c r="BD119" s="14">
        <v>5.09</v>
      </c>
      <c r="BE119" s="14">
        <v>4.75</v>
      </c>
      <c r="BF119" s="139">
        <f>SUM(Input_Raw[[#This Row],[O2_01]:[O2_26]])</f>
        <v>299817</v>
      </c>
      <c r="BG119" s="140">
        <f>IFERROR(AVERAGE(Input_Raw[[#This Row],[WS_O2_01]:[WS_O2_26]]),"")</f>
        <v>4.9553846153846166</v>
      </c>
      <c r="BH119" s="141"/>
      <c r="BI119" s="141"/>
      <c r="BJ119" s="13">
        <v>291150</v>
      </c>
      <c r="BK119" s="13">
        <v>0</v>
      </c>
      <c r="BL119" s="15">
        <f>Input_Raw[[#This Row],[66 kV_Wind_F1_Export_reading]]-Input_Raw[[#This Row],[66 kV_Wind_F1_Import_reading]]</f>
        <v>291150</v>
      </c>
      <c r="BM119" s="142">
        <f>Input_Raw[[#This Row],[WTG Total Gneration (KWh)]]-Input_Raw[[#This Row],[66 kV_Wind_F1_Export_reading]]</f>
        <v>8667</v>
      </c>
      <c r="BN119" s="111">
        <f>(Input_Raw[[#This Row],[WTG Total Gneration (KWh)]]-Input_Raw[[#This Row],[66 kV_Wind_F1_Export_reading]])/Input_Raw[[#This Row],[WTG Total Gneration (KWh)]]</f>
        <v>2.8907633656530485E-2</v>
      </c>
      <c r="BO119" s="89">
        <v>70.2</v>
      </c>
      <c r="BP119" s="99"/>
      <c r="BQ119" s="135">
        <v>309.17</v>
      </c>
      <c r="BR119" s="207"/>
    </row>
    <row r="120" spans="1:70">
      <c r="A120" s="240">
        <f t="shared" si="14"/>
        <v>45860</v>
      </c>
      <c r="B120" s="11">
        <f>YEAR(Input_Raw[[#This Row],[Date]])+IF(MONTH(Input_Raw[[#This Row],[Date]])&gt;=4,1,0)</f>
        <v>2026</v>
      </c>
      <c r="C120" s="11">
        <f>YEAR(Input_Raw[[#This Row],[Date]])</f>
        <v>2025</v>
      </c>
      <c r="D120" s="12">
        <f t="shared" si="23"/>
        <v>45839</v>
      </c>
      <c r="E120" s="11">
        <f>DAY(EOMONTH(Input_Raw[[#This Row],[Date]],0))</f>
        <v>31</v>
      </c>
      <c r="F120" s="137">
        <v>21461</v>
      </c>
      <c r="G120" s="137">
        <v>16354</v>
      </c>
      <c r="H120" s="137">
        <v>21037</v>
      </c>
      <c r="I120" s="137">
        <v>22269</v>
      </c>
      <c r="J120" s="137">
        <v>23539</v>
      </c>
      <c r="K120" s="137">
        <v>23155</v>
      </c>
      <c r="L120" s="137">
        <v>23119</v>
      </c>
      <c r="M120" s="137">
        <v>22092</v>
      </c>
      <c r="N120" s="137">
        <v>20428</v>
      </c>
      <c r="O120" s="137">
        <v>23113</v>
      </c>
      <c r="P120" s="137">
        <v>21015</v>
      </c>
      <c r="Q120" s="137">
        <v>22916</v>
      </c>
      <c r="R120" s="137">
        <v>19733</v>
      </c>
      <c r="S120" s="137">
        <v>21656</v>
      </c>
      <c r="T120" s="137">
        <v>21066</v>
      </c>
      <c r="U120" s="137">
        <v>24218</v>
      </c>
      <c r="V120" s="137">
        <v>19892</v>
      </c>
      <c r="W120" s="137">
        <v>23962</v>
      </c>
      <c r="X120" s="137">
        <v>25199</v>
      </c>
      <c r="Y120" s="137">
        <v>21644</v>
      </c>
      <c r="Z120" s="137">
        <v>23679</v>
      </c>
      <c r="AA120" s="137">
        <v>23902</v>
      </c>
      <c r="AB120" s="137">
        <v>23377</v>
      </c>
      <c r="AC120" s="13">
        <v>23841</v>
      </c>
      <c r="AD120" s="13">
        <v>24951</v>
      </c>
      <c r="AE120" s="13">
        <v>22964</v>
      </c>
      <c r="AF120" s="138">
        <v>6.25</v>
      </c>
      <c r="AG120" s="138">
        <v>3.69</v>
      </c>
      <c r="AH120" s="138">
        <v>6.1</v>
      </c>
      <c r="AI120" s="138">
        <v>6.29</v>
      </c>
      <c r="AJ120" s="138">
        <v>6.49</v>
      </c>
      <c r="AK120" s="138">
        <v>6.75</v>
      </c>
      <c r="AL120" s="138">
        <v>6.3</v>
      </c>
      <c r="AM120" s="138">
        <v>6.13</v>
      </c>
      <c r="AN120" s="138">
        <v>6.12</v>
      </c>
      <c r="AO120" s="138">
        <v>6.39</v>
      </c>
      <c r="AP120" s="138">
        <v>6.21</v>
      </c>
      <c r="AQ120" s="138">
        <v>7.07</v>
      </c>
      <c r="AR120" s="138">
        <v>5.96</v>
      </c>
      <c r="AS120" s="138">
        <v>6.23</v>
      </c>
      <c r="AT120" s="138">
        <v>6.08</v>
      </c>
      <c r="AU120" s="138">
        <v>6.44</v>
      </c>
      <c r="AV120" s="138">
        <v>5.81</v>
      </c>
      <c r="AW120" s="138">
        <v>6.4</v>
      </c>
      <c r="AX120" s="138">
        <v>6.49</v>
      </c>
      <c r="AY120" s="138">
        <v>6.24</v>
      </c>
      <c r="AZ120" s="138">
        <v>6.38</v>
      </c>
      <c r="BA120" s="138">
        <v>6.48</v>
      </c>
      <c r="BB120" s="138">
        <v>6.32</v>
      </c>
      <c r="BC120" s="14">
        <v>6.42</v>
      </c>
      <c r="BD120" s="14">
        <v>6.5</v>
      </c>
      <c r="BE120" s="14">
        <v>6.33</v>
      </c>
      <c r="BF120" s="139">
        <f>SUM(Input_Raw[[#This Row],[O2_01]:[O2_26]])</f>
        <v>580582</v>
      </c>
      <c r="BG120" s="140">
        <f>IFERROR(AVERAGE(Input_Raw[[#This Row],[WS_O2_01]:[WS_O2_26]]),"")</f>
        <v>6.2257692307692301</v>
      </c>
      <c r="BH120" s="141"/>
      <c r="BI120" s="141"/>
      <c r="BJ120" s="13">
        <v>566550</v>
      </c>
      <c r="BK120" s="13">
        <v>0</v>
      </c>
      <c r="BL120" s="15">
        <f>Input_Raw[[#This Row],[66 kV_Wind_F1_Export_reading]]-Input_Raw[[#This Row],[66 kV_Wind_F1_Import_reading]]</f>
        <v>566550</v>
      </c>
      <c r="BM120" s="142">
        <f>Input_Raw[[#This Row],[WTG Total Gneration (KWh)]]-Input_Raw[[#This Row],[66 kV_Wind_F1_Export_reading]]</f>
        <v>14032</v>
      </c>
      <c r="BN120" s="111">
        <f>(Input_Raw[[#This Row],[WTG Total Gneration (KWh)]]-Input_Raw[[#This Row],[66 kV_Wind_F1_Export_reading]])/Input_Raw[[#This Row],[WTG Total Gneration (KWh)]]</f>
        <v>2.4168851256153309E-2</v>
      </c>
      <c r="BO120" s="89">
        <v>70.2</v>
      </c>
      <c r="BP120" s="99"/>
      <c r="BQ120" s="135">
        <v>605.37</v>
      </c>
      <c r="BR120" s="207"/>
    </row>
    <row r="121" spans="1:70">
      <c r="A121" s="240">
        <f t="shared" si="14"/>
        <v>45861</v>
      </c>
      <c r="B121" s="11">
        <f>YEAR(Input_Raw[[#This Row],[Date]])+IF(MONTH(Input_Raw[[#This Row],[Date]])&gt;=4,1,0)</f>
        <v>2026</v>
      </c>
      <c r="C121" s="11">
        <f>YEAR(Input_Raw[[#This Row],[Date]])</f>
        <v>2025</v>
      </c>
      <c r="D121" s="12">
        <f>A121-DAY(A121)+1</f>
        <v>45839</v>
      </c>
      <c r="E121" s="11">
        <f>DAY(EOMONTH(Input_Raw[[#This Row],[Date]],0))</f>
        <v>31</v>
      </c>
      <c r="F121" s="137">
        <v>35801</v>
      </c>
      <c r="G121" s="137">
        <v>39311</v>
      </c>
      <c r="H121" s="137">
        <v>36542</v>
      </c>
      <c r="I121" s="137">
        <v>33399</v>
      </c>
      <c r="J121" s="137">
        <v>37604</v>
      </c>
      <c r="K121" s="137">
        <v>38554</v>
      </c>
      <c r="L121" s="137">
        <v>35706</v>
      </c>
      <c r="M121" s="137">
        <v>36536</v>
      </c>
      <c r="N121" s="137">
        <v>36663</v>
      </c>
      <c r="O121" s="137">
        <v>36394</v>
      </c>
      <c r="P121" s="137">
        <v>34015</v>
      </c>
      <c r="Q121" s="137">
        <v>35166</v>
      </c>
      <c r="R121" s="137">
        <v>33050</v>
      </c>
      <c r="S121" s="137">
        <v>35124</v>
      </c>
      <c r="T121" s="137">
        <v>35185</v>
      </c>
      <c r="U121" s="137">
        <v>37507</v>
      </c>
      <c r="V121" s="137">
        <v>35958</v>
      </c>
      <c r="W121" s="137">
        <v>37918</v>
      </c>
      <c r="X121" s="137">
        <v>39019</v>
      </c>
      <c r="Y121" s="137">
        <v>34642</v>
      </c>
      <c r="Z121" s="137">
        <v>39991</v>
      </c>
      <c r="AA121" s="137">
        <v>33354</v>
      </c>
      <c r="AB121" s="137">
        <v>36066</v>
      </c>
      <c r="AC121" s="13">
        <v>37090</v>
      </c>
      <c r="AD121" s="13">
        <v>39791</v>
      </c>
      <c r="AE121" s="13">
        <v>37365</v>
      </c>
      <c r="AF121" s="138">
        <v>7.7868750128481095</v>
      </c>
      <c r="AG121" s="138">
        <v>7.9906944202052159</v>
      </c>
      <c r="AH121" s="138">
        <v>7.6745139128631985</v>
      </c>
      <c r="AI121" s="138">
        <v>7.5299305518468209</v>
      </c>
      <c r="AJ121" s="138">
        <v>7.9066666629579299</v>
      </c>
      <c r="AK121" s="138">
        <v>8.1054166389836197</v>
      </c>
      <c r="AL121" s="138">
        <v>7.6422916584544662</v>
      </c>
      <c r="AM121" s="138">
        <v>7.6576388941870768</v>
      </c>
      <c r="AN121" s="138">
        <v>7.8376388616032004</v>
      </c>
      <c r="AO121" s="138">
        <v>7.6897916793823224</v>
      </c>
      <c r="AP121" s="138">
        <v>7.6174999972184469</v>
      </c>
      <c r="AQ121" s="138">
        <v>8.2390277849303306</v>
      </c>
      <c r="AR121" s="138">
        <v>7.4530555374092495</v>
      </c>
      <c r="AS121" s="138">
        <v>7.618819448682995</v>
      </c>
      <c r="AT121" s="138">
        <v>7.5777083469761726</v>
      </c>
      <c r="AU121" s="138">
        <v>7.7679166628254768</v>
      </c>
      <c r="AV121" s="138">
        <v>7.9297221899032557</v>
      </c>
      <c r="AW121" s="138">
        <v>7.8597916596465609</v>
      </c>
      <c r="AX121" s="138">
        <v>7.9418750140402006</v>
      </c>
      <c r="AY121" s="138">
        <v>7.6383333570427334</v>
      </c>
      <c r="AZ121" s="138">
        <v>8.0268055796623194</v>
      </c>
      <c r="BA121" s="138">
        <v>7.5172222091091987</v>
      </c>
      <c r="BB121" s="138">
        <v>7.6935416559378274</v>
      </c>
      <c r="BC121" s="14">
        <v>7.743194441000619</v>
      </c>
      <c r="BD121" s="14">
        <v>7.9323611325687766</v>
      </c>
      <c r="BE121" s="14">
        <v>7.8806249929798931</v>
      </c>
      <c r="BF121" s="139">
        <f>SUM(Input_Raw[[#This Row],[O2_01]:[O2_26]])</f>
        <v>947751</v>
      </c>
      <c r="BG121" s="140">
        <f>IFERROR(AVERAGE(Input_Raw[[#This Row],[WS_O2_01]:[WS_O2_26]]),"")</f>
        <v>7.7791907039717696</v>
      </c>
      <c r="BH121" s="141"/>
      <c r="BI121" s="141"/>
      <c r="BJ121" s="13">
        <v>921150</v>
      </c>
      <c r="BK121" s="13">
        <v>0</v>
      </c>
      <c r="BL121" s="15">
        <f>Input_Raw[[#This Row],[66 kV_Wind_F1_Export_reading]]-Input_Raw[[#This Row],[66 kV_Wind_F1_Import_reading]]</f>
        <v>921150</v>
      </c>
      <c r="BM121" s="142">
        <f>Input_Raw[[#This Row],[WTG Total Gneration (KWh)]]-Input_Raw[[#This Row],[66 kV_Wind_F1_Export_reading]]</f>
        <v>26601</v>
      </c>
      <c r="BN121" s="111">
        <f>(Input_Raw[[#This Row],[WTG Total Gneration (KWh)]]-Input_Raw[[#This Row],[66 kV_Wind_F1_Export_reading]])/Input_Raw[[#This Row],[WTG Total Gneration (KWh)]]</f>
        <v>2.806749874175812E-2</v>
      </c>
      <c r="BO121" s="89">
        <v>70.2</v>
      </c>
      <c r="BP121" s="99"/>
      <c r="BQ121" s="135">
        <v>986.77</v>
      </c>
      <c r="BR121" s="207"/>
    </row>
  </sheetData>
  <phoneticPr fontId="10" type="noConversion"/>
  <pageMargins left="0.7" right="0.7" top="0.75" bottom="0.75" header="0.3" footer="0.3"/>
  <pageSetup paperSize="9" orientation="portrait" r:id="rId1"/>
  <ignoredErrors>
    <ignoredError sqref="BO5:BO97 BO118:BO121 BO98:BO117" calculatedColumn="1"/>
  </ignoredErrors>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0B377-BB6B-4845-A2E6-7EBE00268757}">
  <sheetPr>
    <tabColor rgb="FF92D050"/>
  </sheetPr>
  <dimension ref="A1:AD1606"/>
  <sheetViews>
    <sheetView zoomScale="80" workbookViewId="0">
      <pane xSplit="7" ySplit="1" topLeftCell="H1600" activePane="bottomRight" state="frozen"/>
      <selection pane="topRight" activeCell="H1" sqref="H1"/>
      <selection pane="bottomLeft" activeCell="A2" sqref="A2"/>
      <selection pane="bottomRight" activeCell="F1602" sqref="F1602"/>
    </sheetView>
  </sheetViews>
  <sheetFormatPr defaultRowHeight="14.5"/>
  <cols>
    <col min="2" max="2" width="10.08984375" customWidth="1"/>
    <col min="3" max="3" width="10.453125" customWidth="1"/>
    <col min="4" max="4" width="12.453125" customWidth="1"/>
    <col min="5" max="5" width="10.54296875" customWidth="1"/>
    <col min="6" max="6" width="12" customWidth="1"/>
    <col min="7" max="7" width="12.453125" customWidth="1"/>
    <col min="8" max="8" width="11.54296875" customWidth="1"/>
    <col min="9" max="9" width="9.54296875" customWidth="1"/>
    <col min="10" max="10" width="11.453125" customWidth="1"/>
    <col min="11" max="11" width="10.08984375" customWidth="1"/>
    <col min="12" max="12" width="29.54296875" bestFit="1" customWidth="1"/>
    <col min="13" max="13" width="19.54296875" customWidth="1"/>
    <col min="14" max="14" width="5.453125" customWidth="1"/>
    <col min="15" max="15" width="13.453125" customWidth="1"/>
    <col min="16" max="16" width="10.90625" customWidth="1"/>
    <col min="17" max="17" width="13.54296875" customWidth="1"/>
    <col min="18" max="18" width="13.08984375" customWidth="1"/>
    <col min="19" max="19" width="13.54296875" customWidth="1"/>
    <col min="20" max="20" width="14.453125" customWidth="1"/>
    <col min="21" max="21" width="58.54296875" customWidth="1"/>
    <col min="23" max="23" width="22.90625" customWidth="1"/>
    <col min="24" max="24" width="28.54296875" bestFit="1" customWidth="1"/>
    <col min="25" max="25" width="25" customWidth="1"/>
    <col min="26" max="26" width="31.90625" customWidth="1"/>
    <col min="27" max="27" width="22.54296875" customWidth="1"/>
    <col min="28" max="28" width="13.90625" customWidth="1"/>
    <col min="29" max="29" width="8.54296875" customWidth="1"/>
    <col min="30" max="30" width="13.453125" customWidth="1"/>
  </cols>
  <sheetData>
    <row r="1" spans="1:30" s="35" customFormat="1" ht="44.15" customHeight="1">
      <c r="A1" s="464" t="s">
        <v>7</v>
      </c>
      <c r="B1" s="464" t="s">
        <v>3</v>
      </c>
      <c r="C1" s="464" t="s">
        <v>129</v>
      </c>
      <c r="D1" s="464" t="s">
        <v>266</v>
      </c>
      <c r="E1" s="464" t="s">
        <v>169</v>
      </c>
      <c r="F1" s="465" t="s">
        <v>128</v>
      </c>
      <c r="G1" s="464" t="s">
        <v>267</v>
      </c>
      <c r="H1" s="464" t="s">
        <v>268</v>
      </c>
      <c r="I1" s="464" t="s">
        <v>501</v>
      </c>
      <c r="J1" s="464" t="s">
        <v>270</v>
      </c>
      <c r="K1" s="464" t="s">
        <v>271</v>
      </c>
      <c r="L1" s="464" t="s">
        <v>272</v>
      </c>
      <c r="M1" s="464" t="s">
        <v>273</v>
      </c>
      <c r="N1" s="464" t="s">
        <v>1988</v>
      </c>
      <c r="O1" s="464" t="s">
        <v>274</v>
      </c>
      <c r="P1" s="464" t="s">
        <v>275</v>
      </c>
      <c r="Q1" s="464" t="s">
        <v>276</v>
      </c>
      <c r="R1" s="464" t="s">
        <v>277</v>
      </c>
      <c r="S1" s="464" t="s">
        <v>278</v>
      </c>
      <c r="T1" s="464" t="s">
        <v>279</v>
      </c>
      <c r="U1" s="464" t="s">
        <v>280</v>
      </c>
      <c r="V1" s="464" t="s">
        <v>281</v>
      </c>
      <c r="W1" s="466" t="s">
        <v>282</v>
      </c>
      <c r="X1" s="466" t="s">
        <v>284</v>
      </c>
      <c r="Y1" s="464" t="s">
        <v>283</v>
      </c>
      <c r="Z1" s="467" t="s">
        <v>1989</v>
      </c>
      <c r="AA1" s="467" t="s">
        <v>1990</v>
      </c>
      <c r="AB1" s="467" t="s">
        <v>1991</v>
      </c>
      <c r="AC1" s="467" t="s">
        <v>285</v>
      </c>
      <c r="AD1" s="35" t="s">
        <v>286</v>
      </c>
    </row>
    <row r="2" spans="1:30">
      <c r="A2" s="102">
        <v>1</v>
      </c>
      <c r="B2" s="468">
        <f>YEAR(Table6[[#This Row],[Date]])+IF(MONTH(Table6[[#This Row],[Date]])&gt;=4,1,0)</f>
        <v>2026</v>
      </c>
      <c r="C2" s="102">
        <f>YEAR(Table6[[#This Row],[Date]])</f>
        <v>2025</v>
      </c>
      <c r="D2" s="102" t="s">
        <v>1992</v>
      </c>
      <c r="E2" s="469">
        <f>Table6[[#This Row],[Date]]-DAY(Table6[[#This Row],[Date]])+1</f>
        <v>45748</v>
      </c>
      <c r="F2" s="470">
        <v>45748</v>
      </c>
      <c r="G2" s="35" t="s">
        <v>75</v>
      </c>
      <c r="H2" s="35" t="str">
        <f>IFERROR(_xlfn.XLOOKUP(Table6[[#This Row],[Affected WTG]],'Basic Data'!$A:$A,'Basic Data'!$B:$B),"")</f>
        <v>TQGXIIPL</v>
      </c>
      <c r="I2" s="35" t="str">
        <f>IFERROR(_xlfn.XLOOKUP(Table6[[#This Row],[Affected WTG]],'Basic Data'!$A:$A,'Basic Data'!$C:$C),"")</f>
        <v>GEDA</v>
      </c>
      <c r="J2" s="471">
        <f>IFERROR(_xlfn.XLOOKUP(Table6[[#This Row],[Affected WTG]],'Basic Data'!$A:$A,'Basic Data'!$E:$E),"")</f>
        <v>3.846153846153845E-2</v>
      </c>
      <c r="K2" s="102">
        <v>6130</v>
      </c>
      <c r="L2" s="35" t="str">
        <f>IFERROR(_xlfn.XLOOKUP(Table6[[#This Row],[Error Code]],'Basic Data'!$AA:$AA,'Basic Data'!$AB:$AB),"Incorrect Error Code")</f>
        <v>Yaw speed high</v>
      </c>
      <c r="M2" s="35" t="s">
        <v>291</v>
      </c>
      <c r="N2" s="475"/>
      <c r="O2" s="476">
        <v>0.22013888888888888</v>
      </c>
      <c r="P2" s="476">
        <v>0.22013888888888888</v>
      </c>
      <c r="Q2" s="477">
        <v>0.22291666666666668</v>
      </c>
      <c r="R2" s="472">
        <f>IF(Table6[[#This Row],[Work Start TimeStamp]]="","",(Table6[[#This Row],[Work Start TimeStamp]]-Table6[[#This Row],[Fault Start TimeStamp]])*24)</f>
        <v>0</v>
      </c>
      <c r="S2" s="472">
        <f>(Table6[[#This Row],[Fault Clearance time]]-Table6[[#This Row],[Work Start TimeStamp]])*24</f>
        <v>6.6666666666667096E-2</v>
      </c>
      <c r="T2" s="472">
        <f>(Table6[[#This Row],[Fault Clearance time]]-Table6[[#This Row],[Fault Start TimeStamp]])*24</f>
        <v>6.6666666666667096E-2</v>
      </c>
      <c r="U2" s="35" t="s">
        <v>349</v>
      </c>
      <c r="V2" s="102" t="s">
        <v>293</v>
      </c>
      <c r="W2" s="478">
        <f>IFERROR(Table6[[#This Row],[Breakdown Time]]*Table6[[#This Row],[Plant Equivalent Weightage]],"")</f>
        <v>2.5641025641025797E-3</v>
      </c>
      <c r="X2" s="473" t="s">
        <v>294</v>
      </c>
      <c r="Y2" s="474" t="s">
        <v>78</v>
      </c>
      <c r="Z2" s="102">
        <v>24626</v>
      </c>
      <c r="AA2" s="468">
        <f>(Table6[[#This Row],[Paired WTG Generation for loss calculation]]/24)*Table6[[#This Row],[Breakdown Time]]</f>
        <v>68.405555555555992</v>
      </c>
      <c r="AB2" s="102"/>
      <c r="AC2" s="35"/>
      <c r="AD2" s="35"/>
    </row>
    <row r="3" spans="1:30">
      <c r="A3" s="102">
        <f t="shared" ref="A3:A12" si="0">A2+1</f>
        <v>2</v>
      </c>
      <c r="B3" s="468">
        <f>YEAR(Table6[[#This Row],[Date]])+IF(MONTH(Table6[[#This Row],[Date]])&gt;=4,1,0)</f>
        <v>2026</v>
      </c>
      <c r="C3" s="102">
        <f>YEAR(Table6[[#This Row],[Date]])</f>
        <v>2025</v>
      </c>
      <c r="D3" s="102" t="s">
        <v>1992</v>
      </c>
      <c r="E3" s="469">
        <f>Table6[[#This Row],[Date]]-DAY(Table6[[#This Row],[Date]])+1</f>
        <v>45748</v>
      </c>
      <c r="F3" s="470">
        <v>45748</v>
      </c>
      <c r="G3" s="35" t="s">
        <v>75</v>
      </c>
      <c r="H3" s="35" t="str">
        <f>IFERROR(_xlfn.XLOOKUP(Table6[[#This Row],[Affected WTG]],'Basic Data'!$A:$A,'Basic Data'!$B:$B),"")</f>
        <v>TQGXIIPL</v>
      </c>
      <c r="I3" s="35" t="str">
        <f>IFERROR(_xlfn.XLOOKUP(Table6[[#This Row],[Affected WTG]],'Basic Data'!$A:$A,'Basic Data'!$C:$C),"")</f>
        <v>GEDA</v>
      </c>
      <c r="J3" s="471">
        <f>IFERROR(_xlfn.XLOOKUP(Table6[[#This Row],[Affected WTG]],'Basic Data'!$A:$A,'Basic Data'!$E:$E),"")</f>
        <v>3.846153846153845E-2</v>
      </c>
      <c r="K3" s="102">
        <v>6130</v>
      </c>
      <c r="L3" s="35" t="str">
        <f>IFERROR(_xlfn.XLOOKUP(Table6[[#This Row],[Error Code]],'Basic Data'!$AA:$AA,'Basic Data'!$AB:$AB),"Incorrect Error Code")</f>
        <v>Yaw speed high</v>
      </c>
      <c r="M3" s="35" t="s">
        <v>291</v>
      </c>
      <c r="N3" s="475"/>
      <c r="O3" s="476">
        <v>0.77916666666666667</v>
      </c>
      <c r="P3" s="476">
        <v>0.77916666666666667</v>
      </c>
      <c r="Q3" s="477">
        <v>0.78749999999999998</v>
      </c>
      <c r="R3" s="472">
        <f>IF(Table6[[#This Row],[Work Start TimeStamp]]="","",(Table6[[#This Row],[Work Start TimeStamp]]-Table6[[#This Row],[Fault Start TimeStamp]])*24)</f>
        <v>0</v>
      </c>
      <c r="S3" s="472">
        <f>(Table6[[#This Row],[Fault Clearance time]]-Table6[[#This Row],[Work Start TimeStamp]])*24</f>
        <v>0.19999999999999929</v>
      </c>
      <c r="T3" s="472">
        <f>(Table6[[#This Row],[Fault Clearance time]]-Table6[[#This Row],[Fault Start TimeStamp]])*24</f>
        <v>0.19999999999999929</v>
      </c>
      <c r="U3" s="35" t="s">
        <v>349</v>
      </c>
      <c r="V3" s="102" t="s">
        <v>293</v>
      </c>
      <c r="W3" s="478">
        <f>IFERROR(Table6[[#This Row],[Breakdown Time]]*Table6[[#This Row],[Plant Equivalent Weightage]],"")</f>
        <v>7.6923076923076624E-3</v>
      </c>
      <c r="X3" s="473" t="s">
        <v>294</v>
      </c>
      <c r="Y3" s="474" t="s">
        <v>78</v>
      </c>
      <c r="Z3" s="102">
        <v>24626</v>
      </c>
      <c r="AA3" s="468">
        <f>(Table6[[#This Row],[Paired WTG Generation for loss calculation]]/24)*Table6[[#This Row],[Breakdown Time]]</f>
        <v>205.21666666666593</v>
      </c>
      <c r="AB3" s="102"/>
      <c r="AC3" s="35"/>
      <c r="AD3" s="35"/>
    </row>
    <row r="4" spans="1:30">
      <c r="A4" s="102">
        <f t="shared" si="0"/>
        <v>3</v>
      </c>
      <c r="B4" s="468">
        <f>YEAR(Table6[[#This Row],[Date]])+IF(MONTH(Table6[[#This Row],[Date]])&gt;=4,1,0)</f>
        <v>2026</v>
      </c>
      <c r="C4" s="102">
        <f>YEAR(Table6[[#This Row],[Date]])</f>
        <v>2025</v>
      </c>
      <c r="D4" s="102" t="s">
        <v>1992</v>
      </c>
      <c r="E4" s="469">
        <f>Table6[[#This Row],[Date]]-DAY(Table6[[#This Row],[Date]])+1</f>
        <v>45748</v>
      </c>
      <c r="F4" s="470">
        <v>45748</v>
      </c>
      <c r="G4" s="35" t="s">
        <v>77</v>
      </c>
      <c r="H4" s="35" t="str">
        <f>IFERROR(_xlfn.XLOOKUP(Table6[[#This Row],[Affected WTG]],'Basic Data'!$A:$A,'Basic Data'!$B:$B),"")</f>
        <v>TQGXIIPL</v>
      </c>
      <c r="I4" s="35" t="str">
        <f>IFERROR(_xlfn.XLOOKUP(Table6[[#This Row],[Affected WTG]],'Basic Data'!$A:$A,'Basic Data'!$C:$C),"")</f>
        <v>GEDA</v>
      </c>
      <c r="J4" s="471">
        <f>IFERROR(_xlfn.XLOOKUP(Table6[[#This Row],[Affected WTG]],'Basic Data'!$A:$A,'Basic Data'!$E:$E),"")</f>
        <v>3.846153846153845E-2</v>
      </c>
      <c r="K4" s="102">
        <v>6007</v>
      </c>
      <c r="L4" s="35" t="str">
        <f>IFERROR(_xlfn.XLOOKUP(Table6[[#This Row],[Error Code]],'Basic Data'!$AA:$AA,'Basic Data'!$AB:$AB),"Incorrect Error Code")</f>
        <v>Overload yaw motors group 1</v>
      </c>
      <c r="M4" s="35" t="s">
        <v>291</v>
      </c>
      <c r="N4" s="475"/>
      <c r="O4" s="476">
        <v>0.59583333333333333</v>
      </c>
      <c r="P4" s="476">
        <v>0.59583333333333333</v>
      </c>
      <c r="Q4" s="477">
        <v>0.60555555555555551</v>
      </c>
      <c r="R4" s="472">
        <f>IF(Table6[[#This Row],[Work Start TimeStamp]]="","",(Table6[[#This Row],[Work Start TimeStamp]]-Table6[[#This Row],[Fault Start TimeStamp]])*24)</f>
        <v>0</v>
      </c>
      <c r="S4" s="472">
        <f>(Table6[[#This Row],[Fault Clearance time]]-Table6[[#This Row],[Work Start TimeStamp]])*24</f>
        <v>0.2333333333333325</v>
      </c>
      <c r="T4" s="472">
        <f>(Table6[[#This Row],[Fault Clearance time]]-Table6[[#This Row],[Fault Start TimeStamp]])*24</f>
        <v>0.2333333333333325</v>
      </c>
      <c r="U4" s="35" t="s">
        <v>349</v>
      </c>
      <c r="V4" s="102" t="s">
        <v>293</v>
      </c>
      <c r="W4" s="478">
        <f>IFERROR(Table6[[#This Row],[Breakdown Time]]*Table6[[#This Row],[Plant Equivalent Weightage]],"")</f>
        <v>8.974358974358939E-3</v>
      </c>
      <c r="X4" s="473" t="s">
        <v>294</v>
      </c>
      <c r="Y4" s="474" t="s">
        <v>80</v>
      </c>
      <c r="Z4" s="102">
        <v>16286</v>
      </c>
      <c r="AA4" s="468">
        <f>(Table6[[#This Row],[Paired WTG Generation for loss calculation]]/24)*Table6[[#This Row],[Breakdown Time]]</f>
        <v>158.33611111111057</v>
      </c>
      <c r="AB4" s="102"/>
      <c r="AC4" s="35"/>
      <c r="AD4" s="35"/>
    </row>
    <row r="5" spans="1:30">
      <c r="A5" s="102">
        <f t="shared" si="0"/>
        <v>4</v>
      </c>
      <c r="B5" s="468">
        <f>YEAR(Table6[[#This Row],[Date]])+IF(MONTH(Table6[[#This Row],[Date]])&gt;=4,1,0)</f>
        <v>2026</v>
      </c>
      <c r="C5" s="102">
        <f>YEAR(Table6[[#This Row],[Date]])</f>
        <v>2025</v>
      </c>
      <c r="D5" s="102" t="s">
        <v>1992</v>
      </c>
      <c r="E5" s="469">
        <f>Table6[[#This Row],[Date]]-DAY(Table6[[#This Row],[Date]])+1</f>
        <v>45748</v>
      </c>
      <c r="F5" s="470">
        <v>45748</v>
      </c>
      <c r="G5" s="35" t="s">
        <v>77</v>
      </c>
      <c r="H5" s="35" t="str">
        <f>IFERROR(_xlfn.XLOOKUP(Table6[[#This Row],[Affected WTG]],'Basic Data'!$A:$A,'Basic Data'!$B:$B),"")</f>
        <v>TQGXIIPL</v>
      </c>
      <c r="I5" s="35" t="str">
        <f>IFERROR(_xlfn.XLOOKUP(Table6[[#This Row],[Affected WTG]],'Basic Data'!$A:$A,'Basic Data'!$C:$C),"")</f>
        <v>GEDA</v>
      </c>
      <c r="J5" s="471">
        <f>IFERROR(_xlfn.XLOOKUP(Table6[[#This Row],[Affected WTG]],'Basic Data'!$A:$A,'Basic Data'!$E:$E),"")</f>
        <v>3.846153846153845E-2</v>
      </c>
      <c r="K5" s="102">
        <v>6007</v>
      </c>
      <c r="L5" s="35" t="str">
        <f>IFERROR(_xlfn.XLOOKUP(Table6[[#This Row],[Error Code]],'Basic Data'!$AA:$AA,'Basic Data'!$AB:$AB),"Incorrect Error Code")</f>
        <v>Overload yaw motors group 1</v>
      </c>
      <c r="M5" s="35" t="s">
        <v>291</v>
      </c>
      <c r="N5" s="475"/>
      <c r="O5" s="476">
        <v>0.64236111111111116</v>
      </c>
      <c r="P5" s="476">
        <v>0.64583333333333337</v>
      </c>
      <c r="Q5" s="477">
        <v>0.66041666666666665</v>
      </c>
      <c r="R5" s="472">
        <f>IF(Table6[[#This Row],[Work Start TimeStamp]]="","",(Table6[[#This Row],[Work Start TimeStamp]]-Table6[[#This Row],[Fault Start TimeStamp]])*24)</f>
        <v>8.3333333333333037E-2</v>
      </c>
      <c r="S5" s="472">
        <f>(Table6[[#This Row],[Fault Clearance time]]-Table6[[#This Row],[Work Start TimeStamp]])*24</f>
        <v>0.34999999999999876</v>
      </c>
      <c r="T5" s="472">
        <f>(Table6[[#This Row],[Fault Clearance time]]-Table6[[#This Row],[Fault Start TimeStamp]])*24</f>
        <v>0.43333333333333179</v>
      </c>
      <c r="U5" s="35" t="s">
        <v>350</v>
      </c>
      <c r="V5" s="102" t="s">
        <v>293</v>
      </c>
      <c r="W5" s="478">
        <f>IFERROR(Table6[[#This Row],[Breakdown Time]]*Table6[[#This Row],[Plant Equivalent Weightage]],"")</f>
        <v>1.6666666666666604E-2</v>
      </c>
      <c r="X5" s="473" t="s">
        <v>294</v>
      </c>
      <c r="Y5" s="474" t="s">
        <v>80</v>
      </c>
      <c r="Z5" s="102">
        <v>16286</v>
      </c>
      <c r="AA5" s="468">
        <f>(Table6[[#This Row],[Paired WTG Generation for loss calculation]]/24)*Table6[[#This Row],[Breakdown Time]]</f>
        <v>294.05277777777673</v>
      </c>
      <c r="AB5" s="102"/>
      <c r="AC5" s="35"/>
      <c r="AD5" s="35"/>
    </row>
    <row r="6" spans="1:30">
      <c r="A6" s="102">
        <f t="shared" si="0"/>
        <v>5</v>
      </c>
      <c r="B6" s="468">
        <f>YEAR(Table6[[#This Row],[Date]])+IF(MONTH(Table6[[#This Row],[Date]])&gt;=4,1,0)</f>
        <v>2026</v>
      </c>
      <c r="C6" s="102">
        <f>YEAR(Table6[[#This Row],[Date]])</f>
        <v>2025</v>
      </c>
      <c r="D6" s="102" t="s">
        <v>1992</v>
      </c>
      <c r="E6" s="469">
        <f>Table6[[#This Row],[Date]]-DAY(Table6[[#This Row],[Date]])+1</f>
        <v>45748</v>
      </c>
      <c r="F6" s="470">
        <v>45748</v>
      </c>
      <c r="G6" s="35" t="s">
        <v>83</v>
      </c>
      <c r="H6" s="35" t="str">
        <f>IFERROR(_xlfn.XLOOKUP(Table6[[#This Row],[Affected WTG]],'Basic Data'!$A:$A,'Basic Data'!$B:$B),"")</f>
        <v>TQGXIIPL</v>
      </c>
      <c r="I6" s="35" t="str">
        <f>IFERROR(_xlfn.XLOOKUP(Table6[[#This Row],[Affected WTG]],'Basic Data'!$A:$A,'Basic Data'!$C:$C),"")</f>
        <v>GEDA</v>
      </c>
      <c r="J6" s="471">
        <f>IFERROR(_xlfn.XLOOKUP(Table6[[#This Row],[Affected WTG]],'Basic Data'!$A:$A,'Basic Data'!$E:$E),"")</f>
        <v>3.846153846153845E-2</v>
      </c>
      <c r="K6" s="102">
        <v>55</v>
      </c>
      <c r="L6" s="35" t="str">
        <f>IFERROR(_xlfn.XLOOKUP(Table6[[#This Row],[Error Code]],'Basic Data'!$AA:$AA,'Basic Data'!$AB:$AB),"Incorrect Error Code")</f>
        <v>WTG shut down</v>
      </c>
      <c r="M6" s="35" t="s">
        <v>304</v>
      </c>
      <c r="N6" s="475"/>
      <c r="O6" s="476">
        <v>0.39097222222222222</v>
      </c>
      <c r="P6" s="476">
        <v>0.39097222222222222</v>
      </c>
      <c r="Q6" s="477">
        <v>0.75</v>
      </c>
      <c r="R6" s="472">
        <f>IF(Table6[[#This Row],[Work Start TimeStamp]]="","",(Table6[[#This Row],[Work Start TimeStamp]]-Table6[[#This Row],[Fault Start TimeStamp]])*24)</f>
        <v>0</v>
      </c>
      <c r="S6" s="472">
        <f>(Table6[[#This Row],[Fault Clearance time]]-Table6[[#This Row],[Work Start TimeStamp]])*24</f>
        <v>8.6166666666666671</v>
      </c>
      <c r="T6" s="472">
        <f>(Table6[[#This Row],[Fault Clearance time]]-Table6[[#This Row],[Fault Start TimeStamp]])*24</f>
        <v>8.6166666666666671</v>
      </c>
      <c r="U6" s="35" t="s">
        <v>351</v>
      </c>
      <c r="V6" s="102" t="s">
        <v>293</v>
      </c>
      <c r="W6" s="478">
        <f>IFERROR(Table6[[#This Row],[Breakdown Time]]*Table6[[#This Row],[Plant Equivalent Weightage]],"")</f>
        <v>0.33141025641025634</v>
      </c>
      <c r="X6" s="473" t="s">
        <v>305</v>
      </c>
      <c r="Y6" s="474" t="s">
        <v>88</v>
      </c>
      <c r="Z6" s="102">
        <v>23343</v>
      </c>
      <c r="AA6" s="468">
        <f>(Table6[[#This Row],[Paired WTG Generation for loss calculation]]/24)*Table6[[#This Row],[Breakdown Time]]</f>
        <v>8380.7854166666675</v>
      </c>
      <c r="AB6" s="102"/>
      <c r="AC6" s="35"/>
      <c r="AD6" s="35"/>
    </row>
    <row r="7" spans="1:30">
      <c r="A7" s="102">
        <f t="shared" si="0"/>
        <v>6</v>
      </c>
      <c r="B7" s="468">
        <f>YEAR(Table6[[#This Row],[Date]])+IF(MONTH(Table6[[#This Row],[Date]])&gt;=4,1,0)</f>
        <v>2026</v>
      </c>
      <c r="C7" s="102">
        <f>YEAR(Table6[[#This Row],[Date]])</f>
        <v>2025</v>
      </c>
      <c r="D7" s="102" t="s">
        <v>1992</v>
      </c>
      <c r="E7" s="469">
        <f>Table6[[#This Row],[Date]]-DAY(Table6[[#This Row],[Date]])+1</f>
        <v>45748</v>
      </c>
      <c r="F7" s="470">
        <v>45748</v>
      </c>
      <c r="G7" s="35" t="s">
        <v>86</v>
      </c>
      <c r="H7" s="35" t="str">
        <f>IFERROR(_xlfn.XLOOKUP(Table6[[#This Row],[Affected WTG]],'Basic Data'!$A:$A,'Basic Data'!$B:$B),"")</f>
        <v>TQGXIIPL</v>
      </c>
      <c r="I7" s="35" t="str">
        <f>IFERROR(_xlfn.XLOOKUP(Table6[[#This Row],[Affected WTG]],'Basic Data'!$A:$A,'Basic Data'!$C:$C),"")</f>
        <v>GEDA</v>
      </c>
      <c r="J7" s="471">
        <f>IFERROR(_xlfn.XLOOKUP(Table6[[#This Row],[Affected WTG]],'Basic Data'!$A:$A,'Basic Data'!$E:$E),"")</f>
        <v>3.846153846153845E-2</v>
      </c>
      <c r="K7" s="102">
        <v>6130</v>
      </c>
      <c r="L7" s="35" t="str">
        <f>IFERROR(_xlfn.XLOOKUP(Table6[[#This Row],[Error Code]],'Basic Data'!$AA:$AA,'Basic Data'!$AB:$AB),"Incorrect Error Code")</f>
        <v>Yaw speed high</v>
      </c>
      <c r="M7" s="35" t="s">
        <v>291</v>
      </c>
      <c r="N7" s="475"/>
      <c r="O7" s="476">
        <v>0.2951388888888889</v>
      </c>
      <c r="P7" s="476">
        <v>0.2951388888888889</v>
      </c>
      <c r="Q7" s="477">
        <v>0.29652777777777778</v>
      </c>
      <c r="R7" s="472">
        <f>IF(Table6[[#This Row],[Work Start TimeStamp]]="","",(Table6[[#This Row],[Work Start TimeStamp]]-Table6[[#This Row],[Fault Start TimeStamp]])*24)</f>
        <v>0</v>
      </c>
      <c r="S7" s="472">
        <f>(Table6[[#This Row],[Fault Clearance time]]-Table6[[#This Row],[Work Start TimeStamp]])*24</f>
        <v>3.3333333333333215E-2</v>
      </c>
      <c r="T7" s="472">
        <f>(Table6[[#This Row],[Fault Clearance time]]-Table6[[#This Row],[Fault Start TimeStamp]])*24</f>
        <v>3.3333333333333215E-2</v>
      </c>
      <c r="U7" s="35" t="s">
        <v>349</v>
      </c>
      <c r="V7" s="102" t="s">
        <v>293</v>
      </c>
      <c r="W7" s="478">
        <f>IFERROR(Table6[[#This Row],[Breakdown Time]]*Table6[[#This Row],[Plant Equivalent Weightage]],"")</f>
        <v>1.2820512820512771E-3</v>
      </c>
      <c r="X7" s="473" t="s">
        <v>294</v>
      </c>
      <c r="Y7" s="474" t="s">
        <v>84</v>
      </c>
      <c r="Z7" s="102">
        <v>21579</v>
      </c>
      <c r="AA7" s="468">
        <f>(Table6[[#This Row],[Paired WTG Generation for loss calculation]]/24)*Table6[[#This Row],[Breakdown Time]]</f>
        <v>29.970833333333228</v>
      </c>
      <c r="AB7" s="102"/>
      <c r="AC7" s="35"/>
      <c r="AD7" s="35"/>
    </row>
    <row r="8" spans="1:30">
      <c r="A8" s="102">
        <f t="shared" si="0"/>
        <v>7</v>
      </c>
      <c r="B8" s="468">
        <f>YEAR(Table6[[#This Row],[Date]])+IF(MONTH(Table6[[#This Row],[Date]])&gt;=4,1,0)</f>
        <v>2026</v>
      </c>
      <c r="C8" s="102">
        <f>YEAR(Table6[[#This Row],[Date]])</f>
        <v>2025</v>
      </c>
      <c r="D8" s="102" t="s">
        <v>1992</v>
      </c>
      <c r="E8" s="469">
        <f>Table6[[#This Row],[Date]]-DAY(Table6[[#This Row],[Date]])+1</f>
        <v>45748</v>
      </c>
      <c r="F8" s="470">
        <v>45748</v>
      </c>
      <c r="G8" s="35" t="s">
        <v>91</v>
      </c>
      <c r="H8" s="35" t="str">
        <f>IFERROR(_xlfn.XLOOKUP(Table6[[#This Row],[Affected WTG]],'Basic Data'!$A:$A,'Basic Data'!$B:$B),"")</f>
        <v>TQGXIIPL</v>
      </c>
      <c r="I8" s="35" t="str">
        <f>IFERROR(_xlfn.XLOOKUP(Table6[[#This Row],[Affected WTG]],'Basic Data'!$A:$A,'Basic Data'!$C:$C),"")</f>
        <v>GEDA</v>
      </c>
      <c r="J8" s="471">
        <f>IFERROR(_xlfn.XLOOKUP(Table6[[#This Row],[Affected WTG]],'Basic Data'!$A:$A,'Basic Data'!$E:$E),"")</f>
        <v>3.846153846153845E-2</v>
      </c>
      <c r="K8" s="102">
        <v>3000</v>
      </c>
      <c r="L8" s="35" t="str">
        <f>IFERROR(_xlfn.XLOOKUP(Table6[[#This Row],[Error Code]],'Basic Data'!$AA:$AA,'Basic Data'!$AB:$AB),"Incorrect Error Code")</f>
        <v>Frequency converter not ready</v>
      </c>
      <c r="M8" s="35" t="s">
        <v>291</v>
      </c>
      <c r="N8" s="475"/>
      <c r="O8" s="476">
        <v>0.88194444444444442</v>
      </c>
      <c r="P8" s="476">
        <v>0.88194444444444442</v>
      </c>
      <c r="Q8" s="477">
        <v>0.8833333333333333</v>
      </c>
      <c r="R8" s="472">
        <f>IF(Table6[[#This Row],[Work Start TimeStamp]]="","",(Table6[[#This Row],[Work Start TimeStamp]]-Table6[[#This Row],[Fault Start TimeStamp]])*24)</f>
        <v>0</v>
      </c>
      <c r="S8" s="472">
        <f>(Table6[[#This Row],[Fault Clearance time]]-Table6[[#This Row],[Work Start TimeStamp]])*24</f>
        <v>3.3333333333333215E-2</v>
      </c>
      <c r="T8" s="472">
        <f>(Table6[[#This Row],[Fault Clearance time]]-Table6[[#This Row],[Fault Start TimeStamp]])*24</f>
        <v>3.3333333333333215E-2</v>
      </c>
      <c r="U8" s="35" t="s">
        <v>349</v>
      </c>
      <c r="V8" s="102" t="s">
        <v>293</v>
      </c>
      <c r="W8" s="478">
        <f>IFERROR(Table6[[#This Row],[Breakdown Time]]*Table6[[#This Row],[Plant Equivalent Weightage]],"")</f>
        <v>1.2820512820512771E-3</v>
      </c>
      <c r="X8" s="473" t="s">
        <v>294</v>
      </c>
      <c r="Y8" s="474" t="s">
        <v>79</v>
      </c>
      <c r="Z8" s="102">
        <v>19200</v>
      </c>
      <c r="AA8" s="468">
        <f>(Table6[[#This Row],[Paired WTG Generation for loss calculation]]/24)*Table6[[#This Row],[Breakdown Time]]</f>
        <v>26.666666666666572</v>
      </c>
      <c r="AB8" s="102"/>
      <c r="AC8" s="35"/>
      <c r="AD8" s="35"/>
    </row>
    <row r="9" spans="1:30">
      <c r="A9" s="102">
        <f t="shared" si="0"/>
        <v>8</v>
      </c>
      <c r="B9" s="468">
        <f>YEAR(Table6[[#This Row],[Date]])+IF(MONTH(Table6[[#This Row],[Date]])&gt;=4,1,0)</f>
        <v>2026</v>
      </c>
      <c r="C9" s="102">
        <f>YEAR(Table6[[#This Row],[Date]])</f>
        <v>2025</v>
      </c>
      <c r="D9" s="102" t="s">
        <v>1992</v>
      </c>
      <c r="E9" s="469">
        <f>Table6[[#This Row],[Date]]-DAY(Table6[[#This Row],[Date]])+1</f>
        <v>45748</v>
      </c>
      <c r="F9" s="470">
        <v>45749</v>
      </c>
      <c r="G9" s="35" t="s">
        <v>74</v>
      </c>
      <c r="H9" s="35" t="str">
        <f>IFERROR(_xlfn.XLOOKUP(Table6[[#This Row],[Affected WTG]],'Basic Data'!$A:$A,'Basic Data'!$B:$B),"")</f>
        <v>TQGXIIPL</v>
      </c>
      <c r="I9" s="35" t="str">
        <f>IFERROR(_xlfn.XLOOKUP(Table6[[#This Row],[Affected WTG]],'Basic Data'!$A:$A,'Basic Data'!$C:$C),"")</f>
        <v>GEDA</v>
      </c>
      <c r="J9" s="471">
        <f>IFERROR(_xlfn.XLOOKUP(Table6[[#This Row],[Affected WTG]],'Basic Data'!$A:$A,'Basic Data'!$E:$E),"")</f>
        <v>3.846153846153845E-2</v>
      </c>
      <c r="K9" s="102">
        <v>6130</v>
      </c>
      <c r="L9" s="35" t="str">
        <f>IFERROR(_xlfn.XLOOKUP(Table6[[#This Row],[Error Code]],'Basic Data'!$AA:$AA,'Basic Data'!$AB:$AB),"Incorrect Error Code")</f>
        <v>Yaw speed high</v>
      </c>
      <c r="M9" s="35" t="s">
        <v>291</v>
      </c>
      <c r="N9" s="475"/>
      <c r="O9" s="476">
        <v>0.50277777777777777</v>
      </c>
      <c r="P9" s="476">
        <v>0.50277777777777777</v>
      </c>
      <c r="Q9" s="477">
        <v>0.50694444444444442</v>
      </c>
      <c r="R9" s="472">
        <f>IF(Table6[[#This Row],[Work Start TimeStamp]]="","",(Table6[[#This Row],[Work Start TimeStamp]]-Table6[[#This Row],[Fault Start TimeStamp]])*24)</f>
        <v>0</v>
      </c>
      <c r="S9" s="472">
        <f>(Table6[[#This Row],[Fault Clearance time]]-Table6[[#This Row],[Work Start TimeStamp]])*24</f>
        <v>9.9999999999999645E-2</v>
      </c>
      <c r="T9" s="472">
        <f>(Table6[[#This Row],[Fault Clearance time]]-Table6[[#This Row],[Fault Start TimeStamp]])*24</f>
        <v>9.9999999999999645E-2</v>
      </c>
      <c r="U9" s="35" t="s">
        <v>352</v>
      </c>
      <c r="V9" s="102" t="s">
        <v>293</v>
      </c>
      <c r="W9" s="478">
        <f>IFERROR(Table6[[#This Row],[Breakdown Time]]*Table6[[#This Row],[Plant Equivalent Weightage]],"")</f>
        <v>3.8461538461538312E-3</v>
      </c>
      <c r="X9" s="473" t="s">
        <v>294</v>
      </c>
      <c r="Y9" s="474" t="s">
        <v>99</v>
      </c>
      <c r="Z9" s="102">
        <v>12678</v>
      </c>
      <c r="AA9" s="468">
        <f>(Table6[[#This Row],[Paired WTG Generation for loss calculation]]/24)*Table6[[#This Row],[Breakdown Time]]</f>
        <v>52.824999999999811</v>
      </c>
      <c r="AB9" s="102"/>
      <c r="AC9" s="35"/>
      <c r="AD9" s="35"/>
    </row>
    <row r="10" spans="1:30">
      <c r="A10" s="102">
        <f t="shared" si="0"/>
        <v>9</v>
      </c>
      <c r="B10" s="468">
        <f>YEAR(Table6[[#This Row],[Date]])+IF(MONTH(Table6[[#This Row],[Date]])&gt;=4,1,0)</f>
        <v>2026</v>
      </c>
      <c r="C10" s="102">
        <f>YEAR(Table6[[#This Row],[Date]])</f>
        <v>2025</v>
      </c>
      <c r="D10" s="102" t="s">
        <v>1992</v>
      </c>
      <c r="E10" s="469">
        <f>Table6[[#This Row],[Date]]-DAY(Table6[[#This Row],[Date]])+1</f>
        <v>45748</v>
      </c>
      <c r="F10" s="470">
        <v>45749</v>
      </c>
      <c r="G10" s="35" t="s">
        <v>75</v>
      </c>
      <c r="H10" s="35" t="str">
        <f>IFERROR(_xlfn.XLOOKUP(Table6[[#This Row],[Affected WTG]],'Basic Data'!$A:$A,'Basic Data'!$B:$B),"")</f>
        <v>TQGXIIPL</v>
      </c>
      <c r="I10" s="35" t="str">
        <f>IFERROR(_xlfn.XLOOKUP(Table6[[#This Row],[Affected WTG]],'Basic Data'!$A:$A,'Basic Data'!$C:$C),"")</f>
        <v>GEDA</v>
      </c>
      <c r="J10" s="471">
        <f>IFERROR(_xlfn.XLOOKUP(Table6[[#This Row],[Affected WTG]],'Basic Data'!$A:$A,'Basic Data'!$E:$E),"")</f>
        <v>3.846153846153845E-2</v>
      </c>
      <c r="K10" s="102">
        <v>3110</v>
      </c>
      <c r="L10" s="35" t="str">
        <f>IFERROR(_xlfn.XLOOKUP(Table6[[#This Row],[Error Code]],'Basic Data'!$AA:$AA,'Basic Data'!$AB:$AB),"Incorrect Error Code")</f>
        <v>Frequency converter error</v>
      </c>
      <c r="M10" s="35" t="s">
        <v>291</v>
      </c>
      <c r="N10" s="475"/>
      <c r="O10" s="476">
        <v>0.48958333333333331</v>
      </c>
      <c r="P10" s="476">
        <v>0.48958333333333331</v>
      </c>
      <c r="Q10" s="477">
        <v>0.49305555555555558</v>
      </c>
      <c r="R10" s="472">
        <f>IF(Table6[[#This Row],[Work Start TimeStamp]]="","",(Table6[[#This Row],[Work Start TimeStamp]]-Table6[[#This Row],[Fault Start TimeStamp]])*24)</f>
        <v>0</v>
      </c>
      <c r="S10" s="472">
        <f>(Table6[[#This Row],[Fault Clearance time]]-Table6[[#This Row],[Work Start TimeStamp]])*24</f>
        <v>8.333333333333437E-2</v>
      </c>
      <c r="T10" s="472">
        <f>(Table6[[#This Row],[Fault Clearance time]]-Table6[[#This Row],[Fault Start TimeStamp]])*24</f>
        <v>8.333333333333437E-2</v>
      </c>
      <c r="U10" s="35" t="s">
        <v>353</v>
      </c>
      <c r="V10" s="102" t="s">
        <v>293</v>
      </c>
      <c r="W10" s="478">
        <f>IFERROR(Table6[[#This Row],[Breakdown Time]]*Table6[[#This Row],[Plant Equivalent Weightage]],"")</f>
        <v>3.205128205128244E-3</v>
      </c>
      <c r="X10" s="473" t="s">
        <v>294</v>
      </c>
      <c r="Y10" s="474" t="s">
        <v>78</v>
      </c>
      <c r="Z10" s="102">
        <v>12752</v>
      </c>
      <c r="AA10" s="468">
        <f>(Table6[[#This Row],[Paired WTG Generation for loss calculation]]/24)*Table6[[#This Row],[Breakdown Time]]</f>
        <v>44.277777777778333</v>
      </c>
      <c r="AB10" s="102"/>
      <c r="AC10" s="35"/>
      <c r="AD10" s="35"/>
    </row>
    <row r="11" spans="1:30">
      <c r="A11" s="102">
        <f t="shared" si="0"/>
        <v>10</v>
      </c>
      <c r="B11" s="468">
        <f>YEAR(Table6[[#This Row],[Date]])+IF(MONTH(Table6[[#This Row],[Date]])&gt;=4,1,0)</f>
        <v>2026</v>
      </c>
      <c r="C11" s="102">
        <f>YEAR(Table6[[#This Row],[Date]])</f>
        <v>2025</v>
      </c>
      <c r="D11" s="102" t="s">
        <v>1992</v>
      </c>
      <c r="E11" s="469">
        <f>Table6[[#This Row],[Date]]-DAY(Table6[[#This Row],[Date]])+1</f>
        <v>45748</v>
      </c>
      <c r="F11" s="470">
        <v>45749</v>
      </c>
      <c r="G11" s="35" t="s">
        <v>75</v>
      </c>
      <c r="H11" s="35" t="str">
        <f>IFERROR(_xlfn.XLOOKUP(Table6[[#This Row],[Affected WTG]],'Basic Data'!$A:$A,'Basic Data'!$B:$B),"")</f>
        <v>TQGXIIPL</v>
      </c>
      <c r="I11" s="35" t="str">
        <f>IFERROR(_xlfn.XLOOKUP(Table6[[#This Row],[Affected WTG]],'Basic Data'!$A:$A,'Basic Data'!$C:$C),"")</f>
        <v>GEDA</v>
      </c>
      <c r="J11" s="471">
        <f>IFERROR(_xlfn.XLOOKUP(Table6[[#This Row],[Affected WTG]],'Basic Data'!$A:$A,'Basic Data'!$E:$E),"")</f>
        <v>3.846153846153845E-2</v>
      </c>
      <c r="K11" s="102">
        <v>3000</v>
      </c>
      <c r="L11" s="35" t="str">
        <f>IFERROR(_xlfn.XLOOKUP(Table6[[#This Row],[Error Code]],'Basic Data'!$AA:$AA,'Basic Data'!$AB:$AB),"Incorrect Error Code")</f>
        <v>Frequency converter not ready</v>
      </c>
      <c r="M11" s="35" t="s">
        <v>291</v>
      </c>
      <c r="N11" s="475"/>
      <c r="O11" s="476">
        <v>0.74375000000000002</v>
      </c>
      <c r="P11" s="476">
        <v>0.74375000000000002</v>
      </c>
      <c r="Q11" s="477">
        <v>0.74583333333333335</v>
      </c>
      <c r="R11" s="472">
        <f>IF(Table6[[#This Row],[Work Start TimeStamp]]="","",(Table6[[#This Row],[Work Start TimeStamp]]-Table6[[#This Row],[Fault Start TimeStamp]])*24)</f>
        <v>0</v>
      </c>
      <c r="S11" s="472">
        <f>(Table6[[#This Row],[Fault Clearance time]]-Table6[[#This Row],[Work Start TimeStamp]])*24</f>
        <v>4.9999999999999822E-2</v>
      </c>
      <c r="T11" s="472">
        <f>(Table6[[#This Row],[Fault Clearance time]]-Table6[[#This Row],[Fault Start TimeStamp]])*24</f>
        <v>4.9999999999999822E-2</v>
      </c>
      <c r="U11" s="35" t="s">
        <v>354</v>
      </c>
      <c r="V11" s="102" t="s">
        <v>293</v>
      </c>
      <c r="W11" s="478">
        <f>IFERROR(Table6[[#This Row],[Breakdown Time]]*Table6[[#This Row],[Plant Equivalent Weightage]],"")</f>
        <v>1.9230769230769156E-3</v>
      </c>
      <c r="X11" s="473" t="s">
        <v>294</v>
      </c>
      <c r="Y11" s="474" t="s">
        <v>78</v>
      </c>
      <c r="Z11" s="102">
        <v>12752</v>
      </c>
      <c r="AA11" s="468">
        <f>(Table6[[#This Row],[Paired WTG Generation for loss calculation]]/24)*Table6[[#This Row],[Breakdown Time]]</f>
        <v>26.566666666666574</v>
      </c>
      <c r="AB11" s="102"/>
      <c r="AC11" s="35"/>
      <c r="AD11" s="35"/>
    </row>
    <row r="12" spans="1:30">
      <c r="A12" s="102">
        <f t="shared" si="0"/>
        <v>11</v>
      </c>
      <c r="B12" s="468">
        <f>YEAR(Table6[[#This Row],[Date]])+IF(MONTH(Table6[[#This Row],[Date]])&gt;=4,1,0)</f>
        <v>2026</v>
      </c>
      <c r="C12" s="102">
        <f>YEAR(Table6[[#This Row],[Date]])</f>
        <v>2025</v>
      </c>
      <c r="D12" s="102" t="s">
        <v>1992</v>
      </c>
      <c r="E12" s="469">
        <f>Table6[[#This Row],[Date]]-DAY(Table6[[#This Row],[Date]])+1</f>
        <v>45748</v>
      </c>
      <c r="F12" s="470">
        <v>45749</v>
      </c>
      <c r="G12" s="35" t="s">
        <v>77</v>
      </c>
      <c r="H12" s="35" t="str">
        <f>IFERROR(_xlfn.XLOOKUP(Table6[[#This Row],[Affected WTG]],'Basic Data'!$A:$A,'Basic Data'!$B:$B),"")</f>
        <v>TQGXIIPL</v>
      </c>
      <c r="I12" s="35" t="str">
        <f>IFERROR(_xlfn.XLOOKUP(Table6[[#This Row],[Affected WTG]],'Basic Data'!$A:$A,'Basic Data'!$C:$C),"")</f>
        <v>GEDA</v>
      </c>
      <c r="J12" s="471">
        <f>IFERROR(_xlfn.XLOOKUP(Table6[[#This Row],[Affected WTG]],'Basic Data'!$A:$A,'Basic Data'!$E:$E),"")</f>
        <v>3.846153846153845E-2</v>
      </c>
      <c r="K12" s="102">
        <v>3110</v>
      </c>
      <c r="L12" s="35" t="str">
        <f>IFERROR(_xlfn.XLOOKUP(Table6[[#This Row],[Error Code]],'Basic Data'!$AA:$AA,'Basic Data'!$AB:$AB),"Incorrect Error Code")</f>
        <v>Frequency converter error</v>
      </c>
      <c r="M12" s="35" t="s">
        <v>291</v>
      </c>
      <c r="N12" s="475"/>
      <c r="O12" s="476">
        <v>0.74375000000000002</v>
      </c>
      <c r="P12" s="476">
        <v>0.74375000000000002</v>
      </c>
      <c r="Q12" s="477">
        <v>0.74513888888888891</v>
      </c>
      <c r="R12" s="472">
        <f>IF(Table6[[#This Row],[Work Start TimeStamp]]="","",(Table6[[#This Row],[Work Start TimeStamp]]-Table6[[#This Row],[Fault Start TimeStamp]])*24)</f>
        <v>0</v>
      </c>
      <c r="S12" s="472">
        <f>(Table6[[#This Row],[Fault Clearance time]]-Table6[[#This Row],[Work Start TimeStamp]])*24</f>
        <v>3.3333333333333215E-2</v>
      </c>
      <c r="T12" s="472">
        <f>(Table6[[#This Row],[Fault Clearance time]]-Table6[[#This Row],[Fault Start TimeStamp]])*24</f>
        <v>3.3333333333333215E-2</v>
      </c>
      <c r="U12" s="35" t="s">
        <v>336</v>
      </c>
      <c r="V12" s="102" t="s">
        <v>293</v>
      </c>
      <c r="W12" s="478">
        <f>IFERROR(Table6[[#This Row],[Breakdown Time]]*Table6[[#This Row],[Plant Equivalent Weightage]],"")</f>
        <v>1.2820512820512771E-3</v>
      </c>
      <c r="X12" s="473" t="s">
        <v>294</v>
      </c>
      <c r="Y12" s="474" t="s">
        <v>80</v>
      </c>
      <c r="Z12" s="102">
        <v>7398</v>
      </c>
      <c r="AA12" s="468">
        <f>(Table6[[#This Row],[Paired WTG Generation for loss calculation]]/24)*Table6[[#This Row],[Breakdown Time]]</f>
        <v>10.274999999999963</v>
      </c>
      <c r="AB12" s="102"/>
      <c r="AC12" s="35"/>
      <c r="AD12" s="35"/>
    </row>
    <row r="13" spans="1:30">
      <c r="A13" s="102">
        <f t="shared" ref="A13:A77" si="1">A12+1</f>
        <v>12</v>
      </c>
      <c r="B13" s="468">
        <f>YEAR(Table6[[#This Row],[Date]])+IF(MONTH(Table6[[#This Row],[Date]])&gt;=4,1,0)</f>
        <v>2026</v>
      </c>
      <c r="C13" s="102">
        <f>YEAR(Table6[[#This Row],[Date]])</f>
        <v>2025</v>
      </c>
      <c r="D13" s="102" t="s">
        <v>1992</v>
      </c>
      <c r="E13" s="469">
        <f>Table6[[#This Row],[Date]]-DAY(Table6[[#This Row],[Date]])+1</f>
        <v>45748</v>
      </c>
      <c r="F13" s="470">
        <v>45749</v>
      </c>
      <c r="G13" s="35" t="s">
        <v>78</v>
      </c>
      <c r="H13" s="35" t="str">
        <f>IFERROR(_xlfn.XLOOKUP(Table6[[#This Row],[Affected WTG]],'Basic Data'!$A:$A,'Basic Data'!$B:$B),"")</f>
        <v>TQGXIIPL</v>
      </c>
      <c r="I13" s="35" t="str">
        <f>IFERROR(_xlfn.XLOOKUP(Table6[[#This Row],[Affected WTG]],'Basic Data'!$A:$A,'Basic Data'!$C:$C),"")</f>
        <v>GEDA</v>
      </c>
      <c r="J13" s="471">
        <f>IFERROR(_xlfn.XLOOKUP(Table6[[#This Row],[Affected WTG]],'Basic Data'!$A:$A,'Basic Data'!$E:$E),"")</f>
        <v>3.846153846153845E-2</v>
      </c>
      <c r="K13" s="102">
        <v>3000</v>
      </c>
      <c r="L13" s="35" t="str">
        <f>IFERROR(_xlfn.XLOOKUP(Table6[[#This Row],[Error Code]],'Basic Data'!$AA:$AA,'Basic Data'!$AB:$AB),"Incorrect Error Code")</f>
        <v>Frequency converter not ready</v>
      </c>
      <c r="M13" s="35" t="s">
        <v>292</v>
      </c>
      <c r="N13" s="475"/>
      <c r="O13" s="476">
        <v>0.48749999999999999</v>
      </c>
      <c r="P13" s="476">
        <v>0.48749999999999999</v>
      </c>
      <c r="Q13" s="477">
        <v>0.48958333333333331</v>
      </c>
      <c r="R13" s="472">
        <f>IF(Table6[[#This Row],[Work Start TimeStamp]]="","",(Table6[[#This Row],[Work Start TimeStamp]]-Table6[[#This Row],[Fault Start TimeStamp]])*24)</f>
        <v>0</v>
      </c>
      <c r="S13" s="472">
        <f>(Table6[[#This Row],[Fault Clearance time]]-Table6[[#This Row],[Work Start TimeStamp]])*24</f>
        <v>4.9999999999999822E-2</v>
      </c>
      <c r="T13" s="472">
        <f>(Table6[[#This Row],[Fault Clearance time]]-Table6[[#This Row],[Fault Start TimeStamp]])*24</f>
        <v>4.9999999999999822E-2</v>
      </c>
      <c r="U13" s="35" t="s">
        <v>336</v>
      </c>
      <c r="V13" s="102" t="s">
        <v>293</v>
      </c>
      <c r="W13" s="478">
        <f>IFERROR(Table6[[#This Row],[Breakdown Time]]*Table6[[#This Row],[Plant Equivalent Weightage]],"")</f>
        <v>1.9230769230769156E-3</v>
      </c>
      <c r="X13" s="473" t="s">
        <v>294</v>
      </c>
      <c r="Y13" s="474" t="s">
        <v>75</v>
      </c>
      <c r="Z13" s="102">
        <v>9289</v>
      </c>
      <c r="AA13" s="468">
        <f>(Table6[[#This Row],[Paired WTG Generation for loss calculation]]/24)*Table6[[#This Row],[Breakdown Time]]</f>
        <v>19.352083333333265</v>
      </c>
      <c r="AB13" s="102"/>
      <c r="AC13" s="35"/>
      <c r="AD13" s="35"/>
    </row>
    <row r="14" spans="1:30">
      <c r="A14" s="102">
        <f t="shared" si="1"/>
        <v>13</v>
      </c>
      <c r="B14" s="468">
        <f>YEAR(Table6[[#This Row],[Date]])+IF(MONTH(Table6[[#This Row],[Date]])&gt;=4,1,0)</f>
        <v>2026</v>
      </c>
      <c r="C14" s="102">
        <f>YEAR(Table6[[#This Row],[Date]])</f>
        <v>2025</v>
      </c>
      <c r="D14" s="102" t="s">
        <v>1992</v>
      </c>
      <c r="E14" s="469">
        <f>Table6[[#This Row],[Date]]-DAY(Table6[[#This Row],[Date]])+1</f>
        <v>45748</v>
      </c>
      <c r="F14" s="470">
        <v>45749</v>
      </c>
      <c r="G14" s="35" t="s">
        <v>78</v>
      </c>
      <c r="H14" s="35" t="str">
        <f>IFERROR(_xlfn.XLOOKUP(Table6[[#This Row],[Affected WTG]],'Basic Data'!$A:$A,'Basic Data'!$B:$B),"")</f>
        <v>TQGXIIPL</v>
      </c>
      <c r="I14" s="35" t="str">
        <f>IFERROR(_xlfn.XLOOKUP(Table6[[#This Row],[Affected WTG]],'Basic Data'!$A:$A,'Basic Data'!$C:$C),"")</f>
        <v>GEDA</v>
      </c>
      <c r="J14" s="471">
        <f>IFERROR(_xlfn.XLOOKUP(Table6[[#This Row],[Affected WTG]],'Basic Data'!$A:$A,'Basic Data'!$E:$E),"")</f>
        <v>3.846153846153845E-2</v>
      </c>
      <c r="K14" s="102">
        <v>6056</v>
      </c>
      <c r="L14" s="35" t="str">
        <f>IFERROR(_xlfn.XLOOKUP(Table6[[#This Row],[Error Code]],'Basic Data'!$AA:$AA,'Basic Data'!$AB:$AB),"Incorrect Error Code")</f>
        <v>High yaw load</v>
      </c>
      <c r="M14" s="35" t="s">
        <v>292</v>
      </c>
      <c r="N14" s="475"/>
      <c r="O14" s="476">
        <v>0.64652777777777781</v>
      </c>
      <c r="P14" s="476">
        <v>0.64652777777777781</v>
      </c>
      <c r="Q14" s="477">
        <v>0.64861111111111114</v>
      </c>
      <c r="R14" s="472">
        <f>IF(Table6[[#This Row],[Work Start TimeStamp]]="","",(Table6[[#This Row],[Work Start TimeStamp]]-Table6[[#This Row],[Fault Start TimeStamp]])*24)</f>
        <v>0</v>
      </c>
      <c r="S14" s="472">
        <f>(Table6[[#This Row],[Fault Clearance time]]-Table6[[#This Row],[Work Start TimeStamp]])*24</f>
        <v>4.9999999999999822E-2</v>
      </c>
      <c r="T14" s="472">
        <f>(Table6[[#This Row],[Fault Clearance time]]-Table6[[#This Row],[Fault Start TimeStamp]])*24</f>
        <v>4.9999999999999822E-2</v>
      </c>
      <c r="U14" s="35" t="s">
        <v>349</v>
      </c>
      <c r="V14" s="102" t="s">
        <v>293</v>
      </c>
      <c r="W14" s="478">
        <f>IFERROR(Table6[[#This Row],[Breakdown Time]]*Table6[[#This Row],[Plant Equivalent Weightage]],"")</f>
        <v>1.9230769230769156E-3</v>
      </c>
      <c r="X14" s="473" t="s">
        <v>294</v>
      </c>
      <c r="Y14" s="474" t="s">
        <v>75</v>
      </c>
      <c r="Z14" s="102">
        <v>9289</v>
      </c>
      <c r="AA14" s="468">
        <f>(Table6[[#This Row],[Paired WTG Generation for loss calculation]]/24)*Table6[[#This Row],[Breakdown Time]]</f>
        <v>19.352083333333265</v>
      </c>
      <c r="AB14" s="102"/>
      <c r="AC14" s="35"/>
      <c r="AD14" s="35"/>
    </row>
    <row r="15" spans="1:30">
      <c r="A15" s="102">
        <f t="shared" si="1"/>
        <v>14</v>
      </c>
      <c r="B15" s="468">
        <f>YEAR(Table6[[#This Row],[Date]])+IF(MONTH(Table6[[#This Row],[Date]])&gt;=4,1,0)</f>
        <v>2026</v>
      </c>
      <c r="C15" s="102">
        <f>YEAR(Table6[[#This Row],[Date]])</f>
        <v>2025</v>
      </c>
      <c r="D15" s="102" t="s">
        <v>1992</v>
      </c>
      <c r="E15" s="469">
        <f>Table6[[#This Row],[Date]]-DAY(Table6[[#This Row],[Date]])+1</f>
        <v>45748</v>
      </c>
      <c r="F15" s="470">
        <v>45749</v>
      </c>
      <c r="G15" s="35" t="s">
        <v>81</v>
      </c>
      <c r="H15" s="35" t="str">
        <f>IFERROR(_xlfn.XLOOKUP(Table6[[#This Row],[Affected WTG]],'Basic Data'!$A:$A,'Basic Data'!$B:$B),"")</f>
        <v>TQGXIIPL</v>
      </c>
      <c r="I15" s="35" t="str">
        <f>IFERROR(_xlfn.XLOOKUP(Table6[[#This Row],[Affected WTG]],'Basic Data'!$A:$A,'Basic Data'!$C:$C),"")</f>
        <v>GEDA</v>
      </c>
      <c r="J15" s="471">
        <f>IFERROR(_xlfn.XLOOKUP(Table6[[#This Row],[Affected WTG]],'Basic Data'!$A:$A,'Basic Data'!$E:$E),"")</f>
        <v>3.846153846153845E-2</v>
      </c>
      <c r="K15" s="102">
        <v>175</v>
      </c>
      <c r="L15" s="35" t="str">
        <f>IFERROR(_xlfn.XLOOKUP(Table6[[#This Row],[Error Code]],'Basic Data'!$AA:$AA,'Basic Data'!$AB:$AB),"Incorrect Error Code")</f>
        <v>SLC error</v>
      </c>
      <c r="M15" s="35" t="s">
        <v>291</v>
      </c>
      <c r="N15" s="475"/>
      <c r="O15" s="476">
        <v>0.35</v>
      </c>
      <c r="P15" s="476">
        <v>0.35</v>
      </c>
      <c r="Q15" s="477">
        <v>0.36666666666666664</v>
      </c>
      <c r="R15" s="472">
        <f>IF(Table6[[#This Row],[Work Start TimeStamp]]="","",(Table6[[#This Row],[Work Start TimeStamp]]-Table6[[#This Row],[Fault Start TimeStamp]])*24)</f>
        <v>0</v>
      </c>
      <c r="S15" s="472">
        <f>(Table6[[#This Row],[Fault Clearance time]]-Table6[[#This Row],[Work Start TimeStamp]])*24</f>
        <v>0.39999999999999991</v>
      </c>
      <c r="T15" s="472">
        <f>(Table6[[#This Row],[Fault Clearance time]]-Table6[[#This Row],[Fault Start TimeStamp]])*24</f>
        <v>0.39999999999999991</v>
      </c>
      <c r="U15" s="35" t="s">
        <v>355</v>
      </c>
      <c r="V15" s="102" t="s">
        <v>293</v>
      </c>
      <c r="W15" s="478">
        <f>IFERROR(Table6[[#This Row],[Breakdown Time]]*Table6[[#This Row],[Plant Equivalent Weightage]],"")</f>
        <v>1.5384615384615377E-2</v>
      </c>
      <c r="X15" s="473" t="s">
        <v>294</v>
      </c>
      <c r="Y15" s="474" t="s">
        <v>99</v>
      </c>
      <c r="Z15" s="102">
        <v>12678</v>
      </c>
      <c r="AA15" s="468">
        <f>(Table6[[#This Row],[Paired WTG Generation for loss calculation]]/24)*Table6[[#This Row],[Breakdown Time]]</f>
        <v>211.29999999999995</v>
      </c>
      <c r="AB15" s="102"/>
      <c r="AC15" s="35"/>
      <c r="AD15" s="35"/>
    </row>
    <row r="16" spans="1:30">
      <c r="A16" s="102">
        <f t="shared" si="1"/>
        <v>15</v>
      </c>
      <c r="B16" s="468">
        <f>YEAR(Table6[[#This Row],[Date]])+IF(MONTH(Table6[[#This Row],[Date]])&gt;=4,1,0)</f>
        <v>2026</v>
      </c>
      <c r="C16" s="102">
        <f>YEAR(Table6[[#This Row],[Date]])</f>
        <v>2025</v>
      </c>
      <c r="D16" s="102" t="s">
        <v>1992</v>
      </c>
      <c r="E16" s="469">
        <f>Table6[[#This Row],[Date]]-DAY(Table6[[#This Row],[Date]])+1</f>
        <v>45748</v>
      </c>
      <c r="F16" s="470">
        <v>45749</v>
      </c>
      <c r="G16" s="35" t="s">
        <v>83</v>
      </c>
      <c r="H16" s="35" t="str">
        <f>IFERROR(_xlfn.XLOOKUP(Table6[[#This Row],[Affected WTG]],'Basic Data'!$A:$A,'Basic Data'!$B:$B),"")</f>
        <v>TQGXIIPL</v>
      </c>
      <c r="I16" s="35" t="str">
        <f>IFERROR(_xlfn.XLOOKUP(Table6[[#This Row],[Affected WTG]],'Basic Data'!$A:$A,'Basic Data'!$C:$C),"")</f>
        <v>GEDA</v>
      </c>
      <c r="J16" s="471">
        <f>IFERROR(_xlfn.XLOOKUP(Table6[[#This Row],[Affected WTG]],'Basic Data'!$A:$A,'Basic Data'!$E:$E),"")</f>
        <v>3.846153846153845E-2</v>
      </c>
      <c r="K16" s="102">
        <v>656</v>
      </c>
      <c r="L16" s="35" t="str">
        <f>IFERROR(_xlfn.XLOOKUP(Table6[[#This Row],[Error Code]],'Basic Data'!$AA:$AA,'Basic Data'!$AB:$AB),"Incorrect Error Code")</f>
        <v>Error pitch converter 1</v>
      </c>
      <c r="M16" s="35" t="s">
        <v>291</v>
      </c>
      <c r="N16" s="475"/>
      <c r="O16" s="476">
        <v>0.32291666666666669</v>
      </c>
      <c r="P16" s="476">
        <v>0.32291666666666669</v>
      </c>
      <c r="Q16" s="477">
        <v>0.34236111111111112</v>
      </c>
      <c r="R16" s="472">
        <f>IF(Table6[[#This Row],[Work Start TimeStamp]]="","",(Table6[[#This Row],[Work Start TimeStamp]]-Table6[[#This Row],[Fault Start TimeStamp]])*24)</f>
        <v>0</v>
      </c>
      <c r="S16" s="472">
        <f>(Table6[[#This Row],[Fault Clearance time]]-Table6[[#This Row],[Work Start TimeStamp]])*24</f>
        <v>0.46666666666666634</v>
      </c>
      <c r="T16" s="472">
        <f>(Table6[[#This Row],[Fault Clearance time]]-Table6[[#This Row],[Fault Start TimeStamp]])*24</f>
        <v>0.46666666666666634</v>
      </c>
      <c r="U16" s="35" t="s">
        <v>356</v>
      </c>
      <c r="V16" s="102" t="s">
        <v>293</v>
      </c>
      <c r="W16" s="478">
        <f>IFERROR(Table6[[#This Row],[Breakdown Time]]*Table6[[#This Row],[Plant Equivalent Weightage]],"")</f>
        <v>1.794871794871793E-2</v>
      </c>
      <c r="X16" s="473" t="s">
        <v>294</v>
      </c>
      <c r="Y16" s="474" t="s">
        <v>88</v>
      </c>
      <c r="Z16" s="102">
        <v>13298</v>
      </c>
      <c r="AA16" s="468">
        <f>(Table6[[#This Row],[Paired WTG Generation for loss calculation]]/24)*Table6[[#This Row],[Breakdown Time]]</f>
        <v>258.57222222222208</v>
      </c>
      <c r="AB16" s="102"/>
      <c r="AC16" s="35"/>
      <c r="AD16" s="35"/>
    </row>
    <row r="17" spans="1:30">
      <c r="A17" s="102">
        <f t="shared" si="1"/>
        <v>16</v>
      </c>
      <c r="B17" s="468">
        <f>YEAR(Table6[[#This Row],[Date]])+IF(MONTH(Table6[[#This Row],[Date]])&gt;=4,1,0)</f>
        <v>2026</v>
      </c>
      <c r="C17" s="102">
        <f>YEAR(Table6[[#This Row],[Date]])</f>
        <v>2025</v>
      </c>
      <c r="D17" s="102" t="s">
        <v>1992</v>
      </c>
      <c r="E17" s="469">
        <f>Table6[[#This Row],[Date]]-DAY(Table6[[#This Row],[Date]])+1</f>
        <v>45748</v>
      </c>
      <c r="F17" s="470">
        <v>45749</v>
      </c>
      <c r="G17" s="35" t="s">
        <v>83</v>
      </c>
      <c r="H17" s="35" t="str">
        <f>IFERROR(_xlfn.XLOOKUP(Table6[[#This Row],[Affected WTG]],'Basic Data'!$A:$A,'Basic Data'!$B:$B),"")</f>
        <v>TQGXIIPL</v>
      </c>
      <c r="I17" s="35" t="str">
        <f>IFERROR(_xlfn.XLOOKUP(Table6[[#This Row],[Affected WTG]],'Basic Data'!$A:$A,'Basic Data'!$C:$C),"")</f>
        <v>GEDA</v>
      </c>
      <c r="J17" s="471">
        <f>IFERROR(_xlfn.XLOOKUP(Table6[[#This Row],[Affected WTG]],'Basic Data'!$A:$A,'Basic Data'!$E:$E),"")</f>
        <v>3.846153846153845E-2</v>
      </c>
      <c r="K17" s="102">
        <v>55</v>
      </c>
      <c r="L17" s="35" t="str">
        <f>IFERROR(_xlfn.XLOOKUP(Table6[[#This Row],[Error Code]],'Basic Data'!$AA:$AA,'Basic Data'!$AB:$AB),"Incorrect Error Code")</f>
        <v>WTG shut down</v>
      </c>
      <c r="M17" s="35" t="s">
        <v>304</v>
      </c>
      <c r="N17" s="475"/>
      <c r="O17" s="476">
        <v>0.4</v>
      </c>
      <c r="P17" s="476">
        <v>0.4</v>
      </c>
      <c r="Q17" s="477">
        <v>0.64583333333333337</v>
      </c>
      <c r="R17" s="472">
        <f>IF(Table6[[#This Row],[Work Start TimeStamp]]="","",(Table6[[#This Row],[Work Start TimeStamp]]-Table6[[#This Row],[Fault Start TimeStamp]])*24)</f>
        <v>0</v>
      </c>
      <c r="S17" s="472">
        <f>(Table6[[#This Row],[Fault Clearance time]]-Table6[[#This Row],[Work Start TimeStamp]])*24</f>
        <v>5.9</v>
      </c>
      <c r="T17" s="472">
        <f>(Table6[[#This Row],[Fault Clearance time]]-Table6[[#This Row],[Fault Start TimeStamp]])*24</f>
        <v>5.9</v>
      </c>
      <c r="U17" s="35" t="s">
        <v>357</v>
      </c>
      <c r="V17" s="102" t="s">
        <v>293</v>
      </c>
      <c r="W17" s="478">
        <f>IFERROR(Table6[[#This Row],[Breakdown Time]]*Table6[[#This Row],[Plant Equivalent Weightage]],"")</f>
        <v>0.22692307692307687</v>
      </c>
      <c r="X17" s="473" t="s">
        <v>305</v>
      </c>
      <c r="Y17" s="474" t="s">
        <v>88</v>
      </c>
      <c r="Z17" s="102">
        <v>13298</v>
      </c>
      <c r="AA17" s="468">
        <f>(Table6[[#This Row],[Paired WTG Generation for loss calculation]]/24)*Table6[[#This Row],[Breakdown Time]]</f>
        <v>3269.0916666666672</v>
      </c>
      <c r="AB17" s="102"/>
      <c r="AC17" s="35"/>
      <c r="AD17" s="35"/>
    </row>
    <row r="18" spans="1:30">
      <c r="A18" s="102">
        <f t="shared" si="1"/>
        <v>17</v>
      </c>
      <c r="B18" s="468">
        <f>YEAR(Table6[[#This Row],[Date]])+IF(MONTH(Table6[[#This Row],[Date]])&gt;=4,1,0)</f>
        <v>2026</v>
      </c>
      <c r="C18" s="102">
        <f>YEAR(Table6[[#This Row],[Date]])</f>
        <v>2025</v>
      </c>
      <c r="D18" s="102" t="s">
        <v>1992</v>
      </c>
      <c r="E18" s="469">
        <f>Table6[[#This Row],[Date]]-DAY(Table6[[#This Row],[Date]])+1</f>
        <v>45748</v>
      </c>
      <c r="F18" s="470">
        <v>45749</v>
      </c>
      <c r="G18" s="35" t="s">
        <v>86</v>
      </c>
      <c r="H18" s="35" t="str">
        <f>IFERROR(_xlfn.XLOOKUP(Table6[[#This Row],[Affected WTG]],'Basic Data'!$A:$A,'Basic Data'!$B:$B),"")</f>
        <v>TQGXIIPL</v>
      </c>
      <c r="I18" s="35" t="str">
        <f>IFERROR(_xlfn.XLOOKUP(Table6[[#This Row],[Affected WTG]],'Basic Data'!$A:$A,'Basic Data'!$C:$C),"")</f>
        <v>GEDA</v>
      </c>
      <c r="J18" s="471">
        <f>IFERROR(_xlfn.XLOOKUP(Table6[[#This Row],[Affected WTG]],'Basic Data'!$A:$A,'Basic Data'!$E:$E),"")</f>
        <v>3.846153846153845E-2</v>
      </c>
      <c r="K18" s="102">
        <v>6130</v>
      </c>
      <c r="L18" s="35" t="str">
        <f>IFERROR(_xlfn.XLOOKUP(Table6[[#This Row],[Error Code]],'Basic Data'!$AA:$AA,'Basic Data'!$AB:$AB),"Incorrect Error Code")</f>
        <v>Yaw speed high</v>
      </c>
      <c r="M18" s="35" t="s">
        <v>291</v>
      </c>
      <c r="N18" s="475"/>
      <c r="O18" s="476">
        <v>0.30763888888888891</v>
      </c>
      <c r="P18" s="476">
        <v>0.30763888888888891</v>
      </c>
      <c r="Q18" s="477">
        <v>0.31180555555555556</v>
      </c>
      <c r="R18" s="472">
        <f>IF(Table6[[#This Row],[Work Start TimeStamp]]="","",(Table6[[#This Row],[Work Start TimeStamp]]-Table6[[#This Row],[Fault Start TimeStamp]])*24)</f>
        <v>0</v>
      </c>
      <c r="S18" s="472">
        <f>(Table6[[#This Row],[Fault Clearance time]]-Table6[[#This Row],[Work Start TimeStamp]])*24</f>
        <v>9.9999999999999645E-2</v>
      </c>
      <c r="T18" s="472">
        <f>(Table6[[#This Row],[Fault Clearance time]]-Table6[[#This Row],[Fault Start TimeStamp]])*24</f>
        <v>9.9999999999999645E-2</v>
      </c>
      <c r="U18" s="35" t="s">
        <v>349</v>
      </c>
      <c r="V18" s="102" t="s">
        <v>293</v>
      </c>
      <c r="W18" s="478">
        <f>IFERROR(Table6[[#This Row],[Breakdown Time]]*Table6[[#This Row],[Plant Equivalent Weightage]],"")</f>
        <v>3.8461538461538312E-3</v>
      </c>
      <c r="X18" s="473" t="s">
        <v>294</v>
      </c>
      <c r="Y18" s="474" t="s">
        <v>84</v>
      </c>
      <c r="Z18" s="102">
        <v>12012</v>
      </c>
      <c r="AA18" s="468">
        <f>(Table6[[#This Row],[Paired WTG Generation for loss calculation]]/24)*Table6[[#This Row],[Breakdown Time]]</f>
        <v>50.04999999999982</v>
      </c>
      <c r="AB18" s="102"/>
      <c r="AC18" s="35"/>
      <c r="AD18" s="35"/>
    </row>
    <row r="19" spans="1:30">
      <c r="A19" s="102">
        <f t="shared" si="1"/>
        <v>18</v>
      </c>
      <c r="B19" s="468">
        <f>YEAR(Table6[[#This Row],[Date]])+IF(MONTH(Table6[[#This Row],[Date]])&gt;=4,1,0)</f>
        <v>2026</v>
      </c>
      <c r="C19" s="102">
        <f>YEAR(Table6[[#This Row],[Date]])</f>
        <v>2025</v>
      </c>
      <c r="D19" s="102" t="s">
        <v>1992</v>
      </c>
      <c r="E19" s="469">
        <f>Table6[[#This Row],[Date]]-DAY(Table6[[#This Row],[Date]])+1</f>
        <v>45748</v>
      </c>
      <c r="F19" s="470">
        <v>45749</v>
      </c>
      <c r="G19" s="35" t="s">
        <v>90</v>
      </c>
      <c r="H19" s="35" t="str">
        <f>IFERROR(_xlfn.XLOOKUP(Table6[[#This Row],[Affected WTG]],'Basic Data'!$A:$A,'Basic Data'!$B:$B),"")</f>
        <v>TQGXIIPL</v>
      </c>
      <c r="I19" s="35" t="str">
        <f>IFERROR(_xlfn.XLOOKUP(Table6[[#This Row],[Affected WTG]],'Basic Data'!$A:$A,'Basic Data'!$C:$C),"")</f>
        <v>GEDA</v>
      </c>
      <c r="J19" s="471">
        <f>IFERROR(_xlfn.XLOOKUP(Table6[[#This Row],[Affected WTG]],'Basic Data'!$A:$A,'Basic Data'!$E:$E),"")</f>
        <v>3.846153846153845E-2</v>
      </c>
      <c r="K19" s="102">
        <v>6605</v>
      </c>
      <c r="L19" s="35" t="str">
        <f>IFERROR(_xlfn.XLOOKUP(Table6[[#This Row],[Error Code]],'Basic Data'!$AA:$AA,'Basic Data'!$AB:$AB),"Incorrect Error Code")</f>
        <v>Wind.dir. diff. level 2</v>
      </c>
      <c r="M19" s="35" t="s">
        <v>292</v>
      </c>
      <c r="N19" s="475"/>
      <c r="O19" s="476">
        <v>0.16875000000000001</v>
      </c>
      <c r="P19" s="476">
        <v>0.16875000000000001</v>
      </c>
      <c r="Q19" s="477">
        <v>0.1701388888888889</v>
      </c>
      <c r="R19" s="472">
        <f>IF(Table6[[#This Row],[Work Start TimeStamp]]="","",(Table6[[#This Row],[Work Start TimeStamp]]-Table6[[#This Row],[Fault Start TimeStamp]])*24)</f>
        <v>0</v>
      </c>
      <c r="S19" s="472">
        <f>(Table6[[#This Row],[Fault Clearance time]]-Table6[[#This Row],[Work Start TimeStamp]])*24</f>
        <v>3.3333333333333215E-2</v>
      </c>
      <c r="T19" s="472">
        <f>(Table6[[#This Row],[Fault Clearance time]]-Table6[[#This Row],[Fault Start TimeStamp]])*24</f>
        <v>3.3333333333333215E-2</v>
      </c>
      <c r="U19" s="35" t="s">
        <v>336</v>
      </c>
      <c r="V19" s="102" t="s">
        <v>293</v>
      </c>
      <c r="W19" s="478">
        <f>IFERROR(Table6[[#This Row],[Breakdown Time]]*Table6[[#This Row],[Plant Equivalent Weightage]],"")</f>
        <v>1.2820512820512771E-3</v>
      </c>
      <c r="X19" s="473" t="s">
        <v>294</v>
      </c>
      <c r="Y19" s="474" t="s">
        <v>95</v>
      </c>
      <c r="Z19" s="102">
        <v>9405</v>
      </c>
      <c r="AA19" s="468">
        <f>(Table6[[#This Row],[Paired WTG Generation for loss calculation]]/24)*Table6[[#This Row],[Breakdown Time]]</f>
        <v>13.062499999999954</v>
      </c>
      <c r="AB19" s="102"/>
      <c r="AC19" s="35"/>
      <c r="AD19" s="35"/>
    </row>
    <row r="20" spans="1:30">
      <c r="A20" s="102">
        <f t="shared" si="1"/>
        <v>19</v>
      </c>
      <c r="B20" s="468">
        <f>YEAR(Table6[[#This Row],[Date]])+IF(MONTH(Table6[[#This Row],[Date]])&gt;=4,1,0)</f>
        <v>2026</v>
      </c>
      <c r="C20" s="102">
        <f>YEAR(Table6[[#This Row],[Date]])</f>
        <v>2025</v>
      </c>
      <c r="D20" s="102" t="s">
        <v>1992</v>
      </c>
      <c r="E20" s="469">
        <f>Table6[[#This Row],[Date]]-DAY(Table6[[#This Row],[Date]])+1</f>
        <v>45748</v>
      </c>
      <c r="F20" s="470">
        <v>45749</v>
      </c>
      <c r="G20" s="35" t="s">
        <v>91</v>
      </c>
      <c r="H20" s="35" t="str">
        <f>IFERROR(_xlfn.XLOOKUP(Table6[[#This Row],[Affected WTG]],'Basic Data'!$A:$A,'Basic Data'!$B:$B),"")</f>
        <v>TQGXIIPL</v>
      </c>
      <c r="I20" s="35" t="str">
        <f>IFERROR(_xlfn.XLOOKUP(Table6[[#This Row],[Affected WTG]],'Basic Data'!$A:$A,'Basic Data'!$C:$C),"")</f>
        <v>GEDA</v>
      </c>
      <c r="J20" s="471">
        <f>IFERROR(_xlfn.XLOOKUP(Table6[[#This Row],[Affected WTG]],'Basic Data'!$A:$A,'Basic Data'!$E:$E),"")</f>
        <v>3.846153846153845E-2</v>
      </c>
      <c r="K20" s="102">
        <v>3110</v>
      </c>
      <c r="L20" s="35" t="str">
        <f>IFERROR(_xlfn.XLOOKUP(Table6[[#This Row],[Error Code]],'Basic Data'!$AA:$AA,'Basic Data'!$AB:$AB),"Incorrect Error Code")</f>
        <v>Frequency converter error</v>
      </c>
      <c r="M20" s="35" t="s">
        <v>291</v>
      </c>
      <c r="N20" s="475"/>
      <c r="O20" s="476">
        <v>0.74375000000000002</v>
      </c>
      <c r="P20" s="476">
        <v>0.74375000000000002</v>
      </c>
      <c r="Q20" s="477">
        <v>0.74722222222222223</v>
      </c>
      <c r="R20" s="472">
        <f>IF(Table6[[#This Row],[Work Start TimeStamp]]="","",(Table6[[#This Row],[Work Start TimeStamp]]-Table6[[#This Row],[Fault Start TimeStamp]])*24)</f>
        <v>0</v>
      </c>
      <c r="S20" s="472">
        <f>(Table6[[#This Row],[Fault Clearance time]]-Table6[[#This Row],[Work Start TimeStamp]])*24</f>
        <v>8.3333333333333037E-2</v>
      </c>
      <c r="T20" s="472">
        <f>(Table6[[#This Row],[Fault Clearance time]]-Table6[[#This Row],[Fault Start TimeStamp]])*24</f>
        <v>8.3333333333333037E-2</v>
      </c>
      <c r="U20" s="35" t="s">
        <v>353</v>
      </c>
      <c r="V20" s="102" t="s">
        <v>293</v>
      </c>
      <c r="W20" s="478">
        <f>IFERROR(Table6[[#This Row],[Breakdown Time]]*Table6[[#This Row],[Plant Equivalent Weightage]],"")</f>
        <v>3.2051282051281929E-3</v>
      </c>
      <c r="X20" s="473" t="s">
        <v>294</v>
      </c>
      <c r="Y20" s="474" t="s">
        <v>79</v>
      </c>
      <c r="Z20" s="102">
        <v>10737</v>
      </c>
      <c r="AA20" s="468">
        <f>(Table6[[#This Row],[Paired WTG Generation for loss calculation]]/24)*Table6[[#This Row],[Breakdown Time]]</f>
        <v>37.281249999999865</v>
      </c>
      <c r="AB20" s="102"/>
      <c r="AC20" s="35"/>
      <c r="AD20" s="35"/>
    </row>
    <row r="21" spans="1:30">
      <c r="A21" s="102">
        <f t="shared" si="1"/>
        <v>20</v>
      </c>
      <c r="B21" s="468">
        <f>YEAR(Table6[[#This Row],[Date]])+IF(MONTH(Table6[[#This Row],[Date]])&gt;=4,1,0)</f>
        <v>2026</v>
      </c>
      <c r="C21" s="102">
        <f>YEAR(Table6[[#This Row],[Date]])</f>
        <v>2025</v>
      </c>
      <c r="D21" s="102" t="s">
        <v>1992</v>
      </c>
      <c r="E21" s="469">
        <f>Table6[[#This Row],[Date]]-DAY(Table6[[#This Row],[Date]])+1</f>
        <v>45748</v>
      </c>
      <c r="F21" s="470">
        <v>45749</v>
      </c>
      <c r="G21" s="35" t="s">
        <v>96</v>
      </c>
      <c r="H21" s="35" t="str">
        <f>IFERROR(_xlfn.XLOOKUP(Table6[[#This Row],[Affected WTG]],'Basic Data'!$A:$A,'Basic Data'!$B:$B),"")</f>
        <v>TQGXIIPL</v>
      </c>
      <c r="I21" s="35" t="str">
        <f>IFERROR(_xlfn.XLOOKUP(Table6[[#This Row],[Affected WTG]],'Basic Data'!$A:$A,'Basic Data'!$C:$C),"")</f>
        <v>GEDA</v>
      </c>
      <c r="J21" s="471">
        <f>IFERROR(_xlfn.XLOOKUP(Table6[[#This Row],[Affected WTG]],'Basic Data'!$A:$A,'Basic Data'!$E:$E),"")</f>
        <v>3.846153846153845E-2</v>
      </c>
      <c r="K21" s="102">
        <v>3110</v>
      </c>
      <c r="L21" s="35" t="str">
        <f>IFERROR(_xlfn.XLOOKUP(Table6[[#This Row],[Error Code]],'Basic Data'!$AA:$AA,'Basic Data'!$AB:$AB),"Incorrect Error Code")</f>
        <v>Frequency converter error</v>
      </c>
      <c r="M21" s="35" t="s">
        <v>291</v>
      </c>
      <c r="N21" s="475"/>
      <c r="O21" s="476">
        <v>0.74375000000000002</v>
      </c>
      <c r="P21" s="476">
        <v>0.74375000000000002</v>
      </c>
      <c r="Q21" s="477">
        <v>0.74513888888888891</v>
      </c>
      <c r="R21" s="472">
        <f>IF(Table6[[#This Row],[Work Start TimeStamp]]="","",(Table6[[#This Row],[Work Start TimeStamp]]-Table6[[#This Row],[Fault Start TimeStamp]])*24)</f>
        <v>0</v>
      </c>
      <c r="S21" s="472">
        <f>(Table6[[#This Row],[Fault Clearance time]]-Table6[[#This Row],[Work Start TimeStamp]])*24</f>
        <v>3.3333333333333215E-2</v>
      </c>
      <c r="T21" s="472">
        <f>(Table6[[#This Row],[Fault Clearance time]]-Table6[[#This Row],[Fault Start TimeStamp]])*24</f>
        <v>3.3333333333333215E-2</v>
      </c>
      <c r="U21" s="35" t="s">
        <v>353</v>
      </c>
      <c r="V21" s="102" t="s">
        <v>293</v>
      </c>
      <c r="W21" s="478">
        <f>IFERROR(Table6[[#This Row],[Breakdown Time]]*Table6[[#This Row],[Plant Equivalent Weightage]],"")</f>
        <v>1.2820512820512771E-3</v>
      </c>
      <c r="X21" s="473" t="s">
        <v>294</v>
      </c>
      <c r="Y21" s="474" t="s">
        <v>84</v>
      </c>
      <c r="Z21" s="102">
        <v>12012</v>
      </c>
      <c r="AA21" s="468">
        <f>(Table6[[#This Row],[Paired WTG Generation for loss calculation]]/24)*Table6[[#This Row],[Breakdown Time]]</f>
        <v>16.683333333333273</v>
      </c>
      <c r="AB21" s="102"/>
      <c r="AC21" s="35"/>
      <c r="AD21" s="35"/>
    </row>
    <row r="22" spans="1:30">
      <c r="A22" s="102">
        <f t="shared" si="1"/>
        <v>21</v>
      </c>
      <c r="B22" s="468">
        <f>YEAR(Table6[[#This Row],[Date]])+IF(MONTH(Table6[[#This Row],[Date]])&gt;=4,1,0)</f>
        <v>2026</v>
      </c>
      <c r="C22" s="102">
        <f>YEAR(Table6[[#This Row],[Date]])</f>
        <v>2025</v>
      </c>
      <c r="D22" s="102" t="s">
        <v>1992</v>
      </c>
      <c r="E22" s="469">
        <f>Table6[[#This Row],[Date]]-DAY(Table6[[#This Row],[Date]])+1</f>
        <v>45748</v>
      </c>
      <c r="F22" s="470">
        <v>45749</v>
      </c>
      <c r="G22" s="35" t="s">
        <v>98</v>
      </c>
      <c r="H22" s="35" t="str">
        <f>IFERROR(_xlfn.XLOOKUP(Table6[[#This Row],[Affected WTG]],'Basic Data'!$A:$A,'Basic Data'!$B:$B),"")</f>
        <v>TQGXIIPL</v>
      </c>
      <c r="I22" s="35" t="str">
        <f>IFERROR(_xlfn.XLOOKUP(Table6[[#This Row],[Affected WTG]],'Basic Data'!$A:$A,'Basic Data'!$C:$C),"")</f>
        <v>GEDA</v>
      </c>
      <c r="J22" s="471">
        <f>IFERROR(_xlfn.XLOOKUP(Table6[[#This Row],[Affected WTG]],'Basic Data'!$A:$A,'Basic Data'!$E:$E),"")</f>
        <v>3.846153846153845E-2</v>
      </c>
      <c r="K22" s="102">
        <v>6007</v>
      </c>
      <c r="L22" s="35" t="str">
        <f>IFERROR(_xlfn.XLOOKUP(Table6[[#This Row],[Error Code]],'Basic Data'!$AA:$AA,'Basic Data'!$AB:$AB),"Incorrect Error Code")</f>
        <v>Overload yaw motors group 1</v>
      </c>
      <c r="M22" s="35" t="s">
        <v>291</v>
      </c>
      <c r="N22" s="475"/>
      <c r="O22" s="476">
        <v>0.56805555555555554</v>
      </c>
      <c r="P22" s="476">
        <v>0.60833333333333328</v>
      </c>
      <c r="Q22" s="477">
        <v>0.64166666666666672</v>
      </c>
      <c r="R22" s="472">
        <f>IF(Table6[[#This Row],[Work Start TimeStamp]]="","",(Table6[[#This Row],[Work Start TimeStamp]]-Table6[[#This Row],[Fault Start TimeStamp]])*24)</f>
        <v>0.9666666666666659</v>
      </c>
      <c r="S22" s="472">
        <f>(Table6[[#This Row],[Fault Clearance time]]-Table6[[#This Row],[Work Start TimeStamp]])*24</f>
        <v>0.80000000000000249</v>
      </c>
      <c r="T22" s="472">
        <f>(Table6[[#This Row],[Fault Clearance time]]-Table6[[#This Row],[Fault Start TimeStamp]])*24</f>
        <v>1.7666666666666684</v>
      </c>
      <c r="U22" s="35" t="s">
        <v>358</v>
      </c>
      <c r="V22" s="102" t="s">
        <v>293</v>
      </c>
      <c r="W22" s="478">
        <f>IFERROR(Table6[[#This Row],[Breakdown Time]]*Table6[[#This Row],[Plant Equivalent Weightage]],"")</f>
        <v>6.7948717948717999E-2</v>
      </c>
      <c r="X22" s="473" t="s">
        <v>294</v>
      </c>
      <c r="Y22" s="474" t="s">
        <v>74</v>
      </c>
      <c r="Z22" s="102">
        <v>15390</v>
      </c>
      <c r="AA22" s="468">
        <f>(Table6[[#This Row],[Paired WTG Generation for loss calculation]]/24)*Table6[[#This Row],[Breakdown Time]]</f>
        <v>1132.8750000000011</v>
      </c>
      <c r="AB22" s="102"/>
      <c r="AC22" s="35"/>
      <c r="AD22" s="35"/>
    </row>
    <row r="23" spans="1:30">
      <c r="A23" s="102">
        <f t="shared" si="1"/>
        <v>22</v>
      </c>
      <c r="B23" s="468">
        <f>YEAR(Table6[[#This Row],[Date]])+IF(MONTH(Table6[[#This Row],[Date]])&gt;=4,1,0)</f>
        <v>2026</v>
      </c>
      <c r="C23" s="102">
        <f>YEAR(Table6[[#This Row],[Date]])</f>
        <v>2025</v>
      </c>
      <c r="D23" s="102" t="s">
        <v>1992</v>
      </c>
      <c r="E23" s="469">
        <f>Table6[[#This Row],[Date]]-DAY(Table6[[#This Row],[Date]])+1</f>
        <v>45748</v>
      </c>
      <c r="F23" s="470">
        <v>45749</v>
      </c>
      <c r="G23" s="35" t="s">
        <v>99</v>
      </c>
      <c r="H23" s="35" t="str">
        <f>IFERROR(_xlfn.XLOOKUP(Table6[[#This Row],[Affected WTG]],'Basic Data'!$A:$A,'Basic Data'!$B:$B),"")</f>
        <v>TQGXIIPL</v>
      </c>
      <c r="I23" s="35" t="str">
        <f>IFERROR(_xlfn.XLOOKUP(Table6[[#This Row],[Affected WTG]],'Basic Data'!$A:$A,'Basic Data'!$C:$C),"")</f>
        <v>GEDA</v>
      </c>
      <c r="J23" s="471">
        <f>IFERROR(_xlfn.XLOOKUP(Table6[[#This Row],[Affected WTG]],'Basic Data'!$A:$A,'Basic Data'!$E:$E),"")</f>
        <v>3.846153846153845E-2</v>
      </c>
      <c r="K23" s="102">
        <v>3110</v>
      </c>
      <c r="L23" s="35" t="str">
        <f>IFERROR(_xlfn.XLOOKUP(Table6[[#This Row],[Error Code]],'Basic Data'!$AA:$AA,'Basic Data'!$AB:$AB),"Incorrect Error Code")</f>
        <v>Frequency converter error</v>
      </c>
      <c r="M23" s="35" t="s">
        <v>291</v>
      </c>
      <c r="N23" s="475"/>
      <c r="O23" s="476">
        <v>0.74375000000000002</v>
      </c>
      <c r="P23" s="476">
        <v>0.74375000000000002</v>
      </c>
      <c r="Q23" s="477">
        <v>0.74722222222222223</v>
      </c>
      <c r="R23" s="472">
        <f>IF(Table6[[#This Row],[Work Start TimeStamp]]="","",(Table6[[#This Row],[Work Start TimeStamp]]-Table6[[#This Row],[Fault Start TimeStamp]])*24)</f>
        <v>0</v>
      </c>
      <c r="S23" s="472">
        <f>(Table6[[#This Row],[Fault Clearance time]]-Table6[[#This Row],[Work Start TimeStamp]])*24</f>
        <v>8.3333333333333037E-2</v>
      </c>
      <c r="T23" s="472">
        <f>(Table6[[#This Row],[Fault Clearance time]]-Table6[[#This Row],[Fault Start TimeStamp]])*24</f>
        <v>8.3333333333333037E-2</v>
      </c>
      <c r="U23" s="35" t="s">
        <v>349</v>
      </c>
      <c r="V23" s="102" t="s">
        <v>293</v>
      </c>
      <c r="W23" s="478">
        <f>IFERROR(Table6[[#This Row],[Breakdown Time]]*Table6[[#This Row],[Plant Equivalent Weightage]],"")</f>
        <v>3.2051282051281929E-3</v>
      </c>
      <c r="X23" s="473" t="s">
        <v>294</v>
      </c>
      <c r="Y23" s="474" t="s">
        <v>74</v>
      </c>
      <c r="Z23" s="102">
        <v>15390</v>
      </c>
      <c r="AA23" s="468">
        <f>(Table6[[#This Row],[Paired WTG Generation for loss calculation]]/24)*Table6[[#This Row],[Breakdown Time]]</f>
        <v>53.437499999999808</v>
      </c>
      <c r="AB23" s="102"/>
      <c r="AC23" s="35"/>
      <c r="AD23" s="35"/>
    </row>
    <row r="24" spans="1:30">
      <c r="A24" s="102">
        <f t="shared" si="1"/>
        <v>23</v>
      </c>
      <c r="B24" s="468">
        <f>YEAR(Table6[[#This Row],[Date]])+IF(MONTH(Table6[[#This Row],[Date]])&gt;=4,1,0)</f>
        <v>2026</v>
      </c>
      <c r="C24" s="102">
        <f>YEAR(Table6[[#This Row],[Date]])</f>
        <v>2025</v>
      </c>
      <c r="D24" s="102" t="s">
        <v>1992</v>
      </c>
      <c r="E24" s="469">
        <f>Table6[[#This Row],[Date]]-DAY(Table6[[#This Row],[Date]])+1</f>
        <v>45748</v>
      </c>
      <c r="F24" s="470">
        <v>45750</v>
      </c>
      <c r="G24" s="35" t="s">
        <v>74</v>
      </c>
      <c r="H24" s="35" t="str">
        <f>IFERROR(_xlfn.XLOOKUP(Table6[[#This Row],[Affected WTG]],'Basic Data'!$A:$A,'Basic Data'!$B:$B),"")</f>
        <v>TQGXIIPL</v>
      </c>
      <c r="I24" s="35" t="str">
        <f>IFERROR(_xlfn.XLOOKUP(Table6[[#This Row],[Affected WTG]],'Basic Data'!$A:$A,'Basic Data'!$C:$C),"")</f>
        <v>GEDA</v>
      </c>
      <c r="J24" s="471">
        <f>IFERROR(_xlfn.XLOOKUP(Table6[[#This Row],[Affected WTG]],'Basic Data'!$A:$A,'Basic Data'!$E:$E),"")</f>
        <v>3.846153846153845E-2</v>
      </c>
      <c r="K24" s="102">
        <v>55</v>
      </c>
      <c r="L24" s="35" t="str">
        <f>IFERROR(_xlfn.XLOOKUP(Table6[[#This Row],[Error Code]],'Basic Data'!$AA:$AA,'Basic Data'!$AB:$AB),"Incorrect Error Code")</f>
        <v>WTG shut down</v>
      </c>
      <c r="M24" s="35" t="s">
        <v>304</v>
      </c>
      <c r="N24" s="475"/>
      <c r="O24" s="476">
        <v>0.38124999999999998</v>
      </c>
      <c r="P24" s="476">
        <v>0.38124999999999998</v>
      </c>
      <c r="Q24" s="477">
        <v>0.77777777777777779</v>
      </c>
      <c r="R24" s="472">
        <f>IF(Table6[[#This Row],[Work Start TimeStamp]]="","",(Table6[[#This Row],[Work Start TimeStamp]]-Table6[[#This Row],[Fault Start TimeStamp]])*24)</f>
        <v>0</v>
      </c>
      <c r="S24" s="472">
        <f>(Table6[[#This Row],[Fault Clearance time]]-Table6[[#This Row],[Work Start TimeStamp]])*24</f>
        <v>9.5166666666666675</v>
      </c>
      <c r="T24" s="472">
        <f>(Table6[[#This Row],[Fault Clearance time]]-Table6[[#This Row],[Fault Start TimeStamp]])*24</f>
        <v>9.5166666666666675</v>
      </c>
      <c r="U24" s="35" t="s">
        <v>351</v>
      </c>
      <c r="V24" s="102" t="s">
        <v>293</v>
      </c>
      <c r="W24" s="478">
        <f>IFERROR(Table6[[#This Row],[Breakdown Time]]*Table6[[#This Row],[Plant Equivalent Weightage]],"")</f>
        <v>0.36602564102564095</v>
      </c>
      <c r="X24" s="473" t="s">
        <v>305</v>
      </c>
      <c r="Y24" s="474" t="s">
        <v>99</v>
      </c>
      <c r="Z24" s="102">
        <v>13667</v>
      </c>
      <c r="AA24" s="468">
        <f>(Table6[[#This Row],[Paired WTG Generation for loss calculation]]/24)*Table6[[#This Row],[Breakdown Time]]</f>
        <v>5419.3451388888898</v>
      </c>
      <c r="AB24" s="102"/>
      <c r="AC24" s="35"/>
      <c r="AD24" s="35"/>
    </row>
    <row r="25" spans="1:30">
      <c r="A25" s="102">
        <f t="shared" si="1"/>
        <v>24</v>
      </c>
      <c r="B25" s="468">
        <f>YEAR(Table6[[#This Row],[Date]])+IF(MONTH(Table6[[#This Row],[Date]])&gt;=4,1,0)</f>
        <v>2026</v>
      </c>
      <c r="C25" s="102">
        <f>YEAR(Table6[[#This Row],[Date]])</f>
        <v>2025</v>
      </c>
      <c r="D25" s="102" t="s">
        <v>1992</v>
      </c>
      <c r="E25" s="469">
        <f>Table6[[#This Row],[Date]]-DAY(Table6[[#This Row],[Date]])+1</f>
        <v>45748</v>
      </c>
      <c r="F25" s="470">
        <v>45750</v>
      </c>
      <c r="G25" s="35" t="s">
        <v>80</v>
      </c>
      <c r="H25" s="35" t="str">
        <f>IFERROR(_xlfn.XLOOKUP(Table6[[#This Row],[Affected WTG]],'Basic Data'!$A:$A,'Basic Data'!$B:$B),"")</f>
        <v>TQGXIIPL</v>
      </c>
      <c r="I25" s="35" t="str">
        <f>IFERROR(_xlfn.XLOOKUP(Table6[[#This Row],[Affected WTG]],'Basic Data'!$A:$A,'Basic Data'!$C:$C),"")</f>
        <v>GEDA</v>
      </c>
      <c r="J25" s="471">
        <f>IFERROR(_xlfn.XLOOKUP(Table6[[#This Row],[Affected WTG]],'Basic Data'!$A:$A,'Basic Data'!$E:$E),"")</f>
        <v>3.846153846153845E-2</v>
      </c>
      <c r="K25" s="102">
        <v>175</v>
      </c>
      <c r="L25" s="35" t="str">
        <f>IFERROR(_xlfn.XLOOKUP(Table6[[#This Row],[Error Code]],'Basic Data'!$AA:$AA,'Basic Data'!$AB:$AB),"Incorrect Error Code")</f>
        <v>SLC error</v>
      </c>
      <c r="M25" s="35" t="s">
        <v>291</v>
      </c>
      <c r="N25" s="475"/>
      <c r="O25" s="476">
        <v>0.5</v>
      </c>
      <c r="P25" s="476">
        <v>0.5</v>
      </c>
      <c r="Q25" s="477">
        <v>0.50277777777777777</v>
      </c>
      <c r="R25" s="472">
        <f>IF(Table6[[#This Row],[Work Start TimeStamp]]="","",(Table6[[#This Row],[Work Start TimeStamp]]-Table6[[#This Row],[Fault Start TimeStamp]])*24)</f>
        <v>0</v>
      </c>
      <c r="S25" s="472">
        <f>(Table6[[#This Row],[Fault Clearance time]]-Table6[[#This Row],[Work Start TimeStamp]])*24</f>
        <v>6.666666666666643E-2</v>
      </c>
      <c r="T25" s="472">
        <f>(Table6[[#This Row],[Fault Clearance time]]-Table6[[#This Row],[Fault Start TimeStamp]])*24</f>
        <v>6.666666666666643E-2</v>
      </c>
      <c r="U25" s="35" t="s">
        <v>349</v>
      </c>
      <c r="V25" s="102" t="s">
        <v>293</v>
      </c>
      <c r="W25" s="478">
        <f>IFERROR(Table6[[#This Row],[Breakdown Time]]*Table6[[#This Row],[Plant Equivalent Weightage]],"")</f>
        <v>2.5641025641025541E-3</v>
      </c>
      <c r="X25" s="473" t="s">
        <v>294</v>
      </c>
      <c r="Y25" s="474" t="s">
        <v>77</v>
      </c>
      <c r="Z25" s="102">
        <v>11906</v>
      </c>
      <c r="AA25" s="468">
        <f>(Table6[[#This Row],[Paired WTG Generation for loss calculation]]/24)*Table6[[#This Row],[Breakdown Time]]</f>
        <v>33.072222222222102</v>
      </c>
      <c r="AB25" s="102"/>
      <c r="AC25" s="35"/>
      <c r="AD25" s="35"/>
    </row>
    <row r="26" spans="1:30">
      <c r="A26" s="102">
        <f t="shared" si="1"/>
        <v>25</v>
      </c>
      <c r="B26" s="468">
        <f>YEAR(Table6[[#This Row],[Date]])+IF(MONTH(Table6[[#This Row],[Date]])&gt;=4,1,0)</f>
        <v>2026</v>
      </c>
      <c r="C26" s="102">
        <f>YEAR(Table6[[#This Row],[Date]])</f>
        <v>2025</v>
      </c>
      <c r="D26" s="102" t="s">
        <v>1992</v>
      </c>
      <c r="E26" s="469">
        <f>Table6[[#This Row],[Date]]-DAY(Table6[[#This Row],[Date]])+1</f>
        <v>45748</v>
      </c>
      <c r="F26" s="470">
        <v>45750</v>
      </c>
      <c r="G26" s="35" t="s">
        <v>81</v>
      </c>
      <c r="H26" s="35" t="str">
        <f>IFERROR(_xlfn.XLOOKUP(Table6[[#This Row],[Affected WTG]],'Basic Data'!$A:$A,'Basic Data'!$B:$B),"")</f>
        <v>TQGXIIPL</v>
      </c>
      <c r="I26" s="35" t="str">
        <f>IFERROR(_xlfn.XLOOKUP(Table6[[#This Row],[Affected WTG]],'Basic Data'!$A:$A,'Basic Data'!$C:$C),"")</f>
        <v>GEDA</v>
      </c>
      <c r="J26" s="471">
        <f>IFERROR(_xlfn.XLOOKUP(Table6[[#This Row],[Affected WTG]],'Basic Data'!$A:$A,'Basic Data'!$E:$E),"")</f>
        <v>3.846153846153845E-2</v>
      </c>
      <c r="K26" s="102">
        <v>153</v>
      </c>
      <c r="L26" s="35" t="str">
        <f>IFERROR(_xlfn.XLOOKUP(Table6[[#This Row],[Error Code]],'Basic Data'!$AA:$AA,'Basic Data'!$AB:$AB),"Incorrect Error Code")</f>
        <v>SLC SF max. cable winding</v>
      </c>
      <c r="M26" s="35" t="s">
        <v>291</v>
      </c>
      <c r="N26" s="475"/>
      <c r="O26" s="476">
        <v>0.94097222222222221</v>
      </c>
      <c r="P26" s="476">
        <v>0.94097222222222221</v>
      </c>
      <c r="Q26" s="477">
        <v>0.95694444444444449</v>
      </c>
      <c r="R26" s="472">
        <f>IF(Table6[[#This Row],[Work Start TimeStamp]]="","",(Table6[[#This Row],[Work Start TimeStamp]]-Table6[[#This Row],[Fault Start TimeStamp]])*24)</f>
        <v>0</v>
      </c>
      <c r="S26" s="472">
        <f>(Table6[[#This Row],[Fault Clearance time]]-Table6[[#This Row],[Work Start TimeStamp]])*24</f>
        <v>0.38333333333333464</v>
      </c>
      <c r="T26" s="472">
        <f>(Table6[[#This Row],[Fault Clearance time]]-Table6[[#This Row],[Fault Start TimeStamp]])*24</f>
        <v>0.38333333333333464</v>
      </c>
      <c r="U26" s="35" t="s">
        <v>359</v>
      </c>
      <c r="V26" s="102" t="s">
        <v>293</v>
      </c>
      <c r="W26" s="478">
        <f>IFERROR(Table6[[#This Row],[Breakdown Time]]*Table6[[#This Row],[Plant Equivalent Weightage]],"")</f>
        <v>1.4743589743589788E-2</v>
      </c>
      <c r="X26" s="473" t="s">
        <v>294</v>
      </c>
      <c r="Y26" s="474" t="s">
        <v>99</v>
      </c>
      <c r="Z26" s="102">
        <v>13667</v>
      </c>
      <c r="AA26" s="468">
        <f>(Table6[[#This Row],[Paired WTG Generation for loss calculation]]/24)*Table6[[#This Row],[Breakdown Time]]</f>
        <v>218.29236111111186</v>
      </c>
      <c r="AB26" s="102"/>
      <c r="AC26" s="35"/>
      <c r="AD26" s="35"/>
    </row>
    <row r="27" spans="1:30">
      <c r="A27" s="102">
        <f t="shared" si="1"/>
        <v>26</v>
      </c>
      <c r="B27" s="468">
        <f>YEAR(Table6[[#This Row],[Date]])+IF(MONTH(Table6[[#This Row],[Date]])&gt;=4,1,0)</f>
        <v>2026</v>
      </c>
      <c r="C27" s="102">
        <f>YEAR(Table6[[#This Row],[Date]])</f>
        <v>2025</v>
      </c>
      <c r="D27" s="102" t="s">
        <v>1992</v>
      </c>
      <c r="E27" s="469">
        <f>Table6[[#This Row],[Date]]-DAY(Table6[[#This Row],[Date]])+1</f>
        <v>45748</v>
      </c>
      <c r="F27" s="470">
        <v>45750</v>
      </c>
      <c r="G27" s="35" t="s">
        <v>83</v>
      </c>
      <c r="H27" s="35" t="str">
        <f>IFERROR(_xlfn.XLOOKUP(Table6[[#This Row],[Affected WTG]],'Basic Data'!$A:$A,'Basic Data'!$B:$B),"")</f>
        <v>TQGXIIPL</v>
      </c>
      <c r="I27" s="35" t="str">
        <f>IFERROR(_xlfn.XLOOKUP(Table6[[#This Row],[Affected WTG]],'Basic Data'!$A:$A,'Basic Data'!$C:$C),"")</f>
        <v>GEDA</v>
      </c>
      <c r="J27" s="471">
        <f>IFERROR(_xlfn.XLOOKUP(Table6[[#This Row],[Affected WTG]],'Basic Data'!$A:$A,'Basic Data'!$E:$E),"")</f>
        <v>3.846153846153845E-2</v>
      </c>
      <c r="K27" s="102">
        <v>3271</v>
      </c>
      <c r="L27" s="35" t="str">
        <f>IFERROR(_xlfn.XLOOKUP(Table6[[#This Row],[Error Code]],'Basic Data'!$AA:$AA,'Basic Data'!$AB:$AB),"Incorrect Error Code")</f>
        <v>Converter torque monitor level 1</v>
      </c>
      <c r="M27" s="35" t="s">
        <v>292</v>
      </c>
      <c r="N27" s="475"/>
      <c r="O27" s="476">
        <v>0.45902777777777776</v>
      </c>
      <c r="P27" s="476">
        <v>0.45902777777777776</v>
      </c>
      <c r="Q27" s="477">
        <v>0.4597222222222222</v>
      </c>
      <c r="R27" s="472">
        <f>IF(Table6[[#This Row],[Work Start TimeStamp]]="","",(Table6[[#This Row],[Work Start TimeStamp]]-Table6[[#This Row],[Fault Start TimeStamp]])*24)</f>
        <v>0</v>
      </c>
      <c r="S27" s="472">
        <f>(Table6[[#This Row],[Fault Clearance time]]-Table6[[#This Row],[Work Start TimeStamp]])*24</f>
        <v>1.6666666666666607E-2</v>
      </c>
      <c r="T27" s="472">
        <f>(Table6[[#This Row],[Fault Clearance time]]-Table6[[#This Row],[Fault Start TimeStamp]])*24</f>
        <v>1.6666666666666607E-2</v>
      </c>
      <c r="U27" s="35" t="s">
        <v>336</v>
      </c>
      <c r="V27" s="102" t="s">
        <v>293</v>
      </c>
      <c r="W27" s="478">
        <f>IFERROR(Table6[[#This Row],[Breakdown Time]]*Table6[[#This Row],[Plant Equivalent Weightage]],"")</f>
        <v>6.4102564102563853E-4</v>
      </c>
      <c r="X27" s="473" t="s">
        <v>294</v>
      </c>
      <c r="Y27" s="474" t="s">
        <v>88</v>
      </c>
      <c r="Z27" s="102">
        <v>16142</v>
      </c>
      <c r="AA27" s="468">
        <f>(Table6[[#This Row],[Paired WTG Generation for loss calculation]]/24)*Table6[[#This Row],[Breakdown Time]]</f>
        <v>11.209722222222183</v>
      </c>
      <c r="AB27" s="102"/>
      <c r="AC27" s="35"/>
      <c r="AD27" s="35"/>
    </row>
    <row r="28" spans="1:30">
      <c r="A28" s="102">
        <f t="shared" si="1"/>
        <v>27</v>
      </c>
      <c r="B28" s="468">
        <f>YEAR(Table6[[#This Row],[Date]])+IF(MONTH(Table6[[#This Row],[Date]])&gt;=4,1,0)</f>
        <v>2026</v>
      </c>
      <c r="C28" s="102">
        <f>YEAR(Table6[[#This Row],[Date]])</f>
        <v>2025</v>
      </c>
      <c r="D28" s="102" t="s">
        <v>1992</v>
      </c>
      <c r="E28" s="469">
        <f>Table6[[#This Row],[Date]]-DAY(Table6[[#This Row],[Date]])+1</f>
        <v>45748</v>
      </c>
      <c r="F28" s="470">
        <v>45750</v>
      </c>
      <c r="G28" s="35" t="s">
        <v>83</v>
      </c>
      <c r="H28" s="35" t="str">
        <f>IFERROR(_xlfn.XLOOKUP(Table6[[#This Row],[Affected WTG]],'Basic Data'!$A:$A,'Basic Data'!$B:$B),"")</f>
        <v>TQGXIIPL</v>
      </c>
      <c r="I28" s="35" t="str">
        <f>IFERROR(_xlfn.XLOOKUP(Table6[[#This Row],[Affected WTG]],'Basic Data'!$A:$A,'Basic Data'!$C:$C),"")</f>
        <v>GEDA</v>
      </c>
      <c r="J28" s="471">
        <f>IFERROR(_xlfn.XLOOKUP(Table6[[#This Row],[Affected WTG]],'Basic Data'!$A:$A,'Basic Data'!$E:$E),"")</f>
        <v>3.846153846153845E-2</v>
      </c>
      <c r="K28" s="102">
        <v>3271</v>
      </c>
      <c r="L28" s="35" t="str">
        <f>IFERROR(_xlfn.XLOOKUP(Table6[[#This Row],[Error Code]],'Basic Data'!$AA:$AA,'Basic Data'!$AB:$AB),"Incorrect Error Code")</f>
        <v>Converter torque monitor level 1</v>
      </c>
      <c r="M28" s="35" t="s">
        <v>292</v>
      </c>
      <c r="N28" s="475"/>
      <c r="O28" s="476">
        <v>0.46736111111111112</v>
      </c>
      <c r="P28" s="476">
        <v>0.46736111111111112</v>
      </c>
      <c r="Q28" s="477">
        <v>0.46805555555555556</v>
      </c>
      <c r="R28" s="472">
        <f>IF(Table6[[#This Row],[Work Start TimeStamp]]="","",(Table6[[#This Row],[Work Start TimeStamp]]-Table6[[#This Row],[Fault Start TimeStamp]])*24)</f>
        <v>0</v>
      </c>
      <c r="S28" s="472">
        <f>(Table6[[#This Row],[Fault Clearance time]]-Table6[[#This Row],[Work Start TimeStamp]])*24</f>
        <v>1.6666666666666607E-2</v>
      </c>
      <c r="T28" s="472">
        <f>(Table6[[#This Row],[Fault Clearance time]]-Table6[[#This Row],[Fault Start TimeStamp]])*24</f>
        <v>1.6666666666666607E-2</v>
      </c>
      <c r="U28" s="35" t="s">
        <v>336</v>
      </c>
      <c r="V28" s="102" t="s">
        <v>293</v>
      </c>
      <c r="W28" s="478">
        <f>IFERROR(Table6[[#This Row],[Breakdown Time]]*Table6[[#This Row],[Plant Equivalent Weightage]],"")</f>
        <v>6.4102564102563853E-4</v>
      </c>
      <c r="X28" s="473" t="s">
        <v>294</v>
      </c>
      <c r="Y28" s="474" t="s">
        <v>88</v>
      </c>
      <c r="Z28" s="102">
        <v>16142</v>
      </c>
      <c r="AA28" s="468">
        <f>(Table6[[#This Row],[Paired WTG Generation for loss calculation]]/24)*Table6[[#This Row],[Breakdown Time]]</f>
        <v>11.209722222222183</v>
      </c>
      <c r="AB28" s="102"/>
      <c r="AC28" s="35"/>
      <c r="AD28" s="35"/>
    </row>
    <row r="29" spans="1:30">
      <c r="A29" s="102">
        <f t="shared" si="1"/>
        <v>28</v>
      </c>
      <c r="B29" s="468">
        <f>YEAR(Table6[[#This Row],[Date]])+IF(MONTH(Table6[[#This Row],[Date]])&gt;=4,1,0)</f>
        <v>2026</v>
      </c>
      <c r="C29" s="102">
        <f>YEAR(Table6[[#This Row],[Date]])</f>
        <v>2025</v>
      </c>
      <c r="D29" s="102" t="s">
        <v>1992</v>
      </c>
      <c r="E29" s="469">
        <f>Table6[[#This Row],[Date]]-DAY(Table6[[#This Row],[Date]])+1</f>
        <v>45748</v>
      </c>
      <c r="F29" s="470">
        <v>45750</v>
      </c>
      <c r="G29" s="35" t="s">
        <v>87</v>
      </c>
      <c r="H29" s="35" t="str">
        <f>IFERROR(_xlfn.XLOOKUP(Table6[[#This Row],[Affected WTG]],'Basic Data'!$A:$A,'Basic Data'!$B:$B),"")</f>
        <v>TQGXIIPL</v>
      </c>
      <c r="I29" s="35" t="str">
        <f>IFERROR(_xlfn.XLOOKUP(Table6[[#This Row],[Affected WTG]],'Basic Data'!$A:$A,'Basic Data'!$C:$C),"")</f>
        <v>GEDA</v>
      </c>
      <c r="J29" s="471">
        <f>IFERROR(_xlfn.XLOOKUP(Table6[[#This Row],[Affected WTG]],'Basic Data'!$A:$A,'Basic Data'!$E:$E),"")</f>
        <v>3.846153846153845E-2</v>
      </c>
      <c r="K29" s="102">
        <v>3211</v>
      </c>
      <c r="L29" s="35" t="str">
        <f>IFERROR(_xlfn.XLOOKUP(Table6[[#This Row],[Error Code]],'Basic Data'!$AA:$AA,'Basic Data'!$AB:$AB),"Incorrect Error Code")</f>
        <v>Conv. load shedding (CAN)</v>
      </c>
      <c r="M29" s="35" t="s">
        <v>291</v>
      </c>
      <c r="N29" s="475"/>
      <c r="O29" s="476">
        <v>0.52777777777777779</v>
      </c>
      <c r="P29" s="476">
        <v>0.52777777777777779</v>
      </c>
      <c r="Q29" s="477">
        <v>0.53680555555555554</v>
      </c>
      <c r="R29" s="472">
        <f>IF(Table6[[#This Row],[Work Start TimeStamp]]="","",(Table6[[#This Row],[Work Start TimeStamp]]-Table6[[#This Row],[Fault Start TimeStamp]])*24)</f>
        <v>0</v>
      </c>
      <c r="S29" s="472">
        <f>(Table6[[#This Row],[Fault Clearance time]]-Table6[[#This Row],[Work Start TimeStamp]])*24</f>
        <v>0.2166666666666659</v>
      </c>
      <c r="T29" s="472">
        <f>(Table6[[#This Row],[Fault Clearance time]]-Table6[[#This Row],[Fault Start TimeStamp]])*24</f>
        <v>0.2166666666666659</v>
      </c>
      <c r="U29" s="35" t="s">
        <v>360</v>
      </c>
      <c r="V29" s="102" t="s">
        <v>293</v>
      </c>
      <c r="W29" s="478">
        <f>IFERROR(Table6[[#This Row],[Breakdown Time]]*Table6[[#This Row],[Plant Equivalent Weightage]],"")</f>
        <v>8.333333333333302E-3</v>
      </c>
      <c r="X29" s="473" t="s">
        <v>294</v>
      </c>
      <c r="Y29" s="474" t="s">
        <v>85</v>
      </c>
      <c r="Z29" s="102">
        <v>14465</v>
      </c>
      <c r="AA29" s="468">
        <f>(Table6[[#This Row],[Paired WTG Generation for loss calculation]]/24)*Table6[[#This Row],[Breakdown Time]]</f>
        <v>130.58680555555509</v>
      </c>
      <c r="AB29" s="102"/>
      <c r="AC29" s="35"/>
      <c r="AD29" s="35"/>
    </row>
    <row r="30" spans="1:30">
      <c r="A30" s="102">
        <f t="shared" si="1"/>
        <v>29</v>
      </c>
      <c r="B30" s="468">
        <f>YEAR(Table6[[#This Row],[Date]])+IF(MONTH(Table6[[#This Row],[Date]])&gt;=4,1,0)</f>
        <v>2026</v>
      </c>
      <c r="C30" s="102">
        <f>YEAR(Table6[[#This Row],[Date]])</f>
        <v>2025</v>
      </c>
      <c r="D30" s="102" t="s">
        <v>1992</v>
      </c>
      <c r="E30" s="469">
        <f>Table6[[#This Row],[Date]]-DAY(Table6[[#This Row],[Date]])+1</f>
        <v>45748</v>
      </c>
      <c r="F30" s="470">
        <v>45750</v>
      </c>
      <c r="G30" s="35" t="s">
        <v>89</v>
      </c>
      <c r="H30" s="35" t="str">
        <f>IFERROR(_xlfn.XLOOKUP(Table6[[#This Row],[Affected WTG]],'Basic Data'!$A:$A,'Basic Data'!$B:$B),"")</f>
        <v>TQGXIIPL</v>
      </c>
      <c r="I30" s="35" t="str">
        <f>IFERROR(_xlfn.XLOOKUP(Table6[[#This Row],[Affected WTG]],'Basic Data'!$A:$A,'Basic Data'!$C:$C),"")</f>
        <v>GEDA</v>
      </c>
      <c r="J30" s="471">
        <f>IFERROR(_xlfn.XLOOKUP(Table6[[#This Row],[Affected WTG]],'Basic Data'!$A:$A,'Basic Data'!$E:$E),"")</f>
        <v>3.846153846153845E-2</v>
      </c>
      <c r="K30" s="102">
        <v>3000</v>
      </c>
      <c r="L30" s="35" t="str">
        <f>IFERROR(_xlfn.XLOOKUP(Table6[[#This Row],[Error Code]],'Basic Data'!$AA:$AA,'Basic Data'!$AB:$AB),"Incorrect Error Code")</f>
        <v>Frequency converter not ready</v>
      </c>
      <c r="M30" s="35" t="s">
        <v>291</v>
      </c>
      <c r="N30" s="475"/>
      <c r="O30" s="476">
        <v>0.44791666666666669</v>
      </c>
      <c r="P30" s="476">
        <v>0.44791666666666669</v>
      </c>
      <c r="Q30" s="477">
        <v>0.66111111111111109</v>
      </c>
      <c r="R30" s="472">
        <f>IF(Table6[[#This Row],[Work Start TimeStamp]]="","",(Table6[[#This Row],[Work Start TimeStamp]]-Table6[[#This Row],[Fault Start TimeStamp]])*24)</f>
        <v>0</v>
      </c>
      <c r="S30" s="472">
        <f>(Table6[[#This Row],[Fault Clearance time]]-Table6[[#This Row],[Work Start TimeStamp]])*24</f>
        <v>5.1166666666666654</v>
      </c>
      <c r="T30" s="472">
        <f>(Table6[[#This Row],[Fault Clearance time]]-Table6[[#This Row],[Fault Start TimeStamp]])*24</f>
        <v>5.1166666666666654</v>
      </c>
      <c r="U30" s="35" t="s">
        <v>361</v>
      </c>
      <c r="V30" s="102" t="s">
        <v>293</v>
      </c>
      <c r="W30" s="478">
        <f>IFERROR(Table6[[#This Row],[Breakdown Time]]*Table6[[#This Row],[Plant Equivalent Weightage]],"")</f>
        <v>0.19679487179487168</v>
      </c>
      <c r="X30" s="473" t="s">
        <v>294</v>
      </c>
      <c r="Y30" s="474" t="s">
        <v>94</v>
      </c>
      <c r="Z30" s="102">
        <v>11665</v>
      </c>
      <c r="AA30" s="468">
        <f>(Table6[[#This Row],[Paired WTG Generation for loss calculation]]/24)*Table6[[#This Row],[Breakdown Time]]</f>
        <v>2486.9131944444439</v>
      </c>
      <c r="AB30" s="102"/>
      <c r="AC30" s="35"/>
      <c r="AD30" s="35"/>
    </row>
    <row r="31" spans="1:30">
      <c r="A31" s="102">
        <f t="shared" si="1"/>
        <v>30</v>
      </c>
      <c r="B31" s="468">
        <f>YEAR(Table6[[#This Row],[Date]])+IF(MONTH(Table6[[#This Row],[Date]])&gt;=4,1,0)</f>
        <v>2026</v>
      </c>
      <c r="C31" s="102">
        <f>YEAR(Table6[[#This Row],[Date]])</f>
        <v>2025</v>
      </c>
      <c r="D31" s="102" t="s">
        <v>1992</v>
      </c>
      <c r="E31" s="469">
        <f>Table6[[#This Row],[Date]]-DAY(Table6[[#This Row],[Date]])+1</f>
        <v>45748</v>
      </c>
      <c r="F31" s="470">
        <v>45751</v>
      </c>
      <c r="G31" s="35" t="s">
        <v>74</v>
      </c>
      <c r="H31" s="35" t="str">
        <f>IFERROR(_xlfn.XLOOKUP(Table6[[#This Row],[Affected WTG]],'Basic Data'!$A:$A,'Basic Data'!$B:$B),"")</f>
        <v>TQGXIIPL</v>
      </c>
      <c r="I31" s="35" t="str">
        <f>IFERROR(_xlfn.XLOOKUP(Table6[[#This Row],[Affected WTG]],'Basic Data'!$A:$A,'Basic Data'!$C:$C),"")</f>
        <v>GEDA</v>
      </c>
      <c r="J31" s="471">
        <f>IFERROR(_xlfn.XLOOKUP(Table6[[#This Row],[Affected WTG]],'Basic Data'!$A:$A,'Basic Data'!$E:$E),"")</f>
        <v>3.846153846153845E-2</v>
      </c>
      <c r="K31" s="102">
        <v>5550</v>
      </c>
      <c r="L31" s="35" t="str">
        <f>IFERROR(_xlfn.XLOOKUP(Table6[[#This Row],[Error Code]],'Basic Data'!$AA:$AA,'Basic Data'!$AB:$AB),"Incorrect Error Code")</f>
        <v>Low hydraulic oil level</v>
      </c>
      <c r="M31" s="35" t="s">
        <v>291</v>
      </c>
      <c r="N31" s="475"/>
      <c r="O31" s="476">
        <v>0.17083333333333334</v>
      </c>
      <c r="P31" s="476">
        <v>0.17083333333333334</v>
      </c>
      <c r="Q31" s="477">
        <v>0.26250000000000001</v>
      </c>
      <c r="R31" s="472">
        <f>IF(Table6[[#This Row],[Work Start TimeStamp]]="","",(Table6[[#This Row],[Work Start TimeStamp]]-Table6[[#This Row],[Fault Start TimeStamp]])*24)</f>
        <v>0</v>
      </c>
      <c r="S31" s="472">
        <f>(Table6[[#This Row],[Fault Clearance time]]-Table6[[#This Row],[Work Start TimeStamp]])*24</f>
        <v>2.2000000000000002</v>
      </c>
      <c r="T31" s="472">
        <f>(Table6[[#This Row],[Fault Clearance time]]-Table6[[#This Row],[Fault Start TimeStamp]])*24</f>
        <v>2.2000000000000002</v>
      </c>
      <c r="U31" s="35" t="s">
        <v>362</v>
      </c>
      <c r="V31" s="102" t="s">
        <v>293</v>
      </c>
      <c r="W31" s="478">
        <f>IFERROR(Table6[[#This Row],[Breakdown Time]]*Table6[[#This Row],[Plant Equivalent Weightage]],"")</f>
        <v>8.4615384615384592E-2</v>
      </c>
      <c r="X31" s="473" t="s">
        <v>294</v>
      </c>
      <c r="Y31" s="474" t="s">
        <v>99</v>
      </c>
      <c r="Z31" s="102">
        <v>7143</v>
      </c>
      <c r="AA31" s="468">
        <f>(Table6[[#This Row],[Paired WTG Generation for loss calculation]]/24)*Table6[[#This Row],[Breakdown Time]]</f>
        <v>654.77500000000009</v>
      </c>
      <c r="AB31" s="102"/>
      <c r="AC31" s="35"/>
      <c r="AD31" s="35"/>
    </row>
    <row r="32" spans="1:30">
      <c r="A32" s="102">
        <f t="shared" si="1"/>
        <v>31</v>
      </c>
      <c r="B32" s="468">
        <f>YEAR(Table6[[#This Row],[Date]])+IF(MONTH(Table6[[#This Row],[Date]])&gt;=4,1,0)</f>
        <v>2026</v>
      </c>
      <c r="C32" s="102">
        <f>YEAR(Table6[[#This Row],[Date]])</f>
        <v>2025</v>
      </c>
      <c r="D32" s="102" t="s">
        <v>1992</v>
      </c>
      <c r="E32" s="469">
        <f>Table6[[#This Row],[Date]]-DAY(Table6[[#This Row],[Date]])+1</f>
        <v>45748</v>
      </c>
      <c r="F32" s="470">
        <v>45751</v>
      </c>
      <c r="G32" s="35" t="s">
        <v>74</v>
      </c>
      <c r="H32" s="35" t="str">
        <f>IFERROR(_xlfn.XLOOKUP(Table6[[#This Row],[Affected WTG]],'Basic Data'!$A:$A,'Basic Data'!$B:$B),"")</f>
        <v>TQGXIIPL</v>
      </c>
      <c r="I32" s="35" t="str">
        <f>IFERROR(_xlfn.XLOOKUP(Table6[[#This Row],[Affected WTG]],'Basic Data'!$A:$A,'Basic Data'!$C:$C),"")</f>
        <v>GEDA</v>
      </c>
      <c r="J32" s="471">
        <f>IFERROR(_xlfn.XLOOKUP(Table6[[#This Row],[Affected WTG]],'Basic Data'!$A:$A,'Basic Data'!$E:$E),"")</f>
        <v>3.846153846153845E-2</v>
      </c>
      <c r="K32" s="102">
        <v>55</v>
      </c>
      <c r="L32" s="35" t="str">
        <f>IFERROR(_xlfn.XLOOKUP(Table6[[#This Row],[Error Code]],'Basic Data'!$AA:$AA,'Basic Data'!$AB:$AB),"Incorrect Error Code")</f>
        <v>WTG shut down</v>
      </c>
      <c r="M32" s="35" t="s">
        <v>304</v>
      </c>
      <c r="N32" s="475"/>
      <c r="O32" s="476">
        <v>0.40972222222222221</v>
      </c>
      <c r="P32" s="476">
        <v>0.40972222222222221</v>
      </c>
      <c r="Q32" s="477">
        <v>0.64097222222222228</v>
      </c>
      <c r="R32" s="472">
        <f>IF(Table6[[#This Row],[Work Start TimeStamp]]="","",(Table6[[#This Row],[Work Start TimeStamp]]-Table6[[#This Row],[Fault Start TimeStamp]])*24)</f>
        <v>0</v>
      </c>
      <c r="S32" s="472">
        <f>(Table6[[#This Row],[Fault Clearance time]]-Table6[[#This Row],[Work Start TimeStamp]])*24</f>
        <v>5.5500000000000016</v>
      </c>
      <c r="T32" s="472">
        <f>(Table6[[#This Row],[Fault Clearance time]]-Table6[[#This Row],[Fault Start TimeStamp]])*24</f>
        <v>5.5500000000000016</v>
      </c>
      <c r="U32" s="35" t="s">
        <v>357</v>
      </c>
      <c r="V32" s="102" t="s">
        <v>293</v>
      </c>
      <c r="W32" s="478">
        <f>IFERROR(Table6[[#This Row],[Breakdown Time]]*Table6[[#This Row],[Plant Equivalent Weightage]],"")</f>
        <v>0.21346153846153845</v>
      </c>
      <c r="X32" s="473" t="s">
        <v>305</v>
      </c>
      <c r="Y32" s="474" t="s">
        <v>99</v>
      </c>
      <c r="Z32" s="102">
        <v>7143</v>
      </c>
      <c r="AA32" s="468">
        <f>(Table6[[#This Row],[Paired WTG Generation for loss calculation]]/24)*Table6[[#This Row],[Breakdown Time]]</f>
        <v>1651.8187500000004</v>
      </c>
      <c r="AB32" s="102"/>
      <c r="AC32" s="35"/>
      <c r="AD32" s="35"/>
    </row>
    <row r="33" spans="1:30">
      <c r="A33" s="102">
        <f t="shared" si="1"/>
        <v>32</v>
      </c>
      <c r="B33" s="468">
        <f>YEAR(Table6[[#This Row],[Date]])+IF(MONTH(Table6[[#This Row],[Date]])&gt;=4,1,0)</f>
        <v>2026</v>
      </c>
      <c r="C33" s="102">
        <f>YEAR(Table6[[#This Row],[Date]])</f>
        <v>2025</v>
      </c>
      <c r="D33" s="102" t="s">
        <v>1992</v>
      </c>
      <c r="E33" s="469">
        <f>Table6[[#This Row],[Date]]-DAY(Table6[[#This Row],[Date]])+1</f>
        <v>45748</v>
      </c>
      <c r="F33" s="470">
        <v>45751</v>
      </c>
      <c r="G33" s="35" t="s">
        <v>78</v>
      </c>
      <c r="H33" s="35" t="str">
        <f>IFERROR(_xlfn.XLOOKUP(Table6[[#This Row],[Affected WTG]],'Basic Data'!$A:$A,'Basic Data'!$B:$B),"")</f>
        <v>TQGXIIPL</v>
      </c>
      <c r="I33" s="35" t="str">
        <f>IFERROR(_xlfn.XLOOKUP(Table6[[#This Row],[Affected WTG]],'Basic Data'!$A:$A,'Basic Data'!$C:$C),"")</f>
        <v>GEDA</v>
      </c>
      <c r="J33" s="471">
        <f>IFERROR(_xlfn.XLOOKUP(Table6[[#This Row],[Affected WTG]],'Basic Data'!$A:$A,'Basic Data'!$E:$E),"")</f>
        <v>3.846153846153845E-2</v>
      </c>
      <c r="K33" s="102">
        <v>3000</v>
      </c>
      <c r="L33" s="35" t="str">
        <f>IFERROR(_xlfn.XLOOKUP(Table6[[#This Row],[Error Code]],'Basic Data'!$AA:$AA,'Basic Data'!$AB:$AB),"Incorrect Error Code")</f>
        <v>Frequency converter not ready</v>
      </c>
      <c r="M33" s="35" t="s">
        <v>292</v>
      </c>
      <c r="N33" s="475"/>
      <c r="O33" s="476">
        <v>0.21180555555555555</v>
      </c>
      <c r="P33" s="476">
        <v>0.21180555555555555</v>
      </c>
      <c r="Q33" s="477">
        <v>0.21388888888888888</v>
      </c>
      <c r="R33" s="472">
        <f>IF(Table6[[#This Row],[Work Start TimeStamp]]="","",(Table6[[#This Row],[Work Start TimeStamp]]-Table6[[#This Row],[Fault Start TimeStamp]])*24)</f>
        <v>0</v>
      </c>
      <c r="S33" s="472">
        <f>(Table6[[#This Row],[Fault Clearance time]]-Table6[[#This Row],[Work Start TimeStamp]])*24</f>
        <v>4.9999999999999822E-2</v>
      </c>
      <c r="T33" s="472">
        <f>(Table6[[#This Row],[Fault Clearance time]]-Table6[[#This Row],[Fault Start TimeStamp]])*24</f>
        <v>4.9999999999999822E-2</v>
      </c>
      <c r="U33" s="35" t="s">
        <v>336</v>
      </c>
      <c r="V33" s="102" t="s">
        <v>293</v>
      </c>
      <c r="W33" s="478">
        <f>IFERROR(Table6[[#This Row],[Breakdown Time]]*Table6[[#This Row],[Plant Equivalent Weightage]],"")</f>
        <v>1.9230769230769156E-3</v>
      </c>
      <c r="X33" s="473" t="s">
        <v>294</v>
      </c>
      <c r="Y33" s="474" t="s">
        <v>75</v>
      </c>
      <c r="Z33" s="102">
        <v>13454</v>
      </c>
      <c r="AA33" s="468">
        <f>(Table6[[#This Row],[Paired WTG Generation for loss calculation]]/24)*Table6[[#This Row],[Breakdown Time]]</f>
        <v>28.029166666666569</v>
      </c>
      <c r="AB33" s="102"/>
      <c r="AC33" s="35"/>
      <c r="AD33" s="35"/>
    </row>
    <row r="34" spans="1:30">
      <c r="A34" s="102">
        <f t="shared" si="1"/>
        <v>33</v>
      </c>
      <c r="B34" s="468">
        <f>YEAR(Table6[[#This Row],[Date]])+IF(MONTH(Table6[[#This Row],[Date]])&gt;=4,1,0)</f>
        <v>2026</v>
      </c>
      <c r="C34" s="102">
        <f>YEAR(Table6[[#This Row],[Date]])</f>
        <v>2025</v>
      </c>
      <c r="D34" s="102" t="s">
        <v>1992</v>
      </c>
      <c r="E34" s="469">
        <f>Table6[[#This Row],[Date]]-DAY(Table6[[#This Row],[Date]])+1</f>
        <v>45748</v>
      </c>
      <c r="F34" s="470">
        <v>45751</v>
      </c>
      <c r="G34" s="35" t="s">
        <v>81</v>
      </c>
      <c r="H34" s="35" t="str">
        <f>IFERROR(_xlfn.XLOOKUP(Table6[[#This Row],[Affected WTG]],'Basic Data'!$A:$A,'Basic Data'!$B:$B),"")</f>
        <v>TQGXIIPL</v>
      </c>
      <c r="I34" s="35" t="str">
        <f>IFERROR(_xlfn.XLOOKUP(Table6[[#This Row],[Affected WTG]],'Basic Data'!$A:$A,'Basic Data'!$C:$C),"")</f>
        <v>GEDA</v>
      </c>
      <c r="J34" s="471">
        <f>IFERROR(_xlfn.XLOOKUP(Table6[[#This Row],[Affected WTG]],'Basic Data'!$A:$A,'Basic Data'!$E:$E),"")</f>
        <v>3.846153846153845E-2</v>
      </c>
      <c r="K34" s="102">
        <v>4520</v>
      </c>
      <c r="L34" s="35" t="str">
        <f>IFERROR(_xlfn.XLOOKUP(Table6[[#This Row],[Error Code]],'Basic Data'!$AA:$AA,'Basic Data'!$AB:$AB),"Incorrect Error Code")</f>
        <v>Tower oscillation X level 1</v>
      </c>
      <c r="M34" s="35" t="s">
        <v>292</v>
      </c>
      <c r="N34" s="475"/>
      <c r="O34" s="476">
        <v>6.25E-2</v>
      </c>
      <c r="P34" s="476">
        <v>6.25E-2</v>
      </c>
      <c r="Q34" s="477">
        <v>7.013888888888889E-2</v>
      </c>
      <c r="R34" s="472">
        <f>IF(Table6[[#This Row],[Work Start TimeStamp]]="","",(Table6[[#This Row],[Work Start TimeStamp]]-Table6[[#This Row],[Fault Start TimeStamp]])*24)</f>
        <v>0</v>
      </c>
      <c r="S34" s="472">
        <f>(Table6[[#This Row],[Fault Clearance time]]-Table6[[#This Row],[Work Start TimeStamp]])*24</f>
        <v>0.18333333333333335</v>
      </c>
      <c r="T34" s="472">
        <f>(Table6[[#This Row],[Fault Clearance time]]-Table6[[#This Row],[Fault Start TimeStamp]])*24</f>
        <v>0.18333333333333335</v>
      </c>
      <c r="U34" s="35" t="s">
        <v>336</v>
      </c>
      <c r="V34" s="102" t="s">
        <v>293</v>
      </c>
      <c r="W34" s="478">
        <f>IFERROR(Table6[[#This Row],[Breakdown Time]]*Table6[[#This Row],[Plant Equivalent Weightage]],"")</f>
        <v>7.0512820512820496E-3</v>
      </c>
      <c r="X34" s="473" t="s">
        <v>294</v>
      </c>
      <c r="Y34" s="474" t="s">
        <v>99</v>
      </c>
      <c r="Z34" s="102">
        <v>7143</v>
      </c>
      <c r="AA34" s="468">
        <f>(Table6[[#This Row],[Paired WTG Generation for loss calculation]]/24)*Table6[[#This Row],[Breakdown Time]]</f>
        <v>54.564583333333339</v>
      </c>
      <c r="AB34" s="102"/>
      <c r="AC34" s="35"/>
      <c r="AD34" s="35"/>
    </row>
    <row r="35" spans="1:30">
      <c r="A35" s="102">
        <f t="shared" si="1"/>
        <v>34</v>
      </c>
      <c r="B35" s="468">
        <f>YEAR(Table6[[#This Row],[Date]])+IF(MONTH(Table6[[#This Row],[Date]])&gt;=4,1,0)</f>
        <v>2026</v>
      </c>
      <c r="C35" s="102">
        <f>YEAR(Table6[[#This Row],[Date]])</f>
        <v>2025</v>
      </c>
      <c r="D35" s="102" t="s">
        <v>1992</v>
      </c>
      <c r="E35" s="469">
        <f>Table6[[#This Row],[Date]]-DAY(Table6[[#This Row],[Date]])+1</f>
        <v>45748</v>
      </c>
      <c r="F35" s="470">
        <v>45751</v>
      </c>
      <c r="G35" s="35" t="s">
        <v>81</v>
      </c>
      <c r="H35" s="35" t="str">
        <f>IFERROR(_xlfn.XLOOKUP(Table6[[#This Row],[Affected WTG]],'Basic Data'!$A:$A,'Basic Data'!$B:$B),"")</f>
        <v>TQGXIIPL</v>
      </c>
      <c r="I35" s="35" t="str">
        <f>IFERROR(_xlfn.XLOOKUP(Table6[[#This Row],[Affected WTG]],'Basic Data'!$A:$A,'Basic Data'!$C:$C),"")</f>
        <v>GEDA</v>
      </c>
      <c r="J35" s="471">
        <f>IFERROR(_xlfn.XLOOKUP(Table6[[#This Row],[Affected WTG]],'Basic Data'!$A:$A,'Basic Data'!$E:$E),"")</f>
        <v>3.846153846153845E-2</v>
      </c>
      <c r="K35" s="102">
        <v>4520</v>
      </c>
      <c r="L35" s="35" t="str">
        <f>IFERROR(_xlfn.XLOOKUP(Table6[[#This Row],[Error Code]],'Basic Data'!$AA:$AA,'Basic Data'!$AB:$AB),"Incorrect Error Code")</f>
        <v>Tower oscillation X level 1</v>
      </c>
      <c r="M35" s="35" t="s">
        <v>291</v>
      </c>
      <c r="N35" s="475"/>
      <c r="O35" s="476">
        <v>9.4444444444444442E-2</v>
      </c>
      <c r="P35" s="476">
        <v>9.4444444444444442E-2</v>
      </c>
      <c r="Q35" s="477">
        <v>0.11180555555555556</v>
      </c>
      <c r="R35" s="472">
        <f>IF(Table6[[#This Row],[Work Start TimeStamp]]="","",(Table6[[#This Row],[Work Start TimeStamp]]-Table6[[#This Row],[Fault Start TimeStamp]])*24)</f>
        <v>0</v>
      </c>
      <c r="S35" s="472">
        <f>(Table6[[#This Row],[Fault Clearance time]]-Table6[[#This Row],[Work Start TimeStamp]])*24</f>
        <v>0.41666666666666685</v>
      </c>
      <c r="T35" s="472">
        <f>(Table6[[#This Row],[Fault Clearance time]]-Table6[[#This Row],[Fault Start TimeStamp]])*24</f>
        <v>0.41666666666666685</v>
      </c>
      <c r="U35" s="35" t="s">
        <v>349</v>
      </c>
      <c r="V35" s="102" t="s">
        <v>293</v>
      </c>
      <c r="W35" s="478">
        <f>IFERROR(Table6[[#This Row],[Breakdown Time]]*Table6[[#This Row],[Plant Equivalent Weightage]],"")</f>
        <v>1.6025641025641028E-2</v>
      </c>
      <c r="X35" s="473" t="s">
        <v>294</v>
      </c>
      <c r="Y35" s="474" t="s">
        <v>99</v>
      </c>
      <c r="Z35" s="102">
        <v>7143</v>
      </c>
      <c r="AA35" s="468">
        <f>(Table6[[#This Row],[Paired WTG Generation for loss calculation]]/24)*Table6[[#This Row],[Breakdown Time]]</f>
        <v>124.01041666666673</v>
      </c>
      <c r="AB35" s="102"/>
      <c r="AC35" s="35"/>
      <c r="AD35" s="35"/>
    </row>
    <row r="36" spans="1:30">
      <c r="A36" s="102">
        <f t="shared" si="1"/>
        <v>35</v>
      </c>
      <c r="B36" s="468">
        <f>YEAR(Table6[[#This Row],[Date]])+IF(MONTH(Table6[[#This Row],[Date]])&gt;=4,1,0)</f>
        <v>2026</v>
      </c>
      <c r="C36" s="102">
        <f>YEAR(Table6[[#This Row],[Date]])</f>
        <v>2025</v>
      </c>
      <c r="D36" s="102" t="s">
        <v>1992</v>
      </c>
      <c r="E36" s="469">
        <f>Table6[[#This Row],[Date]]-DAY(Table6[[#This Row],[Date]])+1</f>
        <v>45748</v>
      </c>
      <c r="F36" s="470">
        <v>45751</v>
      </c>
      <c r="G36" s="35" t="s">
        <v>81</v>
      </c>
      <c r="H36" s="35" t="str">
        <f>IFERROR(_xlfn.XLOOKUP(Table6[[#This Row],[Affected WTG]],'Basic Data'!$A:$A,'Basic Data'!$B:$B),"")</f>
        <v>TQGXIIPL</v>
      </c>
      <c r="I36" s="35" t="str">
        <f>IFERROR(_xlfn.XLOOKUP(Table6[[#This Row],[Affected WTG]],'Basic Data'!$A:$A,'Basic Data'!$C:$C),"")</f>
        <v>GEDA</v>
      </c>
      <c r="J36" s="471">
        <f>IFERROR(_xlfn.XLOOKUP(Table6[[#This Row],[Affected WTG]],'Basic Data'!$A:$A,'Basic Data'!$E:$E),"")</f>
        <v>3.846153846153845E-2</v>
      </c>
      <c r="K36" s="102">
        <v>153</v>
      </c>
      <c r="L36" s="35" t="str">
        <f>IFERROR(_xlfn.XLOOKUP(Table6[[#This Row],[Error Code]],'Basic Data'!$AA:$AA,'Basic Data'!$AB:$AB),"Incorrect Error Code")</f>
        <v>SLC SF max. cable winding</v>
      </c>
      <c r="M36" s="35" t="s">
        <v>291</v>
      </c>
      <c r="N36" s="475"/>
      <c r="O36" s="476">
        <v>0.95416666666666672</v>
      </c>
      <c r="P36" s="476">
        <v>0.95416666666666672</v>
      </c>
      <c r="Q36" s="477">
        <v>1</v>
      </c>
      <c r="R36" s="472">
        <f>IF(Table6[[#This Row],[Work Start TimeStamp]]="","",(Table6[[#This Row],[Work Start TimeStamp]]-Table6[[#This Row],[Fault Start TimeStamp]])*24)</f>
        <v>0</v>
      </c>
      <c r="S36" s="472">
        <f>(Table6[[#This Row],[Fault Clearance time]]-Table6[[#This Row],[Work Start TimeStamp]])*24</f>
        <v>1.0999999999999988</v>
      </c>
      <c r="T36" s="472">
        <f>(Table6[[#This Row],[Fault Clearance time]]-Table6[[#This Row],[Fault Start TimeStamp]])*24</f>
        <v>1.0999999999999988</v>
      </c>
      <c r="U36" s="35" t="s">
        <v>359</v>
      </c>
      <c r="V36" s="102" t="s">
        <v>293</v>
      </c>
      <c r="W36" s="478">
        <f>IFERROR(Table6[[#This Row],[Breakdown Time]]*Table6[[#This Row],[Plant Equivalent Weightage]],"")</f>
        <v>4.2307692307692248E-2</v>
      </c>
      <c r="X36" s="473" t="s">
        <v>294</v>
      </c>
      <c r="Y36" s="474" t="s">
        <v>99</v>
      </c>
      <c r="Z36" s="102">
        <v>7143</v>
      </c>
      <c r="AA36" s="468">
        <f>(Table6[[#This Row],[Paired WTG Generation for loss calculation]]/24)*Table6[[#This Row],[Breakdown Time]]</f>
        <v>327.38749999999965</v>
      </c>
      <c r="AB36" s="102"/>
      <c r="AC36" s="35"/>
      <c r="AD36" s="35"/>
    </row>
    <row r="37" spans="1:30">
      <c r="A37" s="102">
        <f t="shared" si="1"/>
        <v>36</v>
      </c>
      <c r="B37" s="468">
        <f>YEAR(Table6[[#This Row],[Date]])+IF(MONTH(Table6[[#This Row],[Date]])&gt;=4,1,0)</f>
        <v>2026</v>
      </c>
      <c r="C37" s="102">
        <f>YEAR(Table6[[#This Row],[Date]])</f>
        <v>2025</v>
      </c>
      <c r="D37" s="102" t="s">
        <v>1992</v>
      </c>
      <c r="E37" s="469">
        <f>Table6[[#This Row],[Date]]-DAY(Table6[[#This Row],[Date]])+1</f>
        <v>45748</v>
      </c>
      <c r="F37" s="470">
        <v>45751</v>
      </c>
      <c r="G37" s="35" t="s">
        <v>85</v>
      </c>
      <c r="H37" s="35" t="str">
        <f>IFERROR(_xlfn.XLOOKUP(Table6[[#This Row],[Affected WTG]],'Basic Data'!$A:$A,'Basic Data'!$B:$B),"")</f>
        <v>TQGXIIPL</v>
      </c>
      <c r="I37" s="35" t="str">
        <f>IFERROR(_xlfn.XLOOKUP(Table6[[#This Row],[Affected WTG]],'Basic Data'!$A:$A,'Basic Data'!$C:$C),"")</f>
        <v>GEDA</v>
      </c>
      <c r="J37" s="471">
        <f>IFERROR(_xlfn.XLOOKUP(Table6[[#This Row],[Affected WTG]],'Basic Data'!$A:$A,'Basic Data'!$E:$E),"")</f>
        <v>3.846153846153845E-2</v>
      </c>
      <c r="K37" s="102">
        <v>5510</v>
      </c>
      <c r="L37" s="35" t="str">
        <f>IFERROR(_xlfn.XLOOKUP(Table6[[#This Row],[Error Code]],'Basic Data'!$AA:$AA,'Basic Data'!$AB:$AB),"Incorrect Error Code")</f>
        <v>Low hydraulic pressure</v>
      </c>
      <c r="M37" s="35" t="s">
        <v>291</v>
      </c>
      <c r="N37" s="475"/>
      <c r="O37" s="476">
        <v>0.19166666666666668</v>
      </c>
      <c r="P37" s="476">
        <v>0.19166666666666668</v>
      </c>
      <c r="Q37" s="477">
        <v>0.34375</v>
      </c>
      <c r="R37" s="472">
        <f>IF(Table6[[#This Row],[Work Start TimeStamp]]="","",(Table6[[#This Row],[Work Start TimeStamp]]-Table6[[#This Row],[Fault Start TimeStamp]])*24)</f>
        <v>0</v>
      </c>
      <c r="S37" s="472">
        <f>(Table6[[#This Row],[Fault Clearance time]]-Table6[[#This Row],[Work Start TimeStamp]])*24</f>
        <v>3.6499999999999995</v>
      </c>
      <c r="T37" s="472">
        <f>(Table6[[#This Row],[Fault Clearance time]]-Table6[[#This Row],[Fault Start TimeStamp]])*24</f>
        <v>3.6499999999999995</v>
      </c>
      <c r="U37" s="35" t="s">
        <v>363</v>
      </c>
      <c r="V37" s="102" t="s">
        <v>293</v>
      </c>
      <c r="W37" s="478">
        <f>IFERROR(Table6[[#This Row],[Breakdown Time]]*Table6[[#This Row],[Plant Equivalent Weightage]],"")</f>
        <v>0.14038461538461533</v>
      </c>
      <c r="X37" s="473" t="s">
        <v>294</v>
      </c>
      <c r="Y37" s="474" t="s">
        <v>87</v>
      </c>
      <c r="Z37" s="102">
        <v>9746</v>
      </c>
      <c r="AA37" s="468">
        <f>(Table6[[#This Row],[Paired WTG Generation for loss calculation]]/24)*Table6[[#This Row],[Breakdown Time]]</f>
        <v>1482.2041666666664</v>
      </c>
      <c r="AB37" s="102"/>
      <c r="AC37" s="35"/>
      <c r="AD37" s="35"/>
    </row>
    <row r="38" spans="1:30">
      <c r="A38" s="102">
        <f t="shared" si="1"/>
        <v>37</v>
      </c>
      <c r="B38" s="468">
        <f>YEAR(Table6[[#This Row],[Date]])+IF(MONTH(Table6[[#This Row],[Date]])&gt;=4,1,0)</f>
        <v>2026</v>
      </c>
      <c r="C38" s="102">
        <f>YEAR(Table6[[#This Row],[Date]])</f>
        <v>2025</v>
      </c>
      <c r="D38" s="102" t="s">
        <v>1992</v>
      </c>
      <c r="E38" s="469">
        <f>Table6[[#This Row],[Date]]-DAY(Table6[[#This Row],[Date]])+1</f>
        <v>45748</v>
      </c>
      <c r="F38" s="470">
        <v>45751</v>
      </c>
      <c r="G38" s="35" t="s">
        <v>97</v>
      </c>
      <c r="H38" s="35" t="str">
        <f>IFERROR(_xlfn.XLOOKUP(Table6[[#This Row],[Affected WTG]],'Basic Data'!$A:$A,'Basic Data'!$B:$B),"")</f>
        <v>TQGXIIPL</v>
      </c>
      <c r="I38" s="35" t="str">
        <f>IFERROR(_xlfn.XLOOKUP(Table6[[#This Row],[Affected WTG]],'Basic Data'!$A:$A,'Basic Data'!$C:$C),"")</f>
        <v>GEDA</v>
      </c>
      <c r="J38" s="471">
        <f>IFERROR(_xlfn.XLOOKUP(Table6[[#This Row],[Affected WTG]],'Basic Data'!$A:$A,'Basic Data'!$E:$E),"")</f>
        <v>3.846153846153845E-2</v>
      </c>
      <c r="K38" s="102">
        <v>3211</v>
      </c>
      <c r="L38" s="35" t="str">
        <f>IFERROR(_xlfn.XLOOKUP(Table6[[#This Row],[Error Code]],'Basic Data'!$AA:$AA,'Basic Data'!$AB:$AB),"Incorrect Error Code")</f>
        <v>Conv. load shedding (CAN)</v>
      </c>
      <c r="M38" s="35" t="s">
        <v>292</v>
      </c>
      <c r="N38" s="475"/>
      <c r="O38" s="476">
        <v>0.48819444444444443</v>
      </c>
      <c r="P38" s="476">
        <v>0.48819444444444443</v>
      </c>
      <c r="Q38" s="477">
        <v>0.48958333333333331</v>
      </c>
      <c r="R38" s="472">
        <f>IF(Table6[[#This Row],[Work Start TimeStamp]]="","",(Table6[[#This Row],[Work Start TimeStamp]]-Table6[[#This Row],[Fault Start TimeStamp]])*24)</f>
        <v>0</v>
      </c>
      <c r="S38" s="472">
        <f>(Table6[[#This Row],[Fault Clearance time]]-Table6[[#This Row],[Work Start TimeStamp]])*24</f>
        <v>3.3333333333333215E-2</v>
      </c>
      <c r="T38" s="472">
        <f>(Table6[[#This Row],[Fault Clearance time]]-Table6[[#This Row],[Fault Start TimeStamp]])*24</f>
        <v>3.3333333333333215E-2</v>
      </c>
      <c r="U38" s="35" t="s">
        <v>336</v>
      </c>
      <c r="V38" s="102" t="s">
        <v>293</v>
      </c>
      <c r="W38" s="478">
        <f>IFERROR(Table6[[#This Row],[Breakdown Time]]*Table6[[#This Row],[Plant Equivalent Weightage]],"")</f>
        <v>1.2820512820512771E-3</v>
      </c>
      <c r="X38" s="473" t="s">
        <v>294</v>
      </c>
      <c r="Y38" s="474" t="s">
        <v>93</v>
      </c>
      <c r="Z38" s="102">
        <v>10901</v>
      </c>
      <c r="AA38" s="468">
        <f>(Table6[[#This Row],[Paired WTG Generation for loss calculation]]/24)*Table6[[#This Row],[Breakdown Time]]</f>
        <v>15.140277777777724</v>
      </c>
      <c r="AB38" s="102"/>
      <c r="AC38" s="35"/>
      <c r="AD38" s="35"/>
    </row>
    <row r="39" spans="1:30">
      <c r="A39" s="102">
        <f t="shared" si="1"/>
        <v>38</v>
      </c>
      <c r="B39" s="468">
        <f>YEAR(Table6[[#This Row],[Date]])+IF(MONTH(Table6[[#This Row],[Date]])&gt;=4,1,0)</f>
        <v>2026</v>
      </c>
      <c r="C39" s="102">
        <f>YEAR(Table6[[#This Row],[Date]])</f>
        <v>2025</v>
      </c>
      <c r="D39" s="102" t="s">
        <v>1992</v>
      </c>
      <c r="E39" s="469">
        <f>Table6[[#This Row],[Date]]-DAY(Table6[[#This Row],[Date]])+1</f>
        <v>45748</v>
      </c>
      <c r="F39" s="470">
        <v>45751</v>
      </c>
      <c r="G39" s="35" t="s">
        <v>97</v>
      </c>
      <c r="H39" s="35" t="str">
        <f>IFERROR(_xlfn.XLOOKUP(Table6[[#This Row],[Affected WTG]],'Basic Data'!$A:$A,'Basic Data'!$B:$B),"")</f>
        <v>TQGXIIPL</v>
      </c>
      <c r="I39" s="35" t="str">
        <f>IFERROR(_xlfn.XLOOKUP(Table6[[#This Row],[Affected WTG]],'Basic Data'!$A:$A,'Basic Data'!$C:$C),"")</f>
        <v>GEDA</v>
      </c>
      <c r="J39" s="471">
        <f>IFERROR(_xlfn.XLOOKUP(Table6[[#This Row],[Affected WTG]],'Basic Data'!$A:$A,'Basic Data'!$E:$E),"")</f>
        <v>3.846153846153845E-2</v>
      </c>
      <c r="K39" s="102">
        <v>5510</v>
      </c>
      <c r="L39" s="35" t="str">
        <f>IFERROR(_xlfn.XLOOKUP(Table6[[#This Row],[Error Code]],'Basic Data'!$AA:$AA,'Basic Data'!$AB:$AB),"Incorrect Error Code")</f>
        <v>Low hydraulic pressure</v>
      </c>
      <c r="M39" s="35" t="s">
        <v>291</v>
      </c>
      <c r="N39" s="475"/>
      <c r="O39" s="476">
        <v>0.81597222222222221</v>
      </c>
      <c r="P39" s="476">
        <v>0.81597222222222221</v>
      </c>
      <c r="Q39" s="477">
        <v>1</v>
      </c>
      <c r="R39" s="472">
        <f>IF(Table6[[#This Row],[Work Start TimeStamp]]="","",(Table6[[#This Row],[Work Start TimeStamp]]-Table6[[#This Row],[Fault Start TimeStamp]])*24)</f>
        <v>0</v>
      </c>
      <c r="S39" s="472">
        <f>(Table6[[#This Row],[Fault Clearance time]]-Table6[[#This Row],[Work Start TimeStamp]])*24</f>
        <v>4.416666666666667</v>
      </c>
      <c r="T39" s="472">
        <f>(Table6[[#This Row],[Fault Clearance time]]-Table6[[#This Row],[Fault Start TimeStamp]])*24</f>
        <v>4.416666666666667</v>
      </c>
      <c r="U39" s="35" t="s">
        <v>364</v>
      </c>
      <c r="V39" s="102" t="s">
        <v>335</v>
      </c>
      <c r="W39" s="478">
        <f>IFERROR(Table6[[#This Row],[Breakdown Time]]*Table6[[#This Row],[Plant Equivalent Weightage]],"")</f>
        <v>0.16987179487179482</v>
      </c>
      <c r="X39" s="473" t="s">
        <v>294</v>
      </c>
      <c r="Y39" s="474" t="s">
        <v>93</v>
      </c>
      <c r="Z39" s="102">
        <v>10901</v>
      </c>
      <c r="AA39" s="468">
        <f>(Table6[[#This Row],[Paired WTG Generation for loss calculation]]/24)*Table6[[#This Row],[Breakdown Time]]</f>
        <v>2006.0868055555557</v>
      </c>
      <c r="AB39" s="102"/>
      <c r="AC39" s="35"/>
      <c r="AD39" s="35"/>
    </row>
    <row r="40" spans="1:30">
      <c r="A40" s="102">
        <f t="shared" si="1"/>
        <v>39</v>
      </c>
      <c r="B40" s="468">
        <f>YEAR(Table6[[#This Row],[Date]])+IF(MONTH(Table6[[#This Row],[Date]])&gt;=4,1,0)</f>
        <v>2026</v>
      </c>
      <c r="C40" s="102">
        <f>YEAR(Table6[[#This Row],[Date]])</f>
        <v>2025</v>
      </c>
      <c r="D40" s="102" t="s">
        <v>1992</v>
      </c>
      <c r="E40" s="469">
        <f>Table6[[#This Row],[Date]]-DAY(Table6[[#This Row],[Date]])+1</f>
        <v>45748</v>
      </c>
      <c r="F40" s="470">
        <v>45752</v>
      </c>
      <c r="G40" s="35" t="s">
        <v>76</v>
      </c>
      <c r="H40" s="35" t="str">
        <f>IFERROR(_xlfn.XLOOKUP(Table6[[#This Row],[Affected WTG]],'Basic Data'!$A:$A,'Basic Data'!$B:$B),"")</f>
        <v>TQGXIIPL</v>
      </c>
      <c r="I40" s="35" t="str">
        <f>IFERROR(_xlfn.XLOOKUP(Table6[[#This Row],[Affected WTG]],'Basic Data'!$A:$A,'Basic Data'!$C:$C),"")</f>
        <v>GEDA</v>
      </c>
      <c r="J40" s="471">
        <f>IFERROR(_xlfn.XLOOKUP(Table6[[#This Row],[Affected WTG]],'Basic Data'!$A:$A,'Basic Data'!$E:$E),"")</f>
        <v>3.846153846153845E-2</v>
      </c>
      <c r="K40" s="102">
        <v>55</v>
      </c>
      <c r="L40" s="35" t="str">
        <f>IFERROR(_xlfn.XLOOKUP(Table6[[#This Row],[Error Code]],'Basic Data'!$AA:$AA,'Basic Data'!$AB:$AB),"Incorrect Error Code")</f>
        <v>WTG shut down</v>
      </c>
      <c r="M40" s="35" t="s">
        <v>304</v>
      </c>
      <c r="N40" s="475"/>
      <c r="O40" s="476">
        <v>0.25972222222222224</v>
      </c>
      <c r="P40" s="476">
        <v>0.25972222222222224</v>
      </c>
      <c r="Q40" s="477">
        <v>0.32291666666666669</v>
      </c>
      <c r="R40" s="472">
        <f>IF(Table6[[#This Row],[Work Start TimeStamp]]="","",(Table6[[#This Row],[Work Start TimeStamp]]-Table6[[#This Row],[Fault Start TimeStamp]])*24)</f>
        <v>0</v>
      </c>
      <c r="S40" s="472">
        <f>(Table6[[#This Row],[Fault Clearance time]]-Table6[[#This Row],[Work Start TimeStamp]])*24</f>
        <v>1.5166666666666666</v>
      </c>
      <c r="T40" s="472">
        <f>(Table6[[#This Row],[Fault Clearance time]]-Table6[[#This Row],[Fault Start TimeStamp]])*24</f>
        <v>1.5166666666666666</v>
      </c>
      <c r="U40" s="35" t="s">
        <v>351</v>
      </c>
      <c r="V40" s="102" t="s">
        <v>293</v>
      </c>
      <c r="W40" s="478">
        <f>IFERROR(Table6[[#This Row],[Breakdown Time]]*Table6[[#This Row],[Plant Equivalent Weightage]],"")</f>
        <v>5.8333333333333313E-2</v>
      </c>
      <c r="X40" s="473" t="s">
        <v>305</v>
      </c>
      <c r="Y40" s="474" t="s">
        <v>82</v>
      </c>
      <c r="Z40" s="102">
        <v>10832</v>
      </c>
      <c r="AA40" s="468">
        <f>(Table6[[#This Row],[Paired WTG Generation for loss calculation]]/24)*Table6[[#This Row],[Breakdown Time]]</f>
        <v>684.52222222222213</v>
      </c>
      <c r="AB40" s="102"/>
      <c r="AC40" s="35"/>
      <c r="AD40" s="35"/>
    </row>
    <row r="41" spans="1:30">
      <c r="A41" s="102">
        <f t="shared" si="1"/>
        <v>40</v>
      </c>
      <c r="B41" s="468">
        <f>YEAR(Table6[[#This Row],[Date]])+IF(MONTH(Table6[[#This Row],[Date]])&gt;=4,1,0)</f>
        <v>2026</v>
      </c>
      <c r="C41" s="102">
        <f>YEAR(Table6[[#This Row],[Date]])</f>
        <v>2025</v>
      </c>
      <c r="D41" s="102" t="s">
        <v>1992</v>
      </c>
      <c r="E41" s="469">
        <f>Table6[[#This Row],[Date]]-DAY(Table6[[#This Row],[Date]])+1</f>
        <v>45748</v>
      </c>
      <c r="F41" s="470">
        <v>45752</v>
      </c>
      <c r="G41" s="35" t="s">
        <v>76</v>
      </c>
      <c r="H41" s="35" t="str">
        <f>IFERROR(_xlfn.XLOOKUP(Table6[[#This Row],[Affected WTG]],'Basic Data'!$A:$A,'Basic Data'!$B:$B),"")</f>
        <v>TQGXIIPL</v>
      </c>
      <c r="I41" s="35" t="str">
        <f>IFERROR(_xlfn.XLOOKUP(Table6[[#This Row],[Affected WTG]],'Basic Data'!$A:$A,'Basic Data'!$C:$C),"")</f>
        <v>GEDA</v>
      </c>
      <c r="J41" s="471">
        <f>IFERROR(_xlfn.XLOOKUP(Table6[[#This Row],[Affected WTG]],'Basic Data'!$A:$A,'Basic Data'!$E:$E),"")</f>
        <v>3.846153846153845E-2</v>
      </c>
      <c r="K41" s="102">
        <v>55</v>
      </c>
      <c r="L41" s="35" t="str">
        <f>IFERROR(_xlfn.XLOOKUP(Table6[[#This Row],[Error Code]],'Basic Data'!$AA:$AA,'Basic Data'!$AB:$AB),"Incorrect Error Code")</f>
        <v>WTG shut down</v>
      </c>
      <c r="M41" s="35" t="s">
        <v>304</v>
      </c>
      <c r="N41" s="475"/>
      <c r="O41" s="476">
        <v>0.34722222222222221</v>
      </c>
      <c r="P41" s="476">
        <v>0.34722222222222221</v>
      </c>
      <c r="Q41" s="477">
        <v>0.62083333333333335</v>
      </c>
      <c r="R41" s="472">
        <f>IF(Table6[[#This Row],[Work Start TimeStamp]]="","",(Table6[[#This Row],[Work Start TimeStamp]]-Table6[[#This Row],[Fault Start TimeStamp]])*24)</f>
        <v>0</v>
      </c>
      <c r="S41" s="472">
        <f>(Table6[[#This Row],[Fault Clearance time]]-Table6[[#This Row],[Work Start TimeStamp]])*24</f>
        <v>6.5666666666666673</v>
      </c>
      <c r="T41" s="472">
        <f>(Table6[[#This Row],[Fault Clearance time]]-Table6[[#This Row],[Fault Start TimeStamp]])*24</f>
        <v>6.5666666666666673</v>
      </c>
      <c r="U41" s="35" t="s">
        <v>351</v>
      </c>
      <c r="V41" s="102" t="s">
        <v>293</v>
      </c>
      <c r="W41" s="478">
        <f>IFERROR(Table6[[#This Row],[Breakdown Time]]*Table6[[#This Row],[Plant Equivalent Weightage]],"")</f>
        <v>0.2525641025641025</v>
      </c>
      <c r="X41" s="473" t="s">
        <v>305</v>
      </c>
      <c r="Y41" s="474" t="s">
        <v>82</v>
      </c>
      <c r="Z41" s="102">
        <v>10832</v>
      </c>
      <c r="AA41" s="468">
        <f>(Table6[[#This Row],[Paired WTG Generation for loss calculation]]/24)*Table6[[#This Row],[Breakdown Time]]</f>
        <v>2963.7555555555559</v>
      </c>
      <c r="AB41" s="102"/>
      <c r="AC41" s="35"/>
      <c r="AD41" s="35"/>
    </row>
    <row r="42" spans="1:30">
      <c r="A42" s="102">
        <f t="shared" si="1"/>
        <v>41</v>
      </c>
      <c r="B42" s="468">
        <f>YEAR(Table6[[#This Row],[Date]])+IF(MONTH(Table6[[#This Row],[Date]])&gt;=4,1,0)</f>
        <v>2026</v>
      </c>
      <c r="C42" s="102">
        <f>YEAR(Table6[[#This Row],[Date]])</f>
        <v>2025</v>
      </c>
      <c r="D42" s="102" t="s">
        <v>1992</v>
      </c>
      <c r="E42" s="469">
        <f>Table6[[#This Row],[Date]]-DAY(Table6[[#This Row],[Date]])+1</f>
        <v>45748</v>
      </c>
      <c r="F42" s="470">
        <v>45752</v>
      </c>
      <c r="G42" s="35" t="s">
        <v>80</v>
      </c>
      <c r="H42" s="35" t="str">
        <f>IFERROR(_xlfn.XLOOKUP(Table6[[#This Row],[Affected WTG]],'Basic Data'!$A:$A,'Basic Data'!$B:$B),"")</f>
        <v>TQGXIIPL</v>
      </c>
      <c r="I42" s="35" t="str">
        <f>IFERROR(_xlfn.XLOOKUP(Table6[[#This Row],[Affected WTG]],'Basic Data'!$A:$A,'Basic Data'!$C:$C),"")</f>
        <v>GEDA</v>
      </c>
      <c r="J42" s="471">
        <f>IFERROR(_xlfn.XLOOKUP(Table6[[#This Row],[Affected WTG]],'Basic Data'!$A:$A,'Basic Data'!$E:$E),"")</f>
        <v>3.846153846153845E-2</v>
      </c>
      <c r="K42" s="102">
        <v>3110</v>
      </c>
      <c r="L42" s="35" t="str">
        <f>IFERROR(_xlfn.XLOOKUP(Table6[[#This Row],[Error Code]],'Basic Data'!$AA:$AA,'Basic Data'!$AB:$AB),"Incorrect Error Code")</f>
        <v>Frequency converter error</v>
      </c>
      <c r="M42" s="35" t="s">
        <v>291</v>
      </c>
      <c r="N42" s="475"/>
      <c r="O42" s="476">
        <v>0.92361111111111116</v>
      </c>
      <c r="P42" s="476">
        <v>0.92361111111111116</v>
      </c>
      <c r="Q42" s="477">
        <v>0.94722222222222219</v>
      </c>
      <c r="R42" s="472">
        <f>IF(Table6[[#This Row],[Work Start TimeStamp]]="","",(Table6[[#This Row],[Work Start TimeStamp]]-Table6[[#This Row],[Fault Start TimeStamp]])*24)</f>
        <v>0</v>
      </c>
      <c r="S42" s="472">
        <f>(Table6[[#This Row],[Fault Clearance time]]-Table6[[#This Row],[Work Start TimeStamp]])*24</f>
        <v>0.56666666666666465</v>
      </c>
      <c r="T42" s="472">
        <f>(Table6[[#This Row],[Fault Clearance time]]-Table6[[#This Row],[Fault Start TimeStamp]])*24</f>
        <v>0.56666666666666465</v>
      </c>
      <c r="U42" s="35" t="s">
        <v>359</v>
      </c>
      <c r="V42" s="102" t="s">
        <v>293</v>
      </c>
      <c r="W42" s="478">
        <f>IFERROR(Table6[[#This Row],[Breakdown Time]]*Table6[[#This Row],[Plant Equivalent Weightage]],"")</f>
        <v>2.1794871794871711E-2</v>
      </c>
      <c r="X42" s="473" t="s">
        <v>294</v>
      </c>
      <c r="Y42" s="474" t="s">
        <v>77</v>
      </c>
      <c r="Z42" s="102">
        <v>9733</v>
      </c>
      <c r="AA42" s="468">
        <f>(Table6[[#This Row],[Paired WTG Generation for loss calculation]]/24)*Table6[[#This Row],[Breakdown Time]]</f>
        <v>229.80694444444364</v>
      </c>
      <c r="AB42" s="102"/>
      <c r="AC42" s="35"/>
      <c r="AD42" s="35"/>
    </row>
    <row r="43" spans="1:30">
      <c r="A43" s="102">
        <f t="shared" si="1"/>
        <v>42</v>
      </c>
      <c r="B43" s="468">
        <f>YEAR(Table6[[#This Row],[Date]])+IF(MONTH(Table6[[#This Row],[Date]])&gt;=4,1,0)</f>
        <v>2026</v>
      </c>
      <c r="C43" s="102">
        <f>YEAR(Table6[[#This Row],[Date]])</f>
        <v>2025</v>
      </c>
      <c r="D43" s="102" t="s">
        <v>1992</v>
      </c>
      <c r="E43" s="469">
        <f>Table6[[#This Row],[Date]]-DAY(Table6[[#This Row],[Date]])+1</f>
        <v>45748</v>
      </c>
      <c r="F43" s="470">
        <v>45752</v>
      </c>
      <c r="G43" s="35" t="s">
        <v>81</v>
      </c>
      <c r="H43" s="35" t="str">
        <f>IFERROR(_xlfn.XLOOKUP(Table6[[#This Row],[Affected WTG]],'Basic Data'!$A:$A,'Basic Data'!$B:$B),"")</f>
        <v>TQGXIIPL</v>
      </c>
      <c r="I43" s="35" t="str">
        <f>IFERROR(_xlfn.XLOOKUP(Table6[[#This Row],[Affected WTG]],'Basic Data'!$A:$A,'Basic Data'!$C:$C),"")</f>
        <v>GEDA</v>
      </c>
      <c r="J43" s="471">
        <f>IFERROR(_xlfn.XLOOKUP(Table6[[#This Row],[Affected WTG]],'Basic Data'!$A:$A,'Basic Data'!$E:$E),"")</f>
        <v>3.846153846153845E-2</v>
      </c>
      <c r="K43" s="102">
        <v>153</v>
      </c>
      <c r="L43" s="35" t="str">
        <f>IFERROR(_xlfn.XLOOKUP(Table6[[#This Row],[Error Code]],'Basic Data'!$AA:$AA,'Basic Data'!$AB:$AB),"Incorrect Error Code")</f>
        <v>SLC SF max. cable winding</v>
      </c>
      <c r="M43" s="35" t="s">
        <v>291</v>
      </c>
      <c r="N43" s="475"/>
      <c r="O43" s="476">
        <v>0</v>
      </c>
      <c r="P43" s="476">
        <v>0</v>
      </c>
      <c r="Q43" s="477">
        <v>6.1805555555555558E-2</v>
      </c>
      <c r="R43" s="472">
        <f>IF(Table6[[#This Row],[Work Start TimeStamp]]="","",(Table6[[#This Row],[Work Start TimeStamp]]-Table6[[#This Row],[Fault Start TimeStamp]])*24)</f>
        <v>0</v>
      </c>
      <c r="S43" s="472">
        <f>(Table6[[#This Row],[Fault Clearance time]]-Table6[[#This Row],[Work Start TimeStamp]])*24</f>
        <v>1.4833333333333334</v>
      </c>
      <c r="T43" s="472">
        <f>(Table6[[#This Row],[Fault Clearance time]]-Table6[[#This Row],[Fault Start TimeStamp]])*24</f>
        <v>1.4833333333333334</v>
      </c>
      <c r="U43" s="35" t="s">
        <v>359</v>
      </c>
      <c r="V43" s="102" t="s">
        <v>293</v>
      </c>
      <c r="W43" s="478">
        <f>IFERROR(Table6[[#This Row],[Breakdown Time]]*Table6[[#This Row],[Plant Equivalent Weightage]],"")</f>
        <v>5.7051282051282036E-2</v>
      </c>
      <c r="X43" s="473" t="s">
        <v>294</v>
      </c>
      <c r="Y43" s="474" t="s">
        <v>99</v>
      </c>
      <c r="Z43" s="102">
        <v>8683</v>
      </c>
      <c r="AA43" s="468">
        <f>(Table6[[#This Row],[Paired WTG Generation for loss calculation]]/24)*Table6[[#This Row],[Breakdown Time]]</f>
        <v>536.65763888888898</v>
      </c>
      <c r="AB43" s="102"/>
      <c r="AC43" s="35"/>
      <c r="AD43" s="35"/>
    </row>
    <row r="44" spans="1:30">
      <c r="A44" s="102">
        <f t="shared" si="1"/>
        <v>43</v>
      </c>
      <c r="B44" s="468">
        <f>YEAR(Table6[[#This Row],[Date]])+IF(MONTH(Table6[[#This Row],[Date]])&gt;=4,1,0)</f>
        <v>2026</v>
      </c>
      <c r="C44" s="102">
        <f>YEAR(Table6[[#This Row],[Date]])</f>
        <v>2025</v>
      </c>
      <c r="D44" s="102" t="s">
        <v>1992</v>
      </c>
      <c r="E44" s="469">
        <f>Table6[[#This Row],[Date]]-DAY(Table6[[#This Row],[Date]])+1</f>
        <v>45748</v>
      </c>
      <c r="F44" s="470">
        <v>45752</v>
      </c>
      <c r="G44" s="35" t="s">
        <v>87</v>
      </c>
      <c r="H44" s="35" t="str">
        <f>IFERROR(_xlfn.XLOOKUP(Table6[[#This Row],[Affected WTG]],'Basic Data'!$A:$A,'Basic Data'!$B:$B),"")</f>
        <v>TQGXIIPL</v>
      </c>
      <c r="I44" s="35" t="str">
        <f>IFERROR(_xlfn.XLOOKUP(Table6[[#This Row],[Affected WTG]],'Basic Data'!$A:$A,'Basic Data'!$C:$C),"")</f>
        <v>GEDA</v>
      </c>
      <c r="J44" s="471">
        <f>IFERROR(_xlfn.XLOOKUP(Table6[[#This Row],[Affected WTG]],'Basic Data'!$A:$A,'Basic Data'!$E:$E),"")</f>
        <v>3.846153846153845E-2</v>
      </c>
      <c r="K44" s="102">
        <v>175</v>
      </c>
      <c r="L44" s="35" t="str">
        <f>IFERROR(_xlfn.XLOOKUP(Table6[[#This Row],[Error Code]],'Basic Data'!$AA:$AA,'Basic Data'!$AB:$AB),"Incorrect Error Code")</f>
        <v>SLC error</v>
      </c>
      <c r="M44" s="35" t="s">
        <v>292</v>
      </c>
      <c r="N44" s="475"/>
      <c r="O44" s="476">
        <v>0.29652777777777778</v>
      </c>
      <c r="P44" s="476">
        <v>0.29652777777777778</v>
      </c>
      <c r="Q44" s="477">
        <v>0.29722222222222222</v>
      </c>
      <c r="R44" s="472">
        <f>IF(Table6[[#This Row],[Work Start TimeStamp]]="","",(Table6[[#This Row],[Work Start TimeStamp]]-Table6[[#This Row],[Fault Start TimeStamp]])*24)</f>
        <v>0</v>
      </c>
      <c r="S44" s="472">
        <f>(Table6[[#This Row],[Fault Clearance time]]-Table6[[#This Row],[Work Start TimeStamp]])*24</f>
        <v>1.6666666666666607E-2</v>
      </c>
      <c r="T44" s="472">
        <f>(Table6[[#This Row],[Fault Clearance time]]-Table6[[#This Row],[Fault Start TimeStamp]])*24</f>
        <v>1.6666666666666607E-2</v>
      </c>
      <c r="U44" s="35" t="s">
        <v>300</v>
      </c>
      <c r="V44" s="102" t="s">
        <v>293</v>
      </c>
      <c r="W44" s="478">
        <f>IFERROR(Table6[[#This Row],[Breakdown Time]]*Table6[[#This Row],[Plant Equivalent Weightage]],"")</f>
        <v>6.4102564102563853E-4</v>
      </c>
      <c r="X44" s="473" t="s">
        <v>294</v>
      </c>
      <c r="Y44" s="474" t="s">
        <v>85</v>
      </c>
      <c r="Z44" s="102">
        <v>9113</v>
      </c>
      <c r="AA44" s="468">
        <f>(Table6[[#This Row],[Paired WTG Generation for loss calculation]]/24)*Table6[[#This Row],[Breakdown Time]]</f>
        <v>6.3284722222221994</v>
      </c>
      <c r="AB44" s="102"/>
      <c r="AC44" s="35"/>
      <c r="AD44" s="35"/>
    </row>
    <row r="45" spans="1:30">
      <c r="A45" s="102">
        <f t="shared" si="1"/>
        <v>44</v>
      </c>
      <c r="B45" s="468">
        <f>YEAR(Table6[[#This Row],[Date]])+IF(MONTH(Table6[[#This Row],[Date]])&gt;=4,1,0)</f>
        <v>2026</v>
      </c>
      <c r="C45" s="102">
        <f>YEAR(Table6[[#This Row],[Date]])</f>
        <v>2025</v>
      </c>
      <c r="D45" s="102" t="s">
        <v>1992</v>
      </c>
      <c r="E45" s="469">
        <f>Table6[[#This Row],[Date]]-DAY(Table6[[#This Row],[Date]])+1</f>
        <v>45748</v>
      </c>
      <c r="F45" s="470">
        <v>45752</v>
      </c>
      <c r="G45" s="35" t="s">
        <v>96</v>
      </c>
      <c r="H45" s="35" t="str">
        <f>IFERROR(_xlfn.XLOOKUP(Table6[[#This Row],[Affected WTG]],'Basic Data'!$A:$A,'Basic Data'!$B:$B),"")</f>
        <v>TQGXIIPL</v>
      </c>
      <c r="I45" s="35" t="str">
        <f>IFERROR(_xlfn.XLOOKUP(Table6[[#This Row],[Affected WTG]],'Basic Data'!$A:$A,'Basic Data'!$C:$C),"")</f>
        <v>GEDA</v>
      </c>
      <c r="J45" s="471">
        <f>IFERROR(_xlfn.XLOOKUP(Table6[[#This Row],[Affected WTG]],'Basic Data'!$A:$A,'Basic Data'!$E:$E),"")</f>
        <v>3.846153846153845E-2</v>
      </c>
      <c r="K45" s="102">
        <v>3000</v>
      </c>
      <c r="L45" s="35" t="str">
        <f>IFERROR(_xlfn.XLOOKUP(Table6[[#This Row],[Error Code]],'Basic Data'!$AA:$AA,'Basic Data'!$AB:$AB),"Incorrect Error Code")</f>
        <v>Frequency converter not ready</v>
      </c>
      <c r="M45" s="35" t="s">
        <v>292</v>
      </c>
      <c r="N45" s="475"/>
      <c r="O45" s="476">
        <v>0.37291666666666667</v>
      </c>
      <c r="P45" s="476">
        <v>0.37291666666666667</v>
      </c>
      <c r="Q45" s="477">
        <v>0.375</v>
      </c>
      <c r="R45" s="472">
        <f>IF(Table6[[#This Row],[Work Start TimeStamp]]="","",(Table6[[#This Row],[Work Start TimeStamp]]-Table6[[#This Row],[Fault Start TimeStamp]])*24)</f>
        <v>0</v>
      </c>
      <c r="S45" s="472">
        <f>(Table6[[#This Row],[Fault Clearance time]]-Table6[[#This Row],[Work Start TimeStamp]])*24</f>
        <v>4.9999999999999822E-2</v>
      </c>
      <c r="T45" s="472">
        <f>(Table6[[#This Row],[Fault Clearance time]]-Table6[[#This Row],[Fault Start TimeStamp]])*24</f>
        <v>4.9999999999999822E-2</v>
      </c>
      <c r="U45" s="35" t="s">
        <v>336</v>
      </c>
      <c r="V45" s="102" t="s">
        <v>293</v>
      </c>
      <c r="W45" s="478">
        <f>IFERROR(Table6[[#This Row],[Breakdown Time]]*Table6[[#This Row],[Plant Equivalent Weightage]],"")</f>
        <v>1.9230769230769156E-3</v>
      </c>
      <c r="X45" s="473" t="s">
        <v>294</v>
      </c>
      <c r="Y45" s="474" t="s">
        <v>84</v>
      </c>
      <c r="Z45" s="102">
        <v>9830</v>
      </c>
      <c r="AA45" s="468">
        <f>(Table6[[#This Row],[Paired WTG Generation for loss calculation]]/24)*Table6[[#This Row],[Breakdown Time]]</f>
        <v>20.479166666666593</v>
      </c>
      <c r="AB45" s="102"/>
      <c r="AC45" s="35"/>
      <c r="AD45" s="35"/>
    </row>
    <row r="46" spans="1:30">
      <c r="A46" s="102">
        <f t="shared" si="1"/>
        <v>45</v>
      </c>
      <c r="B46" s="468">
        <f>YEAR(Table6[[#This Row],[Date]])+IF(MONTH(Table6[[#This Row],[Date]])&gt;=4,1,0)</f>
        <v>2026</v>
      </c>
      <c r="C46" s="102">
        <f>YEAR(Table6[[#This Row],[Date]])</f>
        <v>2025</v>
      </c>
      <c r="D46" s="102" t="s">
        <v>1992</v>
      </c>
      <c r="E46" s="469">
        <f>Table6[[#This Row],[Date]]-DAY(Table6[[#This Row],[Date]])+1</f>
        <v>45748</v>
      </c>
      <c r="F46" s="470">
        <v>45752</v>
      </c>
      <c r="G46" s="35" t="s">
        <v>97</v>
      </c>
      <c r="H46" s="35" t="str">
        <f>IFERROR(_xlfn.XLOOKUP(Table6[[#This Row],[Affected WTG]],'Basic Data'!$A:$A,'Basic Data'!$B:$B),"")</f>
        <v>TQGXIIPL</v>
      </c>
      <c r="I46" s="35" t="str">
        <f>IFERROR(_xlfn.XLOOKUP(Table6[[#This Row],[Affected WTG]],'Basic Data'!$A:$A,'Basic Data'!$C:$C),"")</f>
        <v>GEDA</v>
      </c>
      <c r="J46" s="471">
        <f>IFERROR(_xlfn.XLOOKUP(Table6[[#This Row],[Affected WTG]],'Basic Data'!$A:$A,'Basic Data'!$E:$E),"")</f>
        <v>3.846153846153845E-2</v>
      </c>
      <c r="K46" s="102">
        <v>5510</v>
      </c>
      <c r="L46" s="35" t="str">
        <f>IFERROR(_xlfn.XLOOKUP(Table6[[#This Row],[Error Code]],'Basic Data'!$AA:$AA,'Basic Data'!$AB:$AB),"Incorrect Error Code")</f>
        <v>Low hydraulic pressure</v>
      </c>
      <c r="M46" s="35" t="s">
        <v>295</v>
      </c>
      <c r="N46" s="475"/>
      <c r="O46" s="476">
        <v>0</v>
      </c>
      <c r="P46" s="476">
        <v>0</v>
      </c>
      <c r="Q46" s="477">
        <v>0.69791666666666663</v>
      </c>
      <c r="R46" s="472">
        <f>IF(Table6[[#This Row],[Work Start TimeStamp]]="","",(Table6[[#This Row],[Work Start TimeStamp]]-Table6[[#This Row],[Fault Start TimeStamp]])*24)</f>
        <v>0</v>
      </c>
      <c r="S46" s="472">
        <f>(Table6[[#This Row],[Fault Clearance time]]-Table6[[#This Row],[Work Start TimeStamp]])*24</f>
        <v>16.75</v>
      </c>
      <c r="T46" s="472">
        <f>(Table6[[#This Row],[Fault Clearance time]]-Table6[[#This Row],[Fault Start TimeStamp]])*24</f>
        <v>16.75</v>
      </c>
      <c r="U46" s="35" t="s">
        <v>365</v>
      </c>
      <c r="V46" s="102" t="s">
        <v>293</v>
      </c>
      <c r="W46" s="478">
        <f>IFERROR(Table6[[#This Row],[Breakdown Time]]*Table6[[#This Row],[Plant Equivalent Weightage]],"")</f>
        <v>0.64423076923076905</v>
      </c>
      <c r="X46" s="473" t="s">
        <v>294</v>
      </c>
      <c r="Y46" s="474" t="s">
        <v>93</v>
      </c>
      <c r="Z46" s="102">
        <v>7721</v>
      </c>
      <c r="AA46" s="468">
        <f>(Table6[[#This Row],[Paired WTG Generation for loss calculation]]/24)*Table6[[#This Row],[Breakdown Time]]</f>
        <v>5388.614583333333</v>
      </c>
      <c r="AB46" s="102"/>
      <c r="AC46" s="35"/>
      <c r="AD46" s="35"/>
    </row>
    <row r="47" spans="1:30">
      <c r="A47" s="102">
        <f t="shared" si="1"/>
        <v>46</v>
      </c>
      <c r="B47" s="468">
        <f>YEAR(Table6[[#This Row],[Date]])+IF(MONTH(Table6[[#This Row],[Date]])&gt;=4,1,0)</f>
        <v>2026</v>
      </c>
      <c r="C47" s="102">
        <f>YEAR(Table6[[#This Row],[Date]])</f>
        <v>2025</v>
      </c>
      <c r="D47" s="102" t="s">
        <v>1992</v>
      </c>
      <c r="E47" s="469">
        <f>Table6[[#This Row],[Date]]-DAY(Table6[[#This Row],[Date]])+1</f>
        <v>45748</v>
      </c>
      <c r="F47" s="470">
        <v>45752</v>
      </c>
      <c r="G47" s="35" t="s">
        <v>99</v>
      </c>
      <c r="H47" s="35" t="str">
        <f>IFERROR(_xlfn.XLOOKUP(Table6[[#This Row],[Affected WTG]],'Basic Data'!$A:$A,'Basic Data'!$B:$B),"")</f>
        <v>TQGXIIPL</v>
      </c>
      <c r="I47" s="35" t="str">
        <f>IFERROR(_xlfn.XLOOKUP(Table6[[#This Row],[Affected WTG]],'Basic Data'!$A:$A,'Basic Data'!$C:$C),"")</f>
        <v>GEDA</v>
      </c>
      <c r="J47" s="471">
        <f>IFERROR(_xlfn.XLOOKUP(Table6[[#This Row],[Affected WTG]],'Basic Data'!$A:$A,'Basic Data'!$E:$E),"")</f>
        <v>3.846153846153845E-2</v>
      </c>
      <c r="K47" s="102">
        <v>3000</v>
      </c>
      <c r="L47" s="35" t="str">
        <f>IFERROR(_xlfn.XLOOKUP(Table6[[#This Row],[Error Code]],'Basic Data'!$AA:$AA,'Basic Data'!$AB:$AB),"Incorrect Error Code")</f>
        <v>Frequency converter not ready</v>
      </c>
      <c r="M47" s="35" t="s">
        <v>292</v>
      </c>
      <c r="N47" s="475"/>
      <c r="O47" s="476">
        <v>0.37291666666666667</v>
      </c>
      <c r="P47" s="476">
        <v>0.37291666666666667</v>
      </c>
      <c r="Q47" s="477">
        <v>0.375</v>
      </c>
      <c r="R47" s="472">
        <f>IF(Table6[[#This Row],[Work Start TimeStamp]]="","",(Table6[[#This Row],[Work Start TimeStamp]]-Table6[[#This Row],[Fault Start TimeStamp]])*24)</f>
        <v>0</v>
      </c>
      <c r="S47" s="472">
        <f>(Table6[[#This Row],[Fault Clearance time]]-Table6[[#This Row],[Work Start TimeStamp]])*24</f>
        <v>4.9999999999999822E-2</v>
      </c>
      <c r="T47" s="472">
        <f>(Table6[[#This Row],[Fault Clearance time]]-Table6[[#This Row],[Fault Start TimeStamp]])*24</f>
        <v>4.9999999999999822E-2</v>
      </c>
      <c r="U47" s="35" t="s">
        <v>346</v>
      </c>
      <c r="V47" s="102" t="s">
        <v>293</v>
      </c>
      <c r="W47" s="478">
        <f>IFERROR(Table6[[#This Row],[Breakdown Time]]*Table6[[#This Row],[Plant Equivalent Weightage]],"")</f>
        <v>1.9230769230769156E-3</v>
      </c>
      <c r="X47" s="473" t="s">
        <v>294</v>
      </c>
      <c r="Y47" s="474" t="s">
        <v>74</v>
      </c>
      <c r="Z47" s="102">
        <v>10770</v>
      </c>
      <c r="AA47" s="468">
        <f>(Table6[[#This Row],[Paired WTG Generation for loss calculation]]/24)*Table6[[#This Row],[Breakdown Time]]</f>
        <v>22.437499999999922</v>
      </c>
      <c r="AB47" s="102"/>
      <c r="AC47" s="35"/>
      <c r="AD47" s="35"/>
    </row>
    <row r="48" spans="1:30">
      <c r="A48" s="102">
        <f t="shared" si="1"/>
        <v>47</v>
      </c>
      <c r="B48" s="468">
        <f>YEAR(Table6[[#This Row],[Date]])+IF(MONTH(Table6[[#This Row],[Date]])&gt;=4,1,0)</f>
        <v>2026</v>
      </c>
      <c r="C48" s="102">
        <f>YEAR(Table6[[#This Row],[Date]])</f>
        <v>2025</v>
      </c>
      <c r="D48" s="102" t="s">
        <v>1992</v>
      </c>
      <c r="E48" s="469">
        <f>Table6[[#This Row],[Date]]-DAY(Table6[[#This Row],[Date]])+1</f>
        <v>45748</v>
      </c>
      <c r="F48" s="470">
        <v>45753</v>
      </c>
      <c r="G48" s="35" t="s">
        <v>74</v>
      </c>
      <c r="H48" s="35" t="str">
        <f>IFERROR(_xlfn.XLOOKUP(Table6[[#This Row],[Affected WTG]],'Basic Data'!$A:$A,'Basic Data'!$B:$B),"")</f>
        <v>TQGXIIPL</v>
      </c>
      <c r="I48" s="35" t="str">
        <f>IFERROR(_xlfn.XLOOKUP(Table6[[#This Row],[Affected WTG]],'Basic Data'!$A:$A,'Basic Data'!$C:$C),"")</f>
        <v>GEDA</v>
      </c>
      <c r="J48" s="471">
        <f>IFERROR(_xlfn.XLOOKUP(Table6[[#This Row],[Affected WTG]],'Basic Data'!$A:$A,'Basic Data'!$E:$E),"")</f>
        <v>3.846153846153845E-2</v>
      </c>
      <c r="K48" s="102">
        <v>4520</v>
      </c>
      <c r="L48" s="35" t="str">
        <f>IFERROR(_xlfn.XLOOKUP(Table6[[#This Row],[Error Code]],'Basic Data'!$AA:$AA,'Basic Data'!$AB:$AB),"Incorrect Error Code")</f>
        <v>Tower oscillation X level 1</v>
      </c>
      <c r="M48" s="35" t="s">
        <v>292</v>
      </c>
      <c r="N48" s="475"/>
      <c r="O48" s="476">
        <v>0.28888888888888886</v>
      </c>
      <c r="P48" s="476">
        <v>0.28888888888888886</v>
      </c>
      <c r="Q48" s="477">
        <v>0.29652777777777778</v>
      </c>
      <c r="R48" s="472">
        <f>IF(Table6[[#This Row],[Work Start TimeStamp]]="","",(Table6[[#This Row],[Work Start TimeStamp]]-Table6[[#This Row],[Fault Start TimeStamp]])*24)</f>
        <v>0</v>
      </c>
      <c r="S48" s="472">
        <f>(Table6[[#This Row],[Fault Clearance time]]-Table6[[#This Row],[Work Start TimeStamp]])*24</f>
        <v>0.18333333333333401</v>
      </c>
      <c r="T48" s="472">
        <f>(Table6[[#This Row],[Fault Clearance time]]-Table6[[#This Row],[Fault Start TimeStamp]])*24</f>
        <v>0.18333333333333401</v>
      </c>
      <c r="U48" s="35" t="s">
        <v>346</v>
      </c>
      <c r="V48" s="102" t="s">
        <v>293</v>
      </c>
      <c r="W48" s="478">
        <f>IFERROR(Table6[[#This Row],[Breakdown Time]]*Table6[[#This Row],[Plant Equivalent Weightage]],"")</f>
        <v>7.0512820512820757E-3</v>
      </c>
      <c r="X48" s="473" t="s">
        <v>294</v>
      </c>
      <c r="Y48" s="474" t="s">
        <v>99</v>
      </c>
      <c r="Z48" s="102">
        <v>14855</v>
      </c>
      <c r="AA48" s="468">
        <f>(Table6[[#This Row],[Paired WTG Generation for loss calculation]]/24)*Table6[[#This Row],[Breakdown Time]]</f>
        <v>113.47569444444487</v>
      </c>
      <c r="AB48" s="102"/>
      <c r="AC48" s="35"/>
      <c r="AD48" s="35"/>
    </row>
    <row r="49" spans="1:30">
      <c r="A49" s="102">
        <f t="shared" si="1"/>
        <v>48</v>
      </c>
      <c r="B49" s="468">
        <f>YEAR(Table6[[#This Row],[Date]])+IF(MONTH(Table6[[#This Row],[Date]])&gt;=4,1,0)</f>
        <v>2026</v>
      </c>
      <c r="C49" s="102">
        <f>YEAR(Table6[[#This Row],[Date]])</f>
        <v>2025</v>
      </c>
      <c r="D49" s="102" t="s">
        <v>1992</v>
      </c>
      <c r="E49" s="469">
        <f>Table6[[#This Row],[Date]]-DAY(Table6[[#This Row],[Date]])+1</f>
        <v>45748</v>
      </c>
      <c r="F49" s="470">
        <v>45753</v>
      </c>
      <c r="G49" s="35" t="s">
        <v>74</v>
      </c>
      <c r="H49" s="35" t="str">
        <f>IFERROR(_xlfn.XLOOKUP(Table6[[#This Row],[Affected WTG]],'Basic Data'!$A:$A,'Basic Data'!$B:$B),"")</f>
        <v>TQGXIIPL</v>
      </c>
      <c r="I49" s="35" t="str">
        <f>IFERROR(_xlfn.XLOOKUP(Table6[[#This Row],[Affected WTG]],'Basic Data'!$A:$A,'Basic Data'!$C:$C),"")</f>
        <v>GEDA</v>
      </c>
      <c r="J49" s="471">
        <f>IFERROR(_xlfn.XLOOKUP(Table6[[#This Row],[Affected WTG]],'Basic Data'!$A:$A,'Basic Data'!$E:$E),"")</f>
        <v>3.846153846153845E-2</v>
      </c>
      <c r="K49" s="102">
        <v>4520</v>
      </c>
      <c r="L49" s="35" t="str">
        <f>IFERROR(_xlfn.XLOOKUP(Table6[[#This Row],[Error Code]],'Basic Data'!$AA:$AA,'Basic Data'!$AB:$AB),"Incorrect Error Code")</f>
        <v>Tower oscillation X level 1</v>
      </c>
      <c r="M49" s="35" t="s">
        <v>292</v>
      </c>
      <c r="N49" s="475"/>
      <c r="O49" s="476">
        <v>0.375</v>
      </c>
      <c r="P49" s="476">
        <v>0.375</v>
      </c>
      <c r="Q49" s="477">
        <v>0.38263888888888886</v>
      </c>
      <c r="R49" s="472">
        <f>IF(Table6[[#This Row],[Work Start TimeStamp]]="","",(Table6[[#This Row],[Work Start TimeStamp]]-Table6[[#This Row],[Fault Start TimeStamp]])*24)</f>
        <v>0</v>
      </c>
      <c r="S49" s="472">
        <f>(Table6[[#This Row],[Fault Clearance time]]-Table6[[#This Row],[Work Start TimeStamp]])*24</f>
        <v>0.18333333333333268</v>
      </c>
      <c r="T49" s="472">
        <f>(Table6[[#This Row],[Fault Clearance time]]-Table6[[#This Row],[Fault Start TimeStamp]])*24</f>
        <v>0.18333333333333268</v>
      </c>
      <c r="U49" s="35" t="s">
        <v>346</v>
      </c>
      <c r="V49" s="102" t="s">
        <v>293</v>
      </c>
      <c r="W49" s="478">
        <f>IFERROR(Table6[[#This Row],[Breakdown Time]]*Table6[[#This Row],[Plant Equivalent Weightage]],"")</f>
        <v>7.0512820512820245E-3</v>
      </c>
      <c r="X49" s="473" t="s">
        <v>294</v>
      </c>
      <c r="Y49" s="474" t="s">
        <v>99</v>
      </c>
      <c r="Z49" s="102">
        <v>14855</v>
      </c>
      <c r="AA49" s="468">
        <f>(Table6[[#This Row],[Paired WTG Generation for loss calculation]]/24)*Table6[[#This Row],[Breakdown Time]]</f>
        <v>113.47569444444404</v>
      </c>
      <c r="AB49" s="102"/>
      <c r="AC49" s="35"/>
      <c r="AD49" s="35"/>
    </row>
    <row r="50" spans="1:30">
      <c r="A50" s="102">
        <f t="shared" si="1"/>
        <v>49</v>
      </c>
      <c r="B50" s="468">
        <f>YEAR(Table6[[#This Row],[Date]])+IF(MONTH(Table6[[#This Row],[Date]])&gt;=4,1,0)</f>
        <v>2026</v>
      </c>
      <c r="C50" s="102">
        <f>YEAR(Table6[[#This Row],[Date]])</f>
        <v>2025</v>
      </c>
      <c r="D50" s="102" t="s">
        <v>1992</v>
      </c>
      <c r="E50" s="469">
        <f>Table6[[#This Row],[Date]]-DAY(Table6[[#This Row],[Date]])+1</f>
        <v>45748</v>
      </c>
      <c r="F50" s="470">
        <v>45753</v>
      </c>
      <c r="G50" s="35" t="s">
        <v>76</v>
      </c>
      <c r="H50" s="35" t="str">
        <f>IFERROR(_xlfn.XLOOKUP(Table6[[#This Row],[Affected WTG]],'Basic Data'!$A:$A,'Basic Data'!$B:$B),"")</f>
        <v>TQGXIIPL</v>
      </c>
      <c r="I50" s="35" t="str">
        <f>IFERROR(_xlfn.XLOOKUP(Table6[[#This Row],[Affected WTG]],'Basic Data'!$A:$A,'Basic Data'!$C:$C),"")</f>
        <v>GEDA</v>
      </c>
      <c r="J50" s="471">
        <f>IFERROR(_xlfn.XLOOKUP(Table6[[#This Row],[Affected WTG]],'Basic Data'!$A:$A,'Basic Data'!$E:$E),"")</f>
        <v>3.846153846153845E-2</v>
      </c>
      <c r="K50" s="102">
        <v>55</v>
      </c>
      <c r="L50" s="35" t="str">
        <f>IFERROR(_xlfn.XLOOKUP(Table6[[#This Row],[Error Code]],'Basic Data'!$AA:$AA,'Basic Data'!$AB:$AB),"Incorrect Error Code")</f>
        <v>WTG shut down</v>
      </c>
      <c r="M50" s="35" t="s">
        <v>304</v>
      </c>
      <c r="N50" s="475"/>
      <c r="O50" s="476">
        <v>0.40277777777777779</v>
      </c>
      <c r="P50" s="476">
        <v>0.40277777777777779</v>
      </c>
      <c r="Q50" s="477">
        <v>0.6333333333333333</v>
      </c>
      <c r="R50" s="472">
        <f>IF(Table6[[#This Row],[Work Start TimeStamp]]="","",(Table6[[#This Row],[Work Start TimeStamp]]-Table6[[#This Row],[Fault Start TimeStamp]])*24)</f>
        <v>0</v>
      </c>
      <c r="S50" s="472">
        <f>(Table6[[#This Row],[Fault Clearance time]]-Table6[[#This Row],[Work Start TimeStamp]])*24</f>
        <v>5.5333333333333323</v>
      </c>
      <c r="T50" s="472">
        <f>(Table6[[#This Row],[Fault Clearance time]]-Table6[[#This Row],[Fault Start TimeStamp]])*24</f>
        <v>5.5333333333333323</v>
      </c>
      <c r="U50" s="35" t="s">
        <v>357</v>
      </c>
      <c r="V50" s="102" t="s">
        <v>293</v>
      </c>
      <c r="W50" s="478">
        <f>IFERROR(Table6[[#This Row],[Breakdown Time]]*Table6[[#This Row],[Plant Equivalent Weightage]],"")</f>
        <v>0.21282051282051273</v>
      </c>
      <c r="X50" s="473" t="s">
        <v>305</v>
      </c>
      <c r="Y50" s="474" t="s">
        <v>82</v>
      </c>
      <c r="Z50" s="102">
        <v>19159</v>
      </c>
      <c r="AA50" s="468">
        <f>(Table6[[#This Row],[Paired WTG Generation for loss calculation]]/24)*Table6[[#This Row],[Breakdown Time]]</f>
        <v>4417.2138888888876</v>
      </c>
      <c r="AB50" s="102"/>
      <c r="AC50" s="35"/>
      <c r="AD50" s="35"/>
    </row>
    <row r="51" spans="1:30">
      <c r="A51" s="102">
        <f t="shared" si="1"/>
        <v>50</v>
      </c>
      <c r="B51" s="468">
        <f>YEAR(Table6[[#This Row],[Date]])+IF(MONTH(Table6[[#This Row],[Date]])&gt;=4,1,0)</f>
        <v>2026</v>
      </c>
      <c r="C51" s="102">
        <f>YEAR(Table6[[#This Row],[Date]])</f>
        <v>2025</v>
      </c>
      <c r="D51" s="102" t="s">
        <v>1992</v>
      </c>
      <c r="E51" s="469">
        <f>Table6[[#This Row],[Date]]-DAY(Table6[[#This Row],[Date]])+1</f>
        <v>45748</v>
      </c>
      <c r="F51" s="470">
        <v>45753</v>
      </c>
      <c r="G51" s="35" t="s">
        <v>77</v>
      </c>
      <c r="H51" s="35" t="str">
        <f>IFERROR(_xlfn.XLOOKUP(Table6[[#This Row],[Affected WTG]],'Basic Data'!$A:$A,'Basic Data'!$B:$B),"")</f>
        <v>TQGXIIPL</v>
      </c>
      <c r="I51" s="35" t="str">
        <f>IFERROR(_xlfn.XLOOKUP(Table6[[#This Row],[Affected WTG]],'Basic Data'!$A:$A,'Basic Data'!$C:$C),"")</f>
        <v>GEDA</v>
      </c>
      <c r="J51" s="471">
        <f>IFERROR(_xlfn.XLOOKUP(Table6[[#This Row],[Affected WTG]],'Basic Data'!$A:$A,'Basic Data'!$E:$E),"")</f>
        <v>3.846153846153845E-2</v>
      </c>
      <c r="K51" s="102">
        <v>5700</v>
      </c>
      <c r="L51" s="35" t="str">
        <f>IFERROR(_xlfn.XLOOKUP(Table6[[#This Row],[Error Code]],'Basic Data'!$AA:$AA,'Basic Data'!$AB:$AB),"Incorrect Error Code")</f>
        <v>Max. operation time hydraulic</v>
      </c>
      <c r="M51" s="35" t="s">
        <v>291</v>
      </c>
      <c r="N51" s="475"/>
      <c r="O51" s="476">
        <v>0.56944444444444442</v>
      </c>
      <c r="P51" s="476">
        <v>0.56944444444444442</v>
      </c>
      <c r="Q51" s="477">
        <v>0.59097222222222223</v>
      </c>
      <c r="R51" s="472">
        <f>IF(Table6[[#This Row],[Work Start TimeStamp]]="","",(Table6[[#This Row],[Work Start TimeStamp]]-Table6[[#This Row],[Fault Start TimeStamp]])*24)</f>
        <v>0</v>
      </c>
      <c r="S51" s="472">
        <f>(Table6[[#This Row],[Fault Clearance time]]-Table6[[#This Row],[Work Start TimeStamp]])*24</f>
        <v>0.5166666666666675</v>
      </c>
      <c r="T51" s="472">
        <f>(Table6[[#This Row],[Fault Clearance time]]-Table6[[#This Row],[Fault Start TimeStamp]])*24</f>
        <v>0.5166666666666675</v>
      </c>
      <c r="U51" s="35" t="s">
        <v>366</v>
      </c>
      <c r="V51" s="102" t="s">
        <v>293</v>
      </c>
      <c r="W51" s="478">
        <f>IFERROR(Table6[[#This Row],[Breakdown Time]]*Table6[[#This Row],[Plant Equivalent Weightage]],"")</f>
        <v>1.9871794871794898E-2</v>
      </c>
      <c r="X51" s="473" t="s">
        <v>294</v>
      </c>
      <c r="Y51" s="474" t="s">
        <v>80</v>
      </c>
      <c r="Z51" s="102">
        <v>27191</v>
      </c>
      <c r="AA51" s="468">
        <f>(Table6[[#This Row],[Paired WTG Generation for loss calculation]]/24)*Table6[[#This Row],[Breakdown Time]]</f>
        <v>585.36180555555643</v>
      </c>
      <c r="AB51" s="102"/>
      <c r="AC51" s="35"/>
      <c r="AD51" s="35"/>
    </row>
    <row r="52" spans="1:30">
      <c r="A52" s="102">
        <f t="shared" si="1"/>
        <v>51</v>
      </c>
      <c r="B52" s="468">
        <f>YEAR(Table6[[#This Row],[Date]])+IF(MONTH(Table6[[#This Row],[Date]])&gt;=4,1,0)</f>
        <v>2026</v>
      </c>
      <c r="C52" s="102">
        <f>YEAR(Table6[[#This Row],[Date]])</f>
        <v>2025</v>
      </c>
      <c r="D52" s="102" t="s">
        <v>1992</v>
      </c>
      <c r="E52" s="469">
        <f>Table6[[#This Row],[Date]]-DAY(Table6[[#This Row],[Date]])+1</f>
        <v>45748</v>
      </c>
      <c r="F52" s="470">
        <v>45753</v>
      </c>
      <c r="G52" s="35" t="s">
        <v>77</v>
      </c>
      <c r="H52" s="35" t="str">
        <f>IFERROR(_xlfn.XLOOKUP(Table6[[#This Row],[Affected WTG]],'Basic Data'!$A:$A,'Basic Data'!$B:$B),"")</f>
        <v>TQGXIIPL</v>
      </c>
      <c r="I52" s="35" t="str">
        <f>IFERROR(_xlfn.XLOOKUP(Table6[[#This Row],[Affected WTG]],'Basic Data'!$A:$A,'Basic Data'!$C:$C),"")</f>
        <v>GEDA</v>
      </c>
      <c r="J52" s="471">
        <f>IFERROR(_xlfn.XLOOKUP(Table6[[#This Row],[Affected WTG]],'Basic Data'!$A:$A,'Basic Data'!$E:$E),"")</f>
        <v>3.846153846153845E-2</v>
      </c>
      <c r="K52" s="102">
        <v>5700</v>
      </c>
      <c r="L52" s="35" t="str">
        <f>IFERROR(_xlfn.XLOOKUP(Table6[[#This Row],[Error Code]],'Basic Data'!$AA:$AA,'Basic Data'!$AB:$AB),"Incorrect Error Code")</f>
        <v>Max. operation time hydraulic</v>
      </c>
      <c r="M52" s="35" t="s">
        <v>291</v>
      </c>
      <c r="N52" s="475"/>
      <c r="O52" s="476">
        <v>0.7368055555555556</v>
      </c>
      <c r="P52" s="476">
        <v>0.7368055555555556</v>
      </c>
      <c r="Q52" s="477">
        <v>0.76111111111111107</v>
      </c>
      <c r="R52" s="472">
        <f>IF(Table6[[#This Row],[Work Start TimeStamp]]="","",(Table6[[#This Row],[Work Start TimeStamp]]-Table6[[#This Row],[Fault Start TimeStamp]])*24)</f>
        <v>0</v>
      </c>
      <c r="S52" s="472">
        <f>(Table6[[#This Row],[Fault Clearance time]]-Table6[[#This Row],[Work Start TimeStamp]])*24</f>
        <v>0.58333333333333126</v>
      </c>
      <c r="T52" s="472">
        <f>(Table6[[#This Row],[Fault Clearance time]]-Table6[[#This Row],[Fault Start TimeStamp]])*24</f>
        <v>0.58333333333333126</v>
      </c>
      <c r="U52" s="35" t="s">
        <v>366</v>
      </c>
      <c r="V52" s="102" t="s">
        <v>293</v>
      </c>
      <c r="W52" s="478">
        <f>IFERROR(Table6[[#This Row],[Breakdown Time]]*Table6[[#This Row],[Plant Equivalent Weightage]],"")</f>
        <v>2.2435897435897349E-2</v>
      </c>
      <c r="X52" s="473" t="s">
        <v>294</v>
      </c>
      <c r="Y52" s="474" t="s">
        <v>80</v>
      </c>
      <c r="Z52" s="102">
        <v>27191</v>
      </c>
      <c r="AA52" s="468">
        <f>(Table6[[#This Row],[Paired WTG Generation for loss calculation]]/24)*Table6[[#This Row],[Breakdown Time]]</f>
        <v>660.8923611111087</v>
      </c>
      <c r="AB52" s="102"/>
      <c r="AC52" s="35"/>
      <c r="AD52" s="35"/>
    </row>
    <row r="53" spans="1:30">
      <c r="A53" s="102">
        <f t="shared" si="1"/>
        <v>52</v>
      </c>
      <c r="B53" s="468">
        <f>YEAR(Table6[[#This Row],[Date]])+IF(MONTH(Table6[[#This Row],[Date]])&gt;=4,1,0)</f>
        <v>2026</v>
      </c>
      <c r="C53" s="102">
        <f>YEAR(Table6[[#This Row],[Date]])</f>
        <v>2025</v>
      </c>
      <c r="D53" s="102" t="s">
        <v>1992</v>
      </c>
      <c r="E53" s="469">
        <f>Table6[[#This Row],[Date]]-DAY(Table6[[#This Row],[Date]])+1</f>
        <v>45748</v>
      </c>
      <c r="F53" s="470">
        <v>45753</v>
      </c>
      <c r="G53" s="35" t="s">
        <v>79</v>
      </c>
      <c r="H53" s="35" t="str">
        <f>IFERROR(_xlfn.XLOOKUP(Table6[[#This Row],[Affected WTG]],'Basic Data'!$A:$A,'Basic Data'!$B:$B),"")</f>
        <v>TQGXIIPL</v>
      </c>
      <c r="I53" s="35" t="str">
        <f>IFERROR(_xlfn.XLOOKUP(Table6[[#This Row],[Affected WTG]],'Basic Data'!$A:$A,'Basic Data'!$C:$C),"")</f>
        <v>GEDA</v>
      </c>
      <c r="J53" s="471">
        <f>IFERROR(_xlfn.XLOOKUP(Table6[[#This Row],[Affected WTG]],'Basic Data'!$A:$A,'Basic Data'!$E:$E),"")</f>
        <v>3.846153846153845E-2</v>
      </c>
      <c r="K53" s="102">
        <v>6130</v>
      </c>
      <c r="L53" s="35" t="str">
        <f>IFERROR(_xlfn.XLOOKUP(Table6[[#This Row],[Error Code]],'Basic Data'!$AA:$AA,'Basic Data'!$AB:$AB),"Incorrect Error Code")</f>
        <v>Yaw speed high</v>
      </c>
      <c r="M53" s="35" t="s">
        <v>292</v>
      </c>
      <c r="N53" s="475"/>
      <c r="O53" s="476">
        <v>0.43125000000000002</v>
      </c>
      <c r="P53" s="476">
        <v>0.43125000000000002</v>
      </c>
      <c r="Q53" s="477">
        <v>0.43541666666666667</v>
      </c>
      <c r="R53" s="472">
        <f>IF(Table6[[#This Row],[Work Start TimeStamp]]="","",(Table6[[#This Row],[Work Start TimeStamp]]-Table6[[#This Row],[Fault Start TimeStamp]])*24)</f>
        <v>0</v>
      </c>
      <c r="S53" s="472">
        <f>(Table6[[#This Row],[Fault Clearance time]]-Table6[[#This Row],[Work Start TimeStamp]])*24</f>
        <v>9.9999999999999645E-2</v>
      </c>
      <c r="T53" s="472">
        <f>(Table6[[#This Row],[Fault Clearance time]]-Table6[[#This Row],[Fault Start TimeStamp]])*24</f>
        <v>9.9999999999999645E-2</v>
      </c>
      <c r="U53" s="35" t="s">
        <v>346</v>
      </c>
      <c r="V53" s="102" t="s">
        <v>293</v>
      </c>
      <c r="W53" s="478">
        <f>IFERROR(Table6[[#This Row],[Breakdown Time]]*Table6[[#This Row],[Plant Equivalent Weightage]],"")</f>
        <v>3.8461538461538312E-3</v>
      </c>
      <c r="X53" s="473" t="s">
        <v>294</v>
      </c>
      <c r="Y53" s="474" t="s">
        <v>94</v>
      </c>
      <c r="Z53" s="102">
        <v>23865</v>
      </c>
      <c r="AA53" s="468">
        <f>(Table6[[#This Row],[Paired WTG Generation for loss calculation]]/24)*Table6[[#This Row],[Breakdown Time]]</f>
        <v>99.437499999999645</v>
      </c>
      <c r="AB53" s="102"/>
      <c r="AC53" s="35"/>
      <c r="AD53" s="35"/>
    </row>
    <row r="54" spans="1:30">
      <c r="A54" s="102">
        <f t="shared" si="1"/>
        <v>53</v>
      </c>
      <c r="B54" s="468">
        <f>YEAR(Table6[[#This Row],[Date]])+IF(MONTH(Table6[[#This Row],[Date]])&gt;=4,1,0)</f>
        <v>2026</v>
      </c>
      <c r="C54" s="102">
        <f>YEAR(Table6[[#This Row],[Date]])</f>
        <v>2025</v>
      </c>
      <c r="D54" s="102" t="s">
        <v>1992</v>
      </c>
      <c r="E54" s="469">
        <f>Table6[[#This Row],[Date]]-DAY(Table6[[#This Row],[Date]])+1</f>
        <v>45748</v>
      </c>
      <c r="F54" s="470">
        <v>45753</v>
      </c>
      <c r="G54" s="35" t="s">
        <v>80</v>
      </c>
      <c r="H54" s="35" t="str">
        <f>IFERROR(_xlfn.XLOOKUP(Table6[[#This Row],[Affected WTG]],'Basic Data'!$A:$A,'Basic Data'!$B:$B),"")</f>
        <v>TQGXIIPL</v>
      </c>
      <c r="I54" s="35" t="str">
        <f>IFERROR(_xlfn.XLOOKUP(Table6[[#This Row],[Affected WTG]],'Basic Data'!$A:$A,'Basic Data'!$C:$C),"")</f>
        <v>GEDA</v>
      </c>
      <c r="J54" s="471">
        <f>IFERROR(_xlfn.XLOOKUP(Table6[[#This Row],[Affected WTG]],'Basic Data'!$A:$A,'Basic Data'!$E:$E),"")</f>
        <v>3.846153846153845E-2</v>
      </c>
      <c r="K54" s="102">
        <v>175</v>
      </c>
      <c r="L54" s="35" t="str">
        <f>IFERROR(_xlfn.XLOOKUP(Table6[[#This Row],[Error Code]],'Basic Data'!$AA:$AA,'Basic Data'!$AB:$AB),"Incorrect Error Code")</f>
        <v>SLC error</v>
      </c>
      <c r="M54" s="35" t="s">
        <v>291</v>
      </c>
      <c r="N54" s="475"/>
      <c r="O54" s="476">
        <v>0.44166666666666665</v>
      </c>
      <c r="P54" s="476">
        <v>0.44166666666666665</v>
      </c>
      <c r="Q54" s="477">
        <v>0.4597222222222222</v>
      </c>
      <c r="R54" s="472">
        <f>IF(Table6[[#This Row],[Work Start TimeStamp]]="","",(Table6[[#This Row],[Work Start TimeStamp]]-Table6[[#This Row],[Fault Start TimeStamp]])*24)</f>
        <v>0</v>
      </c>
      <c r="S54" s="472">
        <f>(Table6[[#This Row],[Fault Clearance time]]-Table6[[#This Row],[Work Start TimeStamp]])*24</f>
        <v>0.43333333333333313</v>
      </c>
      <c r="T54" s="472">
        <f>(Table6[[#This Row],[Fault Clearance time]]-Table6[[#This Row],[Fault Start TimeStamp]])*24</f>
        <v>0.43333333333333313</v>
      </c>
      <c r="U54" s="35" t="s">
        <v>349</v>
      </c>
      <c r="V54" s="102" t="s">
        <v>293</v>
      </c>
      <c r="W54" s="478">
        <f>IFERROR(Table6[[#This Row],[Breakdown Time]]*Table6[[#This Row],[Plant Equivalent Weightage]],"")</f>
        <v>1.6666666666666653E-2</v>
      </c>
      <c r="X54" s="473" t="s">
        <v>294</v>
      </c>
      <c r="Y54" s="474" t="s">
        <v>77</v>
      </c>
      <c r="Z54" s="102">
        <v>28588</v>
      </c>
      <c r="AA54" s="468">
        <f>(Table6[[#This Row],[Paired WTG Generation for loss calculation]]/24)*Table6[[#This Row],[Breakdown Time]]</f>
        <v>516.17222222222199</v>
      </c>
      <c r="AB54" s="102"/>
      <c r="AC54" s="35"/>
      <c r="AD54" s="35"/>
    </row>
    <row r="55" spans="1:30">
      <c r="A55" s="102">
        <f t="shared" si="1"/>
        <v>54</v>
      </c>
      <c r="B55" s="468">
        <f>YEAR(Table6[[#This Row],[Date]])+IF(MONTH(Table6[[#This Row],[Date]])&gt;=4,1,0)</f>
        <v>2026</v>
      </c>
      <c r="C55" s="102">
        <f>YEAR(Table6[[#This Row],[Date]])</f>
        <v>2025</v>
      </c>
      <c r="D55" s="102" t="s">
        <v>1992</v>
      </c>
      <c r="E55" s="469">
        <f>Table6[[#This Row],[Date]]-DAY(Table6[[#This Row],[Date]])+1</f>
        <v>45748</v>
      </c>
      <c r="F55" s="470">
        <v>45753</v>
      </c>
      <c r="G55" s="35" t="s">
        <v>81</v>
      </c>
      <c r="H55" s="35" t="str">
        <f>IFERROR(_xlfn.XLOOKUP(Table6[[#This Row],[Affected WTG]],'Basic Data'!$A:$A,'Basic Data'!$B:$B),"")</f>
        <v>TQGXIIPL</v>
      </c>
      <c r="I55" s="35" t="str">
        <f>IFERROR(_xlfn.XLOOKUP(Table6[[#This Row],[Affected WTG]],'Basic Data'!$A:$A,'Basic Data'!$C:$C),"")</f>
        <v>GEDA</v>
      </c>
      <c r="J55" s="471">
        <f>IFERROR(_xlfn.XLOOKUP(Table6[[#This Row],[Affected WTG]],'Basic Data'!$A:$A,'Basic Data'!$E:$E),"")</f>
        <v>3.846153846153845E-2</v>
      </c>
      <c r="K55" s="102">
        <v>4520</v>
      </c>
      <c r="L55" s="35" t="str">
        <f>IFERROR(_xlfn.XLOOKUP(Table6[[#This Row],[Error Code]],'Basic Data'!$AA:$AA,'Basic Data'!$AB:$AB),"Incorrect Error Code")</f>
        <v>Tower oscillation X level 1</v>
      </c>
      <c r="M55" s="35" t="s">
        <v>292</v>
      </c>
      <c r="N55" s="475"/>
      <c r="O55" s="476">
        <v>0.25833333333333336</v>
      </c>
      <c r="P55" s="476">
        <v>0.25833333333333336</v>
      </c>
      <c r="Q55" s="477">
        <v>0.26597222222222222</v>
      </c>
      <c r="R55" s="472">
        <f>IF(Table6[[#This Row],[Work Start TimeStamp]]="","",(Table6[[#This Row],[Work Start TimeStamp]]-Table6[[#This Row],[Fault Start TimeStamp]])*24)</f>
        <v>0</v>
      </c>
      <c r="S55" s="472">
        <f>(Table6[[#This Row],[Fault Clearance time]]-Table6[[#This Row],[Work Start TimeStamp]])*24</f>
        <v>0.18333333333333268</v>
      </c>
      <c r="T55" s="472">
        <f>(Table6[[#This Row],[Fault Clearance time]]-Table6[[#This Row],[Fault Start TimeStamp]])*24</f>
        <v>0.18333333333333268</v>
      </c>
      <c r="U55" s="35" t="s">
        <v>346</v>
      </c>
      <c r="V55" s="102" t="s">
        <v>293</v>
      </c>
      <c r="W55" s="478">
        <f>IFERROR(Table6[[#This Row],[Breakdown Time]]*Table6[[#This Row],[Plant Equivalent Weightage]],"")</f>
        <v>7.0512820512820245E-3</v>
      </c>
      <c r="X55" s="473" t="s">
        <v>294</v>
      </c>
      <c r="Y55" s="474" t="s">
        <v>99</v>
      </c>
      <c r="Z55" s="102">
        <v>14855</v>
      </c>
      <c r="AA55" s="468">
        <f>(Table6[[#This Row],[Paired WTG Generation for loss calculation]]/24)*Table6[[#This Row],[Breakdown Time]]</f>
        <v>113.47569444444404</v>
      </c>
      <c r="AB55" s="102"/>
      <c r="AC55" s="35"/>
      <c r="AD55" s="35"/>
    </row>
    <row r="56" spans="1:30">
      <c r="A56" s="102">
        <f t="shared" si="1"/>
        <v>55</v>
      </c>
      <c r="B56" s="468">
        <f>YEAR(Table6[[#This Row],[Date]])+IF(MONTH(Table6[[#This Row],[Date]])&gt;=4,1,0)</f>
        <v>2026</v>
      </c>
      <c r="C56" s="102">
        <f>YEAR(Table6[[#This Row],[Date]])</f>
        <v>2025</v>
      </c>
      <c r="D56" s="102" t="s">
        <v>1992</v>
      </c>
      <c r="E56" s="469">
        <f>Table6[[#This Row],[Date]]-DAY(Table6[[#This Row],[Date]])+1</f>
        <v>45748</v>
      </c>
      <c r="F56" s="470">
        <v>45753</v>
      </c>
      <c r="G56" s="35" t="s">
        <v>83</v>
      </c>
      <c r="H56" s="35" t="str">
        <f>IFERROR(_xlfn.XLOOKUP(Table6[[#This Row],[Affected WTG]],'Basic Data'!$A:$A,'Basic Data'!$B:$B),"")</f>
        <v>TQGXIIPL</v>
      </c>
      <c r="I56" s="35" t="str">
        <f>IFERROR(_xlfn.XLOOKUP(Table6[[#This Row],[Affected WTG]],'Basic Data'!$A:$A,'Basic Data'!$C:$C),"")</f>
        <v>GEDA</v>
      </c>
      <c r="J56" s="471">
        <f>IFERROR(_xlfn.XLOOKUP(Table6[[#This Row],[Affected WTG]],'Basic Data'!$A:$A,'Basic Data'!$E:$E),"")</f>
        <v>3.846153846153845E-2</v>
      </c>
      <c r="K56" s="102">
        <v>6130</v>
      </c>
      <c r="L56" s="35" t="str">
        <f>IFERROR(_xlfn.XLOOKUP(Table6[[#This Row],[Error Code]],'Basic Data'!$AA:$AA,'Basic Data'!$AB:$AB),"Incorrect Error Code")</f>
        <v>Yaw speed high</v>
      </c>
      <c r="M56" s="35" t="s">
        <v>292</v>
      </c>
      <c r="N56" s="475"/>
      <c r="O56" s="476">
        <v>0.10277777777777777</v>
      </c>
      <c r="P56" s="476">
        <v>0.10277777777777777</v>
      </c>
      <c r="Q56" s="477">
        <v>0.10555555555555556</v>
      </c>
      <c r="R56" s="472">
        <f>IF(Table6[[#This Row],[Work Start TimeStamp]]="","",(Table6[[#This Row],[Work Start TimeStamp]]-Table6[[#This Row],[Fault Start TimeStamp]])*24)</f>
        <v>0</v>
      </c>
      <c r="S56" s="472">
        <f>(Table6[[#This Row],[Fault Clearance time]]-Table6[[#This Row],[Work Start TimeStamp]])*24</f>
        <v>6.6666666666666763E-2</v>
      </c>
      <c r="T56" s="472">
        <f>(Table6[[#This Row],[Fault Clearance time]]-Table6[[#This Row],[Fault Start TimeStamp]])*24</f>
        <v>6.6666666666666763E-2</v>
      </c>
      <c r="U56" s="35" t="s">
        <v>346</v>
      </c>
      <c r="V56" s="102" t="s">
        <v>293</v>
      </c>
      <c r="W56" s="478">
        <f>IFERROR(Table6[[#This Row],[Breakdown Time]]*Table6[[#This Row],[Plant Equivalent Weightage]],"")</f>
        <v>2.5641025641025671E-3</v>
      </c>
      <c r="X56" s="473" t="s">
        <v>294</v>
      </c>
      <c r="Y56" s="474" t="s">
        <v>88</v>
      </c>
      <c r="Z56" s="102">
        <v>24021</v>
      </c>
      <c r="AA56" s="468">
        <f>(Table6[[#This Row],[Paired WTG Generation for loss calculation]]/24)*Table6[[#This Row],[Breakdown Time]]</f>
        <v>66.725000000000094</v>
      </c>
      <c r="AB56" s="102"/>
      <c r="AC56" s="35"/>
      <c r="AD56" s="35"/>
    </row>
    <row r="57" spans="1:30">
      <c r="A57" s="102">
        <f t="shared" si="1"/>
        <v>56</v>
      </c>
      <c r="B57" s="468">
        <f>YEAR(Table6[[#This Row],[Date]])+IF(MONTH(Table6[[#This Row],[Date]])&gt;=4,1,0)</f>
        <v>2026</v>
      </c>
      <c r="C57" s="102">
        <f>YEAR(Table6[[#This Row],[Date]])</f>
        <v>2025</v>
      </c>
      <c r="D57" s="102" t="s">
        <v>1992</v>
      </c>
      <c r="E57" s="469">
        <f>Table6[[#This Row],[Date]]-DAY(Table6[[#This Row],[Date]])+1</f>
        <v>45748</v>
      </c>
      <c r="F57" s="470">
        <v>45753</v>
      </c>
      <c r="G57" s="35" t="s">
        <v>85</v>
      </c>
      <c r="H57" s="35" t="str">
        <f>IFERROR(_xlfn.XLOOKUP(Table6[[#This Row],[Affected WTG]],'Basic Data'!$A:$A,'Basic Data'!$B:$B),"")</f>
        <v>TQGXIIPL</v>
      </c>
      <c r="I57" s="35" t="str">
        <f>IFERROR(_xlfn.XLOOKUP(Table6[[#This Row],[Affected WTG]],'Basic Data'!$A:$A,'Basic Data'!$C:$C),"")</f>
        <v>GEDA</v>
      </c>
      <c r="J57" s="471">
        <f>IFERROR(_xlfn.XLOOKUP(Table6[[#This Row],[Affected WTG]],'Basic Data'!$A:$A,'Basic Data'!$E:$E),"")</f>
        <v>3.846153846153845E-2</v>
      </c>
      <c r="K57" s="102">
        <v>6130</v>
      </c>
      <c r="L57" s="35" t="str">
        <f>IFERROR(_xlfn.XLOOKUP(Table6[[#This Row],[Error Code]],'Basic Data'!$AA:$AA,'Basic Data'!$AB:$AB),"Incorrect Error Code")</f>
        <v>Yaw speed high</v>
      </c>
      <c r="M57" s="35" t="s">
        <v>292</v>
      </c>
      <c r="N57" s="475"/>
      <c r="O57" s="476">
        <v>0.11944444444444445</v>
      </c>
      <c r="P57" s="476">
        <v>0.11944444444444445</v>
      </c>
      <c r="Q57" s="477">
        <v>0.12361111111111112</v>
      </c>
      <c r="R57" s="472">
        <f>IF(Table6[[#This Row],[Work Start TimeStamp]]="","",(Table6[[#This Row],[Work Start TimeStamp]]-Table6[[#This Row],[Fault Start TimeStamp]])*24)</f>
        <v>0</v>
      </c>
      <c r="S57" s="472">
        <f>(Table6[[#This Row],[Fault Clearance time]]-Table6[[#This Row],[Work Start TimeStamp]])*24</f>
        <v>9.9999999999999978E-2</v>
      </c>
      <c r="T57" s="472">
        <f>(Table6[[#This Row],[Fault Clearance time]]-Table6[[#This Row],[Fault Start TimeStamp]])*24</f>
        <v>9.9999999999999978E-2</v>
      </c>
      <c r="U57" s="35" t="s">
        <v>346</v>
      </c>
      <c r="V57" s="102" t="s">
        <v>293</v>
      </c>
      <c r="W57" s="478">
        <f>IFERROR(Table6[[#This Row],[Breakdown Time]]*Table6[[#This Row],[Plant Equivalent Weightage]],"")</f>
        <v>3.8461538461538442E-3</v>
      </c>
      <c r="X57" s="473" t="s">
        <v>294</v>
      </c>
      <c r="Y57" s="474" t="s">
        <v>87</v>
      </c>
      <c r="Z57" s="102">
        <v>20710</v>
      </c>
      <c r="AA57" s="468">
        <f>(Table6[[#This Row],[Paired WTG Generation for loss calculation]]/24)*Table6[[#This Row],[Breakdown Time]]</f>
        <v>86.291666666666643</v>
      </c>
      <c r="AB57" s="102"/>
      <c r="AC57" s="35"/>
      <c r="AD57" s="35"/>
    </row>
    <row r="58" spans="1:30">
      <c r="A58" s="102">
        <f t="shared" si="1"/>
        <v>57</v>
      </c>
      <c r="B58" s="468">
        <f>YEAR(Table6[[#This Row],[Date]])+IF(MONTH(Table6[[#This Row],[Date]])&gt;=4,1,0)</f>
        <v>2026</v>
      </c>
      <c r="C58" s="102">
        <f>YEAR(Table6[[#This Row],[Date]])</f>
        <v>2025</v>
      </c>
      <c r="D58" s="102" t="s">
        <v>1992</v>
      </c>
      <c r="E58" s="469">
        <f>Table6[[#This Row],[Date]]-DAY(Table6[[#This Row],[Date]])+1</f>
        <v>45748</v>
      </c>
      <c r="F58" s="470">
        <v>45753</v>
      </c>
      <c r="G58" s="35" t="s">
        <v>86</v>
      </c>
      <c r="H58" s="35" t="str">
        <f>IFERROR(_xlfn.XLOOKUP(Table6[[#This Row],[Affected WTG]],'Basic Data'!$A:$A,'Basic Data'!$B:$B),"")</f>
        <v>TQGXIIPL</v>
      </c>
      <c r="I58" s="35" t="str">
        <f>IFERROR(_xlfn.XLOOKUP(Table6[[#This Row],[Affected WTG]],'Basic Data'!$A:$A,'Basic Data'!$C:$C),"")</f>
        <v>GEDA</v>
      </c>
      <c r="J58" s="471">
        <f>IFERROR(_xlfn.XLOOKUP(Table6[[#This Row],[Affected WTG]],'Basic Data'!$A:$A,'Basic Data'!$E:$E),"")</f>
        <v>3.846153846153845E-2</v>
      </c>
      <c r="K58" s="102">
        <v>55</v>
      </c>
      <c r="L58" s="35" t="str">
        <f>IFERROR(_xlfn.XLOOKUP(Table6[[#This Row],[Error Code]],'Basic Data'!$AA:$AA,'Basic Data'!$AB:$AB),"Incorrect Error Code")</f>
        <v>WTG shut down</v>
      </c>
      <c r="M58" s="35" t="s">
        <v>291</v>
      </c>
      <c r="N58" s="475"/>
      <c r="O58" s="476">
        <v>0.43055555555555558</v>
      </c>
      <c r="P58" s="476">
        <v>0.43055555555555558</v>
      </c>
      <c r="Q58" s="477">
        <v>0.48472222222222222</v>
      </c>
      <c r="R58" s="472">
        <f>IF(Table6[[#This Row],[Work Start TimeStamp]]="","",(Table6[[#This Row],[Work Start TimeStamp]]-Table6[[#This Row],[Fault Start TimeStamp]])*24)</f>
        <v>0</v>
      </c>
      <c r="S58" s="472">
        <f>(Table6[[#This Row],[Fault Clearance time]]-Table6[[#This Row],[Work Start TimeStamp]])*24</f>
        <v>1.2999999999999994</v>
      </c>
      <c r="T58" s="472">
        <f>(Table6[[#This Row],[Fault Clearance time]]-Table6[[#This Row],[Fault Start TimeStamp]])*24</f>
        <v>1.2999999999999994</v>
      </c>
      <c r="U58" s="35" t="s">
        <v>367</v>
      </c>
      <c r="V58" s="102" t="s">
        <v>293</v>
      </c>
      <c r="W58" s="478">
        <f>IFERROR(Table6[[#This Row],[Breakdown Time]]*Table6[[#This Row],[Plant Equivalent Weightage]],"")</f>
        <v>4.9999999999999961E-2</v>
      </c>
      <c r="X58" s="473" t="s">
        <v>290</v>
      </c>
      <c r="Y58" s="474" t="s">
        <v>84</v>
      </c>
      <c r="Z58" s="102">
        <v>21595</v>
      </c>
      <c r="AA58" s="468">
        <f>(Table6[[#This Row],[Paired WTG Generation for loss calculation]]/24)*Table6[[#This Row],[Breakdown Time]]</f>
        <v>1169.7291666666661</v>
      </c>
      <c r="AB58" s="102"/>
      <c r="AC58" s="35"/>
      <c r="AD58" s="35"/>
    </row>
    <row r="59" spans="1:30">
      <c r="A59" s="102">
        <f t="shared" si="1"/>
        <v>58</v>
      </c>
      <c r="B59" s="468">
        <f>YEAR(Table6[[#This Row],[Date]])+IF(MONTH(Table6[[#This Row],[Date]])&gt;=4,1,0)</f>
        <v>2026</v>
      </c>
      <c r="C59" s="102">
        <f>YEAR(Table6[[#This Row],[Date]])</f>
        <v>2025</v>
      </c>
      <c r="D59" s="102" t="s">
        <v>1992</v>
      </c>
      <c r="E59" s="469">
        <f>Table6[[#This Row],[Date]]-DAY(Table6[[#This Row],[Date]])+1</f>
        <v>45748</v>
      </c>
      <c r="F59" s="470">
        <v>45753</v>
      </c>
      <c r="G59" s="35" t="s">
        <v>90</v>
      </c>
      <c r="H59" s="35" t="str">
        <f>IFERROR(_xlfn.XLOOKUP(Table6[[#This Row],[Affected WTG]],'Basic Data'!$A:$A,'Basic Data'!$B:$B),"")</f>
        <v>TQGXIIPL</v>
      </c>
      <c r="I59" s="35" t="str">
        <f>IFERROR(_xlfn.XLOOKUP(Table6[[#This Row],[Affected WTG]],'Basic Data'!$A:$A,'Basic Data'!$C:$C),"")</f>
        <v>GEDA</v>
      </c>
      <c r="J59" s="471">
        <f>IFERROR(_xlfn.XLOOKUP(Table6[[#This Row],[Affected WTG]],'Basic Data'!$A:$A,'Basic Data'!$E:$E),"")</f>
        <v>3.846153846153845E-2</v>
      </c>
      <c r="K59" s="102">
        <v>657</v>
      </c>
      <c r="L59" s="35" t="str">
        <f>IFERROR(_xlfn.XLOOKUP(Table6[[#This Row],[Error Code]],'Basic Data'!$AA:$AA,'Basic Data'!$AB:$AB),"Incorrect Error Code")</f>
        <v>Error pitch converter 2</v>
      </c>
      <c r="M59" s="35" t="s">
        <v>292</v>
      </c>
      <c r="N59" s="475"/>
      <c r="O59" s="476">
        <v>0.49861111111111112</v>
      </c>
      <c r="P59" s="476">
        <v>0.49861111111111112</v>
      </c>
      <c r="Q59" s="477">
        <v>0.5</v>
      </c>
      <c r="R59" s="472">
        <f>IF(Table6[[#This Row],[Work Start TimeStamp]]="","",(Table6[[#This Row],[Work Start TimeStamp]]-Table6[[#This Row],[Fault Start TimeStamp]])*24)</f>
        <v>0</v>
      </c>
      <c r="S59" s="472">
        <f>(Table6[[#This Row],[Fault Clearance time]]-Table6[[#This Row],[Work Start TimeStamp]])*24</f>
        <v>3.3333333333333215E-2</v>
      </c>
      <c r="T59" s="472">
        <f>(Table6[[#This Row],[Fault Clearance time]]-Table6[[#This Row],[Fault Start TimeStamp]])*24</f>
        <v>3.3333333333333215E-2</v>
      </c>
      <c r="U59" s="35" t="s">
        <v>346</v>
      </c>
      <c r="V59" s="102" t="s">
        <v>293</v>
      </c>
      <c r="W59" s="478">
        <f>IFERROR(Table6[[#This Row],[Breakdown Time]]*Table6[[#This Row],[Plant Equivalent Weightage]],"")</f>
        <v>1.2820512820512771E-3</v>
      </c>
      <c r="X59" s="473" t="s">
        <v>294</v>
      </c>
      <c r="Y59" s="474" t="s">
        <v>95</v>
      </c>
      <c r="Z59" s="102">
        <v>29600</v>
      </c>
      <c r="AA59" s="468">
        <f>(Table6[[#This Row],[Paired WTG Generation for loss calculation]]/24)*Table6[[#This Row],[Breakdown Time]]</f>
        <v>41.111111111110965</v>
      </c>
      <c r="AB59" s="102"/>
      <c r="AC59" s="35"/>
      <c r="AD59" s="35"/>
    </row>
    <row r="60" spans="1:30">
      <c r="A60" s="102">
        <f t="shared" si="1"/>
        <v>59</v>
      </c>
      <c r="B60" s="468">
        <f>YEAR(Table6[[#This Row],[Date]])+IF(MONTH(Table6[[#This Row],[Date]])&gt;=4,1,0)</f>
        <v>2026</v>
      </c>
      <c r="C60" s="102">
        <f>YEAR(Table6[[#This Row],[Date]])</f>
        <v>2025</v>
      </c>
      <c r="D60" s="102" t="s">
        <v>1992</v>
      </c>
      <c r="E60" s="469">
        <f>Table6[[#This Row],[Date]]-DAY(Table6[[#This Row],[Date]])+1</f>
        <v>45748</v>
      </c>
      <c r="F60" s="470">
        <v>45753</v>
      </c>
      <c r="G60" s="35" t="s">
        <v>91</v>
      </c>
      <c r="H60" s="35" t="str">
        <f>IFERROR(_xlfn.XLOOKUP(Table6[[#This Row],[Affected WTG]],'Basic Data'!$A:$A,'Basic Data'!$B:$B),"")</f>
        <v>TQGXIIPL</v>
      </c>
      <c r="I60" s="35" t="str">
        <f>IFERROR(_xlfn.XLOOKUP(Table6[[#This Row],[Affected WTG]],'Basic Data'!$A:$A,'Basic Data'!$C:$C),"")</f>
        <v>GEDA</v>
      </c>
      <c r="J60" s="471">
        <f>IFERROR(_xlfn.XLOOKUP(Table6[[#This Row],[Affected WTG]],'Basic Data'!$A:$A,'Basic Data'!$E:$E),"")</f>
        <v>3.846153846153845E-2</v>
      </c>
      <c r="K60" s="102">
        <v>3211</v>
      </c>
      <c r="L60" s="35" t="str">
        <f>IFERROR(_xlfn.XLOOKUP(Table6[[#This Row],[Error Code]],'Basic Data'!$AA:$AA,'Basic Data'!$AB:$AB),"Incorrect Error Code")</f>
        <v>Conv. load shedding (CAN)</v>
      </c>
      <c r="M60" s="35" t="s">
        <v>291</v>
      </c>
      <c r="N60" s="475"/>
      <c r="O60" s="476">
        <v>0.80138888888888893</v>
      </c>
      <c r="P60" s="476">
        <v>0.80138888888888893</v>
      </c>
      <c r="Q60" s="477">
        <v>0.81180555555555556</v>
      </c>
      <c r="R60" s="472">
        <f>IF(Table6[[#This Row],[Work Start TimeStamp]]="","",(Table6[[#This Row],[Work Start TimeStamp]]-Table6[[#This Row],[Fault Start TimeStamp]])*24)</f>
        <v>0</v>
      </c>
      <c r="S60" s="472">
        <f>(Table6[[#This Row],[Fault Clearance time]]-Table6[[#This Row],[Work Start TimeStamp]])*24</f>
        <v>0.24999999999999911</v>
      </c>
      <c r="T60" s="472">
        <f>(Table6[[#This Row],[Fault Clearance time]]-Table6[[#This Row],[Fault Start TimeStamp]])*24</f>
        <v>0.24999999999999911</v>
      </c>
      <c r="U60" s="35" t="s">
        <v>368</v>
      </c>
      <c r="V60" s="102" t="s">
        <v>293</v>
      </c>
      <c r="W60" s="478">
        <f>IFERROR(Table6[[#This Row],[Breakdown Time]]*Table6[[#This Row],[Plant Equivalent Weightage]],"")</f>
        <v>9.6153846153845778E-3</v>
      </c>
      <c r="X60" s="473" t="s">
        <v>294</v>
      </c>
      <c r="Y60" s="474" t="s">
        <v>79</v>
      </c>
      <c r="Z60" s="102">
        <v>24449</v>
      </c>
      <c r="AA60" s="468">
        <f>(Table6[[#This Row],[Paired WTG Generation for loss calculation]]/24)*Table6[[#This Row],[Breakdown Time]]</f>
        <v>254.67708333333243</v>
      </c>
      <c r="AB60" s="102"/>
      <c r="AC60" s="35"/>
      <c r="AD60" s="35"/>
    </row>
    <row r="61" spans="1:30">
      <c r="A61" s="102">
        <f t="shared" si="1"/>
        <v>60</v>
      </c>
      <c r="B61" s="468">
        <f>YEAR(Table6[[#This Row],[Date]])+IF(MONTH(Table6[[#This Row],[Date]])&gt;=4,1,0)</f>
        <v>2026</v>
      </c>
      <c r="C61" s="102">
        <f>YEAR(Table6[[#This Row],[Date]])</f>
        <v>2025</v>
      </c>
      <c r="D61" s="102" t="s">
        <v>1992</v>
      </c>
      <c r="E61" s="469">
        <f>Table6[[#This Row],[Date]]-DAY(Table6[[#This Row],[Date]])+1</f>
        <v>45748</v>
      </c>
      <c r="F61" s="470">
        <v>45753</v>
      </c>
      <c r="G61" s="35" t="s">
        <v>93</v>
      </c>
      <c r="H61" s="35" t="str">
        <f>IFERROR(_xlfn.XLOOKUP(Table6[[#This Row],[Affected WTG]],'Basic Data'!$A:$A,'Basic Data'!$B:$B),"")</f>
        <v>TQGXIIPL</v>
      </c>
      <c r="I61" s="35" t="str">
        <f>IFERROR(_xlfn.XLOOKUP(Table6[[#This Row],[Affected WTG]],'Basic Data'!$A:$A,'Basic Data'!$C:$C),"")</f>
        <v>GEDA</v>
      </c>
      <c r="J61" s="471">
        <f>IFERROR(_xlfn.XLOOKUP(Table6[[#This Row],[Affected WTG]],'Basic Data'!$A:$A,'Basic Data'!$E:$E),"")</f>
        <v>3.846153846153845E-2</v>
      </c>
      <c r="K61" s="102">
        <v>3211</v>
      </c>
      <c r="L61" s="35" t="str">
        <f>IFERROR(_xlfn.XLOOKUP(Table6[[#This Row],[Error Code]],'Basic Data'!$AA:$AA,'Basic Data'!$AB:$AB),"Incorrect Error Code")</f>
        <v>Conv. load shedding (CAN)</v>
      </c>
      <c r="M61" s="35" t="s">
        <v>291</v>
      </c>
      <c r="N61" s="475"/>
      <c r="O61" s="476">
        <v>0.82152777777777775</v>
      </c>
      <c r="P61" s="476">
        <v>0.82152777777777775</v>
      </c>
      <c r="Q61" s="477">
        <v>0.85486111111111107</v>
      </c>
      <c r="R61" s="472">
        <f>IF(Table6[[#This Row],[Work Start TimeStamp]]="","",(Table6[[#This Row],[Work Start TimeStamp]]-Table6[[#This Row],[Fault Start TimeStamp]])*24)</f>
        <v>0</v>
      </c>
      <c r="S61" s="472">
        <f>(Table6[[#This Row],[Fault Clearance time]]-Table6[[#This Row],[Work Start TimeStamp]])*24</f>
        <v>0.79999999999999982</v>
      </c>
      <c r="T61" s="472">
        <f>(Table6[[#This Row],[Fault Clearance time]]-Table6[[#This Row],[Fault Start TimeStamp]])*24</f>
        <v>0.79999999999999982</v>
      </c>
      <c r="U61" s="35" t="s">
        <v>369</v>
      </c>
      <c r="V61" s="102" t="s">
        <v>293</v>
      </c>
      <c r="W61" s="478">
        <f>IFERROR(Table6[[#This Row],[Breakdown Time]]*Table6[[#This Row],[Plant Equivalent Weightage]],"")</f>
        <v>3.0769230769230754E-2</v>
      </c>
      <c r="X61" s="473" t="s">
        <v>294</v>
      </c>
      <c r="Y61" s="474" t="s">
        <v>97</v>
      </c>
      <c r="Z61" s="102">
        <v>24582</v>
      </c>
      <c r="AA61" s="468">
        <f>(Table6[[#This Row],[Paired WTG Generation for loss calculation]]/24)*Table6[[#This Row],[Breakdown Time]]</f>
        <v>819.39999999999986</v>
      </c>
      <c r="AB61" s="102"/>
      <c r="AC61" s="35"/>
      <c r="AD61" s="35"/>
    </row>
    <row r="62" spans="1:30">
      <c r="A62" s="102">
        <f t="shared" si="1"/>
        <v>61</v>
      </c>
      <c r="B62" s="468">
        <f>YEAR(Table6[[#This Row],[Date]])+IF(MONTH(Table6[[#This Row],[Date]])&gt;=4,1,0)</f>
        <v>2026</v>
      </c>
      <c r="C62" s="102">
        <f>YEAR(Table6[[#This Row],[Date]])</f>
        <v>2025</v>
      </c>
      <c r="D62" s="102" t="s">
        <v>1992</v>
      </c>
      <c r="E62" s="469">
        <f>Table6[[#This Row],[Date]]-DAY(Table6[[#This Row],[Date]])+1</f>
        <v>45748</v>
      </c>
      <c r="F62" s="470">
        <v>45753</v>
      </c>
      <c r="G62" s="35" t="s">
        <v>94</v>
      </c>
      <c r="H62" s="35" t="str">
        <f>IFERROR(_xlfn.XLOOKUP(Table6[[#This Row],[Affected WTG]],'Basic Data'!$A:$A,'Basic Data'!$B:$B),"")</f>
        <v>TQGXIIPL</v>
      </c>
      <c r="I62" s="35" t="str">
        <f>IFERROR(_xlfn.XLOOKUP(Table6[[#This Row],[Affected WTG]],'Basic Data'!$A:$A,'Basic Data'!$C:$C),"")</f>
        <v>GEDA</v>
      </c>
      <c r="J62" s="471">
        <f>IFERROR(_xlfn.XLOOKUP(Table6[[#This Row],[Affected WTG]],'Basic Data'!$A:$A,'Basic Data'!$E:$E),"")</f>
        <v>3.846153846153845E-2</v>
      </c>
      <c r="K62" s="102">
        <v>700</v>
      </c>
      <c r="L62" s="35" t="str">
        <f>IFERROR(_xlfn.XLOOKUP(Table6[[#This Row],[Error Code]],'Basic Data'!$AA:$AA,'Basic Data'!$AB:$AB),"Incorrect Error Code")</f>
        <v>Batt. undervoltage/overvoltage</v>
      </c>
      <c r="M62" s="35" t="s">
        <v>291</v>
      </c>
      <c r="N62" s="475"/>
      <c r="O62" s="476">
        <v>0.3888888888888889</v>
      </c>
      <c r="P62" s="476">
        <v>0.3888888888888889</v>
      </c>
      <c r="Q62" s="477">
        <v>0.40694444444444444</v>
      </c>
      <c r="R62" s="472">
        <f>IF(Table6[[#This Row],[Work Start TimeStamp]]="","",(Table6[[#This Row],[Work Start TimeStamp]]-Table6[[#This Row],[Fault Start TimeStamp]])*24)</f>
        <v>0</v>
      </c>
      <c r="S62" s="472">
        <f>(Table6[[#This Row],[Fault Clearance time]]-Table6[[#This Row],[Work Start TimeStamp]])*24</f>
        <v>0.43333333333333313</v>
      </c>
      <c r="T62" s="472">
        <f>(Table6[[#This Row],[Fault Clearance time]]-Table6[[#This Row],[Fault Start TimeStamp]])*24</f>
        <v>0.43333333333333313</v>
      </c>
      <c r="U62" s="35" t="s">
        <v>370</v>
      </c>
      <c r="V62" s="102" t="s">
        <v>293</v>
      </c>
      <c r="W62" s="478">
        <f>IFERROR(Table6[[#This Row],[Breakdown Time]]*Table6[[#This Row],[Plant Equivalent Weightage]],"")</f>
        <v>1.6666666666666653E-2</v>
      </c>
      <c r="X62" s="473" t="s">
        <v>294</v>
      </c>
      <c r="Y62" s="474" t="s">
        <v>79</v>
      </c>
      <c r="Z62" s="102">
        <v>24449</v>
      </c>
      <c r="AA62" s="468">
        <f>(Table6[[#This Row],[Paired WTG Generation for loss calculation]]/24)*Table6[[#This Row],[Breakdown Time]]</f>
        <v>441.44027777777757</v>
      </c>
      <c r="AB62" s="102"/>
      <c r="AC62" s="35"/>
      <c r="AD62" s="35"/>
    </row>
    <row r="63" spans="1:30">
      <c r="A63" s="102">
        <f t="shared" si="1"/>
        <v>62</v>
      </c>
      <c r="B63" s="468">
        <f>YEAR(Table6[[#This Row],[Date]])+IF(MONTH(Table6[[#This Row],[Date]])&gt;=4,1,0)</f>
        <v>2026</v>
      </c>
      <c r="C63" s="102">
        <f>YEAR(Table6[[#This Row],[Date]])</f>
        <v>2025</v>
      </c>
      <c r="D63" s="102" t="s">
        <v>1992</v>
      </c>
      <c r="E63" s="469">
        <f>Table6[[#This Row],[Date]]-DAY(Table6[[#This Row],[Date]])+1</f>
        <v>45748</v>
      </c>
      <c r="F63" s="470">
        <v>45753</v>
      </c>
      <c r="G63" s="35" t="s">
        <v>95</v>
      </c>
      <c r="H63" s="35" t="str">
        <f>IFERROR(_xlfn.XLOOKUP(Table6[[#This Row],[Affected WTG]],'Basic Data'!$A:$A,'Basic Data'!$B:$B),"")</f>
        <v>TQGXIIPL</v>
      </c>
      <c r="I63" s="35" t="str">
        <f>IFERROR(_xlfn.XLOOKUP(Table6[[#This Row],[Affected WTG]],'Basic Data'!$A:$A,'Basic Data'!$C:$C),"")</f>
        <v>GEDA</v>
      </c>
      <c r="J63" s="471">
        <f>IFERROR(_xlfn.XLOOKUP(Table6[[#This Row],[Affected WTG]],'Basic Data'!$A:$A,'Basic Data'!$E:$E),"")</f>
        <v>3.846153846153845E-2</v>
      </c>
      <c r="K63" s="102">
        <v>6130</v>
      </c>
      <c r="L63" s="35" t="str">
        <f>IFERROR(_xlfn.XLOOKUP(Table6[[#This Row],[Error Code]],'Basic Data'!$AA:$AA,'Basic Data'!$AB:$AB),"Incorrect Error Code")</f>
        <v>Yaw speed high</v>
      </c>
      <c r="M63" s="35" t="s">
        <v>292</v>
      </c>
      <c r="N63" s="475"/>
      <c r="O63" s="476">
        <v>0.52638888888888891</v>
      </c>
      <c r="P63" s="476">
        <v>0.52638888888888891</v>
      </c>
      <c r="Q63" s="477">
        <v>0.53055555555555556</v>
      </c>
      <c r="R63" s="472">
        <f>IF(Table6[[#This Row],[Work Start TimeStamp]]="","",(Table6[[#This Row],[Work Start TimeStamp]]-Table6[[#This Row],[Fault Start TimeStamp]])*24)</f>
        <v>0</v>
      </c>
      <c r="S63" s="472">
        <f>(Table6[[#This Row],[Fault Clearance time]]-Table6[[#This Row],[Work Start TimeStamp]])*24</f>
        <v>9.9999999999999645E-2</v>
      </c>
      <c r="T63" s="472">
        <f>(Table6[[#This Row],[Fault Clearance time]]-Table6[[#This Row],[Fault Start TimeStamp]])*24</f>
        <v>9.9999999999999645E-2</v>
      </c>
      <c r="U63" s="35" t="s">
        <v>346</v>
      </c>
      <c r="V63" s="102" t="s">
        <v>293</v>
      </c>
      <c r="W63" s="478">
        <f>IFERROR(Table6[[#This Row],[Breakdown Time]]*Table6[[#This Row],[Plant Equivalent Weightage]],"")</f>
        <v>3.8461538461538312E-3</v>
      </c>
      <c r="X63" s="473" t="s">
        <v>294</v>
      </c>
      <c r="Y63" s="474" t="s">
        <v>79</v>
      </c>
      <c r="Z63" s="102">
        <v>24449</v>
      </c>
      <c r="AA63" s="468">
        <f>(Table6[[#This Row],[Paired WTG Generation for loss calculation]]/24)*Table6[[#This Row],[Breakdown Time]]</f>
        <v>101.87083333333298</v>
      </c>
      <c r="AB63" s="102"/>
      <c r="AC63" s="35"/>
      <c r="AD63" s="35"/>
    </row>
    <row r="64" spans="1:30">
      <c r="A64" s="102">
        <f t="shared" si="1"/>
        <v>63</v>
      </c>
      <c r="B64" s="468">
        <f>YEAR(Table6[[#This Row],[Date]])+IF(MONTH(Table6[[#This Row],[Date]])&gt;=4,1,0)</f>
        <v>2026</v>
      </c>
      <c r="C64" s="102">
        <f>YEAR(Table6[[#This Row],[Date]])</f>
        <v>2025</v>
      </c>
      <c r="D64" s="102" t="s">
        <v>1992</v>
      </c>
      <c r="E64" s="469">
        <f>Table6[[#This Row],[Date]]-DAY(Table6[[#This Row],[Date]])+1</f>
        <v>45748</v>
      </c>
      <c r="F64" s="470">
        <v>45753</v>
      </c>
      <c r="G64" s="35" t="s">
        <v>95</v>
      </c>
      <c r="H64" s="35" t="str">
        <f>IFERROR(_xlfn.XLOOKUP(Table6[[#This Row],[Affected WTG]],'Basic Data'!$A:$A,'Basic Data'!$B:$B),"")</f>
        <v>TQGXIIPL</v>
      </c>
      <c r="I64" s="35" t="str">
        <f>IFERROR(_xlfn.XLOOKUP(Table6[[#This Row],[Affected WTG]],'Basic Data'!$A:$A,'Basic Data'!$C:$C),"")</f>
        <v>GEDA</v>
      </c>
      <c r="J64" s="471">
        <f>IFERROR(_xlfn.XLOOKUP(Table6[[#This Row],[Affected WTG]],'Basic Data'!$A:$A,'Basic Data'!$E:$E),"")</f>
        <v>3.846153846153845E-2</v>
      </c>
      <c r="K64" s="102">
        <v>6130</v>
      </c>
      <c r="L64" s="35" t="str">
        <f>IFERROR(_xlfn.XLOOKUP(Table6[[#This Row],[Error Code]],'Basic Data'!$AA:$AA,'Basic Data'!$AB:$AB),"Incorrect Error Code")</f>
        <v>Yaw speed high</v>
      </c>
      <c r="M64" s="35" t="s">
        <v>292</v>
      </c>
      <c r="N64" s="475"/>
      <c r="O64" s="476">
        <v>0.6479166666666667</v>
      </c>
      <c r="P64" s="476">
        <v>0.6479166666666667</v>
      </c>
      <c r="Q64" s="477">
        <v>0.65555555555555556</v>
      </c>
      <c r="R64" s="472">
        <f>IF(Table6[[#This Row],[Work Start TimeStamp]]="","",(Table6[[#This Row],[Work Start TimeStamp]]-Table6[[#This Row],[Fault Start TimeStamp]])*24)</f>
        <v>0</v>
      </c>
      <c r="S64" s="472">
        <f>(Table6[[#This Row],[Fault Clearance time]]-Table6[[#This Row],[Work Start TimeStamp]])*24</f>
        <v>0.18333333333333268</v>
      </c>
      <c r="T64" s="472">
        <f>(Table6[[#This Row],[Fault Clearance time]]-Table6[[#This Row],[Fault Start TimeStamp]])*24</f>
        <v>0.18333333333333268</v>
      </c>
      <c r="U64" s="35" t="s">
        <v>346</v>
      </c>
      <c r="V64" s="102" t="s">
        <v>293</v>
      </c>
      <c r="W64" s="478">
        <f>IFERROR(Table6[[#This Row],[Breakdown Time]]*Table6[[#This Row],[Plant Equivalent Weightage]],"")</f>
        <v>7.0512820512820245E-3</v>
      </c>
      <c r="X64" s="473" t="s">
        <v>294</v>
      </c>
      <c r="Y64" s="474" t="s">
        <v>79</v>
      </c>
      <c r="Z64" s="102">
        <v>24449</v>
      </c>
      <c r="AA64" s="468">
        <f>(Table6[[#This Row],[Paired WTG Generation for loss calculation]]/24)*Table6[[#This Row],[Breakdown Time]]</f>
        <v>186.7631944444438</v>
      </c>
      <c r="AB64" s="102"/>
      <c r="AC64" s="35"/>
      <c r="AD64" s="35"/>
    </row>
    <row r="65" spans="1:30">
      <c r="A65" s="102">
        <f t="shared" si="1"/>
        <v>64</v>
      </c>
      <c r="B65" s="468">
        <f>YEAR(Table6[[#This Row],[Date]])+IF(MONTH(Table6[[#This Row],[Date]])&gt;=4,1,0)</f>
        <v>2026</v>
      </c>
      <c r="C65" s="102">
        <f>YEAR(Table6[[#This Row],[Date]])</f>
        <v>2025</v>
      </c>
      <c r="D65" s="102" t="s">
        <v>1992</v>
      </c>
      <c r="E65" s="469">
        <f>Table6[[#This Row],[Date]]-DAY(Table6[[#This Row],[Date]])+1</f>
        <v>45748</v>
      </c>
      <c r="F65" s="470">
        <v>45753</v>
      </c>
      <c r="G65" s="35" t="s">
        <v>96</v>
      </c>
      <c r="H65" s="35" t="str">
        <f>IFERROR(_xlfn.XLOOKUP(Table6[[#This Row],[Affected WTG]],'Basic Data'!$A:$A,'Basic Data'!$B:$B),"")</f>
        <v>TQGXIIPL</v>
      </c>
      <c r="I65" s="35" t="str">
        <f>IFERROR(_xlfn.XLOOKUP(Table6[[#This Row],[Affected WTG]],'Basic Data'!$A:$A,'Basic Data'!$C:$C),"")</f>
        <v>GEDA</v>
      </c>
      <c r="J65" s="471">
        <f>IFERROR(_xlfn.XLOOKUP(Table6[[#This Row],[Affected WTG]],'Basic Data'!$A:$A,'Basic Data'!$E:$E),"")</f>
        <v>3.846153846153845E-2</v>
      </c>
      <c r="K65" s="102">
        <v>3211</v>
      </c>
      <c r="L65" s="35" t="str">
        <f>IFERROR(_xlfn.XLOOKUP(Table6[[#This Row],[Error Code]],'Basic Data'!$AA:$AA,'Basic Data'!$AB:$AB),"Incorrect Error Code")</f>
        <v>Conv. load shedding (CAN)</v>
      </c>
      <c r="M65" s="35" t="s">
        <v>292</v>
      </c>
      <c r="N65" s="475"/>
      <c r="O65" s="476">
        <v>0.79652777777777772</v>
      </c>
      <c r="P65" s="476">
        <v>0.79652777777777772</v>
      </c>
      <c r="Q65" s="477">
        <v>0.79791666666666672</v>
      </c>
      <c r="R65" s="472">
        <f>IF(Table6[[#This Row],[Work Start TimeStamp]]="","",(Table6[[#This Row],[Work Start TimeStamp]]-Table6[[#This Row],[Fault Start TimeStamp]])*24)</f>
        <v>0</v>
      </c>
      <c r="S65" s="472">
        <f>(Table6[[#This Row],[Fault Clearance time]]-Table6[[#This Row],[Work Start TimeStamp]])*24</f>
        <v>3.3333333333335879E-2</v>
      </c>
      <c r="T65" s="472">
        <f>(Table6[[#This Row],[Fault Clearance time]]-Table6[[#This Row],[Fault Start TimeStamp]])*24</f>
        <v>3.3333333333335879E-2</v>
      </c>
      <c r="U65" s="35" t="s">
        <v>346</v>
      </c>
      <c r="V65" s="102" t="s">
        <v>293</v>
      </c>
      <c r="W65" s="478">
        <f>IFERROR(Table6[[#This Row],[Breakdown Time]]*Table6[[#This Row],[Plant Equivalent Weightage]],"")</f>
        <v>1.2820512820513796E-3</v>
      </c>
      <c r="X65" s="473" t="s">
        <v>294</v>
      </c>
      <c r="Y65" s="474" t="s">
        <v>84</v>
      </c>
      <c r="Z65" s="102">
        <v>21595</v>
      </c>
      <c r="AA65" s="468">
        <f>(Table6[[#This Row],[Paired WTG Generation for loss calculation]]/24)*Table6[[#This Row],[Breakdown Time]]</f>
        <v>29.993055555557845</v>
      </c>
      <c r="AB65" s="102"/>
      <c r="AC65" s="35"/>
      <c r="AD65" s="35"/>
    </row>
    <row r="66" spans="1:30">
      <c r="A66" s="102">
        <f t="shared" si="1"/>
        <v>65</v>
      </c>
      <c r="B66" s="468">
        <f>YEAR(Table6[[#This Row],[Date]])+IF(MONTH(Table6[[#This Row],[Date]])&gt;=4,1,0)</f>
        <v>2026</v>
      </c>
      <c r="C66" s="102">
        <f>YEAR(Table6[[#This Row],[Date]])</f>
        <v>2025</v>
      </c>
      <c r="D66" s="102" t="s">
        <v>1992</v>
      </c>
      <c r="E66" s="469">
        <f>Table6[[#This Row],[Date]]-DAY(Table6[[#This Row],[Date]])+1</f>
        <v>45748</v>
      </c>
      <c r="F66" s="470">
        <v>45754</v>
      </c>
      <c r="G66" s="35" t="s">
        <v>86</v>
      </c>
      <c r="H66" s="35" t="str">
        <f>IFERROR(_xlfn.XLOOKUP(Table6[[#This Row],[Affected WTG]],'Basic Data'!$A:$A,'Basic Data'!$B:$B),"")</f>
        <v>TQGXIIPL</v>
      </c>
      <c r="I66" s="35" t="str">
        <f>IFERROR(_xlfn.XLOOKUP(Table6[[#This Row],[Affected WTG]],'Basic Data'!$A:$A,'Basic Data'!$C:$C),"")</f>
        <v>GEDA</v>
      </c>
      <c r="J66" s="471">
        <f>IFERROR(_xlfn.XLOOKUP(Table6[[#This Row],[Affected WTG]],'Basic Data'!$A:$A,'Basic Data'!$E:$E),"")</f>
        <v>3.846153846153845E-2</v>
      </c>
      <c r="K66" s="102">
        <v>55</v>
      </c>
      <c r="L66" s="35" t="str">
        <f>IFERROR(_xlfn.XLOOKUP(Table6[[#This Row],[Error Code]],'Basic Data'!$AA:$AA,'Basic Data'!$AB:$AB),"Incorrect Error Code")</f>
        <v>WTG shut down</v>
      </c>
      <c r="M66" s="35" t="s">
        <v>330</v>
      </c>
      <c r="N66" s="475"/>
      <c r="O66" s="476">
        <v>0.16180555555555556</v>
      </c>
      <c r="P66" s="476">
        <v>0.16180555555555556</v>
      </c>
      <c r="Q66" s="477">
        <v>0.32291666666666669</v>
      </c>
      <c r="R66" s="472">
        <f>IF(Table6[[#This Row],[Work Start TimeStamp]]="","",(Table6[[#This Row],[Work Start TimeStamp]]-Table6[[#This Row],[Fault Start TimeStamp]])*24)</f>
        <v>0</v>
      </c>
      <c r="S66" s="472">
        <f>(Table6[[#This Row],[Fault Clearance time]]-Table6[[#This Row],[Work Start TimeStamp]])*24</f>
        <v>3.8666666666666671</v>
      </c>
      <c r="T66" s="472">
        <f>(Table6[[#This Row],[Fault Clearance time]]-Table6[[#This Row],[Fault Start TimeStamp]])*24</f>
        <v>3.8666666666666671</v>
      </c>
      <c r="U66" s="35" t="s">
        <v>337</v>
      </c>
      <c r="V66" s="102" t="s">
        <v>293</v>
      </c>
      <c r="W66" s="478">
        <f>IFERROR(Table6[[#This Row],[Breakdown Time]]*Table6[[#This Row],[Plant Equivalent Weightage]],"")</f>
        <v>0.14871794871794869</v>
      </c>
      <c r="X66" s="473" t="s">
        <v>294</v>
      </c>
      <c r="Y66" s="474" t="s">
        <v>84</v>
      </c>
      <c r="Z66" s="102">
        <v>28893</v>
      </c>
      <c r="AA66" s="468">
        <f>(Table6[[#This Row],[Paired WTG Generation for loss calculation]]/24)*Table6[[#This Row],[Breakdown Time]]</f>
        <v>4654.9833333333336</v>
      </c>
      <c r="AB66" s="102"/>
      <c r="AC66" s="35"/>
      <c r="AD66" s="35"/>
    </row>
    <row r="67" spans="1:30">
      <c r="A67" s="102">
        <f t="shared" si="1"/>
        <v>66</v>
      </c>
      <c r="B67" s="468">
        <f>YEAR(Table6[[#This Row],[Date]])+IF(MONTH(Table6[[#This Row],[Date]])&gt;=4,1,0)</f>
        <v>2026</v>
      </c>
      <c r="C67" s="102">
        <f>YEAR(Table6[[#This Row],[Date]])</f>
        <v>2025</v>
      </c>
      <c r="D67" s="102" t="s">
        <v>1992</v>
      </c>
      <c r="E67" s="469">
        <f>Table6[[#This Row],[Date]]-DAY(Table6[[#This Row],[Date]])+1</f>
        <v>45748</v>
      </c>
      <c r="F67" s="470">
        <v>45754</v>
      </c>
      <c r="G67" s="35" t="s">
        <v>87</v>
      </c>
      <c r="H67" s="35" t="str">
        <f>IFERROR(_xlfn.XLOOKUP(Table6[[#This Row],[Affected WTG]],'Basic Data'!$A:$A,'Basic Data'!$B:$B),"")</f>
        <v>TQGXIIPL</v>
      </c>
      <c r="I67" s="35" t="str">
        <f>IFERROR(_xlfn.XLOOKUP(Table6[[#This Row],[Affected WTG]],'Basic Data'!$A:$A,'Basic Data'!$C:$C),"")</f>
        <v>GEDA</v>
      </c>
      <c r="J67" s="471">
        <f>IFERROR(_xlfn.XLOOKUP(Table6[[#This Row],[Affected WTG]],'Basic Data'!$A:$A,'Basic Data'!$E:$E),"")</f>
        <v>3.846153846153845E-2</v>
      </c>
      <c r="K67" s="102">
        <v>55</v>
      </c>
      <c r="L67" s="35" t="str">
        <f>IFERROR(_xlfn.XLOOKUP(Table6[[#This Row],[Error Code]],'Basic Data'!$AA:$AA,'Basic Data'!$AB:$AB),"Incorrect Error Code")</f>
        <v>WTG shut down</v>
      </c>
      <c r="M67" s="35" t="s">
        <v>330</v>
      </c>
      <c r="N67" s="475"/>
      <c r="O67" s="476">
        <v>0.20069444444444445</v>
      </c>
      <c r="P67" s="476">
        <v>0.20069444444444445</v>
      </c>
      <c r="Q67" s="477">
        <v>0.27013888888888887</v>
      </c>
      <c r="R67" s="472">
        <f>IF(Table6[[#This Row],[Work Start TimeStamp]]="","",(Table6[[#This Row],[Work Start TimeStamp]]-Table6[[#This Row],[Fault Start TimeStamp]])*24)</f>
        <v>0</v>
      </c>
      <c r="S67" s="472">
        <f>(Table6[[#This Row],[Fault Clearance time]]-Table6[[#This Row],[Work Start TimeStamp]])*24</f>
        <v>1.6666666666666661</v>
      </c>
      <c r="T67" s="472">
        <f>(Table6[[#This Row],[Fault Clearance time]]-Table6[[#This Row],[Fault Start TimeStamp]])*24</f>
        <v>1.6666666666666661</v>
      </c>
      <c r="U67" s="35" t="s">
        <v>337</v>
      </c>
      <c r="V67" s="102" t="s">
        <v>293</v>
      </c>
      <c r="W67" s="478">
        <f>IFERROR(Table6[[#This Row],[Breakdown Time]]*Table6[[#This Row],[Plant Equivalent Weightage]],"")</f>
        <v>6.4102564102564055E-2</v>
      </c>
      <c r="X67" s="473" t="s">
        <v>294</v>
      </c>
      <c r="Y67" s="474" t="s">
        <v>85</v>
      </c>
      <c r="Z67" s="102">
        <v>29862</v>
      </c>
      <c r="AA67" s="468">
        <f>(Table6[[#This Row],[Paired WTG Generation for loss calculation]]/24)*Table6[[#This Row],[Breakdown Time]]</f>
        <v>2073.7499999999991</v>
      </c>
      <c r="AB67" s="102"/>
      <c r="AC67" s="35"/>
      <c r="AD67" s="35"/>
    </row>
    <row r="68" spans="1:30">
      <c r="A68" s="102">
        <f t="shared" si="1"/>
        <v>67</v>
      </c>
      <c r="B68" s="468">
        <f>YEAR(Table6[[#This Row],[Date]])+IF(MONTH(Table6[[#This Row],[Date]])&gt;=4,1,0)</f>
        <v>2026</v>
      </c>
      <c r="C68" s="102">
        <f>YEAR(Table6[[#This Row],[Date]])</f>
        <v>2025</v>
      </c>
      <c r="D68" s="102" t="s">
        <v>1992</v>
      </c>
      <c r="E68" s="469">
        <f>Table6[[#This Row],[Date]]-DAY(Table6[[#This Row],[Date]])+1</f>
        <v>45748</v>
      </c>
      <c r="F68" s="470">
        <v>45754</v>
      </c>
      <c r="G68" s="35" t="s">
        <v>87</v>
      </c>
      <c r="H68" s="35" t="str">
        <f>IFERROR(_xlfn.XLOOKUP(Table6[[#This Row],[Affected WTG]],'Basic Data'!$A:$A,'Basic Data'!$B:$B),"")</f>
        <v>TQGXIIPL</v>
      </c>
      <c r="I68" s="35" t="str">
        <f>IFERROR(_xlfn.XLOOKUP(Table6[[#This Row],[Affected WTG]],'Basic Data'!$A:$A,'Basic Data'!$C:$C),"")</f>
        <v>GEDA</v>
      </c>
      <c r="J68" s="471">
        <f>IFERROR(_xlfn.XLOOKUP(Table6[[#This Row],[Affected WTG]],'Basic Data'!$A:$A,'Basic Data'!$E:$E),"")</f>
        <v>3.846153846153845E-2</v>
      </c>
      <c r="K68" s="102">
        <v>55</v>
      </c>
      <c r="L68" s="35" t="str">
        <f>IFERROR(_xlfn.XLOOKUP(Table6[[#This Row],[Error Code]],'Basic Data'!$AA:$AA,'Basic Data'!$AB:$AB),"Incorrect Error Code")</f>
        <v>WTG shut down</v>
      </c>
      <c r="M68" s="35" t="s">
        <v>330</v>
      </c>
      <c r="N68" s="475"/>
      <c r="O68" s="476">
        <v>0.29583333333333334</v>
      </c>
      <c r="P68" s="476">
        <v>0.29583333333333334</v>
      </c>
      <c r="Q68" s="477">
        <v>0.30902777777777779</v>
      </c>
      <c r="R68" s="472">
        <f>IF(Table6[[#This Row],[Work Start TimeStamp]]="","",(Table6[[#This Row],[Work Start TimeStamp]]-Table6[[#This Row],[Fault Start TimeStamp]])*24)</f>
        <v>0</v>
      </c>
      <c r="S68" s="472">
        <f>(Table6[[#This Row],[Fault Clearance time]]-Table6[[#This Row],[Work Start TimeStamp]])*24</f>
        <v>0.31666666666666687</v>
      </c>
      <c r="T68" s="472">
        <f>(Table6[[#This Row],[Fault Clearance time]]-Table6[[#This Row],[Fault Start TimeStamp]])*24</f>
        <v>0.31666666666666687</v>
      </c>
      <c r="U68" s="35" t="s">
        <v>337</v>
      </c>
      <c r="V68" s="102" t="s">
        <v>293</v>
      </c>
      <c r="W68" s="478">
        <f>IFERROR(Table6[[#This Row],[Breakdown Time]]*Table6[[#This Row],[Plant Equivalent Weightage]],"")</f>
        <v>1.2179487179487183E-2</v>
      </c>
      <c r="X68" s="473" t="s">
        <v>294</v>
      </c>
      <c r="Y68" s="474" t="s">
        <v>85</v>
      </c>
      <c r="Z68" s="102">
        <v>29862</v>
      </c>
      <c r="AA68" s="468">
        <f>(Table6[[#This Row],[Paired WTG Generation for loss calculation]]/24)*Table6[[#This Row],[Breakdown Time]]</f>
        <v>394.01250000000027</v>
      </c>
      <c r="AB68" s="102"/>
      <c r="AC68" s="35"/>
      <c r="AD68" s="35"/>
    </row>
    <row r="69" spans="1:30">
      <c r="A69" s="102">
        <f t="shared" si="1"/>
        <v>68</v>
      </c>
      <c r="B69" s="468">
        <f>YEAR(Table6[[#This Row],[Date]])+IF(MONTH(Table6[[#This Row],[Date]])&gt;=4,1,0)</f>
        <v>2026</v>
      </c>
      <c r="C69" s="102">
        <f>YEAR(Table6[[#This Row],[Date]])</f>
        <v>2025</v>
      </c>
      <c r="D69" s="102" t="s">
        <v>1992</v>
      </c>
      <c r="E69" s="469">
        <f>Table6[[#This Row],[Date]]-DAY(Table6[[#This Row],[Date]])+1</f>
        <v>45748</v>
      </c>
      <c r="F69" s="470">
        <v>45754</v>
      </c>
      <c r="G69" s="35" t="s">
        <v>86</v>
      </c>
      <c r="H69" s="35" t="str">
        <f>IFERROR(_xlfn.XLOOKUP(Table6[[#This Row],[Affected WTG]],'Basic Data'!$A:$A,'Basic Data'!$B:$B),"")</f>
        <v>TQGXIIPL</v>
      </c>
      <c r="I69" s="35" t="str">
        <f>IFERROR(_xlfn.XLOOKUP(Table6[[#This Row],[Affected WTG]],'Basic Data'!$A:$A,'Basic Data'!$C:$C),"")</f>
        <v>GEDA</v>
      </c>
      <c r="J69" s="471">
        <f>IFERROR(_xlfn.XLOOKUP(Table6[[#This Row],[Affected WTG]],'Basic Data'!$A:$A,'Basic Data'!$E:$E),"")</f>
        <v>3.846153846153845E-2</v>
      </c>
      <c r="K69" s="102">
        <v>55</v>
      </c>
      <c r="L69" s="35" t="str">
        <f>IFERROR(_xlfn.XLOOKUP(Table6[[#This Row],[Error Code]],'Basic Data'!$AA:$AA,'Basic Data'!$AB:$AB),"Incorrect Error Code")</f>
        <v>WTG shut down</v>
      </c>
      <c r="M69" s="35" t="s">
        <v>330</v>
      </c>
      <c r="N69" s="475"/>
      <c r="O69" s="476">
        <v>0.81527777777777777</v>
      </c>
      <c r="P69" s="476">
        <v>0.81527777777777777</v>
      </c>
      <c r="Q69" s="477">
        <v>0.85</v>
      </c>
      <c r="R69" s="472">
        <f>IF(Table6[[#This Row],[Work Start TimeStamp]]="","",(Table6[[#This Row],[Work Start TimeStamp]]-Table6[[#This Row],[Fault Start TimeStamp]])*24)</f>
        <v>0</v>
      </c>
      <c r="S69" s="472">
        <f>(Table6[[#This Row],[Fault Clearance time]]-Table6[[#This Row],[Work Start TimeStamp]])*24</f>
        <v>0.83333333333333304</v>
      </c>
      <c r="T69" s="472">
        <f>(Table6[[#This Row],[Fault Clearance time]]-Table6[[#This Row],[Fault Start TimeStamp]])*24</f>
        <v>0.83333333333333304</v>
      </c>
      <c r="U69" s="35" t="s">
        <v>337</v>
      </c>
      <c r="V69" s="102" t="s">
        <v>293</v>
      </c>
      <c r="W69" s="478">
        <f>IFERROR(Table6[[#This Row],[Breakdown Time]]*Table6[[#This Row],[Plant Equivalent Weightage]],"")</f>
        <v>3.2051282051282028E-2</v>
      </c>
      <c r="X69" s="473" t="s">
        <v>294</v>
      </c>
      <c r="Y69" s="474" t="s">
        <v>84</v>
      </c>
      <c r="Z69" s="102">
        <v>28893</v>
      </c>
      <c r="AA69" s="468">
        <f>(Table6[[#This Row],[Paired WTG Generation for loss calculation]]/24)*Table6[[#This Row],[Breakdown Time]]</f>
        <v>1003.2291666666663</v>
      </c>
      <c r="AB69" s="102"/>
      <c r="AC69" s="35"/>
      <c r="AD69" s="35"/>
    </row>
    <row r="70" spans="1:30">
      <c r="A70" s="102">
        <f t="shared" si="1"/>
        <v>69</v>
      </c>
      <c r="B70" s="468">
        <f>YEAR(Table6[[#This Row],[Date]])+IF(MONTH(Table6[[#This Row],[Date]])&gt;=4,1,0)</f>
        <v>2026</v>
      </c>
      <c r="C70" s="102">
        <f>YEAR(Table6[[#This Row],[Date]])</f>
        <v>2025</v>
      </c>
      <c r="D70" s="102" t="s">
        <v>1992</v>
      </c>
      <c r="E70" s="469">
        <f>Table6[[#This Row],[Date]]-DAY(Table6[[#This Row],[Date]])+1</f>
        <v>45748</v>
      </c>
      <c r="F70" s="470">
        <v>45754</v>
      </c>
      <c r="G70" s="35" t="s">
        <v>98</v>
      </c>
      <c r="H70" s="35" t="str">
        <f>IFERROR(_xlfn.XLOOKUP(Table6[[#This Row],[Affected WTG]],'Basic Data'!$A:$A,'Basic Data'!$B:$B),"")</f>
        <v>TQGXIIPL</v>
      </c>
      <c r="I70" s="35" t="str">
        <f>IFERROR(_xlfn.XLOOKUP(Table6[[#This Row],[Affected WTG]],'Basic Data'!$A:$A,'Basic Data'!$C:$C),"")</f>
        <v>GEDA</v>
      </c>
      <c r="J70" s="471">
        <f>IFERROR(_xlfn.XLOOKUP(Table6[[#This Row],[Affected WTG]],'Basic Data'!$A:$A,'Basic Data'!$E:$E),"")</f>
        <v>3.846153846153845E-2</v>
      </c>
      <c r="K70" s="102">
        <v>55</v>
      </c>
      <c r="L70" s="35" t="str">
        <f>IFERROR(_xlfn.XLOOKUP(Table6[[#This Row],[Error Code]],'Basic Data'!$AA:$AA,'Basic Data'!$AB:$AB),"Incorrect Error Code")</f>
        <v>WTG shut down</v>
      </c>
      <c r="M70" s="35" t="s">
        <v>330</v>
      </c>
      <c r="N70" s="475"/>
      <c r="O70" s="476">
        <v>0.8569444444444444</v>
      </c>
      <c r="P70" s="476">
        <v>0.8569444444444444</v>
      </c>
      <c r="Q70" s="477">
        <v>0.87569444444444444</v>
      </c>
      <c r="R70" s="472">
        <f>IF(Table6[[#This Row],[Work Start TimeStamp]]="","",(Table6[[#This Row],[Work Start TimeStamp]]-Table6[[#This Row],[Fault Start TimeStamp]])*24)</f>
        <v>0</v>
      </c>
      <c r="S70" s="472">
        <f>(Table6[[#This Row],[Fault Clearance time]]-Table6[[#This Row],[Work Start TimeStamp]])*24</f>
        <v>0.45000000000000107</v>
      </c>
      <c r="T70" s="472">
        <f>(Table6[[#This Row],[Fault Clearance time]]-Table6[[#This Row],[Fault Start TimeStamp]])*24</f>
        <v>0.45000000000000107</v>
      </c>
      <c r="U70" s="35" t="s">
        <v>337</v>
      </c>
      <c r="V70" s="102" t="s">
        <v>293</v>
      </c>
      <c r="W70" s="478">
        <f>IFERROR(Table6[[#This Row],[Breakdown Time]]*Table6[[#This Row],[Plant Equivalent Weightage]],"")</f>
        <v>1.7307692307692343E-2</v>
      </c>
      <c r="X70" s="473" t="s">
        <v>290</v>
      </c>
      <c r="Y70" s="474" t="s">
        <v>74</v>
      </c>
      <c r="Z70" s="102">
        <v>31048</v>
      </c>
      <c r="AA70" s="468">
        <f>(Table6[[#This Row],[Paired WTG Generation for loss calculation]]/24)*Table6[[#This Row],[Breakdown Time]]</f>
        <v>582.15000000000146</v>
      </c>
      <c r="AB70" s="102"/>
      <c r="AC70" s="35"/>
      <c r="AD70" s="35"/>
    </row>
    <row r="71" spans="1:30">
      <c r="A71" s="102">
        <f t="shared" si="1"/>
        <v>70</v>
      </c>
      <c r="B71" s="468">
        <f>YEAR(Table6[[#This Row],[Date]])+IF(MONTH(Table6[[#This Row],[Date]])&gt;=4,1,0)</f>
        <v>2026</v>
      </c>
      <c r="C71" s="102">
        <f>YEAR(Table6[[#This Row],[Date]])</f>
        <v>2025</v>
      </c>
      <c r="D71" s="102" t="s">
        <v>1992</v>
      </c>
      <c r="E71" s="469">
        <f>Table6[[#This Row],[Date]]-DAY(Table6[[#This Row],[Date]])+1</f>
        <v>45748</v>
      </c>
      <c r="F71" s="470">
        <v>45754</v>
      </c>
      <c r="G71" s="35" t="s">
        <v>76</v>
      </c>
      <c r="H71" s="35" t="str">
        <f>IFERROR(_xlfn.XLOOKUP(Table6[[#This Row],[Affected WTG]],'Basic Data'!$A:$A,'Basic Data'!$B:$B),"")</f>
        <v>TQGXIIPL</v>
      </c>
      <c r="I71" s="35" t="str">
        <f>IFERROR(_xlfn.XLOOKUP(Table6[[#This Row],[Affected WTG]],'Basic Data'!$A:$A,'Basic Data'!$C:$C),"")</f>
        <v>GEDA</v>
      </c>
      <c r="J71" s="471">
        <f>IFERROR(_xlfn.XLOOKUP(Table6[[#This Row],[Affected WTG]],'Basic Data'!$A:$A,'Basic Data'!$E:$E),"")</f>
        <v>3.846153846153845E-2</v>
      </c>
      <c r="K71" s="102">
        <v>551</v>
      </c>
      <c r="L71" s="35" t="str">
        <f>IFERROR(_xlfn.XLOOKUP(Table6[[#This Row],[Error Code]],'Basic Data'!$AA:$AA,'Basic Data'!$AB:$AB),"Incorrect Error Code")</f>
        <v>Pitch motor current too high</v>
      </c>
      <c r="M71" s="35" t="s">
        <v>292</v>
      </c>
      <c r="N71" s="475"/>
      <c r="O71" s="476">
        <v>0.21527777777777779</v>
      </c>
      <c r="P71" s="476">
        <v>0.21527777777777779</v>
      </c>
      <c r="Q71" s="477">
        <v>0.21736111111111112</v>
      </c>
      <c r="R71" s="472">
        <f>IF(Table6[[#This Row],[Work Start TimeStamp]]="","",(Table6[[#This Row],[Work Start TimeStamp]]-Table6[[#This Row],[Fault Start TimeStamp]])*24)</f>
        <v>0</v>
      </c>
      <c r="S71" s="472">
        <f>(Table6[[#This Row],[Fault Clearance time]]-Table6[[#This Row],[Work Start TimeStamp]])*24</f>
        <v>4.9999999999999822E-2</v>
      </c>
      <c r="T71" s="472">
        <f>(Table6[[#This Row],[Fault Clearance time]]-Table6[[#This Row],[Fault Start TimeStamp]])*24</f>
        <v>4.9999999999999822E-2</v>
      </c>
      <c r="U71" s="35" t="s">
        <v>346</v>
      </c>
      <c r="V71" s="102" t="s">
        <v>293</v>
      </c>
      <c r="W71" s="478">
        <f>IFERROR(Table6[[#This Row],[Breakdown Time]]*Table6[[#This Row],[Plant Equivalent Weightage]],"")</f>
        <v>1.9230769230769156E-3</v>
      </c>
      <c r="X71" s="473" t="s">
        <v>294</v>
      </c>
      <c r="Y71" s="474" t="s">
        <v>82</v>
      </c>
      <c r="Z71" s="102">
        <v>26172</v>
      </c>
      <c r="AA71" s="468">
        <f>(Table6[[#This Row],[Paired WTG Generation for loss calculation]]/24)*Table6[[#This Row],[Breakdown Time]]</f>
        <v>54.524999999999807</v>
      </c>
      <c r="AB71" s="102"/>
      <c r="AC71" s="35"/>
      <c r="AD71" s="35"/>
    </row>
    <row r="72" spans="1:30">
      <c r="A72" s="102">
        <f t="shared" si="1"/>
        <v>71</v>
      </c>
      <c r="B72" s="468">
        <f>YEAR(Table6[[#This Row],[Date]])+IF(MONTH(Table6[[#This Row],[Date]])&gt;=4,1,0)</f>
        <v>2026</v>
      </c>
      <c r="C72" s="102">
        <f>YEAR(Table6[[#This Row],[Date]])</f>
        <v>2025</v>
      </c>
      <c r="D72" s="102" t="s">
        <v>1992</v>
      </c>
      <c r="E72" s="469">
        <f>Table6[[#This Row],[Date]]-DAY(Table6[[#This Row],[Date]])+1</f>
        <v>45748</v>
      </c>
      <c r="F72" s="470">
        <v>45754</v>
      </c>
      <c r="G72" s="35" t="s">
        <v>77</v>
      </c>
      <c r="H72" s="35" t="str">
        <f>IFERROR(_xlfn.XLOOKUP(Table6[[#This Row],[Affected WTG]],'Basic Data'!$A:$A,'Basic Data'!$B:$B),"")</f>
        <v>TQGXIIPL</v>
      </c>
      <c r="I72" s="35" t="str">
        <f>IFERROR(_xlfn.XLOOKUP(Table6[[#This Row],[Affected WTG]],'Basic Data'!$A:$A,'Basic Data'!$C:$C),"")</f>
        <v>GEDA</v>
      </c>
      <c r="J72" s="471">
        <f>IFERROR(_xlfn.XLOOKUP(Table6[[#This Row],[Affected WTG]],'Basic Data'!$A:$A,'Basic Data'!$E:$E),"")</f>
        <v>3.846153846153845E-2</v>
      </c>
      <c r="K72" s="102">
        <v>5700</v>
      </c>
      <c r="L72" s="35" t="str">
        <f>IFERROR(_xlfn.XLOOKUP(Table6[[#This Row],[Error Code]],'Basic Data'!$AA:$AA,'Basic Data'!$AB:$AB),"Incorrect Error Code")</f>
        <v>Max. operation time hydraulic</v>
      </c>
      <c r="M72" s="35" t="s">
        <v>291</v>
      </c>
      <c r="N72" s="475"/>
      <c r="O72" s="476">
        <v>0.56041666666666667</v>
      </c>
      <c r="P72" s="476">
        <v>0.56041666666666667</v>
      </c>
      <c r="Q72" s="477">
        <v>0.57708333333333328</v>
      </c>
      <c r="R72" s="472">
        <f>IF(Table6[[#This Row],[Work Start TimeStamp]]="","",(Table6[[#This Row],[Work Start TimeStamp]]-Table6[[#This Row],[Fault Start TimeStamp]])*24)</f>
        <v>0</v>
      </c>
      <c r="S72" s="472">
        <f>(Table6[[#This Row],[Fault Clearance time]]-Table6[[#This Row],[Work Start TimeStamp]])*24</f>
        <v>0.39999999999999858</v>
      </c>
      <c r="T72" s="472">
        <f>(Table6[[#This Row],[Fault Clearance time]]-Table6[[#This Row],[Fault Start TimeStamp]])*24</f>
        <v>0.39999999999999858</v>
      </c>
      <c r="U72" s="35" t="s">
        <v>371</v>
      </c>
      <c r="V72" s="102" t="s">
        <v>293</v>
      </c>
      <c r="W72" s="478">
        <f>IFERROR(Table6[[#This Row],[Breakdown Time]]*Table6[[#This Row],[Plant Equivalent Weightage]],"")</f>
        <v>1.5384615384615325E-2</v>
      </c>
      <c r="X72" s="473" t="s">
        <v>294</v>
      </c>
      <c r="Y72" s="474" t="s">
        <v>80</v>
      </c>
      <c r="Z72" s="102">
        <v>36306</v>
      </c>
      <c r="AA72" s="468">
        <f>(Table6[[#This Row],[Paired WTG Generation for loss calculation]]/24)*Table6[[#This Row],[Breakdown Time]]</f>
        <v>605.09999999999786</v>
      </c>
      <c r="AB72" s="102"/>
      <c r="AC72" s="35"/>
      <c r="AD72" s="35"/>
    </row>
    <row r="73" spans="1:30">
      <c r="A73" s="102">
        <f t="shared" si="1"/>
        <v>72</v>
      </c>
      <c r="B73" s="468">
        <f>YEAR(Table6[[#This Row],[Date]])+IF(MONTH(Table6[[#This Row],[Date]])&gt;=4,1,0)</f>
        <v>2026</v>
      </c>
      <c r="C73" s="102">
        <f>YEAR(Table6[[#This Row],[Date]])</f>
        <v>2025</v>
      </c>
      <c r="D73" s="102" t="s">
        <v>1992</v>
      </c>
      <c r="E73" s="469">
        <f>Table6[[#This Row],[Date]]-DAY(Table6[[#This Row],[Date]])+1</f>
        <v>45748</v>
      </c>
      <c r="F73" s="470">
        <v>45754</v>
      </c>
      <c r="G73" s="35" t="s">
        <v>77</v>
      </c>
      <c r="H73" s="35" t="str">
        <f>IFERROR(_xlfn.XLOOKUP(Table6[[#This Row],[Affected WTG]],'Basic Data'!$A:$A,'Basic Data'!$B:$B),"")</f>
        <v>TQGXIIPL</v>
      </c>
      <c r="I73" s="35" t="str">
        <f>IFERROR(_xlfn.XLOOKUP(Table6[[#This Row],[Affected WTG]],'Basic Data'!$A:$A,'Basic Data'!$C:$C),"")</f>
        <v>GEDA</v>
      </c>
      <c r="J73" s="471">
        <f>IFERROR(_xlfn.XLOOKUP(Table6[[#This Row],[Affected WTG]],'Basic Data'!$A:$A,'Basic Data'!$E:$E),"")</f>
        <v>3.846153846153845E-2</v>
      </c>
      <c r="K73" s="102">
        <v>5700</v>
      </c>
      <c r="L73" s="35" t="str">
        <f>IFERROR(_xlfn.XLOOKUP(Table6[[#This Row],[Error Code]],'Basic Data'!$AA:$AA,'Basic Data'!$AB:$AB),"Incorrect Error Code")</f>
        <v>Max. operation time hydraulic</v>
      </c>
      <c r="M73" s="35" t="s">
        <v>292</v>
      </c>
      <c r="N73" s="475"/>
      <c r="O73" s="476">
        <v>0.68958333333333333</v>
      </c>
      <c r="P73" s="476">
        <v>0.68958333333333333</v>
      </c>
      <c r="Q73" s="477">
        <v>0.69166666666666665</v>
      </c>
      <c r="R73" s="472">
        <f>IF(Table6[[#This Row],[Work Start TimeStamp]]="","",(Table6[[#This Row],[Work Start TimeStamp]]-Table6[[#This Row],[Fault Start TimeStamp]])*24)</f>
        <v>0</v>
      </c>
      <c r="S73" s="472">
        <f>(Table6[[#This Row],[Fault Clearance time]]-Table6[[#This Row],[Work Start TimeStamp]])*24</f>
        <v>4.9999999999999822E-2</v>
      </c>
      <c r="T73" s="472">
        <f>(Table6[[#This Row],[Fault Clearance time]]-Table6[[#This Row],[Fault Start TimeStamp]])*24</f>
        <v>4.9999999999999822E-2</v>
      </c>
      <c r="U73" s="35" t="s">
        <v>346</v>
      </c>
      <c r="V73" s="102" t="s">
        <v>293</v>
      </c>
      <c r="W73" s="478">
        <f>IFERROR(Table6[[#This Row],[Breakdown Time]]*Table6[[#This Row],[Plant Equivalent Weightage]],"")</f>
        <v>1.9230769230769156E-3</v>
      </c>
      <c r="X73" s="473" t="s">
        <v>294</v>
      </c>
      <c r="Y73" s="474" t="s">
        <v>80</v>
      </c>
      <c r="Z73" s="102">
        <v>36306</v>
      </c>
      <c r="AA73" s="468">
        <f>(Table6[[#This Row],[Paired WTG Generation for loss calculation]]/24)*Table6[[#This Row],[Breakdown Time]]</f>
        <v>75.637499999999733</v>
      </c>
      <c r="AB73" s="102"/>
      <c r="AC73" s="35"/>
      <c r="AD73" s="35"/>
    </row>
    <row r="74" spans="1:30">
      <c r="A74" s="102">
        <f t="shared" si="1"/>
        <v>73</v>
      </c>
      <c r="B74" s="468">
        <f>YEAR(Table6[[#This Row],[Date]])+IF(MONTH(Table6[[#This Row],[Date]])&gt;=4,1,0)</f>
        <v>2026</v>
      </c>
      <c r="C74" s="102">
        <f>YEAR(Table6[[#This Row],[Date]])</f>
        <v>2025</v>
      </c>
      <c r="D74" s="102" t="s">
        <v>1992</v>
      </c>
      <c r="E74" s="469">
        <f>Table6[[#This Row],[Date]]-DAY(Table6[[#This Row],[Date]])+1</f>
        <v>45748</v>
      </c>
      <c r="F74" s="470">
        <v>45754</v>
      </c>
      <c r="G74" s="35" t="s">
        <v>77</v>
      </c>
      <c r="H74" s="35" t="str">
        <f>IFERROR(_xlfn.XLOOKUP(Table6[[#This Row],[Affected WTG]],'Basic Data'!$A:$A,'Basic Data'!$B:$B),"")</f>
        <v>TQGXIIPL</v>
      </c>
      <c r="I74" s="35" t="str">
        <f>IFERROR(_xlfn.XLOOKUP(Table6[[#This Row],[Affected WTG]],'Basic Data'!$A:$A,'Basic Data'!$C:$C),"")</f>
        <v>GEDA</v>
      </c>
      <c r="J74" s="471">
        <f>IFERROR(_xlfn.XLOOKUP(Table6[[#This Row],[Affected WTG]],'Basic Data'!$A:$A,'Basic Data'!$E:$E),"")</f>
        <v>3.846153846153845E-2</v>
      </c>
      <c r="K74" s="102">
        <v>5700</v>
      </c>
      <c r="L74" s="35" t="str">
        <f>IFERROR(_xlfn.XLOOKUP(Table6[[#This Row],[Error Code]],'Basic Data'!$AA:$AA,'Basic Data'!$AB:$AB),"Incorrect Error Code")</f>
        <v>Max. operation time hydraulic</v>
      </c>
      <c r="M74" s="35" t="s">
        <v>291</v>
      </c>
      <c r="N74" s="475"/>
      <c r="O74" s="476">
        <v>0.78402777777777777</v>
      </c>
      <c r="P74" s="476">
        <v>0.78402777777777777</v>
      </c>
      <c r="Q74" s="477">
        <v>0.79513888888888884</v>
      </c>
      <c r="R74" s="472">
        <f>IF(Table6[[#This Row],[Work Start TimeStamp]]="","",(Table6[[#This Row],[Work Start TimeStamp]]-Table6[[#This Row],[Fault Start TimeStamp]])*24)</f>
        <v>0</v>
      </c>
      <c r="S74" s="472">
        <f>(Table6[[#This Row],[Fault Clearance time]]-Table6[[#This Row],[Work Start TimeStamp]])*24</f>
        <v>0.26666666666666572</v>
      </c>
      <c r="T74" s="472">
        <f>(Table6[[#This Row],[Fault Clearance time]]-Table6[[#This Row],[Fault Start TimeStamp]])*24</f>
        <v>0.26666666666666572</v>
      </c>
      <c r="U74" s="35" t="s">
        <v>349</v>
      </c>
      <c r="V74" s="102" t="s">
        <v>293</v>
      </c>
      <c r="W74" s="478">
        <f>IFERROR(Table6[[#This Row],[Breakdown Time]]*Table6[[#This Row],[Plant Equivalent Weightage]],"")</f>
        <v>1.0256410256410217E-2</v>
      </c>
      <c r="X74" s="473" t="s">
        <v>294</v>
      </c>
      <c r="Y74" s="474" t="s">
        <v>80</v>
      </c>
      <c r="Z74" s="102">
        <v>36306</v>
      </c>
      <c r="AA74" s="468">
        <f>(Table6[[#This Row],[Paired WTG Generation for loss calculation]]/24)*Table6[[#This Row],[Breakdown Time]]</f>
        <v>403.39999999999856</v>
      </c>
      <c r="AB74" s="102"/>
      <c r="AC74" s="35"/>
      <c r="AD74" s="35"/>
    </row>
    <row r="75" spans="1:30">
      <c r="A75" s="102">
        <f t="shared" si="1"/>
        <v>74</v>
      </c>
      <c r="B75" s="468">
        <f>YEAR(Table6[[#This Row],[Date]])+IF(MONTH(Table6[[#This Row],[Date]])&gt;=4,1,0)</f>
        <v>2026</v>
      </c>
      <c r="C75" s="102">
        <f>YEAR(Table6[[#This Row],[Date]])</f>
        <v>2025</v>
      </c>
      <c r="D75" s="102" t="s">
        <v>1992</v>
      </c>
      <c r="E75" s="469">
        <f>Table6[[#This Row],[Date]]-DAY(Table6[[#This Row],[Date]])+1</f>
        <v>45748</v>
      </c>
      <c r="F75" s="470">
        <v>45754</v>
      </c>
      <c r="G75" s="35" t="s">
        <v>78</v>
      </c>
      <c r="H75" s="35" t="str">
        <f>IFERROR(_xlfn.XLOOKUP(Table6[[#This Row],[Affected WTG]],'Basic Data'!$A:$A,'Basic Data'!$B:$B),"")</f>
        <v>TQGXIIPL</v>
      </c>
      <c r="I75" s="35" t="str">
        <f>IFERROR(_xlfn.XLOOKUP(Table6[[#This Row],[Affected WTG]],'Basic Data'!$A:$A,'Basic Data'!$C:$C),"")</f>
        <v>GEDA</v>
      </c>
      <c r="J75" s="471">
        <f>IFERROR(_xlfn.XLOOKUP(Table6[[#This Row],[Affected WTG]],'Basic Data'!$A:$A,'Basic Data'!$E:$E),"")</f>
        <v>3.846153846153845E-2</v>
      </c>
      <c r="K75" s="102">
        <v>178</v>
      </c>
      <c r="L75" s="35" t="str">
        <f>IFERROR(_xlfn.XLOOKUP(Table6[[#This Row],[Error Code]],'Basic Data'!$AA:$AA,'Basic Data'!$AB:$AB),"Incorrect Error Code")</f>
        <v>SLC MF safe operation speed limit</v>
      </c>
      <c r="M75" s="35" t="s">
        <v>291</v>
      </c>
      <c r="N75" s="475"/>
      <c r="O75" s="476">
        <v>0.32500000000000001</v>
      </c>
      <c r="P75" s="476">
        <v>0.32500000000000001</v>
      </c>
      <c r="Q75" s="477">
        <v>0.33888888888888891</v>
      </c>
      <c r="R75" s="472">
        <f>IF(Table6[[#This Row],[Work Start TimeStamp]]="","",(Table6[[#This Row],[Work Start TimeStamp]]-Table6[[#This Row],[Fault Start TimeStamp]])*24)</f>
        <v>0</v>
      </c>
      <c r="S75" s="472">
        <f>(Table6[[#This Row],[Fault Clearance time]]-Table6[[#This Row],[Work Start TimeStamp]])*24</f>
        <v>0.33333333333333348</v>
      </c>
      <c r="T75" s="472">
        <f>(Table6[[#This Row],[Fault Clearance time]]-Table6[[#This Row],[Fault Start TimeStamp]])*24</f>
        <v>0.33333333333333348</v>
      </c>
      <c r="U75" s="35" t="s">
        <v>372</v>
      </c>
      <c r="V75" s="102" t="s">
        <v>293</v>
      </c>
      <c r="W75" s="478">
        <f>IFERROR(Table6[[#This Row],[Breakdown Time]]*Table6[[#This Row],[Plant Equivalent Weightage]],"")</f>
        <v>1.2820512820512822E-2</v>
      </c>
      <c r="X75" s="473" t="s">
        <v>294</v>
      </c>
      <c r="Y75" s="474" t="s">
        <v>75</v>
      </c>
      <c r="Z75" s="102">
        <v>39935</v>
      </c>
      <c r="AA75" s="468">
        <f>(Table6[[#This Row],[Paired WTG Generation for loss calculation]]/24)*Table6[[#This Row],[Breakdown Time]]</f>
        <v>554.65277777777806</v>
      </c>
      <c r="AB75" s="102"/>
      <c r="AC75" s="35"/>
      <c r="AD75" s="35"/>
    </row>
    <row r="76" spans="1:30">
      <c r="A76" s="102">
        <f t="shared" si="1"/>
        <v>75</v>
      </c>
      <c r="B76" s="468">
        <f>YEAR(Table6[[#This Row],[Date]])+IF(MONTH(Table6[[#This Row],[Date]])&gt;=4,1,0)</f>
        <v>2026</v>
      </c>
      <c r="C76" s="102">
        <f>YEAR(Table6[[#This Row],[Date]])</f>
        <v>2025</v>
      </c>
      <c r="D76" s="102" t="s">
        <v>1992</v>
      </c>
      <c r="E76" s="469">
        <f>Table6[[#This Row],[Date]]-DAY(Table6[[#This Row],[Date]])+1</f>
        <v>45748</v>
      </c>
      <c r="F76" s="470">
        <v>45754</v>
      </c>
      <c r="G76" s="35" t="s">
        <v>78</v>
      </c>
      <c r="H76" s="35" t="str">
        <f>IFERROR(_xlfn.XLOOKUP(Table6[[#This Row],[Affected WTG]],'Basic Data'!$A:$A,'Basic Data'!$B:$B),"")</f>
        <v>TQGXIIPL</v>
      </c>
      <c r="I76" s="35" t="str">
        <f>IFERROR(_xlfn.XLOOKUP(Table6[[#This Row],[Affected WTG]],'Basic Data'!$A:$A,'Basic Data'!$C:$C),"")</f>
        <v>GEDA</v>
      </c>
      <c r="J76" s="471">
        <f>IFERROR(_xlfn.XLOOKUP(Table6[[#This Row],[Affected WTG]],'Basic Data'!$A:$A,'Basic Data'!$E:$E),"")</f>
        <v>3.846153846153845E-2</v>
      </c>
      <c r="K76" s="102">
        <v>2521</v>
      </c>
      <c r="L76" s="35" t="str">
        <f>IFERROR(_xlfn.XLOOKUP(Table6[[#This Row],[Error Code]],'Basic Data'!$AA:$AA,'Basic Data'!$AB:$AB),"Incorrect Error Code")</f>
        <v>Gen.sp.analog &lt;&lt;&gt;&gt; gearb.sp.</v>
      </c>
      <c r="M76" s="35" t="s">
        <v>292</v>
      </c>
      <c r="N76" s="475"/>
      <c r="O76" s="476">
        <v>0.73888888888888893</v>
      </c>
      <c r="P76" s="476">
        <v>0.73888888888888893</v>
      </c>
      <c r="Q76" s="477">
        <v>0.74027777777777781</v>
      </c>
      <c r="R76" s="472">
        <f>IF(Table6[[#This Row],[Work Start TimeStamp]]="","",(Table6[[#This Row],[Work Start TimeStamp]]-Table6[[#This Row],[Fault Start TimeStamp]])*24)</f>
        <v>0</v>
      </c>
      <c r="S76" s="472">
        <f>(Table6[[#This Row],[Fault Clearance time]]-Table6[[#This Row],[Work Start TimeStamp]])*24</f>
        <v>3.3333333333333215E-2</v>
      </c>
      <c r="T76" s="472">
        <f>(Table6[[#This Row],[Fault Clearance time]]-Table6[[#This Row],[Fault Start TimeStamp]])*24</f>
        <v>3.3333333333333215E-2</v>
      </c>
      <c r="U76" s="35" t="s">
        <v>346</v>
      </c>
      <c r="V76" s="102" t="s">
        <v>293</v>
      </c>
      <c r="W76" s="478">
        <f>IFERROR(Table6[[#This Row],[Breakdown Time]]*Table6[[#This Row],[Plant Equivalent Weightage]],"")</f>
        <v>1.2820512820512771E-3</v>
      </c>
      <c r="X76" s="473" t="s">
        <v>294</v>
      </c>
      <c r="Y76" s="474" t="s">
        <v>75</v>
      </c>
      <c r="Z76" s="102">
        <v>39935</v>
      </c>
      <c r="AA76" s="468">
        <f>(Table6[[#This Row],[Paired WTG Generation for loss calculation]]/24)*Table6[[#This Row],[Breakdown Time]]</f>
        <v>55.46527777777758</v>
      </c>
      <c r="AB76" s="102"/>
      <c r="AC76" s="35"/>
      <c r="AD76" s="35"/>
    </row>
    <row r="77" spans="1:30">
      <c r="A77" s="102">
        <f t="shared" si="1"/>
        <v>76</v>
      </c>
      <c r="B77" s="468">
        <f>YEAR(Table6[[#This Row],[Date]])+IF(MONTH(Table6[[#This Row],[Date]])&gt;=4,1,0)</f>
        <v>2026</v>
      </c>
      <c r="C77" s="102">
        <f>YEAR(Table6[[#This Row],[Date]])</f>
        <v>2025</v>
      </c>
      <c r="D77" s="102" t="s">
        <v>1992</v>
      </c>
      <c r="E77" s="469">
        <f>Table6[[#This Row],[Date]]-DAY(Table6[[#This Row],[Date]])+1</f>
        <v>45748</v>
      </c>
      <c r="F77" s="470">
        <v>45754</v>
      </c>
      <c r="G77" s="35" t="s">
        <v>82</v>
      </c>
      <c r="H77" s="35" t="str">
        <f>IFERROR(_xlfn.XLOOKUP(Table6[[#This Row],[Affected WTG]],'Basic Data'!$A:$A,'Basic Data'!$B:$B),"")</f>
        <v>TQGXIIPL</v>
      </c>
      <c r="I77" s="35" t="str">
        <f>IFERROR(_xlfn.XLOOKUP(Table6[[#This Row],[Affected WTG]],'Basic Data'!$A:$A,'Basic Data'!$C:$C),"")</f>
        <v>GEDA</v>
      </c>
      <c r="J77" s="471">
        <f>IFERROR(_xlfn.XLOOKUP(Table6[[#This Row],[Affected WTG]],'Basic Data'!$A:$A,'Basic Data'!$E:$E),"")</f>
        <v>3.846153846153845E-2</v>
      </c>
      <c r="K77" s="102">
        <v>55</v>
      </c>
      <c r="L77" s="35" t="str">
        <f>IFERROR(_xlfn.XLOOKUP(Table6[[#This Row],[Error Code]],'Basic Data'!$AA:$AA,'Basic Data'!$AB:$AB),"Incorrect Error Code")</f>
        <v>WTG shut down</v>
      </c>
      <c r="M77" s="35" t="s">
        <v>304</v>
      </c>
      <c r="N77" s="475"/>
      <c r="O77" s="476">
        <v>0.46666666666666667</v>
      </c>
      <c r="P77" s="476">
        <v>0.46666666666666667</v>
      </c>
      <c r="Q77" s="477">
        <v>0.72083333333333333</v>
      </c>
      <c r="R77" s="472">
        <f>IF(Table6[[#This Row],[Work Start TimeStamp]]="","",(Table6[[#This Row],[Work Start TimeStamp]]-Table6[[#This Row],[Fault Start TimeStamp]])*24)</f>
        <v>0</v>
      </c>
      <c r="S77" s="472">
        <f>(Table6[[#This Row],[Fault Clearance time]]-Table6[[#This Row],[Work Start TimeStamp]])*24</f>
        <v>6.1</v>
      </c>
      <c r="T77" s="472">
        <f>(Table6[[#This Row],[Fault Clearance time]]-Table6[[#This Row],[Fault Start TimeStamp]])*24</f>
        <v>6.1</v>
      </c>
      <c r="U77" s="35" t="s">
        <v>351</v>
      </c>
      <c r="V77" s="102" t="s">
        <v>293</v>
      </c>
      <c r="W77" s="478">
        <f>IFERROR(Table6[[#This Row],[Breakdown Time]]*Table6[[#This Row],[Plant Equivalent Weightage]],"")</f>
        <v>0.23461538461538453</v>
      </c>
      <c r="X77" s="473" t="s">
        <v>305</v>
      </c>
      <c r="Y77" s="474" t="s">
        <v>76</v>
      </c>
      <c r="Z77" s="102">
        <v>29201</v>
      </c>
      <c r="AA77" s="468">
        <f>(Table6[[#This Row],[Paired WTG Generation for loss calculation]]/24)*Table6[[#This Row],[Breakdown Time]]</f>
        <v>7421.9208333333327</v>
      </c>
      <c r="AB77" s="102"/>
      <c r="AC77" s="35"/>
      <c r="AD77" s="35"/>
    </row>
    <row r="78" spans="1:30">
      <c r="A78" s="102">
        <f t="shared" ref="A78:A141" si="2">A77+1</f>
        <v>77</v>
      </c>
      <c r="B78" s="468">
        <f>YEAR(Table6[[#This Row],[Date]])+IF(MONTH(Table6[[#This Row],[Date]])&gt;=4,1,0)</f>
        <v>2026</v>
      </c>
      <c r="C78" s="102">
        <f>YEAR(Table6[[#This Row],[Date]])</f>
        <v>2025</v>
      </c>
      <c r="D78" s="102" t="s">
        <v>1992</v>
      </c>
      <c r="E78" s="469">
        <f>Table6[[#This Row],[Date]]-DAY(Table6[[#This Row],[Date]])+1</f>
        <v>45748</v>
      </c>
      <c r="F78" s="470">
        <v>45754</v>
      </c>
      <c r="G78" s="35" t="s">
        <v>84</v>
      </c>
      <c r="H78" s="35" t="str">
        <f>IFERROR(_xlfn.XLOOKUP(Table6[[#This Row],[Affected WTG]],'Basic Data'!$A:$A,'Basic Data'!$B:$B),"")</f>
        <v>TQGXIIPL</v>
      </c>
      <c r="I78" s="35" t="str">
        <f>IFERROR(_xlfn.XLOOKUP(Table6[[#This Row],[Affected WTG]],'Basic Data'!$A:$A,'Basic Data'!$C:$C),"")</f>
        <v>GEDA</v>
      </c>
      <c r="J78" s="471">
        <f>IFERROR(_xlfn.XLOOKUP(Table6[[#This Row],[Affected WTG]],'Basic Data'!$A:$A,'Basic Data'!$E:$E),"")</f>
        <v>3.846153846153845E-2</v>
      </c>
      <c r="K78" s="102">
        <v>178</v>
      </c>
      <c r="L78" s="35" t="str">
        <f>IFERROR(_xlfn.XLOOKUP(Table6[[#This Row],[Error Code]],'Basic Data'!$AA:$AA,'Basic Data'!$AB:$AB),"Incorrect Error Code")</f>
        <v>SLC MF safe operation speed limit</v>
      </c>
      <c r="M78" s="35" t="s">
        <v>291</v>
      </c>
      <c r="N78" s="475"/>
      <c r="O78" s="476">
        <v>0.32500000000000001</v>
      </c>
      <c r="P78" s="476">
        <v>0.32500000000000001</v>
      </c>
      <c r="Q78" s="477">
        <v>0.32847222222222222</v>
      </c>
      <c r="R78" s="472">
        <f>IF(Table6[[#This Row],[Work Start TimeStamp]]="","",(Table6[[#This Row],[Work Start TimeStamp]]-Table6[[#This Row],[Fault Start TimeStamp]])*24)</f>
        <v>0</v>
      </c>
      <c r="S78" s="472">
        <f>(Table6[[#This Row],[Fault Clearance time]]-Table6[[#This Row],[Work Start TimeStamp]])*24</f>
        <v>8.3333333333333037E-2</v>
      </c>
      <c r="T78" s="472">
        <f>(Table6[[#This Row],[Fault Clearance time]]-Table6[[#This Row],[Fault Start TimeStamp]])*24</f>
        <v>8.3333333333333037E-2</v>
      </c>
      <c r="U78" s="35" t="s">
        <v>372</v>
      </c>
      <c r="V78" s="102" t="s">
        <v>293</v>
      </c>
      <c r="W78" s="478">
        <f>IFERROR(Table6[[#This Row],[Breakdown Time]]*Table6[[#This Row],[Plant Equivalent Weightage]],"")</f>
        <v>3.2051282051281929E-3</v>
      </c>
      <c r="X78" s="473" t="s">
        <v>294</v>
      </c>
      <c r="Y78" s="474" t="s">
        <v>85</v>
      </c>
      <c r="Z78" s="102">
        <v>29862</v>
      </c>
      <c r="AA78" s="468">
        <f>(Table6[[#This Row],[Paired WTG Generation for loss calculation]]/24)*Table6[[#This Row],[Breakdown Time]]</f>
        <v>103.68749999999963</v>
      </c>
      <c r="AB78" s="102"/>
      <c r="AC78" s="35"/>
      <c r="AD78" s="35"/>
    </row>
    <row r="79" spans="1:30">
      <c r="A79" s="102">
        <f t="shared" si="2"/>
        <v>78</v>
      </c>
      <c r="B79" s="468">
        <f>YEAR(Table6[[#This Row],[Date]])+IF(MONTH(Table6[[#This Row],[Date]])&gt;=4,1,0)</f>
        <v>2026</v>
      </c>
      <c r="C79" s="102">
        <f>YEAR(Table6[[#This Row],[Date]])</f>
        <v>2025</v>
      </c>
      <c r="D79" s="102" t="s">
        <v>1992</v>
      </c>
      <c r="E79" s="469">
        <f>Table6[[#This Row],[Date]]-DAY(Table6[[#This Row],[Date]])+1</f>
        <v>45748</v>
      </c>
      <c r="F79" s="470">
        <v>45754</v>
      </c>
      <c r="G79" s="35" t="s">
        <v>88</v>
      </c>
      <c r="H79" s="35" t="str">
        <f>IFERROR(_xlfn.XLOOKUP(Table6[[#This Row],[Affected WTG]],'Basic Data'!$A:$A,'Basic Data'!$B:$B),"")</f>
        <v>TQGXIIPL</v>
      </c>
      <c r="I79" s="35" t="str">
        <f>IFERROR(_xlfn.XLOOKUP(Table6[[#This Row],[Affected WTG]],'Basic Data'!$A:$A,'Basic Data'!$C:$C),"")</f>
        <v>GEDA</v>
      </c>
      <c r="J79" s="471">
        <f>IFERROR(_xlfn.XLOOKUP(Table6[[#This Row],[Affected WTG]],'Basic Data'!$A:$A,'Basic Data'!$E:$E),"")</f>
        <v>3.846153846153845E-2</v>
      </c>
      <c r="K79" s="102">
        <v>3211</v>
      </c>
      <c r="L79" s="35" t="str">
        <f>IFERROR(_xlfn.XLOOKUP(Table6[[#This Row],[Error Code]],'Basic Data'!$AA:$AA,'Basic Data'!$AB:$AB),"Incorrect Error Code")</f>
        <v>Conv. load shedding (CAN)</v>
      </c>
      <c r="M79" s="35" t="s">
        <v>292</v>
      </c>
      <c r="N79" s="475"/>
      <c r="O79" s="476">
        <v>0.55555555555555558</v>
      </c>
      <c r="P79" s="476">
        <v>0.55555555555555558</v>
      </c>
      <c r="Q79" s="477">
        <v>0.55694444444444446</v>
      </c>
      <c r="R79" s="472">
        <f>IF(Table6[[#This Row],[Work Start TimeStamp]]="","",(Table6[[#This Row],[Work Start TimeStamp]]-Table6[[#This Row],[Fault Start TimeStamp]])*24)</f>
        <v>0</v>
      </c>
      <c r="S79" s="472">
        <f>(Table6[[#This Row],[Fault Clearance time]]-Table6[[#This Row],[Work Start TimeStamp]])*24</f>
        <v>3.3333333333333215E-2</v>
      </c>
      <c r="T79" s="472">
        <f>(Table6[[#This Row],[Fault Clearance time]]-Table6[[#This Row],[Fault Start TimeStamp]])*24</f>
        <v>3.3333333333333215E-2</v>
      </c>
      <c r="U79" s="35" t="s">
        <v>346</v>
      </c>
      <c r="V79" s="102" t="s">
        <v>293</v>
      </c>
      <c r="W79" s="478">
        <f>IFERROR(Table6[[#This Row],[Breakdown Time]]*Table6[[#This Row],[Plant Equivalent Weightage]],"")</f>
        <v>1.2820512820512771E-3</v>
      </c>
      <c r="X79" s="473" t="s">
        <v>294</v>
      </c>
      <c r="Y79" s="474" t="s">
        <v>83</v>
      </c>
      <c r="Z79" s="102">
        <v>29496</v>
      </c>
      <c r="AA79" s="468">
        <f>(Table6[[#This Row],[Paired WTG Generation for loss calculation]]/24)*Table6[[#This Row],[Breakdown Time]]</f>
        <v>40.966666666666519</v>
      </c>
      <c r="AB79" s="102"/>
      <c r="AC79" s="35"/>
      <c r="AD79" s="35"/>
    </row>
    <row r="80" spans="1:30">
      <c r="A80" s="102">
        <f t="shared" si="2"/>
        <v>79</v>
      </c>
      <c r="B80" s="468">
        <f>YEAR(Table6[[#This Row],[Date]])+IF(MONTH(Table6[[#This Row],[Date]])&gt;=4,1,0)</f>
        <v>2026</v>
      </c>
      <c r="C80" s="102">
        <f>YEAR(Table6[[#This Row],[Date]])</f>
        <v>2025</v>
      </c>
      <c r="D80" s="102" t="s">
        <v>1992</v>
      </c>
      <c r="E80" s="469">
        <f>Table6[[#This Row],[Date]]-DAY(Table6[[#This Row],[Date]])+1</f>
        <v>45748</v>
      </c>
      <c r="F80" s="470">
        <v>45754</v>
      </c>
      <c r="G80" s="35" t="s">
        <v>88</v>
      </c>
      <c r="H80" s="35" t="str">
        <f>IFERROR(_xlfn.XLOOKUP(Table6[[#This Row],[Affected WTG]],'Basic Data'!$A:$A,'Basic Data'!$B:$B),"")</f>
        <v>TQGXIIPL</v>
      </c>
      <c r="I80" s="35" t="str">
        <f>IFERROR(_xlfn.XLOOKUP(Table6[[#This Row],[Affected WTG]],'Basic Data'!$A:$A,'Basic Data'!$C:$C),"")</f>
        <v>GEDA</v>
      </c>
      <c r="J80" s="471">
        <f>IFERROR(_xlfn.XLOOKUP(Table6[[#This Row],[Affected WTG]],'Basic Data'!$A:$A,'Basic Data'!$E:$E),"")</f>
        <v>3.846153846153845E-2</v>
      </c>
      <c r="K80" s="102">
        <v>3211</v>
      </c>
      <c r="L80" s="35" t="str">
        <f>IFERROR(_xlfn.XLOOKUP(Table6[[#This Row],[Error Code]],'Basic Data'!$AA:$AA,'Basic Data'!$AB:$AB),"Incorrect Error Code")</f>
        <v>Conv. load shedding (CAN)</v>
      </c>
      <c r="M80" s="35" t="s">
        <v>292</v>
      </c>
      <c r="N80" s="475"/>
      <c r="O80" s="476">
        <v>0.61111111111111116</v>
      </c>
      <c r="P80" s="476">
        <v>0.61111111111111116</v>
      </c>
      <c r="Q80" s="477">
        <v>0.61250000000000004</v>
      </c>
      <c r="R80" s="472">
        <f>IF(Table6[[#This Row],[Work Start TimeStamp]]="","",(Table6[[#This Row],[Work Start TimeStamp]]-Table6[[#This Row],[Fault Start TimeStamp]])*24)</f>
        <v>0</v>
      </c>
      <c r="S80" s="472">
        <f>(Table6[[#This Row],[Fault Clearance time]]-Table6[[#This Row],[Work Start TimeStamp]])*24</f>
        <v>3.3333333333333215E-2</v>
      </c>
      <c r="T80" s="472">
        <f>(Table6[[#This Row],[Fault Clearance time]]-Table6[[#This Row],[Fault Start TimeStamp]])*24</f>
        <v>3.3333333333333215E-2</v>
      </c>
      <c r="U80" s="35" t="s">
        <v>346</v>
      </c>
      <c r="V80" s="102" t="s">
        <v>293</v>
      </c>
      <c r="W80" s="478">
        <f>IFERROR(Table6[[#This Row],[Breakdown Time]]*Table6[[#This Row],[Plant Equivalent Weightage]],"")</f>
        <v>1.2820512820512771E-3</v>
      </c>
      <c r="X80" s="473" t="s">
        <v>294</v>
      </c>
      <c r="Y80" s="474" t="s">
        <v>83</v>
      </c>
      <c r="Z80" s="102">
        <v>29496</v>
      </c>
      <c r="AA80" s="468">
        <f>(Table6[[#This Row],[Paired WTG Generation for loss calculation]]/24)*Table6[[#This Row],[Breakdown Time]]</f>
        <v>40.966666666666519</v>
      </c>
      <c r="AB80" s="102"/>
      <c r="AC80" s="35"/>
      <c r="AD80" s="35"/>
    </row>
    <row r="81" spans="1:30">
      <c r="A81" s="102">
        <f t="shared" si="2"/>
        <v>80</v>
      </c>
      <c r="B81" s="468">
        <f>YEAR(Table6[[#This Row],[Date]])+IF(MONTH(Table6[[#This Row],[Date]])&gt;=4,1,0)</f>
        <v>2026</v>
      </c>
      <c r="C81" s="102">
        <f>YEAR(Table6[[#This Row],[Date]])</f>
        <v>2025</v>
      </c>
      <c r="D81" s="102" t="s">
        <v>1992</v>
      </c>
      <c r="E81" s="469">
        <f>Table6[[#This Row],[Date]]-DAY(Table6[[#This Row],[Date]])+1</f>
        <v>45748</v>
      </c>
      <c r="F81" s="470">
        <v>45754</v>
      </c>
      <c r="G81" s="35" t="s">
        <v>89</v>
      </c>
      <c r="H81" s="35" t="str">
        <f>IFERROR(_xlfn.XLOOKUP(Table6[[#This Row],[Affected WTG]],'Basic Data'!$A:$A,'Basic Data'!$B:$B),"")</f>
        <v>TQGXIIPL</v>
      </c>
      <c r="I81" s="35" t="str">
        <f>IFERROR(_xlfn.XLOOKUP(Table6[[#This Row],[Affected WTG]],'Basic Data'!$A:$A,'Basic Data'!$C:$C),"")</f>
        <v>GEDA</v>
      </c>
      <c r="J81" s="471">
        <f>IFERROR(_xlfn.XLOOKUP(Table6[[#This Row],[Affected WTG]],'Basic Data'!$A:$A,'Basic Data'!$E:$E),"")</f>
        <v>3.846153846153845E-2</v>
      </c>
      <c r="K81" s="102">
        <v>3211</v>
      </c>
      <c r="L81" s="35" t="str">
        <f>IFERROR(_xlfn.XLOOKUP(Table6[[#This Row],[Error Code]],'Basic Data'!$AA:$AA,'Basic Data'!$AB:$AB),"Incorrect Error Code")</f>
        <v>Conv. load shedding (CAN)</v>
      </c>
      <c r="M81" s="35" t="s">
        <v>292</v>
      </c>
      <c r="N81" s="475"/>
      <c r="O81" s="476">
        <v>0.30902777777777779</v>
      </c>
      <c r="P81" s="476">
        <v>0.30902777777777779</v>
      </c>
      <c r="Q81" s="477">
        <v>0.3125</v>
      </c>
      <c r="R81" s="472">
        <f>IF(Table6[[#This Row],[Work Start TimeStamp]]="","",(Table6[[#This Row],[Work Start TimeStamp]]-Table6[[#This Row],[Fault Start TimeStamp]])*24)</f>
        <v>0</v>
      </c>
      <c r="S81" s="472">
        <f>(Table6[[#This Row],[Fault Clearance time]]-Table6[[#This Row],[Work Start TimeStamp]])*24</f>
        <v>8.3333333333333037E-2</v>
      </c>
      <c r="T81" s="472">
        <f>(Table6[[#This Row],[Fault Clearance time]]-Table6[[#This Row],[Fault Start TimeStamp]])*24</f>
        <v>8.3333333333333037E-2</v>
      </c>
      <c r="U81" s="35" t="s">
        <v>346</v>
      </c>
      <c r="V81" s="102" t="s">
        <v>293</v>
      </c>
      <c r="W81" s="478">
        <f>IFERROR(Table6[[#This Row],[Breakdown Time]]*Table6[[#This Row],[Plant Equivalent Weightage]],"")</f>
        <v>3.2051282051281929E-3</v>
      </c>
      <c r="X81" s="473" t="s">
        <v>294</v>
      </c>
      <c r="Y81" s="474" t="s">
        <v>94</v>
      </c>
      <c r="Z81" s="102">
        <v>35533</v>
      </c>
      <c r="AA81" s="468">
        <f>(Table6[[#This Row],[Paired WTG Generation for loss calculation]]/24)*Table6[[#This Row],[Breakdown Time]]</f>
        <v>123.37847222222179</v>
      </c>
      <c r="AB81" s="102"/>
      <c r="AC81" s="35"/>
      <c r="AD81" s="35"/>
    </row>
    <row r="82" spans="1:30">
      <c r="A82" s="102">
        <f t="shared" si="2"/>
        <v>81</v>
      </c>
      <c r="B82" s="468">
        <f>YEAR(Table6[[#This Row],[Date]])+IF(MONTH(Table6[[#This Row],[Date]])&gt;=4,1,0)</f>
        <v>2026</v>
      </c>
      <c r="C82" s="102">
        <f>YEAR(Table6[[#This Row],[Date]])</f>
        <v>2025</v>
      </c>
      <c r="D82" s="102" t="s">
        <v>1992</v>
      </c>
      <c r="E82" s="469">
        <f>Table6[[#This Row],[Date]]-DAY(Table6[[#This Row],[Date]])+1</f>
        <v>45748</v>
      </c>
      <c r="F82" s="470">
        <v>45754</v>
      </c>
      <c r="G82" s="35" t="s">
        <v>91</v>
      </c>
      <c r="H82" s="35" t="str">
        <f>IFERROR(_xlfn.XLOOKUP(Table6[[#This Row],[Affected WTG]],'Basic Data'!$A:$A,'Basic Data'!$B:$B),"")</f>
        <v>TQGXIIPL</v>
      </c>
      <c r="I82" s="35" t="str">
        <f>IFERROR(_xlfn.XLOOKUP(Table6[[#This Row],[Affected WTG]],'Basic Data'!$A:$A,'Basic Data'!$C:$C),"")</f>
        <v>GEDA</v>
      </c>
      <c r="J82" s="471">
        <f>IFERROR(_xlfn.XLOOKUP(Table6[[#This Row],[Affected WTG]],'Basic Data'!$A:$A,'Basic Data'!$E:$E),"")</f>
        <v>3.846153846153845E-2</v>
      </c>
      <c r="K82" s="102">
        <v>3110</v>
      </c>
      <c r="L82" s="35" t="str">
        <f>IFERROR(_xlfn.XLOOKUP(Table6[[#This Row],[Error Code]],'Basic Data'!$AA:$AA,'Basic Data'!$AB:$AB),"Incorrect Error Code")</f>
        <v>Frequency converter error</v>
      </c>
      <c r="M82" s="35" t="s">
        <v>291</v>
      </c>
      <c r="N82" s="475"/>
      <c r="O82" s="476">
        <v>0.80277777777777781</v>
      </c>
      <c r="P82" s="476">
        <v>0.80277777777777781</v>
      </c>
      <c r="Q82" s="477">
        <v>0.80972222222222223</v>
      </c>
      <c r="R82" s="472">
        <f>IF(Table6[[#This Row],[Work Start TimeStamp]]="","",(Table6[[#This Row],[Work Start TimeStamp]]-Table6[[#This Row],[Fault Start TimeStamp]])*24)</f>
        <v>0</v>
      </c>
      <c r="S82" s="472">
        <f>(Table6[[#This Row],[Fault Clearance time]]-Table6[[#This Row],[Work Start TimeStamp]])*24</f>
        <v>0.16666666666666607</v>
      </c>
      <c r="T82" s="472">
        <f>(Table6[[#This Row],[Fault Clearance time]]-Table6[[#This Row],[Fault Start TimeStamp]])*24</f>
        <v>0.16666666666666607</v>
      </c>
      <c r="U82" s="35" t="s">
        <v>368</v>
      </c>
      <c r="V82" s="102" t="s">
        <v>293</v>
      </c>
      <c r="W82" s="478">
        <f>IFERROR(Table6[[#This Row],[Breakdown Time]]*Table6[[#This Row],[Plant Equivalent Weightage]],"")</f>
        <v>6.4102564102563857E-3</v>
      </c>
      <c r="X82" s="473" t="s">
        <v>294</v>
      </c>
      <c r="Y82" s="474" t="s">
        <v>79</v>
      </c>
      <c r="Z82" s="102">
        <v>33948</v>
      </c>
      <c r="AA82" s="468">
        <f>(Table6[[#This Row],[Paired WTG Generation for loss calculation]]/24)*Table6[[#This Row],[Breakdown Time]]</f>
        <v>235.74999999999918</v>
      </c>
      <c r="AB82" s="102"/>
      <c r="AC82" s="35"/>
      <c r="AD82" s="35"/>
    </row>
    <row r="83" spans="1:30">
      <c r="A83" s="102">
        <f t="shared" si="2"/>
        <v>82</v>
      </c>
      <c r="B83" s="468">
        <f>YEAR(Table6[[#This Row],[Date]])+IF(MONTH(Table6[[#This Row],[Date]])&gt;=4,1,0)</f>
        <v>2026</v>
      </c>
      <c r="C83" s="102">
        <f>YEAR(Table6[[#This Row],[Date]])</f>
        <v>2025</v>
      </c>
      <c r="D83" s="102" t="s">
        <v>1992</v>
      </c>
      <c r="E83" s="469">
        <f>Table6[[#This Row],[Date]]-DAY(Table6[[#This Row],[Date]])+1</f>
        <v>45748</v>
      </c>
      <c r="F83" s="470">
        <v>45754</v>
      </c>
      <c r="G83" s="35" t="s">
        <v>93</v>
      </c>
      <c r="H83" s="35" t="str">
        <f>IFERROR(_xlfn.XLOOKUP(Table6[[#This Row],[Affected WTG]],'Basic Data'!$A:$A,'Basic Data'!$B:$B),"")</f>
        <v>TQGXIIPL</v>
      </c>
      <c r="I83" s="35" t="str">
        <f>IFERROR(_xlfn.XLOOKUP(Table6[[#This Row],[Affected WTG]],'Basic Data'!$A:$A,'Basic Data'!$C:$C),"")</f>
        <v>GEDA</v>
      </c>
      <c r="J83" s="471">
        <f>IFERROR(_xlfn.XLOOKUP(Table6[[#This Row],[Affected WTG]],'Basic Data'!$A:$A,'Basic Data'!$E:$E),"")</f>
        <v>3.846153846153845E-2</v>
      </c>
      <c r="K83" s="102">
        <v>3211</v>
      </c>
      <c r="L83" s="35" t="str">
        <f>IFERROR(_xlfn.XLOOKUP(Table6[[#This Row],[Error Code]],'Basic Data'!$AA:$AA,'Basic Data'!$AB:$AB),"Incorrect Error Code")</f>
        <v>Conv. load shedding (CAN)</v>
      </c>
      <c r="M83" s="35" t="s">
        <v>292</v>
      </c>
      <c r="N83" s="475"/>
      <c r="O83" s="476">
        <v>0.14652777777777778</v>
      </c>
      <c r="P83" s="476">
        <v>0.14652777777777778</v>
      </c>
      <c r="Q83" s="477">
        <v>0.15138888888888888</v>
      </c>
      <c r="R83" s="472">
        <f>IF(Table6[[#This Row],[Work Start TimeStamp]]="","",(Table6[[#This Row],[Work Start TimeStamp]]-Table6[[#This Row],[Fault Start TimeStamp]])*24)</f>
        <v>0</v>
      </c>
      <c r="S83" s="472">
        <f>(Table6[[#This Row],[Fault Clearance time]]-Table6[[#This Row],[Work Start TimeStamp]])*24</f>
        <v>0.11666666666666625</v>
      </c>
      <c r="T83" s="472">
        <f>(Table6[[#This Row],[Fault Clearance time]]-Table6[[#This Row],[Fault Start TimeStamp]])*24</f>
        <v>0.11666666666666625</v>
      </c>
      <c r="U83" s="35" t="s">
        <v>346</v>
      </c>
      <c r="V83" s="102" t="s">
        <v>293</v>
      </c>
      <c r="W83" s="478">
        <f>IFERROR(Table6[[#This Row],[Breakdown Time]]*Table6[[#This Row],[Plant Equivalent Weightage]],"")</f>
        <v>4.4871794871794695E-3</v>
      </c>
      <c r="X83" s="473" t="s">
        <v>294</v>
      </c>
      <c r="Y83" s="474" t="s">
        <v>97</v>
      </c>
      <c r="Z83" s="102">
        <v>35825</v>
      </c>
      <c r="AA83" s="468">
        <f>(Table6[[#This Row],[Paired WTG Generation for loss calculation]]/24)*Table6[[#This Row],[Breakdown Time]]</f>
        <v>174.14930555555492</v>
      </c>
      <c r="AB83" s="102"/>
      <c r="AC83" s="35"/>
      <c r="AD83" s="35"/>
    </row>
    <row r="84" spans="1:30">
      <c r="A84" s="102">
        <f t="shared" si="2"/>
        <v>83</v>
      </c>
      <c r="B84" s="468">
        <f>YEAR(Table6[[#This Row],[Date]])+IF(MONTH(Table6[[#This Row],[Date]])&gt;=4,1,0)</f>
        <v>2026</v>
      </c>
      <c r="C84" s="102">
        <f>YEAR(Table6[[#This Row],[Date]])</f>
        <v>2025</v>
      </c>
      <c r="D84" s="102" t="s">
        <v>1992</v>
      </c>
      <c r="E84" s="469">
        <f>Table6[[#This Row],[Date]]-DAY(Table6[[#This Row],[Date]])+1</f>
        <v>45748</v>
      </c>
      <c r="F84" s="470">
        <v>45754</v>
      </c>
      <c r="G84" s="35" t="s">
        <v>93</v>
      </c>
      <c r="H84" s="35" t="str">
        <f>IFERROR(_xlfn.XLOOKUP(Table6[[#This Row],[Affected WTG]],'Basic Data'!$A:$A,'Basic Data'!$B:$B),"")</f>
        <v>TQGXIIPL</v>
      </c>
      <c r="I84" s="35" t="str">
        <f>IFERROR(_xlfn.XLOOKUP(Table6[[#This Row],[Affected WTG]],'Basic Data'!$A:$A,'Basic Data'!$C:$C),"")</f>
        <v>GEDA</v>
      </c>
      <c r="J84" s="471">
        <f>IFERROR(_xlfn.XLOOKUP(Table6[[#This Row],[Affected WTG]],'Basic Data'!$A:$A,'Basic Data'!$E:$E),"")</f>
        <v>3.846153846153845E-2</v>
      </c>
      <c r="K84" s="102">
        <v>3211</v>
      </c>
      <c r="L84" s="35" t="str">
        <f>IFERROR(_xlfn.XLOOKUP(Table6[[#This Row],[Error Code]],'Basic Data'!$AA:$AA,'Basic Data'!$AB:$AB),"Incorrect Error Code")</f>
        <v>Conv. load shedding (CAN)</v>
      </c>
      <c r="M84" s="35" t="s">
        <v>291</v>
      </c>
      <c r="N84" s="475"/>
      <c r="O84" s="476">
        <v>0.2673611111111111</v>
      </c>
      <c r="P84" s="476">
        <v>0.2673611111111111</v>
      </c>
      <c r="Q84" s="477">
        <v>0.27152777777777776</v>
      </c>
      <c r="R84" s="472">
        <f>IF(Table6[[#This Row],[Work Start TimeStamp]]="","",(Table6[[#This Row],[Work Start TimeStamp]]-Table6[[#This Row],[Fault Start TimeStamp]])*24)</f>
        <v>0</v>
      </c>
      <c r="S84" s="472">
        <f>(Table6[[#This Row],[Fault Clearance time]]-Table6[[#This Row],[Work Start TimeStamp]])*24</f>
        <v>9.9999999999999645E-2</v>
      </c>
      <c r="T84" s="472">
        <f>(Table6[[#This Row],[Fault Clearance time]]-Table6[[#This Row],[Fault Start TimeStamp]])*24</f>
        <v>9.9999999999999645E-2</v>
      </c>
      <c r="U84" s="35" t="s">
        <v>349</v>
      </c>
      <c r="V84" s="102" t="s">
        <v>293</v>
      </c>
      <c r="W84" s="478">
        <f>IFERROR(Table6[[#This Row],[Breakdown Time]]*Table6[[#This Row],[Plant Equivalent Weightage]],"")</f>
        <v>3.8461538461538312E-3</v>
      </c>
      <c r="X84" s="473" t="s">
        <v>294</v>
      </c>
      <c r="Y84" s="474" t="s">
        <v>97</v>
      </c>
      <c r="Z84" s="102">
        <v>35825</v>
      </c>
      <c r="AA84" s="468">
        <f>(Table6[[#This Row],[Paired WTG Generation for loss calculation]]/24)*Table6[[#This Row],[Breakdown Time]]</f>
        <v>149.2708333333328</v>
      </c>
      <c r="AB84" s="102"/>
      <c r="AC84" s="35"/>
      <c r="AD84" s="35"/>
    </row>
    <row r="85" spans="1:30">
      <c r="A85" s="102">
        <f t="shared" si="2"/>
        <v>84</v>
      </c>
      <c r="B85" s="468">
        <f>YEAR(Table6[[#This Row],[Date]])+IF(MONTH(Table6[[#This Row],[Date]])&gt;=4,1,0)</f>
        <v>2026</v>
      </c>
      <c r="C85" s="102">
        <f>YEAR(Table6[[#This Row],[Date]])</f>
        <v>2025</v>
      </c>
      <c r="D85" s="102" t="s">
        <v>1992</v>
      </c>
      <c r="E85" s="469">
        <f>Table6[[#This Row],[Date]]-DAY(Table6[[#This Row],[Date]])+1</f>
        <v>45748</v>
      </c>
      <c r="F85" s="470">
        <v>45754</v>
      </c>
      <c r="G85" s="35" t="s">
        <v>93</v>
      </c>
      <c r="H85" s="35" t="str">
        <f>IFERROR(_xlfn.XLOOKUP(Table6[[#This Row],[Affected WTG]],'Basic Data'!$A:$A,'Basic Data'!$B:$B),"")</f>
        <v>TQGXIIPL</v>
      </c>
      <c r="I85" s="35" t="str">
        <f>IFERROR(_xlfn.XLOOKUP(Table6[[#This Row],[Affected WTG]],'Basic Data'!$A:$A,'Basic Data'!$C:$C),"")</f>
        <v>GEDA</v>
      </c>
      <c r="J85" s="471">
        <f>IFERROR(_xlfn.XLOOKUP(Table6[[#This Row],[Affected WTG]],'Basic Data'!$A:$A,'Basic Data'!$E:$E),"")</f>
        <v>3.846153846153845E-2</v>
      </c>
      <c r="K85" s="102">
        <v>55</v>
      </c>
      <c r="L85" s="35" t="str">
        <f>IFERROR(_xlfn.XLOOKUP(Table6[[#This Row],[Error Code]],'Basic Data'!$AA:$AA,'Basic Data'!$AB:$AB),"Incorrect Error Code")</f>
        <v>WTG shut down</v>
      </c>
      <c r="M85" s="35" t="s">
        <v>291</v>
      </c>
      <c r="N85" s="475"/>
      <c r="O85" s="476">
        <v>0.5</v>
      </c>
      <c r="P85" s="476">
        <v>0.5</v>
      </c>
      <c r="Q85" s="477">
        <v>0.52430555555555558</v>
      </c>
      <c r="R85" s="472">
        <f>IF(Table6[[#This Row],[Work Start TimeStamp]]="","",(Table6[[#This Row],[Work Start TimeStamp]]-Table6[[#This Row],[Fault Start TimeStamp]])*24)</f>
        <v>0</v>
      </c>
      <c r="S85" s="472">
        <f>(Table6[[#This Row],[Fault Clearance time]]-Table6[[#This Row],[Work Start TimeStamp]])*24</f>
        <v>0.58333333333333393</v>
      </c>
      <c r="T85" s="472">
        <f>(Table6[[#This Row],[Fault Clearance time]]-Table6[[#This Row],[Fault Start TimeStamp]])*24</f>
        <v>0.58333333333333393</v>
      </c>
      <c r="U85" s="35" t="s">
        <v>373</v>
      </c>
      <c r="V85" s="102" t="s">
        <v>293</v>
      </c>
      <c r="W85" s="478">
        <f>IFERROR(Table6[[#This Row],[Breakdown Time]]*Table6[[#This Row],[Plant Equivalent Weightage]],"")</f>
        <v>2.2435897435897453E-2</v>
      </c>
      <c r="X85" s="473" t="s">
        <v>290</v>
      </c>
      <c r="Y85" s="474" t="s">
        <v>97</v>
      </c>
      <c r="Z85" s="102">
        <v>35825</v>
      </c>
      <c r="AA85" s="468">
        <f>(Table6[[#This Row],[Paired WTG Generation for loss calculation]]/24)*Table6[[#This Row],[Breakdown Time]]</f>
        <v>870.74652777777862</v>
      </c>
      <c r="AB85" s="102"/>
      <c r="AC85" s="35"/>
      <c r="AD85" s="35"/>
    </row>
    <row r="86" spans="1:30">
      <c r="A86" s="102">
        <f t="shared" si="2"/>
        <v>85</v>
      </c>
      <c r="B86" s="468">
        <f>YEAR(Table6[[#This Row],[Date]])+IF(MONTH(Table6[[#This Row],[Date]])&gt;=4,1,0)</f>
        <v>2026</v>
      </c>
      <c r="C86" s="102">
        <f>YEAR(Table6[[#This Row],[Date]])</f>
        <v>2025</v>
      </c>
      <c r="D86" s="102" t="s">
        <v>1992</v>
      </c>
      <c r="E86" s="469">
        <f>Table6[[#This Row],[Date]]-DAY(Table6[[#This Row],[Date]])+1</f>
        <v>45748</v>
      </c>
      <c r="F86" s="470">
        <v>45754</v>
      </c>
      <c r="G86" s="35" t="s">
        <v>95</v>
      </c>
      <c r="H86" s="35" t="str">
        <f>IFERROR(_xlfn.XLOOKUP(Table6[[#This Row],[Affected WTG]],'Basic Data'!$A:$A,'Basic Data'!$B:$B),"")</f>
        <v>TQGXIIPL</v>
      </c>
      <c r="I86" s="35" t="str">
        <f>IFERROR(_xlfn.XLOOKUP(Table6[[#This Row],[Affected WTG]],'Basic Data'!$A:$A,'Basic Data'!$C:$C),"")</f>
        <v>GEDA</v>
      </c>
      <c r="J86" s="471">
        <f>IFERROR(_xlfn.XLOOKUP(Table6[[#This Row],[Affected WTG]],'Basic Data'!$A:$A,'Basic Data'!$E:$E),"")</f>
        <v>3.846153846153845E-2</v>
      </c>
      <c r="K86" s="102">
        <v>6130</v>
      </c>
      <c r="L86" s="35" t="str">
        <f>IFERROR(_xlfn.XLOOKUP(Table6[[#This Row],[Error Code]],'Basic Data'!$AA:$AA,'Basic Data'!$AB:$AB),"Incorrect Error Code")</f>
        <v>Yaw speed high</v>
      </c>
      <c r="M86" s="35" t="s">
        <v>292</v>
      </c>
      <c r="N86" s="475"/>
      <c r="O86" s="476">
        <v>0.47638888888888886</v>
      </c>
      <c r="P86" s="476">
        <v>0.47638888888888886</v>
      </c>
      <c r="Q86" s="477">
        <v>0.48055555555555557</v>
      </c>
      <c r="R86" s="472">
        <f>IF(Table6[[#This Row],[Work Start TimeStamp]]="","",(Table6[[#This Row],[Work Start TimeStamp]]-Table6[[#This Row],[Fault Start TimeStamp]])*24)</f>
        <v>0</v>
      </c>
      <c r="S86" s="472">
        <f>(Table6[[#This Row],[Fault Clearance time]]-Table6[[#This Row],[Work Start TimeStamp]])*24</f>
        <v>0.10000000000000098</v>
      </c>
      <c r="T86" s="472">
        <f>(Table6[[#This Row],[Fault Clearance time]]-Table6[[#This Row],[Fault Start TimeStamp]])*24</f>
        <v>0.10000000000000098</v>
      </c>
      <c r="U86" s="35" t="s">
        <v>346</v>
      </c>
      <c r="V86" s="102" t="s">
        <v>293</v>
      </c>
      <c r="W86" s="478">
        <f>IFERROR(Table6[[#This Row],[Breakdown Time]]*Table6[[#This Row],[Plant Equivalent Weightage]],"")</f>
        <v>3.8461538461538824E-3</v>
      </c>
      <c r="X86" s="473" t="s">
        <v>294</v>
      </c>
      <c r="Y86" s="474" t="s">
        <v>79</v>
      </c>
      <c r="Z86" s="102">
        <v>33948</v>
      </c>
      <c r="AA86" s="468">
        <f>(Table6[[#This Row],[Paired WTG Generation for loss calculation]]/24)*Table6[[#This Row],[Breakdown Time]]</f>
        <v>141.45000000000138</v>
      </c>
      <c r="AB86" s="102"/>
      <c r="AC86" s="35"/>
      <c r="AD86" s="35"/>
    </row>
    <row r="87" spans="1:30">
      <c r="A87" s="102">
        <f t="shared" si="2"/>
        <v>86</v>
      </c>
      <c r="B87" s="468">
        <f>YEAR(Table6[[#This Row],[Date]])+IF(MONTH(Table6[[#This Row],[Date]])&gt;=4,1,0)</f>
        <v>2026</v>
      </c>
      <c r="C87" s="102">
        <f>YEAR(Table6[[#This Row],[Date]])</f>
        <v>2025</v>
      </c>
      <c r="D87" s="102" t="s">
        <v>1992</v>
      </c>
      <c r="E87" s="469">
        <f>Table6[[#This Row],[Date]]-DAY(Table6[[#This Row],[Date]])+1</f>
        <v>45748</v>
      </c>
      <c r="F87" s="470">
        <v>45754</v>
      </c>
      <c r="G87" s="35" t="s">
        <v>98</v>
      </c>
      <c r="H87" s="35" t="str">
        <f>IFERROR(_xlfn.XLOOKUP(Table6[[#This Row],[Affected WTG]],'Basic Data'!$A:$A,'Basic Data'!$B:$B),"")</f>
        <v>TQGXIIPL</v>
      </c>
      <c r="I87" s="35" t="str">
        <f>IFERROR(_xlfn.XLOOKUP(Table6[[#This Row],[Affected WTG]],'Basic Data'!$A:$A,'Basic Data'!$C:$C),"")</f>
        <v>GEDA</v>
      </c>
      <c r="J87" s="471">
        <f>IFERROR(_xlfn.XLOOKUP(Table6[[#This Row],[Affected WTG]],'Basic Data'!$A:$A,'Basic Data'!$E:$E),"")</f>
        <v>3.846153846153845E-2</v>
      </c>
      <c r="K87" s="102">
        <v>178</v>
      </c>
      <c r="L87" s="35" t="str">
        <f>IFERROR(_xlfn.XLOOKUP(Table6[[#This Row],[Error Code]],'Basic Data'!$AA:$AA,'Basic Data'!$AB:$AB),"Incorrect Error Code")</f>
        <v>SLC MF safe operation speed limit</v>
      </c>
      <c r="M87" s="35" t="s">
        <v>291</v>
      </c>
      <c r="N87" s="475"/>
      <c r="O87" s="476">
        <v>0.82361111111111107</v>
      </c>
      <c r="P87" s="476">
        <v>0.82361111111111107</v>
      </c>
      <c r="Q87" s="477">
        <v>0.83888888888888891</v>
      </c>
      <c r="R87" s="472">
        <f>IF(Table6[[#This Row],[Work Start TimeStamp]]="","",(Table6[[#This Row],[Work Start TimeStamp]]-Table6[[#This Row],[Fault Start TimeStamp]])*24)</f>
        <v>0</v>
      </c>
      <c r="S87" s="472">
        <f>(Table6[[#This Row],[Fault Clearance time]]-Table6[[#This Row],[Work Start TimeStamp]])*24</f>
        <v>0.36666666666666803</v>
      </c>
      <c r="T87" s="472">
        <f>(Table6[[#This Row],[Fault Clearance time]]-Table6[[#This Row],[Fault Start TimeStamp]])*24</f>
        <v>0.36666666666666803</v>
      </c>
      <c r="U87" s="35" t="s">
        <v>349</v>
      </c>
      <c r="V87" s="102" t="s">
        <v>293</v>
      </c>
      <c r="W87" s="478">
        <f>IFERROR(Table6[[#This Row],[Breakdown Time]]*Table6[[#This Row],[Plant Equivalent Weightage]],"")</f>
        <v>1.4102564102564151E-2</v>
      </c>
      <c r="X87" s="473" t="s">
        <v>294</v>
      </c>
      <c r="Y87" s="474" t="s">
        <v>74</v>
      </c>
      <c r="Z87" s="102">
        <v>31048</v>
      </c>
      <c r="AA87" s="468">
        <f>(Table6[[#This Row],[Paired WTG Generation for loss calculation]]/24)*Table6[[#This Row],[Breakdown Time]]</f>
        <v>474.34444444444625</v>
      </c>
      <c r="AB87" s="102"/>
      <c r="AC87" s="35"/>
      <c r="AD87" s="35"/>
    </row>
    <row r="88" spans="1:30">
      <c r="A88" s="102">
        <f t="shared" si="2"/>
        <v>87</v>
      </c>
      <c r="B88" s="468">
        <f>YEAR(Table6[[#This Row],[Date]])+IF(MONTH(Table6[[#This Row],[Date]])&gt;=4,1,0)</f>
        <v>2026</v>
      </c>
      <c r="C88" s="102">
        <f>YEAR(Table6[[#This Row],[Date]])</f>
        <v>2025</v>
      </c>
      <c r="D88" s="102" t="s">
        <v>1992</v>
      </c>
      <c r="E88" s="469">
        <f>Table6[[#This Row],[Date]]-DAY(Table6[[#This Row],[Date]])+1</f>
        <v>45748</v>
      </c>
      <c r="F88" s="470">
        <v>45755</v>
      </c>
      <c r="G88" s="35" t="s">
        <v>75</v>
      </c>
      <c r="H88" s="35" t="str">
        <f>IFERROR(_xlfn.XLOOKUP(Table6[[#This Row],[Affected WTG]],'Basic Data'!$A:$A,'Basic Data'!$B:$B),"")</f>
        <v>TQGXIIPL</v>
      </c>
      <c r="I88" s="35" t="str">
        <f>IFERROR(_xlfn.XLOOKUP(Table6[[#This Row],[Affected WTG]],'Basic Data'!$A:$A,'Basic Data'!$C:$C),"")</f>
        <v>GEDA</v>
      </c>
      <c r="J88" s="471">
        <f>IFERROR(_xlfn.XLOOKUP(Table6[[#This Row],[Affected WTG]],'Basic Data'!$A:$A,'Basic Data'!$E:$E),"")</f>
        <v>3.846153846153845E-2</v>
      </c>
      <c r="K88" s="102">
        <v>3211</v>
      </c>
      <c r="L88" s="35" t="str">
        <f>IFERROR(_xlfn.XLOOKUP(Table6[[#This Row],[Error Code]],'Basic Data'!$AA:$AA,'Basic Data'!$AB:$AB),"Incorrect Error Code")</f>
        <v>Conv. load shedding (CAN)</v>
      </c>
      <c r="M88" s="35" t="s">
        <v>291</v>
      </c>
      <c r="N88" s="475"/>
      <c r="O88" s="476">
        <v>0.37569444444444444</v>
      </c>
      <c r="P88" s="476">
        <v>0.37569444444444444</v>
      </c>
      <c r="Q88" s="477">
        <v>0.37916666666666665</v>
      </c>
      <c r="R88" s="472">
        <f>IF(Table6[[#This Row],[Work Start TimeStamp]]="","",(Table6[[#This Row],[Work Start TimeStamp]]-Table6[[#This Row],[Fault Start TimeStamp]])*24)</f>
        <v>0</v>
      </c>
      <c r="S88" s="472">
        <f>(Table6[[#This Row],[Fault Clearance time]]-Table6[[#This Row],[Work Start TimeStamp]])*24</f>
        <v>8.3333333333333037E-2</v>
      </c>
      <c r="T88" s="472">
        <f>(Table6[[#This Row],[Fault Clearance time]]-Table6[[#This Row],[Fault Start TimeStamp]])*24</f>
        <v>8.3333333333333037E-2</v>
      </c>
      <c r="U88" s="35" t="s">
        <v>368</v>
      </c>
      <c r="V88" s="102" t="s">
        <v>293</v>
      </c>
      <c r="W88" s="478">
        <f>IFERROR(Table6[[#This Row],[Breakdown Time]]*Table6[[#This Row],[Plant Equivalent Weightage]],"")</f>
        <v>3.2051282051281929E-3</v>
      </c>
      <c r="X88" s="473" t="s">
        <v>294</v>
      </c>
      <c r="Y88" s="474" t="s">
        <v>78</v>
      </c>
      <c r="Z88" s="102">
        <v>29686</v>
      </c>
      <c r="AA88" s="468">
        <f>(Table6[[#This Row],[Paired WTG Generation for loss calculation]]/24)*Table6[[#This Row],[Breakdown Time]]</f>
        <v>103.07638888888853</v>
      </c>
      <c r="AB88" s="102"/>
      <c r="AC88" s="35"/>
      <c r="AD88" s="35"/>
    </row>
    <row r="89" spans="1:30">
      <c r="A89" s="102">
        <f t="shared" si="2"/>
        <v>88</v>
      </c>
      <c r="B89" s="468">
        <f>YEAR(Table6[[#This Row],[Date]])+IF(MONTH(Table6[[#This Row],[Date]])&gt;=4,1,0)</f>
        <v>2026</v>
      </c>
      <c r="C89" s="102">
        <f>YEAR(Table6[[#This Row],[Date]])</f>
        <v>2025</v>
      </c>
      <c r="D89" s="102" t="s">
        <v>1992</v>
      </c>
      <c r="E89" s="469">
        <f>Table6[[#This Row],[Date]]-DAY(Table6[[#This Row],[Date]])+1</f>
        <v>45748</v>
      </c>
      <c r="F89" s="470">
        <v>45755</v>
      </c>
      <c r="G89" s="35" t="s">
        <v>76</v>
      </c>
      <c r="H89" s="35" t="str">
        <f>IFERROR(_xlfn.XLOOKUP(Table6[[#This Row],[Affected WTG]],'Basic Data'!$A:$A,'Basic Data'!$B:$B),"")</f>
        <v>TQGXIIPL</v>
      </c>
      <c r="I89" s="35" t="str">
        <f>IFERROR(_xlfn.XLOOKUP(Table6[[#This Row],[Affected WTG]],'Basic Data'!$A:$A,'Basic Data'!$C:$C),"")</f>
        <v>GEDA</v>
      </c>
      <c r="J89" s="471">
        <f>IFERROR(_xlfn.XLOOKUP(Table6[[#This Row],[Affected WTG]],'Basic Data'!$A:$A,'Basic Data'!$E:$E),"")</f>
        <v>3.846153846153845E-2</v>
      </c>
      <c r="K89" s="102">
        <v>551</v>
      </c>
      <c r="L89" s="35" t="str">
        <f>IFERROR(_xlfn.XLOOKUP(Table6[[#This Row],[Error Code]],'Basic Data'!$AA:$AA,'Basic Data'!$AB:$AB),"Incorrect Error Code")</f>
        <v>Pitch motor current too high</v>
      </c>
      <c r="M89" s="35" t="s">
        <v>291</v>
      </c>
      <c r="N89" s="475"/>
      <c r="O89" s="476">
        <v>0.2951388888888889</v>
      </c>
      <c r="P89" s="476">
        <v>0.2951388888888889</v>
      </c>
      <c r="Q89" s="477">
        <v>0.30555555555555558</v>
      </c>
      <c r="R89" s="472">
        <f>IF(Table6[[#This Row],[Work Start TimeStamp]]="","",(Table6[[#This Row],[Work Start TimeStamp]]-Table6[[#This Row],[Fault Start TimeStamp]])*24)</f>
        <v>0</v>
      </c>
      <c r="S89" s="472">
        <f>(Table6[[#This Row],[Fault Clearance time]]-Table6[[#This Row],[Work Start TimeStamp]])*24</f>
        <v>0.25000000000000044</v>
      </c>
      <c r="T89" s="472">
        <f>(Table6[[#This Row],[Fault Clearance time]]-Table6[[#This Row],[Fault Start TimeStamp]])*24</f>
        <v>0.25000000000000044</v>
      </c>
      <c r="U89" s="35" t="s">
        <v>375</v>
      </c>
      <c r="V89" s="102" t="s">
        <v>293</v>
      </c>
      <c r="W89" s="478">
        <f>IFERROR(Table6[[#This Row],[Breakdown Time]]*Table6[[#This Row],[Plant Equivalent Weightage]],"")</f>
        <v>9.6153846153846298E-3</v>
      </c>
      <c r="X89" s="473" t="s">
        <v>294</v>
      </c>
      <c r="Y89" s="474" t="s">
        <v>82</v>
      </c>
      <c r="Z89" s="102">
        <v>23145</v>
      </c>
      <c r="AA89" s="468">
        <f>(Table6[[#This Row],[Paired WTG Generation for loss calculation]]/24)*Table6[[#This Row],[Breakdown Time]]</f>
        <v>241.09375000000043</v>
      </c>
      <c r="AB89" s="102"/>
      <c r="AC89" s="35"/>
      <c r="AD89" s="35"/>
    </row>
    <row r="90" spans="1:30">
      <c r="A90" s="102">
        <f t="shared" si="2"/>
        <v>89</v>
      </c>
      <c r="B90" s="468">
        <f>YEAR(Table6[[#This Row],[Date]])+IF(MONTH(Table6[[#This Row],[Date]])&gt;=4,1,0)</f>
        <v>2026</v>
      </c>
      <c r="C90" s="102">
        <f>YEAR(Table6[[#This Row],[Date]])</f>
        <v>2025</v>
      </c>
      <c r="D90" s="102" t="s">
        <v>1992</v>
      </c>
      <c r="E90" s="469">
        <f>Table6[[#This Row],[Date]]-DAY(Table6[[#This Row],[Date]])+1</f>
        <v>45748</v>
      </c>
      <c r="F90" s="470">
        <v>45755</v>
      </c>
      <c r="G90" s="35" t="s">
        <v>77</v>
      </c>
      <c r="H90" s="35" t="str">
        <f>IFERROR(_xlfn.XLOOKUP(Table6[[#This Row],[Affected WTG]],'Basic Data'!$A:$A,'Basic Data'!$B:$B),"")</f>
        <v>TQGXIIPL</v>
      </c>
      <c r="I90" s="35" t="str">
        <f>IFERROR(_xlfn.XLOOKUP(Table6[[#This Row],[Affected WTG]],'Basic Data'!$A:$A,'Basic Data'!$C:$C),"")</f>
        <v>GEDA</v>
      </c>
      <c r="J90" s="471">
        <f>IFERROR(_xlfn.XLOOKUP(Table6[[#This Row],[Affected WTG]],'Basic Data'!$A:$A,'Basic Data'!$E:$E),"")</f>
        <v>3.846153846153845E-2</v>
      </c>
      <c r="K90" s="102">
        <v>5700</v>
      </c>
      <c r="L90" s="35" t="str">
        <f>IFERROR(_xlfn.XLOOKUP(Table6[[#This Row],[Error Code]],'Basic Data'!$AA:$AA,'Basic Data'!$AB:$AB),"Incorrect Error Code")</f>
        <v>Max. operation time hydraulic</v>
      </c>
      <c r="M90" s="35" t="s">
        <v>291</v>
      </c>
      <c r="N90" s="475"/>
      <c r="O90" s="476">
        <v>0.54861111111111116</v>
      </c>
      <c r="P90" s="476">
        <v>0.54861111111111116</v>
      </c>
      <c r="Q90" s="477">
        <v>0.55555555555555558</v>
      </c>
      <c r="R90" s="472">
        <f>IF(Table6[[#This Row],[Work Start TimeStamp]]="","",(Table6[[#This Row],[Work Start TimeStamp]]-Table6[[#This Row],[Fault Start TimeStamp]])*24)</f>
        <v>0</v>
      </c>
      <c r="S90" s="472">
        <f>(Table6[[#This Row],[Fault Clearance time]]-Table6[[#This Row],[Work Start TimeStamp]])*24</f>
        <v>0.16666666666666607</v>
      </c>
      <c r="T90" s="472">
        <f>(Table6[[#This Row],[Fault Clearance time]]-Table6[[#This Row],[Fault Start TimeStamp]])*24</f>
        <v>0.16666666666666607</v>
      </c>
      <c r="U90" s="35" t="s">
        <v>349</v>
      </c>
      <c r="V90" s="102" t="s">
        <v>293</v>
      </c>
      <c r="W90" s="478">
        <f>IFERROR(Table6[[#This Row],[Breakdown Time]]*Table6[[#This Row],[Plant Equivalent Weightage]],"")</f>
        <v>6.4102564102563857E-3</v>
      </c>
      <c r="X90" s="473" t="s">
        <v>294</v>
      </c>
      <c r="Y90" s="474" t="s">
        <v>80</v>
      </c>
      <c r="Z90" s="102">
        <v>31884</v>
      </c>
      <c r="AA90" s="468">
        <f>(Table6[[#This Row],[Paired WTG Generation for loss calculation]]/24)*Table6[[#This Row],[Breakdown Time]]</f>
        <v>221.41666666666589</v>
      </c>
      <c r="AB90" s="102"/>
      <c r="AC90" s="35"/>
      <c r="AD90" s="35"/>
    </row>
    <row r="91" spans="1:30">
      <c r="A91" s="102">
        <f t="shared" si="2"/>
        <v>90</v>
      </c>
      <c r="B91" s="468">
        <f>YEAR(Table6[[#This Row],[Date]])+IF(MONTH(Table6[[#This Row],[Date]])&gt;=4,1,0)</f>
        <v>2026</v>
      </c>
      <c r="C91" s="102">
        <f>YEAR(Table6[[#This Row],[Date]])</f>
        <v>2025</v>
      </c>
      <c r="D91" s="102" t="s">
        <v>1992</v>
      </c>
      <c r="E91" s="469">
        <f>Table6[[#This Row],[Date]]-DAY(Table6[[#This Row],[Date]])+1</f>
        <v>45748</v>
      </c>
      <c r="F91" s="470">
        <v>45755</v>
      </c>
      <c r="G91" s="35" t="s">
        <v>77</v>
      </c>
      <c r="H91" s="35" t="str">
        <f>IFERROR(_xlfn.XLOOKUP(Table6[[#This Row],[Affected WTG]],'Basic Data'!$A:$A,'Basic Data'!$B:$B),"")</f>
        <v>TQGXIIPL</v>
      </c>
      <c r="I91" s="35" t="str">
        <f>IFERROR(_xlfn.XLOOKUP(Table6[[#This Row],[Affected WTG]],'Basic Data'!$A:$A,'Basic Data'!$C:$C),"")</f>
        <v>GEDA</v>
      </c>
      <c r="J91" s="471">
        <f>IFERROR(_xlfn.XLOOKUP(Table6[[#This Row],[Affected WTG]],'Basic Data'!$A:$A,'Basic Data'!$E:$E),"")</f>
        <v>3.846153846153845E-2</v>
      </c>
      <c r="K91" s="102">
        <v>6300</v>
      </c>
      <c r="L91" s="35" t="str">
        <f>IFERROR(_xlfn.XLOOKUP(Table6[[#This Row],[Error Code]],'Basic Data'!$AA:$AA,'Basic Data'!$AB:$AB),"Incorrect Error Code")</f>
        <v>Yaw error</v>
      </c>
      <c r="M91" s="35" t="s">
        <v>292</v>
      </c>
      <c r="N91" s="475"/>
      <c r="O91" s="476">
        <v>0.65</v>
      </c>
      <c r="P91" s="476">
        <v>0.65</v>
      </c>
      <c r="Q91" s="477">
        <v>0.65069444444444446</v>
      </c>
      <c r="R91" s="472">
        <f>IF(Table6[[#This Row],[Work Start TimeStamp]]="","",(Table6[[#This Row],[Work Start TimeStamp]]-Table6[[#This Row],[Fault Start TimeStamp]])*24)</f>
        <v>0</v>
      </c>
      <c r="S91" s="472">
        <f>(Table6[[#This Row],[Fault Clearance time]]-Table6[[#This Row],[Work Start TimeStamp]])*24</f>
        <v>1.6666666666666607E-2</v>
      </c>
      <c r="T91" s="472">
        <f>(Table6[[#This Row],[Fault Clearance time]]-Table6[[#This Row],[Fault Start TimeStamp]])*24</f>
        <v>1.6666666666666607E-2</v>
      </c>
      <c r="U91" s="35" t="s">
        <v>336</v>
      </c>
      <c r="V91" s="102" t="s">
        <v>293</v>
      </c>
      <c r="W91" s="478">
        <f>IFERROR(Table6[[#This Row],[Breakdown Time]]*Table6[[#This Row],[Plant Equivalent Weightage]],"")</f>
        <v>6.4102564102563853E-4</v>
      </c>
      <c r="X91" s="473" t="s">
        <v>294</v>
      </c>
      <c r="Y91" s="474" t="s">
        <v>80</v>
      </c>
      <c r="Z91" s="102">
        <v>31884</v>
      </c>
      <c r="AA91" s="468">
        <f>(Table6[[#This Row],[Paired WTG Generation for loss calculation]]/24)*Table6[[#This Row],[Breakdown Time]]</f>
        <v>22.141666666666588</v>
      </c>
      <c r="AB91" s="102"/>
      <c r="AC91" s="35"/>
      <c r="AD91" s="35"/>
    </row>
    <row r="92" spans="1:30">
      <c r="A92" s="102">
        <f t="shared" si="2"/>
        <v>91</v>
      </c>
      <c r="B92" s="468">
        <f>YEAR(Table6[[#This Row],[Date]])+IF(MONTH(Table6[[#This Row],[Date]])&gt;=4,1,0)</f>
        <v>2026</v>
      </c>
      <c r="C92" s="102">
        <f>YEAR(Table6[[#This Row],[Date]])</f>
        <v>2025</v>
      </c>
      <c r="D92" s="102" t="s">
        <v>1992</v>
      </c>
      <c r="E92" s="469">
        <f>Table6[[#This Row],[Date]]-DAY(Table6[[#This Row],[Date]])+1</f>
        <v>45748</v>
      </c>
      <c r="F92" s="470">
        <v>45755</v>
      </c>
      <c r="G92" s="35" t="s">
        <v>77</v>
      </c>
      <c r="H92" s="35" t="str">
        <f>IFERROR(_xlfn.XLOOKUP(Table6[[#This Row],[Affected WTG]],'Basic Data'!$A:$A,'Basic Data'!$B:$B),"")</f>
        <v>TQGXIIPL</v>
      </c>
      <c r="I92" s="35" t="str">
        <f>IFERROR(_xlfn.XLOOKUP(Table6[[#This Row],[Affected WTG]],'Basic Data'!$A:$A,'Basic Data'!$C:$C),"")</f>
        <v>GEDA</v>
      </c>
      <c r="J92" s="471">
        <f>IFERROR(_xlfn.XLOOKUP(Table6[[#This Row],[Affected WTG]],'Basic Data'!$A:$A,'Basic Data'!$E:$E),"")</f>
        <v>3.846153846153845E-2</v>
      </c>
      <c r="K92" s="102">
        <v>5700</v>
      </c>
      <c r="L92" s="35" t="str">
        <f>IFERROR(_xlfn.XLOOKUP(Table6[[#This Row],[Error Code]],'Basic Data'!$AA:$AA,'Basic Data'!$AB:$AB),"Incorrect Error Code")</f>
        <v>Max. operation time hydraulic</v>
      </c>
      <c r="M92" s="35" t="s">
        <v>291</v>
      </c>
      <c r="N92" s="475"/>
      <c r="O92" s="476">
        <v>0.73958333333333337</v>
      </c>
      <c r="P92" s="476">
        <v>0.74097222222222225</v>
      </c>
      <c r="Q92" s="477">
        <v>0.77430555555555558</v>
      </c>
      <c r="R92" s="472">
        <f>IF(Table6[[#This Row],[Work Start TimeStamp]]="","",(Table6[[#This Row],[Work Start TimeStamp]]-Table6[[#This Row],[Fault Start TimeStamp]])*24)</f>
        <v>3.3333333333333215E-2</v>
      </c>
      <c r="S92" s="472">
        <f>(Table6[[#This Row],[Fault Clearance time]]-Table6[[#This Row],[Work Start TimeStamp]])*24</f>
        <v>0.79999999999999982</v>
      </c>
      <c r="T92" s="472">
        <f>(Table6[[#This Row],[Fault Clearance time]]-Table6[[#This Row],[Fault Start TimeStamp]])*24</f>
        <v>0.83333333333333304</v>
      </c>
      <c r="U92" s="35" t="s">
        <v>376</v>
      </c>
      <c r="V92" s="102" t="s">
        <v>293</v>
      </c>
      <c r="W92" s="478">
        <f>IFERROR(Table6[[#This Row],[Breakdown Time]]*Table6[[#This Row],[Plant Equivalent Weightage]],"")</f>
        <v>3.2051282051282028E-2</v>
      </c>
      <c r="X92" s="473" t="s">
        <v>294</v>
      </c>
      <c r="Y92" s="474" t="s">
        <v>80</v>
      </c>
      <c r="Z92" s="102">
        <v>31884</v>
      </c>
      <c r="AA92" s="468">
        <f>(Table6[[#This Row],[Paired WTG Generation for loss calculation]]/24)*Table6[[#This Row],[Breakdown Time]]</f>
        <v>1107.083333333333</v>
      </c>
      <c r="AB92" s="102"/>
      <c r="AC92" s="35"/>
      <c r="AD92" s="35"/>
    </row>
    <row r="93" spans="1:30">
      <c r="A93" s="102">
        <f t="shared" si="2"/>
        <v>92</v>
      </c>
      <c r="B93" s="468">
        <f>YEAR(Table6[[#This Row],[Date]])+IF(MONTH(Table6[[#This Row],[Date]])&gt;=4,1,0)</f>
        <v>2026</v>
      </c>
      <c r="C93" s="102">
        <f>YEAR(Table6[[#This Row],[Date]])</f>
        <v>2025</v>
      </c>
      <c r="D93" s="102" t="s">
        <v>1992</v>
      </c>
      <c r="E93" s="469">
        <f>Table6[[#This Row],[Date]]-DAY(Table6[[#This Row],[Date]])+1</f>
        <v>45748</v>
      </c>
      <c r="F93" s="470">
        <v>45755</v>
      </c>
      <c r="G93" s="35" t="s">
        <v>78</v>
      </c>
      <c r="H93" s="35" t="str">
        <f>IFERROR(_xlfn.XLOOKUP(Table6[[#This Row],[Affected WTG]],'Basic Data'!$A:$A,'Basic Data'!$B:$B),"")</f>
        <v>TQGXIIPL</v>
      </c>
      <c r="I93" s="35" t="str">
        <f>IFERROR(_xlfn.XLOOKUP(Table6[[#This Row],[Affected WTG]],'Basic Data'!$A:$A,'Basic Data'!$C:$C),"")</f>
        <v>GEDA</v>
      </c>
      <c r="J93" s="471">
        <f>IFERROR(_xlfn.XLOOKUP(Table6[[#This Row],[Affected WTG]],'Basic Data'!$A:$A,'Basic Data'!$E:$E),"")</f>
        <v>3.846153846153845E-2</v>
      </c>
      <c r="K93" s="102">
        <v>3211</v>
      </c>
      <c r="L93" s="35" t="str">
        <f>IFERROR(_xlfn.XLOOKUP(Table6[[#This Row],[Error Code]],'Basic Data'!$AA:$AA,'Basic Data'!$AB:$AB),"Incorrect Error Code")</f>
        <v>Conv. load shedding (CAN)</v>
      </c>
      <c r="M93" s="35" t="s">
        <v>292</v>
      </c>
      <c r="N93" s="475"/>
      <c r="O93" s="476">
        <v>0.1361111111111111</v>
      </c>
      <c r="P93" s="476">
        <v>0.1361111111111111</v>
      </c>
      <c r="Q93" s="477">
        <v>0.13819444444444445</v>
      </c>
      <c r="R93" s="472">
        <f>IF(Table6[[#This Row],[Work Start TimeStamp]]="","",(Table6[[#This Row],[Work Start TimeStamp]]-Table6[[#This Row],[Fault Start TimeStamp]])*24)</f>
        <v>0</v>
      </c>
      <c r="S93" s="472">
        <f>(Table6[[#This Row],[Fault Clearance time]]-Table6[[#This Row],[Work Start TimeStamp]])*24</f>
        <v>5.0000000000000488E-2</v>
      </c>
      <c r="T93" s="472">
        <f>(Table6[[#This Row],[Fault Clearance time]]-Table6[[#This Row],[Fault Start TimeStamp]])*24</f>
        <v>5.0000000000000488E-2</v>
      </c>
      <c r="U93" s="35" t="s">
        <v>336</v>
      </c>
      <c r="V93" s="102" t="s">
        <v>293</v>
      </c>
      <c r="W93" s="478">
        <f>IFERROR(Table6[[#This Row],[Breakdown Time]]*Table6[[#This Row],[Plant Equivalent Weightage]],"")</f>
        <v>1.9230769230769412E-3</v>
      </c>
      <c r="X93" s="473" t="s">
        <v>294</v>
      </c>
      <c r="Y93" s="474" t="s">
        <v>75</v>
      </c>
      <c r="Z93" s="102">
        <v>38913</v>
      </c>
      <c r="AA93" s="468">
        <f>(Table6[[#This Row],[Paired WTG Generation for loss calculation]]/24)*Table6[[#This Row],[Breakdown Time]]</f>
        <v>81.06875000000079</v>
      </c>
      <c r="AB93" s="102"/>
      <c r="AC93" s="35"/>
      <c r="AD93" s="35"/>
    </row>
    <row r="94" spans="1:30">
      <c r="A94" s="102">
        <f t="shared" si="2"/>
        <v>93</v>
      </c>
      <c r="B94" s="468">
        <f>YEAR(Table6[[#This Row],[Date]])+IF(MONTH(Table6[[#This Row],[Date]])&gt;=4,1,0)</f>
        <v>2026</v>
      </c>
      <c r="C94" s="102">
        <f>YEAR(Table6[[#This Row],[Date]])</f>
        <v>2025</v>
      </c>
      <c r="D94" s="102" t="s">
        <v>1992</v>
      </c>
      <c r="E94" s="469">
        <f>Table6[[#This Row],[Date]]-DAY(Table6[[#This Row],[Date]])+1</f>
        <v>45748</v>
      </c>
      <c r="F94" s="470">
        <v>45755</v>
      </c>
      <c r="G94" s="35" t="s">
        <v>78</v>
      </c>
      <c r="H94" s="35" t="str">
        <f>IFERROR(_xlfn.XLOOKUP(Table6[[#This Row],[Affected WTG]],'Basic Data'!$A:$A,'Basic Data'!$B:$B),"")</f>
        <v>TQGXIIPL</v>
      </c>
      <c r="I94" s="35" t="str">
        <f>IFERROR(_xlfn.XLOOKUP(Table6[[#This Row],[Affected WTG]],'Basic Data'!$A:$A,'Basic Data'!$C:$C),"")</f>
        <v>GEDA</v>
      </c>
      <c r="J94" s="471">
        <f>IFERROR(_xlfn.XLOOKUP(Table6[[#This Row],[Affected WTG]],'Basic Data'!$A:$A,'Basic Data'!$E:$E),"")</f>
        <v>3.846153846153845E-2</v>
      </c>
      <c r="K94" s="102">
        <v>3211</v>
      </c>
      <c r="L94" s="35" t="str">
        <f>IFERROR(_xlfn.XLOOKUP(Table6[[#This Row],[Error Code]],'Basic Data'!$AA:$AA,'Basic Data'!$AB:$AB),"Incorrect Error Code")</f>
        <v>Conv. load shedding (CAN)</v>
      </c>
      <c r="M94" s="35" t="s">
        <v>291</v>
      </c>
      <c r="N94" s="475"/>
      <c r="O94" s="476">
        <v>0.17708333333333334</v>
      </c>
      <c r="P94" s="476">
        <v>0.17708333333333334</v>
      </c>
      <c r="Q94" s="477">
        <v>0.23958333333333334</v>
      </c>
      <c r="R94" s="472">
        <f>IF(Table6[[#This Row],[Work Start TimeStamp]]="","",(Table6[[#This Row],[Work Start TimeStamp]]-Table6[[#This Row],[Fault Start TimeStamp]])*24)</f>
        <v>0</v>
      </c>
      <c r="S94" s="472">
        <f>(Table6[[#This Row],[Fault Clearance time]]-Table6[[#This Row],[Work Start TimeStamp]])*24</f>
        <v>1.5</v>
      </c>
      <c r="T94" s="472">
        <f>(Table6[[#This Row],[Fault Clearance time]]-Table6[[#This Row],[Fault Start TimeStamp]])*24</f>
        <v>1.5</v>
      </c>
      <c r="U94" s="35" t="s">
        <v>377</v>
      </c>
      <c r="V94" s="102" t="s">
        <v>293</v>
      </c>
      <c r="W94" s="478">
        <f>IFERROR(Table6[[#This Row],[Breakdown Time]]*Table6[[#This Row],[Plant Equivalent Weightage]],"")</f>
        <v>5.7692307692307675E-2</v>
      </c>
      <c r="X94" s="473" t="s">
        <v>294</v>
      </c>
      <c r="Y94" s="474" t="s">
        <v>75</v>
      </c>
      <c r="Z94" s="102">
        <v>38913</v>
      </c>
      <c r="AA94" s="468">
        <f>(Table6[[#This Row],[Paired WTG Generation for loss calculation]]/24)*Table6[[#This Row],[Breakdown Time]]</f>
        <v>2432.0625</v>
      </c>
      <c r="AB94" s="102"/>
      <c r="AC94" s="35"/>
      <c r="AD94" s="35"/>
    </row>
    <row r="95" spans="1:30">
      <c r="A95" s="102">
        <f t="shared" si="2"/>
        <v>94</v>
      </c>
      <c r="B95" s="468">
        <f>YEAR(Table6[[#This Row],[Date]])+IF(MONTH(Table6[[#This Row],[Date]])&gt;=4,1,0)</f>
        <v>2026</v>
      </c>
      <c r="C95" s="102">
        <f>YEAR(Table6[[#This Row],[Date]])</f>
        <v>2025</v>
      </c>
      <c r="D95" s="102" t="s">
        <v>1992</v>
      </c>
      <c r="E95" s="469">
        <f>Table6[[#This Row],[Date]]-DAY(Table6[[#This Row],[Date]])+1</f>
        <v>45748</v>
      </c>
      <c r="F95" s="470">
        <v>45755</v>
      </c>
      <c r="G95" s="35" t="s">
        <v>78</v>
      </c>
      <c r="H95" s="35" t="str">
        <f>IFERROR(_xlfn.XLOOKUP(Table6[[#This Row],[Affected WTG]],'Basic Data'!$A:$A,'Basic Data'!$B:$B),"")</f>
        <v>TQGXIIPL</v>
      </c>
      <c r="I95" s="35" t="str">
        <f>IFERROR(_xlfn.XLOOKUP(Table6[[#This Row],[Affected WTG]],'Basic Data'!$A:$A,'Basic Data'!$C:$C),"")</f>
        <v>GEDA</v>
      </c>
      <c r="J95" s="471">
        <f>IFERROR(_xlfn.XLOOKUP(Table6[[#This Row],[Affected WTG]],'Basic Data'!$A:$A,'Basic Data'!$E:$E),"")</f>
        <v>3.846153846153845E-2</v>
      </c>
      <c r="K95" s="102">
        <v>3211</v>
      </c>
      <c r="L95" s="35" t="str">
        <f>IFERROR(_xlfn.XLOOKUP(Table6[[#This Row],[Error Code]],'Basic Data'!$AA:$AA,'Basic Data'!$AB:$AB),"Incorrect Error Code")</f>
        <v>Conv. load shedding (CAN)</v>
      </c>
      <c r="M95" s="35" t="s">
        <v>291</v>
      </c>
      <c r="N95" s="475"/>
      <c r="O95" s="476">
        <v>0.47916666666666669</v>
      </c>
      <c r="P95" s="476">
        <v>0.47916666666666669</v>
      </c>
      <c r="Q95" s="477">
        <v>0.55555555555555558</v>
      </c>
      <c r="R95" s="472">
        <f>IF(Table6[[#This Row],[Work Start TimeStamp]]="","",(Table6[[#This Row],[Work Start TimeStamp]]-Table6[[#This Row],[Fault Start TimeStamp]])*24)</f>
        <v>0</v>
      </c>
      <c r="S95" s="472">
        <f>(Table6[[#This Row],[Fault Clearance time]]-Table6[[#This Row],[Work Start TimeStamp]])*24</f>
        <v>1.8333333333333335</v>
      </c>
      <c r="T95" s="472">
        <f>(Table6[[#This Row],[Fault Clearance time]]-Table6[[#This Row],[Fault Start TimeStamp]])*24</f>
        <v>1.8333333333333335</v>
      </c>
      <c r="U95" s="35" t="s">
        <v>378</v>
      </c>
      <c r="V95" s="102" t="s">
        <v>293</v>
      </c>
      <c r="W95" s="478">
        <f>IFERROR(Table6[[#This Row],[Breakdown Time]]*Table6[[#This Row],[Plant Equivalent Weightage]],"")</f>
        <v>7.0512820512820498E-2</v>
      </c>
      <c r="X95" s="473" t="s">
        <v>294</v>
      </c>
      <c r="Y95" s="474" t="s">
        <v>75</v>
      </c>
      <c r="Z95" s="102">
        <v>38913</v>
      </c>
      <c r="AA95" s="468">
        <f>(Table6[[#This Row],[Paired WTG Generation for loss calculation]]/24)*Table6[[#This Row],[Breakdown Time]]</f>
        <v>2972.5208333333335</v>
      </c>
      <c r="AB95" s="102"/>
      <c r="AC95" s="35"/>
      <c r="AD95" s="35"/>
    </row>
    <row r="96" spans="1:30">
      <c r="A96" s="102">
        <f t="shared" si="2"/>
        <v>95</v>
      </c>
      <c r="B96" s="468">
        <f>YEAR(Table6[[#This Row],[Date]])+IF(MONTH(Table6[[#This Row],[Date]])&gt;=4,1,0)</f>
        <v>2026</v>
      </c>
      <c r="C96" s="102">
        <f>YEAR(Table6[[#This Row],[Date]])</f>
        <v>2025</v>
      </c>
      <c r="D96" s="102" t="s">
        <v>1992</v>
      </c>
      <c r="E96" s="469">
        <f>Table6[[#This Row],[Date]]-DAY(Table6[[#This Row],[Date]])+1</f>
        <v>45748</v>
      </c>
      <c r="F96" s="470">
        <v>45755</v>
      </c>
      <c r="G96" s="35" t="s">
        <v>81</v>
      </c>
      <c r="H96" s="35" t="str">
        <f>IFERROR(_xlfn.XLOOKUP(Table6[[#This Row],[Affected WTG]],'Basic Data'!$A:$A,'Basic Data'!$B:$B),"")</f>
        <v>TQGXIIPL</v>
      </c>
      <c r="I96" s="35" t="str">
        <f>IFERROR(_xlfn.XLOOKUP(Table6[[#This Row],[Affected WTG]],'Basic Data'!$A:$A,'Basic Data'!$C:$C),"")</f>
        <v>GEDA</v>
      </c>
      <c r="J96" s="471">
        <f>IFERROR(_xlfn.XLOOKUP(Table6[[#This Row],[Affected WTG]],'Basic Data'!$A:$A,'Basic Data'!$E:$E),"")</f>
        <v>3.846153846153845E-2</v>
      </c>
      <c r="K96" s="102">
        <v>4520</v>
      </c>
      <c r="L96" s="35" t="str">
        <f>IFERROR(_xlfn.XLOOKUP(Table6[[#This Row],[Error Code]],'Basic Data'!$AA:$AA,'Basic Data'!$AB:$AB),"Incorrect Error Code")</f>
        <v>Tower oscillation X level 1</v>
      </c>
      <c r="M96" s="35" t="s">
        <v>292</v>
      </c>
      <c r="N96" s="475"/>
      <c r="O96" s="476">
        <v>0.27986111111111112</v>
      </c>
      <c r="P96" s="476">
        <v>0.27986111111111112</v>
      </c>
      <c r="Q96" s="477">
        <v>0.28749999999999998</v>
      </c>
      <c r="R96" s="472">
        <f>IF(Table6[[#This Row],[Work Start TimeStamp]]="","",(Table6[[#This Row],[Work Start TimeStamp]]-Table6[[#This Row],[Fault Start TimeStamp]])*24)</f>
        <v>0</v>
      </c>
      <c r="S96" s="472">
        <f>(Table6[[#This Row],[Fault Clearance time]]-Table6[[#This Row],[Work Start TimeStamp]])*24</f>
        <v>0.18333333333333268</v>
      </c>
      <c r="T96" s="472">
        <f>(Table6[[#This Row],[Fault Clearance time]]-Table6[[#This Row],[Fault Start TimeStamp]])*24</f>
        <v>0.18333333333333268</v>
      </c>
      <c r="U96" s="35" t="s">
        <v>336</v>
      </c>
      <c r="V96" s="102" t="s">
        <v>293</v>
      </c>
      <c r="W96" s="478">
        <f>IFERROR(Table6[[#This Row],[Breakdown Time]]*Table6[[#This Row],[Plant Equivalent Weightage]],"")</f>
        <v>7.0512820512820245E-3</v>
      </c>
      <c r="X96" s="473" t="s">
        <v>294</v>
      </c>
      <c r="Y96" s="474" t="s">
        <v>99</v>
      </c>
      <c r="Z96" s="102">
        <v>23956</v>
      </c>
      <c r="AA96" s="468">
        <f>(Table6[[#This Row],[Paired WTG Generation for loss calculation]]/24)*Table6[[#This Row],[Breakdown Time]]</f>
        <v>182.99722222222155</v>
      </c>
      <c r="AB96" s="102"/>
      <c r="AC96" s="35"/>
      <c r="AD96" s="35"/>
    </row>
    <row r="97" spans="1:30">
      <c r="A97" s="102">
        <f t="shared" si="2"/>
        <v>96</v>
      </c>
      <c r="B97" s="468">
        <f>YEAR(Table6[[#This Row],[Date]])+IF(MONTH(Table6[[#This Row],[Date]])&gt;=4,1,0)</f>
        <v>2026</v>
      </c>
      <c r="C97" s="102">
        <f>YEAR(Table6[[#This Row],[Date]])</f>
        <v>2025</v>
      </c>
      <c r="D97" s="102" t="s">
        <v>1992</v>
      </c>
      <c r="E97" s="469">
        <f>Table6[[#This Row],[Date]]-DAY(Table6[[#This Row],[Date]])+1</f>
        <v>45748</v>
      </c>
      <c r="F97" s="470">
        <v>45755</v>
      </c>
      <c r="G97" s="35" t="s">
        <v>81</v>
      </c>
      <c r="H97" s="35" t="str">
        <f>IFERROR(_xlfn.XLOOKUP(Table6[[#This Row],[Affected WTG]],'Basic Data'!$A:$A,'Basic Data'!$B:$B),"")</f>
        <v>TQGXIIPL</v>
      </c>
      <c r="I97" s="35" t="str">
        <f>IFERROR(_xlfn.XLOOKUP(Table6[[#This Row],[Affected WTG]],'Basic Data'!$A:$A,'Basic Data'!$C:$C),"")</f>
        <v>GEDA</v>
      </c>
      <c r="J97" s="471">
        <f>IFERROR(_xlfn.XLOOKUP(Table6[[#This Row],[Affected WTG]],'Basic Data'!$A:$A,'Basic Data'!$E:$E),"")</f>
        <v>3.846153846153845E-2</v>
      </c>
      <c r="K97" s="102">
        <v>6130</v>
      </c>
      <c r="L97" s="35" t="str">
        <f>IFERROR(_xlfn.XLOOKUP(Table6[[#This Row],[Error Code]],'Basic Data'!$AA:$AA,'Basic Data'!$AB:$AB),"Incorrect Error Code")</f>
        <v>Yaw speed high</v>
      </c>
      <c r="M97" s="35" t="s">
        <v>292</v>
      </c>
      <c r="N97" s="475"/>
      <c r="O97" s="476">
        <v>0.87013888888888891</v>
      </c>
      <c r="P97" s="476">
        <v>0.87013888888888891</v>
      </c>
      <c r="Q97" s="477">
        <v>0.87222222222222223</v>
      </c>
      <c r="R97" s="472">
        <f>IF(Table6[[#This Row],[Work Start TimeStamp]]="","",(Table6[[#This Row],[Work Start TimeStamp]]-Table6[[#This Row],[Fault Start TimeStamp]])*24)</f>
        <v>0</v>
      </c>
      <c r="S97" s="472">
        <f>(Table6[[#This Row],[Fault Clearance time]]-Table6[[#This Row],[Work Start TimeStamp]])*24</f>
        <v>4.9999999999999822E-2</v>
      </c>
      <c r="T97" s="472">
        <f>(Table6[[#This Row],[Fault Clearance time]]-Table6[[#This Row],[Fault Start TimeStamp]])*24</f>
        <v>4.9999999999999822E-2</v>
      </c>
      <c r="U97" s="35" t="s">
        <v>336</v>
      </c>
      <c r="V97" s="102" t="s">
        <v>293</v>
      </c>
      <c r="W97" s="478">
        <f>IFERROR(Table6[[#This Row],[Breakdown Time]]*Table6[[#This Row],[Plant Equivalent Weightage]],"")</f>
        <v>1.9230769230769156E-3</v>
      </c>
      <c r="X97" s="473" t="s">
        <v>294</v>
      </c>
      <c r="Y97" s="474" t="s">
        <v>99</v>
      </c>
      <c r="Z97" s="102">
        <v>23956</v>
      </c>
      <c r="AA97" s="468">
        <f>(Table6[[#This Row],[Paired WTG Generation for loss calculation]]/24)*Table6[[#This Row],[Breakdown Time]]</f>
        <v>49.908333333333154</v>
      </c>
      <c r="AB97" s="102"/>
      <c r="AC97" s="35"/>
      <c r="AD97" s="35"/>
    </row>
    <row r="98" spans="1:30">
      <c r="A98" s="102">
        <f t="shared" si="2"/>
        <v>97</v>
      </c>
      <c r="B98" s="468">
        <f>YEAR(Table6[[#This Row],[Date]])+IF(MONTH(Table6[[#This Row],[Date]])&gt;=4,1,0)</f>
        <v>2026</v>
      </c>
      <c r="C98" s="102">
        <f>YEAR(Table6[[#This Row],[Date]])</f>
        <v>2025</v>
      </c>
      <c r="D98" s="102" t="s">
        <v>1992</v>
      </c>
      <c r="E98" s="469">
        <f>Table6[[#This Row],[Date]]-DAY(Table6[[#This Row],[Date]])+1</f>
        <v>45748</v>
      </c>
      <c r="F98" s="470">
        <v>45755</v>
      </c>
      <c r="G98" s="35" t="s">
        <v>84</v>
      </c>
      <c r="H98" s="35" t="str">
        <f>IFERROR(_xlfn.XLOOKUP(Table6[[#This Row],[Affected WTG]],'Basic Data'!$A:$A,'Basic Data'!$B:$B),"")</f>
        <v>TQGXIIPL</v>
      </c>
      <c r="I98" s="35" t="str">
        <f>IFERROR(_xlfn.XLOOKUP(Table6[[#This Row],[Affected WTG]],'Basic Data'!$A:$A,'Basic Data'!$C:$C),"")</f>
        <v>GEDA</v>
      </c>
      <c r="J98" s="471">
        <f>IFERROR(_xlfn.XLOOKUP(Table6[[#This Row],[Affected WTG]],'Basic Data'!$A:$A,'Basic Data'!$E:$E),"")</f>
        <v>3.846153846153845E-2</v>
      </c>
      <c r="K98" s="102">
        <v>665</v>
      </c>
      <c r="L98" s="35" t="str">
        <f>IFERROR(_xlfn.XLOOKUP(Table6[[#This Row],[Error Code]],'Basic Data'!$AA:$AA,'Basic Data'!$AB:$AB),"Incorrect Error Code")</f>
        <v>Pitch error</v>
      </c>
      <c r="M98" s="35" t="s">
        <v>291</v>
      </c>
      <c r="N98" s="475"/>
      <c r="O98" s="476">
        <v>0.90972222222222221</v>
      </c>
      <c r="P98" s="476">
        <v>0.94097222222222221</v>
      </c>
      <c r="Q98" s="477">
        <v>0.99305555555555558</v>
      </c>
      <c r="R98" s="472">
        <f>IF(Table6[[#This Row],[Work Start TimeStamp]]="","",(Table6[[#This Row],[Work Start TimeStamp]]-Table6[[#This Row],[Fault Start TimeStamp]])*24)</f>
        <v>0.75</v>
      </c>
      <c r="S98" s="472">
        <f>(Table6[[#This Row],[Fault Clearance time]]-Table6[[#This Row],[Work Start TimeStamp]])*24</f>
        <v>1.2500000000000009</v>
      </c>
      <c r="T98" s="472">
        <f>(Table6[[#This Row],[Fault Clearance time]]-Table6[[#This Row],[Fault Start TimeStamp]])*24</f>
        <v>2.0000000000000009</v>
      </c>
      <c r="U98" s="35" t="s">
        <v>379</v>
      </c>
      <c r="V98" s="102" t="s">
        <v>293</v>
      </c>
      <c r="W98" s="478">
        <f>IFERROR(Table6[[#This Row],[Breakdown Time]]*Table6[[#This Row],[Plant Equivalent Weightage]],"")</f>
        <v>7.6923076923076927E-2</v>
      </c>
      <c r="X98" s="473" t="s">
        <v>294</v>
      </c>
      <c r="Y98" s="474" t="s">
        <v>85</v>
      </c>
      <c r="Z98" s="102">
        <v>32730</v>
      </c>
      <c r="AA98" s="468">
        <f>(Table6[[#This Row],[Paired WTG Generation for loss calculation]]/24)*Table6[[#This Row],[Breakdown Time]]</f>
        <v>2727.5000000000014</v>
      </c>
      <c r="AB98" s="102"/>
      <c r="AC98" s="35"/>
      <c r="AD98" s="35"/>
    </row>
    <row r="99" spans="1:30">
      <c r="A99" s="102">
        <f t="shared" si="2"/>
        <v>98</v>
      </c>
      <c r="B99" s="468">
        <f>YEAR(Table6[[#This Row],[Date]])+IF(MONTH(Table6[[#This Row],[Date]])&gt;=4,1,0)</f>
        <v>2026</v>
      </c>
      <c r="C99" s="102">
        <f>YEAR(Table6[[#This Row],[Date]])</f>
        <v>2025</v>
      </c>
      <c r="D99" s="102" t="s">
        <v>1992</v>
      </c>
      <c r="E99" s="469">
        <f>Table6[[#This Row],[Date]]-DAY(Table6[[#This Row],[Date]])+1</f>
        <v>45748</v>
      </c>
      <c r="F99" s="470">
        <v>45755</v>
      </c>
      <c r="G99" s="35" t="s">
        <v>89</v>
      </c>
      <c r="H99" s="35" t="str">
        <f>IFERROR(_xlfn.XLOOKUP(Table6[[#This Row],[Affected WTG]],'Basic Data'!$A:$A,'Basic Data'!$B:$B),"")</f>
        <v>TQGXIIPL</v>
      </c>
      <c r="I99" s="35" t="str">
        <f>IFERROR(_xlfn.XLOOKUP(Table6[[#This Row],[Affected WTG]],'Basic Data'!$A:$A,'Basic Data'!$C:$C),"")</f>
        <v>GEDA</v>
      </c>
      <c r="J99" s="471">
        <f>IFERROR(_xlfn.XLOOKUP(Table6[[#This Row],[Affected WTG]],'Basic Data'!$A:$A,'Basic Data'!$E:$E),"")</f>
        <v>3.846153846153845E-2</v>
      </c>
      <c r="K99" s="102">
        <v>3211</v>
      </c>
      <c r="L99" s="35" t="str">
        <f>IFERROR(_xlfn.XLOOKUP(Table6[[#This Row],[Error Code]],'Basic Data'!$AA:$AA,'Basic Data'!$AB:$AB),"Incorrect Error Code")</f>
        <v>Conv. load shedding (CAN)</v>
      </c>
      <c r="M99" s="35" t="s">
        <v>291</v>
      </c>
      <c r="N99" s="475"/>
      <c r="O99" s="476">
        <v>0.84097222222222223</v>
      </c>
      <c r="P99" s="476">
        <v>0.84097222222222223</v>
      </c>
      <c r="Q99" s="477">
        <v>0.84513888888888888</v>
      </c>
      <c r="R99" s="472">
        <f>IF(Table6[[#This Row],[Work Start TimeStamp]]="","",(Table6[[#This Row],[Work Start TimeStamp]]-Table6[[#This Row],[Fault Start TimeStamp]])*24)</f>
        <v>0</v>
      </c>
      <c r="S99" s="472">
        <f>(Table6[[#This Row],[Fault Clearance time]]-Table6[[#This Row],[Work Start TimeStamp]])*24</f>
        <v>9.9999999999999645E-2</v>
      </c>
      <c r="T99" s="472">
        <f>(Table6[[#This Row],[Fault Clearance time]]-Table6[[#This Row],[Fault Start TimeStamp]])*24</f>
        <v>9.9999999999999645E-2</v>
      </c>
      <c r="U99" s="35" t="s">
        <v>349</v>
      </c>
      <c r="V99" s="102" t="s">
        <v>293</v>
      </c>
      <c r="W99" s="478">
        <f>IFERROR(Table6[[#This Row],[Breakdown Time]]*Table6[[#This Row],[Plant Equivalent Weightage]],"")</f>
        <v>3.8461538461538312E-3</v>
      </c>
      <c r="X99" s="473" t="s">
        <v>294</v>
      </c>
      <c r="Y99" s="474" t="s">
        <v>94</v>
      </c>
      <c r="Z99" s="102">
        <v>32199</v>
      </c>
      <c r="AA99" s="468">
        <f>(Table6[[#This Row],[Paired WTG Generation for loss calculation]]/24)*Table6[[#This Row],[Breakdown Time]]</f>
        <v>134.16249999999951</v>
      </c>
      <c r="AB99" s="102"/>
      <c r="AC99" s="35"/>
      <c r="AD99" s="35"/>
    </row>
    <row r="100" spans="1:30">
      <c r="A100" s="102">
        <f t="shared" si="2"/>
        <v>99</v>
      </c>
      <c r="B100" s="468">
        <f>YEAR(Table6[[#This Row],[Date]])+IF(MONTH(Table6[[#This Row],[Date]])&gt;=4,1,0)</f>
        <v>2026</v>
      </c>
      <c r="C100" s="102">
        <f>YEAR(Table6[[#This Row],[Date]])</f>
        <v>2025</v>
      </c>
      <c r="D100" s="102" t="s">
        <v>1992</v>
      </c>
      <c r="E100" s="469">
        <f>Table6[[#This Row],[Date]]-DAY(Table6[[#This Row],[Date]])+1</f>
        <v>45748</v>
      </c>
      <c r="F100" s="470">
        <v>45755</v>
      </c>
      <c r="G100" s="35" t="s">
        <v>91</v>
      </c>
      <c r="H100" s="35" t="str">
        <f>IFERROR(_xlfn.XLOOKUP(Table6[[#This Row],[Affected WTG]],'Basic Data'!$A:$A,'Basic Data'!$B:$B),"")</f>
        <v>TQGXIIPL</v>
      </c>
      <c r="I100" s="35" t="str">
        <f>IFERROR(_xlfn.XLOOKUP(Table6[[#This Row],[Affected WTG]],'Basic Data'!$A:$A,'Basic Data'!$C:$C),"")</f>
        <v>GEDA</v>
      </c>
      <c r="J100" s="471">
        <f>IFERROR(_xlfn.XLOOKUP(Table6[[#This Row],[Affected WTG]],'Basic Data'!$A:$A,'Basic Data'!$E:$E),"")</f>
        <v>3.846153846153845E-2</v>
      </c>
      <c r="K100" s="102">
        <v>2521</v>
      </c>
      <c r="L100" s="35" t="str">
        <f>IFERROR(_xlfn.XLOOKUP(Table6[[#This Row],[Error Code]],'Basic Data'!$AA:$AA,'Basic Data'!$AB:$AB),"Incorrect Error Code")</f>
        <v>Gen.sp.analog &lt;&lt;&gt;&gt; gearb.sp.</v>
      </c>
      <c r="M100" s="35" t="s">
        <v>291</v>
      </c>
      <c r="N100" s="475"/>
      <c r="O100" s="476">
        <v>0.81666666666666665</v>
      </c>
      <c r="P100" s="476">
        <v>0.81666666666666665</v>
      </c>
      <c r="Q100" s="477">
        <v>0.82499999999999996</v>
      </c>
      <c r="R100" s="472">
        <f>IF(Table6[[#This Row],[Work Start TimeStamp]]="","",(Table6[[#This Row],[Work Start TimeStamp]]-Table6[[#This Row],[Fault Start TimeStamp]])*24)</f>
        <v>0</v>
      </c>
      <c r="S100" s="472">
        <f>(Table6[[#This Row],[Fault Clearance time]]-Table6[[#This Row],[Work Start TimeStamp]])*24</f>
        <v>0.19999999999999929</v>
      </c>
      <c r="T100" s="472">
        <f>(Table6[[#This Row],[Fault Clearance time]]-Table6[[#This Row],[Fault Start TimeStamp]])*24</f>
        <v>0.19999999999999929</v>
      </c>
      <c r="U100" s="35" t="s">
        <v>374</v>
      </c>
      <c r="V100" s="102" t="s">
        <v>293</v>
      </c>
      <c r="W100" s="478">
        <f>IFERROR(Table6[[#This Row],[Breakdown Time]]*Table6[[#This Row],[Plant Equivalent Weightage]],"")</f>
        <v>7.6923076923076624E-3</v>
      </c>
      <c r="X100" s="473" t="s">
        <v>294</v>
      </c>
      <c r="Y100" s="474" t="s">
        <v>79</v>
      </c>
      <c r="Z100" s="102">
        <v>31629</v>
      </c>
      <c r="AA100" s="468">
        <f>(Table6[[#This Row],[Paired WTG Generation for loss calculation]]/24)*Table6[[#This Row],[Breakdown Time]]</f>
        <v>263.57499999999908</v>
      </c>
      <c r="AB100" s="102"/>
      <c r="AC100" s="35"/>
      <c r="AD100" s="35"/>
    </row>
    <row r="101" spans="1:30">
      <c r="A101" s="102">
        <f t="shared" si="2"/>
        <v>100</v>
      </c>
      <c r="B101" s="468">
        <f>YEAR(Table6[[#This Row],[Date]])+IF(MONTH(Table6[[#This Row],[Date]])&gt;=4,1,0)</f>
        <v>2026</v>
      </c>
      <c r="C101" s="102">
        <f>YEAR(Table6[[#This Row],[Date]])</f>
        <v>2025</v>
      </c>
      <c r="D101" s="102" t="s">
        <v>1992</v>
      </c>
      <c r="E101" s="469">
        <f>Table6[[#This Row],[Date]]-DAY(Table6[[#This Row],[Date]])+1</f>
        <v>45748</v>
      </c>
      <c r="F101" s="470">
        <v>45755</v>
      </c>
      <c r="G101" s="35" t="s">
        <v>93</v>
      </c>
      <c r="H101" s="35" t="str">
        <f>IFERROR(_xlfn.XLOOKUP(Table6[[#This Row],[Affected WTG]],'Basic Data'!$A:$A,'Basic Data'!$B:$B),"")</f>
        <v>TQGXIIPL</v>
      </c>
      <c r="I101" s="35" t="str">
        <f>IFERROR(_xlfn.XLOOKUP(Table6[[#This Row],[Affected WTG]],'Basic Data'!$A:$A,'Basic Data'!$C:$C),"")</f>
        <v>GEDA</v>
      </c>
      <c r="J101" s="471">
        <f>IFERROR(_xlfn.XLOOKUP(Table6[[#This Row],[Affected WTG]],'Basic Data'!$A:$A,'Basic Data'!$E:$E),"")</f>
        <v>3.846153846153845E-2</v>
      </c>
      <c r="K101" s="102">
        <v>3211</v>
      </c>
      <c r="L101" s="35" t="str">
        <f>IFERROR(_xlfn.XLOOKUP(Table6[[#This Row],[Error Code]],'Basic Data'!$AA:$AA,'Basic Data'!$AB:$AB),"Incorrect Error Code")</f>
        <v>Conv. load shedding (CAN)</v>
      </c>
      <c r="M101" s="35" t="s">
        <v>291</v>
      </c>
      <c r="N101" s="475"/>
      <c r="O101" s="476">
        <v>0.60416666666666663</v>
      </c>
      <c r="P101" s="476">
        <v>0.60416666666666663</v>
      </c>
      <c r="Q101" s="477">
        <v>0.61388888888888893</v>
      </c>
      <c r="R101" s="472">
        <f>IF(Table6[[#This Row],[Work Start TimeStamp]]="","",(Table6[[#This Row],[Work Start TimeStamp]]-Table6[[#This Row],[Fault Start TimeStamp]])*24)</f>
        <v>0</v>
      </c>
      <c r="S101" s="472">
        <f>(Table6[[#This Row],[Fault Clearance time]]-Table6[[#This Row],[Work Start TimeStamp]])*24</f>
        <v>0.23333333333333517</v>
      </c>
      <c r="T101" s="472">
        <f>(Table6[[#This Row],[Fault Clearance time]]-Table6[[#This Row],[Fault Start TimeStamp]])*24</f>
        <v>0.23333333333333517</v>
      </c>
      <c r="U101" s="35" t="s">
        <v>368</v>
      </c>
      <c r="V101" s="102" t="s">
        <v>293</v>
      </c>
      <c r="W101" s="478">
        <f>IFERROR(Table6[[#This Row],[Breakdown Time]]*Table6[[#This Row],[Plant Equivalent Weightage]],"")</f>
        <v>8.9743589743590414E-3</v>
      </c>
      <c r="X101" s="473" t="s">
        <v>294</v>
      </c>
      <c r="Y101" s="474" t="s">
        <v>97</v>
      </c>
      <c r="Z101" s="102">
        <v>34444</v>
      </c>
      <c r="AA101" s="468">
        <f>(Table6[[#This Row],[Paired WTG Generation for loss calculation]]/24)*Table6[[#This Row],[Breakdown Time]]</f>
        <v>334.87222222222488</v>
      </c>
      <c r="AB101" s="102"/>
      <c r="AC101" s="35"/>
      <c r="AD101" s="35"/>
    </row>
    <row r="102" spans="1:30">
      <c r="A102" s="102">
        <f t="shared" si="2"/>
        <v>101</v>
      </c>
      <c r="B102" s="468">
        <f>YEAR(Table6[[#This Row],[Date]])+IF(MONTH(Table6[[#This Row],[Date]])&gt;=4,1,0)</f>
        <v>2026</v>
      </c>
      <c r="C102" s="102">
        <f>YEAR(Table6[[#This Row],[Date]])</f>
        <v>2025</v>
      </c>
      <c r="D102" s="102" t="s">
        <v>1992</v>
      </c>
      <c r="E102" s="469">
        <f>Table6[[#This Row],[Date]]-DAY(Table6[[#This Row],[Date]])+1</f>
        <v>45748</v>
      </c>
      <c r="F102" s="470">
        <v>45755</v>
      </c>
      <c r="G102" s="35" t="s">
        <v>96</v>
      </c>
      <c r="H102" s="35" t="str">
        <f>IFERROR(_xlfn.XLOOKUP(Table6[[#This Row],[Affected WTG]],'Basic Data'!$A:$A,'Basic Data'!$B:$B),"")</f>
        <v>TQGXIIPL</v>
      </c>
      <c r="I102" s="35" t="str">
        <f>IFERROR(_xlfn.XLOOKUP(Table6[[#This Row],[Affected WTG]],'Basic Data'!$A:$A,'Basic Data'!$C:$C),"")</f>
        <v>GEDA</v>
      </c>
      <c r="J102" s="471">
        <f>IFERROR(_xlfn.XLOOKUP(Table6[[#This Row],[Affected WTG]],'Basic Data'!$A:$A,'Basic Data'!$E:$E),"")</f>
        <v>3.846153846153845E-2</v>
      </c>
      <c r="K102" s="102">
        <v>3211</v>
      </c>
      <c r="L102" s="35" t="str">
        <f>IFERROR(_xlfn.XLOOKUP(Table6[[#This Row],[Error Code]],'Basic Data'!$AA:$AA,'Basic Data'!$AB:$AB),"Incorrect Error Code")</f>
        <v>Conv. load shedding (CAN)</v>
      </c>
      <c r="M102" s="35" t="s">
        <v>292</v>
      </c>
      <c r="N102" s="475"/>
      <c r="O102" s="476">
        <v>0.37569444444444444</v>
      </c>
      <c r="P102" s="476">
        <v>0.37569444444444444</v>
      </c>
      <c r="Q102" s="477">
        <v>0.37777777777777777</v>
      </c>
      <c r="R102" s="472">
        <f>IF(Table6[[#This Row],[Work Start TimeStamp]]="","",(Table6[[#This Row],[Work Start TimeStamp]]-Table6[[#This Row],[Fault Start TimeStamp]])*24)</f>
        <v>0</v>
      </c>
      <c r="S102" s="472">
        <f>(Table6[[#This Row],[Fault Clearance time]]-Table6[[#This Row],[Work Start TimeStamp]])*24</f>
        <v>4.9999999999999822E-2</v>
      </c>
      <c r="T102" s="472">
        <f>(Table6[[#This Row],[Fault Clearance time]]-Table6[[#This Row],[Fault Start TimeStamp]])*24</f>
        <v>4.9999999999999822E-2</v>
      </c>
      <c r="U102" s="35" t="s">
        <v>336</v>
      </c>
      <c r="V102" s="102" t="s">
        <v>293</v>
      </c>
      <c r="W102" s="478">
        <f>IFERROR(Table6[[#This Row],[Breakdown Time]]*Table6[[#This Row],[Plant Equivalent Weightage]],"")</f>
        <v>1.9230769230769156E-3</v>
      </c>
      <c r="X102" s="473" t="s">
        <v>294</v>
      </c>
      <c r="Y102" s="474" t="s">
        <v>84</v>
      </c>
      <c r="Z102" s="102">
        <v>27130</v>
      </c>
      <c r="AA102" s="468">
        <f>(Table6[[#This Row],[Paired WTG Generation for loss calculation]]/24)*Table6[[#This Row],[Breakdown Time]]</f>
        <v>56.520833333333137</v>
      </c>
      <c r="AB102" s="102"/>
      <c r="AC102" s="35"/>
      <c r="AD102" s="35"/>
    </row>
    <row r="103" spans="1:30">
      <c r="A103" s="102">
        <f t="shared" si="2"/>
        <v>102</v>
      </c>
      <c r="B103" s="468">
        <f>YEAR(Table6[[#This Row],[Date]])+IF(MONTH(Table6[[#This Row],[Date]])&gt;=4,1,0)</f>
        <v>2026</v>
      </c>
      <c r="C103" s="102">
        <f>YEAR(Table6[[#This Row],[Date]])</f>
        <v>2025</v>
      </c>
      <c r="D103" s="102" t="s">
        <v>1992</v>
      </c>
      <c r="E103" s="469">
        <f>Table6[[#This Row],[Date]]-DAY(Table6[[#This Row],[Date]])+1</f>
        <v>45748</v>
      </c>
      <c r="F103" s="470">
        <v>45755</v>
      </c>
      <c r="G103" s="35" t="s">
        <v>98</v>
      </c>
      <c r="H103" s="35" t="str">
        <f>IFERROR(_xlfn.XLOOKUP(Table6[[#This Row],[Affected WTG]],'Basic Data'!$A:$A,'Basic Data'!$B:$B),"")</f>
        <v>TQGXIIPL</v>
      </c>
      <c r="I103" s="35" t="str">
        <f>IFERROR(_xlfn.XLOOKUP(Table6[[#This Row],[Affected WTG]],'Basic Data'!$A:$A,'Basic Data'!$C:$C),"")</f>
        <v>GEDA</v>
      </c>
      <c r="J103" s="471">
        <f>IFERROR(_xlfn.XLOOKUP(Table6[[#This Row],[Affected WTG]],'Basic Data'!$A:$A,'Basic Data'!$E:$E),"")</f>
        <v>3.846153846153845E-2</v>
      </c>
      <c r="K103" s="102">
        <v>3000</v>
      </c>
      <c r="L103" s="35" t="str">
        <f>IFERROR(_xlfn.XLOOKUP(Table6[[#This Row],[Error Code]],'Basic Data'!$AA:$AA,'Basic Data'!$AB:$AB),"Incorrect Error Code")</f>
        <v>Frequency converter not ready</v>
      </c>
      <c r="M103" s="35" t="s">
        <v>291</v>
      </c>
      <c r="N103" s="475"/>
      <c r="O103" s="476">
        <v>0.1076388888888889</v>
      </c>
      <c r="P103" s="476">
        <v>0.1076388888888889</v>
      </c>
      <c r="Q103" s="477">
        <v>0.11666666666666667</v>
      </c>
      <c r="R103" s="472">
        <f>IF(Table6[[#This Row],[Work Start TimeStamp]]="","",(Table6[[#This Row],[Work Start TimeStamp]]-Table6[[#This Row],[Fault Start TimeStamp]])*24)</f>
        <v>0</v>
      </c>
      <c r="S103" s="472">
        <f>(Table6[[#This Row],[Fault Clearance time]]-Table6[[#This Row],[Work Start TimeStamp]])*24</f>
        <v>0.21666666666666656</v>
      </c>
      <c r="T103" s="472">
        <f>(Table6[[#This Row],[Fault Clearance time]]-Table6[[#This Row],[Fault Start TimeStamp]])*24</f>
        <v>0.21666666666666656</v>
      </c>
      <c r="U103" s="35" t="s">
        <v>349</v>
      </c>
      <c r="V103" s="102" t="s">
        <v>293</v>
      </c>
      <c r="W103" s="478">
        <f>IFERROR(Table6[[#This Row],[Breakdown Time]]*Table6[[#This Row],[Plant Equivalent Weightage]],"")</f>
        <v>8.3333333333333263E-3</v>
      </c>
      <c r="X103" s="473" t="s">
        <v>294</v>
      </c>
      <c r="Y103" s="474" t="s">
        <v>74</v>
      </c>
      <c r="Z103" s="102">
        <v>32931</v>
      </c>
      <c r="AA103" s="468">
        <f>(Table6[[#This Row],[Paired WTG Generation for loss calculation]]/24)*Table6[[#This Row],[Breakdown Time]]</f>
        <v>297.29374999999987</v>
      </c>
      <c r="AB103" s="102"/>
      <c r="AC103" s="35"/>
      <c r="AD103" s="35"/>
    </row>
    <row r="104" spans="1:30">
      <c r="A104" s="102">
        <f t="shared" si="2"/>
        <v>103</v>
      </c>
      <c r="B104" s="468">
        <f>YEAR(Table6[[#This Row],[Date]])+IF(MONTH(Table6[[#This Row],[Date]])&gt;=4,1,0)</f>
        <v>2026</v>
      </c>
      <c r="C104" s="102">
        <f>YEAR(Table6[[#This Row],[Date]])</f>
        <v>2025</v>
      </c>
      <c r="D104" s="102" t="s">
        <v>1992</v>
      </c>
      <c r="E104" s="469">
        <f>Table6[[#This Row],[Date]]-DAY(Table6[[#This Row],[Date]])+1</f>
        <v>45748</v>
      </c>
      <c r="F104" s="470">
        <v>45755</v>
      </c>
      <c r="G104" s="35" t="s">
        <v>99</v>
      </c>
      <c r="H104" s="35" t="str">
        <f>IFERROR(_xlfn.XLOOKUP(Table6[[#This Row],[Affected WTG]],'Basic Data'!$A:$A,'Basic Data'!$B:$B),"")</f>
        <v>TQGXIIPL</v>
      </c>
      <c r="I104" s="35" t="str">
        <f>IFERROR(_xlfn.XLOOKUP(Table6[[#This Row],[Affected WTG]],'Basic Data'!$A:$A,'Basic Data'!$C:$C),"")</f>
        <v>GEDA</v>
      </c>
      <c r="J104" s="471">
        <f>IFERROR(_xlfn.XLOOKUP(Table6[[#This Row],[Affected WTG]],'Basic Data'!$A:$A,'Basic Data'!$E:$E),"")</f>
        <v>3.846153846153845E-2</v>
      </c>
      <c r="K104" s="102">
        <v>4520</v>
      </c>
      <c r="L104" s="35" t="str">
        <f>IFERROR(_xlfn.XLOOKUP(Table6[[#This Row],[Error Code]],'Basic Data'!$AA:$AA,'Basic Data'!$AB:$AB),"Incorrect Error Code")</f>
        <v>Tower oscillation X level 1</v>
      </c>
      <c r="M104" s="35" t="s">
        <v>292</v>
      </c>
      <c r="N104" s="475"/>
      <c r="O104" s="476">
        <v>0.10277777777777777</v>
      </c>
      <c r="P104" s="476">
        <v>0.10277777777777777</v>
      </c>
      <c r="Q104" s="477">
        <v>0.11041666666666666</v>
      </c>
      <c r="R104" s="472">
        <f>IF(Table6[[#This Row],[Work Start TimeStamp]]="","",(Table6[[#This Row],[Work Start TimeStamp]]-Table6[[#This Row],[Fault Start TimeStamp]])*24)</f>
        <v>0</v>
      </c>
      <c r="S104" s="472">
        <f>(Table6[[#This Row],[Fault Clearance time]]-Table6[[#This Row],[Work Start TimeStamp]])*24</f>
        <v>0.18333333333333335</v>
      </c>
      <c r="T104" s="472">
        <f>(Table6[[#This Row],[Fault Clearance time]]-Table6[[#This Row],[Fault Start TimeStamp]])*24</f>
        <v>0.18333333333333335</v>
      </c>
      <c r="U104" s="35" t="s">
        <v>336</v>
      </c>
      <c r="V104" s="102" t="s">
        <v>293</v>
      </c>
      <c r="W104" s="478">
        <f>IFERROR(Table6[[#This Row],[Breakdown Time]]*Table6[[#This Row],[Plant Equivalent Weightage]],"")</f>
        <v>7.0512820512820496E-3</v>
      </c>
      <c r="X104" s="473" t="s">
        <v>294</v>
      </c>
      <c r="Y104" s="474" t="s">
        <v>74</v>
      </c>
      <c r="Z104" s="102">
        <v>32931</v>
      </c>
      <c r="AA104" s="468">
        <f>(Table6[[#This Row],[Paired WTG Generation for loss calculation]]/24)*Table6[[#This Row],[Breakdown Time]]</f>
        <v>251.55625000000003</v>
      </c>
      <c r="AB104" s="102"/>
      <c r="AC104" s="35"/>
      <c r="AD104" s="35"/>
    </row>
    <row r="105" spans="1:30">
      <c r="A105" s="102">
        <f t="shared" si="2"/>
        <v>104</v>
      </c>
      <c r="B105" s="468">
        <f>YEAR(Table6[[#This Row],[Date]])+IF(MONTH(Table6[[#This Row],[Date]])&gt;=4,1,0)</f>
        <v>2026</v>
      </c>
      <c r="C105" s="102">
        <f>YEAR(Table6[[#This Row],[Date]])</f>
        <v>2025</v>
      </c>
      <c r="D105" s="102" t="s">
        <v>1992</v>
      </c>
      <c r="E105" s="469">
        <f>Table6[[#This Row],[Date]]-DAY(Table6[[#This Row],[Date]])+1</f>
        <v>45748</v>
      </c>
      <c r="F105" s="470">
        <v>45755</v>
      </c>
      <c r="G105" s="35" t="s">
        <v>99</v>
      </c>
      <c r="H105" s="35" t="str">
        <f>IFERROR(_xlfn.XLOOKUP(Table6[[#This Row],[Affected WTG]],'Basic Data'!$A:$A,'Basic Data'!$B:$B),"")</f>
        <v>TQGXIIPL</v>
      </c>
      <c r="I105" s="35" t="str">
        <f>IFERROR(_xlfn.XLOOKUP(Table6[[#This Row],[Affected WTG]],'Basic Data'!$A:$A,'Basic Data'!$C:$C),"")</f>
        <v>GEDA</v>
      </c>
      <c r="J105" s="471">
        <f>IFERROR(_xlfn.XLOOKUP(Table6[[#This Row],[Affected WTG]],'Basic Data'!$A:$A,'Basic Data'!$E:$E),"")</f>
        <v>3.846153846153845E-2</v>
      </c>
      <c r="K105" s="102">
        <v>3211</v>
      </c>
      <c r="L105" s="35" t="str">
        <f>IFERROR(_xlfn.XLOOKUP(Table6[[#This Row],[Error Code]],'Basic Data'!$AA:$AA,'Basic Data'!$AB:$AB),"Incorrect Error Code")</f>
        <v>Conv. load shedding (CAN)</v>
      </c>
      <c r="M105" s="35" t="s">
        <v>292</v>
      </c>
      <c r="N105" s="475"/>
      <c r="O105" s="476">
        <v>0.37569444444444444</v>
      </c>
      <c r="P105" s="476">
        <v>0.37569444444444444</v>
      </c>
      <c r="Q105" s="477">
        <v>0.37777777777777777</v>
      </c>
      <c r="R105" s="472">
        <f>IF(Table6[[#This Row],[Work Start TimeStamp]]="","",(Table6[[#This Row],[Work Start TimeStamp]]-Table6[[#This Row],[Fault Start TimeStamp]])*24)</f>
        <v>0</v>
      </c>
      <c r="S105" s="472">
        <f>(Table6[[#This Row],[Fault Clearance time]]-Table6[[#This Row],[Work Start TimeStamp]])*24</f>
        <v>4.9999999999999822E-2</v>
      </c>
      <c r="T105" s="472">
        <f>(Table6[[#This Row],[Fault Clearance time]]-Table6[[#This Row],[Fault Start TimeStamp]])*24</f>
        <v>4.9999999999999822E-2</v>
      </c>
      <c r="U105" s="35" t="s">
        <v>336</v>
      </c>
      <c r="V105" s="102" t="s">
        <v>293</v>
      </c>
      <c r="W105" s="478">
        <f>IFERROR(Table6[[#This Row],[Breakdown Time]]*Table6[[#This Row],[Plant Equivalent Weightage]],"")</f>
        <v>1.9230769230769156E-3</v>
      </c>
      <c r="X105" s="473" t="s">
        <v>294</v>
      </c>
      <c r="Y105" s="474" t="s">
        <v>74</v>
      </c>
      <c r="Z105" s="102">
        <v>32931</v>
      </c>
      <c r="AA105" s="468">
        <f>(Table6[[#This Row],[Paired WTG Generation for loss calculation]]/24)*Table6[[#This Row],[Breakdown Time]]</f>
        <v>68.606249999999761</v>
      </c>
      <c r="AB105" s="102"/>
      <c r="AC105" s="35"/>
      <c r="AD105" s="35"/>
    </row>
    <row r="106" spans="1:30">
      <c r="A106" s="102">
        <f t="shared" si="2"/>
        <v>105</v>
      </c>
      <c r="B106" s="468">
        <f>YEAR(Table6[[#This Row],[Date]])+IF(MONTH(Table6[[#This Row],[Date]])&gt;=4,1,0)</f>
        <v>2026</v>
      </c>
      <c r="C106" s="102">
        <f>YEAR(Table6[[#This Row],[Date]])</f>
        <v>2025</v>
      </c>
      <c r="D106" s="102" t="s">
        <v>1992</v>
      </c>
      <c r="E106" s="469">
        <f>Table6[[#This Row],[Date]]-DAY(Table6[[#This Row],[Date]])+1</f>
        <v>45748</v>
      </c>
      <c r="F106" s="470">
        <v>45755</v>
      </c>
      <c r="G106" s="35" t="s">
        <v>86</v>
      </c>
      <c r="H106" s="35" t="str">
        <f>IFERROR(_xlfn.XLOOKUP(Table6[[#This Row],[Affected WTG]],'Basic Data'!$A:$A,'Basic Data'!$B:$B),"")</f>
        <v>TQGXIIPL</v>
      </c>
      <c r="I106" s="35" t="str">
        <f>IFERROR(_xlfn.XLOOKUP(Table6[[#This Row],[Affected WTG]],'Basic Data'!$A:$A,'Basic Data'!$C:$C),"")</f>
        <v>GEDA</v>
      </c>
      <c r="J106" s="471">
        <f>IFERROR(_xlfn.XLOOKUP(Table6[[#This Row],[Affected WTG]],'Basic Data'!$A:$A,'Basic Data'!$E:$E),"")</f>
        <v>3.846153846153845E-2</v>
      </c>
      <c r="K106" s="102">
        <v>55</v>
      </c>
      <c r="L106" s="35" t="str">
        <f>IFERROR(_xlfn.XLOOKUP(Table6[[#This Row],[Error Code]],'Basic Data'!$AA:$AA,'Basic Data'!$AB:$AB),"Incorrect Error Code")</f>
        <v>WTG shut down</v>
      </c>
      <c r="M106" s="35" t="s">
        <v>330</v>
      </c>
      <c r="N106" s="475"/>
      <c r="O106" s="476">
        <v>0.12083333333333333</v>
      </c>
      <c r="P106" s="476">
        <v>0.12083333333333333</v>
      </c>
      <c r="Q106" s="477">
        <v>0.14097222222222222</v>
      </c>
      <c r="R106" s="472">
        <f>IF(Table6[[#This Row],[Work Start TimeStamp]]="","",(Table6[[#This Row],[Work Start TimeStamp]]-Table6[[#This Row],[Fault Start TimeStamp]])*24)</f>
        <v>0</v>
      </c>
      <c r="S106" s="472">
        <f>(Table6[[#This Row],[Fault Clearance time]]-Table6[[#This Row],[Work Start TimeStamp]])*24</f>
        <v>0.48333333333333328</v>
      </c>
      <c r="T106" s="472">
        <f>(Table6[[#This Row],[Fault Clearance time]]-Table6[[#This Row],[Fault Start TimeStamp]])*24</f>
        <v>0.48333333333333328</v>
      </c>
      <c r="U106" s="35" t="s">
        <v>337</v>
      </c>
      <c r="V106" s="102" t="s">
        <v>293</v>
      </c>
      <c r="W106" s="478">
        <f>IFERROR(Table6[[#This Row],[Breakdown Time]]*Table6[[#This Row],[Plant Equivalent Weightage]],"")</f>
        <v>1.8589743589743583E-2</v>
      </c>
      <c r="X106" s="473" t="s">
        <v>290</v>
      </c>
      <c r="Y106" s="474" t="s">
        <v>84</v>
      </c>
      <c r="Z106" s="102">
        <v>27130</v>
      </c>
      <c r="AA106" s="468">
        <f>(Table6[[#This Row],[Paired WTG Generation for loss calculation]]/24)*Table6[[#This Row],[Breakdown Time]]</f>
        <v>546.36805555555554</v>
      </c>
      <c r="AB106" s="102"/>
      <c r="AC106" s="35"/>
      <c r="AD106" s="35"/>
    </row>
    <row r="107" spans="1:30">
      <c r="A107" s="102">
        <f t="shared" si="2"/>
        <v>106</v>
      </c>
      <c r="B107" s="468">
        <f>YEAR(Table6[[#This Row],[Date]])+IF(MONTH(Table6[[#This Row],[Date]])&gt;=4,1,0)</f>
        <v>2026</v>
      </c>
      <c r="C107" s="102">
        <f>YEAR(Table6[[#This Row],[Date]])</f>
        <v>2025</v>
      </c>
      <c r="D107" s="102" t="s">
        <v>1992</v>
      </c>
      <c r="E107" s="469">
        <f>Table6[[#This Row],[Date]]-DAY(Table6[[#This Row],[Date]])+1</f>
        <v>45748</v>
      </c>
      <c r="F107" s="470">
        <v>45755</v>
      </c>
      <c r="G107" s="35" t="s">
        <v>98</v>
      </c>
      <c r="H107" s="35" t="str">
        <f>IFERROR(_xlfn.XLOOKUP(Table6[[#This Row],[Affected WTG]],'Basic Data'!$A:$A,'Basic Data'!$B:$B),"")</f>
        <v>TQGXIIPL</v>
      </c>
      <c r="I107" s="35" t="str">
        <f>IFERROR(_xlfn.XLOOKUP(Table6[[#This Row],[Affected WTG]],'Basic Data'!$A:$A,'Basic Data'!$C:$C),"")</f>
        <v>GEDA</v>
      </c>
      <c r="J107" s="471">
        <f>IFERROR(_xlfn.XLOOKUP(Table6[[#This Row],[Affected WTG]],'Basic Data'!$A:$A,'Basic Data'!$E:$E),"")</f>
        <v>3.846153846153845E-2</v>
      </c>
      <c r="K107" s="102">
        <v>55</v>
      </c>
      <c r="L107" s="35" t="str">
        <f>IFERROR(_xlfn.XLOOKUP(Table6[[#This Row],[Error Code]],'Basic Data'!$AA:$AA,'Basic Data'!$AB:$AB),"Incorrect Error Code")</f>
        <v>WTG shut down</v>
      </c>
      <c r="M107" s="35" t="s">
        <v>330</v>
      </c>
      <c r="N107" s="475"/>
      <c r="O107" s="476">
        <v>0.12152777777777778</v>
      </c>
      <c r="P107" s="476">
        <v>0.12152777777777778</v>
      </c>
      <c r="Q107" s="477">
        <v>0.13402777777777777</v>
      </c>
      <c r="R107" s="472">
        <f>IF(Table6[[#This Row],[Work Start TimeStamp]]="","",(Table6[[#This Row],[Work Start TimeStamp]]-Table6[[#This Row],[Fault Start TimeStamp]])*24)</f>
        <v>0</v>
      </c>
      <c r="S107" s="472">
        <f>(Table6[[#This Row],[Fault Clearance time]]-Table6[[#This Row],[Work Start TimeStamp]])*24</f>
        <v>0.29999999999999993</v>
      </c>
      <c r="T107" s="472">
        <f>(Table6[[#This Row],[Fault Clearance time]]-Table6[[#This Row],[Fault Start TimeStamp]])*24</f>
        <v>0.29999999999999993</v>
      </c>
      <c r="U107" s="35" t="s">
        <v>337</v>
      </c>
      <c r="V107" s="102" t="s">
        <v>293</v>
      </c>
      <c r="W107" s="478">
        <f>IFERROR(Table6[[#This Row],[Breakdown Time]]*Table6[[#This Row],[Plant Equivalent Weightage]],"")</f>
        <v>1.1538461538461532E-2</v>
      </c>
      <c r="X107" s="473" t="s">
        <v>290</v>
      </c>
      <c r="Y107" s="474" t="s">
        <v>74</v>
      </c>
      <c r="Z107" s="102">
        <v>32931</v>
      </c>
      <c r="AA107" s="468">
        <f>(Table6[[#This Row],[Paired WTG Generation for loss calculation]]/24)*Table6[[#This Row],[Breakdown Time]]</f>
        <v>411.63749999999993</v>
      </c>
      <c r="AB107" s="102"/>
      <c r="AC107" s="35"/>
      <c r="AD107" s="35"/>
    </row>
    <row r="108" spans="1:30">
      <c r="A108" s="102">
        <f t="shared" si="2"/>
        <v>107</v>
      </c>
      <c r="B108" s="468">
        <f>YEAR(Table6[[#This Row],[Date]])+IF(MONTH(Table6[[#This Row],[Date]])&gt;=4,1,0)</f>
        <v>2026</v>
      </c>
      <c r="C108" s="102">
        <f>YEAR(Table6[[#This Row],[Date]])</f>
        <v>2025</v>
      </c>
      <c r="D108" s="102" t="s">
        <v>1992</v>
      </c>
      <c r="E108" s="469">
        <f>Table6[[#This Row],[Date]]-DAY(Table6[[#This Row],[Date]])+1</f>
        <v>45748</v>
      </c>
      <c r="F108" s="470">
        <v>45755</v>
      </c>
      <c r="G108" s="35" t="s">
        <v>82</v>
      </c>
      <c r="H108" s="35" t="str">
        <f>IFERROR(_xlfn.XLOOKUP(Table6[[#This Row],[Affected WTG]],'Basic Data'!$A:$A,'Basic Data'!$B:$B),"")</f>
        <v>TQGXIIPL</v>
      </c>
      <c r="I108" s="35" t="str">
        <f>IFERROR(_xlfn.XLOOKUP(Table6[[#This Row],[Affected WTG]],'Basic Data'!$A:$A,'Basic Data'!$C:$C),"")</f>
        <v>GEDA</v>
      </c>
      <c r="J108" s="471">
        <f>IFERROR(_xlfn.XLOOKUP(Table6[[#This Row],[Affected WTG]],'Basic Data'!$A:$A,'Basic Data'!$E:$E),"")</f>
        <v>3.846153846153845E-2</v>
      </c>
      <c r="K108" s="102">
        <v>55</v>
      </c>
      <c r="L108" s="35" t="str">
        <f>IFERROR(_xlfn.XLOOKUP(Table6[[#This Row],[Error Code]],'Basic Data'!$AA:$AA,'Basic Data'!$AB:$AB),"Incorrect Error Code")</f>
        <v>WTG shut down</v>
      </c>
      <c r="M108" s="35" t="s">
        <v>304</v>
      </c>
      <c r="N108" s="475"/>
      <c r="O108" s="476">
        <v>0.29166666666666669</v>
      </c>
      <c r="P108" s="476">
        <v>0.29166666666666669</v>
      </c>
      <c r="Q108" s="477">
        <v>0.54166666666666663</v>
      </c>
      <c r="R108" s="472">
        <f>IF(Table6[[#This Row],[Work Start TimeStamp]]="","",(Table6[[#This Row],[Work Start TimeStamp]]-Table6[[#This Row],[Fault Start TimeStamp]])*24)</f>
        <v>0</v>
      </c>
      <c r="S108" s="472">
        <f>(Table6[[#This Row],[Fault Clearance time]]-Table6[[#This Row],[Work Start TimeStamp]])*24</f>
        <v>5.9999999999999982</v>
      </c>
      <c r="T108" s="472">
        <f>(Table6[[#This Row],[Fault Clearance time]]-Table6[[#This Row],[Fault Start TimeStamp]])*24</f>
        <v>5.9999999999999982</v>
      </c>
      <c r="U108" s="35" t="s">
        <v>357</v>
      </c>
      <c r="V108" s="102" t="s">
        <v>293</v>
      </c>
      <c r="W108" s="478">
        <f>IFERROR(Table6[[#This Row],[Breakdown Time]]*Table6[[#This Row],[Plant Equivalent Weightage]],"")</f>
        <v>0.23076923076923064</v>
      </c>
      <c r="X108" s="473" t="s">
        <v>305</v>
      </c>
      <c r="Y108" s="474" t="s">
        <v>76</v>
      </c>
      <c r="Z108" s="102">
        <v>30523</v>
      </c>
      <c r="AA108" s="468">
        <f>(Table6[[#This Row],[Paired WTG Generation for loss calculation]]/24)*Table6[[#This Row],[Breakdown Time]]</f>
        <v>7630.7499999999982</v>
      </c>
      <c r="AB108" s="102"/>
      <c r="AC108" s="35"/>
      <c r="AD108" s="35"/>
    </row>
    <row r="109" spans="1:30">
      <c r="A109" s="102">
        <f t="shared" si="2"/>
        <v>108</v>
      </c>
      <c r="B109" s="468">
        <f>YEAR(Table6[[#This Row],[Date]])+IF(MONTH(Table6[[#This Row],[Date]])&gt;=4,1,0)</f>
        <v>2026</v>
      </c>
      <c r="C109" s="102">
        <f>YEAR(Table6[[#This Row],[Date]])</f>
        <v>2025</v>
      </c>
      <c r="D109" s="102" t="s">
        <v>1992</v>
      </c>
      <c r="E109" s="469">
        <f>Table6[[#This Row],[Date]]-DAY(Table6[[#This Row],[Date]])+1</f>
        <v>45748</v>
      </c>
      <c r="F109" s="470">
        <v>45755</v>
      </c>
      <c r="G109" s="35" t="s">
        <v>86</v>
      </c>
      <c r="H109" s="35" t="str">
        <f>IFERROR(_xlfn.XLOOKUP(Table6[[#This Row],[Affected WTG]],'Basic Data'!$A:$A,'Basic Data'!$B:$B),"")</f>
        <v>TQGXIIPL</v>
      </c>
      <c r="I109" s="35" t="str">
        <f>IFERROR(_xlfn.XLOOKUP(Table6[[#This Row],[Affected WTG]],'Basic Data'!$A:$A,'Basic Data'!$C:$C),"")</f>
        <v>GEDA</v>
      </c>
      <c r="J109" s="471">
        <f>IFERROR(_xlfn.XLOOKUP(Table6[[#This Row],[Affected WTG]],'Basic Data'!$A:$A,'Basic Data'!$E:$E),"")</f>
        <v>3.846153846153845E-2</v>
      </c>
      <c r="K109" s="102">
        <v>55</v>
      </c>
      <c r="L109" s="35" t="str">
        <f>IFERROR(_xlfn.XLOOKUP(Table6[[#This Row],[Error Code]],'Basic Data'!$AA:$AA,'Basic Data'!$AB:$AB),"Incorrect Error Code")</f>
        <v>WTG shut down</v>
      </c>
      <c r="M109" s="35" t="s">
        <v>330</v>
      </c>
      <c r="N109" s="475"/>
      <c r="O109" s="476">
        <v>0.79791666666666672</v>
      </c>
      <c r="P109" s="476">
        <v>0.79791666666666672</v>
      </c>
      <c r="Q109" s="477">
        <v>0.875</v>
      </c>
      <c r="R109" s="472">
        <f>IF(Table6[[#This Row],[Work Start TimeStamp]]="","",(Table6[[#This Row],[Work Start TimeStamp]]-Table6[[#This Row],[Fault Start TimeStamp]])*24)</f>
        <v>0</v>
      </c>
      <c r="S109" s="472">
        <f>(Table6[[#This Row],[Fault Clearance time]]-Table6[[#This Row],[Work Start TimeStamp]])*24</f>
        <v>1.8499999999999988</v>
      </c>
      <c r="T109" s="472">
        <f>(Table6[[#This Row],[Fault Clearance time]]-Table6[[#This Row],[Fault Start TimeStamp]])*24</f>
        <v>1.8499999999999988</v>
      </c>
      <c r="U109" s="35" t="s">
        <v>337</v>
      </c>
      <c r="V109" s="102" t="s">
        <v>293</v>
      </c>
      <c r="W109" s="478">
        <f>IFERROR(Table6[[#This Row],[Breakdown Time]]*Table6[[#This Row],[Plant Equivalent Weightage]],"")</f>
        <v>7.1153846153846081E-2</v>
      </c>
      <c r="X109" s="473" t="s">
        <v>290</v>
      </c>
      <c r="Y109" s="474" t="s">
        <v>84</v>
      </c>
      <c r="Z109" s="102">
        <v>27130</v>
      </c>
      <c r="AA109" s="468">
        <f>(Table6[[#This Row],[Paired WTG Generation for loss calculation]]/24)*Table6[[#This Row],[Breakdown Time]]</f>
        <v>2091.2708333333321</v>
      </c>
      <c r="AB109" s="102"/>
      <c r="AC109" s="35"/>
      <c r="AD109" s="35"/>
    </row>
    <row r="110" spans="1:30">
      <c r="A110" s="102">
        <f t="shared" si="2"/>
        <v>109</v>
      </c>
      <c r="B110" s="468">
        <f>YEAR(Table6[[#This Row],[Date]])+IF(MONTH(Table6[[#This Row],[Date]])&gt;=4,1,0)</f>
        <v>2026</v>
      </c>
      <c r="C110" s="102">
        <f>YEAR(Table6[[#This Row],[Date]])</f>
        <v>2025</v>
      </c>
      <c r="D110" s="102" t="s">
        <v>1992</v>
      </c>
      <c r="E110" s="469">
        <f>Table6[[#This Row],[Date]]-DAY(Table6[[#This Row],[Date]])+1</f>
        <v>45748</v>
      </c>
      <c r="F110" s="470">
        <v>45755</v>
      </c>
      <c r="G110" s="35" t="s">
        <v>81</v>
      </c>
      <c r="H110" s="35" t="str">
        <f>IFERROR(_xlfn.XLOOKUP(Table6[[#This Row],[Affected WTG]],'Basic Data'!$A:$A,'Basic Data'!$B:$B),"")</f>
        <v>TQGXIIPL</v>
      </c>
      <c r="I110" s="35" t="str">
        <f>IFERROR(_xlfn.XLOOKUP(Table6[[#This Row],[Affected WTG]],'Basic Data'!$A:$A,'Basic Data'!$C:$C),"")</f>
        <v>GEDA</v>
      </c>
      <c r="J110" s="471">
        <f>IFERROR(_xlfn.XLOOKUP(Table6[[#This Row],[Affected WTG]],'Basic Data'!$A:$A,'Basic Data'!$E:$E),"")</f>
        <v>3.846153846153845E-2</v>
      </c>
      <c r="K110" s="102">
        <v>55</v>
      </c>
      <c r="L110" s="35" t="str">
        <f>IFERROR(_xlfn.XLOOKUP(Table6[[#This Row],[Error Code]],'Basic Data'!$AA:$AA,'Basic Data'!$AB:$AB),"Incorrect Error Code")</f>
        <v>WTG shut down</v>
      </c>
      <c r="M110" s="35" t="s">
        <v>330</v>
      </c>
      <c r="N110" s="475"/>
      <c r="O110" s="476">
        <v>0.82222222222222219</v>
      </c>
      <c r="P110" s="476">
        <v>0.82222222222222219</v>
      </c>
      <c r="Q110" s="477">
        <v>0.85416666666666663</v>
      </c>
      <c r="R110" s="472">
        <f>IF(Table6[[#This Row],[Work Start TimeStamp]]="","",(Table6[[#This Row],[Work Start TimeStamp]]-Table6[[#This Row],[Fault Start TimeStamp]])*24)</f>
        <v>0</v>
      </c>
      <c r="S110" s="472">
        <f>(Table6[[#This Row],[Fault Clearance time]]-Table6[[#This Row],[Work Start TimeStamp]])*24</f>
        <v>0.76666666666666661</v>
      </c>
      <c r="T110" s="472">
        <f>(Table6[[#This Row],[Fault Clearance time]]-Table6[[#This Row],[Fault Start TimeStamp]])*24</f>
        <v>0.76666666666666661</v>
      </c>
      <c r="U110" s="35" t="s">
        <v>337</v>
      </c>
      <c r="V110" s="102" t="s">
        <v>293</v>
      </c>
      <c r="W110" s="478">
        <f>IFERROR(Table6[[#This Row],[Breakdown Time]]*Table6[[#This Row],[Plant Equivalent Weightage]],"")</f>
        <v>2.9487179487179476E-2</v>
      </c>
      <c r="X110" s="473" t="s">
        <v>290</v>
      </c>
      <c r="Y110" s="474" t="s">
        <v>99</v>
      </c>
      <c r="Z110" s="102">
        <v>23956</v>
      </c>
      <c r="AA110" s="468">
        <f>(Table6[[#This Row],[Paired WTG Generation for loss calculation]]/24)*Table6[[#This Row],[Breakdown Time]]</f>
        <v>765.26111111111106</v>
      </c>
      <c r="AB110" s="102"/>
      <c r="AC110" s="35"/>
      <c r="AD110" s="35"/>
    </row>
    <row r="111" spans="1:30">
      <c r="A111" s="102">
        <f t="shared" si="2"/>
        <v>110</v>
      </c>
      <c r="B111" s="468">
        <f>YEAR(Table6[[#This Row],[Date]])+IF(MONTH(Table6[[#This Row],[Date]])&gt;=4,1,0)</f>
        <v>2026</v>
      </c>
      <c r="C111" s="102">
        <f>YEAR(Table6[[#This Row],[Date]])</f>
        <v>2025</v>
      </c>
      <c r="D111" s="102" t="s">
        <v>1992</v>
      </c>
      <c r="E111" s="469">
        <f>Table6[[#This Row],[Date]]-DAY(Table6[[#This Row],[Date]])+1</f>
        <v>45748</v>
      </c>
      <c r="F111" s="470">
        <v>45756</v>
      </c>
      <c r="G111" s="35" t="s">
        <v>74</v>
      </c>
      <c r="H111" s="35" t="str">
        <f>IFERROR(_xlfn.XLOOKUP(Table6[[#This Row],[Affected WTG]],'Basic Data'!$A:$A,'Basic Data'!$B:$B),"")</f>
        <v>TQGXIIPL</v>
      </c>
      <c r="I111" s="35" t="str">
        <f>IFERROR(_xlfn.XLOOKUP(Table6[[#This Row],[Affected WTG]],'Basic Data'!$A:$A,'Basic Data'!$C:$C),"")</f>
        <v>GEDA</v>
      </c>
      <c r="J111" s="471">
        <f>IFERROR(_xlfn.XLOOKUP(Table6[[#This Row],[Affected WTG]],'Basic Data'!$A:$A,'Basic Data'!$E:$E),"")</f>
        <v>3.846153846153845E-2</v>
      </c>
      <c r="K111" s="102">
        <v>4520</v>
      </c>
      <c r="L111" s="35" t="str">
        <f>IFERROR(_xlfn.XLOOKUP(Table6[[#This Row],[Error Code]],'Basic Data'!$AA:$AA,'Basic Data'!$AB:$AB),"Incorrect Error Code")</f>
        <v>Tower oscillation X level 1</v>
      </c>
      <c r="M111" s="35" t="s">
        <v>292</v>
      </c>
      <c r="N111" s="475"/>
      <c r="O111" s="476">
        <v>7.0833333333333331E-2</v>
      </c>
      <c r="P111" s="476">
        <v>7.0833333333333331E-2</v>
      </c>
      <c r="Q111" s="477">
        <v>7.8472222222222221E-2</v>
      </c>
      <c r="R111" s="472">
        <f>IF(Table6[[#This Row],[Work Start TimeStamp]]="","",(Table6[[#This Row],[Work Start TimeStamp]]-Table6[[#This Row],[Fault Start TimeStamp]])*24)</f>
        <v>0</v>
      </c>
      <c r="S111" s="472">
        <f>(Table6[[#This Row],[Fault Clearance time]]-Table6[[#This Row],[Work Start TimeStamp]])*24</f>
        <v>0.18333333333333335</v>
      </c>
      <c r="T111" s="472">
        <f>(Table6[[#This Row],[Fault Clearance time]]-Table6[[#This Row],[Fault Start TimeStamp]])*24</f>
        <v>0.18333333333333335</v>
      </c>
      <c r="U111" s="35" t="s">
        <v>336</v>
      </c>
      <c r="V111" s="102" t="s">
        <v>293</v>
      </c>
      <c r="W111" s="478">
        <f>IFERROR(Table6[[#This Row],[Breakdown Time]]*Table6[[#This Row],[Plant Equivalent Weightage]],"")</f>
        <v>7.0512820512820496E-3</v>
      </c>
      <c r="X111" s="473" t="s">
        <v>294</v>
      </c>
      <c r="Y111" s="474" t="s">
        <v>99</v>
      </c>
      <c r="Z111" s="102">
        <v>23560</v>
      </c>
      <c r="AA111" s="468">
        <f>(Table6[[#This Row],[Paired WTG Generation for loss calculation]]/24)*Table6[[#This Row],[Breakdown Time]]</f>
        <v>179.97222222222223</v>
      </c>
      <c r="AB111" s="102"/>
      <c r="AC111" s="35"/>
      <c r="AD111" s="35"/>
    </row>
    <row r="112" spans="1:30">
      <c r="A112" s="102">
        <f t="shared" si="2"/>
        <v>111</v>
      </c>
      <c r="B112" s="468">
        <f>YEAR(Table6[[#This Row],[Date]])+IF(MONTH(Table6[[#This Row],[Date]])&gt;=4,1,0)</f>
        <v>2026</v>
      </c>
      <c r="C112" s="102">
        <f>YEAR(Table6[[#This Row],[Date]])</f>
        <v>2025</v>
      </c>
      <c r="D112" s="102" t="s">
        <v>1992</v>
      </c>
      <c r="E112" s="469">
        <f>Table6[[#This Row],[Date]]-DAY(Table6[[#This Row],[Date]])+1</f>
        <v>45748</v>
      </c>
      <c r="F112" s="470">
        <v>45756</v>
      </c>
      <c r="G112" s="35" t="s">
        <v>77</v>
      </c>
      <c r="H112" s="35" t="str">
        <f>IFERROR(_xlfn.XLOOKUP(Table6[[#This Row],[Affected WTG]],'Basic Data'!$A:$A,'Basic Data'!$B:$B),"")</f>
        <v>TQGXIIPL</v>
      </c>
      <c r="I112" s="35" t="str">
        <f>IFERROR(_xlfn.XLOOKUP(Table6[[#This Row],[Affected WTG]],'Basic Data'!$A:$A,'Basic Data'!$C:$C),"")</f>
        <v>GEDA</v>
      </c>
      <c r="J112" s="471">
        <f>IFERROR(_xlfn.XLOOKUP(Table6[[#This Row],[Affected WTG]],'Basic Data'!$A:$A,'Basic Data'!$E:$E),"")</f>
        <v>3.846153846153845E-2</v>
      </c>
      <c r="K112" s="102">
        <v>6056</v>
      </c>
      <c r="L112" s="35" t="str">
        <f>IFERROR(_xlfn.XLOOKUP(Table6[[#This Row],[Error Code]],'Basic Data'!$AA:$AA,'Basic Data'!$AB:$AB),"Incorrect Error Code")</f>
        <v>High yaw load</v>
      </c>
      <c r="M112" s="35" t="s">
        <v>292</v>
      </c>
      <c r="N112" s="475"/>
      <c r="O112" s="476">
        <v>0.6069444444444444</v>
      </c>
      <c r="P112" s="476">
        <v>0.6069444444444444</v>
      </c>
      <c r="Q112" s="477">
        <v>0.60902777777777772</v>
      </c>
      <c r="R112" s="472">
        <f>IF(Table6[[#This Row],[Work Start TimeStamp]]="","",(Table6[[#This Row],[Work Start TimeStamp]]-Table6[[#This Row],[Fault Start TimeStamp]])*24)</f>
        <v>0</v>
      </c>
      <c r="S112" s="472">
        <f>(Table6[[#This Row],[Fault Clearance time]]-Table6[[#This Row],[Work Start TimeStamp]])*24</f>
        <v>4.9999999999999822E-2</v>
      </c>
      <c r="T112" s="472">
        <f>(Table6[[#This Row],[Fault Clearance time]]-Table6[[#This Row],[Fault Start TimeStamp]])*24</f>
        <v>4.9999999999999822E-2</v>
      </c>
      <c r="U112" s="35" t="s">
        <v>336</v>
      </c>
      <c r="V112" s="102" t="s">
        <v>293</v>
      </c>
      <c r="W112" s="478">
        <f>IFERROR(Table6[[#This Row],[Breakdown Time]]*Table6[[#This Row],[Plant Equivalent Weightage]],"")</f>
        <v>1.9230769230769156E-3</v>
      </c>
      <c r="X112" s="473" t="s">
        <v>294</v>
      </c>
      <c r="Y112" s="474" t="s">
        <v>80</v>
      </c>
      <c r="Z112" s="102">
        <v>28440</v>
      </c>
      <c r="AA112" s="468">
        <f>(Table6[[#This Row],[Paired WTG Generation for loss calculation]]/24)*Table6[[#This Row],[Breakdown Time]]</f>
        <v>59.249999999999787</v>
      </c>
      <c r="AB112" s="102"/>
      <c r="AC112" s="35"/>
      <c r="AD112" s="35"/>
    </row>
    <row r="113" spans="1:30">
      <c r="A113" s="102">
        <f t="shared" si="2"/>
        <v>112</v>
      </c>
      <c r="B113" s="468">
        <f>YEAR(Table6[[#This Row],[Date]])+IF(MONTH(Table6[[#This Row],[Date]])&gt;=4,1,0)</f>
        <v>2026</v>
      </c>
      <c r="C113" s="102">
        <f>YEAR(Table6[[#This Row],[Date]])</f>
        <v>2025</v>
      </c>
      <c r="D113" s="102" t="s">
        <v>1992</v>
      </c>
      <c r="E113" s="469">
        <f>Table6[[#This Row],[Date]]-DAY(Table6[[#This Row],[Date]])+1</f>
        <v>45748</v>
      </c>
      <c r="F113" s="470">
        <v>45756</v>
      </c>
      <c r="G113" s="35" t="s">
        <v>78</v>
      </c>
      <c r="H113" s="35" t="str">
        <f>IFERROR(_xlfn.XLOOKUP(Table6[[#This Row],[Affected WTG]],'Basic Data'!$A:$A,'Basic Data'!$B:$B),"")</f>
        <v>TQGXIIPL</v>
      </c>
      <c r="I113" s="35" t="str">
        <f>IFERROR(_xlfn.XLOOKUP(Table6[[#This Row],[Affected WTG]],'Basic Data'!$A:$A,'Basic Data'!$C:$C),"")</f>
        <v>GEDA</v>
      </c>
      <c r="J113" s="471">
        <f>IFERROR(_xlfn.XLOOKUP(Table6[[#This Row],[Affected WTG]],'Basic Data'!$A:$A,'Basic Data'!$E:$E),"")</f>
        <v>3.846153846153845E-2</v>
      </c>
      <c r="K113" s="102">
        <v>3211</v>
      </c>
      <c r="L113" s="35" t="str">
        <f>IFERROR(_xlfn.XLOOKUP(Table6[[#This Row],[Error Code]],'Basic Data'!$AA:$AA,'Basic Data'!$AB:$AB),"Incorrect Error Code")</f>
        <v>Conv. load shedding (CAN)</v>
      </c>
      <c r="M113" s="35" t="s">
        <v>291</v>
      </c>
      <c r="N113" s="475"/>
      <c r="O113" s="476">
        <v>0.3125</v>
      </c>
      <c r="P113" s="476">
        <v>0.36805555555555558</v>
      </c>
      <c r="Q113" s="477">
        <v>0.40138888888888891</v>
      </c>
      <c r="R113" s="472">
        <f>IF(Table6[[#This Row],[Work Start TimeStamp]]="","",(Table6[[#This Row],[Work Start TimeStamp]]-Table6[[#This Row],[Fault Start TimeStamp]])*24)</f>
        <v>1.3333333333333339</v>
      </c>
      <c r="S113" s="472">
        <f>(Table6[[#This Row],[Fault Clearance time]]-Table6[[#This Row],[Work Start TimeStamp]])*24</f>
        <v>0.79999999999999982</v>
      </c>
      <c r="T113" s="472">
        <f>(Table6[[#This Row],[Fault Clearance time]]-Table6[[#This Row],[Fault Start TimeStamp]])*24</f>
        <v>2.1333333333333337</v>
      </c>
      <c r="U113" s="35" t="s">
        <v>380</v>
      </c>
      <c r="V113" s="102" t="s">
        <v>293</v>
      </c>
      <c r="W113" s="478">
        <f>IFERROR(Table6[[#This Row],[Breakdown Time]]*Table6[[#This Row],[Plant Equivalent Weightage]],"")</f>
        <v>8.2051282051282037E-2</v>
      </c>
      <c r="X113" s="473" t="s">
        <v>294</v>
      </c>
      <c r="Y113" s="474" t="s">
        <v>75</v>
      </c>
      <c r="Z113" s="102">
        <v>35985</v>
      </c>
      <c r="AA113" s="468">
        <f>(Table6[[#This Row],[Paired WTG Generation for loss calculation]]/24)*Table6[[#This Row],[Breakdown Time]]</f>
        <v>3198.6666666666674</v>
      </c>
      <c r="AB113" s="102"/>
      <c r="AC113" s="35"/>
      <c r="AD113" s="35"/>
    </row>
    <row r="114" spans="1:30">
      <c r="A114" s="102">
        <f t="shared" si="2"/>
        <v>113</v>
      </c>
      <c r="B114" s="468">
        <f>YEAR(Table6[[#This Row],[Date]])+IF(MONTH(Table6[[#This Row],[Date]])&gt;=4,1,0)</f>
        <v>2026</v>
      </c>
      <c r="C114" s="102">
        <f>YEAR(Table6[[#This Row],[Date]])</f>
        <v>2025</v>
      </c>
      <c r="D114" s="102" t="s">
        <v>1992</v>
      </c>
      <c r="E114" s="469">
        <f>Table6[[#This Row],[Date]]-DAY(Table6[[#This Row],[Date]])+1</f>
        <v>45748</v>
      </c>
      <c r="F114" s="470">
        <v>45756</v>
      </c>
      <c r="G114" s="35" t="s">
        <v>79</v>
      </c>
      <c r="H114" s="35" t="str">
        <f>IFERROR(_xlfn.XLOOKUP(Table6[[#This Row],[Affected WTG]],'Basic Data'!$A:$A,'Basic Data'!$B:$B),"")</f>
        <v>TQGXIIPL</v>
      </c>
      <c r="I114" s="35" t="str">
        <f>IFERROR(_xlfn.XLOOKUP(Table6[[#This Row],[Affected WTG]],'Basic Data'!$A:$A,'Basic Data'!$C:$C),"")</f>
        <v>GEDA</v>
      </c>
      <c r="J114" s="471">
        <f>IFERROR(_xlfn.XLOOKUP(Table6[[#This Row],[Affected WTG]],'Basic Data'!$A:$A,'Basic Data'!$E:$E),"")</f>
        <v>3.846153846153845E-2</v>
      </c>
      <c r="K114" s="102">
        <v>6130</v>
      </c>
      <c r="L114" s="35" t="str">
        <f>IFERROR(_xlfn.XLOOKUP(Table6[[#This Row],[Error Code]],'Basic Data'!$AA:$AA,'Basic Data'!$AB:$AB),"Incorrect Error Code")</f>
        <v>Yaw speed high</v>
      </c>
      <c r="M114" s="35" t="s">
        <v>292</v>
      </c>
      <c r="N114" s="475"/>
      <c r="O114" s="476">
        <v>0.68402777777777779</v>
      </c>
      <c r="P114" s="476">
        <v>0.68402777777777779</v>
      </c>
      <c r="Q114" s="477">
        <v>0.68819444444444444</v>
      </c>
      <c r="R114" s="472">
        <f>IF(Table6[[#This Row],[Work Start TimeStamp]]="","",(Table6[[#This Row],[Work Start TimeStamp]]-Table6[[#This Row],[Fault Start TimeStamp]])*24)</f>
        <v>0</v>
      </c>
      <c r="S114" s="472">
        <f>(Table6[[#This Row],[Fault Clearance time]]-Table6[[#This Row],[Work Start TimeStamp]])*24</f>
        <v>9.9999999999999645E-2</v>
      </c>
      <c r="T114" s="472">
        <f>(Table6[[#This Row],[Fault Clearance time]]-Table6[[#This Row],[Fault Start TimeStamp]])*24</f>
        <v>9.9999999999999645E-2</v>
      </c>
      <c r="U114" s="35" t="s">
        <v>336</v>
      </c>
      <c r="V114" s="102" t="s">
        <v>293</v>
      </c>
      <c r="W114" s="478">
        <f>IFERROR(Table6[[#This Row],[Breakdown Time]]*Table6[[#This Row],[Plant Equivalent Weightage]],"")</f>
        <v>3.8461538461538312E-3</v>
      </c>
      <c r="X114" s="473" t="s">
        <v>294</v>
      </c>
      <c r="Y114" s="474" t="s">
        <v>94</v>
      </c>
      <c r="Z114" s="102">
        <v>28985</v>
      </c>
      <c r="AA114" s="468">
        <f>(Table6[[#This Row],[Paired WTG Generation for loss calculation]]/24)*Table6[[#This Row],[Breakdown Time]]</f>
        <v>120.7708333333329</v>
      </c>
      <c r="AB114" s="102"/>
      <c r="AC114" s="35"/>
      <c r="AD114" s="35"/>
    </row>
    <row r="115" spans="1:30">
      <c r="A115" s="102">
        <f t="shared" si="2"/>
        <v>114</v>
      </c>
      <c r="B115" s="468">
        <f>YEAR(Table6[[#This Row],[Date]])+IF(MONTH(Table6[[#This Row],[Date]])&gt;=4,1,0)</f>
        <v>2026</v>
      </c>
      <c r="C115" s="102">
        <f>YEAR(Table6[[#This Row],[Date]])</f>
        <v>2025</v>
      </c>
      <c r="D115" s="102" t="s">
        <v>1992</v>
      </c>
      <c r="E115" s="469">
        <f>Table6[[#This Row],[Date]]-DAY(Table6[[#This Row],[Date]])+1</f>
        <v>45748</v>
      </c>
      <c r="F115" s="470">
        <v>45756</v>
      </c>
      <c r="G115" s="35" t="s">
        <v>89</v>
      </c>
      <c r="H115" s="35" t="str">
        <f>IFERROR(_xlfn.XLOOKUP(Table6[[#This Row],[Affected WTG]],'Basic Data'!$A:$A,'Basic Data'!$B:$B),"")</f>
        <v>TQGXIIPL</v>
      </c>
      <c r="I115" s="35" t="str">
        <f>IFERROR(_xlfn.XLOOKUP(Table6[[#This Row],[Affected WTG]],'Basic Data'!$A:$A,'Basic Data'!$C:$C),"")</f>
        <v>GEDA</v>
      </c>
      <c r="J115" s="471">
        <f>IFERROR(_xlfn.XLOOKUP(Table6[[#This Row],[Affected WTG]],'Basic Data'!$A:$A,'Basic Data'!$E:$E),"")</f>
        <v>3.846153846153845E-2</v>
      </c>
      <c r="K115" s="102">
        <v>3065</v>
      </c>
      <c r="L115" s="35" t="str">
        <f>IFERROR(_xlfn.XLOOKUP(Table6[[#This Row],[Error Code]],'Basic Data'!$AA:$AA,'Basic Data'!$AB:$AB),"Incorrect Error Code")</f>
        <v>Conv. emerg.off type F</v>
      </c>
      <c r="M115" s="35" t="s">
        <v>291</v>
      </c>
      <c r="N115" s="475"/>
      <c r="O115" s="476">
        <v>0.60416666666666663</v>
      </c>
      <c r="P115" s="476">
        <v>0.60416666666666663</v>
      </c>
      <c r="Q115" s="477">
        <v>0.61736111111111114</v>
      </c>
      <c r="R115" s="472">
        <f>IF(Table6[[#This Row],[Work Start TimeStamp]]="","",(Table6[[#This Row],[Work Start TimeStamp]]-Table6[[#This Row],[Fault Start TimeStamp]])*24)</f>
        <v>0</v>
      </c>
      <c r="S115" s="472">
        <f>(Table6[[#This Row],[Fault Clearance time]]-Table6[[#This Row],[Work Start TimeStamp]])*24</f>
        <v>0.31666666666666821</v>
      </c>
      <c r="T115" s="472">
        <f>(Table6[[#This Row],[Fault Clearance time]]-Table6[[#This Row],[Fault Start TimeStamp]])*24</f>
        <v>0.31666666666666821</v>
      </c>
      <c r="U115" s="35" t="s">
        <v>368</v>
      </c>
      <c r="V115" s="102" t="s">
        <v>293</v>
      </c>
      <c r="W115" s="478">
        <f>IFERROR(Table6[[#This Row],[Breakdown Time]]*Table6[[#This Row],[Plant Equivalent Weightage]],"")</f>
        <v>1.2179487179487235E-2</v>
      </c>
      <c r="X115" s="473" t="s">
        <v>294</v>
      </c>
      <c r="Y115" s="474" t="s">
        <v>94</v>
      </c>
      <c r="Z115" s="102">
        <v>28985</v>
      </c>
      <c r="AA115" s="468">
        <f>(Table6[[#This Row],[Paired WTG Generation for loss calculation]]/24)*Table6[[#This Row],[Breakdown Time]]</f>
        <v>382.44097222222405</v>
      </c>
      <c r="AB115" s="102"/>
      <c r="AC115" s="35"/>
      <c r="AD115" s="35"/>
    </row>
    <row r="116" spans="1:30">
      <c r="A116" s="102">
        <f t="shared" si="2"/>
        <v>115</v>
      </c>
      <c r="B116" s="468">
        <f>YEAR(Table6[[#This Row],[Date]])+IF(MONTH(Table6[[#This Row],[Date]])&gt;=4,1,0)</f>
        <v>2026</v>
      </c>
      <c r="C116" s="102">
        <f>YEAR(Table6[[#This Row],[Date]])</f>
        <v>2025</v>
      </c>
      <c r="D116" s="102" t="s">
        <v>1992</v>
      </c>
      <c r="E116" s="469">
        <f>Table6[[#This Row],[Date]]-DAY(Table6[[#This Row],[Date]])+1</f>
        <v>45748</v>
      </c>
      <c r="F116" s="470">
        <v>45756</v>
      </c>
      <c r="G116" s="35" t="s">
        <v>91</v>
      </c>
      <c r="H116" s="35" t="str">
        <f>IFERROR(_xlfn.XLOOKUP(Table6[[#This Row],[Affected WTG]],'Basic Data'!$A:$A,'Basic Data'!$B:$B),"")</f>
        <v>TQGXIIPL</v>
      </c>
      <c r="I116" s="35" t="str">
        <f>IFERROR(_xlfn.XLOOKUP(Table6[[#This Row],[Affected WTG]],'Basic Data'!$A:$A,'Basic Data'!$C:$C),"")</f>
        <v>GEDA</v>
      </c>
      <c r="J116" s="471">
        <f>IFERROR(_xlfn.XLOOKUP(Table6[[#This Row],[Affected WTG]],'Basic Data'!$A:$A,'Basic Data'!$E:$E),"")</f>
        <v>3.846153846153845E-2</v>
      </c>
      <c r="K116" s="102">
        <v>3000</v>
      </c>
      <c r="L116" s="35" t="str">
        <f>IFERROR(_xlfn.XLOOKUP(Table6[[#This Row],[Error Code]],'Basic Data'!$AA:$AA,'Basic Data'!$AB:$AB),"Incorrect Error Code")</f>
        <v>Frequency converter not ready</v>
      </c>
      <c r="M116" s="35" t="s">
        <v>292</v>
      </c>
      <c r="N116" s="475"/>
      <c r="O116" s="476">
        <v>0.64861111111111114</v>
      </c>
      <c r="P116" s="476">
        <v>0.64861111111111114</v>
      </c>
      <c r="Q116" s="477">
        <v>0.65069444444444446</v>
      </c>
      <c r="R116" s="472">
        <f>IF(Table6[[#This Row],[Work Start TimeStamp]]="","",(Table6[[#This Row],[Work Start TimeStamp]]-Table6[[#This Row],[Fault Start TimeStamp]])*24)</f>
        <v>0</v>
      </c>
      <c r="S116" s="472">
        <f>(Table6[[#This Row],[Fault Clearance time]]-Table6[[#This Row],[Work Start TimeStamp]])*24</f>
        <v>4.9999999999999822E-2</v>
      </c>
      <c r="T116" s="472">
        <f>(Table6[[#This Row],[Fault Clearance time]]-Table6[[#This Row],[Fault Start TimeStamp]])*24</f>
        <v>4.9999999999999822E-2</v>
      </c>
      <c r="U116" s="35" t="s">
        <v>336</v>
      </c>
      <c r="V116" s="102" t="s">
        <v>293</v>
      </c>
      <c r="W116" s="478">
        <f>IFERROR(Table6[[#This Row],[Breakdown Time]]*Table6[[#This Row],[Plant Equivalent Weightage]],"")</f>
        <v>1.9230769230769156E-3</v>
      </c>
      <c r="X116" s="473" t="s">
        <v>294</v>
      </c>
      <c r="Y116" s="474" t="s">
        <v>79</v>
      </c>
      <c r="Z116" s="102">
        <v>28574</v>
      </c>
      <c r="AA116" s="468">
        <f>(Table6[[#This Row],[Paired WTG Generation for loss calculation]]/24)*Table6[[#This Row],[Breakdown Time]]</f>
        <v>59.529166666666448</v>
      </c>
      <c r="AB116" s="102"/>
      <c r="AC116" s="35"/>
      <c r="AD116" s="35"/>
    </row>
    <row r="117" spans="1:30">
      <c r="A117" s="102">
        <f t="shared" si="2"/>
        <v>116</v>
      </c>
      <c r="B117" s="468">
        <f>YEAR(Table6[[#This Row],[Date]])+IF(MONTH(Table6[[#This Row],[Date]])&gt;=4,1,0)</f>
        <v>2026</v>
      </c>
      <c r="C117" s="102">
        <f>YEAR(Table6[[#This Row],[Date]])</f>
        <v>2025</v>
      </c>
      <c r="D117" s="102" t="s">
        <v>1992</v>
      </c>
      <c r="E117" s="469">
        <f>Table6[[#This Row],[Date]]-DAY(Table6[[#This Row],[Date]])+1</f>
        <v>45748</v>
      </c>
      <c r="F117" s="470">
        <v>45756</v>
      </c>
      <c r="G117" s="35" t="s">
        <v>93</v>
      </c>
      <c r="H117" s="35" t="str">
        <f>IFERROR(_xlfn.XLOOKUP(Table6[[#This Row],[Affected WTG]],'Basic Data'!$A:$A,'Basic Data'!$B:$B),"")</f>
        <v>TQGXIIPL</v>
      </c>
      <c r="I117" s="35" t="str">
        <f>IFERROR(_xlfn.XLOOKUP(Table6[[#This Row],[Affected WTG]],'Basic Data'!$A:$A,'Basic Data'!$C:$C),"")</f>
        <v>GEDA</v>
      </c>
      <c r="J117" s="471">
        <f>IFERROR(_xlfn.XLOOKUP(Table6[[#This Row],[Affected WTG]],'Basic Data'!$A:$A,'Basic Data'!$E:$E),"")</f>
        <v>3.846153846153845E-2</v>
      </c>
      <c r="K117" s="102">
        <v>6056</v>
      </c>
      <c r="L117" s="35" t="str">
        <f>IFERROR(_xlfn.XLOOKUP(Table6[[#This Row],[Error Code]],'Basic Data'!$AA:$AA,'Basic Data'!$AB:$AB),"Incorrect Error Code")</f>
        <v>High yaw load</v>
      </c>
      <c r="M117" s="35" t="s">
        <v>292</v>
      </c>
      <c r="N117" s="475"/>
      <c r="O117" s="476">
        <v>0.65</v>
      </c>
      <c r="P117" s="476">
        <v>0.65</v>
      </c>
      <c r="Q117" s="477">
        <v>0.65138888888888891</v>
      </c>
      <c r="R117" s="472">
        <f>IF(Table6[[#This Row],[Work Start TimeStamp]]="","",(Table6[[#This Row],[Work Start TimeStamp]]-Table6[[#This Row],[Fault Start TimeStamp]])*24)</f>
        <v>0</v>
      </c>
      <c r="S117" s="472">
        <f>(Table6[[#This Row],[Fault Clearance time]]-Table6[[#This Row],[Work Start TimeStamp]])*24</f>
        <v>3.3333333333333215E-2</v>
      </c>
      <c r="T117" s="472">
        <f>(Table6[[#This Row],[Fault Clearance time]]-Table6[[#This Row],[Fault Start TimeStamp]])*24</f>
        <v>3.3333333333333215E-2</v>
      </c>
      <c r="U117" s="35" t="s">
        <v>336</v>
      </c>
      <c r="V117" s="102" t="s">
        <v>293</v>
      </c>
      <c r="W117" s="478">
        <f>IFERROR(Table6[[#This Row],[Breakdown Time]]*Table6[[#This Row],[Plant Equivalent Weightage]],"")</f>
        <v>1.2820512820512771E-3</v>
      </c>
      <c r="X117" s="473" t="s">
        <v>294</v>
      </c>
      <c r="Y117" s="474" t="s">
        <v>97</v>
      </c>
      <c r="Z117" s="102">
        <v>32143</v>
      </c>
      <c r="AA117" s="468">
        <f>(Table6[[#This Row],[Paired WTG Generation for loss calculation]]/24)*Table6[[#This Row],[Breakdown Time]]</f>
        <v>44.643055555555399</v>
      </c>
      <c r="AB117" s="102"/>
      <c r="AC117" s="35"/>
      <c r="AD117" s="35"/>
    </row>
    <row r="118" spans="1:30">
      <c r="A118" s="102">
        <f t="shared" si="2"/>
        <v>117</v>
      </c>
      <c r="B118" s="468">
        <f>YEAR(Table6[[#This Row],[Date]])+IF(MONTH(Table6[[#This Row],[Date]])&gt;=4,1,0)</f>
        <v>2026</v>
      </c>
      <c r="C118" s="102">
        <f>YEAR(Table6[[#This Row],[Date]])</f>
        <v>2025</v>
      </c>
      <c r="D118" s="102" t="s">
        <v>1992</v>
      </c>
      <c r="E118" s="469">
        <f>Table6[[#This Row],[Date]]-DAY(Table6[[#This Row],[Date]])+1</f>
        <v>45748</v>
      </c>
      <c r="F118" s="470">
        <v>45756</v>
      </c>
      <c r="G118" s="35" t="s">
        <v>95</v>
      </c>
      <c r="H118" s="35" t="str">
        <f>IFERROR(_xlfn.XLOOKUP(Table6[[#This Row],[Affected WTG]],'Basic Data'!$A:$A,'Basic Data'!$B:$B),"")</f>
        <v>TQGXIIPL</v>
      </c>
      <c r="I118" s="35" t="str">
        <f>IFERROR(_xlfn.XLOOKUP(Table6[[#This Row],[Affected WTG]],'Basic Data'!$A:$A,'Basic Data'!$C:$C),"")</f>
        <v>GEDA</v>
      </c>
      <c r="J118" s="471">
        <f>IFERROR(_xlfn.XLOOKUP(Table6[[#This Row],[Affected WTG]],'Basic Data'!$A:$A,'Basic Data'!$E:$E),"")</f>
        <v>3.846153846153845E-2</v>
      </c>
      <c r="K118" s="102">
        <v>6130</v>
      </c>
      <c r="L118" s="35" t="str">
        <f>IFERROR(_xlfn.XLOOKUP(Table6[[#This Row],[Error Code]],'Basic Data'!$AA:$AA,'Basic Data'!$AB:$AB),"Incorrect Error Code")</f>
        <v>Yaw speed high</v>
      </c>
      <c r="M118" s="35" t="s">
        <v>292</v>
      </c>
      <c r="N118" s="475"/>
      <c r="O118" s="476">
        <v>0.6381944444444444</v>
      </c>
      <c r="P118" s="476">
        <v>0.6381944444444444</v>
      </c>
      <c r="Q118" s="477">
        <v>0.64236111111111116</v>
      </c>
      <c r="R118" s="472">
        <f>IF(Table6[[#This Row],[Work Start TimeStamp]]="","",(Table6[[#This Row],[Work Start TimeStamp]]-Table6[[#This Row],[Fault Start TimeStamp]])*24)</f>
        <v>0</v>
      </c>
      <c r="S118" s="472">
        <f>(Table6[[#This Row],[Fault Clearance time]]-Table6[[#This Row],[Work Start TimeStamp]])*24</f>
        <v>0.10000000000000231</v>
      </c>
      <c r="T118" s="472">
        <f>(Table6[[#This Row],[Fault Clearance time]]-Table6[[#This Row],[Fault Start TimeStamp]])*24</f>
        <v>0.10000000000000231</v>
      </c>
      <c r="U118" s="35" t="s">
        <v>336</v>
      </c>
      <c r="V118" s="102" t="s">
        <v>293</v>
      </c>
      <c r="W118" s="478">
        <f>IFERROR(Table6[[#This Row],[Breakdown Time]]*Table6[[#This Row],[Plant Equivalent Weightage]],"")</f>
        <v>3.846153846153934E-3</v>
      </c>
      <c r="X118" s="473" t="s">
        <v>294</v>
      </c>
      <c r="Y118" s="474" t="s">
        <v>79</v>
      </c>
      <c r="Z118" s="102">
        <v>28574</v>
      </c>
      <c r="AA118" s="468">
        <f>(Table6[[#This Row],[Paired WTG Generation for loss calculation]]/24)*Table6[[#This Row],[Breakdown Time]]</f>
        <v>119.05833333333608</v>
      </c>
      <c r="AB118" s="102"/>
      <c r="AC118" s="35"/>
      <c r="AD118" s="35"/>
    </row>
    <row r="119" spans="1:30">
      <c r="A119" s="102">
        <f t="shared" si="2"/>
        <v>118</v>
      </c>
      <c r="B119" s="468">
        <f>YEAR(Table6[[#This Row],[Date]])+IF(MONTH(Table6[[#This Row],[Date]])&gt;=4,1,0)</f>
        <v>2026</v>
      </c>
      <c r="C119" s="102">
        <f>YEAR(Table6[[#This Row],[Date]])</f>
        <v>2025</v>
      </c>
      <c r="D119" s="102" t="s">
        <v>1992</v>
      </c>
      <c r="E119" s="469">
        <f>Table6[[#This Row],[Date]]-DAY(Table6[[#This Row],[Date]])+1</f>
        <v>45748</v>
      </c>
      <c r="F119" s="470">
        <v>45756</v>
      </c>
      <c r="G119" s="35" t="s">
        <v>96</v>
      </c>
      <c r="H119" s="35" t="str">
        <f>IFERROR(_xlfn.XLOOKUP(Table6[[#This Row],[Affected WTG]],'Basic Data'!$A:$A,'Basic Data'!$B:$B),"")</f>
        <v>TQGXIIPL</v>
      </c>
      <c r="I119" s="35" t="str">
        <f>IFERROR(_xlfn.XLOOKUP(Table6[[#This Row],[Affected WTG]],'Basic Data'!$A:$A,'Basic Data'!$C:$C),"")</f>
        <v>GEDA</v>
      </c>
      <c r="J119" s="471">
        <f>IFERROR(_xlfn.XLOOKUP(Table6[[#This Row],[Affected WTG]],'Basic Data'!$A:$A,'Basic Data'!$E:$E),"")</f>
        <v>3.846153846153845E-2</v>
      </c>
      <c r="K119" s="102">
        <v>3395</v>
      </c>
      <c r="L119" s="35" t="str">
        <f>IFERROR(_xlfn.XLOOKUP(Table6[[#This Row],[Error Code]],'Basic Data'!$AA:$AA,'Basic Data'!$AB:$AB),"Incorrect Error Code")</f>
        <v>Pump cooling sys. overload</v>
      </c>
      <c r="M119" s="35" t="s">
        <v>291</v>
      </c>
      <c r="N119" s="475"/>
      <c r="O119" s="476">
        <v>0.8125</v>
      </c>
      <c r="P119" s="476">
        <v>0.83333333333333337</v>
      </c>
      <c r="Q119" s="477">
        <v>1</v>
      </c>
      <c r="R119" s="472">
        <f>IF(Table6[[#This Row],[Work Start TimeStamp]]="","",(Table6[[#This Row],[Work Start TimeStamp]]-Table6[[#This Row],[Fault Start TimeStamp]])*24)</f>
        <v>0.50000000000000089</v>
      </c>
      <c r="S119" s="472">
        <f>(Table6[[#This Row],[Fault Clearance time]]-Table6[[#This Row],[Work Start TimeStamp]])*24</f>
        <v>3.9999999999999991</v>
      </c>
      <c r="T119" s="472">
        <f>(Table6[[#This Row],[Fault Clearance time]]-Table6[[#This Row],[Fault Start TimeStamp]])*24</f>
        <v>4.5</v>
      </c>
      <c r="U119" s="35" t="s">
        <v>381</v>
      </c>
      <c r="V119" s="102" t="s">
        <v>335</v>
      </c>
      <c r="W119" s="478">
        <f>IFERROR(Table6[[#This Row],[Breakdown Time]]*Table6[[#This Row],[Plant Equivalent Weightage]],"")</f>
        <v>0.17307692307692302</v>
      </c>
      <c r="X119" s="473" t="s">
        <v>294</v>
      </c>
      <c r="Y119" s="474" t="s">
        <v>84</v>
      </c>
      <c r="Z119" s="102">
        <v>27370</v>
      </c>
      <c r="AA119" s="468">
        <f>(Table6[[#This Row],[Paired WTG Generation for loss calculation]]/24)*Table6[[#This Row],[Breakdown Time]]</f>
        <v>5131.875</v>
      </c>
      <c r="AB119" s="102"/>
      <c r="AC119" s="35"/>
      <c r="AD119" s="35"/>
    </row>
    <row r="120" spans="1:30">
      <c r="A120" s="102">
        <f t="shared" si="2"/>
        <v>119</v>
      </c>
      <c r="B120" s="468">
        <f>YEAR(Table6[[#This Row],[Date]])+IF(MONTH(Table6[[#This Row],[Date]])&gt;=4,1,0)</f>
        <v>2026</v>
      </c>
      <c r="C120" s="102">
        <f>YEAR(Table6[[#This Row],[Date]])</f>
        <v>2025</v>
      </c>
      <c r="D120" s="102" t="s">
        <v>1992</v>
      </c>
      <c r="E120" s="469">
        <f>Table6[[#This Row],[Date]]-DAY(Table6[[#This Row],[Date]])+1</f>
        <v>45748</v>
      </c>
      <c r="F120" s="470">
        <v>45756</v>
      </c>
      <c r="G120" s="35" t="s">
        <v>98</v>
      </c>
      <c r="H120" s="35" t="str">
        <f>IFERROR(_xlfn.XLOOKUP(Table6[[#This Row],[Affected WTG]],'Basic Data'!$A:$A,'Basic Data'!$B:$B),"")</f>
        <v>TQGXIIPL</v>
      </c>
      <c r="I120" s="35" t="str">
        <f>IFERROR(_xlfn.XLOOKUP(Table6[[#This Row],[Affected WTG]],'Basic Data'!$A:$A,'Basic Data'!$C:$C),"")</f>
        <v>GEDA</v>
      </c>
      <c r="J120" s="471">
        <f>IFERROR(_xlfn.XLOOKUP(Table6[[#This Row],[Affected WTG]],'Basic Data'!$A:$A,'Basic Data'!$E:$E),"")</f>
        <v>3.846153846153845E-2</v>
      </c>
      <c r="K120" s="102">
        <v>3000</v>
      </c>
      <c r="L120" s="35" t="str">
        <f>IFERROR(_xlfn.XLOOKUP(Table6[[#This Row],[Error Code]],'Basic Data'!$AA:$AA,'Basic Data'!$AB:$AB),"Incorrect Error Code")</f>
        <v>Frequency converter not ready</v>
      </c>
      <c r="M120" s="35" t="s">
        <v>291</v>
      </c>
      <c r="N120" s="475"/>
      <c r="O120" s="476">
        <v>0.15277777777777779</v>
      </c>
      <c r="P120" s="476">
        <v>0.15277777777777779</v>
      </c>
      <c r="Q120" s="477">
        <v>0.15763888888888888</v>
      </c>
      <c r="R120" s="472">
        <f>IF(Table6[[#This Row],[Work Start TimeStamp]]="","",(Table6[[#This Row],[Work Start TimeStamp]]-Table6[[#This Row],[Fault Start TimeStamp]])*24)</f>
        <v>0</v>
      </c>
      <c r="S120" s="472">
        <f>(Table6[[#This Row],[Fault Clearance time]]-Table6[[#This Row],[Work Start TimeStamp]])*24</f>
        <v>0.11666666666666625</v>
      </c>
      <c r="T120" s="472">
        <f>(Table6[[#This Row],[Fault Clearance time]]-Table6[[#This Row],[Fault Start TimeStamp]])*24</f>
        <v>0.11666666666666625</v>
      </c>
      <c r="U120" s="35" t="s">
        <v>368</v>
      </c>
      <c r="V120" s="102" t="s">
        <v>293</v>
      </c>
      <c r="W120" s="478">
        <f>IFERROR(Table6[[#This Row],[Breakdown Time]]*Table6[[#This Row],[Plant Equivalent Weightage]],"")</f>
        <v>4.4871794871794695E-3</v>
      </c>
      <c r="X120" s="473" t="s">
        <v>294</v>
      </c>
      <c r="Y120" s="474" t="s">
        <v>74</v>
      </c>
      <c r="Z120" s="102">
        <v>28683</v>
      </c>
      <c r="AA120" s="468">
        <f>(Table6[[#This Row],[Paired WTG Generation for loss calculation]]/24)*Table6[[#This Row],[Breakdown Time]]</f>
        <v>139.43124999999949</v>
      </c>
      <c r="AB120" s="102"/>
      <c r="AC120" s="35"/>
      <c r="AD120" s="35"/>
    </row>
    <row r="121" spans="1:30">
      <c r="A121" s="102">
        <f t="shared" si="2"/>
        <v>120</v>
      </c>
      <c r="B121" s="468">
        <f>YEAR(Table6[[#This Row],[Date]])+IF(MONTH(Table6[[#This Row],[Date]])&gt;=4,1,0)</f>
        <v>2026</v>
      </c>
      <c r="C121" s="102">
        <f>YEAR(Table6[[#This Row],[Date]])</f>
        <v>2025</v>
      </c>
      <c r="D121" s="102" t="s">
        <v>1992</v>
      </c>
      <c r="E121" s="469">
        <f>Table6[[#This Row],[Date]]-DAY(Table6[[#This Row],[Date]])+1</f>
        <v>45748</v>
      </c>
      <c r="F121" s="470">
        <v>45757</v>
      </c>
      <c r="G121" s="35" t="s">
        <v>75</v>
      </c>
      <c r="H121" s="35" t="str">
        <f>IFERROR(_xlfn.XLOOKUP(Table6[[#This Row],[Affected WTG]],'Basic Data'!$A:$A,'Basic Data'!$B:$B),"")</f>
        <v>TQGXIIPL</v>
      </c>
      <c r="I121" s="35" t="str">
        <f>IFERROR(_xlfn.XLOOKUP(Table6[[#This Row],[Affected WTG]],'Basic Data'!$A:$A,'Basic Data'!$C:$C),"")</f>
        <v>GEDA</v>
      </c>
      <c r="J121" s="471">
        <f>IFERROR(_xlfn.XLOOKUP(Table6[[#This Row],[Affected WTG]],'Basic Data'!$A:$A,'Basic Data'!$E:$E),"")</f>
        <v>3.846153846153845E-2</v>
      </c>
      <c r="K121" s="102">
        <v>6605</v>
      </c>
      <c r="L121" s="35" t="str">
        <f>IFERROR(_xlfn.XLOOKUP(Table6[[#This Row],[Error Code]],'Basic Data'!$AA:$AA,'Basic Data'!$AB:$AB),"Incorrect Error Code")</f>
        <v>Wind.dir. diff. level 2</v>
      </c>
      <c r="M121" s="35" t="s">
        <v>291</v>
      </c>
      <c r="N121" s="475"/>
      <c r="O121" s="476">
        <v>0.63402777777777775</v>
      </c>
      <c r="P121" s="476">
        <v>0.63402777777777775</v>
      </c>
      <c r="Q121" s="477">
        <v>0.63680555555555551</v>
      </c>
      <c r="R121" s="472">
        <f>IF(Table6[[#This Row],[Work Start TimeStamp]]="","",(Table6[[#This Row],[Work Start TimeStamp]]-Table6[[#This Row],[Fault Start TimeStamp]])*24)</f>
        <v>0</v>
      </c>
      <c r="S121" s="472">
        <f>(Table6[[#This Row],[Fault Clearance time]]-Table6[[#This Row],[Work Start TimeStamp]])*24</f>
        <v>6.666666666666643E-2</v>
      </c>
      <c r="T121" s="472">
        <f>(Table6[[#This Row],[Fault Clearance time]]-Table6[[#This Row],[Fault Start TimeStamp]])*24</f>
        <v>6.666666666666643E-2</v>
      </c>
      <c r="U121" s="35" t="s">
        <v>349</v>
      </c>
      <c r="V121" s="102" t="s">
        <v>293</v>
      </c>
      <c r="W121" s="478">
        <f>IFERROR(Table6[[#This Row],[Breakdown Time]]*Table6[[#This Row],[Plant Equivalent Weightage]],"")</f>
        <v>2.5641025641025541E-3</v>
      </c>
      <c r="X121" s="473" t="s">
        <v>294</v>
      </c>
      <c r="Y121" s="474" t="s">
        <v>78</v>
      </c>
      <c r="Z121" s="102">
        <v>41567</v>
      </c>
      <c r="AA121" s="468">
        <f>(Table6[[#This Row],[Paired WTG Generation for loss calculation]]/24)*Table6[[#This Row],[Breakdown Time]]</f>
        <v>115.46388888888848</v>
      </c>
      <c r="AB121" s="102"/>
      <c r="AC121" s="35"/>
      <c r="AD121" s="35"/>
    </row>
    <row r="122" spans="1:30">
      <c r="A122" s="102">
        <f t="shared" si="2"/>
        <v>121</v>
      </c>
      <c r="B122" s="468">
        <f>YEAR(Table6[[#This Row],[Date]])+IF(MONTH(Table6[[#This Row],[Date]])&gt;=4,1,0)</f>
        <v>2026</v>
      </c>
      <c r="C122" s="102">
        <f>YEAR(Table6[[#This Row],[Date]])</f>
        <v>2025</v>
      </c>
      <c r="D122" s="102" t="s">
        <v>1992</v>
      </c>
      <c r="E122" s="469">
        <f>Table6[[#This Row],[Date]]-DAY(Table6[[#This Row],[Date]])+1</f>
        <v>45748</v>
      </c>
      <c r="F122" s="470">
        <v>45757</v>
      </c>
      <c r="G122" s="35" t="s">
        <v>77</v>
      </c>
      <c r="H122" s="35" t="str">
        <f>IFERROR(_xlfn.XLOOKUP(Table6[[#This Row],[Affected WTG]],'Basic Data'!$A:$A,'Basic Data'!$B:$B),"")</f>
        <v>TQGXIIPL</v>
      </c>
      <c r="I122" s="35" t="str">
        <f>IFERROR(_xlfn.XLOOKUP(Table6[[#This Row],[Affected WTG]],'Basic Data'!$A:$A,'Basic Data'!$C:$C),"")</f>
        <v>GEDA</v>
      </c>
      <c r="J122" s="471">
        <f>IFERROR(_xlfn.XLOOKUP(Table6[[#This Row],[Affected WTG]],'Basic Data'!$A:$A,'Basic Data'!$E:$E),"")</f>
        <v>3.846153846153845E-2</v>
      </c>
      <c r="K122" s="102">
        <v>1700</v>
      </c>
      <c r="L122" s="35" t="str">
        <f>IFERROR(_xlfn.XLOOKUP(Table6[[#This Row],[Error Code]],'Basic Data'!$AA:$AA,'Basic Data'!$AB:$AB),"Incorrect Error Code")</f>
        <v>High temp. gear bearing 1</v>
      </c>
      <c r="M122" s="35" t="s">
        <v>291</v>
      </c>
      <c r="N122" s="475"/>
      <c r="O122" s="476">
        <v>0.7631944444444444</v>
      </c>
      <c r="P122" s="476">
        <v>0.7631944444444444</v>
      </c>
      <c r="Q122" s="477">
        <v>0.76875000000000004</v>
      </c>
      <c r="R122" s="472">
        <f>IF(Table6[[#This Row],[Work Start TimeStamp]]="","",(Table6[[#This Row],[Work Start TimeStamp]]-Table6[[#This Row],[Fault Start TimeStamp]])*24)</f>
        <v>0</v>
      </c>
      <c r="S122" s="472">
        <f>(Table6[[#This Row],[Fault Clearance time]]-Table6[[#This Row],[Work Start TimeStamp]])*24</f>
        <v>0.13333333333333552</v>
      </c>
      <c r="T122" s="472">
        <f>(Table6[[#This Row],[Fault Clearance time]]-Table6[[#This Row],[Fault Start TimeStamp]])*24</f>
        <v>0.13333333333333552</v>
      </c>
      <c r="U122" s="35" t="s">
        <v>382</v>
      </c>
      <c r="V122" s="102" t="s">
        <v>293</v>
      </c>
      <c r="W122" s="478">
        <f>IFERROR(Table6[[#This Row],[Breakdown Time]]*Table6[[#This Row],[Plant Equivalent Weightage]],"")</f>
        <v>5.1282051282052106E-3</v>
      </c>
      <c r="X122" s="473" t="s">
        <v>294</v>
      </c>
      <c r="Y122" s="474" t="s">
        <v>78</v>
      </c>
      <c r="Z122" s="102">
        <v>41567</v>
      </c>
      <c r="AA122" s="468">
        <f>(Table6[[#This Row],[Paired WTG Generation for loss calculation]]/24)*Table6[[#This Row],[Breakdown Time]]</f>
        <v>230.92777777778156</v>
      </c>
      <c r="AB122" s="102"/>
      <c r="AC122" s="35"/>
      <c r="AD122" s="35"/>
    </row>
    <row r="123" spans="1:30">
      <c r="A123" s="102">
        <f t="shared" si="2"/>
        <v>122</v>
      </c>
      <c r="B123" s="468">
        <f>YEAR(Table6[[#This Row],[Date]])+IF(MONTH(Table6[[#This Row],[Date]])&gt;=4,1,0)</f>
        <v>2026</v>
      </c>
      <c r="C123" s="102">
        <f>YEAR(Table6[[#This Row],[Date]])</f>
        <v>2025</v>
      </c>
      <c r="D123" s="102" t="s">
        <v>1992</v>
      </c>
      <c r="E123" s="469">
        <f>Table6[[#This Row],[Date]]-DAY(Table6[[#This Row],[Date]])+1</f>
        <v>45748</v>
      </c>
      <c r="F123" s="470">
        <v>45757</v>
      </c>
      <c r="G123" s="35" t="s">
        <v>78</v>
      </c>
      <c r="H123" s="35" t="str">
        <f>IFERROR(_xlfn.XLOOKUP(Table6[[#This Row],[Affected WTG]],'Basic Data'!$A:$A,'Basic Data'!$B:$B),"")</f>
        <v>TQGXIIPL</v>
      </c>
      <c r="I123" s="35" t="str">
        <f>IFERROR(_xlfn.XLOOKUP(Table6[[#This Row],[Affected WTG]],'Basic Data'!$A:$A,'Basic Data'!$C:$C),"")</f>
        <v>GEDA</v>
      </c>
      <c r="J123" s="471">
        <f>IFERROR(_xlfn.XLOOKUP(Table6[[#This Row],[Affected WTG]],'Basic Data'!$A:$A,'Basic Data'!$E:$E),"")</f>
        <v>3.846153846153845E-2</v>
      </c>
      <c r="K123" s="102">
        <v>6605</v>
      </c>
      <c r="L123" s="35" t="str">
        <f>IFERROR(_xlfn.XLOOKUP(Table6[[#This Row],[Error Code]],'Basic Data'!$AA:$AA,'Basic Data'!$AB:$AB),"Incorrect Error Code")</f>
        <v>Wind.dir. diff. level 2</v>
      </c>
      <c r="M123" s="35" t="s">
        <v>291</v>
      </c>
      <c r="N123" s="475"/>
      <c r="O123" s="476">
        <v>0.53333333333333333</v>
      </c>
      <c r="P123" s="476">
        <v>0.53333333333333333</v>
      </c>
      <c r="Q123" s="477">
        <v>0.53472222222222221</v>
      </c>
      <c r="R123" s="472">
        <f>IF(Table6[[#This Row],[Work Start TimeStamp]]="","",(Table6[[#This Row],[Work Start TimeStamp]]-Table6[[#This Row],[Fault Start TimeStamp]])*24)</f>
        <v>0</v>
      </c>
      <c r="S123" s="472">
        <f>(Table6[[#This Row],[Fault Clearance time]]-Table6[[#This Row],[Work Start TimeStamp]])*24</f>
        <v>3.3333333333333215E-2</v>
      </c>
      <c r="T123" s="472">
        <f>(Table6[[#This Row],[Fault Clearance time]]-Table6[[#This Row],[Fault Start TimeStamp]])*24</f>
        <v>3.3333333333333215E-2</v>
      </c>
      <c r="U123" s="35" t="s">
        <v>349</v>
      </c>
      <c r="V123" s="102" t="s">
        <v>293</v>
      </c>
      <c r="W123" s="478">
        <f>IFERROR(Table6[[#This Row],[Breakdown Time]]*Table6[[#This Row],[Plant Equivalent Weightage]],"")</f>
        <v>1.2820512820512771E-3</v>
      </c>
      <c r="X123" s="473" t="s">
        <v>294</v>
      </c>
      <c r="Y123" s="474" t="s">
        <v>75</v>
      </c>
      <c r="Z123" s="102">
        <v>45183</v>
      </c>
      <c r="AA123" s="468">
        <f>(Table6[[#This Row],[Paired WTG Generation for loss calculation]]/24)*Table6[[#This Row],[Breakdown Time]]</f>
        <v>62.754166666666443</v>
      </c>
      <c r="AB123" s="102"/>
      <c r="AC123" s="35"/>
      <c r="AD123" s="35"/>
    </row>
    <row r="124" spans="1:30">
      <c r="A124" s="102">
        <f t="shared" si="2"/>
        <v>123</v>
      </c>
      <c r="B124" s="468">
        <f>YEAR(Table6[[#This Row],[Date]])+IF(MONTH(Table6[[#This Row],[Date]])&gt;=4,1,0)</f>
        <v>2026</v>
      </c>
      <c r="C124" s="102">
        <f>YEAR(Table6[[#This Row],[Date]])</f>
        <v>2025</v>
      </c>
      <c r="D124" s="102" t="s">
        <v>1992</v>
      </c>
      <c r="E124" s="469">
        <f>Table6[[#This Row],[Date]]-DAY(Table6[[#This Row],[Date]])+1</f>
        <v>45748</v>
      </c>
      <c r="F124" s="470">
        <v>45757</v>
      </c>
      <c r="G124" s="35" t="s">
        <v>79</v>
      </c>
      <c r="H124" s="35" t="str">
        <f>IFERROR(_xlfn.XLOOKUP(Table6[[#This Row],[Affected WTG]],'Basic Data'!$A:$A,'Basic Data'!$B:$B),"")</f>
        <v>TQGXIIPL</v>
      </c>
      <c r="I124" s="35" t="str">
        <f>IFERROR(_xlfn.XLOOKUP(Table6[[#This Row],[Affected WTG]],'Basic Data'!$A:$A,'Basic Data'!$C:$C),"")</f>
        <v>GEDA</v>
      </c>
      <c r="J124" s="471">
        <f>IFERROR(_xlfn.XLOOKUP(Table6[[#This Row],[Affected WTG]],'Basic Data'!$A:$A,'Basic Data'!$E:$E),"")</f>
        <v>3.846153846153845E-2</v>
      </c>
      <c r="K124" s="102">
        <v>6130</v>
      </c>
      <c r="L124" s="35" t="str">
        <f>IFERROR(_xlfn.XLOOKUP(Table6[[#This Row],[Error Code]],'Basic Data'!$AA:$AA,'Basic Data'!$AB:$AB),"Incorrect Error Code")</f>
        <v>Yaw speed high</v>
      </c>
      <c r="M124" s="35" t="s">
        <v>291</v>
      </c>
      <c r="N124" s="475"/>
      <c r="O124" s="476">
        <v>0.57152777777777775</v>
      </c>
      <c r="P124" s="476">
        <v>0.57152777777777775</v>
      </c>
      <c r="Q124" s="477">
        <v>0.57777777777777772</v>
      </c>
      <c r="R124" s="472">
        <f>IF(Table6[[#This Row],[Work Start TimeStamp]]="","",(Table6[[#This Row],[Work Start TimeStamp]]-Table6[[#This Row],[Fault Start TimeStamp]])*24)</f>
        <v>0</v>
      </c>
      <c r="S124" s="472">
        <f>(Table6[[#This Row],[Fault Clearance time]]-Table6[[#This Row],[Work Start TimeStamp]])*24</f>
        <v>0.14999999999999947</v>
      </c>
      <c r="T124" s="472">
        <f>(Table6[[#This Row],[Fault Clearance time]]-Table6[[#This Row],[Fault Start TimeStamp]])*24</f>
        <v>0.14999999999999947</v>
      </c>
      <c r="U124" s="35" t="s">
        <v>349</v>
      </c>
      <c r="V124" s="102" t="s">
        <v>293</v>
      </c>
      <c r="W124" s="478">
        <f>IFERROR(Table6[[#This Row],[Breakdown Time]]*Table6[[#This Row],[Plant Equivalent Weightage]],"")</f>
        <v>5.769230769230747E-3</v>
      </c>
      <c r="X124" s="473" t="s">
        <v>294</v>
      </c>
      <c r="Y124" s="474" t="s">
        <v>91</v>
      </c>
      <c r="Z124" s="102">
        <v>33218</v>
      </c>
      <c r="AA124" s="468">
        <f>(Table6[[#This Row],[Paired WTG Generation for loss calculation]]/24)*Table6[[#This Row],[Breakdown Time]]</f>
        <v>207.61249999999924</v>
      </c>
      <c r="AB124" s="102"/>
      <c r="AC124" s="35"/>
      <c r="AD124" s="35"/>
    </row>
    <row r="125" spans="1:30">
      <c r="A125" s="102">
        <f t="shared" si="2"/>
        <v>124</v>
      </c>
      <c r="B125" s="468">
        <f>YEAR(Table6[[#This Row],[Date]])+IF(MONTH(Table6[[#This Row],[Date]])&gt;=4,1,0)</f>
        <v>2026</v>
      </c>
      <c r="C125" s="102">
        <f>YEAR(Table6[[#This Row],[Date]])</f>
        <v>2025</v>
      </c>
      <c r="D125" s="102" t="s">
        <v>1992</v>
      </c>
      <c r="E125" s="469">
        <f>Table6[[#This Row],[Date]]-DAY(Table6[[#This Row],[Date]])+1</f>
        <v>45748</v>
      </c>
      <c r="F125" s="470">
        <v>45757</v>
      </c>
      <c r="G125" s="35" t="s">
        <v>79</v>
      </c>
      <c r="H125" s="35" t="str">
        <f>IFERROR(_xlfn.XLOOKUP(Table6[[#This Row],[Affected WTG]],'Basic Data'!$A:$A,'Basic Data'!$B:$B),"")</f>
        <v>TQGXIIPL</v>
      </c>
      <c r="I125" s="35" t="str">
        <f>IFERROR(_xlfn.XLOOKUP(Table6[[#This Row],[Affected WTG]],'Basic Data'!$A:$A,'Basic Data'!$C:$C),"")</f>
        <v>GEDA</v>
      </c>
      <c r="J125" s="471">
        <f>IFERROR(_xlfn.XLOOKUP(Table6[[#This Row],[Affected WTG]],'Basic Data'!$A:$A,'Basic Data'!$E:$E),"")</f>
        <v>3.846153846153845E-2</v>
      </c>
      <c r="K125" s="102">
        <v>1700</v>
      </c>
      <c r="L125" s="35" t="str">
        <f>IFERROR(_xlfn.XLOOKUP(Table6[[#This Row],[Error Code]],'Basic Data'!$AA:$AA,'Basic Data'!$AB:$AB),"Incorrect Error Code")</f>
        <v>High temp. gear bearing 1</v>
      </c>
      <c r="M125" s="35" t="s">
        <v>291</v>
      </c>
      <c r="N125" s="475"/>
      <c r="O125" s="476">
        <v>0.79513888888888884</v>
      </c>
      <c r="P125" s="476">
        <v>0.79513888888888884</v>
      </c>
      <c r="Q125" s="477">
        <v>0.81527777777777777</v>
      </c>
      <c r="R125" s="472">
        <f>IF(Table6[[#This Row],[Work Start TimeStamp]]="","",(Table6[[#This Row],[Work Start TimeStamp]]-Table6[[#This Row],[Fault Start TimeStamp]])*24)</f>
        <v>0</v>
      </c>
      <c r="S125" s="472">
        <f>(Table6[[#This Row],[Fault Clearance time]]-Table6[[#This Row],[Work Start TimeStamp]])*24</f>
        <v>0.48333333333333428</v>
      </c>
      <c r="T125" s="472">
        <f>(Table6[[#This Row],[Fault Clearance time]]-Table6[[#This Row],[Fault Start TimeStamp]])*24</f>
        <v>0.48333333333333428</v>
      </c>
      <c r="U125" s="35" t="s">
        <v>382</v>
      </c>
      <c r="V125" s="102" t="s">
        <v>293</v>
      </c>
      <c r="W125" s="478">
        <f>IFERROR(Table6[[#This Row],[Breakdown Time]]*Table6[[#This Row],[Plant Equivalent Weightage]],"")</f>
        <v>1.8589743589743621E-2</v>
      </c>
      <c r="X125" s="473" t="s">
        <v>294</v>
      </c>
      <c r="Y125" s="474" t="s">
        <v>91</v>
      </c>
      <c r="Z125" s="102">
        <v>33218</v>
      </c>
      <c r="AA125" s="468">
        <f>(Table6[[#This Row],[Paired WTG Generation for loss calculation]]/24)*Table6[[#This Row],[Breakdown Time]]</f>
        <v>668.9736111111124</v>
      </c>
      <c r="AB125" s="102"/>
      <c r="AC125" s="35"/>
      <c r="AD125" s="35"/>
    </row>
    <row r="126" spans="1:30">
      <c r="A126" s="102">
        <f t="shared" si="2"/>
        <v>125</v>
      </c>
      <c r="B126" s="468">
        <f>YEAR(Table6[[#This Row],[Date]])+IF(MONTH(Table6[[#This Row],[Date]])&gt;=4,1,0)</f>
        <v>2026</v>
      </c>
      <c r="C126" s="102">
        <f>YEAR(Table6[[#This Row],[Date]])</f>
        <v>2025</v>
      </c>
      <c r="D126" s="102" t="s">
        <v>1992</v>
      </c>
      <c r="E126" s="469">
        <f>Table6[[#This Row],[Date]]-DAY(Table6[[#This Row],[Date]])+1</f>
        <v>45748</v>
      </c>
      <c r="F126" s="470">
        <v>45757</v>
      </c>
      <c r="G126" s="35" t="s">
        <v>80</v>
      </c>
      <c r="H126" s="35" t="str">
        <f>IFERROR(_xlfn.XLOOKUP(Table6[[#This Row],[Affected WTG]],'Basic Data'!$A:$A,'Basic Data'!$B:$B),"")</f>
        <v>TQGXIIPL</v>
      </c>
      <c r="I126" s="35" t="str">
        <f>IFERROR(_xlfn.XLOOKUP(Table6[[#This Row],[Affected WTG]],'Basic Data'!$A:$A,'Basic Data'!$C:$C),"")</f>
        <v>GEDA</v>
      </c>
      <c r="J126" s="471">
        <f>IFERROR(_xlfn.XLOOKUP(Table6[[#This Row],[Affected WTG]],'Basic Data'!$A:$A,'Basic Data'!$E:$E),"")</f>
        <v>3.846153846153845E-2</v>
      </c>
      <c r="K126" s="102">
        <v>6130</v>
      </c>
      <c r="L126" s="35" t="str">
        <f>IFERROR(_xlfn.XLOOKUP(Table6[[#This Row],[Error Code]],'Basic Data'!$AA:$AA,'Basic Data'!$AB:$AB),"Incorrect Error Code")</f>
        <v>Yaw speed high</v>
      </c>
      <c r="M126" s="35" t="s">
        <v>291</v>
      </c>
      <c r="N126" s="475"/>
      <c r="O126" s="476">
        <v>0.14305555555555555</v>
      </c>
      <c r="P126" s="476">
        <v>0.14305555555555555</v>
      </c>
      <c r="Q126" s="477">
        <v>0.14722222222222223</v>
      </c>
      <c r="R126" s="472">
        <f>IF(Table6[[#This Row],[Work Start TimeStamp]]="","",(Table6[[#This Row],[Work Start TimeStamp]]-Table6[[#This Row],[Fault Start TimeStamp]])*24)</f>
        <v>0</v>
      </c>
      <c r="S126" s="472">
        <f>(Table6[[#This Row],[Fault Clearance time]]-Table6[[#This Row],[Work Start TimeStamp]])*24</f>
        <v>0.10000000000000031</v>
      </c>
      <c r="T126" s="472">
        <f>(Table6[[#This Row],[Fault Clearance time]]-Table6[[#This Row],[Fault Start TimeStamp]])*24</f>
        <v>0.10000000000000031</v>
      </c>
      <c r="U126" s="35" t="s">
        <v>336</v>
      </c>
      <c r="V126" s="102" t="s">
        <v>293</v>
      </c>
      <c r="W126" s="478">
        <f>IFERROR(Table6[[#This Row],[Breakdown Time]]*Table6[[#This Row],[Plant Equivalent Weightage]],"")</f>
        <v>3.8461538461538568E-3</v>
      </c>
      <c r="X126" s="473" t="s">
        <v>294</v>
      </c>
      <c r="Y126" s="474" t="s">
        <v>92</v>
      </c>
      <c r="Z126" s="102">
        <v>46375</v>
      </c>
      <c r="AA126" s="468">
        <f>(Table6[[#This Row],[Paired WTG Generation for loss calculation]]/24)*Table6[[#This Row],[Breakdown Time]]</f>
        <v>193.22916666666728</v>
      </c>
      <c r="AB126" s="102"/>
      <c r="AC126" s="35"/>
      <c r="AD126" s="35"/>
    </row>
    <row r="127" spans="1:30">
      <c r="A127" s="102">
        <f t="shared" si="2"/>
        <v>126</v>
      </c>
      <c r="B127" s="468">
        <f>YEAR(Table6[[#This Row],[Date]])+IF(MONTH(Table6[[#This Row],[Date]])&gt;=4,1,0)</f>
        <v>2026</v>
      </c>
      <c r="C127" s="102">
        <f>YEAR(Table6[[#This Row],[Date]])</f>
        <v>2025</v>
      </c>
      <c r="D127" s="102" t="s">
        <v>1992</v>
      </c>
      <c r="E127" s="469">
        <f>Table6[[#This Row],[Date]]-DAY(Table6[[#This Row],[Date]])+1</f>
        <v>45748</v>
      </c>
      <c r="F127" s="470">
        <v>45757</v>
      </c>
      <c r="G127" s="35" t="s">
        <v>81</v>
      </c>
      <c r="H127" s="35" t="str">
        <f>IFERROR(_xlfn.XLOOKUP(Table6[[#This Row],[Affected WTG]],'Basic Data'!$A:$A,'Basic Data'!$B:$B),"")</f>
        <v>TQGXIIPL</v>
      </c>
      <c r="I127" s="35" t="str">
        <f>IFERROR(_xlfn.XLOOKUP(Table6[[#This Row],[Affected WTG]],'Basic Data'!$A:$A,'Basic Data'!$C:$C),"")</f>
        <v>GEDA</v>
      </c>
      <c r="J127" s="471">
        <f>IFERROR(_xlfn.XLOOKUP(Table6[[#This Row],[Affected WTG]],'Basic Data'!$A:$A,'Basic Data'!$E:$E),"")</f>
        <v>3.846153846153845E-2</v>
      </c>
      <c r="K127" s="102">
        <v>4520</v>
      </c>
      <c r="L127" s="35" t="str">
        <f>IFERROR(_xlfn.XLOOKUP(Table6[[#This Row],[Error Code]],'Basic Data'!$AA:$AA,'Basic Data'!$AB:$AB),"Incorrect Error Code")</f>
        <v>Tower oscillation X level 1</v>
      </c>
      <c r="M127" s="35" t="s">
        <v>291</v>
      </c>
      <c r="N127" s="475"/>
      <c r="O127" s="476">
        <v>0.14374999999999999</v>
      </c>
      <c r="P127" s="476">
        <v>0.14374999999999999</v>
      </c>
      <c r="Q127" s="477">
        <v>0.15138888888888888</v>
      </c>
      <c r="R127" s="472">
        <f>IF(Table6[[#This Row],[Work Start TimeStamp]]="","",(Table6[[#This Row],[Work Start TimeStamp]]-Table6[[#This Row],[Fault Start TimeStamp]])*24)</f>
        <v>0</v>
      </c>
      <c r="S127" s="472">
        <f>(Table6[[#This Row],[Fault Clearance time]]-Table6[[#This Row],[Work Start TimeStamp]])*24</f>
        <v>0.18333333333333335</v>
      </c>
      <c r="T127" s="472">
        <f>(Table6[[#This Row],[Fault Clearance time]]-Table6[[#This Row],[Fault Start TimeStamp]])*24</f>
        <v>0.18333333333333335</v>
      </c>
      <c r="U127" s="35" t="s">
        <v>349</v>
      </c>
      <c r="V127" s="102" t="s">
        <v>293</v>
      </c>
      <c r="W127" s="478">
        <f>IFERROR(Table6[[#This Row],[Breakdown Time]]*Table6[[#This Row],[Plant Equivalent Weightage]],"")</f>
        <v>7.0512820512820496E-3</v>
      </c>
      <c r="X127" s="473" t="s">
        <v>294</v>
      </c>
      <c r="Y127" s="474" t="s">
        <v>74</v>
      </c>
      <c r="Z127" s="102">
        <v>37826</v>
      </c>
      <c r="AA127" s="468">
        <f>(Table6[[#This Row],[Paired WTG Generation for loss calculation]]/24)*Table6[[#This Row],[Breakdown Time]]</f>
        <v>288.94861111111112</v>
      </c>
      <c r="AB127" s="102"/>
      <c r="AC127" s="35"/>
      <c r="AD127" s="35"/>
    </row>
    <row r="128" spans="1:30">
      <c r="A128" s="102">
        <f t="shared" si="2"/>
        <v>127</v>
      </c>
      <c r="B128" s="468">
        <f>YEAR(Table6[[#This Row],[Date]])+IF(MONTH(Table6[[#This Row],[Date]])&gt;=4,1,0)</f>
        <v>2026</v>
      </c>
      <c r="C128" s="102">
        <f>YEAR(Table6[[#This Row],[Date]])</f>
        <v>2025</v>
      </c>
      <c r="D128" s="102" t="s">
        <v>1992</v>
      </c>
      <c r="E128" s="469">
        <f>Table6[[#This Row],[Date]]-DAY(Table6[[#This Row],[Date]])+1</f>
        <v>45748</v>
      </c>
      <c r="F128" s="470">
        <v>45757</v>
      </c>
      <c r="G128" s="35" t="s">
        <v>81</v>
      </c>
      <c r="H128" s="35" t="str">
        <f>IFERROR(_xlfn.XLOOKUP(Table6[[#This Row],[Affected WTG]],'Basic Data'!$A:$A,'Basic Data'!$B:$B),"")</f>
        <v>TQGXIIPL</v>
      </c>
      <c r="I128" s="35" t="str">
        <f>IFERROR(_xlfn.XLOOKUP(Table6[[#This Row],[Affected WTG]],'Basic Data'!$A:$A,'Basic Data'!$C:$C),"")</f>
        <v>GEDA</v>
      </c>
      <c r="J128" s="471">
        <f>IFERROR(_xlfn.XLOOKUP(Table6[[#This Row],[Affected WTG]],'Basic Data'!$A:$A,'Basic Data'!$E:$E),"")</f>
        <v>3.846153846153845E-2</v>
      </c>
      <c r="K128" s="102">
        <v>4520</v>
      </c>
      <c r="L128" s="35" t="str">
        <f>IFERROR(_xlfn.XLOOKUP(Table6[[#This Row],[Error Code]],'Basic Data'!$AA:$AA,'Basic Data'!$AB:$AB),"Incorrect Error Code")</f>
        <v>Tower oscillation X level 1</v>
      </c>
      <c r="M128" s="35" t="s">
        <v>291</v>
      </c>
      <c r="N128" s="475"/>
      <c r="O128" s="476">
        <v>0.39861111111111114</v>
      </c>
      <c r="P128" s="476">
        <v>0.39861111111111114</v>
      </c>
      <c r="Q128" s="477">
        <v>0.40625</v>
      </c>
      <c r="R128" s="472">
        <f>IF(Table6[[#This Row],[Work Start TimeStamp]]="","",(Table6[[#This Row],[Work Start TimeStamp]]-Table6[[#This Row],[Fault Start TimeStamp]])*24)</f>
        <v>0</v>
      </c>
      <c r="S128" s="472">
        <f>(Table6[[#This Row],[Fault Clearance time]]-Table6[[#This Row],[Work Start TimeStamp]])*24</f>
        <v>0.18333333333333268</v>
      </c>
      <c r="T128" s="472">
        <f>(Table6[[#This Row],[Fault Clearance time]]-Table6[[#This Row],[Fault Start TimeStamp]])*24</f>
        <v>0.18333333333333268</v>
      </c>
      <c r="U128" s="35" t="s">
        <v>349</v>
      </c>
      <c r="V128" s="102" t="s">
        <v>293</v>
      </c>
      <c r="W128" s="478">
        <f>IFERROR(Table6[[#This Row],[Breakdown Time]]*Table6[[#This Row],[Plant Equivalent Weightage]],"")</f>
        <v>7.0512820512820245E-3</v>
      </c>
      <c r="X128" s="473" t="s">
        <v>294</v>
      </c>
      <c r="Y128" s="474" t="s">
        <v>74</v>
      </c>
      <c r="Z128" s="102">
        <v>37826</v>
      </c>
      <c r="AA128" s="468">
        <f>(Table6[[#This Row],[Paired WTG Generation for loss calculation]]/24)*Table6[[#This Row],[Breakdown Time]]</f>
        <v>288.9486111111101</v>
      </c>
      <c r="AB128" s="102"/>
      <c r="AC128" s="35"/>
      <c r="AD128" s="35"/>
    </row>
    <row r="129" spans="1:30">
      <c r="A129" s="102">
        <f t="shared" si="2"/>
        <v>128</v>
      </c>
      <c r="B129" s="468">
        <f>YEAR(Table6[[#This Row],[Date]])+IF(MONTH(Table6[[#This Row],[Date]])&gt;=4,1,0)</f>
        <v>2026</v>
      </c>
      <c r="C129" s="102">
        <f>YEAR(Table6[[#This Row],[Date]])</f>
        <v>2025</v>
      </c>
      <c r="D129" s="102" t="s">
        <v>1992</v>
      </c>
      <c r="E129" s="469">
        <f>Table6[[#This Row],[Date]]-DAY(Table6[[#This Row],[Date]])+1</f>
        <v>45748</v>
      </c>
      <c r="F129" s="470">
        <v>45757</v>
      </c>
      <c r="G129" s="35" t="s">
        <v>81</v>
      </c>
      <c r="H129" s="35" t="str">
        <f>IFERROR(_xlfn.XLOOKUP(Table6[[#This Row],[Affected WTG]],'Basic Data'!$A:$A,'Basic Data'!$B:$B),"")</f>
        <v>TQGXIIPL</v>
      </c>
      <c r="I129" s="35" t="str">
        <f>IFERROR(_xlfn.XLOOKUP(Table6[[#This Row],[Affected WTG]],'Basic Data'!$A:$A,'Basic Data'!$C:$C),"")</f>
        <v>GEDA</v>
      </c>
      <c r="J129" s="471">
        <f>IFERROR(_xlfn.XLOOKUP(Table6[[#This Row],[Affected WTG]],'Basic Data'!$A:$A,'Basic Data'!$E:$E),"")</f>
        <v>3.846153846153845E-2</v>
      </c>
      <c r="K129" s="102">
        <v>55</v>
      </c>
      <c r="L129" s="35" t="str">
        <f>IFERROR(_xlfn.XLOOKUP(Table6[[#This Row],[Error Code]],'Basic Data'!$AA:$AA,'Basic Data'!$AB:$AB),"Incorrect Error Code")</f>
        <v>WTG shut down</v>
      </c>
      <c r="M129" s="35" t="s">
        <v>330</v>
      </c>
      <c r="N129" s="475"/>
      <c r="O129" s="476">
        <v>0.72430555555555554</v>
      </c>
      <c r="P129" s="476">
        <v>0.72430555555555554</v>
      </c>
      <c r="Q129" s="477">
        <v>0.8125</v>
      </c>
      <c r="R129" s="472">
        <f>IF(Table6[[#This Row],[Work Start TimeStamp]]="","",(Table6[[#This Row],[Work Start TimeStamp]]-Table6[[#This Row],[Fault Start TimeStamp]])*24)</f>
        <v>0</v>
      </c>
      <c r="S129" s="472">
        <f>(Table6[[#This Row],[Fault Clearance time]]-Table6[[#This Row],[Work Start TimeStamp]])*24</f>
        <v>2.1166666666666671</v>
      </c>
      <c r="T129" s="472">
        <f>(Table6[[#This Row],[Fault Clearance time]]-Table6[[#This Row],[Fault Start TimeStamp]])*24</f>
        <v>2.1166666666666671</v>
      </c>
      <c r="U129" s="35" t="s">
        <v>337</v>
      </c>
      <c r="V129" s="102" t="s">
        <v>293</v>
      </c>
      <c r="W129" s="478">
        <f>IFERROR(Table6[[#This Row],[Breakdown Time]]*Table6[[#This Row],[Plant Equivalent Weightage]],"")</f>
        <v>8.1410256410256399E-2</v>
      </c>
      <c r="X129" s="473" t="s">
        <v>290</v>
      </c>
      <c r="Y129" s="474" t="s">
        <v>74</v>
      </c>
      <c r="Z129" s="102">
        <v>37826</v>
      </c>
      <c r="AA129" s="468">
        <f>(Table6[[#This Row],[Paired WTG Generation for loss calculation]]/24)*Table6[[#This Row],[Breakdown Time]]</f>
        <v>3336.0430555555563</v>
      </c>
      <c r="AB129" s="102"/>
      <c r="AC129" s="35"/>
      <c r="AD129" s="35"/>
    </row>
    <row r="130" spans="1:30">
      <c r="A130" s="102">
        <f t="shared" si="2"/>
        <v>129</v>
      </c>
      <c r="B130" s="468">
        <f>YEAR(Table6[[#This Row],[Date]])+IF(MONTH(Table6[[#This Row],[Date]])&gt;=4,1,0)</f>
        <v>2026</v>
      </c>
      <c r="C130" s="102">
        <f>YEAR(Table6[[#This Row],[Date]])</f>
        <v>2025</v>
      </c>
      <c r="D130" s="102" t="s">
        <v>1992</v>
      </c>
      <c r="E130" s="469">
        <f>Table6[[#This Row],[Date]]-DAY(Table6[[#This Row],[Date]])+1</f>
        <v>45748</v>
      </c>
      <c r="F130" s="470">
        <v>45757</v>
      </c>
      <c r="G130" s="35" t="s">
        <v>84</v>
      </c>
      <c r="H130" s="35" t="str">
        <f>IFERROR(_xlfn.XLOOKUP(Table6[[#This Row],[Affected WTG]],'Basic Data'!$A:$A,'Basic Data'!$B:$B),"")</f>
        <v>TQGXIIPL</v>
      </c>
      <c r="I130" s="35" t="str">
        <f>IFERROR(_xlfn.XLOOKUP(Table6[[#This Row],[Affected WTG]],'Basic Data'!$A:$A,'Basic Data'!$C:$C),"")</f>
        <v>GEDA</v>
      </c>
      <c r="J130" s="471">
        <f>IFERROR(_xlfn.XLOOKUP(Table6[[#This Row],[Affected WTG]],'Basic Data'!$A:$A,'Basic Data'!$E:$E),"")</f>
        <v>3.846153846153845E-2</v>
      </c>
      <c r="K130" s="102">
        <v>6130</v>
      </c>
      <c r="L130" s="35" t="str">
        <f>IFERROR(_xlfn.XLOOKUP(Table6[[#This Row],[Error Code]],'Basic Data'!$AA:$AA,'Basic Data'!$AB:$AB),"Incorrect Error Code")</f>
        <v>Yaw speed high</v>
      </c>
      <c r="M130" s="35" t="s">
        <v>291</v>
      </c>
      <c r="N130" s="475"/>
      <c r="O130" s="476">
        <v>0.57708333333333328</v>
      </c>
      <c r="P130" s="476">
        <v>0.57708333333333328</v>
      </c>
      <c r="Q130" s="477">
        <v>0.58125000000000004</v>
      </c>
      <c r="R130" s="472">
        <f>IF(Table6[[#This Row],[Work Start TimeStamp]]="","",(Table6[[#This Row],[Work Start TimeStamp]]-Table6[[#This Row],[Fault Start TimeStamp]])*24)</f>
        <v>0</v>
      </c>
      <c r="S130" s="472">
        <f>(Table6[[#This Row],[Fault Clearance time]]-Table6[[#This Row],[Work Start TimeStamp]])*24</f>
        <v>0.10000000000000231</v>
      </c>
      <c r="T130" s="472">
        <f>(Table6[[#This Row],[Fault Clearance time]]-Table6[[#This Row],[Fault Start TimeStamp]])*24</f>
        <v>0.10000000000000231</v>
      </c>
      <c r="U130" s="35" t="s">
        <v>336</v>
      </c>
      <c r="V130" s="102" t="s">
        <v>293</v>
      </c>
      <c r="W130" s="478">
        <f>IFERROR(Table6[[#This Row],[Breakdown Time]]*Table6[[#This Row],[Plant Equivalent Weightage]],"")</f>
        <v>3.846153846153934E-3</v>
      </c>
      <c r="X130" s="473" t="s">
        <v>294</v>
      </c>
      <c r="Y130" s="474" t="s">
        <v>85</v>
      </c>
      <c r="Z130" s="102">
        <v>38699</v>
      </c>
      <c r="AA130" s="468">
        <f>(Table6[[#This Row],[Paired WTG Generation for loss calculation]]/24)*Table6[[#This Row],[Breakdown Time]]</f>
        <v>161.24583333333706</v>
      </c>
      <c r="AB130" s="102"/>
      <c r="AC130" s="35"/>
      <c r="AD130" s="35"/>
    </row>
    <row r="131" spans="1:30">
      <c r="A131" s="102">
        <f t="shared" si="2"/>
        <v>130</v>
      </c>
      <c r="B131" s="468">
        <f>YEAR(Table6[[#This Row],[Date]])+IF(MONTH(Table6[[#This Row],[Date]])&gt;=4,1,0)</f>
        <v>2026</v>
      </c>
      <c r="C131" s="102">
        <f>YEAR(Table6[[#This Row],[Date]])</f>
        <v>2025</v>
      </c>
      <c r="D131" s="102" t="s">
        <v>1992</v>
      </c>
      <c r="E131" s="469">
        <f>Table6[[#This Row],[Date]]-DAY(Table6[[#This Row],[Date]])+1</f>
        <v>45748</v>
      </c>
      <c r="F131" s="470">
        <v>45757</v>
      </c>
      <c r="G131" s="35" t="s">
        <v>85</v>
      </c>
      <c r="H131" s="35" t="str">
        <f>IFERROR(_xlfn.XLOOKUP(Table6[[#This Row],[Affected WTG]],'Basic Data'!$A:$A,'Basic Data'!$B:$B),"")</f>
        <v>TQGXIIPL</v>
      </c>
      <c r="I131" s="35" t="str">
        <f>IFERROR(_xlfn.XLOOKUP(Table6[[#This Row],[Affected WTG]],'Basic Data'!$A:$A,'Basic Data'!$C:$C),"")</f>
        <v>GEDA</v>
      </c>
      <c r="J131" s="471">
        <f>IFERROR(_xlfn.XLOOKUP(Table6[[#This Row],[Affected WTG]],'Basic Data'!$A:$A,'Basic Data'!$E:$E),"")</f>
        <v>3.846153846153845E-2</v>
      </c>
      <c r="K131" s="102">
        <v>1700</v>
      </c>
      <c r="L131" s="35" t="str">
        <f>IFERROR(_xlfn.XLOOKUP(Table6[[#This Row],[Error Code]],'Basic Data'!$AA:$AA,'Basic Data'!$AB:$AB),"Incorrect Error Code")</f>
        <v>High temp. gear bearing 1</v>
      </c>
      <c r="M131" s="35" t="s">
        <v>291</v>
      </c>
      <c r="N131" s="475"/>
      <c r="O131" s="476">
        <v>0.79652777777777772</v>
      </c>
      <c r="P131" s="476">
        <v>0.79652777777777772</v>
      </c>
      <c r="Q131" s="477">
        <v>0.80833333333333335</v>
      </c>
      <c r="R131" s="472">
        <f>IF(Table6[[#This Row],[Work Start TimeStamp]]="","",(Table6[[#This Row],[Work Start TimeStamp]]-Table6[[#This Row],[Fault Start TimeStamp]])*24)</f>
        <v>0</v>
      </c>
      <c r="S131" s="472">
        <f>(Table6[[#This Row],[Fault Clearance time]]-Table6[[#This Row],[Work Start TimeStamp]])*24</f>
        <v>0.28333333333333499</v>
      </c>
      <c r="T131" s="472">
        <f>(Table6[[#This Row],[Fault Clearance time]]-Table6[[#This Row],[Fault Start TimeStamp]])*24</f>
        <v>0.28333333333333499</v>
      </c>
      <c r="U131" s="35" t="s">
        <v>382</v>
      </c>
      <c r="V131" s="102" t="s">
        <v>293</v>
      </c>
      <c r="W131" s="478">
        <f>IFERROR(Table6[[#This Row],[Breakdown Time]]*Table6[[#This Row],[Plant Equivalent Weightage]],"")</f>
        <v>1.0897435897435958E-2</v>
      </c>
      <c r="X131" s="473" t="s">
        <v>294</v>
      </c>
      <c r="Y131" s="474" t="s">
        <v>84</v>
      </c>
      <c r="Z131" s="102">
        <v>35407</v>
      </c>
      <c r="AA131" s="468">
        <f>(Table6[[#This Row],[Paired WTG Generation for loss calculation]]/24)*Table6[[#This Row],[Breakdown Time]]</f>
        <v>417.99930555555801</v>
      </c>
      <c r="AB131" s="102"/>
      <c r="AC131" s="35"/>
      <c r="AD131" s="35"/>
    </row>
    <row r="132" spans="1:30">
      <c r="A132" s="102">
        <f t="shared" si="2"/>
        <v>131</v>
      </c>
      <c r="B132" s="468">
        <f>YEAR(Table6[[#This Row],[Date]])+IF(MONTH(Table6[[#This Row],[Date]])&gt;=4,1,0)</f>
        <v>2026</v>
      </c>
      <c r="C132" s="102">
        <f>YEAR(Table6[[#This Row],[Date]])</f>
        <v>2025</v>
      </c>
      <c r="D132" s="102" t="s">
        <v>1992</v>
      </c>
      <c r="E132" s="469">
        <f>Table6[[#This Row],[Date]]-DAY(Table6[[#This Row],[Date]])+1</f>
        <v>45748</v>
      </c>
      <c r="F132" s="470">
        <v>45757</v>
      </c>
      <c r="G132" s="35" t="s">
        <v>86</v>
      </c>
      <c r="H132" s="35" t="str">
        <f>IFERROR(_xlfn.XLOOKUP(Table6[[#This Row],[Affected WTG]],'Basic Data'!$A:$A,'Basic Data'!$B:$B),"")</f>
        <v>TQGXIIPL</v>
      </c>
      <c r="I132" s="35" t="str">
        <f>IFERROR(_xlfn.XLOOKUP(Table6[[#This Row],[Affected WTG]],'Basic Data'!$A:$A,'Basic Data'!$C:$C),"")</f>
        <v>GEDA</v>
      </c>
      <c r="J132" s="471">
        <f>IFERROR(_xlfn.XLOOKUP(Table6[[#This Row],[Affected WTG]],'Basic Data'!$A:$A,'Basic Data'!$E:$E),"")</f>
        <v>3.846153846153845E-2</v>
      </c>
      <c r="K132" s="102">
        <v>6130</v>
      </c>
      <c r="L132" s="35" t="str">
        <f>IFERROR(_xlfn.XLOOKUP(Table6[[#This Row],[Error Code]],'Basic Data'!$AA:$AA,'Basic Data'!$AB:$AB),"Incorrect Error Code")</f>
        <v>Yaw speed high</v>
      </c>
      <c r="M132" s="35" t="s">
        <v>291</v>
      </c>
      <c r="N132" s="475"/>
      <c r="O132" s="476">
        <v>0.58472222222222225</v>
      </c>
      <c r="P132" s="476">
        <v>0.58472222222222225</v>
      </c>
      <c r="Q132" s="477">
        <v>0.58888888888888891</v>
      </c>
      <c r="R132" s="472">
        <f>IF(Table6[[#This Row],[Work Start TimeStamp]]="","",(Table6[[#This Row],[Work Start TimeStamp]]-Table6[[#This Row],[Fault Start TimeStamp]])*24)</f>
        <v>0</v>
      </c>
      <c r="S132" s="472">
        <f>(Table6[[#This Row],[Fault Clearance time]]-Table6[[#This Row],[Work Start TimeStamp]])*24</f>
        <v>9.9999999999999645E-2</v>
      </c>
      <c r="T132" s="472">
        <f>(Table6[[#This Row],[Fault Clearance time]]-Table6[[#This Row],[Fault Start TimeStamp]])*24</f>
        <v>9.9999999999999645E-2</v>
      </c>
      <c r="U132" s="35" t="s">
        <v>336</v>
      </c>
      <c r="V132" s="102" t="s">
        <v>293</v>
      </c>
      <c r="W132" s="478">
        <f>IFERROR(Table6[[#This Row],[Breakdown Time]]*Table6[[#This Row],[Plant Equivalent Weightage]],"")</f>
        <v>3.8461538461538312E-3</v>
      </c>
      <c r="X132" s="473" t="s">
        <v>294</v>
      </c>
      <c r="Y132" s="474" t="s">
        <v>87</v>
      </c>
      <c r="Z132" s="102">
        <v>36725</v>
      </c>
      <c r="AA132" s="468">
        <f>(Table6[[#This Row],[Paired WTG Generation for loss calculation]]/24)*Table6[[#This Row],[Breakdown Time]]</f>
        <v>153.02083333333277</v>
      </c>
      <c r="AB132" s="102"/>
      <c r="AC132" s="35"/>
      <c r="AD132" s="35"/>
    </row>
    <row r="133" spans="1:30">
      <c r="A133" s="102">
        <f t="shared" si="2"/>
        <v>132</v>
      </c>
      <c r="B133" s="468">
        <f>YEAR(Table6[[#This Row],[Date]])+IF(MONTH(Table6[[#This Row],[Date]])&gt;=4,1,0)</f>
        <v>2026</v>
      </c>
      <c r="C133" s="102">
        <f>YEAR(Table6[[#This Row],[Date]])</f>
        <v>2025</v>
      </c>
      <c r="D133" s="102" t="s">
        <v>1992</v>
      </c>
      <c r="E133" s="469">
        <f>Table6[[#This Row],[Date]]-DAY(Table6[[#This Row],[Date]])+1</f>
        <v>45748</v>
      </c>
      <c r="F133" s="470">
        <v>45757</v>
      </c>
      <c r="G133" s="35" t="s">
        <v>86</v>
      </c>
      <c r="H133" s="35" t="str">
        <f>IFERROR(_xlfn.XLOOKUP(Table6[[#This Row],[Affected WTG]],'Basic Data'!$A:$A,'Basic Data'!$B:$B),"")</f>
        <v>TQGXIIPL</v>
      </c>
      <c r="I133" s="35" t="str">
        <f>IFERROR(_xlfn.XLOOKUP(Table6[[#This Row],[Affected WTG]],'Basic Data'!$A:$A,'Basic Data'!$C:$C),"")</f>
        <v>GEDA</v>
      </c>
      <c r="J133" s="471">
        <f>IFERROR(_xlfn.XLOOKUP(Table6[[#This Row],[Affected WTG]],'Basic Data'!$A:$A,'Basic Data'!$E:$E),"")</f>
        <v>3.846153846153845E-2</v>
      </c>
      <c r="K133" s="102">
        <v>6130</v>
      </c>
      <c r="L133" s="35" t="str">
        <f>IFERROR(_xlfn.XLOOKUP(Table6[[#This Row],[Error Code]],'Basic Data'!$AA:$AA,'Basic Data'!$AB:$AB),"Incorrect Error Code")</f>
        <v>Yaw speed high</v>
      </c>
      <c r="M133" s="35" t="s">
        <v>291</v>
      </c>
      <c r="N133" s="475"/>
      <c r="O133" s="476">
        <v>0.65972222222222221</v>
      </c>
      <c r="P133" s="476">
        <v>0.65972222222222221</v>
      </c>
      <c r="Q133" s="477">
        <v>0.67500000000000004</v>
      </c>
      <c r="R133" s="472">
        <f>IF(Table6[[#This Row],[Work Start TimeStamp]]="","",(Table6[[#This Row],[Work Start TimeStamp]]-Table6[[#This Row],[Fault Start TimeStamp]])*24)</f>
        <v>0</v>
      </c>
      <c r="S133" s="472">
        <f>(Table6[[#This Row],[Fault Clearance time]]-Table6[[#This Row],[Work Start TimeStamp]])*24</f>
        <v>0.36666666666666803</v>
      </c>
      <c r="T133" s="472">
        <f>(Table6[[#This Row],[Fault Clearance time]]-Table6[[#This Row],[Fault Start TimeStamp]])*24</f>
        <v>0.36666666666666803</v>
      </c>
      <c r="U133" s="35" t="s">
        <v>374</v>
      </c>
      <c r="V133" s="102" t="s">
        <v>293</v>
      </c>
      <c r="W133" s="478">
        <f>IFERROR(Table6[[#This Row],[Breakdown Time]]*Table6[[#This Row],[Plant Equivalent Weightage]],"")</f>
        <v>1.4102564102564151E-2</v>
      </c>
      <c r="X133" s="473" t="s">
        <v>294</v>
      </c>
      <c r="Y133" s="474" t="s">
        <v>87</v>
      </c>
      <c r="Z133" s="102">
        <v>36725</v>
      </c>
      <c r="AA133" s="468">
        <f>(Table6[[#This Row],[Paired WTG Generation for loss calculation]]/24)*Table6[[#This Row],[Breakdown Time]]</f>
        <v>561.07638888889096</v>
      </c>
      <c r="AB133" s="102"/>
      <c r="AC133" s="35"/>
      <c r="AD133" s="35"/>
    </row>
    <row r="134" spans="1:30">
      <c r="A134" s="102">
        <f t="shared" si="2"/>
        <v>133</v>
      </c>
      <c r="B134" s="468">
        <f>YEAR(Table6[[#This Row],[Date]])+IF(MONTH(Table6[[#This Row],[Date]])&gt;=4,1,0)</f>
        <v>2026</v>
      </c>
      <c r="C134" s="102">
        <f>YEAR(Table6[[#This Row],[Date]])</f>
        <v>2025</v>
      </c>
      <c r="D134" s="102" t="s">
        <v>1992</v>
      </c>
      <c r="E134" s="469">
        <f>Table6[[#This Row],[Date]]-DAY(Table6[[#This Row],[Date]])+1</f>
        <v>45748</v>
      </c>
      <c r="F134" s="470">
        <v>45757</v>
      </c>
      <c r="G134" s="35" t="s">
        <v>88</v>
      </c>
      <c r="H134" s="35" t="str">
        <f>IFERROR(_xlfn.XLOOKUP(Table6[[#This Row],[Affected WTG]],'Basic Data'!$A:$A,'Basic Data'!$B:$B),"")</f>
        <v>TQGXIIPL</v>
      </c>
      <c r="I134" s="35" t="str">
        <f>IFERROR(_xlfn.XLOOKUP(Table6[[#This Row],[Affected WTG]],'Basic Data'!$A:$A,'Basic Data'!$C:$C),"")</f>
        <v>GEDA</v>
      </c>
      <c r="J134" s="471">
        <f>IFERROR(_xlfn.XLOOKUP(Table6[[#This Row],[Affected WTG]],'Basic Data'!$A:$A,'Basic Data'!$E:$E),"")</f>
        <v>3.846153846153845E-2</v>
      </c>
      <c r="K134" s="102">
        <v>3000</v>
      </c>
      <c r="L134" s="35" t="str">
        <f>IFERROR(_xlfn.XLOOKUP(Table6[[#This Row],[Error Code]],'Basic Data'!$AA:$AA,'Basic Data'!$AB:$AB),"Incorrect Error Code")</f>
        <v>Frequency converter not ready</v>
      </c>
      <c r="M134" s="35" t="s">
        <v>291</v>
      </c>
      <c r="N134" s="475"/>
      <c r="O134" s="476">
        <v>0.71111111111111114</v>
      </c>
      <c r="P134" s="476">
        <v>0.71111111111111114</v>
      </c>
      <c r="Q134" s="477">
        <v>0.71944444444444444</v>
      </c>
      <c r="R134" s="472">
        <f>IF(Table6[[#This Row],[Work Start TimeStamp]]="","",(Table6[[#This Row],[Work Start TimeStamp]]-Table6[[#This Row],[Fault Start TimeStamp]])*24)</f>
        <v>0</v>
      </c>
      <c r="S134" s="472">
        <f>(Table6[[#This Row],[Fault Clearance time]]-Table6[[#This Row],[Work Start TimeStamp]])*24</f>
        <v>0.19999999999999929</v>
      </c>
      <c r="T134" s="472">
        <f>(Table6[[#This Row],[Fault Clearance time]]-Table6[[#This Row],[Fault Start TimeStamp]])*24</f>
        <v>0.19999999999999929</v>
      </c>
      <c r="U134" s="35" t="s">
        <v>349</v>
      </c>
      <c r="V134" s="102" t="s">
        <v>293</v>
      </c>
      <c r="W134" s="478">
        <f>IFERROR(Table6[[#This Row],[Breakdown Time]]*Table6[[#This Row],[Plant Equivalent Weightage]],"")</f>
        <v>7.6923076923076624E-3</v>
      </c>
      <c r="X134" s="473" t="s">
        <v>294</v>
      </c>
      <c r="Y134" s="474" t="s">
        <v>83</v>
      </c>
      <c r="Z134" s="102">
        <v>35686</v>
      </c>
      <c r="AA134" s="468">
        <f>(Table6[[#This Row],[Paired WTG Generation for loss calculation]]/24)*Table6[[#This Row],[Breakdown Time]]</f>
        <v>297.3833333333323</v>
      </c>
      <c r="AB134" s="102"/>
      <c r="AC134" s="35"/>
      <c r="AD134" s="35"/>
    </row>
    <row r="135" spans="1:30">
      <c r="A135" s="102">
        <f t="shared" si="2"/>
        <v>134</v>
      </c>
      <c r="B135" s="468">
        <f>YEAR(Table6[[#This Row],[Date]])+IF(MONTH(Table6[[#This Row],[Date]])&gt;=4,1,0)</f>
        <v>2026</v>
      </c>
      <c r="C135" s="102">
        <f>YEAR(Table6[[#This Row],[Date]])</f>
        <v>2025</v>
      </c>
      <c r="D135" s="102" t="s">
        <v>1992</v>
      </c>
      <c r="E135" s="469">
        <f>Table6[[#This Row],[Date]]-DAY(Table6[[#This Row],[Date]])+1</f>
        <v>45748</v>
      </c>
      <c r="F135" s="470">
        <v>45757</v>
      </c>
      <c r="G135" s="35" t="s">
        <v>88</v>
      </c>
      <c r="H135" s="35" t="str">
        <f>IFERROR(_xlfn.XLOOKUP(Table6[[#This Row],[Affected WTG]],'Basic Data'!$A:$A,'Basic Data'!$B:$B),"")</f>
        <v>TQGXIIPL</v>
      </c>
      <c r="I135" s="35" t="str">
        <f>IFERROR(_xlfn.XLOOKUP(Table6[[#This Row],[Affected WTG]],'Basic Data'!$A:$A,'Basic Data'!$C:$C),"")</f>
        <v>GEDA</v>
      </c>
      <c r="J135" s="471">
        <f>IFERROR(_xlfn.XLOOKUP(Table6[[#This Row],[Affected WTG]],'Basic Data'!$A:$A,'Basic Data'!$E:$E),"")</f>
        <v>3.846153846153845E-2</v>
      </c>
      <c r="K135" s="102">
        <v>55</v>
      </c>
      <c r="L135" s="35" t="str">
        <f>IFERROR(_xlfn.XLOOKUP(Table6[[#This Row],[Error Code]],'Basic Data'!$AA:$AA,'Basic Data'!$AB:$AB),"Incorrect Error Code")</f>
        <v>WTG shut down</v>
      </c>
      <c r="M135" s="35" t="s">
        <v>330</v>
      </c>
      <c r="N135" s="475"/>
      <c r="O135" s="476">
        <v>0.73333333333333328</v>
      </c>
      <c r="P135" s="476">
        <v>0.73333333333333328</v>
      </c>
      <c r="Q135" s="477">
        <v>0.78888888888888886</v>
      </c>
      <c r="R135" s="472">
        <f>IF(Table6[[#This Row],[Work Start TimeStamp]]="","",(Table6[[#This Row],[Work Start TimeStamp]]-Table6[[#This Row],[Fault Start TimeStamp]])*24)</f>
        <v>0</v>
      </c>
      <c r="S135" s="472">
        <f>(Table6[[#This Row],[Fault Clearance time]]-Table6[[#This Row],[Work Start TimeStamp]])*24</f>
        <v>1.3333333333333339</v>
      </c>
      <c r="T135" s="472">
        <f>(Table6[[#This Row],[Fault Clearance time]]-Table6[[#This Row],[Fault Start TimeStamp]])*24</f>
        <v>1.3333333333333339</v>
      </c>
      <c r="U135" s="35" t="s">
        <v>337</v>
      </c>
      <c r="V135" s="102" t="s">
        <v>293</v>
      </c>
      <c r="W135" s="478">
        <f>IFERROR(Table6[[#This Row],[Breakdown Time]]*Table6[[#This Row],[Plant Equivalent Weightage]],"")</f>
        <v>5.1282051282051287E-2</v>
      </c>
      <c r="X135" s="473" t="s">
        <v>290</v>
      </c>
      <c r="Y135" s="474" t="s">
        <v>83</v>
      </c>
      <c r="Z135" s="102">
        <v>35686</v>
      </c>
      <c r="AA135" s="468">
        <f>(Table6[[#This Row],[Paired WTG Generation for loss calculation]]/24)*Table6[[#This Row],[Breakdown Time]]</f>
        <v>1982.5555555555566</v>
      </c>
      <c r="AB135" s="102"/>
      <c r="AC135" s="35"/>
      <c r="AD135" s="35"/>
    </row>
    <row r="136" spans="1:30">
      <c r="A136" s="102">
        <f t="shared" si="2"/>
        <v>135</v>
      </c>
      <c r="B136" s="468">
        <f>YEAR(Table6[[#This Row],[Date]])+IF(MONTH(Table6[[#This Row],[Date]])&gt;=4,1,0)</f>
        <v>2026</v>
      </c>
      <c r="C136" s="102">
        <f>YEAR(Table6[[#This Row],[Date]])</f>
        <v>2025</v>
      </c>
      <c r="D136" s="102" t="s">
        <v>1992</v>
      </c>
      <c r="E136" s="469">
        <f>Table6[[#This Row],[Date]]-DAY(Table6[[#This Row],[Date]])+1</f>
        <v>45748</v>
      </c>
      <c r="F136" s="470">
        <v>45757</v>
      </c>
      <c r="G136" s="35" t="s">
        <v>89</v>
      </c>
      <c r="H136" s="35" t="str">
        <f>IFERROR(_xlfn.XLOOKUP(Table6[[#This Row],[Affected WTG]],'Basic Data'!$A:$A,'Basic Data'!$B:$B),"")</f>
        <v>TQGXIIPL</v>
      </c>
      <c r="I136" s="35" t="str">
        <f>IFERROR(_xlfn.XLOOKUP(Table6[[#This Row],[Affected WTG]],'Basic Data'!$A:$A,'Basic Data'!$C:$C),"")</f>
        <v>GEDA</v>
      </c>
      <c r="J136" s="471">
        <f>IFERROR(_xlfn.XLOOKUP(Table6[[#This Row],[Affected WTG]],'Basic Data'!$A:$A,'Basic Data'!$E:$E),"")</f>
        <v>3.846153846153845E-2</v>
      </c>
      <c r="K136" s="102">
        <v>3000</v>
      </c>
      <c r="L136" s="35" t="str">
        <f>IFERROR(_xlfn.XLOOKUP(Table6[[#This Row],[Error Code]],'Basic Data'!$AA:$AA,'Basic Data'!$AB:$AB),"Incorrect Error Code")</f>
        <v>Frequency converter not ready</v>
      </c>
      <c r="M136" s="35" t="s">
        <v>291</v>
      </c>
      <c r="N136" s="475"/>
      <c r="O136" s="476">
        <v>0.67013888888888884</v>
      </c>
      <c r="P136" s="476">
        <v>0.67013888888888884</v>
      </c>
      <c r="Q136" s="477">
        <v>0.67638888888888893</v>
      </c>
      <c r="R136" s="472">
        <f>IF(Table6[[#This Row],[Work Start TimeStamp]]="","",(Table6[[#This Row],[Work Start TimeStamp]]-Table6[[#This Row],[Fault Start TimeStamp]])*24)</f>
        <v>0</v>
      </c>
      <c r="S136" s="472">
        <f>(Table6[[#This Row],[Fault Clearance time]]-Table6[[#This Row],[Work Start TimeStamp]])*24</f>
        <v>0.15000000000000213</v>
      </c>
      <c r="T136" s="472">
        <f>(Table6[[#This Row],[Fault Clearance time]]-Table6[[#This Row],[Fault Start TimeStamp]])*24</f>
        <v>0.15000000000000213</v>
      </c>
      <c r="U136" s="35" t="s">
        <v>349</v>
      </c>
      <c r="V136" s="102" t="s">
        <v>293</v>
      </c>
      <c r="W136" s="478">
        <f>IFERROR(Table6[[#This Row],[Breakdown Time]]*Table6[[#This Row],[Plant Equivalent Weightage]],"")</f>
        <v>5.7692307692308493E-3</v>
      </c>
      <c r="X136" s="473" t="s">
        <v>294</v>
      </c>
      <c r="Y136" s="474" t="s">
        <v>93</v>
      </c>
      <c r="Z136" s="102">
        <v>40773</v>
      </c>
      <c r="AA136" s="468">
        <f>(Table6[[#This Row],[Paired WTG Generation for loss calculation]]/24)*Table6[[#This Row],[Breakdown Time]]</f>
        <v>254.83125000000362</v>
      </c>
      <c r="AB136" s="102"/>
      <c r="AC136" s="35"/>
      <c r="AD136" s="35"/>
    </row>
    <row r="137" spans="1:30">
      <c r="A137" s="102">
        <f t="shared" si="2"/>
        <v>136</v>
      </c>
      <c r="B137" s="468">
        <f>YEAR(Table6[[#This Row],[Date]])+IF(MONTH(Table6[[#This Row],[Date]])&gt;=4,1,0)</f>
        <v>2026</v>
      </c>
      <c r="C137" s="102">
        <f>YEAR(Table6[[#This Row],[Date]])</f>
        <v>2025</v>
      </c>
      <c r="D137" s="102" t="s">
        <v>1992</v>
      </c>
      <c r="E137" s="469">
        <f>Table6[[#This Row],[Date]]-DAY(Table6[[#This Row],[Date]])+1</f>
        <v>45748</v>
      </c>
      <c r="F137" s="470">
        <v>45757</v>
      </c>
      <c r="G137" s="35" t="s">
        <v>89</v>
      </c>
      <c r="H137" s="35" t="str">
        <f>IFERROR(_xlfn.XLOOKUP(Table6[[#This Row],[Affected WTG]],'Basic Data'!$A:$A,'Basic Data'!$B:$B),"")</f>
        <v>TQGXIIPL</v>
      </c>
      <c r="I137" s="35" t="str">
        <f>IFERROR(_xlfn.XLOOKUP(Table6[[#This Row],[Affected WTG]],'Basic Data'!$A:$A,'Basic Data'!$C:$C),"")</f>
        <v>GEDA</v>
      </c>
      <c r="J137" s="471">
        <f>IFERROR(_xlfn.XLOOKUP(Table6[[#This Row],[Affected WTG]],'Basic Data'!$A:$A,'Basic Data'!$E:$E),"")</f>
        <v>3.846153846153845E-2</v>
      </c>
      <c r="K137" s="102">
        <v>3000</v>
      </c>
      <c r="L137" s="35" t="str">
        <f>IFERROR(_xlfn.XLOOKUP(Table6[[#This Row],[Error Code]],'Basic Data'!$AA:$AA,'Basic Data'!$AB:$AB),"Incorrect Error Code")</f>
        <v>Frequency converter not ready</v>
      </c>
      <c r="M137" s="35" t="s">
        <v>291</v>
      </c>
      <c r="N137" s="475"/>
      <c r="O137" s="476">
        <v>0.6958333333333333</v>
      </c>
      <c r="P137" s="476">
        <v>0.6958333333333333</v>
      </c>
      <c r="Q137" s="477">
        <v>0.70902777777777781</v>
      </c>
      <c r="R137" s="472">
        <f>IF(Table6[[#This Row],[Work Start TimeStamp]]="","",(Table6[[#This Row],[Work Start TimeStamp]]-Table6[[#This Row],[Fault Start TimeStamp]])*24)</f>
        <v>0</v>
      </c>
      <c r="S137" s="472">
        <f>(Table6[[#This Row],[Fault Clearance time]]-Table6[[#This Row],[Work Start TimeStamp]])*24</f>
        <v>0.31666666666666821</v>
      </c>
      <c r="T137" s="472">
        <f>(Table6[[#This Row],[Fault Clearance time]]-Table6[[#This Row],[Fault Start TimeStamp]])*24</f>
        <v>0.31666666666666821</v>
      </c>
      <c r="U137" s="35" t="s">
        <v>382</v>
      </c>
      <c r="V137" s="102" t="s">
        <v>293</v>
      </c>
      <c r="W137" s="478">
        <f>IFERROR(Table6[[#This Row],[Breakdown Time]]*Table6[[#This Row],[Plant Equivalent Weightage]],"")</f>
        <v>1.2179487179487235E-2</v>
      </c>
      <c r="X137" s="473" t="s">
        <v>294</v>
      </c>
      <c r="Y137" s="474" t="s">
        <v>93</v>
      </c>
      <c r="Z137" s="102">
        <v>40773</v>
      </c>
      <c r="AA137" s="468">
        <f>(Table6[[#This Row],[Paired WTG Generation for loss calculation]]/24)*Table6[[#This Row],[Breakdown Time]]</f>
        <v>537.97708333333594</v>
      </c>
      <c r="AB137" s="102"/>
      <c r="AC137" s="35"/>
      <c r="AD137" s="35"/>
    </row>
    <row r="138" spans="1:30">
      <c r="A138" s="102">
        <f t="shared" si="2"/>
        <v>137</v>
      </c>
      <c r="B138" s="468">
        <f>YEAR(Table6[[#This Row],[Date]])+IF(MONTH(Table6[[#This Row],[Date]])&gt;=4,1,0)</f>
        <v>2026</v>
      </c>
      <c r="C138" s="102">
        <f>YEAR(Table6[[#This Row],[Date]])</f>
        <v>2025</v>
      </c>
      <c r="D138" s="102" t="s">
        <v>1992</v>
      </c>
      <c r="E138" s="469">
        <f>Table6[[#This Row],[Date]]-DAY(Table6[[#This Row],[Date]])+1</f>
        <v>45748</v>
      </c>
      <c r="F138" s="470">
        <v>45757</v>
      </c>
      <c r="G138" s="35" t="s">
        <v>89</v>
      </c>
      <c r="H138" s="35" t="str">
        <f>IFERROR(_xlfn.XLOOKUP(Table6[[#This Row],[Affected WTG]],'Basic Data'!$A:$A,'Basic Data'!$B:$B),"")</f>
        <v>TQGXIIPL</v>
      </c>
      <c r="I138" s="35" t="str">
        <f>IFERROR(_xlfn.XLOOKUP(Table6[[#This Row],[Affected WTG]],'Basic Data'!$A:$A,'Basic Data'!$C:$C),"")</f>
        <v>GEDA</v>
      </c>
      <c r="J138" s="471">
        <f>IFERROR(_xlfn.XLOOKUP(Table6[[#This Row],[Affected WTG]],'Basic Data'!$A:$A,'Basic Data'!$E:$E),"")</f>
        <v>3.846153846153845E-2</v>
      </c>
      <c r="K138" s="102">
        <v>3000</v>
      </c>
      <c r="L138" s="35" t="str">
        <f>IFERROR(_xlfn.XLOOKUP(Table6[[#This Row],[Error Code]],'Basic Data'!$AA:$AA,'Basic Data'!$AB:$AB),"Incorrect Error Code")</f>
        <v>Frequency converter not ready</v>
      </c>
      <c r="M138" s="35" t="s">
        <v>291</v>
      </c>
      <c r="N138" s="475"/>
      <c r="O138" s="476">
        <v>0.73402777777777772</v>
      </c>
      <c r="P138" s="476">
        <v>0.73402777777777772</v>
      </c>
      <c r="Q138" s="477">
        <v>0.74027777777777781</v>
      </c>
      <c r="R138" s="472">
        <f>IF(Table6[[#This Row],[Work Start TimeStamp]]="","",(Table6[[#This Row],[Work Start TimeStamp]]-Table6[[#This Row],[Fault Start TimeStamp]])*24)</f>
        <v>0</v>
      </c>
      <c r="S138" s="472">
        <f>(Table6[[#This Row],[Fault Clearance time]]-Table6[[#This Row],[Work Start TimeStamp]])*24</f>
        <v>0.15000000000000213</v>
      </c>
      <c r="T138" s="472">
        <f>(Table6[[#This Row],[Fault Clearance time]]-Table6[[#This Row],[Fault Start TimeStamp]])*24</f>
        <v>0.15000000000000213</v>
      </c>
      <c r="U138" s="35" t="s">
        <v>382</v>
      </c>
      <c r="V138" s="102" t="s">
        <v>293</v>
      </c>
      <c r="W138" s="478">
        <f>IFERROR(Table6[[#This Row],[Breakdown Time]]*Table6[[#This Row],[Plant Equivalent Weightage]],"")</f>
        <v>5.7692307692308493E-3</v>
      </c>
      <c r="X138" s="473" t="s">
        <v>294</v>
      </c>
      <c r="Y138" s="474" t="s">
        <v>93</v>
      </c>
      <c r="Z138" s="102">
        <v>40773</v>
      </c>
      <c r="AA138" s="468">
        <f>(Table6[[#This Row],[Paired WTG Generation for loss calculation]]/24)*Table6[[#This Row],[Breakdown Time]]</f>
        <v>254.83125000000362</v>
      </c>
      <c r="AB138" s="102"/>
      <c r="AC138" s="35"/>
      <c r="AD138" s="35"/>
    </row>
    <row r="139" spans="1:30">
      <c r="A139" s="102">
        <f t="shared" si="2"/>
        <v>138</v>
      </c>
      <c r="B139" s="468">
        <f>YEAR(Table6[[#This Row],[Date]])+IF(MONTH(Table6[[#This Row],[Date]])&gt;=4,1,0)</f>
        <v>2026</v>
      </c>
      <c r="C139" s="102">
        <f>YEAR(Table6[[#This Row],[Date]])</f>
        <v>2025</v>
      </c>
      <c r="D139" s="102" t="s">
        <v>1992</v>
      </c>
      <c r="E139" s="469">
        <f>Table6[[#This Row],[Date]]-DAY(Table6[[#This Row],[Date]])+1</f>
        <v>45748</v>
      </c>
      <c r="F139" s="470">
        <v>45757</v>
      </c>
      <c r="G139" s="35" t="s">
        <v>89</v>
      </c>
      <c r="H139" s="35" t="str">
        <f>IFERROR(_xlfn.XLOOKUP(Table6[[#This Row],[Affected WTG]],'Basic Data'!$A:$A,'Basic Data'!$B:$B),"")</f>
        <v>TQGXIIPL</v>
      </c>
      <c r="I139" s="35" t="str">
        <f>IFERROR(_xlfn.XLOOKUP(Table6[[#This Row],[Affected WTG]],'Basic Data'!$A:$A,'Basic Data'!$C:$C),"")</f>
        <v>GEDA</v>
      </c>
      <c r="J139" s="471">
        <f>IFERROR(_xlfn.XLOOKUP(Table6[[#This Row],[Affected WTG]],'Basic Data'!$A:$A,'Basic Data'!$E:$E),"")</f>
        <v>3.846153846153845E-2</v>
      </c>
      <c r="K139" s="102">
        <v>3000</v>
      </c>
      <c r="L139" s="35" t="str">
        <f>IFERROR(_xlfn.XLOOKUP(Table6[[#This Row],[Error Code]],'Basic Data'!$AA:$AA,'Basic Data'!$AB:$AB),"Incorrect Error Code")</f>
        <v>Frequency converter not ready</v>
      </c>
      <c r="M139" s="35" t="s">
        <v>291</v>
      </c>
      <c r="N139" s="475"/>
      <c r="O139" s="476">
        <v>0.75972222222222219</v>
      </c>
      <c r="P139" s="476">
        <v>0.75972222222222219</v>
      </c>
      <c r="Q139" s="477">
        <v>0.77430555555555558</v>
      </c>
      <c r="R139" s="472">
        <f>IF(Table6[[#This Row],[Work Start TimeStamp]]="","",(Table6[[#This Row],[Work Start TimeStamp]]-Table6[[#This Row],[Fault Start TimeStamp]])*24)</f>
        <v>0</v>
      </c>
      <c r="S139" s="472">
        <f>(Table6[[#This Row],[Fault Clearance time]]-Table6[[#This Row],[Work Start TimeStamp]])*24</f>
        <v>0.35000000000000142</v>
      </c>
      <c r="T139" s="472">
        <f>(Table6[[#This Row],[Fault Clearance time]]-Table6[[#This Row],[Fault Start TimeStamp]])*24</f>
        <v>0.35000000000000142</v>
      </c>
      <c r="U139" s="35" t="s">
        <v>382</v>
      </c>
      <c r="V139" s="102" t="s">
        <v>293</v>
      </c>
      <c r="W139" s="478">
        <f>IFERROR(Table6[[#This Row],[Breakdown Time]]*Table6[[#This Row],[Plant Equivalent Weightage]],"")</f>
        <v>1.3461538461538513E-2</v>
      </c>
      <c r="X139" s="473" t="s">
        <v>294</v>
      </c>
      <c r="Y139" s="474" t="s">
        <v>93</v>
      </c>
      <c r="Z139" s="102">
        <v>40773</v>
      </c>
      <c r="AA139" s="468">
        <f>(Table6[[#This Row],[Paired WTG Generation for loss calculation]]/24)*Table6[[#This Row],[Breakdown Time]]</f>
        <v>594.60625000000243</v>
      </c>
      <c r="AB139" s="102"/>
      <c r="AC139" s="35"/>
      <c r="AD139" s="35"/>
    </row>
    <row r="140" spans="1:30">
      <c r="A140" s="102">
        <f t="shared" si="2"/>
        <v>139</v>
      </c>
      <c r="B140" s="468">
        <f>YEAR(Table6[[#This Row],[Date]])+IF(MONTH(Table6[[#This Row],[Date]])&gt;=4,1,0)</f>
        <v>2026</v>
      </c>
      <c r="C140" s="102">
        <f>YEAR(Table6[[#This Row],[Date]])</f>
        <v>2025</v>
      </c>
      <c r="D140" s="102" t="s">
        <v>1992</v>
      </c>
      <c r="E140" s="469">
        <f>Table6[[#This Row],[Date]]-DAY(Table6[[#This Row],[Date]])+1</f>
        <v>45748</v>
      </c>
      <c r="F140" s="470">
        <v>45757</v>
      </c>
      <c r="G140" s="35" t="s">
        <v>91</v>
      </c>
      <c r="H140" s="35" t="str">
        <f>IFERROR(_xlfn.XLOOKUP(Table6[[#This Row],[Affected WTG]],'Basic Data'!$A:$A,'Basic Data'!$B:$B),"")</f>
        <v>TQGXIIPL</v>
      </c>
      <c r="I140" s="35" t="str">
        <f>IFERROR(_xlfn.XLOOKUP(Table6[[#This Row],[Affected WTG]],'Basic Data'!$A:$A,'Basic Data'!$C:$C),"")</f>
        <v>GEDA</v>
      </c>
      <c r="J140" s="471">
        <f>IFERROR(_xlfn.XLOOKUP(Table6[[#This Row],[Affected WTG]],'Basic Data'!$A:$A,'Basic Data'!$E:$E),"")</f>
        <v>3.846153846153845E-2</v>
      </c>
      <c r="K140" s="102">
        <v>3000</v>
      </c>
      <c r="L140" s="35" t="str">
        <f>IFERROR(_xlfn.XLOOKUP(Table6[[#This Row],[Error Code]],'Basic Data'!$AA:$AA,'Basic Data'!$AB:$AB),"Incorrect Error Code")</f>
        <v>Frequency converter not ready</v>
      </c>
      <c r="M140" s="35" t="s">
        <v>291</v>
      </c>
      <c r="N140" s="475"/>
      <c r="O140" s="476">
        <v>0.37777777777777777</v>
      </c>
      <c r="P140" s="476">
        <v>0.37777777777777777</v>
      </c>
      <c r="Q140" s="477">
        <v>0.38124999999999998</v>
      </c>
      <c r="R140" s="472">
        <f>IF(Table6[[#This Row],[Work Start TimeStamp]]="","",(Table6[[#This Row],[Work Start TimeStamp]]-Table6[[#This Row],[Fault Start TimeStamp]])*24)</f>
        <v>0</v>
      </c>
      <c r="S140" s="472">
        <f>(Table6[[#This Row],[Fault Clearance time]]-Table6[[#This Row],[Work Start TimeStamp]])*24</f>
        <v>8.3333333333333037E-2</v>
      </c>
      <c r="T140" s="472">
        <f>(Table6[[#This Row],[Fault Clearance time]]-Table6[[#This Row],[Fault Start TimeStamp]])*24</f>
        <v>8.3333333333333037E-2</v>
      </c>
      <c r="U140" s="35" t="s">
        <v>349</v>
      </c>
      <c r="V140" s="102" t="s">
        <v>293</v>
      </c>
      <c r="W140" s="478">
        <f>IFERROR(Table6[[#This Row],[Breakdown Time]]*Table6[[#This Row],[Plant Equivalent Weightage]],"")</f>
        <v>3.2051282051281929E-3</v>
      </c>
      <c r="X140" s="473" t="s">
        <v>294</v>
      </c>
      <c r="Y140" s="474" t="s">
        <v>79</v>
      </c>
      <c r="Z140" s="102">
        <v>37890</v>
      </c>
      <c r="AA140" s="468">
        <f>(Table6[[#This Row],[Paired WTG Generation for loss calculation]]/24)*Table6[[#This Row],[Breakdown Time]]</f>
        <v>131.56249999999955</v>
      </c>
      <c r="AB140" s="102"/>
      <c r="AC140" s="35"/>
      <c r="AD140" s="35"/>
    </row>
    <row r="141" spans="1:30">
      <c r="A141" s="102">
        <f t="shared" si="2"/>
        <v>140</v>
      </c>
      <c r="B141" s="468">
        <f>YEAR(Table6[[#This Row],[Date]])+IF(MONTH(Table6[[#This Row],[Date]])&gt;=4,1,0)</f>
        <v>2026</v>
      </c>
      <c r="C141" s="102">
        <f>YEAR(Table6[[#This Row],[Date]])</f>
        <v>2025</v>
      </c>
      <c r="D141" s="102" t="s">
        <v>1992</v>
      </c>
      <c r="E141" s="469">
        <f>Table6[[#This Row],[Date]]-DAY(Table6[[#This Row],[Date]])+1</f>
        <v>45748</v>
      </c>
      <c r="F141" s="470">
        <v>45757</v>
      </c>
      <c r="G141" s="35" t="s">
        <v>91</v>
      </c>
      <c r="H141" s="35" t="str">
        <f>IFERROR(_xlfn.XLOOKUP(Table6[[#This Row],[Affected WTG]],'Basic Data'!$A:$A,'Basic Data'!$B:$B),"")</f>
        <v>TQGXIIPL</v>
      </c>
      <c r="I141" s="35" t="str">
        <f>IFERROR(_xlfn.XLOOKUP(Table6[[#This Row],[Affected WTG]],'Basic Data'!$A:$A,'Basic Data'!$C:$C),"")</f>
        <v>GEDA</v>
      </c>
      <c r="J141" s="471">
        <f>IFERROR(_xlfn.XLOOKUP(Table6[[#This Row],[Affected WTG]],'Basic Data'!$A:$A,'Basic Data'!$E:$E),"")</f>
        <v>3.846153846153845E-2</v>
      </c>
      <c r="K141" s="102">
        <v>3000</v>
      </c>
      <c r="L141" s="35" t="str">
        <f>IFERROR(_xlfn.XLOOKUP(Table6[[#This Row],[Error Code]],'Basic Data'!$AA:$AA,'Basic Data'!$AB:$AB),"Incorrect Error Code")</f>
        <v>Frequency converter not ready</v>
      </c>
      <c r="M141" s="35" t="s">
        <v>291</v>
      </c>
      <c r="N141" s="475"/>
      <c r="O141" s="476">
        <v>0.75972222222222219</v>
      </c>
      <c r="P141" s="476">
        <v>0.75972222222222219</v>
      </c>
      <c r="Q141" s="477">
        <v>0.77361111111111114</v>
      </c>
      <c r="R141" s="472">
        <f>IF(Table6[[#This Row],[Work Start TimeStamp]]="","",(Table6[[#This Row],[Work Start TimeStamp]]-Table6[[#This Row],[Fault Start TimeStamp]])*24)</f>
        <v>0</v>
      </c>
      <c r="S141" s="472">
        <f>(Table6[[#This Row],[Fault Clearance time]]-Table6[[#This Row],[Work Start TimeStamp]])*24</f>
        <v>0.33333333333333481</v>
      </c>
      <c r="T141" s="472">
        <f>(Table6[[#This Row],[Fault Clearance time]]-Table6[[#This Row],[Fault Start TimeStamp]])*24</f>
        <v>0.33333333333333481</v>
      </c>
      <c r="U141" s="35" t="s">
        <v>374</v>
      </c>
      <c r="V141" s="102" t="s">
        <v>293</v>
      </c>
      <c r="W141" s="478">
        <f>IFERROR(Table6[[#This Row],[Breakdown Time]]*Table6[[#This Row],[Plant Equivalent Weightage]],"")</f>
        <v>1.2820512820512874E-2</v>
      </c>
      <c r="X141" s="473" t="s">
        <v>294</v>
      </c>
      <c r="Y141" s="474" t="s">
        <v>79</v>
      </c>
      <c r="Z141" s="102">
        <v>37890</v>
      </c>
      <c r="AA141" s="468">
        <f>(Table6[[#This Row],[Paired WTG Generation for loss calculation]]/24)*Table6[[#This Row],[Breakdown Time]]</f>
        <v>526.25000000000239</v>
      </c>
      <c r="AB141" s="102"/>
      <c r="AC141" s="35"/>
      <c r="AD141" s="35"/>
    </row>
    <row r="142" spans="1:30">
      <c r="A142" s="102">
        <f t="shared" ref="A142:A205" si="3">A141+1</f>
        <v>141</v>
      </c>
      <c r="B142" s="468">
        <f>YEAR(Table6[[#This Row],[Date]])+IF(MONTH(Table6[[#This Row],[Date]])&gt;=4,1,0)</f>
        <v>2026</v>
      </c>
      <c r="C142" s="102">
        <f>YEAR(Table6[[#This Row],[Date]])</f>
        <v>2025</v>
      </c>
      <c r="D142" s="102" t="s">
        <v>1992</v>
      </c>
      <c r="E142" s="469">
        <f>Table6[[#This Row],[Date]]-DAY(Table6[[#This Row],[Date]])+1</f>
        <v>45748</v>
      </c>
      <c r="F142" s="470">
        <v>45757</v>
      </c>
      <c r="G142" s="35" t="s">
        <v>91</v>
      </c>
      <c r="H142" s="35" t="str">
        <f>IFERROR(_xlfn.XLOOKUP(Table6[[#This Row],[Affected WTG]],'Basic Data'!$A:$A,'Basic Data'!$B:$B),"")</f>
        <v>TQGXIIPL</v>
      </c>
      <c r="I142" s="35" t="str">
        <f>IFERROR(_xlfn.XLOOKUP(Table6[[#This Row],[Affected WTG]],'Basic Data'!$A:$A,'Basic Data'!$C:$C),"")</f>
        <v>GEDA</v>
      </c>
      <c r="J142" s="471">
        <f>IFERROR(_xlfn.XLOOKUP(Table6[[#This Row],[Affected WTG]],'Basic Data'!$A:$A,'Basic Data'!$E:$E),"")</f>
        <v>3.846153846153845E-2</v>
      </c>
      <c r="K142" s="102">
        <v>3000</v>
      </c>
      <c r="L142" s="35" t="str">
        <f>IFERROR(_xlfn.XLOOKUP(Table6[[#This Row],[Error Code]],'Basic Data'!$AA:$AA,'Basic Data'!$AB:$AB),"Incorrect Error Code")</f>
        <v>Frequency converter not ready</v>
      </c>
      <c r="M142" s="35" t="s">
        <v>291</v>
      </c>
      <c r="N142" s="475"/>
      <c r="O142" s="476">
        <v>0.77986111111111112</v>
      </c>
      <c r="P142" s="476">
        <v>0.77986111111111112</v>
      </c>
      <c r="Q142" s="477">
        <v>0.81874999999999998</v>
      </c>
      <c r="R142" s="472">
        <f>IF(Table6[[#This Row],[Work Start TimeStamp]]="","",(Table6[[#This Row],[Work Start TimeStamp]]-Table6[[#This Row],[Fault Start TimeStamp]])*24)</f>
        <v>0</v>
      </c>
      <c r="S142" s="472">
        <f>(Table6[[#This Row],[Fault Clearance time]]-Table6[[#This Row],[Work Start TimeStamp]])*24</f>
        <v>0.93333333333333268</v>
      </c>
      <c r="T142" s="472">
        <f>(Table6[[#This Row],[Fault Clearance time]]-Table6[[#This Row],[Fault Start TimeStamp]])*24</f>
        <v>0.93333333333333268</v>
      </c>
      <c r="U142" s="35" t="s">
        <v>374</v>
      </c>
      <c r="V142" s="102" t="s">
        <v>293</v>
      </c>
      <c r="W142" s="478">
        <f>IFERROR(Table6[[#This Row],[Breakdown Time]]*Table6[[#This Row],[Plant Equivalent Weightage]],"")</f>
        <v>3.589743589743586E-2</v>
      </c>
      <c r="X142" s="473" t="s">
        <v>294</v>
      </c>
      <c r="Y142" s="474" t="s">
        <v>79</v>
      </c>
      <c r="Z142" s="102">
        <v>37890</v>
      </c>
      <c r="AA142" s="468">
        <f>(Table6[[#This Row],[Paired WTG Generation for loss calculation]]/24)*Table6[[#This Row],[Breakdown Time]]</f>
        <v>1473.4999999999989</v>
      </c>
      <c r="AB142" s="102"/>
      <c r="AC142" s="35"/>
      <c r="AD142" s="35"/>
    </row>
    <row r="143" spans="1:30">
      <c r="A143" s="102">
        <f t="shared" si="3"/>
        <v>142</v>
      </c>
      <c r="B143" s="468">
        <f>YEAR(Table6[[#This Row],[Date]])+IF(MONTH(Table6[[#This Row],[Date]])&gt;=4,1,0)</f>
        <v>2026</v>
      </c>
      <c r="C143" s="102">
        <f>YEAR(Table6[[#This Row],[Date]])</f>
        <v>2025</v>
      </c>
      <c r="D143" s="102" t="s">
        <v>1992</v>
      </c>
      <c r="E143" s="469">
        <f>Table6[[#This Row],[Date]]-DAY(Table6[[#This Row],[Date]])+1</f>
        <v>45748</v>
      </c>
      <c r="F143" s="470">
        <v>45757</v>
      </c>
      <c r="G143" s="35" t="s">
        <v>92</v>
      </c>
      <c r="H143" s="35" t="str">
        <f>IFERROR(_xlfn.XLOOKUP(Table6[[#This Row],[Affected WTG]],'Basic Data'!$A:$A,'Basic Data'!$B:$B),"")</f>
        <v>TQGXIIPL</v>
      </c>
      <c r="I143" s="35" t="str">
        <f>IFERROR(_xlfn.XLOOKUP(Table6[[#This Row],[Affected WTG]],'Basic Data'!$A:$A,'Basic Data'!$C:$C),"")</f>
        <v>GEDA</v>
      </c>
      <c r="J143" s="471">
        <f>IFERROR(_xlfn.XLOOKUP(Table6[[#This Row],[Affected WTG]],'Basic Data'!$A:$A,'Basic Data'!$E:$E),"")</f>
        <v>3.846153846153845E-2</v>
      </c>
      <c r="K143" s="102">
        <v>1700</v>
      </c>
      <c r="L143" s="35" t="str">
        <f>IFERROR(_xlfn.XLOOKUP(Table6[[#This Row],[Error Code]],'Basic Data'!$AA:$AA,'Basic Data'!$AB:$AB),"Incorrect Error Code")</f>
        <v>High temp. gear bearing 1</v>
      </c>
      <c r="M143" s="35" t="s">
        <v>291</v>
      </c>
      <c r="N143" s="475"/>
      <c r="O143" s="476">
        <v>0.67083333333333328</v>
      </c>
      <c r="P143" s="476">
        <v>0.67083333333333328</v>
      </c>
      <c r="Q143" s="477">
        <v>0.67708333333333337</v>
      </c>
      <c r="R143" s="472">
        <f>IF(Table6[[#This Row],[Work Start TimeStamp]]="","",(Table6[[#This Row],[Work Start TimeStamp]]-Table6[[#This Row],[Fault Start TimeStamp]])*24)</f>
        <v>0</v>
      </c>
      <c r="S143" s="472">
        <f>(Table6[[#This Row],[Fault Clearance time]]-Table6[[#This Row],[Work Start TimeStamp]])*24</f>
        <v>0.15000000000000213</v>
      </c>
      <c r="T143" s="472">
        <f>(Table6[[#This Row],[Fault Clearance time]]-Table6[[#This Row],[Fault Start TimeStamp]])*24</f>
        <v>0.15000000000000213</v>
      </c>
      <c r="U143" s="35" t="s">
        <v>349</v>
      </c>
      <c r="V143" s="102" t="s">
        <v>293</v>
      </c>
      <c r="W143" s="478">
        <f>IFERROR(Table6[[#This Row],[Breakdown Time]]*Table6[[#This Row],[Plant Equivalent Weightage]],"")</f>
        <v>5.7692307692308493E-3</v>
      </c>
      <c r="X143" s="473" t="s">
        <v>294</v>
      </c>
      <c r="Y143" s="474" t="s">
        <v>80</v>
      </c>
      <c r="Z143" s="102">
        <v>42698</v>
      </c>
      <c r="AA143" s="468">
        <f>(Table6[[#This Row],[Paired WTG Generation for loss calculation]]/24)*Table6[[#This Row],[Breakdown Time]]</f>
        <v>266.86250000000376</v>
      </c>
      <c r="AB143" s="102"/>
      <c r="AC143" s="35"/>
      <c r="AD143" s="35"/>
    </row>
    <row r="144" spans="1:30">
      <c r="A144" s="102">
        <f t="shared" si="3"/>
        <v>143</v>
      </c>
      <c r="B144" s="468">
        <f>YEAR(Table6[[#This Row],[Date]])+IF(MONTH(Table6[[#This Row],[Date]])&gt;=4,1,0)</f>
        <v>2026</v>
      </c>
      <c r="C144" s="102">
        <f>YEAR(Table6[[#This Row],[Date]])</f>
        <v>2025</v>
      </c>
      <c r="D144" s="102" t="s">
        <v>1992</v>
      </c>
      <c r="E144" s="469">
        <f>Table6[[#This Row],[Date]]-DAY(Table6[[#This Row],[Date]])+1</f>
        <v>45748</v>
      </c>
      <c r="F144" s="470">
        <v>45757</v>
      </c>
      <c r="G144" s="35" t="s">
        <v>92</v>
      </c>
      <c r="H144" s="35" t="str">
        <f>IFERROR(_xlfn.XLOOKUP(Table6[[#This Row],[Affected WTG]],'Basic Data'!$A:$A,'Basic Data'!$B:$B),"")</f>
        <v>TQGXIIPL</v>
      </c>
      <c r="I144" s="35" t="str">
        <f>IFERROR(_xlfn.XLOOKUP(Table6[[#This Row],[Affected WTG]],'Basic Data'!$A:$A,'Basic Data'!$C:$C),"")</f>
        <v>GEDA</v>
      </c>
      <c r="J144" s="471">
        <f>IFERROR(_xlfn.XLOOKUP(Table6[[#This Row],[Affected WTG]],'Basic Data'!$A:$A,'Basic Data'!$E:$E),"")</f>
        <v>3.846153846153845E-2</v>
      </c>
      <c r="K144" s="102">
        <v>3000</v>
      </c>
      <c r="L144" s="35" t="str">
        <f>IFERROR(_xlfn.XLOOKUP(Table6[[#This Row],[Error Code]],'Basic Data'!$AA:$AA,'Basic Data'!$AB:$AB),"Incorrect Error Code")</f>
        <v>Frequency converter not ready</v>
      </c>
      <c r="M144" s="35" t="s">
        <v>291</v>
      </c>
      <c r="N144" s="475"/>
      <c r="O144" s="476">
        <v>0.7583333333333333</v>
      </c>
      <c r="P144" s="476">
        <v>0.7583333333333333</v>
      </c>
      <c r="Q144" s="477">
        <v>0.76736111111111116</v>
      </c>
      <c r="R144" s="472">
        <f>IF(Table6[[#This Row],[Work Start TimeStamp]]="","",(Table6[[#This Row],[Work Start TimeStamp]]-Table6[[#This Row],[Fault Start TimeStamp]])*24)</f>
        <v>0</v>
      </c>
      <c r="S144" s="472">
        <f>(Table6[[#This Row],[Fault Clearance time]]-Table6[[#This Row],[Work Start TimeStamp]])*24</f>
        <v>0.21666666666666856</v>
      </c>
      <c r="T144" s="472">
        <f>(Table6[[#This Row],[Fault Clearance time]]-Table6[[#This Row],[Fault Start TimeStamp]])*24</f>
        <v>0.21666666666666856</v>
      </c>
      <c r="U144" s="35" t="s">
        <v>382</v>
      </c>
      <c r="V144" s="102" t="s">
        <v>293</v>
      </c>
      <c r="W144" s="478">
        <f>IFERROR(Table6[[#This Row],[Breakdown Time]]*Table6[[#This Row],[Plant Equivalent Weightage]],"")</f>
        <v>8.3333333333334043E-3</v>
      </c>
      <c r="X144" s="473" t="s">
        <v>294</v>
      </c>
      <c r="Y144" s="474" t="s">
        <v>80</v>
      </c>
      <c r="Z144" s="102">
        <v>42698</v>
      </c>
      <c r="AA144" s="468">
        <f>(Table6[[#This Row],[Paired WTG Generation for loss calculation]]/24)*Table6[[#This Row],[Breakdown Time]]</f>
        <v>385.46805555555892</v>
      </c>
      <c r="AB144" s="102"/>
      <c r="AC144" s="35"/>
      <c r="AD144" s="35"/>
    </row>
    <row r="145" spans="1:30">
      <c r="A145" s="102">
        <f t="shared" si="3"/>
        <v>144</v>
      </c>
      <c r="B145" s="468">
        <f>YEAR(Table6[[#This Row],[Date]])+IF(MONTH(Table6[[#This Row],[Date]])&gt;=4,1,0)</f>
        <v>2026</v>
      </c>
      <c r="C145" s="102">
        <f>YEAR(Table6[[#This Row],[Date]])</f>
        <v>2025</v>
      </c>
      <c r="D145" s="102" t="s">
        <v>1992</v>
      </c>
      <c r="E145" s="469">
        <f>Table6[[#This Row],[Date]]-DAY(Table6[[#This Row],[Date]])+1</f>
        <v>45748</v>
      </c>
      <c r="F145" s="470">
        <v>45757</v>
      </c>
      <c r="G145" s="35" t="s">
        <v>92</v>
      </c>
      <c r="H145" s="35" t="str">
        <f>IFERROR(_xlfn.XLOOKUP(Table6[[#This Row],[Affected WTG]],'Basic Data'!$A:$A,'Basic Data'!$B:$B),"")</f>
        <v>TQGXIIPL</v>
      </c>
      <c r="I145" s="35" t="str">
        <f>IFERROR(_xlfn.XLOOKUP(Table6[[#This Row],[Affected WTG]],'Basic Data'!$A:$A,'Basic Data'!$C:$C),"")</f>
        <v>GEDA</v>
      </c>
      <c r="J145" s="471">
        <f>IFERROR(_xlfn.XLOOKUP(Table6[[#This Row],[Affected WTG]],'Basic Data'!$A:$A,'Basic Data'!$E:$E),"")</f>
        <v>3.846153846153845E-2</v>
      </c>
      <c r="K145" s="102">
        <v>3000</v>
      </c>
      <c r="L145" s="35" t="str">
        <f>IFERROR(_xlfn.XLOOKUP(Table6[[#This Row],[Error Code]],'Basic Data'!$AA:$AA,'Basic Data'!$AB:$AB),"Incorrect Error Code")</f>
        <v>Frequency converter not ready</v>
      </c>
      <c r="M145" s="35" t="s">
        <v>291</v>
      </c>
      <c r="N145" s="475"/>
      <c r="O145" s="476">
        <v>0.80625000000000002</v>
      </c>
      <c r="P145" s="476">
        <v>0.80625000000000002</v>
      </c>
      <c r="Q145" s="477">
        <v>0.81111111111111112</v>
      </c>
      <c r="R145" s="472">
        <f>IF(Table6[[#This Row],[Work Start TimeStamp]]="","",(Table6[[#This Row],[Work Start TimeStamp]]-Table6[[#This Row],[Fault Start TimeStamp]])*24)</f>
        <v>0</v>
      </c>
      <c r="S145" s="472">
        <f>(Table6[[#This Row],[Fault Clearance time]]-Table6[[#This Row],[Work Start TimeStamp]])*24</f>
        <v>0.11666666666666625</v>
      </c>
      <c r="T145" s="472">
        <f>(Table6[[#This Row],[Fault Clearance time]]-Table6[[#This Row],[Fault Start TimeStamp]])*24</f>
        <v>0.11666666666666625</v>
      </c>
      <c r="U145" s="35" t="s">
        <v>382</v>
      </c>
      <c r="V145" s="102" t="s">
        <v>293</v>
      </c>
      <c r="W145" s="478">
        <f>IFERROR(Table6[[#This Row],[Breakdown Time]]*Table6[[#This Row],[Plant Equivalent Weightage]],"")</f>
        <v>4.4871794871794695E-3</v>
      </c>
      <c r="X145" s="473" t="s">
        <v>294</v>
      </c>
      <c r="Y145" s="474" t="s">
        <v>80</v>
      </c>
      <c r="Z145" s="102">
        <v>42698</v>
      </c>
      <c r="AA145" s="468">
        <f>(Table6[[#This Row],[Paired WTG Generation for loss calculation]]/24)*Table6[[#This Row],[Breakdown Time]]</f>
        <v>207.55972222222147</v>
      </c>
      <c r="AB145" s="102"/>
      <c r="AC145" s="35"/>
      <c r="AD145" s="35"/>
    </row>
    <row r="146" spans="1:30">
      <c r="A146" s="102">
        <f t="shared" si="3"/>
        <v>145</v>
      </c>
      <c r="B146" s="468">
        <f>YEAR(Table6[[#This Row],[Date]])+IF(MONTH(Table6[[#This Row],[Date]])&gt;=4,1,0)</f>
        <v>2026</v>
      </c>
      <c r="C146" s="102">
        <f>YEAR(Table6[[#This Row],[Date]])</f>
        <v>2025</v>
      </c>
      <c r="D146" s="102" t="s">
        <v>1992</v>
      </c>
      <c r="E146" s="469">
        <f>Table6[[#This Row],[Date]]-DAY(Table6[[#This Row],[Date]])+1</f>
        <v>45748</v>
      </c>
      <c r="F146" s="470">
        <v>45757</v>
      </c>
      <c r="G146" s="35" t="s">
        <v>94</v>
      </c>
      <c r="H146" s="35" t="str">
        <f>IFERROR(_xlfn.XLOOKUP(Table6[[#This Row],[Affected WTG]],'Basic Data'!$A:$A,'Basic Data'!$B:$B),"")</f>
        <v>TQGXIIPL</v>
      </c>
      <c r="I146" s="35" t="str">
        <f>IFERROR(_xlfn.XLOOKUP(Table6[[#This Row],[Affected WTG]],'Basic Data'!$A:$A,'Basic Data'!$C:$C),"")</f>
        <v>GEDA</v>
      </c>
      <c r="J146" s="471">
        <f>IFERROR(_xlfn.XLOOKUP(Table6[[#This Row],[Affected WTG]],'Basic Data'!$A:$A,'Basic Data'!$E:$E),"")</f>
        <v>3.846153846153845E-2</v>
      </c>
      <c r="K146" s="102">
        <v>6130</v>
      </c>
      <c r="L146" s="35" t="str">
        <f>IFERROR(_xlfn.XLOOKUP(Table6[[#This Row],[Error Code]],'Basic Data'!$AA:$AA,'Basic Data'!$AB:$AB),"Incorrect Error Code")</f>
        <v>Yaw speed high</v>
      </c>
      <c r="M146" s="35" t="s">
        <v>291</v>
      </c>
      <c r="N146" s="475"/>
      <c r="O146" s="476">
        <v>0.60763888888888884</v>
      </c>
      <c r="P146" s="476">
        <v>0.60763888888888884</v>
      </c>
      <c r="Q146" s="477">
        <v>0.6118055555555556</v>
      </c>
      <c r="R146" s="472">
        <f>IF(Table6[[#This Row],[Work Start TimeStamp]]="","",(Table6[[#This Row],[Work Start TimeStamp]]-Table6[[#This Row],[Fault Start TimeStamp]])*24)</f>
        <v>0</v>
      </c>
      <c r="S146" s="472">
        <f>(Table6[[#This Row],[Fault Clearance time]]-Table6[[#This Row],[Work Start TimeStamp]])*24</f>
        <v>0.10000000000000231</v>
      </c>
      <c r="T146" s="472">
        <f>(Table6[[#This Row],[Fault Clearance time]]-Table6[[#This Row],[Fault Start TimeStamp]])*24</f>
        <v>0.10000000000000231</v>
      </c>
      <c r="U146" s="35" t="s">
        <v>336</v>
      </c>
      <c r="V146" s="102" t="s">
        <v>293</v>
      </c>
      <c r="W146" s="478">
        <f>IFERROR(Table6[[#This Row],[Breakdown Time]]*Table6[[#This Row],[Plant Equivalent Weightage]],"")</f>
        <v>3.846153846153934E-3</v>
      </c>
      <c r="X146" s="473" t="s">
        <v>294</v>
      </c>
      <c r="Y146" s="474" t="s">
        <v>91</v>
      </c>
      <c r="Z146" s="102">
        <v>33218</v>
      </c>
      <c r="AA146" s="468">
        <f>(Table6[[#This Row],[Paired WTG Generation for loss calculation]]/24)*Table6[[#This Row],[Breakdown Time]]</f>
        <v>138.40833333333651</v>
      </c>
      <c r="AB146" s="102"/>
      <c r="AC146" s="35"/>
      <c r="AD146" s="35"/>
    </row>
    <row r="147" spans="1:30">
      <c r="A147" s="102">
        <f t="shared" si="3"/>
        <v>146</v>
      </c>
      <c r="B147" s="468">
        <f>YEAR(Table6[[#This Row],[Date]])+IF(MONTH(Table6[[#This Row],[Date]])&gt;=4,1,0)</f>
        <v>2026</v>
      </c>
      <c r="C147" s="102">
        <f>YEAR(Table6[[#This Row],[Date]])</f>
        <v>2025</v>
      </c>
      <c r="D147" s="102" t="s">
        <v>1992</v>
      </c>
      <c r="E147" s="469">
        <f>Table6[[#This Row],[Date]]-DAY(Table6[[#This Row],[Date]])+1</f>
        <v>45748</v>
      </c>
      <c r="F147" s="470">
        <v>45757</v>
      </c>
      <c r="G147" s="35" t="s">
        <v>96</v>
      </c>
      <c r="H147" s="35" t="str">
        <f>IFERROR(_xlfn.XLOOKUP(Table6[[#This Row],[Affected WTG]],'Basic Data'!$A:$A,'Basic Data'!$B:$B),"")</f>
        <v>TQGXIIPL</v>
      </c>
      <c r="I147" s="35" t="str">
        <f>IFERROR(_xlfn.XLOOKUP(Table6[[#This Row],[Affected WTG]],'Basic Data'!$A:$A,'Basic Data'!$C:$C),"")</f>
        <v>GEDA</v>
      </c>
      <c r="J147" s="471">
        <f>IFERROR(_xlfn.XLOOKUP(Table6[[#This Row],[Affected WTG]],'Basic Data'!$A:$A,'Basic Data'!$E:$E),"")</f>
        <v>3.846153846153845E-2</v>
      </c>
      <c r="K147" s="102">
        <v>3395</v>
      </c>
      <c r="L147" s="35" t="str">
        <f>IFERROR(_xlfn.XLOOKUP(Table6[[#This Row],[Error Code]],'Basic Data'!$AA:$AA,'Basic Data'!$AB:$AB),"Incorrect Error Code")</f>
        <v>Pump cooling sys. overload</v>
      </c>
      <c r="M147" s="35" t="s">
        <v>291</v>
      </c>
      <c r="N147" s="475"/>
      <c r="O147" s="476">
        <v>0</v>
      </c>
      <c r="P147" s="476">
        <v>0</v>
      </c>
      <c r="Q147" s="477">
        <v>0.17986111111111111</v>
      </c>
      <c r="R147" s="472">
        <f>IF(Table6[[#This Row],[Work Start TimeStamp]]="","",(Table6[[#This Row],[Work Start TimeStamp]]-Table6[[#This Row],[Fault Start TimeStamp]])*24)</f>
        <v>0</v>
      </c>
      <c r="S147" s="472">
        <f>(Table6[[#This Row],[Fault Clearance time]]-Table6[[#This Row],[Work Start TimeStamp]])*24</f>
        <v>4.3166666666666664</v>
      </c>
      <c r="T147" s="472">
        <f>(Table6[[#This Row],[Fault Clearance time]]-Table6[[#This Row],[Fault Start TimeStamp]])*24</f>
        <v>4.3166666666666664</v>
      </c>
      <c r="U147" s="35" t="s">
        <v>384</v>
      </c>
      <c r="V147" s="102" t="s">
        <v>293</v>
      </c>
      <c r="W147" s="478">
        <f>IFERROR(Table6[[#This Row],[Breakdown Time]]*Table6[[#This Row],[Plant Equivalent Weightage]],"")</f>
        <v>0.16602564102564096</v>
      </c>
      <c r="X147" s="473" t="s">
        <v>290</v>
      </c>
      <c r="Y147" s="474" t="s">
        <v>81</v>
      </c>
      <c r="Z147" s="102">
        <v>28587</v>
      </c>
      <c r="AA147" s="468">
        <f>(Table6[[#This Row],[Paired WTG Generation for loss calculation]]/24)*Table6[[#This Row],[Breakdown Time]]</f>
        <v>5141.6895833333328</v>
      </c>
      <c r="AB147" s="102"/>
      <c r="AC147" s="35"/>
      <c r="AD147" s="35"/>
    </row>
    <row r="148" spans="1:30">
      <c r="A148" s="102">
        <f t="shared" si="3"/>
        <v>147</v>
      </c>
      <c r="B148" s="468">
        <f>YEAR(Table6[[#This Row],[Date]])+IF(MONTH(Table6[[#This Row],[Date]])&gt;=4,1,0)</f>
        <v>2026</v>
      </c>
      <c r="C148" s="102">
        <f>YEAR(Table6[[#This Row],[Date]])</f>
        <v>2025</v>
      </c>
      <c r="D148" s="102" t="s">
        <v>1992</v>
      </c>
      <c r="E148" s="469">
        <f>Table6[[#This Row],[Date]]-DAY(Table6[[#This Row],[Date]])+1</f>
        <v>45748</v>
      </c>
      <c r="F148" s="470">
        <v>45757</v>
      </c>
      <c r="G148" s="35" t="s">
        <v>99</v>
      </c>
      <c r="H148" s="35" t="str">
        <f>IFERROR(_xlfn.XLOOKUP(Table6[[#This Row],[Affected WTG]],'Basic Data'!$A:$A,'Basic Data'!$B:$B),"")</f>
        <v>TQGXIIPL</v>
      </c>
      <c r="I148" s="35" t="str">
        <f>IFERROR(_xlfn.XLOOKUP(Table6[[#This Row],[Affected WTG]],'Basic Data'!$A:$A,'Basic Data'!$C:$C),"")</f>
        <v>GEDA</v>
      </c>
      <c r="J148" s="471">
        <f>IFERROR(_xlfn.XLOOKUP(Table6[[#This Row],[Affected WTG]],'Basic Data'!$A:$A,'Basic Data'!$E:$E),"")</f>
        <v>3.846153846153845E-2</v>
      </c>
      <c r="K148" s="102">
        <v>4520</v>
      </c>
      <c r="L148" s="35" t="str">
        <f>IFERROR(_xlfn.XLOOKUP(Table6[[#This Row],[Error Code]],'Basic Data'!$AA:$AA,'Basic Data'!$AB:$AB),"Incorrect Error Code")</f>
        <v>Tower oscillation X level 1</v>
      </c>
      <c r="M148" s="35" t="s">
        <v>291</v>
      </c>
      <c r="N148" s="475"/>
      <c r="O148" s="476">
        <v>0.1673611111111111</v>
      </c>
      <c r="P148" s="476">
        <v>0.1673611111111111</v>
      </c>
      <c r="Q148" s="477">
        <v>0.17569444444444443</v>
      </c>
      <c r="R148" s="472">
        <f>IF(Table6[[#This Row],[Work Start TimeStamp]]="","",(Table6[[#This Row],[Work Start TimeStamp]]-Table6[[#This Row],[Fault Start TimeStamp]])*24)</f>
        <v>0</v>
      </c>
      <c r="S148" s="472">
        <f>(Table6[[#This Row],[Fault Clearance time]]-Table6[[#This Row],[Work Start TimeStamp]])*24</f>
        <v>0.19999999999999996</v>
      </c>
      <c r="T148" s="472">
        <f>(Table6[[#This Row],[Fault Clearance time]]-Table6[[#This Row],[Fault Start TimeStamp]])*24</f>
        <v>0.19999999999999996</v>
      </c>
      <c r="U148" s="35" t="s">
        <v>349</v>
      </c>
      <c r="V148" s="102" t="s">
        <v>293</v>
      </c>
      <c r="W148" s="478">
        <f>IFERROR(Table6[[#This Row],[Breakdown Time]]*Table6[[#This Row],[Plant Equivalent Weightage]],"")</f>
        <v>7.6923076923076884E-3</v>
      </c>
      <c r="X148" s="473" t="s">
        <v>294</v>
      </c>
      <c r="Y148" s="474" t="s">
        <v>81</v>
      </c>
      <c r="Z148" s="102">
        <v>28587</v>
      </c>
      <c r="AA148" s="468">
        <f>(Table6[[#This Row],[Paired WTG Generation for loss calculation]]/24)*Table6[[#This Row],[Breakdown Time]]</f>
        <v>238.22499999999994</v>
      </c>
      <c r="AB148" s="102"/>
      <c r="AC148" s="35"/>
      <c r="AD148" s="35"/>
    </row>
    <row r="149" spans="1:30">
      <c r="A149" s="102">
        <f t="shared" si="3"/>
        <v>148</v>
      </c>
      <c r="B149" s="468">
        <f>YEAR(Table6[[#This Row],[Date]])+IF(MONTH(Table6[[#This Row],[Date]])&gt;=4,1,0)</f>
        <v>2026</v>
      </c>
      <c r="C149" s="102">
        <f>YEAR(Table6[[#This Row],[Date]])</f>
        <v>2025</v>
      </c>
      <c r="D149" s="102" t="s">
        <v>1992</v>
      </c>
      <c r="E149" s="469">
        <f>Table6[[#This Row],[Date]]-DAY(Table6[[#This Row],[Date]])+1</f>
        <v>45748</v>
      </c>
      <c r="F149" s="470">
        <v>45758</v>
      </c>
      <c r="G149" s="35" t="s">
        <v>74</v>
      </c>
      <c r="H149" s="35" t="str">
        <f>IFERROR(_xlfn.XLOOKUP(Table6[[#This Row],[Affected WTG]],'Basic Data'!$A:$A,'Basic Data'!$B:$B),"")</f>
        <v>TQGXIIPL</v>
      </c>
      <c r="I149" s="35" t="str">
        <f>IFERROR(_xlfn.XLOOKUP(Table6[[#This Row],[Affected WTG]],'Basic Data'!$A:$A,'Basic Data'!$C:$C),"")</f>
        <v>GEDA</v>
      </c>
      <c r="J149" s="471">
        <f>IFERROR(_xlfn.XLOOKUP(Table6[[#This Row],[Affected WTG]],'Basic Data'!$A:$A,'Basic Data'!$E:$E),"")</f>
        <v>3.846153846153845E-2</v>
      </c>
      <c r="K149" s="102">
        <v>6130</v>
      </c>
      <c r="L149" s="35" t="str">
        <f>IFERROR(_xlfn.XLOOKUP(Table6[[#This Row],[Error Code]],'Basic Data'!$AA:$AA,'Basic Data'!$AB:$AB),"Incorrect Error Code")</f>
        <v>Yaw speed high</v>
      </c>
      <c r="M149" s="35" t="s">
        <v>292</v>
      </c>
      <c r="N149" s="475"/>
      <c r="O149" s="476">
        <v>0.53819444444444442</v>
      </c>
      <c r="P149" s="476">
        <v>0.53819444444444442</v>
      </c>
      <c r="Q149" s="477">
        <v>0.54236111111111107</v>
      </c>
      <c r="R149" s="472">
        <f>IF(Table6[[#This Row],[Work Start TimeStamp]]="","",(Table6[[#This Row],[Work Start TimeStamp]]-Table6[[#This Row],[Fault Start TimeStamp]])*24)</f>
        <v>0</v>
      </c>
      <c r="S149" s="472">
        <f>(Table6[[#This Row],[Fault Clearance time]]-Table6[[#This Row],[Work Start TimeStamp]])*24</f>
        <v>9.9999999999999645E-2</v>
      </c>
      <c r="T149" s="472">
        <f>(Table6[[#This Row],[Fault Clearance time]]-Table6[[#This Row],[Fault Start TimeStamp]])*24</f>
        <v>9.9999999999999645E-2</v>
      </c>
      <c r="U149" s="35" t="s">
        <v>336</v>
      </c>
      <c r="V149" s="102" t="s">
        <v>293</v>
      </c>
      <c r="W149" s="478">
        <f>IFERROR(Table6[[#This Row],[Breakdown Time]]*Table6[[#This Row],[Plant Equivalent Weightage]],"")</f>
        <v>3.8461538461538312E-3</v>
      </c>
      <c r="X149" s="473" t="s">
        <v>294</v>
      </c>
      <c r="Y149" s="474" t="s">
        <v>99</v>
      </c>
      <c r="Z149" s="102">
        <v>41874</v>
      </c>
      <c r="AA149" s="468">
        <f>(Table6[[#This Row],[Paired WTG Generation for loss calculation]]/24)*Table6[[#This Row],[Breakdown Time]]</f>
        <v>174.47499999999937</v>
      </c>
      <c r="AB149" s="102"/>
      <c r="AC149" s="35"/>
      <c r="AD149" s="35"/>
    </row>
    <row r="150" spans="1:30">
      <c r="A150" s="102">
        <f t="shared" si="3"/>
        <v>149</v>
      </c>
      <c r="B150" s="468">
        <f>YEAR(Table6[[#This Row],[Date]])+IF(MONTH(Table6[[#This Row],[Date]])&gt;=4,1,0)</f>
        <v>2026</v>
      </c>
      <c r="C150" s="102">
        <f>YEAR(Table6[[#This Row],[Date]])</f>
        <v>2025</v>
      </c>
      <c r="D150" s="102" t="s">
        <v>1992</v>
      </c>
      <c r="E150" s="469">
        <f>Table6[[#This Row],[Date]]-DAY(Table6[[#This Row],[Date]])+1</f>
        <v>45748</v>
      </c>
      <c r="F150" s="470">
        <v>45758</v>
      </c>
      <c r="G150" s="35" t="s">
        <v>74</v>
      </c>
      <c r="H150" s="35" t="str">
        <f>IFERROR(_xlfn.XLOOKUP(Table6[[#This Row],[Affected WTG]],'Basic Data'!$A:$A,'Basic Data'!$B:$B),"")</f>
        <v>TQGXIIPL</v>
      </c>
      <c r="I150" s="35" t="str">
        <f>IFERROR(_xlfn.XLOOKUP(Table6[[#This Row],[Affected WTG]],'Basic Data'!$A:$A,'Basic Data'!$C:$C),"")</f>
        <v>GEDA</v>
      </c>
      <c r="J150" s="471">
        <f>IFERROR(_xlfn.XLOOKUP(Table6[[#This Row],[Affected WTG]],'Basic Data'!$A:$A,'Basic Data'!$E:$E),"")</f>
        <v>3.846153846153845E-2</v>
      </c>
      <c r="K150" s="102">
        <v>6130</v>
      </c>
      <c r="L150" s="35" t="str">
        <f>IFERROR(_xlfn.XLOOKUP(Table6[[#This Row],[Error Code]],'Basic Data'!$AA:$AA,'Basic Data'!$AB:$AB),"Incorrect Error Code")</f>
        <v>Yaw speed high</v>
      </c>
      <c r="M150" s="35" t="s">
        <v>292</v>
      </c>
      <c r="N150" s="475"/>
      <c r="O150" s="476">
        <v>0.59444444444444444</v>
      </c>
      <c r="P150" s="476">
        <v>0.59444444444444444</v>
      </c>
      <c r="Q150" s="477">
        <v>0.60416666666666663</v>
      </c>
      <c r="R150" s="472">
        <f>IF(Table6[[#This Row],[Work Start TimeStamp]]="","",(Table6[[#This Row],[Work Start TimeStamp]]-Table6[[#This Row],[Fault Start TimeStamp]])*24)</f>
        <v>0</v>
      </c>
      <c r="S150" s="472">
        <f>(Table6[[#This Row],[Fault Clearance time]]-Table6[[#This Row],[Work Start TimeStamp]])*24</f>
        <v>0.2333333333333325</v>
      </c>
      <c r="T150" s="472">
        <f>(Table6[[#This Row],[Fault Clearance time]]-Table6[[#This Row],[Fault Start TimeStamp]])*24</f>
        <v>0.2333333333333325</v>
      </c>
      <c r="U150" s="35" t="s">
        <v>349</v>
      </c>
      <c r="V150" s="102" t="s">
        <v>293</v>
      </c>
      <c r="W150" s="478">
        <f>IFERROR(Table6[[#This Row],[Breakdown Time]]*Table6[[#This Row],[Plant Equivalent Weightage]],"")</f>
        <v>8.974358974358939E-3</v>
      </c>
      <c r="X150" s="473" t="s">
        <v>294</v>
      </c>
      <c r="Y150" s="474" t="s">
        <v>99</v>
      </c>
      <c r="Z150" s="102">
        <v>41874</v>
      </c>
      <c r="AA150" s="468">
        <f>(Table6[[#This Row],[Paired WTG Generation for loss calculation]]/24)*Table6[[#This Row],[Breakdown Time]]</f>
        <v>407.10833333333187</v>
      </c>
      <c r="AB150" s="102"/>
      <c r="AC150" s="35"/>
      <c r="AD150" s="35"/>
    </row>
    <row r="151" spans="1:30">
      <c r="A151" s="102">
        <f t="shared" si="3"/>
        <v>150</v>
      </c>
      <c r="B151" s="468">
        <f>YEAR(Table6[[#This Row],[Date]])+IF(MONTH(Table6[[#This Row],[Date]])&gt;=4,1,0)</f>
        <v>2026</v>
      </c>
      <c r="C151" s="102">
        <f>YEAR(Table6[[#This Row],[Date]])</f>
        <v>2025</v>
      </c>
      <c r="D151" s="102" t="s">
        <v>1992</v>
      </c>
      <c r="E151" s="469">
        <f>Table6[[#This Row],[Date]]-DAY(Table6[[#This Row],[Date]])+1</f>
        <v>45748</v>
      </c>
      <c r="F151" s="470">
        <v>45758</v>
      </c>
      <c r="G151" s="35" t="s">
        <v>78</v>
      </c>
      <c r="H151" s="35" t="str">
        <f>IFERROR(_xlfn.XLOOKUP(Table6[[#This Row],[Affected WTG]],'Basic Data'!$A:$A,'Basic Data'!$B:$B),"")</f>
        <v>TQGXIIPL</v>
      </c>
      <c r="I151" s="35" t="str">
        <f>IFERROR(_xlfn.XLOOKUP(Table6[[#This Row],[Affected WTG]],'Basic Data'!$A:$A,'Basic Data'!$C:$C),"")</f>
        <v>GEDA</v>
      </c>
      <c r="J151" s="471">
        <f>IFERROR(_xlfn.XLOOKUP(Table6[[#This Row],[Affected WTG]],'Basic Data'!$A:$A,'Basic Data'!$E:$E),"")</f>
        <v>3.846153846153845E-2</v>
      </c>
      <c r="K151" s="102">
        <v>6130</v>
      </c>
      <c r="L151" s="35" t="str">
        <f>IFERROR(_xlfn.XLOOKUP(Table6[[#This Row],[Error Code]],'Basic Data'!$AA:$AA,'Basic Data'!$AB:$AB),"Incorrect Error Code")</f>
        <v>Yaw speed high</v>
      </c>
      <c r="M151" s="35" t="s">
        <v>292</v>
      </c>
      <c r="N151" s="475"/>
      <c r="O151" s="476">
        <v>0.625</v>
      </c>
      <c r="P151" s="476">
        <v>0.625</v>
      </c>
      <c r="Q151" s="477">
        <v>0.62916666666666665</v>
      </c>
      <c r="R151" s="472">
        <f>IF(Table6[[#This Row],[Work Start TimeStamp]]="","",(Table6[[#This Row],[Work Start TimeStamp]]-Table6[[#This Row],[Fault Start TimeStamp]])*24)</f>
        <v>0</v>
      </c>
      <c r="S151" s="472">
        <f>(Table6[[#This Row],[Fault Clearance time]]-Table6[[#This Row],[Work Start TimeStamp]])*24</f>
        <v>9.9999999999999645E-2</v>
      </c>
      <c r="T151" s="472">
        <f>(Table6[[#This Row],[Fault Clearance time]]-Table6[[#This Row],[Fault Start TimeStamp]])*24</f>
        <v>9.9999999999999645E-2</v>
      </c>
      <c r="U151" s="35" t="s">
        <v>336</v>
      </c>
      <c r="V151" s="102" t="s">
        <v>293</v>
      </c>
      <c r="W151" s="478">
        <f>IFERROR(Table6[[#This Row],[Breakdown Time]]*Table6[[#This Row],[Plant Equivalent Weightage]],"")</f>
        <v>3.8461538461538312E-3</v>
      </c>
      <c r="X151" s="473" t="s">
        <v>294</v>
      </c>
      <c r="Y151" s="474" t="s">
        <v>75</v>
      </c>
      <c r="Z151" s="102">
        <v>49347</v>
      </c>
      <c r="AA151" s="468">
        <f>(Table6[[#This Row],[Paired WTG Generation for loss calculation]]/24)*Table6[[#This Row],[Breakdown Time]]</f>
        <v>205.61249999999927</v>
      </c>
      <c r="AB151" s="102"/>
      <c r="AC151" s="35"/>
      <c r="AD151" s="35"/>
    </row>
    <row r="152" spans="1:30">
      <c r="A152" s="102">
        <f t="shared" si="3"/>
        <v>151</v>
      </c>
      <c r="B152" s="468">
        <f>YEAR(Table6[[#This Row],[Date]])+IF(MONTH(Table6[[#This Row],[Date]])&gt;=4,1,0)</f>
        <v>2026</v>
      </c>
      <c r="C152" s="102">
        <f>YEAR(Table6[[#This Row],[Date]])</f>
        <v>2025</v>
      </c>
      <c r="D152" s="102" t="s">
        <v>1992</v>
      </c>
      <c r="E152" s="469">
        <f>Table6[[#This Row],[Date]]-DAY(Table6[[#This Row],[Date]])+1</f>
        <v>45748</v>
      </c>
      <c r="F152" s="470">
        <v>45758</v>
      </c>
      <c r="G152" s="35" t="s">
        <v>78</v>
      </c>
      <c r="H152" s="35" t="str">
        <f>IFERROR(_xlfn.XLOOKUP(Table6[[#This Row],[Affected WTG]],'Basic Data'!$A:$A,'Basic Data'!$B:$B),"")</f>
        <v>TQGXIIPL</v>
      </c>
      <c r="I152" s="35" t="str">
        <f>IFERROR(_xlfn.XLOOKUP(Table6[[#This Row],[Affected WTG]],'Basic Data'!$A:$A,'Basic Data'!$C:$C),"")</f>
        <v>GEDA</v>
      </c>
      <c r="J152" s="471">
        <f>IFERROR(_xlfn.XLOOKUP(Table6[[#This Row],[Affected WTG]],'Basic Data'!$A:$A,'Basic Data'!$E:$E),"")</f>
        <v>3.846153846153845E-2</v>
      </c>
      <c r="K152" s="102">
        <v>3000</v>
      </c>
      <c r="L152" s="35" t="str">
        <f>IFERROR(_xlfn.XLOOKUP(Table6[[#This Row],[Error Code]],'Basic Data'!$AA:$AA,'Basic Data'!$AB:$AB),"Incorrect Error Code")</f>
        <v>Frequency converter not ready</v>
      </c>
      <c r="M152" s="35" t="s">
        <v>291</v>
      </c>
      <c r="N152" s="475"/>
      <c r="O152" s="476">
        <v>0.90625</v>
      </c>
      <c r="P152" s="476">
        <v>0.90625</v>
      </c>
      <c r="Q152" s="477">
        <v>0.91180555555555554</v>
      </c>
      <c r="R152" s="472">
        <f>IF(Table6[[#This Row],[Work Start TimeStamp]]="","",(Table6[[#This Row],[Work Start TimeStamp]]-Table6[[#This Row],[Fault Start TimeStamp]])*24)</f>
        <v>0</v>
      </c>
      <c r="S152" s="472">
        <f>(Table6[[#This Row],[Fault Clearance time]]-Table6[[#This Row],[Work Start TimeStamp]])*24</f>
        <v>0.13333333333333286</v>
      </c>
      <c r="T152" s="472">
        <f>(Table6[[#This Row],[Fault Clearance time]]-Table6[[#This Row],[Fault Start TimeStamp]])*24</f>
        <v>0.13333333333333286</v>
      </c>
      <c r="U152" s="35" t="s">
        <v>374</v>
      </c>
      <c r="V152" s="102" t="s">
        <v>293</v>
      </c>
      <c r="W152" s="478">
        <f>IFERROR(Table6[[#This Row],[Breakdown Time]]*Table6[[#This Row],[Plant Equivalent Weightage]],"")</f>
        <v>5.1282051282051083E-3</v>
      </c>
      <c r="X152" s="473" t="s">
        <v>294</v>
      </c>
      <c r="Y152" s="474" t="s">
        <v>75</v>
      </c>
      <c r="Z152" s="102">
        <v>49347</v>
      </c>
      <c r="AA152" s="468">
        <f>(Table6[[#This Row],[Paired WTG Generation for loss calculation]]/24)*Table6[[#This Row],[Breakdown Time]]</f>
        <v>274.14999999999901</v>
      </c>
      <c r="AB152" s="102"/>
      <c r="AC152" s="35"/>
      <c r="AD152" s="35"/>
    </row>
    <row r="153" spans="1:30">
      <c r="A153" s="102">
        <f t="shared" si="3"/>
        <v>152</v>
      </c>
      <c r="B153" s="468">
        <f>YEAR(Table6[[#This Row],[Date]])+IF(MONTH(Table6[[#This Row],[Date]])&gt;=4,1,0)</f>
        <v>2026</v>
      </c>
      <c r="C153" s="102">
        <f>YEAR(Table6[[#This Row],[Date]])</f>
        <v>2025</v>
      </c>
      <c r="D153" s="102" t="s">
        <v>1992</v>
      </c>
      <c r="E153" s="469">
        <f>Table6[[#This Row],[Date]]-DAY(Table6[[#This Row],[Date]])+1</f>
        <v>45748</v>
      </c>
      <c r="F153" s="470">
        <v>45758</v>
      </c>
      <c r="G153" s="35" t="s">
        <v>81</v>
      </c>
      <c r="H153" s="35" t="str">
        <f>IFERROR(_xlfn.XLOOKUP(Table6[[#This Row],[Affected WTG]],'Basic Data'!$A:$A,'Basic Data'!$B:$B),"")</f>
        <v>TQGXIIPL</v>
      </c>
      <c r="I153" s="35" t="str">
        <f>IFERROR(_xlfn.XLOOKUP(Table6[[#This Row],[Affected WTG]],'Basic Data'!$A:$A,'Basic Data'!$C:$C),"")</f>
        <v>GEDA</v>
      </c>
      <c r="J153" s="471">
        <f>IFERROR(_xlfn.XLOOKUP(Table6[[#This Row],[Affected WTG]],'Basic Data'!$A:$A,'Basic Data'!$E:$E),"")</f>
        <v>3.846153846153845E-2</v>
      </c>
      <c r="K153" s="102">
        <v>6605</v>
      </c>
      <c r="L153" s="35" t="str">
        <f>IFERROR(_xlfn.XLOOKUP(Table6[[#This Row],[Error Code]],'Basic Data'!$AA:$AA,'Basic Data'!$AB:$AB),"Incorrect Error Code")</f>
        <v>Wind.dir. diff. level 2</v>
      </c>
      <c r="M153" s="35" t="s">
        <v>291</v>
      </c>
      <c r="N153" s="475"/>
      <c r="O153" s="476">
        <v>0.42499999999999999</v>
      </c>
      <c r="P153" s="476">
        <v>0.42499999999999999</v>
      </c>
      <c r="Q153" s="477">
        <v>0.44374999999999998</v>
      </c>
      <c r="R153" s="472">
        <f>IF(Table6[[#This Row],[Work Start TimeStamp]]="","",(Table6[[#This Row],[Work Start TimeStamp]]-Table6[[#This Row],[Fault Start TimeStamp]])*24)</f>
        <v>0</v>
      </c>
      <c r="S153" s="472">
        <f>(Table6[[#This Row],[Fault Clearance time]]-Table6[[#This Row],[Work Start TimeStamp]])*24</f>
        <v>0.44999999999999973</v>
      </c>
      <c r="T153" s="472">
        <f>(Table6[[#This Row],[Fault Clearance time]]-Table6[[#This Row],[Fault Start TimeStamp]])*24</f>
        <v>0.44999999999999973</v>
      </c>
      <c r="U153" s="35" t="s">
        <v>374</v>
      </c>
      <c r="V153" s="102" t="s">
        <v>293</v>
      </c>
      <c r="W153" s="478">
        <f>IFERROR(Table6[[#This Row],[Breakdown Time]]*Table6[[#This Row],[Plant Equivalent Weightage]],"")</f>
        <v>1.7307692307692291E-2</v>
      </c>
      <c r="X153" s="473" t="s">
        <v>294</v>
      </c>
      <c r="Y153" s="474" t="s">
        <v>99</v>
      </c>
      <c r="Z153" s="102">
        <v>41874</v>
      </c>
      <c r="AA153" s="468">
        <f>(Table6[[#This Row],[Paired WTG Generation for loss calculation]]/24)*Table6[[#This Row],[Breakdown Time]]</f>
        <v>785.13749999999959</v>
      </c>
      <c r="AB153" s="102"/>
      <c r="AC153" s="35"/>
      <c r="AD153" s="35"/>
    </row>
    <row r="154" spans="1:30">
      <c r="A154" s="102">
        <f t="shared" si="3"/>
        <v>153</v>
      </c>
      <c r="B154" s="468">
        <f>YEAR(Table6[[#This Row],[Date]])+IF(MONTH(Table6[[#This Row],[Date]])&gt;=4,1,0)</f>
        <v>2026</v>
      </c>
      <c r="C154" s="102">
        <f>YEAR(Table6[[#This Row],[Date]])</f>
        <v>2025</v>
      </c>
      <c r="D154" s="102" t="s">
        <v>1992</v>
      </c>
      <c r="E154" s="469">
        <f>Table6[[#This Row],[Date]]-DAY(Table6[[#This Row],[Date]])+1</f>
        <v>45748</v>
      </c>
      <c r="F154" s="470">
        <v>45758</v>
      </c>
      <c r="G154" s="35" t="s">
        <v>81</v>
      </c>
      <c r="H154" s="35" t="str">
        <f>IFERROR(_xlfn.XLOOKUP(Table6[[#This Row],[Affected WTG]],'Basic Data'!$A:$A,'Basic Data'!$B:$B),"")</f>
        <v>TQGXIIPL</v>
      </c>
      <c r="I154" s="35" t="str">
        <f>IFERROR(_xlfn.XLOOKUP(Table6[[#This Row],[Affected WTG]],'Basic Data'!$A:$A,'Basic Data'!$C:$C),"")</f>
        <v>GEDA</v>
      </c>
      <c r="J154" s="471">
        <f>IFERROR(_xlfn.XLOOKUP(Table6[[#This Row],[Affected WTG]],'Basic Data'!$A:$A,'Basic Data'!$E:$E),"")</f>
        <v>3.846153846153845E-2</v>
      </c>
      <c r="K154" s="102">
        <v>6130</v>
      </c>
      <c r="L154" s="35" t="str">
        <f>IFERROR(_xlfn.XLOOKUP(Table6[[#This Row],[Error Code]],'Basic Data'!$AA:$AA,'Basic Data'!$AB:$AB),"Incorrect Error Code")</f>
        <v>Yaw speed high</v>
      </c>
      <c r="M154" s="35" t="s">
        <v>292</v>
      </c>
      <c r="N154" s="475"/>
      <c r="O154" s="476">
        <v>0.72152777777777777</v>
      </c>
      <c r="P154" s="476">
        <v>0.72152777777777777</v>
      </c>
      <c r="Q154" s="477">
        <v>0.72569444444444442</v>
      </c>
      <c r="R154" s="472">
        <f>IF(Table6[[#This Row],[Work Start TimeStamp]]="","",(Table6[[#This Row],[Work Start TimeStamp]]-Table6[[#This Row],[Fault Start TimeStamp]])*24)</f>
        <v>0</v>
      </c>
      <c r="S154" s="472">
        <f>(Table6[[#This Row],[Fault Clearance time]]-Table6[[#This Row],[Work Start TimeStamp]])*24</f>
        <v>9.9999999999999645E-2</v>
      </c>
      <c r="T154" s="472">
        <f>(Table6[[#This Row],[Fault Clearance time]]-Table6[[#This Row],[Fault Start TimeStamp]])*24</f>
        <v>9.9999999999999645E-2</v>
      </c>
      <c r="U154" s="35" t="s">
        <v>336</v>
      </c>
      <c r="V154" s="102" t="s">
        <v>293</v>
      </c>
      <c r="W154" s="478">
        <f>IFERROR(Table6[[#This Row],[Breakdown Time]]*Table6[[#This Row],[Plant Equivalent Weightage]],"")</f>
        <v>3.8461538461538312E-3</v>
      </c>
      <c r="X154" s="473" t="s">
        <v>294</v>
      </c>
      <c r="Y154" s="474" t="s">
        <v>99</v>
      </c>
      <c r="Z154" s="102">
        <v>41874</v>
      </c>
      <c r="AA154" s="468">
        <f>(Table6[[#This Row],[Paired WTG Generation for loss calculation]]/24)*Table6[[#This Row],[Breakdown Time]]</f>
        <v>174.47499999999937</v>
      </c>
      <c r="AB154" s="102"/>
      <c r="AC154" s="35"/>
      <c r="AD154" s="35"/>
    </row>
    <row r="155" spans="1:30">
      <c r="A155" s="102">
        <f t="shared" si="3"/>
        <v>154</v>
      </c>
      <c r="B155" s="468">
        <f>YEAR(Table6[[#This Row],[Date]])+IF(MONTH(Table6[[#This Row],[Date]])&gt;=4,1,0)</f>
        <v>2026</v>
      </c>
      <c r="C155" s="102">
        <f>YEAR(Table6[[#This Row],[Date]])</f>
        <v>2025</v>
      </c>
      <c r="D155" s="102" t="s">
        <v>1992</v>
      </c>
      <c r="E155" s="469">
        <f>Table6[[#This Row],[Date]]-DAY(Table6[[#This Row],[Date]])+1</f>
        <v>45748</v>
      </c>
      <c r="F155" s="470">
        <v>45758</v>
      </c>
      <c r="G155" s="35" t="s">
        <v>83</v>
      </c>
      <c r="H155" s="35" t="str">
        <f>IFERROR(_xlfn.XLOOKUP(Table6[[#This Row],[Affected WTG]],'Basic Data'!$A:$A,'Basic Data'!$B:$B),"")</f>
        <v>TQGXIIPL</v>
      </c>
      <c r="I155" s="35" t="str">
        <f>IFERROR(_xlfn.XLOOKUP(Table6[[#This Row],[Affected WTG]],'Basic Data'!$A:$A,'Basic Data'!$C:$C),"")</f>
        <v>GEDA</v>
      </c>
      <c r="J155" s="471">
        <f>IFERROR(_xlfn.XLOOKUP(Table6[[#This Row],[Affected WTG]],'Basic Data'!$A:$A,'Basic Data'!$E:$E),"")</f>
        <v>3.846153846153845E-2</v>
      </c>
      <c r="K155" s="102">
        <v>6130</v>
      </c>
      <c r="L155" s="35" t="str">
        <f>IFERROR(_xlfn.XLOOKUP(Table6[[#This Row],[Error Code]],'Basic Data'!$AA:$AA,'Basic Data'!$AB:$AB),"Incorrect Error Code")</f>
        <v>Yaw speed high</v>
      </c>
      <c r="M155" s="35" t="s">
        <v>292</v>
      </c>
      <c r="N155" s="475"/>
      <c r="O155" s="476">
        <v>0.55972222222222223</v>
      </c>
      <c r="P155" s="476">
        <v>0.55972222222222223</v>
      </c>
      <c r="Q155" s="477">
        <v>0.56388888888888888</v>
      </c>
      <c r="R155" s="472">
        <f>IF(Table6[[#This Row],[Work Start TimeStamp]]="","",(Table6[[#This Row],[Work Start TimeStamp]]-Table6[[#This Row],[Fault Start TimeStamp]])*24)</f>
        <v>0</v>
      </c>
      <c r="S155" s="472">
        <f>(Table6[[#This Row],[Fault Clearance time]]-Table6[[#This Row],[Work Start TimeStamp]])*24</f>
        <v>9.9999999999999645E-2</v>
      </c>
      <c r="T155" s="472">
        <f>(Table6[[#This Row],[Fault Clearance time]]-Table6[[#This Row],[Fault Start TimeStamp]])*24</f>
        <v>9.9999999999999645E-2</v>
      </c>
      <c r="U155" s="35" t="s">
        <v>336</v>
      </c>
      <c r="V155" s="102" t="s">
        <v>293</v>
      </c>
      <c r="W155" s="478">
        <f>IFERROR(Table6[[#This Row],[Breakdown Time]]*Table6[[#This Row],[Plant Equivalent Weightage]],"")</f>
        <v>3.8461538461538312E-3</v>
      </c>
      <c r="X155" s="473" t="s">
        <v>294</v>
      </c>
      <c r="Y155" s="474" t="s">
        <v>88</v>
      </c>
      <c r="Z155" s="102">
        <v>40666</v>
      </c>
      <c r="AA155" s="468">
        <f>(Table6[[#This Row],[Paired WTG Generation for loss calculation]]/24)*Table6[[#This Row],[Breakdown Time]]</f>
        <v>169.44166666666607</v>
      </c>
      <c r="AB155" s="102"/>
      <c r="AC155" s="35"/>
      <c r="AD155" s="35"/>
    </row>
    <row r="156" spans="1:30">
      <c r="A156" s="102">
        <f t="shared" si="3"/>
        <v>155</v>
      </c>
      <c r="B156" s="468">
        <f>YEAR(Table6[[#This Row],[Date]])+IF(MONTH(Table6[[#This Row],[Date]])&gt;=4,1,0)</f>
        <v>2026</v>
      </c>
      <c r="C156" s="102">
        <f>YEAR(Table6[[#This Row],[Date]])</f>
        <v>2025</v>
      </c>
      <c r="D156" s="102" t="s">
        <v>1992</v>
      </c>
      <c r="E156" s="469">
        <f>Table6[[#This Row],[Date]]-DAY(Table6[[#This Row],[Date]])+1</f>
        <v>45748</v>
      </c>
      <c r="F156" s="470">
        <v>45758</v>
      </c>
      <c r="G156" s="35" t="s">
        <v>86</v>
      </c>
      <c r="H156" s="35" t="str">
        <f>IFERROR(_xlfn.XLOOKUP(Table6[[#This Row],[Affected WTG]],'Basic Data'!$A:$A,'Basic Data'!$B:$B),"")</f>
        <v>TQGXIIPL</v>
      </c>
      <c r="I156" s="35" t="str">
        <f>IFERROR(_xlfn.XLOOKUP(Table6[[#This Row],[Affected WTG]],'Basic Data'!$A:$A,'Basic Data'!$C:$C),"")</f>
        <v>GEDA</v>
      </c>
      <c r="J156" s="471">
        <f>IFERROR(_xlfn.XLOOKUP(Table6[[#This Row],[Affected WTG]],'Basic Data'!$A:$A,'Basic Data'!$E:$E),"")</f>
        <v>3.846153846153845E-2</v>
      </c>
      <c r="K156" s="102">
        <v>6056</v>
      </c>
      <c r="L156" s="35" t="str">
        <f>IFERROR(_xlfn.XLOOKUP(Table6[[#This Row],[Error Code]],'Basic Data'!$AA:$AA,'Basic Data'!$AB:$AB),"Incorrect Error Code")</f>
        <v>High yaw load</v>
      </c>
      <c r="M156" s="35" t="s">
        <v>292</v>
      </c>
      <c r="N156" s="475"/>
      <c r="O156" s="476">
        <v>0.5708333333333333</v>
      </c>
      <c r="P156" s="476">
        <v>0.5708333333333333</v>
      </c>
      <c r="Q156" s="477">
        <v>0.57291666666666663</v>
      </c>
      <c r="R156" s="472">
        <f>IF(Table6[[#This Row],[Work Start TimeStamp]]="","",(Table6[[#This Row],[Work Start TimeStamp]]-Table6[[#This Row],[Fault Start TimeStamp]])*24)</f>
        <v>0</v>
      </c>
      <c r="S156" s="472">
        <f>(Table6[[#This Row],[Fault Clearance time]]-Table6[[#This Row],[Work Start TimeStamp]])*24</f>
        <v>4.9999999999999822E-2</v>
      </c>
      <c r="T156" s="472">
        <f>(Table6[[#This Row],[Fault Clearance time]]-Table6[[#This Row],[Fault Start TimeStamp]])*24</f>
        <v>4.9999999999999822E-2</v>
      </c>
      <c r="U156" s="35" t="s">
        <v>336</v>
      </c>
      <c r="V156" s="102" t="s">
        <v>293</v>
      </c>
      <c r="W156" s="478">
        <f>IFERROR(Table6[[#This Row],[Breakdown Time]]*Table6[[#This Row],[Plant Equivalent Weightage]],"")</f>
        <v>1.9230769230769156E-3</v>
      </c>
      <c r="X156" s="473" t="s">
        <v>294</v>
      </c>
      <c r="Y156" s="474" t="s">
        <v>84</v>
      </c>
      <c r="Z156" s="102">
        <v>37304</v>
      </c>
      <c r="AA156" s="468">
        <f>(Table6[[#This Row],[Paired WTG Generation for loss calculation]]/24)*Table6[[#This Row],[Breakdown Time]]</f>
        <v>77.716666666666384</v>
      </c>
      <c r="AB156" s="102"/>
      <c r="AC156" s="35"/>
      <c r="AD156" s="35"/>
    </row>
    <row r="157" spans="1:30">
      <c r="A157" s="102">
        <f t="shared" si="3"/>
        <v>156</v>
      </c>
      <c r="B157" s="468">
        <f>YEAR(Table6[[#This Row],[Date]])+IF(MONTH(Table6[[#This Row],[Date]])&gt;=4,1,0)</f>
        <v>2026</v>
      </c>
      <c r="C157" s="102">
        <f>YEAR(Table6[[#This Row],[Date]])</f>
        <v>2025</v>
      </c>
      <c r="D157" s="102" t="s">
        <v>1992</v>
      </c>
      <c r="E157" s="469">
        <f>Table6[[#This Row],[Date]]-DAY(Table6[[#This Row],[Date]])+1</f>
        <v>45748</v>
      </c>
      <c r="F157" s="470">
        <v>45758</v>
      </c>
      <c r="G157" s="35" t="s">
        <v>86</v>
      </c>
      <c r="H157" s="35" t="str">
        <f>IFERROR(_xlfn.XLOOKUP(Table6[[#This Row],[Affected WTG]],'Basic Data'!$A:$A,'Basic Data'!$B:$B),"")</f>
        <v>TQGXIIPL</v>
      </c>
      <c r="I157" s="35" t="str">
        <f>IFERROR(_xlfn.XLOOKUP(Table6[[#This Row],[Affected WTG]],'Basic Data'!$A:$A,'Basic Data'!$C:$C),"")</f>
        <v>GEDA</v>
      </c>
      <c r="J157" s="471">
        <f>IFERROR(_xlfn.XLOOKUP(Table6[[#This Row],[Affected WTG]],'Basic Data'!$A:$A,'Basic Data'!$E:$E),"")</f>
        <v>3.846153846153845E-2</v>
      </c>
      <c r="K157" s="102">
        <v>6130</v>
      </c>
      <c r="L157" s="35" t="str">
        <f>IFERROR(_xlfn.XLOOKUP(Table6[[#This Row],[Error Code]],'Basic Data'!$AA:$AA,'Basic Data'!$AB:$AB),"Incorrect Error Code")</f>
        <v>Yaw speed high</v>
      </c>
      <c r="M157" s="35" t="s">
        <v>292</v>
      </c>
      <c r="N157" s="475"/>
      <c r="O157" s="476">
        <v>0.61111111111111116</v>
      </c>
      <c r="P157" s="476">
        <v>0.61111111111111116</v>
      </c>
      <c r="Q157" s="477">
        <v>0.61527777777777781</v>
      </c>
      <c r="R157" s="472">
        <f>IF(Table6[[#This Row],[Work Start TimeStamp]]="","",(Table6[[#This Row],[Work Start TimeStamp]]-Table6[[#This Row],[Fault Start TimeStamp]])*24)</f>
        <v>0</v>
      </c>
      <c r="S157" s="472">
        <f>(Table6[[#This Row],[Fault Clearance time]]-Table6[[#This Row],[Work Start TimeStamp]])*24</f>
        <v>9.9999999999999645E-2</v>
      </c>
      <c r="T157" s="472">
        <f>(Table6[[#This Row],[Fault Clearance time]]-Table6[[#This Row],[Fault Start TimeStamp]])*24</f>
        <v>9.9999999999999645E-2</v>
      </c>
      <c r="U157" s="35" t="s">
        <v>336</v>
      </c>
      <c r="V157" s="102" t="s">
        <v>293</v>
      </c>
      <c r="W157" s="478">
        <f>IFERROR(Table6[[#This Row],[Breakdown Time]]*Table6[[#This Row],[Plant Equivalent Weightage]],"")</f>
        <v>3.8461538461538312E-3</v>
      </c>
      <c r="X157" s="473" t="s">
        <v>294</v>
      </c>
      <c r="Y157" s="474" t="s">
        <v>84</v>
      </c>
      <c r="Z157" s="102">
        <v>37304</v>
      </c>
      <c r="AA157" s="468">
        <f>(Table6[[#This Row],[Paired WTG Generation for loss calculation]]/24)*Table6[[#This Row],[Breakdown Time]]</f>
        <v>155.43333333333277</v>
      </c>
      <c r="AB157" s="102"/>
      <c r="AC157" s="35"/>
      <c r="AD157" s="35"/>
    </row>
    <row r="158" spans="1:30">
      <c r="A158" s="102">
        <f t="shared" si="3"/>
        <v>157</v>
      </c>
      <c r="B158" s="468">
        <f>YEAR(Table6[[#This Row],[Date]])+IF(MONTH(Table6[[#This Row],[Date]])&gt;=4,1,0)</f>
        <v>2026</v>
      </c>
      <c r="C158" s="102">
        <f>YEAR(Table6[[#This Row],[Date]])</f>
        <v>2025</v>
      </c>
      <c r="D158" s="102" t="s">
        <v>1992</v>
      </c>
      <c r="E158" s="469">
        <f>Table6[[#This Row],[Date]]-DAY(Table6[[#This Row],[Date]])+1</f>
        <v>45748</v>
      </c>
      <c r="F158" s="470">
        <v>45758</v>
      </c>
      <c r="G158" s="35" t="s">
        <v>87</v>
      </c>
      <c r="H158" s="35" t="str">
        <f>IFERROR(_xlfn.XLOOKUP(Table6[[#This Row],[Affected WTG]],'Basic Data'!$A:$A,'Basic Data'!$B:$B),"")</f>
        <v>TQGXIIPL</v>
      </c>
      <c r="I158" s="35" t="str">
        <f>IFERROR(_xlfn.XLOOKUP(Table6[[#This Row],[Affected WTG]],'Basic Data'!$A:$A,'Basic Data'!$C:$C),"")</f>
        <v>GEDA</v>
      </c>
      <c r="J158" s="471">
        <f>IFERROR(_xlfn.XLOOKUP(Table6[[#This Row],[Affected WTG]],'Basic Data'!$A:$A,'Basic Data'!$E:$E),"")</f>
        <v>3.846153846153845E-2</v>
      </c>
      <c r="K158" s="102">
        <v>3110</v>
      </c>
      <c r="L158" s="35" t="str">
        <f>IFERROR(_xlfn.XLOOKUP(Table6[[#This Row],[Error Code]],'Basic Data'!$AA:$AA,'Basic Data'!$AB:$AB),"Incorrect Error Code")</f>
        <v>Frequency converter error</v>
      </c>
      <c r="M158" s="35" t="s">
        <v>295</v>
      </c>
      <c r="N158" s="475"/>
      <c r="O158" s="476">
        <v>4.5138888888888888E-2</v>
      </c>
      <c r="P158" s="476">
        <v>0.10416666666666667</v>
      </c>
      <c r="Q158" s="477">
        <v>0.32430555555555557</v>
      </c>
      <c r="R158" s="472">
        <f>IF(Table6[[#This Row],[Work Start TimeStamp]]="","",(Table6[[#This Row],[Work Start TimeStamp]]-Table6[[#This Row],[Fault Start TimeStamp]])*24)</f>
        <v>1.4166666666666667</v>
      </c>
      <c r="S158" s="472">
        <f>(Table6[[#This Row],[Fault Clearance time]]-Table6[[#This Row],[Work Start TimeStamp]])*24</f>
        <v>5.2833333333333332</v>
      </c>
      <c r="T158" s="472">
        <f>(Table6[[#This Row],[Fault Clearance time]]-Table6[[#This Row],[Fault Start TimeStamp]])*24</f>
        <v>6.7</v>
      </c>
      <c r="U158" s="35" t="s">
        <v>385</v>
      </c>
      <c r="V158" s="102" t="s">
        <v>293</v>
      </c>
      <c r="W158" s="478">
        <f>IFERROR(Table6[[#This Row],[Breakdown Time]]*Table6[[#This Row],[Plant Equivalent Weightage]],"")</f>
        <v>0.25769230769230761</v>
      </c>
      <c r="X158" s="473" t="s">
        <v>294</v>
      </c>
      <c r="Y158" s="474" t="s">
        <v>85</v>
      </c>
      <c r="Z158" s="102">
        <v>42973</v>
      </c>
      <c r="AA158" s="468">
        <f>(Table6[[#This Row],[Paired WTG Generation for loss calculation]]/24)*Table6[[#This Row],[Breakdown Time]]</f>
        <v>11996.629166666668</v>
      </c>
      <c r="AB158" s="102"/>
      <c r="AC158" s="35"/>
      <c r="AD158" s="35"/>
    </row>
    <row r="159" spans="1:30">
      <c r="A159" s="102">
        <f t="shared" si="3"/>
        <v>158</v>
      </c>
      <c r="B159" s="468">
        <f>YEAR(Table6[[#This Row],[Date]])+IF(MONTH(Table6[[#This Row],[Date]])&gt;=4,1,0)</f>
        <v>2026</v>
      </c>
      <c r="C159" s="102">
        <f>YEAR(Table6[[#This Row],[Date]])</f>
        <v>2025</v>
      </c>
      <c r="D159" s="102" t="s">
        <v>1992</v>
      </c>
      <c r="E159" s="469">
        <f>Table6[[#This Row],[Date]]-DAY(Table6[[#This Row],[Date]])+1</f>
        <v>45748</v>
      </c>
      <c r="F159" s="470">
        <v>45758</v>
      </c>
      <c r="G159" s="35" t="s">
        <v>87</v>
      </c>
      <c r="H159" s="35" t="str">
        <f>IFERROR(_xlfn.XLOOKUP(Table6[[#This Row],[Affected WTG]],'Basic Data'!$A:$A,'Basic Data'!$B:$B),"")</f>
        <v>TQGXIIPL</v>
      </c>
      <c r="I159" s="35" t="str">
        <f>IFERROR(_xlfn.XLOOKUP(Table6[[#This Row],[Affected WTG]],'Basic Data'!$A:$A,'Basic Data'!$C:$C),"")</f>
        <v>GEDA</v>
      </c>
      <c r="J159" s="471">
        <f>IFERROR(_xlfn.XLOOKUP(Table6[[#This Row],[Affected WTG]],'Basic Data'!$A:$A,'Basic Data'!$E:$E),"")</f>
        <v>3.846153846153845E-2</v>
      </c>
      <c r="K159" s="102">
        <v>55</v>
      </c>
      <c r="L159" s="35" t="str">
        <f>IFERROR(_xlfn.XLOOKUP(Table6[[#This Row],[Error Code]],'Basic Data'!$AA:$AA,'Basic Data'!$AB:$AB),"Incorrect Error Code")</f>
        <v>WTG shut down</v>
      </c>
      <c r="M159" s="35" t="s">
        <v>328</v>
      </c>
      <c r="N159" s="475"/>
      <c r="O159" s="476">
        <v>0.44583333333333336</v>
      </c>
      <c r="P159" s="476">
        <v>0.44583333333333336</v>
      </c>
      <c r="Q159" s="477">
        <v>1</v>
      </c>
      <c r="R159" s="472">
        <f>IF(Table6[[#This Row],[Work Start TimeStamp]]="","",(Table6[[#This Row],[Work Start TimeStamp]]-Table6[[#This Row],[Fault Start TimeStamp]])*24)</f>
        <v>0</v>
      </c>
      <c r="S159" s="472">
        <f>(Table6[[#This Row],[Fault Clearance time]]-Table6[[#This Row],[Work Start TimeStamp]])*24</f>
        <v>13.3</v>
      </c>
      <c r="T159" s="472">
        <f>(Table6[[#This Row],[Fault Clearance time]]-Table6[[#This Row],[Fault Start TimeStamp]])*24</f>
        <v>13.3</v>
      </c>
      <c r="U159" s="35" t="s">
        <v>386</v>
      </c>
      <c r="V159" s="102" t="s">
        <v>293</v>
      </c>
      <c r="W159" s="478">
        <f>IFERROR(Table6[[#This Row],[Breakdown Time]]*Table6[[#This Row],[Plant Equivalent Weightage]],"")</f>
        <v>0.51153846153846139</v>
      </c>
      <c r="X159" s="473" t="s">
        <v>305</v>
      </c>
      <c r="Y159" s="474" t="s">
        <v>85</v>
      </c>
      <c r="Z159" s="102">
        <v>42973</v>
      </c>
      <c r="AA159" s="468">
        <f>(Table6[[#This Row],[Paired WTG Generation for loss calculation]]/24)*Table6[[#This Row],[Breakdown Time]]</f>
        <v>23814.20416666667</v>
      </c>
      <c r="AB159" s="102"/>
      <c r="AC159" s="35"/>
      <c r="AD159" s="35"/>
    </row>
    <row r="160" spans="1:30">
      <c r="A160" s="102">
        <f t="shared" si="3"/>
        <v>159</v>
      </c>
      <c r="B160" s="468">
        <f>YEAR(Table6[[#This Row],[Date]])+IF(MONTH(Table6[[#This Row],[Date]])&gt;=4,1,0)</f>
        <v>2026</v>
      </c>
      <c r="C160" s="102">
        <f>YEAR(Table6[[#This Row],[Date]])</f>
        <v>2025</v>
      </c>
      <c r="D160" s="102" t="s">
        <v>1992</v>
      </c>
      <c r="E160" s="469">
        <f>Table6[[#This Row],[Date]]-DAY(Table6[[#This Row],[Date]])+1</f>
        <v>45748</v>
      </c>
      <c r="F160" s="470">
        <v>45758</v>
      </c>
      <c r="G160" s="35" t="s">
        <v>89</v>
      </c>
      <c r="H160" s="35" t="str">
        <f>IFERROR(_xlfn.XLOOKUP(Table6[[#This Row],[Affected WTG]],'Basic Data'!$A:$A,'Basic Data'!$B:$B),"")</f>
        <v>TQGXIIPL</v>
      </c>
      <c r="I160" s="35" t="str">
        <f>IFERROR(_xlfn.XLOOKUP(Table6[[#This Row],[Affected WTG]],'Basic Data'!$A:$A,'Basic Data'!$C:$C),"")</f>
        <v>GEDA</v>
      </c>
      <c r="J160" s="471">
        <f>IFERROR(_xlfn.XLOOKUP(Table6[[#This Row],[Affected WTG]],'Basic Data'!$A:$A,'Basic Data'!$E:$E),"")</f>
        <v>3.846153846153845E-2</v>
      </c>
      <c r="K160" s="102">
        <v>6130</v>
      </c>
      <c r="L160" s="35" t="str">
        <f>IFERROR(_xlfn.XLOOKUP(Table6[[#This Row],[Error Code]],'Basic Data'!$AA:$AA,'Basic Data'!$AB:$AB),"Incorrect Error Code")</f>
        <v>Yaw speed high</v>
      </c>
      <c r="M160" s="35" t="s">
        <v>291</v>
      </c>
      <c r="N160" s="475"/>
      <c r="O160" s="476">
        <v>0.69722222222222219</v>
      </c>
      <c r="P160" s="476">
        <v>0.69722222222222219</v>
      </c>
      <c r="Q160" s="477">
        <v>0.70138888888888884</v>
      </c>
      <c r="R160" s="472">
        <f>IF(Table6[[#This Row],[Work Start TimeStamp]]="","",(Table6[[#This Row],[Work Start TimeStamp]]-Table6[[#This Row],[Fault Start TimeStamp]])*24)</f>
        <v>0</v>
      </c>
      <c r="S160" s="472">
        <f>(Table6[[#This Row],[Fault Clearance time]]-Table6[[#This Row],[Work Start TimeStamp]])*24</f>
        <v>9.9999999999999645E-2</v>
      </c>
      <c r="T160" s="472">
        <f>(Table6[[#This Row],[Fault Clearance time]]-Table6[[#This Row],[Fault Start TimeStamp]])*24</f>
        <v>9.9999999999999645E-2</v>
      </c>
      <c r="U160" s="35" t="s">
        <v>336</v>
      </c>
      <c r="V160" s="102" t="s">
        <v>293</v>
      </c>
      <c r="W160" s="478">
        <f>IFERROR(Table6[[#This Row],[Breakdown Time]]*Table6[[#This Row],[Plant Equivalent Weightage]],"")</f>
        <v>3.8461538461538312E-3</v>
      </c>
      <c r="X160" s="473" t="s">
        <v>294</v>
      </c>
      <c r="Y160" s="474" t="s">
        <v>94</v>
      </c>
      <c r="Z160" s="102">
        <v>40132</v>
      </c>
      <c r="AA160" s="468">
        <f>(Table6[[#This Row],[Paired WTG Generation for loss calculation]]/24)*Table6[[#This Row],[Breakdown Time]]</f>
        <v>167.21666666666607</v>
      </c>
      <c r="AB160" s="102"/>
      <c r="AC160" s="35"/>
      <c r="AD160" s="35"/>
    </row>
    <row r="161" spans="1:30">
      <c r="A161" s="102">
        <f t="shared" si="3"/>
        <v>160</v>
      </c>
      <c r="B161" s="468">
        <f>YEAR(Table6[[#This Row],[Date]])+IF(MONTH(Table6[[#This Row],[Date]])&gt;=4,1,0)</f>
        <v>2026</v>
      </c>
      <c r="C161" s="102">
        <f>YEAR(Table6[[#This Row],[Date]])</f>
        <v>2025</v>
      </c>
      <c r="D161" s="102" t="s">
        <v>1992</v>
      </c>
      <c r="E161" s="469">
        <f>Table6[[#This Row],[Date]]-DAY(Table6[[#This Row],[Date]])+1</f>
        <v>45748</v>
      </c>
      <c r="F161" s="470">
        <v>45758</v>
      </c>
      <c r="G161" s="35" t="s">
        <v>89</v>
      </c>
      <c r="H161" s="35" t="str">
        <f>IFERROR(_xlfn.XLOOKUP(Table6[[#This Row],[Affected WTG]],'Basic Data'!$A:$A,'Basic Data'!$B:$B),"")</f>
        <v>TQGXIIPL</v>
      </c>
      <c r="I161" s="35" t="str">
        <f>IFERROR(_xlfn.XLOOKUP(Table6[[#This Row],[Affected WTG]],'Basic Data'!$A:$A,'Basic Data'!$C:$C),"")</f>
        <v>GEDA</v>
      </c>
      <c r="J161" s="471">
        <f>IFERROR(_xlfn.XLOOKUP(Table6[[#This Row],[Affected WTG]],'Basic Data'!$A:$A,'Basic Data'!$E:$E),"")</f>
        <v>3.846153846153845E-2</v>
      </c>
      <c r="K161" s="102">
        <v>3000</v>
      </c>
      <c r="L161" s="35" t="str">
        <f>IFERROR(_xlfn.XLOOKUP(Table6[[#This Row],[Error Code]],'Basic Data'!$AA:$AA,'Basic Data'!$AB:$AB),"Incorrect Error Code")</f>
        <v>Frequency converter not ready</v>
      </c>
      <c r="M161" s="35" t="s">
        <v>291</v>
      </c>
      <c r="N161" s="475"/>
      <c r="O161" s="476">
        <v>0.78333333333333333</v>
      </c>
      <c r="P161" s="476">
        <v>0.78333333333333333</v>
      </c>
      <c r="Q161" s="477">
        <v>0.79583333333333328</v>
      </c>
      <c r="R161" s="472">
        <f>IF(Table6[[#This Row],[Work Start TimeStamp]]="","",(Table6[[#This Row],[Work Start TimeStamp]]-Table6[[#This Row],[Fault Start TimeStamp]])*24)</f>
        <v>0</v>
      </c>
      <c r="S161" s="472">
        <f>(Table6[[#This Row],[Fault Clearance time]]-Table6[[#This Row],[Work Start TimeStamp]])*24</f>
        <v>0.29999999999999893</v>
      </c>
      <c r="T161" s="472">
        <f>(Table6[[#This Row],[Fault Clearance time]]-Table6[[#This Row],[Fault Start TimeStamp]])*24</f>
        <v>0.29999999999999893</v>
      </c>
      <c r="U161" s="35" t="s">
        <v>374</v>
      </c>
      <c r="V161" s="102" t="s">
        <v>293</v>
      </c>
      <c r="W161" s="478">
        <f>IFERROR(Table6[[#This Row],[Breakdown Time]]*Table6[[#This Row],[Plant Equivalent Weightage]],"")</f>
        <v>1.1538461538461494E-2</v>
      </c>
      <c r="X161" s="473" t="s">
        <v>294</v>
      </c>
      <c r="Y161" s="474" t="s">
        <v>94</v>
      </c>
      <c r="Z161" s="102">
        <v>40132</v>
      </c>
      <c r="AA161" s="468">
        <f>(Table6[[#This Row],[Paired WTG Generation for loss calculation]]/24)*Table6[[#This Row],[Breakdown Time]]</f>
        <v>501.64999999999822</v>
      </c>
      <c r="AB161" s="102"/>
      <c r="AC161" s="35"/>
      <c r="AD161" s="35"/>
    </row>
    <row r="162" spans="1:30">
      <c r="A162" s="102">
        <f t="shared" si="3"/>
        <v>161</v>
      </c>
      <c r="B162" s="468">
        <f>YEAR(Table6[[#This Row],[Date]])+IF(MONTH(Table6[[#This Row],[Date]])&gt;=4,1,0)</f>
        <v>2026</v>
      </c>
      <c r="C162" s="102">
        <f>YEAR(Table6[[#This Row],[Date]])</f>
        <v>2025</v>
      </c>
      <c r="D162" s="102" t="s">
        <v>1992</v>
      </c>
      <c r="E162" s="469">
        <f>Table6[[#This Row],[Date]]-DAY(Table6[[#This Row],[Date]])+1</f>
        <v>45748</v>
      </c>
      <c r="F162" s="470">
        <v>45758</v>
      </c>
      <c r="G162" s="35" t="s">
        <v>90</v>
      </c>
      <c r="H162" s="35" t="str">
        <f>IFERROR(_xlfn.XLOOKUP(Table6[[#This Row],[Affected WTG]],'Basic Data'!$A:$A,'Basic Data'!$B:$B),"")</f>
        <v>TQGXIIPL</v>
      </c>
      <c r="I162" s="35" t="str">
        <f>IFERROR(_xlfn.XLOOKUP(Table6[[#This Row],[Affected WTG]],'Basic Data'!$A:$A,'Basic Data'!$C:$C),"")</f>
        <v>GEDA</v>
      </c>
      <c r="J162" s="471">
        <f>IFERROR(_xlfn.XLOOKUP(Table6[[#This Row],[Affected WTG]],'Basic Data'!$A:$A,'Basic Data'!$E:$E),"")</f>
        <v>3.846153846153845E-2</v>
      </c>
      <c r="K162" s="102">
        <v>6605</v>
      </c>
      <c r="L162" s="35" t="str">
        <f>IFERROR(_xlfn.XLOOKUP(Table6[[#This Row],[Error Code]],'Basic Data'!$AA:$AA,'Basic Data'!$AB:$AB),"Incorrect Error Code")</f>
        <v>Wind.dir. diff. level 2</v>
      </c>
      <c r="M162" s="35" t="s">
        <v>291</v>
      </c>
      <c r="N162" s="475"/>
      <c r="O162" s="476">
        <v>0.55347222222222225</v>
      </c>
      <c r="P162" s="476">
        <v>0.55347222222222225</v>
      </c>
      <c r="Q162" s="477">
        <v>0.55555555555555558</v>
      </c>
      <c r="R162" s="472">
        <f>IF(Table6[[#This Row],[Work Start TimeStamp]]="","",(Table6[[#This Row],[Work Start TimeStamp]]-Table6[[#This Row],[Fault Start TimeStamp]])*24)</f>
        <v>0</v>
      </c>
      <c r="S162" s="472">
        <f>(Table6[[#This Row],[Fault Clearance time]]-Table6[[#This Row],[Work Start TimeStamp]])*24</f>
        <v>4.9999999999999822E-2</v>
      </c>
      <c r="T162" s="472">
        <f>(Table6[[#This Row],[Fault Clearance time]]-Table6[[#This Row],[Fault Start TimeStamp]])*24</f>
        <v>4.9999999999999822E-2</v>
      </c>
      <c r="U162" s="35" t="s">
        <v>349</v>
      </c>
      <c r="V162" s="102" t="s">
        <v>293</v>
      </c>
      <c r="W162" s="478">
        <f>IFERROR(Table6[[#This Row],[Breakdown Time]]*Table6[[#This Row],[Plant Equivalent Weightage]],"")</f>
        <v>1.9230769230769156E-3</v>
      </c>
      <c r="X162" s="473" t="s">
        <v>294</v>
      </c>
      <c r="Y162" s="474" t="s">
        <v>95</v>
      </c>
      <c r="Z162" s="102">
        <v>39622</v>
      </c>
      <c r="AA162" s="468">
        <f>(Table6[[#This Row],[Paired WTG Generation for loss calculation]]/24)*Table6[[#This Row],[Breakdown Time]]</f>
        <v>82.54583333333305</v>
      </c>
      <c r="AB162" s="102"/>
      <c r="AC162" s="35"/>
      <c r="AD162" s="35"/>
    </row>
    <row r="163" spans="1:30">
      <c r="A163" s="102">
        <f t="shared" si="3"/>
        <v>162</v>
      </c>
      <c r="B163" s="468">
        <f>YEAR(Table6[[#This Row],[Date]])+IF(MONTH(Table6[[#This Row],[Date]])&gt;=4,1,0)</f>
        <v>2026</v>
      </c>
      <c r="C163" s="102">
        <f>YEAR(Table6[[#This Row],[Date]])</f>
        <v>2025</v>
      </c>
      <c r="D163" s="102" t="s">
        <v>1992</v>
      </c>
      <c r="E163" s="469">
        <f>Table6[[#This Row],[Date]]-DAY(Table6[[#This Row],[Date]])+1</f>
        <v>45748</v>
      </c>
      <c r="F163" s="470">
        <v>45758</v>
      </c>
      <c r="G163" s="35" t="s">
        <v>91</v>
      </c>
      <c r="H163" s="35" t="str">
        <f>IFERROR(_xlfn.XLOOKUP(Table6[[#This Row],[Affected WTG]],'Basic Data'!$A:$A,'Basic Data'!$B:$B),"")</f>
        <v>TQGXIIPL</v>
      </c>
      <c r="I163" s="35" t="str">
        <f>IFERROR(_xlfn.XLOOKUP(Table6[[#This Row],[Affected WTG]],'Basic Data'!$A:$A,'Basic Data'!$C:$C),"")</f>
        <v>GEDA</v>
      </c>
      <c r="J163" s="471">
        <f>IFERROR(_xlfn.XLOOKUP(Table6[[#This Row],[Affected WTG]],'Basic Data'!$A:$A,'Basic Data'!$E:$E),"")</f>
        <v>3.846153846153845E-2</v>
      </c>
      <c r="K163" s="102">
        <v>3000</v>
      </c>
      <c r="L163" s="35" t="str">
        <f>IFERROR(_xlfn.XLOOKUP(Table6[[#This Row],[Error Code]],'Basic Data'!$AA:$AA,'Basic Data'!$AB:$AB),"Incorrect Error Code")</f>
        <v>Frequency converter not ready</v>
      </c>
      <c r="M163" s="35" t="s">
        <v>291</v>
      </c>
      <c r="N163" s="475"/>
      <c r="O163" s="476">
        <v>5.9027777777777776E-2</v>
      </c>
      <c r="P163" s="476">
        <v>5.9027777777777776E-2</v>
      </c>
      <c r="Q163" s="477">
        <v>6.7361111111111108E-2</v>
      </c>
      <c r="R163" s="472">
        <f>IF(Table6[[#This Row],[Work Start TimeStamp]]="","",(Table6[[#This Row],[Work Start TimeStamp]]-Table6[[#This Row],[Fault Start TimeStamp]])*24)</f>
        <v>0</v>
      </c>
      <c r="S163" s="472">
        <f>(Table6[[#This Row],[Fault Clearance time]]-Table6[[#This Row],[Work Start TimeStamp]])*24</f>
        <v>0.19999999999999996</v>
      </c>
      <c r="T163" s="472">
        <f>(Table6[[#This Row],[Fault Clearance time]]-Table6[[#This Row],[Fault Start TimeStamp]])*24</f>
        <v>0.19999999999999996</v>
      </c>
      <c r="U163" s="35" t="s">
        <v>374</v>
      </c>
      <c r="V163" s="102" t="s">
        <v>293</v>
      </c>
      <c r="W163" s="478">
        <f>IFERROR(Table6[[#This Row],[Breakdown Time]]*Table6[[#This Row],[Plant Equivalent Weightage]],"")</f>
        <v>7.6923076923076884E-3</v>
      </c>
      <c r="X163" s="473" t="s">
        <v>294</v>
      </c>
      <c r="Y163" s="474" t="s">
        <v>79</v>
      </c>
      <c r="Z163" s="102">
        <v>39764</v>
      </c>
      <c r="AA163" s="468">
        <f>(Table6[[#This Row],[Paired WTG Generation for loss calculation]]/24)*Table6[[#This Row],[Breakdown Time]]</f>
        <v>331.36666666666656</v>
      </c>
      <c r="AB163" s="102"/>
      <c r="AC163" s="35"/>
      <c r="AD163" s="35"/>
    </row>
    <row r="164" spans="1:30">
      <c r="A164" s="102">
        <f t="shared" si="3"/>
        <v>163</v>
      </c>
      <c r="B164" s="468">
        <f>YEAR(Table6[[#This Row],[Date]])+IF(MONTH(Table6[[#This Row],[Date]])&gt;=4,1,0)</f>
        <v>2026</v>
      </c>
      <c r="C164" s="102">
        <f>YEAR(Table6[[#This Row],[Date]])</f>
        <v>2025</v>
      </c>
      <c r="D164" s="102" t="s">
        <v>1992</v>
      </c>
      <c r="E164" s="469">
        <f>Table6[[#This Row],[Date]]-DAY(Table6[[#This Row],[Date]])+1</f>
        <v>45748</v>
      </c>
      <c r="F164" s="470">
        <v>45758</v>
      </c>
      <c r="G164" s="35" t="s">
        <v>91</v>
      </c>
      <c r="H164" s="35" t="str">
        <f>IFERROR(_xlfn.XLOOKUP(Table6[[#This Row],[Affected WTG]],'Basic Data'!$A:$A,'Basic Data'!$B:$B),"")</f>
        <v>TQGXIIPL</v>
      </c>
      <c r="I164" s="35" t="str">
        <f>IFERROR(_xlfn.XLOOKUP(Table6[[#This Row],[Affected WTG]],'Basic Data'!$A:$A,'Basic Data'!$C:$C),"")</f>
        <v>GEDA</v>
      </c>
      <c r="J164" s="471">
        <f>IFERROR(_xlfn.XLOOKUP(Table6[[#This Row],[Affected WTG]],'Basic Data'!$A:$A,'Basic Data'!$E:$E),"")</f>
        <v>3.846153846153845E-2</v>
      </c>
      <c r="K164" s="102">
        <v>3000</v>
      </c>
      <c r="L164" s="35" t="str">
        <f>IFERROR(_xlfn.XLOOKUP(Table6[[#This Row],[Error Code]],'Basic Data'!$AA:$AA,'Basic Data'!$AB:$AB),"Incorrect Error Code")</f>
        <v>Frequency converter not ready</v>
      </c>
      <c r="M164" s="35" t="s">
        <v>291</v>
      </c>
      <c r="N164" s="475"/>
      <c r="O164" s="476">
        <v>0.62986111111111109</v>
      </c>
      <c r="P164" s="476">
        <v>0.62986111111111109</v>
      </c>
      <c r="Q164" s="477">
        <v>0.63194444444444442</v>
      </c>
      <c r="R164" s="472">
        <f>IF(Table6[[#This Row],[Work Start TimeStamp]]="","",(Table6[[#This Row],[Work Start TimeStamp]]-Table6[[#This Row],[Fault Start TimeStamp]])*24)</f>
        <v>0</v>
      </c>
      <c r="S164" s="472">
        <f>(Table6[[#This Row],[Fault Clearance time]]-Table6[[#This Row],[Work Start TimeStamp]])*24</f>
        <v>4.9999999999999822E-2</v>
      </c>
      <c r="T164" s="472">
        <f>(Table6[[#This Row],[Fault Clearance time]]-Table6[[#This Row],[Fault Start TimeStamp]])*24</f>
        <v>4.9999999999999822E-2</v>
      </c>
      <c r="U164" s="35" t="s">
        <v>349</v>
      </c>
      <c r="V164" s="102" t="s">
        <v>293</v>
      </c>
      <c r="W164" s="478">
        <f>IFERROR(Table6[[#This Row],[Breakdown Time]]*Table6[[#This Row],[Plant Equivalent Weightage]],"")</f>
        <v>1.9230769230769156E-3</v>
      </c>
      <c r="X164" s="473" t="s">
        <v>294</v>
      </c>
      <c r="Y164" s="474" t="s">
        <v>79</v>
      </c>
      <c r="Z164" s="102">
        <v>39764</v>
      </c>
      <c r="AA164" s="468">
        <f>(Table6[[#This Row],[Paired WTG Generation for loss calculation]]/24)*Table6[[#This Row],[Breakdown Time]]</f>
        <v>82.84166666666637</v>
      </c>
      <c r="AB164" s="102"/>
      <c r="AC164" s="35"/>
      <c r="AD164" s="35"/>
    </row>
    <row r="165" spans="1:30">
      <c r="A165" s="102">
        <f t="shared" si="3"/>
        <v>164</v>
      </c>
      <c r="B165" s="468">
        <f>YEAR(Table6[[#This Row],[Date]])+IF(MONTH(Table6[[#This Row],[Date]])&gt;=4,1,0)</f>
        <v>2026</v>
      </c>
      <c r="C165" s="102">
        <f>YEAR(Table6[[#This Row],[Date]])</f>
        <v>2025</v>
      </c>
      <c r="D165" s="102" t="s">
        <v>1992</v>
      </c>
      <c r="E165" s="469">
        <f>Table6[[#This Row],[Date]]-DAY(Table6[[#This Row],[Date]])+1</f>
        <v>45748</v>
      </c>
      <c r="F165" s="470">
        <v>45758</v>
      </c>
      <c r="G165" s="35" t="s">
        <v>91</v>
      </c>
      <c r="H165" s="35" t="str">
        <f>IFERROR(_xlfn.XLOOKUP(Table6[[#This Row],[Affected WTG]],'Basic Data'!$A:$A,'Basic Data'!$B:$B),"")</f>
        <v>TQGXIIPL</v>
      </c>
      <c r="I165" s="35" t="str">
        <f>IFERROR(_xlfn.XLOOKUP(Table6[[#This Row],[Affected WTG]],'Basic Data'!$A:$A,'Basic Data'!$C:$C),"")</f>
        <v>GEDA</v>
      </c>
      <c r="J165" s="471">
        <f>IFERROR(_xlfn.XLOOKUP(Table6[[#This Row],[Affected WTG]],'Basic Data'!$A:$A,'Basic Data'!$E:$E),"")</f>
        <v>3.846153846153845E-2</v>
      </c>
      <c r="K165" s="102">
        <v>6130</v>
      </c>
      <c r="L165" s="35" t="str">
        <f>IFERROR(_xlfn.XLOOKUP(Table6[[#This Row],[Error Code]],'Basic Data'!$AA:$AA,'Basic Data'!$AB:$AB),"Incorrect Error Code")</f>
        <v>Yaw speed high</v>
      </c>
      <c r="M165" s="35" t="s">
        <v>292</v>
      </c>
      <c r="N165" s="475"/>
      <c r="O165" s="476">
        <v>0.6479166666666667</v>
      </c>
      <c r="P165" s="476">
        <v>0.6479166666666667</v>
      </c>
      <c r="Q165" s="477">
        <v>0.65208333333333335</v>
      </c>
      <c r="R165" s="472">
        <f>IF(Table6[[#This Row],[Work Start TimeStamp]]="","",(Table6[[#This Row],[Work Start TimeStamp]]-Table6[[#This Row],[Fault Start TimeStamp]])*24)</f>
        <v>0</v>
      </c>
      <c r="S165" s="472">
        <f>(Table6[[#This Row],[Fault Clearance time]]-Table6[[#This Row],[Work Start TimeStamp]])*24</f>
        <v>9.9999999999999645E-2</v>
      </c>
      <c r="T165" s="472">
        <f>(Table6[[#This Row],[Fault Clearance time]]-Table6[[#This Row],[Fault Start TimeStamp]])*24</f>
        <v>9.9999999999999645E-2</v>
      </c>
      <c r="U165" s="35" t="s">
        <v>336</v>
      </c>
      <c r="V165" s="102" t="s">
        <v>293</v>
      </c>
      <c r="W165" s="478">
        <f>IFERROR(Table6[[#This Row],[Breakdown Time]]*Table6[[#This Row],[Plant Equivalent Weightage]],"")</f>
        <v>3.8461538461538312E-3</v>
      </c>
      <c r="X165" s="473" t="s">
        <v>294</v>
      </c>
      <c r="Y165" s="474" t="s">
        <v>79</v>
      </c>
      <c r="Z165" s="102">
        <v>39764</v>
      </c>
      <c r="AA165" s="468">
        <f>(Table6[[#This Row],[Paired WTG Generation for loss calculation]]/24)*Table6[[#This Row],[Breakdown Time]]</f>
        <v>165.68333333333274</v>
      </c>
      <c r="AB165" s="102"/>
      <c r="AC165" s="35"/>
      <c r="AD165" s="35"/>
    </row>
    <row r="166" spans="1:30">
      <c r="A166" s="102">
        <f t="shared" si="3"/>
        <v>165</v>
      </c>
      <c r="B166" s="468">
        <f>YEAR(Table6[[#This Row],[Date]])+IF(MONTH(Table6[[#This Row],[Date]])&gt;=4,1,0)</f>
        <v>2026</v>
      </c>
      <c r="C166" s="102">
        <f>YEAR(Table6[[#This Row],[Date]])</f>
        <v>2025</v>
      </c>
      <c r="D166" s="102" t="s">
        <v>1992</v>
      </c>
      <c r="E166" s="469">
        <f>Table6[[#This Row],[Date]]-DAY(Table6[[#This Row],[Date]])+1</f>
        <v>45748</v>
      </c>
      <c r="F166" s="470">
        <v>45758</v>
      </c>
      <c r="G166" s="35" t="s">
        <v>96</v>
      </c>
      <c r="H166" s="35" t="str">
        <f>IFERROR(_xlfn.XLOOKUP(Table6[[#This Row],[Affected WTG]],'Basic Data'!$A:$A,'Basic Data'!$B:$B),"")</f>
        <v>TQGXIIPL</v>
      </c>
      <c r="I166" s="35" t="str">
        <f>IFERROR(_xlfn.XLOOKUP(Table6[[#This Row],[Affected WTG]],'Basic Data'!$A:$A,'Basic Data'!$C:$C),"")</f>
        <v>GEDA</v>
      </c>
      <c r="J166" s="471">
        <f>IFERROR(_xlfn.XLOOKUP(Table6[[#This Row],[Affected WTG]],'Basic Data'!$A:$A,'Basic Data'!$E:$E),"")</f>
        <v>3.846153846153845E-2</v>
      </c>
      <c r="K166" s="102">
        <v>6130</v>
      </c>
      <c r="L166" s="35" t="str">
        <f>IFERROR(_xlfn.XLOOKUP(Table6[[#This Row],[Error Code]],'Basic Data'!$AA:$AA,'Basic Data'!$AB:$AB),"Incorrect Error Code")</f>
        <v>Yaw speed high</v>
      </c>
      <c r="M166" s="35" t="s">
        <v>292</v>
      </c>
      <c r="N166" s="475"/>
      <c r="O166" s="476">
        <v>0.56805555555555554</v>
      </c>
      <c r="P166" s="476">
        <v>0.56805555555555554</v>
      </c>
      <c r="Q166" s="477">
        <v>0.57222222222222219</v>
      </c>
      <c r="R166" s="472">
        <f>IF(Table6[[#This Row],[Work Start TimeStamp]]="","",(Table6[[#This Row],[Work Start TimeStamp]]-Table6[[#This Row],[Fault Start TimeStamp]])*24)</f>
        <v>0</v>
      </c>
      <c r="S166" s="472">
        <f>(Table6[[#This Row],[Fault Clearance time]]-Table6[[#This Row],[Work Start TimeStamp]])*24</f>
        <v>9.9999999999999645E-2</v>
      </c>
      <c r="T166" s="472">
        <f>(Table6[[#This Row],[Fault Clearance time]]-Table6[[#This Row],[Fault Start TimeStamp]])*24</f>
        <v>9.9999999999999645E-2</v>
      </c>
      <c r="U166" s="35" t="s">
        <v>336</v>
      </c>
      <c r="V166" s="102" t="s">
        <v>293</v>
      </c>
      <c r="W166" s="478">
        <f>IFERROR(Table6[[#This Row],[Breakdown Time]]*Table6[[#This Row],[Plant Equivalent Weightage]],"")</f>
        <v>3.8461538461538312E-3</v>
      </c>
      <c r="X166" s="473" t="s">
        <v>294</v>
      </c>
      <c r="Y166" s="474" t="s">
        <v>84</v>
      </c>
      <c r="Z166" s="102">
        <v>37304</v>
      </c>
      <c r="AA166" s="468">
        <f>(Table6[[#This Row],[Paired WTG Generation for loss calculation]]/24)*Table6[[#This Row],[Breakdown Time]]</f>
        <v>155.43333333333277</v>
      </c>
      <c r="AB166" s="102"/>
      <c r="AC166" s="35"/>
      <c r="AD166" s="35"/>
    </row>
    <row r="167" spans="1:30">
      <c r="A167" s="102">
        <f t="shared" si="3"/>
        <v>166</v>
      </c>
      <c r="B167" s="468">
        <f>YEAR(Table6[[#This Row],[Date]])+IF(MONTH(Table6[[#This Row],[Date]])&gt;=4,1,0)</f>
        <v>2026</v>
      </c>
      <c r="C167" s="102">
        <f>YEAR(Table6[[#This Row],[Date]])</f>
        <v>2025</v>
      </c>
      <c r="D167" s="102" t="s">
        <v>1992</v>
      </c>
      <c r="E167" s="469">
        <f>Table6[[#This Row],[Date]]-DAY(Table6[[#This Row],[Date]])+1</f>
        <v>45748</v>
      </c>
      <c r="F167" s="470">
        <v>45758</v>
      </c>
      <c r="G167" s="35" t="s">
        <v>96</v>
      </c>
      <c r="H167" s="35" t="str">
        <f>IFERROR(_xlfn.XLOOKUP(Table6[[#This Row],[Affected WTG]],'Basic Data'!$A:$A,'Basic Data'!$B:$B),"")</f>
        <v>TQGXIIPL</v>
      </c>
      <c r="I167" s="35" t="str">
        <f>IFERROR(_xlfn.XLOOKUP(Table6[[#This Row],[Affected WTG]],'Basic Data'!$A:$A,'Basic Data'!$C:$C),"")</f>
        <v>GEDA</v>
      </c>
      <c r="J167" s="471">
        <f>IFERROR(_xlfn.XLOOKUP(Table6[[#This Row],[Affected WTG]],'Basic Data'!$A:$A,'Basic Data'!$E:$E),"")</f>
        <v>3.846153846153845E-2</v>
      </c>
      <c r="K167" s="102">
        <v>696</v>
      </c>
      <c r="L167" s="35" t="str">
        <f>IFERROR(_xlfn.XLOOKUP(Table6[[#This Row],[Error Code]],'Basic Data'!$AA:$AA,'Basic Data'!$AB:$AB),"Incorrect Error Code")</f>
        <v>Indiv. setp.pitch ang. offset incorr.</v>
      </c>
      <c r="M167" s="35" t="s">
        <v>291</v>
      </c>
      <c r="N167" s="475"/>
      <c r="O167" s="476">
        <v>0.63958333333333328</v>
      </c>
      <c r="P167" s="476">
        <v>0.63958333333333328</v>
      </c>
      <c r="Q167" s="477">
        <v>0.64444444444444449</v>
      </c>
      <c r="R167" s="472">
        <f>IF(Table6[[#This Row],[Work Start TimeStamp]]="","",(Table6[[#This Row],[Work Start TimeStamp]]-Table6[[#This Row],[Fault Start TimeStamp]])*24)</f>
        <v>0</v>
      </c>
      <c r="S167" s="472">
        <f>(Table6[[#This Row],[Fault Clearance time]]-Table6[[#This Row],[Work Start TimeStamp]])*24</f>
        <v>0.11666666666666892</v>
      </c>
      <c r="T167" s="472">
        <f>(Table6[[#This Row],[Fault Clearance time]]-Table6[[#This Row],[Fault Start TimeStamp]])*24</f>
        <v>0.11666666666666892</v>
      </c>
      <c r="U167" s="35" t="s">
        <v>349</v>
      </c>
      <c r="V167" s="102" t="s">
        <v>293</v>
      </c>
      <c r="W167" s="478">
        <f>IFERROR(Table6[[#This Row],[Breakdown Time]]*Table6[[#This Row],[Plant Equivalent Weightage]],"")</f>
        <v>4.4871794871795727E-3</v>
      </c>
      <c r="X167" s="473" t="s">
        <v>294</v>
      </c>
      <c r="Y167" s="474" t="s">
        <v>84</v>
      </c>
      <c r="Z167" s="102">
        <v>37304</v>
      </c>
      <c r="AA167" s="468">
        <f>(Table6[[#This Row],[Paired WTG Generation for loss calculation]]/24)*Table6[[#This Row],[Breakdown Time]]</f>
        <v>181.33888888889237</v>
      </c>
      <c r="AB167" s="102"/>
      <c r="AC167" s="35"/>
      <c r="AD167" s="35"/>
    </row>
    <row r="168" spans="1:30">
      <c r="A168" s="102">
        <f t="shared" si="3"/>
        <v>167</v>
      </c>
      <c r="B168" s="468">
        <f>YEAR(Table6[[#This Row],[Date]])+IF(MONTH(Table6[[#This Row],[Date]])&gt;=4,1,0)</f>
        <v>2026</v>
      </c>
      <c r="C168" s="102">
        <f>YEAR(Table6[[#This Row],[Date]])</f>
        <v>2025</v>
      </c>
      <c r="D168" s="102" t="s">
        <v>1992</v>
      </c>
      <c r="E168" s="469">
        <f>Table6[[#This Row],[Date]]-DAY(Table6[[#This Row],[Date]])+1</f>
        <v>45748</v>
      </c>
      <c r="F168" s="470">
        <v>45758</v>
      </c>
      <c r="G168" s="35" t="s">
        <v>97</v>
      </c>
      <c r="H168" s="35" t="str">
        <f>IFERROR(_xlfn.XLOOKUP(Table6[[#This Row],[Affected WTG]],'Basic Data'!$A:$A,'Basic Data'!$B:$B),"")</f>
        <v>TQGXIIPL</v>
      </c>
      <c r="I168" s="35" t="str">
        <f>IFERROR(_xlfn.XLOOKUP(Table6[[#This Row],[Affected WTG]],'Basic Data'!$A:$A,'Basic Data'!$C:$C),"")</f>
        <v>GEDA</v>
      </c>
      <c r="J168" s="471">
        <f>IFERROR(_xlfn.XLOOKUP(Table6[[#This Row],[Affected WTG]],'Basic Data'!$A:$A,'Basic Data'!$E:$E),"")</f>
        <v>3.846153846153845E-2</v>
      </c>
      <c r="K168" s="102">
        <v>6130</v>
      </c>
      <c r="L168" s="35" t="str">
        <f>IFERROR(_xlfn.XLOOKUP(Table6[[#This Row],[Error Code]],'Basic Data'!$AA:$AA,'Basic Data'!$AB:$AB),"Incorrect Error Code")</f>
        <v>Yaw speed high</v>
      </c>
      <c r="M168" s="35" t="s">
        <v>292</v>
      </c>
      <c r="N168" s="475"/>
      <c r="O168" s="476">
        <v>0.57638888888888884</v>
      </c>
      <c r="P168" s="476">
        <v>0.57638888888888884</v>
      </c>
      <c r="Q168" s="477">
        <v>0.5805555555555556</v>
      </c>
      <c r="R168" s="472">
        <f>IF(Table6[[#This Row],[Work Start TimeStamp]]="","",(Table6[[#This Row],[Work Start TimeStamp]]-Table6[[#This Row],[Fault Start TimeStamp]])*24)</f>
        <v>0</v>
      </c>
      <c r="S168" s="472">
        <f>(Table6[[#This Row],[Fault Clearance time]]-Table6[[#This Row],[Work Start TimeStamp]])*24</f>
        <v>0.10000000000000231</v>
      </c>
      <c r="T168" s="472">
        <f>(Table6[[#This Row],[Fault Clearance time]]-Table6[[#This Row],[Fault Start TimeStamp]])*24</f>
        <v>0.10000000000000231</v>
      </c>
      <c r="U168" s="35" t="s">
        <v>336</v>
      </c>
      <c r="V168" s="102" t="s">
        <v>293</v>
      </c>
      <c r="W168" s="478">
        <f>IFERROR(Table6[[#This Row],[Breakdown Time]]*Table6[[#This Row],[Plant Equivalent Weightage]],"")</f>
        <v>3.846153846153934E-3</v>
      </c>
      <c r="X168" s="473" t="s">
        <v>294</v>
      </c>
      <c r="Y168" s="474" t="s">
        <v>93</v>
      </c>
      <c r="Z168" s="102">
        <v>40190</v>
      </c>
      <c r="AA168" s="468">
        <f>(Table6[[#This Row],[Paired WTG Generation for loss calculation]]/24)*Table6[[#This Row],[Breakdown Time]]</f>
        <v>167.45833333333718</v>
      </c>
      <c r="AB168" s="102"/>
      <c r="AC168" s="35"/>
      <c r="AD168" s="35"/>
    </row>
    <row r="169" spans="1:30">
      <c r="A169" s="102">
        <f t="shared" si="3"/>
        <v>168</v>
      </c>
      <c r="B169" s="468">
        <f>YEAR(Table6[[#This Row],[Date]])+IF(MONTH(Table6[[#This Row],[Date]])&gt;=4,1,0)</f>
        <v>2026</v>
      </c>
      <c r="C169" s="102">
        <f>YEAR(Table6[[#This Row],[Date]])</f>
        <v>2025</v>
      </c>
      <c r="D169" s="102" t="s">
        <v>1992</v>
      </c>
      <c r="E169" s="469">
        <f>Table6[[#This Row],[Date]]-DAY(Table6[[#This Row],[Date]])+1</f>
        <v>45748</v>
      </c>
      <c r="F169" s="470">
        <v>45758</v>
      </c>
      <c r="G169" s="35" t="s">
        <v>98</v>
      </c>
      <c r="H169" s="35" t="str">
        <f>IFERROR(_xlfn.XLOOKUP(Table6[[#This Row],[Affected WTG]],'Basic Data'!$A:$A,'Basic Data'!$B:$B),"")</f>
        <v>TQGXIIPL</v>
      </c>
      <c r="I169" s="35" t="str">
        <f>IFERROR(_xlfn.XLOOKUP(Table6[[#This Row],[Affected WTG]],'Basic Data'!$A:$A,'Basic Data'!$C:$C),"")</f>
        <v>GEDA</v>
      </c>
      <c r="J169" s="471">
        <f>IFERROR(_xlfn.XLOOKUP(Table6[[#This Row],[Affected WTG]],'Basic Data'!$A:$A,'Basic Data'!$E:$E),"")</f>
        <v>3.846153846153845E-2</v>
      </c>
      <c r="K169" s="102">
        <v>6130</v>
      </c>
      <c r="L169" s="35" t="str">
        <f>IFERROR(_xlfn.XLOOKUP(Table6[[#This Row],[Error Code]],'Basic Data'!$AA:$AA,'Basic Data'!$AB:$AB),"Incorrect Error Code")</f>
        <v>Yaw speed high</v>
      </c>
      <c r="M169" s="35" t="s">
        <v>292</v>
      </c>
      <c r="N169" s="475"/>
      <c r="O169" s="476">
        <v>0.4826388888888889</v>
      </c>
      <c r="P169" s="476">
        <v>0.4826388888888889</v>
      </c>
      <c r="Q169" s="477">
        <v>0.48680555555555555</v>
      </c>
      <c r="R169" s="472">
        <f>IF(Table6[[#This Row],[Work Start TimeStamp]]="","",(Table6[[#This Row],[Work Start TimeStamp]]-Table6[[#This Row],[Fault Start TimeStamp]])*24)</f>
        <v>0</v>
      </c>
      <c r="S169" s="472">
        <f>(Table6[[#This Row],[Fault Clearance time]]-Table6[[#This Row],[Work Start TimeStamp]])*24</f>
        <v>9.9999999999999645E-2</v>
      </c>
      <c r="T169" s="472">
        <f>(Table6[[#This Row],[Fault Clearance time]]-Table6[[#This Row],[Fault Start TimeStamp]])*24</f>
        <v>9.9999999999999645E-2</v>
      </c>
      <c r="U169" s="35" t="s">
        <v>336</v>
      </c>
      <c r="V169" s="102" t="s">
        <v>293</v>
      </c>
      <c r="W169" s="478">
        <f>IFERROR(Table6[[#This Row],[Breakdown Time]]*Table6[[#This Row],[Plant Equivalent Weightage]],"")</f>
        <v>3.8461538461538312E-3</v>
      </c>
      <c r="X169" s="473" t="s">
        <v>294</v>
      </c>
      <c r="Y169" s="474" t="s">
        <v>74</v>
      </c>
      <c r="Z169" s="102">
        <v>41447</v>
      </c>
      <c r="AA169" s="468">
        <f>(Table6[[#This Row],[Paired WTG Generation for loss calculation]]/24)*Table6[[#This Row],[Breakdown Time]]</f>
        <v>172.6958333333327</v>
      </c>
      <c r="AB169" s="102"/>
      <c r="AC169" s="35"/>
      <c r="AD169" s="35"/>
    </row>
    <row r="170" spans="1:30">
      <c r="A170" s="102">
        <f t="shared" si="3"/>
        <v>169</v>
      </c>
      <c r="B170" s="468">
        <f>YEAR(Table6[[#This Row],[Date]])+IF(MONTH(Table6[[#This Row],[Date]])&gt;=4,1,0)</f>
        <v>2026</v>
      </c>
      <c r="C170" s="102">
        <f>YEAR(Table6[[#This Row],[Date]])</f>
        <v>2025</v>
      </c>
      <c r="D170" s="102" t="s">
        <v>1992</v>
      </c>
      <c r="E170" s="469">
        <f>Table6[[#This Row],[Date]]-DAY(Table6[[#This Row],[Date]])+1</f>
        <v>45748</v>
      </c>
      <c r="F170" s="470">
        <v>45759</v>
      </c>
      <c r="G170" s="35" t="s">
        <v>74</v>
      </c>
      <c r="H170" s="35" t="str">
        <f>IFERROR(_xlfn.XLOOKUP(Table6[[#This Row],[Affected WTG]],'Basic Data'!$A:$A,'Basic Data'!$B:$B),"")</f>
        <v>TQGXIIPL</v>
      </c>
      <c r="I170" s="35" t="str">
        <f>IFERROR(_xlfn.XLOOKUP(Table6[[#This Row],[Affected WTG]],'Basic Data'!$A:$A,'Basic Data'!$C:$C),"")</f>
        <v>GEDA</v>
      </c>
      <c r="J170" s="471">
        <f>IFERROR(_xlfn.XLOOKUP(Table6[[#This Row],[Affected WTG]],'Basic Data'!$A:$A,'Basic Data'!$E:$E),"")</f>
        <v>3.846153846153845E-2</v>
      </c>
      <c r="K170" s="102">
        <v>55</v>
      </c>
      <c r="L170" s="35" t="str">
        <f>IFERROR(_xlfn.XLOOKUP(Table6[[#This Row],[Error Code]],'Basic Data'!$AA:$AA,'Basic Data'!$AB:$AB),"Incorrect Error Code")</f>
        <v>WTG shut down</v>
      </c>
      <c r="M170" s="35" t="s">
        <v>291</v>
      </c>
      <c r="N170" s="475"/>
      <c r="O170" s="476">
        <v>0.44305555555555554</v>
      </c>
      <c r="P170" s="476">
        <v>0.44305555555555554</v>
      </c>
      <c r="Q170" s="477">
        <v>0.47916666666666669</v>
      </c>
      <c r="R170" s="472">
        <f>IF(Table6[[#This Row],[Work Start TimeStamp]]="","",(Table6[[#This Row],[Work Start TimeStamp]]-Table6[[#This Row],[Fault Start TimeStamp]])*24)</f>
        <v>0</v>
      </c>
      <c r="S170" s="472">
        <f>(Table6[[#This Row],[Fault Clearance time]]-Table6[[#This Row],[Work Start TimeStamp]])*24</f>
        <v>0.86666666666666758</v>
      </c>
      <c r="T170" s="472">
        <f>(Table6[[#This Row],[Fault Clearance time]]-Table6[[#This Row],[Fault Start TimeStamp]])*24</f>
        <v>0.86666666666666758</v>
      </c>
      <c r="U170" s="35" t="s">
        <v>387</v>
      </c>
      <c r="V170" s="102" t="s">
        <v>293</v>
      </c>
      <c r="W170" s="478">
        <f>IFERROR(Table6[[#This Row],[Breakdown Time]]*Table6[[#This Row],[Plant Equivalent Weightage]],"")</f>
        <v>3.3333333333333361E-2</v>
      </c>
      <c r="X170" s="473" t="s">
        <v>294</v>
      </c>
      <c r="Y170" s="474" t="s">
        <v>81</v>
      </c>
      <c r="Z170" s="102">
        <v>7028</v>
      </c>
      <c r="AA170" s="468">
        <f>(Table6[[#This Row],[Paired WTG Generation for loss calculation]]/24)*Table6[[#This Row],[Breakdown Time]]</f>
        <v>253.78888888888915</v>
      </c>
      <c r="AB170" s="102"/>
      <c r="AC170" s="35"/>
      <c r="AD170" s="35"/>
    </row>
    <row r="171" spans="1:30">
      <c r="A171" s="102">
        <f t="shared" si="3"/>
        <v>170</v>
      </c>
      <c r="B171" s="468">
        <f>YEAR(Table6[[#This Row],[Date]])+IF(MONTH(Table6[[#This Row],[Date]])&gt;=4,1,0)</f>
        <v>2026</v>
      </c>
      <c r="C171" s="102">
        <f>YEAR(Table6[[#This Row],[Date]])</f>
        <v>2025</v>
      </c>
      <c r="D171" s="102" t="s">
        <v>1992</v>
      </c>
      <c r="E171" s="469">
        <f>Table6[[#This Row],[Date]]-DAY(Table6[[#This Row],[Date]])+1</f>
        <v>45748</v>
      </c>
      <c r="F171" s="470">
        <v>45759</v>
      </c>
      <c r="G171" s="35" t="s">
        <v>76</v>
      </c>
      <c r="H171" s="35" t="str">
        <f>IFERROR(_xlfn.XLOOKUP(Table6[[#This Row],[Affected WTG]],'Basic Data'!$A:$A,'Basic Data'!$B:$B),"")</f>
        <v>TQGXIIPL</v>
      </c>
      <c r="I171" s="35" t="str">
        <f>IFERROR(_xlfn.XLOOKUP(Table6[[#This Row],[Affected WTG]],'Basic Data'!$A:$A,'Basic Data'!$C:$C),"")</f>
        <v>GEDA</v>
      </c>
      <c r="J171" s="471">
        <f>IFERROR(_xlfn.XLOOKUP(Table6[[#This Row],[Affected WTG]],'Basic Data'!$A:$A,'Basic Data'!$E:$E),"")</f>
        <v>3.846153846153845E-2</v>
      </c>
      <c r="K171" s="102">
        <v>741</v>
      </c>
      <c r="L171" s="35" t="str">
        <f>IFERROR(_xlfn.XLOOKUP(Table6[[#This Row],[Error Code]],'Basic Data'!$AA:$AA,'Basic Data'!$AB:$AB),"Incorrect Error Code")</f>
        <v>Battery drive trigger by HC</v>
      </c>
      <c r="M171" s="35" t="s">
        <v>291</v>
      </c>
      <c r="N171" s="475"/>
      <c r="O171" s="476">
        <v>0.31388888888888888</v>
      </c>
      <c r="P171" s="476">
        <v>0.31388888888888888</v>
      </c>
      <c r="Q171" s="477">
        <v>0.35</v>
      </c>
      <c r="R171" s="472">
        <f>IF(Table6[[#This Row],[Work Start TimeStamp]]="","",(Table6[[#This Row],[Work Start TimeStamp]]-Table6[[#This Row],[Fault Start TimeStamp]])*24)</f>
        <v>0</v>
      </c>
      <c r="S171" s="472">
        <f>(Table6[[#This Row],[Fault Clearance time]]-Table6[[#This Row],[Work Start TimeStamp]])*24</f>
        <v>0.86666666666666625</v>
      </c>
      <c r="T171" s="472">
        <f>(Table6[[#This Row],[Fault Clearance time]]-Table6[[#This Row],[Fault Start TimeStamp]])*24</f>
        <v>0.86666666666666625</v>
      </c>
      <c r="U171" s="35" t="s">
        <v>374</v>
      </c>
      <c r="V171" s="102" t="s">
        <v>293</v>
      </c>
      <c r="W171" s="478">
        <f>IFERROR(Table6[[#This Row],[Breakdown Time]]*Table6[[#This Row],[Plant Equivalent Weightage]],"")</f>
        <v>3.3333333333333305E-2</v>
      </c>
      <c r="X171" s="473" t="s">
        <v>294</v>
      </c>
      <c r="Y171" s="474" t="s">
        <v>82</v>
      </c>
      <c r="Z171" s="102">
        <v>7345</v>
      </c>
      <c r="AA171" s="468">
        <f>(Table6[[#This Row],[Paired WTG Generation for loss calculation]]/24)*Table6[[#This Row],[Breakdown Time]]</f>
        <v>265.23611111111103</v>
      </c>
      <c r="AB171" s="102"/>
      <c r="AC171" s="35"/>
      <c r="AD171" s="35"/>
    </row>
    <row r="172" spans="1:30">
      <c r="A172" s="102">
        <f t="shared" si="3"/>
        <v>171</v>
      </c>
      <c r="B172" s="468">
        <f>YEAR(Table6[[#This Row],[Date]])+IF(MONTH(Table6[[#This Row],[Date]])&gt;=4,1,0)</f>
        <v>2026</v>
      </c>
      <c r="C172" s="102">
        <f>YEAR(Table6[[#This Row],[Date]])</f>
        <v>2025</v>
      </c>
      <c r="D172" s="102" t="s">
        <v>1992</v>
      </c>
      <c r="E172" s="469">
        <f>Table6[[#This Row],[Date]]-DAY(Table6[[#This Row],[Date]])+1</f>
        <v>45748</v>
      </c>
      <c r="F172" s="470">
        <v>45759</v>
      </c>
      <c r="G172" s="35" t="s">
        <v>78</v>
      </c>
      <c r="H172" s="35" t="str">
        <f>IFERROR(_xlfn.XLOOKUP(Table6[[#This Row],[Affected WTG]],'Basic Data'!$A:$A,'Basic Data'!$B:$B),"")</f>
        <v>TQGXIIPL</v>
      </c>
      <c r="I172" s="35" t="str">
        <f>IFERROR(_xlfn.XLOOKUP(Table6[[#This Row],[Affected WTG]],'Basic Data'!$A:$A,'Basic Data'!$C:$C),"")</f>
        <v>GEDA</v>
      </c>
      <c r="J172" s="471">
        <f>IFERROR(_xlfn.XLOOKUP(Table6[[#This Row],[Affected WTG]],'Basic Data'!$A:$A,'Basic Data'!$E:$E),"")</f>
        <v>3.846153846153845E-2</v>
      </c>
      <c r="K172" s="102">
        <v>55</v>
      </c>
      <c r="L172" s="35" t="str">
        <f>IFERROR(_xlfn.XLOOKUP(Table6[[#This Row],[Error Code]],'Basic Data'!$AA:$AA,'Basic Data'!$AB:$AB),"Incorrect Error Code")</f>
        <v>WTG shut down</v>
      </c>
      <c r="M172" s="35" t="s">
        <v>291</v>
      </c>
      <c r="N172" s="475"/>
      <c r="O172" s="476">
        <v>0.4826388888888889</v>
      </c>
      <c r="P172" s="476">
        <v>0.4826388888888889</v>
      </c>
      <c r="Q172" s="477">
        <v>0.4909722222222222</v>
      </c>
      <c r="R172" s="472">
        <f>IF(Table6[[#This Row],[Work Start TimeStamp]]="","",(Table6[[#This Row],[Work Start TimeStamp]]-Table6[[#This Row],[Fault Start TimeStamp]])*24)</f>
        <v>0</v>
      </c>
      <c r="S172" s="472">
        <f>(Table6[[#This Row],[Fault Clearance time]]-Table6[[#This Row],[Work Start TimeStamp]])*24</f>
        <v>0.19999999999999929</v>
      </c>
      <c r="T172" s="472">
        <f>(Table6[[#This Row],[Fault Clearance time]]-Table6[[#This Row],[Fault Start TimeStamp]])*24</f>
        <v>0.19999999999999929</v>
      </c>
      <c r="U172" s="35" t="s">
        <v>387</v>
      </c>
      <c r="V172" s="102" t="s">
        <v>293</v>
      </c>
      <c r="W172" s="478">
        <f>IFERROR(Table6[[#This Row],[Breakdown Time]]*Table6[[#This Row],[Plant Equivalent Weightage]],"")</f>
        <v>7.6923076923076624E-3</v>
      </c>
      <c r="X172" s="473" t="s">
        <v>294</v>
      </c>
      <c r="Y172" s="474" t="s">
        <v>75</v>
      </c>
      <c r="Z172" s="102">
        <v>8948</v>
      </c>
      <c r="AA172" s="468">
        <f>(Table6[[#This Row],[Paired WTG Generation for loss calculation]]/24)*Table6[[#This Row],[Breakdown Time]]</f>
        <v>74.566666666666393</v>
      </c>
      <c r="AB172" s="102"/>
      <c r="AC172" s="35"/>
      <c r="AD172" s="35"/>
    </row>
    <row r="173" spans="1:30">
      <c r="A173" s="102">
        <f t="shared" si="3"/>
        <v>172</v>
      </c>
      <c r="B173" s="468">
        <f>YEAR(Table6[[#This Row],[Date]])+IF(MONTH(Table6[[#This Row],[Date]])&gt;=4,1,0)</f>
        <v>2026</v>
      </c>
      <c r="C173" s="102">
        <f>YEAR(Table6[[#This Row],[Date]])</f>
        <v>2025</v>
      </c>
      <c r="D173" s="102" t="s">
        <v>1992</v>
      </c>
      <c r="E173" s="469">
        <f>Table6[[#This Row],[Date]]-DAY(Table6[[#This Row],[Date]])+1</f>
        <v>45748</v>
      </c>
      <c r="F173" s="470">
        <v>45759</v>
      </c>
      <c r="G173" s="35" t="s">
        <v>87</v>
      </c>
      <c r="H173" s="35" t="str">
        <f>IFERROR(_xlfn.XLOOKUP(Table6[[#This Row],[Affected WTG]],'Basic Data'!$A:$A,'Basic Data'!$B:$B),"")</f>
        <v>TQGXIIPL</v>
      </c>
      <c r="I173" s="35" t="str">
        <f>IFERROR(_xlfn.XLOOKUP(Table6[[#This Row],[Affected WTG]],'Basic Data'!$A:$A,'Basic Data'!$C:$C),"")</f>
        <v>GEDA</v>
      </c>
      <c r="J173" s="471">
        <f>IFERROR(_xlfn.XLOOKUP(Table6[[#This Row],[Affected WTG]],'Basic Data'!$A:$A,'Basic Data'!$E:$E),"")</f>
        <v>3.846153846153845E-2</v>
      </c>
      <c r="K173" s="102">
        <v>55</v>
      </c>
      <c r="L173" s="35" t="str">
        <f>IFERROR(_xlfn.XLOOKUP(Table6[[#This Row],[Error Code]],'Basic Data'!$AA:$AA,'Basic Data'!$AB:$AB),"Incorrect Error Code")</f>
        <v>WTG shut down</v>
      </c>
      <c r="M173" s="35" t="s">
        <v>328</v>
      </c>
      <c r="N173" s="475"/>
      <c r="O173" s="476">
        <v>0</v>
      </c>
      <c r="P173" s="476">
        <v>0</v>
      </c>
      <c r="Q173" s="477">
        <v>0.2013888888888889</v>
      </c>
      <c r="R173" s="472">
        <f>IF(Table6[[#This Row],[Work Start TimeStamp]]="","",(Table6[[#This Row],[Work Start TimeStamp]]-Table6[[#This Row],[Fault Start TimeStamp]])*24)</f>
        <v>0</v>
      </c>
      <c r="S173" s="472">
        <f>(Table6[[#This Row],[Fault Clearance time]]-Table6[[#This Row],[Work Start TimeStamp]])*24</f>
        <v>4.8333333333333339</v>
      </c>
      <c r="T173" s="472">
        <f>(Table6[[#This Row],[Fault Clearance time]]-Table6[[#This Row],[Fault Start TimeStamp]])*24</f>
        <v>4.8333333333333339</v>
      </c>
      <c r="U173" s="35" t="s">
        <v>388</v>
      </c>
      <c r="V173" s="102" t="s">
        <v>293</v>
      </c>
      <c r="W173" s="478">
        <f>IFERROR(Table6[[#This Row],[Breakdown Time]]*Table6[[#This Row],[Plant Equivalent Weightage]],"")</f>
        <v>0.18589743589743588</v>
      </c>
      <c r="X173" s="473" t="s">
        <v>305</v>
      </c>
      <c r="Y173" s="474" t="s">
        <v>85</v>
      </c>
      <c r="Z173" s="102">
        <v>7785</v>
      </c>
      <c r="AA173" s="468">
        <f>(Table6[[#This Row],[Paired WTG Generation for loss calculation]]/24)*Table6[[#This Row],[Breakdown Time]]</f>
        <v>1567.8125000000002</v>
      </c>
      <c r="AB173" s="102"/>
      <c r="AC173" s="35"/>
      <c r="AD173" s="35"/>
    </row>
    <row r="174" spans="1:30">
      <c r="A174" s="102">
        <f t="shared" si="3"/>
        <v>173</v>
      </c>
      <c r="B174" s="468">
        <f>YEAR(Table6[[#This Row],[Date]])+IF(MONTH(Table6[[#This Row],[Date]])&gt;=4,1,0)</f>
        <v>2026</v>
      </c>
      <c r="C174" s="102">
        <f>YEAR(Table6[[#This Row],[Date]])</f>
        <v>2025</v>
      </c>
      <c r="D174" s="102" t="s">
        <v>1992</v>
      </c>
      <c r="E174" s="469">
        <f>Table6[[#This Row],[Date]]-DAY(Table6[[#This Row],[Date]])+1</f>
        <v>45748</v>
      </c>
      <c r="F174" s="470">
        <v>45760</v>
      </c>
      <c r="G174" s="35" t="s">
        <v>78</v>
      </c>
      <c r="H174" s="35" t="str">
        <f>IFERROR(_xlfn.XLOOKUP(Table6[[#This Row],[Affected WTG]],'Basic Data'!$A:$A,'Basic Data'!$B:$B),"")</f>
        <v>TQGXIIPL</v>
      </c>
      <c r="I174" s="35" t="str">
        <f>IFERROR(_xlfn.XLOOKUP(Table6[[#This Row],[Affected WTG]],'Basic Data'!$A:$A,'Basic Data'!$C:$C),"")</f>
        <v>GEDA</v>
      </c>
      <c r="J174" s="471">
        <f>IFERROR(_xlfn.XLOOKUP(Table6[[#This Row],[Affected WTG]],'Basic Data'!$A:$A,'Basic Data'!$E:$E),"")</f>
        <v>3.846153846153845E-2</v>
      </c>
      <c r="K174" s="102">
        <v>3110</v>
      </c>
      <c r="L174" s="35" t="str">
        <f>IFERROR(_xlfn.XLOOKUP(Table6[[#This Row],[Error Code]],'Basic Data'!$AA:$AA,'Basic Data'!$AB:$AB),"Incorrect Error Code")</f>
        <v>Frequency converter error</v>
      </c>
      <c r="M174" s="35" t="s">
        <v>291</v>
      </c>
      <c r="N174" s="475"/>
      <c r="O174" s="476">
        <v>0.91041666666666665</v>
      </c>
      <c r="P174" s="476">
        <v>0.91041666666666665</v>
      </c>
      <c r="Q174" s="477">
        <v>0.91666666666666663</v>
      </c>
      <c r="R174" s="472">
        <f>IF(Table6[[#This Row],[Work Start TimeStamp]]="","",(Table6[[#This Row],[Work Start TimeStamp]]-Table6[[#This Row],[Fault Start TimeStamp]])*24)</f>
        <v>0</v>
      </c>
      <c r="S174" s="472">
        <f>(Table6[[#This Row],[Fault Clearance time]]-Table6[[#This Row],[Work Start TimeStamp]])*24</f>
        <v>0.14999999999999947</v>
      </c>
      <c r="T174" s="472">
        <f>(Table6[[#This Row],[Fault Clearance time]]-Table6[[#This Row],[Fault Start TimeStamp]])*24</f>
        <v>0.14999999999999947</v>
      </c>
      <c r="U174" s="35" t="s">
        <v>349</v>
      </c>
      <c r="V174" s="102" t="s">
        <v>293</v>
      </c>
      <c r="W174" s="478">
        <f>IFERROR(Table6[[#This Row],[Breakdown Time]]*Table6[[#This Row],[Plant Equivalent Weightage]],"")</f>
        <v>5.769230769230747E-3</v>
      </c>
      <c r="X174" s="473" t="s">
        <v>294</v>
      </c>
      <c r="Y174" s="474" t="s">
        <v>75</v>
      </c>
      <c r="Z174" s="102">
        <v>28616</v>
      </c>
      <c r="AA174" s="468">
        <f>(Table6[[#This Row],[Paired WTG Generation for loss calculation]]/24)*Table6[[#This Row],[Breakdown Time]]</f>
        <v>178.84999999999934</v>
      </c>
      <c r="AB174" s="102"/>
      <c r="AC174" s="35"/>
      <c r="AD174" s="35"/>
    </row>
    <row r="175" spans="1:30">
      <c r="A175" s="102">
        <f t="shared" si="3"/>
        <v>174</v>
      </c>
      <c r="B175" s="468">
        <f>YEAR(Table6[[#This Row],[Date]])+IF(MONTH(Table6[[#This Row],[Date]])&gt;=4,1,0)</f>
        <v>2026</v>
      </c>
      <c r="C175" s="102">
        <f>YEAR(Table6[[#This Row],[Date]])</f>
        <v>2025</v>
      </c>
      <c r="D175" s="102" t="s">
        <v>1992</v>
      </c>
      <c r="E175" s="469">
        <f>Table6[[#This Row],[Date]]-DAY(Table6[[#This Row],[Date]])+1</f>
        <v>45748</v>
      </c>
      <c r="F175" s="470">
        <v>45760</v>
      </c>
      <c r="G175" s="35" t="s">
        <v>78</v>
      </c>
      <c r="H175" s="35" t="str">
        <f>IFERROR(_xlfn.XLOOKUP(Table6[[#This Row],[Affected WTG]],'Basic Data'!$A:$A,'Basic Data'!$B:$B),"")</f>
        <v>TQGXIIPL</v>
      </c>
      <c r="I175" s="35" t="str">
        <f>IFERROR(_xlfn.XLOOKUP(Table6[[#This Row],[Affected WTG]],'Basic Data'!$A:$A,'Basic Data'!$C:$C),"")</f>
        <v>GEDA</v>
      </c>
      <c r="J175" s="471">
        <f>IFERROR(_xlfn.XLOOKUP(Table6[[#This Row],[Affected WTG]],'Basic Data'!$A:$A,'Basic Data'!$E:$E),"")</f>
        <v>3.846153846153845E-2</v>
      </c>
      <c r="K175" s="102">
        <v>3211</v>
      </c>
      <c r="L175" s="35" t="str">
        <f>IFERROR(_xlfn.XLOOKUP(Table6[[#This Row],[Error Code]],'Basic Data'!$AA:$AA,'Basic Data'!$AB:$AB),"Incorrect Error Code")</f>
        <v>Conv. load shedding (CAN)</v>
      </c>
      <c r="M175" s="35" t="s">
        <v>291</v>
      </c>
      <c r="N175" s="475"/>
      <c r="O175" s="476">
        <v>0.9506944444444444</v>
      </c>
      <c r="P175" s="476">
        <v>0.9506944444444444</v>
      </c>
      <c r="Q175" s="477">
        <v>0.95347222222222228</v>
      </c>
      <c r="R175" s="472">
        <f>IF(Table6[[#This Row],[Work Start TimeStamp]]="","",(Table6[[#This Row],[Work Start TimeStamp]]-Table6[[#This Row],[Fault Start TimeStamp]])*24)</f>
        <v>0</v>
      </c>
      <c r="S175" s="472">
        <f>(Table6[[#This Row],[Fault Clearance time]]-Table6[[#This Row],[Work Start TimeStamp]])*24</f>
        <v>6.6666666666669094E-2</v>
      </c>
      <c r="T175" s="472">
        <f>(Table6[[#This Row],[Fault Clearance time]]-Table6[[#This Row],[Fault Start TimeStamp]])*24</f>
        <v>6.6666666666669094E-2</v>
      </c>
      <c r="U175" s="35" t="s">
        <v>349</v>
      </c>
      <c r="V175" s="102" t="s">
        <v>293</v>
      </c>
      <c r="W175" s="478">
        <f>IFERROR(Table6[[#This Row],[Breakdown Time]]*Table6[[#This Row],[Plant Equivalent Weightage]],"")</f>
        <v>2.5641025641026569E-3</v>
      </c>
      <c r="X175" s="473" t="s">
        <v>294</v>
      </c>
      <c r="Y175" s="474" t="s">
        <v>75</v>
      </c>
      <c r="Z175" s="102">
        <v>28616</v>
      </c>
      <c r="AA175" s="468">
        <f>(Table6[[#This Row],[Paired WTG Generation for loss calculation]]/24)*Table6[[#This Row],[Breakdown Time]]</f>
        <v>79.488888888891779</v>
      </c>
      <c r="AB175" s="102"/>
      <c r="AC175" s="35"/>
      <c r="AD175" s="35"/>
    </row>
    <row r="176" spans="1:30">
      <c r="A176" s="102">
        <f t="shared" si="3"/>
        <v>175</v>
      </c>
      <c r="B176" s="468">
        <f>YEAR(Table6[[#This Row],[Date]])+IF(MONTH(Table6[[#This Row],[Date]])&gt;=4,1,0)</f>
        <v>2026</v>
      </c>
      <c r="C176" s="102">
        <f>YEAR(Table6[[#This Row],[Date]])</f>
        <v>2025</v>
      </c>
      <c r="D176" s="102" t="s">
        <v>1992</v>
      </c>
      <c r="E176" s="469">
        <f>Table6[[#This Row],[Date]]-DAY(Table6[[#This Row],[Date]])+1</f>
        <v>45748</v>
      </c>
      <c r="F176" s="470">
        <v>45760</v>
      </c>
      <c r="G176" s="35" t="s">
        <v>79</v>
      </c>
      <c r="H176" s="35" t="str">
        <f>IFERROR(_xlfn.XLOOKUP(Table6[[#This Row],[Affected WTG]],'Basic Data'!$A:$A,'Basic Data'!$B:$B),"")</f>
        <v>TQGXIIPL</v>
      </c>
      <c r="I176" s="35" t="str">
        <f>IFERROR(_xlfn.XLOOKUP(Table6[[#This Row],[Affected WTG]],'Basic Data'!$A:$A,'Basic Data'!$C:$C),"")</f>
        <v>GEDA</v>
      </c>
      <c r="J176" s="471">
        <f>IFERROR(_xlfn.XLOOKUP(Table6[[#This Row],[Affected WTG]],'Basic Data'!$A:$A,'Basic Data'!$E:$E),"")</f>
        <v>3.846153846153845E-2</v>
      </c>
      <c r="K176" s="102">
        <v>4520</v>
      </c>
      <c r="L176" s="35" t="str">
        <f>IFERROR(_xlfn.XLOOKUP(Table6[[#This Row],[Error Code]],'Basic Data'!$AA:$AA,'Basic Data'!$AB:$AB),"Incorrect Error Code")</f>
        <v>Tower oscillation X level 1</v>
      </c>
      <c r="M176" s="35" t="s">
        <v>291</v>
      </c>
      <c r="N176" s="475"/>
      <c r="O176" s="476">
        <v>0.31388888888888888</v>
      </c>
      <c r="P176" s="476">
        <v>0.31388888888888888</v>
      </c>
      <c r="Q176" s="477">
        <v>0.3215277777777778</v>
      </c>
      <c r="R176" s="472">
        <f>IF(Table6[[#This Row],[Work Start TimeStamp]]="","",(Table6[[#This Row],[Work Start TimeStamp]]-Table6[[#This Row],[Fault Start TimeStamp]])*24)</f>
        <v>0</v>
      </c>
      <c r="S176" s="472">
        <f>(Table6[[#This Row],[Fault Clearance time]]-Table6[[#This Row],[Work Start TimeStamp]])*24</f>
        <v>0.18333333333333401</v>
      </c>
      <c r="T176" s="472">
        <f>(Table6[[#This Row],[Fault Clearance time]]-Table6[[#This Row],[Fault Start TimeStamp]])*24</f>
        <v>0.18333333333333401</v>
      </c>
      <c r="U176" s="35" t="s">
        <v>336</v>
      </c>
      <c r="V176" s="102" t="s">
        <v>293</v>
      </c>
      <c r="W176" s="478">
        <f>IFERROR(Table6[[#This Row],[Breakdown Time]]*Table6[[#This Row],[Plant Equivalent Weightage]],"")</f>
        <v>7.0512820512820757E-3</v>
      </c>
      <c r="X176" s="473" t="s">
        <v>294</v>
      </c>
      <c r="Y176" s="474" t="s">
        <v>94</v>
      </c>
      <c r="Z176" s="102">
        <v>23356</v>
      </c>
      <c r="AA176" s="468">
        <f>(Table6[[#This Row],[Paired WTG Generation for loss calculation]]/24)*Table6[[#This Row],[Breakdown Time]]</f>
        <v>178.41388888888955</v>
      </c>
      <c r="AB176" s="102"/>
      <c r="AC176" s="35"/>
      <c r="AD176" s="35"/>
    </row>
    <row r="177" spans="1:30">
      <c r="A177" s="102">
        <f t="shared" si="3"/>
        <v>176</v>
      </c>
      <c r="B177" s="468">
        <f>YEAR(Table6[[#This Row],[Date]])+IF(MONTH(Table6[[#This Row],[Date]])&gt;=4,1,0)</f>
        <v>2026</v>
      </c>
      <c r="C177" s="102">
        <f>YEAR(Table6[[#This Row],[Date]])</f>
        <v>2025</v>
      </c>
      <c r="D177" s="102" t="s">
        <v>1992</v>
      </c>
      <c r="E177" s="469">
        <f>Table6[[#This Row],[Date]]-DAY(Table6[[#This Row],[Date]])+1</f>
        <v>45748</v>
      </c>
      <c r="F177" s="470">
        <v>45760</v>
      </c>
      <c r="G177" s="35" t="s">
        <v>79</v>
      </c>
      <c r="H177" s="35" t="str">
        <f>IFERROR(_xlfn.XLOOKUP(Table6[[#This Row],[Affected WTG]],'Basic Data'!$A:$A,'Basic Data'!$B:$B),"")</f>
        <v>TQGXIIPL</v>
      </c>
      <c r="I177" s="35" t="str">
        <f>IFERROR(_xlfn.XLOOKUP(Table6[[#This Row],[Affected WTG]],'Basic Data'!$A:$A,'Basic Data'!$C:$C),"")</f>
        <v>GEDA</v>
      </c>
      <c r="J177" s="471">
        <f>IFERROR(_xlfn.XLOOKUP(Table6[[#This Row],[Affected WTG]],'Basic Data'!$A:$A,'Basic Data'!$E:$E),"")</f>
        <v>3.846153846153845E-2</v>
      </c>
      <c r="K177" s="102">
        <v>6056</v>
      </c>
      <c r="L177" s="35" t="str">
        <f>IFERROR(_xlfn.XLOOKUP(Table6[[#This Row],[Error Code]],'Basic Data'!$AA:$AA,'Basic Data'!$AB:$AB),"Incorrect Error Code")</f>
        <v>High yaw load</v>
      </c>
      <c r="M177" s="35" t="s">
        <v>291</v>
      </c>
      <c r="N177" s="475"/>
      <c r="O177" s="476">
        <v>0.63402777777777775</v>
      </c>
      <c r="P177" s="476">
        <v>0.63402777777777775</v>
      </c>
      <c r="Q177" s="477">
        <v>0.63611111111111107</v>
      </c>
      <c r="R177" s="472">
        <f>IF(Table6[[#This Row],[Work Start TimeStamp]]="","",(Table6[[#This Row],[Work Start TimeStamp]]-Table6[[#This Row],[Fault Start TimeStamp]])*24)</f>
        <v>0</v>
      </c>
      <c r="S177" s="472">
        <f>(Table6[[#This Row],[Fault Clearance time]]-Table6[[#This Row],[Work Start TimeStamp]])*24</f>
        <v>4.9999999999999822E-2</v>
      </c>
      <c r="T177" s="472">
        <f>(Table6[[#This Row],[Fault Clearance time]]-Table6[[#This Row],[Fault Start TimeStamp]])*24</f>
        <v>4.9999999999999822E-2</v>
      </c>
      <c r="U177" s="35" t="s">
        <v>349</v>
      </c>
      <c r="V177" s="102" t="s">
        <v>293</v>
      </c>
      <c r="W177" s="478">
        <f>IFERROR(Table6[[#This Row],[Breakdown Time]]*Table6[[#This Row],[Plant Equivalent Weightage]],"")</f>
        <v>1.9230769230769156E-3</v>
      </c>
      <c r="X177" s="473" t="s">
        <v>294</v>
      </c>
      <c r="Y177" s="474" t="s">
        <v>94</v>
      </c>
      <c r="Z177" s="102">
        <v>23356</v>
      </c>
      <c r="AA177" s="468">
        <f>(Table6[[#This Row],[Paired WTG Generation for loss calculation]]/24)*Table6[[#This Row],[Breakdown Time]]</f>
        <v>48.658333333333161</v>
      </c>
      <c r="AB177" s="102"/>
      <c r="AC177" s="35"/>
      <c r="AD177" s="35"/>
    </row>
    <row r="178" spans="1:30">
      <c r="A178" s="102">
        <f t="shared" si="3"/>
        <v>177</v>
      </c>
      <c r="B178" s="468">
        <f>YEAR(Table6[[#This Row],[Date]])+IF(MONTH(Table6[[#This Row],[Date]])&gt;=4,1,0)</f>
        <v>2026</v>
      </c>
      <c r="C178" s="102">
        <f>YEAR(Table6[[#This Row],[Date]])</f>
        <v>2025</v>
      </c>
      <c r="D178" s="102" t="s">
        <v>1992</v>
      </c>
      <c r="E178" s="469">
        <f>Table6[[#This Row],[Date]]-DAY(Table6[[#This Row],[Date]])+1</f>
        <v>45748</v>
      </c>
      <c r="F178" s="470">
        <v>45760</v>
      </c>
      <c r="G178" s="35" t="s">
        <v>81</v>
      </c>
      <c r="H178" s="35" t="str">
        <f>IFERROR(_xlfn.XLOOKUP(Table6[[#This Row],[Affected WTG]],'Basic Data'!$A:$A,'Basic Data'!$B:$B),"")</f>
        <v>TQGXIIPL</v>
      </c>
      <c r="I178" s="35" t="str">
        <f>IFERROR(_xlfn.XLOOKUP(Table6[[#This Row],[Affected WTG]],'Basic Data'!$A:$A,'Basic Data'!$C:$C),"")</f>
        <v>GEDA</v>
      </c>
      <c r="J178" s="471">
        <f>IFERROR(_xlfn.XLOOKUP(Table6[[#This Row],[Affected WTG]],'Basic Data'!$A:$A,'Basic Data'!$E:$E),"")</f>
        <v>3.846153846153845E-2</v>
      </c>
      <c r="K178" s="102">
        <v>4520</v>
      </c>
      <c r="L178" s="35" t="str">
        <f>IFERROR(_xlfn.XLOOKUP(Table6[[#This Row],[Error Code]],'Basic Data'!$AA:$AA,'Basic Data'!$AB:$AB),"Incorrect Error Code")</f>
        <v>Tower oscillation X level 1</v>
      </c>
      <c r="M178" s="35" t="s">
        <v>292</v>
      </c>
      <c r="N178" s="475"/>
      <c r="O178" s="476">
        <v>0.34166666666666667</v>
      </c>
      <c r="P178" s="476">
        <v>0.34166666666666667</v>
      </c>
      <c r="Q178" s="477">
        <v>0.34930555555555554</v>
      </c>
      <c r="R178" s="472">
        <f>IF(Table6[[#This Row],[Work Start TimeStamp]]="","",(Table6[[#This Row],[Work Start TimeStamp]]-Table6[[#This Row],[Fault Start TimeStamp]])*24)</f>
        <v>0</v>
      </c>
      <c r="S178" s="472">
        <f>(Table6[[#This Row],[Fault Clearance time]]-Table6[[#This Row],[Work Start TimeStamp]])*24</f>
        <v>0.18333333333333268</v>
      </c>
      <c r="T178" s="472">
        <f>(Table6[[#This Row],[Fault Clearance time]]-Table6[[#This Row],[Fault Start TimeStamp]])*24</f>
        <v>0.18333333333333268</v>
      </c>
      <c r="U178" s="35" t="s">
        <v>336</v>
      </c>
      <c r="V178" s="102" t="s">
        <v>293</v>
      </c>
      <c r="W178" s="478">
        <f>IFERROR(Table6[[#This Row],[Breakdown Time]]*Table6[[#This Row],[Plant Equivalent Weightage]],"")</f>
        <v>7.0512820512820245E-3</v>
      </c>
      <c r="X178" s="473" t="s">
        <v>294</v>
      </c>
      <c r="Y178" s="474" t="s">
        <v>99</v>
      </c>
      <c r="Z178" s="102">
        <v>25025</v>
      </c>
      <c r="AA178" s="468">
        <f>(Table6[[#This Row],[Paired WTG Generation for loss calculation]]/24)*Table6[[#This Row],[Breakdown Time]]</f>
        <v>191.16319444444375</v>
      </c>
      <c r="AB178" s="102"/>
      <c r="AC178" s="35"/>
      <c r="AD178" s="35"/>
    </row>
    <row r="179" spans="1:30">
      <c r="A179" s="102">
        <f t="shared" si="3"/>
        <v>178</v>
      </c>
      <c r="B179" s="468">
        <f>YEAR(Table6[[#This Row],[Date]])+IF(MONTH(Table6[[#This Row],[Date]])&gt;=4,1,0)</f>
        <v>2026</v>
      </c>
      <c r="C179" s="102">
        <f>YEAR(Table6[[#This Row],[Date]])</f>
        <v>2025</v>
      </c>
      <c r="D179" s="102" t="s">
        <v>1992</v>
      </c>
      <c r="E179" s="469">
        <f>Table6[[#This Row],[Date]]-DAY(Table6[[#This Row],[Date]])+1</f>
        <v>45748</v>
      </c>
      <c r="F179" s="470">
        <v>45760</v>
      </c>
      <c r="G179" s="35" t="s">
        <v>81</v>
      </c>
      <c r="H179" s="35" t="str">
        <f>IFERROR(_xlfn.XLOOKUP(Table6[[#This Row],[Affected WTG]],'Basic Data'!$A:$A,'Basic Data'!$B:$B),"")</f>
        <v>TQGXIIPL</v>
      </c>
      <c r="I179" s="35" t="str">
        <f>IFERROR(_xlfn.XLOOKUP(Table6[[#This Row],[Affected WTG]],'Basic Data'!$A:$A,'Basic Data'!$C:$C),"")</f>
        <v>GEDA</v>
      </c>
      <c r="J179" s="471">
        <f>IFERROR(_xlfn.XLOOKUP(Table6[[#This Row],[Affected WTG]],'Basic Data'!$A:$A,'Basic Data'!$E:$E),"")</f>
        <v>3.846153846153845E-2</v>
      </c>
      <c r="K179" s="102">
        <v>55</v>
      </c>
      <c r="L179" s="35" t="str">
        <f>IFERROR(_xlfn.XLOOKUP(Table6[[#This Row],[Error Code]],'Basic Data'!$AA:$AA,'Basic Data'!$AB:$AB),"Incorrect Error Code")</f>
        <v>WTG shut down</v>
      </c>
      <c r="M179" s="35" t="s">
        <v>330</v>
      </c>
      <c r="N179" s="475"/>
      <c r="O179" s="476">
        <v>0.77430555555555558</v>
      </c>
      <c r="P179" s="476">
        <v>0.77430555555555558</v>
      </c>
      <c r="Q179" s="477">
        <v>0.89166666666666672</v>
      </c>
      <c r="R179" s="472">
        <f>IF(Table6[[#This Row],[Work Start TimeStamp]]="","",(Table6[[#This Row],[Work Start TimeStamp]]-Table6[[#This Row],[Fault Start TimeStamp]])*24)</f>
        <v>0</v>
      </c>
      <c r="S179" s="472">
        <f>(Table6[[#This Row],[Fault Clearance time]]-Table6[[#This Row],[Work Start TimeStamp]])*24</f>
        <v>2.8166666666666673</v>
      </c>
      <c r="T179" s="472">
        <f>(Table6[[#This Row],[Fault Clearance time]]-Table6[[#This Row],[Fault Start TimeStamp]])*24</f>
        <v>2.8166666666666673</v>
      </c>
      <c r="U179" s="35" t="s">
        <v>337</v>
      </c>
      <c r="V179" s="102" t="s">
        <v>293</v>
      </c>
      <c r="W179" s="478">
        <f>IFERROR(Table6[[#This Row],[Breakdown Time]]*Table6[[#This Row],[Plant Equivalent Weightage]],"")</f>
        <v>0.10833333333333332</v>
      </c>
      <c r="X179" s="473" t="s">
        <v>290</v>
      </c>
      <c r="Y179" s="474" t="s">
        <v>99</v>
      </c>
      <c r="Z179" s="102">
        <v>25025</v>
      </c>
      <c r="AA179" s="468">
        <f>(Table6[[#This Row],[Paired WTG Generation for loss calculation]]/24)*Table6[[#This Row],[Breakdown Time]]</f>
        <v>2936.9618055555561</v>
      </c>
      <c r="AB179" s="102"/>
      <c r="AC179" s="35"/>
      <c r="AD179" s="35"/>
    </row>
    <row r="180" spans="1:30">
      <c r="A180" s="102">
        <f t="shared" si="3"/>
        <v>179</v>
      </c>
      <c r="B180" s="468">
        <f>YEAR(Table6[[#This Row],[Date]])+IF(MONTH(Table6[[#This Row],[Date]])&gt;=4,1,0)</f>
        <v>2026</v>
      </c>
      <c r="C180" s="102">
        <f>YEAR(Table6[[#This Row],[Date]])</f>
        <v>2025</v>
      </c>
      <c r="D180" s="102" t="s">
        <v>1992</v>
      </c>
      <c r="E180" s="469">
        <f>Table6[[#This Row],[Date]]-DAY(Table6[[#This Row],[Date]])+1</f>
        <v>45748</v>
      </c>
      <c r="F180" s="470">
        <v>45760</v>
      </c>
      <c r="G180" s="35" t="s">
        <v>81</v>
      </c>
      <c r="H180" s="35" t="str">
        <f>IFERROR(_xlfn.XLOOKUP(Table6[[#This Row],[Affected WTG]],'Basic Data'!$A:$A,'Basic Data'!$B:$B),"")</f>
        <v>TQGXIIPL</v>
      </c>
      <c r="I180" s="35" t="str">
        <f>IFERROR(_xlfn.XLOOKUP(Table6[[#This Row],[Affected WTG]],'Basic Data'!$A:$A,'Basic Data'!$C:$C),"")</f>
        <v>GEDA</v>
      </c>
      <c r="J180" s="471">
        <f>IFERROR(_xlfn.XLOOKUP(Table6[[#This Row],[Affected WTG]],'Basic Data'!$A:$A,'Basic Data'!$E:$E),"")</f>
        <v>3.846153846153845E-2</v>
      </c>
      <c r="K180" s="102">
        <v>55</v>
      </c>
      <c r="L180" s="35" t="str">
        <f>IFERROR(_xlfn.XLOOKUP(Table6[[#This Row],[Error Code]],'Basic Data'!$AA:$AA,'Basic Data'!$AB:$AB),"Incorrect Error Code")</f>
        <v>WTG shut down</v>
      </c>
      <c r="M180" s="35" t="s">
        <v>330</v>
      </c>
      <c r="N180" s="475"/>
      <c r="O180" s="476">
        <v>0.89097222222222228</v>
      </c>
      <c r="P180" s="476">
        <v>0.89097222222222228</v>
      </c>
      <c r="Q180" s="477">
        <v>1</v>
      </c>
      <c r="R180" s="472">
        <f>IF(Table6[[#This Row],[Work Start TimeStamp]]="","",(Table6[[#This Row],[Work Start TimeStamp]]-Table6[[#This Row],[Fault Start TimeStamp]])*24)</f>
        <v>0</v>
      </c>
      <c r="S180" s="472">
        <f>(Table6[[#This Row],[Fault Clearance time]]-Table6[[#This Row],[Work Start TimeStamp]])*24</f>
        <v>2.6166666666666654</v>
      </c>
      <c r="T180" s="472">
        <f>(Table6[[#This Row],[Fault Clearance time]]-Table6[[#This Row],[Fault Start TimeStamp]])*24</f>
        <v>2.6166666666666654</v>
      </c>
      <c r="U180" s="35" t="s">
        <v>337</v>
      </c>
      <c r="V180" s="102" t="s">
        <v>293</v>
      </c>
      <c r="W180" s="478">
        <f>IFERROR(Table6[[#This Row],[Breakdown Time]]*Table6[[#This Row],[Plant Equivalent Weightage]],"")</f>
        <v>0.10064102564102556</v>
      </c>
      <c r="X180" s="473" t="s">
        <v>290</v>
      </c>
      <c r="Y180" s="474" t="s">
        <v>99</v>
      </c>
      <c r="Z180" s="102">
        <v>25025</v>
      </c>
      <c r="AA180" s="468">
        <f>(Table6[[#This Row],[Paired WTG Generation for loss calculation]]/24)*Table6[[#This Row],[Breakdown Time]]</f>
        <v>2728.4201388888873</v>
      </c>
      <c r="AB180" s="102"/>
      <c r="AC180" s="35"/>
      <c r="AD180" s="35"/>
    </row>
    <row r="181" spans="1:30">
      <c r="A181" s="102">
        <f t="shared" si="3"/>
        <v>180</v>
      </c>
      <c r="B181" s="468">
        <f>YEAR(Table6[[#This Row],[Date]])+IF(MONTH(Table6[[#This Row],[Date]])&gt;=4,1,0)</f>
        <v>2026</v>
      </c>
      <c r="C181" s="102">
        <f>YEAR(Table6[[#This Row],[Date]])</f>
        <v>2025</v>
      </c>
      <c r="D181" s="102" t="s">
        <v>1992</v>
      </c>
      <c r="E181" s="469">
        <f>Table6[[#This Row],[Date]]-DAY(Table6[[#This Row],[Date]])+1</f>
        <v>45748</v>
      </c>
      <c r="F181" s="470">
        <v>45760</v>
      </c>
      <c r="G181" s="35" t="s">
        <v>82</v>
      </c>
      <c r="H181" s="35" t="str">
        <f>IFERROR(_xlfn.XLOOKUP(Table6[[#This Row],[Affected WTG]],'Basic Data'!$A:$A,'Basic Data'!$B:$B),"")</f>
        <v>TQGXIIPL</v>
      </c>
      <c r="I181" s="35" t="str">
        <f>IFERROR(_xlfn.XLOOKUP(Table6[[#This Row],[Affected WTG]],'Basic Data'!$A:$A,'Basic Data'!$C:$C),"")</f>
        <v>GEDA</v>
      </c>
      <c r="J181" s="471">
        <f>IFERROR(_xlfn.XLOOKUP(Table6[[#This Row],[Affected WTG]],'Basic Data'!$A:$A,'Basic Data'!$E:$E),"")</f>
        <v>3.846153846153845E-2</v>
      </c>
      <c r="K181" s="102">
        <v>55</v>
      </c>
      <c r="L181" s="35" t="str">
        <f>IFERROR(_xlfn.XLOOKUP(Table6[[#This Row],[Error Code]],'Basic Data'!$AA:$AA,'Basic Data'!$AB:$AB),"Incorrect Error Code")</f>
        <v>WTG shut down</v>
      </c>
      <c r="M181" s="35" t="s">
        <v>291</v>
      </c>
      <c r="N181" s="475"/>
      <c r="O181" s="476">
        <v>0.65277777777777779</v>
      </c>
      <c r="P181" s="476">
        <v>0.65277777777777779</v>
      </c>
      <c r="Q181" s="477">
        <v>0.66111111111111109</v>
      </c>
      <c r="R181" s="472">
        <f>IF(Table6[[#This Row],[Work Start TimeStamp]]="","",(Table6[[#This Row],[Work Start TimeStamp]]-Table6[[#This Row],[Fault Start TimeStamp]])*24)</f>
        <v>0</v>
      </c>
      <c r="S181" s="472">
        <f>(Table6[[#This Row],[Fault Clearance time]]-Table6[[#This Row],[Work Start TimeStamp]])*24</f>
        <v>0.19999999999999929</v>
      </c>
      <c r="T181" s="472">
        <f>(Table6[[#This Row],[Fault Clearance time]]-Table6[[#This Row],[Fault Start TimeStamp]])*24</f>
        <v>0.19999999999999929</v>
      </c>
      <c r="U181" s="35" t="s">
        <v>389</v>
      </c>
      <c r="V181" s="102" t="s">
        <v>293</v>
      </c>
      <c r="W181" s="478">
        <f>IFERROR(Table6[[#This Row],[Breakdown Time]]*Table6[[#This Row],[Plant Equivalent Weightage]],"")</f>
        <v>7.6923076923076624E-3</v>
      </c>
      <c r="X181" s="473" t="s">
        <v>290</v>
      </c>
      <c r="Y181" s="474" t="s">
        <v>76</v>
      </c>
      <c r="Z181" s="102">
        <v>25705</v>
      </c>
      <c r="AA181" s="468">
        <f>(Table6[[#This Row],[Paired WTG Generation for loss calculation]]/24)*Table6[[#This Row],[Breakdown Time]]</f>
        <v>214.20833333333258</v>
      </c>
      <c r="AB181" s="102"/>
      <c r="AC181" s="35"/>
      <c r="AD181" s="35"/>
    </row>
    <row r="182" spans="1:30">
      <c r="A182" s="102">
        <f t="shared" si="3"/>
        <v>181</v>
      </c>
      <c r="B182" s="468">
        <f>YEAR(Table6[[#This Row],[Date]])+IF(MONTH(Table6[[#This Row],[Date]])&gt;=4,1,0)</f>
        <v>2026</v>
      </c>
      <c r="C182" s="102">
        <f>YEAR(Table6[[#This Row],[Date]])</f>
        <v>2025</v>
      </c>
      <c r="D182" s="102" t="s">
        <v>1992</v>
      </c>
      <c r="E182" s="469">
        <f>Table6[[#This Row],[Date]]-DAY(Table6[[#This Row],[Date]])+1</f>
        <v>45748</v>
      </c>
      <c r="F182" s="470">
        <v>45760</v>
      </c>
      <c r="G182" s="35" t="s">
        <v>83</v>
      </c>
      <c r="H182" s="35" t="str">
        <f>IFERROR(_xlfn.XLOOKUP(Table6[[#This Row],[Affected WTG]],'Basic Data'!$A:$A,'Basic Data'!$B:$B),"")</f>
        <v>TQGXIIPL</v>
      </c>
      <c r="I182" s="35" t="str">
        <f>IFERROR(_xlfn.XLOOKUP(Table6[[#This Row],[Affected WTG]],'Basic Data'!$A:$A,'Basic Data'!$C:$C),"")</f>
        <v>GEDA</v>
      </c>
      <c r="J182" s="471">
        <f>IFERROR(_xlfn.XLOOKUP(Table6[[#This Row],[Affected WTG]],'Basic Data'!$A:$A,'Basic Data'!$E:$E),"")</f>
        <v>3.846153846153845E-2</v>
      </c>
      <c r="K182" s="102">
        <v>4520</v>
      </c>
      <c r="L182" s="35" t="str">
        <f>IFERROR(_xlfn.XLOOKUP(Table6[[#This Row],[Error Code]],'Basic Data'!$AA:$AA,'Basic Data'!$AB:$AB),"Incorrect Error Code")</f>
        <v>Tower oscillation X level 1</v>
      </c>
      <c r="M182" s="35" t="s">
        <v>292</v>
      </c>
      <c r="N182" s="475"/>
      <c r="O182" s="476">
        <v>0.32500000000000001</v>
      </c>
      <c r="P182" s="476">
        <v>0.32500000000000001</v>
      </c>
      <c r="Q182" s="477">
        <v>0.33263888888888887</v>
      </c>
      <c r="R182" s="472">
        <f>IF(Table6[[#This Row],[Work Start TimeStamp]]="","",(Table6[[#This Row],[Work Start TimeStamp]]-Table6[[#This Row],[Fault Start TimeStamp]])*24)</f>
        <v>0</v>
      </c>
      <c r="S182" s="472">
        <f>(Table6[[#This Row],[Fault Clearance time]]-Table6[[#This Row],[Work Start TimeStamp]])*24</f>
        <v>0.18333333333333268</v>
      </c>
      <c r="T182" s="472">
        <f>(Table6[[#This Row],[Fault Clearance time]]-Table6[[#This Row],[Fault Start TimeStamp]])*24</f>
        <v>0.18333333333333268</v>
      </c>
      <c r="U182" s="35" t="s">
        <v>336</v>
      </c>
      <c r="V182" s="102" t="s">
        <v>293</v>
      </c>
      <c r="W182" s="478">
        <f>IFERROR(Table6[[#This Row],[Breakdown Time]]*Table6[[#This Row],[Plant Equivalent Weightage]],"")</f>
        <v>7.0512820512820245E-3</v>
      </c>
      <c r="X182" s="473" t="s">
        <v>294</v>
      </c>
      <c r="Y182" s="474" t="s">
        <v>88</v>
      </c>
      <c r="Z182" s="102">
        <v>20653</v>
      </c>
      <c r="AA182" s="468">
        <f>(Table6[[#This Row],[Paired WTG Generation for loss calculation]]/24)*Table6[[#This Row],[Breakdown Time]]</f>
        <v>157.76597222222165</v>
      </c>
      <c r="AB182" s="102"/>
      <c r="AC182" s="35"/>
      <c r="AD182" s="35"/>
    </row>
    <row r="183" spans="1:30">
      <c r="A183" s="102">
        <f t="shared" si="3"/>
        <v>182</v>
      </c>
      <c r="B183" s="468">
        <f>YEAR(Table6[[#This Row],[Date]])+IF(MONTH(Table6[[#This Row],[Date]])&gt;=4,1,0)</f>
        <v>2026</v>
      </c>
      <c r="C183" s="102">
        <f>YEAR(Table6[[#This Row],[Date]])</f>
        <v>2025</v>
      </c>
      <c r="D183" s="102" t="s">
        <v>1992</v>
      </c>
      <c r="E183" s="469">
        <f>Table6[[#This Row],[Date]]-DAY(Table6[[#This Row],[Date]])+1</f>
        <v>45748</v>
      </c>
      <c r="F183" s="470">
        <v>45760</v>
      </c>
      <c r="G183" s="35" t="s">
        <v>84</v>
      </c>
      <c r="H183" s="35" t="str">
        <f>IFERROR(_xlfn.XLOOKUP(Table6[[#This Row],[Affected WTG]],'Basic Data'!$A:$A,'Basic Data'!$B:$B),"")</f>
        <v>TQGXIIPL</v>
      </c>
      <c r="I183" s="35" t="str">
        <f>IFERROR(_xlfn.XLOOKUP(Table6[[#This Row],[Affected WTG]],'Basic Data'!$A:$A,'Basic Data'!$C:$C),"")</f>
        <v>GEDA</v>
      </c>
      <c r="J183" s="471">
        <f>IFERROR(_xlfn.XLOOKUP(Table6[[#This Row],[Affected WTG]],'Basic Data'!$A:$A,'Basic Data'!$E:$E),"")</f>
        <v>3.846153846153845E-2</v>
      </c>
      <c r="K183" s="102">
        <v>3110</v>
      </c>
      <c r="L183" s="35" t="str">
        <f>IFERROR(_xlfn.XLOOKUP(Table6[[#This Row],[Error Code]],'Basic Data'!$AA:$AA,'Basic Data'!$AB:$AB),"Incorrect Error Code")</f>
        <v>Frequency converter error</v>
      </c>
      <c r="M183" s="35" t="s">
        <v>291</v>
      </c>
      <c r="N183" s="475"/>
      <c r="O183" s="476">
        <v>0.31111111111111112</v>
      </c>
      <c r="P183" s="476">
        <v>0.31111111111111112</v>
      </c>
      <c r="Q183" s="477">
        <v>0.31319444444444444</v>
      </c>
      <c r="R183" s="472">
        <f>IF(Table6[[#This Row],[Work Start TimeStamp]]="","",(Table6[[#This Row],[Work Start TimeStamp]]-Table6[[#This Row],[Fault Start TimeStamp]])*24)</f>
        <v>0</v>
      </c>
      <c r="S183" s="472">
        <f>(Table6[[#This Row],[Fault Clearance time]]-Table6[[#This Row],[Work Start TimeStamp]])*24</f>
        <v>4.9999999999999822E-2</v>
      </c>
      <c r="T183" s="472">
        <f>(Table6[[#This Row],[Fault Clearance time]]-Table6[[#This Row],[Fault Start TimeStamp]])*24</f>
        <v>4.9999999999999822E-2</v>
      </c>
      <c r="U183" s="35" t="s">
        <v>349</v>
      </c>
      <c r="V183" s="102" t="s">
        <v>293</v>
      </c>
      <c r="W183" s="478">
        <f>IFERROR(Table6[[#This Row],[Breakdown Time]]*Table6[[#This Row],[Plant Equivalent Weightage]],"")</f>
        <v>1.9230769230769156E-3</v>
      </c>
      <c r="X183" s="473" t="s">
        <v>294</v>
      </c>
      <c r="Y183" s="474" t="s">
        <v>85</v>
      </c>
      <c r="Z183" s="102">
        <v>25190</v>
      </c>
      <c r="AA183" s="468">
        <f>(Table6[[#This Row],[Paired WTG Generation for loss calculation]]/24)*Table6[[#This Row],[Breakdown Time]]</f>
        <v>52.47916666666648</v>
      </c>
      <c r="AB183" s="102"/>
      <c r="AC183" s="35"/>
      <c r="AD183" s="35"/>
    </row>
    <row r="184" spans="1:30">
      <c r="A184" s="102">
        <f t="shared" si="3"/>
        <v>183</v>
      </c>
      <c r="B184" s="468">
        <f>YEAR(Table6[[#This Row],[Date]])+IF(MONTH(Table6[[#This Row],[Date]])&gt;=4,1,0)</f>
        <v>2026</v>
      </c>
      <c r="C184" s="102">
        <f>YEAR(Table6[[#This Row],[Date]])</f>
        <v>2025</v>
      </c>
      <c r="D184" s="102" t="s">
        <v>1992</v>
      </c>
      <c r="E184" s="469">
        <f>Table6[[#This Row],[Date]]-DAY(Table6[[#This Row],[Date]])+1</f>
        <v>45748</v>
      </c>
      <c r="F184" s="470">
        <v>45760</v>
      </c>
      <c r="G184" s="35" t="s">
        <v>84</v>
      </c>
      <c r="H184" s="35" t="str">
        <f>IFERROR(_xlfn.XLOOKUP(Table6[[#This Row],[Affected WTG]],'Basic Data'!$A:$A,'Basic Data'!$B:$B),"")</f>
        <v>TQGXIIPL</v>
      </c>
      <c r="I184" s="35" t="str">
        <f>IFERROR(_xlfn.XLOOKUP(Table6[[#This Row],[Affected WTG]],'Basic Data'!$A:$A,'Basic Data'!$C:$C),"")</f>
        <v>GEDA</v>
      </c>
      <c r="J184" s="471">
        <f>IFERROR(_xlfn.XLOOKUP(Table6[[#This Row],[Affected WTG]],'Basic Data'!$A:$A,'Basic Data'!$E:$E),"")</f>
        <v>3.846153846153845E-2</v>
      </c>
      <c r="K184" s="102">
        <v>3211</v>
      </c>
      <c r="L184" s="35" t="str">
        <f>IFERROR(_xlfn.XLOOKUP(Table6[[#This Row],[Error Code]],'Basic Data'!$AA:$AA,'Basic Data'!$AB:$AB),"Incorrect Error Code")</f>
        <v>Conv. load shedding (CAN)</v>
      </c>
      <c r="M184" s="35" t="s">
        <v>291</v>
      </c>
      <c r="N184" s="475"/>
      <c r="O184" s="476">
        <v>0.31666666666666665</v>
      </c>
      <c r="P184" s="476">
        <v>0.31666666666666665</v>
      </c>
      <c r="Q184" s="477">
        <v>0.32013888888888886</v>
      </c>
      <c r="R184" s="472">
        <f>IF(Table6[[#This Row],[Work Start TimeStamp]]="","",(Table6[[#This Row],[Work Start TimeStamp]]-Table6[[#This Row],[Fault Start TimeStamp]])*24)</f>
        <v>0</v>
      </c>
      <c r="S184" s="472">
        <f>(Table6[[#This Row],[Fault Clearance time]]-Table6[[#This Row],[Work Start TimeStamp]])*24</f>
        <v>8.3333333333333037E-2</v>
      </c>
      <c r="T184" s="472">
        <f>(Table6[[#This Row],[Fault Clearance time]]-Table6[[#This Row],[Fault Start TimeStamp]])*24</f>
        <v>8.3333333333333037E-2</v>
      </c>
      <c r="U184" s="35" t="s">
        <v>349</v>
      </c>
      <c r="V184" s="102" t="s">
        <v>293</v>
      </c>
      <c r="W184" s="478">
        <f>IFERROR(Table6[[#This Row],[Breakdown Time]]*Table6[[#This Row],[Plant Equivalent Weightage]],"")</f>
        <v>3.2051282051281929E-3</v>
      </c>
      <c r="X184" s="473" t="s">
        <v>294</v>
      </c>
      <c r="Y184" s="474" t="s">
        <v>85</v>
      </c>
      <c r="Z184" s="102">
        <v>25190</v>
      </c>
      <c r="AA184" s="468">
        <f>(Table6[[#This Row],[Paired WTG Generation for loss calculation]]/24)*Table6[[#This Row],[Breakdown Time]]</f>
        <v>87.465277777777459</v>
      </c>
      <c r="AB184" s="102"/>
      <c r="AC184" s="35"/>
      <c r="AD184" s="35"/>
    </row>
    <row r="185" spans="1:30">
      <c r="A185" s="102">
        <f t="shared" si="3"/>
        <v>184</v>
      </c>
      <c r="B185" s="468">
        <f>YEAR(Table6[[#This Row],[Date]])+IF(MONTH(Table6[[#This Row],[Date]])&gt;=4,1,0)</f>
        <v>2026</v>
      </c>
      <c r="C185" s="102">
        <f>YEAR(Table6[[#This Row],[Date]])</f>
        <v>2025</v>
      </c>
      <c r="D185" s="102" t="s">
        <v>1992</v>
      </c>
      <c r="E185" s="469">
        <f>Table6[[#This Row],[Date]]-DAY(Table6[[#This Row],[Date]])+1</f>
        <v>45748</v>
      </c>
      <c r="F185" s="470">
        <v>45760</v>
      </c>
      <c r="G185" s="35" t="s">
        <v>84</v>
      </c>
      <c r="H185" s="35" t="str">
        <f>IFERROR(_xlfn.XLOOKUP(Table6[[#This Row],[Affected WTG]],'Basic Data'!$A:$A,'Basic Data'!$B:$B),"")</f>
        <v>TQGXIIPL</v>
      </c>
      <c r="I185" s="35" t="str">
        <f>IFERROR(_xlfn.XLOOKUP(Table6[[#This Row],[Affected WTG]],'Basic Data'!$A:$A,'Basic Data'!$C:$C),"")</f>
        <v>GEDA</v>
      </c>
      <c r="J185" s="471">
        <f>IFERROR(_xlfn.XLOOKUP(Table6[[#This Row],[Affected WTG]],'Basic Data'!$A:$A,'Basic Data'!$E:$E),"")</f>
        <v>3.846153846153845E-2</v>
      </c>
      <c r="K185" s="102">
        <v>3211</v>
      </c>
      <c r="L185" s="35" t="str">
        <f>IFERROR(_xlfn.XLOOKUP(Table6[[#This Row],[Error Code]],'Basic Data'!$AA:$AA,'Basic Data'!$AB:$AB),"Incorrect Error Code")</f>
        <v>Conv. load shedding (CAN)</v>
      </c>
      <c r="M185" s="35" t="s">
        <v>291</v>
      </c>
      <c r="N185" s="475"/>
      <c r="O185" s="476">
        <v>0.3263888888888889</v>
      </c>
      <c r="P185" s="476">
        <v>0.3263888888888889</v>
      </c>
      <c r="Q185" s="477">
        <v>0.33194444444444443</v>
      </c>
      <c r="R185" s="472">
        <f>IF(Table6[[#This Row],[Work Start TimeStamp]]="","",(Table6[[#This Row],[Work Start TimeStamp]]-Table6[[#This Row],[Fault Start TimeStamp]])*24)</f>
        <v>0</v>
      </c>
      <c r="S185" s="472">
        <f>(Table6[[#This Row],[Fault Clearance time]]-Table6[[#This Row],[Work Start TimeStamp]])*24</f>
        <v>0.13333333333333286</v>
      </c>
      <c r="T185" s="472">
        <f>(Table6[[#This Row],[Fault Clearance time]]-Table6[[#This Row],[Fault Start TimeStamp]])*24</f>
        <v>0.13333333333333286</v>
      </c>
      <c r="U185" s="35" t="s">
        <v>349</v>
      </c>
      <c r="V185" s="102" t="s">
        <v>293</v>
      </c>
      <c r="W185" s="478">
        <f>IFERROR(Table6[[#This Row],[Breakdown Time]]*Table6[[#This Row],[Plant Equivalent Weightage]],"")</f>
        <v>5.1282051282051083E-3</v>
      </c>
      <c r="X185" s="473" t="s">
        <v>294</v>
      </c>
      <c r="Y185" s="474" t="s">
        <v>85</v>
      </c>
      <c r="Z185" s="102">
        <v>25190</v>
      </c>
      <c r="AA185" s="468">
        <f>(Table6[[#This Row],[Paired WTG Generation for loss calculation]]/24)*Table6[[#This Row],[Breakdown Time]]</f>
        <v>139.94444444444395</v>
      </c>
      <c r="AB185" s="102"/>
      <c r="AC185" s="35"/>
      <c r="AD185" s="35"/>
    </row>
    <row r="186" spans="1:30">
      <c r="A186" s="102">
        <f t="shared" si="3"/>
        <v>185</v>
      </c>
      <c r="B186" s="468">
        <f>YEAR(Table6[[#This Row],[Date]])+IF(MONTH(Table6[[#This Row],[Date]])&gt;=4,1,0)</f>
        <v>2026</v>
      </c>
      <c r="C186" s="102">
        <f>YEAR(Table6[[#This Row],[Date]])</f>
        <v>2025</v>
      </c>
      <c r="D186" s="102" t="s">
        <v>1992</v>
      </c>
      <c r="E186" s="469">
        <f>Table6[[#This Row],[Date]]-DAY(Table6[[#This Row],[Date]])+1</f>
        <v>45748</v>
      </c>
      <c r="F186" s="470">
        <v>45760</v>
      </c>
      <c r="G186" s="35" t="s">
        <v>84</v>
      </c>
      <c r="H186" s="35" t="str">
        <f>IFERROR(_xlfn.XLOOKUP(Table6[[#This Row],[Affected WTG]],'Basic Data'!$A:$A,'Basic Data'!$B:$B),"")</f>
        <v>TQGXIIPL</v>
      </c>
      <c r="I186" s="35" t="str">
        <f>IFERROR(_xlfn.XLOOKUP(Table6[[#This Row],[Affected WTG]],'Basic Data'!$A:$A,'Basic Data'!$C:$C),"")</f>
        <v>GEDA</v>
      </c>
      <c r="J186" s="471">
        <f>IFERROR(_xlfn.XLOOKUP(Table6[[#This Row],[Affected WTG]],'Basic Data'!$A:$A,'Basic Data'!$E:$E),"")</f>
        <v>3.846153846153845E-2</v>
      </c>
      <c r="K186" s="102">
        <v>55</v>
      </c>
      <c r="L186" s="35" t="str">
        <f>IFERROR(_xlfn.XLOOKUP(Table6[[#This Row],[Error Code]],'Basic Data'!$AA:$AA,'Basic Data'!$AB:$AB),"Incorrect Error Code")</f>
        <v>WTG shut down</v>
      </c>
      <c r="M186" s="35" t="s">
        <v>291</v>
      </c>
      <c r="N186" s="475"/>
      <c r="O186" s="476">
        <v>0.67222222222222228</v>
      </c>
      <c r="P186" s="476">
        <v>0.67222222222222228</v>
      </c>
      <c r="Q186" s="477">
        <v>0.69374999999999998</v>
      </c>
      <c r="R186" s="472">
        <f>IF(Table6[[#This Row],[Work Start TimeStamp]]="","",(Table6[[#This Row],[Work Start TimeStamp]]-Table6[[#This Row],[Fault Start TimeStamp]])*24)</f>
        <v>0</v>
      </c>
      <c r="S186" s="472">
        <f>(Table6[[#This Row],[Fault Clearance time]]-Table6[[#This Row],[Work Start TimeStamp]])*24</f>
        <v>0.51666666666666483</v>
      </c>
      <c r="T186" s="472">
        <f>(Table6[[#This Row],[Fault Clearance time]]-Table6[[#This Row],[Fault Start TimeStamp]])*24</f>
        <v>0.51666666666666483</v>
      </c>
      <c r="U186" s="35" t="s">
        <v>389</v>
      </c>
      <c r="V186" s="102" t="s">
        <v>293</v>
      </c>
      <c r="W186" s="478">
        <f>IFERROR(Table6[[#This Row],[Breakdown Time]]*Table6[[#This Row],[Plant Equivalent Weightage]],"")</f>
        <v>1.9871794871794794E-2</v>
      </c>
      <c r="X186" s="473" t="s">
        <v>290</v>
      </c>
      <c r="Y186" s="474" t="s">
        <v>85</v>
      </c>
      <c r="Z186" s="102">
        <v>25190</v>
      </c>
      <c r="AA186" s="468">
        <f>(Table6[[#This Row],[Paired WTG Generation for loss calculation]]/24)*Table6[[#This Row],[Breakdown Time]]</f>
        <v>542.28472222222024</v>
      </c>
      <c r="AB186" s="102"/>
      <c r="AC186" s="35"/>
      <c r="AD186" s="35"/>
    </row>
    <row r="187" spans="1:30">
      <c r="A187" s="102">
        <f t="shared" si="3"/>
        <v>186</v>
      </c>
      <c r="B187" s="468">
        <f>YEAR(Table6[[#This Row],[Date]])+IF(MONTH(Table6[[#This Row],[Date]])&gt;=4,1,0)</f>
        <v>2026</v>
      </c>
      <c r="C187" s="102">
        <f>YEAR(Table6[[#This Row],[Date]])</f>
        <v>2025</v>
      </c>
      <c r="D187" s="102" t="s">
        <v>1992</v>
      </c>
      <c r="E187" s="469">
        <f>Table6[[#This Row],[Date]]-DAY(Table6[[#This Row],[Date]])+1</f>
        <v>45748</v>
      </c>
      <c r="F187" s="470">
        <v>45760</v>
      </c>
      <c r="G187" s="35" t="s">
        <v>86</v>
      </c>
      <c r="H187" s="35" t="str">
        <f>IFERROR(_xlfn.XLOOKUP(Table6[[#This Row],[Affected WTG]],'Basic Data'!$A:$A,'Basic Data'!$B:$B),"")</f>
        <v>TQGXIIPL</v>
      </c>
      <c r="I187" s="35" t="str">
        <f>IFERROR(_xlfn.XLOOKUP(Table6[[#This Row],[Affected WTG]],'Basic Data'!$A:$A,'Basic Data'!$C:$C),"")</f>
        <v>GEDA</v>
      </c>
      <c r="J187" s="471">
        <f>IFERROR(_xlfn.XLOOKUP(Table6[[#This Row],[Affected WTG]],'Basic Data'!$A:$A,'Basic Data'!$E:$E),"")</f>
        <v>3.846153846153845E-2</v>
      </c>
      <c r="K187" s="102">
        <v>3211</v>
      </c>
      <c r="L187" s="35" t="str">
        <f>IFERROR(_xlfn.XLOOKUP(Table6[[#This Row],[Error Code]],'Basic Data'!$AA:$AA,'Basic Data'!$AB:$AB),"Incorrect Error Code")</f>
        <v>Conv. load shedding (CAN)</v>
      </c>
      <c r="M187" s="35" t="s">
        <v>291</v>
      </c>
      <c r="N187" s="475"/>
      <c r="O187" s="476">
        <v>0.31319444444444444</v>
      </c>
      <c r="P187" s="476">
        <v>0.31319444444444444</v>
      </c>
      <c r="Q187" s="477">
        <v>0.31597222222222221</v>
      </c>
      <c r="R187" s="472">
        <f>IF(Table6[[#This Row],[Work Start TimeStamp]]="","",(Table6[[#This Row],[Work Start TimeStamp]]-Table6[[#This Row],[Fault Start TimeStamp]])*24)</f>
        <v>0</v>
      </c>
      <c r="S187" s="472">
        <f>(Table6[[#This Row],[Fault Clearance time]]-Table6[[#This Row],[Work Start TimeStamp]])*24</f>
        <v>6.666666666666643E-2</v>
      </c>
      <c r="T187" s="472">
        <f>(Table6[[#This Row],[Fault Clearance time]]-Table6[[#This Row],[Fault Start TimeStamp]])*24</f>
        <v>6.666666666666643E-2</v>
      </c>
      <c r="U187" s="35" t="s">
        <v>349</v>
      </c>
      <c r="V187" s="102" t="s">
        <v>293</v>
      </c>
      <c r="W187" s="478">
        <f>IFERROR(Table6[[#This Row],[Breakdown Time]]*Table6[[#This Row],[Plant Equivalent Weightage]],"")</f>
        <v>2.5641025641025541E-3</v>
      </c>
      <c r="X187" s="473" t="s">
        <v>294</v>
      </c>
      <c r="Y187" s="474" t="s">
        <v>84</v>
      </c>
      <c r="Z187" s="102">
        <v>23698</v>
      </c>
      <c r="AA187" s="468">
        <f>(Table6[[#This Row],[Paired WTG Generation for loss calculation]]/24)*Table6[[#This Row],[Breakdown Time]]</f>
        <v>65.827777777777541</v>
      </c>
      <c r="AB187" s="102"/>
      <c r="AC187" s="35"/>
      <c r="AD187" s="35"/>
    </row>
    <row r="188" spans="1:30">
      <c r="A188" s="102">
        <f t="shared" si="3"/>
        <v>187</v>
      </c>
      <c r="B188" s="468">
        <f>YEAR(Table6[[#This Row],[Date]])+IF(MONTH(Table6[[#This Row],[Date]])&gt;=4,1,0)</f>
        <v>2026</v>
      </c>
      <c r="C188" s="102">
        <f>YEAR(Table6[[#This Row],[Date]])</f>
        <v>2025</v>
      </c>
      <c r="D188" s="102" t="s">
        <v>1992</v>
      </c>
      <c r="E188" s="469">
        <f>Table6[[#This Row],[Date]]-DAY(Table6[[#This Row],[Date]])+1</f>
        <v>45748</v>
      </c>
      <c r="F188" s="470">
        <v>45760</v>
      </c>
      <c r="G188" s="35" t="s">
        <v>86</v>
      </c>
      <c r="H188" s="35" t="str">
        <f>IFERROR(_xlfn.XLOOKUP(Table6[[#This Row],[Affected WTG]],'Basic Data'!$A:$A,'Basic Data'!$B:$B),"")</f>
        <v>TQGXIIPL</v>
      </c>
      <c r="I188" s="35" t="str">
        <f>IFERROR(_xlfn.XLOOKUP(Table6[[#This Row],[Affected WTG]],'Basic Data'!$A:$A,'Basic Data'!$C:$C),"")</f>
        <v>GEDA</v>
      </c>
      <c r="J188" s="471">
        <f>IFERROR(_xlfn.XLOOKUP(Table6[[#This Row],[Affected WTG]],'Basic Data'!$A:$A,'Basic Data'!$E:$E),"")</f>
        <v>3.846153846153845E-2</v>
      </c>
      <c r="K188" s="102">
        <v>3211</v>
      </c>
      <c r="L188" s="35" t="str">
        <f>IFERROR(_xlfn.XLOOKUP(Table6[[#This Row],[Error Code]],'Basic Data'!$AA:$AA,'Basic Data'!$AB:$AB),"Incorrect Error Code")</f>
        <v>Conv. load shedding (CAN)</v>
      </c>
      <c r="M188" s="35" t="s">
        <v>291</v>
      </c>
      <c r="N188" s="475"/>
      <c r="O188" s="476">
        <v>0.32013888888888886</v>
      </c>
      <c r="P188" s="476">
        <v>0.32013888888888886</v>
      </c>
      <c r="Q188" s="477">
        <v>0.32291666666666669</v>
      </c>
      <c r="R188" s="472">
        <f>IF(Table6[[#This Row],[Work Start TimeStamp]]="","",(Table6[[#This Row],[Work Start TimeStamp]]-Table6[[#This Row],[Fault Start TimeStamp]])*24)</f>
        <v>0</v>
      </c>
      <c r="S188" s="472">
        <f>(Table6[[#This Row],[Fault Clearance time]]-Table6[[#This Row],[Work Start TimeStamp]])*24</f>
        <v>6.6666666666667762E-2</v>
      </c>
      <c r="T188" s="472">
        <f>(Table6[[#This Row],[Fault Clearance time]]-Table6[[#This Row],[Fault Start TimeStamp]])*24</f>
        <v>6.6666666666667762E-2</v>
      </c>
      <c r="U188" s="35" t="s">
        <v>349</v>
      </c>
      <c r="V188" s="102" t="s">
        <v>293</v>
      </c>
      <c r="W188" s="478">
        <f>IFERROR(Table6[[#This Row],[Breakdown Time]]*Table6[[#This Row],[Plant Equivalent Weightage]],"")</f>
        <v>2.5641025641026053E-3</v>
      </c>
      <c r="X188" s="473" t="s">
        <v>294</v>
      </c>
      <c r="Y188" s="474" t="s">
        <v>84</v>
      </c>
      <c r="Z188" s="102">
        <v>23698</v>
      </c>
      <c r="AA188" s="468">
        <f>(Table6[[#This Row],[Paired WTG Generation for loss calculation]]/24)*Table6[[#This Row],[Breakdown Time]]</f>
        <v>65.827777777778863</v>
      </c>
      <c r="AB188" s="102"/>
      <c r="AC188" s="35"/>
      <c r="AD188" s="35"/>
    </row>
    <row r="189" spans="1:30">
      <c r="A189" s="102">
        <f t="shared" si="3"/>
        <v>188</v>
      </c>
      <c r="B189" s="468">
        <f>YEAR(Table6[[#This Row],[Date]])+IF(MONTH(Table6[[#This Row],[Date]])&gt;=4,1,0)</f>
        <v>2026</v>
      </c>
      <c r="C189" s="102">
        <f>YEAR(Table6[[#This Row],[Date]])</f>
        <v>2025</v>
      </c>
      <c r="D189" s="102" t="s">
        <v>1992</v>
      </c>
      <c r="E189" s="469">
        <f>Table6[[#This Row],[Date]]-DAY(Table6[[#This Row],[Date]])+1</f>
        <v>45748</v>
      </c>
      <c r="F189" s="470">
        <v>45760</v>
      </c>
      <c r="G189" s="35" t="s">
        <v>86</v>
      </c>
      <c r="H189" s="35" t="str">
        <f>IFERROR(_xlfn.XLOOKUP(Table6[[#This Row],[Affected WTG]],'Basic Data'!$A:$A,'Basic Data'!$B:$B),"")</f>
        <v>TQGXIIPL</v>
      </c>
      <c r="I189" s="35" t="str">
        <f>IFERROR(_xlfn.XLOOKUP(Table6[[#This Row],[Affected WTG]],'Basic Data'!$A:$A,'Basic Data'!$C:$C),"")</f>
        <v>GEDA</v>
      </c>
      <c r="J189" s="471">
        <f>IFERROR(_xlfn.XLOOKUP(Table6[[#This Row],[Affected WTG]],'Basic Data'!$A:$A,'Basic Data'!$E:$E),"")</f>
        <v>3.846153846153845E-2</v>
      </c>
      <c r="K189" s="102">
        <v>6130</v>
      </c>
      <c r="L189" s="35" t="str">
        <f>IFERROR(_xlfn.XLOOKUP(Table6[[#This Row],[Error Code]],'Basic Data'!$AA:$AA,'Basic Data'!$AB:$AB),"Incorrect Error Code")</f>
        <v>Yaw speed high</v>
      </c>
      <c r="M189" s="35" t="s">
        <v>291</v>
      </c>
      <c r="N189" s="475"/>
      <c r="O189" s="476">
        <v>0.69722222222222219</v>
      </c>
      <c r="P189" s="476">
        <v>0.69722222222222219</v>
      </c>
      <c r="Q189" s="477">
        <v>0.70138888888888884</v>
      </c>
      <c r="R189" s="472">
        <f>IF(Table6[[#This Row],[Work Start TimeStamp]]="","",(Table6[[#This Row],[Work Start TimeStamp]]-Table6[[#This Row],[Fault Start TimeStamp]])*24)</f>
        <v>0</v>
      </c>
      <c r="S189" s="472">
        <f>(Table6[[#This Row],[Fault Clearance time]]-Table6[[#This Row],[Work Start TimeStamp]])*24</f>
        <v>9.9999999999999645E-2</v>
      </c>
      <c r="T189" s="472">
        <f>(Table6[[#This Row],[Fault Clearance time]]-Table6[[#This Row],[Fault Start TimeStamp]])*24</f>
        <v>9.9999999999999645E-2</v>
      </c>
      <c r="U189" s="35" t="s">
        <v>349</v>
      </c>
      <c r="V189" s="102" t="s">
        <v>293</v>
      </c>
      <c r="W189" s="478">
        <f>IFERROR(Table6[[#This Row],[Breakdown Time]]*Table6[[#This Row],[Plant Equivalent Weightage]],"")</f>
        <v>3.8461538461538312E-3</v>
      </c>
      <c r="X189" s="473" t="s">
        <v>294</v>
      </c>
      <c r="Y189" s="474" t="s">
        <v>84</v>
      </c>
      <c r="Z189" s="102">
        <v>23698</v>
      </c>
      <c r="AA189" s="468">
        <f>(Table6[[#This Row],[Paired WTG Generation for loss calculation]]/24)*Table6[[#This Row],[Breakdown Time]]</f>
        <v>98.741666666666319</v>
      </c>
      <c r="AB189" s="102"/>
      <c r="AC189" s="35"/>
      <c r="AD189" s="35"/>
    </row>
    <row r="190" spans="1:30">
      <c r="A190" s="102">
        <f t="shared" si="3"/>
        <v>189</v>
      </c>
      <c r="B190" s="468">
        <f>YEAR(Table6[[#This Row],[Date]])+IF(MONTH(Table6[[#This Row],[Date]])&gt;=4,1,0)</f>
        <v>2026</v>
      </c>
      <c r="C190" s="102">
        <f>YEAR(Table6[[#This Row],[Date]])</f>
        <v>2025</v>
      </c>
      <c r="D190" s="102" t="s">
        <v>1992</v>
      </c>
      <c r="E190" s="469">
        <f>Table6[[#This Row],[Date]]-DAY(Table6[[#This Row],[Date]])+1</f>
        <v>45748</v>
      </c>
      <c r="F190" s="470">
        <v>45760</v>
      </c>
      <c r="G190" s="35" t="s">
        <v>86</v>
      </c>
      <c r="H190" s="35" t="str">
        <f>IFERROR(_xlfn.XLOOKUP(Table6[[#This Row],[Affected WTG]],'Basic Data'!$A:$A,'Basic Data'!$B:$B),"")</f>
        <v>TQGXIIPL</v>
      </c>
      <c r="I190" s="35" t="str">
        <f>IFERROR(_xlfn.XLOOKUP(Table6[[#This Row],[Affected WTG]],'Basic Data'!$A:$A,'Basic Data'!$C:$C),"")</f>
        <v>GEDA</v>
      </c>
      <c r="J190" s="471">
        <f>IFERROR(_xlfn.XLOOKUP(Table6[[#This Row],[Affected WTG]],'Basic Data'!$A:$A,'Basic Data'!$E:$E),"")</f>
        <v>3.846153846153845E-2</v>
      </c>
      <c r="K190" s="102">
        <v>55</v>
      </c>
      <c r="L190" s="35" t="str">
        <f>IFERROR(_xlfn.XLOOKUP(Table6[[#This Row],[Error Code]],'Basic Data'!$AA:$AA,'Basic Data'!$AB:$AB),"Incorrect Error Code")</f>
        <v>WTG shut down</v>
      </c>
      <c r="M190" s="35" t="s">
        <v>330</v>
      </c>
      <c r="N190" s="475"/>
      <c r="O190" s="476">
        <v>0.76875000000000004</v>
      </c>
      <c r="P190" s="476">
        <v>0.76875000000000004</v>
      </c>
      <c r="Q190" s="477">
        <v>0.80625000000000002</v>
      </c>
      <c r="R190" s="472">
        <f>IF(Table6[[#This Row],[Work Start TimeStamp]]="","",(Table6[[#This Row],[Work Start TimeStamp]]-Table6[[#This Row],[Fault Start TimeStamp]])*24)</f>
        <v>0</v>
      </c>
      <c r="S190" s="472">
        <f>(Table6[[#This Row],[Fault Clearance time]]-Table6[[#This Row],[Work Start TimeStamp]])*24</f>
        <v>0.89999999999999947</v>
      </c>
      <c r="T190" s="472">
        <f>(Table6[[#This Row],[Fault Clearance time]]-Table6[[#This Row],[Fault Start TimeStamp]])*24</f>
        <v>0.89999999999999947</v>
      </c>
      <c r="U190" s="35" t="s">
        <v>337</v>
      </c>
      <c r="V190" s="102" t="s">
        <v>293</v>
      </c>
      <c r="W190" s="478">
        <f>IFERROR(Table6[[#This Row],[Breakdown Time]]*Table6[[#This Row],[Plant Equivalent Weightage]],"")</f>
        <v>3.4615384615384583E-2</v>
      </c>
      <c r="X190" s="473" t="s">
        <v>290</v>
      </c>
      <c r="Y190" s="474" t="s">
        <v>84</v>
      </c>
      <c r="Z190" s="102">
        <v>23698</v>
      </c>
      <c r="AA190" s="468">
        <f>(Table6[[#This Row],[Paired WTG Generation for loss calculation]]/24)*Table6[[#This Row],[Breakdown Time]]</f>
        <v>888.67499999999939</v>
      </c>
      <c r="AB190" s="102"/>
      <c r="AC190" s="35"/>
      <c r="AD190" s="35"/>
    </row>
    <row r="191" spans="1:30">
      <c r="A191" s="102">
        <f t="shared" si="3"/>
        <v>190</v>
      </c>
      <c r="B191" s="468">
        <f>YEAR(Table6[[#This Row],[Date]])+IF(MONTH(Table6[[#This Row],[Date]])&gt;=4,1,0)</f>
        <v>2026</v>
      </c>
      <c r="C191" s="102">
        <f>YEAR(Table6[[#This Row],[Date]])</f>
        <v>2025</v>
      </c>
      <c r="D191" s="102" t="s">
        <v>1992</v>
      </c>
      <c r="E191" s="469">
        <f>Table6[[#This Row],[Date]]-DAY(Table6[[#This Row],[Date]])+1</f>
        <v>45748</v>
      </c>
      <c r="F191" s="470">
        <v>45760</v>
      </c>
      <c r="G191" s="35" t="s">
        <v>86</v>
      </c>
      <c r="H191" s="35" t="str">
        <f>IFERROR(_xlfn.XLOOKUP(Table6[[#This Row],[Affected WTG]],'Basic Data'!$A:$A,'Basic Data'!$B:$B),"")</f>
        <v>TQGXIIPL</v>
      </c>
      <c r="I191" s="35" t="str">
        <f>IFERROR(_xlfn.XLOOKUP(Table6[[#This Row],[Affected WTG]],'Basic Data'!$A:$A,'Basic Data'!$C:$C),"")</f>
        <v>GEDA</v>
      </c>
      <c r="J191" s="471">
        <f>IFERROR(_xlfn.XLOOKUP(Table6[[#This Row],[Affected WTG]],'Basic Data'!$A:$A,'Basic Data'!$E:$E),"")</f>
        <v>3.846153846153845E-2</v>
      </c>
      <c r="K191" s="102">
        <v>55</v>
      </c>
      <c r="L191" s="35" t="str">
        <f>IFERROR(_xlfn.XLOOKUP(Table6[[#This Row],[Error Code]],'Basic Data'!$AA:$AA,'Basic Data'!$AB:$AB),"Incorrect Error Code")</f>
        <v>WTG shut down</v>
      </c>
      <c r="M191" s="35" t="s">
        <v>330</v>
      </c>
      <c r="N191" s="475"/>
      <c r="O191" s="476">
        <v>0.84236111111111112</v>
      </c>
      <c r="P191" s="476">
        <v>0.84236111111111112</v>
      </c>
      <c r="Q191" s="477">
        <v>1</v>
      </c>
      <c r="R191" s="472">
        <f>IF(Table6[[#This Row],[Work Start TimeStamp]]="","",(Table6[[#This Row],[Work Start TimeStamp]]-Table6[[#This Row],[Fault Start TimeStamp]])*24)</f>
        <v>0</v>
      </c>
      <c r="S191" s="472">
        <f>(Table6[[#This Row],[Fault Clearance time]]-Table6[[#This Row],[Work Start TimeStamp]])*24</f>
        <v>3.7833333333333332</v>
      </c>
      <c r="T191" s="472">
        <f>(Table6[[#This Row],[Fault Clearance time]]-Table6[[#This Row],[Fault Start TimeStamp]])*24</f>
        <v>3.7833333333333332</v>
      </c>
      <c r="U191" s="35" t="s">
        <v>337</v>
      </c>
      <c r="V191" s="102" t="s">
        <v>293</v>
      </c>
      <c r="W191" s="478">
        <f>IFERROR(Table6[[#This Row],[Breakdown Time]]*Table6[[#This Row],[Plant Equivalent Weightage]],"")</f>
        <v>0.14551282051282047</v>
      </c>
      <c r="X191" s="473" t="s">
        <v>290</v>
      </c>
      <c r="Y191" s="474" t="s">
        <v>84</v>
      </c>
      <c r="Z191" s="102">
        <v>23698</v>
      </c>
      <c r="AA191" s="468">
        <f>(Table6[[#This Row],[Paired WTG Generation for loss calculation]]/24)*Table6[[#This Row],[Breakdown Time]]</f>
        <v>3735.7263888888888</v>
      </c>
      <c r="AB191" s="102"/>
      <c r="AC191" s="35"/>
      <c r="AD191" s="35"/>
    </row>
    <row r="192" spans="1:30">
      <c r="A192" s="102">
        <f t="shared" si="3"/>
        <v>191</v>
      </c>
      <c r="B192" s="468">
        <f>YEAR(Table6[[#This Row],[Date]])+IF(MONTH(Table6[[#This Row],[Date]])&gt;=4,1,0)</f>
        <v>2026</v>
      </c>
      <c r="C192" s="102">
        <f>YEAR(Table6[[#This Row],[Date]])</f>
        <v>2025</v>
      </c>
      <c r="D192" s="102" t="s">
        <v>1992</v>
      </c>
      <c r="E192" s="469">
        <f>Table6[[#This Row],[Date]]-DAY(Table6[[#This Row],[Date]])+1</f>
        <v>45748</v>
      </c>
      <c r="F192" s="470">
        <v>45760</v>
      </c>
      <c r="G192" s="35" t="s">
        <v>87</v>
      </c>
      <c r="H192" s="35" t="str">
        <f>IFERROR(_xlfn.XLOOKUP(Table6[[#This Row],[Affected WTG]],'Basic Data'!$A:$A,'Basic Data'!$B:$B),"")</f>
        <v>TQGXIIPL</v>
      </c>
      <c r="I192" s="35" t="str">
        <f>IFERROR(_xlfn.XLOOKUP(Table6[[#This Row],[Affected WTG]],'Basic Data'!$A:$A,'Basic Data'!$C:$C),"")</f>
        <v>GEDA</v>
      </c>
      <c r="J192" s="471">
        <f>IFERROR(_xlfn.XLOOKUP(Table6[[#This Row],[Affected WTG]],'Basic Data'!$A:$A,'Basic Data'!$E:$E),"")</f>
        <v>3.846153846153845E-2</v>
      </c>
      <c r="K192" s="102">
        <v>3211</v>
      </c>
      <c r="L192" s="35" t="str">
        <f>IFERROR(_xlfn.XLOOKUP(Table6[[#This Row],[Error Code]],'Basic Data'!$AA:$AA,'Basic Data'!$AB:$AB),"Incorrect Error Code")</f>
        <v>Conv. load shedding (CAN)</v>
      </c>
      <c r="M192" s="35" t="s">
        <v>291</v>
      </c>
      <c r="N192" s="475"/>
      <c r="O192" s="476">
        <v>0.31319444444444444</v>
      </c>
      <c r="P192" s="476">
        <v>0.31319444444444444</v>
      </c>
      <c r="Q192" s="477">
        <v>0.31666666666666665</v>
      </c>
      <c r="R192" s="472">
        <f>IF(Table6[[#This Row],[Work Start TimeStamp]]="","",(Table6[[#This Row],[Work Start TimeStamp]]-Table6[[#This Row],[Fault Start TimeStamp]])*24)</f>
        <v>0</v>
      </c>
      <c r="S192" s="472">
        <f>(Table6[[#This Row],[Fault Clearance time]]-Table6[[#This Row],[Work Start TimeStamp]])*24</f>
        <v>8.3333333333333037E-2</v>
      </c>
      <c r="T192" s="472">
        <f>(Table6[[#This Row],[Fault Clearance time]]-Table6[[#This Row],[Fault Start TimeStamp]])*24</f>
        <v>8.3333333333333037E-2</v>
      </c>
      <c r="U192" s="35" t="s">
        <v>349</v>
      </c>
      <c r="V192" s="102" t="s">
        <v>293</v>
      </c>
      <c r="W192" s="478">
        <f>IFERROR(Table6[[#This Row],[Breakdown Time]]*Table6[[#This Row],[Plant Equivalent Weightage]],"")</f>
        <v>3.2051282051281929E-3</v>
      </c>
      <c r="X192" s="473" t="s">
        <v>294</v>
      </c>
      <c r="Y192" s="474" t="s">
        <v>85</v>
      </c>
      <c r="Z192" s="102">
        <v>25190</v>
      </c>
      <c r="AA192" s="468">
        <f>(Table6[[#This Row],[Paired WTG Generation for loss calculation]]/24)*Table6[[#This Row],[Breakdown Time]]</f>
        <v>87.465277777777459</v>
      </c>
      <c r="AB192" s="102"/>
      <c r="AC192" s="35"/>
      <c r="AD192" s="35"/>
    </row>
    <row r="193" spans="1:30">
      <c r="A193" s="102">
        <f t="shared" si="3"/>
        <v>192</v>
      </c>
      <c r="B193" s="468">
        <f>YEAR(Table6[[#This Row],[Date]])+IF(MONTH(Table6[[#This Row],[Date]])&gt;=4,1,0)</f>
        <v>2026</v>
      </c>
      <c r="C193" s="102">
        <f>YEAR(Table6[[#This Row],[Date]])</f>
        <v>2025</v>
      </c>
      <c r="D193" s="102" t="s">
        <v>1992</v>
      </c>
      <c r="E193" s="469">
        <f>Table6[[#This Row],[Date]]-DAY(Table6[[#This Row],[Date]])+1</f>
        <v>45748</v>
      </c>
      <c r="F193" s="470">
        <v>45760</v>
      </c>
      <c r="G193" s="35" t="s">
        <v>87</v>
      </c>
      <c r="H193" s="35" t="str">
        <f>IFERROR(_xlfn.XLOOKUP(Table6[[#This Row],[Affected WTG]],'Basic Data'!$A:$A,'Basic Data'!$B:$B),"")</f>
        <v>TQGXIIPL</v>
      </c>
      <c r="I193" s="35" t="str">
        <f>IFERROR(_xlfn.XLOOKUP(Table6[[#This Row],[Affected WTG]],'Basic Data'!$A:$A,'Basic Data'!$C:$C),"")</f>
        <v>GEDA</v>
      </c>
      <c r="J193" s="471">
        <f>IFERROR(_xlfn.XLOOKUP(Table6[[#This Row],[Affected WTG]],'Basic Data'!$A:$A,'Basic Data'!$E:$E),"")</f>
        <v>3.846153846153845E-2</v>
      </c>
      <c r="K193" s="102">
        <v>3211</v>
      </c>
      <c r="L193" s="35" t="str">
        <f>IFERROR(_xlfn.XLOOKUP(Table6[[#This Row],[Error Code]],'Basic Data'!$AA:$AA,'Basic Data'!$AB:$AB),"Incorrect Error Code")</f>
        <v>Conv. load shedding (CAN)</v>
      </c>
      <c r="M193" s="35" t="s">
        <v>291</v>
      </c>
      <c r="N193" s="475"/>
      <c r="O193" s="476">
        <v>0.31944444444444442</v>
      </c>
      <c r="P193" s="476">
        <v>0.31944444444444442</v>
      </c>
      <c r="Q193" s="477">
        <v>0.32569444444444445</v>
      </c>
      <c r="R193" s="472">
        <f>IF(Table6[[#This Row],[Work Start TimeStamp]]="","",(Table6[[#This Row],[Work Start TimeStamp]]-Table6[[#This Row],[Fault Start TimeStamp]])*24)</f>
        <v>0</v>
      </c>
      <c r="S193" s="472">
        <f>(Table6[[#This Row],[Fault Clearance time]]-Table6[[#This Row],[Work Start TimeStamp]])*24</f>
        <v>0.1500000000000008</v>
      </c>
      <c r="T193" s="472">
        <f>(Table6[[#This Row],[Fault Clearance time]]-Table6[[#This Row],[Fault Start TimeStamp]])*24</f>
        <v>0.1500000000000008</v>
      </c>
      <c r="U193" s="35" t="s">
        <v>349</v>
      </c>
      <c r="V193" s="102" t="s">
        <v>293</v>
      </c>
      <c r="W193" s="478">
        <f>IFERROR(Table6[[#This Row],[Breakdown Time]]*Table6[[#This Row],[Plant Equivalent Weightage]],"")</f>
        <v>5.7692307692307982E-3</v>
      </c>
      <c r="X193" s="473" t="s">
        <v>294</v>
      </c>
      <c r="Y193" s="474" t="s">
        <v>85</v>
      </c>
      <c r="Z193" s="102">
        <v>25190</v>
      </c>
      <c r="AA193" s="468">
        <f>(Table6[[#This Row],[Paired WTG Generation for loss calculation]]/24)*Table6[[#This Row],[Breakdown Time]]</f>
        <v>157.43750000000082</v>
      </c>
      <c r="AB193" s="102"/>
      <c r="AC193" s="35"/>
      <c r="AD193" s="35"/>
    </row>
    <row r="194" spans="1:30">
      <c r="A194" s="102">
        <f t="shared" si="3"/>
        <v>193</v>
      </c>
      <c r="B194" s="468">
        <f>YEAR(Table6[[#This Row],[Date]])+IF(MONTH(Table6[[#This Row],[Date]])&gt;=4,1,0)</f>
        <v>2026</v>
      </c>
      <c r="C194" s="102">
        <f>YEAR(Table6[[#This Row],[Date]])</f>
        <v>2025</v>
      </c>
      <c r="D194" s="102" t="s">
        <v>1992</v>
      </c>
      <c r="E194" s="469">
        <f>Table6[[#This Row],[Date]]-DAY(Table6[[#This Row],[Date]])+1</f>
        <v>45748</v>
      </c>
      <c r="F194" s="470">
        <v>45760</v>
      </c>
      <c r="G194" s="35" t="s">
        <v>87</v>
      </c>
      <c r="H194" s="35" t="str">
        <f>IFERROR(_xlfn.XLOOKUP(Table6[[#This Row],[Affected WTG]],'Basic Data'!$A:$A,'Basic Data'!$B:$B),"")</f>
        <v>TQGXIIPL</v>
      </c>
      <c r="I194" s="35" t="str">
        <f>IFERROR(_xlfn.XLOOKUP(Table6[[#This Row],[Affected WTG]],'Basic Data'!$A:$A,'Basic Data'!$C:$C),"")</f>
        <v>GEDA</v>
      </c>
      <c r="J194" s="471">
        <f>IFERROR(_xlfn.XLOOKUP(Table6[[#This Row],[Affected WTG]],'Basic Data'!$A:$A,'Basic Data'!$E:$E),"")</f>
        <v>3.846153846153845E-2</v>
      </c>
      <c r="K194" s="102">
        <v>55</v>
      </c>
      <c r="L194" s="35" t="str">
        <f>IFERROR(_xlfn.XLOOKUP(Table6[[#This Row],[Error Code]],'Basic Data'!$AA:$AA,'Basic Data'!$AB:$AB),"Incorrect Error Code")</f>
        <v>WTG shut down</v>
      </c>
      <c r="M194" s="35" t="s">
        <v>291</v>
      </c>
      <c r="N194" s="475"/>
      <c r="O194" s="476">
        <v>0.6381944444444444</v>
      </c>
      <c r="P194" s="476">
        <v>0.6381944444444444</v>
      </c>
      <c r="Q194" s="477">
        <v>0.65694444444444444</v>
      </c>
      <c r="R194" s="472">
        <f>IF(Table6[[#This Row],[Work Start TimeStamp]]="","",(Table6[[#This Row],[Work Start TimeStamp]]-Table6[[#This Row],[Fault Start TimeStamp]])*24)</f>
        <v>0</v>
      </c>
      <c r="S194" s="472">
        <f>(Table6[[#This Row],[Fault Clearance time]]-Table6[[#This Row],[Work Start TimeStamp]])*24</f>
        <v>0.45000000000000107</v>
      </c>
      <c r="T194" s="472">
        <f>(Table6[[#This Row],[Fault Clearance time]]-Table6[[#This Row],[Fault Start TimeStamp]])*24</f>
        <v>0.45000000000000107</v>
      </c>
      <c r="U194" s="35" t="s">
        <v>389</v>
      </c>
      <c r="V194" s="102" t="s">
        <v>293</v>
      </c>
      <c r="W194" s="478">
        <f>IFERROR(Table6[[#This Row],[Breakdown Time]]*Table6[[#This Row],[Plant Equivalent Weightage]],"")</f>
        <v>1.7307692307692343E-2</v>
      </c>
      <c r="X194" s="473" t="s">
        <v>290</v>
      </c>
      <c r="Y194" s="474" t="s">
        <v>85</v>
      </c>
      <c r="Z194" s="102">
        <v>25190</v>
      </c>
      <c r="AA194" s="468">
        <f>(Table6[[#This Row],[Paired WTG Generation for loss calculation]]/24)*Table6[[#This Row],[Breakdown Time]]</f>
        <v>472.31250000000108</v>
      </c>
      <c r="AB194" s="102"/>
      <c r="AC194" s="35"/>
      <c r="AD194" s="35"/>
    </row>
    <row r="195" spans="1:30">
      <c r="A195" s="102">
        <f t="shared" si="3"/>
        <v>194</v>
      </c>
      <c r="B195" s="468">
        <f>YEAR(Table6[[#This Row],[Date]])+IF(MONTH(Table6[[#This Row],[Date]])&gt;=4,1,0)</f>
        <v>2026</v>
      </c>
      <c r="C195" s="102">
        <f>YEAR(Table6[[#This Row],[Date]])</f>
        <v>2025</v>
      </c>
      <c r="D195" s="102" t="s">
        <v>1992</v>
      </c>
      <c r="E195" s="469">
        <f>Table6[[#This Row],[Date]]-DAY(Table6[[#This Row],[Date]])+1</f>
        <v>45748</v>
      </c>
      <c r="F195" s="470">
        <v>45760</v>
      </c>
      <c r="G195" s="35" t="s">
        <v>88</v>
      </c>
      <c r="H195" s="35" t="str">
        <f>IFERROR(_xlfn.XLOOKUP(Table6[[#This Row],[Affected WTG]],'Basic Data'!$A:$A,'Basic Data'!$B:$B),"")</f>
        <v>TQGXIIPL</v>
      </c>
      <c r="I195" s="35" t="str">
        <f>IFERROR(_xlfn.XLOOKUP(Table6[[#This Row],[Affected WTG]],'Basic Data'!$A:$A,'Basic Data'!$C:$C),"")</f>
        <v>GEDA</v>
      </c>
      <c r="J195" s="471">
        <f>IFERROR(_xlfn.XLOOKUP(Table6[[#This Row],[Affected WTG]],'Basic Data'!$A:$A,'Basic Data'!$E:$E),"")</f>
        <v>3.846153846153845E-2</v>
      </c>
      <c r="K195" s="102">
        <v>55</v>
      </c>
      <c r="L195" s="35" t="str">
        <f>IFERROR(_xlfn.XLOOKUP(Table6[[#This Row],[Error Code]],'Basic Data'!$AA:$AA,'Basic Data'!$AB:$AB),"Incorrect Error Code")</f>
        <v>WTG shut down</v>
      </c>
      <c r="M195" s="35" t="s">
        <v>304</v>
      </c>
      <c r="N195" s="475"/>
      <c r="O195" s="476">
        <v>0.33402777777777776</v>
      </c>
      <c r="P195" s="476">
        <v>0.33402777777777776</v>
      </c>
      <c r="Q195" s="477">
        <v>0.62986111111111109</v>
      </c>
      <c r="R195" s="472">
        <f>IF(Table6[[#This Row],[Work Start TimeStamp]]="","",(Table6[[#This Row],[Work Start TimeStamp]]-Table6[[#This Row],[Fault Start TimeStamp]])*24)</f>
        <v>0</v>
      </c>
      <c r="S195" s="472">
        <f>(Table6[[#This Row],[Fault Clearance time]]-Table6[[#This Row],[Work Start TimeStamp]])*24</f>
        <v>7.1</v>
      </c>
      <c r="T195" s="472">
        <f>(Table6[[#This Row],[Fault Clearance time]]-Table6[[#This Row],[Fault Start TimeStamp]])*24</f>
        <v>7.1</v>
      </c>
      <c r="U195" s="35" t="s">
        <v>351</v>
      </c>
      <c r="V195" s="102" t="s">
        <v>293</v>
      </c>
      <c r="W195" s="478">
        <f>IFERROR(Table6[[#This Row],[Breakdown Time]]*Table6[[#This Row],[Plant Equivalent Weightage]],"")</f>
        <v>0.27307692307692299</v>
      </c>
      <c r="X195" s="473" t="s">
        <v>305</v>
      </c>
      <c r="Y195" s="474" t="s">
        <v>83</v>
      </c>
      <c r="Z195" s="102">
        <v>25909</v>
      </c>
      <c r="AA195" s="468">
        <f>(Table6[[#This Row],[Paired WTG Generation for loss calculation]]/24)*Table6[[#This Row],[Breakdown Time]]</f>
        <v>7664.7458333333334</v>
      </c>
      <c r="AB195" s="102"/>
      <c r="AC195" s="35"/>
      <c r="AD195" s="35"/>
    </row>
    <row r="196" spans="1:30">
      <c r="A196" s="102">
        <f t="shared" si="3"/>
        <v>195</v>
      </c>
      <c r="B196" s="468">
        <f>YEAR(Table6[[#This Row],[Date]])+IF(MONTH(Table6[[#This Row],[Date]])&gt;=4,1,0)</f>
        <v>2026</v>
      </c>
      <c r="C196" s="102">
        <f>YEAR(Table6[[#This Row],[Date]])</f>
        <v>2025</v>
      </c>
      <c r="D196" s="102" t="s">
        <v>1992</v>
      </c>
      <c r="E196" s="469">
        <f>Table6[[#This Row],[Date]]-DAY(Table6[[#This Row],[Date]])+1</f>
        <v>45748</v>
      </c>
      <c r="F196" s="470">
        <v>45760</v>
      </c>
      <c r="G196" s="35" t="s">
        <v>90</v>
      </c>
      <c r="H196" s="35" t="str">
        <f>IFERROR(_xlfn.XLOOKUP(Table6[[#This Row],[Affected WTG]],'Basic Data'!$A:$A,'Basic Data'!$B:$B),"")</f>
        <v>TQGXIIPL</v>
      </c>
      <c r="I196" s="35" t="str">
        <f>IFERROR(_xlfn.XLOOKUP(Table6[[#This Row],[Affected WTG]],'Basic Data'!$A:$A,'Basic Data'!$C:$C),"")</f>
        <v>GEDA</v>
      </c>
      <c r="J196" s="471">
        <f>IFERROR(_xlfn.XLOOKUP(Table6[[#This Row],[Affected WTG]],'Basic Data'!$A:$A,'Basic Data'!$E:$E),"")</f>
        <v>3.846153846153845E-2</v>
      </c>
      <c r="K196" s="102">
        <v>3211</v>
      </c>
      <c r="L196" s="35" t="str">
        <f>IFERROR(_xlfn.XLOOKUP(Table6[[#This Row],[Error Code]],'Basic Data'!$AA:$AA,'Basic Data'!$AB:$AB),"Incorrect Error Code")</f>
        <v>Conv. load shedding (CAN)</v>
      </c>
      <c r="M196" s="35" t="s">
        <v>291</v>
      </c>
      <c r="N196" s="475"/>
      <c r="O196" s="476">
        <v>0.91319444444444442</v>
      </c>
      <c r="P196" s="476">
        <v>0.91319444444444442</v>
      </c>
      <c r="Q196" s="477">
        <v>0.9194444444444444</v>
      </c>
      <c r="R196" s="472">
        <f>IF(Table6[[#This Row],[Work Start TimeStamp]]="","",(Table6[[#This Row],[Work Start TimeStamp]]-Table6[[#This Row],[Fault Start TimeStamp]])*24)</f>
        <v>0</v>
      </c>
      <c r="S196" s="472">
        <f>(Table6[[#This Row],[Fault Clearance time]]-Table6[[#This Row],[Work Start TimeStamp]])*24</f>
        <v>0.14999999999999947</v>
      </c>
      <c r="T196" s="472">
        <f>(Table6[[#This Row],[Fault Clearance time]]-Table6[[#This Row],[Fault Start TimeStamp]])*24</f>
        <v>0.14999999999999947</v>
      </c>
      <c r="U196" s="35" t="s">
        <v>349</v>
      </c>
      <c r="V196" s="102" t="s">
        <v>293</v>
      </c>
      <c r="W196" s="478">
        <f>IFERROR(Table6[[#This Row],[Breakdown Time]]*Table6[[#This Row],[Plant Equivalent Weightage]],"")</f>
        <v>5.769230769230747E-3</v>
      </c>
      <c r="X196" s="473" t="s">
        <v>294</v>
      </c>
      <c r="Y196" s="474" t="s">
        <v>95</v>
      </c>
      <c r="Z196" s="102">
        <v>23878</v>
      </c>
      <c r="AA196" s="468">
        <f>(Table6[[#This Row],[Paired WTG Generation for loss calculation]]/24)*Table6[[#This Row],[Breakdown Time]]</f>
        <v>149.23749999999947</v>
      </c>
      <c r="AB196" s="102"/>
      <c r="AC196" s="35"/>
      <c r="AD196" s="35"/>
    </row>
    <row r="197" spans="1:30">
      <c r="A197" s="102">
        <f t="shared" si="3"/>
        <v>196</v>
      </c>
      <c r="B197" s="468">
        <f>YEAR(Table6[[#This Row],[Date]])+IF(MONTH(Table6[[#This Row],[Date]])&gt;=4,1,0)</f>
        <v>2026</v>
      </c>
      <c r="C197" s="102">
        <f>YEAR(Table6[[#This Row],[Date]])</f>
        <v>2025</v>
      </c>
      <c r="D197" s="102" t="s">
        <v>1992</v>
      </c>
      <c r="E197" s="469">
        <f>Table6[[#This Row],[Date]]-DAY(Table6[[#This Row],[Date]])+1</f>
        <v>45748</v>
      </c>
      <c r="F197" s="470">
        <v>45760</v>
      </c>
      <c r="G197" s="35" t="s">
        <v>91</v>
      </c>
      <c r="H197" s="35" t="str">
        <f>IFERROR(_xlfn.XLOOKUP(Table6[[#This Row],[Affected WTG]],'Basic Data'!$A:$A,'Basic Data'!$B:$B),"")</f>
        <v>TQGXIIPL</v>
      </c>
      <c r="I197" s="35" t="str">
        <f>IFERROR(_xlfn.XLOOKUP(Table6[[#This Row],[Affected WTG]],'Basic Data'!$A:$A,'Basic Data'!$C:$C),"")</f>
        <v>GEDA</v>
      </c>
      <c r="J197" s="471">
        <f>IFERROR(_xlfn.XLOOKUP(Table6[[#This Row],[Affected WTG]],'Basic Data'!$A:$A,'Basic Data'!$E:$E),"")</f>
        <v>3.846153846153845E-2</v>
      </c>
      <c r="K197" s="102">
        <v>152</v>
      </c>
      <c r="L197" s="35" t="str">
        <f>IFERROR(_xlfn.XLOOKUP(Table6[[#This Row],[Error Code]],'Basic Data'!$AA:$AA,'Basic Data'!$AB:$AB),"Incorrect Error Code")</f>
        <v>SLC app. not in SAFE mode</v>
      </c>
      <c r="M197" s="35" t="s">
        <v>291</v>
      </c>
      <c r="N197" s="475"/>
      <c r="O197" s="476">
        <v>0.30486111111111114</v>
      </c>
      <c r="P197" s="476">
        <v>0.30486111111111114</v>
      </c>
      <c r="Q197" s="477">
        <v>0.30763888888888891</v>
      </c>
      <c r="R197" s="472">
        <f>IF(Table6[[#This Row],[Work Start TimeStamp]]="","",(Table6[[#This Row],[Work Start TimeStamp]]-Table6[[#This Row],[Fault Start TimeStamp]])*24)</f>
        <v>0</v>
      </c>
      <c r="S197" s="472">
        <f>(Table6[[#This Row],[Fault Clearance time]]-Table6[[#This Row],[Work Start TimeStamp]])*24</f>
        <v>6.666666666666643E-2</v>
      </c>
      <c r="T197" s="472">
        <f>(Table6[[#This Row],[Fault Clearance time]]-Table6[[#This Row],[Fault Start TimeStamp]])*24</f>
        <v>6.666666666666643E-2</v>
      </c>
      <c r="U197" s="35" t="s">
        <v>390</v>
      </c>
      <c r="V197" s="102" t="s">
        <v>293</v>
      </c>
      <c r="W197" s="478">
        <f>IFERROR(Table6[[#This Row],[Breakdown Time]]*Table6[[#This Row],[Plant Equivalent Weightage]],"")</f>
        <v>2.5641025641025541E-3</v>
      </c>
      <c r="X197" s="473" t="s">
        <v>294</v>
      </c>
      <c r="Y197" s="474" t="s">
        <v>79</v>
      </c>
      <c r="Z197" s="102">
        <v>23521</v>
      </c>
      <c r="AA197" s="468">
        <f>(Table6[[#This Row],[Paired WTG Generation for loss calculation]]/24)*Table6[[#This Row],[Breakdown Time]]</f>
        <v>65.336111111110881</v>
      </c>
      <c r="AB197" s="102"/>
      <c r="AC197" s="35"/>
      <c r="AD197" s="35"/>
    </row>
    <row r="198" spans="1:30">
      <c r="A198" s="102">
        <f t="shared" si="3"/>
        <v>197</v>
      </c>
      <c r="B198" s="468">
        <f>YEAR(Table6[[#This Row],[Date]])+IF(MONTH(Table6[[#This Row],[Date]])&gt;=4,1,0)</f>
        <v>2026</v>
      </c>
      <c r="C198" s="102">
        <f>YEAR(Table6[[#This Row],[Date]])</f>
        <v>2025</v>
      </c>
      <c r="D198" s="102" t="s">
        <v>1992</v>
      </c>
      <c r="E198" s="469">
        <f>Table6[[#This Row],[Date]]-DAY(Table6[[#This Row],[Date]])+1</f>
        <v>45748</v>
      </c>
      <c r="F198" s="470">
        <v>45760</v>
      </c>
      <c r="G198" s="35" t="s">
        <v>91</v>
      </c>
      <c r="H198" s="35" t="str">
        <f>IFERROR(_xlfn.XLOOKUP(Table6[[#This Row],[Affected WTG]],'Basic Data'!$A:$A,'Basic Data'!$B:$B),"")</f>
        <v>TQGXIIPL</v>
      </c>
      <c r="I198" s="35" t="str">
        <f>IFERROR(_xlfn.XLOOKUP(Table6[[#This Row],[Affected WTG]],'Basic Data'!$A:$A,'Basic Data'!$C:$C),"")</f>
        <v>GEDA</v>
      </c>
      <c r="J198" s="471">
        <f>IFERROR(_xlfn.XLOOKUP(Table6[[#This Row],[Affected WTG]],'Basic Data'!$A:$A,'Basic Data'!$E:$E),"")</f>
        <v>3.846153846153845E-2</v>
      </c>
      <c r="K198" s="102">
        <v>3110</v>
      </c>
      <c r="L198" s="35" t="str">
        <f>IFERROR(_xlfn.XLOOKUP(Table6[[#This Row],[Error Code]],'Basic Data'!$AA:$AA,'Basic Data'!$AB:$AB),"Incorrect Error Code")</f>
        <v>Frequency converter error</v>
      </c>
      <c r="M198" s="35" t="s">
        <v>291</v>
      </c>
      <c r="N198" s="475"/>
      <c r="O198" s="476">
        <v>0.85624999999999996</v>
      </c>
      <c r="P198" s="476">
        <v>0.85624999999999996</v>
      </c>
      <c r="Q198" s="477">
        <v>0.8618055555555556</v>
      </c>
      <c r="R198" s="472">
        <f>IF(Table6[[#This Row],[Work Start TimeStamp]]="","",(Table6[[#This Row],[Work Start TimeStamp]]-Table6[[#This Row],[Fault Start TimeStamp]])*24)</f>
        <v>0</v>
      </c>
      <c r="S198" s="472">
        <f>(Table6[[#This Row],[Fault Clearance time]]-Table6[[#This Row],[Work Start TimeStamp]])*24</f>
        <v>0.13333333333333552</v>
      </c>
      <c r="T198" s="472">
        <f>(Table6[[#This Row],[Fault Clearance time]]-Table6[[#This Row],[Fault Start TimeStamp]])*24</f>
        <v>0.13333333333333552</v>
      </c>
      <c r="U198" s="35" t="s">
        <v>349</v>
      </c>
      <c r="V198" s="102" t="s">
        <v>293</v>
      </c>
      <c r="W198" s="478">
        <f>IFERROR(Table6[[#This Row],[Breakdown Time]]*Table6[[#This Row],[Plant Equivalent Weightage]],"")</f>
        <v>5.1282051282052106E-3</v>
      </c>
      <c r="X198" s="473" t="s">
        <v>294</v>
      </c>
      <c r="Y198" s="474" t="s">
        <v>79</v>
      </c>
      <c r="Z198" s="102">
        <v>23521</v>
      </c>
      <c r="AA198" s="468">
        <f>(Table6[[#This Row],[Paired WTG Generation for loss calculation]]/24)*Table6[[#This Row],[Breakdown Time]]</f>
        <v>130.67222222222438</v>
      </c>
      <c r="AB198" s="102"/>
      <c r="AC198" s="35"/>
      <c r="AD198" s="35"/>
    </row>
    <row r="199" spans="1:30">
      <c r="A199" s="102">
        <f t="shared" si="3"/>
        <v>198</v>
      </c>
      <c r="B199" s="468">
        <f>YEAR(Table6[[#This Row],[Date]])+IF(MONTH(Table6[[#This Row],[Date]])&gt;=4,1,0)</f>
        <v>2026</v>
      </c>
      <c r="C199" s="102">
        <f>YEAR(Table6[[#This Row],[Date]])</f>
        <v>2025</v>
      </c>
      <c r="D199" s="102" t="s">
        <v>1992</v>
      </c>
      <c r="E199" s="469">
        <f>Table6[[#This Row],[Date]]-DAY(Table6[[#This Row],[Date]])+1</f>
        <v>45748</v>
      </c>
      <c r="F199" s="470">
        <v>45760</v>
      </c>
      <c r="G199" s="35" t="s">
        <v>91</v>
      </c>
      <c r="H199" s="35" t="str">
        <f>IFERROR(_xlfn.XLOOKUP(Table6[[#This Row],[Affected WTG]],'Basic Data'!$A:$A,'Basic Data'!$B:$B),"")</f>
        <v>TQGXIIPL</v>
      </c>
      <c r="I199" s="35" t="str">
        <f>IFERROR(_xlfn.XLOOKUP(Table6[[#This Row],[Affected WTG]],'Basic Data'!$A:$A,'Basic Data'!$C:$C),"")</f>
        <v>GEDA</v>
      </c>
      <c r="J199" s="471">
        <f>IFERROR(_xlfn.XLOOKUP(Table6[[#This Row],[Affected WTG]],'Basic Data'!$A:$A,'Basic Data'!$E:$E),"")</f>
        <v>3.846153846153845E-2</v>
      </c>
      <c r="K199" s="102">
        <v>3110</v>
      </c>
      <c r="L199" s="35" t="str">
        <f>IFERROR(_xlfn.XLOOKUP(Table6[[#This Row],[Error Code]],'Basic Data'!$AA:$AA,'Basic Data'!$AB:$AB),"Incorrect Error Code")</f>
        <v>Frequency converter error</v>
      </c>
      <c r="M199" s="35" t="s">
        <v>291</v>
      </c>
      <c r="N199" s="475"/>
      <c r="O199" s="476">
        <v>0.88124999999999998</v>
      </c>
      <c r="P199" s="476">
        <v>0.88124999999999998</v>
      </c>
      <c r="Q199" s="477">
        <v>0.9</v>
      </c>
      <c r="R199" s="472">
        <f>IF(Table6[[#This Row],[Work Start TimeStamp]]="","",(Table6[[#This Row],[Work Start TimeStamp]]-Table6[[#This Row],[Fault Start TimeStamp]])*24)</f>
        <v>0</v>
      </c>
      <c r="S199" s="472">
        <f>(Table6[[#This Row],[Fault Clearance time]]-Table6[[#This Row],[Work Start TimeStamp]])*24</f>
        <v>0.45000000000000107</v>
      </c>
      <c r="T199" s="472">
        <f>(Table6[[#This Row],[Fault Clearance time]]-Table6[[#This Row],[Fault Start TimeStamp]])*24</f>
        <v>0.45000000000000107</v>
      </c>
      <c r="U199" s="35" t="s">
        <v>349</v>
      </c>
      <c r="V199" s="102" t="s">
        <v>293</v>
      </c>
      <c r="W199" s="478">
        <f>IFERROR(Table6[[#This Row],[Breakdown Time]]*Table6[[#This Row],[Plant Equivalent Weightage]],"")</f>
        <v>1.7307692307692343E-2</v>
      </c>
      <c r="X199" s="473" t="s">
        <v>294</v>
      </c>
      <c r="Y199" s="474" t="s">
        <v>79</v>
      </c>
      <c r="Z199" s="102">
        <v>23521</v>
      </c>
      <c r="AA199" s="468">
        <f>(Table6[[#This Row],[Paired WTG Generation for loss calculation]]/24)*Table6[[#This Row],[Breakdown Time]]</f>
        <v>441.01875000000103</v>
      </c>
      <c r="AB199" s="102"/>
      <c r="AC199" s="35"/>
      <c r="AD199" s="35"/>
    </row>
    <row r="200" spans="1:30">
      <c r="A200" s="102">
        <f t="shared" si="3"/>
        <v>199</v>
      </c>
      <c r="B200" s="468">
        <f>YEAR(Table6[[#This Row],[Date]])+IF(MONTH(Table6[[#This Row],[Date]])&gt;=4,1,0)</f>
        <v>2026</v>
      </c>
      <c r="C200" s="102">
        <f>YEAR(Table6[[#This Row],[Date]])</f>
        <v>2025</v>
      </c>
      <c r="D200" s="102" t="s">
        <v>1992</v>
      </c>
      <c r="E200" s="469">
        <f>Table6[[#This Row],[Date]]-DAY(Table6[[#This Row],[Date]])+1</f>
        <v>45748</v>
      </c>
      <c r="F200" s="470">
        <v>45760</v>
      </c>
      <c r="G200" s="35" t="s">
        <v>91</v>
      </c>
      <c r="H200" s="35" t="str">
        <f>IFERROR(_xlfn.XLOOKUP(Table6[[#This Row],[Affected WTG]],'Basic Data'!$A:$A,'Basic Data'!$B:$B),"")</f>
        <v>TQGXIIPL</v>
      </c>
      <c r="I200" s="35" t="str">
        <f>IFERROR(_xlfn.XLOOKUP(Table6[[#This Row],[Affected WTG]],'Basic Data'!$A:$A,'Basic Data'!$C:$C),"")</f>
        <v>GEDA</v>
      </c>
      <c r="J200" s="471">
        <f>IFERROR(_xlfn.XLOOKUP(Table6[[#This Row],[Affected WTG]],'Basic Data'!$A:$A,'Basic Data'!$E:$E),"")</f>
        <v>3.846153846153845E-2</v>
      </c>
      <c r="K200" s="102">
        <v>665</v>
      </c>
      <c r="L200" s="35" t="str">
        <f>IFERROR(_xlfn.XLOOKUP(Table6[[#This Row],[Error Code]],'Basic Data'!$AA:$AA,'Basic Data'!$AB:$AB),"Incorrect Error Code")</f>
        <v>Pitch error</v>
      </c>
      <c r="M200" s="35" t="s">
        <v>291</v>
      </c>
      <c r="N200" s="475"/>
      <c r="O200" s="476">
        <v>0.97291666666666665</v>
      </c>
      <c r="P200" s="476">
        <v>0.97291666666666665</v>
      </c>
      <c r="Q200" s="477">
        <v>0.9770833333333333</v>
      </c>
      <c r="R200" s="472">
        <f>IF(Table6[[#This Row],[Work Start TimeStamp]]="","",(Table6[[#This Row],[Work Start TimeStamp]]-Table6[[#This Row],[Fault Start TimeStamp]])*24)</f>
        <v>0</v>
      </c>
      <c r="S200" s="472">
        <f>(Table6[[#This Row],[Fault Clearance time]]-Table6[[#This Row],[Work Start TimeStamp]])*24</f>
        <v>9.9999999999999645E-2</v>
      </c>
      <c r="T200" s="472">
        <f>(Table6[[#This Row],[Fault Clearance time]]-Table6[[#This Row],[Fault Start TimeStamp]])*24</f>
        <v>9.9999999999999645E-2</v>
      </c>
      <c r="U200" s="35" t="s">
        <v>349</v>
      </c>
      <c r="V200" s="102" t="s">
        <v>293</v>
      </c>
      <c r="W200" s="478">
        <f>IFERROR(Table6[[#This Row],[Breakdown Time]]*Table6[[#This Row],[Plant Equivalent Weightage]],"")</f>
        <v>3.8461538461538312E-3</v>
      </c>
      <c r="X200" s="473" t="s">
        <v>294</v>
      </c>
      <c r="Y200" s="474" t="s">
        <v>79</v>
      </c>
      <c r="Z200" s="102">
        <v>23521</v>
      </c>
      <c r="AA200" s="468">
        <f>(Table6[[#This Row],[Paired WTG Generation for loss calculation]]/24)*Table6[[#This Row],[Breakdown Time]]</f>
        <v>98.004166666666308</v>
      </c>
      <c r="AB200" s="102"/>
      <c r="AC200" s="35"/>
      <c r="AD200" s="35"/>
    </row>
    <row r="201" spans="1:30">
      <c r="A201" s="102">
        <f t="shared" si="3"/>
        <v>200</v>
      </c>
      <c r="B201" s="468">
        <f>YEAR(Table6[[#This Row],[Date]])+IF(MONTH(Table6[[#This Row],[Date]])&gt;=4,1,0)</f>
        <v>2026</v>
      </c>
      <c r="C201" s="102">
        <f>YEAR(Table6[[#This Row],[Date]])</f>
        <v>2025</v>
      </c>
      <c r="D201" s="102" t="s">
        <v>1992</v>
      </c>
      <c r="E201" s="469">
        <f>Table6[[#This Row],[Date]]-DAY(Table6[[#This Row],[Date]])+1</f>
        <v>45748</v>
      </c>
      <c r="F201" s="470">
        <v>45760</v>
      </c>
      <c r="G201" s="35" t="s">
        <v>92</v>
      </c>
      <c r="H201" s="35" t="str">
        <f>IFERROR(_xlfn.XLOOKUP(Table6[[#This Row],[Affected WTG]],'Basic Data'!$A:$A,'Basic Data'!$B:$B),"")</f>
        <v>TQGXIIPL</v>
      </c>
      <c r="I201" s="35" t="str">
        <f>IFERROR(_xlfn.XLOOKUP(Table6[[#This Row],[Affected WTG]],'Basic Data'!$A:$A,'Basic Data'!$C:$C),"")</f>
        <v>GEDA</v>
      </c>
      <c r="J201" s="471">
        <f>IFERROR(_xlfn.XLOOKUP(Table6[[#This Row],[Affected WTG]],'Basic Data'!$A:$A,'Basic Data'!$E:$E),"")</f>
        <v>3.846153846153845E-2</v>
      </c>
      <c r="K201" s="102">
        <v>3110</v>
      </c>
      <c r="L201" s="35" t="str">
        <f>IFERROR(_xlfn.XLOOKUP(Table6[[#This Row],[Error Code]],'Basic Data'!$AA:$AA,'Basic Data'!$AB:$AB),"Incorrect Error Code")</f>
        <v>Frequency converter error</v>
      </c>
      <c r="M201" s="35" t="s">
        <v>291</v>
      </c>
      <c r="N201" s="475"/>
      <c r="O201" s="476">
        <v>0.31041666666666667</v>
      </c>
      <c r="P201" s="476">
        <v>0.31041666666666667</v>
      </c>
      <c r="Q201" s="477">
        <v>0.32708333333333334</v>
      </c>
      <c r="R201" s="472">
        <f>IF(Table6[[#This Row],[Work Start TimeStamp]]="","",(Table6[[#This Row],[Work Start TimeStamp]]-Table6[[#This Row],[Fault Start TimeStamp]])*24)</f>
        <v>0</v>
      </c>
      <c r="S201" s="472">
        <f>(Table6[[#This Row],[Fault Clearance time]]-Table6[[#This Row],[Work Start TimeStamp]])*24</f>
        <v>0.39999999999999991</v>
      </c>
      <c r="T201" s="472">
        <f>(Table6[[#This Row],[Fault Clearance time]]-Table6[[#This Row],[Fault Start TimeStamp]])*24</f>
        <v>0.39999999999999991</v>
      </c>
      <c r="U201" s="35" t="s">
        <v>390</v>
      </c>
      <c r="V201" s="102" t="s">
        <v>293</v>
      </c>
      <c r="W201" s="478">
        <f>IFERROR(Table6[[#This Row],[Breakdown Time]]*Table6[[#This Row],[Plant Equivalent Weightage]],"")</f>
        <v>1.5384615384615377E-2</v>
      </c>
      <c r="X201" s="473" t="s">
        <v>294</v>
      </c>
      <c r="Y201" s="474" t="s">
        <v>80</v>
      </c>
      <c r="Z201" s="102">
        <v>22036</v>
      </c>
      <c r="AA201" s="468">
        <f>(Table6[[#This Row],[Paired WTG Generation for loss calculation]]/24)*Table6[[#This Row],[Breakdown Time]]</f>
        <v>367.26666666666659</v>
      </c>
      <c r="AB201" s="102"/>
      <c r="AC201" s="35"/>
      <c r="AD201" s="35"/>
    </row>
    <row r="202" spans="1:30">
      <c r="A202" s="102">
        <f t="shared" si="3"/>
        <v>201</v>
      </c>
      <c r="B202" s="468">
        <f>YEAR(Table6[[#This Row],[Date]])+IF(MONTH(Table6[[#This Row],[Date]])&gt;=4,1,0)</f>
        <v>2026</v>
      </c>
      <c r="C202" s="102">
        <f>YEAR(Table6[[#This Row],[Date]])</f>
        <v>2025</v>
      </c>
      <c r="D202" s="102" t="s">
        <v>1992</v>
      </c>
      <c r="E202" s="469">
        <f>Table6[[#This Row],[Date]]-DAY(Table6[[#This Row],[Date]])+1</f>
        <v>45748</v>
      </c>
      <c r="F202" s="470">
        <v>45760</v>
      </c>
      <c r="G202" s="35" t="s">
        <v>92</v>
      </c>
      <c r="H202" s="35" t="str">
        <f>IFERROR(_xlfn.XLOOKUP(Table6[[#This Row],[Affected WTG]],'Basic Data'!$A:$A,'Basic Data'!$B:$B),"")</f>
        <v>TQGXIIPL</v>
      </c>
      <c r="I202" s="35" t="str">
        <f>IFERROR(_xlfn.XLOOKUP(Table6[[#This Row],[Affected WTG]],'Basic Data'!$A:$A,'Basic Data'!$C:$C),"")</f>
        <v>GEDA</v>
      </c>
      <c r="J202" s="471">
        <f>IFERROR(_xlfn.XLOOKUP(Table6[[#This Row],[Affected WTG]],'Basic Data'!$A:$A,'Basic Data'!$E:$E),"")</f>
        <v>3.846153846153845E-2</v>
      </c>
      <c r="K202" s="102">
        <v>55</v>
      </c>
      <c r="L202" s="35" t="str">
        <f>IFERROR(_xlfn.XLOOKUP(Table6[[#This Row],[Error Code]],'Basic Data'!$AA:$AA,'Basic Data'!$AB:$AB),"Incorrect Error Code")</f>
        <v>WTG shut down</v>
      </c>
      <c r="M202" s="35" t="s">
        <v>291</v>
      </c>
      <c r="N202" s="475"/>
      <c r="O202" s="476">
        <v>0.32708333333333334</v>
      </c>
      <c r="P202" s="476">
        <v>0.38541666666666669</v>
      </c>
      <c r="Q202" s="477">
        <v>0.4465277777777778</v>
      </c>
      <c r="R202" s="472">
        <f>IF(Table6[[#This Row],[Work Start TimeStamp]]="","",(Table6[[#This Row],[Work Start TimeStamp]]-Table6[[#This Row],[Fault Start TimeStamp]])*24)</f>
        <v>1.4000000000000004</v>
      </c>
      <c r="S202" s="472">
        <f>(Table6[[#This Row],[Fault Clearance time]]-Table6[[#This Row],[Work Start TimeStamp]])*24</f>
        <v>1.4666666666666668</v>
      </c>
      <c r="T202" s="472">
        <f>(Table6[[#This Row],[Fault Clearance time]]-Table6[[#This Row],[Fault Start TimeStamp]])*24</f>
        <v>2.8666666666666671</v>
      </c>
      <c r="U202" s="35" t="s">
        <v>389</v>
      </c>
      <c r="V202" s="102" t="s">
        <v>293</v>
      </c>
      <c r="W202" s="478">
        <f>IFERROR(Table6[[#This Row],[Breakdown Time]]*Table6[[#This Row],[Plant Equivalent Weightage]],"")</f>
        <v>0.11025641025641024</v>
      </c>
      <c r="X202" s="473" t="s">
        <v>290</v>
      </c>
      <c r="Y202" s="474" t="s">
        <v>80</v>
      </c>
      <c r="Z202" s="102">
        <v>22036</v>
      </c>
      <c r="AA202" s="468">
        <f>(Table6[[#This Row],[Paired WTG Generation for loss calculation]]/24)*Table6[[#This Row],[Breakdown Time]]</f>
        <v>2632.077777777778</v>
      </c>
      <c r="AB202" s="102"/>
      <c r="AC202" s="35"/>
      <c r="AD202" s="35"/>
    </row>
    <row r="203" spans="1:30">
      <c r="A203" s="102">
        <f t="shared" si="3"/>
        <v>202</v>
      </c>
      <c r="B203" s="468">
        <f>YEAR(Table6[[#This Row],[Date]])+IF(MONTH(Table6[[#This Row],[Date]])&gt;=4,1,0)</f>
        <v>2026</v>
      </c>
      <c r="C203" s="102">
        <f>YEAR(Table6[[#This Row],[Date]])</f>
        <v>2025</v>
      </c>
      <c r="D203" s="102" t="s">
        <v>1992</v>
      </c>
      <c r="E203" s="469">
        <f>Table6[[#This Row],[Date]]-DAY(Table6[[#This Row],[Date]])+1</f>
        <v>45748</v>
      </c>
      <c r="F203" s="470">
        <v>45760</v>
      </c>
      <c r="G203" s="35" t="s">
        <v>92</v>
      </c>
      <c r="H203" s="35" t="str">
        <f>IFERROR(_xlfn.XLOOKUP(Table6[[#This Row],[Affected WTG]],'Basic Data'!$A:$A,'Basic Data'!$B:$B),"")</f>
        <v>TQGXIIPL</v>
      </c>
      <c r="I203" s="35" t="str">
        <f>IFERROR(_xlfn.XLOOKUP(Table6[[#This Row],[Affected WTG]],'Basic Data'!$A:$A,'Basic Data'!$C:$C),"")</f>
        <v>GEDA</v>
      </c>
      <c r="J203" s="471">
        <f>IFERROR(_xlfn.XLOOKUP(Table6[[#This Row],[Affected WTG]],'Basic Data'!$A:$A,'Basic Data'!$E:$E),"")</f>
        <v>3.846153846153845E-2</v>
      </c>
      <c r="K203" s="102">
        <v>53</v>
      </c>
      <c r="L203" s="35" t="str">
        <f>IFERROR(_xlfn.XLOOKUP(Table6[[#This Row],[Error Code]],'Basic Data'!$AA:$AA,'Basic Data'!$AB:$AB),"Incorrect Error Code")</f>
        <v>Wind dir.dev. level 1</v>
      </c>
      <c r="M203" s="35" t="s">
        <v>291</v>
      </c>
      <c r="N203" s="475"/>
      <c r="O203" s="476">
        <v>0.66041666666666665</v>
      </c>
      <c r="P203" s="476">
        <v>0.66041666666666665</v>
      </c>
      <c r="Q203" s="477">
        <v>0.66249999999999998</v>
      </c>
      <c r="R203" s="472">
        <f>IF(Table6[[#This Row],[Work Start TimeStamp]]="","",(Table6[[#This Row],[Work Start TimeStamp]]-Table6[[#This Row],[Fault Start TimeStamp]])*24)</f>
        <v>0</v>
      </c>
      <c r="S203" s="472">
        <f>(Table6[[#This Row],[Fault Clearance time]]-Table6[[#This Row],[Work Start TimeStamp]])*24</f>
        <v>4.9999999999999822E-2</v>
      </c>
      <c r="T203" s="472">
        <f>(Table6[[#This Row],[Fault Clearance time]]-Table6[[#This Row],[Fault Start TimeStamp]])*24</f>
        <v>4.9999999999999822E-2</v>
      </c>
      <c r="U203" s="35" t="s">
        <v>349</v>
      </c>
      <c r="V203" s="102" t="s">
        <v>293</v>
      </c>
      <c r="W203" s="478">
        <f>IFERROR(Table6[[#This Row],[Breakdown Time]]*Table6[[#This Row],[Plant Equivalent Weightage]],"")</f>
        <v>1.9230769230769156E-3</v>
      </c>
      <c r="X203" s="473" t="s">
        <v>294</v>
      </c>
      <c r="Y203" s="474" t="s">
        <v>80</v>
      </c>
      <c r="Z203" s="102">
        <v>22036</v>
      </c>
      <c r="AA203" s="468">
        <f>(Table6[[#This Row],[Paired WTG Generation for loss calculation]]/24)*Table6[[#This Row],[Breakdown Time]]</f>
        <v>45.908333333333168</v>
      </c>
      <c r="AB203" s="102"/>
      <c r="AC203" s="35"/>
      <c r="AD203" s="35"/>
    </row>
    <row r="204" spans="1:30">
      <c r="A204" s="102">
        <f t="shared" si="3"/>
        <v>203</v>
      </c>
      <c r="B204" s="468">
        <f>YEAR(Table6[[#This Row],[Date]])+IF(MONTH(Table6[[#This Row],[Date]])&gt;=4,1,0)</f>
        <v>2026</v>
      </c>
      <c r="C204" s="102">
        <f>YEAR(Table6[[#This Row],[Date]])</f>
        <v>2025</v>
      </c>
      <c r="D204" s="102" t="s">
        <v>1992</v>
      </c>
      <c r="E204" s="469">
        <f>Table6[[#This Row],[Date]]-DAY(Table6[[#This Row],[Date]])+1</f>
        <v>45748</v>
      </c>
      <c r="F204" s="470">
        <v>45760</v>
      </c>
      <c r="G204" s="35" t="s">
        <v>94</v>
      </c>
      <c r="H204" s="35" t="str">
        <f>IFERROR(_xlfn.XLOOKUP(Table6[[#This Row],[Affected WTG]],'Basic Data'!$A:$A,'Basic Data'!$B:$B),"")</f>
        <v>TQGXIIPL</v>
      </c>
      <c r="I204" s="35" t="str">
        <f>IFERROR(_xlfn.XLOOKUP(Table6[[#This Row],[Affected WTG]],'Basic Data'!$A:$A,'Basic Data'!$C:$C),"")</f>
        <v>GEDA</v>
      </c>
      <c r="J204" s="471">
        <f>IFERROR(_xlfn.XLOOKUP(Table6[[#This Row],[Affected WTG]],'Basic Data'!$A:$A,'Basic Data'!$E:$E),"")</f>
        <v>3.846153846153845E-2</v>
      </c>
      <c r="K204" s="102">
        <v>3000</v>
      </c>
      <c r="L204" s="35" t="str">
        <f>IFERROR(_xlfn.XLOOKUP(Table6[[#This Row],[Error Code]],'Basic Data'!$AA:$AA,'Basic Data'!$AB:$AB),"Incorrect Error Code")</f>
        <v>Frequency converter not ready</v>
      </c>
      <c r="M204" s="35" t="s">
        <v>291</v>
      </c>
      <c r="N204" s="475"/>
      <c r="O204" s="476">
        <v>0.29444444444444445</v>
      </c>
      <c r="P204" s="476">
        <v>0.29444444444444445</v>
      </c>
      <c r="Q204" s="477">
        <v>0.36249999999999999</v>
      </c>
      <c r="R204" s="472">
        <f>IF(Table6[[#This Row],[Work Start TimeStamp]]="","",(Table6[[#This Row],[Work Start TimeStamp]]-Table6[[#This Row],[Fault Start TimeStamp]])*24)</f>
        <v>0</v>
      </c>
      <c r="S204" s="472">
        <f>(Table6[[#This Row],[Fault Clearance time]]-Table6[[#This Row],[Work Start TimeStamp]])*24</f>
        <v>1.6333333333333329</v>
      </c>
      <c r="T204" s="472">
        <f>(Table6[[#This Row],[Fault Clearance time]]-Table6[[#This Row],[Fault Start TimeStamp]])*24</f>
        <v>1.6333333333333329</v>
      </c>
      <c r="U204" s="35" t="s">
        <v>345</v>
      </c>
      <c r="V204" s="102" t="s">
        <v>293</v>
      </c>
      <c r="W204" s="478">
        <f>IFERROR(Table6[[#This Row],[Breakdown Time]]*Table6[[#This Row],[Plant Equivalent Weightage]],"")</f>
        <v>6.2820512820512778E-2</v>
      </c>
      <c r="X204" s="473" t="s">
        <v>294</v>
      </c>
      <c r="Y204" s="474" t="s">
        <v>79</v>
      </c>
      <c r="Z204" s="102">
        <v>23521</v>
      </c>
      <c r="AA204" s="468">
        <f>(Table6[[#This Row],[Paired WTG Generation for loss calculation]]/24)*Table6[[#This Row],[Breakdown Time]]</f>
        <v>1600.7347222222218</v>
      </c>
      <c r="AB204" s="102"/>
      <c r="AC204" s="35"/>
      <c r="AD204" s="35"/>
    </row>
    <row r="205" spans="1:30">
      <c r="A205" s="102">
        <f t="shared" si="3"/>
        <v>204</v>
      </c>
      <c r="B205" s="468">
        <f>YEAR(Table6[[#This Row],[Date]])+IF(MONTH(Table6[[#This Row],[Date]])&gt;=4,1,0)</f>
        <v>2026</v>
      </c>
      <c r="C205" s="102">
        <f>YEAR(Table6[[#This Row],[Date]])</f>
        <v>2025</v>
      </c>
      <c r="D205" s="102" t="s">
        <v>1992</v>
      </c>
      <c r="E205" s="469">
        <f>Table6[[#This Row],[Date]]-DAY(Table6[[#This Row],[Date]])+1</f>
        <v>45748</v>
      </c>
      <c r="F205" s="470">
        <v>45760</v>
      </c>
      <c r="G205" s="35" t="s">
        <v>97</v>
      </c>
      <c r="H205" s="35" t="str">
        <f>IFERROR(_xlfn.XLOOKUP(Table6[[#This Row],[Affected WTG]],'Basic Data'!$A:$A,'Basic Data'!$B:$B),"")</f>
        <v>TQGXIIPL</v>
      </c>
      <c r="I205" s="35" t="str">
        <f>IFERROR(_xlfn.XLOOKUP(Table6[[#This Row],[Affected WTG]],'Basic Data'!$A:$A,'Basic Data'!$C:$C),"")</f>
        <v>GEDA</v>
      </c>
      <c r="J205" s="471">
        <f>IFERROR(_xlfn.XLOOKUP(Table6[[#This Row],[Affected WTG]],'Basic Data'!$A:$A,'Basic Data'!$E:$E),"")</f>
        <v>3.846153846153845E-2</v>
      </c>
      <c r="K205" s="102">
        <v>3110</v>
      </c>
      <c r="L205" s="35" t="str">
        <f>IFERROR(_xlfn.XLOOKUP(Table6[[#This Row],[Error Code]],'Basic Data'!$AA:$AA,'Basic Data'!$AB:$AB),"Incorrect Error Code")</f>
        <v>Frequency converter error</v>
      </c>
      <c r="M205" s="35" t="s">
        <v>291</v>
      </c>
      <c r="N205" s="475"/>
      <c r="O205" s="476">
        <v>0.30833333333333335</v>
      </c>
      <c r="P205" s="476">
        <v>0.33194444444444443</v>
      </c>
      <c r="Q205" s="477">
        <v>0.38541666666666669</v>
      </c>
      <c r="R205" s="472">
        <f>IF(Table6[[#This Row],[Work Start TimeStamp]]="","",(Table6[[#This Row],[Work Start TimeStamp]]-Table6[[#This Row],[Fault Start TimeStamp]])*24)</f>
        <v>0.56666666666666599</v>
      </c>
      <c r="S205" s="472">
        <f>(Table6[[#This Row],[Fault Clearance time]]-Table6[[#This Row],[Work Start TimeStamp]])*24</f>
        <v>1.2833333333333341</v>
      </c>
      <c r="T205" s="472">
        <f>(Table6[[#This Row],[Fault Clearance time]]-Table6[[#This Row],[Fault Start TimeStamp]])*24</f>
        <v>1.85</v>
      </c>
      <c r="U205" s="35" t="s">
        <v>391</v>
      </c>
      <c r="V205" s="102" t="s">
        <v>293</v>
      </c>
      <c r="W205" s="478">
        <f>IFERROR(Table6[[#This Row],[Breakdown Time]]*Table6[[#This Row],[Plant Equivalent Weightage]],"")</f>
        <v>7.1153846153846137E-2</v>
      </c>
      <c r="X205" s="473" t="s">
        <v>294</v>
      </c>
      <c r="Y205" s="474" t="s">
        <v>93</v>
      </c>
      <c r="Z205" s="102">
        <v>24441</v>
      </c>
      <c r="AA205" s="468">
        <f>(Table6[[#This Row],[Paired WTG Generation for loss calculation]]/24)*Table6[[#This Row],[Breakdown Time]]</f>
        <v>1883.9937500000001</v>
      </c>
      <c r="AB205" s="102"/>
      <c r="AC205" s="35"/>
      <c r="AD205" s="35"/>
    </row>
    <row r="206" spans="1:30">
      <c r="A206" s="102">
        <f t="shared" ref="A206:A269" si="4">A205+1</f>
        <v>205</v>
      </c>
      <c r="B206" s="468">
        <f>YEAR(Table6[[#This Row],[Date]])+IF(MONTH(Table6[[#This Row],[Date]])&gt;=4,1,0)</f>
        <v>2026</v>
      </c>
      <c r="C206" s="102">
        <f>YEAR(Table6[[#This Row],[Date]])</f>
        <v>2025</v>
      </c>
      <c r="D206" s="102" t="s">
        <v>1992</v>
      </c>
      <c r="E206" s="469">
        <f>Table6[[#This Row],[Date]]-DAY(Table6[[#This Row],[Date]])+1</f>
        <v>45748</v>
      </c>
      <c r="F206" s="470">
        <v>45760</v>
      </c>
      <c r="G206" s="35" t="s">
        <v>98</v>
      </c>
      <c r="H206" s="35" t="str">
        <f>IFERROR(_xlfn.XLOOKUP(Table6[[#This Row],[Affected WTG]],'Basic Data'!$A:$A,'Basic Data'!$B:$B),"")</f>
        <v>TQGXIIPL</v>
      </c>
      <c r="I206" s="35" t="str">
        <f>IFERROR(_xlfn.XLOOKUP(Table6[[#This Row],[Affected WTG]],'Basic Data'!$A:$A,'Basic Data'!$C:$C),"")</f>
        <v>GEDA</v>
      </c>
      <c r="J206" s="471">
        <f>IFERROR(_xlfn.XLOOKUP(Table6[[#This Row],[Affected WTG]],'Basic Data'!$A:$A,'Basic Data'!$E:$E),"")</f>
        <v>3.846153846153845E-2</v>
      </c>
      <c r="K206" s="102">
        <v>3110</v>
      </c>
      <c r="L206" s="35" t="str">
        <f>IFERROR(_xlfn.XLOOKUP(Table6[[#This Row],[Error Code]],'Basic Data'!$AA:$AA,'Basic Data'!$AB:$AB),"Incorrect Error Code")</f>
        <v>Frequency converter error</v>
      </c>
      <c r="M206" s="35" t="s">
        <v>291</v>
      </c>
      <c r="N206" s="475"/>
      <c r="O206" s="476">
        <v>0.91666666666666663</v>
      </c>
      <c r="P206" s="476">
        <v>0.91666666666666663</v>
      </c>
      <c r="Q206" s="477">
        <v>0.92083333333333328</v>
      </c>
      <c r="R206" s="472">
        <f>IF(Table6[[#This Row],[Work Start TimeStamp]]="","",(Table6[[#This Row],[Work Start TimeStamp]]-Table6[[#This Row],[Fault Start TimeStamp]])*24)</f>
        <v>0</v>
      </c>
      <c r="S206" s="472">
        <f>(Table6[[#This Row],[Fault Clearance time]]-Table6[[#This Row],[Work Start TimeStamp]])*24</f>
        <v>9.9999999999999645E-2</v>
      </c>
      <c r="T206" s="472">
        <f>(Table6[[#This Row],[Fault Clearance time]]-Table6[[#This Row],[Fault Start TimeStamp]])*24</f>
        <v>9.9999999999999645E-2</v>
      </c>
      <c r="U206" s="35" t="s">
        <v>349</v>
      </c>
      <c r="V206" s="102" t="s">
        <v>293</v>
      </c>
      <c r="W206" s="478">
        <f>IFERROR(Table6[[#This Row],[Breakdown Time]]*Table6[[#This Row],[Plant Equivalent Weightage]],"")</f>
        <v>3.8461538461538312E-3</v>
      </c>
      <c r="X206" s="473" t="s">
        <v>294</v>
      </c>
      <c r="Y206" s="474" t="s">
        <v>74</v>
      </c>
      <c r="Z206" s="102">
        <v>26489</v>
      </c>
      <c r="AA206" s="468">
        <f>(Table6[[#This Row],[Paired WTG Generation for loss calculation]]/24)*Table6[[#This Row],[Breakdown Time]]</f>
        <v>110.37083333333294</v>
      </c>
      <c r="AB206" s="102"/>
      <c r="AC206" s="35"/>
      <c r="AD206" s="35"/>
    </row>
    <row r="207" spans="1:30">
      <c r="A207" s="102">
        <f t="shared" si="4"/>
        <v>206</v>
      </c>
      <c r="B207" s="468">
        <f>YEAR(Table6[[#This Row],[Date]])+IF(MONTH(Table6[[#This Row],[Date]])&gt;=4,1,0)</f>
        <v>2026</v>
      </c>
      <c r="C207" s="102">
        <f>YEAR(Table6[[#This Row],[Date]])</f>
        <v>2025</v>
      </c>
      <c r="D207" s="102" t="s">
        <v>1992</v>
      </c>
      <c r="E207" s="469">
        <f>Table6[[#This Row],[Date]]-DAY(Table6[[#This Row],[Date]])+1</f>
        <v>45748</v>
      </c>
      <c r="F207" s="470">
        <v>45760</v>
      </c>
      <c r="G207" s="35" t="s">
        <v>98</v>
      </c>
      <c r="H207" s="35" t="str">
        <f>IFERROR(_xlfn.XLOOKUP(Table6[[#This Row],[Affected WTG]],'Basic Data'!$A:$A,'Basic Data'!$B:$B),"")</f>
        <v>TQGXIIPL</v>
      </c>
      <c r="I207" s="35" t="str">
        <f>IFERROR(_xlfn.XLOOKUP(Table6[[#This Row],[Affected WTG]],'Basic Data'!$A:$A,'Basic Data'!$C:$C),"")</f>
        <v>GEDA</v>
      </c>
      <c r="J207" s="471">
        <f>IFERROR(_xlfn.XLOOKUP(Table6[[#This Row],[Affected WTG]],'Basic Data'!$A:$A,'Basic Data'!$E:$E),"")</f>
        <v>3.846153846153845E-2</v>
      </c>
      <c r="K207" s="102">
        <v>1070</v>
      </c>
      <c r="L207" s="35" t="str">
        <f>IFERROR(_xlfn.XLOOKUP(Table6[[#This Row],[Error Code]],'Basic Data'!$AA:$AA,'Basic Data'!$AB:$AB),"Incorrect Error Code")</f>
        <v>Drive train monitor level 2</v>
      </c>
      <c r="M207" s="35" t="s">
        <v>291</v>
      </c>
      <c r="N207" s="475"/>
      <c r="O207" s="476">
        <v>0.98263888888888884</v>
      </c>
      <c r="P207" s="476">
        <v>0.98263888888888884</v>
      </c>
      <c r="Q207" s="477">
        <v>0.98402777777777772</v>
      </c>
      <c r="R207" s="472">
        <f>IF(Table6[[#This Row],[Work Start TimeStamp]]="","",(Table6[[#This Row],[Work Start TimeStamp]]-Table6[[#This Row],[Fault Start TimeStamp]])*24)</f>
        <v>0</v>
      </c>
      <c r="S207" s="472">
        <f>(Table6[[#This Row],[Fault Clearance time]]-Table6[[#This Row],[Work Start TimeStamp]])*24</f>
        <v>3.3333333333333215E-2</v>
      </c>
      <c r="T207" s="472">
        <f>(Table6[[#This Row],[Fault Clearance time]]-Table6[[#This Row],[Fault Start TimeStamp]])*24</f>
        <v>3.3333333333333215E-2</v>
      </c>
      <c r="U207" s="35" t="s">
        <v>349</v>
      </c>
      <c r="V207" s="102" t="s">
        <v>293</v>
      </c>
      <c r="W207" s="478">
        <f>IFERROR(Table6[[#This Row],[Breakdown Time]]*Table6[[#This Row],[Plant Equivalent Weightage]],"")</f>
        <v>1.2820512820512771E-3</v>
      </c>
      <c r="X207" s="473" t="s">
        <v>294</v>
      </c>
      <c r="Y207" s="474" t="s">
        <v>74</v>
      </c>
      <c r="Z207" s="102">
        <v>26489</v>
      </c>
      <c r="AA207" s="468">
        <f>(Table6[[#This Row],[Paired WTG Generation for loss calculation]]/24)*Table6[[#This Row],[Breakdown Time]]</f>
        <v>36.790277777777646</v>
      </c>
      <c r="AB207" s="102"/>
      <c r="AC207" s="35"/>
      <c r="AD207" s="35"/>
    </row>
    <row r="208" spans="1:30">
      <c r="A208" s="102">
        <f t="shared" si="4"/>
        <v>207</v>
      </c>
      <c r="B208" s="468">
        <f>YEAR(Table6[[#This Row],[Date]])+IF(MONTH(Table6[[#This Row],[Date]])&gt;=4,1,0)</f>
        <v>2026</v>
      </c>
      <c r="C208" s="102">
        <f>YEAR(Table6[[#This Row],[Date]])</f>
        <v>2025</v>
      </c>
      <c r="D208" s="102" t="s">
        <v>1992</v>
      </c>
      <c r="E208" s="469">
        <f>Table6[[#This Row],[Date]]-DAY(Table6[[#This Row],[Date]])+1</f>
        <v>45748</v>
      </c>
      <c r="F208" s="470">
        <v>45761</v>
      </c>
      <c r="G208" s="35" t="s">
        <v>75</v>
      </c>
      <c r="H208" s="35" t="str">
        <f>IFERROR(_xlfn.XLOOKUP(Table6[[#This Row],[Affected WTG]],'Basic Data'!$A:$A,'Basic Data'!$B:$B),"")</f>
        <v>TQGXIIPL</v>
      </c>
      <c r="I208" s="35" t="str">
        <f>IFERROR(_xlfn.XLOOKUP(Table6[[#This Row],[Affected WTG]],'Basic Data'!$A:$A,'Basic Data'!$C:$C),"")</f>
        <v>GEDA</v>
      </c>
      <c r="J208" s="471">
        <f>IFERROR(_xlfn.XLOOKUP(Table6[[#This Row],[Affected WTG]],'Basic Data'!$A:$A,'Basic Data'!$E:$E),"")</f>
        <v>3.846153846153845E-2</v>
      </c>
      <c r="K208" s="102">
        <v>6130</v>
      </c>
      <c r="L208" s="35" t="str">
        <f>IFERROR(_xlfn.XLOOKUP(Table6[[#This Row],[Error Code]],'Basic Data'!$AA:$AA,'Basic Data'!$AB:$AB),"Incorrect Error Code")</f>
        <v>Yaw speed high</v>
      </c>
      <c r="M208" s="35" t="s">
        <v>291</v>
      </c>
      <c r="N208" s="475"/>
      <c r="O208" s="476">
        <v>0.34166666666666667</v>
      </c>
      <c r="P208" s="476">
        <v>0.34166666666666667</v>
      </c>
      <c r="Q208" s="477">
        <v>0.34583333333333333</v>
      </c>
      <c r="R208" s="472">
        <f>IF(Table6[[#This Row],[Work Start TimeStamp]]="","",(Table6[[#This Row],[Work Start TimeStamp]]-Table6[[#This Row],[Fault Start TimeStamp]])*24)</f>
        <v>0</v>
      </c>
      <c r="S208" s="472">
        <f>(Table6[[#This Row],[Fault Clearance time]]-Table6[[#This Row],[Work Start TimeStamp]])*24</f>
        <v>9.9999999999999645E-2</v>
      </c>
      <c r="T208" s="472">
        <f>(Table6[[#This Row],[Fault Clearance time]]-Table6[[#This Row],[Fault Start TimeStamp]])*24</f>
        <v>9.9999999999999645E-2</v>
      </c>
      <c r="U208" s="35" t="s">
        <v>349</v>
      </c>
      <c r="V208" s="102" t="s">
        <v>293</v>
      </c>
      <c r="W208" s="478">
        <f>IFERROR(Table6[[#This Row],[Breakdown Time]]*Table6[[#This Row],[Plant Equivalent Weightage]],"")</f>
        <v>3.8461538461538312E-3</v>
      </c>
      <c r="X208" s="473" t="s">
        <v>294</v>
      </c>
      <c r="Y208" s="474" t="s">
        <v>78</v>
      </c>
      <c r="Z208" s="102">
        <v>54526</v>
      </c>
      <c r="AA208" s="468">
        <f>(Table6[[#This Row],[Paired WTG Generation for loss calculation]]/24)*Table6[[#This Row],[Breakdown Time]]</f>
        <v>227.19166666666584</v>
      </c>
      <c r="AB208" s="102"/>
      <c r="AC208" s="35"/>
      <c r="AD208" s="35"/>
    </row>
    <row r="209" spans="1:30">
      <c r="A209" s="102">
        <f t="shared" si="4"/>
        <v>208</v>
      </c>
      <c r="B209" s="468">
        <f>YEAR(Table6[[#This Row],[Date]])+IF(MONTH(Table6[[#This Row],[Date]])&gt;=4,1,0)</f>
        <v>2026</v>
      </c>
      <c r="C209" s="102">
        <f>YEAR(Table6[[#This Row],[Date]])</f>
        <v>2025</v>
      </c>
      <c r="D209" s="102" t="s">
        <v>1992</v>
      </c>
      <c r="E209" s="469">
        <f>Table6[[#This Row],[Date]]-DAY(Table6[[#This Row],[Date]])+1</f>
        <v>45748</v>
      </c>
      <c r="F209" s="470">
        <v>45761</v>
      </c>
      <c r="G209" s="35" t="s">
        <v>75</v>
      </c>
      <c r="H209" s="35" t="str">
        <f>IFERROR(_xlfn.XLOOKUP(Table6[[#This Row],[Affected WTG]],'Basic Data'!$A:$A,'Basic Data'!$B:$B),"")</f>
        <v>TQGXIIPL</v>
      </c>
      <c r="I209" s="35" t="str">
        <f>IFERROR(_xlfn.XLOOKUP(Table6[[#This Row],[Affected WTG]],'Basic Data'!$A:$A,'Basic Data'!$C:$C),"")</f>
        <v>GEDA</v>
      </c>
      <c r="J209" s="471">
        <f>IFERROR(_xlfn.XLOOKUP(Table6[[#This Row],[Affected WTG]],'Basic Data'!$A:$A,'Basic Data'!$E:$E),"")</f>
        <v>3.846153846153845E-2</v>
      </c>
      <c r="K209" s="102">
        <v>6130</v>
      </c>
      <c r="L209" s="35" t="str">
        <f>IFERROR(_xlfn.XLOOKUP(Table6[[#This Row],[Error Code]],'Basic Data'!$AA:$AA,'Basic Data'!$AB:$AB),"Incorrect Error Code")</f>
        <v>Yaw speed high</v>
      </c>
      <c r="M209" s="35" t="s">
        <v>291</v>
      </c>
      <c r="N209" s="475"/>
      <c r="O209" s="476">
        <v>0.50416666666666665</v>
      </c>
      <c r="P209" s="476">
        <v>0.50416666666666665</v>
      </c>
      <c r="Q209" s="477">
        <v>0.50972222222222219</v>
      </c>
      <c r="R209" s="472">
        <f>IF(Table6[[#This Row],[Work Start TimeStamp]]="","",(Table6[[#This Row],[Work Start TimeStamp]]-Table6[[#This Row],[Fault Start TimeStamp]])*24)</f>
        <v>0</v>
      </c>
      <c r="S209" s="472">
        <f>(Table6[[#This Row],[Fault Clearance time]]-Table6[[#This Row],[Work Start TimeStamp]])*24</f>
        <v>0.13333333333333286</v>
      </c>
      <c r="T209" s="472">
        <f>(Table6[[#This Row],[Fault Clearance time]]-Table6[[#This Row],[Fault Start TimeStamp]])*24</f>
        <v>0.13333333333333286</v>
      </c>
      <c r="U209" s="35" t="s">
        <v>349</v>
      </c>
      <c r="V209" s="102" t="s">
        <v>293</v>
      </c>
      <c r="W209" s="478">
        <f>IFERROR(Table6[[#This Row],[Breakdown Time]]*Table6[[#This Row],[Plant Equivalent Weightage]],"")</f>
        <v>5.1282051282051083E-3</v>
      </c>
      <c r="X209" s="473" t="s">
        <v>294</v>
      </c>
      <c r="Y209" s="474" t="s">
        <v>78</v>
      </c>
      <c r="Z209" s="102">
        <v>54526</v>
      </c>
      <c r="AA209" s="468">
        <f>(Table6[[#This Row],[Paired WTG Generation for loss calculation]]/24)*Table6[[#This Row],[Breakdown Time]]</f>
        <v>302.92222222222114</v>
      </c>
      <c r="AB209" s="102"/>
      <c r="AC209" s="35"/>
      <c r="AD209" s="35"/>
    </row>
    <row r="210" spans="1:30">
      <c r="A210" s="102">
        <f t="shared" si="4"/>
        <v>209</v>
      </c>
      <c r="B210" s="468">
        <f>YEAR(Table6[[#This Row],[Date]])+IF(MONTH(Table6[[#This Row],[Date]])&gt;=4,1,0)</f>
        <v>2026</v>
      </c>
      <c r="C210" s="102">
        <f>YEAR(Table6[[#This Row],[Date]])</f>
        <v>2025</v>
      </c>
      <c r="D210" s="102" t="s">
        <v>1992</v>
      </c>
      <c r="E210" s="469">
        <f>Table6[[#This Row],[Date]]-DAY(Table6[[#This Row],[Date]])+1</f>
        <v>45748</v>
      </c>
      <c r="F210" s="470">
        <v>45761</v>
      </c>
      <c r="G210" s="35" t="s">
        <v>76</v>
      </c>
      <c r="H210" s="35" t="str">
        <f>IFERROR(_xlfn.XLOOKUP(Table6[[#This Row],[Affected WTG]],'Basic Data'!$A:$A,'Basic Data'!$B:$B),"")</f>
        <v>TQGXIIPL</v>
      </c>
      <c r="I210" s="35" t="str">
        <f>IFERROR(_xlfn.XLOOKUP(Table6[[#This Row],[Affected WTG]],'Basic Data'!$A:$A,'Basic Data'!$C:$C),"")</f>
        <v>GEDA</v>
      </c>
      <c r="J210" s="471">
        <f>IFERROR(_xlfn.XLOOKUP(Table6[[#This Row],[Affected WTG]],'Basic Data'!$A:$A,'Basic Data'!$E:$E),"")</f>
        <v>3.846153846153845E-2</v>
      </c>
      <c r="K210" s="102">
        <v>175</v>
      </c>
      <c r="L210" s="35" t="str">
        <f>IFERROR(_xlfn.XLOOKUP(Table6[[#This Row],[Error Code]],'Basic Data'!$AA:$AA,'Basic Data'!$AB:$AB),"Incorrect Error Code")</f>
        <v>SLC error</v>
      </c>
      <c r="M210" s="35" t="s">
        <v>298</v>
      </c>
      <c r="N210" s="475"/>
      <c r="O210" s="476">
        <v>0.16597222222222222</v>
      </c>
      <c r="P210" s="476">
        <v>0.16597222222222222</v>
      </c>
      <c r="Q210" s="477">
        <v>0.2048611111111111</v>
      </c>
      <c r="R210" s="472">
        <f>IF(Table6[[#This Row],[Work Start TimeStamp]]="","",(Table6[[#This Row],[Work Start TimeStamp]]-Table6[[#This Row],[Fault Start TimeStamp]])*24)</f>
        <v>0</v>
      </c>
      <c r="S210" s="472">
        <f>(Table6[[#This Row],[Fault Clearance time]]-Table6[[#This Row],[Work Start TimeStamp]])*24</f>
        <v>0.93333333333333335</v>
      </c>
      <c r="T210" s="472">
        <f>(Table6[[#This Row],[Fault Clearance time]]-Table6[[#This Row],[Fault Start TimeStamp]])*24</f>
        <v>0.93333333333333335</v>
      </c>
      <c r="U210" s="35" t="s">
        <v>392</v>
      </c>
      <c r="V210" s="102" t="s">
        <v>293</v>
      </c>
      <c r="W210" s="478">
        <f>IFERROR(Table6[[#This Row],[Breakdown Time]]*Table6[[#This Row],[Plant Equivalent Weightage]],"")</f>
        <v>3.5897435897435888E-2</v>
      </c>
      <c r="X210" s="473" t="s">
        <v>294</v>
      </c>
      <c r="Y210" s="474" t="s">
        <v>82</v>
      </c>
      <c r="Z210" s="102">
        <v>45058</v>
      </c>
      <c r="AA210" s="468">
        <f>(Table6[[#This Row],[Paired WTG Generation for loss calculation]]/24)*Table6[[#This Row],[Breakdown Time]]</f>
        <v>1752.2555555555557</v>
      </c>
      <c r="AB210" s="102"/>
      <c r="AC210" s="35"/>
      <c r="AD210" s="35"/>
    </row>
    <row r="211" spans="1:30">
      <c r="A211" s="102">
        <f t="shared" si="4"/>
        <v>210</v>
      </c>
      <c r="B211" s="468">
        <f>YEAR(Table6[[#This Row],[Date]])+IF(MONTH(Table6[[#This Row],[Date]])&gt;=4,1,0)</f>
        <v>2026</v>
      </c>
      <c r="C211" s="102">
        <f>YEAR(Table6[[#This Row],[Date]])</f>
        <v>2025</v>
      </c>
      <c r="D211" s="102" t="s">
        <v>1992</v>
      </c>
      <c r="E211" s="469">
        <f>Table6[[#This Row],[Date]]-DAY(Table6[[#This Row],[Date]])+1</f>
        <v>45748</v>
      </c>
      <c r="F211" s="470">
        <v>45761</v>
      </c>
      <c r="G211" s="35" t="s">
        <v>76</v>
      </c>
      <c r="H211" s="35" t="str">
        <f>IFERROR(_xlfn.XLOOKUP(Table6[[#This Row],[Affected WTG]],'Basic Data'!$A:$A,'Basic Data'!$B:$B),"")</f>
        <v>TQGXIIPL</v>
      </c>
      <c r="I211" s="35" t="str">
        <f>IFERROR(_xlfn.XLOOKUP(Table6[[#This Row],[Affected WTG]],'Basic Data'!$A:$A,'Basic Data'!$C:$C),"")</f>
        <v>GEDA</v>
      </c>
      <c r="J211" s="471">
        <f>IFERROR(_xlfn.XLOOKUP(Table6[[#This Row],[Affected WTG]],'Basic Data'!$A:$A,'Basic Data'!$E:$E),"")</f>
        <v>3.846153846153845E-2</v>
      </c>
      <c r="K211" s="102">
        <v>175</v>
      </c>
      <c r="L211" s="35" t="str">
        <f>IFERROR(_xlfn.XLOOKUP(Table6[[#This Row],[Error Code]],'Basic Data'!$AA:$AA,'Basic Data'!$AB:$AB),"Incorrect Error Code")</f>
        <v>SLC error</v>
      </c>
      <c r="M211" s="35" t="s">
        <v>291</v>
      </c>
      <c r="N211" s="475"/>
      <c r="O211" s="476">
        <v>0.6958333333333333</v>
      </c>
      <c r="P211" s="476">
        <v>0.6958333333333333</v>
      </c>
      <c r="Q211" s="477">
        <v>0.79097222222222219</v>
      </c>
      <c r="R211" s="472">
        <f>IF(Table6[[#This Row],[Work Start TimeStamp]]="","",(Table6[[#This Row],[Work Start TimeStamp]]-Table6[[#This Row],[Fault Start TimeStamp]])*24)</f>
        <v>0</v>
      </c>
      <c r="S211" s="472">
        <f>(Table6[[#This Row],[Fault Clearance time]]-Table6[[#This Row],[Work Start TimeStamp]])*24</f>
        <v>2.2833333333333332</v>
      </c>
      <c r="T211" s="472">
        <f>(Table6[[#This Row],[Fault Clearance time]]-Table6[[#This Row],[Fault Start TimeStamp]])*24</f>
        <v>2.2833333333333332</v>
      </c>
      <c r="U211" s="35" t="s">
        <v>393</v>
      </c>
      <c r="V211" s="102" t="s">
        <v>293</v>
      </c>
      <c r="W211" s="478">
        <f>IFERROR(Table6[[#This Row],[Breakdown Time]]*Table6[[#This Row],[Plant Equivalent Weightage]],"")</f>
        <v>8.7820512820512786E-2</v>
      </c>
      <c r="X211" s="473" t="s">
        <v>294</v>
      </c>
      <c r="Y211" s="474" t="s">
        <v>82</v>
      </c>
      <c r="Z211" s="102">
        <v>45058</v>
      </c>
      <c r="AA211" s="468">
        <f>(Table6[[#This Row],[Paired WTG Generation for loss calculation]]/24)*Table6[[#This Row],[Breakdown Time]]</f>
        <v>4286.7680555555553</v>
      </c>
      <c r="AB211" s="102"/>
      <c r="AC211" s="35"/>
      <c r="AD211" s="35"/>
    </row>
    <row r="212" spans="1:30">
      <c r="A212" s="102">
        <f t="shared" si="4"/>
        <v>211</v>
      </c>
      <c r="B212" s="468">
        <f>YEAR(Table6[[#This Row],[Date]])+IF(MONTH(Table6[[#This Row],[Date]])&gt;=4,1,0)</f>
        <v>2026</v>
      </c>
      <c r="C212" s="102">
        <f>YEAR(Table6[[#This Row],[Date]])</f>
        <v>2025</v>
      </c>
      <c r="D212" s="102" t="s">
        <v>1992</v>
      </c>
      <c r="E212" s="469">
        <f>Table6[[#This Row],[Date]]-DAY(Table6[[#This Row],[Date]])+1</f>
        <v>45748</v>
      </c>
      <c r="F212" s="470">
        <v>45761</v>
      </c>
      <c r="G212" s="35" t="s">
        <v>77</v>
      </c>
      <c r="H212" s="35" t="str">
        <f>IFERROR(_xlfn.XLOOKUP(Table6[[#This Row],[Affected WTG]],'Basic Data'!$A:$A,'Basic Data'!$B:$B),"")</f>
        <v>TQGXIIPL</v>
      </c>
      <c r="I212" s="35" t="str">
        <f>IFERROR(_xlfn.XLOOKUP(Table6[[#This Row],[Affected WTG]],'Basic Data'!$A:$A,'Basic Data'!$C:$C),"")</f>
        <v>GEDA</v>
      </c>
      <c r="J212" s="471">
        <f>IFERROR(_xlfn.XLOOKUP(Table6[[#This Row],[Affected WTG]],'Basic Data'!$A:$A,'Basic Data'!$E:$E),"")</f>
        <v>3.846153846153845E-2</v>
      </c>
      <c r="K212" s="102">
        <v>1700</v>
      </c>
      <c r="L212" s="35" t="str">
        <f>IFERROR(_xlfn.XLOOKUP(Table6[[#This Row],[Error Code]],'Basic Data'!$AA:$AA,'Basic Data'!$AB:$AB),"Incorrect Error Code")</f>
        <v>High temp. gear bearing 1</v>
      </c>
      <c r="M212" s="35" t="s">
        <v>291</v>
      </c>
      <c r="N212" s="475"/>
      <c r="O212" s="476">
        <v>0.78333333333333333</v>
      </c>
      <c r="P212" s="476">
        <v>0.78333333333333333</v>
      </c>
      <c r="Q212" s="477">
        <v>0.79027777777777775</v>
      </c>
      <c r="R212" s="472">
        <f>IF(Table6[[#This Row],[Work Start TimeStamp]]="","",(Table6[[#This Row],[Work Start TimeStamp]]-Table6[[#This Row],[Fault Start TimeStamp]])*24)</f>
        <v>0</v>
      </c>
      <c r="S212" s="472">
        <f>(Table6[[#This Row],[Fault Clearance time]]-Table6[[#This Row],[Work Start TimeStamp]])*24</f>
        <v>0.16666666666666607</v>
      </c>
      <c r="T212" s="472">
        <f>(Table6[[#This Row],[Fault Clearance time]]-Table6[[#This Row],[Fault Start TimeStamp]])*24</f>
        <v>0.16666666666666607</v>
      </c>
      <c r="U212" s="35" t="s">
        <v>349</v>
      </c>
      <c r="V212" s="102" t="s">
        <v>293</v>
      </c>
      <c r="W212" s="478">
        <f>IFERROR(Table6[[#This Row],[Breakdown Time]]*Table6[[#This Row],[Plant Equivalent Weightage]],"")</f>
        <v>6.4102564102563857E-3</v>
      </c>
      <c r="X212" s="473" t="s">
        <v>294</v>
      </c>
      <c r="Y212" s="474" t="s">
        <v>80</v>
      </c>
      <c r="Z212" s="102">
        <v>52855</v>
      </c>
      <c r="AA212" s="468">
        <f>(Table6[[#This Row],[Paired WTG Generation for loss calculation]]/24)*Table6[[#This Row],[Breakdown Time]]</f>
        <v>367.04861111110978</v>
      </c>
      <c r="AB212" s="102"/>
      <c r="AC212" s="35"/>
      <c r="AD212" s="35"/>
    </row>
    <row r="213" spans="1:30">
      <c r="A213" s="102">
        <f t="shared" si="4"/>
        <v>212</v>
      </c>
      <c r="B213" s="468">
        <f>YEAR(Table6[[#This Row],[Date]])+IF(MONTH(Table6[[#This Row],[Date]])&gt;=4,1,0)</f>
        <v>2026</v>
      </c>
      <c r="C213" s="102">
        <f>YEAR(Table6[[#This Row],[Date]])</f>
        <v>2025</v>
      </c>
      <c r="D213" s="102" t="s">
        <v>1992</v>
      </c>
      <c r="E213" s="469">
        <f>Table6[[#This Row],[Date]]-DAY(Table6[[#This Row],[Date]])+1</f>
        <v>45748</v>
      </c>
      <c r="F213" s="470">
        <v>45761</v>
      </c>
      <c r="G213" s="35" t="s">
        <v>78</v>
      </c>
      <c r="H213" s="35" t="str">
        <f>IFERROR(_xlfn.XLOOKUP(Table6[[#This Row],[Affected WTG]],'Basic Data'!$A:$A,'Basic Data'!$B:$B),"")</f>
        <v>TQGXIIPL</v>
      </c>
      <c r="I213" s="35" t="str">
        <f>IFERROR(_xlfn.XLOOKUP(Table6[[#This Row],[Affected WTG]],'Basic Data'!$A:$A,'Basic Data'!$C:$C),"")</f>
        <v>GEDA</v>
      </c>
      <c r="J213" s="471">
        <f>IFERROR(_xlfn.XLOOKUP(Table6[[#This Row],[Affected WTG]],'Basic Data'!$A:$A,'Basic Data'!$E:$E),"")</f>
        <v>3.846153846153845E-2</v>
      </c>
      <c r="K213" s="102">
        <v>6130</v>
      </c>
      <c r="L213" s="35" t="str">
        <f>IFERROR(_xlfn.XLOOKUP(Table6[[#This Row],[Error Code]],'Basic Data'!$AA:$AA,'Basic Data'!$AB:$AB),"Incorrect Error Code")</f>
        <v>Yaw speed high</v>
      </c>
      <c r="M213" s="35" t="s">
        <v>291</v>
      </c>
      <c r="N213" s="475"/>
      <c r="O213" s="476">
        <v>0.49930555555555556</v>
      </c>
      <c r="P213" s="476">
        <v>0.49930555555555556</v>
      </c>
      <c r="Q213" s="477">
        <v>0.50347222222222221</v>
      </c>
      <c r="R213" s="472">
        <f>IF(Table6[[#This Row],[Work Start TimeStamp]]="","",(Table6[[#This Row],[Work Start TimeStamp]]-Table6[[#This Row],[Fault Start TimeStamp]])*24)</f>
        <v>0</v>
      </c>
      <c r="S213" s="472">
        <f>(Table6[[#This Row],[Fault Clearance time]]-Table6[[#This Row],[Work Start TimeStamp]])*24</f>
        <v>9.9999999999999645E-2</v>
      </c>
      <c r="T213" s="472">
        <f>(Table6[[#This Row],[Fault Clearance time]]-Table6[[#This Row],[Fault Start TimeStamp]])*24</f>
        <v>9.9999999999999645E-2</v>
      </c>
      <c r="U213" s="35" t="s">
        <v>394</v>
      </c>
      <c r="V213" s="102" t="s">
        <v>293</v>
      </c>
      <c r="W213" s="478">
        <f>IFERROR(Table6[[#This Row],[Breakdown Time]]*Table6[[#This Row],[Plant Equivalent Weightage]],"")</f>
        <v>3.8461538461538312E-3</v>
      </c>
      <c r="X213" s="473" t="s">
        <v>294</v>
      </c>
      <c r="Y213" s="474" t="s">
        <v>75</v>
      </c>
      <c r="Z213" s="102">
        <v>54587</v>
      </c>
      <c r="AA213" s="468">
        <f>(Table6[[#This Row],[Paired WTG Generation for loss calculation]]/24)*Table6[[#This Row],[Breakdown Time]]</f>
        <v>227.44583333333253</v>
      </c>
      <c r="AB213" s="102"/>
      <c r="AC213" s="35"/>
      <c r="AD213" s="35"/>
    </row>
    <row r="214" spans="1:30">
      <c r="A214" s="102">
        <f t="shared" si="4"/>
        <v>213</v>
      </c>
      <c r="B214" s="468">
        <f>YEAR(Table6[[#This Row],[Date]])+IF(MONTH(Table6[[#This Row],[Date]])&gt;=4,1,0)</f>
        <v>2026</v>
      </c>
      <c r="C214" s="102">
        <f>YEAR(Table6[[#This Row],[Date]])</f>
        <v>2025</v>
      </c>
      <c r="D214" s="102" t="s">
        <v>1992</v>
      </c>
      <c r="E214" s="469">
        <f>Table6[[#This Row],[Date]]-DAY(Table6[[#This Row],[Date]])+1</f>
        <v>45748</v>
      </c>
      <c r="F214" s="470">
        <v>45761</v>
      </c>
      <c r="G214" s="35" t="s">
        <v>80</v>
      </c>
      <c r="H214" s="35" t="str">
        <f>IFERROR(_xlfn.XLOOKUP(Table6[[#This Row],[Affected WTG]],'Basic Data'!$A:$A,'Basic Data'!$B:$B),"")</f>
        <v>TQGXIIPL</v>
      </c>
      <c r="I214" s="35" t="str">
        <f>IFERROR(_xlfn.XLOOKUP(Table6[[#This Row],[Affected WTG]],'Basic Data'!$A:$A,'Basic Data'!$C:$C),"")</f>
        <v>GEDA</v>
      </c>
      <c r="J214" s="471">
        <f>IFERROR(_xlfn.XLOOKUP(Table6[[#This Row],[Affected WTG]],'Basic Data'!$A:$A,'Basic Data'!$E:$E),"")</f>
        <v>3.846153846153845E-2</v>
      </c>
      <c r="K214" s="102">
        <v>6130</v>
      </c>
      <c r="L214" s="35" t="str">
        <f>IFERROR(_xlfn.XLOOKUP(Table6[[#This Row],[Error Code]],'Basic Data'!$AA:$AA,'Basic Data'!$AB:$AB),"Incorrect Error Code")</f>
        <v>Yaw speed high</v>
      </c>
      <c r="M214" s="35" t="s">
        <v>291</v>
      </c>
      <c r="N214" s="475"/>
      <c r="O214" s="476">
        <v>0.33750000000000002</v>
      </c>
      <c r="P214" s="476">
        <v>0.33750000000000002</v>
      </c>
      <c r="Q214" s="477">
        <v>0.33958333333333335</v>
      </c>
      <c r="R214" s="472">
        <f>IF(Table6[[#This Row],[Work Start TimeStamp]]="","",(Table6[[#This Row],[Work Start TimeStamp]]-Table6[[#This Row],[Fault Start TimeStamp]])*24)</f>
        <v>0</v>
      </c>
      <c r="S214" s="472">
        <f>(Table6[[#This Row],[Fault Clearance time]]-Table6[[#This Row],[Work Start TimeStamp]])*24</f>
        <v>4.9999999999999822E-2</v>
      </c>
      <c r="T214" s="472">
        <f>(Table6[[#This Row],[Fault Clearance time]]-Table6[[#This Row],[Fault Start TimeStamp]])*24</f>
        <v>4.9999999999999822E-2</v>
      </c>
      <c r="U214" s="35" t="s">
        <v>394</v>
      </c>
      <c r="V214" s="102" t="s">
        <v>293</v>
      </c>
      <c r="W214" s="478">
        <f>IFERROR(Table6[[#This Row],[Breakdown Time]]*Table6[[#This Row],[Plant Equivalent Weightage]],"")</f>
        <v>1.9230769230769156E-3</v>
      </c>
      <c r="X214" s="473" t="s">
        <v>294</v>
      </c>
      <c r="Y214" s="474" t="s">
        <v>77</v>
      </c>
      <c r="Z214" s="102">
        <v>55152</v>
      </c>
      <c r="AA214" s="468">
        <f>(Table6[[#This Row],[Paired WTG Generation for loss calculation]]/24)*Table6[[#This Row],[Breakdown Time]]</f>
        <v>114.89999999999959</v>
      </c>
      <c r="AB214" s="102"/>
      <c r="AC214" s="35"/>
      <c r="AD214" s="35"/>
    </row>
    <row r="215" spans="1:30">
      <c r="A215" s="102">
        <f t="shared" si="4"/>
        <v>214</v>
      </c>
      <c r="B215" s="468">
        <f>YEAR(Table6[[#This Row],[Date]])+IF(MONTH(Table6[[#This Row],[Date]])&gt;=4,1,0)</f>
        <v>2026</v>
      </c>
      <c r="C215" s="102">
        <f>YEAR(Table6[[#This Row],[Date]])</f>
        <v>2025</v>
      </c>
      <c r="D215" s="102" t="s">
        <v>1992</v>
      </c>
      <c r="E215" s="469">
        <f>Table6[[#This Row],[Date]]-DAY(Table6[[#This Row],[Date]])+1</f>
        <v>45748</v>
      </c>
      <c r="F215" s="470">
        <v>45761</v>
      </c>
      <c r="G215" s="35" t="s">
        <v>81</v>
      </c>
      <c r="H215" s="35" t="str">
        <f>IFERROR(_xlfn.XLOOKUP(Table6[[#This Row],[Affected WTG]],'Basic Data'!$A:$A,'Basic Data'!$B:$B),"")</f>
        <v>TQGXIIPL</v>
      </c>
      <c r="I215" s="35" t="str">
        <f>IFERROR(_xlfn.XLOOKUP(Table6[[#This Row],[Affected WTG]],'Basic Data'!$A:$A,'Basic Data'!$C:$C),"")</f>
        <v>GEDA</v>
      </c>
      <c r="J215" s="471">
        <f>IFERROR(_xlfn.XLOOKUP(Table6[[#This Row],[Affected WTG]],'Basic Data'!$A:$A,'Basic Data'!$E:$E),"")</f>
        <v>3.846153846153845E-2</v>
      </c>
      <c r="K215" s="102">
        <v>55</v>
      </c>
      <c r="L215" s="35" t="str">
        <f>IFERROR(_xlfn.XLOOKUP(Table6[[#This Row],[Error Code]],'Basic Data'!$AA:$AA,'Basic Data'!$AB:$AB),"Incorrect Error Code")</f>
        <v>WTG shut down</v>
      </c>
      <c r="M215" s="35" t="s">
        <v>330</v>
      </c>
      <c r="N215" s="475"/>
      <c r="O215" s="476">
        <v>0</v>
      </c>
      <c r="P215" s="476">
        <v>0</v>
      </c>
      <c r="Q215" s="477">
        <v>4.6527777777777779E-2</v>
      </c>
      <c r="R215" s="472">
        <f>IF(Table6[[#This Row],[Work Start TimeStamp]]="","",(Table6[[#This Row],[Work Start TimeStamp]]-Table6[[#This Row],[Fault Start TimeStamp]])*24)</f>
        <v>0</v>
      </c>
      <c r="S215" s="472">
        <f>(Table6[[#This Row],[Fault Clearance time]]-Table6[[#This Row],[Work Start TimeStamp]])*24</f>
        <v>1.1166666666666667</v>
      </c>
      <c r="T215" s="472">
        <f>(Table6[[#This Row],[Fault Clearance time]]-Table6[[#This Row],[Fault Start TimeStamp]])*24</f>
        <v>1.1166666666666667</v>
      </c>
      <c r="U215" s="35" t="s">
        <v>337</v>
      </c>
      <c r="V215" s="102" t="s">
        <v>293</v>
      </c>
      <c r="W215" s="478">
        <f>IFERROR(Table6[[#This Row],[Breakdown Time]]*Table6[[#This Row],[Plant Equivalent Weightage]],"")</f>
        <v>4.2948717948717935E-2</v>
      </c>
      <c r="X215" s="473" t="s">
        <v>290</v>
      </c>
      <c r="Y215" s="474" t="s">
        <v>99</v>
      </c>
      <c r="Z215" s="102">
        <v>46555</v>
      </c>
      <c r="AA215" s="468">
        <f>(Table6[[#This Row],[Paired WTG Generation for loss calculation]]/24)*Table6[[#This Row],[Breakdown Time]]</f>
        <v>2166.1006944444448</v>
      </c>
      <c r="AB215" s="102"/>
      <c r="AC215" s="35"/>
      <c r="AD215" s="35"/>
    </row>
    <row r="216" spans="1:30">
      <c r="A216" s="102">
        <f t="shared" si="4"/>
        <v>215</v>
      </c>
      <c r="B216" s="468">
        <f>YEAR(Table6[[#This Row],[Date]])+IF(MONTH(Table6[[#This Row],[Date]])&gt;=4,1,0)</f>
        <v>2026</v>
      </c>
      <c r="C216" s="102">
        <f>YEAR(Table6[[#This Row],[Date]])</f>
        <v>2025</v>
      </c>
      <c r="D216" s="102" t="s">
        <v>1992</v>
      </c>
      <c r="E216" s="469">
        <f>Table6[[#This Row],[Date]]-DAY(Table6[[#This Row],[Date]])+1</f>
        <v>45748</v>
      </c>
      <c r="F216" s="470">
        <v>45761</v>
      </c>
      <c r="G216" s="35" t="s">
        <v>81</v>
      </c>
      <c r="H216" s="35" t="str">
        <f>IFERROR(_xlfn.XLOOKUP(Table6[[#This Row],[Affected WTG]],'Basic Data'!$A:$A,'Basic Data'!$B:$B),"")</f>
        <v>TQGXIIPL</v>
      </c>
      <c r="I216" s="35" t="str">
        <f>IFERROR(_xlfn.XLOOKUP(Table6[[#This Row],[Affected WTG]],'Basic Data'!$A:$A,'Basic Data'!$C:$C),"")</f>
        <v>GEDA</v>
      </c>
      <c r="J216" s="471">
        <f>IFERROR(_xlfn.XLOOKUP(Table6[[#This Row],[Affected WTG]],'Basic Data'!$A:$A,'Basic Data'!$E:$E),"")</f>
        <v>3.846153846153845E-2</v>
      </c>
      <c r="K216" s="102">
        <v>6130</v>
      </c>
      <c r="L216" s="35" t="str">
        <f>IFERROR(_xlfn.XLOOKUP(Table6[[#This Row],[Error Code]],'Basic Data'!$AA:$AA,'Basic Data'!$AB:$AB),"Incorrect Error Code")</f>
        <v>Yaw speed high</v>
      </c>
      <c r="M216" s="35" t="s">
        <v>291</v>
      </c>
      <c r="N216" s="475"/>
      <c r="O216" s="476">
        <v>0.48819444444444443</v>
      </c>
      <c r="P216" s="476">
        <v>0.48819444444444443</v>
      </c>
      <c r="Q216" s="477">
        <v>0.49930555555555556</v>
      </c>
      <c r="R216" s="472">
        <f>IF(Table6[[#This Row],[Work Start TimeStamp]]="","",(Table6[[#This Row],[Work Start TimeStamp]]-Table6[[#This Row],[Fault Start TimeStamp]])*24)</f>
        <v>0</v>
      </c>
      <c r="S216" s="472">
        <f>(Table6[[#This Row],[Fault Clearance time]]-Table6[[#This Row],[Work Start TimeStamp]])*24</f>
        <v>0.26666666666666705</v>
      </c>
      <c r="T216" s="472">
        <f>(Table6[[#This Row],[Fault Clearance time]]-Table6[[#This Row],[Fault Start TimeStamp]])*24</f>
        <v>0.26666666666666705</v>
      </c>
      <c r="U216" s="35" t="s">
        <v>394</v>
      </c>
      <c r="V216" s="102" t="s">
        <v>293</v>
      </c>
      <c r="W216" s="478">
        <f>IFERROR(Table6[[#This Row],[Breakdown Time]]*Table6[[#This Row],[Plant Equivalent Weightage]],"")</f>
        <v>1.0256410256410269E-2</v>
      </c>
      <c r="X216" s="473" t="s">
        <v>294</v>
      </c>
      <c r="Y216" s="474" t="s">
        <v>99</v>
      </c>
      <c r="Z216" s="102">
        <v>46555</v>
      </c>
      <c r="AA216" s="468">
        <f>(Table6[[#This Row],[Paired WTG Generation for loss calculation]]/24)*Table6[[#This Row],[Breakdown Time]]</f>
        <v>517.27777777777851</v>
      </c>
      <c r="AB216" s="102"/>
      <c r="AC216" s="35"/>
      <c r="AD216" s="35"/>
    </row>
    <row r="217" spans="1:30">
      <c r="A217" s="102">
        <f t="shared" si="4"/>
        <v>216</v>
      </c>
      <c r="B217" s="468">
        <f>YEAR(Table6[[#This Row],[Date]])+IF(MONTH(Table6[[#This Row],[Date]])&gt;=4,1,0)</f>
        <v>2026</v>
      </c>
      <c r="C217" s="102">
        <f>YEAR(Table6[[#This Row],[Date]])</f>
        <v>2025</v>
      </c>
      <c r="D217" s="102" t="s">
        <v>1992</v>
      </c>
      <c r="E217" s="469">
        <f>Table6[[#This Row],[Date]]-DAY(Table6[[#This Row],[Date]])+1</f>
        <v>45748</v>
      </c>
      <c r="F217" s="470">
        <v>45761</v>
      </c>
      <c r="G217" s="35" t="s">
        <v>85</v>
      </c>
      <c r="H217" s="35" t="str">
        <f>IFERROR(_xlfn.XLOOKUP(Table6[[#This Row],[Affected WTG]],'Basic Data'!$A:$A,'Basic Data'!$B:$B),"")</f>
        <v>TQGXIIPL</v>
      </c>
      <c r="I217" s="35" t="str">
        <f>IFERROR(_xlfn.XLOOKUP(Table6[[#This Row],[Affected WTG]],'Basic Data'!$A:$A,'Basic Data'!$C:$C),"")</f>
        <v>GEDA</v>
      </c>
      <c r="J217" s="471">
        <f>IFERROR(_xlfn.XLOOKUP(Table6[[#This Row],[Affected WTG]],'Basic Data'!$A:$A,'Basic Data'!$E:$E),"")</f>
        <v>3.846153846153845E-2</v>
      </c>
      <c r="K217" s="102">
        <v>1700</v>
      </c>
      <c r="L217" s="35" t="str">
        <f>IFERROR(_xlfn.XLOOKUP(Table6[[#This Row],[Error Code]],'Basic Data'!$AA:$AA,'Basic Data'!$AB:$AB),"Incorrect Error Code")</f>
        <v>High temp. gear bearing 1</v>
      </c>
      <c r="M217" s="35" t="s">
        <v>291</v>
      </c>
      <c r="N217" s="475"/>
      <c r="O217" s="476">
        <v>0.74444444444444446</v>
      </c>
      <c r="P217" s="476">
        <v>0.74444444444444446</v>
      </c>
      <c r="Q217" s="477">
        <v>0.75555555555555554</v>
      </c>
      <c r="R217" s="472">
        <f>IF(Table6[[#This Row],[Work Start TimeStamp]]="","",(Table6[[#This Row],[Work Start TimeStamp]]-Table6[[#This Row],[Fault Start TimeStamp]])*24)</f>
        <v>0</v>
      </c>
      <c r="S217" s="472">
        <f>(Table6[[#This Row],[Fault Clearance time]]-Table6[[#This Row],[Work Start TimeStamp]])*24</f>
        <v>0.26666666666666572</v>
      </c>
      <c r="T217" s="472">
        <f>(Table6[[#This Row],[Fault Clearance time]]-Table6[[#This Row],[Fault Start TimeStamp]])*24</f>
        <v>0.26666666666666572</v>
      </c>
      <c r="U217" s="35" t="s">
        <v>349</v>
      </c>
      <c r="V217" s="102" t="s">
        <v>293</v>
      </c>
      <c r="W217" s="478">
        <f>IFERROR(Table6[[#This Row],[Breakdown Time]]*Table6[[#This Row],[Plant Equivalent Weightage]],"")</f>
        <v>1.0256410256410217E-2</v>
      </c>
      <c r="X217" s="473" t="s">
        <v>294</v>
      </c>
      <c r="Y217" s="474" t="s">
        <v>87</v>
      </c>
      <c r="Z217" s="102">
        <v>41611</v>
      </c>
      <c r="AA217" s="468">
        <f>(Table6[[#This Row],[Paired WTG Generation for loss calculation]]/24)*Table6[[#This Row],[Breakdown Time]]</f>
        <v>462.34444444444284</v>
      </c>
      <c r="AB217" s="102"/>
      <c r="AC217" s="35"/>
      <c r="AD217" s="35"/>
    </row>
    <row r="218" spans="1:30">
      <c r="A218" s="102">
        <f t="shared" si="4"/>
        <v>217</v>
      </c>
      <c r="B218" s="468">
        <f>YEAR(Table6[[#This Row],[Date]])+IF(MONTH(Table6[[#This Row],[Date]])&gt;=4,1,0)</f>
        <v>2026</v>
      </c>
      <c r="C218" s="102">
        <f>YEAR(Table6[[#This Row],[Date]])</f>
        <v>2025</v>
      </c>
      <c r="D218" s="102" t="s">
        <v>1992</v>
      </c>
      <c r="E218" s="469">
        <f>Table6[[#This Row],[Date]]-DAY(Table6[[#This Row],[Date]])+1</f>
        <v>45748</v>
      </c>
      <c r="F218" s="470">
        <v>45761</v>
      </c>
      <c r="G218" s="35" t="s">
        <v>86</v>
      </c>
      <c r="H218" s="35" t="str">
        <f>IFERROR(_xlfn.XLOOKUP(Table6[[#This Row],[Affected WTG]],'Basic Data'!$A:$A,'Basic Data'!$B:$B),"")</f>
        <v>TQGXIIPL</v>
      </c>
      <c r="I218" s="35" t="str">
        <f>IFERROR(_xlfn.XLOOKUP(Table6[[#This Row],[Affected WTG]],'Basic Data'!$A:$A,'Basic Data'!$C:$C),"")</f>
        <v>GEDA</v>
      </c>
      <c r="J218" s="471">
        <f>IFERROR(_xlfn.XLOOKUP(Table6[[#This Row],[Affected WTG]],'Basic Data'!$A:$A,'Basic Data'!$E:$E),"")</f>
        <v>3.846153846153845E-2</v>
      </c>
      <c r="K218" s="102">
        <v>55</v>
      </c>
      <c r="L218" s="35" t="str">
        <f>IFERROR(_xlfn.XLOOKUP(Table6[[#This Row],[Error Code]],'Basic Data'!$AA:$AA,'Basic Data'!$AB:$AB),"Incorrect Error Code")</f>
        <v>WTG shut down</v>
      </c>
      <c r="M218" s="35" t="s">
        <v>330</v>
      </c>
      <c r="N218" s="475"/>
      <c r="O218" s="476">
        <v>0</v>
      </c>
      <c r="P218" s="476">
        <v>0</v>
      </c>
      <c r="Q218" s="477">
        <v>2.6388888888888889E-2</v>
      </c>
      <c r="R218" s="472">
        <f>IF(Table6[[#This Row],[Work Start TimeStamp]]="","",(Table6[[#This Row],[Work Start TimeStamp]]-Table6[[#This Row],[Fault Start TimeStamp]])*24)</f>
        <v>0</v>
      </c>
      <c r="S218" s="472">
        <f>(Table6[[#This Row],[Fault Clearance time]]-Table6[[#This Row],[Work Start TimeStamp]])*24</f>
        <v>0.6333333333333333</v>
      </c>
      <c r="T218" s="472">
        <f>(Table6[[#This Row],[Fault Clearance time]]-Table6[[#This Row],[Fault Start TimeStamp]])*24</f>
        <v>0.6333333333333333</v>
      </c>
      <c r="U218" s="35" t="s">
        <v>337</v>
      </c>
      <c r="V218" s="102" t="s">
        <v>293</v>
      </c>
      <c r="W218" s="478">
        <f>IFERROR(Table6[[#This Row],[Breakdown Time]]*Table6[[#This Row],[Plant Equivalent Weightage]],"")</f>
        <v>2.4358974358974349E-2</v>
      </c>
      <c r="X218" s="473" t="s">
        <v>290</v>
      </c>
      <c r="Y218" s="474" t="s">
        <v>84</v>
      </c>
      <c r="Z218" s="102">
        <v>46926</v>
      </c>
      <c r="AA218" s="468">
        <f>(Table6[[#This Row],[Paired WTG Generation for loss calculation]]/24)*Table6[[#This Row],[Breakdown Time]]</f>
        <v>1238.325</v>
      </c>
      <c r="AB218" s="102"/>
      <c r="AC218" s="35"/>
      <c r="AD218" s="35"/>
    </row>
    <row r="219" spans="1:30">
      <c r="A219" s="102">
        <f t="shared" si="4"/>
        <v>218</v>
      </c>
      <c r="B219" s="468">
        <f>YEAR(Table6[[#This Row],[Date]])+IF(MONTH(Table6[[#This Row],[Date]])&gt;=4,1,0)</f>
        <v>2026</v>
      </c>
      <c r="C219" s="102">
        <f>YEAR(Table6[[#This Row],[Date]])</f>
        <v>2025</v>
      </c>
      <c r="D219" s="102" t="s">
        <v>1992</v>
      </c>
      <c r="E219" s="469">
        <f>Table6[[#This Row],[Date]]-DAY(Table6[[#This Row],[Date]])+1</f>
        <v>45748</v>
      </c>
      <c r="F219" s="470">
        <v>45761</v>
      </c>
      <c r="G219" s="35" t="s">
        <v>86</v>
      </c>
      <c r="H219" s="35" t="str">
        <f>IFERROR(_xlfn.XLOOKUP(Table6[[#This Row],[Affected WTG]],'Basic Data'!$A:$A,'Basic Data'!$B:$B),"")</f>
        <v>TQGXIIPL</v>
      </c>
      <c r="I219" s="35" t="str">
        <f>IFERROR(_xlfn.XLOOKUP(Table6[[#This Row],[Affected WTG]],'Basic Data'!$A:$A,'Basic Data'!$C:$C),"")</f>
        <v>GEDA</v>
      </c>
      <c r="J219" s="471">
        <f>IFERROR(_xlfn.XLOOKUP(Table6[[#This Row],[Affected WTG]],'Basic Data'!$A:$A,'Basic Data'!$E:$E),"")</f>
        <v>3.846153846153845E-2</v>
      </c>
      <c r="K219" s="102">
        <v>55</v>
      </c>
      <c r="L219" s="35" t="str">
        <f>IFERROR(_xlfn.XLOOKUP(Table6[[#This Row],[Error Code]],'Basic Data'!$AA:$AA,'Basic Data'!$AB:$AB),"Incorrect Error Code")</f>
        <v>WTG shut down</v>
      </c>
      <c r="M219" s="35" t="s">
        <v>330</v>
      </c>
      <c r="N219" s="475"/>
      <c r="O219" s="476">
        <v>0.79583333333333328</v>
      </c>
      <c r="P219" s="476">
        <v>0.79583333333333328</v>
      </c>
      <c r="Q219" s="477">
        <v>0.95416666666666672</v>
      </c>
      <c r="R219" s="472">
        <f>IF(Table6[[#This Row],[Work Start TimeStamp]]="","",(Table6[[#This Row],[Work Start TimeStamp]]-Table6[[#This Row],[Fault Start TimeStamp]])*24)</f>
        <v>0</v>
      </c>
      <c r="S219" s="472">
        <f>(Table6[[#This Row],[Fault Clearance time]]-Table6[[#This Row],[Work Start TimeStamp]])*24</f>
        <v>3.8000000000000025</v>
      </c>
      <c r="T219" s="472">
        <f>(Table6[[#This Row],[Fault Clearance time]]-Table6[[#This Row],[Fault Start TimeStamp]])*24</f>
        <v>3.8000000000000025</v>
      </c>
      <c r="U219" s="35" t="s">
        <v>337</v>
      </c>
      <c r="V219" s="102" t="s">
        <v>293</v>
      </c>
      <c r="W219" s="478">
        <f>IFERROR(Table6[[#This Row],[Breakdown Time]]*Table6[[#This Row],[Plant Equivalent Weightage]],"")</f>
        <v>0.14615384615384622</v>
      </c>
      <c r="X219" s="473" t="s">
        <v>290</v>
      </c>
      <c r="Y219" s="474" t="s">
        <v>84</v>
      </c>
      <c r="Z219" s="102">
        <v>46926</v>
      </c>
      <c r="AA219" s="468">
        <f>(Table6[[#This Row],[Paired WTG Generation for loss calculation]]/24)*Table6[[#This Row],[Breakdown Time]]</f>
        <v>7429.9500000000053</v>
      </c>
      <c r="AB219" s="102"/>
      <c r="AC219" s="35"/>
      <c r="AD219" s="35"/>
    </row>
    <row r="220" spans="1:30">
      <c r="A220" s="102">
        <f t="shared" si="4"/>
        <v>219</v>
      </c>
      <c r="B220" s="468">
        <f>YEAR(Table6[[#This Row],[Date]])+IF(MONTH(Table6[[#This Row],[Date]])&gt;=4,1,0)</f>
        <v>2026</v>
      </c>
      <c r="C220" s="102">
        <f>YEAR(Table6[[#This Row],[Date]])</f>
        <v>2025</v>
      </c>
      <c r="D220" s="102" t="s">
        <v>1992</v>
      </c>
      <c r="E220" s="469">
        <f>Table6[[#This Row],[Date]]-DAY(Table6[[#This Row],[Date]])+1</f>
        <v>45748</v>
      </c>
      <c r="F220" s="470">
        <v>45761</v>
      </c>
      <c r="G220" s="35" t="s">
        <v>87</v>
      </c>
      <c r="H220" s="35" t="str">
        <f>IFERROR(_xlfn.XLOOKUP(Table6[[#This Row],[Affected WTG]],'Basic Data'!$A:$A,'Basic Data'!$B:$B),"")</f>
        <v>TQGXIIPL</v>
      </c>
      <c r="I220" s="35" t="str">
        <f>IFERROR(_xlfn.XLOOKUP(Table6[[#This Row],[Affected WTG]],'Basic Data'!$A:$A,'Basic Data'!$C:$C),"")</f>
        <v>GEDA</v>
      </c>
      <c r="J220" s="471">
        <f>IFERROR(_xlfn.XLOOKUP(Table6[[#This Row],[Affected WTG]],'Basic Data'!$A:$A,'Basic Data'!$E:$E),"")</f>
        <v>3.846153846153845E-2</v>
      </c>
      <c r="K220" s="102">
        <v>4540</v>
      </c>
      <c r="L220" s="35" t="str">
        <f>IFERROR(_xlfn.XLOOKUP(Table6[[#This Row],[Error Code]],'Basic Data'!$AA:$AA,'Basic Data'!$AB:$AB),"Incorrect Error Code")</f>
        <v>Tower oscillation X level 2</v>
      </c>
      <c r="M220" s="35" t="s">
        <v>291</v>
      </c>
      <c r="N220" s="475"/>
      <c r="O220" s="476">
        <v>0.56180555555555556</v>
      </c>
      <c r="P220" s="476">
        <v>0.56180555555555556</v>
      </c>
      <c r="Q220" s="477">
        <v>0.57291666666666663</v>
      </c>
      <c r="R220" s="472">
        <f>IF(Table6[[#This Row],[Work Start TimeStamp]]="","",(Table6[[#This Row],[Work Start TimeStamp]]-Table6[[#This Row],[Fault Start TimeStamp]])*24)</f>
        <v>0</v>
      </c>
      <c r="S220" s="472">
        <f>(Table6[[#This Row],[Fault Clearance time]]-Table6[[#This Row],[Work Start TimeStamp]])*24</f>
        <v>0.26666666666666572</v>
      </c>
      <c r="T220" s="472">
        <f>(Table6[[#This Row],[Fault Clearance time]]-Table6[[#This Row],[Fault Start TimeStamp]])*24</f>
        <v>0.26666666666666572</v>
      </c>
      <c r="U220" s="35" t="s">
        <v>349</v>
      </c>
      <c r="V220" s="102" t="s">
        <v>293</v>
      </c>
      <c r="W220" s="478">
        <f>IFERROR(Table6[[#This Row],[Breakdown Time]]*Table6[[#This Row],[Plant Equivalent Weightage]],"")</f>
        <v>1.0256410256410217E-2</v>
      </c>
      <c r="X220" s="473" t="s">
        <v>294</v>
      </c>
      <c r="Y220" s="474" t="s">
        <v>85</v>
      </c>
      <c r="Z220" s="102">
        <v>44309</v>
      </c>
      <c r="AA220" s="468">
        <f>(Table6[[#This Row],[Paired WTG Generation for loss calculation]]/24)*Table6[[#This Row],[Breakdown Time]]</f>
        <v>492.32222222222043</v>
      </c>
      <c r="AB220" s="102"/>
      <c r="AC220" s="35"/>
      <c r="AD220" s="35"/>
    </row>
    <row r="221" spans="1:30">
      <c r="A221" s="102">
        <f t="shared" si="4"/>
        <v>220</v>
      </c>
      <c r="B221" s="468">
        <f>YEAR(Table6[[#This Row],[Date]])+IF(MONTH(Table6[[#This Row],[Date]])&gt;=4,1,0)</f>
        <v>2026</v>
      </c>
      <c r="C221" s="102">
        <f>YEAR(Table6[[#This Row],[Date]])</f>
        <v>2025</v>
      </c>
      <c r="D221" s="102" t="s">
        <v>1992</v>
      </c>
      <c r="E221" s="469">
        <f>Table6[[#This Row],[Date]]-DAY(Table6[[#This Row],[Date]])+1</f>
        <v>45748</v>
      </c>
      <c r="F221" s="470">
        <v>45761</v>
      </c>
      <c r="G221" s="35" t="s">
        <v>88</v>
      </c>
      <c r="H221" s="35" t="str">
        <f>IFERROR(_xlfn.XLOOKUP(Table6[[#This Row],[Affected WTG]],'Basic Data'!$A:$A,'Basic Data'!$B:$B),"")</f>
        <v>TQGXIIPL</v>
      </c>
      <c r="I221" s="35" t="str">
        <f>IFERROR(_xlfn.XLOOKUP(Table6[[#This Row],[Affected WTG]],'Basic Data'!$A:$A,'Basic Data'!$C:$C),"")</f>
        <v>GEDA</v>
      </c>
      <c r="J221" s="471">
        <f>IFERROR(_xlfn.XLOOKUP(Table6[[#This Row],[Affected WTG]],'Basic Data'!$A:$A,'Basic Data'!$E:$E),"")</f>
        <v>3.846153846153845E-2</v>
      </c>
      <c r="K221" s="102">
        <v>55</v>
      </c>
      <c r="L221" s="35" t="str">
        <f>IFERROR(_xlfn.XLOOKUP(Table6[[#This Row],[Error Code]],'Basic Data'!$AA:$AA,'Basic Data'!$AB:$AB),"Incorrect Error Code")</f>
        <v>WTG shut down</v>
      </c>
      <c r="M221" s="35" t="s">
        <v>304</v>
      </c>
      <c r="N221" s="475"/>
      <c r="O221" s="476">
        <v>0.28888888888888886</v>
      </c>
      <c r="P221" s="476">
        <v>0.29583333333333334</v>
      </c>
      <c r="Q221" s="477">
        <v>0.50208333333333333</v>
      </c>
      <c r="R221" s="472">
        <f>IF(Table6[[#This Row],[Work Start TimeStamp]]="","",(Table6[[#This Row],[Work Start TimeStamp]]-Table6[[#This Row],[Fault Start TimeStamp]])*24)</f>
        <v>0.16666666666666741</v>
      </c>
      <c r="S221" s="472">
        <f>(Table6[[#This Row],[Fault Clearance time]]-Table6[[#This Row],[Work Start TimeStamp]])*24</f>
        <v>4.9499999999999993</v>
      </c>
      <c r="T221" s="472">
        <f>(Table6[[#This Row],[Fault Clearance time]]-Table6[[#This Row],[Fault Start TimeStamp]])*24</f>
        <v>5.1166666666666671</v>
      </c>
      <c r="U221" s="35" t="s">
        <v>395</v>
      </c>
      <c r="V221" s="102" t="s">
        <v>293</v>
      </c>
      <c r="W221" s="478">
        <f>IFERROR(Table6[[#This Row],[Breakdown Time]]*Table6[[#This Row],[Plant Equivalent Weightage]],"")</f>
        <v>0.19679487179487176</v>
      </c>
      <c r="X221" s="473" t="s">
        <v>305</v>
      </c>
      <c r="Y221" s="474" t="s">
        <v>83</v>
      </c>
      <c r="Z221" s="102">
        <v>42261</v>
      </c>
      <c r="AA221" s="468">
        <f>(Table6[[#This Row],[Paired WTG Generation for loss calculation]]/24)*Table6[[#This Row],[Breakdown Time]]</f>
        <v>9009.8104166666672</v>
      </c>
      <c r="AB221" s="102"/>
      <c r="AC221" s="35"/>
      <c r="AD221" s="35"/>
    </row>
    <row r="222" spans="1:30">
      <c r="A222" s="102">
        <f t="shared" si="4"/>
        <v>221</v>
      </c>
      <c r="B222" s="468">
        <f>YEAR(Table6[[#This Row],[Date]])+IF(MONTH(Table6[[#This Row],[Date]])&gt;=4,1,0)</f>
        <v>2026</v>
      </c>
      <c r="C222" s="102">
        <f>YEAR(Table6[[#This Row],[Date]])</f>
        <v>2025</v>
      </c>
      <c r="D222" s="102" t="s">
        <v>1992</v>
      </c>
      <c r="E222" s="469">
        <f>Table6[[#This Row],[Date]]-DAY(Table6[[#This Row],[Date]])+1</f>
        <v>45748</v>
      </c>
      <c r="F222" s="470">
        <v>45761</v>
      </c>
      <c r="G222" s="35" t="s">
        <v>89</v>
      </c>
      <c r="H222" s="35" t="str">
        <f>IFERROR(_xlfn.XLOOKUP(Table6[[#This Row],[Affected WTG]],'Basic Data'!$A:$A,'Basic Data'!$B:$B),"")</f>
        <v>TQGXIIPL</v>
      </c>
      <c r="I222" s="35" t="str">
        <f>IFERROR(_xlfn.XLOOKUP(Table6[[#This Row],[Affected WTG]],'Basic Data'!$A:$A,'Basic Data'!$C:$C),"")</f>
        <v>GEDA</v>
      </c>
      <c r="J222" s="471">
        <f>IFERROR(_xlfn.XLOOKUP(Table6[[#This Row],[Affected WTG]],'Basic Data'!$A:$A,'Basic Data'!$E:$E),"")</f>
        <v>3.846153846153845E-2</v>
      </c>
      <c r="K222" s="102">
        <v>6130</v>
      </c>
      <c r="L222" s="35" t="str">
        <f>IFERROR(_xlfn.XLOOKUP(Table6[[#This Row],[Error Code]],'Basic Data'!$AA:$AA,'Basic Data'!$AB:$AB),"Incorrect Error Code")</f>
        <v>Yaw speed high</v>
      </c>
      <c r="M222" s="35" t="s">
        <v>291</v>
      </c>
      <c r="N222" s="475"/>
      <c r="O222" s="476">
        <v>0.52013888888888893</v>
      </c>
      <c r="P222" s="476">
        <v>0.52013888888888893</v>
      </c>
      <c r="Q222" s="477">
        <v>0.52430555555555558</v>
      </c>
      <c r="R222" s="472">
        <f>IF(Table6[[#This Row],[Work Start TimeStamp]]="","",(Table6[[#This Row],[Work Start TimeStamp]]-Table6[[#This Row],[Fault Start TimeStamp]])*24)</f>
        <v>0</v>
      </c>
      <c r="S222" s="472">
        <f>(Table6[[#This Row],[Fault Clearance time]]-Table6[[#This Row],[Work Start TimeStamp]])*24</f>
        <v>9.9999999999999645E-2</v>
      </c>
      <c r="T222" s="472">
        <f>(Table6[[#This Row],[Fault Clearance time]]-Table6[[#This Row],[Fault Start TimeStamp]])*24</f>
        <v>9.9999999999999645E-2</v>
      </c>
      <c r="U222" s="35" t="s">
        <v>394</v>
      </c>
      <c r="V222" s="102" t="s">
        <v>293</v>
      </c>
      <c r="W222" s="478">
        <f>IFERROR(Table6[[#This Row],[Breakdown Time]]*Table6[[#This Row],[Plant Equivalent Weightage]],"")</f>
        <v>3.8461538461538312E-3</v>
      </c>
      <c r="X222" s="473" t="s">
        <v>294</v>
      </c>
      <c r="Y222" s="474" t="s">
        <v>94</v>
      </c>
      <c r="Z222" s="102">
        <v>43699</v>
      </c>
      <c r="AA222" s="468">
        <f>(Table6[[#This Row],[Paired WTG Generation for loss calculation]]/24)*Table6[[#This Row],[Breakdown Time]]</f>
        <v>182.07916666666603</v>
      </c>
      <c r="AB222" s="102"/>
      <c r="AC222" s="35"/>
      <c r="AD222" s="35"/>
    </row>
    <row r="223" spans="1:30">
      <c r="A223" s="102">
        <f t="shared" si="4"/>
        <v>222</v>
      </c>
      <c r="B223" s="468">
        <f>YEAR(Table6[[#This Row],[Date]])+IF(MONTH(Table6[[#This Row],[Date]])&gt;=4,1,0)</f>
        <v>2026</v>
      </c>
      <c r="C223" s="102">
        <f>YEAR(Table6[[#This Row],[Date]])</f>
        <v>2025</v>
      </c>
      <c r="D223" s="102" t="s">
        <v>1992</v>
      </c>
      <c r="E223" s="469">
        <f>Table6[[#This Row],[Date]]-DAY(Table6[[#This Row],[Date]])+1</f>
        <v>45748</v>
      </c>
      <c r="F223" s="470">
        <v>45761</v>
      </c>
      <c r="G223" s="35" t="s">
        <v>90</v>
      </c>
      <c r="H223" s="35" t="str">
        <f>IFERROR(_xlfn.XLOOKUP(Table6[[#This Row],[Affected WTG]],'Basic Data'!$A:$A,'Basic Data'!$B:$B),"")</f>
        <v>TQGXIIPL</v>
      </c>
      <c r="I223" s="35" t="str">
        <f>IFERROR(_xlfn.XLOOKUP(Table6[[#This Row],[Affected WTG]],'Basic Data'!$A:$A,'Basic Data'!$C:$C),"")</f>
        <v>GEDA</v>
      </c>
      <c r="J223" s="471">
        <f>IFERROR(_xlfn.XLOOKUP(Table6[[#This Row],[Affected WTG]],'Basic Data'!$A:$A,'Basic Data'!$E:$E),"")</f>
        <v>3.846153846153845E-2</v>
      </c>
      <c r="K223" s="102">
        <v>1070</v>
      </c>
      <c r="L223" s="35" t="str">
        <f>IFERROR(_xlfn.XLOOKUP(Table6[[#This Row],[Error Code]],'Basic Data'!$AA:$AA,'Basic Data'!$AB:$AB),"Incorrect Error Code")</f>
        <v>Drive train monitor level 2</v>
      </c>
      <c r="M223" s="35" t="s">
        <v>291</v>
      </c>
      <c r="N223" s="475"/>
      <c r="O223" s="476">
        <v>0.14166666666666666</v>
      </c>
      <c r="P223" s="476">
        <v>0.14166666666666666</v>
      </c>
      <c r="Q223" s="477">
        <v>0.15555555555555556</v>
      </c>
      <c r="R223" s="472">
        <f>IF(Table6[[#This Row],[Work Start TimeStamp]]="","",(Table6[[#This Row],[Work Start TimeStamp]]-Table6[[#This Row],[Fault Start TimeStamp]])*24)</f>
        <v>0</v>
      </c>
      <c r="S223" s="472">
        <f>(Table6[[#This Row],[Fault Clearance time]]-Table6[[#This Row],[Work Start TimeStamp]])*24</f>
        <v>0.33333333333333348</v>
      </c>
      <c r="T223" s="472">
        <f>(Table6[[#This Row],[Fault Clearance time]]-Table6[[#This Row],[Fault Start TimeStamp]])*24</f>
        <v>0.33333333333333348</v>
      </c>
      <c r="U223" s="35" t="s">
        <v>349</v>
      </c>
      <c r="V223" s="102" t="s">
        <v>293</v>
      </c>
      <c r="W223" s="478">
        <f>IFERROR(Table6[[#This Row],[Breakdown Time]]*Table6[[#This Row],[Plant Equivalent Weightage]],"")</f>
        <v>1.2820512820512822E-2</v>
      </c>
      <c r="X223" s="473" t="s">
        <v>294</v>
      </c>
      <c r="Y223" s="474" t="s">
        <v>95</v>
      </c>
      <c r="Z223" s="102">
        <v>49144</v>
      </c>
      <c r="AA223" s="468">
        <f>(Table6[[#This Row],[Paired WTG Generation for loss calculation]]/24)*Table6[[#This Row],[Breakdown Time]]</f>
        <v>682.55555555555588</v>
      </c>
      <c r="AB223" s="102"/>
      <c r="AC223" s="35"/>
      <c r="AD223" s="35"/>
    </row>
    <row r="224" spans="1:30">
      <c r="A224" s="102">
        <f t="shared" si="4"/>
        <v>223</v>
      </c>
      <c r="B224" s="468">
        <f>YEAR(Table6[[#This Row],[Date]])+IF(MONTH(Table6[[#This Row],[Date]])&gt;=4,1,0)</f>
        <v>2026</v>
      </c>
      <c r="C224" s="102">
        <f>YEAR(Table6[[#This Row],[Date]])</f>
        <v>2025</v>
      </c>
      <c r="D224" s="102" t="s">
        <v>1992</v>
      </c>
      <c r="E224" s="469">
        <f>Table6[[#This Row],[Date]]-DAY(Table6[[#This Row],[Date]])+1</f>
        <v>45748</v>
      </c>
      <c r="F224" s="470">
        <v>45761</v>
      </c>
      <c r="G224" s="35" t="s">
        <v>90</v>
      </c>
      <c r="H224" s="35" t="str">
        <f>IFERROR(_xlfn.XLOOKUP(Table6[[#This Row],[Affected WTG]],'Basic Data'!$A:$A,'Basic Data'!$B:$B),"")</f>
        <v>TQGXIIPL</v>
      </c>
      <c r="I224" s="35" t="str">
        <f>IFERROR(_xlfn.XLOOKUP(Table6[[#This Row],[Affected WTG]],'Basic Data'!$A:$A,'Basic Data'!$C:$C),"")</f>
        <v>GEDA</v>
      </c>
      <c r="J224" s="471">
        <f>IFERROR(_xlfn.XLOOKUP(Table6[[#This Row],[Affected WTG]],'Basic Data'!$A:$A,'Basic Data'!$E:$E),"")</f>
        <v>3.846153846153845E-2</v>
      </c>
      <c r="K224" s="102">
        <v>55</v>
      </c>
      <c r="L224" s="35" t="str">
        <f>IFERROR(_xlfn.XLOOKUP(Table6[[#This Row],[Error Code]],'Basic Data'!$AA:$AA,'Basic Data'!$AB:$AB),"Incorrect Error Code")</f>
        <v>WTG shut down</v>
      </c>
      <c r="M224" s="35" t="s">
        <v>291</v>
      </c>
      <c r="N224" s="475"/>
      <c r="O224" s="476">
        <v>0.17430555555555555</v>
      </c>
      <c r="P224" s="476">
        <v>0.17430555555555555</v>
      </c>
      <c r="Q224" s="477">
        <v>0.17847222222222223</v>
      </c>
      <c r="R224" s="472">
        <f>IF(Table6[[#This Row],[Work Start TimeStamp]]="","",(Table6[[#This Row],[Work Start TimeStamp]]-Table6[[#This Row],[Fault Start TimeStamp]])*24)</f>
        <v>0</v>
      </c>
      <c r="S224" s="472">
        <f>(Table6[[#This Row],[Fault Clearance time]]-Table6[[#This Row],[Work Start TimeStamp]])*24</f>
        <v>0.10000000000000031</v>
      </c>
      <c r="T224" s="472">
        <f>(Table6[[#This Row],[Fault Clearance time]]-Table6[[#This Row],[Fault Start TimeStamp]])*24</f>
        <v>0.10000000000000031</v>
      </c>
      <c r="U224" s="35" t="s">
        <v>396</v>
      </c>
      <c r="V224" s="102" t="s">
        <v>293</v>
      </c>
      <c r="W224" s="478">
        <f>IFERROR(Table6[[#This Row],[Breakdown Time]]*Table6[[#This Row],[Plant Equivalent Weightage]],"")</f>
        <v>3.8461538461538568E-3</v>
      </c>
      <c r="X224" s="473" t="s">
        <v>290</v>
      </c>
      <c r="Y224" s="474" t="s">
        <v>95</v>
      </c>
      <c r="Z224" s="102">
        <v>49144</v>
      </c>
      <c r="AA224" s="468">
        <f>(Table6[[#This Row],[Paired WTG Generation for loss calculation]]/24)*Table6[[#This Row],[Breakdown Time]]</f>
        <v>204.76666666666731</v>
      </c>
      <c r="AB224" s="102"/>
      <c r="AC224" s="35"/>
      <c r="AD224" s="35"/>
    </row>
    <row r="225" spans="1:30">
      <c r="A225" s="102">
        <f t="shared" si="4"/>
        <v>224</v>
      </c>
      <c r="B225" s="468">
        <f>YEAR(Table6[[#This Row],[Date]])+IF(MONTH(Table6[[#This Row],[Date]])&gt;=4,1,0)</f>
        <v>2026</v>
      </c>
      <c r="C225" s="102">
        <f>YEAR(Table6[[#This Row],[Date]])</f>
        <v>2025</v>
      </c>
      <c r="D225" s="102" t="s">
        <v>1992</v>
      </c>
      <c r="E225" s="469">
        <f>Table6[[#This Row],[Date]]-DAY(Table6[[#This Row],[Date]])+1</f>
        <v>45748</v>
      </c>
      <c r="F225" s="470">
        <v>45761</v>
      </c>
      <c r="G225" s="35" t="s">
        <v>90</v>
      </c>
      <c r="H225" s="35" t="str">
        <f>IFERROR(_xlfn.XLOOKUP(Table6[[#This Row],[Affected WTG]],'Basic Data'!$A:$A,'Basic Data'!$B:$B),"")</f>
        <v>TQGXIIPL</v>
      </c>
      <c r="I225" s="35" t="str">
        <f>IFERROR(_xlfn.XLOOKUP(Table6[[#This Row],[Affected WTG]],'Basic Data'!$A:$A,'Basic Data'!$C:$C),"")</f>
        <v>GEDA</v>
      </c>
      <c r="J225" s="471">
        <f>IFERROR(_xlfn.XLOOKUP(Table6[[#This Row],[Affected WTG]],'Basic Data'!$A:$A,'Basic Data'!$E:$E),"")</f>
        <v>3.846153846153845E-2</v>
      </c>
      <c r="K225" s="102">
        <v>6605</v>
      </c>
      <c r="L225" s="35" t="str">
        <f>IFERROR(_xlfn.XLOOKUP(Table6[[#This Row],[Error Code]],'Basic Data'!$AA:$AA,'Basic Data'!$AB:$AB),"Incorrect Error Code")</f>
        <v>Wind.dir. diff. level 2</v>
      </c>
      <c r="M225" s="35" t="s">
        <v>291</v>
      </c>
      <c r="N225" s="475"/>
      <c r="O225" s="476">
        <v>0.70902777777777781</v>
      </c>
      <c r="P225" s="476">
        <v>0.70902777777777781</v>
      </c>
      <c r="Q225" s="477">
        <v>0.75694444444444442</v>
      </c>
      <c r="R225" s="472">
        <f>IF(Table6[[#This Row],[Work Start TimeStamp]]="","",(Table6[[#This Row],[Work Start TimeStamp]]-Table6[[#This Row],[Fault Start TimeStamp]])*24)</f>
        <v>0</v>
      </c>
      <c r="S225" s="472">
        <f>(Table6[[#This Row],[Fault Clearance time]]-Table6[[#This Row],[Work Start TimeStamp]])*24</f>
        <v>1.1499999999999986</v>
      </c>
      <c r="T225" s="472">
        <f>(Table6[[#This Row],[Fault Clearance time]]-Table6[[#This Row],[Fault Start TimeStamp]])*24</f>
        <v>1.1499999999999986</v>
      </c>
      <c r="U225" s="35" t="s">
        <v>397</v>
      </c>
      <c r="V225" s="102" t="s">
        <v>293</v>
      </c>
      <c r="W225" s="478">
        <f>IFERROR(Table6[[#This Row],[Breakdown Time]]*Table6[[#This Row],[Plant Equivalent Weightage]],"")</f>
        <v>4.4230769230769164E-2</v>
      </c>
      <c r="X225" s="473" t="s">
        <v>294</v>
      </c>
      <c r="Y225" s="474" t="s">
        <v>95</v>
      </c>
      <c r="Z225" s="102">
        <v>49144</v>
      </c>
      <c r="AA225" s="468">
        <f>(Table6[[#This Row],[Paired WTG Generation for loss calculation]]/24)*Table6[[#This Row],[Breakdown Time]]</f>
        <v>2354.8166666666639</v>
      </c>
      <c r="AB225" s="102"/>
      <c r="AC225" s="35"/>
      <c r="AD225" s="35"/>
    </row>
    <row r="226" spans="1:30">
      <c r="A226" s="102">
        <f t="shared" si="4"/>
        <v>225</v>
      </c>
      <c r="B226" s="468">
        <f>YEAR(Table6[[#This Row],[Date]])+IF(MONTH(Table6[[#This Row],[Date]])&gt;=4,1,0)</f>
        <v>2026</v>
      </c>
      <c r="C226" s="102">
        <f>YEAR(Table6[[#This Row],[Date]])</f>
        <v>2025</v>
      </c>
      <c r="D226" s="102" t="s">
        <v>1992</v>
      </c>
      <c r="E226" s="469">
        <f>Table6[[#This Row],[Date]]-DAY(Table6[[#This Row],[Date]])+1</f>
        <v>45748</v>
      </c>
      <c r="F226" s="470">
        <v>45761</v>
      </c>
      <c r="G226" s="35" t="s">
        <v>91</v>
      </c>
      <c r="H226" s="35" t="str">
        <f>IFERROR(_xlfn.XLOOKUP(Table6[[#This Row],[Affected WTG]],'Basic Data'!$A:$A,'Basic Data'!$B:$B),"")</f>
        <v>TQGXIIPL</v>
      </c>
      <c r="I226" s="35" t="str">
        <f>IFERROR(_xlfn.XLOOKUP(Table6[[#This Row],[Affected WTG]],'Basic Data'!$A:$A,'Basic Data'!$C:$C),"")</f>
        <v>GEDA</v>
      </c>
      <c r="J226" s="471">
        <f>IFERROR(_xlfn.XLOOKUP(Table6[[#This Row],[Affected WTG]],'Basic Data'!$A:$A,'Basic Data'!$E:$E),"")</f>
        <v>3.846153846153845E-2</v>
      </c>
      <c r="K226" s="102">
        <v>6130</v>
      </c>
      <c r="L226" s="35" t="str">
        <f>IFERROR(_xlfn.XLOOKUP(Table6[[#This Row],[Error Code]],'Basic Data'!$AA:$AA,'Basic Data'!$AB:$AB),"Incorrect Error Code")</f>
        <v>Yaw speed high</v>
      </c>
      <c r="M226" s="35" t="s">
        <v>291</v>
      </c>
      <c r="N226" s="475"/>
      <c r="O226" s="476">
        <v>0.62708333333333333</v>
      </c>
      <c r="P226" s="476">
        <v>0.62708333333333333</v>
      </c>
      <c r="Q226" s="477">
        <v>0.63124999999999998</v>
      </c>
      <c r="R226" s="472">
        <f>IF(Table6[[#This Row],[Work Start TimeStamp]]="","",(Table6[[#This Row],[Work Start TimeStamp]]-Table6[[#This Row],[Fault Start TimeStamp]])*24)</f>
        <v>0</v>
      </c>
      <c r="S226" s="472">
        <f>(Table6[[#This Row],[Fault Clearance time]]-Table6[[#This Row],[Work Start TimeStamp]])*24</f>
        <v>9.9999999999999645E-2</v>
      </c>
      <c r="T226" s="472">
        <f>(Table6[[#This Row],[Fault Clearance time]]-Table6[[#This Row],[Fault Start TimeStamp]])*24</f>
        <v>9.9999999999999645E-2</v>
      </c>
      <c r="U226" s="35" t="s">
        <v>349</v>
      </c>
      <c r="V226" s="102" t="s">
        <v>293</v>
      </c>
      <c r="W226" s="478">
        <f>IFERROR(Table6[[#This Row],[Breakdown Time]]*Table6[[#This Row],[Plant Equivalent Weightage]],"")</f>
        <v>3.8461538461538312E-3</v>
      </c>
      <c r="X226" s="473" t="s">
        <v>294</v>
      </c>
      <c r="Y226" s="474" t="s">
        <v>79</v>
      </c>
      <c r="Z226" s="102">
        <v>43979</v>
      </c>
      <c r="AA226" s="468">
        <f>(Table6[[#This Row],[Paired WTG Generation for loss calculation]]/24)*Table6[[#This Row],[Breakdown Time]]</f>
        <v>183.24583333333268</v>
      </c>
      <c r="AB226" s="102"/>
      <c r="AC226" s="35"/>
      <c r="AD226" s="35"/>
    </row>
    <row r="227" spans="1:30">
      <c r="A227" s="102">
        <f t="shared" si="4"/>
        <v>226</v>
      </c>
      <c r="B227" s="468">
        <f>YEAR(Table6[[#This Row],[Date]])+IF(MONTH(Table6[[#This Row],[Date]])&gt;=4,1,0)</f>
        <v>2026</v>
      </c>
      <c r="C227" s="102">
        <f>YEAR(Table6[[#This Row],[Date]])</f>
        <v>2025</v>
      </c>
      <c r="D227" s="102" t="s">
        <v>1992</v>
      </c>
      <c r="E227" s="469">
        <f>Table6[[#This Row],[Date]]-DAY(Table6[[#This Row],[Date]])+1</f>
        <v>45748</v>
      </c>
      <c r="F227" s="470">
        <v>45761</v>
      </c>
      <c r="G227" s="35" t="s">
        <v>92</v>
      </c>
      <c r="H227" s="35" t="str">
        <f>IFERROR(_xlfn.XLOOKUP(Table6[[#This Row],[Affected WTG]],'Basic Data'!$A:$A,'Basic Data'!$B:$B),"")</f>
        <v>TQGXIIPL</v>
      </c>
      <c r="I227" s="35" t="str">
        <f>IFERROR(_xlfn.XLOOKUP(Table6[[#This Row],[Affected WTG]],'Basic Data'!$A:$A,'Basic Data'!$C:$C),"")</f>
        <v>GEDA</v>
      </c>
      <c r="J227" s="471">
        <f>IFERROR(_xlfn.XLOOKUP(Table6[[#This Row],[Affected WTG]],'Basic Data'!$A:$A,'Basic Data'!$E:$E),"")</f>
        <v>3.846153846153845E-2</v>
      </c>
      <c r="K227" s="102">
        <v>1700</v>
      </c>
      <c r="L227" s="35" t="str">
        <f>IFERROR(_xlfn.XLOOKUP(Table6[[#This Row],[Error Code]],'Basic Data'!$AA:$AA,'Basic Data'!$AB:$AB),"Incorrect Error Code")</f>
        <v>High temp. gear bearing 1</v>
      </c>
      <c r="M227" s="35" t="s">
        <v>291</v>
      </c>
      <c r="N227" s="475"/>
      <c r="O227" s="476">
        <v>0.73055555555555551</v>
      </c>
      <c r="P227" s="476">
        <v>0.73055555555555551</v>
      </c>
      <c r="Q227" s="477">
        <v>0.75902777777777775</v>
      </c>
      <c r="R227" s="472">
        <f>IF(Table6[[#This Row],[Work Start TimeStamp]]="","",(Table6[[#This Row],[Work Start TimeStamp]]-Table6[[#This Row],[Fault Start TimeStamp]])*24)</f>
        <v>0</v>
      </c>
      <c r="S227" s="472">
        <f>(Table6[[#This Row],[Fault Clearance time]]-Table6[[#This Row],[Work Start TimeStamp]])*24</f>
        <v>0.68333333333333357</v>
      </c>
      <c r="T227" s="472">
        <f>(Table6[[#This Row],[Fault Clearance time]]-Table6[[#This Row],[Fault Start TimeStamp]])*24</f>
        <v>0.68333333333333357</v>
      </c>
      <c r="U227" s="35" t="s">
        <v>398</v>
      </c>
      <c r="V227" s="102" t="s">
        <v>293</v>
      </c>
      <c r="W227" s="478">
        <f>IFERROR(Table6[[#This Row],[Breakdown Time]]*Table6[[#This Row],[Plant Equivalent Weightage]],"")</f>
        <v>2.6282051282051282E-2</v>
      </c>
      <c r="X227" s="473" t="s">
        <v>294</v>
      </c>
      <c r="Y227" s="474" t="s">
        <v>80</v>
      </c>
      <c r="Z227" s="102">
        <v>52855</v>
      </c>
      <c r="AA227" s="468">
        <f>(Table6[[#This Row],[Paired WTG Generation for loss calculation]]/24)*Table6[[#This Row],[Breakdown Time]]</f>
        <v>1504.8993055555559</v>
      </c>
      <c r="AB227" s="102"/>
      <c r="AC227" s="35"/>
      <c r="AD227" s="35"/>
    </row>
    <row r="228" spans="1:30">
      <c r="A228" s="102">
        <f t="shared" si="4"/>
        <v>227</v>
      </c>
      <c r="B228" s="468">
        <f>YEAR(Table6[[#This Row],[Date]])+IF(MONTH(Table6[[#This Row],[Date]])&gt;=4,1,0)</f>
        <v>2026</v>
      </c>
      <c r="C228" s="102">
        <f>YEAR(Table6[[#This Row],[Date]])</f>
        <v>2025</v>
      </c>
      <c r="D228" s="102" t="s">
        <v>1992</v>
      </c>
      <c r="E228" s="469">
        <f>Table6[[#This Row],[Date]]-DAY(Table6[[#This Row],[Date]])+1</f>
        <v>45748</v>
      </c>
      <c r="F228" s="470">
        <v>45761</v>
      </c>
      <c r="G228" s="35" t="s">
        <v>95</v>
      </c>
      <c r="H228" s="35" t="str">
        <f>IFERROR(_xlfn.XLOOKUP(Table6[[#This Row],[Affected WTG]],'Basic Data'!$A:$A,'Basic Data'!$B:$B),"")</f>
        <v>TQGXIIPL</v>
      </c>
      <c r="I228" s="35" t="str">
        <f>IFERROR(_xlfn.XLOOKUP(Table6[[#This Row],[Affected WTG]],'Basic Data'!$A:$A,'Basic Data'!$C:$C),"")</f>
        <v>GEDA</v>
      </c>
      <c r="J228" s="471">
        <f>IFERROR(_xlfn.XLOOKUP(Table6[[#This Row],[Affected WTG]],'Basic Data'!$A:$A,'Basic Data'!$E:$E),"")</f>
        <v>3.846153846153845E-2</v>
      </c>
      <c r="K228" s="102">
        <v>6130</v>
      </c>
      <c r="L228" s="35" t="str">
        <f>IFERROR(_xlfn.XLOOKUP(Table6[[#This Row],[Error Code]],'Basic Data'!$AA:$AA,'Basic Data'!$AB:$AB),"Incorrect Error Code")</f>
        <v>Yaw speed high</v>
      </c>
      <c r="M228" s="35" t="s">
        <v>291</v>
      </c>
      <c r="N228" s="475"/>
      <c r="O228" s="476">
        <v>0.53333333333333333</v>
      </c>
      <c r="P228" s="476">
        <v>0.53333333333333333</v>
      </c>
      <c r="Q228" s="477">
        <v>0.53749999999999998</v>
      </c>
      <c r="R228" s="472">
        <f>IF(Table6[[#This Row],[Work Start TimeStamp]]="","",(Table6[[#This Row],[Work Start TimeStamp]]-Table6[[#This Row],[Fault Start TimeStamp]])*24)</f>
        <v>0</v>
      </c>
      <c r="S228" s="472">
        <f>(Table6[[#This Row],[Fault Clearance time]]-Table6[[#This Row],[Work Start TimeStamp]])*24</f>
        <v>9.9999999999999645E-2</v>
      </c>
      <c r="T228" s="472">
        <f>(Table6[[#This Row],[Fault Clearance time]]-Table6[[#This Row],[Fault Start TimeStamp]])*24</f>
        <v>9.9999999999999645E-2</v>
      </c>
      <c r="U228" s="35" t="s">
        <v>349</v>
      </c>
      <c r="V228" s="102" t="s">
        <v>293</v>
      </c>
      <c r="W228" s="478">
        <f>IFERROR(Table6[[#This Row],[Breakdown Time]]*Table6[[#This Row],[Plant Equivalent Weightage]],"")</f>
        <v>3.8461538461538312E-3</v>
      </c>
      <c r="X228" s="473" t="s">
        <v>294</v>
      </c>
      <c r="Y228" s="474" t="s">
        <v>79</v>
      </c>
      <c r="Z228" s="102">
        <v>43979</v>
      </c>
      <c r="AA228" s="468">
        <f>(Table6[[#This Row],[Paired WTG Generation for loss calculation]]/24)*Table6[[#This Row],[Breakdown Time]]</f>
        <v>183.24583333333268</v>
      </c>
      <c r="AB228" s="102"/>
      <c r="AC228" s="35"/>
      <c r="AD228" s="35"/>
    </row>
    <row r="229" spans="1:30">
      <c r="A229" s="102">
        <f t="shared" si="4"/>
        <v>228</v>
      </c>
      <c r="B229" s="468">
        <f>YEAR(Table6[[#This Row],[Date]])+IF(MONTH(Table6[[#This Row],[Date]])&gt;=4,1,0)</f>
        <v>2026</v>
      </c>
      <c r="C229" s="102">
        <f>YEAR(Table6[[#This Row],[Date]])</f>
        <v>2025</v>
      </c>
      <c r="D229" s="102" t="s">
        <v>1992</v>
      </c>
      <c r="E229" s="469">
        <f>Table6[[#This Row],[Date]]-DAY(Table6[[#This Row],[Date]])+1</f>
        <v>45748</v>
      </c>
      <c r="F229" s="470">
        <v>45761</v>
      </c>
      <c r="G229" s="35" t="s">
        <v>97</v>
      </c>
      <c r="H229" s="35" t="str">
        <f>IFERROR(_xlfn.XLOOKUP(Table6[[#This Row],[Affected WTG]],'Basic Data'!$A:$A,'Basic Data'!$B:$B),"")</f>
        <v>TQGXIIPL</v>
      </c>
      <c r="I229" s="35" t="str">
        <f>IFERROR(_xlfn.XLOOKUP(Table6[[#This Row],[Affected WTG]],'Basic Data'!$A:$A,'Basic Data'!$C:$C),"")</f>
        <v>GEDA</v>
      </c>
      <c r="J229" s="471">
        <f>IFERROR(_xlfn.XLOOKUP(Table6[[#This Row],[Affected WTG]],'Basic Data'!$A:$A,'Basic Data'!$E:$E),"")</f>
        <v>3.846153846153845E-2</v>
      </c>
      <c r="K229" s="102">
        <v>6130</v>
      </c>
      <c r="L229" s="35" t="str">
        <f>IFERROR(_xlfn.XLOOKUP(Table6[[#This Row],[Error Code]],'Basic Data'!$AA:$AA,'Basic Data'!$AB:$AB),"Incorrect Error Code")</f>
        <v>Yaw speed high</v>
      </c>
      <c r="M229" s="35" t="s">
        <v>291</v>
      </c>
      <c r="N229" s="475"/>
      <c r="O229" s="476">
        <v>0.65694444444444444</v>
      </c>
      <c r="P229" s="476">
        <v>0.65694444444444444</v>
      </c>
      <c r="Q229" s="477">
        <v>0.65972222222222221</v>
      </c>
      <c r="R229" s="472">
        <f>IF(Table6[[#This Row],[Work Start TimeStamp]]="","",(Table6[[#This Row],[Work Start TimeStamp]]-Table6[[#This Row],[Fault Start TimeStamp]])*24)</f>
        <v>0</v>
      </c>
      <c r="S229" s="472">
        <f>(Table6[[#This Row],[Fault Clearance time]]-Table6[[#This Row],[Work Start TimeStamp]])*24</f>
        <v>6.666666666666643E-2</v>
      </c>
      <c r="T229" s="472">
        <f>(Table6[[#This Row],[Fault Clearance time]]-Table6[[#This Row],[Fault Start TimeStamp]])*24</f>
        <v>6.666666666666643E-2</v>
      </c>
      <c r="U229" s="35" t="s">
        <v>349</v>
      </c>
      <c r="V229" s="102" t="s">
        <v>293</v>
      </c>
      <c r="W229" s="478">
        <f>IFERROR(Table6[[#This Row],[Breakdown Time]]*Table6[[#This Row],[Plant Equivalent Weightage]],"")</f>
        <v>2.5641025641025541E-3</v>
      </c>
      <c r="X229" s="473" t="s">
        <v>294</v>
      </c>
      <c r="Y229" s="474" t="s">
        <v>93</v>
      </c>
      <c r="Z229" s="102">
        <v>47867</v>
      </c>
      <c r="AA229" s="468">
        <f>(Table6[[#This Row],[Paired WTG Generation for loss calculation]]/24)*Table6[[#This Row],[Breakdown Time]]</f>
        <v>132.96388888888842</v>
      </c>
      <c r="AB229" s="102"/>
      <c r="AC229" s="35"/>
      <c r="AD229" s="35"/>
    </row>
    <row r="230" spans="1:30">
      <c r="A230" s="102">
        <f t="shared" si="4"/>
        <v>229</v>
      </c>
      <c r="B230" s="468">
        <f>YEAR(Table6[[#This Row],[Date]])+IF(MONTH(Table6[[#This Row],[Date]])&gt;=4,1,0)</f>
        <v>2026</v>
      </c>
      <c r="C230" s="102">
        <f>YEAR(Table6[[#This Row],[Date]])</f>
        <v>2025</v>
      </c>
      <c r="D230" s="102" t="s">
        <v>1992</v>
      </c>
      <c r="E230" s="469">
        <f>Table6[[#This Row],[Date]]-DAY(Table6[[#This Row],[Date]])+1</f>
        <v>45748</v>
      </c>
      <c r="F230" s="470">
        <v>45761</v>
      </c>
      <c r="G230" s="35" t="s">
        <v>98</v>
      </c>
      <c r="H230" s="35" t="str">
        <f>IFERROR(_xlfn.XLOOKUP(Table6[[#This Row],[Affected WTG]],'Basic Data'!$A:$A,'Basic Data'!$B:$B),"")</f>
        <v>TQGXIIPL</v>
      </c>
      <c r="I230" s="35" t="str">
        <f>IFERROR(_xlfn.XLOOKUP(Table6[[#This Row],[Affected WTG]],'Basic Data'!$A:$A,'Basic Data'!$C:$C),"")</f>
        <v>GEDA</v>
      </c>
      <c r="J230" s="471">
        <f>IFERROR(_xlfn.XLOOKUP(Table6[[#This Row],[Affected WTG]],'Basic Data'!$A:$A,'Basic Data'!$E:$E),"")</f>
        <v>3.846153846153845E-2</v>
      </c>
      <c r="K230" s="102">
        <v>1070</v>
      </c>
      <c r="L230" s="35" t="str">
        <f>IFERROR(_xlfn.XLOOKUP(Table6[[#This Row],[Error Code]],'Basic Data'!$AA:$AA,'Basic Data'!$AB:$AB),"Incorrect Error Code")</f>
        <v>Drive train monitor level 2</v>
      </c>
      <c r="M230" s="35" t="s">
        <v>291</v>
      </c>
      <c r="N230" s="475"/>
      <c r="O230" s="476">
        <v>9.7222222222222224E-3</v>
      </c>
      <c r="P230" s="476">
        <v>9.7222222222222224E-3</v>
      </c>
      <c r="Q230" s="477">
        <v>1.8055555555555554E-2</v>
      </c>
      <c r="R230" s="472">
        <f>IF(Table6[[#This Row],[Work Start TimeStamp]]="","",(Table6[[#This Row],[Work Start TimeStamp]]-Table6[[#This Row],[Fault Start TimeStamp]])*24)</f>
        <v>0</v>
      </c>
      <c r="S230" s="472">
        <f>(Table6[[#This Row],[Fault Clearance time]]-Table6[[#This Row],[Work Start TimeStamp]])*24</f>
        <v>0.19999999999999996</v>
      </c>
      <c r="T230" s="472">
        <f>(Table6[[#This Row],[Fault Clearance time]]-Table6[[#This Row],[Fault Start TimeStamp]])*24</f>
        <v>0.19999999999999996</v>
      </c>
      <c r="U230" s="35" t="s">
        <v>396</v>
      </c>
      <c r="V230" s="102" t="s">
        <v>293</v>
      </c>
      <c r="W230" s="478">
        <f>IFERROR(Table6[[#This Row],[Breakdown Time]]*Table6[[#This Row],[Plant Equivalent Weightage]],"")</f>
        <v>7.6923076923076884E-3</v>
      </c>
      <c r="X230" s="473" t="s">
        <v>294</v>
      </c>
      <c r="Y230" s="474" t="s">
        <v>74</v>
      </c>
      <c r="Z230" s="102">
        <v>49494</v>
      </c>
      <c r="AA230" s="468">
        <f>(Table6[[#This Row],[Paired WTG Generation for loss calculation]]/24)*Table6[[#This Row],[Breakdown Time]]</f>
        <v>412.44999999999993</v>
      </c>
      <c r="AB230" s="102"/>
      <c r="AC230" s="35"/>
      <c r="AD230" s="35"/>
    </row>
    <row r="231" spans="1:30">
      <c r="A231" s="102">
        <f t="shared" si="4"/>
        <v>230</v>
      </c>
      <c r="B231" s="468">
        <f>YEAR(Table6[[#This Row],[Date]])+IF(MONTH(Table6[[#This Row],[Date]])&gt;=4,1,0)</f>
        <v>2026</v>
      </c>
      <c r="C231" s="102">
        <f>YEAR(Table6[[#This Row],[Date]])</f>
        <v>2025</v>
      </c>
      <c r="D231" s="102" t="s">
        <v>1992</v>
      </c>
      <c r="E231" s="469">
        <f>Table6[[#This Row],[Date]]-DAY(Table6[[#This Row],[Date]])+1</f>
        <v>45748</v>
      </c>
      <c r="F231" s="470">
        <v>45761</v>
      </c>
      <c r="G231" s="35" t="s">
        <v>98</v>
      </c>
      <c r="H231" s="35" t="str">
        <f>IFERROR(_xlfn.XLOOKUP(Table6[[#This Row],[Affected WTG]],'Basic Data'!$A:$A,'Basic Data'!$B:$B),"")</f>
        <v>TQGXIIPL</v>
      </c>
      <c r="I231" s="35" t="str">
        <f>IFERROR(_xlfn.XLOOKUP(Table6[[#This Row],[Affected WTG]],'Basic Data'!$A:$A,'Basic Data'!$C:$C),"")</f>
        <v>GEDA</v>
      </c>
      <c r="J231" s="471">
        <f>IFERROR(_xlfn.XLOOKUP(Table6[[#This Row],[Affected WTG]],'Basic Data'!$A:$A,'Basic Data'!$E:$E),"")</f>
        <v>3.846153846153845E-2</v>
      </c>
      <c r="K231" s="102">
        <v>55</v>
      </c>
      <c r="L231" s="35" t="str">
        <f>IFERROR(_xlfn.XLOOKUP(Table6[[#This Row],[Error Code]],'Basic Data'!$AA:$AA,'Basic Data'!$AB:$AB),"Incorrect Error Code")</f>
        <v>WTG shut down</v>
      </c>
      <c r="M231" s="35" t="s">
        <v>291</v>
      </c>
      <c r="N231" s="475"/>
      <c r="O231" s="476">
        <v>0.41666666666666669</v>
      </c>
      <c r="P231" s="476">
        <v>0.41666666666666669</v>
      </c>
      <c r="Q231" s="477">
        <v>0.43472222222222223</v>
      </c>
      <c r="R231" s="472">
        <f>IF(Table6[[#This Row],[Work Start TimeStamp]]="","",(Table6[[#This Row],[Work Start TimeStamp]]-Table6[[#This Row],[Fault Start TimeStamp]])*24)</f>
        <v>0</v>
      </c>
      <c r="S231" s="472">
        <f>(Table6[[#This Row],[Fault Clearance time]]-Table6[[#This Row],[Work Start TimeStamp]])*24</f>
        <v>0.43333333333333313</v>
      </c>
      <c r="T231" s="472">
        <f>(Table6[[#This Row],[Fault Clearance time]]-Table6[[#This Row],[Fault Start TimeStamp]])*24</f>
        <v>0.43333333333333313</v>
      </c>
      <c r="U231" s="35" t="s">
        <v>389</v>
      </c>
      <c r="V231" s="102" t="s">
        <v>293</v>
      </c>
      <c r="W231" s="478">
        <f>IFERROR(Table6[[#This Row],[Breakdown Time]]*Table6[[#This Row],[Plant Equivalent Weightage]],"")</f>
        <v>1.6666666666666653E-2</v>
      </c>
      <c r="X231" s="473" t="s">
        <v>290</v>
      </c>
      <c r="Y231" s="474" t="s">
        <v>74</v>
      </c>
      <c r="Z231" s="102">
        <v>49494</v>
      </c>
      <c r="AA231" s="468">
        <f>(Table6[[#This Row],[Paired WTG Generation for loss calculation]]/24)*Table6[[#This Row],[Breakdown Time]]</f>
        <v>893.6416666666662</v>
      </c>
      <c r="AB231" s="102"/>
      <c r="AC231" s="35"/>
      <c r="AD231" s="35"/>
    </row>
    <row r="232" spans="1:30">
      <c r="A232" s="102">
        <f t="shared" si="4"/>
        <v>231</v>
      </c>
      <c r="B232" s="468">
        <f>YEAR(Table6[[#This Row],[Date]])+IF(MONTH(Table6[[#This Row],[Date]])&gt;=4,1,0)</f>
        <v>2026</v>
      </c>
      <c r="C232" s="102">
        <f>YEAR(Table6[[#This Row],[Date]])</f>
        <v>2025</v>
      </c>
      <c r="D232" s="102" t="s">
        <v>1992</v>
      </c>
      <c r="E232" s="469">
        <f>Table6[[#This Row],[Date]]-DAY(Table6[[#This Row],[Date]])+1</f>
        <v>45748</v>
      </c>
      <c r="F232" s="470">
        <v>45761</v>
      </c>
      <c r="G232" s="35" t="s">
        <v>98</v>
      </c>
      <c r="H232" s="35" t="str">
        <f>IFERROR(_xlfn.XLOOKUP(Table6[[#This Row],[Affected WTG]],'Basic Data'!$A:$A,'Basic Data'!$B:$B),"")</f>
        <v>TQGXIIPL</v>
      </c>
      <c r="I232" s="35" t="str">
        <f>IFERROR(_xlfn.XLOOKUP(Table6[[#This Row],[Affected WTG]],'Basic Data'!$A:$A,'Basic Data'!$C:$C),"")</f>
        <v>GEDA</v>
      </c>
      <c r="J232" s="471">
        <f>IFERROR(_xlfn.XLOOKUP(Table6[[#This Row],[Affected WTG]],'Basic Data'!$A:$A,'Basic Data'!$E:$E),"")</f>
        <v>3.846153846153845E-2</v>
      </c>
      <c r="K232" s="102">
        <v>1700</v>
      </c>
      <c r="L232" s="35" t="str">
        <f>IFERROR(_xlfn.XLOOKUP(Table6[[#This Row],[Error Code]],'Basic Data'!$AA:$AA,'Basic Data'!$AB:$AB),"Incorrect Error Code")</f>
        <v>High temp. gear bearing 1</v>
      </c>
      <c r="M232" s="35" t="s">
        <v>291</v>
      </c>
      <c r="N232" s="475"/>
      <c r="O232" s="476">
        <v>0.70625000000000004</v>
      </c>
      <c r="P232" s="476">
        <v>0.70625000000000004</v>
      </c>
      <c r="Q232" s="477">
        <v>0.75208333333333333</v>
      </c>
      <c r="R232" s="472">
        <f>IF(Table6[[#This Row],[Work Start TimeStamp]]="","",(Table6[[#This Row],[Work Start TimeStamp]]-Table6[[#This Row],[Fault Start TimeStamp]])*24)</f>
        <v>0</v>
      </c>
      <c r="S232" s="472">
        <f>(Table6[[#This Row],[Fault Clearance time]]-Table6[[#This Row],[Work Start TimeStamp]])*24</f>
        <v>1.0999999999999988</v>
      </c>
      <c r="T232" s="472">
        <f>(Table6[[#This Row],[Fault Clearance time]]-Table6[[#This Row],[Fault Start TimeStamp]])*24</f>
        <v>1.0999999999999988</v>
      </c>
      <c r="U232" s="35" t="s">
        <v>398</v>
      </c>
      <c r="V232" s="102" t="s">
        <v>293</v>
      </c>
      <c r="W232" s="478">
        <f>IFERROR(Table6[[#This Row],[Breakdown Time]]*Table6[[#This Row],[Plant Equivalent Weightage]],"")</f>
        <v>4.2307692307692248E-2</v>
      </c>
      <c r="X232" s="473" t="s">
        <v>294</v>
      </c>
      <c r="Y232" s="474" t="s">
        <v>74</v>
      </c>
      <c r="Z232" s="102">
        <v>49494</v>
      </c>
      <c r="AA232" s="468">
        <f>(Table6[[#This Row],[Paired WTG Generation for loss calculation]]/24)*Table6[[#This Row],[Breakdown Time]]</f>
        <v>2268.4749999999976</v>
      </c>
      <c r="AB232" s="102"/>
      <c r="AC232" s="35"/>
      <c r="AD232" s="35"/>
    </row>
    <row r="233" spans="1:30">
      <c r="A233" s="102">
        <f t="shared" si="4"/>
        <v>232</v>
      </c>
      <c r="B233" s="468">
        <f>YEAR(Table6[[#This Row],[Date]])+IF(MONTH(Table6[[#This Row],[Date]])&gt;=4,1,0)</f>
        <v>2026</v>
      </c>
      <c r="C233" s="102">
        <f>YEAR(Table6[[#This Row],[Date]])</f>
        <v>2025</v>
      </c>
      <c r="D233" s="102" t="s">
        <v>1992</v>
      </c>
      <c r="E233" s="469">
        <f>Table6[[#This Row],[Date]]-DAY(Table6[[#This Row],[Date]])+1</f>
        <v>45748</v>
      </c>
      <c r="F233" s="470">
        <v>45761</v>
      </c>
      <c r="G233" s="35" t="s">
        <v>98</v>
      </c>
      <c r="H233" s="35" t="str">
        <f>IFERROR(_xlfn.XLOOKUP(Table6[[#This Row],[Affected WTG]],'Basic Data'!$A:$A,'Basic Data'!$B:$B),"")</f>
        <v>TQGXIIPL</v>
      </c>
      <c r="I233" s="35" t="str">
        <f>IFERROR(_xlfn.XLOOKUP(Table6[[#This Row],[Affected WTG]],'Basic Data'!$A:$A,'Basic Data'!$C:$C),"")</f>
        <v>GEDA</v>
      </c>
      <c r="J233" s="471">
        <f>IFERROR(_xlfn.XLOOKUP(Table6[[#This Row],[Affected WTG]],'Basic Data'!$A:$A,'Basic Data'!$E:$E),"")</f>
        <v>3.846153846153845E-2</v>
      </c>
      <c r="K233" s="102">
        <v>55</v>
      </c>
      <c r="L233" s="35" t="str">
        <f>IFERROR(_xlfn.XLOOKUP(Table6[[#This Row],[Error Code]],'Basic Data'!$AA:$AA,'Basic Data'!$AB:$AB),"Incorrect Error Code")</f>
        <v>WTG shut down</v>
      </c>
      <c r="M233" s="35" t="s">
        <v>330</v>
      </c>
      <c r="N233" s="475"/>
      <c r="O233" s="476">
        <v>0.76736111111111116</v>
      </c>
      <c r="P233" s="476">
        <v>0.76736111111111116</v>
      </c>
      <c r="Q233" s="477">
        <v>0.96319444444444446</v>
      </c>
      <c r="R233" s="472">
        <f>IF(Table6[[#This Row],[Work Start TimeStamp]]="","",(Table6[[#This Row],[Work Start TimeStamp]]-Table6[[#This Row],[Fault Start TimeStamp]])*24)</f>
        <v>0</v>
      </c>
      <c r="S233" s="472">
        <f>(Table6[[#This Row],[Fault Clearance time]]-Table6[[#This Row],[Work Start TimeStamp]])*24</f>
        <v>4.6999999999999993</v>
      </c>
      <c r="T233" s="472">
        <f>(Table6[[#This Row],[Fault Clearance time]]-Table6[[#This Row],[Fault Start TimeStamp]])*24</f>
        <v>4.6999999999999993</v>
      </c>
      <c r="U233" s="35" t="s">
        <v>337</v>
      </c>
      <c r="V233" s="102" t="s">
        <v>293</v>
      </c>
      <c r="W233" s="478">
        <f>IFERROR(Table6[[#This Row],[Breakdown Time]]*Table6[[#This Row],[Plant Equivalent Weightage]],"")</f>
        <v>0.18076923076923068</v>
      </c>
      <c r="X233" s="473" t="s">
        <v>290</v>
      </c>
      <c r="Y233" s="474" t="s">
        <v>74</v>
      </c>
      <c r="Z233" s="102">
        <v>49494</v>
      </c>
      <c r="AA233" s="468">
        <f>(Table6[[#This Row],[Paired WTG Generation for loss calculation]]/24)*Table6[[#This Row],[Breakdown Time]]</f>
        <v>9692.5749999999989</v>
      </c>
      <c r="AB233" s="102"/>
      <c r="AC233" s="35"/>
      <c r="AD233" s="35"/>
    </row>
    <row r="234" spans="1:30">
      <c r="A234" s="102">
        <f t="shared" si="4"/>
        <v>233</v>
      </c>
      <c r="B234" s="468">
        <f>YEAR(Table6[[#This Row],[Date]])+IF(MONTH(Table6[[#This Row],[Date]])&gt;=4,1,0)</f>
        <v>2026</v>
      </c>
      <c r="C234" s="102">
        <f>YEAR(Table6[[#This Row],[Date]])</f>
        <v>2025</v>
      </c>
      <c r="D234" s="102" t="s">
        <v>1992</v>
      </c>
      <c r="E234" s="469">
        <f>Table6[[#This Row],[Date]]-DAY(Table6[[#This Row],[Date]])+1</f>
        <v>45748</v>
      </c>
      <c r="F234" s="470">
        <v>45762</v>
      </c>
      <c r="G234" s="35" t="s">
        <v>78</v>
      </c>
      <c r="H234" s="35" t="str">
        <f>IFERROR(_xlfn.XLOOKUP(Table6[[#This Row],[Affected WTG]],'Basic Data'!$A:$A,'Basic Data'!$B:$B),"")</f>
        <v>TQGXIIPL</v>
      </c>
      <c r="I234" s="35" t="str">
        <f>IFERROR(_xlfn.XLOOKUP(Table6[[#This Row],[Affected WTG]],'Basic Data'!$A:$A,'Basic Data'!$C:$C),"")</f>
        <v>GEDA</v>
      </c>
      <c r="J234" s="471">
        <f>IFERROR(_xlfn.XLOOKUP(Table6[[#This Row],[Affected WTG]],'Basic Data'!$A:$A,'Basic Data'!$E:$E),"")</f>
        <v>3.846153846153845E-2</v>
      </c>
      <c r="K234" s="102">
        <v>3211</v>
      </c>
      <c r="L234" s="35" t="str">
        <f>IFERROR(_xlfn.XLOOKUP(Table6[[#This Row],[Error Code]],'Basic Data'!$AA:$AA,'Basic Data'!$AB:$AB),"Incorrect Error Code")</f>
        <v>Conv. load shedding (CAN)</v>
      </c>
      <c r="M234" s="35" t="s">
        <v>291</v>
      </c>
      <c r="N234" s="475"/>
      <c r="O234" s="476">
        <v>0.11180555555555556</v>
      </c>
      <c r="P234" s="476">
        <v>0.11180555555555556</v>
      </c>
      <c r="Q234" s="477">
        <v>0.11736111111111111</v>
      </c>
      <c r="R234" s="472">
        <f>IF(Table6[[#This Row],[Work Start TimeStamp]]="","",(Table6[[#This Row],[Work Start TimeStamp]]-Table6[[#This Row],[Fault Start TimeStamp]])*24)</f>
        <v>0</v>
      </c>
      <c r="S234" s="472">
        <f>(Table6[[#This Row],[Fault Clearance time]]-Table6[[#This Row],[Work Start TimeStamp]])*24</f>
        <v>0.13333333333333319</v>
      </c>
      <c r="T234" s="472">
        <f>(Table6[[#This Row],[Fault Clearance time]]-Table6[[#This Row],[Fault Start TimeStamp]])*24</f>
        <v>0.13333333333333319</v>
      </c>
      <c r="U234" s="35" t="s">
        <v>349</v>
      </c>
      <c r="V234" s="102" t="s">
        <v>293</v>
      </c>
      <c r="W234" s="478">
        <f>IFERROR(Table6[[#This Row],[Breakdown Time]]*Table6[[#This Row],[Plant Equivalent Weightage]],"")</f>
        <v>5.1282051282051213E-3</v>
      </c>
      <c r="X234" s="473" t="s">
        <v>294</v>
      </c>
      <c r="Y234" s="474" t="s">
        <v>75</v>
      </c>
      <c r="Z234" s="102">
        <v>48545</v>
      </c>
      <c r="AA234" s="468">
        <f>(Table6[[#This Row],[Paired WTG Generation for loss calculation]]/24)*Table6[[#This Row],[Breakdown Time]]</f>
        <v>269.69444444444417</v>
      </c>
      <c r="AB234" s="102"/>
      <c r="AC234" s="35"/>
      <c r="AD234" s="35"/>
    </row>
    <row r="235" spans="1:30">
      <c r="A235" s="102">
        <f t="shared" si="4"/>
        <v>234</v>
      </c>
      <c r="B235" s="468">
        <f>YEAR(Table6[[#This Row],[Date]])+IF(MONTH(Table6[[#This Row],[Date]])&gt;=4,1,0)</f>
        <v>2026</v>
      </c>
      <c r="C235" s="102">
        <f>YEAR(Table6[[#This Row],[Date]])</f>
        <v>2025</v>
      </c>
      <c r="D235" s="102" t="s">
        <v>1992</v>
      </c>
      <c r="E235" s="469">
        <f>Table6[[#This Row],[Date]]-DAY(Table6[[#This Row],[Date]])+1</f>
        <v>45748</v>
      </c>
      <c r="F235" s="470">
        <v>45762</v>
      </c>
      <c r="G235" s="35" t="s">
        <v>78</v>
      </c>
      <c r="H235" s="35" t="str">
        <f>IFERROR(_xlfn.XLOOKUP(Table6[[#This Row],[Affected WTG]],'Basic Data'!$A:$A,'Basic Data'!$B:$B),"")</f>
        <v>TQGXIIPL</v>
      </c>
      <c r="I235" s="35" t="str">
        <f>IFERROR(_xlfn.XLOOKUP(Table6[[#This Row],[Affected WTG]],'Basic Data'!$A:$A,'Basic Data'!$C:$C),"")</f>
        <v>GEDA</v>
      </c>
      <c r="J235" s="471">
        <f>IFERROR(_xlfn.XLOOKUP(Table6[[#This Row],[Affected WTG]],'Basic Data'!$A:$A,'Basic Data'!$E:$E),"")</f>
        <v>3.846153846153845E-2</v>
      </c>
      <c r="K235" s="102">
        <v>3010</v>
      </c>
      <c r="L235" s="35" t="str">
        <f>IFERROR(_xlfn.XLOOKUP(Table6[[#This Row],[Error Code]],'Basic Data'!$AA:$AA,'Basic Data'!$AB:$AB),"Incorrect Error Code")</f>
        <v>Conv. comm.error</v>
      </c>
      <c r="M235" s="35" t="s">
        <v>291</v>
      </c>
      <c r="N235" s="475"/>
      <c r="O235" s="476">
        <v>0.12152777777777778</v>
      </c>
      <c r="P235" s="476">
        <v>0.12152777777777778</v>
      </c>
      <c r="Q235" s="477">
        <v>0.12986111111111112</v>
      </c>
      <c r="R235" s="472">
        <f>IF(Table6[[#This Row],[Work Start TimeStamp]]="","",(Table6[[#This Row],[Work Start TimeStamp]]-Table6[[#This Row],[Fault Start TimeStamp]])*24)</f>
        <v>0</v>
      </c>
      <c r="S235" s="472">
        <f>(Table6[[#This Row],[Fault Clearance time]]-Table6[[#This Row],[Work Start TimeStamp]])*24</f>
        <v>0.20000000000000029</v>
      </c>
      <c r="T235" s="472">
        <f>(Table6[[#This Row],[Fault Clearance time]]-Table6[[#This Row],[Fault Start TimeStamp]])*24</f>
        <v>0.20000000000000029</v>
      </c>
      <c r="U235" s="35" t="s">
        <v>349</v>
      </c>
      <c r="V235" s="102" t="s">
        <v>293</v>
      </c>
      <c r="W235" s="478">
        <f>IFERROR(Table6[[#This Row],[Breakdown Time]]*Table6[[#This Row],[Plant Equivalent Weightage]],"")</f>
        <v>7.6923076923077014E-3</v>
      </c>
      <c r="X235" s="473" t="s">
        <v>294</v>
      </c>
      <c r="Y235" s="474" t="s">
        <v>75</v>
      </c>
      <c r="Z235" s="102">
        <v>48545</v>
      </c>
      <c r="AA235" s="468">
        <f>(Table6[[#This Row],[Paired WTG Generation for loss calculation]]/24)*Table6[[#This Row],[Breakdown Time]]</f>
        <v>404.54166666666725</v>
      </c>
      <c r="AB235" s="102"/>
      <c r="AC235" s="35"/>
      <c r="AD235" s="35"/>
    </row>
    <row r="236" spans="1:30">
      <c r="A236" s="102">
        <f t="shared" si="4"/>
        <v>235</v>
      </c>
      <c r="B236" s="468">
        <f>YEAR(Table6[[#This Row],[Date]])+IF(MONTH(Table6[[#This Row],[Date]])&gt;=4,1,0)</f>
        <v>2026</v>
      </c>
      <c r="C236" s="102">
        <f>YEAR(Table6[[#This Row],[Date]])</f>
        <v>2025</v>
      </c>
      <c r="D236" s="102" t="s">
        <v>1992</v>
      </c>
      <c r="E236" s="469">
        <f>Table6[[#This Row],[Date]]-DAY(Table6[[#This Row],[Date]])+1</f>
        <v>45748</v>
      </c>
      <c r="F236" s="470">
        <v>45762</v>
      </c>
      <c r="G236" s="35" t="s">
        <v>78</v>
      </c>
      <c r="H236" s="35" t="str">
        <f>IFERROR(_xlfn.XLOOKUP(Table6[[#This Row],[Affected WTG]],'Basic Data'!$A:$A,'Basic Data'!$B:$B),"")</f>
        <v>TQGXIIPL</v>
      </c>
      <c r="I236" s="35" t="str">
        <f>IFERROR(_xlfn.XLOOKUP(Table6[[#This Row],[Affected WTG]],'Basic Data'!$A:$A,'Basic Data'!$C:$C),"")</f>
        <v>GEDA</v>
      </c>
      <c r="J236" s="471">
        <f>IFERROR(_xlfn.XLOOKUP(Table6[[#This Row],[Affected WTG]],'Basic Data'!$A:$A,'Basic Data'!$E:$E),"")</f>
        <v>3.846153846153845E-2</v>
      </c>
      <c r="K236" s="102">
        <v>55</v>
      </c>
      <c r="L236" s="35" t="str">
        <f>IFERROR(_xlfn.XLOOKUP(Table6[[#This Row],[Error Code]],'Basic Data'!$AA:$AA,'Basic Data'!$AB:$AB),"Incorrect Error Code")</f>
        <v>WTG shut down</v>
      </c>
      <c r="M236" s="35" t="s">
        <v>330</v>
      </c>
      <c r="N236" s="475"/>
      <c r="O236" s="476">
        <v>0.14583333333333334</v>
      </c>
      <c r="P236" s="476">
        <v>0.14583333333333334</v>
      </c>
      <c r="Q236" s="477">
        <v>0.34930555555555554</v>
      </c>
      <c r="R236" s="472">
        <f>IF(Table6[[#This Row],[Work Start TimeStamp]]="","",(Table6[[#This Row],[Work Start TimeStamp]]-Table6[[#This Row],[Fault Start TimeStamp]])*24)</f>
        <v>0</v>
      </c>
      <c r="S236" s="472">
        <f>(Table6[[#This Row],[Fault Clearance time]]-Table6[[#This Row],[Work Start TimeStamp]])*24</f>
        <v>4.8833333333333329</v>
      </c>
      <c r="T236" s="472">
        <f>(Table6[[#This Row],[Fault Clearance time]]-Table6[[#This Row],[Fault Start TimeStamp]])*24</f>
        <v>4.8833333333333329</v>
      </c>
      <c r="U236" s="35" t="s">
        <v>337</v>
      </c>
      <c r="V236" s="102" t="s">
        <v>293</v>
      </c>
      <c r="W236" s="478">
        <f>IFERROR(Table6[[#This Row],[Breakdown Time]]*Table6[[#This Row],[Plant Equivalent Weightage]],"")</f>
        <v>0.18782051282051274</v>
      </c>
      <c r="X236" s="473" t="s">
        <v>290</v>
      </c>
      <c r="Y236" s="474" t="s">
        <v>75</v>
      </c>
      <c r="Z236" s="102">
        <v>48545</v>
      </c>
      <c r="AA236" s="468">
        <f>(Table6[[#This Row],[Paired WTG Generation for loss calculation]]/24)*Table6[[#This Row],[Breakdown Time]]</f>
        <v>9877.5590277777756</v>
      </c>
      <c r="AB236" s="102"/>
      <c r="AC236" s="35"/>
      <c r="AD236" s="35"/>
    </row>
    <row r="237" spans="1:30">
      <c r="A237" s="102">
        <f t="shared" si="4"/>
        <v>236</v>
      </c>
      <c r="B237" s="468">
        <f>YEAR(Table6[[#This Row],[Date]])+IF(MONTH(Table6[[#This Row],[Date]])&gt;=4,1,0)</f>
        <v>2026</v>
      </c>
      <c r="C237" s="102">
        <f>YEAR(Table6[[#This Row],[Date]])</f>
        <v>2025</v>
      </c>
      <c r="D237" s="102" t="s">
        <v>1992</v>
      </c>
      <c r="E237" s="469">
        <f>Table6[[#This Row],[Date]]-DAY(Table6[[#This Row],[Date]])+1</f>
        <v>45748</v>
      </c>
      <c r="F237" s="470">
        <v>45762</v>
      </c>
      <c r="G237" s="35" t="s">
        <v>79</v>
      </c>
      <c r="H237" s="35" t="str">
        <f>IFERROR(_xlfn.XLOOKUP(Table6[[#This Row],[Affected WTG]],'Basic Data'!$A:$A,'Basic Data'!$B:$B),"")</f>
        <v>TQGXIIPL</v>
      </c>
      <c r="I237" s="35" t="str">
        <f>IFERROR(_xlfn.XLOOKUP(Table6[[#This Row],[Affected WTG]],'Basic Data'!$A:$A,'Basic Data'!$C:$C),"")</f>
        <v>GEDA</v>
      </c>
      <c r="J237" s="471">
        <f>IFERROR(_xlfn.XLOOKUP(Table6[[#This Row],[Affected WTG]],'Basic Data'!$A:$A,'Basic Data'!$E:$E),"")</f>
        <v>3.846153846153845E-2</v>
      </c>
      <c r="K237" s="102">
        <v>6130</v>
      </c>
      <c r="L237" s="35" t="str">
        <f>IFERROR(_xlfn.XLOOKUP(Table6[[#This Row],[Error Code]],'Basic Data'!$AA:$AA,'Basic Data'!$AB:$AB),"Incorrect Error Code")</f>
        <v>Yaw speed high</v>
      </c>
      <c r="M237" s="35" t="s">
        <v>292</v>
      </c>
      <c r="N237" s="475"/>
      <c r="O237" s="476">
        <v>0.3659722222222222</v>
      </c>
      <c r="P237" s="476">
        <v>0.3659722222222222</v>
      </c>
      <c r="Q237" s="477">
        <v>0.37013888888888891</v>
      </c>
      <c r="R237" s="472">
        <f>IF(Table6[[#This Row],[Work Start TimeStamp]]="","",(Table6[[#This Row],[Work Start TimeStamp]]-Table6[[#This Row],[Fault Start TimeStamp]])*24)</f>
        <v>0</v>
      </c>
      <c r="S237" s="472">
        <f>(Table6[[#This Row],[Fault Clearance time]]-Table6[[#This Row],[Work Start TimeStamp]])*24</f>
        <v>0.10000000000000098</v>
      </c>
      <c r="T237" s="472">
        <f>(Table6[[#This Row],[Fault Clearance time]]-Table6[[#This Row],[Fault Start TimeStamp]])*24</f>
        <v>0.10000000000000098</v>
      </c>
      <c r="U237" s="35" t="s">
        <v>336</v>
      </c>
      <c r="V237" s="102" t="s">
        <v>293</v>
      </c>
      <c r="W237" s="478">
        <f>IFERROR(Table6[[#This Row],[Breakdown Time]]*Table6[[#This Row],[Plant Equivalent Weightage]],"")</f>
        <v>3.8461538461538824E-3</v>
      </c>
      <c r="X237" s="473" t="s">
        <v>294</v>
      </c>
      <c r="Y237" s="474" t="s">
        <v>94</v>
      </c>
      <c r="Z237" s="102">
        <v>46010</v>
      </c>
      <c r="AA237" s="468">
        <f>(Table6[[#This Row],[Paired WTG Generation for loss calculation]]/24)*Table6[[#This Row],[Breakdown Time]]</f>
        <v>191.70833333333519</v>
      </c>
      <c r="AB237" s="102"/>
      <c r="AC237" s="35"/>
      <c r="AD237" s="35"/>
    </row>
    <row r="238" spans="1:30">
      <c r="A238" s="102">
        <f t="shared" si="4"/>
        <v>237</v>
      </c>
      <c r="B238" s="468">
        <f>YEAR(Table6[[#This Row],[Date]])+IF(MONTH(Table6[[#This Row],[Date]])&gt;=4,1,0)</f>
        <v>2026</v>
      </c>
      <c r="C238" s="102">
        <f>YEAR(Table6[[#This Row],[Date]])</f>
        <v>2025</v>
      </c>
      <c r="D238" s="102" t="s">
        <v>1992</v>
      </c>
      <c r="E238" s="469">
        <f>Table6[[#This Row],[Date]]-DAY(Table6[[#This Row],[Date]])+1</f>
        <v>45748</v>
      </c>
      <c r="F238" s="470">
        <v>45762</v>
      </c>
      <c r="G238" s="35" t="s">
        <v>82</v>
      </c>
      <c r="H238" s="35" t="str">
        <f>IFERROR(_xlfn.XLOOKUP(Table6[[#This Row],[Affected WTG]],'Basic Data'!$A:$A,'Basic Data'!$B:$B),"")</f>
        <v>TQGXIIPL</v>
      </c>
      <c r="I238" s="35" t="str">
        <f>IFERROR(_xlfn.XLOOKUP(Table6[[#This Row],[Affected WTG]],'Basic Data'!$A:$A,'Basic Data'!$C:$C),"")</f>
        <v>GEDA</v>
      </c>
      <c r="J238" s="471">
        <f>IFERROR(_xlfn.XLOOKUP(Table6[[#This Row],[Affected WTG]],'Basic Data'!$A:$A,'Basic Data'!$E:$E),"")</f>
        <v>3.846153846153845E-2</v>
      </c>
      <c r="K238" s="102">
        <v>55</v>
      </c>
      <c r="L238" s="35" t="str">
        <f>IFERROR(_xlfn.XLOOKUP(Table6[[#This Row],[Error Code]],'Basic Data'!$AA:$AA,'Basic Data'!$AB:$AB),"Incorrect Error Code")</f>
        <v>WTG shut down</v>
      </c>
      <c r="M238" s="35" t="s">
        <v>330</v>
      </c>
      <c r="N238" s="475"/>
      <c r="O238" s="476">
        <v>0.13055555555555556</v>
      </c>
      <c r="P238" s="476">
        <v>0.13055555555555556</v>
      </c>
      <c r="Q238" s="477">
        <v>0.34583333333333333</v>
      </c>
      <c r="R238" s="472">
        <f>IF(Table6[[#This Row],[Work Start TimeStamp]]="","",(Table6[[#This Row],[Work Start TimeStamp]]-Table6[[#This Row],[Fault Start TimeStamp]])*24)</f>
        <v>0</v>
      </c>
      <c r="S238" s="472">
        <f>(Table6[[#This Row],[Fault Clearance time]]-Table6[[#This Row],[Work Start TimeStamp]])*24</f>
        <v>5.1666666666666661</v>
      </c>
      <c r="T238" s="472">
        <f>(Table6[[#This Row],[Fault Clearance time]]-Table6[[#This Row],[Fault Start TimeStamp]])*24</f>
        <v>5.1666666666666661</v>
      </c>
      <c r="U238" s="35" t="s">
        <v>337</v>
      </c>
      <c r="V238" s="102" t="s">
        <v>293</v>
      </c>
      <c r="W238" s="478">
        <f>IFERROR(Table6[[#This Row],[Breakdown Time]]*Table6[[#This Row],[Plant Equivalent Weightage]],"")</f>
        <v>0.19871794871794862</v>
      </c>
      <c r="X238" s="473" t="s">
        <v>290</v>
      </c>
      <c r="Y238" s="474" t="s">
        <v>76</v>
      </c>
      <c r="Z238" s="102">
        <v>39223</v>
      </c>
      <c r="AA238" s="468">
        <f>(Table6[[#This Row],[Paired WTG Generation for loss calculation]]/24)*Table6[[#This Row],[Breakdown Time]]</f>
        <v>8443.8402777777774</v>
      </c>
      <c r="AB238" s="102"/>
      <c r="AC238" s="35"/>
      <c r="AD238" s="35"/>
    </row>
    <row r="239" spans="1:30">
      <c r="A239" s="102">
        <f t="shared" si="4"/>
        <v>238</v>
      </c>
      <c r="B239" s="468">
        <f>YEAR(Table6[[#This Row],[Date]])+IF(MONTH(Table6[[#This Row],[Date]])&gt;=4,1,0)</f>
        <v>2026</v>
      </c>
      <c r="C239" s="102">
        <f>YEAR(Table6[[#This Row],[Date]])</f>
        <v>2025</v>
      </c>
      <c r="D239" s="102" t="s">
        <v>1992</v>
      </c>
      <c r="E239" s="469">
        <f>Table6[[#This Row],[Date]]-DAY(Table6[[#This Row],[Date]])+1</f>
        <v>45748</v>
      </c>
      <c r="F239" s="470">
        <v>45762</v>
      </c>
      <c r="G239" s="35" t="s">
        <v>83</v>
      </c>
      <c r="H239" s="35" t="str">
        <f>IFERROR(_xlfn.XLOOKUP(Table6[[#This Row],[Affected WTG]],'Basic Data'!$A:$A,'Basic Data'!$B:$B),"")</f>
        <v>TQGXIIPL</v>
      </c>
      <c r="I239" s="35" t="str">
        <f>IFERROR(_xlfn.XLOOKUP(Table6[[#This Row],[Affected WTG]],'Basic Data'!$A:$A,'Basic Data'!$C:$C),"")</f>
        <v>GEDA</v>
      </c>
      <c r="J239" s="471">
        <f>IFERROR(_xlfn.XLOOKUP(Table6[[#This Row],[Affected WTG]],'Basic Data'!$A:$A,'Basic Data'!$E:$E),"")</f>
        <v>3.846153846153845E-2</v>
      </c>
      <c r="K239" s="102">
        <v>55</v>
      </c>
      <c r="L239" s="35" t="str">
        <f>IFERROR(_xlfn.XLOOKUP(Table6[[#This Row],[Error Code]],'Basic Data'!$AA:$AA,'Basic Data'!$AB:$AB),"Incorrect Error Code")</f>
        <v>WTG shut down</v>
      </c>
      <c r="M239" s="35" t="s">
        <v>291</v>
      </c>
      <c r="N239" s="475"/>
      <c r="O239" s="476">
        <v>0.53888888888888886</v>
      </c>
      <c r="P239" s="476">
        <v>0.53888888888888886</v>
      </c>
      <c r="Q239" s="477">
        <v>0.56111111111111112</v>
      </c>
      <c r="R239" s="472">
        <f>IF(Table6[[#This Row],[Work Start TimeStamp]]="","",(Table6[[#This Row],[Work Start TimeStamp]]-Table6[[#This Row],[Fault Start TimeStamp]])*24)</f>
        <v>0</v>
      </c>
      <c r="S239" s="472">
        <f>(Table6[[#This Row],[Fault Clearance time]]-Table6[[#This Row],[Work Start TimeStamp]])*24</f>
        <v>0.5333333333333341</v>
      </c>
      <c r="T239" s="472">
        <f>(Table6[[#This Row],[Fault Clearance time]]-Table6[[#This Row],[Fault Start TimeStamp]])*24</f>
        <v>0.5333333333333341</v>
      </c>
      <c r="U239" s="35" t="s">
        <v>399</v>
      </c>
      <c r="V239" s="102" t="s">
        <v>293</v>
      </c>
      <c r="W239" s="478">
        <f>IFERROR(Table6[[#This Row],[Breakdown Time]]*Table6[[#This Row],[Plant Equivalent Weightage]],"")</f>
        <v>2.0512820512820537E-2</v>
      </c>
      <c r="X239" s="473" t="s">
        <v>290</v>
      </c>
      <c r="Y239" s="474" t="s">
        <v>88</v>
      </c>
      <c r="Z239" s="102">
        <v>44736</v>
      </c>
      <c r="AA239" s="468">
        <f>(Table6[[#This Row],[Paired WTG Generation for loss calculation]]/24)*Table6[[#This Row],[Breakdown Time]]</f>
        <v>994.1333333333348</v>
      </c>
      <c r="AB239" s="102"/>
      <c r="AC239" s="35"/>
      <c r="AD239" s="35"/>
    </row>
    <row r="240" spans="1:30">
      <c r="A240" s="102">
        <f t="shared" si="4"/>
        <v>239</v>
      </c>
      <c r="B240" s="468">
        <f>YEAR(Table6[[#This Row],[Date]])+IF(MONTH(Table6[[#This Row],[Date]])&gt;=4,1,0)</f>
        <v>2026</v>
      </c>
      <c r="C240" s="102">
        <f>YEAR(Table6[[#This Row],[Date]])</f>
        <v>2025</v>
      </c>
      <c r="D240" s="102" t="s">
        <v>1992</v>
      </c>
      <c r="E240" s="469">
        <f>Table6[[#This Row],[Date]]-DAY(Table6[[#This Row],[Date]])+1</f>
        <v>45748</v>
      </c>
      <c r="F240" s="470">
        <v>45762</v>
      </c>
      <c r="G240" s="35" t="s">
        <v>83</v>
      </c>
      <c r="H240" s="35" t="str">
        <f>IFERROR(_xlfn.XLOOKUP(Table6[[#This Row],[Affected WTG]],'Basic Data'!$A:$A,'Basic Data'!$B:$B),"")</f>
        <v>TQGXIIPL</v>
      </c>
      <c r="I240" s="35" t="str">
        <f>IFERROR(_xlfn.XLOOKUP(Table6[[#This Row],[Affected WTG]],'Basic Data'!$A:$A,'Basic Data'!$C:$C),"")</f>
        <v>GEDA</v>
      </c>
      <c r="J240" s="471">
        <f>IFERROR(_xlfn.XLOOKUP(Table6[[#This Row],[Affected WTG]],'Basic Data'!$A:$A,'Basic Data'!$E:$E),"")</f>
        <v>3.846153846153845E-2</v>
      </c>
      <c r="K240" s="102">
        <v>6130</v>
      </c>
      <c r="L240" s="35" t="str">
        <f>IFERROR(_xlfn.XLOOKUP(Table6[[#This Row],[Error Code]],'Basic Data'!$AA:$AA,'Basic Data'!$AB:$AB),"Incorrect Error Code")</f>
        <v>Yaw speed high</v>
      </c>
      <c r="M240" s="35" t="s">
        <v>291</v>
      </c>
      <c r="N240" s="475"/>
      <c r="O240" s="476">
        <v>0.6694444444444444</v>
      </c>
      <c r="P240" s="476">
        <v>0.6694444444444444</v>
      </c>
      <c r="Q240" s="477">
        <v>0.67291666666666672</v>
      </c>
      <c r="R240" s="472">
        <f>IF(Table6[[#This Row],[Work Start TimeStamp]]="","",(Table6[[#This Row],[Work Start TimeStamp]]-Table6[[#This Row],[Fault Start TimeStamp]])*24)</f>
        <v>0</v>
      </c>
      <c r="S240" s="472">
        <f>(Table6[[#This Row],[Fault Clearance time]]-Table6[[#This Row],[Work Start TimeStamp]])*24</f>
        <v>8.3333333333335702E-2</v>
      </c>
      <c r="T240" s="472">
        <f>(Table6[[#This Row],[Fault Clearance time]]-Table6[[#This Row],[Fault Start TimeStamp]])*24</f>
        <v>8.3333333333335702E-2</v>
      </c>
      <c r="U240" s="35" t="s">
        <v>336</v>
      </c>
      <c r="V240" s="102" t="s">
        <v>293</v>
      </c>
      <c r="W240" s="478">
        <f>IFERROR(Table6[[#This Row],[Breakdown Time]]*Table6[[#This Row],[Plant Equivalent Weightage]],"")</f>
        <v>3.2051282051282952E-3</v>
      </c>
      <c r="X240" s="473" t="s">
        <v>294</v>
      </c>
      <c r="Y240" s="474" t="s">
        <v>88</v>
      </c>
      <c r="Z240" s="102">
        <v>44736</v>
      </c>
      <c r="AA240" s="468">
        <f>(Table6[[#This Row],[Paired WTG Generation for loss calculation]]/24)*Table6[[#This Row],[Breakdown Time]]</f>
        <v>155.33333333333775</v>
      </c>
      <c r="AB240" s="102"/>
      <c r="AC240" s="35"/>
      <c r="AD240" s="35"/>
    </row>
    <row r="241" spans="1:30">
      <c r="A241" s="102">
        <f t="shared" si="4"/>
        <v>240</v>
      </c>
      <c r="B241" s="468">
        <f>YEAR(Table6[[#This Row],[Date]])+IF(MONTH(Table6[[#This Row],[Date]])&gt;=4,1,0)</f>
        <v>2026</v>
      </c>
      <c r="C241" s="102">
        <f>YEAR(Table6[[#This Row],[Date]])</f>
        <v>2025</v>
      </c>
      <c r="D241" s="102" t="s">
        <v>1992</v>
      </c>
      <c r="E241" s="469">
        <f>Table6[[#This Row],[Date]]-DAY(Table6[[#This Row],[Date]])+1</f>
        <v>45748</v>
      </c>
      <c r="F241" s="470">
        <v>45762</v>
      </c>
      <c r="G241" s="35" t="s">
        <v>84</v>
      </c>
      <c r="H241" s="35" t="str">
        <f>IFERROR(_xlfn.XLOOKUP(Table6[[#This Row],[Affected WTG]],'Basic Data'!$A:$A,'Basic Data'!$B:$B),"")</f>
        <v>TQGXIIPL</v>
      </c>
      <c r="I241" s="35" t="str">
        <f>IFERROR(_xlfn.XLOOKUP(Table6[[#This Row],[Affected WTG]],'Basic Data'!$A:$A,'Basic Data'!$C:$C),"")</f>
        <v>GEDA</v>
      </c>
      <c r="J241" s="471">
        <f>IFERROR(_xlfn.XLOOKUP(Table6[[#This Row],[Affected WTG]],'Basic Data'!$A:$A,'Basic Data'!$E:$E),"")</f>
        <v>3.846153846153845E-2</v>
      </c>
      <c r="K241" s="102">
        <v>6130</v>
      </c>
      <c r="L241" s="35" t="str">
        <f>IFERROR(_xlfn.XLOOKUP(Table6[[#This Row],[Error Code]],'Basic Data'!$AA:$AA,'Basic Data'!$AB:$AB),"Incorrect Error Code")</f>
        <v>Yaw speed high</v>
      </c>
      <c r="M241" s="35" t="s">
        <v>291</v>
      </c>
      <c r="N241" s="475"/>
      <c r="O241" s="476">
        <v>0.58611111111111114</v>
      </c>
      <c r="P241" s="476">
        <v>0.58611111111111114</v>
      </c>
      <c r="Q241" s="477">
        <v>0.59027777777777779</v>
      </c>
      <c r="R241" s="472">
        <f>IF(Table6[[#This Row],[Work Start TimeStamp]]="","",(Table6[[#This Row],[Work Start TimeStamp]]-Table6[[#This Row],[Fault Start TimeStamp]])*24)</f>
        <v>0</v>
      </c>
      <c r="S241" s="472">
        <f>(Table6[[#This Row],[Fault Clearance time]]-Table6[[#This Row],[Work Start TimeStamp]])*24</f>
        <v>9.9999999999999645E-2</v>
      </c>
      <c r="T241" s="472">
        <f>(Table6[[#This Row],[Fault Clearance time]]-Table6[[#This Row],[Fault Start TimeStamp]])*24</f>
        <v>9.9999999999999645E-2</v>
      </c>
      <c r="U241" s="35" t="s">
        <v>336</v>
      </c>
      <c r="V241" s="102" t="s">
        <v>293</v>
      </c>
      <c r="W241" s="478">
        <f>IFERROR(Table6[[#This Row],[Breakdown Time]]*Table6[[#This Row],[Plant Equivalent Weightage]],"")</f>
        <v>3.8461538461538312E-3</v>
      </c>
      <c r="X241" s="473" t="s">
        <v>294</v>
      </c>
      <c r="Y241" s="474" t="s">
        <v>85</v>
      </c>
      <c r="Z241" s="102">
        <v>40662</v>
      </c>
      <c r="AA241" s="468">
        <f>(Table6[[#This Row],[Paired WTG Generation for loss calculation]]/24)*Table6[[#This Row],[Breakdown Time]]</f>
        <v>169.42499999999939</v>
      </c>
      <c r="AB241" s="102"/>
      <c r="AC241" s="35"/>
      <c r="AD241" s="35"/>
    </row>
    <row r="242" spans="1:30">
      <c r="A242" s="102">
        <f t="shared" si="4"/>
        <v>241</v>
      </c>
      <c r="B242" s="468">
        <f>YEAR(Table6[[#This Row],[Date]])+IF(MONTH(Table6[[#This Row],[Date]])&gt;=4,1,0)</f>
        <v>2026</v>
      </c>
      <c r="C242" s="102">
        <f>YEAR(Table6[[#This Row],[Date]])</f>
        <v>2025</v>
      </c>
      <c r="D242" s="102" t="s">
        <v>1992</v>
      </c>
      <c r="E242" s="469">
        <f>Table6[[#This Row],[Date]]-DAY(Table6[[#This Row],[Date]])+1</f>
        <v>45748</v>
      </c>
      <c r="F242" s="470">
        <v>45762</v>
      </c>
      <c r="G242" s="35" t="s">
        <v>89</v>
      </c>
      <c r="H242" s="35" t="str">
        <f>IFERROR(_xlfn.XLOOKUP(Table6[[#This Row],[Affected WTG]],'Basic Data'!$A:$A,'Basic Data'!$B:$B),"")</f>
        <v>TQGXIIPL</v>
      </c>
      <c r="I242" s="35" t="str">
        <f>IFERROR(_xlfn.XLOOKUP(Table6[[#This Row],[Affected WTG]],'Basic Data'!$A:$A,'Basic Data'!$C:$C),"")</f>
        <v>GEDA</v>
      </c>
      <c r="J242" s="471">
        <f>IFERROR(_xlfn.XLOOKUP(Table6[[#This Row],[Affected WTG]],'Basic Data'!$A:$A,'Basic Data'!$E:$E),"")</f>
        <v>3.846153846153845E-2</v>
      </c>
      <c r="K242" s="102">
        <v>55</v>
      </c>
      <c r="L242" s="35" t="str">
        <f>IFERROR(_xlfn.XLOOKUP(Table6[[#This Row],[Error Code]],'Basic Data'!$AA:$AA,'Basic Data'!$AB:$AB),"Incorrect Error Code")</f>
        <v>WTG shut down</v>
      </c>
      <c r="M242" s="35" t="s">
        <v>304</v>
      </c>
      <c r="N242" s="475"/>
      <c r="O242" s="476">
        <v>0.29305555555555557</v>
      </c>
      <c r="P242" s="476">
        <v>0.30069444444444443</v>
      </c>
      <c r="Q242" s="477">
        <v>0.53333333333333333</v>
      </c>
      <c r="R242" s="472">
        <f>IF(Table6[[#This Row],[Work Start TimeStamp]]="","",(Table6[[#This Row],[Work Start TimeStamp]]-Table6[[#This Row],[Fault Start TimeStamp]])*24)</f>
        <v>0.18333333333333268</v>
      </c>
      <c r="S242" s="472">
        <f>(Table6[[#This Row],[Fault Clearance time]]-Table6[[#This Row],[Work Start TimeStamp]])*24</f>
        <v>5.5833333333333339</v>
      </c>
      <c r="T242" s="472">
        <f>(Table6[[#This Row],[Fault Clearance time]]-Table6[[#This Row],[Fault Start TimeStamp]])*24</f>
        <v>5.7666666666666657</v>
      </c>
      <c r="U242" s="35" t="s">
        <v>400</v>
      </c>
      <c r="V242" s="102" t="s">
        <v>293</v>
      </c>
      <c r="W242" s="478">
        <f>IFERROR(Table6[[#This Row],[Breakdown Time]]*Table6[[#This Row],[Plant Equivalent Weightage]],"")</f>
        <v>0.2217948717948717</v>
      </c>
      <c r="X242" s="473" t="s">
        <v>305</v>
      </c>
      <c r="Y242" s="474" t="s">
        <v>94</v>
      </c>
      <c r="Z242" s="102">
        <v>46010</v>
      </c>
      <c r="AA242" s="468">
        <f>(Table6[[#This Row],[Paired WTG Generation for loss calculation]]/24)*Table6[[#This Row],[Breakdown Time]]</f>
        <v>11055.180555555553</v>
      </c>
      <c r="AB242" s="102"/>
      <c r="AC242" s="35"/>
      <c r="AD242" s="35"/>
    </row>
    <row r="243" spans="1:30">
      <c r="A243" s="102">
        <f t="shared" si="4"/>
        <v>242</v>
      </c>
      <c r="B243" s="468">
        <f>YEAR(Table6[[#This Row],[Date]])+IF(MONTH(Table6[[#This Row],[Date]])&gt;=4,1,0)</f>
        <v>2026</v>
      </c>
      <c r="C243" s="102">
        <f>YEAR(Table6[[#This Row],[Date]])</f>
        <v>2025</v>
      </c>
      <c r="D243" s="102" t="s">
        <v>1992</v>
      </c>
      <c r="E243" s="469">
        <f>Table6[[#This Row],[Date]]-DAY(Table6[[#This Row],[Date]])+1</f>
        <v>45748</v>
      </c>
      <c r="F243" s="470">
        <v>45762</v>
      </c>
      <c r="G243" s="35" t="s">
        <v>89</v>
      </c>
      <c r="H243" s="35" t="str">
        <f>IFERROR(_xlfn.XLOOKUP(Table6[[#This Row],[Affected WTG]],'Basic Data'!$A:$A,'Basic Data'!$B:$B),"")</f>
        <v>TQGXIIPL</v>
      </c>
      <c r="I243" s="35" t="str">
        <f>IFERROR(_xlfn.XLOOKUP(Table6[[#This Row],[Affected WTG]],'Basic Data'!$A:$A,'Basic Data'!$C:$C),"")</f>
        <v>GEDA</v>
      </c>
      <c r="J243" s="471">
        <f>IFERROR(_xlfn.XLOOKUP(Table6[[#This Row],[Affected WTG]],'Basic Data'!$A:$A,'Basic Data'!$E:$E),"")</f>
        <v>3.846153846153845E-2</v>
      </c>
      <c r="K243" s="102">
        <v>665</v>
      </c>
      <c r="L243" s="35" t="str">
        <f>IFERROR(_xlfn.XLOOKUP(Table6[[#This Row],[Error Code]],'Basic Data'!$AA:$AA,'Basic Data'!$AB:$AB),"Incorrect Error Code")</f>
        <v>Pitch error</v>
      </c>
      <c r="M243" s="35" t="s">
        <v>291</v>
      </c>
      <c r="N243" s="475"/>
      <c r="O243" s="476">
        <v>0.62986111111111109</v>
      </c>
      <c r="P243" s="476">
        <v>0.62986111111111109</v>
      </c>
      <c r="Q243" s="477">
        <v>0.63402777777777775</v>
      </c>
      <c r="R243" s="472">
        <f>IF(Table6[[#This Row],[Work Start TimeStamp]]="","",(Table6[[#This Row],[Work Start TimeStamp]]-Table6[[#This Row],[Fault Start TimeStamp]])*24)</f>
        <v>0</v>
      </c>
      <c r="S243" s="472">
        <f>(Table6[[#This Row],[Fault Clearance time]]-Table6[[#This Row],[Work Start TimeStamp]])*24</f>
        <v>9.9999999999999645E-2</v>
      </c>
      <c r="T243" s="472">
        <f>(Table6[[#This Row],[Fault Clearance time]]-Table6[[#This Row],[Fault Start TimeStamp]])*24</f>
        <v>9.9999999999999645E-2</v>
      </c>
      <c r="U243" s="35" t="s">
        <v>349</v>
      </c>
      <c r="V243" s="102" t="s">
        <v>293</v>
      </c>
      <c r="W243" s="478">
        <f>IFERROR(Table6[[#This Row],[Breakdown Time]]*Table6[[#This Row],[Plant Equivalent Weightage]],"")</f>
        <v>3.8461538461538312E-3</v>
      </c>
      <c r="X243" s="473" t="s">
        <v>294</v>
      </c>
      <c r="Y243" s="474" t="s">
        <v>94</v>
      </c>
      <c r="Z243" s="102">
        <v>46010</v>
      </c>
      <c r="AA243" s="468">
        <f>(Table6[[#This Row],[Paired WTG Generation for loss calculation]]/24)*Table6[[#This Row],[Breakdown Time]]</f>
        <v>191.70833333333263</v>
      </c>
      <c r="AB243" s="102"/>
      <c r="AC243" s="35"/>
      <c r="AD243" s="35"/>
    </row>
    <row r="244" spans="1:30">
      <c r="A244" s="102">
        <f t="shared" si="4"/>
        <v>243</v>
      </c>
      <c r="B244" s="468">
        <f>YEAR(Table6[[#This Row],[Date]])+IF(MONTH(Table6[[#This Row],[Date]])&gt;=4,1,0)</f>
        <v>2026</v>
      </c>
      <c r="C244" s="102">
        <f>YEAR(Table6[[#This Row],[Date]])</f>
        <v>2025</v>
      </c>
      <c r="D244" s="102" t="s">
        <v>1992</v>
      </c>
      <c r="E244" s="469">
        <f>Table6[[#This Row],[Date]]-DAY(Table6[[#This Row],[Date]])+1</f>
        <v>45748</v>
      </c>
      <c r="F244" s="470">
        <v>45762</v>
      </c>
      <c r="G244" s="35" t="s">
        <v>90</v>
      </c>
      <c r="H244" s="35" t="str">
        <f>IFERROR(_xlfn.XLOOKUP(Table6[[#This Row],[Affected WTG]],'Basic Data'!$A:$A,'Basic Data'!$B:$B),"")</f>
        <v>TQGXIIPL</v>
      </c>
      <c r="I244" s="35" t="str">
        <f>IFERROR(_xlfn.XLOOKUP(Table6[[#This Row],[Affected WTG]],'Basic Data'!$A:$A,'Basic Data'!$C:$C),"")</f>
        <v>GEDA</v>
      </c>
      <c r="J244" s="471">
        <f>IFERROR(_xlfn.XLOOKUP(Table6[[#This Row],[Affected WTG]],'Basic Data'!$A:$A,'Basic Data'!$E:$E),"")</f>
        <v>3.846153846153845E-2</v>
      </c>
      <c r="K244" s="102">
        <v>3211</v>
      </c>
      <c r="L244" s="35" t="str">
        <f>IFERROR(_xlfn.XLOOKUP(Table6[[#This Row],[Error Code]],'Basic Data'!$AA:$AA,'Basic Data'!$AB:$AB),"Incorrect Error Code")</f>
        <v>Conv. load shedding (CAN)</v>
      </c>
      <c r="M244" s="35" t="s">
        <v>291</v>
      </c>
      <c r="N244" s="475"/>
      <c r="O244" s="476">
        <v>0.18333333333333332</v>
      </c>
      <c r="P244" s="476">
        <v>0.18333333333333332</v>
      </c>
      <c r="Q244" s="477">
        <v>0.19513888888888889</v>
      </c>
      <c r="R244" s="472">
        <f>IF(Table6[[#This Row],[Work Start TimeStamp]]="","",(Table6[[#This Row],[Work Start TimeStamp]]-Table6[[#This Row],[Fault Start TimeStamp]])*24)</f>
        <v>0</v>
      </c>
      <c r="S244" s="472">
        <f>(Table6[[#This Row],[Fault Clearance time]]-Table6[[#This Row],[Work Start TimeStamp]])*24</f>
        <v>0.28333333333333366</v>
      </c>
      <c r="T244" s="472">
        <f>(Table6[[#This Row],[Fault Clearance time]]-Table6[[#This Row],[Fault Start TimeStamp]])*24</f>
        <v>0.28333333333333366</v>
      </c>
      <c r="U244" s="35" t="s">
        <v>349</v>
      </c>
      <c r="V244" s="102" t="s">
        <v>293</v>
      </c>
      <c r="W244" s="478">
        <f>IFERROR(Table6[[#This Row],[Breakdown Time]]*Table6[[#This Row],[Plant Equivalent Weightage]],"")</f>
        <v>1.0897435897435907E-2</v>
      </c>
      <c r="X244" s="473" t="s">
        <v>294</v>
      </c>
      <c r="Y244" s="474" t="s">
        <v>95</v>
      </c>
      <c r="Z244" s="102">
        <v>50084</v>
      </c>
      <c r="AA244" s="468">
        <f>(Table6[[#This Row],[Paired WTG Generation for loss calculation]]/24)*Table6[[#This Row],[Breakdown Time]]</f>
        <v>591.26944444444518</v>
      </c>
      <c r="AB244" s="102"/>
      <c r="AC244" s="35"/>
      <c r="AD244" s="35"/>
    </row>
    <row r="245" spans="1:30">
      <c r="A245" s="102">
        <f t="shared" si="4"/>
        <v>244</v>
      </c>
      <c r="B245" s="468">
        <f>YEAR(Table6[[#This Row],[Date]])+IF(MONTH(Table6[[#This Row],[Date]])&gt;=4,1,0)</f>
        <v>2026</v>
      </c>
      <c r="C245" s="102">
        <f>YEAR(Table6[[#This Row],[Date]])</f>
        <v>2025</v>
      </c>
      <c r="D245" s="102" t="s">
        <v>1992</v>
      </c>
      <c r="E245" s="469">
        <f>Table6[[#This Row],[Date]]-DAY(Table6[[#This Row],[Date]])+1</f>
        <v>45748</v>
      </c>
      <c r="F245" s="470">
        <v>45762</v>
      </c>
      <c r="G245" s="35" t="s">
        <v>90</v>
      </c>
      <c r="H245" s="35" t="str">
        <f>IFERROR(_xlfn.XLOOKUP(Table6[[#This Row],[Affected WTG]],'Basic Data'!$A:$A,'Basic Data'!$B:$B),"")</f>
        <v>TQGXIIPL</v>
      </c>
      <c r="I245" s="35" t="str">
        <f>IFERROR(_xlfn.XLOOKUP(Table6[[#This Row],[Affected WTG]],'Basic Data'!$A:$A,'Basic Data'!$C:$C),"")</f>
        <v>GEDA</v>
      </c>
      <c r="J245" s="471">
        <f>IFERROR(_xlfn.XLOOKUP(Table6[[#This Row],[Affected WTG]],'Basic Data'!$A:$A,'Basic Data'!$E:$E),"")</f>
        <v>3.846153846153845E-2</v>
      </c>
      <c r="K245" s="102">
        <v>55</v>
      </c>
      <c r="L245" s="35" t="str">
        <f>IFERROR(_xlfn.XLOOKUP(Table6[[#This Row],[Error Code]],'Basic Data'!$AA:$AA,'Basic Data'!$AB:$AB),"Incorrect Error Code")</f>
        <v>WTG shut down</v>
      </c>
      <c r="M245" s="35" t="s">
        <v>295</v>
      </c>
      <c r="N245" s="475"/>
      <c r="O245" s="476">
        <v>0.35555555555555557</v>
      </c>
      <c r="P245" s="476">
        <v>0.37222222222222223</v>
      </c>
      <c r="Q245" s="477">
        <v>1</v>
      </c>
      <c r="R245" s="472">
        <f>IF(Table6[[#This Row],[Work Start TimeStamp]]="","",(Table6[[#This Row],[Work Start TimeStamp]]-Table6[[#This Row],[Fault Start TimeStamp]])*24)</f>
        <v>0.39999999999999991</v>
      </c>
      <c r="S245" s="472">
        <f>(Table6[[#This Row],[Fault Clearance time]]-Table6[[#This Row],[Work Start TimeStamp]])*24</f>
        <v>15.066666666666666</v>
      </c>
      <c r="T245" s="472">
        <f>(Table6[[#This Row],[Fault Clearance time]]-Table6[[#This Row],[Fault Start TimeStamp]])*24</f>
        <v>15.466666666666665</v>
      </c>
      <c r="U245" s="35" t="s">
        <v>401</v>
      </c>
      <c r="V245" s="102" t="s">
        <v>335</v>
      </c>
      <c r="W245" s="478">
        <f>IFERROR(Table6[[#This Row],[Breakdown Time]]*Table6[[#This Row],[Plant Equivalent Weightage]],"")</f>
        <v>0.59487179487179465</v>
      </c>
      <c r="X245" s="473" t="s">
        <v>290</v>
      </c>
      <c r="Y245" s="474" t="s">
        <v>95</v>
      </c>
      <c r="Z245" s="102">
        <v>50084</v>
      </c>
      <c r="AA245" s="468">
        <f>(Table6[[#This Row],[Paired WTG Generation for loss calculation]]/24)*Table6[[#This Row],[Breakdown Time]]</f>
        <v>32276.355555555554</v>
      </c>
      <c r="AB245" s="102"/>
      <c r="AC245" s="35"/>
      <c r="AD245" s="35"/>
    </row>
    <row r="246" spans="1:30">
      <c r="A246" s="102">
        <f t="shared" si="4"/>
        <v>245</v>
      </c>
      <c r="B246" s="468">
        <f>YEAR(Table6[[#This Row],[Date]])+IF(MONTH(Table6[[#This Row],[Date]])&gt;=4,1,0)</f>
        <v>2026</v>
      </c>
      <c r="C246" s="102">
        <f>YEAR(Table6[[#This Row],[Date]])</f>
        <v>2025</v>
      </c>
      <c r="D246" s="102" t="s">
        <v>1992</v>
      </c>
      <c r="E246" s="469">
        <f>Table6[[#This Row],[Date]]-DAY(Table6[[#This Row],[Date]])+1</f>
        <v>45748</v>
      </c>
      <c r="F246" s="470">
        <v>45762</v>
      </c>
      <c r="G246" s="35" t="s">
        <v>92</v>
      </c>
      <c r="H246" s="35" t="str">
        <f>IFERROR(_xlfn.XLOOKUP(Table6[[#This Row],[Affected WTG]],'Basic Data'!$A:$A,'Basic Data'!$B:$B),"")</f>
        <v>TQGXIIPL</v>
      </c>
      <c r="I246" s="35" t="str">
        <f>IFERROR(_xlfn.XLOOKUP(Table6[[#This Row],[Affected WTG]],'Basic Data'!$A:$A,'Basic Data'!$C:$C),"")</f>
        <v>GEDA</v>
      </c>
      <c r="J246" s="471">
        <f>IFERROR(_xlfn.XLOOKUP(Table6[[#This Row],[Affected WTG]],'Basic Data'!$A:$A,'Basic Data'!$E:$E),"")</f>
        <v>3.846153846153845E-2</v>
      </c>
      <c r="K246" s="102">
        <v>1700</v>
      </c>
      <c r="L246" s="35" t="str">
        <f>IFERROR(_xlfn.XLOOKUP(Table6[[#This Row],[Error Code]],'Basic Data'!$AA:$AA,'Basic Data'!$AB:$AB),"Incorrect Error Code")</f>
        <v>High temp. gear bearing 1</v>
      </c>
      <c r="M246" s="35" t="s">
        <v>291</v>
      </c>
      <c r="N246" s="475"/>
      <c r="O246" s="476">
        <v>0.79861111111111116</v>
      </c>
      <c r="P246" s="476">
        <v>0.79861111111111116</v>
      </c>
      <c r="Q246" s="477">
        <v>0.80763888888888891</v>
      </c>
      <c r="R246" s="472">
        <f>IF(Table6[[#This Row],[Work Start TimeStamp]]="","",(Table6[[#This Row],[Work Start TimeStamp]]-Table6[[#This Row],[Fault Start TimeStamp]])*24)</f>
        <v>0</v>
      </c>
      <c r="S246" s="472">
        <f>(Table6[[#This Row],[Fault Clearance time]]-Table6[[#This Row],[Work Start TimeStamp]])*24</f>
        <v>0.2166666666666659</v>
      </c>
      <c r="T246" s="472">
        <f>(Table6[[#This Row],[Fault Clearance time]]-Table6[[#This Row],[Fault Start TimeStamp]])*24</f>
        <v>0.2166666666666659</v>
      </c>
      <c r="U246" s="35" t="s">
        <v>349</v>
      </c>
      <c r="V246" s="102" t="s">
        <v>293</v>
      </c>
      <c r="W246" s="478">
        <f>IFERROR(Table6[[#This Row],[Breakdown Time]]*Table6[[#This Row],[Plant Equivalent Weightage]],"")</f>
        <v>8.333333333333302E-3</v>
      </c>
      <c r="X246" s="473" t="s">
        <v>294</v>
      </c>
      <c r="Y246" s="474" t="s">
        <v>80</v>
      </c>
      <c r="Z246" s="102">
        <v>44148</v>
      </c>
      <c r="AA246" s="468">
        <f>(Table6[[#This Row],[Paired WTG Generation for loss calculation]]/24)*Table6[[#This Row],[Breakdown Time]]</f>
        <v>398.55833333333192</v>
      </c>
      <c r="AB246" s="102"/>
      <c r="AC246" s="35"/>
      <c r="AD246" s="35"/>
    </row>
    <row r="247" spans="1:30">
      <c r="A247" s="102">
        <f t="shared" si="4"/>
        <v>246</v>
      </c>
      <c r="B247" s="468">
        <f>YEAR(Table6[[#This Row],[Date]])+IF(MONTH(Table6[[#This Row],[Date]])&gt;=4,1,0)</f>
        <v>2026</v>
      </c>
      <c r="C247" s="102">
        <f>YEAR(Table6[[#This Row],[Date]])</f>
        <v>2025</v>
      </c>
      <c r="D247" s="102" t="s">
        <v>1992</v>
      </c>
      <c r="E247" s="469">
        <f>Table6[[#This Row],[Date]]-DAY(Table6[[#This Row],[Date]])+1</f>
        <v>45748</v>
      </c>
      <c r="F247" s="470">
        <v>45762</v>
      </c>
      <c r="G247" s="35" t="s">
        <v>97</v>
      </c>
      <c r="H247" s="35" t="str">
        <f>IFERROR(_xlfn.XLOOKUP(Table6[[#This Row],[Affected WTG]],'Basic Data'!$A:$A,'Basic Data'!$B:$B),"")</f>
        <v>TQGXIIPL</v>
      </c>
      <c r="I247" s="35" t="str">
        <f>IFERROR(_xlfn.XLOOKUP(Table6[[#This Row],[Affected WTG]],'Basic Data'!$A:$A,'Basic Data'!$C:$C),"")</f>
        <v>GEDA</v>
      </c>
      <c r="J247" s="471">
        <f>IFERROR(_xlfn.XLOOKUP(Table6[[#This Row],[Affected WTG]],'Basic Data'!$A:$A,'Basic Data'!$E:$E),"")</f>
        <v>3.846153846153845E-2</v>
      </c>
      <c r="K247" s="102">
        <v>58</v>
      </c>
      <c r="L247" s="35" t="str">
        <f>IFERROR(_xlfn.XLOOKUP(Table6[[#This Row],[Error Code]],'Basic Data'!$AA:$AA,'Basic Data'!$AB:$AB),"Incorrect Error Code")</f>
        <v>Wind dir.dev. level 2</v>
      </c>
      <c r="M247" s="35" t="s">
        <v>291</v>
      </c>
      <c r="N247" s="475"/>
      <c r="O247" s="476">
        <v>0.62361111111111112</v>
      </c>
      <c r="P247" s="476">
        <v>0.62361111111111112</v>
      </c>
      <c r="Q247" s="477">
        <v>0.62569444444444444</v>
      </c>
      <c r="R247" s="472">
        <f>IF(Table6[[#This Row],[Work Start TimeStamp]]="","",(Table6[[#This Row],[Work Start TimeStamp]]-Table6[[#This Row],[Fault Start TimeStamp]])*24)</f>
        <v>0</v>
      </c>
      <c r="S247" s="472">
        <f>(Table6[[#This Row],[Fault Clearance time]]-Table6[[#This Row],[Work Start TimeStamp]])*24</f>
        <v>4.9999999999999822E-2</v>
      </c>
      <c r="T247" s="472">
        <f>(Table6[[#This Row],[Fault Clearance time]]-Table6[[#This Row],[Fault Start TimeStamp]])*24</f>
        <v>4.9999999999999822E-2</v>
      </c>
      <c r="U247" s="35" t="s">
        <v>336</v>
      </c>
      <c r="V247" s="102" t="s">
        <v>293</v>
      </c>
      <c r="W247" s="478">
        <f>IFERROR(Table6[[#This Row],[Breakdown Time]]*Table6[[#This Row],[Plant Equivalent Weightage]],"")</f>
        <v>1.9230769230769156E-3</v>
      </c>
      <c r="X247" s="473" t="s">
        <v>294</v>
      </c>
      <c r="Y247" s="474" t="s">
        <v>93</v>
      </c>
      <c r="Z247" s="102">
        <v>47068</v>
      </c>
      <c r="AA247" s="468">
        <f>(Table6[[#This Row],[Paired WTG Generation for loss calculation]]/24)*Table6[[#This Row],[Breakdown Time]]</f>
        <v>98.058333333332982</v>
      </c>
      <c r="AB247" s="102"/>
      <c r="AC247" s="35"/>
      <c r="AD247" s="35"/>
    </row>
    <row r="248" spans="1:30">
      <c r="A248" s="102">
        <f t="shared" si="4"/>
        <v>247</v>
      </c>
      <c r="B248" s="468">
        <f>YEAR(Table6[[#This Row],[Date]])+IF(MONTH(Table6[[#This Row],[Date]])&gt;=4,1,0)</f>
        <v>2026</v>
      </c>
      <c r="C248" s="102">
        <f>YEAR(Table6[[#This Row],[Date]])</f>
        <v>2025</v>
      </c>
      <c r="D248" s="102" t="s">
        <v>1992</v>
      </c>
      <c r="E248" s="469">
        <f>Table6[[#This Row],[Date]]-DAY(Table6[[#This Row],[Date]])+1</f>
        <v>45748</v>
      </c>
      <c r="F248" s="470">
        <v>45762</v>
      </c>
      <c r="G248" s="35" t="s">
        <v>97</v>
      </c>
      <c r="H248" s="35" t="str">
        <f>IFERROR(_xlfn.XLOOKUP(Table6[[#This Row],[Affected WTG]],'Basic Data'!$A:$A,'Basic Data'!$B:$B),"")</f>
        <v>TQGXIIPL</v>
      </c>
      <c r="I248" s="35" t="str">
        <f>IFERROR(_xlfn.XLOOKUP(Table6[[#This Row],[Affected WTG]],'Basic Data'!$A:$A,'Basic Data'!$C:$C),"")</f>
        <v>GEDA</v>
      </c>
      <c r="J248" s="471">
        <f>IFERROR(_xlfn.XLOOKUP(Table6[[#This Row],[Affected WTG]],'Basic Data'!$A:$A,'Basic Data'!$E:$E),"")</f>
        <v>3.846153846153845E-2</v>
      </c>
      <c r="K248" s="102">
        <v>55</v>
      </c>
      <c r="L248" s="35" t="str">
        <f>IFERROR(_xlfn.XLOOKUP(Table6[[#This Row],[Error Code]],'Basic Data'!$AA:$AA,'Basic Data'!$AB:$AB),"Incorrect Error Code")</f>
        <v>WTG shut down</v>
      </c>
      <c r="M248" s="35" t="s">
        <v>291</v>
      </c>
      <c r="N248" s="475"/>
      <c r="O248" s="476">
        <v>0.98888888888888893</v>
      </c>
      <c r="P248" s="476">
        <v>0.98888888888888893</v>
      </c>
      <c r="Q248" s="477">
        <v>1</v>
      </c>
      <c r="R248" s="472">
        <f>IF(Table6[[#This Row],[Work Start TimeStamp]]="","",(Table6[[#This Row],[Work Start TimeStamp]]-Table6[[#This Row],[Fault Start TimeStamp]])*24)</f>
        <v>0</v>
      </c>
      <c r="S248" s="472">
        <f>(Table6[[#This Row],[Fault Clearance time]]-Table6[[#This Row],[Work Start TimeStamp]])*24</f>
        <v>0.26666666666666572</v>
      </c>
      <c r="T248" s="472">
        <f>(Table6[[#This Row],[Fault Clearance time]]-Table6[[#This Row],[Fault Start TimeStamp]])*24</f>
        <v>0.26666666666666572</v>
      </c>
      <c r="U248" s="35" t="s">
        <v>402</v>
      </c>
      <c r="V248" s="102" t="s">
        <v>335</v>
      </c>
      <c r="W248" s="478">
        <f>IFERROR(Table6[[#This Row],[Breakdown Time]]*Table6[[#This Row],[Plant Equivalent Weightage]],"")</f>
        <v>1.0256410256410217E-2</v>
      </c>
      <c r="X248" s="473" t="s">
        <v>290</v>
      </c>
      <c r="Y248" s="474" t="s">
        <v>93</v>
      </c>
      <c r="Z248" s="102">
        <v>47068</v>
      </c>
      <c r="AA248" s="468">
        <f>(Table6[[#This Row],[Paired WTG Generation for loss calculation]]/24)*Table6[[#This Row],[Breakdown Time]]</f>
        <v>522.97777777777594</v>
      </c>
      <c r="AB248" s="102"/>
      <c r="AC248" s="35"/>
      <c r="AD248" s="35"/>
    </row>
    <row r="249" spans="1:30">
      <c r="A249" s="102">
        <f t="shared" si="4"/>
        <v>248</v>
      </c>
      <c r="B249" s="468">
        <f>YEAR(Table6[[#This Row],[Date]])+IF(MONTH(Table6[[#This Row],[Date]])&gt;=4,1,0)</f>
        <v>2026</v>
      </c>
      <c r="C249" s="102">
        <f>YEAR(Table6[[#This Row],[Date]])</f>
        <v>2025</v>
      </c>
      <c r="D249" s="102" t="s">
        <v>1992</v>
      </c>
      <c r="E249" s="469">
        <f>Table6[[#This Row],[Date]]-DAY(Table6[[#This Row],[Date]])+1</f>
        <v>45748</v>
      </c>
      <c r="F249" s="470">
        <v>45762</v>
      </c>
      <c r="G249" s="35" t="s">
        <v>98</v>
      </c>
      <c r="H249" s="35" t="str">
        <f>IFERROR(_xlfn.XLOOKUP(Table6[[#This Row],[Affected WTG]],'Basic Data'!$A:$A,'Basic Data'!$B:$B),"")</f>
        <v>TQGXIIPL</v>
      </c>
      <c r="I249" s="35" t="str">
        <f>IFERROR(_xlfn.XLOOKUP(Table6[[#This Row],[Affected WTG]],'Basic Data'!$A:$A,'Basic Data'!$C:$C),"")</f>
        <v>GEDA</v>
      </c>
      <c r="J249" s="471">
        <f>IFERROR(_xlfn.XLOOKUP(Table6[[#This Row],[Affected WTG]],'Basic Data'!$A:$A,'Basic Data'!$E:$E),"")</f>
        <v>3.846153846153845E-2</v>
      </c>
      <c r="K249" s="102">
        <v>6012</v>
      </c>
      <c r="L249" s="35" t="str">
        <f>IFERROR(_xlfn.XLOOKUP(Table6[[#This Row],[Error Code]],'Basic Data'!$AA:$AA,'Basic Data'!$AB:$AB),"Incorrect Error Code")</f>
        <v>Overload yaw motors group 2</v>
      </c>
      <c r="M249" s="35" t="s">
        <v>291</v>
      </c>
      <c r="N249" s="475"/>
      <c r="O249" s="476">
        <v>0.59652777777777777</v>
      </c>
      <c r="P249" s="476">
        <v>0.63541666666666663</v>
      </c>
      <c r="Q249" s="477">
        <v>0.73958333333333337</v>
      </c>
      <c r="R249" s="472">
        <f>IF(Table6[[#This Row],[Work Start TimeStamp]]="","",(Table6[[#This Row],[Work Start TimeStamp]]-Table6[[#This Row],[Fault Start TimeStamp]])*24)</f>
        <v>0.93333333333333268</v>
      </c>
      <c r="S249" s="472">
        <f>(Table6[[#This Row],[Fault Clearance time]]-Table6[[#This Row],[Work Start TimeStamp]])*24</f>
        <v>2.5000000000000018</v>
      </c>
      <c r="T249" s="472">
        <f>(Table6[[#This Row],[Fault Clearance time]]-Table6[[#This Row],[Fault Start TimeStamp]])*24</f>
        <v>3.4333333333333345</v>
      </c>
      <c r="U249" s="35" t="s">
        <v>403</v>
      </c>
      <c r="V249" s="102" t="s">
        <v>293</v>
      </c>
      <c r="W249" s="478">
        <f>IFERROR(Table6[[#This Row],[Breakdown Time]]*Table6[[#This Row],[Plant Equivalent Weightage]],"")</f>
        <v>0.13205128205128205</v>
      </c>
      <c r="X249" s="473" t="s">
        <v>294</v>
      </c>
      <c r="Y249" s="474" t="s">
        <v>74</v>
      </c>
      <c r="Z249" s="102">
        <v>46514</v>
      </c>
      <c r="AA249" s="468">
        <f>(Table6[[#This Row],[Paired WTG Generation for loss calculation]]/24)*Table6[[#This Row],[Breakdown Time]]</f>
        <v>6654.0861111111126</v>
      </c>
      <c r="AB249" s="102"/>
      <c r="AC249" s="35"/>
      <c r="AD249" s="35"/>
    </row>
    <row r="250" spans="1:30">
      <c r="A250" s="102">
        <f t="shared" si="4"/>
        <v>249</v>
      </c>
      <c r="B250" s="468">
        <f>YEAR(Table6[[#This Row],[Date]])+IF(MONTH(Table6[[#This Row],[Date]])&gt;=4,1,0)</f>
        <v>2026</v>
      </c>
      <c r="C250" s="102">
        <f>YEAR(Table6[[#This Row],[Date]])</f>
        <v>2025</v>
      </c>
      <c r="D250" s="102" t="s">
        <v>1992</v>
      </c>
      <c r="E250" s="469">
        <f>Table6[[#This Row],[Date]]-DAY(Table6[[#This Row],[Date]])+1</f>
        <v>45748</v>
      </c>
      <c r="F250" s="470">
        <v>45763</v>
      </c>
      <c r="G250" s="35" t="s">
        <v>78</v>
      </c>
      <c r="H250" s="35" t="str">
        <f>IFERROR(_xlfn.XLOOKUP(Table6[[#This Row],[Affected WTG]],'Basic Data'!$A:$A,'Basic Data'!$B:$B),"")</f>
        <v>TQGXIIPL</v>
      </c>
      <c r="I250" s="35" t="str">
        <f>IFERROR(_xlfn.XLOOKUP(Table6[[#This Row],[Affected WTG]],'Basic Data'!$A:$A,'Basic Data'!$C:$C),"")</f>
        <v>GEDA</v>
      </c>
      <c r="J250" s="471">
        <f>IFERROR(_xlfn.XLOOKUP(Table6[[#This Row],[Affected WTG]],'Basic Data'!$A:$A,'Basic Data'!$E:$E),"")</f>
        <v>3.846153846153845E-2</v>
      </c>
      <c r="K250" s="102">
        <v>55</v>
      </c>
      <c r="L250" s="35" t="str">
        <f>IFERROR(_xlfn.XLOOKUP(Table6[[#This Row],[Error Code]],'Basic Data'!$AA:$AA,'Basic Data'!$AB:$AB),"Incorrect Error Code")</f>
        <v>WTG shut down</v>
      </c>
      <c r="M250" s="35" t="s">
        <v>330</v>
      </c>
      <c r="N250" s="475"/>
      <c r="O250" s="476">
        <v>0.78125</v>
      </c>
      <c r="P250" s="476">
        <v>0.78125</v>
      </c>
      <c r="Q250" s="477">
        <v>0.81180555555555556</v>
      </c>
      <c r="R250" s="472">
        <f>IF(Table6[[#This Row],[Work Start TimeStamp]]="","",(Table6[[#This Row],[Work Start TimeStamp]]-Table6[[#This Row],[Fault Start TimeStamp]])*24)</f>
        <v>0</v>
      </c>
      <c r="S250" s="472">
        <f>(Table6[[#This Row],[Fault Clearance time]]-Table6[[#This Row],[Work Start TimeStamp]])*24</f>
        <v>0.73333333333333339</v>
      </c>
      <c r="T250" s="472">
        <f>(Table6[[#This Row],[Fault Clearance time]]-Table6[[#This Row],[Fault Start TimeStamp]])*24</f>
        <v>0.73333333333333339</v>
      </c>
      <c r="U250" s="35" t="s">
        <v>337</v>
      </c>
      <c r="V250" s="102" t="s">
        <v>293</v>
      </c>
      <c r="W250" s="478">
        <f>IFERROR(Table6[[#This Row],[Breakdown Time]]*Table6[[#This Row],[Plant Equivalent Weightage]],"")</f>
        <v>2.8205128205128199E-2</v>
      </c>
      <c r="X250" s="473" t="s">
        <v>290</v>
      </c>
      <c r="Y250" s="474" t="s">
        <v>75</v>
      </c>
      <c r="Z250" s="102">
        <v>43551</v>
      </c>
      <c r="AA250" s="468">
        <f>(Table6[[#This Row],[Paired WTG Generation for loss calculation]]/24)*Table6[[#This Row],[Breakdown Time]]</f>
        <v>1330.7250000000001</v>
      </c>
      <c r="AB250" s="102"/>
      <c r="AC250" s="35"/>
      <c r="AD250" s="35"/>
    </row>
    <row r="251" spans="1:30">
      <c r="A251" s="102">
        <f t="shared" si="4"/>
        <v>250</v>
      </c>
      <c r="B251" s="468">
        <f>YEAR(Table6[[#This Row],[Date]])+IF(MONTH(Table6[[#This Row],[Date]])&gt;=4,1,0)</f>
        <v>2026</v>
      </c>
      <c r="C251" s="102">
        <f>YEAR(Table6[[#This Row],[Date]])</f>
        <v>2025</v>
      </c>
      <c r="D251" s="102" t="s">
        <v>1992</v>
      </c>
      <c r="E251" s="469">
        <f>Table6[[#This Row],[Date]]-DAY(Table6[[#This Row],[Date]])+1</f>
        <v>45748</v>
      </c>
      <c r="F251" s="470">
        <v>45763</v>
      </c>
      <c r="G251" s="35" t="s">
        <v>78</v>
      </c>
      <c r="H251" s="35" t="str">
        <f>IFERROR(_xlfn.XLOOKUP(Table6[[#This Row],[Affected WTG]],'Basic Data'!$A:$A,'Basic Data'!$B:$B),"")</f>
        <v>TQGXIIPL</v>
      </c>
      <c r="I251" s="35" t="str">
        <f>IFERROR(_xlfn.XLOOKUP(Table6[[#This Row],[Affected WTG]],'Basic Data'!$A:$A,'Basic Data'!$C:$C),"")</f>
        <v>GEDA</v>
      </c>
      <c r="J251" s="471">
        <f>IFERROR(_xlfn.XLOOKUP(Table6[[#This Row],[Affected WTG]],'Basic Data'!$A:$A,'Basic Data'!$E:$E),"")</f>
        <v>3.846153846153845E-2</v>
      </c>
      <c r="K251" s="102">
        <v>3211</v>
      </c>
      <c r="L251" s="35" t="str">
        <f>IFERROR(_xlfn.XLOOKUP(Table6[[#This Row],[Error Code]],'Basic Data'!$AA:$AA,'Basic Data'!$AB:$AB),"Incorrect Error Code")</f>
        <v>Conv. load shedding (CAN)</v>
      </c>
      <c r="M251" s="35" t="s">
        <v>291</v>
      </c>
      <c r="N251" s="475"/>
      <c r="O251" s="476">
        <v>0.8569444444444444</v>
      </c>
      <c r="P251" s="476">
        <v>0.8569444444444444</v>
      </c>
      <c r="Q251" s="477">
        <v>0.86527777777777781</v>
      </c>
      <c r="R251" s="472">
        <f>IF(Table6[[#This Row],[Work Start TimeStamp]]="","",(Table6[[#This Row],[Work Start TimeStamp]]-Table6[[#This Row],[Fault Start TimeStamp]])*24)</f>
        <v>0</v>
      </c>
      <c r="S251" s="472">
        <f>(Table6[[#This Row],[Fault Clearance time]]-Table6[[#This Row],[Work Start TimeStamp]])*24</f>
        <v>0.20000000000000195</v>
      </c>
      <c r="T251" s="472">
        <f>(Table6[[#This Row],[Fault Clearance time]]-Table6[[#This Row],[Fault Start TimeStamp]])*24</f>
        <v>0.20000000000000195</v>
      </c>
      <c r="U251" s="35" t="s">
        <v>349</v>
      </c>
      <c r="V251" s="102" t="s">
        <v>293</v>
      </c>
      <c r="W251" s="478">
        <f>IFERROR(Table6[[#This Row],[Breakdown Time]]*Table6[[#This Row],[Plant Equivalent Weightage]],"")</f>
        <v>7.6923076923077647E-3</v>
      </c>
      <c r="X251" s="473" t="s">
        <v>294</v>
      </c>
      <c r="Y251" s="474" t="s">
        <v>75</v>
      </c>
      <c r="Z251" s="102">
        <v>43551</v>
      </c>
      <c r="AA251" s="468">
        <f>(Table6[[#This Row],[Paired WTG Generation for loss calculation]]/24)*Table6[[#This Row],[Breakdown Time]]</f>
        <v>362.92500000000354</v>
      </c>
      <c r="AB251" s="102"/>
      <c r="AC251" s="35"/>
      <c r="AD251" s="35"/>
    </row>
    <row r="252" spans="1:30">
      <c r="A252" s="102">
        <f t="shared" si="4"/>
        <v>251</v>
      </c>
      <c r="B252" s="468">
        <f>YEAR(Table6[[#This Row],[Date]])+IF(MONTH(Table6[[#This Row],[Date]])&gt;=4,1,0)</f>
        <v>2026</v>
      </c>
      <c r="C252" s="102">
        <f>YEAR(Table6[[#This Row],[Date]])</f>
        <v>2025</v>
      </c>
      <c r="D252" s="102" t="s">
        <v>1992</v>
      </c>
      <c r="E252" s="469">
        <f>Table6[[#This Row],[Date]]-DAY(Table6[[#This Row],[Date]])+1</f>
        <v>45748</v>
      </c>
      <c r="F252" s="470">
        <v>45763</v>
      </c>
      <c r="G252" s="35" t="s">
        <v>78</v>
      </c>
      <c r="H252" s="35" t="str">
        <f>IFERROR(_xlfn.XLOOKUP(Table6[[#This Row],[Affected WTG]],'Basic Data'!$A:$A,'Basic Data'!$B:$B),"")</f>
        <v>TQGXIIPL</v>
      </c>
      <c r="I252" s="35" t="str">
        <f>IFERROR(_xlfn.XLOOKUP(Table6[[#This Row],[Affected WTG]],'Basic Data'!$A:$A,'Basic Data'!$C:$C),"")</f>
        <v>GEDA</v>
      </c>
      <c r="J252" s="471">
        <f>IFERROR(_xlfn.XLOOKUP(Table6[[#This Row],[Affected WTG]],'Basic Data'!$A:$A,'Basic Data'!$E:$E),"")</f>
        <v>3.846153846153845E-2</v>
      </c>
      <c r="K252" s="102">
        <v>3211</v>
      </c>
      <c r="L252" s="35" t="str">
        <f>IFERROR(_xlfn.XLOOKUP(Table6[[#This Row],[Error Code]],'Basic Data'!$AA:$AA,'Basic Data'!$AB:$AB),"Incorrect Error Code")</f>
        <v>Conv. load shedding (CAN)</v>
      </c>
      <c r="M252" s="35" t="s">
        <v>291</v>
      </c>
      <c r="N252" s="475"/>
      <c r="O252" s="476">
        <v>0.9868055555555556</v>
      </c>
      <c r="P252" s="476">
        <v>0.9868055555555556</v>
      </c>
      <c r="Q252" s="477">
        <v>0.99236111111111114</v>
      </c>
      <c r="R252" s="472">
        <f>IF(Table6[[#This Row],[Work Start TimeStamp]]="","",(Table6[[#This Row],[Work Start TimeStamp]]-Table6[[#This Row],[Fault Start TimeStamp]])*24)</f>
        <v>0</v>
      </c>
      <c r="S252" s="472">
        <f>(Table6[[#This Row],[Fault Clearance time]]-Table6[[#This Row],[Work Start TimeStamp]])*24</f>
        <v>0.13333333333333286</v>
      </c>
      <c r="T252" s="472">
        <f>(Table6[[#This Row],[Fault Clearance time]]-Table6[[#This Row],[Fault Start TimeStamp]])*24</f>
        <v>0.13333333333333286</v>
      </c>
      <c r="U252" s="35" t="s">
        <v>349</v>
      </c>
      <c r="V252" s="102" t="s">
        <v>293</v>
      </c>
      <c r="W252" s="478">
        <f>IFERROR(Table6[[#This Row],[Breakdown Time]]*Table6[[#This Row],[Plant Equivalent Weightage]],"")</f>
        <v>5.1282051282051083E-3</v>
      </c>
      <c r="X252" s="473" t="s">
        <v>294</v>
      </c>
      <c r="Y252" s="474" t="s">
        <v>75</v>
      </c>
      <c r="Z252" s="102">
        <v>43551</v>
      </c>
      <c r="AA252" s="468">
        <f>(Table6[[#This Row],[Paired WTG Generation for loss calculation]]/24)*Table6[[#This Row],[Breakdown Time]]</f>
        <v>241.94999999999914</v>
      </c>
      <c r="AB252" s="102"/>
      <c r="AC252" s="35"/>
      <c r="AD252" s="35"/>
    </row>
    <row r="253" spans="1:30">
      <c r="A253" s="102">
        <f t="shared" si="4"/>
        <v>252</v>
      </c>
      <c r="B253" s="468">
        <f>YEAR(Table6[[#This Row],[Date]])+IF(MONTH(Table6[[#This Row],[Date]])&gt;=4,1,0)</f>
        <v>2026</v>
      </c>
      <c r="C253" s="102">
        <f>YEAR(Table6[[#This Row],[Date]])</f>
        <v>2025</v>
      </c>
      <c r="D253" s="102" t="s">
        <v>1992</v>
      </c>
      <c r="E253" s="469">
        <f>Table6[[#This Row],[Date]]-DAY(Table6[[#This Row],[Date]])+1</f>
        <v>45748</v>
      </c>
      <c r="F253" s="470">
        <v>45763</v>
      </c>
      <c r="G253" s="35" t="s">
        <v>79</v>
      </c>
      <c r="H253" s="35" t="str">
        <f>IFERROR(_xlfn.XLOOKUP(Table6[[#This Row],[Affected WTG]],'Basic Data'!$A:$A,'Basic Data'!$B:$B),"")</f>
        <v>TQGXIIPL</v>
      </c>
      <c r="I253" s="35" t="str">
        <f>IFERROR(_xlfn.XLOOKUP(Table6[[#This Row],[Affected WTG]],'Basic Data'!$A:$A,'Basic Data'!$C:$C),"")</f>
        <v>GEDA</v>
      </c>
      <c r="J253" s="471">
        <f>IFERROR(_xlfn.XLOOKUP(Table6[[#This Row],[Affected WTG]],'Basic Data'!$A:$A,'Basic Data'!$E:$E),"")</f>
        <v>3.846153846153845E-2</v>
      </c>
      <c r="K253" s="102">
        <v>1700</v>
      </c>
      <c r="L253" s="35" t="str">
        <f>IFERROR(_xlfn.XLOOKUP(Table6[[#This Row],[Error Code]],'Basic Data'!$AA:$AA,'Basic Data'!$AB:$AB),"Incorrect Error Code")</f>
        <v>High temp. gear bearing 1</v>
      </c>
      <c r="M253" s="35" t="s">
        <v>292</v>
      </c>
      <c r="N253" s="475"/>
      <c r="O253" s="476">
        <v>0.75694444444444442</v>
      </c>
      <c r="P253" s="476">
        <v>0.75694444444444442</v>
      </c>
      <c r="Q253" s="477">
        <v>0.75972222222222219</v>
      </c>
      <c r="R253" s="472">
        <f>IF(Table6[[#This Row],[Work Start TimeStamp]]="","",(Table6[[#This Row],[Work Start TimeStamp]]-Table6[[#This Row],[Fault Start TimeStamp]])*24)</f>
        <v>0</v>
      </c>
      <c r="S253" s="472">
        <f>(Table6[[#This Row],[Fault Clearance time]]-Table6[[#This Row],[Work Start TimeStamp]])*24</f>
        <v>6.666666666666643E-2</v>
      </c>
      <c r="T253" s="472">
        <f>(Table6[[#This Row],[Fault Clearance time]]-Table6[[#This Row],[Fault Start TimeStamp]])*24</f>
        <v>6.666666666666643E-2</v>
      </c>
      <c r="U253" s="35" t="s">
        <v>336</v>
      </c>
      <c r="V253" s="102" t="s">
        <v>293</v>
      </c>
      <c r="W253" s="478">
        <f>IFERROR(Table6[[#This Row],[Breakdown Time]]*Table6[[#This Row],[Plant Equivalent Weightage]],"")</f>
        <v>2.5641025641025541E-3</v>
      </c>
      <c r="X253" s="473" t="s">
        <v>294</v>
      </c>
      <c r="Y253" s="474" t="s">
        <v>94</v>
      </c>
      <c r="Z253" s="102">
        <v>41205</v>
      </c>
      <c r="AA253" s="468">
        <f>(Table6[[#This Row],[Paired WTG Generation for loss calculation]]/24)*Table6[[#This Row],[Breakdown Time]]</f>
        <v>114.45833333333293</v>
      </c>
      <c r="AB253" s="102"/>
      <c r="AC253" s="35"/>
      <c r="AD253" s="35"/>
    </row>
    <row r="254" spans="1:30">
      <c r="A254" s="102">
        <f t="shared" si="4"/>
        <v>253</v>
      </c>
      <c r="B254" s="468">
        <f>YEAR(Table6[[#This Row],[Date]])+IF(MONTH(Table6[[#This Row],[Date]])&gt;=4,1,0)</f>
        <v>2026</v>
      </c>
      <c r="C254" s="102">
        <f>YEAR(Table6[[#This Row],[Date]])</f>
        <v>2025</v>
      </c>
      <c r="D254" s="102" t="s">
        <v>1992</v>
      </c>
      <c r="E254" s="469">
        <f>Table6[[#This Row],[Date]]-DAY(Table6[[#This Row],[Date]])+1</f>
        <v>45748</v>
      </c>
      <c r="F254" s="470">
        <v>45763</v>
      </c>
      <c r="G254" s="35" t="s">
        <v>81</v>
      </c>
      <c r="H254" s="35" t="str">
        <f>IFERROR(_xlfn.XLOOKUP(Table6[[#This Row],[Affected WTG]],'Basic Data'!$A:$A,'Basic Data'!$B:$B),"")</f>
        <v>TQGXIIPL</v>
      </c>
      <c r="I254" s="35" t="str">
        <f>IFERROR(_xlfn.XLOOKUP(Table6[[#This Row],[Affected WTG]],'Basic Data'!$A:$A,'Basic Data'!$C:$C),"")</f>
        <v>GEDA</v>
      </c>
      <c r="J254" s="471">
        <f>IFERROR(_xlfn.XLOOKUP(Table6[[#This Row],[Affected WTG]],'Basic Data'!$A:$A,'Basic Data'!$E:$E),"")</f>
        <v>3.846153846153845E-2</v>
      </c>
      <c r="K254" s="102">
        <v>55</v>
      </c>
      <c r="L254" s="35" t="str">
        <f>IFERROR(_xlfn.XLOOKUP(Table6[[#This Row],[Error Code]],'Basic Data'!$AA:$AA,'Basic Data'!$AB:$AB),"Incorrect Error Code")</f>
        <v>WTG shut down</v>
      </c>
      <c r="M254" s="35" t="s">
        <v>291</v>
      </c>
      <c r="N254" s="475"/>
      <c r="O254" s="476">
        <v>0.47986111111111113</v>
      </c>
      <c r="P254" s="476">
        <v>0.47986111111111113</v>
      </c>
      <c r="Q254" s="477">
        <v>0.67500000000000004</v>
      </c>
      <c r="R254" s="472">
        <f>IF(Table6[[#This Row],[Work Start TimeStamp]]="","",(Table6[[#This Row],[Work Start TimeStamp]]-Table6[[#This Row],[Fault Start TimeStamp]])*24)</f>
        <v>0</v>
      </c>
      <c r="S254" s="472">
        <f>(Table6[[#This Row],[Fault Clearance time]]-Table6[[#This Row],[Work Start TimeStamp]])*24</f>
        <v>4.6833333333333336</v>
      </c>
      <c r="T254" s="472">
        <f>(Table6[[#This Row],[Fault Clearance time]]-Table6[[#This Row],[Fault Start TimeStamp]])*24</f>
        <v>4.6833333333333336</v>
      </c>
      <c r="U254" s="35" t="s">
        <v>404</v>
      </c>
      <c r="V254" s="102" t="s">
        <v>293</v>
      </c>
      <c r="W254" s="478">
        <f>IFERROR(Table6[[#This Row],[Breakdown Time]]*Table6[[#This Row],[Plant Equivalent Weightage]],"")</f>
        <v>0.18012820512820507</v>
      </c>
      <c r="X254" s="473" t="s">
        <v>290</v>
      </c>
      <c r="Y254" s="474" t="s">
        <v>99</v>
      </c>
      <c r="Z254" s="102">
        <v>37850</v>
      </c>
      <c r="AA254" s="468">
        <f>(Table6[[#This Row],[Paired WTG Generation for loss calculation]]/24)*Table6[[#This Row],[Breakdown Time]]</f>
        <v>7386.0069444444443</v>
      </c>
      <c r="AB254" s="102"/>
      <c r="AC254" s="35"/>
      <c r="AD254" s="35"/>
    </row>
    <row r="255" spans="1:30">
      <c r="A255" s="102">
        <f t="shared" si="4"/>
        <v>254</v>
      </c>
      <c r="B255" s="468">
        <f>YEAR(Table6[[#This Row],[Date]])+IF(MONTH(Table6[[#This Row],[Date]])&gt;=4,1,0)</f>
        <v>2026</v>
      </c>
      <c r="C255" s="102">
        <f>YEAR(Table6[[#This Row],[Date]])</f>
        <v>2025</v>
      </c>
      <c r="D255" s="102" t="s">
        <v>1992</v>
      </c>
      <c r="E255" s="469">
        <f>Table6[[#This Row],[Date]]-DAY(Table6[[#This Row],[Date]])+1</f>
        <v>45748</v>
      </c>
      <c r="F255" s="470">
        <v>45763</v>
      </c>
      <c r="G255" s="35" t="s">
        <v>81</v>
      </c>
      <c r="H255" s="35" t="str">
        <f>IFERROR(_xlfn.XLOOKUP(Table6[[#This Row],[Affected WTG]],'Basic Data'!$A:$A,'Basic Data'!$B:$B),"")</f>
        <v>TQGXIIPL</v>
      </c>
      <c r="I255" s="35" t="str">
        <f>IFERROR(_xlfn.XLOOKUP(Table6[[#This Row],[Affected WTG]],'Basic Data'!$A:$A,'Basic Data'!$C:$C),"")</f>
        <v>GEDA</v>
      </c>
      <c r="J255" s="471">
        <f>IFERROR(_xlfn.XLOOKUP(Table6[[#This Row],[Affected WTG]],'Basic Data'!$A:$A,'Basic Data'!$E:$E),"")</f>
        <v>3.846153846153845E-2</v>
      </c>
      <c r="K255" s="102">
        <v>55</v>
      </c>
      <c r="L255" s="35" t="str">
        <f>IFERROR(_xlfn.XLOOKUP(Table6[[#This Row],[Error Code]],'Basic Data'!$AA:$AA,'Basic Data'!$AB:$AB),"Incorrect Error Code")</f>
        <v>WTG shut down</v>
      </c>
      <c r="M255" s="35" t="s">
        <v>291</v>
      </c>
      <c r="N255" s="475"/>
      <c r="O255" s="476">
        <v>0.7055555555555556</v>
      </c>
      <c r="P255" s="476">
        <v>0.7055555555555556</v>
      </c>
      <c r="Q255" s="477">
        <v>0.75208333333333333</v>
      </c>
      <c r="R255" s="472">
        <f>IF(Table6[[#This Row],[Work Start TimeStamp]]="","",(Table6[[#This Row],[Work Start TimeStamp]]-Table6[[#This Row],[Fault Start TimeStamp]])*24)</f>
        <v>0</v>
      </c>
      <c r="S255" s="472">
        <f>(Table6[[#This Row],[Fault Clearance time]]-Table6[[#This Row],[Work Start TimeStamp]])*24</f>
        <v>1.1166666666666654</v>
      </c>
      <c r="T255" s="472">
        <f>(Table6[[#This Row],[Fault Clearance time]]-Table6[[#This Row],[Fault Start TimeStamp]])*24</f>
        <v>1.1166666666666654</v>
      </c>
      <c r="U255" s="35" t="s">
        <v>405</v>
      </c>
      <c r="V255" s="102" t="s">
        <v>293</v>
      </c>
      <c r="W255" s="478">
        <f>IFERROR(Table6[[#This Row],[Breakdown Time]]*Table6[[#This Row],[Plant Equivalent Weightage]],"")</f>
        <v>4.2948717948717886E-2</v>
      </c>
      <c r="X255" s="473" t="s">
        <v>290</v>
      </c>
      <c r="Y255" s="474" t="s">
        <v>99</v>
      </c>
      <c r="Z255" s="102">
        <v>37850</v>
      </c>
      <c r="AA255" s="468">
        <f>(Table6[[#This Row],[Paired WTG Generation for loss calculation]]/24)*Table6[[#This Row],[Breakdown Time]]</f>
        <v>1761.0763888888866</v>
      </c>
      <c r="AB255" s="102"/>
      <c r="AC255" s="35"/>
      <c r="AD255" s="35"/>
    </row>
    <row r="256" spans="1:30">
      <c r="A256" s="102">
        <f t="shared" si="4"/>
        <v>255</v>
      </c>
      <c r="B256" s="468">
        <f>YEAR(Table6[[#This Row],[Date]])+IF(MONTH(Table6[[#This Row],[Date]])&gt;=4,1,0)</f>
        <v>2026</v>
      </c>
      <c r="C256" s="102">
        <f>YEAR(Table6[[#This Row],[Date]])</f>
        <v>2025</v>
      </c>
      <c r="D256" s="102" t="s">
        <v>1992</v>
      </c>
      <c r="E256" s="469">
        <f>Table6[[#This Row],[Date]]-DAY(Table6[[#This Row],[Date]])+1</f>
        <v>45748</v>
      </c>
      <c r="F256" s="470">
        <v>45763</v>
      </c>
      <c r="G256" s="35" t="s">
        <v>85</v>
      </c>
      <c r="H256" s="35" t="str">
        <f>IFERROR(_xlfn.XLOOKUP(Table6[[#This Row],[Affected WTG]],'Basic Data'!$A:$A,'Basic Data'!$B:$B),"")</f>
        <v>TQGXIIPL</v>
      </c>
      <c r="I256" s="35" t="str">
        <f>IFERROR(_xlfn.XLOOKUP(Table6[[#This Row],[Affected WTG]],'Basic Data'!$A:$A,'Basic Data'!$C:$C),"")</f>
        <v>GEDA</v>
      </c>
      <c r="J256" s="471">
        <f>IFERROR(_xlfn.XLOOKUP(Table6[[#This Row],[Affected WTG]],'Basic Data'!$A:$A,'Basic Data'!$E:$E),"")</f>
        <v>3.846153846153845E-2</v>
      </c>
      <c r="K256" s="102">
        <v>1700</v>
      </c>
      <c r="L256" s="35" t="str">
        <f>IFERROR(_xlfn.XLOOKUP(Table6[[#This Row],[Error Code]],'Basic Data'!$AA:$AA,'Basic Data'!$AB:$AB),"Incorrect Error Code")</f>
        <v>High temp. gear bearing 1</v>
      </c>
      <c r="M256" s="35" t="s">
        <v>292</v>
      </c>
      <c r="N256" s="475"/>
      <c r="O256" s="476">
        <v>0.79652777777777772</v>
      </c>
      <c r="P256" s="476">
        <v>0.79652777777777772</v>
      </c>
      <c r="Q256" s="477">
        <v>0.8041666666666667</v>
      </c>
      <c r="R256" s="472">
        <f>IF(Table6[[#This Row],[Work Start TimeStamp]]="","",(Table6[[#This Row],[Work Start TimeStamp]]-Table6[[#This Row],[Fault Start TimeStamp]])*24)</f>
        <v>0</v>
      </c>
      <c r="S256" s="472">
        <f>(Table6[[#This Row],[Fault Clearance time]]-Table6[[#This Row],[Work Start TimeStamp]])*24</f>
        <v>0.18333333333333535</v>
      </c>
      <c r="T256" s="472">
        <f>(Table6[[#This Row],[Fault Clearance time]]-Table6[[#This Row],[Fault Start TimeStamp]])*24</f>
        <v>0.18333333333333535</v>
      </c>
      <c r="U256" s="35" t="s">
        <v>336</v>
      </c>
      <c r="V256" s="102" t="s">
        <v>293</v>
      </c>
      <c r="W256" s="478">
        <f>IFERROR(Table6[[#This Row],[Breakdown Time]]*Table6[[#This Row],[Plant Equivalent Weightage]],"")</f>
        <v>7.0512820512821268E-3</v>
      </c>
      <c r="X256" s="473" t="s">
        <v>294</v>
      </c>
      <c r="Y256" s="474" t="s">
        <v>87</v>
      </c>
      <c r="Z256" s="102">
        <v>30710</v>
      </c>
      <c r="AA256" s="468">
        <f>(Table6[[#This Row],[Paired WTG Generation for loss calculation]]/24)*Table6[[#This Row],[Breakdown Time]]</f>
        <v>234.59027777778033</v>
      </c>
      <c r="AB256" s="102"/>
      <c r="AC256" s="35"/>
      <c r="AD256" s="35"/>
    </row>
    <row r="257" spans="1:30">
      <c r="A257" s="102">
        <f t="shared" si="4"/>
        <v>256</v>
      </c>
      <c r="B257" s="468">
        <f>YEAR(Table6[[#This Row],[Date]])+IF(MONTH(Table6[[#This Row],[Date]])&gt;=4,1,0)</f>
        <v>2026</v>
      </c>
      <c r="C257" s="102">
        <f>YEAR(Table6[[#This Row],[Date]])</f>
        <v>2025</v>
      </c>
      <c r="D257" s="102" t="s">
        <v>1992</v>
      </c>
      <c r="E257" s="469">
        <f>Table6[[#This Row],[Date]]-DAY(Table6[[#This Row],[Date]])+1</f>
        <v>45748</v>
      </c>
      <c r="F257" s="470">
        <v>45763</v>
      </c>
      <c r="G257" s="35" t="s">
        <v>86</v>
      </c>
      <c r="H257" s="35" t="str">
        <f>IFERROR(_xlfn.XLOOKUP(Table6[[#This Row],[Affected WTG]],'Basic Data'!$A:$A,'Basic Data'!$B:$B),"")</f>
        <v>TQGXIIPL</v>
      </c>
      <c r="I257" s="35" t="str">
        <f>IFERROR(_xlfn.XLOOKUP(Table6[[#This Row],[Affected WTG]],'Basic Data'!$A:$A,'Basic Data'!$C:$C),"")</f>
        <v>GEDA</v>
      </c>
      <c r="J257" s="471">
        <f>IFERROR(_xlfn.XLOOKUP(Table6[[#This Row],[Affected WTG]],'Basic Data'!$A:$A,'Basic Data'!$E:$E),"")</f>
        <v>3.846153846153845E-2</v>
      </c>
      <c r="K257" s="102">
        <v>55</v>
      </c>
      <c r="L257" s="35" t="str">
        <f>IFERROR(_xlfn.XLOOKUP(Table6[[#This Row],[Error Code]],'Basic Data'!$AA:$AA,'Basic Data'!$AB:$AB),"Incorrect Error Code")</f>
        <v>WTG shut down</v>
      </c>
      <c r="M257" s="35" t="s">
        <v>291</v>
      </c>
      <c r="N257" s="475"/>
      <c r="O257" s="476">
        <v>0.66041666666666665</v>
      </c>
      <c r="P257" s="476">
        <v>0.66041666666666665</v>
      </c>
      <c r="Q257" s="477">
        <v>0.70277777777777772</v>
      </c>
      <c r="R257" s="472">
        <f>IF(Table6[[#This Row],[Work Start TimeStamp]]="","",(Table6[[#This Row],[Work Start TimeStamp]]-Table6[[#This Row],[Fault Start TimeStamp]])*24)</f>
        <v>0</v>
      </c>
      <c r="S257" s="472">
        <f>(Table6[[#This Row],[Fault Clearance time]]-Table6[[#This Row],[Work Start TimeStamp]])*24</f>
        <v>1.0166666666666657</v>
      </c>
      <c r="T257" s="472">
        <f>(Table6[[#This Row],[Fault Clearance time]]-Table6[[#This Row],[Fault Start TimeStamp]])*24</f>
        <v>1.0166666666666657</v>
      </c>
      <c r="U257" s="35" t="s">
        <v>406</v>
      </c>
      <c r="V257" s="102" t="s">
        <v>293</v>
      </c>
      <c r="W257" s="478">
        <f>IFERROR(Table6[[#This Row],[Breakdown Time]]*Table6[[#This Row],[Plant Equivalent Weightage]],"")</f>
        <v>3.9102564102564054E-2</v>
      </c>
      <c r="X257" s="473" t="s">
        <v>290</v>
      </c>
      <c r="Y257" s="474" t="s">
        <v>84</v>
      </c>
      <c r="Z257" s="102">
        <v>37090</v>
      </c>
      <c r="AA257" s="468">
        <f>(Table6[[#This Row],[Paired WTG Generation for loss calculation]]/24)*Table6[[#This Row],[Breakdown Time]]</f>
        <v>1571.1736111111097</v>
      </c>
      <c r="AB257" s="102"/>
      <c r="AC257" s="35"/>
      <c r="AD257" s="35"/>
    </row>
    <row r="258" spans="1:30">
      <c r="A258" s="102">
        <f t="shared" si="4"/>
        <v>257</v>
      </c>
      <c r="B258" s="468">
        <f>YEAR(Table6[[#This Row],[Date]])+IF(MONTH(Table6[[#This Row],[Date]])&gt;=4,1,0)</f>
        <v>2026</v>
      </c>
      <c r="C258" s="102">
        <f>YEAR(Table6[[#This Row],[Date]])</f>
        <v>2025</v>
      </c>
      <c r="D258" s="102" t="s">
        <v>1992</v>
      </c>
      <c r="E258" s="469">
        <f>Table6[[#This Row],[Date]]-DAY(Table6[[#This Row],[Date]])+1</f>
        <v>45748</v>
      </c>
      <c r="F258" s="470">
        <v>45763</v>
      </c>
      <c r="G258" s="35" t="s">
        <v>87</v>
      </c>
      <c r="H258" s="35" t="str">
        <f>IFERROR(_xlfn.XLOOKUP(Table6[[#This Row],[Affected WTG]],'Basic Data'!$A:$A,'Basic Data'!$B:$B),"")</f>
        <v>TQGXIIPL</v>
      </c>
      <c r="I258" s="35" t="str">
        <f>IFERROR(_xlfn.XLOOKUP(Table6[[#This Row],[Affected WTG]],'Basic Data'!$A:$A,'Basic Data'!$C:$C),"")</f>
        <v>GEDA</v>
      </c>
      <c r="J258" s="471">
        <f>IFERROR(_xlfn.XLOOKUP(Table6[[#This Row],[Affected WTG]],'Basic Data'!$A:$A,'Basic Data'!$E:$E),"")</f>
        <v>3.846153846153845E-2</v>
      </c>
      <c r="K258" s="102">
        <v>55</v>
      </c>
      <c r="L258" s="35" t="str">
        <f>IFERROR(_xlfn.XLOOKUP(Table6[[#This Row],[Error Code]],'Basic Data'!$AA:$AA,'Basic Data'!$AB:$AB),"Incorrect Error Code")</f>
        <v>WTG shut down</v>
      </c>
      <c r="M258" s="35" t="s">
        <v>291</v>
      </c>
      <c r="N258" s="475"/>
      <c r="O258" s="476">
        <v>0.73958333333333337</v>
      </c>
      <c r="P258" s="476">
        <v>0.73958333333333337</v>
      </c>
      <c r="Q258" s="477">
        <v>0.76597222222222228</v>
      </c>
      <c r="R258" s="472">
        <f>IF(Table6[[#This Row],[Work Start TimeStamp]]="","",(Table6[[#This Row],[Work Start TimeStamp]]-Table6[[#This Row],[Fault Start TimeStamp]])*24)</f>
        <v>0</v>
      </c>
      <c r="S258" s="472">
        <f>(Table6[[#This Row],[Fault Clearance time]]-Table6[[#This Row],[Work Start TimeStamp]])*24</f>
        <v>0.63333333333333375</v>
      </c>
      <c r="T258" s="472">
        <f>(Table6[[#This Row],[Fault Clearance time]]-Table6[[#This Row],[Fault Start TimeStamp]])*24</f>
        <v>0.63333333333333375</v>
      </c>
      <c r="U258" s="35" t="s">
        <v>406</v>
      </c>
      <c r="V258" s="102" t="s">
        <v>293</v>
      </c>
      <c r="W258" s="478">
        <f>IFERROR(Table6[[#This Row],[Breakdown Time]]*Table6[[#This Row],[Plant Equivalent Weightage]],"")</f>
        <v>2.4358974358974366E-2</v>
      </c>
      <c r="X258" s="473" t="s">
        <v>290</v>
      </c>
      <c r="Y258" s="474" t="s">
        <v>85</v>
      </c>
      <c r="Z258" s="102">
        <v>34156</v>
      </c>
      <c r="AA258" s="468">
        <f>(Table6[[#This Row],[Paired WTG Generation for loss calculation]]/24)*Table6[[#This Row],[Breakdown Time]]</f>
        <v>901.33888888888953</v>
      </c>
      <c r="AB258" s="102"/>
      <c r="AC258" s="35"/>
      <c r="AD258" s="35"/>
    </row>
    <row r="259" spans="1:30">
      <c r="A259" s="102">
        <f t="shared" si="4"/>
        <v>258</v>
      </c>
      <c r="B259" s="468">
        <f>YEAR(Table6[[#This Row],[Date]])+IF(MONTH(Table6[[#This Row],[Date]])&gt;=4,1,0)</f>
        <v>2026</v>
      </c>
      <c r="C259" s="102">
        <f>YEAR(Table6[[#This Row],[Date]])</f>
        <v>2025</v>
      </c>
      <c r="D259" s="102" t="s">
        <v>1992</v>
      </c>
      <c r="E259" s="469">
        <f>Table6[[#This Row],[Date]]-DAY(Table6[[#This Row],[Date]])+1</f>
        <v>45748</v>
      </c>
      <c r="F259" s="470">
        <v>45763</v>
      </c>
      <c r="G259" s="35" t="s">
        <v>87</v>
      </c>
      <c r="H259" s="35" t="str">
        <f>IFERROR(_xlfn.XLOOKUP(Table6[[#This Row],[Affected WTG]],'Basic Data'!$A:$A,'Basic Data'!$B:$B),"")</f>
        <v>TQGXIIPL</v>
      </c>
      <c r="I259" s="35" t="str">
        <f>IFERROR(_xlfn.XLOOKUP(Table6[[#This Row],[Affected WTG]],'Basic Data'!$A:$A,'Basic Data'!$C:$C),"")</f>
        <v>GEDA</v>
      </c>
      <c r="J259" s="471">
        <f>IFERROR(_xlfn.XLOOKUP(Table6[[#This Row],[Affected WTG]],'Basic Data'!$A:$A,'Basic Data'!$E:$E),"")</f>
        <v>3.846153846153845E-2</v>
      </c>
      <c r="K259" s="102">
        <v>55</v>
      </c>
      <c r="L259" s="35" t="str">
        <f>IFERROR(_xlfn.XLOOKUP(Table6[[#This Row],[Error Code]],'Basic Data'!$AA:$AA,'Basic Data'!$AB:$AB),"Incorrect Error Code")</f>
        <v>WTG shut down</v>
      </c>
      <c r="M259" s="35" t="s">
        <v>330</v>
      </c>
      <c r="N259" s="475"/>
      <c r="O259" s="476">
        <v>0.76597222222222228</v>
      </c>
      <c r="P259" s="476">
        <v>0.76597222222222228</v>
      </c>
      <c r="Q259" s="477">
        <v>0.79791666666666672</v>
      </c>
      <c r="R259" s="472">
        <f>IF(Table6[[#This Row],[Work Start TimeStamp]]="","",(Table6[[#This Row],[Work Start TimeStamp]]-Table6[[#This Row],[Fault Start TimeStamp]])*24)</f>
        <v>0</v>
      </c>
      <c r="S259" s="472">
        <f>(Table6[[#This Row],[Fault Clearance time]]-Table6[[#This Row],[Work Start TimeStamp]])*24</f>
        <v>0.76666666666666661</v>
      </c>
      <c r="T259" s="472">
        <f>(Table6[[#This Row],[Fault Clearance time]]-Table6[[#This Row],[Fault Start TimeStamp]])*24</f>
        <v>0.76666666666666661</v>
      </c>
      <c r="U259" s="35" t="s">
        <v>337</v>
      </c>
      <c r="V259" s="102" t="s">
        <v>293</v>
      </c>
      <c r="W259" s="478">
        <f>IFERROR(Table6[[#This Row],[Breakdown Time]]*Table6[[#This Row],[Plant Equivalent Weightage]],"")</f>
        <v>2.9487179487179476E-2</v>
      </c>
      <c r="X259" s="473" t="s">
        <v>290</v>
      </c>
      <c r="Y259" s="474" t="s">
        <v>85</v>
      </c>
      <c r="Z259" s="102">
        <v>34156</v>
      </c>
      <c r="AA259" s="468">
        <f>(Table6[[#This Row],[Paired WTG Generation for loss calculation]]/24)*Table6[[#This Row],[Breakdown Time]]</f>
        <v>1091.0944444444444</v>
      </c>
      <c r="AB259" s="102"/>
      <c r="AC259" s="35"/>
      <c r="AD259" s="35"/>
    </row>
    <row r="260" spans="1:30">
      <c r="A260" s="102">
        <f t="shared" si="4"/>
        <v>259</v>
      </c>
      <c r="B260" s="468">
        <f>YEAR(Table6[[#This Row],[Date]])+IF(MONTH(Table6[[#This Row],[Date]])&gt;=4,1,0)</f>
        <v>2026</v>
      </c>
      <c r="C260" s="102">
        <f>YEAR(Table6[[#This Row],[Date]])</f>
        <v>2025</v>
      </c>
      <c r="D260" s="102" t="s">
        <v>1992</v>
      </c>
      <c r="E260" s="469">
        <f>Table6[[#This Row],[Date]]-DAY(Table6[[#This Row],[Date]])+1</f>
        <v>45748</v>
      </c>
      <c r="F260" s="470">
        <v>45763</v>
      </c>
      <c r="G260" s="35" t="s">
        <v>90</v>
      </c>
      <c r="H260" s="35" t="str">
        <f>IFERROR(_xlfn.XLOOKUP(Table6[[#This Row],[Affected WTG]],'Basic Data'!$A:$A,'Basic Data'!$B:$B),"")</f>
        <v>TQGXIIPL</v>
      </c>
      <c r="I260" s="35" t="str">
        <f>IFERROR(_xlfn.XLOOKUP(Table6[[#This Row],[Affected WTG]],'Basic Data'!$A:$A,'Basic Data'!$C:$C),"")</f>
        <v>GEDA</v>
      </c>
      <c r="J260" s="471">
        <f>IFERROR(_xlfn.XLOOKUP(Table6[[#This Row],[Affected WTG]],'Basic Data'!$A:$A,'Basic Data'!$E:$E),"")</f>
        <v>3.846153846153845E-2</v>
      </c>
      <c r="K260" s="102">
        <v>55</v>
      </c>
      <c r="L260" s="35" t="str">
        <f>IFERROR(_xlfn.XLOOKUP(Table6[[#This Row],[Error Code]],'Basic Data'!$AA:$AA,'Basic Data'!$AB:$AB),"Incorrect Error Code")</f>
        <v>WTG shut down</v>
      </c>
      <c r="M260" s="35" t="s">
        <v>295</v>
      </c>
      <c r="N260" s="475"/>
      <c r="O260" s="476">
        <v>0</v>
      </c>
      <c r="P260" s="476">
        <v>0</v>
      </c>
      <c r="Q260" s="477">
        <v>0.90277777777777779</v>
      </c>
      <c r="R260" s="472">
        <f>IF(Table6[[#This Row],[Work Start TimeStamp]]="","",(Table6[[#This Row],[Work Start TimeStamp]]-Table6[[#This Row],[Fault Start TimeStamp]])*24)</f>
        <v>0</v>
      </c>
      <c r="S260" s="472">
        <f>(Table6[[#This Row],[Fault Clearance time]]-Table6[[#This Row],[Work Start TimeStamp]])*24</f>
        <v>21.666666666666668</v>
      </c>
      <c r="T260" s="472">
        <f>(Table6[[#This Row],[Fault Clearance time]]-Table6[[#This Row],[Fault Start TimeStamp]])*24</f>
        <v>21.666666666666668</v>
      </c>
      <c r="U260" s="35" t="s">
        <v>407</v>
      </c>
      <c r="V260" s="102" t="s">
        <v>293</v>
      </c>
      <c r="W260" s="478">
        <f>IFERROR(Table6[[#This Row],[Breakdown Time]]*Table6[[#This Row],[Plant Equivalent Weightage]],"")</f>
        <v>0.83333333333333315</v>
      </c>
      <c r="X260" s="473" t="s">
        <v>290</v>
      </c>
      <c r="Y260" s="474" t="s">
        <v>95</v>
      </c>
      <c r="Z260" s="102">
        <v>46060</v>
      </c>
      <c r="AA260" s="468">
        <f>(Table6[[#This Row],[Paired WTG Generation for loss calculation]]/24)*Table6[[#This Row],[Breakdown Time]]</f>
        <v>41581.944444444445</v>
      </c>
      <c r="AB260" s="102"/>
      <c r="AC260" s="35"/>
      <c r="AD260" s="35"/>
    </row>
    <row r="261" spans="1:30">
      <c r="A261" s="102">
        <f t="shared" si="4"/>
        <v>260</v>
      </c>
      <c r="B261" s="468">
        <f>YEAR(Table6[[#This Row],[Date]])+IF(MONTH(Table6[[#This Row],[Date]])&gt;=4,1,0)</f>
        <v>2026</v>
      </c>
      <c r="C261" s="102">
        <f>YEAR(Table6[[#This Row],[Date]])</f>
        <v>2025</v>
      </c>
      <c r="D261" s="102" t="s">
        <v>1992</v>
      </c>
      <c r="E261" s="469">
        <f>Table6[[#This Row],[Date]]-DAY(Table6[[#This Row],[Date]])+1</f>
        <v>45748</v>
      </c>
      <c r="F261" s="470">
        <v>45763</v>
      </c>
      <c r="G261" s="35" t="s">
        <v>91</v>
      </c>
      <c r="H261" s="35" t="str">
        <f>IFERROR(_xlfn.XLOOKUP(Table6[[#This Row],[Affected WTG]],'Basic Data'!$A:$A,'Basic Data'!$B:$B),"")</f>
        <v>TQGXIIPL</v>
      </c>
      <c r="I261" s="35" t="str">
        <f>IFERROR(_xlfn.XLOOKUP(Table6[[#This Row],[Affected WTG]],'Basic Data'!$A:$A,'Basic Data'!$C:$C),"")</f>
        <v>GEDA</v>
      </c>
      <c r="J261" s="471">
        <f>IFERROR(_xlfn.XLOOKUP(Table6[[#This Row],[Affected WTG]],'Basic Data'!$A:$A,'Basic Data'!$E:$E),"")</f>
        <v>3.846153846153845E-2</v>
      </c>
      <c r="K261" s="102">
        <v>55</v>
      </c>
      <c r="L261" s="35" t="str">
        <f>IFERROR(_xlfn.XLOOKUP(Table6[[#This Row],[Error Code]],'Basic Data'!$AA:$AA,'Basic Data'!$AB:$AB),"Incorrect Error Code")</f>
        <v>WTG shut down</v>
      </c>
      <c r="M261" s="35" t="s">
        <v>291</v>
      </c>
      <c r="N261" s="475"/>
      <c r="O261" s="476">
        <v>0.47499999999999998</v>
      </c>
      <c r="P261" s="476">
        <v>0.47499999999999998</v>
      </c>
      <c r="Q261" s="477">
        <v>0.72222222222222221</v>
      </c>
      <c r="R261" s="472">
        <f>IF(Table6[[#This Row],[Work Start TimeStamp]]="","",(Table6[[#This Row],[Work Start TimeStamp]]-Table6[[#This Row],[Fault Start TimeStamp]])*24)</f>
        <v>0</v>
      </c>
      <c r="S261" s="472">
        <f>(Table6[[#This Row],[Fault Clearance time]]-Table6[[#This Row],[Work Start TimeStamp]])*24</f>
        <v>5.9333333333333336</v>
      </c>
      <c r="T261" s="472">
        <f>(Table6[[#This Row],[Fault Clearance time]]-Table6[[#This Row],[Fault Start TimeStamp]])*24</f>
        <v>5.9333333333333336</v>
      </c>
      <c r="U261" s="35" t="s">
        <v>408</v>
      </c>
      <c r="V261" s="102" t="s">
        <v>293</v>
      </c>
      <c r="W261" s="478">
        <f>IFERROR(Table6[[#This Row],[Breakdown Time]]*Table6[[#This Row],[Plant Equivalent Weightage]],"")</f>
        <v>0.22820512820512814</v>
      </c>
      <c r="X261" s="473" t="s">
        <v>290</v>
      </c>
      <c r="Y261" s="474" t="s">
        <v>79</v>
      </c>
      <c r="Z261" s="102">
        <v>41952</v>
      </c>
      <c r="AA261" s="468">
        <f>(Table6[[#This Row],[Paired WTG Generation for loss calculation]]/24)*Table6[[#This Row],[Breakdown Time]]</f>
        <v>10371.466666666667</v>
      </c>
      <c r="AB261" s="102"/>
      <c r="AC261" s="35"/>
      <c r="AD261" s="35"/>
    </row>
    <row r="262" spans="1:30">
      <c r="A262" s="102">
        <f t="shared" si="4"/>
        <v>261</v>
      </c>
      <c r="B262" s="468">
        <f>YEAR(Table6[[#This Row],[Date]])+IF(MONTH(Table6[[#This Row],[Date]])&gt;=4,1,0)</f>
        <v>2026</v>
      </c>
      <c r="C262" s="102">
        <f>YEAR(Table6[[#This Row],[Date]])</f>
        <v>2025</v>
      </c>
      <c r="D262" s="102" t="s">
        <v>1992</v>
      </c>
      <c r="E262" s="469">
        <f>Table6[[#This Row],[Date]]-DAY(Table6[[#This Row],[Date]])+1</f>
        <v>45748</v>
      </c>
      <c r="F262" s="470">
        <v>45763</v>
      </c>
      <c r="G262" s="35" t="s">
        <v>97</v>
      </c>
      <c r="H262" s="35" t="str">
        <f>IFERROR(_xlfn.XLOOKUP(Table6[[#This Row],[Affected WTG]],'Basic Data'!$A:$A,'Basic Data'!$B:$B),"")</f>
        <v>TQGXIIPL</v>
      </c>
      <c r="I262" s="35" t="str">
        <f>IFERROR(_xlfn.XLOOKUP(Table6[[#This Row],[Affected WTG]],'Basic Data'!$A:$A,'Basic Data'!$C:$C),"")</f>
        <v>GEDA</v>
      </c>
      <c r="J262" s="471">
        <f>IFERROR(_xlfn.XLOOKUP(Table6[[#This Row],[Affected WTG]],'Basic Data'!$A:$A,'Basic Data'!$E:$E),"")</f>
        <v>3.846153846153845E-2</v>
      </c>
      <c r="K262" s="102">
        <v>55</v>
      </c>
      <c r="L262" s="35" t="str">
        <f>IFERROR(_xlfn.XLOOKUP(Table6[[#This Row],[Error Code]],'Basic Data'!$AA:$AA,'Basic Data'!$AB:$AB),"Incorrect Error Code")</f>
        <v>WTG shut down</v>
      </c>
      <c r="M262" s="35" t="s">
        <v>291</v>
      </c>
      <c r="N262" s="475"/>
      <c r="O262" s="476">
        <v>0</v>
      </c>
      <c r="P262" s="476">
        <v>0</v>
      </c>
      <c r="Q262" s="477">
        <v>4.3055555555555555E-2</v>
      </c>
      <c r="R262" s="472">
        <f>IF(Table6[[#This Row],[Work Start TimeStamp]]="","",(Table6[[#This Row],[Work Start TimeStamp]]-Table6[[#This Row],[Fault Start TimeStamp]])*24)</f>
        <v>0</v>
      </c>
      <c r="S262" s="472">
        <f>(Table6[[#This Row],[Fault Clearance time]]-Table6[[#This Row],[Work Start TimeStamp]])*24</f>
        <v>1.0333333333333332</v>
      </c>
      <c r="T262" s="472">
        <f>(Table6[[#This Row],[Fault Clearance time]]-Table6[[#This Row],[Fault Start TimeStamp]])*24</f>
        <v>1.0333333333333332</v>
      </c>
      <c r="U262" s="35" t="s">
        <v>409</v>
      </c>
      <c r="V262" s="102" t="s">
        <v>293</v>
      </c>
      <c r="W262" s="478">
        <f>IFERROR(Table6[[#This Row],[Breakdown Time]]*Table6[[#This Row],[Plant Equivalent Weightage]],"")</f>
        <v>3.9743589743589727E-2</v>
      </c>
      <c r="X262" s="473" t="s">
        <v>290</v>
      </c>
      <c r="Y262" s="474" t="s">
        <v>93</v>
      </c>
      <c r="Z262" s="102">
        <v>39760</v>
      </c>
      <c r="AA262" s="468">
        <f>(Table6[[#This Row],[Paired WTG Generation for loss calculation]]/24)*Table6[[#This Row],[Breakdown Time]]</f>
        <v>1711.8888888888887</v>
      </c>
      <c r="AB262" s="102"/>
      <c r="AC262" s="35"/>
      <c r="AD262" s="35"/>
    </row>
    <row r="263" spans="1:30">
      <c r="A263" s="102">
        <f t="shared" si="4"/>
        <v>262</v>
      </c>
      <c r="B263" s="468">
        <f>YEAR(Table6[[#This Row],[Date]])+IF(MONTH(Table6[[#This Row],[Date]])&gt;=4,1,0)</f>
        <v>2026</v>
      </c>
      <c r="C263" s="102">
        <f>YEAR(Table6[[#This Row],[Date]])</f>
        <v>2025</v>
      </c>
      <c r="D263" s="102" t="s">
        <v>1992</v>
      </c>
      <c r="E263" s="469">
        <f>Table6[[#This Row],[Date]]-DAY(Table6[[#This Row],[Date]])+1</f>
        <v>45748</v>
      </c>
      <c r="F263" s="470">
        <v>45763</v>
      </c>
      <c r="G263" s="35" t="s">
        <v>98</v>
      </c>
      <c r="H263" s="35" t="str">
        <f>IFERROR(_xlfn.XLOOKUP(Table6[[#This Row],[Affected WTG]],'Basic Data'!$A:$A,'Basic Data'!$B:$B),"")</f>
        <v>TQGXIIPL</v>
      </c>
      <c r="I263" s="35" t="str">
        <f>IFERROR(_xlfn.XLOOKUP(Table6[[#This Row],[Affected WTG]],'Basic Data'!$A:$A,'Basic Data'!$C:$C),"")</f>
        <v>GEDA</v>
      </c>
      <c r="J263" s="471">
        <f>IFERROR(_xlfn.XLOOKUP(Table6[[#This Row],[Affected WTG]],'Basic Data'!$A:$A,'Basic Data'!$E:$E),"")</f>
        <v>3.846153846153845E-2</v>
      </c>
      <c r="K263" s="102">
        <v>1700</v>
      </c>
      <c r="L263" s="35" t="str">
        <f>IFERROR(_xlfn.XLOOKUP(Table6[[#This Row],[Error Code]],'Basic Data'!$AA:$AA,'Basic Data'!$AB:$AB),"Incorrect Error Code")</f>
        <v>High temp. gear bearing 1</v>
      </c>
      <c r="M263" s="35" t="s">
        <v>291</v>
      </c>
      <c r="N263" s="475"/>
      <c r="O263" s="476">
        <v>0.79374999999999996</v>
      </c>
      <c r="P263" s="476">
        <v>0.79374999999999996</v>
      </c>
      <c r="Q263" s="477">
        <v>0.80555555555555558</v>
      </c>
      <c r="R263" s="472">
        <f>IF(Table6[[#This Row],[Work Start TimeStamp]]="","",(Table6[[#This Row],[Work Start TimeStamp]]-Table6[[#This Row],[Fault Start TimeStamp]])*24)</f>
        <v>0</v>
      </c>
      <c r="S263" s="472">
        <f>(Table6[[#This Row],[Fault Clearance time]]-Table6[[#This Row],[Work Start TimeStamp]])*24</f>
        <v>0.28333333333333499</v>
      </c>
      <c r="T263" s="472">
        <f>(Table6[[#This Row],[Fault Clearance time]]-Table6[[#This Row],[Fault Start TimeStamp]])*24</f>
        <v>0.28333333333333499</v>
      </c>
      <c r="U263" s="35" t="s">
        <v>349</v>
      </c>
      <c r="V263" s="102" t="s">
        <v>293</v>
      </c>
      <c r="W263" s="478">
        <f>IFERROR(Table6[[#This Row],[Breakdown Time]]*Table6[[#This Row],[Plant Equivalent Weightage]],"")</f>
        <v>1.0897435897435958E-2</v>
      </c>
      <c r="X263" s="473" t="s">
        <v>294</v>
      </c>
      <c r="Y263" s="474" t="s">
        <v>74</v>
      </c>
      <c r="Z263" s="102">
        <v>39687</v>
      </c>
      <c r="AA263" s="468">
        <f>(Table6[[#This Row],[Paired WTG Generation for loss calculation]]/24)*Table6[[#This Row],[Breakdown Time]]</f>
        <v>468.52708333333607</v>
      </c>
      <c r="AB263" s="102"/>
      <c r="AC263" s="35"/>
      <c r="AD263" s="35"/>
    </row>
    <row r="264" spans="1:30">
      <c r="A264" s="102">
        <f t="shared" si="4"/>
        <v>263</v>
      </c>
      <c r="B264" s="468">
        <f>YEAR(Table6[[#This Row],[Date]])+IF(MONTH(Table6[[#This Row],[Date]])&gt;=4,1,0)</f>
        <v>2026</v>
      </c>
      <c r="C264" s="102">
        <f>YEAR(Table6[[#This Row],[Date]])</f>
        <v>2025</v>
      </c>
      <c r="D264" s="102" t="s">
        <v>1992</v>
      </c>
      <c r="E264" s="469">
        <f>Table6[[#This Row],[Date]]-DAY(Table6[[#This Row],[Date]])+1</f>
        <v>45748</v>
      </c>
      <c r="F264" s="470">
        <v>45763</v>
      </c>
      <c r="G264" s="35" t="s">
        <v>98</v>
      </c>
      <c r="H264" s="35" t="str">
        <f>IFERROR(_xlfn.XLOOKUP(Table6[[#This Row],[Affected WTG]],'Basic Data'!$A:$A,'Basic Data'!$B:$B),"")</f>
        <v>TQGXIIPL</v>
      </c>
      <c r="I264" s="35" t="str">
        <f>IFERROR(_xlfn.XLOOKUP(Table6[[#This Row],[Affected WTG]],'Basic Data'!$A:$A,'Basic Data'!$C:$C),"")</f>
        <v>GEDA</v>
      </c>
      <c r="J264" s="471">
        <f>IFERROR(_xlfn.XLOOKUP(Table6[[#This Row],[Affected WTG]],'Basic Data'!$A:$A,'Basic Data'!$E:$E),"")</f>
        <v>3.846153846153845E-2</v>
      </c>
      <c r="K264" s="102">
        <v>3110</v>
      </c>
      <c r="L264" s="35" t="str">
        <f>IFERROR(_xlfn.XLOOKUP(Table6[[#This Row],[Error Code]],'Basic Data'!$AA:$AA,'Basic Data'!$AB:$AB),"Incorrect Error Code")</f>
        <v>Frequency converter error</v>
      </c>
      <c r="M264" s="35" t="s">
        <v>291</v>
      </c>
      <c r="N264" s="475"/>
      <c r="O264" s="476">
        <v>0.82638888888888884</v>
      </c>
      <c r="P264" s="476">
        <v>0.82638888888888884</v>
      </c>
      <c r="Q264" s="477">
        <v>0.83819444444444446</v>
      </c>
      <c r="R264" s="472">
        <f>IF(Table6[[#This Row],[Work Start TimeStamp]]="","",(Table6[[#This Row],[Work Start TimeStamp]]-Table6[[#This Row],[Fault Start TimeStamp]])*24)</f>
        <v>0</v>
      </c>
      <c r="S264" s="472">
        <f>(Table6[[#This Row],[Fault Clearance time]]-Table6[[#This Row],[Work Start TimeStamp]])*24</f>
        <v>0.28333333333333499</v>
      </c>
      <c r="T264" s="472">
        <f>(Table6[[#This Row],[Fault Clearance time]]-Table6[[#This Row],[Fault Start TimeStamp]])*24</f>
        <v>0.28333333333333499</v>
      </c>
      <c r="U264" s="35" t="s">
        <v>349</v>
      </c>
      <c r="V264" s="102" t="s">
        <v>293</v>
      </c>
      <c r="W264" s="478">
        <f>IFERROR(Table6[[#This Row],[Breakdown Time]]*Table6[[#This Row],[Plant Equivalent Weightage]],"")</f>
        <v>1.0897435897435958E-2</v>
      </c>
      <c r="X264" s="473" t="s">
        <v>294</v>
      </c>
      <c r="Y264" s="474" t="s">
        <v>74</v>
      </c>
      <c r="Z264" s="102">
        <v>39687</v>
      </c>
      <c r="AA264" s="468">
        <f>(Table6[[#This Row],[Paired WTG Generation for loss calculation]]/24)*Table6[[#This Row],[Breakdown Time]]</f>
        <v>468.52708333333607</v>
      </c>
      <c r="AB264" s="102"/>
      <c r="AC264" s="35"/>
      <c r="AD264" s="35"/>
    </row>
    <row r="265" spans="1:30">
      <c r="A265" s="102">
        <f t="shared" si="4"/>
        <v>264</v>
      </c>
      <c r="B265" s="468">
        <f>YEAR(Table6[[#This Row],[Date]])+IF(MONTH(Table6[[#This Row],[Date]])&gt;=4,1,0)</f>
        <v>2026</v>
      </c>
      <c r="C265" s="102">
        <f>YEAR(Table6[[#This Row],[Date]])</f>
        <v>2025</v>
      </c>
      <c r="D265" s="102" t="s">
        <v>1992</v>
      </c>
      <c r="E265" s="469">
        <f>Table6[[#This Row],[Date]]-DAY(Table6[[#This Row],[Date]])+1</f>
        <v>45748</v>
      </c>
      <c r="F265" s="470">
        <v>45763</v>
      </c>
      <c r="G265" s="35" t="s">
        <v>98</v>
      </c>
      <c r="H265" s="35" t="str">
        <f>IFERROR(_xlfn.XLOOKUP(Table6[[#This Row],[Affected WTG]],'Basic Data'!$A:$A,'Basic Data'!$B:$B),"")</f>
        <v>TQGXIIPL</v>
      </c>
      <c r="I265" s="35" t="str">
        <f>IFERROR(_xlfn.XLOOKUP(Table6[[#This Row],[Affected WTG]],'Basic Data'!$A:$A,'Basic Data'!$C:$C),"")</f>
        <v>GEDA</v>
      </c>
      <c r="J265" s="471">
        <f>IFERROR(_xlfn.XLOOKUP(Table6[[#This Row],[Affected WTG]],'Basic Data'!$A:$A,'Basic Data'!$E:$E),"")</f>
        <v>3.846153846153845E-2</v>
      </c>
      <c r="K265" s="102">
        <v>3110</v>
      </c>
      <c r="L265" s="35" t="str">
        <f>IFERROR(_xlfn.XLOOKUP(Table6[[#This Row],[Error Code]],'Basic Data'!$AA:$AA,'Basic Data'!$AB:$AB),"Incorrect Error Code")</f>
        <v>Frequency converter error</v>
      </c>
      <c r="M265" s="35" t="s">
        <v>291</v>
      </c>
      <c r="N265" s="475"/>
      <c r="O265" s="476">
        <v>0.87152777777777779</v>
      </c>
      <c r="P265" s="476">
        <v>0.87152777777777779</v>
      </c>
      <c r="Q265" s="477">
        <v>0.87986111111111109</v>
      </c>
      <c r="R265" s="472">
        <f>IF(Table6[[#This Row],[Work Start TimeStamp]]="","",(Table6[[#This Row],[Work Start TimeStamp]]-Table6[[#This Row],[Fault Start TimeStamp]])*24)</f>
        <v>0</v>
      </c>
      <c r="S265" s="472">
        <f>(Table6[[#This Row],[Fault Clearance time]]-Table6[[#This Row],[Work Start TimeStamp]])*24</f>
        <v>0.19999999999999929</v>
      </c>
      <c r="T265" s="472">
        <f>(Table6[[#This Row],[Fault Clearance time]]-Table6[[#This Row],[Fault Start TimeStamp]])*24</f>
        <v>0.19999999999999929</v>
      </c>
      <c r="U265" s="35" t="s">
        <v>349</v>
      </c>
      <c r="V265" s="102" t="s">
        <v>293</v>
      </c>
      <c r="W265" s="478">
        <f>IFERROR(Table6[[#This Row],[Breakdown Time]]*Table6[[#This Row],[Plant Equivalent Weightage]],"")</f>
        <v>7.6923076923076624E-3</v>
      </c>
      <c r="X265" s="473" t="s">
        <v>294</v>
      </c>
      <c r="Y265" s="474" t="s">
        <v>74</v>
      </c>
      <c r="Z265" s="102">
        <v>39687</v>
      </c>
      <c r="AA265" s="468">
        <f>(Table6[[#This Row],[Paired WTG Generation for loss calculation]]/24)*Table6[[#This Row],[Breakdown Time]]</f>
        <v>330.72499999999883</v>
      </c>
      <c r="AB265" s="102"/>
      <c r="AC265" s="35"/>
      <c r="AD265" s="35"/>
    </row>
    <row r="266" spans="1:30">
      <c r="A266" s="102">
        <f t="shared" si="4"/>
        <v>265</v>
      </c>
      <c r="B266" s="468">
        <f>YEAR(Table6[[#This Row],[Date]])+IF(MONTH(Table6[[#This Row],[Date]])&gt;=4,1,0)</f>
        <v>2026</v>
      </c>
      <c r="C266" s="102">
        <f>YEAR(Table6[[#This Row],[Date]])</f>
        <v>2025</v>
      </c>
      <c r="D266" s="102" t="s">
        <v>1992</v>
      </c>
      <c r="E266" s="469">
        <f>Table6[[#This Row],[Date]]-DAY(Table6[[#This Row],[Date]])+1</f>
        <v>45748</v>
      </c>
      <c r="F266" s="470">
        <v>45763</v>
      </c>
      <c r="G266" s="35" t="s">
        <v>98</v>
      </c>
      <c r="H266" s="35" t="str">
        <f>IFERROR(_xlfn.XLOOKUP(Table6[[#This Row],[Affected WTG]],'Basic Data'!$A:$A,'Basic Data'!$B:$B),"")</f>
        <v>TQGXIIPL</v>
      </c>
      <c r="I266" s="35" t="str">
        <f>IFERROR(_xlfn.XLOOKUP(Table6[[#This Row],[Affected WTG]],'Basic Data'!$A:$A,'Basic Data'!$C:$C),"")</f>
        <v>GEDA</v>
      </c>
      <c r="J266" s="471">
        <f>IFERROR(_xlfn.XLOOKUP(Table6[[#This Row],[Affected WTG]],'Basic Data'!$A:$A,'Basic Data'!$E:$E),"")</f>
        <v>3.846153846153845E-2</v>
      </c>
      <c r="K266" s="102">
        <v>55</v>
      </c>
      <c r="L266" s="35" t="str">
        <f>IFERROR(_xlfn.XLOOKUP(Table6[[#This Row],[Error Code]],'Basic Data'!$AA:$AA,'Basic Data'!$AB:$AB),"Incorrect Error Code")</f>
        <v>WTG shut down</v>
      </c>
      <c r="M266" s="35" t="s">
        <v>330</v>
      </c>
      <c r="N266" s="475"/>
      <c r="O266" s="476">
        <v>0.88611111111111107</v>
      </c>
      <c r="P266" s="476">
        <v>0.88611111111111107</v>
      </c>
      <c r="Q266" s="477">
        <v>0.96805555555555556</v>
      </c>
      <c r="R266" s="472">
        <f>IF(Table6[[#This Row],[Work Start TimeStamp]]="","",(Table6[[#This Row],[Work Start TimeStamp]]-Table6[[#This Row],[Fault Start TimeStamp]])*24)</f>
        <v>0</v>
      </c>
      <c r="S266" s="472">
        <f>(Table6[[#This Row],[Fault Clearance time]]-Table6[[#This Row],[Work Start TimeStamp]])*24</f>
        <v>1.9666666666666677</v>
      </c>
      <c r="T266" s="472">
        <f>(Table6[[#This Row],[Fault Clearance time]]-Table6[[#This Row],[Fault Start TimeStamp]])*24</f>
        <v>1.9666666666666677</v>
      </c>
      <c r="U266" s="35" t="s">
        <v>337</v>
      </c>
      <c r="V266" s="102" t="s">
        <v>293</v>
      </c>
      <c r="W266" s="478">
        <f>IFERROR(Table6[[#This Row],[Breakdown Time]]*Table6[[#This Row],[Plant Equivalent Weightage]],"")</f>
        <v>7.564102564102565E-2</v>
      </c>
      <c r="X266" s="473" t="s">
        <v>290</v>
      </c>
      <c r="Y266" s="474" t="s">
        <v>74</v>
      </c>
      <c r="Z266" s="102">
        <v>39687</v>
      </c>
      <c r="AA266" s="468">
        <f>(Table6[[#This Row],[Paired WTG Generation for loss calculation]]/24)*Table6[[#This Row],[Breakdown Time]]</f>
        <v>3252.1291666666684</v>
      </c>
      <c r="AB266" s="102"/>
      <c r="AC266" s="35"/>
      <c r="AD266" s="35"/>
    </row>
    <row r="267" spans="1:30">
      <c r="A267" s="102">
        <f t="shared" si="4"/>
        <v>266</v>
      </c>
      <c r="B267" s="468">
        <f>YEAR(Table6[[#This Row],[Date]])+IF(MONTH(Table6[[#This Row],[Date]])&gt;=4,1,0)</f>
        <v>2026</v>
      </c>
      <c r="C267" s="102">
        <f>YEAR(Table6[[#This Row],[Date]])</f>
        <v>2025</v>
      </c>
      <c r="D267" s="102" t="s">
        <v>1992</v>
      </c>
      <c r="E267" s="469">
        <f>Table6[[#This Row],[Date]]-DAY(Table6[[#This Row],[Date]])+1</f>
        <v>45748</v>
      </c>
      <c r="F267" s="470">
        <v>45764</v>
      </c>
      <c r="G267" s="35" t="s">
        <v>74</v>
      </c>
      <c r="H267" s="35" t="str">
        <f>IFERROR(_xlfn.XLOOKUP(Table6[[#This Row],[Affected WTG]],'Basic Data'!$A:$A,'Basic Data'!$B:$B),"")</f>
        <v>TQGXIIPL</v>
      </c>
      <c r="I267" s="35" t="str">
        <f>IFERROR(_xlfn.XLOOKUP(Table6[[#This Row],[Affected WTG]],'Basic Data'!$A:$A,'Basic Data'!$C:$C),"")</f>
        <v>GEDA</v>
      </c>
      <c r="J267" s="471">
        <f>IFERROR(_xlfn.XLOOKUP(Table6[[#This Row],[Affected WTG]],'Basic Data'!$A:$A,'Basic Data'!$E:$E),"")</f>
        <v>3.846153846153845E-2</v>
      </c>
      <c r="K267" s="102">
        <v>55</v>
      </c>
      <c r="L267" s="35" t="str">
        <f>IFERROR(_xlfn.XLOOKUP(Table6[[#This Row],[Error Code]],'Basic Data'!$AA:$AA,'Basic Data'!$AB:$AB),"Incorrect Error Code")</f>
        <v>WTG shut down</v>
      </c>
      <c r="M267" s="35" t="s">
        <v>291</v>
      </c>
      <c r="N267" s="475"/>
      <c r="O267" s="476">
        <v>0.61805555555555558</v>
      </c>
      <c r="P267" s="476">
        <v>0.61805555555555558</v>
      </c>
      <c r="Q267" s="477">
        <v>0.62430555555555556</v>
      </c>
      <c r="R267" s="472">
        <f>IF(Table6[[#This Row],[Work Start TimeStamp]]="","",(Table6[[#This Row],[Work Start TimeStamp]]-Table6[[#This Row],[Fault Start TimeStamp]])*24)</f>
        <v>0</v>
      </c>
      <c r="S267" s="472">
        <f>(Table6[[#This Row],[Fault Clearance time]]-Table6[[#This Row],[Work Start TimeStamp]])*24</f>
        <v>0.14999999999999947</v>
      </c>
      <c r="T267" s="472">
        <f>(Table6[[#This Row],[Fault Clearance time]]-Table6[[#This Row],[Fault Start TimeStamp]])*24</f>
        <v>0.14999999999999947</v>
      </c>
      <c r="U267" s="35" t="s">
        <v>389</v>
      </c>
      <c r="V267" s="102" t="s">
        <v>293</v>
      </c>
      <c r="W267" s="478">
        <f>IFERROR(Table6[[#This Row],[Breakdown Time]]*Table6[[#This Row],[Plant Equivalent Weightage]],"")</f>
        <v>5.769230769230747E-3</v>
      </c>
      <c r="X267" s="473" t="s">
        <v>290</v>
      </c>
      <c r="Y267" s="474" t="s">
        <v>99</v>
      </c>
      <c r="Z267" s="102">
        <v>36110</v>
      </c>
      <c r="AA267" s="468">
        <f>(Table6[[#This Row],[Paired WTG Generation for loss calculation]]/24)*Table6[[#This Row],[Breakdown Time]]</f>
        <v>225.68749999999918</v>
      </c>
      <c r="AB267" s="102"/>
      <c r="AC267" s="35"/>
      <c r="AD267" s="35"/>
    </row>
    <row r="268" spans="1:30">
      <c r="A268" s="102">
        <f t="shared" si="4"/>
        <v>267</v>
      </c>
      <c r="B268" s="468">
        <f>YEAR(Table6[[#This Row],[Date]])+IF(MONTH(Table6[[#This Row],[Date]])&gt;=4,1,0)</f>
        <v>2026</v>
      </c>
      <c r="C268" s="102">
        <f>YEAR(Table6[[#This Row],[Date]])</f>
        <v>2025</v>
      </c>
      <c r="D268" s="102" t="s">
        <v>1992</v>
      </c>
      <c r="E268" s="469">
        <f>Table6[[#This Row],[Date]]-DAY(Table6[[#This Row],[Date]])+1</f>
        <v>45748</v>
      </c>
      <c r="F268" s="470">
        <v>45764</v>
      </c>
      <c r="G268" s="35" t="s">
        <v>75</v>
      </c>
      <c r="H268" s="35" t="str">
        <f>IFERROR(_xlfn.XLOOKUP(Table6[[#This Row],[Affected WTG]],'Basic Data'!$A:$A,'Basic Data'!$B:$B),"")</f>
        <v>TQGXIIPL</v>
      </c>
      <c r="I268" s="35" t="str">
        <f>IFERROR(_xlfn.XLOOKUP(Table6[[#This Row],[Affected WTG]],'Basic Data'!$A:$A,'Basic Data'!$C:$C),"")</f>
        <v>GEDA</v>
      </c>
      <c r="J268" s="471">
        <f>IFERROR(_xlfn.XLOOKUP(Table6[[#This Row],[Affected WTG]],'Basic Data'!$A:$A,'Basic Data'!$E:$E),"")</f>
        <v>3.846153846153845E-2</v>
      </c>
      <c r="K268" s="102">
        <v>1070</v>
      </c>
      <c r="L268" s="35" t="str">
        <f>IFERROR(_xlfn.XLOOKUP(Table6[[#This Row],[Error Code]],'Basic Data'!$AA:$AA,'Basic Data'!$AB:$AB),"Incorrect Error Code")</f>
        <v>Drive train monitor level 2</v>
      </c>
      <c r="M268" s="35" t="s">
        <v>291</v>
      </c>
      <c r="N268" s="475"/>
      <c r="O268" s="476">
        <v>0.19027777777777777</v>
      </c>
      <c r="P268" s="476">
        <v>0.19027777777777777</v>
      </c>
      <c r="Q268" s="477">
        <v>0.19166666666666668</v>
      </c>
      <c r="R268" s="472">
        <f>IF(Table6[[#This Row],[Work Start TimeStamp]]="","",(Table6[[#This Row],[Work Start TimeStamp]]-Table6[[#This Row],[Fault Start TimeStamp]])*24)</f>
        <v>0</v>
      </c>
      <c r="S268" s="472">
        <f>(Table6[[#This Row],[Fault Clearance time]]-Table6[[#This Row],[Work Start TimeStamp]])*24</f>
        <v>3.3333333333333881E-2</v>
      </c>
      <c r="T268" s="472">
        <f>(Table6[[#This Row],[Fault Clearance time]]-Table6[[#This Row],[Fault Start TimeStamp]])*24</f>
        <v>3.3333333333333881E-2</v>
      </c>
      <c r="U268" s="35" t="s">
        <v>349</v>
      </c>
      <c r="V268" s="102" t="s">
        <v>293</v>
      </c>
      <c r="W268" s="478">
        <f>IFERROR(Table6[[#This Row],[Breakdown Time]]*Table6[[#This Row],[Plant Equivalent Weightage]],"")</f>
        <v>1.2820512820513027E-3</v>
      </c>
      <c r="X268" s="473" t="s">
        <v>294</v>
      </c>
      <c r="Y268" s="474" t="s">
        <v>78</v>
      </c>
      <c r="Z268" s="102">
        <v>38564</v>
      </c>
      <c r="AA268" s="468">
        <f>(Table6[[#This Row],[Paired WTG Generation for loss calculation]]/24)*Table6[[#This Row],[Breakdown Time]]</f>
        <v>53.561111111111991</v>
      </c>
      <c r="AB268" s="102"/>
      <c r="AC268" s="35"/>
      <c r="AD268" s="35"/>
    </row>
    <row r="269" spans="1:30">
      <c r="A269" s="102">
        <f t="shared" si="4"/>
        <v>268</v>
      </c>
      <c r="B269" s="468">
        <f>YEAR(Table6[[#This Row],[Date]])+IF(MONTH(Table6[[#This Row],[Date]])&gt;=4,1,0)</f>
        <v>2026</v>
      </c>
      <c r="C269" s="102">
        <f>YEAR(Table6[[#This Row],[Date]])</f>
        <v>2025</v>
      </c>
      <c r="D269" s="102" t="s">
        <v>1992</v>
      </c>
      <c r="E269" s="469">
        <f>Table6[[#This Row],[Date]]-DAY(Table6[[#This Row],[Date]])+1</f>
        <v>45748</v>
      </c>
      <c r="F269" s="470">
        <v>45764</v>
      </c>
      <c r="G269" s="35" t="s">
        <v>75</v>
      </c>
      <c r="H269" s="35" t="str">
        <f>IFERROR(_xlfn.XLOOKUP(Table6[[#This Row],[Affected WTG]],'Basic Data'!$A:$A,'Basic Data'!$B:$B),"")</f>
        <v>TQGXIIPL</v>
      </c>
      <c r="I269" s="35" t="str">
        <f>IFERROR(_xlfn.XLOOKUP(Table6[[#This Row],[Affected WTG]],'Basic Data'!$A:$A,'Basic Data'!$C:$C),"")</f>
        <v>GEDA</v>
      </c>
      <c r="J269" s="471">
        <f>IFERROR(_xlfn.XLOOKUP(Table6[[#This Row],[Affected WTG]],'Basic Data'!$A:$A,'Basic Data'!$E:$E),"")</f>
        <v>3.846153846153845E-2</v>
      </c>
      <c r="K269" s="102">
        <v>55</v>
      </c>
      <c r="L269" s="35" t="str">
        <f>IFERROR(_xlfn.XLOOKUP(Table6[[#This Row],[Error Code]],'Basic Data'!$AA:$AA,'Basic Data'!$AB:$AB),"Incorrect Error Code")</f>
        <v>WTG shut down</v>
      </c>
      <c r="M269" s="35" t="s">
        <v>304</v>
      </c>
      <c r="N269" s="475"/>
      <c r="O269" s="476">
        <v>0.28749999999999998</v>
      </c>
      <c r="P269" s="476">
        <v>0.2902777777777778</v>
      </c>
      <c r="Q269" s="477">
        <v>0.57916666666666672</v>
      </c>
      <c r="R269" s="472">
        <f>IF(Table6[[#This Row],[Work Start TimeStamp]]="","",(Table6[[#This Row],[Work Start TimeStamp]]-Table6[[#This Row],[Fault Start TimeStamp]])*24)</f>
        <v>6.6666666666667762E-2</v>
      </c>
      <c r="S269" s="472">
        <f>(Table6[[#This Row],[Fault Clearance time]]-Table6[[#This Row],[Work Start TimeStamp]])*24</f>
        <v>6.9333333333333336</v>
      </c>
      <c r="T269" s="472">
        <f>(Table6[[#This Row],[Fault Clearance time]]-Table6[[#This Row],[Fault Start TimeStamp]])*24</f>
        <v>7.0000000000000018</v>
      </c>
      <c r="U269" s="35" t="s">
        <v>351</v>
      </c>
      <c r="V269" s="102" t="s">
        <v>293</v>
      </c>
      <c r="W269" s="478">
        <f>IFERROR(Table6[[#This Row],[Breakdown Time]]*Table6[[#This Row],[Plant Equivalent Weightage]],"")</f>
        <v>0.26923076923076922</v>
      </c>
      <c r="X269" s="473" t="s">
        <v>305</v>
      </c>
      <c r="Y269" s="474" t="s">
        <v>78</v>
      </c>
      <c r="Z269" s="102">
        <v>38564</v>
      </c>
      <c r="AA269" s="468">
        <f>(Table6[[#This Row],[Paired WTG Generation for loss calculation]]/24)*Table6[[#This Row],[Breakdown Time]]</f>
        <v>11247.833333333336</v>
      </c>
      <c r="AB269" s="102"/>
      <c r="AC269" s="35"/>
      <c r="AD269" s="35"/>
    </row>
    <row r="270" spans="1:30">
      <c r="A270" s="102">
        <f t="shared" ref="A270:A333" si="5">A269+1</f>
        <v>269</v>
      </c>
      <c r="B270" s="468">
        <f>YEAR(Table6[[#This Row],[Date]])+IF(MONTH(Table6[[#This Row],[Date]])&gt;=4,1,0)</f>
        <v>2026</v>
      </c>
      <c r="C270" s="102">
        <f>YEAR(Table6[[#This Row],[Date]])</f>
        <v>2025</v>
      </c>
      <c r="D270" s="102" t="s">
        <v>1992</v>
      </c>
      <c r="E270" s="469">
        <f>Table6[[#This Row],[Date]]-DAY(Table6[[#This Row],[Date]])+1</f>
        <v>45748</v>
      </c>
      <c r="F270" s="470">
        <v>45764</v>
      </c>
      <c r="G270" s="35" t="s">
        <v>75</v>
      </c>
      <c r="H270" s="35" t="str">
        <f>IFERROR(_xlfn.XLOOKUP(Table6[[#This Row],[Affected WTG]],'Basic Data'!$A:$A,'Basic Data'!$B:$B),"")</f>
        <v>TQGXIIPL</v>
      </c>
      <c r="I270" s="35" t="str">
        <f>IFERROR(_xlfn.XLOOKUP(Table6[[#This Row],[Affected WTG]],'Basic Data'!$A:$A,'Basic Data'!$C:$C),"")</f>
        <v>GEDA</v>
      </c>
      <c r="J270" s="471">
        <f>IFERROR(_xlfn.XLOOKUP(Table6[[#This Row],[Affected WTG]],'Basic Data'!$A:$A,'Basic Data'!$E:$E),"")</f>
        <v>3.846153846153845E-2</v>
      </c>
      <c r="K270" s="102">
        <v>55</v>
      </c>
      <c r="L270" s="35" t="str">
        <f>IFERROR(_xlfn.XLOOKUP(Table6[[#This Row],[Error Code]],'Basic Data'!$AA:$AA,'Basic Data'!$AB:$AB),"Incorrect Error Code")</f>
        <v>WTG shut down</v>
      </c>
      <c r="M270" s="35" t="s">
        <v>291</v>
      </c>
      <c r="N270" s="475"/>
      <c r="O270" s="476">
        <v>0.81597222222222221</v>
      </c>
      <c r="P270" s="476">
        <v>0.81597222222222221</v>
      </c>
      <c r="Q270" s="477">
        <v>0.82222222222222219</v>
      </c>
      <c r="R270" s="472">
        <f>IF(Table6[[#This Row],[Work Start TimeStamp]]="","",(Table6[[#This Row],[Work Start TimeStamp]]-Table6[[#This Row],[Fault Start TimeStamp]])*24)</f>
        <v>0</v>
      </c>
      <c r="S270" s="472">
        <f>(Table6[[#This Row],[Fault Clearance time]]-Table6[[#This Row],[Work Start TimeStamp]])*24</f>
        <v>0.14999999999999947</v>
      </c>
      <c r="T270" s="472">
        <f>(Table6[[#This Row],[Fault Clearance time]]-Table6[[#This Row],[Fault Start TimeStamp]])*24</f>
        <v>0.14999999999999947</v>
      </c>
      <c r="U270" s="35" t="s">
        <v>389</v>
      </c>
      <c r="V270" s="102" t="s">
        <v>293</v>
      </c>
      <c r="W270" s="478">
        <f>IFERROR(Table6[[#This Row],[Breakdown Time]]*Table6[[#This Row],[Plant Equivalent Weightage]],"")</f>
        <v>5.769230769230747E-3</v>
      </c>
      <c r="X270" s="473" t="s">
        <v>290</v>
      </c>
      <c r="Y270" s="474" t="s">
        <v>78</v>
      </c>
      <c r="Z270" s="102">
        <v>38564</v>
      </c>
      <c r="AA270" s="468">
        <f>(Table6[[#This Row],[Paired WTG Generation for loss calculation]]/24)*Table6[[#This Row],[Breakdown Time]]</f>
        <v>241.02499999999912</v>
      </c>
      <c r="AB270" s="102"/>
      <c r="AC270" s="35"/>
      <c r="AD270" s="35"/>
    </row>
    <row r="271" spans="1:30">
      <c r="A271" s="102">
        <f t="shared" si="5"/>
        <v>270</v>
      </c>
      <c r="B271" s="468">
        <f>YEAR(Table6[[#This Row],[Date]])+IF(MONTH(Table6[[#This Row],[Date]])&gt;=4,1,0)</f>
        <v>2026</v>
      </c>
      <c r="C271" s="102">
        <f>YEAR(Table6[[#This Row],[Date]])</f>
        <v>2025</v>
      </c>
      <c r="D271" s="102" t="s">
        <v>1992</v>
      </c>
      <c r="E271" s="469">
        <f>Table6[[#This Row],[Date]]-DAY(Table6[[#This Row],[Date]])+1</f>
        <v>45748</v>
      </c>
      <c r="F271" s="470">
        <v>45764</v>
      </c>
      <c r="G271" s="35" t="s">
        <v>77</v>
      </c>
      <c r="H271" s="35" t="str">
        <f>IFERROR(_xlfn.XLOOKUP(Table6[[#This Row],[Affected WTG]],'Basic Data'!$A:$A,'Basic Data'!$B:$B),"")</f>
        <v>TQGXIIPL</v>
      </c>
      <c r="I271" s="35" t="str">
        <f>IFERROR(_xlfn.XLOOKUP(Table6[[#This Row],[Affected WTG]],'Basic Data'!$A:$A,'Basic Data'!$C:$C),"")</f>
        <v>GEDA</v>
      </c>
      <c r="J271" s="471">
        <f>IFERROR(_xlfn.XLOOKUP(Table6[[#This Row],[Affected WTG]],'Basic Data'!$A:$A,'Basic Data'!$E:$E),"")</f>
        <v>3.846153846153845E-2</v>
      </c>
      <c r="K271" s="102">
        <v>55</v>
      </c>
      <c r="L271" s="35" t="str">
        <f>IFERROR(_xlfn.XLOOKUP(Table6[[#This Row],[Error Code]],'Basic Data'!$AA:$AA,'Basic Data'!$AB:$AB),"Incorrect Error Code")</f>
        <v>WTG shut down</v>
      </c>
      <c r="M271" s="35" t="s">
        <v>291</v>
      </c>
      <c r="N271" s="475"/>
      <c r="O271" s="476">
        <v>0.77847222222222223</v>
      </c>
      <c r="P271" s="476">
        <v>0.77847222222222223</v>
      </c>
      <c r="Q271" s="477">
        <v>0.78680555555555554</v>
      </c>
      <c r="R271" s="472">
        <f>IF(Table6[[#This Row],[Work Start TimeStamp]]="","",(Table6[[#This Row],[Work Start TimeStamp]]-Table6[[#This Row],[Fault Start TimeStamp]])*24)</f>
        <v>0</v>
      </c>
      <c r="S271" s="472">
        <f>(Table6[[#This Row],[Fault Clearance time]]-Table6[[#This Row],[Work Start TimeStamp]])*24</f>
        <v>0.19999999999999929</v>
      </c>
      <c r="T271" s="472">
        <f>(Table6[[#This Row],[Fault Clearance time]]-Table6[[#This Row],[Fault Start TimeStamp]])*24</f>
        <v>0.19999999999999929</v>
      </c>
      <c r="U271" s="35" t="s">
        <v>389</v>
      </c>
      <c r="V271" s="102" t="s">
        <v>293</v>
      </c>
      <c r="W271" s="478">
        <f>IFERROR(Table6[[#This Row],[Breakdown Time]]*Table6[[#This Row],[Plant Equivalent Weightage]],"")</f>
        <v>7.6923076923076624E-3</v>
      </c>
      <c r="X271" s="473" t="s">
        <v>290</v>
      </c>
      <c r="Y271" s="474" t="s">
        <v>80</v>
      </c>
      <c r="Z271" s="102">
        <v>36587</v>
      </c>
      <c r="AA271" s="468">
        <f>(Table6[[#This Row],[Paired WTG Generation for loss calculation]]/24)*Table6[[#This Row],[Breakdown Time]]</f>
        <v>304.89166666666557</v>
      </c>
      <c r="AB271" s="102"/>
      <c r="AC271" s="35"/>
      <c r="AD271" s="35"/>
    </row>
    <row r="272" spans="1:30">
      <c r="A272" s="102">
        <f t="shared" si="5"/>
        <v>271</v>
      </c>
      <c r="B272" s="468">
        <f>YEAR(Table6[[#This Row],[Date]])+IF(MONTH(Table6[[#This Row],[Date]])&gt;=4,1,0)</f>
        <v>2026</v>
      </c>
      <c r="C272" s="102">
        <f>YEAR(Table6[[#This Row],[Date]])</f>
        <v>2025</v>
      </c>
      <c r="D272" s="102" t="s">
        <v>1992</v>
      </c>
      <c r="E272" s="469">
        <f>Table6[[#This Row],[Date]]-DAY(Table6[[#This Row],[Date]])+1</f>
        <v>45748</v>
      </c>
      <c r="F272" s="470">
        <v>45764</v>
      </c>
      <c r="G272" s="35" t="s">
        <v>78</v>
      </c>
      <c r="H272" s="35" t="str">
        <f>IFERROR(_xlfn.XLOOKUP(Table6[[#This Row],[Affected WTG]],'Basic Data'!$A:$A,'Basic Data'!$B:$B),"")</f>
        <v>TQGXIIPL</v>
      </c>
      <c r="I272" s="35" t="str">
        <f>IFERROR(_xlfn.XLOOKUP(Table6[[#This Row],[Affected WTG]],'Basic Data'!$A:$A,'Basic Data'!$C:$C),"")</f>
        <v>GEDA</v>
      </c>
      <c r="J272" s="471">
        <f>IFERROR(_xlfn.XLOOKUP(Table6[[#This Row],[Affected WTG]],'Basic Data'!$A:$A,'Basic Data'!$E:$E),"")</f>
        <v>3.846153846153845E-2</v>
      </c>
      <c r="K272" s="102">
        <v>3110</v>
      </c>
      <c r="L272" s="35" t="str">
        <f>IFERROR(_xlfn.XLOOKUP(Table6[[#This Row],[Error Code]],'Basic Data'!$AA:$AA,'Basic Data'!$AB:$AB),"Incorrect Error Code")</f>
        <v>Frequency converter error</v>
      </c>
      <c r="M272" s="35" t="s">
        <v>291</v>
      </c>
      <c r="N272" s="475"/>
      <c r="O272" s="476">
        <v>0.15138888888888888</v>
      </c>
      <c r="P272" s="476">
        <v>0.15138888888888888</v>
      </c>
      <c r="Q272" s="477">
        <v>0.15833333333333333</v>
      </c>
      <c r="R272" s="472">
        <f>IF(Table6[[#This Row],[Work Start TimeStamp]]="","",(Table6[[#This Row],[Work Start TimeStamp]]-Table6[[#This Row],[Fault Start TimeStamp]])*24)</f>
        <v>0</v>
      </c>
      <c r="S272" s="472">
        <f>(Table6[[#This Row],[Fault Clearance time]]-Table6[[#This Row],[Work Start TimeStamp]])*24</f>
        <v>0.16666666666666674</v>
      </c>
      <c r="T272" s="472">
        <f>(Table6[[#This Row],[Fault Clearance time]]-Table6[[#This Row],[Fault Start TimeStamp]])*24</f>
        <v>0.16666666666666674</v>
      </c>
      <c r="U272" s="35" t="s">
        <v>349</v>
      </c>
      <c r="V272" s="102" t="s">
        <v>293</v>
      </c>
      <c r="W272" s="478">
        <f>IFERROR(Table6[[#This Row],[Breakdown Time]]*Table6[[#This Row],[Plant Equivalent Weightage]],"")</f>
        <v>6.4102564102564109E-3</v>
      </c>
      <c r="X272" s="473" t="s">
        <v>294</v>
      </c>
      <c r="Y272" s="474" t="s">
        <v>75</v>
      </c>
      <c r="Z272" s="102">
        <v>37275</v>
      </c>
      <c r="AA272" s="468">
        <f>(Table6[[#This Row],[Paired WTG Generation for loss calculation]]/24)*Table6[[#This Row],[Breakdown Time]]</f>
        <v>258.8541666666668</v>
      </c>
      <c r="AB272" s="102"/>
      <c r="AC272" s="35"/>
      <c r="AD272" s="35"/>
    </row>
    <row r="273" spans="1:30">
      <c r="A273" s="102">
        <f t="shared" si="5"/>
        <v>272</v>
      </c>
      <c r="B273" s="468">
        <f>YEAR(Table6[[#This Row],[Date]])+IF(MONTH(Table6[[#This Row],[Date]])&gt;=4,1,0)</f>
        <v>2026</v>
      </c>
      <c r="C273" s="102">
        <f>YEAR(Table6[[#This Row],[Date]])</f>
        <v>2025</v>
      </c>
      <c r="D273" s="102" t="s">
        <v>1992</v>
      </c>
      <c r="E273" s="469">
        <f>Table6[[#This Row],[Date]]-DAY(Table6[[#This Row],[Date]])+1</f>
        <v>45748</v>
      </c>
      <c r="F273" s="470">
        <v>45764</v>
      </c>
      <c r="G273" s="35" t="s">
        <v>78</v>
      </c>
      <c r="H273" s="35" t="str">
        <f>IFERROR(_xlfn.XLOOKUP(Table6[[#This Row],[Affected WTG]],'Basic Data'!$A:$A,'Basic Data'!$B:$B),"")</f>
        <v>TQGXIIPL</v>
      </c>
      <c r="I273" s="35" t="str">
        <f>IFERROR(_xlfn.XLOOKUP(Table6[[#This Row],[Affected WTG]],'Basic Data'!$A:$A,'Basic Data'!$C:$C),"")</f>
        <v>GEDA</v>
      </c>
      <c r="J273" s="471">
        <f>IFERROR(_xlfn.XLOOKUP(Table6[[#This Row],[Affected WTG]],'Basic Data'!$A:$A,'Basic Data'!$E:$E),"")</f>
        <v>3.846153846153845E-2</v>
      </c>
      <c r="K273" s="102">
        <v>3110</v>
      </c>
      <c r="L273" s="35" t="str">
        <f>IFERROR(_xlfn.XLOOKUP(Table6[[#This Row],[Error Code]],'Basic Data'!$AA:$AA,'Basic Data'!$AB:$AB),"Incorrect Error Code")</f>
        <v>Frequency converter error</v>
      </c>
      <c r="M273" s="35" t="s">
        <v>291</v>
      </c>
      <c r="N273" s="475"/>
      <c r="O273" s="476">
        <v>0.18333333333333332</v>
      </c>
      <c r="P273" s="476">
        <v>0.18333333333333332</v>
      </c>
      <c r="Q273" s="477">
        <v>0.19652777777777777</v>
      </c>
      <c r="R273" s="472">
        <f>IF(Table6[[#This Row],[Work Start TimeStamp]]="","",(Table6[[#This Row],[Work Start TimeStamp]]-Table6[[#This Row],[Fault Start TimeStamp]])*24)</f>
        <v>0</v>
      </c>
      <c r="S273" s="472">
        <f>(Table6[[#This Row],[Fault Clearance time]]-Table6[[#This Row],[Work Start TimeStamp]])*24</f>
        <v>0.31666666666666687</v>
      </c>
      <c r="T273" s="472">
        <f>(Table6[[#This Row],[Fault Clearance time]]-Table6[[#This Row],[Fault Start TimeStamp]])*24</f>
        <v>0.31666666666666687</v>
      </c>
      <c r="U273" s="35" t="s">
        <v>349</v>
      </c>
      <c r="V273" s="102" t="s">
        <v>293</v>
      </c>
      <c r="W273" s="478">
        <f>IFERROR(Table6[[#This Row],[Breakdown Time]]*Table6[[#This Row],[Plant Equivalent Weightage]],"")</f>
        <v>1.2179487179487183E-2</v>
      </c>
      <c r="X273" s="473" t="s">
        <v>294</v>
      </c>
      <c r="Y273" s="474" t="s">
        <v>75</v>
      </c>
      <c r="Z273" s="102">
        <v>37275</v>
      </c>
      <c r="AA273" s="468">
        <f>(Table6[[#This Row],[Paired WTG Generation for loss calculation]]/24)*Table6[[#This Row],[Breakdown Time]]</f>
        <v>491.82291666666697</v>
      </c>
      <c r="AB273" s="102"/>
      <c r="AC273" s="35"/>
      <c r="AD273" s="35"/>
    </row>
    <row r="274" spans="1:30">
      <c r="A274" s="102">
        <f t="shared" si="5"/>
        <v>273</v>
      </c>
      <c r="B274" s="468">
        <f>YEAR(Table6[[#This Row],[Date]])+IF(MONTH(Table6[[#This Row],[Date]])&gt;=4,1,0)</f>
        <v>2026</v>
      </c>
      <c r="C274" s="102">
        <f>YEAR(Table6[[#This Row],[Date]])</f>
        <v>2025</v>
      </c>
      <c r="D274" s="102" t="s">
        <v>1992</v>
      </c>
      <c r="E274" s="469">
        <f>Table6[[#This Row],[Date]]-DAY(Table6[[#This Row],[Date]])+1</f>
        <v>45748</v>
      </c>
      <c r="F274" s="470">
        <v>45764</v>
      </c>
      <c r="G274" s="35" t="s">
        <v>78</v>
      </c>
      <c r="H274" s="35" t="str">
        <f>IFERROR(_xlfn.XLOOKUP(Table6[[#This Row],[Affected WTG]],'Basic Data'!$A:$A,'Basic Data'!$B:$B),"")</f>
        <v>TQGXIIPL</v>
      </c>
      <c r="I274" s="35" t="str">
        <f>IFERROR(_xlfn.XLOOKUP(Table6[[#This Row],[Affected WTG]],'Basic Data'!$A:$A,'Basic Data'!$C:$C),"")</f>
        <v>GEDA</v>
      </c>
      <c r="J274" s="471">
        <f>IFERROR(_xlfn.XLOOKUP(Table6[[#This Row],[Affected WTG]],'Basic Data'!$A:$A,'Basic Data'!$E:$E),"")</f>
        <v>3.846153846153845E-2</v>
      </c>
      <c r="K274" s="102">
        <v>3110</v>
      </c>
      <c r="L274" s="35" t="str">
        <f>IFERROR(_xlfn.XLOOKUP(Table6[[#This Row],[Error Code]],'Basic Data'!$AA:$AA,'Basic Data'!$AB:$AB),"Incorrect Error Code")</f>
        <v>Frequency converter error</v>
      </c>
      <c r="M274" s="35" t="s">
        <v>291</v>
      </c>
      <c r="N274" s="475"/>
      <c r="O274" s="476">
        <v>0.46041666666666664</v>
      </c>
      <c r="P274" s="476">
        <v>0.46041666666666664</v>
      </c>
      <c r="Q274" s="477">
        <v>0.50972222222222219</v>
      </c>
      <c r="R274" s="472">
        <f>IF(Table6[[#This Row],[Work Start TimeStamp]]="","",(Table6[[#This Row],[Work Start TimeStamp]]-Table6[[#This Row],[Fault Start TimeStamp]])*24)</f>
        <v>0</v>
      </c>
      <c r="S274" s="472">
        <f>(Table6[[#This Row],[Fault Clearance time]]-Table6[[#This Row],[Work Start TimeStamp]])*24</f>
        <v>1.1833333333333331</v>
      </c>
      <c r="T274" s="472">
        <f>(Table6[[#This Row],[Fault Clearance time]]-Table6[[#This Row],[Fault Start TimeStamp]])*24</f>
        <v>1.1833333333333331</v>
      </c>
      <c r="U274" s="35" t="s">
        <v>410</v>
      </c>
      <c r="V274" s="102" t="s">
        <v>293</v>
      </c>
      <c r="W274" s="478">
        <f>IFERROR(Table6[[#This Row],[Breakdown Time]]*Table6[[#This Row],[Plant Equivalent Weightage]],"")</f>
        <v>4.551282051282049E-2</v>
      </c>
      <c r="X274" s="473" t="s">
        <v>294</v>
      </c>
      <c r="Y274" s="474" t="s">
        <v>75</v>
      </c>
      <c r="Z274" s="102">
        <v>37275</v>
      </c>
      <c r="AA274" s="468">
        <f>(Table6[[#This Row],[Paired WTG Generation for loss calculation]]/24)*Table6[[#This Row],[Breakdown Time]]</f>
        <v>1837.864583333333</v>
      </c>
      <c r="AB274" s="102"/>
      <c r="AC274" s="35"/>
      <c r="AD274" s="35"/>
    </row>
    <row r="275" spans="1:30">
      <c r="A275" s="102">
        <f t="shared" si="5"/>
        <v>274</v>
      </c>
      <c r="B275" s="468">
        <f>YEAR(Table6[[#This Row],[Date]])+IF(MONTH(Table6[[#This Row],[Date]])&gt;=4,1,0)</f>
        <v>2026</v>
      </c>
      <c r="C275" s="102">
        <f>YEAR(Table6[[#This Row],[Date]])</f>
        <v>2025</v>
      </c>
      <c r="D275" s="102" t="s">
        <v>1992</v>
      </c>
      <c r="E275" s="469">
        <f>Table6[[#This Row],[Date]]-DAY(Table6[[#This Row],[Date]])+1</f>
        <v>45748</v>
      </c>
      <c r="F275" s="470">
        <v>45764</v>
      </c>
      <c r="G275" s="35" t="s">
        <v>80</v>
      </c>
      <c r="H275" s="35" t="str">
        <f>IFERROR(_xlfn.XLOOKUP(Table6[[#This Row],[Affected WTG]],'Basic Data'!$A:$A,'Basic Data'!$B:$B),"")</f>
        <v>TQGXIIPL</v>
      </c>
      <c r="I275" s="35" t="str">
        <f>IFERROR(_xlfn.XLOOKUP(Table6[[#This Row],[Affected WTG]],'Basic Data'!$A:$A,'Basic Data'!$C:$C),"")</f>
        <v>GEDA</v>
      </c>
      <c r="J275" s="471">
        <f>IFERROR(_xlfn.XLOOKUP(Table6[[#This Row],[Affected WTG]],'Basic Data'!$A:$A,'Basic Data'!$E:$E),"")</f>
        <v>3.846153846153845E-2</v>
      </c>
      <c r="K275" s="102">
        <v>55</v>
      </c>
      <c r="L275" s="35" t="str">
        <f>IFERROR(_xlfn.XLOOKUP(Table6[[#This Row],[Error Code]],'Basic Data'!$AA:$AA,'Basic Data'!$AB:$AB),"Incorrect Error Code")</f>
        <v>WTG shut down</v>
      </c>
      <c r="M275" s="35" t="s">
        <v>291</v>
      </c>
      <c r="N275" s="475"/>
      <c r="O275" s="476">
        <v>0.78541666666666665</v>
      </c>
      <c r="P275" s="476">
        <v>0.78541666666666665</v>
      </c>
      <c r="Q275" s="477">
        <v>0.79305555555555551</v>
      </c>
      <c r="R275" s="472">
        <f>IF(Table6[[#This Row],[Work Start TimeStamp]]="","",(Table6[[#This Row],[Work Start TimeStamp]]-Table6[[#This Row],[Fault Start TimeStamp]])*24)</f>
        <v>0</v>
      </c>
      <c r="S275" s="472">
        <f>(Table6[[#This Row],[Fault Clearance time]]-Table6[[#This Row],[Work Start TimeStamp]])*24</f>
        <v>0.18333333333333268</v>
      </c>
      <c r="T275" s="472">
        <f>(Table6[[#This Row],[Fault Clearance time]]-Table6[[#This Row],[Fault Start TimeStamp]])*24</f>
        <v>0.18333333333333268</v>
      </c>
      <c r="U275" s="35" t="s">
        <v>389</v>
      </c>
      <c r="V275" s="102" t="s">
        <v>293</v>
      </c>
      <c r="W275" s="478">
        <f>IFERROR(Table6[[#This Row],[Breakdown Time]]*Table6[[#This Row],[Plant Equivalent Weightage]],"")</f>
        <v>7.0512820512820245E-3</v>
      </c>
      <c r="X275" s="473" t="s">
        <v>290</v>
      </c>
      <c r="Y275" s="474" t="s">
        <v>77</v>
      </c>
      <c r="Z275" s="102">
        <v>40506</v>
      </c>
      <c r="AA275" s="468">
        <f>(Table6[[#This Row],[Paired WTG Generation for loss calculation]]/24)*Table6[[#This Row],[Breakdown Time]]</f>
        <v>309.42083333333221</v>
      </c>
      <c r="AB275" s="102"/>
      <c r="AC275" s="35"/>
      <c r="AD275" s="35"/>
    </row>
    <row r="276" spans="1:30">
      <c r="A276" s="102">
        <f t="shared" si="5"/>
        <v>275</v>
      </c>
      <c r="B276" s="468">
        <f>YEAR(Table6[[#This Row],[Date]])+IF(MONTH(Table6[[#This Row],[Date]])&gt;=4,1,0)</f>
        <v>2026</v>
      </c>
      <c r="C276" s="102">
        <f>YEAR(Table6[[#This Row],[Date]])</f>
        <v>2025</v>
      </c>
      <c r="D276" s="102" t="s">
        <v>1992</v>
      </c>
      <c r="E276" s="469">
        <f>Table6[[#This Row],[Date]]-DAY(Table6[[#This Row],[Date]])+1</f>
        <v>45748</v>
      </c>
      <c r="F276" s="470">
        <v>45764</v>
      </c>
      <c r="G276" s="35" t="s">
        <v>81</v>
      </c>
      <c r="H276" s="35" t="str">
        <f>IFERROR(_xlfn.XLOOKUP(Table6[[#This Row],[Affected WTG]],'Basic Data'!$A:$A,'Basic Data'!$B:$B),"")</f>
        <v>TQGXIIPL</v>
      </c>
      <c r="I276" s="35" t="str">
        <f>IFERROR(_xlfn.XLOOKUP(Table6[[#This Row],[Affected WTG]],'Basic Data'!$A:$A,'Basic Data'!$C:$C),"")</f>
        <v>GEDA</v>
      </c>
      <c r="J276" s="471">
        <f>IFERROR(_xlfn.XLOOKUP(Table6[[#This Row],[Affected WTG]],'Basic Data'!$A:$A,'Basic Data'!$E:$E),"")</f>
        <v>3.846153846153845E-2</v>
      </c>
      <c r="K276" s="102">
        <v>6056</v>
      </c>
      <c r="L276" s="35" t="str">
        <f>IFERROR(_xlfn.XLOOKUP(Table6[[#This Row],[Error Code]],'Basic Data'!$AA:$AA,'Basic Data'!$AB:$AB),"Incorrect Error Code")</f>
        <v>High yaw load</v>
      </c>
      <c r="M276" s="35" t="s">
        <v>292</v>
      </c>
      <c r="N276" s="475"/>
      <c r="O276" s="476">
        <v>0.62708333333333333</v>
      </c>
      <c r="P276" s="476">
        <v>0.62708333333333333</v>
      </c>
      <c r="Q276" s="477">
        <v>0.62916666666666665</v>
      </c>
      <c r="R276" s="472">
        <f>IF(Table6[[#This Row],[Work Start TimeStamp]]="","",(Table6[[#This Row],[Work Start TimeStamp]]-Table6[[#This Row],[Fault Start TimeStamp]])*24)</f>
        <v>0</v>
      </c>
      <c r="S276" s="472">
        <f>(Table6[[#This Row],[Fault Clearance time]]-Table6[[#This Row],[Work Start TimeStamp]])*24</f>
        <v>4.9999999999999822E-2</v>
      </c>
      <c r="T276" s="472">
        <f>(Table6[[#This Row],[Fault Clearance time]]-Table6[[#This Row],[Fault Start TimeStamp]])*24</f>
        <v>4.9999999999999822E-2</v>
      </c>
      <c r="U276" s="35" t="s">
        <v>336</v>
      </c>
      <c r="V276" s="102" t="s">
        <v>293</v>
      </c>
      <c r="W276" s="478">
        <f>IFERROR(Table6[[#This Row],[Breakdown Time]]*Table6[[#This Row],[Plant Equivalent Weightage]],"")</f>
        <v>1.9230769230769156E-3</v>
      </c>
      <c r="X276" s="473" t="s">
        <v>294</v>
      </c>
      <c r="Y276" s="474" t="s">
        <v>99</v>
      </c>
      <c r="Z276" s="102">
        <v>36110</v>
      </c>
      <c r="AA276" s="468">
        <f>(Table6[[#This Row],[Paired WTG Generation for loss calculation]]/24)*Table6[[#This Row],[Breakdown Time]]</f>
        <v>75.229166666666401</v>
      </c>
      <c r="AB276" s="102"/>
      <c r="AC276" s="35"/>
      <c r="AD276" s="35"/>
    </row>
    <row r="277" spans="1:30">
      <c r="A277" s="102">
        <f t="shared" si="5"/>
        <v>276</v>
      </c>
      <c r="B277" s="468">
        <f>YEAR(Table6[[#This Row],[Date]])+IF(MONTH(Table6[[#This Row],[Date]])&gt;=4,1,0)</f>
        <v>2026</v>
      </c>
      <c r="C277" s="102">
        <f>YEAR(Table6[[#This Row],[Date]])</f>
        <v>2025</v>
      </c>
      <c r="D277" s="102" t="s">
        <v>1992</v>
      </c>
      <c r="E277" s="469">
        <f>Table6[[#This Row],[Date]]-DAY(Table6[[#This Row],[Date]])+1</f>
        <v>45748</v>
      </c>
      <c r="F277" s="470">
        <v>45764</v>
      </c>
      <c r="G277" s="35" t="s">
        <v>81</v>
      </c>
      <c r="H277" s="35" t="str">
        <f>IFERROR(_xlfn.XLOOKUP(Table6[[#This Row],[Affected WTG]],'Basic Data'!$A:$A,'Basic Data'!$B:$B),"")</f>
        <v>TQGXIIPL</v>
      </c>
      <c r="I277" s="35" t="str">
        <f>IFERROR(_xlfn.XLOOKUP(Table6[[#This Row],[Affected WTG]],'Basic Data'!$A:$A,'Basic Data'!$C:$C),"")</f>
        <v>GEDA</v>
      </c>
      <c r="J277" s="471">
        <f>IFERROR(_xlfn.XLOOKUP(Table6[[#This Row],[Affected WTG]],'Basic Data'!$A:$A,'Basic Data'!$E:$E),"")</f>
        <v>3.846153846153845E-2</v>
      </c>
      <c r="K277" s="102">
        <v>55</v>
      </c>
      <c r="L277" s="35" t="str">
        <f>IFERROR(_xlfn.XLOOKUP(Table6[[#This Row],[Error Code]],'Basic Data'!$AA:$AA,'Basic Data'!$AB:$AB),"Incorrect Error Code")</f>
        <v>WTG shut down</v>
      </c>
      <c r="M277" s="35" t="s">
        <v>291</v>
      </c>
      <c r="N277" s="475"/>
      <c r="O277" s="476">
        <v>0.75</v>
      </c>
      <c r="P277" s="476">
        <v>0.75</v>
      </c>
      <c r="Q277" s="477">
        <v>0.75694444444444442</v>
      </c>
      <c r="R277" s="472">
        <f>IF(Table6[[#This Row],[Work Start TimeStamp]]="","",(Table6[[#This Row],[Work Start TimeStamp]]-Table6[[#This Row],[Fault Start TimeStamp]])*24)</f>
        <v>0</v>
      </c>
      <c r="S277" s="472">
        <f>(Table6[[#This Row],[Fault Clearance time]]-Table6[[#This Row],[Work Start TimeStamp]])*24</f>
        <v>0.16666666666666607</v>
      </c>
      <c r="T277" s="472">
        <f>(Table6[[#This Row],[Fault Clearance time]]-Table6[[#This Row],[Fault Start TimeStamp]])*24</f>
        <v>0.16666666666666607</v>
      </c>
      <c r="U277" s="35" t="s">
        <v>389</v>
      </c>
      <c r="V277" s="102" t="s">
        <v>293</v>
      </c>
      <c r="W277" s="478">
        <f>IFERROR(Table6[[#This Row],[Breakdown Time]]*Table6[[#This Row],[Plant Equivalent Weightage]],"")</f>
        <v>6.4102564102563857E-3</v>
      </c>
      <c r="X277" s="473" t="s">
        <v>290</v>
      </c>
      <c r="Y277" s="474" t="s">
        <v>99</v>
      </c>
      <c r="Z277" s="102">
        <v>36110</v>
      </c>
      <c r="AA277" s="468">
        <f>(Table6[[#This Row],[Paired WTG Generation for loss calculation]]/24)*Table6[[#This Row],[Breakdown Time]]</f>
        <v>250.76388888888798</v>
      </c>
      <c r="AB277" s="102"/>
      <c r="AC277" s="35"/>
      <c r="AD277" s="35"/>
    </row>
    <row r="278" spans="1:30">
      <c r="A278" s="102">
        <f t="shared" si="5"/>
        <v>277</v>
      </c>
      <c r="B278" s="468">
        <f>YEAR(Table6[[#This Row],[Date]])+IF(MONTH(Table6[[#This Row],[Date]])&gt;=4,1,0)</f>
        <v>2026</v>
      </c>
      <c r="C278" s="102">
        <f>YEAR(Table6[[#This Row],[Date]])</f>
        <v>2025</v>
      </c>
      <c r="D278" s="102" t="s">
        <v>1992</v>
      </c>
      <c r="E278" s="469">
        <f>Table6[[#This Row],[Date]]-DAY(Table6[[#This Row],[Date]])+1</f>
        <v>45748</v>
      </c>
      <c r="F278" s="470">
        <v>45764</v>
      </c>
      <c r="G278" s="35" t="s">
        <v>83</v>
      </c>
      <c r="H278" s="35" t="str">
        <f>IFERROR(_xlfn.XLOOKUP(Table6[[#This Row],[Affected WTG]],'Basic Data'!$A:$A,'Basic Data'!$B:$B),"")</f>
        <v>TQGXIIPL</v>
      </c>
      <c r="I278" s="35" t="str">
        <f>IFERROR(_xlfn.XLOOKUP(Table6[[#This Row],[Affected WTG]],'Basic Data'!$A:$A,'Basic Data'!$C:$C),"")</f>
        <v>GEDA</v>
      </c>
      <c r="J278" s="471">
        <f>IFERROR(_xlfn.XLOOKUP(Table6[[#This Row],[Affected WTG]],'Basic Data'!$A:$A,'Basic Data'!$E:$E),"")</f>
        <v>3.846153846153845E-2</v>
      </c>
      <c r="K278" s="102">
        <v>6056</v>
      </c>
      <c r="L278" s="35" t="str">
        <f>IFERROR(_xlfn.XLOOKUP(Table6[[#This Row],[Error Code]],'Basic Data'!$AA:$AA,'Basic Data'!$AB:$AB),"Incorrect Error Code")</f>
        <v>High yaw load</v>
      </c>
      <c r="M278" s="35" t="s">
        <v>292</v>
      </c>
      <c r="N278" s="475"/>
      <c r="O278" s="476">
        <v>0.57708333333333328</v>
      </c>
      <c r="P278" s="476">
        <v>0.57708333333333328</v>
      </c>
      <c r="Q278" s="477">
        <v>0.57847222222222228</v>
      </c>
      <c r="R278" s="472">
        <f>IF(Table6[[#This Row],[Work Start TimeStamp]]="","",(Table6[[#This Row],[Work Start TimeStamp]]-Table6[[#This Row],[Fault Start TimeStamp]])*24)</f>
        <v>0</v>
      </c>
      <c r="S278" s="472">
        <f>(Table6[[#This Row],[Fault Clearance time]]-Table6[[#This Row],[Work Start TimeStamp]])*24</f>
        <v>3.3333333333335879E-2</v>
      </c>
      <c r="T278" s="472">
        <f>(Table6[[#This Row],[Fault Clearance time]]-Table6[[#This Row],[Fault Start TimeStamp]])*24</f>
        <v>3.3333333333335879E-2</v>
      </c>
      <c r="U278" s="35" t="s">
        <v>336</v>
      </c>
      <c r="V278" s="102" t="s">
        <v>293</v>
      </c>
      <c r="W278" s="478">
        <f>IFERROR(Table6[[#This Row],[Breakdown Time]]*Table6[[#This Row],[Plant Equivalent Weightage]],"")</f>
        <v>1.2820512820513796E-3</v>
      </c>
      <c r="X278" s="473" t="s">
        <v>294</v>
      </c>
      <c r="Y278" s="474" t="s">
        <v>88</v>
      </c>
      <c r="Z278" s="102">
        <v>32423</v>
      </c>
      <c r="AA278" s="468">
        <f>(Table6[[#This Row],[Paired WTG Generation for loss calculation]]/24)*Table6[[#This Row],[Breakdown Time]]</f>
        <v>45.03194444444788</v>
      </c>
      <c r="AB278" s="102"/>
      <c r="AC278" s="35"/>
      <c r="AD278" s="35"/>
    </row>
    <row r="279" spans="1:30">
      <c r="A279" s="102">
        <f t="shared" si="5"/>
        <v>278</v>
      </c>
      <c r="B279" s="468">
        <f>YEAR(Table6[[#This Row],[Date]])+IF(MONTH(Table6[[#This Row],[Date]])&gt;=4,1,0)</f>
        <v>2026</v>
      </c>
      <c r="C279" s="102">
        <f>YEAR(Table6[[#This Row],[Date]])</f>
        <v>2025</v>
      </c>
      <c r="D279" s="102" t="s">
        <v>1992</v>
      </c>
      <c r="E279" s="469">
        <f>Table6[[#This Row],[Date]]-DAY(Table6[[#This Row],[Date]])+1</f>
        <v>45748</v>
      </c>
      <c r="F279" s="470">
        <v>45764</v>
      </c>
      <c r="G279" s="35" t="s">
        <v>83</v>
      </c>
      <c r="H279" s="35" t="str">
        <f>IFERROR(_xlfn.XLOOKUP(Table6[[#This Row],[Affected WTG]],'Basic Data'!$A:$A,'Basic Data'!$B:$B),"")</f>
        <v>TQGXIIPL</v>
      </c>
      <c r="I279" s="35" t="str">
        <f>IFERROR(_xlfn.XLOOKUP(Table6[[#This Row],[Affected WTG]],'Basic Data'!$A:$A,'Basic Data'!$C:$C),"")</f>
        <v>GEDA</v>
      </c>
      <c r="J279" s="471">
        <f>IFERROR(_xlfn.XLOOKUP(Table6[[#This Row],[Affected WTG]],'Basic Data'!$A:$A,'Basic Data'!$E:$E),"")</f>
        <v>3.846153846153845E-2</v>
      </c>
      <c r="K279" s="102">
        <v>55</v>
      </c>
      <c r="L279" s="35" t="str">
        <f>IFERROR(_xlfn.XLOOKUP(Table6[[#This Row],[Error Code]],'Basic Data'!$AA:$AA,'Basic Data'!$AB:$AB),"Incorrect Error Code")</f>
        <v>WTG shut down</v>
      </c>
      <c r="M279" s="35" t="s">
        <v>291</v>
      </c>
      <c r="N279" s="475"/>
      <c r="O279" s="476">
        <v>0.72361111111111109</v>
      </c>
      <c r="P279" s="476">
        <v>0.72361111111111109</v>
      </c>
      <c r="Q279" s="477">
        <v>0.72916666666666663</v>
      </c>
      <c r="R279" s="472">
        <f>IF(Table6[[#This Row],[Work Start TimeStamp]]="","",(Table6[[#This Row],[Work Start TimeStamp]]-Table6[[#This Row],[Fault Start TimeStamp]])*24)</f>
        <v>0</v>
      </c>
      <c r="S279" s="472">
        <f>(Table6[[#This Row],[Fault Clearance time]]-Table6[[#This Row],[Work Start TimeStamp]])*24</f>
        <v>0.13333333333333286</v>
      </c>
      <c r="T279" s="472">
        <f>(Table6[[#This Row],[Fault Clearance time]]-Table6[[#This Row],[Fault Start TimeStamp]])*24</f>
        <v>0.13333333333333286</v>
      </c>
      <c r="U279" s="35" t="s">
        <v>389</v>
      </c>
      <c r="V279" s="102" t="s">
        <v>293</v>
      </c>
      <c r="W279" s="478">
        <f>IFERROR(Table6[[#This Row],[Breakdown Time]]*Table6[[#This Row],[Plant Equivalent Weightage]],"")</f>
        <v>5.1282051282051083E-3</v>
      </c>
      <c r="X279" s="473" t="s">
        <v>290</v>
      </c>
      <c r="Y279" s="474" t="s">
        <v>88</v>
      </c>
      <c r="Z279" s="102">
        <v>32423</v>
      </c>
      <c r="AA279" s="468">
        <f>(Table6[[#This Row],[Paired WTG Generation for loss calculation]]/24)*Table6[[#This Row],[Breakdown Time]]</f>
        <v>180.12777777777714</v>
      </c>
      <c r="AB279" s="102"/>
      <c r="AC279" s="35"/>
      <c r="AD279" s="35"/>
    </row>
    <row r="280" spans="1:30">
      <c r="A280" s="102">
        <f t="shared" si="5"/>
        <v>279</v>
      </c>
      <c r="B280" s="468">
        <f>YEAR(Table6[[#This Row],[Date]])+IF(MONTH(Table6[[#This Row],[Date]])&gt;=4,1,0)</f>
        <v>2026</v>
      </c>
      <c r="C280" s="102">
        <f>YEAR(Table6[[#This Row],[Date]])</f>
        <v>2025</v>
      </c>
      <c r="D280" s="102" t="s">
        <v>1992</v>
      </c>
      <c r="E280" s="469">
        <f>Table6[[#This Row],[Date]]-DAY(Table6[[#This Row],[Date]])+1</f>
        <v>45748</v>
      </c>
      <c r="F280" s="470">
        <v>45764</v>
      </c>
      <c r="G280" s="35" t="s">
        <v>84</v>
      </c>
      <c r="H280" s="35" t="str">
        <f>IFERROR(_xlfn.XLOOKUP(Table6[[#This Row],[Affected WTG]],'Basic Data'!$A:$A,'Basic Data'!$B:$B),"")</f>
        <v>TQGXIIPL</v>
      </c>
      <c r="I280" s="35" t="str">
        <f>IFERROR(_xlfn.XLOOKUP(Table6[[#This Row],[Affected WTG]],'Basic Data'!$A:$A,'Basic Data'!$C:$C),"")</f>
        <v>GEDA</v>
      </c>
      <c r="J280" s="471">
        <f>IFERROR(_xlfn.XLOOKUP(Table6[[#This Row],[Affected WTG]],'Basic Data'!$A:$A,'Basic Data'!$E:$E),"")</f>
        <v>3.846153846153845E-2</v>
      </c>
      <c r="K280" s="102">
        <v>175</v>
      </c>
      <c r="L280" s="35" t="str">
        <f>IFERROR(_xlfn.XLOOKUP(Table6[[#This Row],[Error Code]],'Basic Data'!$AA:$AA,'Basic Data'!$AB:$AB),"Incorrect Error Code")</f>
        <v>SLC error</v>
      </c>
      <c r="M280" s="35" t="s">
        <v>291</v>
      </c>
      <c r="N280" s="475"/>
      <c r="O280" s="476">
        <v>0.30694444444444446</v>
      </c>
      <c r="P280" s="476">
        <v>0.30694444444444446</v>
      </c>
      <c r="Q280" s="477">
        <v>0.31527777777777777</v>
      </c>
      <c r="R280" s="472">
        <f>IF(Table6[[#This Row],[Work Start TimeStamp]]="","",(Table6[[#This Row],[Work Start TimeStamp]]-Table6[[#This Row],[Fault Start TimeStamp]])*24)</f>
        <v>0</v>
      </c>
      <c r="S280" s="472">
        <f>(Table6[[#This Row],[Fault Clearance time]]-Table6[[#This Row],[Work Start TimeStamp]])*24</f>
        <v>0.19999999999999929</v>
      </c>
      <c r="T280" s="472">
        <f>(Table6[[#This Row],[Fault Clearance time]]-Table6[[#This Row],[Fault Start TimeStamp]])*24</f>
        <v>0.19999999999999929</v>
      </c>
      <c r="U280" s="35" t="s">
        <v>349</v>
      </c>
      <c r="V280" s="102" t="s">
        <v>293</v>
      </c>
      <c r="W280" s="478">
        <f>IFERROR(Table6[[#This Row],[Breakdown Time]]*Table6[[#This Row],[Plant Equivalent Weightage]],"")</f>
        <v>7.6923076923076624E-3</v>
      </c>
      <c r="X280" s="473" t="s">
        <v>294</v>
      </c>
      <c r="Y280" s="474" t="s">
        <v>85</v>
      </c>
      <c r="Z280" s="102">
        <v>27764</v>
      </c>
      <c r="AA280" s="468">
        <f>(Table6[[#This Row],[Paired WTG Generation for loss calculation]]/24)*Table6[[#This Row],[Breakdown Time]]</f>
        <v>231.36666666666582</v>
      </c>
      <c r="AB280" s="102"/>
      <c r="AC280" s="35"/>
      <c r="AD280" s="35"/>
    </row>
    <row r="281" spans="1:30">
      <c r="A281" s="102">
        <f t="shared" si="5"/>
        <v>280</v>
      </c>
      <c r="B281" s="468">
        <f>YEAR(Table6[[#This Row],[Date]])+IF(MONTH(Table6[[#This Row],[Date]])&gt;=4,1,0)</f>
        <v>2026</v>
      </c>
      <c r="C281" s="102">
        <f>YEAR(Table6[[#This Row],[Date]])</f>
        <v>2025</v>
      </c>
      <c r="D281" s="102" t="s">
        <v>1992</v>
      </c>
      <c r="E281" s="469">
        <f>Table6[[#This Row],[Date]]-DAY(Table6[[#This Row],[Date]])+1</f>
        <v>45748</v>
      </c>
      <c r="F281" s="470">
        <v>45764</v>
      </c>
      <c r="G281" s="35" t="s">
        <v>84</v>
      </c>
      <c r="H281" s="35" t="str">
        <f>IFERROR(_xlfn.XLOOKUP(Table6[[#This Row],[Affected WTG]],'Basic Data'!$A:$A,'Basic Data'!$B:$B),"")</f>
        <v>TQGXIIPL</v>
      </c>
      <c r="I281" s="35" t="str">
        <f>IFERROR(_xlfn.XLOOKUP(Table6[[#This Row],[Affected WTG]],'Basic Data'!$A:$A,'Basic Data'!$C:$C),"")</f>
        <v>GEDA</v>
      </c>
      <c r="J281" s="471">
        <f>IFERROR(_xlfn.XLOOKUP(Table6[[#This Row],[Affected WTG]],'Basic Data'!$A:$A,'Basic Data'!$E:$E),"")</f>
        <v>3.846153846153845E-2</v>
      </c>
      <c r="K281" s="102">
        <v>175</v>
      </c>
      <c r="L281" s="35" t="str">
        <f>IFERROR(_xlfn.XLOOKUP(Table6[[#This Row],[Error Code]],'Basic Data'!$AA:$AA,'Basic Data'!$AB:$AB),"Incorrect Error Code")</f>
        <v>SLC error</v>
      </c>
      <c r="M281" s="35" t="s">
        <v>291</v>
      </c>
      <c r="N281" s="475"/>
      <c r="O281" s="476">
        <v>0.59861111111111109</v>
      </c>
      <c r="P281" s="476">
        <v>0.59861111111111109</v>
      </c>
      <c r="Q281" s="477">
        <v>0.61111111111111116</v>
      </c>
      <c r="R281" s="472">
        <f>IF(Table6[[#This Row],[Work Start TimeStamp]]="","",(Table6[[#This Row],[Work Start TimeStamp]]-Table6[[#This Row],[Fault Start TimeStamp]])*24)</f>
        <v>0</v>
      </c>
      <c r="S281" s="472">
        <f>(Table6[[#This Row],[Fault Clearance time]]-Table6[[#This Row],[Work Start TimeStamp]])*24</f>
        <v>0.3000000000000016</v>
      </c>
      <c r="T281" s="472">
        <f>(Table6[[#This Row],[Fault Clearance time]]-Table6[[#This Row],[Fault Start TimeStamp]])*24</f>
        <v>0.3000000000000016</v>
      </c>
      <c r="U281" s="35" t="s">
        <v>349</v>
      </c>
      <c r="V281" s="102" t="s">
        <v>293</v>
      </c>
      <c r="W281" s="478">
        <f>IFERROR(Table6[[#This Row],[Breakdown Time]]*Table6[[#This Row],[Plant Equivalent Weightage]],"")</f>
        <v>1.1538461538461596E-2</v>
      </c>
      <c r="X281" s="473" t="s">
        <v>294</v>
      </c>
      <c r="Y281" s="474" t="s">
        <v>85</v>
      </c>
      <c r="Z281" s="102">
        <v>27764</v>
      </c>
      <c r="AA281" s="468">
        <f>(Table6[[#This Row],[Paired WTG Generation for loss calculation]]/24)*Table6[[#This Row],[Breakdown Time]]</f>
        <v>347.05000000000183</v>
      </c>
      <c r="AB281" s="102"/>
      <c r="AC281" s="35"/>
      <c r="AD281" s="35"/>
    </row>
    <row r="282" spans="1:30">
      <c r="A282" s="102">
        <f t="shared" si="5"/>
        <v>281</v>
      </c>
      <c r="B282" s="468">
        <f>YEAR(Table6[[#This Row],[Date]])+IF(MONTH(Table6[[#This Row],[Date]])&gt;=4,1,0)</f>
        <v>2026</v>
      </c>
      <c r="C282" s="102">
        <f>YEAR(Table6[[#This Row],[Date]])</f>
        <v>2025</v>
      </c>
      <c r="D282" s="102" t="s">
        <v>1992</v>
      </c>
      <c r="E282" s="469">
        <f>Table6[[#This Row],[Date]]-DAY(Table6[[#This Row],[Date]])+1</f>
        <v>45748</v>
      </c>
      <c r="F282" s="470">
        <v>45764</v>
      </c>
      <c r="G282" s="35" t="s">
        <v>85</v>
      </c>
      <c r="H282" s="35" t="str">
        <f>IFERROR(_xlfn.XLOOKUP(Table6[[#This Row],[Affected WTG]],'Basic Data'!$A:$A,'Basic Data'!$B:$B),"")</f>
        <v>TQGXIIPL</v>
      </c>
      <c r="I282" s="35" t="str">
        <f>IFERROR(_xlfn.XLOOKUP(Table6[[#This Row],[Affected WTG]],'Basic Data'!$A:$A,'Basic Data'!$C:$C),"")</f>
        <v>GEDA</v>
      </c>
      <c r="J282" s="471">
        <f>IFERROR(_xlfn.XLOOKUP(Table6[[#This Row],[Affected WTG]],'Basic Data'!$A:$A,'Basic Data'!$E:$E),"")</f>
        <v>3.846153846153845E-2</v>
      </c>
      <c r="K282" s="102">
        <v>55</v>
      </c>
      <c r="L282" s="35" t="str">
        <f>IFERROR(_xlfn.XLOOKUP(Table6[[#This Row],[Error Code]],'Basic Data'!$AA:$AA,'Basic Data'!$AB:$AB),"Incorrect Error Code")</f>
        <v>WTG shut down</v>
      </c>
      <c r="M282" s="35" t="s">
        <v>330</v>
      </c>
      <c r="N282" s="475"/>
      <c r="O282" s="476">
        <v>0.82430555555555551</v>
      </c>
      <c r="P282" s="476">
        <v>0.82430555555555551</v>
      </c>
      <c r="Q282" s="477">
        <v>0.89097222222222228</v>
      </c>
      <c r="R282" s="472">
        <f>IF(Table6[[#This Row],[Work Start TimeStamp]]="","",(Table6[[#This Row],[Work Start TimeStamp]]-Table6[[#This Row],[Fault Start TimeStamp]])*24)</f>
        <v>0</v>
      </c>
      <c r="S282" s="472">
        <f>(Table6[[#This Row],[Fault Clearance time]]-Table6[[#This Row],[Work Start TimeStamp]])*24</f>
        <v>1.6000000000000023</v>
      </c>
      <c r="T282" s="472">
        <f>(Table6[[#This Row],[Fault Clearance time]]-Table6[[#This Row],[Fault Start TimeStamp]])*24</f>
        <v>1.6000000000000023</v>
      </c>
      <c r="U282" s="35" t="s">
        <v>337</v>
      </c>
      <c r="V282" s="102" t="s">
        <v>293</v>
      </c>
      <c r="W282" s="478">
        <f>IFERROR(Table6[[#This Row],[Breakdown Time]]*Table6[[#This Row],[Plant Equivalent Weightage]],"")</f>
        <v>6.1538461538461611E-2</v>
      </c>
      <c r="X282" s="473" t="s">
        <v>290</v>
      </c>
      <c r="Y282" s="474" t="s">
        <v>87</v>
      </c>
      <c r="Z282" s="102">
        <v>29808</v>
      </c>
      <c r="AA282" s="468">
        <f>(Table6[[#This Row],[Paired WTG Generation for loss calculation]]/24)*Table6[[#This Row],[Breakdown Time]]</f>
        <v>1987.2000000000028</v>
      </c>
      <c r="AB282" s="102"/>
      <c r="AC282" s="35"/>
      <c r="AD282" s="35"/>
    </row>
    <row r="283" spans="1:30">
      <c r="A283" s="102">
        <f t="shared" si="5"/>
        <v>282</v>
      </c>
      <c r="B283" s="468">
        <f>YEAR(Table6[[#This Row],[Date]])+IF(MONTH(Table6[[#This Row],[Date]])&gt;=4,1,0)</f>
        <v>2026</v>
      </c>
      <c r="C283" s="102">
        <f>YEAR(Table6[[#This Row],[Date]])</f>
        <v>2025</v>
      </c>
      <c r="D283" s="102" t="s">
        <v>1992</v>
      </c>
      <c r="E283" s="469">
        <f>Table6[[#This Row],[Date]]-DAY(Table6[[#This Row],[Date]])+1</f>
        <v>45748</v>
      </c>
      <c r="F283" s="470">
        <v>45764</v>
      </c>
      <c r="G283" s="35" t="s">
        <v>86</v>
      </c>
      <c r="H283" s="35" t="str">
        <f>IFERROR(_xlfn.XLOOKUP(Table6[[#This Row],[Affected WTG]],'Basic Data'!$A:$A,'Basic Data'!$B:$B),"")</f>
        <v>TQGXIIPL</v>
      </c>
      <c r="I283" s="35" t="str">
        <f>IFERROR(_xlfn.XLOOKUP(Table6[[#This Row],[Affected WTG]],'Basic Data'!$A:$A,'Basic Data'!$C:$C),"")</f>
        <v>GEDA</v>
      </c>
      <c r="J283" s="471">
        <f>IFERROR(_xlfn.XLOOKUP(Table6[[#This Row],[Affected WTG]],'Basic Data'!$A:$A,'Basic Data'!$E:$E),"")</f>
        <v>3.846153846153845E-2</v>
      </c>
      <c r="K283" s="102">
        <v>6130</v>
      </c>
      <c r="L283" s="35" t="str">
        <f>IFERROR(_xlfn.XLOOKUP(Table6[[#This Row],[Error Code]],'Basic Data'!$AA:$AA,'Basic Data'!$AB:$AB),"Incorrect Error Code")</f>
        <v>Yaw speed high</v>
      </c>
      <c r="M283" s="35" t="s">
        <v>291</v>
      </c>
      <c r="N283" s="475"/>
      <c r="O283" s="476">
        <v>0.58402777777777781</v>
      </c>
      <c r="P283" s="476">
        <v>0.58402777777777781</v>
      </c>
      <c r="Q283" s="477">
        <v>0.58819444444444446</v>
      </c>
      <c r="R283" s="472">
        <f>IF(Table6[[#This Row],[Work Start TimeStamp]]="","",(Table6[[#This Row],[Work Start TimeStamp]]-Table6[[#This Row],[Fault Start TimeStamp]])*24)</f>
        <v>0</v>
      </c>
      <c r="S283" s="472">
        <f>(Table6[[#This Row],[Fault Clearance time]]-Table6[[#This Row],[Work Start TimeStamp]])*24</f>
        <v>9.9999999999999645E-2</v>
      </c>
      <c r="T283" s="472">
        <f>(Table6[[#This Row],[Fault Clearance time]]-Table6[[#This Row],[Fault Start TimeStamp]])*24</f>
        <v>9.9999999999999645E-2</v>
      </c>
      <c r="U283" s="35" t="s">
        <v>349</v>
      </c>
      <c r="V283" s="102" t="s">
        <v>293</v>
      </c>
      <c r="W283" s="478">
        <f>IFERROR(Table6[[#This Row],[Breakdown Time]]*Table6[[#This Row],[Plant Equivalent Weightage]],"")</f>
        <v>3.8461538461538312E-3</v>
      </c>
      <c r="X283" s="473" t="s">
        <v>294</v>
      </c>
      <c r="Y283" s="474" t="s">
        <v>84</v>
      </c>
      <c r="Z283" s="102">
        <v>32786</v>
      </c>
      <c r="AA283" s="468">
        <f>(Table6[[#This Row],[Paired WTG Generation for loss calculation]]/24)*Table6[[#This Row],[Breakdown Time]]</f>
        <v>136.60833333333284</v>
      </c>
      <c r="AB283" s="102"/>
      <c r="AC283" s="35"/>
      <c r="AD283" s="35"/>
    </row>
    <row r="284" spans="1:30">
      <c r="A284" s="102">
        <f t="shared" si="5"/>
        <v>283</v>
      </c>
      <c r="B284" s="468">
        <f>YEAR(Table6[[#This Row],[Date]])+IF(MONTH(Table6[[#This Row],[Date]])&gt;=4,1,0)</f>
        <v>2026</v>
      </c>
      <c r="C284" s="102">
        <f>YEAR(Table6[[#This Row],[Date]])</f>
        <v>2025</v>
      </c>
      <c r="D284" s="102" t="s">
        <v>1992</v>
      </c>
      <c r="E284" s="469">
        <f>Table6[[#This Row],[Date]]-DAY(Table6[[#This Row],[Date]])+1</f>
        <v>45748</v>
      </c>
      <c r="F284" s="470">
        <v>45764</v>
      </c>
      <c r="G284" s="35" t="s">
        <v>86</v>
      </c>
      <c r="H284" s="35" t="str">
        <f>IFERROR(_xlfn.XLOOKUP(Table6[[#This Row],[Affected WTG]],'Basic Data'!$A:$A,'Basic Data'!$B:$B),"")</f>
        <v>TQGXIIPL</v>
      </c>
      <c r="I284" s="35" t="str">
        <f>IFERROR(_xlfn.XLOOKUP(Table6[[#This Row],[Affected WTG]],'Basic Data'!$A:$A,'Basic Data'!$C:$C),"")</f>
        <v>GEDA</v>
      </c>
      <c r="J284" s="471">
        <f>IFERROR(_xlfn.XLOOKUP(Table6[[#This Row],[Affected WTG]],'Basic Data'!$A:$A,'Basic Data'!$E:$E),"")</f>
        <v>3.846153846153845E-2</v>
      </c>
      <c r="K284" s="102">
        <v>55</v>
      </c>
      <c r="L284" s="35" t="str">
        <f>IFERROR(_xlfn.XLOOKUP(Table6[[#This Row],[Error Code]],'Basic Data'!$AA:$AA,'Basic Data'!$AB:$AB),"Incorrect Error Code")</f>
        <v>WTG shut down</v>
      </c>
      <c r="M284" s="35" t="s">
        <v>291</v>
      </c>
      <c r="N284" s="475"/>
      <c r="O284" s="476">
        <v>0.79236111111111107</v>
      </c>
      <c r="P284" s="476">
        <v>0.79236111111111107</v>
      </c>
      <c r="Q284" s="477">
        <v>0.80069444444444449</v>
      </c>
      <c r="R284" s="472">
        <f>IF(Table6[[#This Row],[Work Start TimeStamp]]="","",(Table6[[#This Row],[Work Start TimeStamp]]-Table6[[#This Row],[Fault Start TimeStamp]])*24)</f>
        <v>0</v>
      </c>
      <c r="S284" s="472">
        <f>(Table6[[#This Row],[Fault Clearance time]]-Table6[[#This Row],[Work Start TimeStamp]])*24</f>
        <v>0.20000000000000195</v>
      </c>
      <c r="T284" s="472">
        <f>(Table6[[#This Row],[Fault Clearance time]]-Table6[[#This Row],[Fault Start TimeStamp]])*24</f>
        <v>0.20000000000000195</v>
      </c>
      <c r="U284" s="35" t="s">
        <v>389</v>
      </c>
      <c r="V284" s="102" t="s">
        <v>293</v>
      </c>
      <c r="W284" s="478">
        <f>IFERROR(Table6[[#This Row],[Breakdown Time]]*Table6[[#This Row],[Plant Equivalent Weightage]],"")</f>
        <v>7.6923076923077647E-3</v>
      </c>
      <c r="X284" s="473" t="s">
        <v>290</v>
      </c>
      <c r="Y284" s="474" t="s">
        <v>84</v>
      </c>
      <c r="Z284" s="102">
        <v>32786</v>
      </c>
      <c r="AA284" s="468">
        <f>(Table6[[#This Row],[Paired WTG Generation for loss calculation]]/24)*Table6[[#This Row],[Breakdown Time]]</f>
        <v>273.21666666666931</v>
      </c>
      <c r="AB284" s="102"/>
      <c r="AC284" s="35"/>
      <c r="AD284" s="35"/>
    </row>
    <row r="285" spans="1:30">
      <c r="A285" s="102">
        <f t="shared" si="5"/>
        <v>284</v>
      </c>
      <c r="B285" s="468">
        <f>YEAR(Table6[[#This Row],[Date]])+IF(MONTH(Table6[[#This Row],[Date]])&gt;=4,1,0)</f>
        <v>2026</v>
      </c>
      <c r="C285" s="102">
        <f>YEAR(Table6[[#This Row],[Date]])</f>
        <v>2025</v>
      </c>
      <c r="D285" s="102" t="s">
        <v>1992</v>
      </c>
      <c r="E285" s="469">
        <f>Table6[[#This Row],[Date]]-DAY(Table6[[#This Row],[Date]])+1</f>
        <v>45748</v>
      </c>
      <c r="F285" s="470">
        <v>45764</v>
      </c>
      <c r="G285" s="35" t="s">
        <v>87</v>
      </c>
      <c r="H285" s="35" t="str">
        <f>IFERROR(_xlfn.XLOOKUP(Table6[[#This Row],[Affected WTG]],'Basic Data'!$A:$A,'Basic Data'!$B:$B),"")</f>
        <v>TQGXIIPL</v>
      </c>
      <c r="I285" s="35" t="str">
        <f>IFERROR(_xlfn.XLOOKUP(Table6[[#This Row],[Affected WTG]],'Basic Data'!$A:$A,'Basic Data'!$C:$C),"")</f>
        <v>GEDA</v>
      </c>
      <c r="J285" s="471">
        <f>IFERROR(_xlfn.XLOOKUP(Table6[[#This Row],[Affected WTG]],'Basic Data'!$A:$A,'Basic Data'!$E:$E),"")</f>
        <v>3.846153846153845E-2</v>
      </c>
      <c r="K285" s="102">
        <v>4960</v>
      </c>
      <c r="L285" s="35" t="str">
        <f>IFERROR(_xlfn.XLOOKUP(Table6[[#This Row],[Error Code]],'Basic Data'!$AA:$AA,'Basic Data'!$AB:$AB),"Incorrect Error Code")</f>
        <v>Tower oscillation YF</v>
      </c>
      <c r="M285" s="35" t="s">
        <v>291</v>
      </c>
      <c r="N285" s="475"/>
      <c r="O285" s="476">
        <v>0.6479166666666667</v>
      </c>
      <c r="P285" s="476">
        <v>0.6479166666666667</v>
      </c>
      <c r="Q285" s="477">
        <v>0.66597222222222219</v>
      </c>
      <c r="R285" s="472">
        <f>IF(Table6[[#This Row],[Work Start TimeStamp]]="","",(Table6[[#This Row],[Work Start TimeStamp]]-Table6[[#This Row],[Fault Start TimeStamp]])*24)</f>
        <v>0</v>
      </c>
      <c r="S285" s="472">
        <f>(Table6[[#This Row],[Fault Clearance time]]-Table6[[#This Row],[Work Start TimeStamp]])*24</f>
        <v>0.43333333333333179</v>
      </c>
      <c r="T285" s="472">
        <f>(Table6[[#This Row],[Fault Clearance time]]-Table6[[#This Row],[Fault Start TimeStamp]])*24</f>
        <v>0.43333333333333179</v>
      </c>
      <c r="U285" s="35" t="s">
        <v>349</v>
      </c>
      <c r="V285" s="102" t="s">
        <v>293</v>
      </c>
      <c r="W285" s="478">
        <f>IFERROR(Table6[[#This Row],[Breakdown Time]]*Table6[[#This Row],[Plant Equivalent Weightage]],"")</f>
        <v>1.6666666666666604E-2</v>
      </c>
      <c r="X285" s="473" t="s">
        <v>294</v>
      </c>
      <c r="Y285" s="474" t="s">
        <v>85</v>
      </c>
      <c r="Z285" s="102">
        <v>27764</v>
      </c>
      <c r="AA285" s="468">
        <f>(Table6[[#This Row],[Paired WTG Generation for loss calculation]]/24)*Table6[[#This Row],[Breakdown Time]]</f>
        <v>501.2944444444426</v>
      </c>
      <c r="AB285" s="102"/>
      <c r="AC285" s="35"/>
      <c r="AD285" s="35"/>
    </row>
    <row r="286" spans="1:30">
      <c r="A286" s="102">
        <f t="shared" si="5"/>
        <v>285</v>
      </c>
      <c r="B286" s="468">
        <f>YEAR(Table6[[#This Row],[Date]])+IF(MONTH(Table6[[#This Row],[Date]])&gt;=4,1,0)</f>
        <v>2026</v>
      </c>
      <c r="C286" s="102">
        <f>YEAR(Table6[[#This Row],[Date]])</f>
        <v>2025</v>
      </c>
      <c r="D286" s="102" t="s">
        <v>1992</v>
      </c>
      <c r="E286" s="469">
        <f>Table6[[#This Row],[Date]]-DAY(Table6[[#This Row],[Date]])+1</f>
        <v>45748</v>
      </c>
      <c r="F286" s="470">
        <v>45764</v>
      </c>
      <c r="G286" s="35" t="s">
        <v>88</v>
      </c>
      <c r="H286" s="35" t="str">
        <f>IFERROR(_xlfn.XLOOKUP(Table6[[#This Row],[Affected WTG]],'Basic Data'!$A:$A,'Basic Data'!$B:$B),"")</f>
        <v>TQGXIIPL</v>
      </c>
      <c r="I286" s="35" t="str">
        <f>IFERROR(_xlfn.XLOOKUP(Table6[[#This Row],[Affected WTG]],'Basic Data'!$A:$A,'Basic Data'!$C:$C),"")</f>
        <v>GEDA</v>
      </c>
      <c r="J286" s="471">
        <f>IFERROR(_xlfn.XLOOKUP(Table6[[#This Row],[Affected WTG]],'Basic Data'!$A:$A,'Basic Data'!$E:$E),"")</f>
        <v>3.846153846153845E-2</v>
      </c>
      <c r="K286" s="102">
        <v>55</v>
      </c>
      <c r="L286" s="35" t="str">
        <f>IFERROR(_xlfn.XLOOKUP(Table6[[#This Row],[Error Code]],'Basic Data'!$AA:$AA,'Basic Data'!$AB:$AB),"Incorrect Error Code")</f>
        <v>WTG shut down</v>
      </c>
      <c r="M286" s="35" t="s">
        <v>291</v>
      </c>
      <c r="N286" s="475"/>
      <c r="O286" s="476">
        <v>0.80138888888888893</v>
      </c>
      <c r="P286" s="476">
        <v>0.80138888888888893</v>
      </c>
      <c r="Q286" s="477">
        <v>0.80694444444444446</v>
      </c>
      <c r="R286" s="472">
        <f>IF(Table6[[#This Row],[Work Start TimeStamp]]="","",(Table6[[#This Row],[Work Start TimeStamp]]-Table6[[#This Row],[Fault Start TimeStamp]])*24)</f>
        <v>0</v>
      </c>
      <c r="S286" s="472">
        <f>(Table6[[#This Row],[Fault Clearance time]]-Table6[[#This Row],[Work Start TimeStamp]])*24</f>
        <v>0.13333333333333286</v>
      </c>
      <c r="T286" s="472">
        <f>(Table6[[#This Row],[Fault Clearance time]]-Table6[[#This Row],[Fault Start TimeStamp]])*24</f>
        <v>0.13333333333333286</v>
      </c>
      <c r="U286" s="35" t="s">
        <v>389</v>
      </c>
      <c r="V286" s="102" t="s">
        <v>293</v>
      </c>
      <c r="W286" s="478">
        <f>IFERROR(Table6[[#This Row],[Breakdown Time]]*Table6[[#This Row],[Plant Equivalent Weightage]],"")</f>
        <v>5.1282051282051083E-3</v>
      </c>
      <c r="X286" s="473" t="s">
        <v>290</v>
      </c>
      <c r="Y286" s="474" t="s">
        <v>83</v>
      </c>
      <c r="Z286" s="102">
        <v>25644</v>
      </c>
      <c r="AA286" s="468">
        <f>(Table6[[#This Row],[Paired WTG Generation for loss calculation]]/24)*Table6[[#This Row],[Breakdown Time]]</f>
        <v>142.46666666666616</v>
      </c>
      <c r="AB286" s="102"/>
      <c r="AC286" s="35"/>
      <c r="AD286" s="35"/>
    </row>
    <row r="287" spans="1:30">
      <c r="A287" s="102">
        <f t="shared" si="5"/>
        <v>286</v>
      </c>
      <c r="B287" s="468">
        <f>YEAR(Table6[[#This Row],[Date]])+IF(MONTH(Table6[[#This Row],[Date]])&gt;=4,1,0)</f>
        <v>2026</v>
      </c>
      <c r="C287" s="102">
        <f>YEAR(Table6[[#This Row],[Date]])</f>
        <v>2025</v>
      </c>
      <c r="D287" s="102" t="s">
        <v>1992</v>
      </c>
      <c r="E287" s="469">
        <f>Table6[[#This Row],[Date]]-DAY(Table6[[#This Row],[Date]])+1</f>
        <v>45748</v>
      </c>
      <c r="F287" s="470">
        <v>45764</v>
      </c>
      <c r="G287" s="35" t="s">
        <v>90</v>
      </c>
      <c r="H287" s="35" t="str">
        <f>IFERROR(_xlfn.XLOOKUP(Table6[[#This Row],[Affected WTG]],'Basic Data'!$A:$A,'Basic Data'!$B:$B),"")</f>
        <v>TQGXIIPL</v>
      </c>
      <c r="I287" s="35" t="str">
        <f>IFERROR(_xlfn.XLOOKUP(Table6[[#This Row],[Affected WTG]],'Basic Data'!$A:$A,'Basic Data'!$C:$C),"")</f>
        <v>GEDA</v>
      </c>
      <c r="J287" s="471">
        <f>IFERROR(_xlfn.XLOOKUP(Table6[[#This Row],[Affected WTG]],'Basic Data'!$A:$A,'Basic Data'!$E:$E),"")</f>
        <v>3.846153846153845E-2</v>
      </c>
      <c r="K287" s="102">
        <v>6605</v>
      </c>
      <c r="L287" s="35" t="str">
        <f>IFERROR(_xlfn.XLOOKUP(Table6[[#This Row],[Error Code]],'Basic Data'!$AA:$AA,'Basic Data'!$AB:$AB),"Incorrect Error Code")</f>
        <v>Wind.dir. diff. level 2</v>
      </c>
      <c r="M287" s="35" t="s">
        <v>291</v>
      </c>
      <c r="N287" s="475"/>
      <c r="O287" s="476">
        <v>0.61875000000000002</v>
      </c>
      <c r="P287" s="476">
        <v>0.61875000000000002</v>
      </c>
      <c r="Q287" s="477">
        <v>0.62013888888888891</v>
      </c>
      <c r="R287" s="472">
        <f>IF(Table6[[#This Row],[Work Start TimeStamp]]="","",(Table6[[#This Row],[Work Start TimeStamp]]-Table6[[#This Row],[Fault Start TimeStamp]])*24)</f>
        <v>0</v>
      </c>
      <c r="S287" s="472">
        <f>(Table6[[#This Row],[Fault Clearance time]]-Table6[[#This Row],[Work Start TimeStamp]])*24</f>
        <v>3.3333333333333215E-2</v>
      </c>
      <c r="T287" s="472">
        <f>(Table6[[#This Row],[Fault Clearance time]]-Table6[[#This Row],[Fault Start TimeStamp]])*24</f>
        <v>3.3333333333333215E-2</v>
      </c>
      <c r="U287" s="35" t="s">
        <v>336</v>
      </c>
      <c r="V287" s="102" t="s">
        <v>293</v>
      </c>
      <c r="W287" s="478">
        <f>IFERROR(Table6[[#This Row],[Breakdown Time]]*Table6[[#This Row],[Plant Equivalent Weightage]],"")</f>
        <v>1.2820512820512771E-3</v>
      </c>
      <c r="X287" s="473" t="s">
        <v>294</v>
      </c>
      <c r="Y287" s="474" t="s">
        <v>95</v>
      </c>
      <c r="Z287" s="102">
        <v>37507</v>
      </c>
      <c r="AA287" s="468">
        <f>(Table6[[#This Row],[Paired WTG Generation for loss calculation]]/24)*Table6[[#This Row],[Breakdown Time]]</f>
        <v>52.093055555555374</v>
      </c>
      <c r="AB287" s="102"/>
      <c r="AC287" s="35"/>
      <c r="AD287" s="35"/>
    </row>
    <row r="288" spans="1:30">
      <c r="A288" s="102">
        <f t="shared" si="5"/>
        <v>287</v>
      </c>
      <c r="B288" s="468">
        <f>YEAR(Table6[[#This Row],[Date]])+IF(MONTH(Table6[[#This Row],[Date]])&gt;=4,1,0)</f>
        <v>2026</v>
      </c>
      <c r="C288" s="102">
        <f>YEAR(Table6[[#This Row],[Date]])</f>
        <v>2025</v>
      </c>
      <c r="D288" s="102" t="s">
        <v>1992</v>
      </c>
      <c r="E288" s="469">
        <f>Table6[[#This Row],[Date]]-DAY(Table6[[#This Row],[Date]])+1</f>
        <v>45748</v>
      </c>
      <c r="F288" s="470">
        <v>45764</v>
      </c>
      <c r="G288" s="35" t="s">
        <v>90</v>
      </c>
      <c r="H288" s="35" t="str">
        <f>IFERROR(_xlfn.XLOOKUP(Table6[[#This Row],[Affected WTG]],'Basic Data'!$A:$A,'Basic Data'!$B:$B),"")</f>
        <v>TQGXIIPL</v>
      </c>
      <c r="I288" s="35" t="str">
        <f>IFERROR(_xlfn.XLOOKUP(Table6[[#This Row],[Affected WTG]],'Basic Data'!$A:$A,'Basic Data'!$C:$C),"")</f>
        <v>GEDA</v>
      </c>
      <c r="J288" s="471">
        <f>IFERROR(_xlfn.XLOOKUP(Table6[[#This Row],[Affected WTG]],'Basic Data'!$A:$A,'Basic Data'!$E:$E),"")</f>
        <v>3.846153846153845E-2</v>
      </c>
      <c r="K288" s="102">
        <v>55</v>
      </c>
      <c r="L288" s="35" t="str">
        <f>IFERROR(_xlfn.XLOOKUP(Table6[[#This Row],[Error Code]],'Basic Data'!$AA:$AA,'Basic Data'!$AB:$AB),"Incorrect Error Code")</f>
        <v>WTG shut down</v>
      </c>
      <c r="M288" s="35" t="s">
        <v>291</v>
      </c>
      <c r="N288" s="475"/>
      <c r="O288" s="476">
        <v>0.7993055555555556</v>
      </c>
      <c r="P288" s="476">
        <v>0.7993055555555556</v>
      </c>
      <c r="Q288" s="477">
        <v>0.80625000000000002</v>
      </c>
      <c r="R288" s="472">
        <f>IF(Table6[[#This Row],[Work Start TimeStamp]]="","",(Table6[[#This Row],[Work Start TimeStamp]]-Table6[[#This Row],[Fault Start TimeStamp]])*24)</f>
        <v>0</v>
      </c>
      <c r="S288" s="472">
        <f>(Table6[[#This Row],[Fault Clearance time]]-Table6[[#This Row],[Work Start TimeStamp]])*24</f>
        <v>0.16666666666666607</v>
      </c>
      <c r="T288" s="472">
        <f>(Table6[[#This Row],[Fault Clearance time]]-Table6[[#This Row],[Fault Start TimeStamp]])*24</f>
        <v>0.16666666666666607</v>
      </c>
      <c r="U288" s="35" t="s">
        <v>389</v>
      </c>
      <c r="V288" s="102" t="s">
        <v>293</v>
      </c>
      <c r="W288" s="478">
        <f>IFERROR(Table6[[#This Row],[Breakdown Time]]*Table6[[#This Row],[Plant Equivalent Weightage]],"")</f>
        <v>6.4102564102563857E-3</v>
      </c>
      <c r="X288" s="473" t="s">
        <v>290</v>
      </c>
      <c r="Y288" s="474" t="s">
        <v>95</v>
      </c>
      <c r="Z288" s="102">
        <v>37507</v>
      </c>
      <c r="AA288" s="468">
        <f>(Table6[[#This Row],[Paired WTG Generation for loss calculation]]/24)*Table6[[#This Row],[Breakdown Time]]</f>
        <v>260.46527777777686</v>
      </c>
      <c r="AB288" s="102"/>
      <c r="AC288" s="35"/>
      <c r="AD288" s="35"/>
    </row>
    <row r="289" spans="1:30">
      <c r="A289" s="102">
        <f t="shared" si="5"/>
        <v>288</v>
      </c>
      <c r="B289" s="468">
        <f>YEAR(Table6[[#This Row],[Date]])+IF(MONTH(Table6[[#This Row],[Date]])&gt;=4,1,0)</f>
        <v>2026</v>
      </c>
      <c r="C289" s="102">
        <f>YEAR(Table6[[#This Row],[Date]])</f>
        <v>2025</v>
      </c>
      <c r="D289" s="102" t="s">
        <v>1992</v>
      </c>
      <c r="E289" s="469">
        <f>Table6[[#This Row],[Date]]-DAY(Table6[[#This Row],[Date]])+1</f>
        <v>45748</v>
      </c>
      <c r="F289" s="470">
        <v>45764</v>
      </c>
      <c r="G289" s="35" t="s">
        <v>92</v>
      </c>
      <c r="H289" s="35" t="str">
        <f>IFERROR(_xlfn.XLOOKUP(Table6[[#This Row],[Affected WTG]],'Basic Data'!$A:$A,'Basic Data'!$B:$B),"")</f>
        <v>TQGXIIPL</v>
      </c>
      <c r="I289" s="35" t="str">
        <f>IFERROR(_xlfn.XLOOKUP(Table6[[#This Row],[Affected WTG]],'Basic Data'!$A:$A,'Basic Data'!$C:$C),"")</f>
        <v>GEDA</v>
      </c>
      <c r="J289" s="471">
        <f>IFERROR(_xlfn.XLOOKUP(Table6[[#This Row],[Affected WTG]],'Basic Data'!$A:$A,'Basic Data'!$E:$E),"")</f>
        <v>3.846153846153845E-2</v>
      </c>
      <c r="K289" s="102">
        <v>55</v>
      </c>
      <c r="L289" s="35" t="str">
        <f>IFERROR(_xlfn.XLOOKUP(Table6[[#This Row],[Error Code]],'Basic Data'!$AA:$AA,'Basic Data'!$AB:$AB),"Incorrect Error Code")</f>
        <v>WTG shut down</v>
      </c>
      <c r="M289" s="35" t="s">
        <v>291</v>
      </c>
      <c r="N289" s="475"/>
      <c r="O289" s="476">
        <v>0.6875</v>
      </c>
      <c r="P289" s="476">
        <v>0.6875</v>
      </c>
      <c r="Q289" s="477">
        <v>0.69236111111111109</v>
      </c>
      <c r="R289" s="472">
        <f>IF(Table6[[#This Row],[Work Start TimeStamp]]="","",(Table6[[#This Row],[Work Start TimeStamp]]-Table6[[#This Row],[Fault Start TimeStamp]])*24)</f>
        <v>0</v>
      </c>
      <c r="S289" s="472">
        <f>(Table6[[#This Row],[Fault Clearance time]]-Table6[[#This Row],[Work Start TimeStamp]])*24</f>
        <v>0.11666666666666625</v>
      </c>
      <c r="T289" s="472">
        <f>(Table6[[#This Row],[Fault Clearance time]]-Table6[[#This Row],[Fault Start TimeStamp]])*24</f>
        <v>0.11666666666666625</v>
      </c>
      <c r="U289" s="35" t="s">
        <v>389</v>
      </c>
      <c r="V289" s="102" t="s">
        <v>293</v>
      </c>
      <c r="W289" s="478">
        <f>IFERROR(Table6[[#This Row],[Breakdown Time]]*Table6[[#This Row],[Plant Equivalent Weightage]],"")</f>
        <v>4.4871794871794695E-3</v>
      </c>
      <c r="X289" s="473" t="s">
        <v>290</v>
      </c>
      <c r="Y289" s="474" t="s">
        <v>80</v>
      </c>
      <c r="Z289" s="102">
        <v>36587</v>
      </c>
      <c r="AA289" s="468">
        <f>(Table6[[#This Row],[Paired WTG Generation for loss calculation]]/24)*Table6[[#This Row],[Breakdown Time]]</f>
        <v>177.85347222222157</v>
      </c>
      <c r="AB289" s="102"/>
      <c r="AC289" s="35"/>
      <c r="AD289" s="35"/>
    </row>
    <row r="290" spans="1:30">
      <c r="A290" s="102">
        <f t="shared" si="5"/>
        <v>289</v>
      </c>
      <c r="B290" s="468">
        <f>YEAR(Table6[[#This Row],[Date]])+IF(MONTH(Table6[[#This Row],[Date]])&gt;=4,1,0)</f>
        <v>2026</v>
      </c>
      <c r="C290" s="102">
        <f>YEAR(Table6[[#This Row],[Date]])</f>
        <v>2025</v>
      </c>
      <c r="D290" s="102" t="s">
        <v>1992</v>
      </c>
      <c r="E290" s="469">
        <f>Table6[[#This Row],[Date]]-DAY(Table6[[#This Row],[Date]])+1</f>
        <v>45748</v>
      </c>
      <c r="F290" s="470">
        <v>45764</v>
      </c>
      <c r="G290" s="35" t="s">
        <v>93</v>
      </c>
      <c r="H290" s="35" t="str">
        <f>IFERROR(_xlfn.XLOOKUP(Table6[[#This Row],[Affected WTG]],'Basic Data'!$A:$A,'Basic Data'!$B:$B),"")</f>
        <v>TQGXIIPL</v>
      </c>
      <c r="I290" s="35" t="str">
        <f>IFERROR(_xlfn.XLOOKUP(Table6[[#This Row],[Affected WTG]],'Basic Data'!$A:$A,'Basic Data'!$C:$C),"")</f>
        <v>GEDA</v>
      </c>
      <c r="J290" s="471">
        <f>IFERROR(_xlfn.XLOOKUP(Table6[[#This Row],[Affected WTG]],'Basic Data'!$A:$A,'Basic Data'!$E:$E),"")</f>
        <v>3.846153846153845E-2</v>
      </c>
      <c r="K290" s="102">
        <v>55</v>
      </c>
      <c r="L290" s="35" t="str">
        <f>IFERROR(_xlfn.XLOOKUP(Table6[[#This Row],[Error Code]],'Basic Data'!$AA:$AA,'Basic Data'!$AB:$AB),"Incorrect Error Code")</f>
        <v>WTG shut down</v>
      </c>
      <c r="M290" s="35" t="s">
        <v>291</v>
      </c>
      <c r="N290" s="475"/>
      <c r="O290" s="476">
        <v>0.80555555555555558</v>
      </c>
      <c r="P290" s="476">
        <v>0.80555555555555558</v>
      </c>
      <c r="Q290" s="477">
        <v>0.81180555555555556</v>
      </c>
      <c r="R290" s="472">
        <f>IF(Table6[[#This Row],[Work Start TimeStamp]]="","",(Table6[[#This Row],[Work Start TimeStamp]]-Table6[[#This Row],[Fault Start TimeStamp]])*24)</f>
        <v>0</v>
      </c>
      <c r="S290" s="472">
        <f>(Table6[[#This Row],[Fault Clearance time]]-Table6[[#This Row],[Work Start TimeStamp]])*24</f>
        <v>0.14999999999999947</v>
      </c>
      <c r="T290" s="472">
        <f>(Table6[[#This Row],[Fault Clearance time]]-Table6[[#This Row],[Fault Start TimeStamp]])*24</f>
        <v>0.14999999999999947</v>
      </c>
      <c r="U290" s="35" t="s">
        <v>389</v>
      </c>
      <c r="V290" s="102" t="s">
        <v>293</v>
      </c>
      <c r="W290" s="478">
        <f>IFERROR(Table6[[#This Row],[Breakdown Time]]*Table6[[#This Row],[Plant Equivalent Weightage]],"")</f>
        <v>5.769230769230747E-3</v>
      </c>
      <c r="X290" s="473" t="s">
        <v>290</v>
      </c>
      <c r="Y290" s="474" t="s">
        <v>97</v>
      </c>
      <c r="Z290" s="102">
        <v>32115</v>
      </c>
      <c r="AA290" s="468">
        <f>(Table6[[#This Row],[Paired WTG Generation for loss calculation]]/24)*Table6[[#This Row],[Breakdown Time]]</f>
        <v>200.71874999999929</v>
      </c>
      <c r="AB290" s="102"/>
      <c r="AC290" s="35"/>
      <c r="AD290" s="35"/>
    </row>
    <row r="291" spans="1:30">
      <c r="A291" s="102">
        <f t="shared" si="5"/>
        <v>290</v>
      </c>
      <c r="B291" s="468">
        <f>YEAR(Table6[[#This Row],[Date]])+IF(MONTH(Table6[[#This Row],[Date]])&gt;=4,1,0)</f>
        <v>2026</v>
      </c>
      <c r="C291" s="102">
        <f>YEAR(Table6[[#This Row],[Date]])</f>
        <v>2025</v>
      </c>
      <c r="D291" s="102" t="s">
        <v>1992</v>
      </c>
      <c r="E291" s="469">
        <f>Table6[[#This Row],[Date]]-DAY(Table6[[#This Row],[Date]])+1</f>
        <v>45748</v>
      </c>
      <c r="F291" s="470">
        <v>45764</v>
      </c>
      <c r="G291" s="35" t="s">
        <v>94</v>
      </c>
      <c r="H291" s="35" t="str">
        <f>IFERROR(_xlfn.XLOOKUP(Table6[[#This Row],[Affected WTG]],'Basic Data'!$A:$A,'Basic Data'!$B:$B),"")</f>
        <v>TQGXIIPL</v>
      </c>
      <c r="I291" s="35" t="str">
        <f>IFERROR(_xlfn.XLOOKUP(Table6[[#This Row],[Affected WTG]],'Basic Data'!$A:$A,'Basic Data'!$C:$C),"")</f>
        <v>GEDA</v>
      </c>
      <c r="J291" s="471">
        <f>IFERROR(_xlfn.XLOOKUP(Table6[[#This Row],[Affected WTG]],'Basic Data'!$A:$A,'Basic Data'!$E:$E),"")</f>
        <v>3.846153846153845E-2</v>
      </c>
      <c r="K291" s="102">
        <v>4520</v>
      </c>
      <c r="L291" s="35" t="str">
        <f>IFERROR(_xlfn.XLOOKUP(Table6[[#This Row],[Error Code]],'Basic Data'!$AA:$AA,'Basic Data'!$AB:$AB),"Incorrect Error Code")</f>
        <v>Tower oscillation X level 1</v>
      </c>
      <c r="M291" s="35" t="s">
        <v>291</v>
      </c>
      <c r="N291" s="475"/>
      <c r="O291" s="476">
        <v>0.2</v>
      </c>
      <c r="P291" s="476">
        <v>0.2</v>
      </c>
      <c r="Q291" s="477">
        <v>0.2076388888888889</v>
      </c>
      <c r="R291" s="472">
        <f>IF(Table6[[#This Row],[Work Start TimeStamp]]="","",(Table6[[#This Row],[Work Start TimeStamp]]-Table6[[#This Row],[Fault Start TimeStamp]])*24)</f>
        <v>0</v>
      </c>
      <c r="S291" s="472">
        <f>(Table6[[#This Row],[Fault Clearance time]]-Table6[[#This Row],[Work Start TimeStamp]])*24</f>
        <v>0.18333333333333335</v>
      </c>
      <c r="T291" s="472">
        <f>(Table6[[#This Row],[Fault Clearance time]]-Table6[[#This Row],[Fault Start TimeStamp]])*24</f>
        <v>0.18333333333333335</v>
      </c>
      <c r="U291" s="35" t="s">
        <v>349</v>
      </c>
      <c r="V291" s="102" t="s">
        <v>293</v>
      </c>
      <c r="W291" s="478">
        <f>IFERROR(Table6[[#This Row],[Breakdown Time]]*Table6[[#This Row],[Plant Equivalent Weightage]],"")</f>
        <v>7.0512820512820496E-3</v>
      </c>
      <c r="X291" s="473" t="s">
        <v>294</v>
      </c>
      <c r="Y291" s="474" t="s">
        <v>79</v>
      </c>
      <c r="Z291" s="102">
        <v>34183</v>
      </c>
      <c r="AA291" s="468">
        <f>(Table6[[#This Row],[Paired WTG Generation for loss calculation]]/24)*Table6[[#This Row],[Breakdown Time]]</f>
        <v>261.1201388888889</v>
      </c>
      <c r="AB291" s="102"/>
      <c r="AC291" s="35"/>
      <c r="AD291" s="35"/>
    </row>
    <row r="292" spans="1:30">
      <c r="A292" s="102">
        <f t="shared" si="5"/>
        <v>291</v>
      </c>
      <c r="B292" s="468">
        <f>YEAR(Table6[[#This Row],[Date]])+IF(MONTH(Table6[[#This Row],[Date]])&gt;=4,1,0)</f>
        <v>2026</v>
      </c>
      <c r="C292" s="102">
        <f>YEAR(Table6[[#This Row],[Date]])</f>
        <v>2025</v>
      </c>
      <c r="D292" s="102" t="s">
        <v>1992</v>
      </c>
      <c r="E292" s="469">
        <f>Table6[[#This Row],[Date]]-DAY(Table6[[#This Row],[Date]])+1</f>
        <v>45748</v>
      </c>
      <c r="F292" s="470">
        <v>45764</v>
      </c>
      <c r="G292" s="35" t="s">
        <v>94</v>
      </c>
      <c r="H292" s="35" t="str">
        <f>IFERROR(_xlfn.XLOOKUP(Table6[[#This Row],[Affected WTG]],'Basic Data'!$A:$A,'Basic Data'!$B:$B),"")</f>
        <v>TQGXIIPL</v>
      </c>
      <c r="I292" s="35" t="str">
        <f>IFERROR(_xlfn.XLOOKUP(Table6[[#This Row],[Affected WTG]],'Basic Data'!$A:$A,'Basic Data'!$C:$C),"")</f>
        <v>GEDA</v>
      </c>
      <c r="J292" s="471">
        <f>IFERROR(_xlfn.XLOOKUP(Table6[[#This Row],[Affected WTG]],'Basic Data'!$A:$A,'Basic Data'!$E:$E),"")</f>
        <v>3.846153846153845E-2</v>
      </c>
      <c r="K292" s="102">
        <v>55</v>
      </c>
      <c r="L292" s="35" t="str">
        <f>IFERROR(_xlfn.XLOOKUP(Table6[[#This Row],[Error Code]],'Basic Data'!$AA:$AA,'Basic Data'!$AB:$AB),"Incorrect Error Code")</f>
        <v>WTG shut down</v>
      </c>
      <c r="M292" s="35" t="s">
        <v>291</v>
      </c>
      <c r="N292" s="475"/>
      <c r="O292" s="476">
        <v>0.82361111111111107</v>
      </c>
      <c r="P292" s="476">
        <v>0.82361111111111107</v>
      </c>
      <c r="Q292" s="477">
        <v>0.82986111111111116</v>
      </c>
      <c r="R292" s="472">
        <f>IF(Table6[[#This Row],[Work Start TimeStamp]]="","",(Table6[[#This Row],[Work Start TimeStamp]]-Table6[[#This Row],[Fault Start TimeStamp]])*24)</f>
        <v>0</v>
      </c>
      <c r="S292" s="472">
        <f>(Table6[[#This Row],[Fault Clearance time]]-Table6[[#This Row],[Work Start TimeStamp]])*24</f>
        <v>0.15000000000000213</v>
      </c>
      <c r="T292" s="472">
        <f>(Table6[[#This Row],[Fault Clearance time]]-Table6[[#This Row],[Fault Start TimeStamp]])*24</f>
        <v>0.15000000000000213</v>
      </c>
      <c r="U292" s="35" t="s">
        <v>389</v>
      </c>
      <c r="V292" s="102" t="s">
        <v>293</v>
      </c>
      <c r="W292" s="478">
        <f>IFERROR(Table6[[#This Row],[Breakdown Time]]*Table6[[#This Row],[Plant Equivalent Weightage]],"")</f>
        <v>5.7692307692308493E-3</v>
      </c>
      <c r="X292" s="473" t="s">
        <v>290</v>
      </c>
      <c r="Y292" s="474" t="s">
        <v>79</v>
      </c>
      <c r="Z292" s="102">
        <v>34183</v>
      </c>
      <c r="AA292" s="468">
        <f>(Table6[[#This Row],[Paired WTG Generation for loss calculation]]/24)*Table6[[#This Row],[Breakdown Time]]</f>
        <v>213.64375000000305</v>
      </c>
      <c r="AB292" s="102"/>
      <c r="AC292" s="35"/>
      <c r="AD292" s="35"/>
    </row>
    <row r="293" spans="1:30">
      <c r="A293" s="102">
        <f t="shared" si="5"/>
        <v>292</v>
      </c>
      <c r="B293" s="468">
        <f>YEAR(Table6[[#This Row],[Date]])+IF(MONTH(Table6[[#This Row],[Date]])&gt;=4,1,0)</f>
        <v>2026</v>
      </c>
      <c r="C293" s="102">
        <f>YEAR(Table6[[#This Row],[Date]])</f>
        <v>2025</v>
      </c>
      <c r="D293" s="102" t="s">
        <v>1992</v>
      </c>
      <c r="E293" s="469">
        <f>Table6[[#This Row],[Date]]-DAY(Table6[[#This Row],[Date]])+1</f>
        <v>45748</v>
      </c>
      <c r="F293" s="470">
        <v>45764</v>
      </c>
      <c r="G293" s="35" t="s">
        <v>95</v>
      </c>
      <c r="H293" s="35" t="str">
        <f>IFERROR(_xlfn.XLOOKUP(Table6[[#This Row],[Affected WTG]],'Basic Data'!$A:$A,'Basic Data'!$B:$B),"")</f>
        <v>TQGXIIPL</v>
      </c>
      <c r="I293" s="35" t="str">
        <f>IFERROR(_xlfn.XLOOKUP(Table6[[#This Row],[Affected WTG]],'Basic Data'!$A:$A,'Basic Data'!$C:$C),"")</f>
        <v>GEDA</v>
      </c>
      <c r="J293" s="471">
        <f>IFERROR(_xlfn.XLOOKUP(Table6[[#This Row],[Affected WTG]],'Basic Data'!$A:$A,'Basic Data'!$E:$E),"")</f>
        <v>3.846153846153845E-2</v>
      </c>
      <c r="K293" s="102">
        <v>55</v>
      </c>
      <c r="L293" s="35" t="str">
        <f>IFERROR(_xlfn.XLOOKUP(Table6[[#This Row],[Error Code]],'Basic Data'!$AA:$AA,'Basic Data'!$AB:$AB),"Incorrect Error Code")</f>
        <v>WTG shut down</v>
      </c>
      <c r="M293" s="35" t="s">
        <v>291</v>
      </c>
      <c r="N293" s="475"/>
      <c r="O293" s="476">
        <v>0.78194444444444444</v>
      </c>
      <c r="P293" s="476">
        <v>0.78194444444444444</v>
      </c>
      <c r="Q293" s="477">
        <v>0.78819444444444442</v>
      </c>
      <c r="R293" s="472">
        <f>IF(Table6[[#This Row],[Work Start TimeStamp]]="","",(Table6[[#This Row],[Work Start TimeStamp]]-Table6[[#This Row],[Fault Start TimeStamp]])*24)</f>
        <v>0</v>
      </c>
      <c r="S293" s="472">
        <f>(Table6[[#This Row],[Fault Clearance time]]-Table6[[#This Row],[Work Start TimeStamp]])*24</f>
        <v>0.14999999999999947</v>
      </c>
      <c r="T293" s="472">
        <f>(Table6[[#This Row],[Fault Clearance time]]-Table6[[#This Row],[Fault Start TimeStamp]])*24</f>
        <v>0.14999999999999947</v>
      </c>
      <c r="U293" s="35" t="s">
        <v>389</v>
      </c>
      <c r="V293" s="102" t="s">
        <v>293</v>
      </c>
      <c r="W293" s="478">
        <f>IFERROR(Table6[[#This Row],[Breakdown Time]]*Table6[[#This Row],[Plant Equivalent Weightage]],"")</f>
        <v>5.769230769230747E-3</v>
      </c>
      <c r="X293" s="473" t="s">
        <v>290</v>
      </c>
      <c r="Y293" s="474" t="s">
        <v>79</v>
      </c>
      <c r="Z293" s="102">
        <v>34183</v>
      </c>
      <c r="AA293" s="468">
        <f>(Table6[[#This Row],[Paired WTG Generation for loss calculation]]/24)*Table6[[#This Row],[Breakdown Time]]</f>
        <v>213.64374999999924</v>
      </c>
      <c r="AB293" s="102"/>
      <c r="AC293" s="35"/>
      <c r="AD293" s="35"/>
    </row>
    <row r="294" spans="1:30">
      <c r="A294" s="102">
        <f t="shared" si="5"/>
        <v>293</v>
      </c>
      <c r="B294" s="468">
        <f>YEAR(Table6[[#This Row],[Date]])+IF(MONTH(Table6[[#This Row],[Date]])&gt;=4,1,0)</f>
        <v>2026</v>
      </c>
      <c r="C294" s="102">
        <f>YEAR(Table6[[#This Row],[Date]])</f>
        <v>2025</v>
      </c>
      <c r="D294" s="102" t="s">
        <v>1992</v>
      </c>
      <c r="E294" s="469">
        <f>Table6[[#This Row],[Date]]-DAY(Table6[[#This Row],[Date]])+1</f>
        <v>45748</v>
      </c>
      <c r="F294" s="470">
        <v>45764</v>
      </c>
      <c r="G294" s="35" t="s">
        <v>97</v>
      </c>
      <c r="H294" s="35" t="str">
        <f>IFERROR(_xlfn.XLOOKUP(Table6[[#This Row],[Affected WTG]],'Basic Data'!$A:$A,'Basic Data'!$B:$B),"")</f>
        <v>TQGXIIPL</v>
      </c>
      <c r="I294" s="35" t="str">
        <f>IFERROR(_xlfn.XLOOKUP(Table6[[#This Row],[Affected WTG]],'Basic Data'!$A:$A,'Basic Data'!$C:$C),"")</f>
        <v>GEDA</v>
      </c>
      <c r="J294" s="471">
        <f>IFERROR(_xlfn.XLOOKUP(Table6[[#This Row],[Affected WTG]],'Basic Data'!$A:$A,'Basic Data'!$E:$E),"")</f>
        <v>3.846153846153845E-2</v>
      </c>
      <c r="K294" s="102">
        <v>55</v>
      </c>
      <c r="L294" s="35" t="str">
        <f>IFERROR(_xlfn.XLOOKUP(Table6[[#This Row],[Error Code]],'Basic Data'!$AA:$AA,'Basic Data'!$AB:$AB),"Incorrect Error Code")</f>
        <v>WTG shut down</v>
      </c>
      <c r="M294" s="35" t="s">
        <v>291</v>
      </c>
      <c r="N294" s="475"/>
      <c r="O294" s="476">
        <v>0.76597222222222228</v>
      </c>
      <c r="P294" s="476">
        <v>0.76597222222222228</v>
      </c>
      <c r="Q294" s="477">
        <v>0.78194444444444444</v>
      </c>
      <c r="R294" s="472">
        <f>IF(Table6[[#This Row],[Work Start TimeStamp]]="","",(Table6[[#This Row],[Work Start TimeStamp]]-Table6[[#This Row],[Fault Start TimeStamp]])*24)</f>
        <v>0</v>
      </c>
      <c r="S294" s="472">
        <f>(Table6[[#This Row],[Fault Clearance time]]-Table6[[#This Row],[Work Start TimeStamp]])*24</f>
        <v>0.38333333333333197</v>
      </c>
      <c r="T294" s="472">
        <f>(Table6[[#This Row],[Fault Clearance time]]-Table6[[#This Row],[Fault Start TimeStamp]])*24</f>
        <v>0.38333333333333197</v>
      </c>
      <c r="U294" s="35" t="s">
        <v>389</v>
      </c>
      <c r="V294" s="102" t="s">
        <v>293</v>
      </c>
      <c r="W294" s="478">
        <f>IFERROR(Table6[[#This Row],[Breakdown Time]]*Table6[[#This Row],[Plant Equivalent Weightage]],"")</f>
        <v>1.4743589743589686E-2</v>
      </c>
      <c r="X294" s="473" t="s">
        <v>290</v>
      </c>
      <c r="Y294" s="474" t="s">
        <v>93</v>
      </c>
      <c r="Z294" s="102">
        <v>33211</v>
      </c>
      <c r="AA294" s="468">
        <f>(Table6[[#This Row],[Paired WTG Generation for loss calculation]]/24)*Table6[[#This Row],[Breakdown Time]]</f>
        <v>530.4534722222204</v>
      </c>
      <c r="AB294" s="102"/>
      <c r="AC294" s="35"/>
      <c r="AD294" s="35"/>
    </row>
    <row r="295" spans="1:30">
      <c r="A295" s="102">
        <f t="shared" si="5"/>
        <v>294</v>
      </c>
      <c r="B295" s="468">
        <f>YEAR(Table6[[#This Row],[Date]])+IF(MONTH(Table6[[#This Row],[Date]])&gt;=4,1,0)</f>
        <v>2026</v>
      </c>
      <c r="C295" s="102">
        <f>YEAR(Table6[[#This Row],[Date]])</f>
        <v>2025</v>
      </c>
      <c r="D295" s="102" t="s">
        <v>1992</v>
      </c>
      <c r="E295" s="469">
        <f>Table6[[#This Row],[Date]]-DAY(Table6[[#This Row],[Date]])+1</f>
        <v>45748</v>
      </c>
      <c r="F295" s="470">
        <v>45764</v>
      </c>
      <c r="G295" s="35" t="s">
        <v>97</v>
      </c>
      <c r="H295" s="35" t="str">
        <f>IFERROR(_xlfn.XLOOKUP(Table6[[#This Row],[Affected WTG]],'Basic Data'!$A:$A,'Basic Data'!$B:$B),"")</f>
        <v>TQGXIIPL</v>
      </c>
      <c r="I295" s="35" t="str">
        <f>IFERROR(_xlfn.XLOOKUP(Table6[[#This Row],[Affected WTG]],'Basic Data'!$A:$A,'Basic Data'!$C:$C),"")</f>
        <v>GEDA</v>
      </c>
      <c r="J295" s="471">
        <f>IFERROR(_xlfn.XLOOKUP(Table6[[#This Row],[Affected WTG]],'Basic Data'!$A:$A,'Basic Data'!$E:$E),"")</f>
        <v>3.846153846153845E-2</v>
      </c>
      <c r="K295" s="102">
        <v>55</v>
      </c>
      <c r="L295" s="35" t="str">
        <f>IFERROR(_xlfn.XLOOKUP(Table6[[#This Row],[Error Code]],'Basic Data'!$AA:$AA,'Basic Data'!$AB:$AB),"Incorrect Error Code")</f>
        <v>WTG shut down</v>
      </c>
      <c r="M295" s="35" t="s">
        <v>291</v>
      </c>
      <c r="N295" s="475"/>
      <c r="O295" s="476">
        <v>0.96736111111111112</v>
      </c>
      <c r="P295" s="476">
        <v>0.96736111111111112</v>
      </c>
      <c r="Q295" s="477">
        <v>1</v>
      </c>
      <c r="R295" s="472">
        <f>IF(Table6[[#This Row],[Work Start TimeStamp]]="","",(Table6[[#This Row],[Work Start TimeStamp]]-Table6[[#This Row],[Fault Start TimeStamp]])*24)</f>
        <v>0</v>
      </c>
      <c r="S295" s="472">
        <f>(Table6[[#This Row],[Fault Clearance time]]-Table6[[#This Row],[Work Start TimeStamp]])*24</f>
        <v>0.78333333333333321</v>
      </c>
      <c r="T295" s="472">
        <f>(Table6[[#This Row],[Fault Clearance time]]-Table6[[#This Row],[Fault Start TimeStamp]])*24</f>
        <v>0.78333333333333321</v>
      </c>
      <c r="U295" s="35" t="s">
        <v>402</v>
      </c>
      <c r="V295" s="102" t="s">
        <v>335</v>
      </c>
      <c r="W295" s="478">
        <f>IFERROR(Table6[[#This Row],[Breakdown Time]]*Table6[[#This Row],[Plant Equivalent Weightage]],"")</f>
        <v>3.0128205128205115E-2</v>
      </c>
      <c r="X295" s="473" t="s">
        <v>290</v>
      </c>
      <c r="Y295" s="474" t="s">
        <v>93</v>
      </c>
      <c r="Z295" s="102">
        <v>33211</v>
      </c>
      <c r="AA295" s="468">
        <f>(Table6[[#This Row],[Paired WTG Generation for loss calculation]]/24)*Table6[[#This Row],[Breakdown Time]]</f>
        <v>1083.9701388888889</v>
      </c>
      <c r="AB295" s="102"/>
      <c r="AC295" s="35"/>
      <c r="AD295" s="35"/>
    </row>
    <row r="296" spans="1:30">
      <c r="A296" s="102">
        <f t="shared" si="5"/>
        <v>295</v>
      </c>
      <c r="B296" s="468">
        <f>YEAR(Table6[[#This Row],[Date]])+IF(MONTH(Table6[[#This Row],[Date]])&gt;=4,1,0)</f>
        <v>2026</v>
      </c>
      <c r="C296" s="102">
        <f>YEAR(Table6[[#This Row],[Date]])</f>
        <v>2025</v>
      </c>
      <c r="D296" s="102" t="s">
        <v>1992</v>
      </c>
      <c r="E296" s="469">
        <f>Table6[[#This Row],[Date]]-DAY(Table6[[#This Row],[Date]])+1</f>
        <v>45748</v>
      </c>
      <c r="F296" s="470">
        <v>45764</v>
      </c>
      <c r="G296" s="35" t="s">
        <v>98</v>
      </c>
      <c r="H296" s="35" t="str">
        <f>IFERROR(_xlfn.XLOOKUP(Table6[[#This Row],[Affected WTG]],'Basic Data'!$A:$A,'Basic Data'!$B:$B),"")</f>
        <v>TQGXIIPL</v>
      </c>
      <c r="I296" s="35" t="str">
        <f>IFERROR(_xlfn.XLOOKUP(Table6[[#This Row],[Affected WTG]],'Basic Data'!$A:$A,'Basic Data'!$C:$C),"")</f>
        <v>GEDA</v>
      </c>
      <c r="J296" s="471">
        <f>IFERROR(_xlfn.XLOOKUP(Table6[[#This Row],[Affected WTG]],'Basic Data'!$A:$A,'Basic Data'!$E:$E),"")</f>
        <v>3.846153846153845E-2</v>
      </c>
      <c r="K296" s="102">
        <v>3110</v>
      </c>
      <c r="L296" s="35" t="str">
        <f>IFERROR(_xlfn.XLOOKUP(Table6[[#This Row],[Error Code]],'Basic Data'!$AA:$AA,'Basic Data'!$AB:$AB),"Incorrect Error Code")</f>
        <v>Frequency converter error</v>
      </c>
      <c r="M296" s="35" t="s">
        <v>291</v>
      </c>
      <c r="N296" s="475"/>
      <c r="O296" s="476">
        <v>0.16597222222222222</v>
      </c>
      <c r="P296" s="476">
        <v>0.16597222222222222</v>
      </c>
      <c r="Q296" s="477">
        <v>0.18541666666666667</v>
      </c>
      <c r="R296" s="472">
        <f>IF(Table6[[#This Row],[Work Start TimeStamp]]="","",(Table6[[#This Row],[Work Start TimeStamp]]-Table6[[#This Row],[Fault Start TimeStamp]])*24)</f>
        <v>0</v>
      </c>
      <c r="S296" s="472">
        <f>(Table6[[#This Row],[Fault Clearance time]]-Table6[[#This Row],[Work Start TimeStamp]])*24</f>
        <v>0.46666666666666701</v>
      </c>
      <c r="T296" s="472">
        <f>(Table6[[#This Row],[Fault Clearance time]]-Table6[[#This Row],[Fault Start TimeStamp]])*24</f>
        <v>0.46666666666666701</v>
      </c>
      <c r="U296" s="35" t="s">
        <v>349</v>
      </c>
      <c r="V296" s="102" t="s">
        <v>293</v>
      </c>
      <c r="W296" s="478">
        <f>IFERROR(Table6[[#This Row],[Breakdown Time]]*Table6[[#This Row],[Plant Equivalent Weightage]],"")</f>
        <v>1.7948717948717958E-2</v>
      </c>
      <c r="X296" s="473" t="s">
        <v>294</v>
      </c>
      <c r="Y296" s="474" t="s">
        <v>74</v>
      </c>
      <c r="Z296" s="102">
        <v>36843</v>
      </c>
      <c r="AA296" s="468">
        <f>(Table6[[#This Row],[Paired WTG Generation for loss calculation]]/24)*Table6[[#This Row],[Breakdown Time]]</f>
        <v>716.39166666666722</v>
      </c>
      <c r="AB296" s="102"/>
      <c r="AC296" s="35"/>
      <c r="AD296" s="35"/>
    </row>
    <row r="297" spans="1:30">
      <c r="A297" s="102">
        <f t="shared" si="5"/>
        <v>296</v>
      </c>
      <c r="B297" s="468">
        <f>YEAR(Table6[[#This Row],[Date]])+IF(MONTH(Table6[[#This Row],[Date]])&gt;=4,1,0)</f>
        <v>2026</v>
      </c>
      <c r="C297" s="102">
        <f>YEAR(Table6[[#This Row],[Date]])</f>
        <v>2025</v>
      </c>
      <c r="D297" s="102" t="s">
        <v>1992</v>
      </c>
      <c r="E297" s="469">
        <f>Table6[[#This Row],[Date]]-DAY(Table6[[#This Row],[Date]])+1</f>
        <v>45748</v>
      </c>
      <c r="F297" s="470">
        <v>45764</v>
      </c>
      <c r="G297" s="35" t="s">
        <v>98</v>
      </c>
      <c r="H297" s="35" t="str">
        <f>IFERROR(_xlfn.XLOOKUP(Table6[[#This Row],[Affected WTG]],'Basic Data'!$A:$A,'Basic Data'!$B:$B),"")</f>
        <v>TQGXIIPL</v>
      </c>
      <c r="I297" s="35" t="str">
        <f>IFERROR(_xlfn.XLOOKUP(Table6[[#This Row],[Affected WTG]],'Basic Data'!$A:$A,'Basic Data'!$C:$C),"")</f>
        <v>GEDA</v>
      </c>
      <c r="J297" s="471">
        <f>IFERROR(_xlfn.XLOOKUP(Table6[[#This Row],[Affected WTG]],'Basic Data'!$A:$A,'Basic Data'!$E:$E),"")</f>
        <v>3.846153846153845E-2</v>
      </c>
      <c r="K297" s="102">
        <v>55</v>
      </c>
      <c r="L297" s="35" t="str">
        <f>IFERROR(_xlfn.XLOOKUP(Table6[[#This Row],[Error Code]],'Basic Data'!$AA:$AA,'Basic Data'!$AB:$AB),"Incorrect Error Code")</f>
        <v>WTG shut down</v>
      </c>
      <c r="M297" s="35" t="s">
        <v>291</v>
      </c>
      <c r="N297" s="475"/>
      <c r="O297" s="476">
        <v>0.77013888888888893</v>
      </c>
      <c r="P297" s="476">
        <v>0.77013888888888893</v>
      </c>
      <c r="Q297" s="477">
        <v>0.77500000000000002</v>
      </c>
      <c r="R297" s="472">
        <f>IF(Table6[[#This Row],[Work Start TimeStamp]]="","",(Table6[[#This Row],[Work Start TimeStamp]]-Table6[[#This Row],[Fault Start TimeStamp]])*24)</f>
        <v>0</v>
      </c>
      <c r="S297" s="472">
        <f>(Table6[[#This Row],[Fault Clearance time]]-Table6[[#This Row],[Work Start TimeStamp]])*24</f>
        <v>0.11666666666666625</v>
      </c>
      <c r="T297" s="472">
        <f>(Table6[[#This Row],[Fault Clearance time]]-Table6[[#This Row],[Fault Start TimeStamp]])*24</f>
        <v>0.11666666666666625</v>
      </c>
      <c r="U297" s="35" t="s">
        <v>389</v>
      </c>
      <c r="V297" s="102" t="s">
        <v>293</v>
      </c>
      <c r="W297" s="478">
        <f>IFERROR(Table6[[#This Row],[Breakdown Time]]*Table6[[#This Row],[Plant Equivalent Weightage]],"")</f>
        <v>4.4871794871794695E-3</v>
      </c>
      <c r="X297" s="473" t="s">
        <v>290</v>
      </c>
      <c r="Y297" s="474" t="s">
        <v>74</v>
      </c>
      <c r="Z297" s="102">
        <v>36843</v>
      </c>
      <c r="AA297" s="468">
        <f>(Table6[[#This Row],[Paired WTG Generation for loss calculation]]/24)*Table6[[#This Row],[Breakdown Time]]</f>
        <v>179.09791666666604</v>
      </c>
      <c r="AB297" s="102"/>
      <c r="AC297" s="35"/>
      <c r="AD297" s="35"/>
    </row>
    <row r="298" spans="1:30">
      <c r="A298" s="102">
        <f t="shared" si="5"/>
        <v>297</v>
      </c>
      <c r="B298" s="468">
        <f>YEAR(Table6[[#This Row],[Date]])+IF(MONTH(Table6[[#This Row],[Date]])&gt;=4,1,0)</f>
        <v>2026</v>
      </c>
      <c r="C298" s="102">
        <f>YEAR(Table6[[#This Row],[Date]])</f>
        <v>2025</v>
      </c>
      <c r="D298" s="102" t="s">
        <v>1992</v>
      </c>
      <c r="E298" s="469">
        <f>Table6[[#This Row],[Date]]-DAY(Table6[[#This Row],[Date]])+1</f>
        <v>45748</v>
      </c>
      <c r="F298" s="470">
        <v>45764</v>
      </c>
      <c r="G298" s="35" t="s">
        <v>98</v>
      </c>
      <c r="H298" s="35" t="str">
        <f>IFERROR(_xlfn.XLOOKUP(Table6[[#This Row],[Affected WTG]],'Basic Data'!$A:$A,'Basic Data'!$B:$B),"")</f>
        <v>TQGXIIPL</v>
      </c>
      <c r="I298" s="35" t="str">
        <f>IFERROR(_xlfn.XLOOKUP(Table6[[#This Row],[Affected WTG]],'Basic Data'!$A:$A,'Basic Data'!$C:$C),"")</f>
        <v>GEDA</v>
      </c>
      <c r="J298" s="471">
        <f>IFERROR(_xlfn.XLOOKUP(Table6[[#This Row],[Affected WTG]],'Basic Data'!$A:$A,'Basic Data'!$E:$E),"")</f>
        <v>3.846153846153845E-2</v>
      </c>
      <c r="K298" s="102">
        <v>55</v>
      </c>
      <c r="L298" s="35" t="str">
        <f>IFERROR(_xlfn.XLOOKUP(Table6[[#This Row],[Error Code]],'Basic Data'!$AA:$AA,'Basic Data'!$AB:$AB),"Incorrect Error Code")</f>
        <v>WTG shut down</v>
      </c>
      <c r="M298" s="35" t="s">
        <v>330</v>
      </c>
      <c r="N298" s="475"/>
      <c r="O298" s="476">
        <v>0.86736111111111114</v>
      </c>
      <c r="P298" s="476">
        <v>0.86736111111111114</v>
      </c>
      <c r="Q298" s="477">
        <v>0.90972222222222221</v>
      </c>
      <c r="R298" s="472">
        <f>IF(Table6[[#This Row],[Work Start TimeStamp]]="","",(Table6[[#This Row],[Work Start TimeStamp]]-Table6[[#This Row],[Fault Start TimeStamp]])*24)</f>
        <v>0</v>
      </c>
      <c r="S298" s="472">
        <f>(Table6[[#This Row],[Fault Clearance time]]-Table6[[#This Row],[Work Start TimeStamp]])*24</f>
        <v>1.0166666666666657</v>
      </c>
      <c r="T298" s="472">
        <f>(Table6[[#This Row],[Fault Clearance time]]-Table6[[#This Row],[Fault Start TimeStamp]])*24</f>
        <v>1.0166666666666657</v>
      </c>
      <c r="U298" s="35" t="s">
        <v>337</v>
      </c>
      <c r="V298" s="102" t="s">
        <v>293</v>
      </c>
      <c r="W298" s="478">
        <f>IFERROR(Table6[[#This Row],[Breakdown Time]]*Table6[[#This Row],[Plant Equivalent Weightage]],"")</f>
        <v>3.9102564102564054E-2</v>
      </c>
      <c r="X298" s="473" t="s">
        <v>290</v>
      </c>
      <c r="Y298" s="474" t="s">
        <v>74</v>
      </c>
      <c r="Z298" s="102">
        <v>36843</v>
      </c>
      <c r="AA298" s="468">
        <f>(Table6[[#This Row],[Paired WTG Generation for loss calculation]]/24)*Table6[[#This Row],[Breakdown Time]]</f>
        <v>1560.7104166666652</v>
      </c>
      <c r="AB298" s="102"/>
      <c r="AC298" s="35"/>
      <c r="AD298" s="35"/>
    </row>
    <row r="299" spans="1:30">
      <c r="A299" s="102">
        <f t="shared" si="5"/>
        <v>298</v>
      </c>
      <c r="B299" s="468">
        <f>YEAR(Table6[[#This Row],[Date]])+IF(MONTH(Table6[[#This Row],[Date]])&gt;=4,1,0)</f>
        <v>2026</v>
      </c>
      <c r="C299" s="102">
        <f>YEAR(Table6[[#This Row],[Date]])</f>
        <v>2025</v>
      </c>
      <c r="D299" s="102" t="s">
        <v>1992</v>
      </c>
      <c r="E299" s="469">
        <f>Table6[[#This Row],[Date]]-DAY(Table6[[#This Row],[Date]])+1</f>
        <v>45748</v>
      </c>
      <c r="F299" s="470">
        <v>45765</v>
      </c>
      <c r="G299" s="35" t="s">
        <v>75</v>
      </c>
      <c r="H299" s="35" t="str">
        <f>IFERROR(_xlfn.XLOOKUP(Table6[[#This Row],[Affected WTG]],'Basic Data'!$A:$A,'Basic Data'!$B:$B),"")</f>
        <v>TQGXIIPL</v>
      </c>
      <c r="I299" s="35" t="str">
        <f>IFERROR(_xlfn.XLOOKUP(Table6[[#This Row],[Affected WTG]],'Basic Data'!$A:$A,'Basic Data'!$C:$C),"")</f>
        <v>GEDA</v>
      </c>
      <c r="J299" s="471">
        <f>IFERROR(_xlfn.XLOOKUP(Table6[[#This Row],[Affected WTG]],'Basic Data'!$A:$A,'Basic Data'!$E:$E),"")</f>
        <v>3.846153846153845E-2</v>
      </c>
      <c r="K299" s="102">
        <v>55</v>
      </c>
      <c r="L299" s="35" t="str">
        <f>IFERROR(_xlfn.XLOOKUP(Table6[[#This Row],[Error Code]],'Basic Data'!$AA:$AA,'Basic Data'!$AB:$AB),"Incorrect Error Code")</f>
        <v>WTG shut down</v>
      </c>
      <c r="M299" s="35" t="s">
        <v>304</v>
      </c>
      <c r="N299" s="475"/>
      <c r="O299" s="476">
        <v>0.27152777777777776</v>
      </c>
      <c r="P299" s="476">
        <v>0.27638888888888891</v>
      </c>
      <c r="Q299" s="477">
        <v>0.51458333333333328</v>
      </c>
      <c r="R299" s="472">
        <f>IF(Table6[[#This Row],[Work Start TimeStamp]]="","",(Table6[[#This Row],[Work Start TimeStamp]]-Table6[[#This Row],[Fault Start TimeStamp]])*24)</f>
        <v>0.11666666666666758</v>
      </c>
      <c r="S299" s="472">
        <f>(Table6[[#This Row],[Fault Clearance time]]-Table6[[#This Row],[Work Start TimeStamp]])*24</f>
        <v>5.716666666666665</v>
      </c>
      <c r="T299" s="472">
        <f>(Table6[[#This Row],[Fault Clearance time]]-Table6[[#This Row],[Fault Start TimeStamp]])*24</f>
        <v>5.8333333333333321</v>
      </c>
      <c r="U299" s="35" t="s">
        <v>395</v>
      </c>
      <c r="V299" s="102" t="s">
        <v>293</v>
      </c>
      <c r="W299" s="478">
        <f>IFERROR(Table6[[#This Row],[Breakdown Time]]*Table6[[#This Row],[Plant Equivalent Weightage]],"")</f>
        <v>0.22435897435897426</v>
      </c>
      <c r="X299" s="473" t="s">
        <v>305</v>
      </c>
      <c r="Y299" s="474" t="s">
        <v>78</v>
      </c>
      <c r="Z299" s="102">
        <v>34316</v>
      </c>
      <c r="AA299" s="468">
        <f>(Table6[[#This Row],[Paired WTG Generation for loss calculation]]/24)*Table6[[#This Row],[Breakdown Time]]</f>
        <v>8340.6944444444416</v>
      </c>
      <c r="AB299" s="102"/>
      <c r="AC299" s="35"/>
      <c r="AD299" s="35"/>
    </row>
    <row r="300" spans="1:30">
      <c r="A300" s="102">
        <f t="shared" si="5"/>
        <v>299</v>
      </c>
      <c r="B300" s="468">
        <f>YEAR(Table6[[#This Row],[Date]])+IF(MONTH(Table6[[#This Row],[Date]])&gt;=4,1,0)</f>
        <v>2026</v>
      </c>
      <c r="C300" s="102">
        <f>YEAR(Table6[[#This Row],[Date]])</f>
        <v>2025</v>
      </c>
      <c r="D300" s="102" t="s">
        <v>1992</v>
      </c>
      <c r="E300" s="469">
        <f>Table6[[#This Row],[Date]]-DAY(Table6[[#This Row],[Date]])+1</f>
        <v>45748</v>
      </c>
      <c r="F300" s="470">
        <v>45765</v>
      </c>
      <c r="G300" s="35" t="s">
        <v>76</v>
      </c>
      <c r="H300" s="35" t="str">
        <f>IFERROR(_xlfn.XLOOKUP(Table6[[#This Row],[Affected WTG]],'Basic Data'!$A:$A,'Basic Data'!$B:$B),"")</f>
        <v>TQGXIIPL</v>
      </c>
      <c r="I300" s="35" t="str">
        <f>IFERROR(_xlfn.XLOOKUP(Table6[[#This Row],[Affected WTG]],'Basic Data'!$A:$A,'Basic Data'!$C:$C),"")</f>
        <v>GEDA</v>
      </c>
      <c r="J300" s="471">
        <f>IFERROR(_xlfn.XLOOKUP(Table6[[#This Row],[Affected WTG]],'Basic Data'!$A:$A,'Basic Data'!$E:$E),"")</f>
        <v>3.846153846153845E-2</v>
      </c>
      <c r="K300" s="102">
        <v>4960</v>
      </c>
      <c r="L300" s="35" t="str">
        <f>IFERROR(_xlfn.XLOOKUP(Table6[[#This Row],[Error Code]],'Basic Data'!$AA:$AA,'Basic Data'!$AB:$AB),"Incorrect Error Code")</f>
        <v>Tower oscillation YF</v>
      </c>
      <c r="M300" s="35" t="s">
        <v>291</v>
      </c>
      <c r="N300" s="475"/>
      <c r="O300" s="476">
        <v>0.55208333333333337</v>
      </c>
      <c r="P300" s="476">
        <v>0.55208333333333337</v>
      </c>
      <c r="Q300" s="477">
        <v>0.56319444444444444</v>
      </c>
      <c r="R300" s="472">
        <f>IF(Table6[[#This Row],[Work Start TimeStamp]]="","",(Table6[[#This Row],[Work Start TimeStamp]]-Table6[[#This Row],[Fault Start TimeStamp]])*24)</f>
        <v>0</v>
      </c>
      <c r="S300" s="472">
        <f>(Table6[[#This Row],[Fault Clearance time]]-Table6[[#This Row],[Work Start TimeStamp]])*24</f>
        <v>0.26666666666666572</v>
      </c>
      <c r="T300" s="472">
        <f>(Table6[[#This Row],[Fault Clearance time]]-Table6[[#This Row],[Fault Start TimeStamp]])*24</f>
        <v>0.26666666666666572</v>
      </c>
      <c r="U300" s="35" t="s">
        <v>349</v>
      </c>
      <c r="V300" s="102" t="s">
        <v>293</v>
      </c>
      <c r="W300" s="478">
        <f>IFERROR(Table6[[#This Row],[Breakdown Time]]*Table6[[#This Row],[Plant Equivalent Weightage]],"")</f>
        <v>1.0256410256410217E-2</v>
      </c>
      <c r="X300" s="473" t="s">
        <v>294</v>
      </c>
      <c r="Y300" s="474" t="s">
        <v>82</v>
      </c>
      <c r="Z300" s="102">
        <v>31138</v>
      </c>
      <c r="AA300" s="468">
        <f>(Table6[[#This Row],[Paired WTG Generation for loss calculation]]/24)*Table6[[#This Row],[Breakdown Time]]</f>
        <v>345.97777777777657</v>
      </c>
      <c r="AB300" s="102"/>
      <c r="AC300" s="35"/>
      <c r="AD300" s="35"/>
    </row>
    <row r="301" spans="1:30">
      <c r="A301" s="102">
        <f t="shared" si="5"/>
        <v>300</v>
      </c>
      <c r="B301" s="468">
        <f>YEAR(Table6[[#This Row],[Date]])+IF(MONTH(Table6[[#This Row],[Date]])&gt;=4,1,0)</f>
        <v>2026</v>
      </c>
      <c r="C301" s="102">
        <f>YEAR(Table6[[#This Row],[Date]])</f>
        <v>2025</v>
      </c>
      <c r="D301" s="102" t="s">
        <v>1992</v>
      </c>
      <c r="E301" s="469">
        <f>Table6[[#This Row],[Date]]-DAY(Table6[[#This Row],[Date]])+1</f>
        <v>45748</v>
      </c>
      <c r="F301" s="470">
        <v>45765</v>
      </c>
      <c r="G301" s="35" t="s">
        <v>77</v>
      </c>
      <c r="H301" s="35" t="str">
        <f>IFERROR(_xlfn.XLOOKUP(Table6[[#This Row],[Affected WTG]],'Basic Data'!$A:$A,'Basic Data'!$B:$B),"")</f>
        <v>TQGXIIPL</v>
      </c>
      <c r="I301" s="35" t="str">
        <f>IFERROR(_xlfn.XLOOKUP(Table6[[#This Row],[Affected WTG]],'Basic Data'!$A:$A,'Basic Data'!$C:$C),"")</f>
        <v>GEDA</v>
      </c>
      <c r="J301" s="471">
        <f>IFERROR(_xlfn.XLOOKUP(Table6[[#This Row],[Affected WTG]],'Basic Data'!$A:$A,'Basic Data'!$E:$E),"")</f>
        <v>3.846153846153845E-2</v>
      </c>
      <c r="K301" s="102">
        <v>4960</v>
      </c>
      <c r="L301" s="35" t="str">
        <f>IFERROR(_xlfn.XLOOKUP(Table6[[#This Row],[Error Code]],'Basic Data'!$AA:$AA,'Basic Data'!$AB:$AB),"Incorrect Error Code")</f>
        <v>Tower oscillation YF</v>
      </c>
      <c r="M301" s="35" t="s">
        <v>291</v>
      </c>
      <c r="N301" s="475"/>
      <c r="O301" s="476">
        <v>0.68888888888888888</v>
      </c>
      <c r="P301" s="476">
        <v>0.68888888888888888</v>
      </c>
      <c r="Q301" s="477">
        <v>0.7</v>
      </c>
      <c r="R301" s="472">
        <f>IF(Table6[[#This Row],[Work Start TimeStamp]]="","",(Table6[[#This Row],[Work Start TimeStamp]]-Table6[[#This Row],[Fault Start TimeStamp]])*24)</f>
        <v>0</v>
      </c>
      <c r="S301" s="472">
        <f>(Table6[[#This Row],[Fault Clearance time]]-Table6[[#This Row],[Work Start TimeStamp]])*24</f>
        <v>0.26666666666666572</v>
      </c>
      <c r="T301" s="472">
        <f>(Table6[[#This Row],[Fault Clearance time]]-Table6[[#This Row],[Fault Start TimeStamp]])*24</f>
        <v>0.26666666666666572</v>
      </c>
      <c r="U301" s="35" t="s">
        <v>349</v>
      </c>
      <c r="V301" s="102" t="s">
        <v>293</v>
      </c>
      <c r="W301" s="478">
        <f>IFERROR(Table6[[#This Row],[Breakdown Time]]*Table6[[#This Row],[Plant Equivalent Weightage]],"")</f>
        <v>1.0256410256410217E-2</v>
      </c>
      <c r="X301" s="473" t="s">
        <v>294</v>
      </c>
      <c r="Y301" s="474" t="s">
        <v>80</v>
      </c>
      <c r="Z301" s="102">
        <v>45438</v>
      </c>
      <c r="AA301" s="468">
        <f>(Table6[[#This Row],[Paired WTG Generation for loss calculation]]/24)*Table6[[#This Row],[Breakdown Time]]</f>
        <v>504.86666666666486</v>
      </c>
      <c r="AB301" s="102"/>
      <c r="AC301" s="35"/>
      <c r="AD301" s="35"/>
    </row>
    <row r="302" spans="1:30">
      <c r="A302" s="102">
        <f t="shared" si="5"/>
        <v>301</v>
      </c>
      <c r="B302" s="468">
        <f>YEAR(Table6[[#This Row],[Date]])+IF(MONTH(Table6[[#This Row],[Date]])&gt;=4,1,0)</f>
        <v>2026</v>
      </c>
      <c r="C302" s="102">
        <f>YEAR(Table6[[#This Row],[Date]])</f>
        <v>2025</v>
      </c>
      <c r="D302" s="102" t="s">
        <v>1992</v>
      </c>
      <c r="E302" s="469">
        <f>Table6[[#This Row],[Date]]-DAY(Table6[[#This Row],[Date]])+1</f>
        <v>45748</v>
      </c>
      <c r="F302" s="470">
        <v>45765</v>
      </c>
      <c r="G302" s="35" t="s">
        <v>78</v>
      </c>
      <c r="H302" s="35" t="str">
        <f>IFERROR(_xlfn.XLOOKUP(Table6[[#This Row],[Affected WTG]],'Basic Data'!$A:$A,'Basic Data'!$B:$B),"")</f>
        <v>TQGXIIPL</v>
      </c>
      <c r="I302" s="35" t="str">
        <f>IFERROR(_xlfn.XLOOKUP(Table6[[#This Row],[Affected WTG]],'Basic Data'!$A:$A,'Basic Data'!$C:$C),"")</f>
        <v>GEDA</v>
      </c>
      <c r="J302" s="471">
        <f>IFERROR(_xlfn.XLOOKUP(Table6[[#This Row],[Affected WTG]],'Basic Data'!$A:$A,'Basic Data'!$E:$E),"")</f>
        <v>3.846153846153845E-2</v>
      </c>
      <c r="K302" s="102">
        <v>3211</v>
      </c>
      <c r="L302" s="35" t="str">
        <f>IFERROR(_xlfn.XLOOKUP(Table6[[#This Row],[Error Code]],'Basic Data'!$AA:$AA,'Basic Data'!$AB:$AB),"Incorrect Error Code")</f>
        <v>Conv. load shedding (CAN)</v>
      </c>
      <c r="M302" s="35" t="s">
        <v>291</v>
      </c>
      <c r="N302" s="475"/>
      <c r="O302" s="476">
        <v>0.15347222222222223</v>
      </c>
      <c r="P302" s="476">
        <v>0.15347222222222223</v>
      </c>
      <c r="Q302" s="477">
        <v>0.15763888888888888</v>
      </c>
      <c r="R302" s="472">
        <f>IF(Table6[[#This Row],[Work Start TimeStamp]]="","",(Table6[[#This Row],[Work Start TimeStamp]]-Table6[[#This Row],[Fault Start TimeStamp]])*24)</f>
        <v>0</v>
      </c>
      <c r="S302" s="472">
        <f>(Table6[[#This Row],[Fault Clearance time]]-Table6[[#This Row],[Work Start TimeStamp]])*24</f>
        <v>9.9999999999999645E-2</v>
      </c>
      <c r="T302" s="472">
        <f>(Table6[[#This Row],[Fault Clearance time]]-Table6[[#This Row],[Fault Start TimeStamp]])*24</f>
        <v>9.9999999999999645E-2</v>
      </c>
      <c r="U302" s="35" t="s">
        <v>349</v>
      </c>
      <c r="V302" s="102" t="s">
        <v>293</v>
      </c>
      <c r="W302" s="478">
        <f>IFERROR(Table6[[#This Row],[Breakdown Time]]*Table6[[#This Row],[Plant Equivalent Weightage]],"")</f>
        <v>3.8461538461538312E-3</v>
      </c>
      <c r="X302" s="473" t="s">
        <v>294</v>
      </c>
      <c r="Y302" s="474" t="s">
        <v>75</v>
      </c>
      <c r="Z302" s="102">
        <v>34912</v>
      </c>
      <c r="AA302" s="468">
        <f>(Table6[[#This Row],[Paired WTG Generation for loss calculation]]/24)*Table6[[#This Row],[Breakdown Time]]</f>
        <v>145.46666666666616</v>
      </c>
      <c r="AB302" s="102"/>
      <c r="AC302" s="35"/>
      <c r="AD302" s="35"/>
    </row>
    <row r="303" spans="1:30">
      <c r="A303" s="102">
        <f t="shared" si="5"/>
        <v>302</v>
      </c>
      <c r="B303" s="468">
        <f>YEAR(Table6[[#This Row],[Date]])+IF(MONTH(Table6[[#This Row],[Date]])&gt;=4,1,0)</f>
        <v>2026</v>
      </c>
      <c r="C303" s="102">
        <f>YEAR(Table6[[#This Row],[Date]])</f>
        <v>2025</v>
      </c>
      <c r="D303" s="102" t="s">
        <v>1992</v>
      </c>
      <c r="E303" s="469">
        <f>Table6[[#This Row],[Date]]-DAY(Table6[[#This Row],[Date]])+1</f>
        <v>45748</v>
      </c>
      <c r="F303" s="470">
        <v>45765</v>
      </c>
      <c r="G303" s="35" t="s">
        <v>78</v>
      </c>
      <c r="H303" s="35" t="str">
        <f>IFERROR(_xlfn.XLOOKUP(Table6[[#This Row],[Affected WTG]],'Basic Data'!$A:$A,'Basic Data'!$B:$B),"")</f>
        <v>TQGXIIPL</v>
      </c>
      <c r="I303" s="35" t="str">
        <f>IFERROR(_xlfn.XLOOKUP(Table6[[#This Row],[Affected WTG]],'Basic Data'!$A:$A,'Basic Data'!$C:$C),"")</f>
        <v>GEDA</v>
      </c>
      <c r="J303" s="471">
        <f>IFERROR(_xlfn.XLOOKUP(Table6[[#This Row],[Affected WTG]],'Basic Data'!$A:$A,'Basic Data'!$E:$E),"")</f>
        <v>3.846153846153845E-2</v>
      </c>
      <c r="K303" s="102">
        <v>3211</v>
      </c>
      <c r="L303" s="35" t="str">
        <f>IFERROR(_xlfn.XLOOKUP(Table6[[#This Row],[Error Code]],'Basic Data'!$AA:$AA,'Basic Data'!$AB:$AB),"Incorrect Error Code")</f>
        <v>Conv. load shedding (CAN)</v>
      </c>
      <c r="M303" s="35" t="s">
        <v>291</v>
      </c>
      <c r="N303" s="475"/>
      <c r="O303" s="476">
        <v>0.16666666666666666</v>
      </c>
      <c r="P303" s="476">
        <v>0.16666666666666666</v>
      </c>
      <c r="Q303" s="477">
        <v>0.2</v>
      </c>
      <c r="R303" s="472">
        <f>IF(Table6[[#This Row],[Work Start TimeStamp]]="","",(Table6[[#This Row],[Work Start TimeStamp]]-Table6[[#This Row],[Fault Start TimeStamp]])*24)</f>
        <v>0</v>
      </c>
      <c r="S303" s="472">
        <f>(Table6[[#This Row],[Fault Clearance time]]-Table6[[#This Row],[Work Start TimeStamp]])*24</f>
        <v>0.80000000000000049</v>
      </c>
      <c r="T303" s="472">
        <f>(Table6[[#This Row],[Fault Clearance time]]-Table6[[#This Row],[Fault Start TimeStamp]])*24</f>
        <v>0.80000000000000049</v>
      </c>
      <c r="U303" s="35" t="s">
        <v>411</v>
      </c>
      <c r="V303" s="102" t="s">
        <v>293</v>
      </c>
      <c r="W303" s="478">
        <f>IFERROR(Table6[[#This Row],[Breakdown Time]]*Table6[[#This Row],[Plant Equivalent Weightage]],"")</f>
        <v>3.0769230769230778E-2</v>
      </c>
      <c r="X303" s="473" t="s">
        <v>294</v>
      </c>
      <c r="Y303" s="474" t="s">
        <v>75</v>
      </c>
      <c r="Z303" s="102">
        <v>34912</v>
      </c>
      <c r="AA303" s="468">
        <f>(Table6[[#This Row],[Paired WTG Generation for loss calculation]]/24)*Table6[[#This Row],[Breakdown Time]]</f>
        <v>1163.733333333334</v>
      </c>
      <c r="AB303" s="102"/>
      <c r="AC303" s="35"/>
      <c r="AD303" s="35"/>
    </row>
    <row r="304" spans="1:30">
      <c r="A304" s="102">
        <f t="shared" si="5"/>
        <v>303</v>
      </c>
      <c r="B304" s="468">
        <f>YEAR(Table6[[#This Row],[Date]])+IF(MONTH(Table6[[#This Row],[Date]])&gt;=4,1,0)</f>
        <v>2026</v>
      </c>
      <c r="C304" s="102">
        <f>YEAR(Table6[[#This Row],[Date]])</f>
        <v>2025</v>
      </c>
      <c r="D304" s="102" t="s">
        <v>1992</v>
      </c>
      <c r="E304" s="469">
        <f>Table6[[#This Row],[Date]]-DAY(Table6[[#This Row],[Date]])+1</f>
        <v>45748</v>
      </c>
      <c r="F304" s="470">
        <v>45765</v>
      </c>
      <c r="G304" s="35" t="s">
        <v>78</v>
      </c>
      <c r="H304" s="35" t="str">
        <f>IFERROR(_xlfn.XLOOKUP(Table6[[#This Row],[Affected WTG]],'Basic Data'!$A:$A,'Basic Data'!$B:$B),"")</f>
        <v>TQGXIIPL</v>
      </c>
      <c r="I304" s="35" t="str">
        <f>IFERROR(_xlfn.XLOOKUP(Table6[[#This Row],[Affected WTG]],'Basic Data'!$A:$A,'Basic Data'!$C:$C),"")</f>
        <v>GEDA</v>
      </c>
      <c r="J304" s="471">
        <f>IFERROR(_xlfn.XLOOKUP(Table6[[#This Row],[Affected WTG]],'Basic Data'!$A:$A,'Basic Data'!$E:$E),"")</f>
        <v>3.846153846153845E-2</v>
      </c>
      <c r="K304" s="102">
        <v>3211</v>
      </c>
      <c r="L304" s="35" t="str">
        <f>IFERROR(_xlfn.XLOOKUP(Table6[[#This Row],[Error Code]],'Basic Data'!$AA:$AA,'Basic Data'!$AB:$AB),"Incorrect Error Code")</f>
        <v>Conv. load shedding (CAN)</v>
      </c>
      <c r="M304" s="35" t="s">
        <v>291</v>
      </c>
      <c r="N304" s="475"/>
      <c r="O304" s="476">
        <v>0.41249999999999998</v>
      </c>
      <c r="P304" s="476">
        <v>0.41875000000000001</v>
      </c>
      <c r="Q304" s="477">
        <v>0.46458333333333335</v>
      </c>
      <c r="R304" s="472">
        <f>IF(Table6[[#This Row],[Work Start TimeStamp]]="","",(Table6[[#This Row],[Work Start TimeStamp]]-Table6[[#This Row],[Fault Start TimeStamp]])*24)</f>
        <v>0.1500000000000008</v>
      </c>
      <c r="S304" s="472">
        <f>(Table6[[#This Row],[Fault Clearance time]]-Table6[[#This Row],[Work Start TimeStamp]])*24</f>
        <v>1.1000000000000001</v>
      </c>
      <c r="T304" s="472">
        <f>(Table6[[#This Row],[Fault Clearance time]]-Table6[[#This Row],[Fault Start TimeStamp]])*24</f>
        <v>1.2500000000000009</v>
      </c>
      <c r="U304" s="35" t="s">
        <v>412</v>
      </c>
      <c r="V304" s="102" t="s">
        <v>293</v>
      </c>
      <c r="W304" s="478">
        <f>IFERROR(Table6[[#This Row],[Breakdown Time]]*Table6[[#This Row],[Plant Equivalent Weightage]],"")</f>
        <v>4.8076923076923093E-2</v>
      </c>
      <c r="X304" s="473" t="s">
        <v>294</v>
      </c>
      <c r="Y304" s="474" t="s">
        <v>75</v>
      </c>
      <c r="Z304" s="102">
        <v>34912</v>
      </c>
      <c r="AA304" s="468">
        <f>(Table6[[#This Row],[Paired WTG Generation for loss calculation]]/24)*Table6[[#This Row],[Breakdown Time]]</f>
        <v>1818.3333333333346</v>
      </c>
      <c r="AB304" s="102"/>
      <c r="AC304" s="35"/>
      <c r="AD304" s="35"/>
    </row>
    <row r="305" spans="1:30">
      <c r="A305" s="102">
        <f t="shared" si="5"/>
        <v>304</v>
      </c>
      <c r="B305" s="468">
        <f>YEAR(Table6[[#This Row],[Date]])+IF(MONTH(Table6[[#This Row],[Date]])&gt;=4,1,0)</f>
        <v>2026</v>
      </c>
      <c r="C305" s="102">
        <f>YEAR(Table6[[#This Row],[Date]])</f>
        <v>2025</v>
      </c>
      <c r="D305" s="102" t="s">
        <v>1992</v>
      </c>
      <c r="E305" s="469">
        <f>Table6[[#This Row],[Date]]-DAY(Table6[[#This Row],[Date]])+1</f>
        <v>45748</v>
      </c>
      <c r="F305" s="470">
        <v>45765</v>
      </c>
      <c r="G305" s="35" t="s">
        <v>78</v>
      </c>
      <c r="H305" s="35" t="str">
        <f>IFERROR(_xlfn.XLOOKUP(Table6[[#This Row],[Affected WTG]],'Basic Data'!$A:$A,'Basic Data'!$B:$B),"")</f>
        <v>TQGXIIPL</v>
      </c>
      <c r="I305" s="35" t="str">
        <f>IFERROR(_xlfn.XLOOKUP(Table6[[#This Row],[Affected WTG]],'Basic Data'!$A:$A,'Basic Data'!$C:$C),"")</f>
        <v>GEDA</v>
      </c>
      <c r="J305" s="471">
        <f>IFERROR(_xlfn.XLOOKUP(Table6[[#This Row],[Affected WTG]],'Basic Data'!$A:$A,'Basic Data'!$E:$E),"")</f>
        <v>3.846153846153845E-2</v>
      </c>
      <c r="K305" s="102">
        <v>55</v>
      </c>
      <c r="L305" s="35" t="str">
        <f>IFERROR(_xlfn.XLOOKUP(Table6[[#This Row],[Error Code]],'Basic Data'!$AA:$AA,'Basic Data'!$AB:$AB),"Incorrect Error Code")</f>
        <v>WTG shut down</v>
      </c>
      <c r="M305" s="35" t="s">
        <v>330</v>
      </c>
      <c r="N305" s="475"/>
      <c r="O305" s="476">
        <v>0.7680555555555556</v>
      </c>
      <c r="P305" s="476">
        <v>0.7680555555555556</v>
      </c>
      <c r="Q305" s="477">
        <v>0.83472222222222225</v>
      </c>
      <c r="R305" s="472">
        <f>IF(Table6[[#This Row],[Work Start TimeStamp]]="","",(Table6[[#This Row],[Work Start TimeStamp]]-Table6[[#This Row],[Fault Start TimeStamp]])*24)</f>
        <v>0</v>
      </c>
      <c r="S305" s="472">
        <f>(Table6[[#This Row],[Fault Clearance time]]-Table6[[#This Row],[Work Start TimeStamp]])*24</f>
        <v>1.5999999999999996</v>
      </c>
      <c r="T305" s="472">
        <f>(Table6[[#This Row],[Fault Clearance time]]-Table6[[#This Row],[Fault Start TimeStamp]])*24</f>
        <v>1.5999999999999996</v>
      </c>
      <c r="U305" s="35" t="s">
        <v>337</v>
      </c>
      <c r="V305" s="102" t="s">
        <v>293</v>
      </c>
      <c r="W305" s="478">
        <f>IFERROR(Table6[[#This Row],[Breakdown Time]]*Table6[[#This Row],[Plant Equivalent Weightage]],"")</f>
        <v>6.1538461538461507E-2</v>
      </c>
      <c r="X305" s="473" t="s">
        <v>290</v>
      </c>
      <c r="Y305" s="474" t="s">
        <v>75</v>
      </c>
      <c r="Z305" s="102">
        <v>34912</v>
      </c>
      <c r="AA305" s="468">
        <f>(Table6[[#This Row],[Paired WTG Generation for loss calculation]]/24)*Table6[[#This Row],[Breakdown Time]]</f>
        <v>2327.4666666666662</v>
      </c>
      <c r="AB305" s="102"/>
      <c r="AC305" s="35"/>
      <c r="AD305" s="35"/>
    </row>
    <row r="306" spans="1:30">
      <c r="A306" s="102">
        <f t="shared" si="5"/>
        <v>305</v>
      </c>
      <c r="B306" s="468">
        <f>YEAR(Table6[[#This Row],[Date]])+IF(MONTH(Table6[[#This Row],[Date]])&gt;=4,1,0)</f>
        <v>2026</v>
      </c>
      <c r="C306" s="102">
        <f>YEAR(Table6[[#This Row],[Date]])</f>
        <v>2025</v>
      </c>
      <c r="D306" s="102" t="s">
        <v>1992</v>
      </c>
      <c r="E306" s="469">
        <f>Table6[[#This Row],[Date]]-DAY(Table6[[#This Row],[Date]])+1</f>
        <v>45748</v>
      </c>
      <c r="F306" s="470">
        <v>45765</v>
      </c>
      <c r="G306" s="35" t="s">
        <v>79</v>
      </c>
      <c r="H306" s="35" t="str">
        <f>IFERROR(_xlfn.XLOOKUP(Table6[[#This Row],[Affected WTG]],'Basic Data'!$A:$A,'Basic Data'!$B:$B),"")</f>
        <v>TQGXIIPL</v>
      </c>
      <c r="I306" s="35" t="str">
        <f>IFERROR(_xlfn.XLOOKUP(Table6[[#This Row],[Affected WTG]],'Basic Data'!$A:$A,'Basic Data'!$C:$C),"")</f>
        <v>GEDA</v>
      </c>
      <c r="J306" s="471">
        <f>IFERROR(_xlfn.XLOOKUP(Table6[[#This Row],[Affected WTG]],'Basic Data'!$A:$A,'Basic Data'!$E:$E),"")</f>
        <v>3.846153846153845E-2</v>
      </c>
      <c r="K306" s="102">
        <v>55</v>
      </c>
      <c r="L306" s="35" t="str">
        <f>IFERROR(_xlfn.XLOOKUP(Table6[[#This Row],[Error Code]],'Basic Data'!$AA:$AA,'Basic Data'!$AB:$AB),"Incorrect Error Code")</f>
        <v>WTG shut down</v>
      </c>
      <c r="M306" s="35" t="s">
        <v>291</v>
      </c>
      <c r="N306" s="475"/>
      <c r="O306" s="476">
        <v>0.70694444444444449</v>
      </c>
      <c r="P306" s="476">
        <v>0.70694444444444449</v>
      </c>
      <c r="Q306" s="477">
        <v>0.72777777777777775</v>
      </c>
      <c r="R306" s="472">
        <f>IF(Table6[[#This Row],[Work Start TimeStamp]]="","",(Table6[[#This Row],[Work Start TimeStamp]]-Table6[[#This Row],[Fault Start TimeStamp]])*24)</f>
        <v>0</v>
      </c>
      <c r="S306" s="472">
        <f>(Table6[[#This Row],[Fault Clearance time]]-Table6[[#This Row],[Work Start TimeStamp]])*24</f>
        <v>0.49999999999999822</v>
      </c>
      <c r="T306" s="472">
        <f>(Table6[[#This Row],[Fault Clearance time]]-Table6[[#This Row],[Fault Start TimeStamp]])*24</f>
        <v>0.49999999999999822</v>
      </c>
      <c r="U306" s="35" t="s">
        <v>389</v>
      </c>
      <c r="V306" s="102" t="s">
        <v>293</v>
      </c>
      <c r="W306" s="478">
        <f>IFERROR(Table6[[#This Row],[Breakdown Time]]*Table6[[#This Row],[Plant Equivalent Weightage]],"")</f>
        <v>1.9230769230769156E-2</v>
      </c>
      <c r="X306" s="473" t="s">
        <v>290</v>
      </c>
      <c r="Y306" s="474" t="s">
        <v>94</v>
      </c>
      <c r="Z306" s="102">
        <v>31662</v>
      </c>
      <c r="AA306" s="468">
        <f>(Table6[[#This Row],[Paired WTG Generation for loss calculation]]/24)*Table6[[#This Row],[Breakdown Time]]</f>
        <v>659.62499999999761</v>
      </c>
      <c r="AB306" s="102"/>
      <c r="AC306" s="35"/>
      <c r="AD306" s="35"/>
    </row>
    <row r="307" spans="1:30">
      <c r="A307" s="102">
        <f t="shared" si="5"/>
        <v>306</v>
      </c>
      <c r="B307" s="468">
        <f>YEAR(Table6[[#This Row],[Date]])+IF(MONTH(Table6[[#This Row],[Date]])&gt;=4,1,0)</f>
        <v>2026</v>
      </c>
      <c r="C307" s="102">
        <f>YEAR(Table6[[#This Row],[Date]])</f>
        <v>2025</v>
      </c>
      <c r="D307" s="102" t="s">
        <v>1992</v>
      </c>
      <c r="E307" s="469">
        <f>Table6[[#This Row],[Date]]-DAY(Table6[[#This Row],[Date]])+1</f>
        <v>45748</v>
      </c>
      <c r="F307" s="470">
        <v>45765</v>
      </c>
      <c r="G307" s="35" t="s">
        <v>84</v>
      </c>
      <c r="H307" s="35" t="str">
        <f>IFERROR(_xlfn.XLOOKUP(Table6[[#This Row],[Affected WTG]],'Basic Data'!$A:$A,'Basic Data'!$B:$B),"")</f>
        <v>TQGXIIPL</v>
      </c>
      <c r="I307" s="35" t="str">
        <f>IFERROR(_xlfn.XLOOKUP(Table6[[#This Row],[Affected WTG]],'Basic Data'!$A:$A,'Basic Data'!$C:$C),"")</f>
        <v>GEDA</v>
      </c>
      <c r="J307" s="471">
        <f>IFERROR(_xlfn.XLOOKUP(Table6[[#This Row],[Affected WTG]],'Basic Data'!$A:$A,'Basic Data'!$E:$E),"")</f>
        <v>3.846153846153845E-2</v>
      </c>
      <c r="K307" s="102">
        <v>175</v>
      </c>
      <c r="L307" s="35" t="str">
        <f>IFERROR(_xlfn.XLOOKUP(Table6[[#This Row],[Error Code]],'Basic Data'!$AA:$AA,'Basic Data'!$AB:$AB),"Incorrect Error Code")</f>
        <v>SLC error</v>
      </c>
      <c r="M307" s="35" t="s">
        <v>291</v>
      </c>
      <c r="N307" s="475"/>
      <c r="O307" s="476">
        <v>1.3888888888888889E-3</v>
      </c>
      <c r="P307" s="476">
        <v>1.3888888888888889E-3</v>
      </c>
      <c r="Q307" s="477">
        <v>2.6388888888888889E-2</v>
      </c>
      <c r="R307" s="472">
        <f>IF(Table6[[#This Row],[Work Start TimeStamp]]="","",(Table6[[#This Row],[Work Start TimeStamp]]-Table6[[#This Row],[Fault Start TimeStamp]])*24)</f>
        <v>0</v>
      </c>
      <c r="S307" s="472">
        <f>(Table6[[#This Row],[Fault Clearance time]]-Table6[[#This Row],[Work Start TimeStamp]])*24</f>
        <v>0.60000000000000009</v>
      </c>
      <c r="T307" s="472">
        <f>(Table6[[#This Row],[Fault Clearance time]]-Table6[[#This Row],[Fault Start TimeStamp]])*24</f>
        <v>0.60000000000000009</v>
      </c>
      <c r="U307" s="35" t="s">
        <v>349</v>
      </c>
      <c r="V307" s="102" t="s">
        <v>293</v>
      </c>
      <c r="W307" s="478">
        <f>IFERROR(Table6[[#This Row],[Breakdown Time]]*Table6[[#This Row],[Plant Equivalent Weightage]],"")</f>
        <v>2.3076923076923075E-2</v>
      </c>
      <c r="X307" s="473" t="s">
        <v>294</v>
      </c>
      <c r="Y307" s="474" t="s">
        <v>85</v>
      </c>
      <c r="Z307" s="102">
        <v>30866</v>
      </c>
      <c r="AA307" s="468">
        <f>(Table6[[#This Row],[Paired WTG Generation for loss calculation]]/24)*Table6[[#This Row],[Breakdown Time]]</f>
        <v>771.65000000000009</v>
      </c>
      <c r="AB307" s="102"/>
      <c r="AC307" s="35"/>
      <c r="AD307" s="35"/>
    </row>
    <row r="308" spans="1:30">
      <c r="A308" s="102">
        <f t="shared" si="5"/>
        <v>307</v>
      </c>
      <c r="B308" s="468">
        <f>YEAR(Table6[[#This Row],[Date]])+IF(MONTH(Table6[[#This Row],[Date]])&gt;=4,1,0)</f>
        <v>2026</v>
      </c>
      <c r="C308" s="102">
        <f>YEAR(Table6[[#This Row],[Date]])</f>
        <v>2025</v>
      </c>
      <c r="D308" s="102" t="s">
        <v>1992</v>
      </c>
      <c r="E308" s="469">
        <f>Table6[[#This Row],[Date]]-DAY(Table6[[#This Row],[Date]])+1</f>
        <v>45748</v>
      </c>
      <c r="F308" s="470">
        <v>45765</v>
      </c>
      <c r="G308" s="35" t="s">
        <v>84</v>
      </c>
      <c r="H308" s="35" t="str">
        <f>IFERROR(_xlfn.XLOOKUP(Table6[[#This Row],[Affected WTG]],'Basic Data'!$A:$A,'Basic Data'!$B:$B),"")</f>
        <v>TQGXIIPL</v>
      </c>
      <c r="I308" s="35" t="str">
        <f>IFERROR(_xlfn.XLOOKUP(Table6[[#This Row],[Affected WTG]],'Basic Data'!$A:$A,'Basic Data'!$C:$C),"")</f>
        <v>GEDA</v>
      </c>
      <c r="J308" s="471">
        <f>IFERROR(_xlfn.XLOOKUP(Table6[[#This Row],[Affected WTG]],'Basic Data'!$A:$A,'Basic Data'!$E:$E),"")</f>
        <v>3.846153846153845E-2</v>
      </c>
      <c r="K308" s="102">
        <v>175</v>
      </c>
      <c r="L308" s="35" t="str">
        <f>IFERROR(_xlfn.XLOOKUP(Table6[[#This Row],[Error Code]],'Basic Data'!$AA:$AA,'Basic Data'!$AB:$AB),"Incorrect Error Code")</f>
        <v>SLC error</v>
      </c>
      <c r="M308" s="35" t="s">
        <v>291</v>
      </c>
      <c r="N308" s="475"/>
      <c r="O308" s="476">
        <v>0.5854166666666667</v>
      </c>
      <c r="P308" s="476">
        <v>0.5854166666666667</v>
      </c>
      <c r="Q308" s="477">
        <v>0.62777777777777777</v>
      </c>
      <c r="R308" s="472">
        <f>IF(Table6[[#This Row],[Work Start TimeStamp]]="","",(Table6[[#This Row],[Work Start TimeStamp]]-Table6[[#This Row],[Fault Start TimeStamp]])*24)</f>
        <v>0</v>
      </c>
      <c r="S308" s="472">
        <f>(Table6[[#This Row],[Fault Clearance time]]-Table6[[#This Row],[Work Start TimeStamp]])*24</f>
        <v>1.0166666666666657</v>
      </c>
      <c r="T308" s="472">
        <f>(Table6[[#This Row],[Fault Clearance time]]-Table6[[#This Row],[Fault Start TimeStamp]])*24</f>
        <v>1.0166666666666657</v>
      </c>
      <c r="U308" s="35" t="s">
        <v>413</v>
      </c>
      <c r="V308" s="102" t="s">
        <v>293</v>
      </c>
      <c r="W308" s="478">
        <f>IFERROR(Table6[[#This Row],[Breakdown Time]]*Table6[[#This Row],[Plant Equivalent Weightage]],"")</f>
        <v>3.9102564102564054E-2</v>
      </c>
      <c r="X308" s="473" t="s">
        <v>294</v>
      </c>
      <c r="Y308" s="474" t="s">
        <v>85</v>
      </c>
      <c r="Z308" s="102">
        <v>30866</v>
      </c>
      <c r="AA308" s="468">
        <f>(Table6[[#This Row],[Paired WTG Generation for loss calculation]]/24)*Table6[[#This Row],[Breakdown Time]]</f>
        <v>1307.5180555555542</v>
      </c>
      <c r="AB308" s="102"/>
      <c r="AC308" s="35"/>
      <c r="AD308" s="35"/>
    </row>
    <row r="309" spans="1:30">
      <c r="A309" s="102">
        <f t="shared" si="5"/>
        <v>308</v>
      </c>
      <c r="B309" s="468">
        <f>YEAR(Table6[[#This Row],[Date]])+IF(MONTH(Table6[[#This Row],[Date]])&gt;=4,1,0)</f>
        <v>2026</v>
      </c>
      <c r="C309" s="102">
        <f>YEAR(Table6[[#This Row],[Date]])</f>
        <v>2025</v>
      </c>
      <c r="D309" s="102" t="s">
        <v>1992</v>
      </c>
      <c r="E309" s="469">
        <f>Table6[[#This Row],[Date]]-DAY(Table6[[#This Row],[Date]])+1</f>
        <v>45748</v>
      </c>
      <c r="F309" s="470">
        <v>45765</v>
      </c>
      <c r="G309" s="35" t="s">
        <v>90</v>
      </c>
      <c r="H309" s="35" t="str">
        <f>IFERROR(_xlfn.XLOOKUP(Table6[[#This Row],[Affected WTG]],'Basic Data'!$A:$A,'Basic Data'!$B:$B),"")</f>
        <v>TQGXIIPL</v>
      </c>
      <c r="I309" s="35" t="str">
        <f>IFERROR(_xlfn.XLOOKUP(Table6[[#This Row],[Affected WTG]],'Basic Data'!$A:$A,'Basic Data'!$C:$C),"")</f>
        <v>GEDA</v>
      </c>
      <c r="J309" s="471">
        <f>IFERROR(_xlfn.XLOOKUP(Table6[[#This Row],[Affected WTG]],'Basic Data'!$A:$A,'Basic Data'!$E:$E),"")</f>
        <v>3.846153846153845E-2</v>
      </c>
      <c r="K309" s="102">
        <v>6605</v>
      </c>
      <c r="L309" s="35" t="str">
        <f>IFERROR(_xlfn.XLOOKUP(Table6[[#This Row],[Error Code]],'Basic Data'!$AA:$AA,'Basic Data'!$AB:$AB),"Incorrect Error Code")</f>
        <v>Wind.dir. diff. level 2</v>
      </c>
      <c r="M309" s="35" t="s">
        <v>291</v>
      </c>
      <c r="N309" s="475"/>
      <c r="O309" s="476">
        <v>0.46527777777777779</v>
      </c>
      <c r="P309" s="476">
        <v>0.46527777777777779</v>
      </c>
      <c r="Q309" s="477">
        <v>0.50069444444444444</v>
      </c>
      <c r="R309" s="472">
        <f>IF(Table6[[#This Row],[Work Start TimeStamp]]="","",(Table6[[#This Row],[Work Start TimeStamp]]-Table6[[#This Row],[Fault Start TimeStamp]])*24)</f>
        <v>0</v>
      </c>
      <c r="S309" s="472">
        <f>(Table6[[#This Row],[Fault Clearance time]]-Table6[[#This Row],[Work Start TimeStamp]])*24</f>
        <v>0.84999999999999964</v>
      </c>
      <c r="T309" s="472">
        <f>(Table6[[#This Row],[Fault Clearance time]]-Table6[[#This Row],[Fault Start TimeStamp]])*24</f>
        <v>0.84999999999999964</v>
      </c>
      <c r="U309" s="35" t="s">
        <v>349</v>
      </c>
      <c r="V309" s="102" t="s">
        <v>293</v>
      </c>
      <c r="W309" s="478">
        <f>IFERROR(Table6[[#This Row],[Breakdown Time]]*Table6[[#This Row],[Plant Equivalent Weightage]],"")</f>
        <v>3.2692307692307666E-2</v>
      </c>
      <c r="X309" s="473" t="s">
        <v>294</v>
      </c>
      <c r="Y309" s="474" t="s">
        <v>95</v>
      </c>
      <c r="Z309" s="102">
        <v>36369</v>
      </c>
      <c r="AA309" s="468">
        <f>(Table6[[#This Row],[Paired WTG Generation for loss calculation]]/24)*Table6[[#This Row],[Breakdown Time]]</f>
        <v>1288.0687499999995</v>
      </c>
      <c r="AB309" s="102"/>
      <c r="AC309" s="35"/>
      <c r="AD309" s="35"/>
    </row>
    <row r="310" spans="1:30">
      <c r="A310" s="102">
        <f t="shared" si="5"/>
        <v>309</v>
      </c>
      <c r="B310" s="468">
        <f>YEAR(Table6[[#This Row],[Date]])+IF(MONTH(Table6[[#This Row],[Date]])&gt;=4,1,0)</f>
        <v>2026</v>
      </c>
      <c r="C310" s="102">
        <f>YEAR(Table6[[#This Row],[Date]])</f>
        <v>2025</v>
      </c>
      <c r="D310" s="102" t="s">
        <v>1992</v>
      </c>
      <c r="E310" s="469">
        <f>Table6[[#This Row],[Date]]-DAY(Table6[[#This Row],[Date]])+1</f>
        <v>45748</v>
      </c>
      <c r="F310" s="470">
        <v>45765</v>
      </c>
      <c r="G310" s="35" t="s">
        <v>91</v>
      </c>
      <c r="H310" s="35" t="str">
        <f>IFERROR(_xlfn.XLOOKUP(Table6[[#This Row],[Affected WTG]],'Basic Data'!$A:$A,'Basic Data'!$B:$B),"")</f>
        <v>TQGXIIPL</v>
      </c>
      <c r="I310" s="35" t="str">
        <f>IFERROR(_xlfn.XLOOKUP(Table6[[#This Row],[Affected WTG]],'Basic Data'!$A:$A,'Basic Data'!$C:$C),"")</f>
        <v>GEDA</v>
      </c>
      <c r="J310" s="471">
        <f>IFERROR(_xlfn.XLOOKUP(Table6[[#This Row],[Affected WTG]],'Basic Data'!$A:$A,'Basic Data'!$E:$E),"")</f>
        <v>3.846153846153845E-2</v>
      </c>
      <c r="K310" s="102">
        <v>6130</v>
      </c>
      <c r="L310" s="35" t="str">
        <f>IFERROR(_xlfn.XLOOKUP(Table6[[#This Row],[Error Code]],'Basic Data'!$AA:$AA,'Basic Data'!$AB:$AB),"Incorrect Error Code")</f>
        <v>Yaw speed high</v>
      </c>
      <c r="M310" s="35" t="s">
        <v>291</v>
      </c>
      <c r="N310" s="475"/>
      <c r="O310" s="476">
        <v>0.60833333333333328</v>
      </c>
      <c r="P310" s="476">
        <v>0.60833333333333328</v>
      </c>
      <c r="Q310" s="477">
        <v>0.61250000000000004</v>
      </c>
      <c r="R310" s="472">
        <f>IF(Table6[[#This Row],[Work Start TimeStamp]]="","",(Table6[[#This Row],[Work Start TimeStamp]]-Table6[[#This Row],[Fault Start TimeStamp]])*24)</f>
        <v>0</v>
      </c>
      <c r="S310" s="472">
        <f>(Table6[[#This Row],[Fault Clearance time]]-Table6[[#This Row],[Work Start TimeStamp]])*24</f>
        <v>0.10000000000000231</v>
      </c>
      <c r="T310" s="472">
        <f>(Table6[[#This Row],[Fault Clearance time]]-Table6[[#This Row],[Fault Start TimeStamp]])*24</f>
        <v>0.10000000000000231</v>
      </c>
      <c r="U310" s="35" t="s">
        <v>349</v>
      </c>
      <c r="V310" s="102" t="s">
        <v>293</v>
      </c>
      <c r="W310" s="478">
        <f>IFERROR(Table6[[#This Row],[Breakdown Time]]*Table6[[#This Row],[Plant Equivalent Weightage]],"")</f>
        <v>3.846153846153934E-3</v>
      </c>
      <c r="X310" s="473" t="s">
        <v>294</v>
      </c>
      <c r="Y310" s="474" t="s">
        <v>79</v>
      </c>
      <c r="Z310" s="102">
        <v>28245</v>
      </c>
      <c r="AA310" s="468">
        <f>(Table6[[#This Row],[Paired WTG Generation for loss calculation]]/24)*Table6[[#This Row],[Breakdown Time]]</f>
        <v>117.68750000000271</v>
      </c>
      <c r="AB310" s="102"/>
      <c r="AC310" s="35"/>
      <c r="AD310" s="35"/>
    </row>
    <row r="311" spans="1:30">
      <c r="A311" s="102">
        <f t="shared" si="5"/>
        <v>310</v>
      </c>
      <c r="B311" s="468">
        <f>YEAR(Table6[[#This Row],[Date]])+IF(MONTH(Table6[[#This Row],[Date]])&gt;=4,1,0)</f>
        <v>2026</v>
      </c>
      <c r="C311" s="102">
        <f>YEAR(Table6[[#This Row],[Date]])</f>
        <v>2025</v>
      </c>
      <c r="D311" s="102" t="s">
        <v>1992</v>
      </c>
      <c r="E311" s="469">
        <f>Table6[[#This Row],[Date]]-DAY(Table6[[#This Row],[Date]])+1</f>
        <v>45748</v>
      </c>
      <c r="F311" s="470">
        <v>45765</v>
      </c>
      <c r="G311" s="35" t="s">
        <v>92</v>
      </c>
      <c r="H311" s="35" t="str">
        <f>IFERROR(_xlfn.XLOOKUP(Table6[[#This Row],[Affected WTG]],'Basic Data'!$A:$A,'Basic Data'!$B:$B),"")</f>
        <v>TQGXIIPL</v>
      </c>
      <c r="I311" s="35" t="str">
        <f>IFERROR(_xlfn.XLOOKUP(Table6[[#This Row],[Affected WTG]],'Basic Data'!$A:$A,'Basic Data'!$C:$C),"")</f>
        <v>GEDA</v>
      </c>
      <c r="J311" s="471">
        <f>IFERROR(_xlfn.XLOOKUP(Table6[[#This Row],[Affected WTG]],'Basic Data'!$A:$A,'Basic Data'!$E:$E),"")</f>
        <v>3.846153846153845E-2</v>
      </c>
      <c r="K311" s="102">
        <v>4960</v>
      </c>
      <c r="L311" s="35" t="str">
        <f>IFERROR(_xlfn.XLOOKUP(Table6[[#This Row],[Error Code]],'Basic Data'!$AA:$AA,'Basic Data'!$AB:$AB),"Incorrect Error Code")</f>
        <v>Tower oscillation YF</v>
      </c>
      <c r="M311" s="35" t="s">
        <v>291</v>
      </c>
      <c r="N311" s="475"/>
      <c r="O311" s="476">
        <v>0.33194444444444443</v>
      </c>
      <c r="P311" s="476">
        <v>0.33194444444444443</v>
      </c>
      <c r="Q311" s="477">
        <v>0.34305555555555556</v>
      </c>
      <c r="R311" s="472">
        <f>IF(Table6[[#This Row],[Work Start TimeStamp]]="","",(Table6[[#This Row],[Work Start TimeStamp]]-Table6[[#This Row],[Fault Start TimeStamp]])*24)</f>
        <v>0</v>
      </c>
      <c r="S311" s="472">
        <f>(Table6[[#This Row],[Fault Clearance time]]-Table6[[#This Row],[Work Start TimeStamp]])*24</f>
        <v>0.26666666666666705</v>
      </c>
      <c r="T311" s="472">
        <f>(Table6[[#This Row],[Fault Clearance time]]-Table6[[#This Row],[Fault Start TimeStamp]])*24</f>
        <v>0.26666666666666705</v>
      </c>
      <c r="U311" s="35" t="s">
        <v>349</v>
      </c>
      <c r="V311" s="102" t="s">
        <v>293</v>
      </c>
      <c r="W311" s="478">
        <f>IFERROR(Table6[[#This Row],[Breakdown Time]]*Table6[[#This Row],[Plant Equivalent Weightage]],"")</f>
        <v>1.0256410256410269E-2</v>
      </c>
      <c r="X311" s="473" t="s">
        <v>294</v>
      </c>
      <c r="Y311" s="474" t="s">
        <v>80</v>
      </c>
      <c r="Z311" s="102">
        <v>45438</v>
      </c>
      <c r="AA311" s="468">
        <f>(Table6[[#This Row],[Paired WTG Generation for loss calculation]]/24)*Table6[[#This Row],[Breakdown Time]]</f>
        <v>504.86666666666741</v>
      </c>
      <c r="AB311" s="102"/>
      <c r="AC311" s="35"/>
      <c r="AD311" s="35"/>
    </row>
    <row r="312" spans="1:30">
      <c r="A312" s="102">
        <f t="shared" si="5"/>
        <v>311</v>
      </c>
      <c r="B312" s="468">
        <f>YEAR(Table6[[#This Row],[Date]])+IF(MONTH(Table6[[#This Row],[Date]])&gt;=4,1,0)</f>
        <v>2026</v>
      </c>
      <c r="C312" s="102">
        <f>YEAR(Table6[[#This Row],[Date]])</f>
        <v>2025</v>
      </c>
      <c r="D312" s="102" t="s">
        <v>1992</v>
      </c>
      <c r="E312" s="469">
        <f>Table6[[#This Row],[Date]]-DAY(Table6[[#This Row],[Date]])+1</f>
        <v>45748</v>
      </c>
      <c r="F312" s="470">
        <v>45765</v>
      </c>
      <c r="G312" s="35" t="s">
        <v>92</v>
      </c>
      <c r="H312" s="35" t="str">
        <f>IFERROR(_xlfn.XLOOKUP(Table6[[#This Row],[Affected WTG]],'Basic Data'!$A:$A,'Basic Data'!$B:$B),"")</f>
        <v>TQGXIIPL</v>
      </c>
      <c r="I312" s="35" t="str">
        <f>IFERROR(_xlfn.XLOOKUP(Table6[[#This Row],[Affected WTG]],'Basic Data'!$A:$A,'Basic Data'!$C:$C),"")</f>
        <v>GEDA</v>
      </c>
      <c r="J312" s="471">
        <f>IFERROR(_xlfn.XLOOKUP(Table6[[#This Row],[Affected WTG]],'Basic Data'!$A:$A,'Basic Data'!$E:$E),"")</f>
        <v>3.846153846153845E-2</v>
      </c>
      <c r="K312" s="102">
        <v>4960</v>
      </c>
      <c r="L312" s="35" t="str">
        <f>IFERROR(_xlfn.XLOOKUP(Table6[[#This Row],[Error Code]],'Basic Data'!$AA:$AA,'Basic Data'!$AB:$AB),"Incorrect Error Code")</f>
        <v>Tower oscillation YF</v>
      </c>
      <c r="M312" s="35" t="s">
        <v>291</v>
      </c>
      <c r="N312" s="475"/>
      <c r="O312" s="476">
        <v>0.36319444444444443</v>
      </c>
      <c r="P312" s="476">
        <v>0.36319444444444443</v>
      </c>
      <c r="Q312" s="477">
        <v>0.36736111111111114</v>
      </c>
      <c r="R312" s="472">
        <f>IF(Table6[[#This Row],[Work Start TimeStamp]]="","",(Table6[[#This Row],[Work Start TimeStamp]]-Table6[[#This Row],[Fault Start TimeStamp]])*24)</f>
        <v>0</v>
      </c>
      <c r="S312" s="472">
        <f>(Table6[[#This Row],[Fault Clearance time]]-Table6[[#This Row],[Work Start TimeStamp]])*24</f>
        <v>0.10000000000000098</v>
      </c>
      <c r="T312" s="472">
        <f>(Table6[[#This Row],[Fault Clearance time]]-Table6[[#This Row],[Fault Start TimeStamp]])*24</f>
        <v>0.10000000000000098</v>
      </c>
      <c r="U312" s="35" t="s">
        <v>349</v>
      </c>
      <c r="V312" s="102" t="s">
        <v>293</v>
      </c>
      <c r="W312" s="478">
        <f>IFERROR(Table6[[#This Row],[Breakdown Time]]*Table6[[#This Row],[Plant Equivalent Weightage]],"")</f>
        <v>3.8461538461538824E-3</v>
      </c>
      <c r="X312" s="473" t="s">
        <v>294</v>
      </c>
      <c r="Y312" s="474" t="s">
        <v>80</v>
      </c>
      <c r="Z312" s="102">
        <v>45438</v>
      </c>
      <c r="AA312" s="468">
        <f>(Table6[[#This Row],[Paired WTG Generation for loss calculation]]/24)*Table6[[#This Row],[Breakdown Time]]</f>
        <v>189.32500000000184</v>
      </c>
      <c r="AB312" s="102"/>
      <c r="AC312" s="35"/>
      <c r="AD312" s="35"/>
    </row>
    <row r="313" spans="1:30">
      <c r="A313" s="102">
        <f t="shared" si="5"/>
        <v>312</v>
      </c>
      <c r="B313" s="468">
        <f>YEAR(Table6[[#This Row],[Date]])+IF(MONTH(Table6[[#This Row],[Date]])&gt;=4,1,0)</f>
        <v>2026</v>
      </c>
      <c r="C313" s="102">
        <f>YEAR(Table6[[#This Row],[Date]])</f>
        <v>2025</v>
      </c>
      <c r="D313" s="102" t="s">
        <v>1992</v>
      </c>
      <c r="E313" s="469">
        <f>Table6[[#This Row],[Date]]-DAY(Table6[[#This Row],[Date]])+1</f>
        <v>45748</v>
      </c>
      <c r="F313" s="470">
        <v>45765</v>
      </c>
      <c r="G313" s="35" t="s">
        <v>95</v>
      </c>
      <c r="H313" s="35" t="str">
        <f>IFERROR(_xlfn.XLOOKUP(Table6[[#This Row],[Affected WTG]],'Basic Data'!$A:$A,'Basic Data'!$B:$B),"")</f>
        <v>TQGXIIPL</v>
      </c>
      <c r="I313" s="35" t="str">
        <f>IFERROR(_xlfn.XLOOKUP(Table6[[#This Row],[Affected WTG]],'Basic Data'!$A:$A,'Basic Data'!$C:$C),"")</f>
        <v>GEDA</v>
      </c>
      <c r="J313" s="471">
        <f>IFERROR(_xlfn.XLOOKUP(Table6[[#This Row],[Affected WTG]],'Basic Data'!$A:$A,'Basic Data'!$E:$E),"")</f>
        <v>3.846153846153845E-2</v>
      </c>
      <c r="K313" s="102">
        <v>6130</v>
      </c>
      <c r="L313" s="35" t="str">
        <f>IFERROR(_xlfn.XLOOKUP(Table6[[#This Row],[Error Code]],'Basic Data'!$AA:$AA,'Basic Data'!$AB:$AB),"Incorrect Error Code")</f>
        <v>Yaw speed high</v>
      </c>
      <c r="M313" s="35" t="s">
        <v>291</v>
      </c>
      <c r="N313" s="475"/>
      <c r="O313" s="476">
        <v>0.60763888888888884</v>
      </c>
      <c r="P313" s="476">
        <v>0.60763888888888884</v>
      </c>
      <c r="Q313" s="477">
        <v>0.6118055555555556</v>
      </c>
      <c r="R313" s="472">
        <f>IF(Table6[[#This Row],[Work Start TimeStamp]]="","",(Table6[[#This Row],[Work Start TimeStamp]]-Table6[[#This Row],[Fault Start TimeStamp]])*24)</f>
        <v>0</v>
      </c>
      <c r="S313" s="472">
        <f>(Table6[[#This Row],[Fault Clearance time]]-Table6[[#This Row],[Work Start TimeStamp]])*24</f>
        <v>0.10000000000000231</v>
      </c>
      <c r="T313" s="472">
        <f>(Table6[[#This Row],[Fault Clearance time]]-Table6[[#This Row],[Fault Start TimeStamp]])*24</f>
        <v>0.10000000000000231</v>
      </c>
      <c r="U313" s="35" t="s">
        <v>349</v>
      </c>
      <c r="V313" s="102" t="s">
        <v>293</v>
      </c>
      <c r="W313" s="478">
        <f>IFERROR(Table6[[#This Row],[Breakdown Time]]*Table6[[#This Row],[Plant Equivalent Weightage]],"")</f>
        <v>3.846153846153934E-3</v>
      </c>
      <c r="X313" s="473" t="s">
        <v>294</v>
      </c>
      <c r="Y313" s="474" t="s">
        <v>79</v>
      </c>
      <c r="Z313" s="102">
        <v>28245</v>
      </c>
      <c r="AA313" s="468">
        <f>(Table6[[#This Row],[Paired WTG Generation for loss calculation]]/24)*Table6[[#This Row],[Breakdown Time]]</f>
        <v>117.68750000000271</v>
      </c>
      <c r="AB313" s="102"/>
      <c r="AC313" s="35"/>
      <c r="AD313" s="35"/>
    </row>
    <row r="314" spans="1:30">
      <c r="A314" s="102">
        <f t="shared" si="5"/>
        <v>313</v>
      </c>
      <c r="B314" s="468">
        <f>YEAR(Table6[[#This Row],[Date]])+IF(MONTH(Table6[[#This Row],[Date]])&gt;=4,1,0)</f>
        <v>2026</v>
      </c>
      <c r="C314" s="102">
        <f>YEAR(Table6[[#This Row],[Date]])</f>
        <v>2025</v>
      </c>
      <c r="D314" s="102" t="s">
        <v>1992</v>
      </c>
      <c r="E314" s="469">
        <f>Table6[[#This Row],[Date]]-DAY(Table6[[#This Row],[Date]])+1</f>
        <v>45748</v>
      </c>
      <c r="F314" s="470">
        <v>45765</v>
      </c>
      <c r="G314" s="35" t="s">
        <v>95</v>
      </c>
      <c r="H314" s="35" t="str">
        <f>IFERROR(_xlfn.XLOOKUP(Table6[[#This Row],[Affected WTG]],'Basic Data'!$A:$A,'Basic Data'!$B:$B),"")</f>
        <v>TQGXIIPL</v>
      </c>
      <c r="I314" s="35" t="str">
        <f>IFERROR(_xlfn.XLOOKUP(Table6[[#This Row],[Affected WTG]],'Basic Data'!$A:$A,'Basic Data'!$C:$C),"")</f>
        <v>GEDA</v>
      </c>
      <c r="J314" s="471">
        <f>IFERROR(_xlfn.XLOOKUP(Table6[[#This Row],[Affected WTG]],'Basic Data'!$A:$A,'Basic Data'!$E:$E),"")</f>
        <v>3.846153846153845E-2</v>
      </c>
      <c r="K314" s="102">
        <v>6130</v>
      </c>
      <c r="L314" s="35" t="str">
        <f>IFERROR(_xlfn.XLOOKUP(Table6[[#This Row],[Error Code]],'Basic Data'!$AA:$AA,'Basic Data'!$AB:$AB),"Incorrect Error Code")</f>
        <v>Yaw speed high</v>
      </c>
      <c r="M314" s="35" t="s">
        <v>291</v>
      </c>
      <c r="N314" s="475"/>
      <c r="O314" s="476">
        <v>0.63680555555555551</v>
      </c>
      <c r="P314" s="476">
        <v>0.63680555555555551</v>
      </c>
      <c r="Q314" s="477">
        <v>0.64930555555555558</v>
      </c>
      <c r="R314" s="472">
        <f>IF(Table6[[#This Row],[Work Start TimeStamp]]="","",(Table6[[#This Row],[Work Start TimeStamp]]-Table6[[#This Row],[Fault Start TimeStamp]])*24)</f>
        <v>0</v>
      </c>
      <c r="S314" s="472">
        <f>(Table6[[#This Row],[Fault Clearance time]]-Table6[[#This Row],[Work Start TimeStamp]])*24</f>
        <v>0.3000000000000016</v>
      </c>
      <c r="T314" s="472">
        <f>(Table6[[#This Row],[Fault Clearance time]]-Table6[[#This Row],[Fault Start TimeStamp]])*24</f>
        <v>0.3000000000000016</v>
      </c>
      <c r="U314" s="35" t="s">
        <v>349</v>
      </c>
      <c r="V314" s="102" t="s">
        <v>293</v>
      </c>
      <c r="W314" s="478">
        <f>IFERROR(Table6[[#This Row],[Breakdown Time]]*Table6[[#This Row],[Plant Equivalent Weightage]],"")</f>
        <v>1.1538461538461596E-2</v>
      </c>
      <c r="X314" s="473" t="s">
        <v>294</v>
      </c>
      <c r="Y314" s="474" t="s">
        <v>79</v>
      </c>
      <c r="Z314" s="102">
        <v>28245</v>
      </c>
      <c r="AA314" s="468">
        <f>(Table6[[#This Row],[Paired WTG Generation for loss calculation]]/24)*Table6[[#This Row],[Breakdown Time]]</f>
        <v>353.06250000000188</v>
      </c>
      <c r="AB314" s="102"/>
      <c r="AC314" s="35"/>
      <c r="AD314" s="35"/>
    </row>
    <row r="315" spans="1:30">
      <c r="A315" s="102">
        <f t="shared" si="5"/>
        <v>314</v>
      </c>
      <c r="B315" s="468">
        <f>YEAR(Table6[[#This Row],[Date]])+IF(MONTH(Table6[[#This Row],[Date]])&gt;=4,1,0)</f>
        <v>2026</v>
      </c>
      <c r="C315" s="102">
        <f>YEAR(Table6[[#This Row],[Date]])</f>
        <v>2025</v>
      </c>
      <c r="D315" s="102" t="s">
        <v>1992</v>
      </c>
      <c r="E315" s="469">
        <f>Table6[[#This Row],[Date]]-DAY(Table6[[#This Row],[Date]])+1</f>
        <v>45748</v>
      </c>
      <c r="F315" s="470">
        <v>45765</v>
      </c>
      <c r="G315" s="35" t="s">
        <v>97</v>
      </c>
      <c r="H315" s="35" t="str">
        <f>IFERROR(_xlfn.XLOOKUP(Table6[[#This Row],[Affected WTG]],'Basic Data'!$A:$A,'Basic Data'!$B:$B),"")</f>
        <v>TQGXIIPL</v>
      </c>
      <c r="I315" s="35" t="str">
        <f>IFERROR(_xlfn.XLOOKUP(Table6[[#This Row],[Affected WTG]],'Basic Data'!$A:$A,'Basic Data'!$C:$C),"")</f>
        <v>GEDA</v>
      </c>
      <c r="J315" s="471">
        <f>IFERROR(_xlfn.XLOOKUP(Table6[[#This Row],[Affected WTG]],'Basic Data'!$A:$A,'Basic Data'!$E:$E),"")</f>
        <v>3.846153846153845E-2</v>
      </c>
      <c r="K315" s="102">
        <v>55</v>
      </c>
      <c r="L315" s="35" t="str">
        <f>IFERROR(_xlfn.XLOOKUP(Table6[[#This Row],[Error Code]],'Basic Data'!$AA:$AA,'Basic Data'!$AB:$AB),"Incorrect Error Code")</f>
        <v>WTG shut down</v>
      </c>
      <c r="M315" s="35" t="s">
        <v>291</v>
      </c>
      <c r="N315" s="475"/>
      <c r="O315" s="476">
        <v>0</v>
      </c>
      <c r="P315" s="476">
        <v>0</v>
      </c>
      <c r="Q315" s="477">
        <v>0.15625</v>
      </c>
      <c r="R315" s="472">
        <f>IF(Table6[[#This Row],[Work Start TimeStamp]]="","",(Table6[[#This Row],[Work Start TimeStamp]]-Table6[[#This Row],[Fault Start TimeStamp]])*24)</f>
        <v>0</v>
      </c>
      <c r="S315" s="472">
        <f>(Table6[[#This Row],[Fault Clearance time]]-Table6[[#This Row],[Work Start TimeStamp]])*24</f>
        <v>3.75</v>
      </c>
      <c r="T315" s="472">
        <f>(Table6[[#This Row],[Fault Clearance time]]-Table6[[#This Row],[Fault Start TimeStamp]])*24</f>
        <v>3.75</v>
      </c>
      <c r="U315" s="35" t="s">
        <v>414</v>
      </c>
      <c r="V315" s="102" t="s">
        <v>293</v>
      </c>
      <c r="W315" s="478">
        <f>IFERROR(Table6[[#This Row],[Breakdown Time]]*Table6[[#This Row],[Plant Equivalent Weightage]],"")</f>
        <v>0.14423076923076919</v>
      </c>
      <c r="X315" s="473" t="s">
        <v>294</v>
      </c>
      <c r="Y315" s="474" t="s">
        <v>93</v>
      </c>
      <c r="Z315" s="102">
        <v>34801</v>
      </c>
      <c r="AA315" s="468">
        <f>(Table6[[#This Row],[Paired WTG Generation for loss calculation]]/24)*Table6[[#This Row],[Breakdown Time]]</f>
        <v>5437.65625</v>
      </c>
      <c r="AB315" s="102"/>
      <c r="AC315" s="35"/>
      <c r="AD315" s="35"/>
    </row>
    <row r="316" spans="1:30">
      <c r="A316" s="102">
        <f t="shared" si="5"/>
        <v>315</v>
      </c>
      <c r="B316" s="468">
        <f>YEAR(Table6[[#This Row],[Date]])+IF(MONTH(Table6[[#This Row],[Date]])&gt;=4,1,0)</f>
        <v>2026</v>
      </c>
      <c r="C316" s="102">
        <f>YEAR(Table6[[#This Row],[Date]])</f>
        <v>2025</v>
      </c>
      <c r="D316" s="102" t="s">
        <v>1992</v>
      </c>
      <c r="E316" s="469">
        <f>Table6[[#This Row],[Date]]-DAY(Table6[[#This Row],[Date]])+1</f>
        <v>45748</v>
      </c>
      <c r="F316" s="470">
        <v>45765</v>
      </c>
      <c r="G316" s="35" t="s">
        <v>98</v>
      </c>
      <c r="H316" s="35" t="str">
        <f>IFERROR(_xlfn.XLOOKUP(Table6[[#This Row],[Affected WTG]],'Basic Data'!$A:$A,'Basic Data'!$B:$B),"")</f>
        <v>TQGXIIPL</v>
      </c>
      <c r="I316" s="35" t="str">
        <f>IFERROR(_xlfn.XLOOKUP(Table6[[#This Row],[Affected WTG]],'Basic Data'!$A:$A,'Basic Data'!$C:$C),"")</f>
        <v>GEDA</v>
      </c>
      <c r="J316" s="471">
        <f>IFERROR(_xlfn.XLOOKUP(Table6[[#This Row],[Affected WTG]],'Basic Data'!$A:$A,'Basic Data'!$E:$E),"")</f>
        <v>3.846153846153845E-2</v>
      </c>
      <c r="K316" s="102">
        <v>3211</v>
      </c>
      <c r="L316" s="35" t="str">
        <f>IFERROR(_xlfn.XLOOKUP(Table6[[#This Row],[Error Code]],'Basic Data'!$AA:$AA,'Basic Data'!$AB:$AB),"Incorrect Error Code")</f>
        <v>Conv. load shedding (CAN)</v>
      </c>
      <c r="M316" s="35" t="s">
        <v>291</v>
      </c>
      <c r="N316" s="475"/>
      <c r="O316" s="476">
        <v>0.73472222222222228</v>
      </c>
      <c r="P316" s="476">
        <v>0.73472222222222228</v>
      </c>
      <c r="Q316" s="477">
        <v>0.74722222222222223</v>
      </c>
      <c r="R316" s="472">
        <f>IF(Table6[[#This Row],[Work Start TimeStamp]]="","",(Table6[[#This Row],[Work Start TimeStamp]]-Table6[[#This Row],[Fault Start TimeStamp]])*24)</f>
        <v>0</v>
      </c>
      <c r="S316" s="472">
        <f>(Table6[[#This Row],[Fault Clearance time]]-Table6[[#This Row],[Work Start TimeStamp]])*24</f>
        <v>0.29999999999999893</v>
      </c>
      <c r="T316" s="472">
        <f>(Table6[[#This Row],[Fault Clearance time]]-Table6[[#This Row],[Fault Start TimeStamp]])*24</f>
        <v>0.29999999999999893</v>
      </c>
      <c r="U316" s="35" t="s">
        <v>349</v>
      </c>
      <c r="V316" s="102" t="s">
        <v>293</v>
      </c>
      <c r="W316" s="478">
        <f>IFERROR(Table6[[#This Row],[Breakdown Time]]*Table6[[#This Row],[Plant Equivalent Weightage]],"")</f>
        <v>1.1538461538461494E-2</v>
      </c>
      <c r="X316" s="473" t="s">
        <v>294</v>
      </c>
      <c r="Y316" s="474" t="s">
        <v>74</v>
      </c>
      <c r="Z316" s="102">
        <v>34294</v>
      </c>
      <c r="AA316" s="468">
        <f>(Table6[[#This Row],[Paired WTG Generation for loss calculation]]/24)*Table6[[#This Row],[Breakdown Time]]</f>
        <v>428.67499999999848</v>
      </c>
      <c r="AB316" s="102"/>
      <c r="AC316" s="35"/>
      <c r="AD316" s="35"/>
    </row>
    <row r="317" spans="1:30">
      <c r="A317" s="102">
        <f t="shared" si="5"/>
        <v>316</v>
      </c>
      <c r="B317" s="468">
        <f>YEAR(Table6[[#This Row],[Date]])+IF(MONTH(Table6[[#This Row],[Date]])&gt;=4,1,0)</f>
        <v>2026</v>
      </c>
      <c r="C317" s="102">
        <f>YEAR(Table6[[#This Row],[Date]])</f>
        <v>2025</v>
      </c>
      <c r="D317" s="102" t="s">
        <v>1992</v>
      </c>
      <c r="E317" s="469">
        <f>Table6[[#This Row],[Date]]-DAY(Table6[[#This Row],[Date]])+1</f>
        <v>45748</v>
      </c>
      <c r="F317" s="470">
        <v>45765</v>
      </c>
      <c r="G317" s="35" t="s">
        <v>98</v>
      </c>
      <c r="H317" s="35" t="str">
        <f>IFERROR(_xlfn.XLOOKUP(Table6[[#This Row],[Affected WTG]],'Basic Data'!$A:$A,'Basic Data'!$B:$B),"")</f>
        <v>TQGXIIPL</v>
      </c>
      <c r="I317" s="35" t="str">
        <f>IFERROR(_xlfn.XLOOKUP(Table6[[#This Row],[Affected WTG]],'Basic Data'!$A:$A,'Basic Data'!$C:$C),"")</f>
        <v>GEDA</v>
      </c>
      <c r="J317" s="471">
        <f>IFERROR(_xlfn.XLOOKUP(Table6[[#This Row],[Affected WTG]],'Basic Data'!$A:$A,'Basic Data'!$E:$E),"")</f>
        <v>3.846153846153845E-2</v>
      </c>
      <c r="K317" s="102">
        <v>55</v>
      </c>
      <c r="L317" s="35" t="str">
        <f>IFERROR(_xlfn.XLOOKUP(Table6[[#This Row],[Error Code]],'Basic Data'!$AA:$AA,'Basic Data'!$AB:$AB),"Incorrect Error Code")</f>
        <v>WTG shut down</v>
      </c>
      <c r="M317" s="35" t="s">
        <v>330</v>
      </c>
      <c r="N317" s="475"/>
      <c r="O317" s="476">
        <v>0.7583333333333333</v>
      </c>
      <c r="P317" s="476">
        <v>0.7583333333333333</v>
      </c>
      <c r="Q317" s="477">
        <v>0.86527777777777781</v>
      </c>
      <c r="R317" s="472">
        <f>IF(Table6[[#This Row],[Work Start TimeStamp]]="","",(Table6[[#This Row],[Work Start TimeStamp]]-Table6[[#This Row],[Fault Start TimeStamp]])*24)</f>
        <v>0</v>
      </c>
      <c r="S317" s="472">
        <f>(Table6[[#This Row],[Fault Clearance time]]-Table6[[#This Row],[Work Start TimeStamp]])*24</f>
        <v>2.5666666666666682</v>
      </c>
      <c r="T317" s="472">
        <f>(Table6[[#This Row],[Fault Clearance time]]-Table6[[#This Row],[Fault Start TimeStamp]])*24</f>
        <v>2.5666666666666682</v>
      </c>
      <c r="U317" s="35" t="s">
        <v>337</v>
      </c>
      <c r="V317" s="102" t="s">
        <v>293</v>
      </c>
      <c r="W317" s="478">
        <f>IFERROR(Table6[[#This Row],[Breakdown Time]]*Table6[[#This Row],[Plant Equivalent Weightage]],"")</f>
        <v>9.8717948717948742E-2</v>
      </c>
      <c r="X317" s="473" t="s">
        <v>290</v>
      </c>
      <c r="Y317" s="474" t="s">
        <v>74</v>
      </c>
      <c r="Z317" s="102">
        <v>34294</v>
      </c>
      <c r="AA317" s="468">
        <f>(Table6[[#This Row],[Paired WTG Generation for loss calculation]]/24)*Table6[[#This Row],[Breakdown Time]]</f>
        <v>3667.5527777777802</v>
      </c>
      <c r="AB317" s="102"/>
      <c r="AC317" s="35"/>
      <c r="AD317" s="35"/>
    </row>
    <row r="318" spans="1:30">
      <c r="A318" s="102">
        <f t="shared" si="5"/>
        <v>317</v>
      </c>
      <c r="B318" s="468">
        <f>YEAR(Table6[[#This Row],[Date]])+IF(MONTH(Table6[[#This Row],[Date]])&gt;=4,1,0)</f>
        <v>2026</v>
      </c>
      <c r="C318" s="102">
        <f>YEAR(Table6[[#This Row],[Date]])</f>
        <v>2025</v>
      </c>
      <c r="D318" s="102" t="s">
        <v>1992</v>
      </c>
      <c r="E318" s="469">
        <f>Table6[[#This Row],[Date]]-DAY(Table6[[#This Row],[Date]])+1</f>
        <v>45748</v>
      </c>
      <c r="F318" s="470">
        <v>45765</v>
      </c>
      <c r="G318" s="35" t="s">
        <v>98</v>
      </c>
      <c r="H318" s="35" t="str">
        <f>IFERROR(_xlfn.XLOOKUP(Table6[[#This Row],[Affected WTG]],'Basic Data'!$A:$A,'Basic Data'!$B:$B),"")</f>
        <v>TQGXIIPL</v>
      </c>
      <c r="I318" s="35" t="str">
        <f>IFERROR(_xlfn.XLOOKUP(Table6[[#This Row],[Affected WTG]],'Basic Data'!$A:$A,'Basic Data'!$C:$C),"")</f>
        <v>GEDA</v>
      </c>
      <c r="J318" s="471">
        <f>IFERROR(_xlfn.XLOOKUP(Table6[[#This Row],[Affected WTG]],'Basic Data'!$A:$A,'Basic Data'!$E:$E),"")</f>
        <v>3.846153846153845E-2</v>
      </c>
      <c r="K318" s="102">
        <v>55</v>
      </c>
      <c r="L318" s="35" t="str">
        <f>IFERROR(_xlfn.XLOOKUP(Table6[[#This Row],[Error Code]],'Basic Data'!$AA:$AA,'Basic Data'!$AB:$AB),"Incorrect Error Code")</f>
        <v>WTG shut down</v>
      </c>
      <c r="M318" s="35" t="s">
        <v>330</v>
      </c>
      <c r="N318" s="475"/>
      <c r="O318" s="476">
        <v>0.90208333333333335</v>
      </c>
      <c r="P318" s="476">
        <v>0.90208333333333335</v>
      </c>
      <c r="Q318" s="477">
        <v>0.9375</v>
      </c>
      <c r="R318" s="472">
        <f>IF(Table6[[#This Row],[Work Start TimeStamp]]="","",(Table6[[#This Row],[Work Start TimeStamp]]-Table6[[#This Row],[Fault Start TimeStamp]])*24)</f>
        <v>0</v>
      </c>
      <c r="S318" s="472">
        <f>(Table6[[#This Row],[Fault Clearance time]]-Table6[[#This Row],[Work Start TimeStamp]])*24</f>
        <v>0.84999999999999964</v>
      </c>
      <c r="T318" s="472">
        <f>(Table6[[#This Row],[Fault Clearance time]]-Table6[[#This Row],[Fault Start TimeStamp]])*24</f>
        <v>0.84999999999999964</v>
      </c>
      <c r="U318" s="35" t="s">
        <v>337</v>
      </c>
      <c r="V318" s="102" t="s">
        <v>293</v>
      </c>
      <c r="W318" s="478">
        <f>IFERROR(Table6[[#This Row],[Breakdown Time]]*Table6[[#This Row],[Plant Equivalent Weightage]],"")</f>
        <v>3.2692307692307666E-2</v>
      </c>
      <c r="X318" s="473" t="s">
        <v>290</v>
      </c>
      <c r="Y318" s="474" t="s">
        <v>74</v>
      </c>
      <c r="Z318" s="102">
        <v>34294</v>
      </c>
      <c r="AA318" s="468">
        <f>(Table6[[#This Row],[Paired WTG Generation for loss calculation]]/24)*Table6[[#This Row],[Breakdown Time]]</f>
        <v>1214.5791666666662</v>
      </c>
      <c r="AB318" s="102"/>
      <c r="AC318" s="35"/>
      <c r="AD318" s="35"/>
    </row>
    <row r="319" spans="1:30">
      <c r="A319" s="102">
        <f t="shared" si="5"/>
        <v>318</v>
      </c>
      <c r="B319" s="468">
        <f>YEAR(Table6[[#This Row],[Date]])+IF(MONTH(Table6[[#This Row],[Date]])&gt;=4,1,0)</f>
        <v>2026</v>
      </c>
      <c r="C319" s="102">
        <f>YEAR(Table6[[#This Row],[Date]])</f>
        <v>2025</v>
      </c>
      <c r="D319" s="102" t="s">
        <v>1992</v>
      </c>
      <c r="E319" s="469">
        <f>Table6[[#This Row],[Date]]-DAY(Table6[[#This Row],[Date]])+1</f>
        <v>45748</v>
      </c>
      <c r="F319" s="470">
        <v>45766</v>
      </c>
      <c r="G319" s="35" t="s">
        <v>74</v>
      </c>
      <c r="H319" s="35" t="str">
        <f>IFERROR(_xlfn.XLOOKUP(Table6[[#This Row],[Affected WTG]],'Basic Data'!$A:$A,'Basic Data'!$B:$B),"")</f>
        <v>TQGXIIPL</v>
      </c>
      <c r="I319" s="35" t="str">
        <f>IFERROR(_xlfn.XLOOKUP(Table6[[#This Row],[Affected WTG]],'Basic Data'!$A:$A,'Basic Data'!$C:$C),"")</f>
        <v>GEDA</v>
      </c>
      <c r="J319" s="471">
        <f>IFERROR(_xlfn.XLOOKUP(Table6[[#This Row],[Affected WTG]],'Basic Data'!$A:$A,'Basic Data'!$E:$E),"")</f>
        <v>3.846153846153845E-2</v>
      </c>
      <c r="K319" s="102">
        <v>3110</v>
      </c>
      <c r="L319" s="35" t="str">
        <f>IFERROR(_xlfn.XLOOKUP(Table6[[#This Row],[Error Code]],'Basic Data'!$AA:$AA,'Basic Data'!$AB:$AB),"Incorrect Error Code")</f>
        <v>Frequency converter error</v>
      </c>
      <c r="M319" s="35" t="s">
        <v>291</v>
      </c>
      <c r="N319" s="475"/>
      <c r="O319" s="476">
        <v>0.71666666666666667</v>
      </c>
      <c r="P319" s="476">
        <v>0.71666666666666667</v>
      </c>
      <c r="Q319" s="477">
        <v>0.73124999999999996</v>
      </c>
      <c r="R319" s="472">
        <f>IF(Table6[[#This Row],[Work Start TimeStamp]]="","",(Table6[[#This Row],[Work Start TimeStamp]]-Table6[[#This Row],[Fault Start TimeStamp]])*24)</f>
        <v>0</v>
      </c>
      <c r="S319" s="472">
        <f>(Table6[[#This Row],[Fault Clearance time]]-Table6[[#This Row],[Work Start TimeStamp]])*24</f>
        <v>0.34999999999999876</v>
      </c>
      <c r="T319" s="472">
        <f>(Table6[[#This Row],[Fault Clearance time]]-Table6[[#This Row],[Fault Start TimeStamp]])*24</f>
        <v>0.34999999999999876</v>
      </c>
      <c r="U319" s="35" t="s">
        <v>349</v>
      </c>
      <c r="V319" s="102" t="s">
        <v>293</v>
      </c>
      <c r="W319" s="478">
        <f>IFERROR(Table6[[#This Row],[Breakdown Time]]*Table6[[#This Row],[Plant Equivalent Weightage]],"")</f>
        <v>1.346153846153841E-2</v>
      </c>
      <c r="X319" s="473" t="s">
        <v>294</v>
      </c>
      <c r="Y319" s="474" t="s">
        <v>99</v>
      </c>
      <c r="Z319" s="102">
        <v>45701</v>
      </c>
      <c r="AA319" s="468">
        <f>(Table6[[#This Row],[Paired WTG Generation for loss calculation]]/24)*Table6[[#This Row],[Breakdown Time]]</f>
        <v>666.47291666666422</v>
      </c>
      <c r="AB319" s="102"/>
      <c r="AC319" s="35"/>
      <c r="AD319" s="35"/>
    </row>
    <row r="320" spans="1:30">
      <c r="A320" s="102">
        <f t="shared" si="5"/>
        <v>319</v>
      </c>
      <c r="B320" s="468">
        <f>YEAR(Table6[[#This Row],[Date]])+IF(MONTH(Table6[[#This Row],[Date]])&gt;=4,1,0)</f>
        <v>2026</v>
      </c>
      <c r="C320" s="102">
        <f>YEAR(Table6[[#This Row],[Date]])</f>
        <v>2025</v>
      </c>
      <c r="D320" s="102" t="s">
        <v>1992</v>
      </c>
      <c r="E320" s="469">
        <f>Table6[[#This Row],[Date]]-DAY(Table6[[#This Row],[Date]])+1</f>
        <v>45748</v>
      </c>
      <c r="F320" s="470">
        <v>45766</v>
      </c>
      <c r="G320" s="35" t="s">
        <v>74</v>
      </c>
      <c r="H320" s="35" t="str">
        <f>IFERROR(_xlfn.XLOOKUP(Table6[[#This Row],[Affected WTG]],'Basic Data'!$A:$A,'Basic Data'!$B:$B),"")</f>
        <v>TQGXIIPL</v>
      </c>
      <c r="I320" s="35" t="str">
        <f>IFERROR(_xlfn.XLOOKUP(Table6[[#This Row],[Affected WTG]],'Basic Data'!$A:$A,'Basic Data'!$C:$C),"")</f>
        <v>GEDA</v>
      </c>
      <c r="J320" s="471">
        <f>IFERROR(_xlfn.XLOOKUP(Table6[[#This Row],[Affected WTG]],'Basic Data'!$A:$A,'Basic Data'!$E:$E),"")</f>
        <v>3.846153846153845E-2</v>
      </c>
      <c r="K320" s="102">
        <v>55</v>
      </c>
      <c r="L320" s="35" t="str">
        <f>IFERROR(_xlfn.XLOOKUP(Table6[[#This Row],[Error Code]],'Basic Data'!$AA:$AA,'Basic Data'!$AB:$AB),"Incorrect Error Code")</f>
        <v>WTG shut down</v>
      </c>
      <c r="M320" s="35" t="s">
        <v>330</v>
      </c>
      <c r="N320" s="475"/>
      <c r="O320" s="476">
        <v>0.75763888888888886</v>
      </c>
      <c r="P320" s="476">
        <v>0.75763888888888886</v>
      </c>
      <c r="Q320" s="477">
        <v>0.86041666666666672</v>
      </c>
      <c r="R320" s="472">
        <f>IF(Table6[[#This Row],[Work Start TimeStamp]]="","",(Table6[[#This Row],[Work Start TimeStamp]]-Table6[[#This Row],[Fault Start TimeStamp]])*24)</f>
        <v>0</v>
      </c>
      <c r="S320" s="472">
        <f>(Table6[[#This Row],[Fault Clearance time]]-Table6[[#This Row],[Work Start TimeStamp]])*24</f>
        <v>2.4666666666666686</v>
      </c>
      <c r="T320" s="472">
        <f>(Table6[[#This Row],[Fault Clearance time]]-Table6[[#This Row],[Fault Start TimeStamp]])*24</f>
        <v>2.4666666666666686</v>
      </c>
      <c r="U320" s="35" t="s">
        <v>337</v>
      </c>
      <c r="V320" s="102" t="s">
        <v>293</v>
      </c>
      <c r="W320" s="478">
        <f>IFERROR(Table6[[#This Row],[Breakdown Time]]*Table6[[#This Row],[Plant Equivalent Weightage]],"")</f>
        <v>9.4871794871794909E-2</v>
      </c>
      <c r="X320" s="473" t="s">
        <v>290</v>
      </c>
      <c r="Y320" s="474" t="s">
        <v>99</v>
      </c>
      <c r="Z320" s="102">
        <v>45701</v>
      </c>
      <c r="AA320" s="468">
        <f>(Table6[[#This Row],[Paired WTG Generation for loss calculation]]/24)*Table6[[#This Row],[Breakdown Time]]</f>
        <v>4697.0472222222261</v>
      </c>
      <c r="AB320" s="102"/>
      <c r="AC320" s="35"/>
      <c r="AD320" s="35"/>
    </row>
    <row r="321" spans="1:30">
      <c r="A321" s="102">
        <f t="shared" si="5"/>
        <v>320</v>
      </c>
      <c r="B321" s="468">
        <f>YEAR(Table6[[#This Row],[Date]])+IF(MONTH(Table6[[#This Row],[Date]])&gt;=4,1,0)</f>
        <v>2026</v>
      </c>
      <c r="C321" s="102">
        <f>YEAR(Table6[[#This Row],[Date]])</f>
        <v>2025</v>
      </c>
      <c r="D321" s="102" t="s">
        <v>1992</v>
      </c>
      <c r="E321" s="469">
        <f>Table6[[#This Row],[Date]]-DAY(Table6[[#This Row],[Date]])+1</f>
        <v>45748</v>
      </c>
      <c r="F321" s="470">
        <v>45766</v>
      </c>
      <c r="G321" s="35" t="s">
        <v>78</v>
      </c>
      <c r="H321" s="35" t="str">
        <f>IFERROR(_xlfn.XLOOKUP(Table6[[#This Row],[Affected WTG]],'Basic Data'!$A:$A,'Basic Data'!$B:$B),"")</f>
        <v>TQGXIIPL</v>
      </c>
      <c r="I321" s="35" t="str">
        <f>IFERROR(_xlfn.XLOOKUP(Table6[[#This Row],[Affected WTG]],'Basic Data'!$A:$A,'Basic Data'!$C:$C),"")</f>
        <v>GEDA</v>
      </c>
      <c r="J321" s="471">
        <f>IFERROR(_xlfn.XLOOKUP(Table6[[#This Row],[Affected WTG]],'Basic Data'!$A:$A,'Basic Data'!$E:$E),"")</f>
        <v>3.846153846153845E-2</v>
      </c>
      <c r="K321" s="102">
        <v>3110</v>
      </c>
      <c r="L321" s="35" t="str">
        <f>IFERROR(_xlfn.XLOOKUP(Table6[[#This Row],[Error Code]],'Basic Data'!$AA:$AA,'Basic Data'!$AB:$AB),"Incorrect Error Code")</f>
        <v>Frequency converter error</v>
      </c>
      <c r="M321" s="35" t="s">
        <v>291</v>
      </c>
      <c r="N321" s="475"/>
      <c r="O321" s="476">
        <v>0.72569444444444442</v>
      </c>
      <c r="P321" s="476">
        <v>0.72569444444444442</v>
      </c>
      <c r="Q321" s="477">
        <v>0.73541666666666672</v>
      </c>
      <c r="R321" s="472">
        <f>IF(Table6[[#This Row],[Work Start TimeStamp]]="","",(Table6[[#This Row],[Work Start TimeStamp]]-Table6[[#This Row],[Fault Start TimeStamp]])*24)</f>
        <v>0</v>
      </c>
      <c r="S321" s="472">
        <f>(Table6[[#This Row],[Fault Clearance time]]-Table6[[#This Row],[Work Start TimeStamp]])*24</f>
        <v>0.23333333333333517</v>
      </c>
      <c r="T321" s="472">
        <f>(Table6[[#This Row],[Fault Clearance time]]-Table6[[#This Row],[Fault Start TimeStamp]])*24</f>
        <v>0.23333333333333517</v>
      </c>
      <c r="U321" s="35" t="s">
        <v>349</v>
      </c>
      <c r="V321" s="102" t="s">
        <v>293</v>
      </c>
      <c r="W321" s="478">
        <f>IFERROR(Table6[[#This Row],[Breakdown Time]]*Table6[[#This Row],[Plant Equivalent Weightage]],"")</f>
        <v>8.9743589743590414E-3</v>
      </c>
      <c r="X321" s="473" t="s">
        <v>294</v>
      </c>
      <c r="Y321" s="474" t="s">
        <v>75</v>
      </c>
      <c r="Z321" s="102">
        <v>53626</v>
      </c>
      <c r="AA321" s="468">
        <f>(Table6[[#This Row],[Paired WTG Generation for loss calculation]]/24)*Table6[[#This Row],[Breakdown Time]]</f>
        <v>521.36388888889292</v>
      </c>
      <c r="AB321" s="102"/>
      <c r="AC321" s="35"/>
      <c r="AD321" s="35"/>
    </row>
    <row r="322" spans="1:30">
      <c r="A322" s="102">
        <f t="shared" si="5"/>
        <v>321</v>
      </c>
      <c r="B322" s="468">
        <f>YEAR(Table6[[#This Row],[Date]])+IF(MONTH(Table6[[#This Row],[Date]])&gt;=4,1,0)</f>
        <v>2026</v>
      </c>
      <c r="C322" s="102">
        <f>YEAR(Table6[[#This Row],[Date]])</f>
        <v>2025</v>
      </c>
      <c r="D322" s="102" t="s">
        <v>1992</v>
      </c>
      <c r="E322" s="469">
        <f>Table6[[#This Row],[Date]]-DAY(Table6[[#This Row],[Date]])+1</f>
        <v>45748</v>
      </c>
      <c r="F322" s="470">
        <v>45766</v>
      </c>
      <c r="G322" s="35" t="s">
        <v>78</v>
      </c>
      <c r="H322" s="35" t="str">
        <f>IFERROR(_xlfn.XLOOKUP(Table6[[#This Row],[Affected WTG]],'Basic Data'!$A:$A,'Basic Data'!$B:$B),"")</f>
        <v>TQGXIIPL</v>
      </c>
      <c r="I322" s="35" t="str">
        <f>IFERROR(_xlfn.XLOOKUP(Table6[[#This Row],[Affected WTG]],'Basic Data'!$A:$A,'Basic Data'!$C:$C),"")</f>
        <v>GEDA</v>
      </c>
      <c r="J322" s="471">
        <f>IFERROR(_xlfn.XLOOKUP(Table6[[#This Row],[Affected WTG]],'Basic Data'!$A:$A,'Basic Data'!$E:$E),"")</f>
        <v>3.846153846153845E-2</v>
      </c>
      <c r="K322" s="102">
        <v>55</v>
      </c>
      <c r="L322" s="35" t="str">
        <f>IFERROR(_xlfn.XLOOKUP(Table6[[#This Row],[Error Code]],'Basic Data'!$AA:$AA,'Basic Data'!$AB:$AB),"Incorrect Error Code")</f>
        <v>WTG shut down</v>
      </c>
      <c r="M322" s="35" t="s">
        <v>330</v>
      </c>
      <c r="N322" s="475"/>
      <c r="O322" s="476">
        <v>0.75</v>
      </c>
      <c r="P322" s="476">
        <v>0.75</v>
      </c>
      <c r="Q322" s="477">
        <v>0.77916666666666667</v>
      </c>
      <c r="R322" s="472">
        <f>IF(Table6[[#This Row],[Work Start TimeStamp]]="","",(Table6[[#This Row],[Work Start TimeStamp]]-Table6[[#This Row],[Fault Start TimeStamp]])*24)</f>
        <v>0</v>
      </c>
      <c r="S322" s="472">
        <f>(Table6[[#This Row],[Fault Clearance time]]-Table6[[#This Row],[Work Start TimeStamp]])*24</f>
        <v>0.70000000000000018</v>
      </c>
      <c r="T322" s="472">
        <f>(Table6[[#This Row],[Fault Clearance time]]-Table6[[#This Row],[Fault Start TimeStamp]])*24</f>
        <v>0.70000000000000018</v>
      </c>
      <c r="U322" s="35" t="s">
        <v>337</v>
      </c>
      <c r="V322" s="102" t="s">
        <v>293</v>
      </c>
      <c r="W322" s="478">
        <f>IFERROR(Table6[[#This Row],[Breakdown Time]]*Table6[[#This Row],[Plant Equivalent Weightage]],"")</f>
        <v>2.6923076923076921E-2</v>
      </c>
      <c r="X322" s="473" t="s">
        <v>290</v>
      </c>
      <c r="Y322" s="474" t="s">
        <v>75</v>
      </c>
      <c r="Z322" s="102">
        <v>53626</v>
      </c>
      <c r="AA322" s="468">
        <f>(Table6[[#This Row],[Paired WTG Generation for loss calculation]]/24)*Table6[[#This Row],[Breakdown Time]]</f>
        <v>1564.0916666666669</v>
      </c>
      <c r="AB322" s="102"/>
      <c r="AC322" s="35"/>
      <c r="AD322" s="35"/>
    </row>
    <row r="323" spans="1:30">
      <c r="A323" s="102">
        <f t="shared" si="5"/>
        <v>322</v>
      </c>
      <c r="B323" s="468">
        <f>YEAR(Table6[[#This Row],[Date]])+IF(MONTH(Table6[[#This Row],[Date]])&gt;=4,1,0)</f>
        <v>2026</v>
      </c>
      <c r="C323" s="102">
        <f>YEAR(Table6[[#This Row],[Date]])</f>
        <v>2025</v>
      </c>
      <c r="D323" s="102" t="s">
        <v>1992</v>
      </c>
      <c r="E323" s="469">
        <f>Table6[[#This Row],[Date]]-DAY(Table6[[#This Row],[Date]])+1</f>
        <v>45748</v>
      </c>
      <c r="F323" s="470">
        <v>45766</v>
      </c>
      <c r="G323" s="35" t="s">
        <v>79</v>
      </c>
      <c r="H323" s="35" t="str">
        <f>IFERROR(_xlfn.XLOOKUP(Table6[[#This Row],[Affected WTG]],'Basic Data'!$A:$A,'Basic Data'!$B:$B),"")</f>
        <v>TQGXIIPL</v>
      </c>
      <c r="I323" s="35" t="str">
        <f>IFERROR(_xlfn.XLOOKUP(Table6[[#This Row],[Affected WTG]],'Basic Data'!$A:$A,'Basic Data'!$C:$C),"")</f>
        <v>GEDA</v>
      </c>
      <c r="J323" s="471">
        <f>IFERROR(_xlfn.XLOOKUP(Table6[[#This Row],[Affected WTG]],'Basic Data'!$A:$A,'Basic Data'!$E:$E),"")</f>
        <v>3.846153846153845E-2</v>
      </c>
      <c r="K323" s="102">
        <v>1700</v>
      </c>
      <c r="L323" s="35" t="str">
        <f>IFERROR(_xlfn.XLOOKUP(Table6[[#This Row],[Error Code]],'Basic Data'!$AA:$AA,'Basic Data'!$AB:$AB),"Incorrect Error Code")</f>
        <v>High temp. gear bearing 1</v>
      </c>
      <c r="M323" s="35" t="s">
        <v>291</v>
      </c>
      <c r="N323" s="475"/>
      <c r="O323" s="476">
        <v>0.71388888888888891</v>
      </c>
      <c r="P323" s="476">
        <v>0.71388888888888891</v>
      </c>
      <c r="Q323" s="477">
        <v>0.71597222222222223</v>
      </c>
      <c r="R323" s="472">
        <f>IF(Table6[[#This Row],[Work Start TimeStamp]]="","",(Table6[[#This Row],[Work Start TimeStamp]]-Table6[[#This Row],[Fault Start TimeStamp]])*24)</f>
        <v>0</v>
      </c>
      <c r="S323" s="472">
        <f>(Table6[[#This Row],[Fault Clearance time]]-Table6[[#This Row],[Work Start TimeStamp]])*24</f>
        <v>4.9999999999999822E-2</v>
      </c>
      <c r="T323" s="472">
        <f>(Table6[[#This Row],[Fault Clearance time]]-Table6[[#This Row],[Fault Start TimeStamp]])*24</f>
        <v>4.9999999999999822E-2</v>
      </c>
      <c r="U323" s="35" t="s">
        <v>349</v>
      </c>
      <c r="V323" s="102" t="s">
        <v>293</v>
      </c>
      <c r="W323" s="478">
        <f>IFERROR(Table6[[#This Row],[Breakdown Time]]*Table6[[#This Row],[Plant Equivalent Weightage]],"")</f>
        <v>1.9230769230769156E-3</v>
      </c>
      <c r="X323" s="473" t="s">
        <v>294</v>
      </c>
      <c r="Y323" s="474" t="s">
        <v>94</v>
      </c>
      <c r="Z323" s="102">
        <v>45633</v>
      </c>
      <c r="AA323" s="468">
        <f>(Table6[[#This Row],[Paired WTG Generation for loss calculation]]/24)*Table6[[#This Row],[Breakdown Time]]</f>
        <v>95.068749999999667</v>
      </c>
      <c r="AB323" s="102"/>
      <c r="AC323" s="35"/>
      <c r="AD323" s="35"/>
    </row>
    <row r="324" spans="1:30">
      <c r="A324" s="102">
        <f t="shared" si="5"/>
        <v>323</v>
      </c>
      <c r="B324" s="468">
        <f>YEAR(Table6[[#This Row],[Date]])+IF(MONTH(Table6[[#This Row],[Date]])&gt;=4,1,0)</f>
        <v>2026</v>
      </c>
      <c r="C324" s="102">
        <f>YEAR(Table6[[#This Row],[Date]])</f>
        <v>2025</v>
      </c>
      <c r="D324" s="102" t="s">
        <v>1992</v>
      </c>
      <c r="E324" s="469">
        <f>Table6[[#This Row],[Date]]-DAY(Table6[[#This Row],[Date]])+1</f>
        <v>45748</v>
      </c>
      <c r="F324" s="470">
        <v>45766</v>
      </c>
      <c r="G324" s="35" t="s">
        <v>80</v>
      </c>
      <c r="H324" s="35" t="str">
        <f>IFERROR(_xlfn.XLOOKUP(Table6[[#This Row],[Affected WTG]],'Basic Data'!$A:$A,'Basic Data'!$B:$B),"")</f>
        <v>TQGXIIPL</v>
      </c>
      <c r="I324" s="35" t="str">
        <f>IFERROR(_xlfn.XLOOKUP(Table6[[#This Row],[Affected WTG]],'Basic Data'!$A:$A,'Basic Data'!$C:$C),"")</f>
        <v>GEDA</v>
      </c>
      <c r="J324" s="471">
        <f>IFERROR(_xlfn.XLOOKUP(Table6[[#This Row],[Affected WTG]],'Basic Data'!$A:$A,'Basic Data'!$E:$E),"")</f>
        <v>3.846153846153845E-2</v>
      </c>
      <c r="K324" s="102">
        <v>4960</v>
      </c>
      <c r="L324" s="35" t="str">
        <f>IFERROR(_xlfn.XLOOKUP(Table6[[#This Row],[Error Code]],'Basic Data'!$AA:$AA,'Basic Data'!$AB:$AB),"Incorrect Error Code")</f>
        <v>Tower oscillation YF</v>
      </c>
      <c r="M324" s="35" t="s">
        <v>291</v>
      </c>
      <c r="N324" s="475"/>
      <c r="O324" s="476">
        <v>0.51666666666666672</v>
      </c>
      <c r="P324" s="476">
        <v>0.51666666666666672</v>
      </c>
      <c r="Q324" s="477">
        <v>0.52777777777777779</v>
      </c>
      <c r="R324" s="472">
        <f>IF(Table6[[#This Row],[Work Start TimeStamp]]="","",(Table6[[#This Row],[Work Start TimeStamp]]-Table6[[#This Row],[Fault Start TimeStamp]])*24)</f>
        <v>0</v>
      </c>
      <c r="S324" s="472">
        <f>(Table6[[#This Row],[Fault Clearance time]]-Table6[[#This Row],[Work Start TimeStamp]])*24</f>
        <v>0.26666666666666572</v>
      </c>
      <c r="T324" s="472">
        <f>(Table6[[#This Row],[Fault Clearance time]]-Table6[[#This Row],[Fault Start TimeStamp]])*24</f>
        <v>0.26666666666666572</v>
      </c>
      <c r="U324" s="35" t="s">
        <v>349</v>
      </c>
      <c r="V324" s="102" t="s">
        <v>293</v>
      </c>
      <c r="W324" s="478">
        <f>IFERROR(Table6[[#This Row],[Breakdown Time]]*Table6[[#This Row],[Plant Equivalent Weightage]],"")</f>
        <v>1.0256410256410217E-2</v>
      </c>
      <c r="X324" s="473" t="s">
        <v>294</v>
      </c>
      <c r="Y324" s="474" t="s">
        <v>77</v>
      </c>
      <c r="Z324" s="102">
        <v>51178</v>
      </c>
      <c r="AA324" s="468">
        <f>(Table6[[#This Row],[Paired WTG Generation for loss calculation]]/24)*Table6[[#This Row],[Breakdown Time]]</f>
        <v>568.64444444444234</v>
      </c>
      <c r="AB324" s="102"/>
      <c r="AC324" s="35"/>
      <c r="AD324" s="35"/>
    </row>
    <row r="325" spans="1:30">
      <c r="A325" s="102">
        <f t="shared" si="5"/>
        <v>324</v>
      </c>
      <c r="B325" s="468">
        <f>YEAR(Table6[[#This Row],[Date]])+IF(MONTH(Table6[[#This Row],[Date]])&gt;=4,1,0)</f>
        <v>2026</v>
      </c>
      <c r="C325" s="102">
        <f>YEAR(Table6[[#This Row],[Date]])</f>
        <v>2025</v>
      </c>
      <c r="D325" s="102" t="s">
        <v>1992</v>
      </c>
      <c r="E325" s="469">
        <f>Table6[[#This Row],[Date]]-DAY(Table6[[#This Row],[Date]])+1</f>
        <v>45748</v>
      </c>
      <c r="F325" s="470">
        <v>45766</v>
      </c>
      <c r="G325" s="35" t="s">
        <v>81</v>
      </c>
      <c r="H325" s="35" t="str">
        <f>IFERROR(_xlfn.XLOOKUP(Table6[[#This Row],[Affected WTG]],'Basic Data'!$A:$A,'Basic Data'!$B:$B),"")</f>
        <v>TQGXIIPL</v>
      </c>
      <c r="I325" s="35" t="str">
        <f>IFERROR(_xlfn.XLOOKUP(Table6[[#This Row],[Affected WTG]],'Basic Data'!$A:$A,'Basic Data'!$C:$C),"")</f>
        <v>GEDA</v>
      </c>
      <c r="J325" s="471">
        <f>IFERROR(_xlfn.XLOOKUP(Table6[[#This Row],[Affected WTG]],'Basic Data'!$A:$A,'Basic Data'!$E:$E),"")</f>
        <v>3.846153846153845E-2</v>
      </c>
      <c r="K325" s="102">
        <v>6605</v>
      </c>
      <c r="L325" s="35" t="str">
        <f>IFERROR(_xlfn.XLOOKUP(Table6[[#This Row],[Error Code]],'Basic Data'!$AA:$AA,'Basic Data'!$AB:$AB),"Incorrect Error Code")</f>
        <v>Wind.dir. diff. level 2</v>
      </c>
      <c r="M325" s="35" t="s">
        <v>291</v>
      </c>
      <c r="N325" s="475"/>
      <c r="O325" s="476">
        <v>0.68263888888888891</v>
      </c>
      <c r="P325" s="476">
        <v>0.68263888888888891</v>
      </c>
      <c r="Q325" s="477">
        <v>0.69374999999999998</v>
      </c>
      <c r="R325" s="472">
        <f>IF(Table6[[#This Row],[Work Start TimeStamp]]="","",(Table6[[#This Row],[Work Start TimeStamp]]-Table6[[#This Row],[Fault Start TimeStamp]])*24)</f>
        <v>0</v>
      </c>
      <c r="S325" s="472">
        <f>(Table6[[#This Row],[Fault Clearance time]]-Table6[[#This Row],[Work Start TimeStamp]])*24</f>
        <v>0.26666666666666572</v>
      </c>
      <c r="T325" s="472">
        <f>(Table6[[#This Row],[Fault Clearance time]]-Table6[[#This Row],[Fault Start TimeStamp]])*24</f>
        <v>0.26666666666666572</v>
      </c>
      <c r="U325" s="35" t="s">
        <v>349</v>
      </c>
      <c r="V325" s="102" t="s">
        <v>293</v>
      </c>
      <c r="W325" s="478">
        <f>IFERROR(Table6[[#This Row],[Breakdown Time]]*Table6[[#This Row],[Plant Equivalent Weightage]],"")</f>
        <v>1.0256410256410217E-2</v>
      </c>
      <c r="X325" s="473" t="s">
        <v>294</v>
      </c>
      <c r="Y325" s="474" t="s">
        <v>99</v>
      </c>
      <c r="Z325" s="102">
        <v>45701</v>
      </c>
      <c r="AA325" s="468">
        <f>(Table6[[#This Row],[Paired WTG Generation for loss calculation]]/24)*Table6[[#This Row],[Breakdown Time]]</f>
        <v>507.78888888888707</v>
      </c>
      <c r="AB325" s="102"/>
      <c r="AC325" s="35"/>
      <c r="AD325" s="35"/>
    </row>
    <row r="326" spans="1:30">
      <c r="A326" s="102">
        <f t="shared" si="5"/>
        <v>325</v>
      </c>
      <c r="B326" s="468">
        <f>YEAR(Table6[[#This Row],[Date]])+IF(MONTH(Table6[[#This Row],[Date]])&gt;=4,1,0)</f>
        <v>2026</v>
      </c>
      <c r="C326" s="102">
        <f>YEAR(Table6[[#This Row],[Date]])</f>
        <v>2025</v>
      </c>
      <c r="D326" s="102" t="s">
        <v>1992</v>
      </c>
      <c r="E326" s="469">
        <f>Table6[[#This Row],[Date]]-DAY(Table6[[#This Row],[Date]])+1</f>
        <v>45748</v>
      </c>
      <c r="F326" s="470">
        <v>45766</v>
      </c>
      <c r="G326" s="35" t="s">
        <v>84</v>
      </c>
      <c r="H326" s="35" t="str">
        <f>IFERROR(_xlfn.XLOOKUP(Table6[[#This Row],[Affected WTG]],'Basic Data'!$A:$A,'Basic Data'!$B:$B),"")</f>
        <v>TQGXIIPL</v>
      </c>
      <c r="I326" s="35" t="str">
        <f>IFERROR(_xlfn.XLOOKUP(Table6[[#This Row],[Affected WTG]],'Basic Data'!$A:$A,'Basic Data'!$C:$C),"")</f>
        <v>GEDA</v>
      </c>
      <c r="J326" s="471">
        <f>IFERROR(_xlfn.XLOOKUP(Table6[[#This Row],[Affected WTG]],'Basic Data'!$A:$A,'Basic Data'!$E:$E),"")</f>
        <v>3.846153846153845E-2</v>
      </c>
      <c r="K326" s="102">
        <v>6130</v>
      </c>
      <c r="L326" s="35" t="str">
        <f>IFERROR(_xlfn.XLOOKUP(Table6[[#This Row],[Error Code]],'Basic Data'!$AA:$AA,'Basic Data'!$AB:$AB),"Incorrect Error Code")</f>
        <v>Yaw speed high</v>
      </c>
      <c r="M326" s="35" t="s">
        <v>291</v>
      </c>
      <c r="N326" s="475"/>
      <c r="O326" s="476">
        <v>0.60347222222222219</v>
      </c>
      <c r="P326" s="476">
        <v>0.60347222222222219</v>
      </c>
      <c r="Q326" s="477">
        <v>0.60763888888888884</v>
      </c>
      <c r="R326" s="472">
        <f>IF(Table6[[#This Row],[Work Start TimeStamp]]="","",(Table6[[#This Row],[Work Start TimeStamp]]-Table6[[#This Row],[Fault Start TimeStamp]])*24)</f>
        <v>0</v>
      </c>
      <c r="S326" s="472">
        <f>(Table6[[#This Row],[Fault Clearance time]]-Table6[[#This Row],[Work Start TimeStamp]])*24</f>
        <v>9.9999999999999645E-2</v>
      </c>
      <c r="T326" s="472">
        <f>(Table6[[#This Row],[Fault Clearance time]]-Table6[[#This Row],[Fault Start TimeStamp]])*24</f>
        <v>9.9999999999999645E-2</v>
      </c>
      <c r="U326" s="35" t="s">
        <v>349</v>
      </c>
      <c r="V326" s="102" t="s">
        <v>293</v>
      </c>
      <c r="W326" s="478">
        <f>IFERROR(Table6[[#This Row],[Breakdown Time]]*Table6[[#This Row],[Plant Equivalent Weightage]],"")</f>
        <v>3.8461538461538312E-3</v>
      </c>
      <c r="X326" s="473" t="s">
        <v>294</v>
      </c>
      <c r="Y326" s="474" t="s">
        <v>85</v>
      </c>
      <c r="Z326" s="102">
        <v>44692</v>
      </c>
      <c r="AA326" s="468">
        <f>(Table6[[#This Row],[Paired WTG Generation for loss calculation]]/24)*Table6[[#This Row],[Breakdown Time]]</f>
        <v>186.21666666666601</v>
      </c>
      <c r="AB326" s="102"/>
      <c r="AC326" s="35"/>
      <c r="AD326" s="35"/>
    </row>
    <row r="327" spans="1:30">
      <c r="A327" s="102">
        <f t="shared" si="5"/>
        <v>326</v>
      </c>
      <c r="B327" s="468">
        <f>YEAR(Table6[[#This Row],[Date]])+IF(MONTH(Table6[[#This Row],[Date]])&gt;=4,1,0)</f>
        <v>2026</v>
      </c>
      <c r="C327" s="102">
        <f>YEAR(Table6[[#This Row],[Date]])</f>
        <v>2025</v>
      </c>
      <c r="D327" s="102" t="s">
        <v>1992</v>
      </c>
      <c r="E327" s="469">
        <f>Table6[[#This Row],[Date]]-DAY(Table6[[#This Row],[Date]])+1</f>
        <v>45748</v>
      </c>
      <c r="F327" s="470">
        <v>45766</v>
      </c>
      <c r="G327" s="35" t="s">
        <v>85</v>
      </c>
      <c r="H327" s="35" t="str">
        <f>IFERROR(_xlfn.XLOOKUP(Table6[[#This Row],[Affected WTG]],'Basic Data'!$A:$A,'Basic Data'!$B:$B),"")</f>
        <v>TQGXIIPL</v>
      </c>
      <c r="I327" s="35" t="str">
        <f>IFERROR(_xlfn.XLOOKUP(Table6[[#This Row],[Affected WTG]],'Basic Data'!$A:$A,'Basic Data'!$C:$C),"")</f>
        <v>GEDA</v>
      </c>
      <c r="J327" s="471">
        <f>IFERROR(_xlfn.XLOOKUP(Table6[[#This Row],[Affected WTG]],'Basic Data'!$A:$A,'Basic Data'!$E:$E),"")</f>
        <v>3.846153846153845E-2</v>
      </c>
      <c r="K327" s="102">
        <v>1700</v>
      </c>
      <c r="L327" s="35" t="str">
        <f>IFERROR(_xlfn.XLOOKUP(Table6[[#This Row],[Error Code]],'Basic Data'!$AA:$AA,'Basic Data'!$AB:$AB),"Incorrect Error Code")</f>
        <v>High temp. gear bearing 1</v>
      </c>
      <c r="M327" s="35" t="s">
        <v>291</v>
      </c>
      <c r="N327" s="475"/>
      <c r="O327" s="476">
        <v>0.70208333333333328</v>
      </c>
      <c r="P327" s="476">
        <v>0.70208333333333328</v>
      </c>
      <c r="Q327" s="477">
        <v>0.70416666666666672</v>
      </c>
      <c r="R327" s="472">
        <f>IF(Table6[[#This Row],[Work Start TimeStamp]]="","",(Table6[[#This Row],[Work Start TimeStamp]]-Table6[[#This Row],[Fault Start TimeStamp]])*24)</f>
        <v>0</v>
      </c>
      <c r="S327" s="472">
        <f>(Table6[[#This Row],[Fault Clearance time]]-Table6[[#This Row],[Work Start TimeStamp]])*24</f>
        <v>5.0000000000002487E-2</v>
      </c>
      <c r="T327" s="472">
        <f>(Table6[[#This Row],[Fault Clearance time]]-Table6[[#This Row],[Fault Start TimeStamp]])*24</f>
        <v>5.0000000000002487E-2</v>
      </c>
      <c r="U327" s="35" t="s">
        <v>349</v>
      </c>
      <c r="V327" s="102" t="s">
        <v>293</v>
      </c>
      <c r="W327" s="478">
        <f>IFERROR(Table6[[#This Row],[Breakdown Time]]*Table6[[#This Row],[Plant Equivalent Weightage]],"")</f>
        <v>1.9230769230770182E-3</v>
      </c>
      <c r="X327" s="473" t="s">
        <v>294</v>
      </c>
      <c r="Y327" s="474" t="s">
        <v>87</v>
      </c>
      <c r="Z327" s="102">
        <v>42355</v>
      </c>
      <c r="AA327" s="468">
        <f>(Table6[[#This Row],[Paired WTG Generation for loss calculation]]/24)*Table6[[#This Row],[Breakdown Time]]</f>
        <v>88.23958333333772</v>
      </c>
      <c r="AB327" s="102"/>
      <c r="AC327" s="35"/>
      <c r="AD327" s="35"/>
    </row>
    <row r="328" spans="1:30">
      <c r="A328" s="102">
        <f t="shared" si="5"/>
        <v>327</v>
      </c>
      <c r="B328" s="468">
        <f>YEAR(Table6[[#This Row],[Date]])+IF(MONTH(Table6[[#This Row],[Date]])&gt;=4,1,0)</f>
        <v>2026</v>
      </c>
      <c r="C328" s="102">
        <f>YEAR(Table6[[#This Row],[Date]])</f>
        <v>2025</v>
      </c>
      <c r="D328" s="102" t="s">
        <v>1992</v>
      </c>
      <c r="E328" s="469">
        <f>Table6[[#This Row],[Date]]-DAY(Table6[[#This Row],[Date]])+1</f>
        <v>45748</v>
      </c>
      <c r="F328" s="470">
        <v>45766</v>
      </c>
      <c r="G328" s="35" t="s">
        <v>87</v>
      </c>
      <c r="H328" s="35" t="str">
        <f>IFERROR(_xlfn.XLOOKUP(Table6[[#This Row],[Affected WTG]],'Basic Data'!$A:$A,'Basic Data'!$B:$B),"")</f>
        <v>TQGXIIPL</v>
      </c>
      <c r="I328" s="35" t="str">
        <f>IFERROR(_xlfn.XLOOKUP(Table6[[#This Row],[Affected WTG]],'Basic Data'!$A:$A,'Basic Data'!$C:$C),"")</f>
        <v>GEDA</v>
      </c>
      <c r="J328" s="471">
        <f>IFERROR(_xlfn.XLOOKUP(Table6[[#This Row],[Affected WTG]],'Basic Data'!$A:$A,'Basic Data'!$E:$E),"")</f>
        <v>3.846153846153845E-2</v>
      </c>
      <c r="K328" s="102">
        <v>4960</v>
      </c>
      <c r="L328" s="35" t="str">
        <f>IFERROR(_xlfn.XLOOKUP(Table6[[#This Row],[Error Code]],'Basic Data'!$AA:$AA,'Basic Data'!$AB:$AB),"Incorrect Error Code")</f>
        <v>Tower oscillation YF</v>
      </c>
      <c r="M328" s="35" t="s">
        <v>291</v>
      </c>
      <c r="N328" s="475"/>
      <c r="O328" s="476">
        <v>0.52500000000000002</v>
      </c>
      <c r="P328" s="476">
        <v>0.52500000000000002</v>
      </c>
      <c r="Q328" s="477">
        <v>0.53263888888888888</v>
      </c>
      <c r="R328" s="472">
        <f>IF(Table6[[#This Row],[Work Start TimeStamp]]="","",(Table6[[#This Row],[Work Start TimeStamp]]-Table6[[#This Row],[Fault Start TimeStamp]])*24)</f>
        <v>0</v>
      </c>
      <c r="S328" s="472">
        <f>(Table6[[#This Row],[Fault Clearance time]]-Table6[[#This Row],[Work Start TimeStamp]])*24</f>
        <v>0.18333333333333268</v>
      </c>
      <c r="T328" s="472">
        <f>(Table6[[#This Row],[Fault Clearance time]]-Table6[[#This Row],[Fault Start TimeStamp]])*24</f>
        <v>0.18333333333333268</v>
      </c>
      <c r="U328" s="35" t="s">
        <v>349</v>
      </c>
      <c r="V328" s="102" t="s">
        <v>293</v>
      </c>
      <c r="W328" s="478">
        <f>IFERROR(Table6[[#This Row],[Breakdown Time]]*Table6[[#This Row],[Plant Equivalent Weightage]],"")</f>
        <v>7.0512820512820245E-3</v>
      </c>
      <c r="X328" s="473" t="s">
        <v>294</v>
      </c>
      <c r="Y328" s="474" t="s">
        <v>85</v>
      </c>
      <c r="Z328" s="102">
        <v>44692</v>
      </c>
      <c r="AA328" s="468">
        <f>(Table6[[#This Row],[Paired WTG Generation for loss calculation]]/24)*Table6[[#This Row],[Breakdown Time]]</f>
        <v>341.39722222222105</v>
      </c>
      <c r="AB328" s="102"/>
      <c r="AC328" s="35"/>
      <c r="AD328" s="35"/>
    </row>
    <row r="329" spans="1:30">
      <c r="A329" s="102">
        <f t="shared" si="5"/>
        <v>328</v>
      </c>
      <c r="B329" s="468">
        <f>YEAR(Table6[[#This Row],[Date]])+IF(MONTH(Table6[[#This Row],[Date]])&gt;=4,1,0)</f>
        <v>2026</v>
      </c>
      <c r="C329" s="102">
        <f>YEAR(Table6[[#This Row],[Date]])</f>
        <v>2025</v>
      </c>
      <c r="D329" s="102" t="s">
        <v>1992</v>
      </c>
      <c r="E329" s="469">
        <f>Table6[[#This Row],[Date]]-DAY(Table6[[#This Row],[Date]])+1</f>
        <v>45748</v>
      </c>
      <c r="F329" s="470">
        <v>45766</v>
      </c>
      <c r="G329" s="35" t="s">
        <v>91</v>
      </c>
      <c r="H329" s="35" t="str">
        <f>IFERROR(_xlfn.XLOOKUP(Table6[[#This Row],[Affected WTG]],'Basic Data'!$A:$A,'Basic Data'!$B:$B),"")</f>
        <v>TQGXIIPL</v>
      </c>
      <c r="I329" s="35" t="str">
        <f>IFERROR(_xlfn.XLOOKUP(Table6[[#This Row],[Affected WTG]],'Basic Data'!$A:$A,'Basic Data'!$C:$C),"")</f>
        <v>GEDA</v>
      </c>
      <c r="J329" s="471">
        <f>IFERROR(_xlfn.XLOOKUP(Table6[[#This Row],[Affected WTG]],'Basic Data'!$A:$A,'Basic Data'!$E:$E),"")</f>
        <v>3.846153846153845E-2</v>
      </c>
      <c r="K329" s="102">
        <v>55</v>
      </c>
      <c r="L329" s="35" t="str">
        <f>IFERROR(_xlfn.XLOOKUP(Table6[[#This Row],[Error Code]],'Basic Data'!$AA:$AA,'Basic Data'!$AB:$AB),"Incorrect Error Code")</f>
        <v>WTG shut down</v>
      </c>
      <c r="M329" s="35" t="s">
        <v>304</v>
      </c>
      <c r="N329" s="475"/>
      <c r="O329" s="476">
        <v>0.28749999999999998</v>
      </c>
      <c r="P329" s="476">
        <v>0.28749999999999998</v>
      </c>
      <c r="Q329" s="477">
        <v>0.65069444444444446</v>
      </c>
      <c r="R329" s="472">
        <f>IF(Table6[[#This Row],[Work Start TimeStamp]]="","",(Table6[[#This Row],[Work Start TimeStamp]]-Table6[[#This Row],[Fault Start TimeStamp]])*24)</f>
        <v>0</v>
      </c>
      <c r="S329" s="472">
        <f>(Table6[[#This Row],[Fault Clearance time]]-Table6[[#This Row],[Work Start TimeStamp]])*24</f>
        <v>8.7166666666666686</v>
      </c>
      <c r="T329" s="472">
        <f>(Table6[[#This Row],[Fault Clearance time]]-Table6[[#This Row],[Fault Start TimeStamp]])*24</f>
        <v>8.7166666666666686</v>
      </c>
      <c r="U329" s="35" t="s">
        <v>351</v>
      </c>
      <c r="V329" s="102" t="s">
        <v>293</v>
      </c>
      <c r="W329" s="478">
        <f>IFERROR(Table6[[#This Row],[Breakdown Time]]*Table6[[#This Row],[Plant Equivalent Weightage]],"")</f>
        <v>0.33525641025641023</v>
      </c>
      <c r="X329" s="473" t="s">
        <v>305</v>
      </c>
      <c r="Y329" s="474" t="s">
        <v>79</v>
      </c>
      <c r="Z329" s="102">
        <v>46454</v>
      </c>
      <c r="AA329" s="468">
        <f>(Table6[[#This Row],[Paired WTG Generation for loss calculation]]/24)*Table6[[#This Row],[Breakdown Time]]</f>
        <v>16871.834722222226</v>
      </c>
      <c r="AB329" s="102"/>
      <c r="AC329" s="35"/>
      <c r="AD329" s="35"/>
    </row>
    <row r="330" spans="1:30">
      <c r="A330" s="102">
        <f t="shared" si="5"/>
        <v>329</v>
      </c>
      <c r="B330" s="468">
        <f>YEAR(Table6[[#This Row],[Date]])+IF(MONTH(Table6[[#This Row],[Date]])&gt;=4,1,0)</f>
        <v>2026</v>
      </c>
      <c r="C330" s="102">
        <f>YEAR(Table6[[#This Row],[Date]])</f>
        <v>2025</v>
      </c>
      <c r="D330" s="102" t="s">
        <v>1992</v>
      </c>
      <c r="E330" s="469">
        <f>Table6[[#This Row],[Date]]-DAY(Table6[[#This Row],[Date]])+1</f>
        <v>45748</v>
      </c>
      <c r="F330" s="470">
        <v>45766</v>
      </c>
      <c r="G330" s="35" t="s">
        <v>93</v>
      </c>
      <c r="H330" s="35" t="str">
        <f>IFERROR(_xlfn.XLOOKUP(Table6[[#This Row],[Affected WTG]],'Basic Data'!$A:$A,'Basic Data'!$B:$B),"")</f>
        <v>TQGXIIPL</v>
      </c>
      <c r="I330" s="35" t="str">
        <f>IFERROR(_xlfn.XLOOKUP(Table6[[#This Row],[Affected WTG]],'Basic Data'!$A:$A,'Basic Data'!$C:$C),"")</f>
        <v>GEDA</v>
      </c>
      <c r="J330" s="471">
        <f>IFERROR(_xlfn.XLOOKUP(Table6[[#This Row],[Affected WTG]],'Basic Data'!$A:$A,'Basic Data'!$E:$E),"")</f>
        <v>3.846153846153845E-2</v>
      </c>
      <c r="K330" s="102">
        <v>4960</v>
      </c>
      <c r="L330" s="35" t="str">
        <f>IFERROR(_xlfn.XLOOKUP(Table6[[#This Row],[Error Code]],'Basic Data'!$AA:$AA,'Basic Data'!$AB:$AB),"Incorrect Error Code")</f>
        <v>Tower oscillation YF</v>
      </c>
      <c r="M330" s="35" t="s">
        <v>291</v>
      </c>
      <c r="N330" s="475"/>
      <c r="O330" s="476">
        <v>0.54097222222222219</v>
      </c>
      <c r="P330" s="476">
        <v>0.54097222222222219</v>
      </c>
      <c r="Q330" s="477">
        <v>0.55208333333333337</v>
      </c>
      <c r="R330" s="472">
        <f>IF(Table6[[#This Row],[Work Start TimeStamp]]="","",(Table6[[#This Row],[Work Start TimeStamp]]-Table6[[#This Row],[Fault Start TimeStamp]])*24)</f>
        <v>0</v>
      </c>
      <c r="S330" s="472">
        <f>(Table6[[#This Row],[Fault Clearance time]]-Table6[[#This Row],[Work Start TimeStamp]])*24</f>
        <v>0.26666666666666838</v>
      </c>
      <c r="T330" s="472">
        <f>(Table6[[#This Row],[Fault Clearance time]]-Table6[[#This Row],[Fault Start TimeStamp]])*24</f>
        <v>0.26666666666666838</v>
      </c>
      <c r="U330" s="35" t="s">
        <v>349</v>
      </c>
      <c r="V330" s="102" t="s">
        <v>293</v>
      </c>
      <c r="W330" s="478">
        <f>IFERROR(Table6[[#This Row],[Breakdown Time]]*Table6[[#This Row],[Plant Equivalent Weightage]],"")</f>
        <v>1.0256410256410319E-2</v>
      </c>
      <c r="X330" s="473" t="s">
        <v>294</v>
      </c>
      <c r="Y330" s="474" t="s">
        <v>97</v>
      </c>
      <c r="Z330" s="102">
        <v>45796</v>
      </c>
      <c r="AA330" s="468">
        <f>(Table6[[#This Row],[Paired WTG Generation for loss calculation]]/24)*Table6[[#This Row],[Breakdown Time]]</f>
        <v>508.84444444444773</v>
      </c>
      <c r="AB330" s="102"/>
      <c r="AC330" s="35"/>
      <c r="AD330" s="35"/>
    </row>
    <row r="331" spans="1:30">
      <c r="A331" s="102">
        <f t="shared" si="5"/>
        <v>330</v>
      </c>
      <c r="B331" s="468">
        <f>YEAR(Table6[[#This Row],[Date]])+IF(MONTH(Table6[[#This Row],[Date]])&gt;=4,1,0)</f>
        <v>2026</v>
      </c>
      <c r="C331" s="102">
        <f>YEAR(Table6[[#This Row],[Date]])</f>
        <v>2025</v>
      </c>
      <c r="D331" s="102" t="s">
        <v>1992</v>
      </c>
      <c r="E331" s="469">
        <f>Table6[[#This Row],[Date]]-DAY(Table6[[#This Row],[Date]])+1</f>
        <v>45748</v>
      </c>
      <c r="F331" s="470">
        <v>45766</v>
      </c>
      <c r="G331" s="35" t="s">
        <v>94</v>
      </c>
      <c r="H331" s="35" t="str">
        <f>IFERROR(_xlfn.XLOOKUP(Table6[[#This Row],[Affected WTG]],'Basic Data'!$A:$A,'Basic Data'!$B:$B),"")</f>
        <v>TQGXIIPL</v>
      </c>
      <c r="I331" s="35" t="str">
        <f>IFERROR(_xlfn.XLOOKUP(Table6[[#This Row],[Affected WTG]],'Basic Data'!$A:$A,'Basic Data'!$C:$C),"")</f>
        <v>GEDA</v>
      </c>
      <c r="J331" s="471">
        <f>IFERROR(_xlfn.XLOOKUP(Table6[[#This Row],[Affected WTG]],'Basic Data'!$A:$A,'Basic Data'!$E:$E),"")</f>
        <v>3.846153846153845E-2</v>
      </c>
      <c r="K331" s="102">
        <v>6130</v>
      </c>
      <c r="L331" s="35" t="str">
        <f>IFERROR(_xlfn.XLOOKUP(Table6[[#This Row],[Error Code]],'Basic Data'!$AA:$AA,'Basic Data'!$AB:$AB),"Incorrect Error Code")</f>
        <v>Yaw speed high</v>
      </c>
      <c r="M331" s="35" t="s">
        <v>291</v>
      </c>
      <c r="N331" s="475"/>
      <c r="O331" s="476">
        <v>0.44166666666666665</v>
      </c>
      <c r="P331" s="476">
        <v>0.44166666666666665</v>
      </c>
      <c r="Q331" s="477">
        <v>0.44583333333333336</v>
      </c>
      <c r="R331" s="472">
        <f>IF(Table6[[#This Row],[Work Start TimeStamp]]="","",(Table6[[#This Row],[Work Start TimeStamp]]-Table6[[#This Row],[Fault Start TimeStamp]])*24)</f>
        <v>0</v>
      </c>
      <c r="S331" s="472">
        <f>(Table6[[#This Row],[Fault Clearance time]]-Table6[[#This Row],[Work Start TimeStamp]])*24</f>
        <v>0.10000000000000098</v>
      </c>
      <c r="T331" s="472">
        <f>(Table6[[#This Row],[Fault Clearance time]]-Table6[[#This Row],[Fault Start TimeStamp]])*24</f>
        <v>0.10000000000000098</v>
      </c>
      <c r="U331" s="35" t="s">
        <v>349</v>
      </c>
      <c r="V331" s="102" t="s">
        <v>293</v>
      </c>
      <c r="W331" s="478">
        <f>IFERROR(Table6[[#This Row],[Breakdown Time]]*Table6[[#This Row],[Plant Equivalent Weightage]],"")</f>
        <v>3.8461538461538824E-3</v>
      </c>
      <c r="X331" s="473" t="s">
        <v>294</v>
      </c>
      <c r="Y331" s="474" t="s">
        <v>79</v>
      </c>
      <c r="Z331" s="102">
        <v>46454</v>
      </c>
      <c r="AA331" s="468">
        <f>(Table6[[#This Row],[Paired WTG Generation for loss calculation]]/24)*Table6[[#This Row],[Breakdown Time]]</f>
        <v>193.55833333333521</v>
      </c>
      <c r="AB331" s="102"/>
      <c r="AC331" s="35"/>
      <c r="AD331" s="35"/>
    </row>
    <row r="332" spans="1:30">
      <c r="A332" s="102">
        <f t="shared" si="5"/>
        <v>331</v>
      </c>
      <c r="B332" s="468">
        <f>YEAR(Table6[[#This Row],[Date]])+IF(MONTH(Table6[[#This Row],[Date]])&gt;=4,1,0)</f>
        <v>2026</v>
      </c>
      <c r="C332" s="102">
        <f>YEAR(Table6[[#This Row],[Date]])</f>
        <v>2025</v>
      </c>
      <c r="D332" s="102" t="s">
        <v>1992</v>
      </c>
      <c r="E332" s="469">
        <f>Table6[[#This Row],[Date]]-DAY(Table6[[#This Row],[Date]])+1</f>
        <v>45748</v>
      </c>
      <c r="F332" s="470">
        <v>45766</v>
      </c>
      <c r="G332" s="35" t="s">
        <v>96</v>
      </c>
      <c r="H332" s="35" t="str">
        <f>IFERROR(_xlfn.XLOOKUP(Table6[[#This Row],[Affected WTG]],'Basic Data'!$A:$A,'Basic Data'!$B:$B),"")</f>
        <v>TQGXIIPL</v>
      </c>
      <c r="I332" s="35" t="str">
        <f>IFERROR(_xlfn.XLOOKUP(Table6[[#This Row],[Affected WTG]],'Basic Data'!$A:$A,'Basic Data'!$C:$C),"")</f>
        <v>GEDA</v>
      </c>
      <c r="J332" s="471">
        <f>IFERROR(_xlfn.XLOOKUP(Table6[[#This Row],[Affected WTG]],'Basic Data'!$A:$A,'Basic Data'!$E:$E),"")</f>
        <v>3.846153846153845E-2</v>
      </c>
      <c r="K332" s="102">
        <v>4960</v>
      </c>
      <c r="L332" s="35" t="str">
        <f>IFERROR(_xlfn.XLOOKUP(Table6[[#This Row],[Error Code]],'Basic Data'!$AA:$AA,'Basic Data'!$AB:$AB),"Incorrect Error Code")</f>
        <v>Tower oscillation YF</v>
      </c>
      <c r="M332" s="35" t="s">
        <v>291</v>
      </c>
      <c r="N332" s="475"/>
      <c r="O332" s="476">
        <v>0.61736111111111114</v>
      </c>
      <c r="P332" s="476">
        <v>0.61736111111111114</v>
      </c>
      <c r="Q332" s="477">
        <v>0.62847222222222221</v>
      </c>
      <c r="R332" s="472">
        <f>IF(Table6[[#This Row],[Work Start TimeStamp]]="","",(Table6[[#This Row],[Work Start TimeStamp]]-Table6[[#This Row],[Fault Start TimeStamp]])*24)</f>
        <v>0</v>
      </c>
      <c r="S332" s="472">
        <f>(Table6[[#This Row],[Fault Clearance time]]-Table6[[#This Row],[Work Start TimeStamp]])*24</f>
        <v>0.26666666666666572</v>
      </c>
      <c r="T332" s="472">
        <f>(Table6[[#This Row],[Fault Clearance time]]-Table6[[#This Row],[Fault Start TimeStamp]])*24</f>
        <v>0.26666666666666572</v>
      </c>
      <c r="U332" s="35" t="s">
        <v>349</v>
      </c>
      <c r="V332" s="102" t="s">
        <v>293</v>
      </c>
      <c r="W332" s="478">
        <f>IFERROR(Table6[[#This Row],[Breakdown Time]]*Table6[[#This Row],[Plant Equivalent Weightage]],"")</f>
        <v>1.0256410256410217E-2</v>
      </c>
      <c r="X332" s="473" t="s">
        <v>294</v>
      </c>
      <c r="Y332" s="474" t="s">
        <v>84</v>
      </c>
      <c r="Z332" s="102">
        <v>45528</v>
      </c>
      <c r="AA332" s="468">
        <f>(Table6[[#This Row],[Paired WTG Generation for loss calculation]]/24)*Table6[[#This Row],[Breakdown Time]]</f>
        <v>505.86666666666486</v>
      </c>
      <c r="AB332" s="102"/>
      <c r="AC332" s="35"/>
      <c r="AD332" s="35"/>
    </row>
    <row r="333" spans="1:30">
      <c r="A333" s="102">
        <f t="shared" si="5"/>
        <v>332</v>
      </c>
      <c r="B333" s="468">
        <f>YEAR(Table6[[#This Row],[Date]])+IF(MONTH(Table6[[#This Row],[Date]])&gt;=4,1,0)</f>
        <v>2026</v>
      </c>
      <c r="C333" s="102">
        <f>YEAR(Table6[[#This Row],[Date]])</f>
        <v>2025</v>
      </c>
      <c r="D333" s="102" t="s">
        <v>1992</v>
      </c>
      <c r="E333" s="469">
        <f>Table6[[#This Row],[Date]]-DAY(Table6[[#This Row],[Date]])+1</f>
        <v>45748</v>
      </c>
      <c r="F333" s="470">
        <v>45766</v>
      </c>
      <c r="G333" s="35" t="s">
        <v>98</v>
      </c>
      <c r="H333" s="35" t="str">
        <f>IFERROR(_xlfn.XLOOKUP(Table6[[#This Row],[Affected WTG]],'Basic Data'!$A:$A,'Basic Data'!$B:$B),"")</f>
        <v>TQGXIIPL</v>
      </c>
      <c r="I333" s="35" t="str">
        <f>IFERROR(_xlfn.XLOOKUP(Table6[[#This Row],[Affected WTG]],'Basic Data'!$A:$A,'Basic Data'!$C:$C),"")</f>
        <v>GEDA</v>
      </c>
      <c r="J333" s="471">
        <f>IFERROR(_xlfn.XLOOKUP(Table6[[#This Row],[Affected WTG]],'Basic Data'!$A:$A,'Basic Data'!$E:$E),"")</f>
        <v>3.846153846153845E-2</v>
      </c>
      <c r="K333" s="102">
        <v>55</v>
      </c>
      <c r="L333" s="35" t="str">
        <f>IFERROR(_xlfn.XLOOKUP(Table6[[#This Row],[Error Code]],'Basic Data'!$AA:$AA,'Basic Data'!$AB:$AB),"Incorrect Error Code")</f>
        <v>WTG shut down</v>
      </c>
      <c r="M333" s="35" t="s">
        <v>330</v>
      </c>
      <c r="N333" s="475"/>
      <c r="O333" s="476">
        <v>0.4375</v>
      </c>
      <c r="P333" s="476">
        <v>0.4375</v>
      </c>
      <c r="Q333" s="477">
        <v>0.46458333333333335</v>
      </c>
      <c r="R333" s="472">
        <f>IF(Table6[[#This Row],[Work Start TimeStamp]]="","",(Table6[[#This Row],[Work Start TimeStamp]]-Table6[[#This Row],[Fault Start TimeStamp]])*24)</f>
        <v>0</v>
      </c>
      <c r="S333" s="472">
        <f>(Table6[[#This Row],[Fault Clearance time]]-Table6[[#This Row],[Work Start TimeStamp]])*24</f>
        <v>0.65000000000000036</v>
      </c>
      <c r="T333" s="472">
        <f>(Table6[[#This Row],[Fault Clearance time]]-Table6[[#This Row],[Fault Start TimeStamp]])*24</f>
        <v>0.65000000000000036</v>
      </c>
      <c r="U333" s="35" t="s">
        <v>337</v>
      </c>
      <c r="V333" s="102" t="s">
        <v>293</v>
      </c>
      <c r="W333" s="478">
        <f>IFERROR(Table6[[#This Row],[Breakdown Time]]*Table6[[#This Row],[Plant Equivalent Weightage]],"")</f>
        <v>2.5000000000000005E-2</v>
      </c>
      <c r="X333" s="473" t="s">
        <v>290</v>
      </c>
      <c r="Y333" s="474" t="s">
        <v>74</v>
      </c>
      <c r="Z333" s="102">
        <v>39027</v>
      </c>
      <c r="AA333" s="468">
        <f>(Table6[[#This Row],[Paired WTG Generation for loss calculation]]/24)*Table6[[#This Row],[Breakdown Time]]</f>
        <v>1056.9812500000005</v>
      </c>
      <c r="AB333" s="102"/>
      <c r="AC333" s="35"/>
      <c r="AD333" s="35"/>
    </row>
    <row r="334" spans="1:30">
      <c r="A334" s="102">
        <f t="shared" ref="A334:A397" si="6">A333+1</f>
        <v>333</v>
      </c>
      <c r="B334" s="468">
        <f>YEAR(Table6[[#This Row],[Date]])+IF(MONTH(Table6[[#This Row],[Date]])&gt;=4,1,0)</f>
        <v>2026</v>
      </c>
      <c r="C334" s="102">
        <f>YEAR(Table6[[#This Row],[Date]])</f>
        <v>2025</v>
      </c>
      <c r="D334" s="102" t="s">
        <v>1992</v>
      </c>
      <c r="E334" s="469">
        <f>Table6[[#This Row],[Date]]-DAY(Table6[[#This Row],[Date]])+1</f>
        <v>45748</v>
      </c>
      <c r="F334" s="470">
        <v>45766</v>
      </c>
      <c r="G334" s="35" t="s">
        <v>98</v>
      </c>
      <c r="H334" s="35" t="str">
        <f>IFERROR(_xlfn.XLOOKUP(Table6[[#This Row],[Affected WTG]],'Basic Data'!$A:$A,'Basic Data'!$B:$B),"")</f>
        <v>TQGXIIPL</v>
      </c>
      <c r="I334" s="35" t="str">
        <f>IFERROR(_xlfn.XLOOKUP(Table6[[#This Row],[Affected WTG]],'Basic Data'!$A:$A,'Basic Data'!$C:$C),"")</f>
        <v>GEDA</v>
      </c>
      <c r="J334" s="471">
        <f>IFERROR(_xlfn.XLOOKUP(Table6[[#This Row],[Affected WTG]],'Basic Data'!$A:$A,'Basic Data'!$E:$E),"")</f>
        <v>3.846153846153845E-2</v>
      </c>
      <c r="K334" s="102">
        <v>55</v>
      </c>
      <c r="L334" s="35" t="str">
        <f>IFERROR(_xlfn.XLOOKUP(Table6[[#This Row],[Error Code]],'Basic Data'!$AA:$AA,'Basic Data'!$AB:$AB),"Incorrect Error Code")</f>
        <v>WTG shut down</v>
      </c>
      <c r="M334" s="35" t="s">
        <v>330</v>
      </c>
      <c r="N334" s="475"/>
      <c r="O334" s="476">
        <v>0.70486111111111116</v>
      </c>
      <c r="P334" s="476">
        <v>0.70486111111111116</v>
      </c>
      <c r="Q334" s="477">
        <v>0.88194444444444442</v>
      </c>
      <c r="R334" s="472">
        <f>IF(Table6[[#This Row],[Work Start TimeStamp]]="","",(Table6[[#This Row],[Work Start TimeStamp]]-Table6[[#This Row],[Fault Start TimeStamp]])*24)</f>
        <v>0</v>
      </c>
      <c r="S334" s="472">
        <f>(Table6[[#This Row],[Fault Clearance time]]-Table6[[#This Row],[Work Start TimeStamp]])*24</f>
        <v>4.2499999999999982</v>
      </c>
      <c r="T334" s="472">
        <f>(Table6[[#This Row],[Fault Clearance time]]-Table6[[#This Row],[Fault Start TimeStamp]])*24</f>
        <v>4.2499999999999982</v>
      </c>
      <c r="U334" s="35" t="s">
        <v>337</v>
      </c>
      <c r="V334" s="102" t="s">
        <v>293</v>
      </c>
      <c r="W334" s="478">
        <f>IFERROR(Table6[[#This Row],[Breakdown Time]]*Table6[[#This Row],[Plant Equivalent Weightage]],"")</f>
        <v>0.16346153846153835</v>
      </c>
      <c r="X334" s="473" t="s">
        <v>290</v>
      </c>
      <c r="Y334" s="474" t="s">
        <v>74</v>
      </c>
      <c r="Z334" s="102">
        <v>39027</v>
      </c>
      <c r="AA334" s="468">
        <f>(Table6[[#This Row],[Paired WTG Generation for loss calculation]]/24)*Table6[[#This Row],[Breakdown Time]]</f>
        <v>6911.0312499999973</v>
      </c>
      <c r="AB334" s="102"/>
      <c r="AC334" s="35"/>
      <c r="AD334" s="35"/>
    </row>
    <row r="335" spans="1:30">
      <c r="A335" s="102">
        <f t="shared" si="6"/>
        <v>334</v>
      </c>
      <c r="B335" s="468">
        <f>YEAR(Table6[[#This Row],[Date]])+IF(MONTH(Table6[[#This Row],[Date]])&gt;=4,1,0)</f>
        <v>2026</v>
      </c>
      <c r="C335" s="102">
        <f>YEAR(Table6[[#This Row],[Date]])</f>
        <v>2025</v>
      </c>
      <c r="D335" s="102" t="s">
        <v>1992</v>
      </c>
      <c r="E335" s="469">
        <f>Table6[[#This Row],[Date]]-DAY(Table6[[#This Row],[Date]])+1</f>
        <v>45748</v>
      </c>
      <c r="F335" s="470">
        <v>45767</v>
      </c>
      <c r="G335" s="35" t="s">
        <v>74</v>
      </c>
      <c r="H335" s="35" t="str">
        <f>IFERROR(_xlfn.XLOOKUP(Table6[[#This Row],[Affected WTG]],'Basic Data'!$A:$A,'Basic Data'!$B:$B),"")</f>
        <v>TQGXIIPL</v>
      </c>
      <c r="I335" s="35" t="str">
        <f>IFERROR(_xlfn.XLOOKUP(Table6[[#This Row],[Affected WTG]],'Basic Data'!$A:$A,'Basic Data'!$C:$C),"")</f>
        <v>GEDA</v>
      </c>
      <c r="J335" s="471">
        <f>IFERROR(_xlfn.XLOOKUP(Table6[[#This Row],[Affected WTG]],'Basic Data'!$A:$A,'Basic Data'!$E:$E),"")</f>
        <v>3.846153846153845E-2</v>
      </c>
      <c r="K335" s="102">
        <v>3110</v>
      </c>
      <c r="L335" s="35" t="str">
        <f>IFERROR(_xlfn.XLOOKUP(Table6[[#This Row],[Error Code]],'Basic Data'!$AA:$AA,'Basic Data'!$AB:$AB),"Incorrect Error Code")</f>
        <v>Frequency converter error</v>
      </c>
      <c r="M335" s="35" t="s">
        <v>291</v>
      </c>
      <c r="N335" s="475"/>
      <c r="O335" s="476">
        <v>0.93263888888888891</v>
      </c>
      <c r="P335" s="476">
        <v>0.97777777777777775</v>
      </c>
      <c r="Q335" s="477">
        <v>0.99998842592592596</v>
      </c>
      <c r="R335" s="472">
        <f>IF(Table6[[#This Row],[Work Start TimeStamp]]="","",(Table6[[#This Row],[Work Start TimeStamp]]-Table6[[#This Row],[Fault Start TimeStamp]])*24)</f>
        <v>1.0833333333333321</v>
      </c>
      <c r="S335" s="472">
        <f>(Table6[[#This Row],[Fault Clearance time]]-Table6[[#This Row],[Work Start TimeStamp]])*24</f>
        <v>0.53305555555555717</v>
      </c>
      <c r="T335" s="472">
        <f>(Table6[[#This Row],[Fault Clearance time]]-Table6[[#This Row],[Fault Start TimeStamp]])*24</f>
        <v>1.6163888888888893</v>
      </c>
      <c r="U335" s="35" t="s">
        <v>415</v>
      </c>
      <c r="V335" s="102" t="s">
        <v>335</v>
      </c>
      <c r="W335" s="478">
        <f>IFERROR(Table6[[#This Row],[Breakdown Time]]*Table6[[#This Row],[Plant Equivalent Weightage]],"")</f>
        <v>6.2168803418803417E-2</v>
      </c>
      <c r="X335" s="473" t="s">
        <v>294</v>
      </c>
      <c r="Y335" s="474" t="s">
        <v>99</v>
      </c>
      <c r="Z335" s="102">
        <v>22337</v>
      </c>
      <c r="AA335" s="468">
        <f>(Table6[[#This Row],[Paired WTG Generation for loss calculation]]/24)*Table6[[#This Row],[Breakdown Time]]</f>
        <v>1504.3866087962967</v>
      </c>
      <c r="AB335" s="102"/>
      <c r="AC335" s="35"/>
      <c r="AD335" s="35"/>
    </row>
    <row r="336" spans="1:30">
      <c r="A336" s="102">
        <f t="shared" si="6"/>
        <v>335</v>
      </c>
      <c r="B336" s="468">
        <f>YEAR(Table6[[#This Row],[Date]])+IF(MONTH(Table6[[#This Row],[Date]])&gt;=4,1,0)</f>
        <v>2026</v>
      </c>
      <c r="C336" s="102">
        <f>YEAR(Table6[[#This Row],[Date]])</f>
        <v>2025</v>
      </c>
      <c r="D336" s="102" t="s">
        <v>1992</v>
      </c>
      <c r="E336" s="469">
        <f>Table6[[#This Row],[Date]]-DAY(Table6[[#This Row],[Date]])+1</f>
        <v>45748</v>
      </c>
      <c r="F336" s="470">
        <v>45767</v>
      </c>
      <c r="G336" s="35" t="s">
        <v>77</v>
      </c>
      <c r="H336" s="35" t="str">
        <f>IFERROR(_xlfn.XLOOKUP(Table6[[#This Row],[Affected WTG]],'Basic Data'!$A:$A,'Basic Data'!$B:$B),"")</f>
        <v>TQGXIIPL</v>
      </c>
      <c r="I336" s="35" t="str">
        <f>IFERROR(_xlfn.XLOOKUP(Table6[[#This Row],[Affected WTG]],'Basic Data'!$A:$A,'Basic Data'!$C:$C),"")</f>
        <v>GEDA</v>
      </c>
      <c r="J336" s="471">
        <f>IFERROR(_xlfn.XLOOKUP(Table6[[#This Row],[Affected WTG]],'Basic Data'!$A:$A,'Basic Data'!$E:$E),"")</f>
        <v>3.846153846153845E-2</v>
      </c>
      <c r="K336" s="102">
        <v>6130</v>
      </c>
      <c r="L336" s="35" t="str">
        <f>IFERROR(_xlfn.XLOOKUP(Table6[[#This Row],[Error Code]],'Basic Data'!$AA:$AA,'Basic Data'!$AB:$AB),"Incorrect Error Code")</f>
        <v>Yaw speed high</v>
      </c>
      <c r="M336" s="35" t="s">
        <v>292</v>
      </c>
      <c r="N336" s="475"/>
      <c r="O336" s="476">
        <v>0.64236111111111116</v>
      </c>
      <c r="P336" s="476">
        <v>0.64236111111111116</v>
      </c>
      <c r="Q336" s="477">
        <v>0.64652777777777781</v>
      </c>
      <c r="R336" s="472">
        <f>IF(Table6[[#This Row],[Work Start TimeStamp]]="","",(Table6[[#This Row],[Work Start TimeStamp]]-Table6[[#This Row],[Fault Start TimeStamp]])*24)</f>
        <v>0</v>
      </c>
      <c r="S336" s="472">
        <f>(Table6[[#This Row],[Fault Clearance time]]-Table6[[#This Row],[Work Start TimeStamp]])*24</f>
        <v>9.9999999999999645E-2</v>
      </c>
      <c r="T336" s="472">
        <f>(Table6[[#This Row],[Fault Clearance time]]-Table6[[#This Row],[Fault Start TimeStamp]])*24</f>
        <v>9.9999999999999645E-2</v>
      </c>
      <c r="U336" s="35" t="s">
        <v>336</v>
      </c>
      <c r="V336" s="102" t="s">
        <v>293</v>
      </c>
      <c r="W336" s="478">
        <f>IFERROR(Table6[[#This Row],[Breakdown Time]]*Table6[[#This Row],[Plant Equivalent Weightage]],"")</f>
        <v>3.8461538461538312E-3</v>
      </c>
      <c r="X336" s="473" t="s">
        <v>294</v>
      </c>
      <c r="Y336" s="474" t="s">
        <v>80</v>
      </c>
      <c r="Z336" s="102">
        <v>26515</v>
      </c>
      <c r="AA336" s="468">
        <f>(Table6[[#This Row],[Paired WTG Generation for loss calculation]]/24)*Table6[[#This Row],[Breakdown Time]]</f>
        <v>110.47916666666629</v>
      </c>
      <c r="AB336" s="102"/>
      <c r="AC336" s="35"/>
      <c r="AD336" s="35"/>
    </row>
    <row r="337" spans="1:30">
      <c r="A337" s="102">
        <f t="shared" si="6"/>
        <v>336</v>
      </c>
      <c r="B337" s="468">
        <f>YEAR(Table6[[#This Row],[Date]])+IF(MONTH(Table6[[#This Row],[Date]])&gt;=4,1,0)</f>
        <v>2026</v>
      </c>
      <c r="C337" s="102">
        <f>YEAR(Table6[[#This Row],[Date]])</f>
        <v>2025</v>
      </c>
      <c r="D337" s="102" t="s">
        <v>1992</v>
      </c>
      <c r="E337" s="469">
        <f>Table6[[#This Row],[Date]]-DAY(Table6[[#This Row],[Date]])+1</f>
        <v>45748</v>
      </c>
      <c r="F337" s="470">
        <v>45767</v>
      </c>
      <c r="G337" s="35" t="s">
        <v>80</v>
      </c>
      <c r="H337" s="35" t="str">
        <f>IFERROR(_xlfn.XLOOKUP(Table6[[#This Row],[Affected WTG]],'Basic Data'!$A:$A,'Basic Data'!$B:$B),"")</f>
        <v>TQGXIIPL</v>
      </c>
      <c r="I337" s="35" t="str">
        <f>IFERROR(_xlfn.XLOOKUP(Table6[[#This Row],[Affected WTG]],'Basic Data'!$A:$A,'Basic Data'!$C:$C),"")</f>
        <v>GEDA</v>
      </c>
      <c r="J337" s="471">
        <f>IFERROR(_xlfn.XLOOKUP(Table6[[#This Row],[Affected WTG]],'Basic Data'!$A:$A,'Basic Data'!$E:$E),"")</f>
        <v>3.846153846153845E-2</v>
      </c>
      <c r="K337" s="102">
        <v>6130</v>
      </c>
      <c r="L337" s="35" t="str">
        <f>IFERROR(_xlfn.XLOOKUP(Table6[[#This Row],[Error Code]],'Basic Data'!$AA:$AA,'Basic Data'!$AB:$AB),"Incorrect Error Code")</f>
        <v>Yaw speed high</v>
      </c>
      <c r="M337" s="35" t="s">
        <v>292</v>
      </c>
      <c r="N337" s="475"/>
      <c r="O337" s="476">
        <v>0.6020833333333333</v>
      </c>
      <c r="P337" s="476">
        <v>0.6020833333333333</v>
      </c>
      <c r="Q337" s="477">
        <v>0.6069444444444444</v>
      </c>
      <c r="R337" s="472">
        <f>IF(Table6[[#This Row],[Work Start TimeStamp]]="","",(Table6[[#This Row],[Work Start TimeStamp]]-Table6[[#This Row],[Fault Start TimeStamp]])*24)</f>
        <v>0</v>
      </c>
      <c r="S337" s="472">
        <f>(Table6[[#This Row],[Fault Clearance time]]-Table6[[#This Row],[Work Start TimeStamp]])*24</f>
        <v>0.11666666666666625</v>
      </c>
      <c r="T337" s="472">
        <f>(Table6[[#This Row],[Fault Clearance time]]-Table6[[#This Row],[Fault Start TimeStamp]])*24</f>
        <v>0.11666666666666625</v>
      </c>
      <c r="U337" s="35" t="s">
        <v>336</v>
      </c>
      <c r="V337" s="102" t="s">
        <v>293</v>
      </c>
      <c r="W337" s="478">
        <f>IFERROR(Table6[[#This Row],[Breakdown Time]]*Table6[[#This Row],[Plant Equivalent Weightage]],"")</f>
        <v>4.4871794871794695E-3</v>
      </c>
      <c r="X337" s="473" t="s">
        <v>294</v>
      </c>
      <c r="Y337" s="474" t="s">
        <v>77</v>
      </c>
      <c r="Z337" s="102">
        <v>30756</v>
      </c>
      <c r="AA337" s="468">
        <f>(Table6[[#This Row],[Paired WTG Generation for loss calculation]]/24)*Table6[[#This Row],[Breakdown Time]]</f>
        <v>149.50833333333281</v>
      </c>
      <c r="AB337" s="102"/>
      <c r="AC337" s="35"/>
      <c r="AD337" s="35"/>
    </row>
    <row r="338" spans="1:30">
      <c r="A338" s="102">
        <f t="shared" si="6"/>
        <v>337</v>
      </c>
      <c r="B338" s="468">
        <f>YEAR(Table6[[#This Row],[Date]])+IF(MONTH(Table6[[#This Row],[Date]])&gt;=4,1,0)</f>
        <v>2026</v>
      </c>
      <c r="C338" s="102">
        <f>YEAR(Table6[[#This Row],[Date]])</f>
        <v>2025</v>
      </c>
      <c r="D338" s="102" t="s">
        <v>1992</v>
      </c>
      <c r="E338" s="469">
        <f>Table6[[#This Row],[Date]]-DAY(Table6[[#This Row],[Date]])+1</f>
        <v>45748</v>
      </c>
      <c r="F338" s="470">
        <v>45767</v>
      </c>
      <c r="G338" s="35" t="s">
        <v>81</v>
      </c>
      <c r="H338" s="35" t="str">
        <f>IFERROR(_xlfn.XLOOKUP(Table6[[#This Row],[Affected WTG]],'Basic Data'!$A:$A,'Basic Data'!$B:$B),"")</f>
        <v>TQGXIIPL</v>
      </c>
      <c r="I338" s="35" t="str">
        <f>IFERROR(_xlfn.XLOOKUP(Table6[[#This Row],[Affected WTG]],'Basic Data'!$A:$A,'Basic Data'!$C:$C),"")</f>
        <v>GEDA</v>
      </c>
      <c r="J338" s="471">
        <f>IFERROR(_xlfn.XLOOKUP(Table6[[#This Row],[Affected WTG]],'Basic Data'!$A:$A,'Basic Data'!$E:$E),"")</f>
        <v>3.846153846153845E-2</v>
      </c>
      <c r="K338" s="102">
        <v>55</v>
      </c>
      <c r="L338" s="35" t="str">
        <f>IFERROR(_xlfn.XLOOKUP(Table6[[#This Row],[Error Code]],'Basic Data'!$AA:$AA,'Basic Data'!$AB:$AB),"Incorrect Error Code")</f>
        <v>WTG shut down</v>
      </c>
      <c r="M338" s="35" t="s">
        <v>291</v>
      </c>
      <c r="N338" s="475"/>
      <c r="O338" s="476">
        <v>0.66874999999999996</v>
      </c>
      <c r="P338" s="476">
        <v>0.66874999999999996</v>
      </c>
      <c r="Q338" s="477">
        <v>0.67361111111111116</v>
      </c>
      <c r="R338" s="472">
        <f>IF(Table6[[#This Row],[Work Start TimeStamp]]="","",(Table6[[#This Row],[Work Start TimeStamp]]-Table6[[#This Row],[Fault Start TimeStamp]])*24)</f>
        <v>0</v>
      </c>
      <c r="S338" s="472">
        <f>(Table6[[#This Row],[Fault Clearance time]]-Table6[[#This Row],[Work Start TimeStamp]])*24</f>
        <v>0.11666666666666892</v>
      </c>
      <c r="T338" s="472">
        <f>(Table6[[#This Row],[Fault Clearance time]]-Table6[[#This Row],[Fault Start TimeStamp]])*24</f>
        <v>0.11666666666666892</v>
      </c>
      <c r="U338" s="35" t="s">
        <v>389</v>
      </c>
      <c r="V338" s="102" t="s">
        <v>293</v>
      </c>
      <c r="W338" s="478">
        <f>IFERROR(Table6[[#This Row],[Breakdown Time]]*Table6[[#This Row],[Plant Equivalent Weightage]],"")</f>
        <v>4.4871794871795727E-3</v>
      </c>
      <c r="X338" s="473" t="s">
        <v>290</v>
      </c>
      <c r="Y338" s="474" t="s">
        <v>99</v>
      </c>
      <c r="Z338" s="102">
        <v>22337</v>
      </c>
      <c r="AA338" s="468">
        <f>(Table6[[#This Row],[Paired WTG Generation for loss calculation]]/24)*Table6[[#This Row],[Breakdown Time]]</f>
        <v>108.58263888889098</v>
      </c>
      <c r="AB338" s="102"/>
      <c r="AC338" s="35"/>
      <c r="AD338" s="35"/>
    </row>
    <row r="339" spans="1:30">
      <c r="A339" s="102">
        <f t="shared" si="6"/>
        <v>338</v>
      </c>
      <c r="B339" s="468">
        <f>YEAR(Table6[[#This Row],[Date]])+IF(MONTH(Table6[[#This Row],[Date]])&gt;=4,1,0)</f>
        <v>2026</v>
      </c>
      <c r="C339" s="102">
        <f>YEAR(Table6[[#This Row],[Date]])</f>
        <v>2025</v>
      </c>
      <c r="D339" s="102" t="s">
        <v>1992</v>
      </c>
      <c r="E339" s="469">
        <f>Table6[[#This Row],[Date]]-DAY(Table6[[#This Row],[Date]])+1</f>
        <v>45748</v>
      </c>
      <c r="F339" s="470">
        <v>45767</v>
      </c>
      <c r="G339" s="35" t="s">
        <v>82</v>
      </c>
      <c r="H339" s="35" t="str">
        <f>IFERROR(_xlfn.XLOOKUP(Table6[[#This Row],[Affected WTG]],'Basic Data'!$A:$A,'Basic Data'!$B:$B),"")</f>
        <v>TQGXIIPL</v>
      </c>
      <c r="I339" s="35" t="str">
        <f>IFERROR(_xlfn.XLOOKUP(Table6[[#This Row],[Affected WTG]],'Basic Data'!$A:$A,'Basic Data'!$C:$C),"")</f>
        <v>GEDA</v>
      </c>
      <c r="J339" s="471">
        <f>IFERROR(_xlfn.XLOOKUP(Table6[[#This Row],[Affected WTG]],'Basic Data'!$A:$A,'Basic Data'!$E:$E),"")</f>
        <v>3.846153846153845E-2</v>
      </c>
      <c r="K339" s="102">
        <v>55</v>
      </c>
      <c r="L339" s="35" t="str">
        <f>IFERROR(_xlfn.XLOOKUP(Table6[[#This Row],[Error Code]],'Basic Data'!$AA:$AA,'Basic Data'!$AB:$AB),"Incorrect Error Code")</f>
        <v>WTG shut down</v>
      </c>
      <c r="M339" s="35" t="s">
        <v>291</v>
      </c>
      <c r="N339" s="475"/>
      <c r="O339" s="476">
        <v>0.6166666666666667</v>
      </c>
      <c r="P339" s="476">
        <v>0.6166666666666667</v>
      </c>
      <c r="Q339" s="477">
        <v>0.625</v>
      </c>
      <c r="R339" s="472">
        <f>IF(Table6[[#This Row],[Work Start TimeStamp]]="","",(Table6[[#This Row],[Work Start TimeStamp]]-Table6[[#This Row],[Fault Start TimeStamp]])*24)</f>
        <v>0</v>
      </c>
      <c r="S339" s="472">
        <f>(Table6[[#This Row],[Fault Clearance time]]-Table6[[#This Row],[Work Start TimeStamp]])*24</f>
        <v>0.19999999999999929</v>
      </c>
      <c r="T339" s="472">
        <f>(Table6[[#This Row],[Fault Clearance time]]-Table6[[#This Row],[Fault Start TimeStamp]])*24</f>
        <v>0.19999999999999929</v>
      </c>
      <c r="U339" s="35" t="s">
        <v>389</v>
      </c>
      <c r="V339" s="102" t="s">
        <v>293</v>
      </c>
      <c r="W339" s="478">
        <f>IFERROR(Table6[[#This Row],[Breakdown Time]]*Table6[[#This Row],[Plant Equivalent Weightage]],"")</f>
        <v>7.6923076923076624E-3</v>
      </c>
      <c r="X339" s="473" t="s">
        <v>290</v>
      </c>
      <c r="Y339" s="474" t="s">
        <v>76</v>
      </c>
      <c r="Z339" s="102">
        <v>22769</v>
      </c>
      <c r="AA339" s="468">
        <f>(Table6[[#This Row],[Paired WTG Generation for loss calculation]]/24)*Table6[[#This Row],[Breakdown Time]]</f>
        <v>189.74166666666599</v>
      </c>
      <c r="AB339" s="102"/>
      <c r="AC339" s="35"/>
      <c r="AD339" s="35"/>
    </row>
    <row r="340" spans="1:30">
      <c r="A340" s="102">
        <f t="shared" si="6"/>
        <v>339</v>
      </c>
      <c r="B340" s="468">
        <f>YEAR(Table6[[#This Row],[Date]])+IF(MONTH(Table6[[#This Row],[Date]])&gt;=4,1,0)</f>
        <v>2026</v>
      </c>
      <c r="C340" s="102">
        <f>YEAR(Table6[[#This Row],[Date]])</f>
        <v>2025</v>
      </c>
      <c r="D340" s="102" t="s">
        <v>1992</v>
      </c>
      <c r="E340" s="469">
        <f>Table6[[#This Row],[Date]]-DAY(Table6[[#This Row],[Date]])+1</f>
        <v>45748</v>
      </c>
      <c r="F340" s="470">
        <v>45767</v>
      </c>
      <c r="G340" s="35" t="s">
        <v>84</v>
      </c>
      <c r="H340" s="35" t="str">
        <f>IFERROR(_xlfn.XLOOKUP(Table6[[#This Row],[Affected WTG]],'Basic Data'!$A:$A,'Basic Data'!$B:$B),"")</f>
        <v>TQGXIIPL</v>
      </c>
      <c r="I340" s="35" t="str">
        <f>IFERROR(_xlfn.XLOOKUP(Table6[[#This Row],[Affected WTG]],'Basic Data'!$A:$A,'Basic Data'!$C:$C),"")</f>
        <v>GEDA</v>
      </c>
      <c r="J340" s="471">
        <f>IFERROR(_xlfn.XLOOKUP(Table6[[#This Row],[Affected WTG]],'Basic Data'!$A:$A,'Basic Data'!$E:$E),"")</f>
        <v>3.846153846153845E-2</v>
      </c>
      <c r="K340" s="102">
        <v>55</v>
      </c>
      <c r="L340" s="35" t="str">
        <f>IFERROR(_xlfn.XLOOKUP(Table6[[#This Row],[Error Code]],'Basic Data'!$AA:$AA,'Basic Data'!$AB:$AB),"Incorrect Error Code")</f>
        <v>WTG shut down</v>
      </c>
      <c r="M340" s="35" t="s">
        <v>291</v>
      </c>
      <c r="N340" s="475"/>
      <c r="O340" s="476">
        <v>0.68333333333333335</v>
      </c>
      <c r="P340" s="476">
        <v>0.68333333333333335</v>
      </c>
      <c r="Q340" s="477">
        <v>0.68819444444444444</v>
      </c>
      <c r="R340" s="472">
        <f>IF(Table6[[#This Row],[Work Start TimeStamp]]="","",(Table6[[#This Row],[Work Start TimeStamp]]-Table6[[#This Row],[Fault Start TimeStamp]])*24)</f>
        <v>0</v>
      </c>
      <c r="S340" s="472">
        <f>(Table6[[#This Row],[Fault Clearance time]]-Table6[[#This Row],[Work Start TimeStamp]])*24</f>
        <v>0.11666666666666625</v>
      </c>
      <c r="T340" s="472">
        <f>(Table6[[#This Row],[Fault Clearance time]]-Table6[[#This Row],[Fault Start TimeStamp]])*24</f>
        <v>0.11666666666666625</v>
      </c>
      <c r="U340" s="35" t="s">
        <v>389</v>
      </c>
      <c r="V340" s="102" t="s">
        <v>293</v>
      </c>
      <c r="W340" s="478">
        <f>IFERROR(Table6[[#This Row],[Breakdown Time]]*Table6[[#This Row],[Plant Equivalent Weightage]],"")</f>
        <v>4.4871794871794695E-3</v>
      </c>
      <c r="X340" s="473" t="s">
        <v>290</v>
      </c>
      <c r="Y340" s="474" t="s">
        <v>85</v>
      </c>
      <c r="Z340" s="102">
        <v>27081</v>
      </c>
      <c r="AA340" s="468">
        <f>(Table6[[#This Row],[Paired WTG Generation for loss calculation]]/24)*Table6[[#This Row],[Breakdown Time]]</f>
        <v>131.64374999999953</v>
      </c>
      <c r="AB340" s="102"/>
      <c r="AC340" s="35"/>
      <c r="AD340" s="35"/>
    </row>
    <row r="341" spans="1:30">
      <c r="A341" s="102">
        <f t="shared" si="6"/>
        <v>340</v>
      </c>
      <c r="B341" s="468">
        <f>YEAR(Table6[[#This Row],[Date]])+IF(MONTH(Table6[[#This Row],[Date]])&gt;=4,1,0)</f>
        <v>2026</v>
      </c>
      <c r="C341" s="102">
        <f>YEAR(Table6[[#This Row],[Date]])</f>
        <v>2025</v>
      </c>
      <c r="D341" s="102" t="s">
        <v>1992</v>
      </c>
      <c r="E341" s="469">
        <f>Table6[[#This Row],[Date]]-DAY(Table6[[#This Row],[Date]])+1</f>
        <v>45748</v>
      </c>
      <c r="F341" s="470">
        <v>45767</v>
      </c>
      <c r="G341" s="35" t="s">
        <v>85</v>
      </c>
      <c r="H341" s="35" t="str">
        <f>IFERROR(_xlfn.XLOOKUP(Table6[[#This Row],[Affected WTG]],'Basic Data'!$A:$A,'Basic Data'!$B:$B),"")</f>
        <v>TQGXIIPL</v>
      </c>
      <c r="I341" s="35" t="str">
        <f>IFERROR(_xlfn.XLOOKUP(Table6[[#This Row],[Affected WTG]],'Basic Data'!$A:$A,'Basic Data'!$C:$C),"")</f>
        <v>GEDA</v>
      </c>
      <c r="J341" s="471">
        <f>IFERROR(_xlfn.XLOOKUP(Table6[[#This Row],[Affected WTG]],'Basic Data'!$A:$A,'Basic Data'!$E:$E),"")</f>
        <v>3.846153846153845E-2</v>
      </c>
      <c r="K341" s="102">
        <v>55</v>
      </c>
      <c r="L341" s="35" t="str">
        <f>IFERROR(_xlfn.XLOOKUP(Table6[[#This Row],[Error Code]],'Basic Data'!$AA:$AA,'Basic Data'!$AB:$AB),"Incorrect Error Code")</f>
        <v>WTG shut down</v>
      </c>
      <c r="M341" s="35" t="s">
        <v>291</v>
      </c>
      <c r="N341" s="475"/>
      <c r="O341" s="476">
        <v>0.73124999999999996</v>
      </c>
      <c r="P341" s="476">
        <v>0.73124999999999996</v>
      </c>
      <c r="Q341" s="477">
        <v>0.74861111111111112</v>
      </c>
      <c r="R341" s="472">
        <f>IF(Table6[[#This Row],[Work Start TimeStamp]]="","",(Table6[[#This Row],[Work Start TimeStamp]]-Table6[[#This Row],[Fault Start TimeStamp]])*24)</f>
        <v>0</v>
      </c>
      <c r="S341" s="472">
        <f>(Table6[[#This Row],[Fault Clearance time]]-Table6[[#This Row],[Work Start TimeStamp]])*24</f>
        <v>0.41666666666666785</v>
      </c>
      <c r="T341" s="472">
        <f>(Table6[[#This Row],[Fault Clearance time]]-Table6[[#This Row],[Fault Start TimeStamp]])*24</f>
        <v>0.41666666666666785</v>
      </c>
      <c r="U341" s="35" t="s">
        <v>389</v>
      </c>
      <c r="V341" s="102" t="s">
        <v>293</v>
      </c>
      <c r="W341" s="478">
        <f>IFERROR(Table6[[#This Row],[Breakdown Time]]*Table6[[#This Row],[Plant Equivalent Weightage]],"")</f>
        <v>1.6025641025641066E-2</v>
      </c>
      <c r="X341" s="473" t="s">
        <v>290</v>
      </c>
      <c r="Y341" s="474" t="s">
        <v>87</v>
      </c>
      <c r="Z341" s="102">
        <v>25432</v>
      </c>
      <c r="AA341" s="468">
        <f>(Table6[[#This Row],[Paired WTG Generation for loss calculation]]/24)*Table6[[#This Row],[Breakdown Time]]</f>
        <v>441.52777777777908</v>
      </c>
      <c r="AB341" s="102"/>
      <c r="AC341" s="35"/>
      <c r="AD341" s="35"/>
    </row>
    <row r="342" spans="1:30">
      <c r="A342" s="102">
        <f t="shared" si="6"/>
        <v>341</v>
      </c>
      <c r="B342" s="468">
        <f>YEAR(Table6[[#This Row],[Date]])+IF(MONTH(Table6[[#This Row],[Date]])&gt;=4,1,0)</f>
        <v>2026</v>
      </c>
      <c r="C342" s="102">
        <f>YEAR(Table6[[#This Row],[Date]])</f>
        <v>2025</v>
      </c>
      <c r="D342" s="102" t="s">
        <v>1992</v>
      </c>
      <c r="E342" s="469">
        <f>Table6[[#This Row],[Date]]-DAY(Table6[[#This Row],[Date]])+1</f>
        <v>45748</v>
      </c>
      <c r="F342" s="470">
        <v>45767</v>
      </c>
      <c r="G342" s="35" t="s">
        <v>86</v>
      </c>
      <c r="H342" s="35" t="str">
        <f>IFERROR(_xlfn.XLOOKUP(Table6[[#This Row],[Affected WTG]],'Basic Data'!$A:$A,'Basic Data'!$B:$B),"")</f>
        <v>TQGXIIPL</v>
      </c>
      <c r="I342" s="35" t="str">
        <f>IFERROR(_xlfn.XLOOKUP(Table6[[#This Row],[Affected WTG]],'Basic Data'!$A:$A,'Basic Data'!$C:$C),"")</f>
        <v>GEDA</v>
      </c>
      <c r="J342" s="471">
        <f>IFERROR(_xlfn.XLOOKUP(Table6[[#This Row],[Affected WTG]],'Basic Data'!$A:$A,'Basic Data'!$E:$E),"")</f>
        <v>3.846153846153845E-2</v>
      </c>
      <c r="K342" s="102">
        <v>6130</v>
      </c>
      <c r="L342" s="35" t="str">
        <f>IFERROR(_xlfn.XLOOKUP(Table6[[#This Row],[Error Code]],'Basic Data'!$AA:$AA,'Basic Data'!$AB:$AB),"Incorrect Error Code")</f>
        <v>Yaw speed high</v>
      </c>
      <c r="M342" s="35" t="s">
        <v>291</v>
      </c>
      <c r="N342" s="475"/>
      <c r="O342" s="476">
        <v>0.58125000000000004</v>
      </c>
      <c r="P342" s="476">
        <v>0.58125000000000004</v>
      </c>
      <c r="Q342" s="477">
        <v>0.5854166666666667</v>
      </c>
      <c r="R342" s="472">
        <f>IF(Table6[[#This Row],[Work Start TimeStamp]]="","",(Table6[[#This Row],[Work Start TimeStamp]]-Table6[[#This Row],[Fault Start TimeStamp]])*24)</f>
        <v>0</v>
      </c>
      <c r="S342" s="472">
        <f>(Table6[[#This Row],[Fault Clearance time]]-Table6[[#This Row],[Work Start TimeStamp]])*24</f>
        <v>9.9999999999999645E-2</v>
      </c>
      <c r="T342" s="472">
        <f>(Table6[[#This Row],[Fault Clearance time]]-Table6[[#This Row],[Fault Start TimeStamp]])*24</f>
        <v>9.9999999999999645E-2</v>
      </c>
      <c r="U342" s="35" t="s">
        <v>349</v>
      </c>
      <c r="V342" s="102" t="s">
        <v>293</v>
      </c>
      <c r="W342" s="478">
        <f>IFERROR(Table6[[#This Row],[Breakdown Time]]*Table6[[#This Row],[Plant Equivalent Weightage]],"")</f>
        <v>3.8461538461538312E-3</v>
      </c>
      <c r="X342" s="473" t="s">
        <v>294</v>
      </c>
      <c r="Y342" s="474" t="s">
        <v>84</v>
      </c>
      <c r="Z342" s="102">
        <v>27364</v>
      </c>
      <c r="AA342" s="468">
        <f>(Table6[[#This Row],[Paired WTG Generation for loss calculation]]/24)*Table6[[#This Row],[Breakdown Time]]</f>
        <v>114.01666666666627</v>
      </c>
      <c r="AB342" s="102"/>
      <c r="AC342" s="35"/>
      <c r="AD342" s="35"/>
    </row>
    <row r="343" spans="1:30">
      <c r="A343" s="102">
        <f t="shared" si="6"/>
        <v>342</v>
      </c>
      <c r="B343" s="468">
        <f>YEAR(Table6[[#This Row],[Date]])+IF(MONTH(Table6[[#This Row],[Date]])&gt;=4,1,0)</f>
        <v>2026</v>
      </c>
      <c r="C343" s="102">
        <f>YEAR(Table6[[#This Row],[Date]])</f>
        <v>2025</v>
      </c>
      <c r="D343" s="102" t="s">
        <v>1992</v>
      </c>
      <c r="E343" s="469">
        <f>Table6[[#This Row],[Date]]-DAY(Table6[[#This Row],[Date]])+1</f>
        <v>45748</v>
      </c>
      <c r="F343" s="470">
        <v>45767</v>
      </c>
      <c r="G343" s="35" t="s">
        <v>86</v>
      </c>
      <c r="H343" s="35" t="str">
        <f>IFERROR(_xlfn.XLOOKUP(Table6[[#This Row],[Affected WTG]],'Basic Data'!$A:$A,'Basic Data'!$B:$B),"")</f>
        <v>TQGXIIPL</v>
      </c>
      <c r="I343" s="35" t="str">
        <f>IFERROR(_xlfn.XLOOKUP(Table6[[#This Row],[Affected WTG]],'Basic Data'!$A:$A,'Basic Data'!$C:$C),"")</f>
        <v>GEDA</v>
      </c>
      <c r="J343" s="471">
        <f>IFERROR(_xlfn.XLOOKUP(Table6[[#This Row],[Affected WTG]],'Basic Data'!$A:$A,'Basic Data'!$E:$E),"")</f>
        <v>3.846153846153845E-2</v>
      </c>
      <c r="K343" s="102">
        <v>55</v>
      </c>
      <c r="L343" s="35" t="str">
        <f>IFERROR(_xlfn.XLOOKUP(Table6[[#This Row],[Error Code]],'Basic Data'!$AA:$AA,'Basic Data'!$AB:$AB),"Incorrect Error Code")</f>
        <v>WTG shut down</v>
      </c>
      <c r="M343" s="35" t="s">
        <v>291</v>
      </c>
      <c r="N343" s="475"/>
      <c r="O343" s="476">
        <v>0.65138888888888891</v>
      </c>
      <c r="P343" s="476">
        <v>0.65138888888888891</v>
      </c>
      <c r="Q343" s="477">
        <v>0.66319444444444442</v>
      </c>
      <c r="R343" s="472">
        <f>IF(Table6[[#This Row],[Work Start TimeStamp]]="","",(Table6[[#This Row],[Work Start TimeStamp]]-Table6[[#This Row],[Fault Start TimeStamp]])*24)</f>
        <v>0</v>
      </c>
      <c r="S343" s="472">
        <f>(Table6[[#This Row],[Fault Clearance time]]-Table6[[#This Row],[Work Start TimeStamp]])*24</f>
        <v>0.28333333333333233</v>
      </c>
      <c r="T343" s="472">
        <f>(Table6[[#This Row],[Fault Clearance time]]-Table6[[#This Row],[Fault Start TimeStamp]])*24</f>
        <v>0.28333333333333233</v>
      </c>
      <c r="U343" s="35" t="s">
        <v>389</v>
      </c>
      <c r="V343" s="102" t="s">
        <v>293</v>
      </c>
      <c r="W343" s="478">
        <f>IFERROR(Table6[[#This Row],[Breakdown Time]]*Table6[[#This Row],[Plant Equivalent Weightage]],"")</f>
        <v>1.0897435897435855E-2</v>
      </c>
      <c r="X343" s="473" t="s">
        <v>290</v>
      </c>
      <c r="Y343" s="474" t="s">
        <v>84</v>
      </c>
      <c r="Z343" s="102">
        <v>27364</v>
      </c>
      <c r="AA343" s="468">
        <f>(Table6[[#This Row],[Paired WTG Generation for loss calculation]]/24)*Table6[[#This Row],[Breakdown Time]]</f>
        <v>323.04722222222108</v>
      </c>
      <c r="AB343" s="102"/>
      <c r="AC343" s="35"/>
      <c r="AD343" s="35"/>
    </row>
    <row r="344" spans="1:30">
      <c r="A344" s="102">
        <f t="shared" si="6"/>
        <v>343</v>
      </c>
      <c r="B344" s="468">
        <f>YEAR(Table6[[#This Row],[Date]])+IF(MONTH(Table6[[#This Row],[Date]])&gt;=4,1,0)</f>
        <v>2026</v>
      </c>
      <c r="C344" s="102">
        <f>YEAR(Table6[[#This Row],[Date]])</f>
        <v>2025</v>
      </c>
      <c r="D344" s="102" t="s">
        <v>1992</v>
      </c>
      <c r="E344" s="469">
        <f>Table6[[#This Row],[Date]]-DAY(Table6[[#This Row],[Date]])+1</f>
        <v>45748</v>
      </c>
      <c r="F344" s="470">
        <v>45767</v>
      </c>
      <c r="G344" s="35" t="s">
        <v>87</v>
      </c>
      <c r="H344" s="35" t="str">
        <f>IFERROR(_xlfn.XLOOKUP(Table6[[#This Row],[Affected WTG]],'Basic Data'!$A:$A,'Basic Data'!$B:$B),"")</f>
        <v>TQGXIIPL</v>
      </c>
      <c r="I344" s="35" t="str">
        <f>IFERROR(_xlfn.XLOOKUP(Table6[[#This Row],[Affected WTG]],'Basic Data'!$A:$A,'Basic Data'!$C:$C),"")</f>
        <v>GEDA</v>
      </c>
      <c r="J344" s="471">
        <f>IFERROR(_xlfn.XLOOKUP(Table6[[#This Row],[Affected WTG]],'Basic Data'!$A:$A,'Basic Data'!$E:$E),"")</f>
        <v>3.846153846153845E-2</v>
      </c>
      <c r="K344" s="102">
        <v>55</v>
      </c>
      <c r="L344" s="35" t="str">
        <f>IFERROR(_xlfn.XLOOKUP(Table6[[#This Row],[Error Code]],'Basic Data'!$AA:$AA,'Basic Data'!$AB:$AB),"Incorrect Error Code")</f>
        <v>WTG shut down</v>
      </c>
      <c r="M344" s="35" t="s">
        <v>291</v>
      </c>
      <c r="N344" s="475"/>
      <c r="O344" s="476">
        <v>0.67638888888888893</v>
      </c>
      <c r="P344" s="476">
        <v>0.67638888888888893</v>
      </c>
      <c r="Q344" s="477">
        <v>0.68055555555555558</v>
      </c>
      <c r="R344" s="472">
        <f>IF(Table6[[#This Row],[Work Start TimeStamp]]="","",(Table6[[#This Row],[Work Start TimeStamp]]-Table6[[#This Row],[Fault Start TimeStamp]])*24)</f>
        <v>0</v>
      </c>
      <c r="S344" s="472">
        <f>(Table6[[#This Row],[Fault Clearance time]]-Table6[[#This Row],[Work Start TimeStamp]])*24</f>
        <v>9.9999999999999645E-2</v>
      </c>
      <c r="T344" s="472">
        <f>(Table6[[#This Row],[Fault Clearance time]]-Table6[[#This Row],[Fault Start TimeStamp]])*24</f>
        <v>9.9999999999999645E-2</v>
      </c>
      <c r="U344" s="35" t="s">
        <v>389</v>
      </c>
      <c r="V344" s="102" t="s">
        <v>293</v>
      </c>
      <c r="W344" s="478">
        <f>IFERROR(Table6[[#This Row],[Breakdown Time]]*Table6[[#This Row],[Plant Equivalent Weightage]],"")</f>
        <v>3.8461538461538312E-3</v>
      </c>
      <c r="X344" s="473" t="s">
        <v>290</v>
      </c>
      <c r="Y344" s="474" t="s">
        <v>85</v>
      </c>
      <c r="Z344" s="102">
        <v>27081</v>
      </c>
      <c r="AA344" s="468">
        <f>(Table6[[#This Row],[Paired WTG Generation for loss calculation]]/24)*Table6[[#This Row],[Breakdown Time]]</f>
        <v>112.83749999999959</v>
      </c>
      <c r="AB344" s="102"/>
      <c r="AC344" s="35"/>
      <c r="AD344" s="35"/>
    </row>
    <row r="345" spans="1:30">
      <c r="A345" s="102">
        <f t="shared" si="6"/>
        <v>344</v>
      </c>
      <c r="B345" s="468">
        <f>YEAR(Table6[[#This Row],[Date]])+IF(MONTH(Table6[[#This Row],[Date]])&gt;=4,1,0)</f>
        <v>2026</v>
      </c>
      <c r="C345" s="102">
        <f>YEAR(Table6[[#This Row],[Date]])</f>
        <v>2025</v>
      </c>
      <c r="D345" s="102" t="s">
        <v>1992</v>
      </c>
      <c r="E345" s="469">
        <f>Table6[[#This Row],[Date]]-DAY(Table6[[#This Row],[Date]])+1</f>
        <v>45748</v>
      </c>
      <c r="F345" s="470">
        <v>45767</v>
      </c>
      <c r="G345" s="35" t="s">
        <v>89</v>
      </c>
      <c r="H345" s="35" t="str">
        <f>IFERROR(_xlfn.XLOOKUP(Table6[[#This Row],[Affected WTG]],'Basic Data'!$A:$A,'Basic Data'!$B:$B),"")</f>
        <v>TQGXIIPL</v>
      </c>
      <c r="I345" s="35" t="str">
        <f>IFERROR(_xlfn.XLOOKUP(Table6[[#This Row],[Affected WTG]],'Basic Data'!$A:$A,'Basic Data'!$C:$C),"")</f>
        <v>GEDA</v>
      </c>
      <c r="J345" s="471">
        <f>IFERROR(_xlfn.XLOOKUP(Table6[[#This Row],[Affected WTG]],'Basic Data'!$A:$A,'Basic Data'!$E:$E),"")</f>
        <v>3.846153846153845E-2</v>
      </c>
      <c r="K345" s="102">
        <v>55</v>
      </c>
      <c r="L345" s="35" t="str">
        <f>IFERROR(_xlfn.XLOOKUP(Table6[[#This Row],[Error Code]],'Basic Data'!$AA:$AA,'Basic Data'!$AB:$AB),"Incorrect Error Code")</f>
        <v>WTG shut down</v>
      </c>
      <c r="M345" s="35" t="s">
        <v>291</v>
      </c>
      <c r="N345" s="475"/>
      <c r="O345" s="476">
        <v>0.62013888888888891</v>
      </c>
      <c r="P345" s="476">
        <v>0.62013888888888891</v>
      </c>
      <c r="Q345" s="477">
        <v>0.62638888888888888</v>
      </c>
      <c r="R345" s="472">
        <f>IF(Table6[[#This Row],[Work Start TimeStamp]]="","",(Table6[[#This Row],[Work Start TimeStamp]]-Table6[[#This Row],[Fault Start TimeStamp]])*24)</f>
        <v>0</v>
      </c>
      <c r="S345" s="472">
        <f>(Table6[[#This Row],[Fault Clearance time]]-Table6[[#This Row],[Work Start TimeStamp]])*24</f>
        <v>0.14999999999999947</v>
      </c>
      <c r="T345" s="472">
        <f>(Table6[[#This Row],[Fault Clearance time]]-Table6[[#This Row],[Fault Start TimeStamp]])*24</f>
        <v>0.14999999999999947</v>
      </c>
      <c r="U345" s="35" t="s">
        <v>389</v>
      </c>
      <c r="V345" s="102" t="s">
        <v>293</v>
      </c>
      <c r="W345" s="478">
        <f>IFERROR(Table6[[#This Row],[Breakdown Time]]*Table6[[#This Row],[Plant Equivalent Weightage]],"")</f>
        <v>5.769230769230747E-3</v>
      </c>
      <c r="X345" s="473" t="s">
        <v>290</v>
      </c>
      <c r="Y345" s="474" t="s">
        <v>94</v>
      </c>
      <c r="Z345" s="102">
        <v>29926</v>
      </c>
      <c r="AA345" s="468">
        <f>(Table6[[#This Row],[Paired WTG Generation for loss calculation]]/24)*Table6[[#This Row],[Breakdown Time]]</f>
        <v>187.03749999999934</v>
      </c>
      <c r="AB345" s="102"/>
      <c r="AC345" s="35"/>
      <c r="AD345" s="35"/>
    </row>
    <row r="346" spans="1:30">
      <c r="A346" s="102">
        <f t="shared" si="6"/>
        <v>345</v>
      </c>
      <c r="B346" s="468">
        <f>YEAR(Table6[[#This Row],[Date]])+IF(MONTH(Table6[[#This Row],[Date]])&gt;=4,1,0)</f>
        <v>2026</v>
      </c>
      <c r="C346" s="102">
        <f>YEAR(Table6[[#This Row],[Date]])</f>
        <v>2025</v>
      </c>
      <c r="D346" s="102" t="s">
        <v>1992</v>
      </c>
      <c r="E346" s="469">
        <f>Table6[[#This Row],[Date]]-DAY(Table6[[#This Row],[Date]])+1</f>
        <v>45748</v>
      </c>
      <c r="F346" s="470">
        <v>45767</v>
      </c>
      <c r="G346" s="35" t="s">
        <v>90</v>
      </c>
      <c r="H346" s="35" t="str">
        <f>IFERROR(_xlfn.XLOOKUP(Table6[[#This Row],[Affected WTG]],'Basic Data'!$A:$A,'Basic Data'!$B:$B),"")</f>
        <v>TQGXIIPL</v>
      </c>
      <c r="I346" s="35" t="str">
        <f>IFERROR(_xlfn.XLOOKUP(Table6[[#This Row],[Affected WTG]],'Basic Data'!$A:$A,'Basic Data'!$C:$C),"")</f>
        <v>GEDA</v>
      </c>
      <c r="J346" s="471">
        <f>IFERROR(_xlfn.XLOOKUP(Table6[[#This Row],[Affected WTG]],'Basic Data'!$A:$A,'Basic Data'!$E:$E),"")</f>
        <v>3.846153846153845E-2</v>
      </c>
      <c r="K346" s="102">
        <v>55</v>
      </c>
      <c r="L346" s="35" t="str">
        <f>IFERROR(_xlfn.XLOOKUP(Table6[[#This Row],[Error Code]],'Basic Data'!$AA:$AA,'Basic Data'!$AB:$AB),"Incorrect Error Code")</f>
        <v>WTG shut down</v>
      </c>
      <c r="M346" s="35" t="s">
        <v>291</v>
      </c>
      <c r="N346" s="475"/>
      <c r="O346" s="476">
        <v>0.49375000000000002</v>
      </c>
      <c r="P346" s="476">
        <v>0.49375000000000002</v>
      </c>
      <c r="Q346" s="477">
        <v>0.50138888888888888</v>
      </c>
      <c r="R346" s="472">
        <f>IF(Table6[[#This Row],[Work Start TimeStamp]]="","",(Table6[[#This Row],[Work Start TimeStamp]]-Table6[[#This Row],[Fault Start TimeStamp]])*24)</f>
        <v>0</v>
      </c>
      <c r="S346" s="472">
        <f>(Table6[[#This Row],[Fault Clearance time]]-Table6[[#This Row],[Work Start TimeStamp]])*24</f>
        <v>0.18333333333333268</v>
      </c>
      <c r="T346" s="472">
        <f>(Table6[[#This Row],[Fault Clearance time]]-Table6[[#This Row],[Fault Start TimeStamp]])*24</f>
        <v>0.18333333333333268</v>
      </c>
      <c r="U346" s="35" t="s">
        <v>389</v>
      </c>
      <c r="V346" s="102" t="s">
        <v>293</v>
      </c>
      <c r="W346" s="478">
        <f>IFERROR(Table6[[#This Row],[Breakdown Time]]*Table6[[#This Row],[Plant Equivalent Weightage]],"")</f>
        <v>7.0512820512820245E-3</v>
      </c>
      <c r="X346" s="473" t="s">
        <v>290</v>
      </c>
      <c r="Y346" s="474" t="s">
        <v>95</v>
      </c>
      <c r="Z346" s="102">
        <v>28894</v>
      </c>
      <c r="AA346" s="468">
        <f>(Table6[[#This Row],[Paired WTG Generation for loss calculation]]/24)*Table6[[#This Row],[Breakdown Time]]</f>
        <v>220.7180555555548</v>
      </c>
      <c r="AB346" s="102"/>
      <c r="AC346" s="35"/>
      <c r="AD346" s="35"/>
    </row>
    <row r="347" spans="1:30">
      <c r="A347" s="102">
        <f t="shared" si="6"/>
        <v>346</v>
      </c>
      <c r="B347" s="468">
        <f>YEAR(Table6[[#This Row],[Date]])+IF(MONTH(Table6[[#This Row],[Date]])&gt;=4,1,0)</f>
        <v>2026</v>
      </c>
      <c r="C347" s="102">
        <f>YEAR(Table6[[#This Row],[Date]])</f>
        <v>2025</v>
      </c>
      <c r="D347" s="102" t="s">
        <v>1992</v>
      </c>
      <c r="E347" s="469">
        <f>Table6[[#This Row],[Date]]-DAY(Table6[[#This Row],[Date]])+1</f>
        <v>45748</v>
      </c>
      <c r="F347" s="470">
        <v>45767</v>
      </c>
      <c r="G347" s="35" t="s">
        <v>90</v>
      </c>
      <c r="H347" s="35" t="str">
        <f>IFERROR(_xlfn.XLOOKUP(Table6[[#This Row],[Affected WTG]],'Basic Data'!$A:$A,'Basic Data'!$B:$B),"")</f>
        <v>TQGXIIPL</v>
      </c>
      <c r="I347" s="35" t="str">
        <f>IFERROR(_xlfn.XLOOKUP(Table6[[#This Row],[Affected WTG]],'Basic Data'!$A:$A,'Basic Data'!$C:$C),"")</f>
        <v>GEDA</v>
      </c>
      <c r="J347" s="471">
        <f>IFERROR(_xlfn.XLOOKUP(Table6[[#This Row],[Affected WTG]],'Basic Data'!$A:$A,'Basic Data'!$E:$E),"")</f>
        <v>3.846153846153845E-2</v>
      </c>
      <c r="K347" s="102">
        <v>55</v>
      </c>
      <c r="L347" s="35" t="str">
        <f>IFERROR(_xlfn.XLOOKUP(Table6[[#This Row],[Error Code]],'Basic Data'!$AA:$AA,'Basic Data'!$AB:$AB),"Incorrect Error Code")</f>
        <v>WTG shut down</v>
      </c>
      <c r="M347" s="35" t="s">
        <v>291</v>
      </c>
      <c r="N347" s="475"/>
      <c r="O347" s="476">
        <v>0.57222222222222219</v>
      </c>
      <c r="P347" s="476">
        <v>0.57222222222222219</v>
      </c>
      <c r="Q347" s="477">
        <v>0.57777777777777772</v>
      </c>
      <c r="R347" s="472">
        <f>IF(Table6[[#This Row],[Work Start TimeStamp]]="","",(Table6[[#This Row],[Work Start TimeStamp]]-Table6[[#This Row],[Fault Start TimeStamp]])*24)</f>
        <v>0</v>
      </c>
      <c r="S347" s="472">
        <f>(Table6[[#This Row],[Fault Clearance time]]-Table6[[#This Row],[Work Start TimeStamp]])*24</f>
        <v>0.13333333333333286</v>
      </c>
      <c r="T347" s="472">
        <f>(Table6[[#This Row],[Fault Clearance time]]-Table6[[#This Row],[Fault Start TimeStamp]])*24</f>
        <v>0.13333333333333286</v>
      </c>
      <c r="U347" s="35" t="s">
        <v>389</v>
      </c>
      <c r="V347" s="102" t="s">
        <v>293</v>
      </c>
      <c r="W347" s="478">
        <f>IFERROR(Table6[[#This Row],[Breakdown Time]]*Table6[[#This Row],[Plant Equivalent Weightage]],"")</f>
        <v>5.1282051282051083E-3</v>
      </c>
      <c r="X347" s="473" t="s">
        <v>290</v>
      </c>
      <c r="Y347" s="474" t="s">
        <v>95</v>
      </c>
      <c r="Z347" s="102">
        <v>28894</v>
      </c>
      <c r="AA347" s="468">
        <f>(Table6[[#This Row],[Paired WTG Generation for loss calculation]]/24)*Table6[[#This Row],[Breakdown Time]]</f>
        <v>160.52222222222167</v>
      </c>
      <c r="AB347" s="102"/>
      <c r="AC347" s="35"/>
      <c r="AD347" s="35"/>
    </row>
    <row r="348" spans="1:30">
      <c r="A348" s="102">
        <f t="shared" si="6"/>
        <v>347</v>
      </c>
      <c r="B348" s="468">
        <f>YEAR(Table6[[#This Row],[Date]])+IF(MONTH(Table6[[#This Row],[Date]])&gt;=4,1,0)</f>
        <v>2026</v>
      </c>
      <c r="C348" s="102">
        <f>YEAR(Table6[[#This Row],[Date]])</f>
        <v>2025</v>
      </c>
      <c r="D348" s="102" t="s">
        <v>1992</v>
      </c>
      <c r="E348" s="469">
        <f>Table6[[#This Row],[Date]]-DAY(Table6[[#This Row],[Date]])+1</f>
        <v>45748</v>
      </c>
      <c r="F348" s="470">
        <v>45767</v>
      </c>
      <c r="G348" s="35" t="s">
        <v>91</v>
      </c>
      <c r="H348" s="35" t="str">
        <f>IFERROR(_xlfn.XLOOKUP(Table6[[#This Row],[Affected WTG]],'Basic Data'!$A:$A,'Basic Data'!$B:$B),"")</f>
        <v>TQGXIIPL</v>
      </c>
      <c r="I348" s="35" t="str">
        <f>IFERROR(_xlfn.XLOOKUP(Table6[[#This Row],[Affected WTG]],'Basic Data'!$A:$A,'Basic Data'!$C:$C),"")</f>
        <v>GEDA</v>
      </c>
      <c r="J348" s="471">
        <f>IFERROR(_xlfn.XLOOKUP(Table6[[#This Row],[Affected WTG]],'Basic Data'!$A:$A,'Basic Data'!$E:$E),"")</f>
        <v>3.846153846153845E-2</v>
      </c>
      <c r="K348" s="102">
        <v>55</v>
      </c>
      <c r="L348" s="35" t="str">
        <f>IFERROR(_xlfn.XLOOKUP(Table6[[#This Row],[Error Code]],'Basic Data'!$AA:$AA,'Basic Data'!$AB:$AB),"Incorrect Error Code")</f>
        <v>WTG shut down</v>
      </c>
      <c r="M348" s="35" t="s">
        <v>304</v>
      </c>
      <c r="N348" s="475"/>
      <c r="O348" s="476">
        <v>0.27847222222222223</v>
      </c>
      <c r="P348" s="476">
        <v>0.28402777777777777</v>
      </c>
      <c r="Q348" s="477">
        <v>0.54374999999999996</v>
      </c>
      <c r="R348" s="472">
        <f>IF(Table6[[#This Row],[Work Start TimeStamp]]="","",(Table6[[#This Row],[Work Start TimeStamp]]-Table6[[#This Row],[Fault Start TimeStamp]])*24)</f>
        <v>0.13333333333333286</v>
      </c>
      <c r="S348" s="472">
        <f>(Table6[[#This Row],[Fault Clearance time]]-Table6[[#This Row],[Work Start TimeStamp]])*24</f>
        <v>6.2333333333333325</v>
      </c>
      <c r="T348" s="472">
        <f>(Table6[[#This Row],[Fault Clearance time]]-Table6[[#This Row],[Fault Start TimeStamp]])*24</f>
        <v>6.3666666666666654</v>
      </c>
      <c r="U348" s="35" t="s">
        <v>357</v>
      </c>
      <c r="V348" s="102" t="s">
        <v>293</v>
      </c>
      <c r="W348" s="478">
        <f>IFERROR(Table6[[#This Row],[Breakdown Time]]*Table6[[#This Row],[Plant Equivalent Weightage]],"")</f>
        <v>0.24487179487179475</v>
      </c>
      <c r="X348" s="473" t="s">
        <v>305</v>
      </c>
      <c r="Y348" s="474" t="s">
        <v>79</v>
      </c>
      <c r="Z348" s="102">
        <v>30187</v>
      </c>
      <c r="AA348" s="468">
        <f>(Table6[[#This Row],[Paired WTG Generation for loss calculation]]/24)*Table6[[#This Row],[Breakdown Time]]</f>
        <v>8007.9402777777768</v>
      </c>
      <c r="AB348" s="102"/>
      <c r="AC348" s="35"/>
      <c r="AD348" s="35"/>
    </row>
    <row r="349" spans="1:30">
      <c r="A349" s="102">
        <f t="shared" si="6"/>
        <v>348</v>
      </c>
      <c r="B349" s="468">
        <f>YEAR(Table6[[#This Row],[Date]])+IF(MONTH(Table6[[#This Row],[Date]])&gt;=4,1,0)</f>
        <v>2026</v>
      </c>
      <c r="C349" s="102">
        <f>YEAR(Table6[[#This Row],[Date]])</f>
        <v>2025</v>
      </c>
      <c r="D349" s="102" t="s">
        <v>1992</v>
      </c>
      <c r="E349" s="469">
        <f>Table6[[#This Row],[Date]]-DAY(Table6[[#This Row],[Date]])+1</f>
        <v>45748</v>
      </c>
      <c r="F349" s="470">
        <v>45767</v>
      </c>
      <c r="G349" s="35" t="s">
        <v>95</v>
      </c>
      <c r="H349" s="35" t="str">
        <f>IFERROR(_xlfn.XLOOKUP(Table6[[#This Row],[Affected WTG]],'Basic Data'!$A:$A,'Basic Data'!$B:$B),"")</f>
        <v>TQGXIIPL</v>
      </c>
      <c r="I349" s="35" t="str">
        <f>IFERROR(_xlfn.XLOOKUP(Table6[[#This Row],[Affected WTG]],'Basic Data'!$A:$A,'Basic Data'!$C:$C),"")</f>
        <v>GEDA</v>
      </c>
      <c r="J349" s="471">
        <f>IFERROR(_xlfn.XLOOKUP(Table6[[#This Row],[Affected WTG]],'Basic Data'!$A:$A,'Basic Data'!$E:$E),"")</f>
        <v>3.846153846153845E-2</v>
      </c>
      <c r="K349" s="102">
        <v>55</v>
      </c>
      <c r="L349" s="35" t="str">
        <f>IFERROR(_xlfn.XLOOKUP(Table6[[#This Row],[Error Code]],'Basic Data'!$AA:$AA,'Basic Data'!$AB:$AB),"Incorrect Error Code")</f>
        <v>WTG shut down</v>
      </c>
      <c r="M349" s="35" t="s">
        <v>291</v>
      </c>
      <c r="N349" s="475"/>
      <c r="O349" s="476">
        <v>0.53680555555555554</v>
      </c>
      <c r="P349" s="476">
        <v>0.53680555555555554</v>
      </c>
      <c r="Q349" s="477">
        <v>0.54374999999999996</v>
      </c>
      <c r="R349" s="472">
        <f>IF(Table6[[#This Row],[Work Start TimeStamp]]="","",(Table6[[#This Row],[Work Start TimeStamp]]-Table6[[#This Row],[Fault Start TimeStamp]])*24)</f>
        <v>0</v>
      </c>
      <c r="S349" s="472">
        <f>(Table6[[#This Row],[Fault Clearance time]]-Table6[[#This Row],[Work Start TimeStamp]])*24</f>
        <v>0.16666666666666607</v>
      </c>
      <c r="T349" s="472">
        <f>(Table6[[#This Row],[Fault Clearance time]]-Table6[[#This Row],[Fault Start TimeStamp]])*24</f>
        <v>0.16666666666666607</v>
      </c>
      <c r="U349" s="35" t="s">
        <v>389</v>
      </c>
      <c r="V349" s="102" t="s">
        <v>293</v>
      </c>
      <c r="W349" s="478">
        <f>IFERROR(Table6[[#This Row],[Breakdown Time]]*Table6[[#This Row],[Plant Equivalent Weightage]],"")</f>
        <v>6.4102564102563857E-3</v>
      </c>
      <c r="X349" s="473" t="s">
        <v>290</v>
      </c>
      <c r="Y349" s="474" t="s">
        <v>79</v>
      </c>
      <c r="Z349" s="102">
        <v>30187</v>
      </c>
      <c r="AA349" s="468">
        <f>(Table6[[#This Row],[Paired WTG Generation for loss calculation]]/24)*Table6[[#This Row],[Breakdown Time]]</f>
        <v>209.63194444444372</v>
      </c>
      <c r="AB349" s="102"/>
      <c r="AC349" s="35"/>
      <c r="AD349" s="35"/>
    </row>
    <row r="350" spans="1:30">
      <c r="A350" s="102">
        <f t="shared" si="6"/>
        <v>349</v>
      </c>
      <c r="B350" s="468">
        <f>YEAR(Table6[[#This Row],[Date]])+IF(MONTH(Table6[[#This Row],[Date]])&gt;=4,1,0)</f>
        <v>2026</v>
      </c>
      <c r="C350" s="102">
        <f>YEAR(Table6[[#This Row],[Date]])</f>
        <v>2025</v>
      </c>
      <c r="D350" s="102" t="s">
        <v>1992</v>
      </c>
      <c r="E350" s="469">
        <f>Table6[[#This Row],[Date]]-DAY(Table6[[#This Row],[Date]])+1</f>
        <v>45748</v>
      </c>
      <c r="F350" s="470">
        <v>45767</v>
      </c>
      <c r="G350" s="35" t="s">
        <v>95</v>
      </c>
      <c r="H350" s="35" t="str">
        <f>IFERROR(_xlfn.XLOOKUP(Table6[[#This Row],[Affected WTG]],'Basic Data'!$A:$A,'Basic Data'!$B:$B),"")</f>
        <v>TQGXIIPL</v>
      </c>
      <c r="I350" s="35" t="str">
        <f>IFERROR(_xlfn.XLOOKUP(Table6[[#This Row],[Affected WTG]],'Basic Data'!$A:$A,'Basic Data'!$C:$C),"")</f>
        <v>GEDA</v>
      </c>
      <c r="J350" s="471">
        <f>IFERROR(_xlfn.XLOOKUP(Table6[[#This Row],[Affected WTG]],'Basic Data'!$A:$A,'Basic Data'!$E:$E),"")</f>
        <v>3.846153846153845E-2</v>
      </c>
      <c r="K350" s="102">
        <v>6130</v>
      </c>
      <c r="L350" s="35" t="str">
        <f>IFERROR(_xlfn.XLOOKUP(Table6[[#This Row],[Error Code]],'Basic Data'!$AA:$AA,'Basic Data'!$AB:$AB),"Incorrect Error Code")</f>
        <v>Yaw speed high</v>
      </c>
      <c r="M350" s="35" t="s">
        <v>292</v>
      </c>
      <c r="N350" s="475"/>
      <c r="O350" s="476">
        <v>0.72569444444444442</v>
      </c>
      <c r="P350" s="476">
        <v>0.72569444444444442</v>
      </c>
      <c r="Q350" s="477">
        <v>0.72986111111111107</v>
      </c>
      <c r="R350" s="472">
        <f>IF(Table6[[#This Row],[Work Start TimeStamp]]="","",(Table6[[#This Row],[Work Start TimeStamp]]-Table6[[#This Row],[Fault Start TimeStamp]])*24)</f>
        <v>0</v>
      </c>
      <c r="S350" s="472">
        <f>(Table6[[#This Row],[Fault Clearance time]]-Table6[[#This Row],[Work Start TimeStamp]])*24</f>
        <v>9.9999999999999645E-2</v>
      </c>
      <c r="T350" s="472">
        <f>(Table6[[#This Row],[Fault Clearance time]]-Table6[[#This Row],[Fault Start TimeStamp]])*24</f>
        <v>9.9999999999999645E-2</v>
      </c>
      <c r="U350" s="35" t="s">
        <v>336</v>
      </c>
      <c r="V350" s="102" t="s">
        <v>293</v>
      </c>
      <c r="W350" s="478">
        <f>IFERROR(Table6[[#This Row],[Breakdown Time]]*Table6[[#This Row],[Plant Equivalent Weightage]],"")</f>
        <v>3.8461538461538312E-3</v>
      </c>
      <c r="X350" s="473" t="s">
        <v>294</v>
      </c>
      <c r="Y350" s="474" t="s">
        <v>79</v>
      </c>
      <c r="Z350" s="102">
        <v>30187</v>
      </c>
      <c r="AA350" s="468">
        <f>(Table6[[#This Row],[Paired WTG Generation for loss calculation]]/24)*Table6[[#This Row],[Breakdown Time]]</f>
        <v>125.77916666666623</v>
      </c>
      <c r="AB350" s="102"/>
      <c r="AC350" s="35"/>
      <c r="AD350" s="35"/>
    </row>
    <row r="351" spans="1:30">
      <c r="A351" s="102">
        <f t="shared" si="6"/>
        <v>350</v>
      </c>
      <c r="B351" s="468">
        <f>YEAR(Table6[[#This Row],[Date]])+IF(MONTH(Table6[[#This Row],[Date]])&gt;=4,1,0)</f>
        <v>2026</v>
      </c>
      <c r="C351" s="102">
        <f>YEAR(Table6[[#This Row],[Date]])</f>
        <v>2025</v>
      </c>
      <c r="D351" s="102" t="s">
        <v>1992</v>
      </c>
      <c r="E351" s="469">
        <f>Table6[[#This Row],[Date]]-DAY(Table6[[#This Row],[Date]])+1</f>
        <v>45748</v>
      </c>
      <c r="F351" s="470">
        <v>45767</v>
      </c>
      <c r="G351" s="35" t="s">
        <v>97</v>
      </c>
      <c r="H351" s="35" t="str">
        <f>IFERROR(_xlfn.XLOOKUP(Table6[[#This Row],[Affected WTG]],'Basic Data'!$A:$A,'Basic Data'!$B:$B),"")</f>
        <v>TQGXIIPL</v>
      </c>
      <c r="I351" s="35" t="str">
        <f>IFERROR(_xlfn.XLOOKUP(Table6[[#This Row],[Affected WTG]],'Basic Data'!$A:$A,'Basic Data'!$C:$C),"")</f>
        <v>GEDA</v>
      </c>
      <c r="J351" s="471">
        <f>IFERROR(_xlfn.XLOOKUP(Table6[[#This Row],[Affected WTG]],'Basic Data'!$A:$A,'Basic Data'!$E:$E),"")</f>
        <v>3.846153846153845E-2</v>
      </c>
      <c r="K351" s="102">
        <v>175</v>
      </c>
      <c r="L351" s="35" t="str">
        <f>IFERROR(_xlfn.XLOOKUP(Table6[[#This Row],[Error Code]],'Basic Data'!$AA:$AA,'Basic Data'!$AB:$AB),"Incorrect Error Code")</f>
        <v>SLC error</v>
      </c>
      <c r="M351" s="35" t="s">
        <v>291</v>
      </c>
      <c r="N351" s="475"/>
      <c r="O351" s="476">
        <v>0.375</v>
      </c>
      <c r="P351" s="476">
        <v>0.375</v>
      </c>
      <c r="Q351" s="477">
        <v>0.38819444444444445</v>
      </c>
      <c r="R351" s="472">
        <f>IF(Table6[[#This Row],[Work Start TimeStamp]]="","",(Table6[[#This Row],[Work Start TimeStamp]]-Table6[[#This Row],[Fault Start TimeStamp]])*24)</f>
        <v>0</v>
      </c>
      <c r="S351" s="472">
        <f>(Table6[[#This Row],[Fault Clearance time]]-Table6[[#This Row],[Work Start TimeStamp]])*24</f>
        <v>0.31666666666666687</v>
      </c>
      <c r="T351" s="472">
        <f>(Table6[[#This Row],[Fault Clearance time]]-Table6[[#This Row],[Fault Start TimeStamp]])*24</f>
        <v>0.31666666666666687</v>
      </c>
      <c r="U351" s="35" t="s">
        <v>349</v>
      </c>
      <c r="V351" s="102" t="s">
        <v>293</v>
      </c>
      <c r="W351" s="478">
        <f>IFERROR(Table6[[#This Row],[Breakdown Time]]*Table6[[#This Row],[Plant Equivalent Weightage]],"")</f>
        <v>1.2179487179487183E-2</v>
      </c>
      <c r="X351" s="473" t="s">
        <v>294</v>
      </c>
      <c r="Y351" s="474" t="s">
        <v>93</v>
      </c>
      <c r="Z351" s="102">
        <v>28383</v>
      </c>
      <c r="AA351" s="468">
        <f>(Table6[[#This Row],[Paired WTG Generation for loss calculation]]/24)*Table6[[#This Row],[Breakdown Time]]</f>
        <v>374.49791666666692</v>
      </c>
      <c r="AB351" s="102"/>
      <c r="AC351" s="35"/>
      <c r="AD351" s="35"/>
    </row>
    <row r="352" spans="1:30">
      <c r="A352" s="102">
        <f t="shared" si="6"/>
        <v>351</v>
      </c>
      <c r="B352" s="468">
        <f>YEAR(Table6[[#This Row],[Date]])+IF(MONTH(Table6[[#This Row],[Date]])&gt;=4,1,0)</f>
        <v>2026</v>
      </c>
      <c r="C352" s="102">
        <f>YEAR(Table6[[#This Row],[Date]])</f>
        <v>2025</v>
      </c>
      <c r="D352" s="102" t="s">
        <v>1992</v>
      </c>
      <c r="E352" s="469">
        <f>Table6[[#This Row],[Date]]-DAY(Table6[[#This Row],[Date]])+1</f>
        <v>45748</v>
      </c>
      <c r="F352" s="470">
        <v>45767</v>
      </c>
      <c r="G352" s="35" t="s">
        <v>99</v>
      </c>
      <c r="H352" s="35" t="str">
        <f>IFERROR(_xlfn.XLOOKUP(Table6[[#This Row],[Affected WTG]],'Basic Data'!$A:$A,'Basic Data'!$B:$B),"")</f>
        <v>TQGXIIPL</v>
      </c>
      <c r="I352" s="35" t="str">
        <f>IFERROR(_xlfn.XLOOKUP(Table6[[#This Row],[Affected WTG]],'Basic Data'!$A:$A,'Basic Data'!$C:$C),"")</f>
        <v>GEDA</v>
      </c>
      <c r="J352" s="471">
        <f>IFERROR(_xlfn.XLOOKUP(Table6[[#This Row],[Affected WTG]],'Basic Data'!$A:$A,'Basic Data'!$E:$E),"")</f>
        <v>3.846153846153845E-2</v>
      </c>
      <c r="K352" s="102">
        <v>658</v>
      </c>
      <c r="L352" s="35" t="str">
        <f>IFERROR(_xlfn.XLOOKUP(Table6[[#This Row],[Error Code]],'Basic Data'!$AA:$AA,'Basic Data'!$AB:$AB),"Incorrect Error Code")</f>
        <v>Error pitch converter 3</v>
      </c>
      <c r="M352" s="35" t="s">
        <v>291</v>
      </c>
      <c r="N352" s="475"/>
      <c r="O352" s="476">
        <v>0.31180555555555556</v>
      </c>
      <c r="P352" s="476">
        <v>0.31180555555555556</v>
      </c>
      <c r="Q352" s="477">
        <v>0.32361111111111113</v>
      </c>
      <c r="R352" s="472">
        <f>IF(Table6[[#This Row],[Work Start TimeStamp]]="","",(Table6[[#This Row],[Work Start TimeStamp]]-Table6[[#This Row],[Fault Start TimeStamp]])*24)</f>
        <v>0</v>
      </c>
      <c r="S352" s="472">
        <f>(Table6[[#This Row],[Fault Clearance time]]-Table6[[#This Row],[Work Start TimeStamp]])*24</f>
        <v>0.28333333333333366</v>
      </c>
      <c r="T352" s="472">
        <f>(Table6[[#This Row],[Fault Clearance time]]-Table6[[#This Row],[Fault Start TimeStamp]])*24</f>
        <v>0.28333333333333366</v>
      </c>
      <c r="U352" s="35" t="s">
        <v>349</v>
      </c>
      <c r="V352" s="102" t="s">
        <v>293</v>
      </c>
      <c r="W352" s="478">
        <f>IFERROR(Table6[[#This Row],[Breakdown Time]]*Table6[[#This Row],[Plant Equivalent Weightage]],"")</f>
        <v>1.0897435897435907E-2</v>
      </c>
      <c r="X352" s="473" t="s">
        <v>294</v>
      </c>
      <c r="Y352" s="474" t="s">
        <v>74</v>
      </c>
      <c r="Z352" s="102">
        <v>24919</v>
      </c>
      <c r="AA352" s="468">
        <f>(Table6[[#This Row],[Paired WTG Generation for loss calculation]]/24)*Table6[[#This Row],[Breakdown Time]]</f>
        <v>294.18263888888924</v>
      </c>
      <c r="AB352" s="102"/>
      <c r="AC352" s="35"/>
      <c r="AD352" s="35"/>
    </row>
    <row r="353" spans="1:30">
      <c r="A353" s="102">
        <f t="shared" si="6"/>
        <v>352</v>
      </c>
      <c r="B353" s="468">
        <f>YEAR(Table6[[#This Row],[Date]])+IF(MONTH(Table6[[#This Row],[Date]])&gt;=4,1,0)</f>
        <v>2026</v>
      </c>
      <c r="C353" s="102">
        <f>YEAR(Table6[[#This Row],[Date]])</f>
        <v>2025</v>
      </c>
      <c r="D353" s="102" t="s">
        <v>1992</v>
      </c>
      <c r="E353" s="469">
        <f>Table6[[#This Row],[Date]]-DAY(Table6[[#This Row],[Date]])+1</f>
        <v>45748</v>
      </c>
      <c r="F353" s="470">
        <v>45768</v>
      </c>
      <c r="G353" s="35" t="s">
        <v>74</v>
      </c>
      <c r="H353" s="35" t="str">
        <f>IFERROR(_xlfn.XLOOKUP(Table6[[#This Row],[Affected WTG]],'Basic Data'!$A:$A,'Basic Data'!$B:$B),"")</f>
        <v>TQGXIIPL</v>
      </c>
      <c r="I353" s="35" t="str">
        <f>IFERROR(_xlfn.XLOOKUP(Table6[[#This Row],[Affected WTG]],'Basic Data'!$A:$A,'Basic Data'!$C:$C),"")</f>
        <v>GEDA</v>
      </c>
      <c r="J353" s="471">
        <f>IFERROR(_xlfn.XLOOKUP(Table6[[#This Row],[Affected WTG]],'Basic Data'!$A:$A,'Basic Data'!$E:$E),"")</f>
        <v>3.846153846153845E-2</v>
      </c>
      <c r="K353" s="102">
        <v>3110</v>
      </c>
      <c r="L353" s="35" t="str">
        <f>IFERROR(_xlfn.XLOOKUP(Table6[[#This Row],[Error Code]],'Basic Data'!$AA:$AA,'Basic Data'!$AB:$AB),"Incorrect Error Code")</f>
        <v>Frequency converter error</v>
      </c>
      <c r="M353" s="35" t="s">
        <v>291</v>
      </c>
      <c r="N353" s="475"/>
      <c r="O353" s="476">
        <v>0</v>
      </c>
      <c r="P353" s="476">
        <v>0</v>
      </c>
      <c r="Q353" s="477">
        <v>9.7222222222222224E-3</v>
      </c>
      <c r="R353" s="472">
        <f>IF(Table6[[#This Row],[Work Start TimeStamp]]="","",(Table6[[#This Row],[Work Start TimeStamp]]-Table6[[#This Row],[Fault Start TimeStamp]])*24)</f>
        <v>0</v>
      </c>
      <c r="S353" s="472">
        <f>(Table6[[#This Row],[Fault Clearance time]]-Table6[[#This Row],[Work Start TimeStamp]])*24</f>
        <v>0.23333333333333334</v>
      </c>
      <c r="T353" s="472">
        <f>(Table6[[#This Row],[Fault Clearance time]]-Table6[[#This Row],[Fault Start TimeStamp]])*24</f>
        <v>0.23333333333333334</v>
      </c>
      <c r="U353" s="35" t="s">
        <v>1699</v>
      </c>
      <c r="V353" s="102" t="s">
        <v>293</v>
      </c>
      <c r="W353" s="478">
        <f>IFERROR(Table6[[#This Row],[Breakdown Time]]*Table6[[#This Row],[Plant Equivalent Weightage]],"")</f>
        <v>8.974358974358972E-3</v>
      </c>
      <c r="X353" s="473" t="s">
        <v>294</v>
      </c>
      <c r="Y353" s="474" t="s">
        <v>99</v>
      </c>
      <c r="Z353" s="102">
        <v>7446</v>
      </c>
      <c r="AA353" s="468">
        <f>(Table6[[#This Row],[Paired WTG Generation for loss calculation]]/24)*Table6[[#This Row],[Breakdown Time]]</f>
        <v>72.391666666666666</v>
      </c>
      <c r="AB353" s="102"/>
      <c r="AC353" s="35"/>
      <c r="AD353" s="35"/>
    </row>
    <row r="354" spans="1:30">
      <c r="A354" s="102">
        <f t="shared" si="6"/>
        <v>353</v>
      </c>
      <c r="B354" s="468">
        <f>YEAR(Table6[[#This Row],[Date]])+IF(MONTH(Table6[[#This Row],[Date]])&gt;=4,1,0)</f>
        <v>2026</v>
      </c>
      <c r="C354" s="102">
        <f>YEAR(Table6[[#This Row],[Date]])</f>
        <v>2025</v>
      </c>
      <c r="D354" s="102" t="s">
        <v>1992</v>
      </c>
      <c r="E354" s="469">
        <f>Table6[[#This Row],[Date]]-DAY(Table6[[#This Row],[Date]])+1</f>
        <v>45748</v>
      </c>
      <c r="F354" s="470">
        <v>45768</v>
      </c>
      <c r="G354" s="35" t="s">
        <v>75</v>
      </c>
      <c r="H354" s="35" t="str">
        <f>IFERROR(_xlfn.XLOOKUP(Table6[[#This Row],[Affected WTG]],'Basic Data'!$A:$A,'Basic Data'!$B:$B),"")</f>
        <v>TQGXIIPL</v>
      </c>
      <c r="I354" s="35" t="str">
        <f>IFERROR(_xlfn.XLOOKUP(Table6[[#This Row],[Affected WTG]],'Basic Data'!$A:$A,'Basic Data'!$C:$C),"")</f>
        <v>GEDA</v>
      </c>
      <c r="J354" s="471">
        <f>IFERROR(_xlfn.XLOOKUP(Table6[[#This Row],[Affected WTG]],'Basic Data'!$A:$A,'Basic Data'!$E:$E),"")</f>
        <v>3.846153846153845E-2</v>
      </c>
      <c r="K354" s="102">
        <v>3000</v>
      </c>
      <c r="L354" s="35" t="str">
        <f>IFERROR(_xlfn.XLOOKUP(Table6[[#This Row],[Error Code]],'Basic Data'!$AA:$AA,'Basic Data'!$AB:$AB),"Incorrect Error Code")</f>
        <v>Frequency converter not ready</v>
      </c>
      <c r="M354" s="35" t="s">
        <v>291</v>
      </c>
      <c r="N354" s="475"/>
      <c r="O354" s="476">
        <v>0.79861111111111116</v>
      </c>
      <c r="P354" s="476">
        <v>0.79861111111111116</v>
      </c>
      <c r="Q354" s="477">
        <v>0.8305555555555556</v>
      </c>
      <c r="R354" s="472">
        <f>IF(Table6[[#This Row],[Work Start TimeStamp]]="","",(Table6[[#This Row],[Work Start TimeStamp]]-Table6[[#This Row],[Fault Start TimeStamp]])*24)</f>
        <v>0</v>
      </c>
      <c r="S354" s="472">
        <f>(Table6[[#This Row],[Fault Clearance time]]-Table6[[#This Row],[Work Start TimeStamp]])*24</f>
        <v>0.76666666666666661</v>
      </c>
      <c r="T354" s="472">
        <f>(Table6[[#This Row],[Fault Clearance time]]-Table6[[#This Row],[Fault Start TimeStamp]])*24</f>
        <v>0.76666666666666661</v>
      </c>
      <c r="U354" s="35" t="s">
        <v>345</v>
      </c>
      <c r="V354" s="102" t="s">
        <v>293</v>
      </c>
      <c r="W354" s="478">
        <f>IFERROR(Table6[[#This Row],[Breakdown Time]]*Table6[[#This Row],[Plant Equivalent Weightage]],"")</f>
        <v>2.9487179487179476E-2</v>
      </c>
      <c r="X354" s="473" t="s">
        <v>294</v>
      </c>
      <c r="Y354" s="474" t="s">
        <v>78</v>
      </c>
      <c r="Z354" s="102">
        <v>12194</v>
      </c>
      <c r="AA354" s="468">
        <f>(Table6[[#This Row],[Paired WTG Generation for loss calculation]]/24)*Table6[[#This Row],[Breakdown Time]]</f>
        <v>389.53055555555551</v>
      </c>
      <c r="AB354" s="102"/>
      <c r="AC354" s="35"/>
      <c r="AD354" s="35"/>
    </row>
    <row r="355" spans="1:30">
      <c r="A355" s="102">
        <f t="shared" si="6"/>
        <v>354</v>
      </c>
      <c r="B355" s="468">
        <f>YEAR(Table6[[#This Row],[Date]])+IF(MONTH(Table6[[#This Row],[Date]])&gt;=4,1,0)</f>
        <v>2026</v>
      </c>
      <c r="C355" s="102">
        <f>YEAR(Table6[[#This Row],[Date]])</f>
        <v>2025</v>
      </c>
      <c r="D355" s="102" t="s">
        <v>1992</v>
      </c>
      <c r="E355" s="469">
        <f>Table6[[#This Row],[Date]]-DAY(Table6[[#This Row],[Date]])+1</f>
        <v>45748</v>
      </c>
      <c r="F355" s="470">
        <v>45768</v>
      </c>
      <c r="G355" s="35" t="s">
        <v>79</v>
      </c>
      <c r="H355" s="35" t="str">
        <f>IFERROR(_xlfn.XLOOKUP(Table6[[#This Row],[Affected WTG]],'Basic Data'!$A:$A,'Basic Data'!$B:$B),"")</f>
        <v>TQGXIIPL</v>
      </c>
      <c r="I355" s="35" t="str">
        <f>IFERROR(_xlfn.XLOOKUP(Table6[[#This Row],[Affected WTG]],'Basic Data'!$A:$A,'Basic Data'!$C:$C),"")</f>
        <v>GEDA</v>
      </c>
      <c r="J355" s="471">
        <f>IFERROR(_xlfn.XLOOKUP(Table6[[#This Row],[Affected WTG]],'Basic Data'!$A:$A,'Basic Data'!$E:$E),"")</f>
        <v>3.846153846153845E-2</v>
      </c>
      <c r="K355" s="102">
        <v>6130</v>
      </c>
      <c r="L355" s="35" t="str">
        <f>IFERROR(_xlfn.XLOOKUP(Table6[[#This Row],[Error Code]],'Basic Data'!$AA:$AA,'Basic Data'!$AB:$AB),"Incorrect Error Code")</f>
        <v>Yaw speed high</v>
      </c>
      <c r="M355" s="35" t="s">
        <v>291</v>
      </c>
      <c r="N355" s="475"/>
      <c r="O355" s="476">
        <v>0.70694444444444449</v>
      </c>
      <c r="P355" s="476">
        <v>0.70694444444444449</v>
      </c>
      <c r="Q355" s="477">
        <v>0.71180555555555558</v>
      </c>
      <c r="R355" s="472">
        <f>IF(Table6[[#This Row],[Work Start TimeStamp]]="","",(Table6[[#This Row],[Work Start TimeStamp]]-Table6[[#This Row],[Fault Start TimeStamp]])*24)</f>
        <v>0</v>
      </c>
      <c r="S355" s="472">
        <f>(Table6[[#This Row],[Fault Clearance time]]-Table6[[#This Row],[Work Start TimeStamp]])*24</f>
        <v>0.11666666666666625</v>
      </c>
      <c r="T355" s="472">
        <f>(Table6[[#This Row],[Fault Clearance time]]-Table6[[#This Row],[Fault Start TimeStamp]])*24</f>
        <v>0.11666666666666625</v>
      </c>
      <c r="U355" s="35" t="s">
        <v>349</v>
      </c>
      <c r="V355" s="102" t="s">
        <v>293</v>
      </c>
      <c r="W355" s="478">
        <f>IFERROR(Table6[[#This Row],[Breakdown Time]]*Table6[[#This Row],[Plant Equivalent Weightage]],"")</f>
        <v>4.4871794871794695E-3</v>
      </c>
      <c r="X355" s="473" t="s">
        <v>294</v>
      </c>
      <c r="Y355" s="474" t="s">
        <v>94</v>
      </c>
      <c r="Z355" s="102">
        <v>9310</v>
      </c>
      <c r="AA355" s="468">
        <f>(Table6[[#This Row],[Paired WTG Generation for loss calculation]]/24)*Table6[[#This Row],[Breakdown Time]]</f>
        <v>45.256944444444287</v>
      </c>
      <c r="AB355" s="102"/>
      <c r="AC355" s="35"/>
      <c r="AD355" s="35"/>
    </row>
    <row r="356" spans="1:30">
      <c r="A356" s="102">
        <f t="shared" si="6"/>
        <v>355</v>
      </c>
      <c r="B356" s="468">
        <f>YEAR(Table6[[#This Row],[Date]])+IF(MONTH(Table6[[#This Row],[Date]])&gt;=4,1,0)</f>
        <v>2026</v>
      </c>
      <c r="C356" s="102">
        <f>YEAR(Table6[[#This Row],[Date]])</f>
        <v>2025</v>
      </c>
      <c r="D356" s="102" t="s">
        <v>1992</v>
      </c>
      <c r="E356" s="469">
        <f>Table6[[#This Row],[Date]]-DAY(Table6[[#This Row],[Date]])+1</f>
        <v>45748</v>
      </c>
      <c r="F356" s="470">
        <v>45768</v>
      </c>
      <c r="G356" s="35" t="s">
        <v>84</v>
      </c>
      <c r="H356" s="35" t="str">
        <f>IFERROR(_xlfn.XLOOKUP(Table6[[#This Row],[Affected WTG]],'Basic Data'!$A:$A,'Basic Data'!$B:$B),"")</f>
        <v>TQGXIIPL</v>
      </c>
      <c r="I356" s="35" t="str">
        <f>IFERROR(_xlfn.XLOOKUP(Table6[[#This Row],[Affected WTG]],'Basic Data'!$A:$A,'Basic Data'!$C:$C),"")</f>
        <v>GEDA</v>
      </c>
      <c r="J356" s="471">
        <f>IFERROR(_xlfn.XLOOKUP(Table6[[#This Row],[Affected WTG]],'Basic Data'!$A:$A,'Basic Data'!$E:$E),"")</f>
        <v>3.846153846153845E-2</v>
      </c>
      <c r="K356" s="102">
        <v>650</v>
      </c>
      <c r="L356" s="35" t="str">
        <f>IFERROR(_xlfn.XLOOKUP(Table6[[#This Row],[Error Code]],'Basic Data'!$AA:$AA,'Basic Data'!$AB:$AB),"Incorrect Error Code")</f>
        <v>Pitch controller communication error</v>
      </c>
      <c r="M356" s="35" t="s">
        <v>291</v>
      </c>
      <c r="N356" s="475"/>
      <c r="O356" s="476">
        <v>0.79861111111111116</v>
      </c>
      <c r="P356" s="476">
        <v>0.79861111111111116</v>
      </c>
      <c r="Q356" s="477">
        <v>0.83263888888888893</v>
      </c>
      <c r="R356" s="472">
        <f>IF(Table6[[#This Row],[Work Start TimeStamp]]="","",(Table6[[#This Row],[Work Start TimeStamp]]-Table6[[#This Row],[Fault Start TimeStamp]])*24)</f>
        <v>0</v>
      </c>
      <c r="S356" s="472">
        <f>(Table6[[#This Row],[Fault Clearance time]]-Table6[[#This Row],[Work Start TimeStamp]])*24</f>
        <v>0.81666666666666643</v>
      </c>
      <c r="T356" s="472">
        <f>(Table6[[#This Row],[Fault Clearance time]]-Table6[[#This Row],[Fault Start TimeStamp]])*24</f>
        <v>0.81666666666666643</v>
      </c>
      <c r="U356" s="35" t="s">
        <v>1700</v>
      </c>
      <c r="V356" s="102" t="s">
        <v>293</v>
      </c>
      <c r="W356" s="478">
        <f>IFERROR(Table6[[#This Row],[Breakdown Time]]*Table6[[#This Row],[Plant Equivalent Weightage]],"")</f>
        <v>3.1410256410256389E-2</v>
      </c>
      <c r="X356" s="473" t="s">
        <v>294</v>
      </c>
      <c r="Y356" s="474" t="s">
        <v>85</v>
      </c>
      <c r="Z356" s="102">
        <v>9575</v>
      </c>
      <c r="AA356" s="468">
        <f>(Table6[[#This Row],[Paired WTG Generation for loss calculation]]/24)*Table6[[#This Row],[Breakdown Time]]</f>
        <v>325.81597222222211</v>
      </c>
      <c r="AB356" s="102"/>
      <c r="AC356" s="35"/>
      <c r="AD356" s="35"/>
    </row>
    <row r="357" spans="1:30">
      <c r="A357" s="102">
        <f t="shared" si="6"/>
        <v>356</v>
      </c>
      <c r="B357" s="468">
        <f>YEAR(Table6[[#This Row],[Date]])+IF(MONTH(Table6[[#This Row],[Date]])&gt;=4,1,0)</f>
        <v>2026</v>
      </c>
      <c r="C357" s="102">
        <f>YEAR(Table6[[#This Row],[Date]])</f>
        <v>2025</v>
      </c>
      <c r="D357" s="102" t="s">
        <v>1992</v>
      </c>
      <c r="E357" s="469">
        <f>Table6[[#This Row],[Date]]-DAY(Table6[[#This Row],[Date]])+1</f>
        <v>45748</v>
      </c>
      <c r="F357" s="470">
        <v>45768</v>
      </c>
      <c r="G357" s="35" t="s">
        <v>84</v>
      </c>
      <c r="H357" s="35" t="str">
        <f>IFERROR(_xlfn.XLOOKUP(Table6[[#This Row],[Affected WTG]],'Basic Data'!$A:$A,'Basic Data'!$B:$B),"")</f>
        <v>TQGXIIPL</v>
      </c>
      <c r="I357" s="35" t="str">
        <f>IFERROR(_xlfn.XLOOKUP(Table6[[#This Row],[Affected WTG]],'Basic Data'!$A:$A,'Basic Data'!$C:$C),"")</f>
        <v>GEDA</v>
      </c>
      <c r="J357" s="471">
        <f>IFERROR(_xlfn.XLOOKUP(Table6[[#This Row],[Affected WTG]],'Basic Data'!$A:$A,'Basic Data'!$E:$E),"")</f>
        <v>3.846153846153845E-2</v>
      </c>
      <c r="K357" s="102">
        <v>665</v>
      </c>
      <c r="L357" s="35" t="str">
        <f>IFERROR(_xlfn.XLOOKUP(Table6[[#This Row],[Error Code]],'Basic Data'!$AA:$AA,'Basic Data'!$AB:$AB),"Incorrect Error Code")</f>
        <v>Pitch error</v>
      </c>
      <c r="M357" s="35" t="s">
        <v>291</v>
      </c>
      <c r="N357" s="475"/>
      <c r="O357" s="476">
        <v>0.85833333333333328</v>
      </c>
      <c r="P357" s="476">
        <v>0.9375</v>
      </c>
      <c r="Q357" s="477">
        <v>0.99998842592592596</v>
      </c>
      <c r="R357" s="472">
        <f>IF(Table6[[#This Row],[Work Start TimeStamp]]="","",(Table6[[#This Row],[Work Start TimeStamp]]-Table6[[#This Row],[Fault Start TimeStamp]])*24)</f>
        <v>1.9000000000000012</v>
      </c>
      <c r="S357" s="472">
        <f>(Table6[[#This Row],[Fault Clearance time]]-Table6[[#This Row],[Work Start TimeStamp]])*24</f>
        <v>1.4997222222222231</v>
      </c>
      <c r="T357" s="472">
        <f>(Table6[[#This Row],[Fault Clearance time]]-Table6[[#This Row],[Fault Start TimeStamp]])*24</f>
        <v>3.3997222222222243</v>
      </c>
      <c r="U357" s="35" t="s">
        <v>1701</v>
      </c>
      <c r="V357" s="102" t="s">
        <v>335</v>
      </c>
      <c r="W357" s="478">
        <f>IFERROR(Table6[[#This Row],[Breakdown Time]]*Table6[[#This Row],[Plant Equivalent Weightage]],"")</f>
        <v>0.13075854700854705</v>
      </c>
      <c r="X357" s="473" t="s">
        <v>294</v>
      </c>
      <c r="Y357" s="474" t="s">
        <v>85</v>
      </c>
      <c r="Z357" s="102">
        <v>9575</v>
      </c>
      <c r="AA357" s="468">
        <f>(Table6[[#This Row],[Paired WTG Generation for loss calculation]]/24)*Table6[[#This Row],[Breakdown Time]]</f>
        <v>1356.3475115740748</v>
      </c>
      <c r="AB357" s="102"/>
      <c r="AC357" s="35"/>
      <c r="AD357" s="35"/>
    </row>
    <row r="358" spans="1:30">
      <c r="A358" s="102">
        <f t="shared" si="6"/>
        <v>357</v>
      </c>
      <c r="B358" s="468">
        <f>YEAR(Table6[[#This Row],[Date]])+IF(MONTH(Table6[[#This Row],[Date]])&gt;=4,1,0)</f>
        <v>2026</v>
      </c>
      <c r="C358" s="102">
        <f>YEAR(Table6[[#This Row],[Date]])</f>
        <v>2025</v>
      </c>
      <c r="D358" s="102" t="s">
        <v>1992</v>
      </c>
      <c r="E358" s="469">
        <f>Table6[[#This Row],[Date]]-DAY(Table6[[#This Row],[Date]])+1</f>
        <v>45748</v>
      </c>
      <c r="F358" s="470">
        <v>45768</v>
      </c>
      <c r="G358" s="35" t="s">
        <v>85</v>
      </c>
      <c r="H358" s="35" t="str">
        <f>IFERROR(_xlfn.XLOOKUP(Table6[[#This Row],[Affected WTG]],'Basic Data'!$A:$A,'Basic Data'!$B:$B),"")</f>
        <v>TQGXIIPL</v>
      </c>
      <c r="I358" s="35" t="str">
        <f>IFERROR(_xlfn.XLOOKUP(Table6[[#This Row],[Affected WTG]],'Basic Data'!$A:$A,'Basic Data'!$C:$C),"")</f>
        <v>GEDA</v>
      </c>
      <c r="J358" s="471">
        <f>IFERROR(_xlfn.XLOOKUP(Table6[[#This Row],[Affected WTG]],'Basic Data'!$A:$A,'Basic Data'!$E:$E),"")</f>
        <v>3.846153846153845E-2</v>
      </c>
      <c r="K358" s="102">
        <v>643</v>
      </c>
      <c r="L358" s="35" t="str">
        <f>IFERROR(_xlfn.XLOOKUP(Table6[[#This Row],[Error Code]],'Basic Data'!$AA:$AA,'Basic Data'!$AB:$AB),"Incorrect Error Code")</f>
        <v>Sim.angle E enc. &lt;&gt; act.angle 3</v>
      </c>
      <c r="M358" s="35" t="s">
        <v>291</v>
      </c>
      <c r="N358" s="475"/>
      <c r="O358" s="476">
        <v>0.39652777777777776</v>
      </c>
      <c r="P358" s="476">
        <v>0.44444444444444442</v>
      </c>
      <c r="Q358" s="477">
        <v>0.52083333333333337</v>
      </c>
      <c r="R358" s="472">
        <f>IF(Table6[[#This Row],[Work Start TimeStamp]]="","",(Table6[[#This Row],[Work Start TimeStamp]]-Table6[[#This Row],[Fault Start TimeStamp]])*24)</f>
        <v>1.1499999999999999</v>
      </c>
      <c r="S358" s="472">
        <f>(Table6[[#This Row],[Fault Clearance time]]-Table6[[#This Row],[Work Start TimeStamp]])*24</f>
        <v>1.8333333333333348</v>
      </c>
      <c r="T358" s="472">
        <f>(Table6[[#This Row],[Fault Clearance time]]-Table6[[#This Row],[Fault Start TimeStamp]])*24</f>
        <v>2.9833333333333347</v>
      </c>
      <c r="U358" s="35" t="s">
        <v>1702</v>
      </c>
      <c r="V358" s="102" t="s">
        <v>293</v>
      </c>
      <c r="W358" s="478">
        <f>IFERROR(Table6[[#This Row],[Breakdown Time]]*Table6[[#This Row],[Plant Equivalent Weightage]],"")</f>
        <v>0.11474358974358977</v>
      </c>
      <c r="X358" s="473" t="s">
        <v>294</v>
      </c>
      <c r="Y358" s="474" t="s">
        <v>87</v>
      </c>
      <c r="Z358" s="102">
        <v>9107</v>
      </c>
      <c r="AA358" s="468">
        <f>(Table6[[#This Row],[Paired WTG Generation for loss calculation]]/24)*Table6[[#This Row],[Breakdown Time]]</f>
        <v>1132.0506944444448</v>
      </c>
      <c r="AB358" s="102"/>
      <c r="AC358" s="35"/>
      <c r="AD358" s="35"/>
    </row>
    <row r="359" spans="1:30">
      <c r="A359" s="102">
        <f t="shared" si="6"/>
        <v>358</v>
      </c>
      <c r="B359" s="468">
        <f>YEAR(Table6[[#This Row],[Date]])+IF(MONTH(Table6[[#This Row],[Date]])&gt;=4,1,0)</f>
        <v>2026</v>
      </c>
      <c r="C359" s="102">
        <f>YEAR(Table6[[#This Row],[Date]])</f>
        <v>2025</v>
      </c>
      <c r="D359" s="102" t="s">
        <v>1992</v>
      </c>
      <c r="E359" s="469">
        <f>Table6[[#This Row],[Date]]-DAY(Table6[[#This Row],[Date]])+1</f>
        <v>45748</v>
      </c>
      <c r="F359" s="470">
        <v>45768</v>
      </c>
      <c r="G359" s="35" t="s">
        <v>87</v>
      </c>
      <c r="H359" s="35" t="str">
        <f>IFERROR(_xlfn.XLOOKUP(Table6[[#This Row],[Affected WTG]],'Basic Data'!$A:$A,'Basic Data'!$B:$B),"")</f>
        <v>TQGXIIPL</v>
      </c>
      <c r="I359" s="35" t="str">
        <f>IFERROR(_xlfn.XLOOKUP(Table6[[#This Row],[Affected WTG]],'Basic Data'!$A:$A,'Basic Data'!$C:$C),"")</f>
        <v>GEDA</v>
      </c>
      <c r="J359" s="471">
        <f>IFERROR(_xlfn.XLOOKUP(Table6[[#This Row],[Affected WTG]],'Basic Data'!$A:$A,'Basic Data'!$E:$E),"")</f>
        <v>3.846153846153845E-2</v>
      </c>
      <c r="K359" s="102">
        <v>641</v>
      </c>
      <c r="L359" s="35" t="str">
        <f>IFERROR(_xlfn.XLOOKUP(Table6[[#This Row],[Error Code]],'Basic Data'!$AA:$AA,'Basic Data'!$AB:$AB),"Incorrect Error Code")</f>
        <v>Sim.angle E enc. &lt;&gt; act.angle 1</v>
      </c>
      <c r="M359" s="35" t="s">
        <v>291</v>
      </c>
      <c r="N359" s="475"/>
      <c r="O359" s="476">
        <v>0.79861111111111116</v>
      </c>
      <c r="P359" s="476">
        <v>0.79861111111111116</v>
      </c>
      <c r="Q359" s="477">
        <v>0.82222222222222219</v>
      </c>
      <c r="R359" s="472">
        <f>IF(Table6[[#This Row],[Work Start TimeStamp]]="","",(Table6[[#This Row],[Work Start TimeStamp]]-Table6[[#This Row],[Fault Start TimeStamp]])*24)</f>
        <v>0</v>
      </c>
      <c r="S359" s="472">
        <f>(Table6[[#This Row],[Fault Clearance time]]-Table6[[#This Row],[Work Start TimeStamp]])*24</f>
        <v>0.56666666666666465</v>
      </c>
      <c r="T359" s="472">
        <f>(Table6[[#This Row],[Fault Clearance time]]-Table6[[#This Row],[Fault Start TimeStamp]])*24</f>
        <v>0.56666666666666465</v>
      </c>
      <c r="U359" s="35" t="s">
        <v>1700</v>
      </c>
      <c r="V359" s="102" t="s">
        <v>293</v>
      </c>
      <c r="W359" s="478">
        <f>IFERROR(Table6[[#This Row],[Breakdown Time]]*Table6[[#This Row],[Plant Equivalent Weightage]],"")</f>
        <v>2.1794871794871711E-2</v>
      </c>
      <c r="X359" s="473" t="s">
        <v>294</v>
      </c>
      <c r="Y359" s="474" t="s">
        <v>85</v>
      </c>
      <c r="Z359" s="102">
        <v>9575</v>
      </c>
      <c r="AA359" s="468">
        <f>(Table6[[#This Row],[Paired WTG Generation for loss calculation]]/24)*Table6[[#This Row],[Breakdown Time]]</f>
        <v>226.07638888888806</v>
      </c>
      <c r="AB359" s="102"/>
      <c r="AC359" s="35"/>
      <c r="AD359" s="35"/>
    </row>
    <row r="360" spans="1:30">
      <c r="A360" s="102">
        <f t="shared" si="6"/>
        <v>359</v>
      </c>
      <c r="B360" s="468">
        <f>YEAR(Table6[[#This Row],[Date]])+IF(MONTH(Table6[[#This Row],[Date]])&gt;=4,1,0)</f>
        <v>2026</v>
      </c>
      <c r="C360" s="102">
        <f>YEAR(Table6[[#This Row],[Date]])</f>
        <v>2025</v>
      </c>
      <c r="D360" s="102" t="s">
        <v>1992</v>
      </c>
      <c r="E360" s="469">
        <f>Table6[[#This Row],[Date]]-DAY(Table6[[#This Row],[Date]])+1</f>
        <v>45748</v>
      </c>
      <c r="F360" s="470">
        <v>45768</v>
      </c>
      <c r="G360" s="35" t="s">
        <v>89</v>
      </c>
      <c r="H360" s="35" t="str">
        <f>IFERROR(_xlfn.XLOOKUP(Table6[[#This Row],[Affected WTG]],'Basic Data'!$A:$A,'Basic Data'!$B:$B),"")</f>
        <v>TQGXIIPL</v>
      </c>
      <c r="I360" s="35" t="str">
        <f>IFERROR(_xlfn.XLOOKUP(Table6[[#This Row],[Affected WTG]],'Basic Data'!$A:$A,'Basic Data'!$C:$C),"")</f>
        <v>GEDA</v>
      </c>
      <c r="J360" s="471">
        <f>IFERROR(_xlfn.XLOOKUP(Table6[[#This Row],[Affected WTG]],'Basic Data'!$A:$A,'Basic Data'!$E:$E),"")</f>
        <v>3.846153846153845E-2</v>
      </c>
      <c r="K360" s="102">
        <v>55</v>
      </c>
      <c r="L360" s="35" t="str">
        <f>IFERROR(_xlfn.XLOOKUP(Table6[[#This Row],[Error Code]],'Basic Data'!$AA:$AA,'Basic Data'!$AB:$AB),"Incorrect Error Code")</f>
        <v>WTG shut down</v>
      </c>
      <c r="M360" s="35" t="s">
        <v>304</v>
      </c>
      <c r="N360" s="475"/>
      <c r="O360" s="476">
        <v>0.28611111111111109</v>
      </c>
      <c r="P360" s="476">
        <v>0.29236111111111113</v>
      </c>
      <c r="Q360" s="477">
        <v>0.54861111111111116</v>
      </c>
      <c r="R360" s="472">
        <f>IF(Table6[[#This Row],[Work Start TimeStamp]]="","",(Table6[[#This Row],[Work Start TimeStamp]]-Table6[[#This Row],[Fault Start TimeStamp]])*24)</f>
        <v>0.1500000000000008</v>
      </c>
      <c r="S360" s="472">
        <f>(Table6[[#This Row],[Fault Clearance time]]-Table6[[#This Row],[Work Start TimeStamp]])*24</f>
        <v>6.15</v>
      </c>
      <c r="T360" s="472">
        <f>(Table6[[#This Row],[Fault Clearance time]]-Table6[[#This Row],[Fault Start TimeStamp]])*24</f>
        <v>6.3000000000000016</v>
      </c>
      <c r="U360" s="35" t="s">
        <v>357</v>
      </c>
      <c r="V360" s="102" t="s">
        <v>293</v>
      </c>
      <c r="W360" s="478">
        <f>IFERROR(Table6[[#This Row],[Breakdown Time]]*Table6[[#This Row],[Plant Equivalent Weightage]],"")</f>
        <v>0.24230769230769231</v>
      </c>
      <c r="X360" s="473" t="s">
        <v>305</v>
      </c>
      <c r="Y360" s="474" t="s">
        <v>94</v>
      </c>
      <c r="Z360" s="102">
        <v>9310</v>
      </c>
      <c r="AA360" s="468">
        <f>(Table6[[#This Row],[Paired WTG Generation for loss calculation]]/24)*Table6[[#This Row],[Breakdown Time]]</f>
        <v>2443.8750000000009</v>
      </c>
      <c r="AB360" s="102"/>
      <c r="AC360" s="35"/>
      <c r="AD360" s="35"/>
    </row>
    <row r="361" spans="1:30">
      <c r="A361" s="102">
        <f t="shared" si="6"/>
        <v>360</v>
      </c>
      <c r="B361" s="468">
        <f>YEAR(Table6[[#This Row],[Date]])+IF(MONTH(Table6[[#This Row],[Date]])&gt;=4,1,0)</f>
        <v>2026</v>
      </c>
      <c r="C361" s="102">
        <f>YEAR(Table6[[#This Row],[Date]])</f>
        <v>2025</v>
      </c>
      <c r="D361" s="102" t="s">
        <v>1992</v>
      </c>
      <c r="E361" s="469">
        <f>Table6[[#This Row],[Date]]-DAY(Table6[[#This Row],[Date]])+1</f>
        <v>45748</v>
      </c>
      <c r="F361" s="470">
        <v>45769</v>
      </c>
      <c r="G361" s="35" t="s">
        <v>74</v>
      </c>
      <c r="H361" s="35" t="str">
        <f>IFERROR(_xlfn.XLOOKUP(Table6[[#This Row],[Affected WTG]],'Basic Data'!$A:$A,'Basic Data'!$B:$B),"")</f>
        <v>TQGXIIPL</v>
      </c>
      <c r="I361" s="35" t="str">
        <f>IFERROR(_xlfn.XLOOKUP(Table6[[#This Row],[Affected WTG]],'Basic Data'!$A:$A,'Basic Data'!$C:$C),"")</f>
        <v>GEDA</v>
      </c>
      <c r="J361" s="471">
        <f>IFERROR(_xlfn.XLOOKUP(Table6[[#This Row],[Affected WTG]],'Basic Data'!$A:$A,'Basic Data'!$E:$E),"")</f>
        <v>3.846153846153845E-2</v>
      </c>
      <c r="K361" s="102">
        <v>3110</v>
      </c>
      <c r="L361" s="35" t="str">
        <f>IFERROR(_xlfn.XLOOKUP(Table6[[#This Row],[Error Code]],'Basic Data'!$AA:$AA,'Basic Data'!$AB:$AB),"Incorrect Error Code")</f>
        <v>Frequency converter error</v>
      </c>
      <c r="M361" s="35" t="s">
        <v>291</v>
      </c>
      <c r="N361" s="475"/>
      <c r="O361" s="476">
        <v>0.65833333333333333</v>
      </c>
      <c r="P361" s="476">
        <v>0.65833333333333333</v>
      </c>
      <c r="Q361" s="477">
        <v>0.66805555555555551</v>
      </c>
      <c r="R361" s="472">
        <f>IF(Table6[[#This Row],[Work Start TimeStamp]]="","",(Table6[[#This Row],[Work Start TimeStamp]]-Table6[[#This Row],[Fault Start TimeStamp]])*24)</f>
        <v>0</v>
      </c>
      <c r="S361" s="472">
        <f>(Table6[[#This Row],[Fault Clearance time]]-Table6[[#This Row],[Work Start TimeStamp]])*24</f>
        <v>0.2333333333333325</v>
      </c>
      <c r="T361" s="472">
        <f>(Table6[[#This Row],[Fault Clearance time]]-Table6[[#This Row],[Fault Start TimeStamp]])*24</f>
        <v>0.2333333333333325</v>
      </c>
      <c r="U361" s="35" t="s">
        <v>349</v>
      </c>
      <c r="V361" s="102" t="s">
        <v>293</v>
      </c>
      <c r="W361" s="478">
        <f>IFERROR(Table6[[#This Row],[Breakdown Time]]*Table6[[#This Row],[Plant Equivalent Weightage]],"")</f>
        <v>8.974358974358939E-3</v>
      </c>
      <c r="X361" s="473" t="s">
        <v>294</v>
      </c>
      <c r="Y361" s="474" t="s">
        <v>99</v>
      </c>
      <c r="Z361" s="102">
        <v>12251</v>
      </c>
      <c r="AA361" s="468">
        <f>(Table6[[#This Row],[Paired WTG Generation for loss calculation]]/24)*Table6[[#This Row],[Breakdown Time]]</f>
        <v>119.10694444444401</v>
      </c>
      <c r="AB361" s="102"/>
      <c r="AC361" s="35"/>
      <c r="AD361" s="35"/>
    </row>
    <row r="362" spans="1:30">
      <c r="A362" s="102">
        <f t="shared" si="6"/>
        <v>361</v>
      </c>
      <c r="B362" s="468">
        <f>YEAR(Table6[[#This Row],[Date]])+IF(MONTH(Table6[[#This Row],[Date]])&gt;=4,1,0)</f>
        <v>2026</v>
      </c>
      <c r="C362" s="102">
        <f>YEAR(Table6[[#This Row],[Date]])</f>
        <v>2025</v>
      </c>
      <c r="D362" s="102" t="s">
        <v>1992</v>
      </c>
      <c r="E362" s="469">
        <f>Table6[[#This Row],[Date]]-DAY(Table6[[#This Row],[Date]])+1</f>
        <v>45748</v>
      </c>
      <c r="F362" s="470">
        <v>45769</v>
      </c>
      <c r="G362" s="35" t="s">
        <v>74</v>
      </c>
      <c r="H362" s="35" t="str">
        <f>IFERROR(_xlfn.XLOOKUP(Table6[[#This Row],[Affected WTG]],'Basic Data'!$A:$A,'Basic Data'!$B:$B),"")</f>
        <v>TQGXIIPL</v>
      </c>
      <c r="I362" s="35" t="str">
        <f>IFERROR(_xlfn.XLOOKUP(Table6[[#This Row],[Affected WTG]],'Basic Data'!$A:$A,'Basic Data'!$C:$C),"")</f>
        <v>GEDA</v>
      </c>
      <c r="J362" s="471">
        <f>IFERROR(_xlfn.XLOOKUP(Table6[[#This Row],[Affected WTG]],'Basic Data'!$A:$A,'Basic Data'!$E:$E),"")</f>
        <v>3.846153846153845E-2</v>
      </c>
      <c r="K362" s="102">
        <v>3110</v>
      </c>
      <c r="L362" s="35" t="str">
        <f>IFERROR(_xlfn.XLOOKUP(Table6[[#This Row],[Error Code]],'Basic Data'!$AA:$AA,'Basic Data'!$AB:$AB),"Incorrect Error Code")</f>
        <v>Frequency converter error</v>
      </c>
      <c r="M362" s="35" t="s">
        <v>291</v>
      </c>
      <c r="N362" s="475"/>
      <c r="O362" s="476">
        <v>0.75624999999999998</v>
      </c>
      <c r="P362" s="476">
        <v>0.78472222222222221</v>
      </c>
      <c r="Q362" s="477">
        <v>0.80763888888888891</v>
      </c>
      <c r="R362" s="472">
        <f>IF(Table6[[#This Row],[Work Start TimeStamp]]="","",(Table6[[#This Row],[Work Start TimeStamp]]-Table6[[#This Row],[Fault Start TimeStamp]])*24)</f>
        <v>0.68333333333333357</v>
      </c>
      <c r="S362" s="472">
        <f>(Table6[[#This Row],[Fault Clearance time]]-Table6[[#This Row],[Work Start TimeStamp]])*24</f>
        <v>0.55000000000000071</v>
      </c>
      <c r="T362" s="472">
        <f>(Table6[[#This Row],[Fault Clearance time]]-Table6[[#This Row],[Fault Start TimeStamp]])*24</f>
        <v>1.2333333333333343</v>
      </c>
      <c r="U362" s="35" t="s">
        <v>1709</v>
      </c>
      <c r="V362" s="102" t="s">
        <v>293</v>
      </c>
      <c r="W362" s="478">
        <f>IFERROR(Table6[[#This Row],[Breakdown Time]]*Table6[[#This Row],[Plant Equivalent Weightage]],"")</f>
        <v>4.7435897435897455E-2</v>
      </c>
      <c r="X362" s="473" t="s">
        <v>294</v>
      </c>
      <c r="Y362" s="474" t="s">
        <v>99</v>
      </c>
      <c r="Z362" s="102">
        <v>12251</v>
      </c>
      <c r="AA362" s="468">
        <f>(Table6[[#This Row],[Paired WTG Generation for loss calculation]]/24)*Table6[[#This Row],[Breakdown Time]]</f>
        <v>629.56527777777819</v>
      </c>
      <c r="AB362" s="102"/>
      <c r="AC362" s="35"/>
      <c r="AD362" s="35"/>
    </row>
    <row r="363" spans="1:30">
      <c r="A363" s="102">
        <f t="shared" si="6"/>
        <v>362</v>
      </c>
      <c r="B363" s="468">
        <f>YEAR(Table6[[#This Row],[Date]])+IF(MONTH(Table6[[#This Row],[Date]])&gt;=4,1,0)</f>
        <v>2026</v>
      </c>
      <c r="C363" s="102">
        <f>YEAR(Table6[[#This Row],[Date]])</f>
        <v>2025</v>
      </c>
      <c r="D363" s="102" t="s">
        <v>1992</v>
      </c>
      <c r="E363" s="469">
        <f>Table6[[#This Row],[Date]]-DAY(Table6[[#This Row],[Date]])+1</f>
        <v>45748</v>
      </c>
      <c r="F363" s="470">
        <v>45769</v>
      </c>
      <c r="G363" s="35" t="s">
        <v>84</v>
      </c>
      <c r="H363" s="35" t="str">
        <f>IFERROR(_xlfn.XLOOKUP(Table6[[#This Row],[Affected WTG]],'Basic Data'!$A:$A,'Basic Data'!$B:$B),"")</f>
        <v>TQGXIIPL</v>
      </c>
      <c r="I363" s="35" t="str">
        <f>IFERROR(_xlfn.XLOOKUP(Table6[[#This Row],[Affected WTG]],'Basic Data'!$A:$A,'Basic Data'!$C:$C),"")</f>
        <v>GEDA</v>
      </c>
      <c r="J363" s="471">
        <f>IFERROR(_xlfn.XLOOKUP(Table6[[#This Row],[Affected WTG]],'Basic Data'!$A:$A,'Basic Data'!$E:$E),"")</f>
        <v>3.846153846153845E-2</v>
      </c>
      <c r="K363" s="102">
        <v>665</v>
      </c>
      <c r="L363" s="35" t="str">
        <f>IFERROR(_xlfn.XLOOKUP(Table6[[#This Row],[Error Code]],'Basic Data'!$AA:$AA,'Basic Data'!$AB:$AB),"Incorrect Error Code")</f>
        <v>Pitch error</v>
      </c>
      <c r="M363" s="35" t="s">
        <v>291</v>
      </c>
      <c r="N363" s="475"/>
      <c r="O363" s="476">
        <v>0</v>
      </c>
      <c r="P363" s="476">
        <v>0</v>
      </c>
      <c r="Q363" s="477">
        <v>2.1527777777777778E-2</v>
      </c>
      <c r="R363" s="472">
        <f>IF(Table6[[#This Row],[Work Start TimeStamp]]="","",(Table6[[#This Row],[Work Start TimeStamp]]-Table6[[#This Row],[Fault Start TimeStamp]])*24)</f>
        <v>0</v>
      </c>
      <c r="S363" s="472">
        <f>(Table6[[#This Row],[Fault Clearance time]]-Table6[[#This Row],[Work Start TimeStamp]])*24</f>
        <v>0.51666666666666661</v>
      </c>
      <c r="T363" s="472">
        <f>(Table6[[#This Row],[Fault Clearance time]]-Table6[[#This Row],[Fault Start TimeStamp]])*24</f>
        <v>0.51666666666666661</v>
      </c>
      <c r="U363" s="35" t="s">
        <v>1710</v>
      </c>
      <c r="V363" s="102" t="s">
        <v>293</v>
      </c>
      <c r="W363" s="478">
        <f>IFERROR(Table6[[#This Row],[Breakdown Time]]*Table6[[#This Row],[Plant Equivalent Weightage]],"")</f>
        <v>1.9871794871794864E-2</v>
      </c>
      <c r="X363" s="473" t="s">
        <v>294</v>
      </c>
      <c r="Y363" s="474" t="s">
        <v>85</v>
      </c>
      <c r="Z363" s="102">
        <v>12585</v>
      </c>
      <c r="AA363" s="468">
        <f>(Table6[[#This Row],[Paired WTG Generation for loss calculation]]/24)*Table6[[#This Row],[Breakdown Time]]</f>
        <v>270.92708333333331</v>
      </c>
      <c r="AB363" s="102"/>
      <c r="AC363" s="35"/>
      <c r="AD363" s="35"/>
    </row>
    <row r="364" spans="1:30">
      <c r="A364" s="102">
        <f t="shared" si="6"/>
        <v>363</v>
      </c>
      <c r="B364" s="468">
        <f>YEAR(Table6[[#This Row],[Date]])+IF(MONTH(Table6[[#This Row],[Date]])&gt;=4,1,0)</f>
        <v>2026</v>
      </c>
      <c r="C364" s="102">
        <f>YEAR(Table6[[#This Row],[Date]])</f>
        <v>2025</v>
      </c>
      <c r="D364" s="102" t="s">
        <v>1992</v>
      </c>
      <c r="E364" s="469">
        <f>Table6[[#This Row],[Date]]-DAY(Table6[[#This Row],[Date]])+1</f>
        <v>45748</v>
      </c>
      <c r="F364" s="470">
        <v>45769</v>
      </c>
      <c r="G364" s="35" t="s">
        <v>84</v>
      </c>
      <c r="H364" s="35" t="str">
        <f>IFERROR(_xlfn.XLOOKUP(Table6[[#This Row],[Affected WTG]],'Basic Data'!$A:$A,'Basic Data'!$B:$B),"")</f>
        <v>TQGXIIPL</v>
      </c>
      <c r="I364" s="35" t="str">
        <f>IFERROR(_xlfn.XLOOKUP(Table6[[#This Row],[Affected WTG]],'Basic Data'!$A:$A,'Basic Data'!$C:$C),"")</f>
        <v>GEDA</v>
      </c>
      <c r="J364" s="471">
        <f>IFERROR(_xlfn.XLOOKUP(Table6[[#This Row],[Affected WTG]],'Basic Data'!$A:$A,'Basic Data'!$E:$E),"")</f>
        <v>3.846153846153845E-2</v>
      </c>
      <c r="K364" s="102">
        <v>665</v>
      </c>
      <c r="L364" s="35" t="str">
        <f>IFERROR(_xlfn.XLOOKUP(Table6[[#This Row],[Error Code]],'Basic Data'!$AA:$AA,'Basic Data'!$AB:$AB),"Incorrect Error Code")</f>
        <v>Pitch error</v>
      </c>
      <c r="M364" s="35" t="s">
        <v>291</v>
      </c>
      <c r="N364" s="475"/>
      <c r="O364" s="476">
        <v>4.2361111111111113E-2</v>
      </c>
      <c r="P364" s="476">
        <v>4.2361111111111113E-2</v>
      </c>
      <c r="Q364" s="477">
        <v>0.21249999999999999</v>
      </c>
      <c r="R364" s="472">
        <f>IF(Table6[[#This Row],[Work Start TimeStamp]]="","",(Table6[[#This Row],[Work Start TimeStamp]]-Table6[[#This Row],[Fault Start TimeStamp]])*24)</f>
        <v>0</v>
      </c>
      <c r="S364" s="472">
        <f>(Table6[[#This Row],[Fault Clearance time]]-Table6[[#This Row],[Work Start TimeStamp]])*24</f>
        <v>4.0833333333333339</v>
      </c>
      <c r="T364" s="472">
        <f>(Table6[[#This Row],[Fault Clearance time]]-Table6[[#This Row],[Fault Start TimeStamp]])*24</f>
        <v>4.0833333333333339</v>
      </c>
      <c r="U364" s="35" t="s">
        <v>1711</v>
      </c>
      <c r="V364" s="102" t="s">
        <v>293</v>
      </c>
      <c r="W364" s="478">
        <f>IFERROR(Table6[[#This Row],[Breakdown Time]]*Table6[[#This Row],[Plant Equivalent Weightage]],"")</f>
        <v>0.15705128205128202</v>
      </c>
      <c r="X364" s="473" t="s">
        <v>294</v>
      </c>
      <c r="Y364" s="474" t="s">
        <v>85</v>
      </c>
      <c r="Z364" s="102">
        <v>12585</v>
      </c>
      <c r="AA364" s="468">
        <f>(Table6[[#This Row],[Paired WTG Generation for loss calculation]]/24)*Table6[[#This Row],[Breakdown Time]]</f>
        <v>2141.197916666667</v>
      </c>
      <c r="AB364" s="102"/>
      <c r="AC364" s="35"/>
      <c r="AD364" s="35"/>
    </row>
    <row r="365" spans="1:30">
      <c r="A365" s="102">
        <f t="shared" si="6"/>
        <v>364</v>
      </c>
      <c r="B365" s="468">
        <f>YEAR(Table6[[#This Row],[Date]])+IF(MONTH(Table6[[#This Row],[Date]])&gt;=4,1,0)</f>
        <v>2026</v>
      </c>
      <c r="C365" s="102">
        <f>YEAR(Table6[[#This Row],[Date]])</f>
        <v>2025</v>
      </c>
      <c r="D365" s="102" t="s">
        <v>1992</v>
      </c>
      <c r="E365" s="469">
        <f>Table6[[#This Row],[Date]]-DAY(Table6[[#This Row],[Date]])+1</f>
        <v>45748</v>
      </c>
      <c r="F365" s="470">
        <v>45769</v>
      </c>
      <c r="G365" s="35" t="s">
        <v>84</v>
      </c>
      <c r="H365" s="35" t="str">
        <f>IFERROR(_xlfn.XLOOKUP(Table6[[#This Row],[Affected WTG]],'Basic Data'!$A:$A,'Basic Data'!$B:$B),"")</f>
        <v>TQGXIIPL</v>
      </c>
      <c r="I365" s="35" t="str">
        <f>IFERROR(_xlfn.XLOOKUP(Table6[[#This Row],[Affected WTG]],'Basic Data'!$A:$A,'Basic Data'!$C:$C),"")</f>
        <v>GEDA</v>
      </c>
      <c r="J365" s="471">
        <f>IFERROR(_xlfn.XLOOKUP(Table6[[#This Row],[Affected WTG]],'Basic Data'!$A:$A,'Basic Data'!$E:$E),"")</f>
        <v>3.846153846153845E-2</v>
      </c>
      <c r="K365" s="102">
        <v>665</v>
      </c>
      <c r="L365" s="35" t="str">
        <f>IFERROR(_xlfn.XLOOKUP(Table6[[#This Row],[Error Code]],'Basic Data'!$AA:$AA,'Basic Data'!$AB:$AB),"Incorrect Error Code")</f>
        <v>Pitch error</v>
      </c>
      <c r="M365" s="35" t="s">
        <v>295</v>
      </c>
      <c r="N365" s="475"/>
      <c r="O365" s="476">
        <v>0.25</v>
      </c>
      <c r="P365" s="476">
        <v>0.25</v>
      </c>
      <c r="Q365" s="477">
        <v>0.99998842592592596</v>
      </c>
      <c r="R365" s="472">
        <f>IF(Table6[[#This Row],[Work Start TimeStamp]]="","",(Table6[[#This Row],[Work Start TimeStamp]]-Table6[[#This Row],[Fault Start TimeStamp]])*24)</f>
        <v>0</v>
      </c>
      <c r="S365" s="472">
        <f>(Table6[[#This Row],[Fault Clearance time]]-Table6[[#This Row],[Work Start TimeStamp]])*24</f>
        <v>17.999722222222225</v>
      </c>
      <c r="T365" s="472">
        <f>(Table6[[#This Row],[Fault Clearance time]]-Table6[[#This Row],[Fault Start TimeStamp]])*24</f>
        <v>17.999722222222225</v>
      </c>
      <c r="U365" s="35" t="s">
        <v>1712</v>
      </c>
      <c r="V365" s="102" t="s">
        <v>338</v>
      </c>
      <c r="W365" s="478">
        <f>IFERROR(Table6[[#This Row],[Breakdown Time]]*Table6[[#This Row],[Plant Equivalent Weightage]],"")</f>
        <v>0.69229700854700849</v>
      </c>
      <c r="X365" s="473" t="s">
        <v>294</v>
      </c>
      <c r="Y365" s="474" t="s">
        <v>85</v>
      </c>
      <c r="Z365" s="102">
        <v>12585</v>
      </c>
      <c r="AA365" s="468">
        <f>(Table6[[#This Row],[Paired WTG Generation for loss calculation]]/24)*Table6[[#This Row],[Breakdown Time]]</f>
        <v>9438.6043402777796</v>
      </c>
      <c r="AB365" s="102"/>
      <c r="AC365" s="35"/>
      <c r="AD365" s="35"/>
    </row>
    <row r="366" spans="1:30">
      <c r="A366" s="102">
        <f t="shared" si="6"/>
        <v>365</v>
      </c>
      <c r="B366" s="468">
        <f>YEAR(Table6[[#This Row],[Date]])+IF(MONTH(Table6[[#This Row],[Date]])&gt;=4,1,0)</f>
        <v>2026</v>
      </c>
      <c r="C366" s="102">
        <f>YEAR(Table6[[#This Row],[Date]])</f>
        <v>2025</v>
      </c>
      <c r="D366" s="102" t="s">
        <v>1992</v>
      </c>
      <c r="E366" s="469">
        <f>Table6[[#This Row],[Date]]-DAY(Table6[[#This Row],[Date]])+1</f>
        <v>45748</v>
      </c>
      <c r="F366" s="470">
        <v>45769</v>
      </c>
      <c r="G366" s="35" t="s">
        <v>95</v>
      </c>
      <c r="H366" s="35" t="str">
        <f>IFERROR(_xlfn.XLOOKUP(Table6[[#This Row],[Affected WTG]],'Basic Data'!$A:$A,'Basic Data'!$B:$B),"")</f>
        <v>TQGXIIPL</v>
      </c>
      <c r="I366" s="35" t="str">
        <f>IFERROR(_xlfn.XLOOKUP(Table6[[#This Row],[Affected WTG]],'Basic Data'!$A:$A,'Basic Data'!$C:$C),"")</f>
        <v>GEDA</v>
      </c>
      <c r="J366" s="471">
        <f>IFERROR(_xlfn.XLOOKUP(Table6[[#This Row],[Affected WTG]],'Basic Data'!$A:$A,'Basic Data'!$E:$E),"")</f>
        <v>3.846153846153845E-2</v>
      </c>
      <c r="K366" s="102">
        <v>6130</v>
      </c>
      <c r="L366" s="35" t="str">
        <f>IFERROR(_xlfn.XLOOKUP(Table6[[#This Row],[Error Code]],'Basic Data'!$AA:$AA,'Basic Data'!$AB:$AB),"Incorrect Error Code")</f>
        <v>Yaw speed high</v>
      </c>
      <c r="M366" s="35" t="s">
        <v>292</v>
      </c>
      <c r="N366" s="475"/>
      <c r="O366" s="476">
        <v>0.54722222222222228</v>
      </c>
      <c r="P366" s="476">
        <v>0.54722222222222228</v>
      </c>
      <c r="Q366" s="477">
        <v>0.55138888888888893</v>
      </c>
      <c r="R366" s="472">
        <f>IF(Table6[[#This Row],[Work Start TimeStamp]]="","",(Table6[[#This Row],[Work Start TimeStamp]]-Table6[[#This Row],[Fault Start TimeStamp]])*24)</f>
        <v>0</v>
      </c>
      <c r="S366" s="472">
        <f>(Table6[[#This Row],[Fault Clearance time]]-Table6[[#This Row],[Work Start TimeStamp]])*24</f>
        <v>9.9999999999999645E-2</v>
      </c>
      <c r="T366" s="472">
        <f>(Table6[[#This Row],[Fault Clearance time]]-Table6[[#This Row],[Fault Start TimeStamp]])*24</f>
        <v>9.9999999999999645E-2</v>
      </c>
      <c r="U366" s="35" t="s">
        <v>336</v>
      </c>
      <c r="V366" s="102" t="s">
        <v>293</v>
      </c>
      <c r="W366" s="478">
        <f>IFERROR(Table6[[#This Row],[Breakdown Time]]*Table6[[#This Row],[Plant Equivalent Weightage]],"")</f>
        <v>3.8461538461538312E-3</v>
      </c>
      <c r="X366" s="473" t="s">
        <v>294</v>
      </c>
      <c r="Y366" s="474" t="s">
        <v>79</v>
      </c>
      <c r="Z366" s="102">
        <v>10599</v>
      </c>
      <c r="AA366" s="468">
        <f>(Table6[[#This Row],[Paired WTG Generation for loss calculation]]/24)*Table6[[#This Row],[Breakdown Time]]</f>
        <v>44.162499999999845</v>
      </c>
      <c r="AB366" s="102"/>
      <c r="AC366" s="35"/>
      <c r="AD366" s="35"/>
    </row>
    <row r="367" spans="1:30">
      <c r="A367" s="102">
        <f t="shared" si="6"/>
        <v>366</v>
      </c>
      <c r="B367" s="468">
        <f>YEAR(Table6[[#This Row],[Date]])+IF(MONTH(Table6[[#This Row],[Date]])&gt;=4,1,0)</f>
        <v>2026</v>
      </c>
      <c r="C367" s="102">
        <f>YEAR(Table6[[#This Row],[Date]])</f>
        <v>2025</v>
      </c>
      <c r="D367" s="102" t="s">
        <v>1992</v>
      </c>
      <c r="E367" s="469">
        <f>Table6[[#This Row],[Date]]-DAY(Table6[[#This Row],[Date]])+1</f>
        <v>45748</v>
      </c>
      <c r="F367" s="470">
        <v>45770</v>
      </c>
      <c r="G367" s="35" t="s">
        <v>81</v>
      </c>
      <c r="H367" s="35" t="str">
        <f>IFERROR(_xlfn.XLOOKUP(Table6[[#This Row],[Affected WTG]],'Basic Data'!$A:$A,'Basic Data'!$B:$B),"")</f>
        <v>TQGXIIPL</v>
      </c>
      <c r="I367" s="35" t="str">
        <f>IFERROR(_xlfn.XLOOKUP(Table6[[#This Row],[Affected WTG]],'Basic Data'!$A:$A,'Basic Data'!$C:$C),"")</f>
        <v>GEDA</v>
      </c>
      <c r="J367" s="471">
        <f>IFERROR(_xlfn.XLOOKUP(Table6[[#This Row],[Affected WTG]],'Basic Data'!$A:$A,'Basic Data'!$E:$E),"")</f>
        <v>3.846153846153845E-2</v>
      </c>
      <c r="K367" s="102">
        <v>4960</v>
      </c>
      <c r="L367" s="35" t="str">
        <f>IFERROR(_xlfn.XLOOKUP(Table6[[#This Row],[Error Code]],'Basic Data'!$AA:$AA,'Basic Data'!$AB:$AB),"Incorrect Error Code")</f>
        <v>Tower oscillation YF</v>
      </c>
      <c r="M367" s="35" t="s">
        <v>291</v>
      </c>
      <c r="N367" s="475"/>
      <c r="O367" s="476">
        <v>0.18611111111111112</v>
      </c>
      <c r="P367" s="476">
        <v>0.18611111111111112</v>
      </c>
      <c r="Q367" s="477">
        <v>0.19722222222222222</v>
      </c>
      <c r="R367" s="472">
        <f>IF(Table6[[#This Row],[Work Start TimeStamp]]="","",(Table6[[#This Row],[Work Start TimeStamp]]-Table6[[#This Row],[Fault Start TimeStamp]])*24)</f>
        <v>0</v>
      </c>
      <c r="S367" s="472">
        <f>(Table6[[#This Row],[Fault Clearance time]]-Table6[[#This Row],[Work Start TimeStamp]])*24</f>
        <v>0.26666666666666639</v>
      </c>
      <c r="T367" s="472">
        <f>(Table6[[#This Row],[Fault Clearance time]]-Table6[[#This Row],[Fault Start TimeStamp]])*24</f>
        <v>0.26666666666666639</v>
      </c>
      <c r="U367" s="35" t="s">
        <v>349</v>
      </c>
      <c r="V367" s="102" t="s">
        <v>293</v>
      </c>
      <c r="W367" s="478">
        <f>IFERROR(Table6[[#This Row],[Breakdown Time]]*Table6[[#This Row],[Plant Equivalent Weightage]],"")</f>
        <v>1.0256410256410243E-2</v>
      </c>
      <c r="X367" s="473" t="s">
        <v>294</v>
      </c>
      <c r="Y367" s="474" t="s">
        <v>99</v>
      </c>
      <c r="Z367" s="102">
        <v>13113</v>
      </c>
      <c r="AA367" s="468">
        <f>(Table6[[#This Row],[Paired WTG Generation for loss calculation]]/24)*Table6[[#This Row],[Breakdown Time]]</f>
        <v>145.69999999999985</v>
      </c>
      <c r="AB367" s="102"/>
      <c r="AC367" s="35"/>
      <c r="AD367" s="35"/>
    </row>
    <row r="368" spans="1:30">
      <c r="A368" s="102">
        <f t="shared" si="6"/>
        <v>367</v>
      </c>
      <c r="B368" s="468">
        <f>YEAR(Table6[[#This Row],[Date]])+IF(MONTH(Table6[[#This Row],[Date]])&gt;=4,1,0)</f>
        <v>2026</v>
      </c>
      <c r="C368" s="102">
        <f>YEAR(Table6[[#This Row],[Date]])</f>
        <v>2025</v>
      </c>
      <c r="D368" s="102" t="s">
        <v>1992</v>
      </c>
      <c r="E368" s="469">
        <f>Table6[[#This Row],[Date]]-DAY(Table6[[#This Row],[Date]])+1</f>
        <v>45748</v>
      </c>
      <c r="F368" s="470">
        <v>45770</v>
      </c>
      <c r="G368" s="35" t="s">
        <v>81</v>
      </c>
      <c r="H368" s="35" t="str">
        <f>IFERROR(_xlfn.XLOOKUP(Table6[[#This Row],[Affected WTG]],'Basic Data'!$A:$A,'Basic Data'!$B:$B),"")</f>
        <v>TQGXIIPL</v>
      </c>
      <c r="I368" s="35" t="str">
        <f>IFERROR(_xlfn.XLOOKUP(Table6[[#This Row],[Affected WTG]],'Basic Data'!$A:$A,'Basic Data'!$C:$C),"")</f>
        <v>GEDA</v>
      </c>
      <c r="J368" s="471">
        <f>IFERROR(_xlfn.XLOOKUP(Table6[[#This Row],[Affected WTG]],'Basic Data'!$A:$A,'Basic Data'!$E:$E),"")</f>
        <v>3.846153846153845E-2</v>
      </c>
      <c r="K368" s="102">
        <v>4960</v>
      </c>
      <c r="L368" s="35" t="str">
        <f>IFERROR(_xlfn.XLOOKUP(Table6[[#This Row],[Error Code]],'Basic Data'!$AA:$AA,'Basic Data'!$AB:$AB),"Incorrect Error Code")</f>
        <v>Tower oscillation YF</v>
      </c>
      <c r="M368" s="35" t="s">
        <v>292</v>
      </c>
      <c r="N368" s="475"/>
      <c r="O368" s="476">
        <v>0.22569444444444445</v>
      </c>
      <c r="P368" s="476">
        <v>0.22569444444444445</v>
      </c>
      <c r="Q368" s="477">
        <v>0.23680555555555555</v>
      </c>
      <c r="R368" s="472">
        <f>IF(Table6[[#This Row],[Work Start TimeStamp]]="","",(Table6[[#This Row],[Work Start TimeStamp]]-Table6[[#This Row],[Fault Start TimeStamp]])*24)</f>
        <v>0</v>
      </c>
      <c r="S368" s="472">
        <f>(Table6[[#This Row],[Fault Clearance time]]-Table6[[#This Row],[Work Start TimeStamp]])*24</f>
        <v>0.26666666666666639</v>
      </c>
      <c r="T368" s="472">
        <f>(Table6[[#This Row],[Fault Clearance time]]-Table6[[#This Row],[Fault Start TimeStamp]])*24</f>
        <v>0.26666666666666639</v>
      </c>
      <c r="U368" s="35" t="s">
        <v>336</v>
      </c>
      <c r="V368" s="102" t="s">
        <v>293</v>
      </c>
      <c r="W368" s="478">
        <f>IFERROR(Table6[[#This Row],[Breakdown Time]]*Table6[[#This Row],[Plant Equivalent Weightage]],"")</f>
        <v>1.0256410256410243E-2</v>
      </c>
      <c r="X368" s="473" t="s">
        <v>294</v>
      </c>
      <c r="Y368" s="474" t="s">
        <v>99</v>
      </c>
      <c r="Z368" s="102">
        <v>13113</v>
      </c>
      <c r="AA368" s="468">
        <f>(Table6[[#This Row],[Paired WTG Generation for loss calculation]]/24)*Table6[[#This Row],[Breakdown Time]]</f>
        <v>145.69999999999985</v>
      </c>
      <c r="AB368" s="102"/>
      <c r="AC368" s="35"/>
      <c r="AD368" s="35"/>
    </row>
    <row r="369" spans="1:30">
      <c r="A369" s="102">
        <f t="shared" si="6"/>
        <v>368</v>
      </c>
      <c r="B369" s="468">
        <f>YEAR(Table6[[#This Row],[Date]])+IF(MONTH(Table6[[#This Row],[Date]])&gt;=4,1,0)</f>
        <v>2026</v>
      </c>
      <c r="C369" s="102">
        <f>YEAR(Table6[[#This Row],[Date]])</f>
        <v>2025</v>
      </c>
      <c r="D369" s="102" t="s">
        <v>1992</v>
      </c>
      <c r="E369" s="469">
        <f>Table6[[#This Row],[Date]]-DAY(Table6[[#This Row],[Date]])+1</f>
        <v>45748</v>
      </c>
      <c r="F369" s="470">
        <v>45770</v>
      </c>
      <c r="G369" s="35" t="s">
        <v>84</v>
      </c>
      <c r="H369" s="35" t="str">
        <f>IFERROR(_xlfn.XLOOKUP(Table6[[#This Row],[Affected WTG]],'Basic Data'!$A:$A,'Basic Data'!$B:$B),"")</f>
        <v>TQGXIIPL</v>
      </c>
      <c r="I369" s="35" t="str">
        <f>IFERROR(_xlfn.XLOOKUP(Table6[[#This Row],[Affected WTG]],'Basic Data'!$A:$A,'Basic Data'!$C:$C),"")</f>
        <v>GEDA</v>
      </c>
      <c r="J369" s="471">
        <f>IFERROR(_xlfn.XLOOKUP(Table6[[#This Row],[Affected WTG]],'Basic Data'!$A:$A,'Basic Data'!$E:$E),"")</f>
        <v>3.846153846153845E-2</v>
      </c>
      <c r="K369" s="102">
        <v>665</v>
      </c>
      <c r="L369" s="35" t="str">
        <f>IFERROR(_xlfn.XLOOKUP(Table6[[#This Row],[Error Code]],'Basic Data'!$AA:$AA,'Basic Data'!$AB:$AB),"Incorrect Error Code")</f>
        <v>Pitch error</v>
      </c>
      <c r="M369" s="35" t="s">
        <v>291</v>
      </c>
      <c r="N369" s="475"/>
      <c r="O369" s="476">
        <v>0</v>
      </c>
      <c r="P369" s="476">
        <v>0</v>
      </c>
      <c r="Q369" s="477">
        <v>0.2326388888888889</v>
      </c>
      <c r="R369" s="472">
        <f>IF(Table6[[#This Row],[Work Start TimeStamp]]="","",(Table6[[#This Row],[Work Start TimeStamp]]-Table6[[#This Row],[Fault Start TimeStamp]])*24)</f>
        <v>0</v>
      </c>
      <c r="S369" s="472">
        <f>(Table6[[#This Row],[Fault Clearance time]]-Table6[[#This Row],[Work Start TimeStamp]])*24</f>
        <v>5.5833333333333339</v>
      </c>
      <c r="T369" s="472">
        <f>(Table6[[#This Row],[Fault Clearance time]]-Table6[[#This Row],[Fault Start TimeStamp]])*24</f>
        <v>5.5833333333333339</v>
      </c>
      <c r="U369" s="35" t="s">
        <v>1716</v>
      </c>
      <c r="V369" s="102" t="s">
        <v>293</v>
      </c>
      <c r="W369" s="478">
        <f>IFERROR(Table6[[#This Row],[Breakdown Time]]*Table6[[#This Row],[Plant Equivalent Weightage]],"")</f>
        <v>0.2147435897435897</v>
      </c>
      <c r="X369" s="473" t="s">
        <v>294</v>
      </c>
      <c r="Y369" s="474" t="s">
        <v>85</v>
      </c>
      <c r="Z369" s="102">
        <v>18749</v>
      </c>
      <c r="AA369" s="468">
        <f>(Table6[[#This Row],[Paired WTG Generation for loss calculation]]/24)*Table6[[#This Row],[Breakdown Time]]</f>
        <v>4361.7465277777783</v>
      </c>
      <c r="AB369" s="102"/>
      <c r="AC369" s="35"/>
      <c r="AD369" s="35"/>
    </row>
    <row r="370" spans="1:30">
      <c r="A370" s="102">
        <f t="shared" si="6"/>
        <v>369</v>
      </c>
      <c r="B370" s="468">
        <f>YEAR(Table6[[#This Row],[Date]])+IF(MONTH(Table6[[#This Row],[Date]])&gt;=4,1,0)</f>
        <v>2026</v>
      </c>
      <c r="C370" s="102">
        <f>YEAR(Table6[[#This Row],[Date]])</f>
        <v>2025</v>
      </c>
      <c r="D370" s="102" t="s">
        <v>1992</v>
      </c>
      <c r="E370" s="469">
        <f>Table6[[#This Row],[Date]]-DAY(Table6[[#This Row],[Date]])+1</f>
        <v>45748</v>
      </c>
      <c r="F370" s="470">
        <v>45770</v>
      </c>
      <c r="G370" s="35" t="s">
        <v>84</v>
      </c>
      <c r="H370" s="35" t="str">
        <f>IFERROR(_xlfn.XLOOKUP(Table6[[#This Row],[Affected WTG]],'Basic Data'!$A:$A,'Basic Data'!$B:$B),"")</f>
        <v>TQGXIIPL</v>
      </c>
      <c r="I370" s="35" t="str">
        <f>IFERROR(_xlfn.XLOOKUP(Table6[[#This Row],[Affected WTG]],'Basic Data'!$A:$A,'Basic Data'!$C:$C),"")</f>
        <v>GEDA</v>
      </c>
      <c r="J370" s="471">
        <f>IFERROR(_xlfn.XLOOKUP(Table6[[#This Row],[Affected WTG]],'Basic Data'!$A:$A,'Basic Data'!$E:$E),"")</f>
        <v>3.846153846153845E-2</v>
      </c>
      <c r="K370" s="102">
        <v>665</v>
      </c>
      <c r="L370" s="35" t="str">
        <f>IFERROR(_xlfn.XLOOKUP(Table6[[#This Row],[Error Code]],'Basic Data'!$AA:$AA,'Basic Data'!$AB:$AB),"Incorrect Error Code")</f>
        <v>Pitch error</v>
      </c>
      <c r="M370" s="35" t="s">
        <v>291</v>
      </c>
      <c r="N370" s="475"/>
      <c r="O370" s="476">
        <v>0.4375</v>
      </c>
      <c r="P370" s="476">
        <v>0.48402777777777778</v>
      </c>
      <c r="Q370" s="477">
        <v>0.64930555555555558</v>
      </c>
      <c r="R370" s="472">
        <f>IF(Table6[[#This Row],[Work Start TimeStamp]]="","",(Table6[[#This Row],[Work Start TimeStamp]]-Table6[[#This Row],[Fault Start TimeStamp]])*24)</f>
        <v>1.1166666666666667</v>
      </c>
      <c r="S370" s="472">
        <f>(Table6[[#This Row],[Fault Clearance time]]-Table6[[#This Row],[Work Start TimeStamp]])*24</f>
        <v>3.9666666666666672</v>
      </c>
      <c r="T370" s="472">
        <f>(Table6[[#This Row],[Fault Clearance time]]-Table6[[#This Row],[Fault Start TimeStamp]])*24</f>
        <v>5.0833333333333339</v>
      </c>
      <c r="U370" s="35" t="s">
        <v>1717</v>
      </c>
      <c r="V370" s="102" t="s">
        <v>293</v>
      </c>
      <c r="W370" s="478">
        <f>IFERROR(Table6[[#This Row],[Breakdown Time]]*Table6[[#This Row],[Plant Equivalent Weightage]],"")</f>
        <v>0.19551282051282048</v>
      </c>
      <c r="X370" s="473" t="s">
        <v>294</v>
      </c>
      <c r="Y370" s="474" t="s">
        <v>85</v>
      </c>
      <c r="Z370" s="102">
        <v>18749</v>
      </c>
      <c r="AA370" s="468">
        <f>(Table6[[#This Row],[Paired WTG Generation for loss calculation]]/24)*Table6[[#This Row],[Breakdown Time]]</f>
        <v>3971.1423611111118</v>
      </c>
      <c r="AB370" s="102"/>
      <c r="AC370" s="35"/>
      <c r="AD370" s="35"/>
    </row>
    <row r="371" spans="1:30">
      <c r="A371" s="102">
        <f t="shared" si="6"/>
        <v>370</v>
      </c>
      <c r="B371" s="468">
        <f>YEAR(Table6[[#This Row],[Date]])+IF(MONTH(Table6[[#This Row],[Date]])&gt;=4,1,0)</f>
        <v>2026</v>
      </c>
      <c r="C371" s="102">
        <f>YEAR(Table6[[#This Row],[Date]])</f>
        <v>2025</v>
      </c>
      <c r="D371" s="102" t="s">
        <v>1992</v>
      </c>
      <c r="E371" s="469">
        <f>Table6[[#This Row],[Date]]-DAY(Table6[[#This Row],[Date]])+1</f>
        <v>45748</v>
      </c>
      <c r="F371" s="470">
        <v>45770</v>
      </c>
      <c r="G371" s="35" t="s">
        <v>91</v>
      </c>
      <c r="H371" s="35" t="str">
        <f>IFERROR(_xlfn.XLOOKUP(Table6[[#This Row],[Affected WTG]],'Basic Data'!$A:$A,'Basic Data'!$B:$B),"")</f>
        <v>TQGXIIPL</v>
      </c>
      <c r="I371" s="35" t="str">
        <f>IFERROR(_xlfn.XLOOKUP(Table6[[#This Row],[Affected WTG]],'Basic Data'!$A:$A,'Basic Data'!$C:$C),"")</f>
        <v>GEDA</v>
      </c>
      <c r="J371" s="471">
        <f>IFERROR(_xlfn.XLOOKUP(Table6[[#This Row],[Affected WTG]],'Basic Data'!$A:$A,'Basic Data'!$E:$E),"")</f>
        <v>3.846153846153845E-2</v>
      </c>
      <c r="K371" s="102">
        <v>55</v>
      </c>
      <c r="L371" s="35" t="str">
        <f>IFERROR(_xlfn.XLOOKUP(Table6[[#This Row],[Error Code]],'Basic Data'!$AA:$AA,'Basic Data'!$AB:$AB),"Incorrect Error Code")</f>
        <v>WTG shut down</v>
      </c>
      <c r="M371" s="35" t="s">
        <v>295</v>
      </c>
      <c r="N371" s="475"/>
      <c r="O371" s="476">
        <v>0.40416666666666667</v>
      </c>
      <c r="P371" s="476">
        <v>0.40416666666666667</v>
      </c>
      <c r="Q371" s="477">
        <v>0.76458333333333328</v>
      </c>
      <c r="R371" s="472">
        <f>IF(Table6[[#This Row],[Work Start TimeStamp]]="","",(Table6[[#This Row],[Work Start TimeStamp]]-Table6[[#This Row],[Fault Start TimeStamp]])*24)</f>
        <v>0</v>
      </c>
      <c r="S371" s="472">
        <f>(Table6[[#This Row],[Fault Clearance time]]-Table6[[#This Row],[Work Start TimeStamp]])*24</f>
        <v>8.6499999999999986</v>
      </c>
      <c r="T371" s="472">
        <f>(Table6[[#This Row],[Fault Clearance time]]-Table6[[#This Row],[Fault Start TimeStamp]])*24</f>
        <v>8.6499999999999986</v>
      </c>
      <c r="U371" s="35" t="s">
        <v>1718</v>
      </c>
      <c r="V371" s="102" t="s">
        <v>293</v>
      </c>
      <c r="W371" s="478">
        <f>IFERROR(Table6[[#This Row],[Breakdown Time]]*Table6[[#This Row],[Plant Equivalent Weightage]],"")</f>
        <v>0.33269230769230751</v>
      </c>
      <c r="X371" s="473" t="s">
        <v>290</v>
      </c>
      <c r="Y371" s="474" t="s">
        <v>79</v>
      </c>
      <c r="Z371" s="102">
        <v>18174</v>
      </c>
      <c r="AA371" s="468">
        <f>(Table6[[#This Row],[Paired WTG Generation for loss calculation]]/24)*Table6[[#This Row],[Breakdown Time]]</f>
        <v>6550.2124999999987</v>
      </c>
      <c r="AB371" s="102"/>
      <c r="AC371" s="35"/>
      <c r="AD371" s="35"/>
    </row>
    <row r="372" spans="1:30">
      <c r="A372" s="102">
        <f t="shared" si="6"/>
        <v>371</v>
      </c>
      <c r="B372" s="468">
        <f>YEAR(Table6[[#This Row],[Date]])+IF(MONTH(Table6[[#This Row],[Date]])&gt;=4,1,0)</f>
        <v>2026</v>
      </c>
      <c r="C372" s="102">
        <f>YEAR(Table6[[#This Row],[Date]])</f>
        <v>2025</v>
      </c>
      <c r="D372" s="102" t="s">
        <v>1992</v>
      </c>
      <c r="E372" s="469">
        <f>Table6[[#This Row],[Date]]-DAY(Table6[[#This Row],[Date]])+1</f>
        <v>45748</v>
      </c>
      <c r="F372" s="470">
        <v>45771</v>
      </c>
      <c r="G372" s="35" t="s">
        <v>90</v>
      </c>
      <c r="H372" s="35" t="str">
        <f>IFERROR(_xlfn.XLOOKUP(Table6[[#This Row],[Affected WTG]],'Basic Data'!$A:$A,'Basic Data'!$B:$B),"")</f>
        <v>TQGXIIPL</v>
      </c>
      <c r="I372" s="35" t="str">
        <f>IFERROR(_xlfn.XLOOKUP(Table6[[#This Row],[Affected WTG]],'Basic Data'!$A:$A,'Basic Data'!$C:$C),"")</f>
        <v>GEDA</v>
      </c>
      <c r="J372" s="471">
        <f>IFERROR(_xlfn.XLOOKUP(Table6[[#This Row],[Affected WTG]],'Basic Data'!$A:$A,'Basic Data'!$E:$E),"")</f>
        <v>3.846153846153845E-2</v>
      </c>
      <c r="K372" s="102">
        <v>55</v>
      </c>
      <c r="L372" s="35" t="str">
        <f>IFERROR(_xlfn.XLOOKUP(Table6[[#This Row],[Error Code]],'Basic Data'!$AA:$AA,'Basic Data'!$AB:$AB),"Incorrect Error Code")</f>
        <v>WTG shut down</v>
      </c>
      <c r="M372" s="35" t="s">
        <v>295</v>
      </c>
      <c r="N372" s="475"/>
      <c r="O372" s="476">
        <v>0.47222222222222221</v>
      </c>
      <c r="P372" s="476">
        <v>0.47222222222222221</v>
      </c>
      <c r="Q372" s="477">
        <v>0.77638888888888891</v>
      </c>
      <c r="R372" s="472">
        <f>IF(Table6[[#This Row],[Work Start TimeStamp]]="","",(Table6[[#This Row],[Work Start TimeStamp]]-Table6[[#This Row],[Fault Start TimeStamp]])*24)</f>
        <v>0</v>
      </c>
      <c r="S372" s="472">
        <f>(Table6[[#This Row],[Fault Clearance time]]-Table6[[#This Row],[Work Start TimeStamp]])*24</f>
        <v>7.3000000000000007</v>
      </c>
      <c r="T372" s="472">
        <f>(Table6[[#This Row],[Fault Clearance time]]-Table6[[#This Row],[Fault Start TimeStamp]])*24</f>
        <v>7.3000000000000007</v>
      </c>
      <c r="U372" s="35" t="s">
        <v>1719</v>
      </c>
      <c r="V372" s="102" t="s">
        <v>293</v>
      </c>
      <c r="W372" s="478">
        <f>IFERROR(Table6[[#This Row],[Breakdown Time]]*Table6[[#This Row],[Plant Equivalent Weightage]],"")</f>
        <v>0.28076923076923072</v>
      </c>
      <c r="X372" s="473" t="s">
        <v>290</v>
      </c>
      <c r="Y372" s="474" t="s">
        <v>95</v>
      </c>
      <c r="Z372" s="102">
        <v>20201</v>
      </c>
      <c r="AA372" s="468">
        <f>(Table6[[#This Row],[Paired WTG Generation for loss calculation]]/24)*Table6[[#This Row],[Breakdown Time]]</f>
        <v>6144.4708333333338</v>
      </c>
      <c r="AB372" s="102"/>
      <c r="AC372" s="35"/>
      <c r="AD372" s="35"/>
    </row>
    <row r="373" spans="1:30">
      <c r="A373" s="102">
        <f t="shared" si="6"/>
        <v>372</v>
      </c>
      <c r="B373" s="468">
        <f>YEAR(Table6[[#This Row],[Date]])+IF(MONTH(Table6[[#This Row],[Date]])&gt;=4,1,0)</f>
        <v>2026</v>
      </c>
      <c r="C373" s="102">
        <f>YEAR(Table6[[#This Row],[Date]])</f>
        <v>2025</v>
      </c>
      <c r="D373" s="102" t="s">
        <v>1992</v>
      </c>
      <c r="E373" s="469">
        <f>Table6[[#This Row],[Date]]-DAY(Table6[[#This Row],[Date]])+1</f>
        <v>45748</v>
      </c>
      <c r="F373" s="470">
        <v>45771</v>
      </c>
      <c r="G373" s="35" t="s">
        <v>91</v>
      </c>
      <c r="H373" s="35" t="str">
        <f>IFERROR(_xlfn.XLOOKUP(Table6[[#This Row],[Affected WTG]],'Basic Data'!$A:$A,'Basic Data'!$B:$B),"")</f>
        <v>TQGXIIPL</v>
      </c>
      <c r="I373" s="35" t="str">
        <f>IFERROR(_xlfn.XLOOKUP(Table6[[#This Row],[Affected WTG]],'Basic Data'!$A:$A,'Basic Data'!$C:$C),"")</f>
        <v>GEDA</v>
      </c>
      <c r="J373" s="471">
        <f>IFERROR(_xlfn.XLOOKUP(Table6[[#This Row],[Affected WTG]],'Basic Data'!$A:$A,'Basic Data'!$E:$E),"")</f>
        <v>3.846153846153845E-2</v>
      </c>
      <c r="K373" s="102">
        <v>55</v>
      </c>
      <c r="L373" s="35" t="str">
        <f>IFERROR(_xlfn.XLOOKUP(Table6[[#This Row],[Error Code]],'Basic Data'!$AA:$AA,'Basic Data'!$AB:$AB),"Incorrect Error Code")</f>
        <v>WTG shut down</v>
      </c>
      <c r="M373" s="35" t="s">
        <v>295</v>
      </c>
      <c r="N373" s="475"/>
      <c r="O373" s="476">
        <v>0.38472222222222224</v>
      </c>
      <c r="P373" s="476">
        <v>0.38472222222222224</v>
      </c>
      <c r="Q373" s="477">
        <v>0.69027777777777777</v>
      </c>
      <c r="R373" s="472">
        <f>IF(Table6[[#This Row],[Work Start TimeStamp]]="","",(Table6[[#This Row],[Work Start TimeStamp]]-Table6[[#This Row],[Fault Start TimeStamp]])*24)</f>
        <v>0</v>
      </c>
      <c r="S373" s="472">
        <f>(Table6[[#This Row],[Fault Clearance time]]-Table6[[#This Row],[Work Start TimeStamp]])*24</f>
        <v>7.3333333333333321</v>
      </c>
      <c r="T373" s="472">
        <f>(Table6[[#This Row],[Fault Clearance time]]-Table6[[#This Row],[Fault Start TimeStamp]])*24</f>
        <v>7.3333333333333321</v>
      </c>
      <c r="U373" s="35" t="s">
        <v>1720</v>
      </c>
      <c r="V373" s="102" t="s">
        <v>293</v>
      </c>
      <c r="W373" s="478">
        <f>IFERROR(Table6[[#This Row],[Breakdown Time]]*Table6[[#This Row],[Plant Equivalent Weightage]],"")</f>
        <v>0.28205128205128194</v>
      </c>
      <c r="X373" s="473" t="s">
        <v>290</v>
      </c>
      <c r="Y373" s="474" t="s">
        <v>79</v>
      </c>
      <c r="Z373" s="102">
        <v>18405</v>
      </c>
      <c r="AA373" s="468">
        <f>(Table6[[#This Row],[Paired WTG Generation for loss calculation]]/24)*Table6[[#This Row],[Breakdown Time]]</f>
        <v>5623.7499999999991</v>
      </c>
      <c r="AB373" s="102"/>
      <c r="AC373" s="35"/>
      <c r="AD373" s="35"/>
    </row>
    <row r="374" spans="1:30">
      <c r="A374" s="102">
        <f t="shared" si="6"/>
        <v>373</v>
      </c>
      <c r="B374" s="468">
        <f>YEAR(Table6[[#This Row],[Date]])+IF(MONTH(Table6[[#This Row],[Date]])&gt;=4,1,0)</f>
        <v>2026</v>
      </c>
      <c r="C374" s="102">
        <f>YEAR(Table6[[#This Row],[Date]])</f>
        <v>2025</v>
      </c>
      <c r="D374" s="102" t="s">
        <v>1992</v>
      </c>
      <c r="E374" s="469">
        <f>Table6[[#This Row],[Date]]-DAY(Table6[[#This Row],[Date]])+1</f>
        <v>45748</v>
      </c>
      <c r="F374" s="470">
        <v>45771</v>
      </c>
      <c r="G374" s="35" t="s">
        <v>96</v>
      </c>
      <c r="H374" s="35" t="str">
        <f>IFERROR(_xlfn.XLOOKUP(Table6[[#This Row],[Affected WTG]],'Basic Data'!$A:$A,'Basic Data'!$B:$B),"")</f>
        <v>TQGXIIPL</v>
      </c>
      <c r="I374" s="35" t="str">
        <f>IFERROR(_xlfn.XLOOKUP(Table6[[#This Row],[Affected WTG]],'Basic Data'!$A:$A,'Basic Data'!$C:$C),"")</f>
        <v>GEDA</v>
      </c>
      <c r="J374" s="471">
        <f>IFERROR(_xlfn.XLOOKUP(Table6[[#This Row],[Affected WTG]],'Basic Data'!$A:$A,'Basic Data'!$E:$E),"")</f>
        <v>3.846153846153845E-2</v>
      </c>
      <c r="K374" s="102">
        <v>3211</v>
      </c>
      <c r="L374" s="35" t="str">
        <f>IFERROR(_xlfn.XLOOKUP(Table6[[#This Row],[Error Code]],'Basic Data'!$AA:$AA,'Basic Data'!$AB:$AB),"Incorrect Error Code")</f>
        <v>Conv. load shedding (CAN)</v>
      </c>
      <c r="M374" s="35" t="s">
        <v>291</v>
      </c>
      <c r="N374" s="475"/>
      <c r="O374" s="476">
        <v>0.69652777777777775</v>
      </c>
      <c r="P374" s="476">
        <v>0.69652777777777775</v>
      </c>
      <c r="Q374" s="477">
        <v>0.69861111111111107</v>
      </c>
      <c r="R374" s="472">
        <f>IF(Table6[[#This Row],[Work Start TimeStamp]]="","",(Table6[[#This Row],[Work Start TimeStamp]]-Table6[[#This Row],[Fault Start TimeStamp]])*24)</f>
        <v>0</v>
      </c>
      <c r="S374" s="472">
        <f>(Table6[[#This Row],[Fault Clearance time]]-Table6[[#This Row],[Work Start TimeStamp]])*24</f>
        <v>4.9999999999999822E-2</v>
      </c>
      <c r="T374" s="472">
        <f>(Table6[[#This Row],[Fault Clearance time]]-Table6[[#This Row],[Fault Start TimeStamp]])*24</f>
        <v>4.9999999999999822E-2</v>
      </c>
      <c r="U374" s="35" t="s">
        <v>349</v>
      </c>
      <c r="V374" s="102" t="s">
        <v>293</v>
      </c>
      <c r="W374" s="478">
        <f>IFERROR(Table6[[#This Row],[Breakdown Time]]*Table6[[#This Row],[Plant Equivalent Weightage]],"")</f>
        <v>1.9230769230769156E-3</v>
      </c>
      <c r="X374" s="473" t="s">
        <v>294</v>
      </c>
      <c r="Y374" s="474" t="s">
        <v>84</v>
      </c>
      <c r="Z374" s="102">
        <v>16559</v>
      </c>
      <c r="AA374" s="468">
        <f>(Table6[[#This Row],[Paired WTG Generation for loss calculation]]/24)*Table6[[#This Row],[Breakdown Time]]</f>
        <v>34.497916666666548</v>
      </c>
      <c r="AB374" s="102"/>
      <c r="AC374" s="35"/>
      <c r="AD374" s="35"/>
    </row>
    <row r="375" spans="1:30">
      <c r="A375" s="102">
        <f t="shared" si="6"/>
        <v>374</v>
      </c>
      <c r="B375" s="468">
        <f>YEAR(Table6[[#This Row],[Date]])+IF(MONTH(Table6[[#This Row],[Date]])&gt;=4,1,0)</f>
        <v>2026</v>
      </c>
      <c r="C375" s="102">
        <f>YEAR(Table6[[#This Row],[Date]])</f>
        <v>2025</v>
      </c>
      <c r="D375" s="102" t="s">
        <v>1992</v>
      </c>
      <c r="E375" s="469">
        <f>Table6[[#This Row],[Date]]-DAY(Table6[[#This Row],[Date]])+1</f>
        <v>45748</v>
      </c>
      <c r="F375" s="470">
        <v>45771</v>
      </c>
      <c r="G375" s="35" t="s">
        <v>97</v>
      </c>
      <c r="H375" s="35" t="str">
        <f>IFERROR(_xlfn.XLOOKUP(Table6[[#This Row],[Affected WTG]],'Basic Data'!$A:$A,'Basic Data'!$B:$B),"")</f>
        <v>TQGXIIPL</v>
      </c>
      <c r="I375" s="35" t="str">
        <f>IFERROR(_xlfn.XLOOKUP(Table6[[#This Row],[Affected WTG]],'Basic Data'!$A:$A,'Basic Data'!$C:$C),"")</f>
        <v>GEDA</v>
      </c>
      <c r="J375" s="471">
        <f>IFERROR(_xlfn.XLOOKUP(Table6[[#This Row],[Affected WTG]],'Basic Data'!$A:$A,'Basic Data'!$E:$E),"")</f>
        <v>3.846153846153845E-2</v>
      </c>
      <c r="K375" s="102">
        <v>6130</v>
      </c>
      <c r="L375" s="35" t="str">
        <f>IFERROR(_xlfn.XLOOKUP(Table6[[#This Row],[Error Code]],'Basic Data'!$AA:$AA,'Basic Data'!$AB:$AB),"Incorrect Error Code")</f>
        <v>Yaw speed high</v>
      </c>
      <c r="M375" s="35" t="s">
        <v>292</v>
      </c>
      <c r="N375" s="475"/>
      <c r="O375" s="476">
        <v>0.57499999999999996</v>
      </c>
      <c r="P375" s="476">
        <v>0.57499999999999996</v>
      </c>
      <c r="Q375" s="477">
        <v>0.57916666666666672</v>
      </c>
      <c r="R375" s="472">
        <f>IF(Table6[[#This Row],[Work Start TimeStamp]]="","",(Table6[[#This Row],[Work Start TimeStamp]]-Table6[[#This Row],[Fault Start TimeStamp]])*24)</f>
        <v>0</v>
      </c>
      <c r="S375" s="472">
        <f>(Table6[[#This Row],[Fault Clearance time]]-Table6[[#This Row],[Work Start TimeStamp]])*24</f>
        <v>0.10000000000000231</v>
      </c>
      <c r="T375" s="472">
        <f>(Table6[[#This Row],[Fault Clearance time]]-Table6[[#This Row],[Fault Start TimeStamp]])*24</f>
        <v>0.10000000000000231</v>
      </c>
      <c r="U375" s="35" t="s">
        <v>336</v>
      </c>
      <c r="V375" s="102" t="s">
        <v>293</v>
      </c>
      <c r="W375" s="478">
        <f>IFERROR(Table6[[#This Row],[Breakdown Time]]*Table6[[#This Row],[Plant Equivalent Weightage]],"")</f>
        <v>3.846153846153934E-3</v>
      </c>
      <c r="X375" s="473" t="s">
        <v>294</v>
      </c>
      <c r="Y375" s="474" t="s">
        <v>93</v>
      </c>
      <c r="Z375" s="102">
        <v>18458</v>
      </c>
      <c r="AA375" s="468">
        <f>(Table6[[#This Row],[Paired WTG Generation for loss calculation]]/24)*Table6[[#This Row],[Breakdown Time]]</f>
        <v>76.908333333335108</v>
      </c>
      <c r="AB375" s="102"/>
      <c r="AC375" s="35"/>
      <c r="AD375" s="35"/>
    </row>
    <row r="376" spans="1:30">
      <c r="A376" s="102">
        <f t="shared" si="6"/>
        <v>375</v>
      </c>
      <c r="B376" s="468">
        <f>YEAR(Table6[[#This Row],[Date]])+IF(MONTH(Table6[[#This Row],[Date]])&gt;=4,1,0)</f>
        <v>2026</v>
      </c>
      <c r="C376" s="102">
        <f>YEAR(Table6[[#This Row],[Date]])</f>
        <v>2025</v>
      </c>
      <c r="D376" s="102" t="s">
        <v>1992</v>
      </c>
      <c r="E376" s="469">
        <f>Table6[[#This Row],[Date]]-DAY(Table6[[#This Row],[Date]])+1</f>
        <v>45748</v>
      </c>
      <c r="F376" s="470">
        <v>45772</v>
      </c>
      <c r="G376" s="35" t="s">
        <v>76</v>
      </c>
      <c r="H376" s="35" t="str">
        <f>IFERROR(_xlfn.XLOOKUP(Table6[[#This Row],[Affected WTG]],'Basic Data'!$A:$A,'Basic Data'!$B:$B),"")</f>
        <v>TQGXIIPL</v>
      </c>
      <c r="I376" s="35" t="str">
        <f>IFERROR(_xlfn.XLOOKUP(Table6[[#This Row],[Affected WTG]],'Basic Data'!$A:$A,'Basic Data'!$C:$C),"")</f>
        <v>GEDA</v>
      </c>
      <c r="J376" s="471">
        <f>IFERROR(_xlfn.XLOOKUP(Table6[[#This Row],[Affected WTG]],'Basic Data'!$A:$A,'Basic Data'!$E:$E),"")</f>
        <v>3.846153846153845E-2</v>
      </c>
      <c r="K376" s="102">
        <v>175</v>
      </c>
      <c r="L376" s="35" t="str">
        <f>IFERROR(_xlfn.XLOOKUP(Table6[[#This Row],[Error Code]],'Basic Data'!$AA:$AA,'Basic Data'!$AB:$AB),"Incorrect Error Code")</f>
        <v>SLC error</v>
      </c>
      <c r="M376" s="35" t="s">
        <v>291</v>
      </c>
      <c r="N376" s="475"/>
      <c r="O376" s="476">
        <v>0.78402777777777777</v>
      </c>
      <c r="P376" s="476">
        <v>0.78402777777777777</v>
      </c>
      <c r="Q376" s="477">
        <v>0.80972222222222223</v>
      </c>
      <c r="R376" s="472">
        <f>IF(Table6[[#This Row],[Work Start TimeStamp]]="","",(Table6[[#This Row],[Work Start TimeStamp]]-Table6[[#This Row],[Fault Start TimeStamp]])*24)</f>
        <v>0</v>
      </c>
      <c r="S376" s="472">
        <f>(Table6[[#This Row],[Fault Clearance time]]-Table6[[#This Row],[Work Start TimeStamp]])*24</f>
        <v>0.61666666666666714</v>
      </c>
      <c r="T376" s="472">
        <f>(Table6[[#This Row],[Fault Clearance time]]-Table6[[#This Row],[Fault Start TimeStamp]])*24</f>
        <v>0.61666666666666714</v>
      </c>
      <c r="U376" s="35" t="s">
        <v>1721</v>
      </c>
      <c r="V376" s="102" t="s">
        <v>293</v>
      </c>
      <c r="W376" s="478">
        <f>IFERROR(Table6[[#This Row],[Breakdown Time]]*Table6[[#This Row],[Plant Equivalent Weightage]],"")</f>
        <v>2.3717948717948727E-2</v>
      </c>
      <c r="X376" s="473" t="s">
        <v>294</v>
      </c>
      <c r="Y376" s="474" t="s">
        <v>82</v>
      </c>
      <c r="Z376" s="102">
        <v>23355</v>
      </c>
      <c r="AA376" s="468">
        <f>(Table6[[#This Row],[Paired WTG Generation for loss calculation]]/24)*Table6[[#This Row],[Breakdown Time]]</f>
        <v>600.09375000000045</v>
      </c>
      <c r="AB376" s="102"/>
      <c r="AC376" s="35"/>
      <c r="AD376" s="35"/>
    </row>
    <row r="377" spans="1:30">
      <c r="A377" s="102">
        <f t="shared" si="6"/>
        <v>376</v>
      </c>
      <c r="B377" s="468">
        <f>YEAR(Table6[[#This Row],[Date]])+IF(MONTH(Table6[[#This Row],[Date]])&gt;=4,1,0)</f>
        <v>2026</v>
      </c>
      <c r="C377" s="102">
        <f>YEAR(Table6[[#This Row],[Date]])</f>
        <v>2025</v>
      </c>
      <c r="D377" s="102" t="s">
        <v>1992</v>
      </c>
      <c r="E377" s="469">
        <f>Table6[[#This Row],[Date]]-DAY(Table6[[#This Row],[Date]])+1</f>
        <v>45748</v>
      </c>
      <c r="F377" s="470">
        <v>45772</v>
      </c>
      <c r="G377" s="35" t="s">
        <v>77</v>
      </c>
      <c r="H377" s="35" t="str">
        <f>IFERROR(_xlfn.XLOOKUP(Table6[[#This Row],[Affected WTG]],'Basic Data'!$A:$A,'Basic Data'!$B:$B),"")</f>
        <v>TQGXIIPL</v>
      </c>
      <c r="I377" s="35" t="str">
        <f>IFERROR(_xlfn.XLOOKUP(Table6[[#This Row],[Affected WTG]],'Basic Data'!$A:$A,'Basic Data'!$C:$C),"")</f>
        <v>GEDA</v>
      </c>
      <c r="J377" s="471">
        <f>IFERROR(_xlfn.XLOOKUP(Table6[[#This Row],[Affected WTG]],'Basic Data'!$A:$A,'Basic Data'!$E:$E),"")</f>
        <v>3.846153846153845E-2</v>
      </c>
      <c r="K377" s="102">
        <v>630</v>
      </c>
      <c r="L377" s="35" t="str">
        <f>IFERROR(_xlfn.XLOOKUP(Table6[[#This Row],[Error Code]],'Basic Data'!$AA:$AA,'Basic Data'!$AB:$AB),"Incorrect Error Code")</f>
        <v>Overload fan pitch motor</v>
      </c>
      <c r="M377" s="35" t="s">
        <v>291</v>
      </c>
      <c r="N377" s="475"/>
      <c r="O377" s="476">
        <v>1.9444444444444445E-2</v>
      </c>
      <c r="P377" s="476">
        <v>7.0833333333333331E-2</v>
      </c>
      <c r="Q377" s="477">
        <v>0.125</v>
      </c>
      <c r="R377" s="472">
        <f>IF(Table6[[#This Row],[Work Start TimeStamp]]="","",(Table6[[#This Row],[Work Start TimeStamp]]-Table6[[#This Row],[Fault Start TimeStamp]])*24)</f>
        <v>1.2333333333333334</v>
      </c>
      <c r="S377" s="472">
        <f>(Table6[[#This Row],[Fault Clearance time]]-Table6[[#This Row],[Work Start TimeStamp]])*24</f>
        <v>1.3</v>
      </c>
      <c r="T377" s="472">
        <f>(Table6[[#This Row],[Fault Clearance time]]-Table6[[#This Row],[Fault Start TimeStamp]])*24</f>
        <v>2.5333333333333332</v>
      </c>
      <c r="U377" s="35" t="s">
        <v>1722</v>
      </c>
      <c r="V377" s="102" t="s">
        <v>293</v>
      </c>
      <c r="W377" s="478">
        <f>IFERROR(Table6[[#This Row],[Breakdown Time]]*Table6[[#This Row],[Plant Equivalent Weightage]],"")</f>
        <v>9.7435897435897395E-2</v>
      </c>
      <c r="X377" s="473" t="s">
        <v>294</v>
      </c>
      <c r="Y377" s="474" t="s">
        <v>80</v>
      </c>
      <c r="Z377" s="102">
        <v>25522</v>
      </c>
      <c r="AA377" s="468">
        <f>(Table6[[#This Row],[Paired WTG Generation for loss calculation]]/24)*Table6[[#This Row],[Breakdown Time]]</f>
        <v>2693.9888888888891</v>
      </c>
      <c r="AB377" s="102"/>
      <c r="AC377" s="35"/>
      <c r="AD377" s="35"/>
    </row>
    <row r="378" spans="1:30">
      <c r="A378" s="102">
        <f t="shared" si="6"/>
        <v>377</v>
      </c>
      <c r="B378" s="468">
        <f>YEAR(Table6[[#This Row],[Date]])+IF(MONTH(Table6[[#This Row],[Date]])&gt;=4,1,0)</f>
        <v>2026</v>
      </c>
      <c r="C378" s="102">
        <f>YEAR(Table6[[#This Row],[Date]])</f>
        <v>2025</v>
      </c>
      <c r="D378" s="102" t="s">
        <v>1992</v>
      </c>
      <c r="E378" s="469">
        <f>Table6[[#This Row],[Date]]-DAY(Table6[[#This Row],[Date]])+1</f>
        <v>45748</v>
      </c>
      <c r="F378" s="470">
        <v>45772</v>
      </c>
      <c r="G378" s="35" t="s">
        <v>77</v>
      </c>
      <c r="H378" s="35" t="str">
        <f>IFERROR(_xlfn.XLOOKUP(Table6[[#This Row],[Affected WTG]],'Basic Data'!$A:$A,'Basic Data'!$B:$B),"")</f>
        <v>TQGXIIPL</v>
      </c>
      <c r="I378" s="35" t="str">
        <f>IFERROR(_xlfn.XLOOKUP(Table6[[#This Row],[Affected WTG]],'Basic Data'!$A:$A,'Basic Data'!$C:$C),"")</f>
        <v>GEDA</v>
      </c>
      <c r="J378" s="471">
        <f>IFERROR(_xlfn.XLOOKUP(Table6[[#This Row],[Affected WTG]],'Basic Data'!$A:$A,'Basic Data'!$E:$E),"")</f>
        <v>3.846153846153845E-2</v>
      </c>
      <c r="K378" s="102">
        <v>3250</v>
      </c>
      <c r="L378" s="35" t="str">
        <f>IFERROR(_xlfn.XLOOKUP(Table6[[#This Row],[Error Code]],'Basic Data'!$AA:$AA,'Basic Data'!$AB:$AB),"Incorrect Error Code")</f>
        <v>No power</v>
      </c>
      <c r="M378" s="35" t="s">
        <v>292</v>
      </c>
      <c r="N378" s="475"/>
      <c r="O378" s="476">
        <v>0.17916666666666667</v>
      </c>
      <c r="P378" s="476">
        <v>0.17916666666666667</v>
      </c>
      <c r="Q378" s="477">
        <v>0.17986111111111111</v>
      </c>
      <c r="R378" s="472">
        <f>IF(Table6[[#This Row],[Work Start TimeStamp]]="","",(Table6[[#This Row],[Work Start TimeStamp]]-Table6[[#This Row],[Fault Start TimeStamp]])*24)</f>
        <v>0</v>
      </c>
      <c r="S378" s="472">
        <f>(Table6[[#This Row],[Fault Clearance time]]-Table6[[#This Row],[Work Start TimeStamp]])*24</f>
        <v>1.6666666666666607E-2</v>
      </c>
      <c r="T378" s="472">
        <f>(Table6[[#This Row],[Fault Clearance time]]-Table6[[#This Row],[Fault Start TimeStamp]])*24</f>
        <v>1.6666666666666607E-2</v>
      </c>
      <c r="U378" s="35" t="s">
        <v>336</v>
      </c>
      <c r="V378" s="102" t="s">
        <v>293</v>
      </c>
      <c r="W378" s="478">
        <f>IFERROR(Table6[[#This Row],[Breakdown Time]]*Table6[[#This Row],[Plant Equivalent Weightage]],"")</f>
        <v>6.4102564102563853E-4</v>
      </c>
      <c r="X378" s="473" t="s">
        <v>294</v>
      </c>
      <c r="Y378" s="474" t="s">
        <v>80</v>
      </c>
      <c r="Z378" s="102">
        <v>25522</v>
      </c>
      <c r="AA378" s="468">
        <f>(Table6[[#This Row],[Paired WTG Generation for loss calculation]]/24)*Table6[[#This Row],[Breakdown Time]]</f>
        <v>17.723611111111051</v>
      </c>
      <c r="AB378" s="102"/>
      <c r="AC378" s="35"/>
      <c r="AD378" s="35"/>
    </row>
    <row r="379" spans="1:30">
      <c r="A379" s="102">
        <f t="shared" si="6"/>
        <v>378</v>
      </c>
      <c r="B379" s="468">
        <f>YEAR(Table6[[#This Row],[Date]])+IF(MONTH(Table6[[#This Row],[Date]])&gt;=4,1,0)</f>
        <v>2026</v>
      </c>
      <c r="C379" s="102">
        <f>YEAR(Table6[[#This Row],[Date]])</f>
        <v>2025</v>
      </c>
      <c r="D379" s="102" t="s">
        <v>1992</v>
      </c>
      <c r="E379" s="469">
        <f>Table6[[#This Row],[Date]]-DAY(Table6[[#This Row],[Date]])+1</f>
        <v>45748</v>
      </c>
      <c r="F379" s="470">
        <v>45772</v>
      </c>
      <c r="G379" s="35" t="s">
        <v>77</v>
      </c>
      <c r="H379" s="35" t="str">
        <f>IFERROR(_xlfn.XLOOKUP(Table6[[#This Row],[Affected WTG]],'Basic Data'!$A:$A,'Basic Data'!$B:$B),"")</f>
        <v>TQGXIIPL</v>
      </c>
      <c r="I379" s="35" t="str">
        <f>IFERROR(_xlfn.XLOOKUP(Table6[[#This Row],[Affected WTG]],'Basic Data'!$A:$A,'Basic Data'!$C:$C),"")</f>
        <v>GEDA</v>
      </c>
      <c r="J379" s="471">
        <f>IFERROR(_xlfn.XLOOKUP(Table6[[#This Row],[Affected WTG]],'Basic Data'!$A:$A,'Basic Data'!$E:$E),"")</f>
        <v>3.846153846153845E-2</v>
      </c>
      <c r="K379" s="102">
        <v>55</v>
      </c>
      <c r="L379" s="35" t="str">
        <f>IFERROR(_xlfn.XLOOKUP(Table6[[#This Row],[Error Code]],'Basic Data'!$AA:$AA,'Basic Data'!$AB:$AB),"Incorrect Error Code")</f>
        <v>WTG shut down</v>
      </c>
      <c r="M379" s="35" t="s">
        <v>291</v>
      </c>
      <c r="N379" s="475"/>
      <c r="O379" s="476">
        <v>0.21736111111111112</v>
      </c>
      <c r="P379" s="476">
        <v>0.21736111111111112</v>
      </c>
      <c r="Q379" s="477">
        <v>0.22013888888888888</v>
      </c>
      <c r="R379" s="472">
        <f>IF(Table6[[#This Row],[Work Start TimeStamp]]="","",(Table6[[#This Row],[Work Start TimeStamp]]-Table6[[#This Row],[Fault Start TimeStamp]])*24)</f>
        <v>0</v>
      </c>
      <c r="S379" s="472">
        <f>(Table6[[#This Row],[Fault Clearance time]]-Table6[[#This Row],[Work Start TimeStamp]])*24</f>
        <v>6.666666666666643E-2</v>
      </c>
      <c r="T379" s="472">
        <f>(Table6[[#This Row],[Fault Clearance time]]-Table6[[#This Row],[Fault Start TimeStamp]])*24</f>
        <v>6.666666666666643E-2</v>
      </c>
      <c r="U379" s="35" t="s">
        <v>1723</v>
      </c>
      <c r="V379" s="102" t="s">
        <v>293</v>
      </c>
      <c r="W379" s="478">
        <f>IFERROR(Table6[[#This Row],[Breakdown Time]]*Table6[[#This Row],[Plant Equivalent Weightage]],"")</f>
        <v>2.5641025641025541E-3</v>
      </c>
      <c r="X379" s="473" t="s">
        <v>294</v>
      </c>
      <c r="Y379" s="474" t="s">
        <v>80</v>
      </c>
      <c r="Z379" s="102">
        <v>25522</v>
      </c>
      <c r="AA379" s="468">
        <f>(Table6[[#This Row],[Paired WTG Generation for loss calculation]]/24)*Table6[[#This Row],[Breakdown Time]]</f>
        <v>70.894444444444204</v>
      </c>
      <c r="AB379" s="102"/>
      <c r="AC379" s="35"/>
      <c r="AD379" s="35"/>
    </row>
    <row r="380" spans="1:30">
      <c r="A380" s="102">
        <f t="shared" si="6"/>
        <v>379</v>
      </c>
      <c r="B380" s="468">
        <f>YEAR(Table6[[#This Row],[Date]])+IF(MONTH(Table6[[#This Row],[Date]])&gt;=4,1,0)</f>
        <v>2026</v>
      </c>
      <c r="C380" s="102">
        <f>YEAR(Table6[[#This Row],[Date]])</f>
        <v>2025</v>
      </c>
      <c r="D380" s="102" t="s">
        <v>1992</v>
      </c>
      <c r="E380" s="469">
        <f>Table6[[#This Row],[Date]]-DAY(Table6[[#This Row],[Date]])+1</f>
        <v>45748</v>
      </c>
      <c r="F380" s="470">
        <v>45772</v>
      </c>
      <c r="G380" s="35" t="s">
        <v>78</v>
      </c>
      <c r="H380" s="35" t="str">
        <f>IFERROR(_xlfn.XLOOKUP(Table6[[#This Row],[Affected WTG]],'Basic Data'!$A:$A,'Basic Data'!$B:$B),"")</f>
        <v>TQGXIIPL</v>
      </c>
      <c r="I380" s="35" t="str">
        <f>IFERROR(_xlfn.XLOOKUP(Table6[[#This Row],[Affected WTG]],'Basic Data'!$A:$A,'Basic Data'!$C:$C),"")</f>
        <v>GEDA</v>
      </c>
      <c r="J380" s="471">
        <f>IFERROR(_xlfn.XLOOKUP(Table6[[#This Row],[Affected WTG]],'Basic Data'!$A:$A,'Basic Data'!$E:$E),"")</f>
        <v>3.846153846153845E-2</v>
      </c>
      <c r="K380" s="102">
        <v>3010</v>
      </c>
      <c r="L380" s="35" t="str">
        <f>IFERROR(_xlfn.XLOOKUP(Table6[[#This Row],[Error Code]],'Basic Data'!$AA:$AA,'Basic Data'!$AB:$AB),"Incorrect Error Code")</f>
        <v>Conv. comm.error</v>
      </c>
      <c r="M380" s="35" t="s">
        <v>291</v>
      </c>
      <c r="N380" s="475"/>
      <c r="O380" s="476">
        <v>0.16180555555555556</v>
      </c>
      <c r="P380" s="476">
        <v>0.19166666666666668</v>
      </c>
      <c r="Q380" s="477">
        <v>0.21111111111111111</v>
      </c>
      <c r="R380" s="472">
        <f>IF(Table6[[#This Row],[Work Start TimeStamp]]="","",(Table6[[#This Row],[Work Start TimeStamp]]-Table6[[#This Row],[Fault Start TimeStamp]])*24)</f>
        <v>0.71666666666666679</v>
      </c>
      <c r="S380" s="472">
        <f>(Table6[[#This Row],[Fault Clearance time]]-Table6[[#This Row],[Work Start TimeStamp]])*24</f>
        <v>0.46666666666666634</v>
      </c>
      <c r="T380" s="472">
        <f>(Table6[[#This Row],[Fault Clearance time]]-Table6[[#This Row],[Fault Start TimeStamp]])*24</f>
        <v>1.1833333333333331</v>
      </c>
      <c r="U380" s="35" t="s">
        <v>1724</v>
      </c>
      <c r="V380" s="102" t="s">
        <v>293</v>
      </c>
      <c r="W380" s="478">
        <f>IFERROR(Table6[[#This Row],[Breakdown Time]]*Table6[[#This Row],[Plant Equivalent Weightage]],"")</f>
        <v>4.551282051282049E-2</v>
      </c>
      <c r="X380" s="473" t="s">
        <v>294</v>
      </c>
      <c r="Y380" s="474" t="s">
        <v>75</v>
      </c>
      <c r="Z380" s="102">
        <v>30384</v>
      </c>
      <c r="AA380" s="468">
        <f>(Table6[[#This Row],[Paired WTG Generation for loss calculation]]/24)*Table6[[#This Row],[Breakdown Time]]</f>
        <v>1498.0999999999997</v>
      </c>
      <c r="AB380" s="102"/>
      <c r="AC380" s="35"/>
      <c r="AD380" s="35"/>
    </row>
    <row r="381" spans="1:30">
      <c r="A381" s="102">
        <f t="shared" si="6"/>
        <v>380</v>
      </c>
      <c r="B381" s="468">
        <f>YEAR(Table6[[#This Row],[Date]])+IF(MONTH(Table6[[#This Row],[Date]])&gt;=4,1,0)</f>
        <v>2026</v>
      </c>
      <c r="C381" s="102">
        <f>YEAR(Table6[[#This Row],[Date]])</f>
        <v>2025</v>
      </c>
      <c r="D381" s="102" t="s">
        <v>1992</v>
      </c>
      <c r="E381" s="469">
        <f>Table6[[#This Row],[Date]]-DAY(Table6[[#This Row],[Date]])+1</f>
        <v>45748</v>
      </c>
      <c r="F381" s="470">
        <v>45772</v>
      </c>
      <c r="G381" s="35" t="s">
        <v>78</v>
      </c>
      <c r="H381" s="35" t="str">
        <f>IFERROR(_xlfn.XLOOKUP(Table6[[#This Row],[Affected WTG]],'Basic Data'!$A:$A,'Basic Data'!$B:$B),"")</f>
        <v>TQGXIIPL</v>
      </c>
      <c r="I381" s="35" t="str">
        <f>IFERROR(_xlfn.XLOOKUP(Table6[[#This Row],[Affected WTG]],'Basic Data'!$A:$A,'Basic Data'!$C:$C),"")</f>
        <v>GEDA</v>
      </c>
      <c r="J381" s="471">
        <f>IFERROR(_xlfn.XLOOKUP(Table6[[#This Row],[Affected WTG]],'Basic Data'!$A:$A,'Basic Data'!$E:$E),"")</f>
        <v>3.846153846153845E-2</v>
      </c>
      <c r="K381" s="102">
        <v>7017</v>
      </c>
      <c r="L381" s="35" t="str">
        <f>IFERROR(_xlfn.XLOOKUP(Table6[[#This Row],[Error Code]],'Basic Data'!$AA:$AA,'Basic Data'!$AB:$AB),"Incorrect Error Code")</f>
        <v>Parameter outside limits stop</v>
      </c>
      <c r="M381" s="35" t="s">
        <v>291</v>
      </c>
      <c r="N381" s="475"/>
      <c r="O381" s="476">
        <v>0.80902777777777779</v>
      </c>
      <c r="P381" s="476">
        <v>0.80902777777777779</v>
      </c>
      <c r="Q381" s="477">
        <v>0.83819444444444446</v>
      </c>
      <c r="R381" s="472">
        <f>IF(Table6[[#This Row],[Work Start TimeStamp]]="","",(Table6[[#This Row],[Work Start TimeStamp]]-Table6[[#This Row],[Fault Start TimeStamp]])*24)</f>
        <v>0</v>
      </c>
      <c r="S381" s="472">
        <f>(Table6[[#This Row],[Fault Clearance time]]-Table6[[#This Row],[Work Start TimeStamp]])*24</f>
        <v>0.70000000000000018</v>
      </c>
      <c r="T381" s="472">
        <f>(Table6[[#This Row],[Fault Clearance time]]-Table6[[#This Row],[Fault Start TimeStamp]])*24</f>
        <v>0.70000000000000018</v>
      </c>
      <c r="U381" s="35" t="s">
        <v>1725</v>
      </c>
      <c r="V381" s="102" t="s">
        <v>293</v>
      </c>
      <c r="W381" s="478">
        <f>IFERROR(Table6[[#This Row],[Breakdown Time]]*Table6[[#This Row],[Plant Equivalent Weightage]],"")</f>
        <v>2.6923076923076921E-2</v>
      </c>
      <c r="X381" s="473" t="s">
        <v>294</v>
      </c>
      <c r="Y381" s="474" t="s">
        <v>75</v>
      </c>
      <c r="Z381" s="102">
        <v>30384</v>
      </c>
      <c r="AA381" s="468">
        <f>(Table6[[#This Row],[Paired WTG Generation for loss calculation]]/24)*Table6[[#This Row],[Breakdown Time]]</f>
        <v>886.20000000000027</v>
      </c>
      <c r="AB381" s="102"/>
      <c r="AC381" s="35"/>
      <c r="AD381" s="35"/>
    </row>
    <row r="382" spans="1:30">
      <c r="A382" s="102">
        <f t="shared" si="6"/>
        <v>381</v>
      </c>
      <c r="B382" s="468">
        <f>YEAR(Table6[[#This Row],[Date]])+IF(MONTH(Table6[[#This Row],[Date]])&gt;=4,1,0)</f>
        <v>2026</v>
      </c>
      <c r="C382" s="102">
        <f>YEAR(Table6[[#This Row],[Date]])</f>
        <v>2025</v>
      </c>
      <c r="D382" s="102" t="s">
        <v>1992</v>
      </c>
      <c r="E382" s="469">
        <f>Table6[[#This Row],[Date]]-DAY(Table6[[#This Row],[Date]])+1</f>
        <v>45748</v>
      </c>
      <c r="F382" s="470">
        <v>45772</v>
      </c>
      <c r="G382" s="35" t="s">
        <v>85</v>
      </c>
      <c r="H382" s="35" t="str">
        <f>IFERROR(_xlfn.XLOOKUP(Table6[[#This Row],[Affected WTG]],'Basic Data'!$A:$A,'Basic Data'!$B:$B),"")</f>
        <v>TQGXIIPL</v>
      </c>
      <c r="I382" s="35" t="str">
        <f>IFERROR(_xlfn.XLOOKUP(Table6[[#This Row],[Affected WTG]],'Basic Data'!$A:$A,'Basic Data'!$C:$C),"")</f>
        <v>GEDA</v>
      </c>
      <c r="J382" s="471">
        <f>IFERROR(_xlfn.XLOOKUP(Table6[[#This Row],[Affected WTG]],'Basic Data'!$A:$A,'Basic Data'!$E:$E),"")</f>
        <v>3.846153846153845E-2</v>
      </c>
      <c r="K382" s="102">
        <v>55</v>
      </c>
      <c r="L382" s="35" t="str">
        <f>IFERROR(_xlfn.XLOOKUP(Table6[[#This Row],[Error Code]],'Basic Data'!$AA:$AA,'Basic Data'!$AB:$AB),"Incorrect Error Code")</f>
        <v>WTG shut down</v>
      </c>
      <c r="M382" s="35" t="s">
        <v>330</v>
      </c>
      <c r="N382" s="475"/>
      <c r="O382" s="476">
        <v>0.85277777777777775</v>
      </c>
      <c r="P382" s="476">
        <v>0.85277777777777775</v>
      </c>
      <c r="Q382" s="477">
        <v>0.87569444444444444</v>
      </c>
      <c r="R382" s="472">
        <f>IF(Table6[[#This Row],[Work Start TimeStamp]]="","",(Table6[[#This Row],[Work Start TimeStamp]]-Table6[[#This Row],[Fault Start TimeStamp]])*24)</f>
        <v>0</v>
      </c>
      <c r="S382" s="472">
        <f>(Table6[[#This Row],[Fault Clearance time]]-Table6[[#This Row],[Work Start TimeStamp]])*24</f>
        <v>0.55000000000000071</v>
      </c>
      <c r="T382" s="472">
        <f>(Table6[[#This Row],[Fault Clearance time]]-Table6[[#This Row],[Fault Start TimeStamp]])*24</f>
        <v>0.55000000000000071</v>
      </c>
      <c r="U382" s="35" t="s">
        <v>337</v>
      </c>
      <c r="V382" s="102" t="s">
        <v>293</v>
      </c>
      <c r="W382" s="478">
        <f>IFERROR(Table6[[#This Row],[Breakdown Time]]*Table6[[#This Row],[Plant Equivalent Weightage]],"")</f>
        <v>2.1153846153846176E-2</v>
      </c>
      <c r="X382" s="473" t="s">
        <v>290</v>
      </c>
      <c r="Y382" s="474" t="s">
        <v>87</v>
      </c>
      <c r="Z382" s="102">
        <v>19630</v>
      </c>
      <c r="AA382" s="468">
        <f>(Table6[[#This Row],[Paired WTG Generation for loss calculation]]/24)*Table6[[#This Row],[Breakdown Time]]</f>
        <v>449.85416666666725</v>
      </c>
      <c r="AB382" s="102"/>
      <c r="AC382" s="35"/>
      <c r="AD382" s="35"/>
    </row>
    <row r="383" spans="1:30">
      <c r="A383" s="102">
        <f t="shared" si="6"/>
        <v>382</v>
      </c>
      <c r="B383" s="468">
        <f>YEAR(Table6[[#This Row],[Date]])+IF(MONTH(Table6[[#This Row],[Date]])&gt;=4,1,0)</f>
        <v>2026</v>
      </c>
      <c r="C383" s="102">
        <f>YEAR(Table6[[#This Row],[Date]])</f>
        <v>2025</v>
      </c>
      <c r="D383" s="102" t="s">
        <v>1992</v>
      </c>
      <c r="E383" s="469">
        <f>Table6[[#This Row],[Date]]-DAY(Table6[[#This Row],[Date]])+1</f>
        <v>45748</v>
      </c>
      <c r="F383" s="470">
        <v>45772</v>
      </c>
      <c r="G383" s="35" t="s">
        <v>86</v>
      </c>
      <c r="H383" s="35" t="str">
        <f>IFERROR(_xlfn.XLOOKUP(Table6[[#This Row],[Affected WTG]],'Basic Data'!$A:$A,'Basic Data'!$B:$B),"")</f>
        <v>TQGXIIPL</v>
      </c>
      <c r="I383" s="35" t="str">
        <f>IFERROR(_xlfn.XLOOKUP(Table6[[#This Row],[Affected WTG]],'Basic Data'!$A:$A,'Basic Data'!$C:$C),"")</f>
        <v>GEDA</v>
      </c>
      <c r="J383" s="471">
        <f>IFERROR(_xlfn.XLOOKUP(Table6[[#This Row],[Affected WTG]],'Basic Data'!$A:$A,'Basic Data'!$E:$E),"")</f>
        <v>3.846153846153845E-2</v>
      </c>
      <c r="K383" s="102">
        <v>6130</v>
      </c>
      <c r="L383" s="35" t="str">
        <f>IFERROR(_xlfn.XLOOKUP(Table6[[#This Row],[Error Code]],'Basic Data'!$AA:$AA,'Basic Data'!$AB:$AB),"Incorrect Error Code")</f>
        <v>Yaw speed high</v>
      </c>
      <c r="M383" s="35" t="s">
        <v>291</v>
      </c>
      <c r="N383" s="475"/>
      <c r="O383" s="476">
        <v>0.63749999999999996</v>
      </c>
      <c r="P383" s="476">
        <v>0.63749999999999996</v>
      </c>
      <c r="Q383" s="477">
        <v>0.64166666666666672</v>
      </c>
      <c r="R383" s="472">
        <f>IF(Table6[[#This Row],[Work Start TimeStamp]]="","",(Table6[[#This Row],[Work Start TimeStamp]]-Table6[[#This Row],[Fault Start TimeStamp]])*24)</f>
        <v>0</v>
      </c>
      <c r="S383" s="472">
        <f>(Table6[[#This Row],[Fault Clearance time]]-Table6[[#This Row],[Work Start TimeStamp]])*24</f>
        <v>0.10000000000000231</v>
      </c>
      <c r="T383" s="472">
        <f>(Table6[[#This Row],[Fault Clearance time]]-Table6[[#This Row],[Fault Start TimeStamp]])*24</f>
        <v>0.10000000000000231</v>
      </c>
      <c r="U383" s="35" t="s">
        <v>349</v>
      </c>
      <c r="V383" s="102" t="s">
        <v>293</v>
      </c>
      <c r="W383" s="478">
        <f>IFERROR(Table6[[#This Row],[Breakdown Time]]*Table6[[#This Row],[Plant Equivalent Weightage]],"")</f>
        <v>3.846153846153934E-3</v>
      </c>
      <c r="X383" s="473" t="s">
        <v>294</v>
      </c>
      <c r="Y383" s="474" t="s">
        <v>84</v>
      </c>
      <c r="Z383" s="102">
        <v>20809</v>
      </c>
      <c r="AA383" s="468">
        <f>(Table6[[#This Row],[Paired WTG Generation for loss calculation]]/24)*Table6[[#This Row],[Breakdown Time]]</f>
        <v>86.704166666668669</v>
      </c>
      <c r="AB383" s="102"/>
      <c r="AC383" s="35"/>
      <c r="AD383" s="35"/>
    </row>
    <row r="384" spans="1:30">
      <c r="A384" s="102">
        <f t="shared" si="6"/>
        <v>383</v>
      </c>
      <c r="B384" s="468">
        <f>YEAR(Table6[[#This Row],[Date]])+IF(MONTH(Table6[[#This Row],[Date]])&gt;=4,1,0)</f>
        <v>2026</v>
      </c>
      <c r="C384" s="102">
        <f>YEAR(Table6[[#This Row],[Date]])</f>
        <v>2025</v>
      </c>
      <c r="D384" s="102" t="s">
        <v>1992</v>
      </c>
      <c r="E384" s="469">
        <f>Table6[[#This Row],[Date]]-DAY(Table6[[#This Row],[Date]])+1</f>
        <v>45748</v>
      </c>
      <c r="F384" s="470">
        <v>45772</v>
      </c>
      <c r="G384" s="35" t="s">
        <v>87</v>
      </c>
      <c r="H384" s="35" t="str">
        <f>IFERROR(_xlfn.XLOOKUP(Table6[[#This Row],[Affected WTG]],'Basic Data'!$A:$A,'Basic Data'!$B:$B),"")</f>
        <v>TQGXIIPL</v>
      </c>
      <c r="I384" s="35" t="str">
        <f>IFERROR(_xlfn.XLOOKUP(Table6[[#This Row],[Affected WTG]],'Basic Data'!$A:$A,'Basic Data'!$C:$C),"")</f>
        <v>GEDA</v>
      </c>
      <c r="J384" s="471">
        <f>IFERROR(_xlfn.XLOOKUP(Table6[[#This Row],[Affected WTG]],'Basic Data'!$A:$A,'Basic Data'!$E:$E),"")</f>
        <v>3.846153846153845E-2</v>
      </c>
      <c r="K384" s="102">
        <v>55</v>
      </c>
      <c r="L384" s="35" t="str">
        <f>IFERROR(_xlfn.XLOOKUP(Table6[[#This Row],[Error Code]],'Basic Data'!$AA:$AA,'Basic Data'!$AB:$AB),"Incorrect Error Code")</f>
        <v>WTG shut down</v>
      </c>
      <c r="M384" s="35" t="s">
        <v>291</v>
      </c>
      <c r="N384" s="475"/>
      <c r="O384" s="476">
        <v>0.65486111111111112</v>
      </c>
      <c r="P384" s="476">
        <v>0.66527777777777775</v>
      </c>
      <c r="Q384" s="477">
        <v>0.71180555555555558</v>
      </c>
      <c r="R384" s="472">
        <f>IF(Table6[[#This Row],[Work Start TimeStamp]]="","",(Table6[[#This Row],[Work Start TimeStamp]]-Table6[[#This Row],[Fault Start TimeStamp]])*24)</f>
        <v>0.24999999999999911</v>
      </c>
      <c r="S384" s="472">
        <f>(Table6[[#This Row],[Fault Clearance time]]-Table6[[#This Row],[Work Start TimeStamp]])*24</f>
        <v>1.116666666666668</v>
      </c>
      <c r="T384" s="472">
        <f>(Table6[[#This Row],[Fault Clearance time]]-Table6[[#This Row],[Fault Start TimeStamp]])*24</f>
        <v>1.3666666666666671</v>
      </c>
      <c r="U384" s="35" t="s">
        <v>1719</v>
      </c>
      <c r="V384" s="102" t="s">
        <v>293</v>
      </c>
      <c r="W384" s="478">
        <f>IFERROR(Table6[[#This Row],[Breakdown Time]]*Table6[[#This Row],[Plant Equivalent Weightage]],"")</f>
        <v>5.2564102564102565E-2</v>
      </c>
      <c r="X384" s="473" t="s">
        <v>290</v>
      </c>
      <c r="Y384" s="474" t="s">
        <v>85</v>
      </c>
      <c r="Z384" s="102">
        <v>19079</v>
      </c>
      <c r="AA384" s="468">
        <f>(Table6[[#This Row],[Paired WTG Generation for loss calculation]]/24)*Table6[[#This Row],[Breakdown Time]]</f>
        <v>1086.4430555555559</v>
      </c>
      <c r="AB384" s="102"/>
      <c r="AC384" s="35"/>
      <c r="AD384" s="35"/>
    </row>
    <row r="385" spans="1:30">
      <c r="A385" s="102">
        <f t="shared" si="6"/>
        <v>384</v>
      </c>
      <c r="B385" s="468">
        <f>YEAR(Table6[[#This Row],[Date]])+IF(MONTH(Table6[[#This Row],[Date]])&gt;=4,1,0)</f>
        <v>2026</v>
      </c>
      <c r="C385" s="102">
        <f>YEAR(Table6[[#This Row],[Date]])</f>
        <v>2025</v>
      </c>
      <c r="D385" s="102" t="s">
        <v>1992</v>
      </c>
      <c r="E385" s="469">
        <f>Table6[[#This Row],[Date]]-DAY(Table6[[#This Row],[Date]])+1</f>
        <v>45748</v>
      </c>
      <c r="F385" s="470">
        <v>45772</v>
      </c>
      <c r="G385" s="35" t="s">
        <v>91</v>
      </c>
      <c r="H385" s="35" t="str">
        <f>IFERROR(_xlfn.XLOOKUP(Table6[[#This Row],[Affected WTG]],'Basic Data'!$A:$A,'Basic Data'!$B:$B),"")</f>
        <v>TQGXIIPL</v>
      </c>
      <c r="I385" s="35" t="str">
        <f>IFERROR(_xlfn.XLOOKUP(Table6[[#This Row],[Affected WTG]],'Basic Data'!$A:$A,'Basic Data'!$C:$C),"")</f>
        <v>GEDA</v>
      </c>
      <c r="J385" s="471">
        <f>IFERROR(_xlfn.XLOOKUP(Table6[[#This Row],[Affected WTG]],'Basic Data'!$A:$A,'Basic Data'!$E:$E),"")</f>
        <v>3.846153846153845E-2</v>
      </c>
      <c r="K385" s="102">
        <v>55</v>
      </c>
      <c r="L385" s="35" t="str">
        <f>IFERROR(_xlfn.XLOOKUP(Table6[[#This Row],[Error Code]],'Basic Data'!$AA:$AA,'Basic Data'!$AB:$AB),"Incorrect Error Code")</f>
        <v>WTG shut down</v>
      </c>
      <c r="M385" s="35" t="s">
        <v>295</v>
      </c>
      <c r="N385" s="475"/>
      <c r="O385" s="476">
        <v>0.37638888888888888</v>
      </c>
      <c r="P385" s="476">
        <v>0.37638888888888888</v>
      </c>
      <c r="Q385" s="477">
        <v>0.72291666666666665</v>
      </c>
      <c r="R385" s="472">
        <f>IF(Table6[[#This Row],[Work Start TimeStamp]]="","",(Table6[[#This Row],[Work Start TimeStamp]]-Table6[[#This Row],[Fault Start TimeStamp]])*24)</f>
        <v>0</v>
      </c>
      <c r="S385" s="472">
        <f>(Table6[[#This Row],[Fault Clearance time]]-Table6[[#This Row],[Work Start TimeStamp]])*24</f>
        <v>8.3166666666666664</v>
      </c>
      <c r="T385" s="472">
        <f>(Table6[[#This Row],[Fault Clearance time]]-Table6[[#This Row],[Fault Start TimeStamp]])*24</f>
        <v>8.3166666666666664</v>
      </c>
      <c r="U385" s="35" t="s">
        <v>1726</v>
      </c>
      <c r="V385" s="102" t="s">
        <v>293</v>
      </c>
      <c r="W385" s="478">
        <f>IFERROR(Table6[[#This Row],[Breakdown Time]]*Table6[[#This Row],[Plant Equivalent Weightage]],"")</f>
        <v>0.31987179487179479</v>
      </c>
      <c r="X385" s="473" t="s">
        <v>290</v>
      </c>
      <c r="Y385" s="474" t="s">
        <v>79</v>
      </c>
      <c r="Z385" s="102">
        <v>24475</v>
      </c>
      <c r="AA385" s="468">
        <f>(Table6[[#This Row],[Paired WTG Generation for loss calculation]]/24)*Table6[[#This Row],[Breakdown Time]]</f>
        <v>8481.2673611111113</v>
      </c>
      <c r="AB385" s="102"/>
      <c r="AC385" s="35"/>
      <c r="AD385" s="35"/>
    </row>
    <row r="386" spans="1:30">
      <c r="A386" s="102">
        <f t="shared" si="6"/>
        <v>385</v>
      </c>
      <c r="B386" s="468">
        <f>YEAR(Table6[[#This Row],[Date]])+IF(MONTH(Table6[[#This Row],[Date]])&gt;=4,1,0)</f>
        <v>2026</v>
      </c>
      <c r="C386" s="102">
        <f>YEAR(Table6[[#This Row],[Date]])</f>
        <v>2025</v>
      </c>
      <c r="D386" s="102" t="s">
        <v>1992</v>
      </c>
      <c r="E386" s="469">
        <f>Table6[[#This Row],[Date]]-DAY(Table6[[#This Row],[Date]])+1</f>
        <v>45748</v>
      </c>
      <c r="F386" s="470">
        <v>45772</v>
      </c>
      <c r="G386" s="35" t="s">
        <v>91</v>
      </c>
      <c r="H386" s="35" t="str">
        <f>IFERROR(_xlfn.XLOOKUP(Table6[[#This Row],[Affected WTG]],'Basic Data'!$A:$A,'Basic Data'!$B:$B),"")</f>
        <v>TQGXIIPL</v>
      </c>
      <c r="I386" s="35" t="str">
        <f>IFERROR(_xlfn.XLOOKUP(Table6[[#This Row],[Affected WTG]],'Basic Data'!$A:$A,'Basic Data'!$C:$C),"")</f>
        <v>GEDA</v>
      </c>
      <c r="J386" s="471">
        <f>IFERROR(_xlfn.XLOOKUP(Table6[[#This Row],[Affected WTG]],'Basic Data'!$A:$A,'Basic Data'!$E:$E),"")</f>
        <v>3.846153846153845E-2</v>
      </c>
      <c r="K386" s="102">
        <v>55</v>
      </c>
      <c r="L386" s="35" t="str">
        <f>IFERROR(_xlfn.XLOOKUP(Table6[[#This Row],[Error Code]],'Basic Data'!$AA:$AA,'Basic Data'!$AB:$AB),"Incorrect Error Code")</f>
        <v>WTG shut down</v>
      </c>
      <c r="M386" s="35" t="s">
        <v>291</v>
      </c>
      <c r="N386" s="475"/>
      <c r="O386" s="476">
        <v>0.8305555555555556</v>
      </c>
      <c r="P386" s="476">
        <v>0.8305555555555556</v>
      </c>
      <c r="Q386" s="477">
        <v>0.83263888888888893</v>
      </c>
      <c r="R386" s="472">
        <f>IF(Table6[[#This Row],[Work Start TimeStamp]]="","",(Table6[[#This Row],[Work Start TimeStamp]]-Table6[[#This Row],[Fault Start TimeStamp]])*24)</f>
        <v>0</v>
      </c>
      <c r="S386" s="472">
        <f>(Table6[[#This Row],[Fault Clearance time]]-Table6[[#This Row],[Work Start TimeStamp]])*24</f>
        <v>4.9999999999999822E-2</v>
      </c>
      <c r="T386" s="472">
        <f>(Table6[[#This Row],[Fault Clearance time]]-Table6[[#This Row],[Fault Start TimeStamp]])*24</f>
        <v>4.9999999999999822E-2</v>
      </c>
      <c r="U386" s="35" t="s">
        <v>1727</v>
      </c>
      <c r="V386" s="102" t="s">
        <v>293</v>
      </c>
      <c r="W386" s="478">
        <f>IFERROR(Table6[[#This Row],[Breakdown Time]]*Table6[[#This Row],[Plant Equivalent Weightage]],"")</f>
        <v>1.9230769230769156E-3</v>
      </c>
      <c r="X386" s="473" t="s">
        <v>290</v>
      </c>
      <c r="Y386" s="474" t="s">
        <v>79</v>
      </c>
      <c r="Z386" s="102">
        <v>24475</v>
      </c>
      <c r="AA386" s="468">
        <f>(Table6[[#This Row],[Paired WTG Generation for loss calculation]]/24)*Table6[[#This Row],[Breakdown Time]]</f>
        <v>50.989583333333151</v>
      </c>
      <c r="AB386" s="102"/>
      <c r="AC386" s="35"/>
      <c r="AD386" s="35"/>
    </row>
    <row r="387" spans="1:30">
      <c r="A387" s="102">
        <f t="shared" si="6"/>
        <v>386</v>
      </c>
      <c r="B387" s="468">
        <f>YEAR(Table6[[#This Row],[Date]])+IF(MONTH(Table6[[#This Row],[Date]])&gt;=4,1,0)</f>
        <v>2026</v>
      </c>
      <c r="C387" s="102">
        <f>YEAR(Table6[[#This Row],[Date]])</f>
        <v>2025</v>
      </c>
      <c r="D387" s="102" t="s">
        <v>1992</v>
      </c>
      <c r="E387" s="469">
        <f>Table6[[#This Row],[Date]]-DAY(Table6[[#This Row],[Date]])+1</f>
        <v>45748</v>
      </c>
      <c r="F387" s="470">
        <v>45772</v>
      </c>
      <c r="G387" s="35" t="s">
        <v>91</v>
      </c>
      <c r="H387" s="35" t="str">
        <f>IFERROR(_xlfn.XLOOKUP(Table6[[#This Row],[Affected WTG]],'Basic Data'!$A:$A,'Basic Data'!$B:$B),"")</f>
        <v>TQGXIIPL</v>
      </c>
      <c r="I387" s="35" t="str">
        <f>IFERROR(_xlfn.XLOOKUP(Table6[[#This Row],[Affected WTG]],'Basic Data'!$A:$A,'Basic Data'!$C:$C),"")</f>
        <v>GEDA</v>
      </c>
      <c r="J387" s="471">
        <f>IFERROR(_xlfn.XLOOKUP(Table6[[#This Row],[Affected WTG]],'Basic Data'!$A:$A,'Basic Data'!$E:$E),"")</f>
        <v>3.846153846153845E-2</v>
      </c>
      <c r="K387" s="102">
        <v>60</v>
      </c>
      <c r="L387" s="35" t="str">
        <f>IFERROR(_xlfn.XLOOKUP(Table6[[#This Row],[Error Code]],'Basic Data'!$AA:$AA,'Basic Data'!$AB:$AB),"Incorrect Error Code")</f>
        <v>Wind &gt; power</v>
      </c>
      <c r="M387" s="35" t="s">
        <v>291</v>
      </c>
      <c r="N387" s="475"/>
      <c r="O387" s="476">
        <v>0.84791666666666665</v>
      </c>
      <c r="P387" s="476">
        <v>0.84791666666666665</v>
      </c>
      <c r="Q387" s="477">
        <v>0.85347222222222219</v>
      </c>
      <c r="R387" s="472">
        <f>IF(Table6[[#This Row],[Work Start TimeStamp]]="","",(Table6[[#This Row],[Work Start TimeStamp]]-Table6[[#This Row],[Fault Start TimeStamp]])*24)</f>
        <v>0</v>
      </c>
      <c r="S387" s="472">
        <f>(Table6[[#This Row],[Fault Clearance time]]-Table6[[#This Row],[Work Start TimeStamp]])*24</f>
        <v>0.13333333333333286</v>
      </c>
      <c r="T387" s="472">
        <f>(Table6[[#This Row],[Fault Clearance time]]-Table6[[#This Row],[Fault Start TimeStamp]])*24</f>
        <v>0.13333333333333286</v>
      </c>
      <c r="U387" s="35" t="s">
        <v>349</v>
      </c>
      <c r="V387" s="102" t="s">
        <v>293</v>
      </c>
      <c r="W387" s="478">
        <f>IFERROR(Table6[[#This Row],[Breakdown Time]]*Table6[[#This Row],[Plant Equivalent Weightage]],"")</f>
        <v>5.1282051282051083E-3</v>
      </c>
      <c r="X387" s="473" t="s">
        <v>294</v>
      </c>
      <c r="Y387" s="474" t="s">
        <v>79</v>
      </c>
      <c r="Z387" s="102">
        <v>24475</v>
      </c>
      <c r="AA387" s="468">
        <f>(Table6[[#This Row],[Paired WTG Generation for loss calculation]]/24)*Table6[[#This Row],[Breakdown Time]]</f>
        <v>135.97222222222175</v>
      </c>
      <c r="AB387" s="102"/>
      <c r="AC387" s="35"/>
      <c r="AD387" s="35"/>
    </row>
    <row r="388" spans="1:30">
      <c r="A388" s="102">
        <f t="shared" si="6"/>
        <v>387</v>
      </c>
      <c r="B388" s="468">
        <f>YEAR(Table6[[#This Row],[Date]])+IF(MONTH(Table6[[#This Row],[Date]])&gt;=4,1,0)</f>
        <v>2026</v>
      </c>
      <c r="C388" s="102">
        <f>YEAR(Table6[[#This Row],[Date]])</f>
        <v>2025</v>
      </c>
      <c r="D388" s="102" t="s">
        <v>1992</v>
      </c>
      <c r="E388" s="469">
        <f>Table6[[#This Row],[Date]]-DAY(Table6[[#This Row],[Date]])+1</f>
        <v>45748</v>
      </c>
      <c r="F388" s="470">
        <v>45772</v>
      </c>
      <c r="G388" s="35" t="s">
        <v>91</v>
      </c>
      <c r="H388" s="35" t="str">
        <f>IFERROR(_xlfn.XLOOKUP(Table6[[#This Row],[Affected WTG]],'Basic Data'!$A:$A,'Basic Data'!$B:$B),"")</f>
        <v>TQGXIIPL</v>
      </c>
      <c r="I388" s="35" t="str">
        <f>IFERROR(_xlfn.XLOOKUP(Table6[[#This Row],[Affected WTG]],'Basic Data'!$A:$A,'Basic Data'!$C:$C),"")</f>
        <v>GEDA</v>
      </c>
      <c r="J388" s="471">
        <f>IFERROR(_xlfn.XLOOKUP(Table6[[#This Row],[Affected WTG]],'Basic Data'!$A:$A,'Basic Data'!$E:$E),"")</f>
        <v>3.846153846153845E-2</v>
      </c>
      <c r="K388" s="102">
        <v>60</v>
      </c>
      <c r="L388" s="35" t="str">
        <f>IFERROR(_xlfn.XLOOKUP(Table6[[#This Row],[Error Code]],'Basic Data'!$AA:$AA,'Basic Data'!$AB:$AB),"Incorrect Error Code")</f>
        <v>Wind &gt; power</v>
      </c>
      <c r="M388" s="35" t="s">
        <v>291</v>
      </c>
      <c r="N388" s="475"/>
      <c r="O388" s="476">
        <v>0.86944444444444446</v>
      </c>
      <c r="P388" s="476">
        <v>0.86944444444444446</v>
      </c>
      <c r="Q388" s="477">
        <v>0.88124999999999998</v>
      </c>
      <c r="R388" s="472">
        <f>IF(Table6[[#This Row],[Work Start TimeStamp]]="","",(Table6[[#This Row],[Work Start TimeStamp]]-Table6[[#This Row],[Fault Start TimeStamp]])*24)</f>
        <v>0</v>
      </c>
      <c r="S388" s="472">
        <f>(Table6[[#This Row],[Fault Clearance time]]-Table6[[#This Row],[Work Start TimeStamp]])*24</f>
        <v>0.28333333333333233</v>
      </c>
      <c r="T388" s="472">
        <f>(Table6[[#This Row],[Fault Clearance time]]-Table6[[#This Row],[Fault Start TimeStamp]])*24</f>
        <v>0.28333333333333233</v>
      </c>
      <c r="U388" s="35" t="s">
        <v>1729</v>
      </c>
      <c r="V388" s="102" t="s">
        <v>293</v>
      </c>
      <c r="W388" s="478">
        <f>IFERROR(Table6[[#This Row],[Breakdown Time]]*Table6[[#This Row],[Plant Equivalent Weightage]],"")</f>
        <v>1.0897435897435855E-2</v>
      </c>
      <c r="X388" s="473" t="s">
        <v>294</v>
      </c>
      <c r="Y388" s="474" t="s">
        <v>79</v>
      </c>
      <c r="Z388" s="102">
        <v>24475</v>
      </c>
      <c r="AA388" s="468">
        <f>(Table6[[#This Row],[Paired WTG Generation for loss calculation]]/24)*Table6[[#This Row],[Breakdown Time]]</f>
        <v>288.94097222222121</v>
      </c>
      <c r="AB388" s="102"/>
      <c r="AC388" s="35"/>
      <c r="AD388" s="35"/>
    </row>
    <row r="389" spans="1:30">
      <c r="A389" s="102">
        <f t="shared" si="6"/>
        <v>388</v>
      </c>
      <c r="B389" s="468">
        <f>YEAR(Table6[[#This Row],[Date]])+IF(MONTH(Table6[[#This Row],[Date]])&gt;=4,1,0)</f>
        <v>2026</v>
      </c>
      <c r="C389" s="102">
        <f>YEAR(Table6[[#This Row],[Date]])</f>
        <v>2025</v>
      </c>
      <c r="D389" s="102" t="s">
        <v>1992</v>
      </c>
      <c r="E389" s="469">
        <f>Table6[[#This Row],[Date]]-DAY(Table6[[#This Row],[Date]])+1</f>
        <v>45748</v>
      </c>
      <c r="F389" s="470">
        <v>45772</v>
      </c>
      <c r="G389" s="35" t="s">
        <v>91</v>
      </c>
      <c r="H389" s="35" t="str">
        <f>IFERROR(_xlfn.XLOOKUP(Table6[[#This Row],[Affected WTG]],'Basic Data'!$A:$A,'Basic Data'!$B:$B),"")</f>
        <v>TQGXIIPL</v>
      </c>
      <c r="I389" s="35" t="str">
        <f>IFERROR(_xlfn.XLOOKUP(Table6[[#This Row],[Affected WTG]],'Basic Data'!$A:$A,'Basic Data'!$C:$C),"")</f>
        <v>GEDA</v>
      </c>
      <c r="J389" s="471">
        <f>IFERROR(_xlfn.XLOOKUP(Table6[[#This Row],[Affected WTG]],'Basic Data'!$A:$A,'Basic Data'!$E:$E),"")</f>
        <v>3.846153846153845E-2</v>
      </c>
      <c r="K389" s="102">
        <v>60</v>
      </c>
      <c r="L389" s="35" t="str">
        <f>IFERROR(_xlfn.XLOOKUP(Table6[[#This Row],[Error Code]],'Basic Data'!$AA:$AA,'Basic Data'!$AB:$AB),"Incorrect Error Code")</f>
        <v>Wind &gt; power</v>
      </c>
      <c r="M389" s="35" t="s">
        <v>291</v>
      </c>
      <c r="N389" s="475"/>
      <c r="O389" s="476">
        <v>0.89722222222222225</v>
      </c>
      <c r="P389" s="476">
        <v>0.89722222222222225</v>
      </c>
      <c r="Q389" s="477">
        <v>0.91527777777777775</v>
      </c>
      <c r="R389" s="472">
        <f>IF(Table6[[#This Row],[Work Start TimeStamp]]="","",(Table6[[#This Row],[Work Start TimeStamp]]-Table6[[#This Row],[Fault Start TimeStamp]])*24)</f>
        <v>0</v>
      </c>
      <c r="S389" s="472">
        <f>(Table6[[#This Row],[Fault Clearance time]]-Table6[[#This Row],[Work Start TimeStamp]])*24</f>
        <v>0.43333333333333179</v>
      </c>
      <c r="T389" s="472">
        <f>(Table6[[#This Row],[Fault Clearance time]]-Table6[[#This Row],[Fault Start TimeStamp]])*24</f>
        <v>0.43333333333333179</v>
      </c>
      <c r="U389" s="35" t="s">
        <v>1729</v>
      </c>
      <c r="V389" s="102" t="s">
        <v>293</v>
      </c>
      <c r="W389" s="478">
        <f>IFERROR(Table6[[#This Row],[Breakdown Time]]*Table6[[#This Row],[Plant Equivalent Weightage]],"")</f>
        <v>1.6666666666666604E-2</v>
      </c>
      <c r="X389" s="473" t="s">
        <v>294</v>
      </c>
      <c r="Y389" s="474" t="s">
        <v>79</v>
      </c>
      <c r="Z389" s="102">
        <v>24475</v>
      </c>
      <c r="AA389" s="468">
        <f>(Table6[[#This Row],[Paired WTG Generation for loss calculation]]/24)*Table6[[#This Row],[Breakdown Time]]</f>
        <v>441.90972222222064</v>
      </c>
      <c r="AB389" s="102"/>
      <c r="AC389" s="35"/>
      <c r="AD389" s="35"/>
    </row>
    <row r="390" spans="1:30">
      <c r="A390" s="102">
        <f t="shared" si="6"/>
        <v>389</v>
      </c>
      <c r="B390" s="468">
        <f>YEAR(Table6[[#This Row],[Date]])+IF(MONTH(Table6[[#This Row],[Date]])&gt;=4,1,0)</f>
        <v>2026</v>
      </c>
      <c r="C390" s="102">
        <f>YEAR(Table6[[#This Row],[Date]])</f>
        <v>2025</v>
      </c>
      <c r="D390" s="102" t="s">
        <v>1992</v>
      </c>
      <c r="E390" s="469">
        <f>Table6[[#This Row],[Date]]-DAY(Table6[[#This Row],[Date]])+1</f>
        <v>45748</v>
      </c>
      <c r="F390" s="470">
        <v>45772</v>
      </c>
      <c r="G390" s="35" t="s">
        <v>91</v>
      </c>
      <c r="H390" s="35" t="str">
        <f>IFERROR(_xlfn.XLOOKUP(Table6[[#This Row],[Affected WTG]],'Basic Data'!$A:$A,'Basic Data'!$B:$B),"")</f>
        <v>TQGXIIPL</v>
      </c>
      <c r="I390" s="35" t="str">
        <f>IFERROR(_xlfn.XLOOKUP(Table6[[#This Row],[Affected WTG]],'Basic Data'!$A:$A,'Basic Data'!$C:$C),"")</f>
        <v>GEDA</v>
      </c>
      <c r="J390" s="471">
        <f>IFERROR(_xlfn.XLOOKUP(Table6[[#This Row],[Affected WTG]],'Basic Data'!$A:$A,'Basic Data'!$E:$E),"")</f>
        <v>3.846153846153845E-2</v>
      </c>
      <c r="K390" s="102">
        <v>55</v>
      </c>
      <c r="L390" s="35" t="str">
        <f>IFERROR(_xlfn.XLOOKUP(Table6[[#This Row],[Error Code]],'Basic Data'!$AA:$AA,'Basic Data'!$AB:$AB),"Incorrect Error Code")</f>
        <v>WTG shut down</v>
      </c>
      <c r="M390" s="35" t="s">
        <v>291</v>
      </c>
      <c r="N390" s="475"/>
      <c r="O390" s="476">
        <v>0.91805555555555551</v>
      </c>
      <c r="P390" s="476">
        <v>0.91805555555555551</v>
      </c>
      <c r="Q390" s="477">
        <v>0.92569444444444449</v>
      </c>
      <c r="R390" s="472">
        <f>IF(Table6[[#This Row],[Work Start TimeStamp]]="","",(Table6[[#This Row],[Work Start TimeStamp]]-Table6[[#This Row],[Fault Start TimeStamp]])*24)</f>
        <v>0</v>
      </c>
      <c r="S390" s="472">
        <f>(Table6[[#This Row],[Fault Clearance time]]-Table6[[#This Row],[Work Start TimeStamp]])*24</f>
        <v>0.18333333333333535</v>
      </c>
      <c r="T390" s="472">
        <f>(Table6[[#This Row],[Fault Clearance time]]-Table6[[#This Row],[Fault Start TimeStamp]])*24</f>
        <v>0.18333333333333535</v>
      </c>
      <c r="U390" s="35" t="s">
        <v>1728</v>
      </c>
      <c r="V390" s="102" t="s">
        <v>293</v>
      </c>
      <c r="W390" s="478">
        <f>IFERROR(Table6[[#This Row],[Breakdown Time]]*Table6[[#This Row],[Plant Equivalent Weightage]],"")</f>
        <v>7.0512820512821268E-3</v>
      </c>
      <c r="X390" s="473" t="s">
        <v>290</v>
      </c>
      <c r="Y390" s="474" t="s">
        <v>79</v>
      </c>
      <c r="Z390" s="102">
        <v>24475</v>
      </c>
      <c r="AA390" s="468">
        <f>(Table6[[#This Row],[Paired WTG Generation for loss calculation]]/24)*Table6[[#This Row],[Breakdown Time]]</f>
        <v>186.96180555555759</v>
      </c>
      <c r="AB390" s="102"/>
      <c r="AC390" s="35"/>
      <c r="AD390" s="35"/>
    </row>
    <row r="391" spans="1:30">
      <c r="A391" s="102">
        <f t="shared" si="6"/>
        <v>390</v>
      </c>
      <c r="B391" s="468">
        <f>YEAR(Table6[[#This Row],[Date]])+IF(MONTH(Table6[[#This Row],[Date]])&gt;=4,1,0)</f>
        <v>2026</v>
      </c>
      <c r="C391" s="102">
        <f>YEAR(Table6[[#This Row],[Date]])</f>
        <v>2025</v>
      </c>
      <c r="D391" s="102" t="s">
        <v>1992</v>
      </c>
      <c r="E391" s="469">
        <f>Table6[[#This Row],[Date]]-DAY(Table6[[#This Row],[Date]])+1</f>
        <v>45748</v>
      </c>
      <c r="F391" s="470">
        <v>45772</v>
      </c>
      <c r="G391" s="35" t="s">
        <v>93</v>
      </c>
      <c r="H391" s="35" t="str">
        <f>IFERROR(_xlfn.XLOOKUP(Table6[[#This Row],[Affected WTG]],'Basic Data'!$A:$A,'Basic Data'!$B:$B),"")</f>
        <v>TQGXIIPL</v>
      </c>
      <c r="I391" s="35" t="str">
        <f>IFERROR(_xlfn.XLOOKUP(Table6[[#This Row],[Affected WTG]],'Basic Data'!$A:$A,'Basic Data'!$C:$C),"")</f>
        <v>GEDA</v>
      </c>
      <c r="J391" s="471">
        <f>IFERROR(_xlfn.XLOOKUP(Table6[[#This Row],[Affected WTG]],'Basic Data'!$A:$A,'Basic Data'!$E:$E),"")</f>
        <v>3.846153846153845E-2</v>
      </c>
      <c r="K391" s="102">
        <v>55</v>
      </c>
      <c r="L391" s="35" t="str">
        <f>IFERROR(_xlfn.XLOOKUP(Table6[[#This Row],[Error Code]],'Basic Data'!$AA:$AA,'Basic Data'!$AB:$AB),"Incorrect Error Code")</f>
        <v>WTG shut down</v>
      </c>
      <c r="M391" s="35" t="s">
        <v>304</v>
      </c>
      <c r="N391" s="475"/>
      <c r="O391" s="476">
        <v>0.30763888888888891</v>
      </c>
      <c r="P391" s="476">
        <v>0.30763888888888891</v>
      </c>
      <c r="Q391" s="477">
        <v>0.625</v>
      </c>
      <c r="R391" s="472">
        <f>IF(Table6[[#This Row],[Work Start TimeStamp]]="","",(Table6[[#This Row],[Work Start TimeStamp]]-Table6[[#This Row],[Fault Start TimeStamp]])*24)</f>
        <v>0</v>
      </c>
      <c r="S391" s="472">
        <f>(Table6[[#This Row],[Fault Clearance time]]-Table6[[#This Row],[Work Start TimeStamp]])*24</f>
        <v>7.6166666666666663</v>
      </c>
      <c r="T391" s="472">
        <f>(Table6[[#This Row],[Fault Clearance time]]-Table6[[#This Row],[Fault Start TimeStamp]])*24</f>
        <v>7.6166666666666663</v>
      </c>
      <c r="U391" s="35" t="s">
        <v>351</v>
      </c>
      <c r="V391" s="102" t="s">
        <v>293</v>
      </c>
      <c r="W391" s="478">
        <f>IFERROR(Table6[[#This Row],[Breakdown Time]]*Table6[[#This Row],[Plant Equivalent Weightage]],"")</f>
        <v>0.29294871794871785</v>
      </c>
      <c r="X391" s="473" t="s">
        <v>305</v>
      </c>
      <c r="Y391" s="474" t="s">
        <v>97</v>
      </c>
      <c r="Z391" s="102">
        <v>22510</v>
      </c>
      <c r="AA391" s="468">
        <f>(Table6[[#This Row],[Paired WTG Generation for loss calculation]]/24)*Table6[[#This Row],[Breakdown Time]]</f>
        <v>7143.7986111111104</v>
      </c>
      <c r="AB391" s="102"/>
      <c r="AC391" s="35"/>
      <c r="AD391" s="35"/>
    </row>
    <row r="392" spans="1:30">
      <c r="A392" s="102">
        <f t="shared" si="6"/>
        <v>391</v>
      </c>
      <c r="B392" s="468">
        <f>YEAR(Table6[[#This Row],[Date]])+IF(MONTH(Table6[[#This Row],[Date]])&gt;=4,1,0)</f>
        <v>2026</v>
      </c>
      <c r="C392" s="102">
        <f>YEAR(Table6[[#This Row],[Date]])</f>
        <v>2025</v>
      </c>
      <c r="D392" s="102" t="s">
        <v>1992</v>
      </c>
      <c r="E392" s="469">
        <f>Table6[[#This Row],[Date]]-DAY(Table6[[#This Row],[Date]])+1</f>
        <v>45748</v>
      </c>
      <c r="F392" s="470">
        <v>45773</v>
      </c>
      <c r="G392" s="35" t="s">
        <v>76</v>
      </c>
      <c r="H392" s="35" t="str">
        <f>IFERROR(_xlfn.XLOOKUP(Table6[[#This Row],[Affected WTG]],'Basic Data'!$A:$A,'Basic Data'!$B:$B),"")</f>
        <v>TQGXIIPL</v>
      </c>
      <c r="I392" s="35" t="str">
        <f>IFERROR(_xlfn.XLOOKUP(Table6[[#This Row],[Affected WTG]],'Basic Data'!$A:$A,'Basic Data'!$C:$C),"")</f>
        <v>GEDA</v>
      </c>
      <c r="J392" s="471">
        <f>IFERROR(_xlfn.XLOOKUP(Table6[[#This Row],[Affected WTG]],'Basic Data'!$A:$A,'Basic Data'!$E:$E),"")</f>
        <v>3.846153846153845E-2</v>
      </c>
      <c r="K392" s="102">
        <v>641</v>
      </c>
      <c r="L392" s="35" t="str">
        <f>IFERROR(_xlfn.XLOOKUP(Table6[[#This Row],[Error Code]],'Basic Data'!$AA:$AA,'Basic Data'!$AB:$AB),"Incorrect Error Code")</f>
        <v>Sim.angle E enc. &lt;&gt; act.angle 1</v>
      </c>
      <c r="M392" s="35" t="s">
        <v>291</v>
      </c>
      <c r="N392" s="475"/>
      <c r="O392" s="476">
        <v>0.46041666666666664</v>
      </c>
      <c r="P392" s="476">
        <v>0.46041666666666664</v>
      </c>
      <c r="Q392" s="477">
        <v>0.46736111111111112</v>
      </c>
      <c r="R392" s="472">
        <f>IF(Table6[[#This Row],[Work Start TimeStamp]]="","",(Table6[[#This Row],[Work Start TimeStamp]]-Table6[[#This Row],[Fault Start TimeStamp]])*24)</f>
        <v>0</v>
      </c>
      <c r="S392" s="472">
        <f>(Table6[[#This Row],[Fault Clearance time]]-Table6[[#This Row],[Work Start TimeStamp]])*24</f>
        <v>0.16666666666666741</v>
      </c>
      <c r="T392" s="472">
        <f>(Table6[[#This Row],[Fault Clearance time]]-Table6[[#This Row],[Fault Start TimeStamp]])*24</f>
        <v>0.16666666666666741</v>
      </c>
      <c r="U392" s="35" t="s">
        <v>349</v>
      </c>
      <c r="V392" s="102" t="s">
        <v>293</v>
      </c>
      <c r="W392" s="478">
        <f>IFERROR(Table6[[#This Row],[Breakdown Time]]*Table6[[#This Row],[Plant Equivalent Weightage]],"")</f>
        <v>6.4102564102564369E-3</v>
      </c>
      <c r="X392" s="473" t="s">
        <v>294</v>
      </c>
      <c r="Y392" s="474" t="s">
        <v>82</v>
      </c>
      <c r="Z392" s="102">
        <v>21341</v>
      </c>
      <c r="AA392" s="468">
        <f>(Table6[[#This Row],[Paired WTG Generation for loss calculation]]/24)*Table6[[#This Row],[Breakdown Time]]</f>
        <v>148.20138888888954</v>
      </c>
      <c r="AB392" s="102"/>
      <c r="AC392" s="35"/>
      <c r="AD392" s="35"/>
    </row>
    <row r="393" spans="1:30">
      <c r="A393" s="102">
        <f t="shared" si="6"/>
        <v>392</v>
      </c>
      <c r="B393" s="468">
        <f>YEAR(Table6[[#This Row],[Date]])+IF(MONTH(Table6[[#This Row],[Date]])&gt;=4,1,0)</f>
        <v>2026</v>
      </c>
      <c r="C393" s="102">
        <f>YEAR(Table6[[#This Row],[Date]])</f>
        <v>2025</v>
      </c>
      <c r="D393" s="102" t="s">
        <v>1992</v>
      </c>
      <c r="E393" s="469">
        <f>Table6[[#This Row],[Date]]-DAY(Table6[[#This Row],[Date]])+1</f>
        <v>45748</v>
      </c>
      <c r="F393" s="470">
        <v>45773</v>
      </c>
      <c r="G393" s="35" t="s">
        <v>77</v>
      </c>
      <c r="H393" s="35" t="str">
        <f>IFERROR(_xlfn.XLOOKUP(Table6[[#This Row],[Affected WTG]],'Basic Data'!$A:$A,'Basic Data'!$B:$B),"")</f>
        <v>TQGXIIPL</v>
      </c>
      <c r="I393" s="35" t="str">
        <f>IFERROR(_xlfn.XLOOKUP(Table6[[#This Row],[Affected WTG]],'Basic Data'!$A:$A,'Basic Data'!$C:$C),"")</f>
        <v>GEDA</v>
      </c>
      <c r="J393" s="471">
        <f>IFERROR(_xlfn.XLOOKUP(Table6[[#This Row],[Affected WTG]],'Basic Data'!$A:$A,'Basic Data'!$E:$E),"")</f>
        <v>3.846153846153845E-2</v>
      </c>
      <c r="K393" s="102">
        <v>6130</v>
      </c>
      <c r="L393" s="35" t="str">
        <f>IFERROR(_xlfn.XLOOKUP(Table6[[#This Row],[Error Code]],'Basic Data'!$AA:$AA,'Basic Data'!$AB:$AB),"Incorrect Error Code")</f>
        <v>Yaw speed high</v>
      </c>
      <c r="M393" s="35" t="s">
        <v>291</v>
      </c>
      <c r="N393" s="475"/>
      <c r="O393" s="476">
        <v>0.6743055555555556</v>
      </c>
      <c r="P393" s="476">
        <v>0.6743055555555556</v>
      </c>
      <c r="Q393" s="477">
        <v>0.67847222222222225</v>
      </c>
      <c r="R393" s="472">
        <f>IF(Table6[[#This Row],[Work Start TimeStamp]]="","",(Table6[[#This Row],[Work Start TimeStamp]]-Table6[[#This Row],[Fault Start TimeStamp]])*24)</f>
        <v>0</v>
      </c>
      <c r="S393" s="472">
        <f>(Table6[[#This Row],[Fault Clearance time]]-Table6[[#This Row],[Work Start TimeStamp]])*24</f>
        <v>9.9999999999999645E-2</v>
      </c>
      <c r="T393" s="472">
        <f>(Table6[[#This Row],[Fault Clearance time]]-Table6[[#This Row],[Fault Start TimeStamp]])*24</f>
        <v>9.9999999999999645E-2</v>
      </c>
      <c r="U393" s="35" t="s">
        <v>349</v>
      </c>
      <c r="V393" s="102" t="s">
        <v>293</v>
      </c>
      <c r="W393" s="478">
        <f>IFERROR(Table6[[#This Row],[Breakdown Time]]*Table6[[#This Row],[Plant Equivalent Weightage]],"")</f>
        <v>3.8461538461538312E-3</v>
      </c>
      <c r="X393" s="473" t="s">
        <v>294</v>
      </c>
      <c r="Y393" s="474" t="s">
        <v>80</v>
      </c>
      <c r="Z393" s="102">
        <v>32148</v>
      </c>
      <c r="AA393" s="468">
        <f>(Table6[[#This Row],[Paired WTG Generation for loss calculation]]/24)*Table6[[#This Row],[Breakdown Time]]</f>
        <v>133.94999999999953</v>
      </c>
      <c r="AB393" s="102"/>
      <c r="AC393" s="35"/>
      <c r="AD393" s="35"/>
    </row>
    <row r="394" spans="1:30">
      <c r="A394" s="102">
        <f t="shared" si="6"/>
        <v>393</v>
      </c>
      <c r="B394" s="468">
        <f>YEAR(Table6[[#This Row],[Date]])+IF(MONTH(Table6[[#This Row],[Date]])&gt;=4,1,0)</f>
        <v>2026</v>
      </c>
      <c r="C394" s="102">
        <f>YEAR(Table6[[#This Row],[Date]])</f>
        <v>2025</v>
      </c>
      <c r="D394" s="102" t="s">
        <v>1992</v>
      </c>
      <c r="E394" s="469">
        <f>Table6[[#This Row],[Date]]-DAY(Table6[[#This Row],[Date]])+1</f>
        <v>45748</v>
      </c>
      <c r="F394" s="470">
        <v>45773</v>
      </c>
      <c r="G394" s="35" t="s">
        <v>78</v>
      </c>
      <c r="H394" s="35" t="str">
        <f>IFERROR(_xlfn.XLOOKUP(Table6[[#This Row],[Affected WTG]],'Basic Data'!$A:$A,'Basic Data'!$B:$B),"")</f>
        <v>TQGXIIPL</v>
      </c>
      <c r="I394" s="35" t="str">
        <f>IFERROR(_xlfn.XLOOKUP(Table6[[#This Row],[Affected WTG]],'Basic Data'!$A:$A,'Basic Data'!$C:$C),"")</f>
        <v>GEDA</v>
      </c>
      <c r="J394" s="471">
        <f>IFERROR(_xlfn.XLOOKUP(Table6[[#This Row],[Affected WTG]],'Basic Data'!$A:$A,'Basic Data'!$E:$E),"")</f>
        <v>3.846153846153845E-2</v>
      </c>
      <c r="K394" s="102">
        <v>55</v>
      </c>
      <c r="L394" s="35" t="str">
        <f>IFERROR(_xlfn.XLOOKUP(Table6[[#This Row],[Error Code]],'Basic Data'!$AA:$AA,'Basic Data'!$AB:$AB),"Incorrect Error Code")</f>
        <v>WTG shut down</v>
      </c>
      <c r="M394" s="35" t="s">
        <v>330</v>
      </c>
      <c r="N394" s="475"/>
      <c r="O394" s="476">
        <v>0.7993055555555556</v>
      </c>
      <c r="P394" s="476">
        <v>0.7993055555555556</v>
      </c>
      <c r="Q394" s="477">
        <v>0.90486111111111112</v>
      </c>
      <c r="R394" s="472">
        <f>IF(Table6[[#This Row],[Work Start TimeStamp]]="","",(Table6[[#This Row],[Work Start TimeStamp]]-Table6[[#This Row],[Fault Start TimeStamp]])*24)</f>
        <v>0</v>
      </c>
      <c r="S394" s="472">
        <f>(Table6[[#This Row],[Fault Clearance time]]-Table6[[#This Row],[Work Start TimeStamp]])*24</f>
        <v>2.5333333333333323</v>
      </c>
      <c r="T394" s="472">
        <f>(Table6[[#This Row],[Fault Clearance time]]-Table6[[#This Row],[Fault Start TimeStamp]])*24</f>
        <v>2.5333333333333323</v>
      </c>
      <c r="U394" s="35" t="s">
        <v>337</v>
      </c>
      <c r="V394" s="102" t="s">
        <v>293</v>
      </c>
      <c r="W394" s="478">
        <f>IFERROR(Table6[[#This Row],[Breakdown Time]]*Table6[[#This Row],[Plant Equivalent Weightage]],"")</f>
        <v>9.7435897435897367E-2</v>
      </c>
      <c r="X394" s="473" t="s">
        <v>290</v>
      </c>
      <c r="Y394" s="474" t="s">
        <v>75</v>
      </c>
      <c r="Z394" s="102">
        <v>30087</v>
      </c>
      <c r="AA394" s="468">
        <f>(Table6[[#This Row],[Paired WTG Generation for loss calculation]]/24)*Table6[[#This Row],[Breakdown Time]]</f>
        <v>3175.8499999999985</v>
      </c>
      <c r="AB394" s="102"/>
      <c r="AC394" s="35"/>
      <c r="AD394" s="35"/>
    </row>
    <row r="395" spans="1:30">
      <c r="A395" s="102">
        <f t="shared" si="6"/>
        <v>394</v>
      </c>
      <c r="B395" s="468">
        <f>YEAR(Table6[[#This Row],[Date]])+IF(MONTH(Table6[[#This Row],[Date]])&gt;=4,1,0)</f>
        <v>2026</v>
      </c>
      <c r="C395" s="102">
        <f>YEAR(Table6[[#This Row],[Date]])</f>
        <v>2025</v>
      </c>
      <c r="D395" s="102" t="s">
        <v>1992</v>
      </c>
      <c r="E395" s="469">
        <f>Table6[[#This Row],[Date]]-DAY(Table6[[#This Row],[Date]])+1</f>
        <v>45748</v>
      </c>
      <c r="F395" s="470">
        <v>45773</v>
      </c>
      <c r="G395" s="35" t="s">
        <v>83</v>
      </c>
      <c r="H395" s="35" t="str">
        <f>IFERROR(_xlfn.XLOOKUP(Table6[[#This Row],[Affected WTG]],'Basic Data'!$A:$A,'Basic Data'!$B:$B),"")</f>
        <v>TQGXIIPL</v>
      </c>
      <c r="I395" s="35" t="str">
        <f>IFERROR(_xlfn.XLOOKUP(Table6[[#This Row],[Affected WTG]],'Basic Data'!$A:$A,'Basic Data'!$C:$C),"")</f>
        <v>GEDA</v>
      </c>
      <c r="J395" s="471">
        <f>IFERROR(_xlfn.XLOOKUP(Table6[[#This Row],[Affected WTG]],'Basic Data'!$A:$A,'Basic Data'!$E:$E),"")</f>
        <v>3.846153846153845E-2</v>
      </c>
      <c r="K395" s="102">
        <v>55</v>
      </c>
      <c r="L395" s="35" t="str">
        <f>IFERROR(_xlfn.XLOOKUP(Table6[[#This Row],[Error Code]],'Basic Data'!$AA:$AA,'Basic Data'!$AB:$AB),"Incorrect Error Code")</f>
        <v>WTG shut down</v>
      </c>
      <c r="M395" s="35" t="s">
        <v>291</v>
      </c>
      <c r="N395" s="475"/>
      <c r="O395" s="476">
        <v>0.68958333333333333</v>
      </c>
      <c r="P395" s="476">
        <v>0.68958333333333333</v>
      </c>
      <c r="Q395" s="477">
        <v>0.74652777777777779</v>
      </c>
      <c r="R395" s="472">
        <f>IF(Table6[[#This Row],[Work Start TimeStamp]]="","",(Table6[[#This Row],[Work Start TimeStamp]]-Table6[[#This Row],[Fault Start TimeStamp]])*24)</f>
        <v>0</v>
      </c>
      <c r="S395" s="472">
        <f>(Table6[[#This Row],[Fault Clearance time]]-Table6[[#This Row],[Work Start TimeStamp]])*24</f>
        <v>1.3666666666666671</v>
      </c>
      <c r="T395" s="472">
        <f>(Table6[[#This Row],[Fault Clearance time]]-Table6[[#This Row],[Fault Start TimeStamp]])*24</f>
        <v>1.3666666666666671</v>
      </c>
      <c r="U395" s="35" t="s">
        <v>1719</v>
      </c>
      <c r="V395" s="102" t="s">
        <v>293</v>
      </c>
      <c r="W395" s="478">
        <f>IFERROR(Table6[[#This Row],[Breakdown Time]]*Table6[[#This Row],[Plant Equivalent Weightage]],"")</f>
        <v>5.2564102564102565E-2</v>
      </c>
      <c r="X395" s="473" t="s">
        <v>290</v>
      </c>
      <c r="Y395" s="474" t="s">
        <v>88</v>
      </c>
      <c r="Z395" s="102">
        <v>21293</v>
      </c>
      <c r="AA395" s="468">
        <f>(Table6[[#This Row],[Paired WTG Generation for loss calculation]]/24)*Table6[[#This Row],[Breakdown Time]]</f>
        <v>1212.518055555556</v>
      </c>
      <c r="AB395" s="102"/>
      <c r="AC395" s="35"/>
      <c r="AD395" s="35"/>
    </row>
    <row r="396" spans="1:30">
      <c r="A396" s="102">
        <f t="shared" si="6"/>
        <v>395</v>
      </c>
      <c r="B396" s="468">
        <f>YEAR(Table6[[#This Row],[Date]])+IF(MONTH(Table6[[#This Row],[Date]])&gt;=4,1,0)</f>
        <v>2026</v>
      </c>
      <c r="C396" s="102">
        <f>YEAR(Table6[[#This Row],[Date]])</f>
        <v>2025</v>
      </c>
      <c r="D396" s="102" t="s">
        <v>1992</v>
      </c>
      <c r="E396" s="469">
        <f>Table6[[#This Row],[Date]]-DAY(Table6[[#This Row],[Date]])+1</f>
        <v>45748</v>
      </c>
      <c r="F396" s="470">
        <v>45773</v>
      </c>
      <c r="G396" s="35" t="s">
        <v>84</v>
      </c>
      <c r="H396" s="35" t="str">
        <f>IFERROR(_xlfn.XLOOKUP(Table6[[#This Row],[Affected WTG]],'Basic Data'!$A:$A,'Basic Data'!$B:$B),"")</f>
        <v>TQGXIIPL</v>
      </c>
      <c r="I396" s="35" t="str">
        <f>IFERROR(_xlfn.XLOOKUP(Table6[[#This Row],[Affected WTG]],'Basic Data'!$A:$A,'Basic Data'!$C:$C),"")</f>
        <v>GEDA</v>
      </c>
      <c r="J396" s="471">
        <f>IFERROR(_xlfn.XLOOKUP(Table6[[#This Row],[Affected WTG]],'Basic Data'!$A:$A,'Basic Data'!$E:$E),"")</f>
        <v>3.846153846153845E-2</v>
      </c>
      <c r="K396" s="102">
        <v>55</v>
      </c>
      <c r="L396" s="35" t="str">
        <f>IFERROR(_xlfn.XLOOKUP(Table6[[#This Row],[Error Code]],'Basic Data'!$AA:$AA,'Basic Data'!$AB:$AB),"Incorrect Error Code")</f>
        <v>WTG shut down</v>
      </c>
      <c r="M396" s="35" t="s">
        <v>291</v>
      </c>
      <c r="N396" s="475"/>
      <c r="O396" s="476">
        <v>0.61527777777777781</v>
      </c>
      <c r="P396" s="476">
        <v>0.61527777777777781</v>
      </c>
      <c r="Q396" s="477">
        <v>0.66666666666666663</v>
      </c>
      <c r="R396" s="472">
        <f>IF(Table6[[#This Row],[Work Start TimeStamp]]="","",(Table6[[#This Row],[Work Start TimeStamp]]-Table6[[#This Row],[Fault Start TimeStamp]])*24)</f>
        <v>0</v>
      </c>
      <c r="S396" s="472">
        <f>(Table6[[#This Row],[Fault Clearance time]]-Table6[[#This Row],[Work Start TimeStamp]])*24</f>
        <v>1.2333333333333316</v>
      </c>
      <c r="T396" s="472">
        <f>(Table6[[#This Row],[Fault Clearance time]]-Table6[[#This Row],[Fault Start TimeStamp]])*24</f>
        <v>1.2333333333333316</v>
      </c>
      <c r="U396" s="35" t="s">
        <v>1719</v>
      </c>
      <c r="V396" s="102" t="s">
        <v>293</v>
      </c>
      <c r="W396" s="478">
        <f>IFERROR(Table6[[#This Row],[Breakdown Time]]*Table6[[#This Row],[Plant Equivalent Weightage]],"")</f>
        <v>4.7435897435897358E-2</v>
      </c>
      <c r="X396" s="473" t="s">
        <v>290</v>
      </c>
      <c r="Y396" s="474" t="s">
        <v>85</v>
      </c>
      <c r="Z396" s="102">
        <v>21342</v>
      </c>
      <c r="AA396" s="468">
        <f>(Table6[[#This Row],[Paired WTG Generation for loss calculation]]/24)*Table6[[#This Row],[Breakdown Time]]</f>
        <v>1096.7416666666652</v>
      </c>
      <c r="AB396" s="102"/>
      <c r="AC396" s="35"/>
      <c r="AD396" s="35"/>
    </row>
    <row r="397" spans="1:30">
      <c r="A397" s="102">
        <f t="shared" si="6"/>
        <v>396</v>
      </c>
      <c r="B397" s="468">
        <f>YEAR(Table6[[#This Row],[Date]])+IF(MONTH(Table6[[#This Row],[Date]])&gt;=4,1,0)</f>
        <v>2026</v>
      </c>
      <c r="C397" s="102">
        <f>YEAR(Table6[[#This Row],[Date]])</f>
        <v>2025</v>
      </c>
      <c r="D397" s="102" t="s">
        <v>1992</v>
      </c>
      <c r="E397" s="469">
        <f>Table6[[#This Row],[Date]]-DAY(Table6[[#This Row],[Date]])+1</f>
        <v>45748</v>
      </c>
      <c r="F397" s="470">
        <v>45773</v>
      </c>
      <c r="G397" s="35" t="s">
        <v>86</v>
      </c>
      <c r="H397" s="35" t="str">
        <f>IFERROR(_xlfn.XLOOKUP(Table6[[#This Row],[Affected WTG]],'Basic Data'!$A:$A,'Basic Data'!$B:$B),"")</f>
        <v>TQGXIIPL</v>
      </c>
      <c r="I397" s="35" t="str">
        <f>IFERROR(_xlfn.XLOOKUP(Table6[[#This Row],[Affected WTG]],'Basic Data'!$A:$A,'Basic Data'!$C:$C),"")</f>
        <v>GEDA</v>
      </c>
      <c r="J397" s="471">
        <f>IFERROR(_xlfn.XLOOKUP(Table6[[#This Row],[Affected WTG]],'Basic Data'!$A:$A,'Basic Data'!$E:$E),"")</f>
        <v>3.846153846153845E-2</v>
      </c>
      <c r="K397" s="102">
        <v>55</v>
      </c>
      <c r="L397" s="35" t="str">
        <f>IFERROR(_xlfn.XLOOKUP(Table6[[#This Row],[Error Code]],'Basic Data'!$AA:$AA,'Basic Data'!$AB:$AB),"Incorrect Error Code")</f>
        <v>WTG shut down</v>
      </c>
      <c r="M397" s="35" t="s">
        <v>291</v>
      </c>
      <c r="N397" s="475"/>
      <c r="O397" s="476">
        <v>0.45</v>
      </c>
      <c r="P397" s="476">
        <v>0.45</v>
      </c>
      <c r="Q397" s="477">
        <v>0.5</v>
      </c>
      <c r="R397" s="472">
        <f>IF(Table6[[#This Row],[Work Start TimeStamp]]="","",(Table6[[#This Row],[Work Start TimeStamp]]-Table6[[#This Row],[Fault Start TimeStamp]])*24)</f>
        <v>0</v>
      </c>
      <c r="S397" s="472">
        <f>(Table6[[#This Row],[Fault Clearance time]]-Table6[[#This Row],[Work Start TimeStamp]])*24</f>
        <v>1.1999999999999997</v>
      </c>
      <c r="T397" s="472">
        <f>(Table6[[#This Row],[Fault Clearance time]]-Table6[[#This Row],[Fault Start TimeStamp]])*24</f>
        <v>1.1999999999999997</v>
      </c>
      <c r="U397" s="35" t="s">
        <v>1719</v>
      </c>
      <c r="V397" s="102" t="s">
        <v>293</v>
      </c>
      <c r="W397" s="478">
        <f>IFERROR(Table6[[#This Row],[Breakdown Time]]*Table6[[#This Row],[Plant Equivalent Weightage]],"")</f>
        <v>4.6153846153846129E-2</v>
      </c>
      <c r="X397" s="473" t="s">
        <v>290</v>
      </c>
      <c r="Y397" s="474" t="s">
        <v>84</v>
      </c>
      <c r="Z397" s="102">
        <v>20631</v>
      </c>
      <c r="AA397" s="468">
        <f>(Table6[[#This Row],[Paired WTG Generation for loss calculation]]/24)*Table6[[#This Row],[Breakdown Time]]</f>
        <v>1031.5499999999997</v>
      </c>
      <c r="AB397" s="102"/>
      <c r="AC397" s="35"/>
      <c r="AD397" s="35"/>
    </row>
    <row r="398" spans="1:30">
      <c r="A398" s="102">
        <f t="shared" ref="A398:A461" si="7">A397+1</f>
        <v>397</v>
      </c>
      <c r="B398" s="468">
        <f>YEAR(Table6[[#This Row],[Date]])+IF(MONTH(Table6[[#This Row],[Date]])&gt;=4,1,0)</f>
        <v>2026</v>
      </c>
      <c r="C398" s="102">
        <f>YEAR(Table6[[#This Row],[Date]])</f>
        <v>2025</v>
      </c>
      <c r="D398" s="102" t="s">
        <v>1992</v>
      </c>
      <c r="E398" s="469">
        <f>Table6[[#This Row],[Date]]-DAY(Table6[[#This Row],[Date]])+1</f>
        <v>45748</v>
      </c>
      <c r="F398" s="470">
        <v>45773</v>
      </c>
      <c r="G398" s="35" t="s">
        <v>86</v>
      </c>
      <c r="H398" s="35" t="str">
        <f>IFERROR(_xlfn.XLOOKUP(Table6[[#This Row],[Affected WTG]],'Basic Data'!$A:$A,'Basic Data'!$B:$B),"")</f>
        <v>TQGXIIPL</v>
      </c>
      <c r="I398" s="35" t="str">
        <f>IFERROR(_xlfn.XLOOKUP(Table6[[#This Row],[Affected WTG]],'Basic Data'!$A:$A,'Basic Data'!$C:$C),"")</f>
        <v>GEDA</v>
      </c>
      <c r="J398" s="471">
        <f>IFERROR(_xlfn.XLOOKUP(Table6[[#This Row],[Affected WTG]],'Basic Data'!$A:$A,'Basic Data'!$E:$E),"")</f>
        <v>3.846153846153845E-2</v>
      </c>
      <c r="K398" s="102">
        <v>55</v>
      </c>
      <c r="L398" s="35" t="str">
        <f>IFERROR(_xlfn.XLOOKUP(Table6[[#This Row],[Error Code]],'Basic Data'!$AA:$AA,'Basic Data'!$AB:$AB),"Incorrect Error Code")</f>
        <v>WTG shut down</v>
      </c>
      <c r="M398" s="35" t="s">
        <v>291</v>
      </c>
      <c r="N398" s="475"/>
      <c r="O398" s="476">
        <v>0.5</v>
      </c>
      <c r="P398" s="476">
        <v>0.5</v>
      </c>
      <c r="Q398" s="477">
        <v>0.55208333333333337</v>
      </c>
      <c r="R398" s="472">
        <f>IF(Table6[[#This Row],[Work Start TimeStamp]]="","",(Table6[[#This Row],[Work Start TimeStamp]]-Table6[[#This Row],[Fault Start TimeStamp]])*24)</f>
        <v>0</v>
      </c>
      <c r="S398" s="472">
        <f>(Table6[[#This Row],[Fault Clearance time]]-Table6[[#This Row],[Work Start TimeStamp]])*24</f>
        <v>1.2500000000000009</v>
      </c>
      <c r="T398" s="472">
        <f>(Table6[[#This Row],[Fault Clearance time]]-Table6[[#This Row],[Fault Start TimeStamp]])*24</f>
        <v>1.2500000000000009</v>
      </c>
      <c r="U398" s="35" t="s">
        <v>347</v>
      </c>
      <c r="V398" s="102" t="s">
        <v>293</v>
      </c>
      <c r="W398" s="478">
        <f>IFERROR(Table6[[#This Row],[Breakdown Time]]*Table6[[#This Row],[Plant Equivalent Weightage]],"")</f>
        <v>4.8076923076923093E-2</v>
      </c>
      <c r="X398" s="473" t="s">
        <v>290</v>
      </c>
      <c r="Y398" s="474" t="s">
        <v>84</v>
      </c>
      <c r="Z398" s="102">
        <v>20631</v>
      </c>
      <c r="AA398" s="468">
        <f>(Table6[[#This Row],[Paired WTG Generation for loss calculation]]/24)*Table6[[#This Row],[Breakdown Time]]</f>
        <v>1074.5312500000007</v>
      </c>
      <c r="AB398" s="102"/>
      <c r="AC398" s="35"/>
      <c r="AD398" s="35"/>
    </row>
    <row r="399" spans="1:30">
      <c r="A399" s="102">
        <f t="shared" si="7"/>
        <v>398</v>
      </c>
      <c r="B399" s="468">
        <f>YEAR(Table6[[#This Row],[Date]])+IF(MONTH(Table6[[#This Row],[Date]])&gt;=4,1,0)</f>
        <v>2026</v>
      </c>
      <c r="C399" s="102">
        <f>YEAR(Table6[[#This Row],[Date]])</f>
        <v>2025</v>
      </c>
      <c r="D399" s="102" t="s">
        <v>1992</v>
      </c>
      <c r="E399" s="469">
        <f>Table6[[#This Row],[Date]]-DAY(Table6[[#This Row],[Date]])+1</f>
        <v>45748</v>
      </c>
      <c r="F399" s="470">
        <v>45773</v>
      </c>
      <c r="G399" s="35" t="s">
        <v>86</v>
      </c>
      <c r="H399" s="35" t="str">
        <f>IFERROR(_xlfn.XLOOKUP(Table6[[#This Row],[Affected WTG]],'Basic Data'!$A:$A,'Basic Data'!$B:$B),"")</f>
        <v>TQGXIIPL</v>
      </c>
      <c r="I399" s="35" t="str">
        <f>IFERROR(_xlfn.XLOOKUP(Table6[[#This Row],[Affected WTG]],'Basic Data'!$A:$A,'Basic Data'!$C:$C),"")</f>
        <v>GEDA</v>
      </c>
      <c r="J399" s="471">
        <f>IFERROR(_xlfn.XLOOKUP(Table6[[#This Row],[Affected WTG]],'Basic Data'!$A:$A,'Basic Data'!$E:$E),"")</f>
        <v>3.846153846153845E-2</v>
      </c>
      <c r="K399" s="102">
        <v>55</v>
      </c>
      <c r="L399" s="35" t="str">
        <f>IFERROR(_xlfn.XLOOKUP(Table6[[#This Row],[Error Code]],'Basic Data'!$AA:$AA,'Basic Data'!$AB:$AB),"Incorrect Error Code")</f>
        <v>WTG shut down</v>
      </c>
      <c r="M399" s="35" t="s">
        <v>291</v>
      </c>
      <c r="N399" s="475"/>
      <c r="O399" s="476">
        <v>0.56666666666666665</v>
      </c>
      <c r="P399" s="476">
        <v>0.56666666666666665</v>
      </c>
      <c r="Q399" s="477">
        <v>0.6</v>
      </c>
      <c r="R399" s="472">
        <f>IF(Table6[[#This Row],[Work Start TimeStamp]]="","",(Table6[[#This Row],[Work Start TimeStamp]]-Table6[[#This Row],[Fault Start TimeStamp]])*24)</f>
        <v>0</v>
      </c>
      <c r="S399" s="472">
        <f>(Table6[[#This Row],[Fault Clearance time]]-Table6[[#This Row],[Work Start TimeStamp]])*24</f>
        <v>0.79999999999999982</v>
      </c>
      <c r="T399" s="472">
        <f>(Table6[[#This Row],[Fault Clearance time]]-Table6[[#This Row],[Fault Start TimeStamp]])*24</f>
        <v>0.79999999999999982</v>
      </c>
      <c r="U399" s="35" t="s">
        <v>347</v>
      </c>
      <c r="V399" s="102" t="s">
        <v>293</v>
      </c>
      <c r="W399" s="478">
        <f>IFERROR(Table6[[#This Row],[Breakdown Time]]*Table6[[#This Row],[Plant Equivalent Weightage]],"")</f>
        <v>3.0769230769230754E-2</v>
      </c>
      <c r="X399" s="473" t="s">
        <v>290</v>
      </c>
      <c r="Y399" s="474" t="s">
        <v>84</v>
      </c>
      <c r="Z399" s="102">
        <v>20631</v>
      </c>
      <c r="AA399" s="468">
        <f>(Table6[[#This Row],[Paired WTG Generation for loss calculation]]/24)*Table6[[#This Row],[Breakdown Time]]</f>
        <v>687.69999999999982</v>
      </c>
      <c r="AB399" s="102"/>
      <c r="AC399" s="35"/>
      <c r="AD399" s="35"/>
    </row>
    <row r="400" spans="1:30">
      <c r="A400" s="102">
        <f t="shared" si="7"/>
        <v>399</v>
      </c>
      <c r="B400" s="468">
        <f>YEAR(Table6[[#This Row],[Date]])+IF(MONTH(Table6[[#This Row],[Date]])&gt;=4,1,0)</f>
        <v>2026</v>
      </c>
      <c r="C400" s="102">
        <f>YEAR(Table6[[#This Row],[Date]])</f>
        <v>2025</v>
      </c>
      <c r="D400" s="102" t="s">
        <v>1992</v>
      </c>
      <c r="E400" s="469">
        <f>Table6[[#This Row],[Date]]-DAY(Table6[[#This Row],[Date]])+1</f>
        <v>45748</v>
      </c>
      <c r="F400" s="470">
        <v>45773</v>
      </c>
      <c r="G400" s="35" t="s">
        <v>90</v>
      </c>
      <c r="H400" s="35" t="str">
        <f>IFERROR(_xlfn.XLOOKUP(Table6[[#This Row],[Affected WTG]],'Basic Data'!$A:$A,'Basic Data'!$B:$B),"")</f>
        <v>TQGXIIPL</v>
      </c>
      <c r="I400" s="35" t="str">
        <f>IFERROR(_xlfn.XLOOKUP(Table6[[#This Row],[Affected WTG]],'Basic Data'!$A:$A,'Basic Data'!$C:$C),"")</f>
        <v>GEDA</v>
      </c>
      <c r="J400" s="471">
        <f>IFERROR(_xlfn.XLOOKUP(Table6[[#This Row],[Affected WTG]],'Basic Data'!$A:$A,'Basic Data'!$E:$E),"")</f>
        <v>3.846153846153845E-2</v>
      </c>
      <c r="K400" s="102">
        <v>55</v>
      </c>
      <c r="L400" s="35" t="str">
        <f>IFERROR(_xlfn.XLOOKUP(Table6[[#This Row],[Error Code]],'Basic Data'!$AA:$AA,'Basic Data'!$AB:$AB),"Incorrect Error Code")</f>
        <v>WTG shut down</v>
      </c>
      <c r="M400" s="35" t="s">
        <v>295</v>
      </c>
      <c r="N400" s="475"/>
      <c r="O400" s="476">
        <v>0.39166666666666666</v>
      </c>
      <c r="P400" s="476">
        <v>0.39166666666666666</v>
      </c>
      <c r="Q400" s="477">
        <v>0.67500000000000004</v>
      </c>
      <c r="R400" s="472">
        <f>IF(Table6[[#This Row],[Work Start TimeStamp]]="","",(Table6[[#This Row],[Work Start TimeStamp]]-Table6[[#This Row],[Fault Start TimeStamp]])*24)</f>
        <v>0</v>
      </c>
      <c r="S400" s="472">
        <f>(Table6[[#This Row],[Fault Clearance time]]-Table6[[#This Row],[Work Start TimeStamp]])*24</f>
        <v>6.8000000000000007</v>
      </c>
      <c r="T400" s="472">
        <f>(Table6[[#This Row],[Fault Clearance time]]-Table6[[#This Row],[Fault Start TimeStamp]])*24</f>
        <v>6.8000000000000007</v>
      </c>
      <c r="U400" s="35" t="s">
        <v>1718</v>
      </c>
      <c r="V400" s="102" t="s">
        <v>293</v>
      </c>
      <c r="W400" s="478">
        <f>IFERROR(Table6[[#This Row],[Breakdown Time]]*Table6[[#This Row],[Plant Equivalent Weightage]],"")</f>
        <v>0.2615384615384615</v>
      </c>
      <c r="X400" s="473" t="s">
        <v>290</v>
      </c>
      <c r="Y400" s="474" t="s">
        <v>95</v>
      </c>
      <c r="Z400" s="102">
        <v>28932</v>
      </c>
      <c r="AA400" s="468">
        <f>(Table6[[#This Row],[Paired WTG Generation for loss calculation]]/24)*Table6[[#This Row],[Breakdown Time]]</f>
        <v>8197.4000000000015</v>
      </c>
      <c r="AB400" s="102"/>
      <c r="AC400" s="35"/>
      <c r="AD400" s="35"/>
    </row>
    <row r="401" spans="1:30">
      <c r="A401" s="102">
        <f t="shared" si="7"/>
        <v>400</v>
      </c>
      <c r="B401" s="468">
        <f>YEAR(Table6[[#This Row],[Date]])+IF(MONTH(Table6[[#This Row],[Date]])&gt;=4,1,0)</f>
        <v>2026</v>
      </c>
      <c r="C401" s="102">
        <f>YEAR(Table6[[#This Row],[Date]])</f>
        <v>2025</v>
      </c>
      <c r="D401" s="102" t="s">
        <v>1992</v>
      </c>
      <c r="E401" s="469">
        <f>Table6[[#This Row],[Date]]-DAY(Table6[[#This Row],[Date]])+1</f>
        <v>45748</v>
      </c>
      <c r="F401" s="470">
        <v>45773</v>
      </c>
      <c r="G401" s="35" t="s">
        <v>91</v>
      </c>
      <c r="H401" s="35" t="str">
        <f>IFERROR(_xlfn.XLOOKUP(Table6[[#This Row],[Affected WTG]],'Basic Data'!$A:$A,'Basic Data'!$B:$B),"")</f>
        <v>TQGXIIPL</v>
      </c>
      <c r="I401" s="35" t="str">
        <f>IFERROR(_xlfn.XLOOKUP(Table6[[#This Row],[Affected WTG]],'Basic Data'!$A:$A,'Basic Data'!$C:$C),"")</f>
        <v>GEDA</v>
      </c>
      <c r="J401" s="471">
        <f>IFERROR(_xlfn.XLOOKUP(Table6[[#This Row],[Affected WTG]],'Basic Data'!$A:$A,'Basic Data'!$E:$E),"")</f>
        <v>3.846153846153845E-2</v>
      </c>
      <c r="K401" s="102">
        <v>55</v>
      </c>
      <c r="L401" s="35" t="str">
        <f>IFERROR(_xlfn.XLOOKUP(Table6[[#This Row],[Error Code]],'Basic Data'!$AA:$AA,'Basic Data'!$AB:$AB),"Incorrect Error Code")</f>
        <v>WTG shut down</v>
      </c>
      <c r="M401" s="35" t="s">
        <v>291</v>
      </c>
      <c r="N401" s="475"/>
      <c r="O401" s="476">
        <v>0.58263888888888893</v>
      </c>
      <c r="P401" s="476">
        <v>0.58263888888888893</v>
      </c>
      <c r="Q401" s="477">
        <v>0.58888888888888891</v>
      </c>
      <c r="R401" s="472">
        <f>IF(Table6[[#This Row],[Work Start TimeStamp]]="","",(Table6[[#This Row],[Work Start TimeStamp]]-Table6[[#This Row],[Fault Start TimeStamp]])*24)</f>
        <v>0</v>
      </c>
      <c r="S401" s="472">
        <f>(Table6[[#This Row],[Fault Clearance time]]-Table6[[#This Row],[Work Start TimeStamp]])*24</f>
        <v>0.14999999999999947</v>
      </c>
      <c r="T401" s="472">
        <f>(Table6[[#This Row],[Fault Clearance time]]-Table6[[#This Row],[Fault Start TimeStamp]])*24</f>
        <v>0.14999999999999947</v>
      </c>
      <c r="U401" s="35" t="s">
        <v>1730</v>
      </c>
      <c r="V401" s="102" t="s">
        <v>293</v>
      </c>
      <c r="W401" s="478">
        <f>IFERROR(Table6[[#This Row],[Breakdown Time]]*Table6[[#This Row],[Plant Equivalent Weightage]],"")</f>
        <v>5.769230769230747E-3</v>
      </c>
      <c r="X401" s="473" t="s">
        <v>290</v>
      </c>
      <c r="Y401" s="474" t="s">
        <v>79</v>
      </c>
      <c r="Z401" s="102">
        <v>25979</v>
      </c>
      <c r="AA401" s="468">
        <f>(Table6[[#This Row],[Paired WTG Generation for loss calculation]]/24)*Table6[[#This Row],[Breakdown Time]]</f>
        <v>162.36874999999941</v>
      </c>
      <c r="AB401" s="102"/>
      <c r="AC401" s="35"/>
      <c r="AD401" s="35"/>
    </row>
    <row r="402" spans="1:30">
      <c r="A402" s="102">
        <f t="shared" si="7"/>
        <v>401</v>
      </c>
      <c r="B402" s="468">
        <f>YEAR(Table6[[#This Row],[Date]])+IF(MONTH(Table6[[#This Row],[Date]])&gt;=4,1,0)</f>
        <v>2026</v>
      </c>
      <c r="C402" s="102">
        <f>YEAR(Table6[[#This Row],[Date]])</f>
        <v>2025</v>
      </c>
      <c r="D402" s="102" t="s">
        <v>1992</v>
      </c>
      <c r="E402" s="469">
        <f>Table6[[#This Row],[Date]]-DAY(Table6[[#This Row],[Date]])+1</f>
        <v>45748</v>
      </c>
      <c r="F402" s="470">
        <v>45773</v>
      </c>
      <c r="G402" s="35" t="s">
        <v>91</v>
      </c>
      <c r="H402" s="35" t="str">
        <f>IFERROR(_xlfn.XLOOKUP(Table6[[#This Row],[Affected WTG]],'Basic Data'!$A:$A,'Basic Data'!$B:$B),"")</f>
        <v>TQGXIIPL</v>
      </c>
      <c r="I402" s="35" t="str">
        <f>IFERROR(_xlfn.XLOOKUP(Table6[[#This Row],[Affected WTG]],'Basic Data'!$A:$A,'Basic Data'!$C:$C),"")</f>
        <v>GEDA</v>
      </c>
      <c r="J402" s="471">
        <f>IFERROR(_xlfn.XLOOKUP(Table6[[#This Row],[Affected WTG]],'Basic Data'!$A:$A,'Basic Data'!$E:$E),"")</f>
        <v>3.846153846153845E-2</v>
      </c>
      <c r="K402" s="102">
        <v>60</v>
      </c>
      <c r="L402" s="35" t="str">
        <f>IFERROR(_xlfn.XLOOKUP(Table6[[#This Row],[Error Code]],'Basic Data'!$AA:$AA,'Basic Data'!$AB:$AB),"Incorrect Error Code")</f>
        <v>Wind &gt; power</v>
      </c>
      <c r="M402" s="35" t="s">
        <v>291</v>
      </c>
      <c r="N402" s="475"/>
      <c r="O402" s="476">
        <v>0.74930555555555556</v>
      </c>
      <c r="P402" s="476">
        <v>0.74930555555555556</v>
      </c>
      <c r="Q402" s="477">
        <v>0.7680555555555556</v>
      </c>
      <c r="R402" s="472">
        <f>IF(Table6[[#This Row],[Work Start TimeStamp]]="","",(Table6[[#This Row],[Work Start TimeStamp]]-Table6[[#This Row],[Fault Start TimeStamp]])*24)</f>
        <v>0</v>
      </c>
      <c r="S402" s="472">
        <f>(Table6[[#This Row],[Fault Clearance time]]-Table6[[#This Row],[Work Start TimeStamp]])*24</f>
        <v>0.45000000000000107</v>
      </c>
      <c r="T402" s="472">
        <f>(Table6[[#This Row],[Fault Clearance time]]-Table6[[#This Row],[Fault Start TimeStamp]])*24</f>
        <v>0.45000000000000107</v>
      </c>
      <c r="U402" s="35" t="s">
        <v>1731</v>
      </c>
      <c r="V402" s="102" t="s">
        <v>293</v>
      </c>
      <c r="W402" s="478">
        <f>IFERROR(Table6[[#This Row],[Breakdown Time]]*Table6[[#This Row],[Plant Equivalent Weightage]],"")</f>
        <v>1.7307692307692343E-2</v>
      </c>
      <c r="X402" s="473" t="s">
        <v>294</v>
      </c>
      <c r="Y402" s="474" t="s">
        <v>79</v>
      </c>
      <c r="Z402" s="102">
        <v>25979</v>
      </c>
      <c r="AA402" s="468">
        <f>(Table6[[#This Row],[Paired WTG Generation for loss calculation]]/24)*Table6[[#This Row],[Breakdown Time]]</f>
        <v>487.10625000000113</v>
      </c>
      <c r="AB402" s="102"/>
      <c r="AC402" s="35"/>
      <c r="AD402" s="35"/>
    </row>
    <row r="403" spans="1:30">
      <c r="A403" s="102">
        <f t="shared" si="7"/>
        <v>402</v>
      </c>
      <c r="B403" s="468">
        <f>YEAR(Table6[[#This Row],[Date]])+IF(MONTH(Table6[[#This Row],[Date]])&gt;=4,1,0)</f>
        <v>2026</v>
      </c>
      <c r="C403" s="102">
        <f>YEAR(Table6[[#This Row],[Date]])</f>
        <v>2025</v>
      </c>
      <c r="D403" s="102" t="s">
        <v>1992</v>
      </c>
      <c r="E403" s="469">
        <f>Table6[[#This Row],[Date]]-DAY(Table6[[#This Row],[Date]])+1</f>
        <v>45748</v>
      </c>
      <c r="F403" s="470">
        <v>45773</v>
      </c>
      <c r="G403" s="35" t="s">
        <v>92</v>
      </c>
      <c r="H403" s="35" t="str">
        <f>IFERROR(_xlfn.XLOOKUP(Table6[[#This Row],[Affected WTG]],'Basic Data'!$A:$A,'Basic Data'!$B:$B),"")</f>
        <v>TQGXIIPL</v>
      </c>
      <c r="I403" s="35" t="str">
        <f>IFERROR(_xlfn.XLOOKUP(Table6[[#This Row],[Affected WTG]],'Basic Data'!$A:$A,'Basic Data'!$C:$C),"")</f>
        <v>GEDA</v>
      </c>
      <c r="J403" s="471">
        <f>IFERROR(_xlfn.XLOOKUP(Table6[[#This Row],[Affected WTG]],'Basic Data'!$A:$A,'Basic Data'!$E:$E),"")</f>
        <v>3.846153846153845E-2</v>
      </c>
      <c r="K403" s="102">
        <v>1700</v>
      </c>
      <c r="L403" s="35" t="str">
        <f>IFERROR(_xlfn.XLOOKUP(Table6[[#This Row],[Error Code]],'Basic Data'!$AA:$AA,'Basic Data'!$AB:$AB),"Incorrect Error Code")</f>
        <v>High temp. gear bearing 1</v>
      </c>
      <c r="M403" s="35" t="s">
        <v>292</v>
      </c>
      <c r="N403" s="475"/>
      <c r="O403" s="476">
        <v>0.89930555555555558</v>
      </c>
      <c r="P403" s="476">
        <v>0.89930555555555558</v>
      </c>
      <c r="Q403" s="477">
        <v>0.90069444444444446</v>
      </c>
      <c r="R403" s="472">
        <f>IF(Table6[[#This Row],[Work Start TimeStamp]]="","",(Table6[[#This Row],[Work Start TimeStamp]]-Table6[[#This Row],[Fault Start TimeStamp]])*24)</f>
        <v>0</v>
      </c>
      <c r="S403" s="472">
        <f>(Table6[[#This Row],[Fault Clearance time]]-Table6[[#This Row],[Work Start TimeStamp]])*24</f>
        <v>3.3333333333333215E-2</v>
      </c>
      <c r="T403" s="472">
        <f>(Table6[[#This Row],[Fault Clearance time]]-Table6[[#This Row],[Fault Start TimeStamp]])*24</f>
        <v>3.3333333333333215E-2</v>
      </c>
      <c r="U403" s="35" t="s">
        <v>336</v>
      </c>
      <c r="V403" s="102" t="s">
        <v>293</v>
      </c>
      <c r="W403" s="478">
        <f>IFERROR(Table6[[#This Row],[Breakdown Time]]*Table6[[#This Row],[Plant Equivalent Weightage]],"")</f>
        <v>1.2820512820512771E-3</v>
      </c>
      <c r="X403" s="473" t="s">
        <v>294</v>
      </c>
      <c r="Y403" s="474" t="s">
        <v>80</v>
      </c>
      <c r="Z403" s="102">
        <v>32148</v>
      </c>
      <c r="AA403" s="468">
        <f>(Table6[[#This Row],[Paired WTG Generation for loss calculation]]/24)*Table6[[#This Row],[Breakdown Time]]</f>
        <v>44.649999999999842</v>
      </c>
      <c r="AB403" s="102"/>
      <c r="AC403" s="35"/>
      <c r="AD403" s="35"/>
    </row>
    <row r="404" spans="1:30">
      <c r="A404" s="102">
        <f t="shared" si="7"/>
        <v>403</v>
      </c>
      <c r="B404" s="468">
        <f>YEAR(Table6[[#This Row],[Date]])+IF(MONTH(Table6[[#This Row],[Date]])&gt;=4,1,0)</f>
        <v>2026</v>
      </c>
      <c r="C404" s="102">
        <f>YEAR(Table6[[#This Row],[Date]])</f>
        <v>2025</v>
      </c>
      <c r="D404" s="102" t="s">
        <v>1992</v>
      </c>
      <c r="E404" s="469">
        <f>Table6[[#This Row],[Date]]-DAY(Table6[[#This Row],[Date]])+1</f>
        <v>45748</v>
      </c>
      <c r="F404" s="470">
        <v>45773</v>
      </c>
      <c r="G404" s="35" t="s">
        <v>92</v>
      </c>
      <c r="H404" s="35" t="str">
        <f>IFERROR(_xlfn.XLOOKUP(Table6[[#This Row],[Affected WTG]],'Basic Data'!$A:$A,'Basic Data'!$B:$B),"")</f>
        <v>TQGXIIPL</v>
      </c>
      <c r="I404" s="35" t="str">
        <f>IFERROR(_xlfn.XLOOKUP(Table6[[#This Row],[Affected WTG]],'Basic Data'!$A:$A,'Basic Data'!$C:$C),"")</f>
        <v>GEDA</v>
      </c>
      <c r="J404" s="471">
        <f>IFERROR(_xlfn.XLOOKUP(Table6[[#This Row],[Affected WTG]],'Basic Data'!$A:$A,'Basic Data'!$E:$E),"")</f>
        <v>3.846153846153845E-2</v>
      </c>
      <c r="K404" s="102">
        <v>3800</v>
      </c>
      <c r="L404" s="35" t="str">
        <f>IFERROR(_xlfn.XLOOKUP(Table6[[#This Row],[Error Code]],'Basic Data'!$AA:$AA,'Basic Data'!$AB:$AB),"Incorrect Error Code")</f>
        <v>Circuit breaker</v>
      </c>
      <c r="M404" s="35" t="s">
        <v>291</v>
      </c>
      <c r="N404" s="475"/>
      <c r="O404" s="476">
        <v>0.90625</v>
      </c>
      <c r="P404" s="476">
        <v>0.99930555555555556</v>
      </c>
      <c r="Q404" s="477">
        <v>0.99998842592592596</v>
      </c>
      <c r="R404" s="472">
        <f>IF(Table6[[#This Row],[Work Start TimeStamp]]="","",(Table6[[#This Row],[Work Start TimeStamp]]-Table6[[#This Row],[Fault Start TimeStamp]])*24)</f>
        <v>2.2333333333333334</v>
      </c>
      <c r="S404" s="472">
        <f>(Table6[[#This Row],[Fault Clearance time]]-Table6[[#This Row],[Work Start TimeStamp]])*24</f>
        <v>1.6388888888889674E-2</v>
      </c>
      <c r="T404" s="472">
        <f>(Table6[[#This Row],[Fault Clearance time]]-Table6[[#This Row],[Fault Start TimeStamp]])*24</f>
        <v>2.2497222222222231</v>
      </c>
      <c r="U404" s="35" t="s">
        <v>1732</v>
      </c>
      <c r="V404" s="102" t="s">
        <v>293</v>
      </c>
      <c r="W404" s="478">
        <f>IFERROR(Table6[[#This Row],[Breakdown Time]]*Table6[[#This Row],[Plant Equivalent Weightage]],"")</f>
        <v>8.6527777777777787E-2</v>
      </c>
      <c r="X404" s="473" t="s">
        <v>294</v>
      </c>
      <c r="Y404" s="474" t="s">
        <v>80</v>
      </c>
      <c r="Z404" s="102">
        <v>32148</v>
      </c>
      <c r="AA404" s="468">
        <f>(Table6[[#This Row],[Paired WTG Generation for loss calculation]]/24)*Table6[[#This Row],[Breakdown Time]]</f>
        <v>3013.5029166666677</v>
      </c>
      <c r="AB404" s="102"/>
      <c r="AC404" s="35"/>
      <c r="AD404" s="35"/>
    </row>
    <row r="405" spans="1:30">
      <c r="A405" s="102">
        <f t="shared" si="7"/>
        <v>404</v>
      </c>
      <c r="B405" s="468">
        <f>YEAR(Table6[[#This Row],[Date]])+IF(MONTH(Table6[[#This Row],[Date]])&gt;=4,1,0)</f>
        <v>2026</v>
      </c>
      <c r="C405" s="102">
        <f>YEAR(Table6[[#This Row],[Date]])</f>
        <v>2025</v>
      </c>
      <c r="D405" s="102" t="s">
        <v>1992</v>
      </c>
      <c r="E405" s="469">
        <f>Table6[[#This Row],[Date]]-DAY(Table6[[#This Row],[Date]])+1</f>
        <v>45748</v>
      </c>
      <c r="F405" s="470">
        <v>45773</v>
      </c>
      <c r="G405" s="35" t="s">
        <v>93</v>
      </c>
      <c r="H405" s="35" t="str">
        <f>IFERROR(_xlfn.XLOOKUP(Table6[[#This Row],[Affected WTG]],'Basic Data'!$A:$A,'Basic Data'!$B:$B),"")</f>
        <v>TQGXIIPL</v>
      </c>
      <c r="I405" s="35" t="str">
        <f>IFERROR(_xlfn.XLOOKUP(Table6[[#This Row],[Affected WTG]],'Basic Data'!$A:$A,'Basic Data'!$C:$C),"")</f>
        <v>GEDA</v>
      </c>
      <c r="J405" s="471">
        <f>IFERROR(_xlfn.XLOOKUP(Table6[[#This Row],[Affected WTG]],'Basic Data'!$A:$A,'Basic Data'!$E:$E),"")</f>
        <v>3.846153846153845E-2</v>
      </c>
      <c r="K405" s="102">
        <v>55</v>
      </c>
      <c r="L405" s="35" t="str">
        <f>IFERROR(_xlfn.XLOOKUP(Table6[[#This Row],[Error Code]],'Basic Data'!$AA:$AA,'Basic Data'!$AB:$AB),"Incorrect Error Code")</f>
        <v>WTG shut down</v>
      </c>
      <c r="M405" s="35" t="s">
        <v>304</v>
      </c>
      <c r="N405" s="475"/>
      <c r="O405" s="476">
        <v>0.26527777777777778</v>
      </c>
      <c r="P405" s="476">
        <v>0.26527777777777778</v>
      </c>
      <c r="Q405" s="477">
        <v>0.48472222222222222</v>
      </c>
      <c r="R405" s="472">
        <f>IF(Table6[[#This Row],[Work Start TimeStamp]]="","",(Table6[[#This Row],[Work Start TimeStamp]]-Table6[[#This Row],[Fault Start TimeStamp]])*24)</f>
        <v>0</v>
      </c>
      <c r="S405" s="472">
        <f>(Table6[[#This Row],[Fault Clearance time]]-Table6[[#This Row],[Work Start TimeStamp]])*24</f>
        <v>5.2666666666666666</v>
      </c>
      <c r="T405" s="472">
        <f>(Table6[[#This Row],[Fault Clearance time]]-Table6[[#This Row],[Fault Start TimeStamp]])*24</f>
        <v>5.2666666666666666</v>
      </c>
      <c r="U405" s="35" t="s">
        <v>351</v>
      </c>
      <c r="V405" s="102" t="s">
        <v>293</v>
      </c>
      <c r="W405" s="478">
        <f>IFERROR(Table6[[#This Row],[Breakdown Time]]*Table6[[#This Row],[Plant Equivalent Weightage]],"")</f>
        <v>0.20256410256410251</v>
      </c>
      <c r="X405" s="473" t="s">
        <v>305</v>
      </c>
      <c r="Y405" s="474" t="s">
        <v>97</v>
      </c>
      <c r="Z405" s="102">
        <v>23190</v>
      </c>
      <c r="AA405" s="468">
        <f>(Table6[[#This Row],[Paired WTG Generation for loss calculation]]/24)*Table6[[#This Row],[Breakdown Time]]</f>
        <v>5088.916666666667</v>
      </c>
      <c r="AB405" s="102"/>
      <c r="AC405" s="35"/>
      <c r="AD405" s="35"/>
    </row>
    <row r="406" spans="1:30">
      <c r="A406" s="102">
        <f t="shared" si="7"/>
        <v>405</v>
      </c>
      <c r="B406" s="468">
        <f>YEAR(Table6[[#This Row],[Date]])+IF(MONTH(Table6[[#This Row],[Date]])&gt;=4,1,0)</f>
        <v>2026</v>
      </c>
      <c r="C406" s="102">
        <f>YEAR(Table6[[#This Row],[Date]])</f>
        <v>2025</v>
      </c>
      <c r="D406" s="102" t="s">
        <v>1992</v>
      </c>
      <c r="E406" s="469">
        <f>Table6[[#This Row],[Date]]-DAY(Table6[[#This Row],[Date]])+1</f>
        <v>45748</v>
      </c>
      <c r="F406" s="470">
        <v>45773</v>
      </c>
      <c r="G406" s="35" t="s">
        <v>93</v>
      </c>
      <c r="H406" s="35" t="str">
        <f>IFERROR(_xlfn.XLOOKUP(Table6[[#This Row],[Affected WTG]],'Basic Data'!$A:$A,'Basic Data'!$B:$B),"")</f>
        <v>TQGXIIPL</v>
      </c>
      <c r="I406" s="35" t="str">
        <f>IFERROR(_xlfn.XLOOKUP(Table6[[#This Row],[Affected WTG]],'Basic Data'!$A:$A,'Basic Data'!$C:$C),"")</f>
        <v>GEDA</v>
      </c>
      <c r="J406" s="471">
        <f>IFERROR(_xlfn.XLOOKUP(Table6[[#This Row],[Affected WTG]],'Basic Data'!$A:$A,'Basic Data'!$E:$E),"")</f>
        <v>3.846153846153845E-2</v>
      </c>
      <c r="K406" s="102">
        <v>643</v>
      </c>
      <c r="L406" s="35" t="str">
        <f>IFERROR(_xlfn.XLOOKUP(Table6[[#This Row],[Error Code]],'Basic Data'!$AA:$AA,'Basic Data'!$AB:$AB),"Incorrect Error Code")</f>
        <v>Sim.angle E enc. &lt;&gt; act.angle 3</v>
      </c>
      <c r="M406" s="35" t="s">
        <v>291</v>
      </c>
      <c r="N406" s="475"/>
      <c r="O406" s="476">
        <v>0.49652777777777779</v>
      </c>
      <c r="P406" s="476">
        <v>0.49652777777777779</v>
      </c>
      <c r="Q406" s="477">
        <v>0.49861111111111112</v>
      </c>
      <c r="R406" s="472">
        <f>IF(Table6[[#This Row],[Work Start TimeStamp]]="","",(Table6[[#This Row],[Work Start TimeStamp]]-Table6[[#This Row],[Fault Start TimeStamp]])*24)</f>
        <v>0</v>
      </c>
      <c r="S406" s="472">
        <f>(Table6[[#This Row],[Fault Clearance time]]-Table6[[#This Row],[Work Start TimeStamp]])*24</f>
        <v>4.9999999999999822E-2</v>
      </c>
      <c r="T406" s="472">
        <f>(Table6[[#This Row],[Fault Clearance time]]-Table6[[#This Row],[Fault Start TimeStamp]])*24</f>
        <v>4.9999999999999822E-2</v>
      </c>
      <c r="U406" s="35" t="s">
        <v>349</v>
      </c>
      <c r="V406" s="102" t="s">
        <v>293</v>
      </c>
      <c r="W406" s="478">
        <f>IFERROR(Table6[[#This Row],[Breakdown Time]]*Table6[[#This Row],[Plant Equivalent Weightage]],"")</f>
        <v>1.9230769230769156E-3</v>
      </c>
      <c r="X406" s="473" t="s">
        <v>294</v>
      </c>
      <c r="Y406" s="474" t="s">
        <v>97</v>
      </c>
      <c r="Z406" s="102">
        <v>23190</v>
      </c>
      <c r="AA406" s="468">
        <f>(Table6[[#This Row],[Paired WTG Generation for loss calculation]]/24)*Table6[[#This Row],[Breakdown Time]]</f>
        <v>48.312499999999829</v>
      </c>
      <c r="AB406" s="102"/>
      <c r="AC406" s="35"/>
      <c r="AD406" s="35"/>
    </row>
    <row r="407" spans="1:30">
      <c r="A407" s="102">
        <f t="shared" si="7"/>
        <v>406</v>
      </c>
      <c r="B407" s="468">
        <f>YEAR(Table6[[#This Row],[Date]])+IF(MONTH(Table6[[#This Row],[Date]])&gt;=4,1,0)</f>
        <v>2026</v>
      </c>
      <c r="C407" s="102">
        <f>YEAR(Table6[[#This Row],[Date]])</f>
        <v>2025</v>
      </c>
      <c r="D407" s="102" t="s">
        <v>1992</v>
      </c>
      <c r="E407" s="469">
        <f>Table6[[#This Row],[Date]]-DAY(Table6[[#This Row],[Date]])+1</f>
        <v>45748</v>
      </c>
      <c r="F407" s="470">
        <v>45773</v>
      </c>
      <c r="G407" s="35" t="s">
        <v>96</v>
      </c>
      <c r="H407" s="35" t="str">
        <f>IFERROR(_xlfn.XLOOKUP(Table6[[#This Row],[Affected WTG]],'Basic Data'!$A:$A,'Basic Data'!$B:$B),"")</f>
        <v>TQGXIIPL</v>
      </c>
      <c r="I407" s="35" t="str">
        <f>IFERROR(_xlfn.XLOOKUP(Table6[[#This Row],[Affected WTG]],'Basic Data'!$A:$A,'Basic Data'!$C:$C),"")</f>
        <v>GEDA</v>
      </c>
      <c r="J407" s="471">
        <f>IFERROR(_xlfn.XLOOKUP(Table6[[#This Row],[Affected WTG]],'Basic Data'!$A:$A,'Basic Data'!$E:$E),"")</f>
        <v>3.846153846153845E-2</v>
      </c>
      <c r="K407" s="102">
        <v>6130</v>
      </c>
      <c r="L407" s="35" t="str">
        <f>IFERROR(_xlfn.XLOOKUP(Table6[[#This Row],[Error Code]],'Basic Data'!$AA:$AA,'Basic Data'!$AB:$AB),"Incorrect Error Code")</f>
        <v>Yaw speed high</v>
      </c>
      <c r="M407" s="35" t="s">
        <v>292</v>
      </c>
      <c r="N407" s="475"/>
      <c r="O407" s="476">
        <v>0.51388888888888884</v>
      </c>
      <c r="P407" s="476">
        <v>0.51388888888888884</v>
      </c>
      <c r="Q407" s="477">
        <v>0.5180555555555556</v>
      </c>
      <c r="R407" s="472">
        <f>IF(Table6[[#This Row],[Work Start TimeStamp]]="","",(Table6[[#This Row],[Work Start TimeStamp]]-Table6[[#This Row],[Fault Start TimeStamp]])*24)</f>
        <v>0</v>
      </c>
      <c r="S407" s="472">
        <f>(Table6[[#This Row],[Fault Clearance time]]-Table6[[#This Row],[Work Start TimeStamp]])*24</f>
        <v>0.10000000000000231</v>
      </c>
      <c r="T407" s="472">
        <f>(Table6[[#This Row],[Fault Clearance time]]-Table6[[#This Row],[Fault Start TimeStamp]])*24</f>
        <v>0.10000000000000231</v>
      </c>
      <c r="U407" s="35" t="s">
        <v>336</v>
      </c>
      <c r="V407" s="102" t="s">
        <v>293</v>
      </c>
      <c r="W407" s="478">
        <f>IFERROR(Table6[[#This Row],[Breakdown Time]]*Table6[[#This Row],[Plant Equivalent Weightage]],"")</f>
        <v>3.846153846153934E-3</v>
      </c>
      <c r="X407" s="473" t="s">
        <v>294</v>
      </c>
      <c r="Y407" s="474" t="s">
        <v>84</v>
      </c>
      <c r="Z407" s="102">
        <v>20631</v>
      </c>
      <c r="AA407" s="468">
        <f>(Table6[[#This Row],[Paired WTG Generation for loss calculation]]/24)*Table6[[#This Row],[Breakdown Time]]</f>
        <v>85.962500000001981</v>
      </c>
      <c r="AB407" s="102"/>
      <c r="AC407" s="35"/>
      <c r="AD407" s="35"/>
    </row>
    <row r="408" spans="1:30">
      <c r="A408" s="102">
        <f t="shared" si="7"/>
        <v>407</v>
      </c>
      <c r="B408" s="468">
        <f>YEAR(Table6[[#This Row],[Date]])+IF(MONTH(Table6[[#This Row],[Date]])&gt;=4,1,0)</f>
        <v>2026</v>
      </c>
      <c r="C408" s="102">
        <f>YEAR(Table6[[#This Row],[Date]])</f>
        <v>2025</v>
      </c>
      <c r="D408" s="102" t="s">
        <v>1992</v>
      </c>
      <c r="E408" s="469">
        <f>Table6[[#This Row],[Date]]-DAY(Table6[[#This Row],[Date]])+1</f>
        <v>45748</v>
      </c>
      <c r="F408" s="470">
        <v>45773</v>
      </c>
      <c r="G408" s="35" t="s">
        <v>98</v>
      </c>
      <c r="H408" s="35" t="str">
        <f>IFERROR(_xlfn.XLOOKUP(Table6[[#This Row],[Affected WTG]],'Basic Data'!$A:$A,'Basic Data'!$B:$B),"")</f>
        <v>TQGXIIPL</v>
      </c>
      <c r="I408" s="35" t="str">
        <f>IFERROR(_xlfn.XLOOKUP(Table6[[#This Row],[Affected WTG]],'Basic Data'!$A:$A,'Basic Data'!$C:$C),"")</f>
        <v>GEDA</v>
      </c>
      <c r="J408" s="471">
        <f>IFERROR(_xlfn.XLOOKUP(Table6[[#This Row],[Affected WTG]],'Basic Data'!$A:$A,'Basic Data'!$E:$E),"")</f>
        <v>3.846153846153845E-2</v>
      </c>
      <c r="K408" s="102">
        <v>55</v>
      </c>
      <c r="L408" s="35" t="str">
        <f>IFERROR(_xlfn.XLOOKUP(Table6[[#This Row],[Error Code]],'Basic Data'!$AA:$AA,'Basic Data'!$AB:$AB),"Incorrect Error Code")</f>
        <v>WTG shut down</v>
      </c>
      <c r="M408" s="35" t="s">
        <v>330</v>
      </c>
      <c r="N408" s="475"/>
      <c r="O408" s="476">
        <v>0.75694444444444442</v>
      </c>
      <c r="P408" s="476">
        <v>0.75694444444444442</v>
      </c>
      <c r="Q408" s="477">
        <v>0.88541666666666663</v>
      </c>
      <c r="R408" s="472">
        <f>IF(Table6[[#This Row],[Work Start TimeStamp]]="","",(Table6[[#This Row],[Work Start TimeStamp]]-Table6[[#This Row],[Fault Start TimeStamp]])*24)</f>
        <v>0</v>
      </c>
      <c r="S408" s="472">
        <f>(Table6[[#This Row],[Fault Clearance time]]-Table6[[#This Row],[Work Start TimeStamp]])*24</f>
        <v>3.083333333333333</v>
      </c>
      <c r="T408" s="472">
        <f>(Table6[[#This Row],[Fault Clearance time]]-Table6[[#This Row],[Fault Start TimeStamp]])*24</f>
        <v>3.083333333333333</v>
      </c>
      <c r="U408" s="35" t="s">
        <v>337</v>
      </c>
      <c r="V408" s="102" t="s">
        <v>293</v>
      </c>
      <c r="W408" s="478">
        <f>IFERROR(Table6[[#This Row],[Breakdown Time]]*Table6[[#This Row],[Plant Equivalent Weightage]],"")</f>
        <v>0.11858974358974354</v>
      </c>
      <c r="X408" s="473" t="s">
        <v>290</v>
      </c>
      <c r="Y408" s="474" t="s">
        <v>74</v>
      </c>
      <c r="Z408" s="102">
        <v>23625</v>
      </c>
      <c r="AA408" s="468">
        <f>(Table6[[#This Row],[Paired WTG Generation for loss calculation]]/24)*Table6[[#This Row],[Breakdown Time]]</f>
        <v>3035.1562499999995</v>
      </c>
      <c r="AB408" s="102"/>
      <c r="AC408" s="35"/>
      <c r="AD408" s="35"/>
    </row>
    <row r="409" spans="1:30">
      <c r="A409" s="102">
        <f t="shared" si="7"/>
        <v>408</v>
      </c>
      <c r="B409" s="468">
        <f>YEAR(Table6[[#This Row],[Date]])+IF(MONTH(Table6[[#This Row],[Date]])&gt;=4,1,0)</f>
        <v>2026</v>
      </c>
      <c r="C409" s="102">
        <f>YEAR(Table6[[#This Row],[Date]])</f>
        <v>2025</v>
      </c>
      <c r="D409" s="102" t="s">
        <v>1992</v>
      </c>
      <c r="E409" s="469">
        <f>Table6[[#This Row],[Date]]-DAY(Table6[[#This Row],[Date]])+1</f>
        <v>45748</v>
      </c>
      <c r="F409" s="470">
        <v>45774</v>
      </c>
      <c r="G409" s="35" t="s">
        <v>78</v>
      </c>
      <c r="H409" s="35" t="str">
        <f>IFERROR(_xlfn.XLOOKUP(Table6[[#This Row],[Affected WTG]],'Basic Data'!$A:$A,'Basic Data'!$B:$B),"")</f>
        <v>TQGXIIPL</v>
      </c>
      <c r="I409" s="35" t="str">
        <f>IFERROR(_xlfn.XLOOKUP(Table6[[#This Row],[Affected WTG]],'Basic Data'!$A:$A,'Basic Data'!$C:$C),"")</f>
        <v>GEDA</v>
      </c>
      <c r="J409" s="471">
        <f>IFERROR(_xlfn.XLOOKUP(Table6[[#This Row],[Affected WTG]],'Basic Data'!$A:$A,'Basic Data'!$E:$E),"")</f>
        <v>3.846153846153845E-2</v>
      </c>
      <c r="K409" s="102">
        <v>3210</v>
      </c>
      <c r="L409" s="35" t="str">
        <f>IFERROR(_xlfn.XLOOKUP(Table6[[#This Row],[Error Code]],'Basic Data'!$AA:$AA,'Basic Data'!$AB:$AB),"Incorrect Error Code")</f>
        <v>Frequency converter load rejection</v>
      </c>
      <c r="M409" s="35" t="s">
        <v>291</v>
      </c>
      <c r="N409" s="475"/>
      <c r="O409" s="476">
        <v>0.23055555555555557</v>
      </c>
      <c r="P409" s="476">
        <v>0.23055555555555557</v>
      </c>
      <c r="Q409" s="477">
        <v>0.2326388888888889</v>
      </c>
      <c r="R409" s="472">
        <f>IF(Table6[[#This Row],[Work Start TimeStamp]]="","",(Table6[[#This Row],[Work Start TimeStamp]]-Table6[[#This Row],[Fault Start TimeStamp]])*24)</f>
        <v>0</v>
      </c>
      <c r="S409" s="472">
        <f>(Table6[[#This Row],[Fault Clearance time]]-Table6[[#This Row],[Work Start TimeStamp]])*24</f>
        <v>4.9999999999999822E-2</v>
      </c>
      <c r="T409" s="472">
        <f>(Table6[[#This Row],[Fault Clearance time]]-Table6[[#This Row],[Fault Start TimeStamp]])*24</f>
        <v>4.9999999999999822E-2</v>
      </c>
      <c r="U409" s="35" t="s">
        <v>349</v>
      </c>
      <c r="V409" s="102" t="s">
        <v>293</v>
      </c>
      <c r="W409" s="478">
        <f>IFERROR(Table6[[#This Row],[Breakdown Time]]*Table6[[#This Row],[Plant Equivalent Weightage]],"")</f>
        <v>1.9230769230769156E-3</v>
      </c>
      <c r="X409" s="473" t="s">
        <v>294</v>
      </c>
      <c r="Y409" s="474" t="s">
        <v>75</v>
      </c>
      <c r="Z409" s="102">
        <v>27721</v>
      </c>
      <c r="AA409" s="468">
        <f>(Table6[[#This Row],[Paired WTG Generation for loss calculation]]/24)*Table6[[#This Row],[Breakdown Time]]</f>
        <v>57.752083333333132</v>
      </c>
      <c r="AB409" s="102"/>
      <c r="AC409" s="35"/>
      <c r="AD409" s="35"/>
    </row>
    <row r="410" spans="1:30">
      <c r="A410" s="102">
        <f t="shared" si="7"/>
        <v>409</v>
      </c>
      <c r="B410" s="468">
        <f>YEAR(Table6[[#This Row],[Date]])+IF(MONTH(Table6[[#This Row],[Date]])&gt;=4,1,0)</f>
        <v>2026</v>
      </c>
      <c r="C410" s="102">
        <f>YEAR(Table6[[#This Row],[Date]])</f>
        <v>2025</v>
      </c>
      <c r="D410" s="102" t="s">
        <v>1992</v>
      </c>
      <c r="E410" s="469">
        <f>Table6[[#This Row],[Date]]-DAY(Table6[[#This Row],[Date]])+1</f>
        <v>45748</v>
      </c>
      <c r="F410" s="470">
        <v>45774</v>
      </c>
      <c r="G410" s="35" t="s">
        <v>80</v>
      </c>
      <c r="H410" s="35" t="str">
        <f>IFERROR(_xlfn.XLOOKUP(Table6[[#This Row],[Affected WTG]],'Basic Data'!$A:$A,'Basic Data'!$B:$B),"")</f>
        <v>TQGXIIPL</v>
      </c>
      <c r="I410" s="35" t="str">
        <f>IFERROR(_xlfn.XLOOKUP(Table6[[#This Row],[Affected WTG]],'Basic Data'!$A:$A,'Basic Data'!$C:$C),"")</f>
        <v>GEDA</v>
      </c>
      <c r="J410" s="471">
        <f>IFERROR(_xlfn.XLOOKUP(Table6[[#This Row],[Affected WTG]],'Basic Data'!$A:$A,'Basic Data'!$E:$E),"")</f>
        <v>3.846153846153845E-2</v>
      </c>
      <c r="K410" s="102">
        <v>6300</v>
      </c>
      <c r="L410" s="35" t="str">
        <f>IFERROR(_xlfn.XLOOKUP(Table6[[#This Row],[Error Code]],'Basic Data'!$AA:$AA,'Basic Data'!$AB:$AB),"Incorrect Error Code")</f>
        <v>Yaw error</v>
      </c>
      <c r="M410" s="35" t="s">
        <v>291</v>
      </c>
      <c r="N410" s="475"/>
      <c r="O410" s="476">
        <v>0.80833333333333335</v>
      </c>
      <c r="P410" s="476">
        <v>0.80833333333333335</v>
      </c>
      <c r="Q410" s="477">
        <v>0.81319444444444444</v>
      </c>
      <c r="R410" s="472">
        <f>IF(Table6[[#This Row],[Work Start TimeStamp]]="","",(Table6[[#This Row],[Work Start TimeStamp]]-Table6[[#This Row],[Fault Start TimeStamp]])*24)</f>
        <v>0</v>
      </c>
      <c r="S410" s="472">
        <f>(Table6[[#This Row],[Fault Clearance time]]-Table6[[#This Row],[Work Start TimeStamp]])*24</f>
        <v>0.11666666666666625</v>
      </c>
      <c r="T410" s="472">
        <f>(Table6[[#This Row],[Fault Clearance time]]-Table6[[#This Row],[Fault Start TimeStamp]])*24</f>
        <v>0.11666666666666625</v>
      </c>
      <c r="U410" s="35" t="s">
        <v>349</v>
      </c>
      <c r="V410" s="102" t="s">
        <v>293</v>
      </c>
      <c r="W410" s="478">
        <f>IFERROR(Table6[[#This Row],[Breakdown Time]]*Table6[[#This Row],[Plant Equivalent Weightage]],"")</f>
        <v>4.4871794871794695E-3</v>
      </c>
      <c r="X410" s="473" t="s">
        <v>294</v>
      </c>
      <c r="Y410" s="474" t="s">
        <v>77</v>
      </c>
      <c r="Z410" s="102">
        <v>25863</v>
      </c>
      <c r="AA410" s="468">
        <f>(Table6[[#This Row],[Paired WTG Generation for loss calculation]]/24)*Table6[[#This Row],[Breakdown Time]]</f>
        <v>125.72291666666622</v>
      </c>
      <c r="AB410" s="102"/>
      <c r="AC410" s="35"/>
      <c r="AD410" s="35"/>
    </row>
    <row r="411" spans="1:30">
      <c r="A411" s="102">
        <f t="shared" si="7"/>
        <v>410</v>
      </c>
      <c r="B411" s="468">
        <f>YEAR(Table6[[#This Row],[Date]])+IF(MONTH(Table6[[#This Row],[Date]])&gt;=4,1,0)</f>
        <v>2026</v>
      </c>
      <c r="C411" s="102">
        <f>YEAR(Table6[[#This Row],[Date]])</f>
        <v>2025</v>
      </c>
      <c r="D411" s="102" t="s">
        <v>1992</v>
      </c>
      <c r="E411" s="469">
        <f>Table6[[#This Row],[Date]]-DAY(Table6[[#This Row],[Date]])+1</f>
        <v>45748</v>
      </c>
      <c r="F411" s="470">
        <v>45774</v>
      </c>
      <c r="G411" s="35" t="s">
        <v>85</v>
      </c>
      <c r="H411" s="35" t="str">
        <f>IFERROR(_xlfn.XLOOKUP(Table6[[#This Row],[Affected WTG]],'Basic Data'!$A:$A,'Basic Data'!$B:$B),"")</f>
        <v>TQGXIIPL</v>
      </c>
      <c r="I411" s="35" t="str">
        <f>IFERROR(_xlfn.XLOOKUP(Table6[[#This Row],[Affected WTG]],'Basic Data'!$A:$A,'Basic Data'!$C:$C),"")</f>
        <v>GEDA</v>
      </c>
      <c r="J411" s="471">
        <f>IFERROR(_xlfn.XLOOKUP(Table6[[#This Row],[Affected WTG]],'Basic Data'!$A:$A,'Basic Data'!$E:$E),"")</f>
        <v>3.846153846153845E-2</v>
      </c>
      <c r="K411" s="102">
        <v>643</v>
      </c>
      <c r="L411" s="35" t="str">
        <f>IFERROR(_xlfn.XLOOKUP(Table6[[#This Row],[Error Code]],'Basic Data'!$AA:$AA,'Basic Data'!$AB:$AB),"Incorrect Error Code")</f>
        <v>Sim.angle E enc. &lt;&gt; act.angle 3</v>
      </c>
      <c r="M411" s="35" t="s">
        <v>291</v>
      </c>
      <c r="N411" s="475"/>
      <c r="O411" s="476">
        <v>0.49930555555555556</v>
      </c>
      <c r="P411" s="476">
        <v>0.49930555555555556</v>
      </c>
      <c r="Q411" s="477">
        <v>0.50763888888888886</v>
      </c>
      <c r="R411" s="472">
        <f>IF(Table6[[#This Row],[Work Start TimeStamp]]="","",(Table6[[#This Row],[Work Start TimeStamp]]-Table6[[#This Row],[Fault Start TimeStamp]])*24)</f>
        <v>0</v>
      </c>
      <c r="S411" s="472">
        <f>(Table6[[#This Row],[Fault Clearance time]]-Table6[[#This Row],[Work Start TimeStamp]])*24</f>
        <v>0.19999999999999929</v>
      </c>
      <c r="T411" s="472">
        <f>(Table6[[#This Row],[Fault Clearance time]]-Table6[[#This Row],[Fault Start TimeStamp]])*24</f>
        <v>0.19999999999999929</v>
      </c>
      <c r="U411" s="35" t="s">
        <v>396</v>
      </c>
      <c r="V411" s="102" t="s">
        <v>293</v>
      </c>
      <c r="W411" s="478">
        <f>IFERROR(Table6[[#This Row],[Breakdown Time]]*Table6[[#This Row],[Plant Equivalent Weightage]],"")</f>
        <v>7.6923076923076624E-3</v>
      </c>
      <c r="X411" s="473" t="s">
        <v>294</v>
      </c>
      <c r="Y411" s="474" t="s">
        <v>87</v>
      </c>
      <c r="Z411" s="102">
        <v>17831</v>
      </c>
      <c r="AA411" s="468">
        <f>(Table6[[#This Row],[Paired WTG Generation for loss calculation]]/24)*Table6[[#This Row],[Breakdown Time]]</f>
        <v>148.59166666666616</v>
      </c>
      <c r="AB411" s="102"/>
      <c r="AC411" s="35"/>
      <c r="AD411" s="35"/>
    </row>
    <row r="412" spans="1:30">
      <c r="A412" s="102">
        <f t="shared" si="7"/>
        <v>411</v>
      </c>
      <c r="B412" s="468">
        <f>YEAR(Table6[[#This Row],[Date]])+IF(MONTH(Table6[[#This Row],[Date]])&gt;=4,1,0)</f>
        <v>2026</v>
      </c>
      <c r="C412" s="102">
        <f>YEAR(Table6[[#This Row],[Date]])</f>
        <v>2025</v>
      </c>
      <c r="D412" s="102" t="s">
        <v>1992</v>
      </c>
      <c r="E412" s="469">
        <f>Table6[[#This Row],[Date]]-DAY(Table6[[#This Row],[Date]])+1</f>
        <v>45748</v>
      </c>
      <c r="F412" s="470">
        <v>45774</v>
      </c>
      <c r="G412" s="35" t="s">
        <v>90</v>
      </c>
      <c r="H412" s="35" t="str">
        <f>IFERROR(_xlfn.XLOOKUP(Table6[[#This Row],[Affected WTG]],'Basic Data'!$A:$A,'Basic Data'!$B:$B),"")</f>
        <v>TQGXIIPL</v>
      </c>
      <c r="I412" s="35" t="str">
        <f>IFERROR(_xlfn.XLOOKUP(Table6[[#This Row],[Affected WTG]],'Basic Data'!$A:$A,'Basic Data'!$C:$C),"")</f>
        <v>GEDA</v>
      </c>
      <c r="J412" s="471">
        <f>IFERROR(_xlfn.XLOOKUP(Table6[[#This Row],[Affected WTG]],'Basic Data'!$A:$A,'Basic Data'!$E:$E),"")</f>
        <v>3.846153846153845E-2</v>
      </c>
      <c r="K412" s="102">
        <v>55</v>
      </c>
      <c r="L412" s="35" t="str">
        <f>IFERROR(_xlfn.XLOOKUP(Table6[[#This Row],[Error Code]],'Basic Data'!$AA:$AA,'Basic Data'!$AB:$AB),"Incorrect Error Code")</f>
        <v>WTG shut down</v>
      </c>
      <c r="M412" s="35" t="s">
        <v>295</v>
      </c>
      <c r="N412" s="475"/>
      <c r="O412" s="476">
        <v>0.31666666666666665</v>
      </c>
      <c r="P412" s="476">
        <v>0.31666666666666665</v>
      </c>
      <c r="Q412" s="477">
        <v>0.62361111111111112</v>
      </c>
      <c r="R412" s="472">
        <f>IF(Table6[[#This Row],[Work Start TimeStamp]]="","",(Table6[[#This Row],[Work Start TimeStamp]]-Table6[[#This Row],[Fault Start TimeStamp]])*24)</f>
        <v>0</v>
      </c>
      <c r="S412" s="472">
        <f>(Table6[[#This Row],[Fault Clearance time]]-Table6[[#This Row],[Work Start TimeStamp]])*24</f>
        <v>7.3666666666666671</v>
      </c>
      <c r="T412" s="472">
        <f>(Table6[[#This Row],[Fault Clearance time]]-Table6[[#This Row],[Fault Start TimeStamp]])*24</f>
        <v>7.3666666666666671</v>
      </c>
      <c r="U412" s="35" t="s">
        <v>1726</v>
      </c>
      <c r="V412" s="102" t="s">
        <v>293</v>
      </c>
      <c r="W412" s="478">
        <f>IFERROR(Table6[[#This Row],[Breakdown Time]]*Table6[[#This Row],[Plant Equivalent Weightage]],"")</f>
        <v>0.28333333333333327</v>
      </c>
      <c r="X412" s="473" t="s">
        <v>290</v>
      </c>
      <c r="Y412" s="474" t="s">
        <v>95</v>
      </c>
      <c r="Z412" s="102">
        <v>24160</v>
      </c>
      <c r="AA412" s="468">
        <f>(Table6[[#This Row],[Paired WTG Generation for loss calculation]]/24)*Table6[[#This Row],[Breakdown Time]]</f>
        <v>7415.7777777777783</v>
      </c>
      <c r="AB412" s="102"/>
      <c r="AC412" s="35"/>
      <c r="AD412" s="35"/>
    </row>
    <row r="413" spans="1:30">
      <c r="A413" s="102">
        <f t="shared" si="7"/>
        <v>412</v>
      </c>
      <c r="B413" s="468">
        <f>YEAR(Table6[[#This Row],[Date]])+IF(MONTH(Table6[[#This Row],[Date]])&gt;=4,1,0)</f>
        <v>2026</v>
      </c>
      <c r="C413" s="102">
        <f>YEAR(Table6[[#This Row],[Date]])</f>
        <v>2025</v>
      </c>
      <c r="D413" s="102" t="s">
        <v>1992</v>
      </c>
      <c r="E413" s="469">
        <f>Table6[[#This Row],[Date]]-DAY(Table6[[#This Row],[Date]])+1</f>
        <v>45748</v>
      </c>
      <c r="F413" s="470">
        <v>45774</v>
      </c>
      <c r="G413" s="35" t="s">
        <v>92</v>
      </c>
      <c r="H413" s="35" t="str">
        <f>IFERROR(_xlfn.XLOOKUP(Table6[[#This Row],[Affected WTG]],'Basic Data'!$A:$A,'Basic Data'!$B:$B),"")</f>
        <v>TQGXIIPL</v>
      </c>
      <c r="I413" s="35" t="str">
        <f>IFERROR(_xlfn.XLOOKUP(Table6[[#This Row],[Affected WTG]],'Basic Data'!$A:$A,'Basic Data'!$C:$C),"")</f>
        <v>GEDA</v>
      </c>
      <c r="J413" s="471">
        <f>IFERROR(_xlfn.XLOOKUP(Table6[[#This Row],[Affected WTG]],'Basic Data'!$A:$A,'Basic Data'!$E:$E),"")</f>
        <v>3.846153846153845E-2</v>
      </c>
      <c r="K413" s="102">
        <v>3800</v>
      </c>
      <c r="L413" s="35" t="str">
        <f>IFERROR(_xlfn.XLOOKUP(Table6[[#This Row],[Error Code]],'Basic Data'!$AA:$AA,'Basic Data'!$AB:$AB),"Incorrect Error Code")</f>
        <v>Circuit breaker</v>
      </c>
      <c r="M413" s="35" t="s">
        <v>295</v>
      </c>
      <c r="N413" s="475"/>
      <c r="O413" s="476">
        <v>0</v>
      </c>
      <c r="P413" s="476">
        <v>0.15555555555555556</v>
      </c>
      <c r="Q413" s="477">
        <v>0.6069444444444444</v>
      </c>
      <c r="R413" s="472">
        <f>IF(Table6[[#This Row],[Work Start TimeStamp]]="","",(Table6[[#This Row],[Work Start TimeStamp]]-Table6[[#This Row],[Fault Start TimeStamp]])*24)</f>
        <v>3.7333333333333334</v>
      </c>
      <c r="S413" s="472">
        <f>(Table6[[#This Row],[Fault Clearance time]]-Table6[[#This Row],[Work Start TimeStamp]])*24</f>
        <v>10.833333333333332</v>
      </c>
      <c r="T413" s="472">
        <f>(Table6[[#This Row],[Fault Clearance time]]-Table6[[#This Row],[Fault Start TimeStamp]])*24</f>
        <v>14.566666666666666</v>
      </c>
      <c r="U413" s="35" t="s">
        <v>1733</v>
      </c>
      <c r="V413" s="102" t="s">
        <v>293</v>
      </c>
      <c r="W413" s="478">
        <f>IFERROR(Table6[[#This Row],[Breakdown Time]]*Table6[[#This Row],[Plant Equivalent Weightage]],"")</f>
        <v>0.56025641025641004</v>
      </c>
      <c r="X413" s="473" t="s">
        <v>294</v>
      </c>
      <c r="Y413" s="474" t="s">
        <v>80</v>
      </c>
      <c r="Z413" s="102">
        <v>23298</v>
      </c>
      <c r="AA413" s="468">
        <f>(Table6[[#This Row],[Paired WTG Generation for loss calculation]]/24)*Table6[[#This Row],[Breakdown Time]]</f>
        <v>14140.591666666667</v>
      </c>
      <c r="AB413" s="102"/>
      <c r="AC413" s="35"/>
      <c r="AD413" s="35"/>
    </row>
    <row r="414" spans="1:30">
      <c r="A414" s="102">
        <f t="shared" si="7"/>
        <v>413</v>
      </c>
      <c r="B414" s="468">
        <f>YEAR(Table6[[#This Row],[Date]])+IF(MONTH(Table6[[#This Row],[Date]])&gt;=4,1,0)</f>
        <v>2026</v>
      </c>
      <c r="C414" s="102">
        <f>YEAR(Table6[[#This Row],[Date]])</f>
        <v>2025</v>
      </c>
      <c r="D414" s="102" t="s">
        <v>1992</v>
      </c>
      <c r="E414" s="469">
        <f>Table6[[#This Row],[Date]]-DAY(Table6[[#This Row],[Date]])+1</f>
        <v>45748</v>
      </c>
      <c r="F414" s="470">
        <v>45774</v>
      </c>
      <c r="G414" s="35" t="s">
        <v>92</v>
      </c>
      <c r="H414" s="35" t="str">
        <f>IFERROR(_xlfn.XLOOKUP(Table6[[#This Row],[Affected WTG]],'Basic Data'!$A:$A,'Basic Data'!$B:$B),"")</f>
        <v>TQGXIIPL</v>
      </c>
      <c r="I414" s="35" t="str">
        <f>IFERROR(_xlfn.XLOOKUP(Table6[[#This Row],[Affected WTG]],'Basic Data'!$A:$A,'Basic Data'!$C:$C),"")</f>
        <v>GEDA</v>
      </c>
      <c r="J414" s="471">
        <f>IFERROR(_xlfn.XLOOKUP(Table6[[#This Row],[Affected WTG]],'Basic Data'!$A:$A,'Basic Data'!$E:$E),"")</f>
        <v>3.846153846153845E-2</v>
      </c>
      <c r="K414" s="102">
        <v>55</v>
      </c>
      <c r="L414" s="35" t="str">
        <f>IFERROR(_xlfn.XLOOKUP(Table6[[#This Row],[Error Code]],'Basic Data'!$AA:$AA,'Basic Data'!$AB:$AB),"Incorrect Error Code")</f>
        <v>WTG shut down</v>
      </c>
      <c r="M414" s="35" t="s">
        <v>291</v>
      </c>
      <c r="N414" s="475"/>
      <c r="O414" s="476">
        <v>0.70972222222222225</v>
      </c>
      <c r="P414" s="476">
        <v>0.70972222222222225</v>
      </c>
      <c r="Q414" s="477">
        <v>0.7319444444444444</v>
      </c>
      <c r="R414" s="472">
        <f>IF(Table6[[#This Row],[Work Start TimeStamp]]="","",(Table6[[#This Row],[Work Start TimeStamp]]-Table6[[#This Row],[Fault Start TimeStamp]])*24)</f>
        <v>0</v>
      </c>
      <c r="S414" s="472">
        <f>(Table6[[#This Row],[Fault Clearance time]]-Table6[[#This Row],[Work Start TimeStamp]])*24</f>
        <v>0.53333333333333144</v>
      </c>
      <c r="T414" s="472">
        <f>(Table6[[#This Row],[Fault Clearance time]]-Table6[[#This Row],[Fault Start TimeStamp]])*24</f>
        <v>0.53333333333333144</v>
      </c>
      <c r="U414" s="35" t="s">
        <v>1734</v>
      </c>
      <c r="V414" s="102" t="s">
        <v>293</v>
      </c>
      <c r="W414" s="478">
        <f>IFERROR(Table6[[#This Row],[Breakdown Time]]*Table6[[#This Row],[Plant Equivalent Weightage]],"")</f>
        <v>2.0512820512820433E-2</v>
      </c>
      <c r="X414" s="473" t="s">
        <v>290</v>
      </c>
      <c r="Y414" s="474" t="s">
        <v>80</v>
      </c>
      <c r="Z414" s="102">
        <v>23298</v>
      </c>
      <c r="AA414" s="468">
        <f>(Table6[[#This Row],[Paired WTG Generation for loss calculation]]/24)*Table6[[#This Row],[Breakdown Time]]</f>
        <v>517.73333333333153</v>
      </c>
      <c r="AB414" s="102"/>
      <c r="AC414" s="35"/>
      <c r="AD414" s="35"/>
    </row>
    <row r="415" spans="1:30">
      <c r="A415" s="102">
        <f t="shared" si="7"/>
        <v>414</v>
      </c>
      <c r="B415" s="468">
        <f>YEAR(Table6[[#This Row],[Date]])+IF(MONTH(Table6[[#This Row],[Date]])&gt;=4,1,0)</f>
        <v>2026</v>
      </c>
      <c r="C415" s="102">
        <f>YEAR(Table6[[#This Row],[Date]])</f>
        <v>2025</v>
      </c>
      <c r="D415" s="102" t="s">
        <v>1992</v>
      </c>
      <c r="E415" s="469">
        <f>Table6[[#This Row],[Date]]-DAY(Table6[[#This Row],[Date]])+1</f>
        <v>45748</v>
      </c>
      <c r="F415" s="470">
        <v>45774</v>
      </c>
      <c r="G415" s="35" t="s">
        <v>96</v>
      </c>
      <c r="H415" s="35" t="str">
        <f>IFERROR(_xlfn.XLOOKUP(Table6[[#This Row],[Affected WTG]],'Basic Data'!$A:$A,'Basic Data'!$B:$B),"")</f>
        <v>TQGXIIPL</v>
      </c>
      <c r="I415" s="35" t="str">
        <f>IFERROR(_xlfn.XLOOKUP(Table6[[#This Row],[Affected WTG]],'Basic Data'!$A:$A,'Basic Data'!$C:$C),"")</f>
        <v>GEDA</v>
      </c>
      <c r="J415" s="471">
        <f>IFERROR(_xlfn.XLOOKUP(Table6[[#This Row],[Affected WTG]],'Basic Data'!$A:$A,'Basic Data'!$E:$E),"")</f>
        <v>3.846153846153845E-2</v>
      </c>
      <c r="K415" s="102">
        <v>3211</v>
      </c>
      <c r="L415" s="35" t="str">
        <f>IFERROR(_xlfn.XLOOKUP(Table6[[#This Row],[Error Code]],'Basic Data'!$AA:$AA,'Basic Data'!$AB:$AB),"Incorrect Error Code")</f>
        <v>Conv. load shedding (CAN)</v>
      </c>
      <c r="M415" s="35" t="s">
        <v>291</v>
      </c>
      <c r="N415" s="475"/>
      <c r="O415" s="476">
        <v>0.38124999999999998</v>
      </c>
      <c r="P415" s="476">
        <v>0.38124999999999998</v>
      </c>
      <c r="Q415" s="477">
        <v>0.38333333333333336</v>
      </c>
      <c r="R415" s="472">
        <f>IF(Table6[[#This Row],[Work Start TimeStamp]]="","",(Table6[[#This Row],[Work Start TimeStamp]]-Table6[[#This Row],[Fault Start TimeStamp]])*24)</f>
        <v>0</v>
      </c>
      <c r="S415" s="472">
        <f>(Table6[[#This Row],[Fault Clearance time]]-Table6[[#This Row],[Work Start TimeStamp]])*24</f>
        <v>5.0000000000001155E-2</v>
      </c>
      <c r="T415" s="472">
        <f>(Table6[[#This Row],[Fault Clearance time]]-Table6[[#This Row],[Fault Start TimeStamp]])*24</f>
        <v>5.0000000000001155E-2</v>
      </c>
      <c r="U415" s="35" t="s">
        <v>349</v>
      </c>
      <c r="V415" s="102" t="s">
        <v>293</v>
      </c>
      <c r="W415" s="478">
        <f>IFERROR(Table6[[#This Row],[Breakdown Time]]*Table6[[#This Row],[Plant Equivalent Weightage]],"")</f>
        <v>1.923076923076967E-3</v>
      </c>
      <c r="X415" s="473" t="s">
        <v>294</v>
      </c>
      <c r="Y415" s="474" t="s">
        <v>84</v>
      </c>
      <c r="Z415" s="102">
        <v>18496</v>
      </c>
      <c r="AA415" s="468">
        <f>(Table6[[#This Row],[Paired WTG Generation for loss calculation]]/24)*Table6[[#This Row],[Breakdown Time]]</f>
        <v>38.53333333333422</v>
      </c>
      <c r="AB415" s="102"/>
      <c r="AC415" s="35"/>
      <c r="AD415" s="35"/>
    </row>
    <row r="416" spans="1:30">
      <c r="A416" s="102">
        <f t="shared" si="7"/>
        <v>415</v>
      </c>
      <c r="B416" s="468">
        <f>YEAR(Table6[[#This Row],[Date]])+IF(MONTH(Table6[[#This Row],[Date]])&gt;=4,1,0)</f>
        <v>2026</v>
      </c>
      <c r="C416" s="102">
        <f>YEAR(Table6[[#This Row],[Date]])</f>
        <v>2025</v>
      </c>
      <c r="D416" s="102" t="s">
        <v>1992</v>
      </c>
      <c r="E416" s="469">
        <f>Table6[[#This Row],[Date]]-DAY(Table6[[#This Row],[Date]])+1</f>
        <v>45748</v>
      </c>
      <c r="F416" s="470">
        <v>45774</v>
      </c>
      <c r="G416" s="35" t="s">
        <v>99</v>
      </c>
      <c r="H416" s="35" t="str">
        <f>IFERROR(_xlfn.XLOOKUP(Table6[[#This Row],[Affected WTG]],'Basic Data'!$A:$A,'Basic Data'!$B:$B),"")</f>
        <v>TQGXIIPL</v>
      </c>
      <c r="I416" s="35" t="str">
        <f>IFERROR(_xlfn.XLOOKUP(Table6[[#This Row],[Affected WTG]],'Basic Data'!$A:$A,'Basic Data'!$C:$C),"")</f>
        <v>GEDA</v>
      </c>
      <c r="J416" s="471">
        <f>IFERROR(_xlfn.XLOOKUP(Table6[[#This Row],[Affected WTG]],'Basic Data'!$A:$A,'Basic Data'!$E:$E),"")</f>
        <v>3.846153846153845E-2</v>
      </c>
      <c r="K416" s="102">
        <v>3211</v>
      </c>
      <c r="L416" s="35" t="str">
        <f>IFERROR(_xlfn.XLOOKUP(Table6[[#This Row],[Error Code]],'Basic Data'!$AA:$AA,'Basic Data'!$AB:$AB),"Incorrect Error Code")</f>
        <v>Conv. load shedding (CAN)</v>
      </c>
      <c r="M416" s="35" t="s">
        <v>291</v>
      </c>
      <c r="N416" s="475"/>
      <c r="O416" s="476">
        <v>0.38124999999999998</v>
      </c>
      <c r="P416" s="476">
        <v>0.38124999999999998</v>
      </c>
      <c r="Q416" s="477">
        <v>0.38333333333333336</v>
      </c>
      <c r="R416" s="472">
        <f>IF(Table6[[#This Row],[Work Start TimeStamp]]="","",(Table6[[#This Row],[Work Start TimeStamp]]-Table6[[#This Row],[Fault Start TimeStamp]])*24)</f>
        <v>0</v>
      </c>
      <c r="S416" s="472">
        <f>(Table6[[#This Row],[Fault Clearance time]]-Table6[[#This Row],[Work Start TimeStamp]])*24</f>
        <v>5.0000000000001155E-2</v>
      </c>
      <c r="T416" s="472">
        <f>(Table6[[#This Row],[Fault Clearance time]]-Table6[[#This Row],[Fault Start TimeStamp]])*24</f>
        <v>5.0000000000001155E-2</v>
      </c>
      <c r="U416" s="35" t="s">
        <v>349</v>
      </c>
      <c r="V416" s="102" t="s">
        <v>293</v>
      </c>
      <c r="W416" s="478">
        <f>IFERROR(Table6[[#This Row],[Breakdown Time]]*Table6[[#This Row],[Plant Equivalent Weightage]],"")</f>
        <v>1.923076923076967E-3</v>
      </c>
      <c r="X416" s="473" t="s">
        <v>294</v>
      </c>
      <c r="Y416" s="474" t="s">
        <v>74</v>
      </c>
      <c r="Z416" s="102">
        <v>21657</v>
      </c>
      <c r="AA416" s="468">
        <f>(Table6[[#This Row],[Paired WTG Generation for loss calculation]]/24)*Table6[[#This Row],[Breakdown Time]]</f>
        <v>45.118750000001043</v>
      </c>
      <c r="AB416" s="102"/>
      <c r="AC416" s="35"/>
      <c r="AD416" s="35"/>
    </row>
    <row r="417" spans="1:30">
      <c r="A417" s="102">
        <f t="shared" si="7"/>
        <v>416</v>
      </c>
      <c r="B417" s="468">
        <f>YEAR(Table6[[#This Row],[Date]])+IF(MONTH(Table6[[#This Row],[Date]])&gt;=4,1,0)</f>
        <v>2026</v>
      </c>
      <c r="C417" s="102">
        <f>YEAR(Table6[[#This Row],[Date]])</f>
        <v>2025</v>
      </c>
      <c r="D417" s="102" t="s">
        <v>1992</v>
      </c>
      <c r="E417" s="469">
        <f>Table6[[#This Row],[Date]]-DAY(Table6[[#This Row],[Date]])+1</f>
        <v>45748</v>
      </c>
      <c r="F417" s="470">
        <v>45775</v>
      </c>
      <c r="G417" s="35" t="s">
        <v>75</v>
      </c>
      <c r="H417" s="35" t="str">
        <f>IFERROR(_xlfn.XLOOKUP(Table6[[#This Row],[Affected WTG]],'Basic Data'!$A:$A,'Basic Data'!$B:$B),"")</f>
        <v>TQGXIIPL</v>
      </c>
      <c r="I417" s="35" t="str">
        <f>IFERROR(_xlfn.XLOOKUP(Table6[[#This Row],[Affected WTG]],'Basic Data'!$A:$A,'Basic Data'!$C:$C),"")</f>
        <v>GEDA</v>
      </c>
      <c r="J417" s="471">
        <f>IFERROR(_xlfn.XLOOKUP(Table6[[#This Row],[Affected WTG]],'Basic Data'!$A:$A,'Basic Data'!$E:$E),"")</f>
        <v>3.846153846153845E-2</v>
      </c>
      <c r="K417" s="102">
        <v>6130</v>
      </c>
      <c r="L417" s="35" t="str">
        <f>IFERROR(_xlfn.XLOOKUP(Table6[[#This Row],[Error Code]],'Basic Data'!$AA:$AA,'Basic Data'!$AB:$AB),"Incorrect Error Code")</f>
        <v>Yaw speed high</v>
      </c>
      <c r="M417" s="35" t="s">
        <v>292</v>
      </c>
      <c r="N417" s="475"/>
      <c r="O417" s="476">
        <v>0.47361111111111109</v>
      </c>
      <c r="P417" s="476">
        <v>0.47361111111111109</v>
      </c>
      <c r="Q417" s="477">
        <v>0.4777777777777778</v>
      </c>
      <c r="R417" s="472">
        <f>IF(Table6[[#This Row],[Work Start TimeStamp]]="","",(Table6[[#This Row],[Work Start TimeStamp]]-Table6[[#This Row],[Fault Start TimeStamp]])*24)</f>
        <v>0</v>
      </c>
      <c r="S417" s="472">
        <f>(Table6[[#This Row],[Fault Clearance time]]-Table6[[#This Row],[Work Start TimeStamp]])*24</f>
        <v>0.10000000000000098</v>
      </c>
      <c r="T417" s="472">
        <f>(Table6[[#This Row],[Fault Clearance time]]-Table6[[#This Row],[Fault Start TimeStamp]])*24</f>
        <v>0.10000000000000098</v>
      </c>
      <c r="U417" s="35" t="s">
        <v>336</v>
      </c>
      <c r="V417" s="102" t="s">
        <v>293</v>
      </c>
      <c r="W417" s="478">
        <f>IFERROR(Table6[[#This Row],[Breakdown Time]]*Table6[[#This Row],[Plant Equivalent Weightage]],"")</f>
        <v>3.8461538461538824E-3</v>
      </c>
      <c r="X417" s="473" t="s">
        <v>294</v>
      </c>
      <c r="Y417" s="474" t="s">
        <v>78</v>
      </c>
      <c r="Z417" s="102">
        <v>28941</v>
      </c>
      <c r="AA417" s="468">
        <f>(Table6[[#This Row],[Paired WTG Generation for loss calculation]]/24)*Table6[[#This Row],[Breakdown Time]]</f>
        <v>120.58750000000119</v>
      </c>
      <c r="AB417" s="102"/>
      <c r="AC417" s="35"/>
      <c r="AD417" s="35"/>
    </row>
    <row r="418" spans="1:30">
      <c r="A418" s="102">
        <f t="shared" si="7"/>
        <v>417</v>
      </c>
      <c r="B418" s="468">
        <f>YEAR(Table6[[#This Row],[Date]])+IF(MONTH(Table6[[#This Row],[Date]])&gt;=4,1,0)</f>
        <v>2026</v>
      </c>
      <c r="C418" s="102">
        <f>YEAR(Table6[[#This Row],[Date]])</f>
        <v>2025</v>
      </c>
      <c r="D418" s="102" t="s">
        <v>1992</v>
      </c>
      <c r="E418" s="469">
        <f>Table6[[#This Row],[Date]]-DAY(Table6[[#This Row],[Date]])+1</f>
        <v>45748</v>
      </c>
      <c r="F418" s="470">
        <v>45775</v>
      </c>
      <c r="G418" s="35" t="s">
        <v>76</v>
      </c>
      <c r="H418" s="35" t="str">
        <f>IFERROR(_xlfn.XLOOKUP(Table6[[#This Row],[Affected WTG]],'Basic Data'!$A:$A,'Basic Data'!$B:$B),"")</f>
        <v>TQGXIIPL</v>
      </c>
      <c r="I418" s="35" t="str">
        <f>IFERROR(_xlfn.XLOOKUP(Table6[[#This Row],[Affected WTG]],'Basic Data'!$A:$A,'Basic Data'!$C:$C),"")</f>
        <v>GEDA</v>
      </c>
      <c r="J418" s="471">
        <f>IFERROR(_xlfn.XLOOKUP(Table6[[#This Row],[Affected WTG]],'Basic Data'!$A:$A,'Basic Data'!$E:$E),"")</f>
        <v>3.846153846153845E-2</v>
      </c>
      <c r="K418" s="102">
        <v>641</v>
      </c>
      <c r="L418" s="35" t="str">
        <f>IFERROR(_xlfn.XLOOKUP(Table6[[#This Row],[Error Code]],'Basic Data'!$AA:$AA,'Basic Data'!$AB:$AB),"Incorrect Error Code")</f>
        <v>Sim.angle E enc. &lt;&gt; act.angle 1</v>
      </c>
      <c r="M418" s="35" t="s">
        <v>291</v>
      </c>
      <c r="N418" s="475"/>
      <c r="O418" s="476">
        <v>0.77500000000000002</v>
      </c>
      <c r="P418" s="476">
        <v>0.77500000000000002</v>
      </c>
      <c r="Q418" s="477">
        <v>0.77986111111111112</v>
      </c>
      <c r="R418" s="472">
        <f>IF(Table6[[#This Row],[Work Start TimeStamp]]="","",(Table6[[#This Row],[Work Start TimeStamp]]-Table6[[#This Row],[Fault Start TimeStamp]])*24)</f>
        <v>0</v>
      </c>
      <c r="S418" s="472">
        <f>(Table6[[#This Row],[Fault Clearance time]]-Table6[[#This Row],[Work Start TimeStamp]])*24</f>
        <v>0.11666666666666625</v>
      </c>
      <c r="T418" s="472">
        <f>(Table6[[#This Row],[Fault Clearance time]]-Table6[[#This Row],[Fault Start TimeStamp]])*24</f>
        <v>0.11666666666666625</v>
      </c>
      <c r="U418" s="35" t="s">
        <v>1735</v>
      </c>
      <c r="V418" s="102" t="s">
        <v>293</v>
      </c>
      <c r="W418" s="478">
        <f>IFERROR(Table6[[#This Row],[Breakdown Time]]*Table6[[#This Row],[Plant Equivalent Weightage]],"")</f>
        <v>4.4871794871794695E-3</v>
      </c>
      <c r="X418" s="473" t="s">
        <v>294</v>
      </c>
      <c r="Y418" s="474" t="s">
        <v>82</v>
      </c>
      <c r="Z418" s="102">
        <v>23663</v>
      </c>
      <c r="AA418" s="468">
        <f>(Table6[[#This Row],[Paired WTG Generation for loss calculation]]/24)*Table6[[#This Row],[Breakdown Time]]</f>
        <v>115.02847222222182</v>
      </c>
      <c r="AB418" s="102"/>
      <c r="AC418" s="35"/>
      <c r="AD418" s="35"/>
    </row>
    <row r="419" spans="1:30">
      <c r="A419" s="102">
        <f t="shared" si="7"/>
        <v>418</v>
      </c>
      <c r="B419" s="468">
        <f>YEAR(Table6[[#This Row],[Date]])+IF(MONTH(Table6[[#This Row],[Date]])&gt;=4,1,0)</f>
        <v>2026</v>
      </c>
      <c r="C419" s="102">
        <f>YEAR(Table6[[#This Row],[Date]])</f>
        <v>2025</v>
      </c>
      <c r="D419" s="102" t="s">
        <v>1992</v>
      </c>
      <c r="E419" s="469">
        <f>Table6[[#This Row],[Date]]-DAY(Table6[[#This Row],[Date]])+1</f>
        <v>45748</v>
      </c>
      <c r="F419" s="470">
        <v>45775</v>
      </c>
      <c r="G419" s="35" t="s">
        <v>78</v>
      </c>
      <c r="H419" s="35" t="str">
        <f>IFERROR(_xlfn.XLOOKUP(Table6[[#This Row],[Affected WTG]],'Basic Data'!$A:$A,'Basic Data'!$B:$B),"")</f>
        <v>TQGXIIPL</v>
      </c>
      <c r="I419" s="35" t="str">
        <f>IFERROR(_xlfn.XLOOKUP(Table6[[#This Row],[Affected WTG]],'Basic Data'!$A:$A,'Basic Data'!$C:$C),"")</f>
        <v>GEDA</v>
      </c>
      <c r="J419" s="471">
        <f>IFERROR(_xlfn.XLOOKUP(Table6[[#This Row],[Affected WTG]],'Basic Data'!$A:$A,'Basic Data'!$E:$E),"")</f>
        <v>3.846153846153845E-2</v>
      </c>
      <c r="K419" s="102">
        <v>3000</v>
      </c>
      <c r="L419" s="35" t="str">
        <f>IFERROR(_xlfn.XLOOKUP(Table6[[#This Row],[Error Code]],'Basic Data'!$AA:$AA,'Basic Data'!$AB:$AB),"Incorrect Error Code")</f>
        <v>Frequency converter not ready</v>
      </c>
      <c r="M419" s="35" t="s">
        <v>291</v>
      </c>
      <c r="N419" s="475"/>
      <c r="O419" s="476">
        <v>0.47430555555555554</v>
      </c>
      <c r="P419" s="476">
        <v>0.47430555555555554</v>
      </c>
      <c r="Q419" s="477">
        <v>0.47638888888888886</v>
      </c>
      <c r="R419" s="472">
        <f>IF(Table6[[#This Row],[Work Start TimeStamp]]="","",(Table6[[#This Row],[Work Start TimeStamp]]-Table6[[#This Row],[Fault Start TimeStamp]])*24)</f>
        <v>0</v>
      </c>
      <c r="S419" s="472">
        <f>(Table6[[#This Row],[Fault Clearance time]]-Table6[[#This Row],[Work Start TimeStamp]])*24</f>
        <v>4.9999999999999822E-2</v>
      </c>
      <c r="T419" s="472">
        <f>(Table6[[#This Row],[Fault Clearance time]]-Table6[[#This Row],[Fault Start TimeStamp]])*24</f>
        <v>4.9999999999999822E-2</v>
      </c>
      <c r="U419" s="35" t="s">
        <v>349</v>
      </c>
      <c r="V419" s="102" t="s">
        <v>293</v>
      </c>
      <c r="W419" s="478">
        <f>IFERROR(Table6[[#This Row],[Breakdown Time]]*Table6[[#This Row],[Plant Equivalent Weightage]],"")</f>
        <v>1.9230769230769156E-3</v>
      </c>
      <c r="X419" s="473" t="s">
        <v>294</v>
      </c>
      <c r="Y419" s="474" t="s">
        <v>75</v>
      </c>
      <c r="Z419" s="102">
        <v>33725</v>
      </c>
      <c r="AA419" s="468">
        <f>(Table6[[#This Row],[Paired WTG Generation for loss calculation]]/24)*Table6[[#This Row],[Breakdown Time]]</f>
        <v>70.260416666666416</v>
      </c>
      <c r="AB419" s="102"/>
      <c r="AC419" s="35"/>
      <c r="AD419" s="35"/>
    </row>
    <row r="420" spans="1:30">
      <c r="A420" s="102">
        <f t="shared" si="7"/>
        <v>419</v>
      </c>
      <c r="B420" s="468">
        <f>YEAR(Table6[[#This Row],[Date]])+IF(MONTH(Table6[[#This Row],[Date]])&gt;=4,1,0)</f>
        <v>2026</v>
      </c>
      <c r="C420" s="102">
        <f>YEAR(Table6[[#This Row],[Date]])</f>
        <v>2025</v>
      </c>
      <c r="D420" s="102" t="s">
        <v>1992</v>
      </c>
      <c r="E420" s="469">
        <f>Table6[[#This Row],[Date]]-DAY(Table6[[#This Row],[Date]])+1</f>
        <v>45748</v>
      </c>
      <c r="F420" s="470">
        <v>45775</v>
      </c>
      <c r="G420" s="35" t="s">
        <v>78</v>
      </c>
      <c r="H420" s="35" t="str">
        <f>IFERROR(_xlfn.XLOOKUP(Table6[[#This Row],[Affected WTG]],'Basic Data'!$A:$A,'Basic Data'!$B:$B),"")</f>
        <v>TQGXIIPL</v>
      </c>
      <c r="I420" s="35" t="str">
        <f>IFERROR(_xlfn.XLOOKUP(Table6[[#This Row],[Affected WTG]],'Basic Data'!$A:$A,'Basic Data'!$C:$C),"")</f>
        <v>GEDA</v>
      </c>
      <c r="J420" s="471">
        <f>IFERROR(_xlfn.XLOOKUP(Table6[[#This Row],[Affected WTG]],'Basic Data'!$A:$A,'Basic Data'!$E:$E),"")</f>
        <v>3.846153846153845E-2</v>
      </c>
      <c r="K420" s="102">
        <v>6130</v>
      </c>
      <c r="L420" s="35" t="str">
        <f>IFERROR(_xlfn.XLOOKUP(Table6[[#This Row],[Error Code]],'Basic Data'!$AA:$AA,'Basic Data'!$AB:$AB),"Incorrect Error Code")</f>
        <v>Yaw speed high</v>
      </c>
      <c r="M420" s="35" t="s">
        <v>292</v>
      </c>
      <c r="N420" s="475"/>
      <c r="O420" s="476">
        <v>0.74861111111111112</v>
      </c>
      <c r="P420" s="476">
        <v>0.74861111111111112</v>
      </c>
      <c r="Q420" s="477">
        <v>0.75277777777777777</v>
      </c>
      <c r="R420" s="472">
        <f>IF(Table6[[#This Row],[Work Start TimeStamp]]="","",(Table6[[#This Row],[Work Start TimeStamp]]-Table6[[#This Row],[Fault Start TimeStamp]])*24)</f>
        <v>0</v>
      </c>
      <c r="S420" s="472">
        <f>(Table6[[#This Row],[Fault Clearance time]]-Table6[[#This Row],[Work Start TimeStamp]])*24</f>
        <v>9.9999999999999645E-2</v>
      </c>
      <c r="T420" s="472">
        <f>(Table6[[#This Row],[Fault Clearance time]]-Table6[[#This Row],[Fault Start TimeStamp]])*24</f>
        <v>9.9999999999999645E-2</v>
      </c>
      <c r="U420" s="35" t="s">
        <v>336</v>
      </c>
      <c r="V420" s="102" t="s">
        <v>293</v>
      </c>
      <c r="W420" s="478">
        <f>IFERROR(Table6[[#This Row],[Breakdown Time]]*Table6[[#This Row],[Plant Equivalent Weightage]],"")</f>
        <v>3.8461538461538312E-3</v>
      </c>
      <c r="X420" s="473" t="s">
        <v>294</v>
      </c>
      <c r="Y420" s="474" t="s">
        <v>75</v>
      </c>
      <c r="Z420" s="102">
        <v>33725</v>
      </c>
      <c r="AA420" s="468">
        <f>(Table6[[#This Row],[Paired WTG Generation for loss calculation]]/24)*Table6[[#This Row],[Breakdown Time]]</f>
        <v>140.52083333333283</v>
      </c>
      <c r="AB420" s="102"/>
      <c r="AC420" s="35"/>
      <c r="AD420" s="35"/>
    </row>
    <row r="421" spans="1:30">
      <c r="A421" s="102">
        <f t="shared" si="7"/>
        <v>420</v>
      </c>
      <c r="B421" s="468">
        <f>YEAR(Table6[[#This Row],[Date]])+IF(MONTH(Table6[[#This Row],[Date]])&gt;=4,1,0)</f>
        <v>2026</v>
      </c>
      <c r="C421" s="102">
        <f>YEAR(Table6[[#This Row],[Date]])</f>
        <v>2025</v>
      </c>
      <c r="D421" s="102" t="s">
        <v>1992</v>
      </c>
      <c r="E421" s="469">
        <f>Table6[[#This Row],[Date]]-DAY(Table6[[#This Row],[Date]])+1</f>
        <v>45748</v>
      </c>
      <c r="F421" s="470">
        <v>45775</v>
      </c>
      <c r="G421" s="35" t="s">
        <v>78</v>
      </c>
      <c r="H421" s="35" t="str">
        <f>IFERROR(_xlfn.XLOOKUP(Table6[[#This Row],[Affected WTG]],'Basic Data'!$A:$A,'Basic Data'!$B:$B),"")</f>
        <v>TQGXIIPL</v>
      </c>
      <c r="I421" s="35" t="str">
        <f>IFERROR(_xlfn.XLOOKUP(Table6[[#This Row],[Affected WTG]],'Basic Data'!$A:$A,'Basic Data'!$C:$C),"")</f>
        <v>GEDA</v>
      </c>
      <c r="J421" s="471">
        <f>IFERROR(_xlfn.XLOOKUP(Table6[[#This Row],[Affected WTG]],'Basic Data'!$A:$A,'Basic Data'!$E:$E),"")</f>
        <v>3.846153846153845E-2</v>
      </c>
      <c r="K421" s="102">
        <v>55</v>
      </c>
      <c r="L421" s="35" t="str">
        <f>IFERROR(_xlfn.XLOOKUP(Table6[[#This Row],[Error Code]],'Basic Data'!$AA:$AA,'Basic Data'!$AB:$AB),"Incorrect Error Code")</f>
        <v>WTG shut down</v>
      </c>
      <c r="M421" s="35" t="s">
        <v>330</v>
      </c>
      <c r="N421" s="475"/>
      <c r="O421" s="476">
        <v>0.85763888888888884</v>
      </c>
      <c r="P421" s="476">
        <v>0.85763888888888884</v>
      </c>
      <c r="Q421" s="477">
        <v>0.92638888888888893</v>
      </c>
      <c r="R421" s="472">
        <f>IF(Table6[[#This Row],[Work Start TimeStamp]]="","",(Table6[[#This Row],[Work Start TimeStamp]]-Table6[[#This Row],[Fault Start TimeStamp]])*24)</f>
        <v>0</v>
      </c>
      <c r="S421" s="472">
        <f>(Table6[[#This Row],[Fault Clearance time]]-Table6[[#This Row],[Work Start TimeStamp]])*24</f>
        <v>1.6500000000000021</v>
      </c>
      <c r="T421" s="472">
        <f>(Table6[[#This Row],[Fault Clearance time]]-Table6[[#This Row],[Fault Start TimeStamp]])*24</f>
        <v>1.6500000000000021</v>
      </c>
      <c r="U421" s="35" t="s">
        <v>337</v>
      </c>
      <c r="V421" s="102" t="s">
        <v>293</v>
      </c>
      <c r="W421" s="478">
        <f>IFERROR(Table6[[#This Row],[Breakdown Time]]*Table6[[#This Row],[Plant Equivalent Weightage]],"")</f>
        <v>6.3461538461538528E-2</v>
      </c>
      <c r="X421" s="473" t="s">
        <v>290</v>
      </c>
      <c r="Y421" s="474" t="s">
        <v>75</v>
      </c>
      <c r="Z421" s="102">
        <v>33725</v>
      </c>
      <c r="AA421" s="468">
        <f>(Table6[[#This Row],[Paired WTG Generation for loss calculation]]/24)*Table6[[#This Row],[Breakdown Time]]</f>
        <v>2318.5937500000027</v>
      </c>
      <c r="AB421" s="102"/>
      <c r="AC421" s="35"/>
      <c r="AD421" s="35"/>
    </row>
    <row r="422" spans="1:30">
      <c r="A422" s="102">
        <f t="shared" si="7"/>
        <v>421</v>
      </c>
      <c r="B422" s="468">
        <f>YEAR(Table6[[#This Row],[Date]])+IF(MONTH(Table6[[#This Row],[Date]])&gt;=4,1,0)</f>
        <v>2026</v>
      </c>
      <c r="C422" s="102">
        <f>YEAR(Table6[[#This Row],[Date]])</f>
        <v>2025</v>
      </c>
      <c r="D422" s="102" t="s">
        <v>1992</v>
      </c>
      <c r="E422" s="469">
        <f>Table6[[#This Row],[Date]]-DAY(Table6[[#This Row],[Date]])+1</f>
        <v>45748</v>
      </c>
      <c r="F422" s="470">
        <v>45775</v>
      </c>
      <c r="G422" s="35" t="s">
        <v>79</v>
      </c>
      <c r="H422" s="35" t="str">
        <f>IFERROR(_xlfn.XLOOKUP(Table6[[#This Row],[Affected WTG]],'Basic Data'!$A:$A,'Basic Data'!$B:$B),"")</f>
        <v>TQGXIIPL</v>
      </c>
      <c r="I422" s="35" t="str">
        <f>IFERROR(_xlfn.XLOOKUP(Table6[[#This Row],[Affected WTG]],'Basic Data'!$A:$A,'Basic Data'!$C:$C),"")</f>
        <v>GEDA</v>
      </c>
      <c r="J422" s="471">
        <f>IFERROR(_xlfn.XLOOKUP(Table6[[#This Row],[Affected WTG]],'Basic Data'!$A:$A,'Basic Data'!$E:$E),"")</f>
        <v>3.846153846153845E-2</v>
      </c>
      <c r="K422" s="102">
        <v>55</v>
      </c>
      <c r="L422" s="35" t="str">
        <f>IFERROR(_xlfn.XLOOKUP(Table6[[#This Row],[Error Code]],'Basic Data'!$AA:$AA,'Basic Data'!$AB:$AB),"Incorrect Error Code")</f>
        <v>WTG shut down</v>
      </c>
      <c r="M422" s="35" t="s">
        <v>304</v>
      </c>
      <c r="N422" s="475"/>
      <c r="O422" s="476">
        <v>0.28472222222222221</v>
      </c>
      <c r="P422" s="476">
        <v>0.28472222222222221</v>
      </c>
      <c r="Q422" s="477">
        <v>0.60833333333333328</v>
      </c>
      <c r="R422" s="472">
        <f>IF(Table6[[#This Row],[Work Start TimeStamp]]="","",(Table6[[#This Row],[Work Start TimeStamp]]-Table6[[#This Row],[Fault Start TimeStamp]])*24)</f>
        <v>0</v>
      </c>
      <c r="S422" s="472">
        <f>(Table6[[#This Row],[Fault Clearance time]]-Table6[[#This Row],[Work Start TimeStamp]])*24</f>
        <v>7.7666666666666657</v>
      </c>
      <c r="T422" s="472">
        <f>(Table6[[#This Row],[Fault Clearance time]]-Table6[[#This Row],[Fault Start TimeStamp]])*24</f>
        <v>7.7666666666666657</v>
      </c>
      <c r="U422" s="35" t="s">
        <v>1736</v>
      </c>
      <c r="V422" s="102" t="s">
        <v>293</v>
      </c>
      <c r="W422" s="478">
        <f>IFERROR(Table6[[#This Row],[Breakdown Time]]*Table6[[#This Row],[Plant Equivalent Weightage]],"")</f>
        <v>0.2987179487179486</v>
      </c>
      <c r="X422" s="473" t="s">
        <v>305</v>
      </c>
      <c r="Y422" s="474" t="s">
        <v>94</v>
      </c>
      <c r="Z422" s="102">
        <v>21721</v>
      </c>
      <c r="AA422" s="468">
        <f>(Table6[[#This Row],[Paired WTG Generation for loss calculation]]/24)*Table6[[#This Row],[Breakdown Time]]</f>
        <v>7029.1569444444431</v>
      </c>
      <c r="AB422" s="102"/>
      <c r="AC422" s="35"/>
      <c r="AD422" s="35"/>
    </row>
    <row r="423" spans="1:30">
      <c r="A423" s="102">
        <f t="shared" si="7"/>
        <v>422</v>
      </c>
      <c r="B423" s="468">
        <f>YEAR(Table6[[#This Row],[Date]])+IF(MONTH(Table6[[#This Row],[Date]])&gt;=4,1,0)</f>
        <v>2026</v>
      </c>
      <c r="C423" s="102">
        <f>YEAR(Table6[[#This Row],[Date]])</f>
        <v>2025</v>
      </c>
      <c r="D423" s="102" t="s">
        <v>1992</v>
      </c>
      <c r="E423" s="469">
        <f>Table6[[#This Row],[Date]]-DAY(Table6[[#This Row],[Date]])+1</f>
        <v>45748</v>
      </c>
      <c r="F423" s="470">
        <v>45775</v>
      </c>
      <c r="G423" s="35" t="s">
        <v>79</v>
      </c>
      <c r="H423" s="35" t="str">
        <f>IFERROR(_xlfn.XLOOKUP(Table6[[#This Row],[Affected WTG]],'Basic Data'!$A:$A,'Basic Data'!$B:$B),"")</f>
        <v>TQGXIIPL</v>
      </c>
      <c r="I423" s="35" t="str">
        <f>IFERROR(_xlfn.XLOOKUP(Table6[[#This Row],[Affected WTG]],'Basic Data'!$A:$A,'Basic Data'!$C:$C),"")</f>
        <v>GEDA</v>
      </c>
      <c r="J423" s="471">
        <f>IFERROR(_xlfn.XLOOKUP(Table6[[#This Row],[Affected WTG]],'Basic Data'!$A:$A,'Basic Data'!$E:$E),"")</f>
        <v>3.846153846153845E-2</v>
      </c>
      <c r="K423" s="102">
        <v>6056</v>
      </c>
      <c r="L423" s="35" t="str">
        <f>IFERROR(_xlfn.XLOOKUP(Table6[[#This Row],[Error Code]],'Basic Data'!$AA:$AA,'Basic Data'!$AB:$AB),"Incorrect Error Code")</f>
        <v>High yaw load</v>
      </c>
      <c r="M423" s="35" t="s">
        <v>291</v>
      </c>
      <c r="N423" s="475"/>
      <c r="O423" s="476">
        <v>0.66180555555555554</v>
      </c>
      <c r="P423" s="476">
        <v>0.66180555555555554</v>
      </c>
      <c r="Q423" s="477">
        <v>0.66319444444444442</v>
      </c>
      <c r="R423" s="472">
        <f>IF(Table6[[#This Row],[Work Start TimeStamp]]="","",(Table6[[#This Row],[Work Start TimeStamp]]-Table6[[#This Row],[Fault Start TimeStamp]])*24)</f>
        <v>0</v>
      </c>
      <c r="S423" s="472">
        <f>(Table6[[#This Row],[Fault Clearance time]]-Table6[[#This Row],[Work Start TimeStamp]])*24</f>
        <v>3.3333333333333215E-2</v>
      </c>
      <c r="T423" s="472">
        <f>(Table6[[#This Row],[Fault Clearance time]]-Table6[[#This Row],[Fault Start TimeStamp]])*24</f>
        <v>3.3333333333333215E-2</v>
      </c>
      <c r="U423" s="35" t="s">
        <v>349</v>
      </c>
      <c r="V423" s="102" t="s">
        <v>293</v>
      </c>
      <c r="W423" s="478">
        <f>IFERROR(Table6[[#This Row],[Breakdown Time]]*Table6[[#This Row],[Plant Equivalent Weightage]],"")</f>
        <v>1.2820512820512771E-3</v>
      </c>
      <c r="X423" s="473" t="s">
        <v>294</v>
      </c>
      <c r="Y423" s="474" t="s">
        <v>94</v>
      </c>
      <c r="Z423" s="102">
        <v>21721</v>
      </c>
      <c r="AA423" s="468">
        <f>(Table6[[#This Row],[Paired WTG Generation for loss calculation]]/24)*Table6[[#This Row],[Breakdown Time]]</f>
        <v>30.168055555555448</v>
      </c>
      <c r="AB423" s="102"/>
      <c r="AC423" s="35"/>
      <c r="AD423" s="35"/>
    </row>
    <row r="424" spans="1:30">
      <c r="A424" s="102">
        <f t="shared" si="7"/>
        <v>423</v>
      </c>
      <c r="B424" s="468">
        <f>YEAR(Table6[[#This Row],[Date]])+IF(MONTH(Table6[[#This Row],[Date]])&gt;=4,1,0)</f>
        <v>2026</v>
      </c>
      <c r="C424" s="102">
        <f>YEAR(Table6[[#This Row],[Date]])</f>
        <v>2025</v>
      </c>
      <c r="D424" s="102" t="s">
        <v>1992</v>
      </c>
      <c r="E424" s="469">
        <f>Table6[[#This Row],[Date]]-DAY(Table6[[#This Row],[Date]])+1</f>
        <v>45748</v>
      </c>
      <c r="F424" s="470">
        <v>45775</v>
      </c>
      <c r="G424" s="35" t="s">
        <v>85</v>
      </c>
      <c r="H424" s="35" t="str">
        <f>IFERROR(_xlfn.XLOOKUP(Table6[[#This Row],[Affected WTG]],'Basic Data'!$A:$A,'Basic Data'!$B:$B),"")</f>
        <v>TQGXIIPL</v>
      </c>
      <c r="I424" s="35" t="str">
        <f>IFERROR(_xlfn.XLOOKUP(Table6[[#This Row],[Affected WTG]],'Basic Data'!$A:$A,'Basic Data'!$C:$C),"")</f>
        <v>GEDA</v>
      </c>
      <c r="J424" s="471">
        <f>IFERROR(_xlfn.XLOOKUP(Table6[[#This Row],[Affected WTG]],'Basic Data'!$A:$A,'Basic Data'!$E:$E),"")</f>
        <v>3.846153846153845E-2</v>
      </c>
      <c r="K424" s="102">
        <v>55</v>
      </c>
      <c r="L424" s="35" t="str">
        <f>IFERROR(_xlfn.XLOOKUP(Table6[[#This Row],[Error Code]],'Basic Data'!$AA:$AA,'Basic Data'!$AB:$AB),"Incorrect Error Code")</f>
        <v>WTG shut down</v>
      </c>
      <c r="M424" s="35" t="s">
        <v>330</v>
      </c>
      <c r="N424" s="475"/>
      <c r="O424" s="476">
        <v>0.78680555555555554</v>
      </c>
      <c r="P424" s="476">
        <v>0.78680555555555554</v>
      </c>
      <c r="Q424" s="477">
        <v>0.84027777777777779</v>
      </c>
      <c r="R424" s="472">
        <f>IF(Table6[[#This Row],[Work Start TimeStamp]]="","",(Table6[[#This Row],[Work Start TimeStamp]]-Table6[[#This Row],[Fault Start TimeStamp]])*24)</f>
        <v>0</v>
      </c>
      <c r="S424" s="472">
        <f>(Table6[[#This Row],[Fault Clearance time]]-Table6[[#This Row],[Work Start TimeStamp]])*24</f>
        <v>1.2833333333333341</v>
      </c>
      <c r="T424" s="472">
        <f>(Table6[[#This Row],[Fault Clearance time]]-Table6[[#This Row],[Fault Start TimeStamp]])*24</f>
        <v>1.2833333333333341</v>
      </c>
      <c r="U424" s="35" t="s">
        <v>1737</v>
      </c>
      <c r="V424" s="102" t="s">
        <v>293</v>
      </c>
      <c r="W424" s="478">
        <f>IFERROR(Table6[[#This Row],[Breakdown Time]]*Table6[[#This Row],[Plant Equivalent Weightage]],"")</f>
        <v>4.9358974358974371E-2</v>
      </c>
      <c r="X424" s="473" t="s">
        <v>290</v>
      </c>
      <c r="Y424" s="474" t="s">
        <v>87</v>
      </c>
      <c r="Z424" s="102">
        <v>20172</v>
      </c>
      <c r="AA424" s="468">
        <f>(Table6[[#This Row],[Paired WTG Generation for loss calculation]]/24)*Table6[[#This Row],[Breakdown Time]]</f>
        <v>1078.6416666666673</v>
      </c>
      <c r="AB424" s="102"/>
      <c r="AC424" s="35"/>
      <c r="AD424" s="35"/>
    </row>
    <row r="425" spans="1:30">
      <c r="A425" s="102">
        <f t="shared" si="7"/>
        <v>424</v>
      </c>
      <c r="B425" s="468">
        <f>YEAR(Table6[[#This Row],[Date]])+IF(MONTH(Table6[[#This Row],[Date]])&gt;=4,1,0)</f>
        <v>2026</v>
      </c>
      <c r="C425" s="102">
        <f>YEAR(Table6[[#This Row],[Date]])</f>
        <v>2025</v>
      </c>
      <c r="D425" s="102" t="s">
        <v>1992</v>
      </c>
      <c r="E425" s="469">
        <f>Table6[[#This Row],[Date]]-DAY(Table6[[#This Row],[Date]])+1</f>
        <v>45748</v>
      </c>
      <c r="F425" s="470">
        <v>45775</v>
      </c>
      <c r="G425" s="35" t="s">
        <v>89</v>
      </c>
      <c r="H425" s="35" t="str">
        <f>IFERROR(_xlfn.XLOOKUP(Table6[[#This Row],[Affected WTG]],'Basic Data'!$A:$A,'Basic Data'!$B:$B),"")</f>
        <v>TQGXIIPL</v>
      </c>
      <c r="I425" s="35" t="str">
        <f>IFERROR(_xlfn.XLOOKUP(Table6[[#This Row],[Affected WTG]],'Basic Data'!$A:$A,'Basic Data'!$C:$C),"")</f>
        <v>GEDA</v>
      </c>
      <c r="J425" s="471">
        <f>IFERROR(_xlfn.XLOOKUP(Table6[[#This Row],[Affected WTG]],'Basic Data'!$A:$A,'Basic Data'!$E:$E),"")</f>
        <v>3.846153846153845E-2</v>
      </c>
      <c r="K425" s="102">
        <v>55</v>
      </c>
      <c r="L425" s="35" t="str">
        <f>IFERROR(_xlfn.XLOOKUP(Table6[[#This Row],[Error Code]],'Basic Data'!$AA:$AA,'Basic Data'!$AB:$AB),"Incorrect Error Code")</f>
        <v>WTG shut down</v>
      </c>
      <c r="M425" s="35" t="s">
        <v>291</v>
      </c>
      <c r="N425" s="475"/>
      <c r="O425" s="476">
        <v>0.69791666666666663</v>
      </c>
      <c r="P425" s="476">
        <v>0.69791666666666663</v>
      </c>
      <c r="Q425" s="477">
        <v>0.7270833333333333</v>
      </c>
      <c r="R425" s="472">
        <f>IF(Table6[[#This Row],[Work Start TimeStamp]]="","",(Table6[[#This Row],[Work Start TimeStamp]]-Table6[[#This Row],[Fault Start TimeStamp]])*24)</f>
        <v>0</v>
      </c>
      <c r="S425" s="472">
        <f>(Table6[[#This Row],[Fault Clearance time]]-Table6[[#This Row],[Work Start TimeStamp]])*24</f>
        <v>0.70000000000000018</v>
      </c>
      <c r="T425" s="472">
        <f>(Table6[[#This Row],[Fault Clearance time]]-Table6[[#This Row],[Fault Start TimeStamp]])*24</f>
        <v>0.70000000000000018</v>
      </c>
      <c r="U425" s="35" t="s">
        <v>1719</v>
      </c>
      <c r="V425" s="102" t="s">
        <v>293</v>
      </c>
      <c r="W425" s="478">
        <f>IFERROR(Table6[[#This Row],[Breakdown Time]]*Table6[[#This Row],[Plant Equivalent Weightage]],"")</f>
        <v>2.6923076923076921E-2</v>
      </c>
      <c r="X425" s="473" t="s">
        <v>290</v>
      </c>
      <c r="Y425" s="474" t="s">
        <v>94</v>
      </c>
      <c r="Z425" s="102">
        <v>21721</v>
      </c>
      <c r="AA425" s="468">
        <f>(Table6[[#This Row],[Paired WTG Generation for loss calculation]]/24)*Table6[[#This Row],[Breakdown Time]]</f>
        <v>633.52916666666681</v>
      </c>
      <c r="AB425" s="102"/>
      <c r="AC425" s="35"/>
      <c r="AD425" s="35"/>
    </row>
    <row r="426" spans="1:30">
      <c r="A426" s="102">
        <f t="shared" si="7"/>
        <v>425</v>
      </c>
      <c r="B426" s="468">
        <f>YEAR(Table6[[#This Row],[Date]])+IF(MONTH(Table6[[#This Row],[Date]])&gt;=4,1,0)</f>
        <v>2026</v>
      </c>
      <c r="C426" s="102">
        <f>YEAR(Table6[[#This Row],[Date]])</f>
        <v>2025</v>
      </c>
      <c r="D426" s="102" t="s">
        <v>1992</v>
      </c>
      <c r="E426" s="469">
        <f>Table6[[#This Row],[Date]]-DAY(Table6[[#This Row],[Date]])+1</f>
        <v>45748</v>
      </c>
      <c r="F426" s="470">
        <v>45775</v>
      </c>
      <c r="G426" s="35" t="s">
        <v>90</v>
      </c>
      <c r="H426" s="35" t="str">
        <f>IFERROR(_xlfn.XLOOKUP(Table6[[#This Row],[Affected WTG]],'Basic Data'!$A:$A,'Basic Data'!$B:$B),"")</f>
        <v>TQGXIIPL</v>
      </c>
      <c r="I426" s="35" t="str">
        <f>IFERROR(_xlfn.XLOOKUP(Table6[[#This Row],[Affected WTG]],'Basic Data'!$A:$A,'Basic Data'!$C:$C),"")</f>
        <v>GEDA</v>
      </c>
      <c r="J426" s="471">
        <f>IFERROR(_xlfn.XLOOKUP(Table6[[#This Row],[Affected WTG]],'Basic Data'!$A:$A,'Basic Data'!$E:$E),"")</f>
        <v>3.846153846153845E-2</v>
      </c>
      <c r="K426" s="102">
        <v>551</v>
      </c>
      <c r="L426" s="35" t="str">
        <f>IFERROR(_xlfn.XLOOKUP(Table6[[#This Row],[Error Code]],'Basic Data'!$AA:$AA,'Basic Data'!$AB:$AB),"Incorrect Error Code")</f>
        <v>Pitch motor current too high</v>
      </c>
      <c r="M426" s="35" t="s">
        <v>291</v>
      </c>
      <c r="N426" s="475"/>
      <c r="O426" s="476">
        <v>0.25208333333333333</v>
      </c>
      <c r="P426" s="476">
        <v>0.25208333333333333</v>
      </c>
      <c r="Q426" s="477">
        <v>0.25555555555555554</v>
      </c>
      <c r="R426" s="472">
        <f>IF(Table6[[#This Row],[Work Start TimeStamp]]="","",(Table6[[#This Row],[Work Start TimeStamp]]-Table6[[#This Row],[Fault Start TimeStamp]])*24)</f>
        <v>0</v>
      </c>
      <c r="S426" s="472">
        <f>(Table6[[#This Row],[Fault Clearance time]]-Table6[[#This Row],[Work Start TimeStamp]])*24</f>
        <v>8.3333333333333037E-2</v>
      </c>
      <c r="T426" s="472">
        <f>(Table6[[#This Row],[Fault Clearance time]]-Table6[[#This Row],[Fault Start TimeStamp]])*24</f>
        <v>8.3333333333333037E-2</v>
      </c>
      <c r="U426" s="35" t="s">
        <v>349</v>
      </c>
      <c r="V426" s="102" t="s">
        <v>293</v>
      </c>
      <c r="W426" s="478">
        <f>IFERROR(Table6[[#This Row],[Breakdown Time]]*Table6[[#This Row],[Plant Equivalent Weightage]],"")</f>
        <v>3.2051282051281929E-3</v>
      </c>
      <c r="X426" s="473" t="s">
        <v>294</v>
      </c>
      <c r="Y426" s="474" t="s">
        <v>95</v>
      </c>
      <c r="Z426" s="102">
        <v>28665</v>
      </c>
      <c r="AA426" s="468">
        <f>(Table6[[#This Row],[Paired WTG Generation for loss calculation]]/24)*Table6[[#This Row],[Breakdown Time]]</f>
        <v>99.531249999999645</v>
      </c>
      <c r="AB426" s="102"/>
      <c r="AC426" s="35"/>
      <c r="AD426" s="35"/>
    </row>
    <row r="427" spans="1:30">
      <c r="A427" s="102">
        <f t="shared" si="7"/>
        <v>426</v>
      </c>
      <c r="B427" s="468">
        <f>YEAR(Table6[[#This Row],[Date]])+IF(MONTH(Table6[[#This Row],[Date]])&gt;=4,1,0)</f>
        <v>2026</v>
      </c>
      <c r="C427" s="102">
        <f>YEAR(Table6[[#This Row],[Date]])</f>
        <v>2025</v>
      </c>
      <c r="D427" s="102" t="s">
        <v>1992</v>
      </c>
      <c r="E427" s="469">
        <f>Table6[[#This Row],[Date]]-DAY(Table6[[#This Row],[Date]])+1</f>
        <v>45748</v>
      </c>
      <c r="F427" s="470">
        <v>45775</v>
      </c>
      <c r="G427" s="35" t="s">
        <v>90</v>
      </c>
      <c r="H427" s="35" t="str">
        <f>IFERROR(_xlfn.XLOOKUP(Table6[[#This Row],[Affected WTG]],'Basic Data'!$A:$A,'Basic Data'!$B:$B),"")</f>
        <v>TQGXIIPL</v>
      </c>
      <c r="I427" s="35" t="str">
        <f>IFERROR(_xlfn.XLOOKUP(Table6[[#This Row],[Affected WTG]],'Basic Data'!$A:$A,'Basic Data'!$C:$C),"")</f>
        <v>GEDA</v>
      </c>
      <c r="J427" s="471">
        <f>IFERROR(_xlfn.XLOOKUP(Table6[[#This Row],[Affected WTG]],'Basic Data'!$A:$A,'Basic Data'!$E:$E),"")</f>
        <v>3.846153846153845E-2</v>
      </c>
      <c r="K427" s="102">
        <v>55</v>
      </c>
      <c r="L427" s="35" t="str">
        <f>IFERROR(_xlfn.XLOOKUP(Table6[[#This Row],[Error Code]],'Basic Data'!$AA:$AA,'Basic Data'!$AB:$AB),"Incorrect Error Code")</f>
        <v>WTG shut down</v>
      </c>
      <c r="M427" s="35" t="s">
        <v>295</v>
      </c>
      <c r="N427" s="475"/>
      <c r="O427" s="476">
        <v>0.3527777777777778</v>
      </c>
      <c r="P427" s="476">
        <v>0.3527777777777778</v>
      </c>
      <c r="Q427" s="477">
        <v>0.69097222222222221</v>
      </c>
      <c r="R427" s="472">
        <f>IF(Table6[[#This Row],[Work Start TimeStamp]]="","",(Table6[[#This Row],[Work Start TimeStamp]]-Table6[[#This Row],[Fault Start TimeStamp]])*24)</f>
        <v>0</v>
      </c>
      <c r="S427" s="472">
        <f>(Table6[[#This Row],[Fault Clearance time]]-Table6[[#This Row],[Work Start TimeStamp]])*24</f>
        <v>8.1166666666666654</v>
      </c>
      <c r="T427" s="472">
        <f>(Table6[[#This Row],[Fault Clearance time]]-Table6[[#This Row],[Fault Start TimeStamp]])*24</f>
        <v>8.1166666666666654</v>
      </c>
      <c r="U427" s="35" t="s">
        <v>1720</v>
      </c>
      <c r="V427" s="102" t="s">
        <v>293</v>
      </c>
      <c r="W427" s="478">
        <f>IFERROR(Table6[[#This Row],[Breakdown Time]]*Table6[[#This Row],[Plant Equivalent Weightage]],"")</f>
        <v>0.31217948717948701</v>
      </c>
      <c r="X427" s="473" t="s">
        <v>290</v>
      </c>
      <c r="Y427" s="474" t="s">
        <v>95</v>
      </c>
      <c r="Z427" s="102">
        <v>28665</v>
      </c>
      <c r="AA427" s="468">
        <f>(Table6[[#This Row],[Paired WTG Generation for loss calculation]]/24)*Table6[[#This Row],[Breakdown Time]]</f>
        <v>9694.3437499999982</v>
      </c>
      <c r="AB427" s="102"/>
      <c r="AC427" s="35"/>
      <c r="AD427" s="35"/>
    </row>
    <row r="428" spans="1:30">
      <c r="A428" s="102">
        <f t="shared" si="7"/>
        <v>427</v>
      </c>
      <c r="B428" s="468">
        <f>YEAR(Table6[[#This Row],[Date]])+IF(MONTH(Table6[[#This Row],[Date]])&gt;=4,1,0)</f>
        <v>2026</v>
      </c>
      <c r="C428" s="102">
        <f>YEAR(Table6[[#This Row],[Date]])</f>
        <v>2025</v>
      </c>
      <c r="D428" s="102" t="s">
        <v>1992</v>
      </c>
      <c r="E428" s="469">
        <f>Table6[[#This Row],[Date]]-DAY(Table6[[#This Row],[Date]])+1</f>
        <v>45748</v>
      </c>
      <c r="F428" s="470">
        <v>45775</v>
      </c>
      <c r="G428" s="35" t="s">
        <v>90</v>
      </c>
      <c r="H428" s="35" t="str">
        <f>IFERROR(_xlfn.XLOOKUP(Table6[[#This Row],[Affected WTG]],'Basic Data'!$A:$A,'Basic Data'!$B:$B),"")</f>
        <v>TQGXIIPL</v>
      </c>
      <c r="I428" s="35" t="str">
        <f>IFERROR(_xlfn.XLOOKUP(Table6[[#This Row],[Affected WTG]],'Basic Data'!$A:$A,'Basic Data'!$C:$C),"")</f>
        <v>GEDA</v>
      </c>
      <c r="J428" s="471">
        <f>IFERROR(_xlfn.XLOOKUP(Table6[[#This Row],[Affected WTG]],'Basic Data'!$A:$A,'Basic Data'!$E:$E),"")</f>
        <v>3.846153846153845E-2</v>
      </c>
      <c r="K428" s="102">
        <v>6605</v>
      </c>
      <c r="L428" s="35" t="str">
        <f>IFERROR(_xlfn.XLOOKUP(Table6[[#This Row],[Error Code]],'Basic Data'!$AA:$AA,'Basic Data'!$AB:$AB),"Incorrect Error Code")</f>
        <v>Wind.dir. diff. level 2</v>
      </c>
      <c r="M428" s="35" t="s">
        <v>291</v>
      </c>
      <c r="N428" s="475"/>
      <c r="O428" s="476">
        <v>0.87777777777777777</v>
      </c>
      <c r="P428" s="476">
        <v>0.87777777777777777</v>
      </c>
      <c r="Q428" s="477">
        <v>0.87916666666666665</v>
      </c>
      <c r="R428" s="472">
        <f>IF(Table6[[#This Row],[Work Start TimeStamp]]="","",(Table6[[#This Row],[Work Start TimeStamp]]-Table6[[#This Row],[Fault Start TimeStamp]])*24)</f>
        <v>0</v>
      </c>
      <c r="S428" s="472">
        <f>(Table6[[#This Row],[Fault Clearance time]]-Table6[[#This Row],[Work Start TimeStamp]])*24</f>
        <v>3.3333333333333215E-2</v>
      </c>
      <c r="T428" s="472">
        <f>(Table6[[#This Row],[Fault Clearance time]]-Table6[[#This Row],[Fault Start TimeStamp]])*24</f>
        <v>3.3333333333333215E-2</v>
      </c>
      <c r="U428" s="35" t="s">
        <v>349</v>
      </c>
      <c r="V428" s="102" t="s">
        <v>293</v>
      </c>
      <c r="W428" s="478">
        <f>IFERROR(Table6[[#This Row],[Breakdown Time]]*Table6[[#This Row],[Plant Equivalent Weightage]],"")</f>
        <v>1.2820512820512771E-3</v>
      </c>
      <c r="X428" s="473" t="s">
        <v>294</v>
      </c>
      <c r="Y428" s="474" t="s">
        <v>95</v>
      </c>
      <c r="Z428" s="102">
        <v>28665</v>
      </c>
      <c r="AA428" s="468">
        <f>(Table6[[#This Row],[Paired WTG Generation for loss calculation]]/24)*Table6[[#This Row],[Breakdown Time]]</f>
        <v>39.812499999999858</v>
      </c>
      <c r="AB428" s="102"/>
      <c r="AC428" s="35"/>
      <c r="AD428" s="35"/>
    </row>
    <row r="429" spans="1:30">
      <c r="A429" s="102">
        <f t="shared" si="7"/>
        <v>428</v>
      </c>
      <c r="B429" s="468">
        <f>YEAR(Table6[[#This Row],[Date]])+IF(MONTH(Table6[[#This Row],[Date]])&gt;=4,1,0)</f>
        <v>2026</v>
      </c>
      <c r="C429" s="102">
        <f>YEAR(Table6[[#This Row],[Date]])</f>
        <v>2025</v>
      </c>
      <c r="D429" s="102" t="s">
        <v>1992</v>
      </c>
      <c r="E429" s="469">
        <f>Table6[[#This Row],[Date]]-DAY(Table6[[#This Row],[Date]])+1</f>
        <v>45748</v>
      </c>
      <c r="F429" s="470">
        <v>45775</v>
      </c>
      <c r="G429" s="35" t="s">
        <v>93</v>
      </c>
      <c r="H429" s="35" t="str">
        <f>IFERROR(_xlfn.XLOOKUP(Table6[[#This Row],[Affected WTG]],'Basic Data'!$A:$A,'Basic Data'!$B:$B),"")</f>
        <v>TQGXIIPL</v>
      </c>
      <c r="I429" s="35" t="str">
        <f>IFERROR(_xlfn.XLOOKUP(Table6[[#This Row],[Affected WTG]],'Basic Data'!$A:$A,'Basic Data'!$C:$C),"")</f>
        <v>GEDA</v>
      </c>
      <c r="J429" s="471">
        <f>IFERROR(_xlfn.XLOOKUP(Table6[[#This Row],[Affected WTG]],'Basic Data'!$A:$A,'Basic Data'!$E:$E),"")</f>
        <v>3.846153846153845E-2</v>
      </c>
      <c r="K429" s="102">
        <v>7017</v>
      </c>
      <c r="L429" s="35" t="str">
        <f>IFERROR(_xlfn.XLOOKUP(Table6[[#This Row],[Error Code]],'Basic Data'!$AA:$AA,'Basic Data'!$AB:$AB),"Incorrect Error Code")</f>
        <v>Parameter outside limits stop</v>
      </c>
      <c r="M429" s="35" t="s">
        <v>291</v>
      </c>
      <c r="N429" s="475"/>
      <c r="O429" s="476">
        <v>0.78541666666666665</v>
      </c>
      <c r="P429" s="476">
        <v>0.78541666666666665</v>
      </c>
      <c r="Q429" s="477">
        <v>0.79374999999999996</v>
      </c>
      <c r="R429" s="472">
        <f>IF(Table6[[#This Row],[Work Start TimeStamp]]="","",(Table6[[#This Row],[Work Start TimeStamp]]-Table6[[#This Row],[Fault Start TimeStamp]])*24)</f>
        <v>0</v>
      </c>
      <c r="S429" s="472">
        <f>(Table6[[#This Row],[Fault Clearance time]]-Table6[[#This Row],[Work Start TimeStamp]])*24</f>
        <v>0.19999999999999929</v>
      </c>
      <c r="T429" s="472">
        <f>(Table6[[#This Row],[Fault Clearance time]]-Table6[[#This Row],[Fault Start TimeStamp]])*24</f>
        <v>0.19999999999999929</v>
      </c>
      <c r="U429" s="35" t="s">
        <v>396</v>
      </c>
      <c r="V429" s="102" t="s">
        <v>293</v>
      </c>
      <c r="W429" s="478">
        <f>IFERROR(Table6[[#This Row],[Breakdown Time]]*Table6[[#This Row],[Plant Equivalent Weightage]],"")</f>
        <v>7.6923076923076624E-3</v>
      </c>
      <c r="X429" s="473" t="s">
        <v>294</v>
      </c>
      <c r="Y429" s="474" t="s">
        <v>97</v>
      </c>
      <c r="Z429" s="102">
        <v>25311</v>
      </c>
      <c r="AA429" s="468">
        <f>(Table6[[#This Row],[Paired WTG Generation for loss calculation]]/24)*Table6[[#This Row],[Breakdown Time]]</f>
        <v>210.92499999999924</v>
      </c>
      <c r="AB429" s="102"/>
      <c r="AC429" s="35"/>
      <c r="AD429" s="35"/>
    </row>
    <row r="430" spans="1:30">
      <c r="A430" s="102">
        <f t="shared" si="7"/>
        <v>429</v>
      </c>
      <c r="B430" s="468">
        <f>YEAR(Table6[[#This Row],[Date]])+IF(MONTH(Table6[[#This Row],[Date]])&gt;=4,1,0)</f>
        <v>2026</v>
      </c>
      <c r="C430" s="102">
        <f>YEAR(Table6[[#This Row],[Date]])</f>
        <v>2025</v>
      </c>
      <c r="D430" s="102" t="s">
        <v>1992</v>
      </c>
      <c r="E430" s="469">
        <f>Table6[[#This Row],[Date]]-DAY(Table6[[#This Row],[Date]])+1</f>
        <v>45748</v>
      </c>
      <c r="F430" s="470">
        <v>45775</v>
      </c>
      <c r="G430" s="35" t="s">
        <v>94</v>
      </c>
      <c r="H430" s="35" t="str">
        <f>IFERROR(_xlfn.XLOOKUP(Table6[[#This Row],[Affected WTG]],'Basic Data'!$A:$A,'Basic Data'!$B:$B),"")</f>
        <v>TQGXIIPL</v>
      </c>
      <c r="I430" s="35" t="str">
        <f>IFERROR(_xlfn.XLOOKUP(Table6[[#This Row],[Affected WTG]],'Basic Data'!$A:$A,'Basic Data'!$C:$C),"")</f>
        <v>GEDA</v>
      </c>
      <c r="J430" s="471">
        <f>IFERROR(_xlfn.XLOOKUP(Table6[[#This Row],[Affected WTG]],'Basic Data'!$A:$A,'Basic Data'!$E:$E),"")</f>
        <v>3.846153846153845E-2</v>
      </c>
      <c r="K430" s="102">
        <v>55</v>
      </c>
      <c r="L430" s="35" t="str">
        <f>IFERROR(_xlfn.XLOOKUP(Table6[[#This Row],[Error Code]],'Basic Data'!$AA:$AA,'Basic Data'!$AB:$AB),"Incorrect Error Code")</f>
        <v>WTG shut down</v>
      </c>
      <c r="M430" s="35" t="s">
        <v>291</v>
      </c>
      <c r="N430" s="475"/>
      <c r="O430" s="476">
        <v>0.62916666666666665</v>
      </c>
      <c r="P430" s="476">
        <v>0.62916666666666665</v>
      </c>
      <c r="Q430" s="477">
        <v>0.66527777777777775</v>
      </c>
      <c r="R430" s="472">
        <f>IF(Table6[[#This Row],[Work Start TimeStamp]]="","",(Table6[[#This Row],[Work Start TimeStamp]]-Table6[[#This Row],[Fault Start TimeStamp]])*24)</f>
        <v>0</v>
      </c>
      <c r="S430" s="472">
        <f>(Table6[[#This Row],[Fault Clearance time]]-Table6[[#This Row],[Work Start TimeStamp]])*24</f>
        <v>0.86666666666666625</v>
      </c>
      <c r="T430" s="472">
        <f>(Table6[[#This Row],[Fault Clearance time]]-Table6[[#This Row],[Fault Start TimeStamp]])*24</f>
        <v>0.86666666666666625</v>
      </c>
      <c r="U430" s="35" t="s">
        <v>1719</v>
      </c>
      <c r="V430" s="102" t="s">
        <v>293</v>
      </c>
      <c r="W430" s="478">
        <f>IFERROR(Table6[[#This Row],[Breakdown Time]]*Table6[[#This Row],[Plant Equivalent Weightage]],"")</f>
        <v>3.3333333333333305E-2</v>
      </c>
      <c r="X430" s="473" t="s">
        <v>290</v>
      </c>
      <c r="Y430" s="474" t="s">
        <v>79</v>
      </c>
      <c r="Z430" s="102">
        <v>18752</v>
      </c>
      <c r="AA430" s="468">
        <f>(Table6[[#This Row],[Paired WTG Generation for loss calculation]]/24)*Table6[[#This Row],[Breakdown Time]]</f>
        <v>677.15555555555522</v>
      </c>
      <c r="AB430" s="102"/>
      <c r="AC430" s="35"/>
      <c r="AD430" s="35"/>
    </row>
    <row r="431" spans="1:30">
      <c r="A431" s="102">
        <f t="shared" si="7"/>
        <v>430</v>
      </c>
      <c r="B431" s="468">
        <f>YEAR(Table6[[#This Row],[Date]])+IF(MONTH(Table6[[#This Row],[Date]])&gt;=4,1,0)</f>
        <v>2026</v>
      </c>
      <c r="C431" s="102">
        <f>YEAR(Table6[[#This Row],[Date]])</f>
        <v>2025</v>
      </c>
      <c r="D431" s="102" t="s">
        <v>1992</v>
      </c>
      <c r="E431" s="469">
        <f>Table6[[#This Row],[Date]]-DAY(Table6[[#This Row],[Date]])+1</f>
        <v>45748</v>
      </c>
      <c r="F431" s="470">
        <v>45775</v>
      </c>
      <c r="G431" s="35" t="s">
        <v>95</v>
      </c>
      <c r="H431" s="35" t="str">
        <f>IFERROR(_xlfn.XLOOKUP(Table6[[#This Row],[Affected WTG]],'Basic Data'!$A:$A,'Basic Data'!$B:$B),"")</f>
        <v>TQGXIIPL</v>
      </c>
      <c r="I431" s="35" t="str">
        <f>IFERROR(_xlfn.XLOOKUP(Table6[[#This Row],[Affected WTG]],'Basic Data'!$A:$A,'Basic Data'!$C:$C),"")</f>
        <v>GEDA</v>
      </c>
      <c r="J431" s="471">
        <f>IFERROR(_xlfn.XLOOKUP(Table6[[#This Row],[Affected WTG]],'Basic Data'!$A:$A,'Basic Data'!$E:$E),"")</f>
        <v>3.846153846153845E-2</v>
      </c>
      <c r="K431" s="102">
        <v>55</v>
      </c>
      <c r="L431" s="35" t="str">
        <f>IFERROR(_xlfn.XLOOKUP(Table6[[#This Row],[Error Code]],'Basic Data'!$AA:$AA,'Basic Data'!$AB:$AB),"Incorrect Error Code")</f>
        <v>WTG shut down</v>
      </c>
      <c r="M431" s="35" t="s">
        <v>291</v>
      </c>
      <c r="N431" s="475"/>
      <c r="O431" s="476">
        <v>0.46180555555555558</v>
      </c>
      <c r="P431" s="476">
        <v>0.46180555555555558</v>
      </c>
      <c r="Q431" s="477">
        <v>0.50347222222222221</v>
      </c>
      <c r="R431" s="472">
        <f>IF(Table6[[#This Row],[Work Start TimeStamp]]="","",(Table6[[#This Row],[Work Start TimeStamp]]-Table6[[#This Row],[Fault Start TimeStamp]])*24)</f>
        <v>0</v>
      </c>
      <c r="S431" s="472">
        <f>(Table6[[#This Row],[Fault Clearance time]]-Table6[[#This Row],[Work Start TimeStamp]])*24</f>
        <v>0.99999999999999911</v>
      </c>
      <c r="T431" s="472">
        <f>(Table6[[#This Row],[Fault Clearance time]]-Table6[[#This Row],[Fault Start TimeStamp]])*24</f>
        <v>0.99999999999999911</v>
      </c>
      <c r="U431" s="35" t="s">
        <v>1738</v>
      </c>
      <c r="V431" s="102" t="s">
        <v>293</v>
      </c>
      <c r="W431" s="478">
        <f>IFERROR(Table6[[#This Row],[Breakdown Time]]*Table6[[#This Row],[Plant Equivalent Weightage]],"")</f>
        <v>3.8461538461538415E-2</v>
      </c>
      <c r="X431" s="473" t="s">
        <v>290</v>
      </c>
      <c r="Y431" s="474" t="s">
        <v>79</v>
      </c>
      <c r="Z431" s="102">
        <v>18752</v>
      </c>
      <c r="AA431" s="468">
        <f>(Table6[[#This Row],[Paired WTG Generation for loss calculation]]/24)*Table6[[#This Row],[Breakdown Time]]</f>
        <v>781.33333333333269</v>
      </c>
      <c r="AB431" s="102"/>
      <c r="AC431" s="35"/>
      <c r="AD431" s="35"/>
    </row>
    <row r="432" spans="1:30">
      <c r="A432" s="102">
        <f t="shared" si="7"/>
        <v>431</v>
      </c>
      <c r="B432" s="468">
        <f>YEAR(Table6[[#This Row],[Date]])+IF(MONTH(Table6[[#This Row],[Date]])&gt;=4,1,0)</f>
        <v>2026</v>
      </c>
      <c r="C432" s="102">
        <f>YEAR(Table6[[#This Row],[Date]])</f>
        <v>2025</v>
      </c>
      <c r="D432" s="102" t="s">
        <v>1992</v>
      </c>
      <c r="E432" s="469">
        <f>Table6[[#This Row],[Date]]-DAY(Table6[[#This Row],[Date]])+1</f>
        <v>45748</v>
      </c>
      <c r="F432" s="470">
        <v>45775</v>
      </c>
      <c r="G432" s="35" t="s">
        <v>95</v>
      </c>
      <c r="H432" s="35" t="str">
        <f>IFERROR(_xlfn.XLOOKUP(Table6[[#This Row],[Affected WTG]],'Basic Data'!$A:$A,'Basic Data'!$B:$B),"")</f>
        <v>TQGXIIPL</v>
      </c>
      <c r="I432" s="35" t="str">
        <f>IFERROR(_xlfn.XLOOKUP(Table6[[#This Row],[Affected WTG]],'Basic Data'!$A:$A,'Basic Data'!$C:$C),"")</f>
        <v>GEDA</v>
      </c>
      <c r="J432" s="471">
        <f>IFERROR(_xlfn.XLOOKUP(Table6[[#This Row],[Affected WTG]],'Basic Data'!$A:$A,'Basic Data'!$E:$E),"")</f>
        <v>3.846153846153845E-2</v>
      </c>
      <c r="K432" s="102">
        <v>55</v>
      </c>
      <c r="L432" s="35" t="str">
        <f>IFERROR(_xlfn.XLOOKUP(Table6[[#This Row],[Error Code]],'Basic Data'!$AA:$AA,'Basic Data'!$AB:$AB),"Incorrect Error Code")</f>
        <v>WTG shut down</v>
      </c>
      <c r="M432" s="35" t="s">
        <v>291</v>
      </c>
      <c r="N432" s="475"/>
      <c r="O432" s="476">
        <v>0.50347222222222221</v>
      </c>
      <c r="P432" s="476">
        <v>0.50347222222222221</v>
      </c>
      <c r="Q432" s="477">
        <v>0.53680555555555554</v>
      </c>
      <c r="R432" s="472">
        <f>IF(Table6[[#This Row],[Work Start TimeStamp]]="","",(Table6[[#This Row],[Work Start TimeStamp]]-Table6[[#This Row],[Fault Start TimeStamp]])*24)</f>
        <v>0</v>
      </c>
      <c r="S432" s="472">
        <f>(Table6[[#This Row],[Fault Clearance time]]-Table6[[#This Row],[Work Start TimeStamp]])*24</f>
        <v>0.79999999999999982</v>
      </c>
      <c r="T432" s="472">
        <f>(Table6[[#This Row],[Fault Clearance time]]-Table6[[#This Row],[Fault Start TimeStamp]])*24</f>
        <v>0.79999999999999982</v>
      </c>
      <c r="U432" s="35" t="s">
        <v>1719</v>
      </c>
      <c r="V432" s="102" t="s">
        <v>293</v>
      </c>
      <c r="W432" s="478">
        <f>IFERROR(Table6[[#This Row],[Breakdown Time]]*Table6[[#This Row],[Plant Equivalent Weightage]],"")</f>
        <v>3.0769230769230754E-2</v>
      </c>
      <c r="X432" s="473" t="s">
        <v>290</v>
      </c>
      <c r="Y432" s="474" t="s">
        <v>79</v>
      </c>
      <c r="Z432" s="102">
        <v>18752</v>
      </c>
      <c r="AA432" s="468">
        <f>(Table6[[#This Row],[Paired WTG Generation for loss calculation]]/24)*Table6[[#This Row],[Breakdown Time]]</f>
        <v>625.06666666666661</v>
      </c>
      <c r="AB432" s="102"/>
      <c r="AC432" s="35"/>
      <c r="AD432" s="35"/>
    </row>
    <row r="433" spans="1:30">
      <c r="A433" s="102">
        <f t="shared" si="7"/>
        <v>432</v>
      </c>
      <c r="B433" s="468">
        <f>YEAR(Table6[[#This Row],[Date]])+IF(MONTH(Table6[[#This Row],[Date]])&gt;=4,1,0)</f>
        <v>2026</v>
      </c>
      <c r="C433" s="102">
        <f>YEAR(Table6[[#This Row],[Date]])</f>
        <v>2025</v>
      </c>
      <c r="D433" s="102" t="s">
        <v>1992</v>
      </c>
      <c r="E433" s="469">
        <f>Table6[[#This Row],[Date]]-DAY(Table6[[#This Row],[Date]])+1</f>
        <v>45748</v>
      </c>
      <c r="F433" s="470">
        <v>45775</v>
      </c>
      <c r="G433" s="35" t="s">
        <v>96</v>
      </c>
      <c r="H433" s="35" t="str">
        <f>IFERROR(_xlfn.XLOOKUP(Table6[[#This Row],[Affected WTG]],'Basic Data'!$A:$A,'Basic Data'!$B:$B),"")</f>
        <v>TQGXIIPL</v>
      </c>
      <c r="I433" s="35" t="str">
        <f>IFERROR(_xlfn.XLOOKUP(Table6[[#This Row],[Affected WTG]],'Basic Data'!$A:$A,'Basic Data'!$C:$C),"")</f>
        <v>GEDA</v>
      </c>
      <c r="J433" s="471">
        <f>IFERROR(_xlfn.XLOOKUP(Table6[[#This Row],[Affected WTG]],'Basic Data'!$A:$A,'Basic Data'!$E:$E),"")</f>
        <v>3.846153846153845E-2</v>
      </c>
      <c r="K433" s="102">
        <v>588</v>
      </c>
      <c r="L433" s="35" t="str">
        <f>IFERROR(_xlfn.XLOOKUP(Table6[[#This Row],[Error Code]],'Basic Data'!$AA:$AA,'Basic Data'!$AB:$AB),"Incorrect Error Code")</f>
        <v>Target &gt;&lt; act. coll. pitch angle</v>
      </c>
      <c r="M433" s="35" t="s">
        <v>291</v>
      </c>
      <c r="N433" s="475"/>
      <c r="O433" s="476">
        <v>0.76597222222222228</v>
      </c>
      <c r="P433" s="476">
        <v>0.76597222222222228</v>
      </c>
      <c r="Q433" s="477">
        <v>0.77222222222222225</v>
      </c>
      <c r="R433" s="472">
        <f>IF(Table6[[#This Row],[Work Start TimeStamp]]="","",(Table6[[#This Row],[Work Start TimeStamp]]-Table6[[#This Row],[Fault Start TimeStamp]])*24)</f>
        <v>0</v>
      </c>
      <c r="S433" s="472">
        <f>(Table6[[#This Row],[Fault Clearance time]]-Table6[[#This Row],[Work Start TimeStamp]])*24</f>
        <v>0.14999999999999947</v>
      </c>
      <c r="T433" s="472">
        <f>(Table6[[#This Row],[Fault Clearance time]]-Table6[[#This Row],[Fault Start TimeStamp]])*24</f>
        <v>0.14999999999999947</v>
      </c>
      <c r="U433" s="35" t="s">
        <v>1735</v>
      </c>
      <c r="V433" s="102" t="s">
        <v>293</v>
      </c>
      <c r="W433" s="478">
        <f>IFERROR(Table6[[#This Row],[Breakdown Time]]*Table6[[#This Row],[Plant Equivalent Weightage]],"")</f>
        <v>5.769230769230747E-3</v>
      </c>
      <c r="X433" s="473" t="s">
        <v>294</v>
      </c>
      <c r="Y433" s="474" t="s">
        <v>84</v>
      </c>
      <c r="Z433" s="102">
        <v>22680</v>
      </c>
      <c r="AA433" s="468">
        <f>(Table6[[#This Row],[Paired WTG Generation for loss calculation]]/24)*Table6[[#This Row],[Breakdown Time]]</f>
        <v>141.74999999999949</v>
      </c>
      <c r="AB433" s="102"/>
      <c r="AC433" s="35"/>
      <c r="AD433" s="35"/>
    </row>
    <row r="434" spans="1:30">
      <c r="A434" s="102">
        <f t="shared" si="7"/>
        <v>433</v>
      </c>
      <c r="B434" s="468">
        <f>YEAR(Table6[[#This Row],[Date]])+IF(MONTH(Table6[[#This Row],[Date]])&gt;=4,1,0)</f>
        <v>2026</v>
      </c>
      <c r="C434" s="102">
        <f>YEAR(Table6[[#This Row],[Date]])</f>
        <v>2025</v>
      </c>
      <c r="D434" s="102" t="s">
        <v>1992</v>
      </c>
      <c r="E434" s="469">
        <f>Table6[[#This Row],[Date]]-DAY(Table6[[#This Row],[Date]])+1</f>
        <v>45748</v>
      </c>
      <c r="F434" s="470">
        <v>45775</v>
      </c>
      <c r="G434" s="35" t="s">
        <v>97</v>
      </c>
      <c r="H434" s="35" t="str">
        <f>IFERROR(_xlfn.XLOOKUP(Table6[[#This Row],[Affected WTG]],'Basic Data'!$A:$A,'Basic Data'!$B:$B),"")</f>
        <v>TQGXIIPL</v>
      </c>
      <c r="I434" s="35" t="str">
        <f>IFERROR(_xlfn.XLOOKUP(Table6[[#This Row],[Affected WTG]],'Basic Data'!$A:$A,'Basic Data'!$C:$C),"")</f>
        <v>GEDA</v>
      </c>
      <c r="J434" s="471">
        <f>IFERROR(_xlfn.XLOOKUP(Table6[[#This Row],[Affected WTG]],'Basic Data'!$A:$A,'Basic Data'!$E:$E),"")</f>
        <v>3.846153846153845E-2</v>
      </c>
      <c r="K434" s="102">
        <v>6130</v>
      </c>
      <c r="L434" s="35" t="str">
        <f>IFERROR(_xlfn.XLOOKUP(Table6[[#This Row],[Error Code]],'Basic Data'!$AA:$AA,'Basic Data'!$AB:$AB),"Incorrect Error Code")</f>
        <v>Yaw speed high</v>
      </c>
      <c r="M434" s="35" t="s">
        <v>292</v>
      </c>
      <c r="N434" s="475"/>
      <c r="O434" s="476">
        <v>0.67361111111111116</v>
      </c>
      <c r="P434" s="476">
        <v>0.67361111111111116</v>
      </c>
      <c r="Q434" s="477">
        <v>0.67777777777777781</v>
      </c>
      <c r="R434" s="472">
        <f>IF(Table6[[#This Row],[Work Start TimeStamp]]="","",(Table6[[#This Row],[Work Start TimeStamp]]-Table6[[#This Row],[Fault Start TimeStamp]])*24)</f>
        <v>0</v>
      </c>
      <c r="S434" s="472">
        <f>(Table6[[#This Row],[Fault Clearance time]]-Table6[[#This Row],[Work Start TimeStamp]])*24</f>
        <v>9.9999999999999645E-2</v>
      </c>
      <c r="T434" s="472">
        <f>(Table6[[#This Row],[Fault Clearance time]]-Table6[[#This Row],[Fault Start TimeStamp]])*24</f>
        <v>9.9999999999999645E-2</v>
      </c>
      <c r="U434" s="35" t="s">
        <v>336</v>
      </c>
      <c r="V434" s="102" t="s">
        <v>293</v>
      </c>
      <c r="W434" s="478">
        <f>IFERROR(Table6[[#This Row],[Breakdown Time]]*Table6[[#This Row],[Plant Equivalent Weightage]],"")</f>
        <v>3.8461538461538312E-3</v>
      </c>
      <c r="X434" s="473" t="s">
        <v>294</v>
      </c>
      <c r="Y434" s="474" t="s">
        <v>93</v>
      </c>
      <c r="Z434" s="102">
        <v>24463</v>
      </c>
      <c r="AA434" s="468">
        <f>(Table6[[#This Row],[Paired WTG Generation for loss calculation]]/24)*Table6[[#This Row],[Breakdown Time]]</f>
        <v>101.9291666666663</v>
      </c>
      <c r="AB434" s="102"/>
      <c r="AC434" s="35"/>
      <c r="AD434" s="35"/>
    </row>
    <row r="435" spans="1:30">
      <c r="A435" s="102">
        <f t="shared" si="7"/>
        <v>434</v>
      </c>
      <c r="B435" s="468">
        <f>YEAR(Table6[[#This Row],[Date]])+IF(MONTH(Table6[[#This Row],[Date]])&gt;=4,1,0)</f>
        <v>2026</v>
      </c>
      <c r="C435" s="102">
        <f>YEAR(Table6[[#This Row],[Date]])</f>
        <v>2025</v>
      </c>
      <c r="D435" s="102" t="s">
        <v>1992</v>
      </c>
      <c r="E435" s="469">
        <f>Table6[[#This Row],[Date]]-DAY(Table6[[#This Row],[Date]])+1</f>
        <v>45748</v>
      </c>
      <c r="F435" s="470">
        <v>45776</v>
      </c>
      <c r="G435" s="35" t="s">
        <v>74</v>
      </c>
      <c r="H435" s="35" t="str">
        <f>IFERROR(_xlfn.XLOOKUP(Table6[[#This Row],[Affected WTG]],'Basic Data'!$A:$A,'Basic Data'!$B:$B),"")</f>
        <v>TQGXIIPL</v>
      </c>
      <c r="I435" s="35" t="str">
        <f>IFERROR(_xlfn.XLOOKUP(Table6[[#This Row],[Affected WTG]],'Basic Data'!$A:$A,'Basic Data'!$C:$C),"")</f>
        <v>GEDA</v>
      </c>
      <c r="J435" s="471">
        <f>IFERROR(_xlfn.XLOOKUP(Table6[[#This Row],[Affected WTG]],'Basic Data'!$A:$A,'Basic Data'!$E:$E),"")</f>
        <v>3.846153846153845E-2</v>
      </c>
      <c r="K435" s="102">
        <v>55</v>
      </c>
      <c r="L435" s="35" t="str">
        <f>IFERROR(_xlfn.XLOOKUP(Table6[[#This Row],[Error Code]],'Basic Data'!$AA:$AA,'Basic Data'!$AB:$AB),"Incorrect Error Code")</f>
        <v>WTG shut down</v>
      </c>
      <c r="M435" s="35" t="s">
        <v>291</v>
      </c>
      <c r="N435" s="475"/>
      <c r="O435" s="476">
        <v>0.58680555555555558</v>
      </c>
      <c r="P435" s="476">
        <v>0.58680555555555558</v>
      </c>
      <c r="Q435" s="477">
        <v>0.60486111111111107</v>
      </c>
      <c r="R435" s="472">
        <f>IF(Table6[[#This Row],[Work Start TimeStamp]]="","",(Table6[[#This Row],[Work Start TimeStamp]]-Table6[[#This Row],[Fault Start TimeStamp]])*24)</f>
        <v>0</v>
      </c>
      <c r="S435" s="472">
        <f>(Table6[[#This Row],[Fault Clearance time]]-Table6[[#This Row],[Work Start TimeStamp]])*24</f>
        <v>0.43333333333333179</v>
      </c>
      <c r="T435" s="472">
        <f>(Table6[[#This Row],[Fault Clearance time]]-Table6[[#This Row],[Fault Start TimeStamp]])*24</f>
        <v>0.43333333333333179</v>
      </c>
      <c r="U435" s="35" t="s">
        <v>1719</v>
      </c>
      <c r="V435" s="102" t="s">
        <v>293</v>
      </c>
      <c r="W435" s="478">
        <f>IFERROR(Table6[[#This Row],[Breakdown Time]]*Table6[[#This Row],[Plant Equivalent Weightage]],"")</f>
        <v>1.6666666666666604E-2</v>
      </c>
      <c r="X435" s="473" t="s">
        <v>290</v>
      </c>
      <c r="Y435" s="474" t="s">
        <v>99</v>
      </c>
      <c r="Z435" s="102">
        <v>40476</v>
      </c>
      <c r="AA435" s="468">
        <f>(Table6[[#This Row],[Paired WTG Generation for loss calculation]]/24)*Table6[[#This Row],[Breakdown Time]]</f>
        <v>730.8166666666641</v>
      </c>
      <c r="AB435" s="102"/>
      <c r="AC435" s="35"/>
      <c r="AD435" s="35"/>
    </row>
    <row r="436" spans="1:30">
      <c r="A436" s="102">
        <f t="shared" si="7"/>
        <v>435</v>
      </c>
      <c r="B436" s="468">
        <f>YEAR(Table6[[#This Row],[Date]])+IF(MONTH(Table6[[#This Row],[Date]])&gt;=4,1,0)</f>
        <v>2026</v>
      </c>
      <c r="C436" s="102">
        <f>YEAR(Table6[[#This Row],[Date]])</f>
        <v>2025</v>
      </c>
      <c r="D436" s="102" t="s">
        <v>1992</v>
      </c>
      <c r="E436" s="469">
        <f>Table6[[#This Row],[Date]]-DAY(Table6[[#This Row],[Date]])+1</f>
        <v>45748</v>
      </c>
      <c r="F436" s="470">
        <v>45776</v>
      </c>
      <c r="G436" s="35" t="s">
        <v>74</v>
      </c>
      <c r="H436" s="35" t="str">
        <f>IFERROR(_xlfn.XLOOKUP(Table6[[#This Row],[Affected WTG]],'Basic Data'!$A:$A,'Basic Data'!$B:$B),"")</f>
        <v>TQGXIIPL</v>
      </c>
      <c r="I436" s="35" t="str">
        <f>IFERROR(_xlfn.XLOOKUP(Table6[[#This Row],[Affected WTG]],'Basic Data'!$A:$A,'Basic Data'!$C:$C),"")</f>
        <v>GEDA</v>
      </c>
      <c r="J436" s="471">
        <f>IFERROR(_xlfn.XLOOKUP(Table6[[#This Row],[Affected WTG]],'Basic Data'!$A:$A,'Basic Data'!$E:$E),"")</f>
        <v>3.846153846153845E-2</v>
      </c>
      <c r="K436" s="102">
        <v>159</v>
      </c>
      <c r="L436" s="35" t="str">
        <f>IFERROR(_xlfn.XLOOKUP(Table6[[#This Row],[Error Code]],'Basic Data'!$AA:$AA,'Basic Data'!$AB:$AB),"Incorrect Error Code")</f>
        <v>SLC SF emergency stop</v>
      </c>
      <c r="M436" s="35" t="s">
        <v>291</v>
      </c>
      <c r="N436" s="475"/>
      <c r="O436" s="476">
        <v>0.96527777777777779</v>
      </c>
      <c r="P436" s="476">
        <v>0.96527777777777779</v>
      </c>
      <c r="Q436" s="477">
        <v>1</v>
      </c>
      <c r="R436" s="472">
        <f>IF(Table6[[#This Row],[Work Start TimeStamp]]="","",(Table6[[#This Row],[Work Start TimeStamp]]-Table6[[#This Row],[Fault Start TimeStamp]])*24)</f>
        <v>0</v>
      </c>
      <c r="S436" s="472">
        <f>(Table6[[#This Row],[Fault Clearance time]]-Table6[[#This Row],[Work Start TimeStamp]])*24</f>
        <v>0.83333333333333304</v>
      </c>
      <c r="T436" s="472">
        <f>(Table6[[#This Row],[Fault Clearance time]]-Table6[[#This Row],[Fault Start TimeStamp]])*24</f>
        <v>0.83333333333333304</v>
      </c>
      <c r="U436" s="35" t="s">
        <v>1740</v>
      </c>
      <c r="V436" s="102" t="s">
        <v>293</v>
      </c>
      <c r="W436" s="478">
        <f>IFERROR(Table6[[#This Row],[Breakdown Time]]*Table6[[#This Row],[Plant Equivalent Weightage]],"")</f>
        <v>3.2051282051282028E-2</v>
      </c>
      <c r="X436" s="473" t="s">
        <v>294</v>
      </c>
      <c r="Y436" s="474" t="s">
        <v>99</v>
      </c>
      <c r="Z436" s="102">
        <v>40476</v>
      </c>
      <c r="AA436" s="468">
        <f>(Table6[[#This Row],[Paired WTG Generation for loss calculation]]/24)*Table6[[#This Row],[Breakdown Time]]</f>
        <v>1405.4166666666661</v>
      </c>
      <c r="AB436" s="102"/>
      <c r="AC436" s="35"/>
      <c r="AD436" s="35"/>
    </row>
    <row r="437" spans="1:30">
      <c r="A437" s="102">
        <f t="shared" si="7"/>
        <v>436</v>
      </c>
      <c r="B437" s="468">
        <f>YEAR(Table6[[#This Row],[Date]])+IF(MONTH(Table6[[#This Row],[Date]])&gt;=4,1,0)</f>
        <v>2026</v>
      </c>
      <c r="C437" s="102">
        <f>YEAR(Table6[[#This Row],[Date]])</f>
        <v>2025</v>
      </c>
      <c r="D437" s="102" t="s">
        <v>1992</v>
      </c>
      <c r="E437" s="469">
        <f>Table6[[#This Row],[Date]]-DAY(Table6[[#This Row],[Date]])+1</f>
        <v>45748</v>
      </c>
      <c r="F437" s="470">
        <v>45776</v>
      </c>
      <c r="G437" s="35" t="s">
        <v>75</v>
      </c>
      <c r="H437" s="35" t="str">
        <f>IFERROR(_xlfn.XLOOKUP(Table6[[#This Row],[Affected WTG]],'Basic Data'!$A:$A,'Basic Data'!$B:$B),"")</f>
        <v>TQGXIIPL</v>
      </c>
      <c r="I437" s="35" t="str">
        <f>IFERROR(_xlfn.XLOOKUP(Table6[[#This Row],[Affected WTG]],'Basic Data'!$A:$A,'Basic Data'!$C:$C),"")</f>
        <v>GEDA</v>
      </c>
      <c r="J437" s="471">
        <f>IFERROR(_xlfn.XLOOKUP(Table6[[#This Row],[Affected WTG]],'Basic Data'!$A:$A,'Basic Data'!$E:$E),"")</f>
        <v>3.846153846153845E-2</v>
      </c>
      <c r="K437" s="102">
        <v>55</v>
      </c>
      <c r="L437" s="35" t="str">
        <f>IFERROR(_xlfn.XLOOKUP(Table6[[#This Row],[Error Code]],'Basic Data'!$AA:$AA,'Basic Data'!$AB:$AB),"Incorrect Error Code")</f>
        <v>WTG shut down</v>
      </c>
      <c r="M437" s="35" t="s">
        <v>291</v>
      </c>
      <c r="N437" s="475"/>
      <c r="O437" s="476">
        <v>0.7104166666666667</v>
      </c>
      <c r="P437" s="476">
        <v>0.7104166666666667</v>
      </c>
      <c r="Q437" s="477">
        <v>0.73541666666666672</v>
      </c>
      <c r="R437" s="472">
        <f>IF(Table6[[#This Row],[Work Start TimeStamp]]="","",(Table6[[#This Row],[Work Start TimeStamp]]-Table6[[#This Row],[Fault Start TimeStamp]])*24)</f>
        <v>0</v>
      </c>
      <c r="S437" s="472">
        <f>(Table6[[#This Row],[Fault Clearance time]]-Table6[[#This Row],[Work Start TimeStamp]])*24</f>
        <v>0.60000000000000053</v>
      </c>
      <c r="T437" s="472">
        <f>(Table6[[#This Row],[Fault Clearance time]]-Table6[[#This Row],[Fault Start TimeStamp]])*24</f>
        <v>0.60000000000000053</v>
      </c>
      <c r="U437" s="35" t="s">
        <v>1719</v>
      </c>
      <c r="V437" s="102" t="s">
        <v>293</v>
      </c>
      <c r="W437" s="478">
        <f>IFERROR(Table6[[#This Row],[Breakdown Time]]*Table6[[#This Row],[Plant Equivalent Weightage]],"")</f>
        <v>2.3076923076923092E-2</v>
      </c>
      <c r="X437" s="473" t="s">
        <v>290</v>
      </c>
      <c r="Y437" s="474" t="s">
        <v>78</v>
      </c>
      <c r="Z437" s="102">
        <v>37871</v>
      </c>
      <c r="AA437" s="468">
        <f>(Table6[[#This Row],[Paired WTG Generation for loss calculation]]/24)*Table6[[#This Row],[Breakdown Time]]</f>
        <v>946.77500000000077</v>
      </c>
      <c r="AB437" s="102"/>
      <c r="AC437" s="35"/>
      <c r="AD437" s="35"/>
    </row>
    <row r="438" spans="1:30">
      <c r="A438" s="102">
        <f t="shared" si="7"/>
        <v>437</v>
      </c>
      <c r="B438" s="468">
        <f>YEAR(Table6[[#This Row],[Date]])+IF(MONTH(Table6[[#This Row],[Date]])&gt;=4,1,0)</f>
        <v>2026</v>
      </c>
      <c r="C438" s="102">
        <f>YEAR(Table6[[#This Row],[Date]])</f>
        <v>2025</v>
      </c>
      <c r="D438" s="102" t="s">
        <v>1992</v>
      </c>
      <c r="E438" s="469">
        <f>Table6[[#This Row],[Date]]-DAY(Table6[[#This Row],[Date]])+1</f>
        <v>45748</v>
      </c>
      <c r="F438" s="470">
        <v>45776</v>
      </c>
      <c r="G438" s="35" t="s">
        <v>76</v>
      </c>
      <c r="H438" s="35" t="str">
        <f>IFERROR(_xlfn.XLOOKUP(Table6[[#This Row],[Affected WTG]],'Basic Data'!$A:$A,'Basic Data'!$B:$B),"")</f>
        <v>TQGXIIPL</v>
      </c>
      <c r="I438" s="35" t="str">
        <f>IFERROR(_xlfn.XLOOKUP(Table6[[#This Row],[Affected WTG]],'Basic Data'!$A:$A,'Basic Data'!$C:$C),"")</f>
        <v>GEDA</v>
      </c>
      <c r="J438" s="471">
        <f>IFERROR(_xlfn.XLOOKUP(Table6[[#This Row],[Affected WTG]],'Basic Data'!$A:$A,'Basic Data'!$E:$E),"")</f>
        <v>3.846153846153845E-2</v>
      </c>
      <c r="K438" s="102">
        <v>641</v>
      </c>
      <c r="L438" s="35" t="str">
        <f>IFERROR(_xlfn.XLOOKUP(Table6[[#This Row],[Error Code]],'Basic Data'!$AA:$AA,'Basic Data'!$AB:$AB),"Incorrect Error Code")</f>
        <v>Sim.angle E enc. &lt;&gt; act.angle 1</v>
      </c>
      <c r="M438" s="35" t="s">
        <v>291</v>
      </c>
      <c r="N438" s="475"/>
      <c r="O438" s="476">
        <v>0.5</v>
      </c>
      <c r="P438" s="476">
        <v>0.5</v>
      </c>
      <c r="Q438" s="477">
        <v>0.67361111111111116</v>
      </c>
      <c r="R438" s="472">
        <f>IF(Table6[[#This Row],[Work Start TimeStamp]]="","",(Table6[[#This Row],[Work Start TimeStamp]]-Table6[[#This Row],[Fault Start TimeStamp]])*24)</f>
        <v>0</v>
      </c>
      <c r="S438" s="472">
        <f>(Table6[[#This Row],[Fault Clearance time]]-Table6[[#This Row],[Work Start TimeStamp]])*24</f>
        <v>4.1666666666666679</v>
      </c>
      <c r="T438" s="472">
        <f>(Table6[[#This Row],[Fault Clearance time]]-Table6[[#This Row],[Fault Start TimeStamp]])*24</f>
        <v>4.1666666666666679</v>
      </c>
      <c r="U438" s="35" t="s">
        <v>1741</v>
      </c>
      <c r="V438" s="102" t="s">
        <v>293</v>
      </c>
      <c r="W438" s="478">
        <f>IFERROR(Table6[[#This Row],[Breakdown Time]]*Table6[[#This Row],[Plant Equivalent Weightage]],"")</f>
        <v>0.16025641025641024</v>
      </c>
      <c r="X438" s="473" t="s">
        <v>290</v>
      </c>
      <c r="Y438" s="474" t="s">
        <v>82</v>
      </c>
      <c r="Z438" s="102">
        <v>40871</v>
      </c>
      <c r="AA438" s="468">
        <f>(Table6[[#This Row],[Paired WTG Generation for loss calculation]]/24)*Table6[[#This Row],[Breakdown Time]]</f>
        <v>7095.6597222222235</v>
      </c>
      <c r="AB438" s="102"/>
      <c r="AC438" s="35"/>
      <c r="AD438" s="35"/>
    </row>
    <row r="439" spans="1:30">
      <c r="A439" s="102">
        <f t="shared" si="7"/>
        <v>438</v>
      </c>
      <c r="B439" s="468">
        <f>YEAR(Table6[[#This Row],[Date]])+IF(MONTH(Table6[[#This Row],[Date]])&gt;=4,1,0)</f>
        <v>2026</v>
      </c>
      <c r="C439" s="102">
        <f>YEAR(Table6[[#This Row],[Date]])</f>
        <v>2025</v>
      </c>
      <c r="D439" s="102" t="s">
        <v>1992</v>
      </c>
      <c r="E439" s="469">
        <f>Table6[[#This Row],[Date]]-DAY(Table6[[#This Row],[Date]])+1</f>
        <v>45748</v>
      </c>
      <c r="F439" s="470">
        <v>45776</v>
      </c>
      <c r="G439" s="35" t="s">
        <v>77</v>
      </c>
      <c r="H439" s="35" t="str">
        <f>IFERROR(_xlfn.XLOOKUP(Table6[[#This Row],[Affected WTG]],'Basic Data'!$A:$A,'Basic Data'!$B:$B),"")</f>
        <v>TQGXIIPL</v>
      </c>
      <c r="I439" s="35" t="str">
        <f>IFERROR(_xlfn.XLOOKUP(Table6[[#This Row],[Affected WTG]],'Basic Data'!$A:$A,'Basic Data'!$C:$C),"")</f>
        <v>GEDA</v>
      </c>
      <c r="J439" s="471">
        <f>IFERROR(_xlfn.XLOOKUP(Table6[[#This Row],[Affected WTG]],'Basic Data'!$A:$A,'Basic Data'!$E:$E),"")</f>
        <v>3.846153846153845E-2</v>
      </c>
      <c r="K439" s="102">
        <v>55</v>
      </c>
      <c r="L439" s="35" t="str">
        <f>IFERROR(_xlfn.XLOOKUP(Table6[[#This Row],[Error Code]],'Basic Data'!$AA:$AA,'Basic Data'!$AB:$AB),"Incorrect Error Code")</f>
        <v>WTG shut down</v>
      </c>
      <c r="M439" s="35" t="s">
        <v>291</v>
      </c>
      <c r="N439" s="475"/>
      <c r="O439" s="476">
        <v>0.66666666666666663</v>
      </c>
      <c r="P439" s="476">
        <v>0.66666666666666663</v>
      </c>
      <c r="Q439" s="477">
        <v>0.69027777777777777</v>
      </c>
      <c r="R439" s="472">
        <f>IF(Table6[[#This Row],[Work Start TimeStamp]]="","",(Table6[[#This Row],[Work Start TimeStamp]]-Table6[[#This Row],[Fault Start TimeStamp]])*24)</f>
        <v>0</v>
      </c>
      <c r="S439" s="472">
        <f>(Table6[[#This Row],[Fault Clearance time]]-Table6[[#This Row],[Work Start TimeStamp]])*24</f>
        <v>0.56666666666666732</v>
      </c>
      <c r="T439" s="472">
        <f>(Table6[[#This Row],[Fault Clearance time]]-Table6[[#This Row],[Fault Start TimeStamp]])*24</f>
        <v>0.56666666666666732</v>
      </c>
      <c r="U439" s="35" t="s">
        <v>1719</v>
      </c>
      <c r="V439" s="102" t="s">
        <v>293</v>
      </c>
      <c r="W439" s="478">
        <f>IFERROR(Table6[[#This Row],[Breakdown Time]]*Table6[[#This Row],[Plant Equivalent Weightage]],"")</f>
        <v>2.1794871794871815E-2</v>
      </c>
      <c r="X439" s="473" t="s">
        <v>290</v>
      </c>
      <c r="Y439" s="474" t="s">
        <v>80</v>
      </c>
      <c r="Z439" s="102">
        <v>47322</v>
      </c>
      <c r="AA439" s="468">
        <f>(Table6[[#This Row],[Paired WTG Generation for loss calculation]]/24)*Table6[[#This Row],[Breakdown Time]]</f>
        <v>1117.3250000000012</v>
      </c>
      <c r="AB439" s="102"/>
      <c r="AC439" s="35"/>
      <c r="AD439" s="35"/>
    </row>
    <row r="440" spans="1:30">
      <c r="A440" s="102">
        <f t="shared" si="7"/>
        <v>439</v>
      </c>
      <c r="B440" s="468">
        <f>YEAR(Table6[[#This Row],[Date]])+IF(MONTH(Table6[[#This Row],[Date]])&gt;=4,1,0)</f>
        <v>2026</v>
      </c>
      <c r="C440" s="102">
        <f>YEAR(Table6[[#This Row],[Date]])</f>
        <v>2025</v>
      </c>
      <c r="D440" s="102" t="s">
        <v>1992</v>
      </c>
      <c r="E440" s="469">
        <f>Table6[[#This Row],[Date]]-DAY(Table6[[#This Row],[Date]])+1</f>
        <v>45748</v>
      </c>
      <c r="F440" s="470">
        <v>45776</v>
      </c>
      <c r="G440" s="35" t="s">
        <v>77</v>
      </c>
      <c r="H440" s="35" t="str">
        <f>IFERROR(_xlfn.XLOOKUP(Table6[[#This Row],[Affected WTG]],'Basic Data'!$A:$A,'Basic Data'!$B:$B),"")</f>
        <v>TQGXIIPL</v>
      </c>
      <c r="I440" s="35" t="str">
        <f>IFERROR(_xlfn.XLOOKUP(Table6[[#This Row],[Affected WTG]],'Basic Data'!$A:$A,'Basic Data'!$C:$C),"")</f>
        <v>GEDA</v>
      </c>
      <c r="J440" s="471">
        <f>IFERROR(_xlfn.XLOOKUP(Table6[[#This Row],[Affected WTG]],'Basic Data'!$A:$A,'Basic Data'!$E:$E),"")</f>
        <v>3.846153846153845E-2</v>
      </c>
      <c r="K440" s="102">
        <v>1700</v>
      </c>
      <c r="L440" s="35" t="str">
        <f>IFERROR(_xlfn.XLOOKUP(Table6[[#This Row],[Error Code]],'Basic Data'!$AA:$AA,'Basic Data'!$AB:$AB),"Incorrect Error Code")</f>
        <v>High temp. gear bearing 1</v>
      </c>
      <c r="M440" s="35" t="s">
        <v>291</v>
      </c>
      <c r="N440" s="475"/>
      <c r="O440" s="476">
        <v>0.75208333333333333</v>
      </c>
      <c r="P440" s="476">
        <v>0.75208333333333333</v>
      </c>
      <c r="Q440" s="477">
        <v>0.75694444444444442</v>
      </c>
      <c r="R440" s="472">
        <f>IF(Table6[[#This Row],[Work Start TimeStamp]]="","",(Table6[[#This Row],[Work Start TimeStamp]]-Table6[[#This Row],[Fault Start TimeStamp]])*24)</f>
        <v>0</v>
      </c>
      <c r="S440" s="472">
        <f>(Table6[[#This Row],[Fault Clearance time]]-Table6[[#This Row],[Work Start TimeStamp]])*24</f>
        <v>0.11666666666666625</v>
      </c>
      <c r="T440" s="472">
        <f>(Table6[[#This Row],[Fault Clearance time]]-Table6[[#This Row],[Fault Start TimeStamp]])*24</f>
        <v>0.11666666666666625</v>
      </c>
      <c r="U440" s="35" t="s">
        <v>349</v>
      </c>
      <c r="V440" s="102" t="s">
        <v>293</v>
      </c>
      <c r="W440" s="478">
        <f>IFERROR(Table6[[#This Row],[Breakdown Time]]*Table6[[#This Row],[Plant Equivalent Weightage]],"")</f>
        <v>4.4871794871794695E-3</v>
      </c>
      <c r="X440" s="473" t="s">
        <v>294</v>
      </c>
      <c r="Y440" s="474" t="s">
        <v>80</v>
      </c>
      <c r="Z440" s="102">
        <v>47322</v>
      </c>
      <c r="AA440" s="468">
        <f>(Table6[[#This Row],[Paired WTG Generation for loss calculation]]/24)*Table6[[#This Row],[Breakdown Time]]</f>
        <v>230.03749999999917</v>
      </c>
      <c r="AB440" s="102"/>
      <c r="AC440" s="35"/>
      <c r="AD440" s="35"/>
    </row>
    <row r="441" spans="1:30">
      <c r="A441" s="102">
        <f t="shared" si="7"/>
        <v>440</v>
      </c>
      <c r="B441" s="468">
        <f>YEAR(Table6[[#This Row],[Date]])+IF(MONTH(Table6[[#This Row],[Date]])&gt;=4,1,0)</f>
        <v>2026</v>
      </c>
      <c r="C441" s="102">
        <f>YEAR(Table6[[#This Row],[Date]])</f>
        <v>2025</v>
      </c>
      <c r="D441" s="102" t="s">
        <v>1992</v>
      </c>
      <c r="E441" s="469">
        <f>Table6[[#This Row],[Date]]-DAY(Table6[[#This Row],[Date]])+1</f>
        <v>45748</v>
      </c>
      <c r="F441" s="470">
        <v>45776</v>
      </c>
      <c r="G441" s="35" t="s">
        <v>78</v>
      </c>
      <c r="H441" s="35" t="str">
        <f>IFERROR(_xlfn.XLOOKUP(Table6[[#This Row],[Affected WTG]],'Basic Data'!$A:$A,'Basic Data'!$B:$B),"")</f>
        <v>TQGXIIPL</v>
      </c>
      <c r="I441" s="35" t="str">
        <f>IFERROR(_xlfn.XLOOKUP(Table6[[#This Row],[Affected WTG]],'Basic Data'!$A:$A,'Basic Data'!$C:$C),"")</f>
        <v>GEDA</v>
      </c>
      <c r="J441" s="471">
        <f>IFERROR(_xlfn.XLOOKUP(Table6[[#This Row],[Affected WTG]],'Basic Data'!$A:$A,'Basic Data'!$E:$E),"")</f>
        <v>3.846153846153845E-2</v>
      </c>
      <c r="K441" s="102">
        <v>55</v>
      </c>
      <c r="L441" s="35" t="str">
        <f>IFERROR(_xlfn.XLOOKUP(Table6[[#This Row],[Error Code]],'Basic Data'!$AA:$AA,'Basic Data'!$AB:$AB),"Incorrect Error Code")</f>
        <v>WTG shut down</v>
      </c>
      <c r="M441" s="35" t="s">
        <v>330</v>
      </c>
      <c r="N441" s="475"/>
      <c r="O441" s="476">
        <v>0.86458333333333337</v>
      </c>
      <c r="P441" s="476">
        <v>0.86458333333333337</v>
      </c>
      <c r="Q441" s="477">
        <v>1</v>
      </c>
      <c r="R441" s="472">
        <f>IF(Table6[[#This Row],[Work Start TimeStamp]]="","",(Table6[[#This Row],[Work Start TimeStamp]]-Table6[[#This Row],[Fault Start TimeStamp]])*24)</f>
        <v>0</v>
      </c>
      <c r="S441" s="472">
        <f>(Table6[[#This Row],[Fault Clearance time]]-Table6[[#This Row],[Work Start TimeStamp]])*24</f>
        <v>3.2499999999999991</v>
      </c>
      <c r="T441" s="472">
        <f>(Table6[[#This Row],[Fault Clearance time]]-Table6[[#This Row],[Fault Start TimeStamp]])*24</f>
        <v>3.2499999999999991</v>
      </c>
      <c r="U441" s="35" t="s">
        <v>337</v>
      </c>
      <c r="V441" s="102" t="s">
        <v>293</v>
      </c>
      <c r="W441" s="478">
        <f>IFERROR(Table6[[#This Row],[Breakdown Time]]*Table6[[#This Row],[Plant Equivalent Weightage]],"")</f>
        <v>0.12499999999999993</v>
      </c>
      <c r="X441" s="473" t="s">
        <v>290</v>
      </c>
      <c r="Y441" s="474" t="s">
        <v>75</v>
      </c>
      <c r="Z441" s="102">
        <v>46987</v>
      </c>
      <c r="AA441" s="468">
        <f>(Table6[[#This Row],[Paired WTG Generation for loss calculation]]/24)*Table6[[#This Row],[Breakdown Time]]</f>
        <v>6362.8229166666652</v>
      </c>
      <c r="AB441" s="102"/>
      <c r="AC441" s="35"/>
      <c r="AD441" s="35"/>
    </row>
    <row r="442" spans="1:30">
      <c r="A442" s="102">
        <f t="shared" si="7"/>
        <v>441</v>
      </c>
      <c r="B442" s="468">
        <f>YEAR(Table6[[#This Row],[Date]])+IF(MONTH(Table6[[#This Row],[Date]])&gt;=4,1,0)</f>
        <v>2026</v>
      </c>
      <c r="C442" s="102">
        <f>YEAR(Table6[[#This Row],[Date]])</f>
        <v>2025</v>
      </c>
      <c r="D442" s="102" t="s">
        <v>1992</v>
      </c>
      <c r="E442" s="469">
        <f>Table6[[#This Row],[Date]]-DAY(Table6[[#This Row],[Date]])+1</f>
        <v>45748</v>
      </c>
      <c r="F442" s="470">
        <v>45776</v>
      </c>
      <c r="G442" s="35" t="s">
        <v>79</v>
      </c>
      <c r="H442" s="35" t="str">
        <f>IFERROR(_xlfn.XLOOKUP(Table6[[#This Row],[Affected WTG]],'Basic Data'!$A:$A,'Basic Data'!$B:$B),"")</f>
        <v>TQGXIIPL</v>
      </c>
      <c r="I442" s="35" t="str">
        <f>IFERROR(_xlfn.XLOOKUP(Table6[[#This Row],[Affected WTG]],'Basic Data'!$A:$A,'Basic Data'!$C:$C),"")</f>
        <v>GEDA</v>
      </c>
      <c r="J442" s="471">
        <f>IFERROR(_xlfn.XLOOKUP(Table6[[#This Row],[Affected WTG]],'Basic Data'!$A:$A,'Basic Data'!$E:$E),"")</f>
        <v>3.846153846153845E-2</v>
      </c>
      <c r="K442" s="102">
        <v>55</v>
      </c>
      <c r="L442" s="35" t="str">
        <f>IFERROR(_xlfn.XLOOKUP(Table6[[#This Row],[Error Code]],'Basic Data'!$AA:$AA,'Basic Data'!$AB:$AB),"Incorrect Error Code")</f>
        <v>WTG shut down</v>
      </c>
      <c r="M442" s="35" t="s">
        <v>304</v>
      </c>
      <c r="N442" s="475"/>
      <c r="O442" s="476">
        <v>0.28888888888888886</v>
      </c>
      <c r="P442" s="476">
        <v>0.28888888888888886</v>
      </c>
      <c r="Q442" s="477">
        <v>0.57916666666666672</v>
      </c>
      <c r="R442" s="472">
        <f>IF(Table6[[#This Row],[Work Start TimeStamp]]="","",(Table6[[#This Row],[Work Start TimeStamp]]-Table6[[#This Row],[Fault Start TimeStamp]])*24)</f>
        <v>0</v>
      </c>
      <c r="S442" s="472">
        <f>(Table6[[#This Row],[Fault Clearance time]]-Table6[[#This Row],[Work Start TimeStamp]])*24</f>
        <v>6.9666666666666686</v>
      </c>
      <c r="T442" s="472">
        <f>(Table6[[#This Row],[Fault Clearance time]]-Table6[[#This Row],[Fault Start TimeStamp]])*24</f>
        <v>6.9666666666666686</v>
      </c>
      <c r="U442" s="35" t="s">
        <v>357</v>
      </c>
      <c r="V442" s="102" t="s">
        <v>293</v>
      </c>
      <c r="W442" s="478">
        <f>IFERROR(Table6[[#This Row],[Breakdown Time]]*Table6[[#This Row],[Plant Equivalent Weightage]],"")</f>
        <v>0.26794871794871794</v>
      </c>
      <c r="X442" s="473" t="s">
        <v>305</v>
      </c>
      <c r="Y442" s="474" t="s">
        <v>94</v>
      </c>
      <c r="Z442" s="102">
        <v>35807</v>
      </c>
      <c r="AA442" s="468">
        <f>(Table6[[#This Row],[Paired WTG Generation for loss calculation]]/24)*Table6[[#This Row],[Breakdown Time]]</f>
        <v>10393.976388888892</v>
      </c>
      <c r="AB442" s="102"/>
      <c r="AC442" s="35"/>
      <c r="AD442" s="35"/>
    </row>
    <row r="443" spans="1:30">
      <c r="A443" s="102">
        <f t="shared" si="7"/>
        <v>442</v>
      </c>
      <c r="B443" s="468">
        <f>YEAR(Table6[[#This Row],[Date]])+IF(MONTH(Table6[[#This Row],[Date]])&gt;=4,1,0)</f>
        <v>2026</v>
      </c>
      <c r="C443" s="102">
        <f>YEAR(Table6[[#This Row],[Date]])</f>
        <v>2025</v>
      </c>
      <c r="D443" s="102" t="s">
        <v>1992</v>
      </c>
      <c r="E443" s="469">
        <f>Table6[[#This Row],[Date]]-DAY(Table6[[#This Row],[Date]])+1</f>
        <v>45748</v>
      </c>
      <c r="F443" s="470">
        <v>45776</v>
      </c>
      <c r="G443" s="35" t="s">
        <v>79</v>
      </c>
      <c r="H443" s="35" t="str">
        <f>IFERROR(_xlfn.XLOOKUP(Table6[[#This Row],[Affected WTG]],'Basic Data'!$A:$A,'Basic Data'!$B:$B),"")</f>
        <v>TQGXIIPL</v>
      </c>
      <c r="I443" s="35" t="str">
        <f>IFERROR(_xlfn.XLOOKUP(Table6[[#This Row],[Affected WTG]],'Basic Data'!$A:$A,'Basic Data'!$C:$C),"")</f>
        <v>GEDA</v>
      </c>
      <c r="J443" s="471">
        <f>IFERROR(_xlfn.XLOOKUP(Table6[[#This Row],[Affected WTG]],'Basic Data'!$A:$A,'Basic Data'!$E:$E),"")</f>
        <v>3.846153846153845E-2</v>
      </c>
      <c r="K443" s="102">
        <v>3000</v>
      </c>
      <c r="L443" s="35" t="str">
        <f>IFERROR(_xlfn.XLOOKUP(Table6[[#This Row],[Error Code]],'Basic Data'!$AA:$AA,'Basic Data'!$AB:$AB),"Incorrect Error Code")</f>
        <v>Frequency converter not ready</v>
      </c>
      <c r="M443" s="35" t="s">
        <v>291</v>
      </c>
      <c r="N443" s="475"/>
      <c r="O443" s="476">
        <v>0.61041666666666672</v>
      </c>
      <c r="P443" s="476">
        <v>0.61041666666666672</v>
      </c>
      <c r="Q443" s="477">
        <v>0.61527777777777781</v>
      </c>
      <c r="R443" s="472">
        <f>IF(Table6[[#This Row],[Work Start TimeStamp]]="","",(Table6[[#This Row],[Work Start TimeStamp]]-Table6[[#This Row],[Fault Start TimeStamp]])*24)</f>
        <v>0</v>
      </c>
      <c r="S443" s="472">
        <f>(Table6[[#This Row],[Fault Clearance time]]-Table6[[#This Row],[Work Start TimeStamp]])*24</f>
        <v>0.11666666666666625</v>
      </c>
      <c r="T443" s="472">
        <f>(Table6[[#This Row],[Fault Clearance time]]-Table6[[#This Row],[Fault Start TimeStamp]])*24</f>
        <v>0.11666666666666625</v>
      </c>
      <c r="U443" s="35" t="s">
        <v>396</v>
      </c>
      <c r="V443" s="102" t="s">
        <v>293</v>
      </c>
      <c r="W443" s="478">
        <f>IFERROR(Table6[[#This Row],[Breakdown Time]]*Table6[[#This Row],[Plant Equivalent Weightage]],"")</f>
        <v>4.4871794871794695E-3</v>
      </c>
      <c r="X443" s="473" t="s">
        <v>294</v>
      </c>
      <c r="Y443" s="474" t="s">
        <v>94</v>
      </c>
      <c r="Z443" s="102">
        <v>35807</v>
      </c>
      <c r="AA443" s="468">
        <f>(Table6[[#This Row],[Paired WTG Generation for loss calculation]]/24)*Table6[[#This Row],[Breakdown Time]]</f>
        <v>174.06180555555494</v>
      </c>
      <c r="AB443" s="102"/>
      <c r="AC443" s="35"/>
      <c r="AD443" s="35"/>
    </row>
    <row r="444" spans="1:30">
      <c r="A444" s="102">
        <f t="shared" si="7"/>
        <v>443</v>
      </c>
      <c r="B444" s="468">
        <f>YEAR(Table6[[#This Row],[Date]])+IF(MONTH(Table6[[#This Row],[Date]])&gt;=4,1,0)</f>
        <v>2026</v>
      </c>
      <c r="C444" s="102">
        <f>YEAR(Table6[[#This Row],[Date]])</f>
        <v>2025</v>
      </c>
      <c r="D444" s="102" t="s">
        <v>1992</v>
      </c>
      <c r="E444" s="469">
        <f>Table6[[#This Row],[Date]]-DAY(Table6[[#This Row],[Date]])+1</f>
        <v>45748</v>
      </c>
      <c r="F444" s="470">
        <v>45776</v>
      </c>
      <c r="G444" s="35" t="s">
        <v>80</v>
      </c>
      <c r="H444" s="35" t="str">
        <f>IFERROR(_xlfn.XLOOKUP(Table6[[#This Row],[Affected WTG]],'Basic Data'!$A:$A,'Basic Data'!$B:$B),"")</f>
        <v>TQGXIIPL</v>
      </c>
      <c r="I444" s="35" t="str">
        <f>IFERROR(_xlfn.XLOOKUP(Table6[[#This Row],[Affected WTG]],'Basic Data'!$A:$A,'Basic Data'!$C:$C),"")</f>
        <v>GEDA</v>
      </c>
      <c r="J444" s="471">
        <f>IFERROR(_xlfn.XLOOKUP(Table6[[#This Row],[Affected WTG]],'Basic Data'!$A:$A,'Basic Data'!$E:$E),"")</f>
        <v>3.846153846153845E-2</v>
      </c>
      <c r="K444" s="102">
        <v>6130</v>
      </c>
      <c r="L444" s="35" t="str">
        <f>IFERROR(_xlfn.XLOOKUP(Table6[[#This Row],[Error Code]],'Basic Data'!$AA:$AA,'Basic Data'!$AB:$AB),"Incorrect Error Code")</f>
        <v>Yaw speed high</v>
      </c>
      <c r="M444" s="35" t="s">
        <v>292</v>
      </c>
      <c r="N444" s="475"/>
      <c r="O444" s="476">
        <v>0.3263888888888889</v>
      </c>
      <c r="P444" s="476">
        <v>0.3263888888888889</v>
      </c>
      <c r="Q444" s="477">
        <v>0.33055555555555555</v>
      </c>
      <c r="R444" s="472">
        <f>IF(Table6[[#This Row],[Work Start TimeStamp]]="","",(Table6[[#This Row],[Work Start TimeStamp]]-Table6[[#This Row],[Fault Start TimeStamp]])*24)</f>
        <v>0</v>
      </c>
      <c r="S444" s="472">
        <f>(Table6[[#This Row],[Fault Clearance time]]-Table6[[#This Row],[Work Start TimeStamp]])*24</f>
        <v>9.9999999999999645E-2</v>
      </c>
      <c r="T444" s="472">
        <f>(Table6[[#This Row],[Fault Clearance time]]-Table6[[#This Row],[Fault Start TimeStamp]])*24</f>
        <v>9.9999999999999645E-2</v>
      </c>
      <c r="U444" s="35" t="s">
        <v>336</v>
      </c>
      <c r="V444" s="102" t="s">
        <v>293</v>
      </c>
      <c r="W444" s="478">
        <f>IFERROR(Table6[[#This Row],[Breakdown Time]]*Table6[[#This Row],[Plant Equivalent Weightage]],"")</f>
        <v>3.8461538461538312E-3</v>
      </c>
      <c r="X444" s="473" t="s">
        <v>294</v>
      </c>
      <c r="Y444" s="474" t="s">
        <v>77</v>
      </c>
      <c r="Z444" s="102">
        <v>47661</v>
      </c>
      <c r="AA444" s="468">
        <f>(Table6[[#This Row],[Paired WTG Generation for loss calculation]]/24)*Table6[[#This Row],[Breakdown Time]]</f>
        <v>198.5874999999993</v>
      </c>
      <c r="AB444" s="102"/>
      <c r="AC444" s="35"/>
      <c r="AD444" s="35"/>
    </row>
    <row r="445" spans="1:30">
      <c r="A445" s="102">
        <f t="shared" si="7"/>
        <v>444</v>
      </c>
      <c r="B445" s="468">
        <f>YEAR(Table6[[#This Row],[Date]])+IF(MONTH(Table6[[#This Row],[Date]])&gt;=4,1,0)</f>
        <v>2026</v>
      </c>
      <c r="C445" s="102">
        <f>YEAR(Table6[[#This Row],[Date]])</f>
        <v>2025</v>
      </c>
      <c r="D445" s="102" t="s">
        <v>1992</v>
      </c>
      <c r="E445" s="469">
        <f>Table6[[#This Row],[Date]]-DAY(Table6[[#This Row],[Date]])+1</f>
        <v>45748</v>
      </c>
      <c r="F445" s="470">
        <v>45776</v>
      </c>
      <c r="G445" s="35" t="s">
        <v>80</v>
      </c>
      <c r="H445" s="35" t="str">
        <f>IFERROR(_xlfn.XLOOKUP(Table6[[#This Row],[Affected WTG]],'Basic Data'!$A:$A,'Basic Data'!$B:$B),"")</f>
        <v>TQGXIIPL</v>
      </c>
      <c r="I445" s="35" t="str">
        <f>IFERROR(_xlfn.XLOOKUP(Table6[[#This Row],[Affected WTG]],'Basic Data'!$A:$A,'Basic Data'!$C:$C),"")</f>
        <v>GEDA</v>
      </c>
      <c r="J445" s="471">
        <f>IFERROR(_xlfn.XLOOKUP(Table6[[#This Row],[Affected WTG]],'Basic Data'!$A:$A,'Basic Data'!$E:$E),"")</f>
        <v>3.846153846153845E-2</v>
      </c>
      <c r="K445" s="102">
        <v>3000</v>
      </c>
      <c r="L445" s="35" t="str">
        <f>IFERROR(_xlfn.XLOOKUP(Table6[[#This Row],[Error Code]],'Basic Data'!$AA:$AA,'Basic Data'!$AB:$AB),"Incorrect Error Code")</f>
        <v>Frequency converter not ready</v>
      </c>
      <c r="M445" s="35" t="s">
        <v>291</v>
      </c>
      <c r="N445" s="475"/>
      <c r="O445" s="476">
        <v>0.74791666666666667</v>
      </c>
      <c r="P445" s="476">
        <v>0.74791666666666667</v>
      </c>
      <c r="Q445" s="477">
        <v>0.78125</v>
      </c>
      <c r="R445" s="472">
        <f>IF(Table6[[#This Row],[Work Start TimeStamp]]="","",(Table6[[#This Row],[Work Start TimeStamp]]-Table6[[#This Row],[Fault Start TimeStamp]])*24)</f>
        <v>0</v>
      </c>
      <c r="S445" s="472">
        <f>(Table6[[#This Row],[Fault Clearance time]]-Table6[[#This Row],[Work Start TimeStamp]])*24</f>
        <v>0.79999999999999982</v>
      </c>
      <c r="T445" s="472">
        <f>(Table6[[#This Row],[Fault Clearance time]]-Table6[[#This Row],[Fault Start TimeStamp]])*24</f>
        <v>0.79999999999999982</v>
      </c>
      <c r="U445" s="35" t="s">
        <v>396</v>
      </c>
      <c r="V445" s="102" t="s">
        <v>293</v>
      </c>
      <c r="W445" s="478">
        <f>IFERROR(Table6[[#This Row],[Breakdown Time]]*Table6[[#This Row],[Plant Equivalent Weightage]],"")</f>
        <v>3.0769230769230754E-2</v>
      </c>
      <c r="X445" s="473" t="s">
        <v>294</v>
      </c>
      <c r="Y445" s="474" t="s">
        <v>77</v>
      </c>
      <c r="Z445" s="102">
        <v>47661</v>
      </c>
      <c r="AA445" s="468">
        <f>(Table6[[#This Row],[Paired WTG Generation for loss calculation]]/24)*Table6[[#This Row],[Breakdown Time]]</f>
        <v>1588.6999999999996</v>
      </c>
      <c r="AB445" s="102"/>
      <c r="AC445" s="35"/>
      <c r="AD445" s="35"/>
    </row>
    <row r="446" spans="1:30">
      <c r="A446" s="102">
        <f t="shared" si="7"/>
        <v>445</v>
      </c>
      <c r="B446" s="468">
        <f>YEAR(Table6[[#This Row],[Date]])+IF(MONTH(Table6[[#This Row],[Date]])&gt;=4,1,0)</f>
        <v>2026</v>
      </c>
      <c r="C446" s="102">
        <f>YEAR(Table6[[#This Row],[Date]])</f>
        <v>2025</v>
      </c>
      <c r="D446" s="102" t="s">
        <v>1992</v>
      </c>
      <c r="E446" s="469">
        <f>Table6[[#This Row],[Date]]-DAY(Table6[[#This Row],[Date]])+1</f>
        <v>45748</v>
      </c>
      <c r="F446" s="470">
        <v>45776</v>
      </c>
      <c r="G446" s="35" t="s">
        <v>81</v>
      </c>
      <c r="H446" s="35" t="str">
        <f>IFERROR(_xlfn.XLOOKUP(Table6[[#This Row],[Affected WTG]],'Basic Data'!$A:$A,'Basic Data'!$B:$B),"")</f>
        <v>TQGXIIPL</v>
      </c>
      <c r="I446" s="35" t="str">
        <f>IFERROR(_xlfn.XLOOKUP(Table6[[#This Row],[Affected WTG]],'Basic Data'!$A:$A,'Basic Data'!$C:$C),"")</f>
        <v>GEDA</v>
      </c>
      <c r="J446" s="471">
        <f>IFERROR(_xlfn.XLOOKUP(Table6[[#This Row],[Affected WTG]],'Basic Data'!$A:$A,'Basic Data'!$E:$E),"")</f>
        <v>3.846153846153845E-2</v>
      </c>
      <c r="K446" s="102">
        <v>6130</v>
      </c>
      <c r="L446" s="35" t="str">
        <f>IFERROR(_xlfn.XLOOKUP(Table6[[#This Row],[Error Code]],'Basic Data'!$AA:$AA,'Basic Data'!$AB:$AB),"Incorrect Error Code")</f>
        <v>Yaw speed high</v>
      </c>
      <c r="M446" s="35" t="s">
        <v>292</v>
      </c>
      <c r="N446" s="475"/>
      <c r="O446" s="476">
        <v>0.55277777777777781</v>
      </c>
      <c r="P446" s="476">
        <v>0.55277777777777781</v>
      </c>
      <c r="Q446" s="477">
        <v>0.55694444444444446</v>
      </c>
      <c r="R446" s="472">
        <f>IF(Table6[[#This Row],[Work Start TimeStamp]]="","",(Table6[[#This Row],[Work Start TimeStamp]]-Table6[[#This Row],[Fault Start TimeStamp]])*24)</f>
        <v>0</v>
      </c>
      <c r="S446" s="472">
        <f>(Table6[[#This Row],[Fault Clearance time]]-Table6[[#This Row],[Work Start TimeStamp]])*24</f>
        <v>9.9999999999999645E-2</v>
      </c>
      <c r="T446" s="472">
        <f>(Table6[[#This Row],[Fault Clearance time]]-Table6[[#This Row],[Fault Start TimeStamp]])*24</f>
        <v>9.9999999999999645E-2</v>
      </c>
      <c r="U446" s="35" t="s">
        <v>336</v>
      </c>
      <c r="V446" s="102" t="s">
        <v>293</v>
      </c>
      <c r="W446" s="478">
        <f>IFERROR(Table6[[#This Row],[Breakdown Time]]*Table6[[#This Row],[Plant Equivalent Weightage]],"")</f>
        <v>3.8461538461538312E-3</v>
      </c>
      <c r="X446" s="473" t="s">
        <v>294</v>
      </c>
      <c r="Y446" s="474" t="s">
        <v>99</v>
      </c>
      <c r="Z446" s="102">
        <v>40476</v>
      </c>
      <c r="AA446" s="468">
        <f>(Table6[[#This Row],[Paired WTG Generation for loss calculation]]/24)*Table6[[#This Row],[Breakdown Time]]</f>
        <v>168.64999999999941</v>
      </c>
      <c r="AB446" s="102"/>
      <c r="AC446" s="35"/>
      <c r="AD446" s="35"/>
    </row>
    <row r="447" spans="1:30">
      <c r="A447" s="102">
        <f t="shared" si="7"/>
        <v>446</v>
      </c>
      <c r="B447" s="468">
        <f>YEAR(Table6[[#This Row],[Date]])+IF(MONTH(Table6[[#This Row],[Date]])&gt;=4,1,0)</f>
        <v>2026</v>
      </c>
      <c r="C447" s="102">
        <f>YEAR(Table6[[#This Row],[Date]])</f>
        <v>2025</v>
      </c>
      <c r="D447" s="102" t="s">
        <v>1992</v>
      </c>
      <c r="E447" s="469">
        <f>Table6[[#This Row],[Date]]-DAY(Table6[[#This Row],[Date]])+1</f>
        <v>45748</v>
      </c>
      <c r="F447" s="470">
        <v>45776</v>
      </c>
      <c r="G447" s="35" t="s">
        <v>81</v>
      </c>
      <c r="H447" s="35" t="str">
        <f>IFERROR(_xlfn.XLOOKUP(Table6[[#This Row],[Affected WTG]],'Basic Data'!$A:$A,'Basic Data'!$B:$B),"")</f>
        <v>TQGXIIPL</v>
      </c>
      <c r="I447" s="35" t="str">
        <f>IFERROR(_xlfn.XLOOKUP(Table6[[#This Row],[Affected WTG]],'Basic Data'!$A:$A,'Basic Data'!$C:$C),"")</f>
        <v>GEDA</v>
      </c>
      <c r="J447" s="471">
        <f>IFERROR(_xlfn.XLOOKUP(Table6[[#This Row],[Affected WTG]],'Basic Data'!$A:$A,'Basic Data'!$E:$E),"")</f>
        <v>3.846153846153845E-2</v>
      </c>
      <c r="K447" s="102">
        <v>6130</v>
      </c>
      <c r="L447" s="35" t="str">
        <f>IFERROR(_xlfn.XLOOKUP(Table6[[#This Row],[Error Code]],'Basic Data'!$AA:$AA,'Basic Data'!$AB:$AB),"Incorrect Error Code")</f>
        <v>Yaw speed high</v>
      </c>
      <c r="M447" s="35" t="s">
        <v>291</v>
      </c>
      <c r="N447" s="475"/>
      <c r="O447" s="476">
        <v>0.61041666666666672</v>
      </c>
      <c r="P447" s="476">
        <v>0.61041666666666672</v>
      </c>
      <c r="Q447" s="477">
        <v>0.61805555555555558</v>
      </c>
      <c r="R447" s="472">
        <f>IF(Table6[[#This Row],[Work Start TimeStamp]]="","",(Table6[[#This Row],[Work Start TimeStamp]]-Table6[[#This Row],[Fault Start TimeStamp]])*24)</f>
        <v>0</v>
      </c>
      <c r="S447" s="472">
        <f>(Table6[[#This Row],[Fault Clearance time]]-Table6[[#This Row],[Work Start TimeStamp]])*24</f>
        <v>0.18333333333333268</v>
      </c>
      <c r="T447" s="472">
        <f>(Table6[[#This Row],[Fault Clearance time]]-Table6[[#This Row],[Fault Start TimeStamp]])*24</f>
        <v>0.18333333333333268</v>
      </c>
      <c r="U447" s="35" t="s">
        <v>349</v>
      </c>
      <c r="V447" s="102" t="s">
        <v>293</v>
      </c>
      <c r="W447" s="478">
        <f>IFERROR(Table6[[#This Row],[Breakdown Time]]*Table6[[#This Row],[Plant Equivalent Weightage]],"")</f>
        <v>7.0512820512820245E-3</v>
      </c>
      <c r="X447" s="473" t="s">
        <v>294</v>
      </c>
      <c r="Y447" s="474" t="s">
        <v>99</v>
      </c>
      <c r="Z447" s="102">
        <v>40476</v>
      </c>
      <c r="AA447" s="468">
        <f>(Table6[[#This Row],[Paired WTG Generation for loss calculation]]/24)*Table6[[#This Row],[Breakdown Time]]</f>
        <v>309.19166666666558</v>
      </c>
      <c r="AB447" s="102"/>
      <c r="AC447" s="35"/>
      <c r="AD447" s="35"/>
    </row>
    <row r="448" spans="1:30">
      <c r="A448" s="102">
        <f t="shared" si="7"/>
        <v>447</v>
      </c>
      <c r="B448" s="468">
        <f>YEAR(Table6[[#This Row],[Date]])+IF(MONTH(Table6[[#This Row],[Date]])&gt;=4,1,0)</f>
        <v>2026</v>
      </c>
      <c r="C448" s="102">
        <f>YEAR(Table6[[#This Row],[Date]])</f>
        <v>2025</v>
      </c>
      <c r="D448" s="102" t="s">
        <v>1992</v>
      </c>
      <c r="E448" s="469">
        <f>Table6[[#This Row],[Date]]-DAY(Table6[[#This Row],[Date]])+1</f>
        <v>45748</v>
      </c>
      <c r="F448" s="470">
        <v>45776</v>
      </c>
      <c r="G448" s="35" t="s">
        <v>83</v>
      </c>
      <c r="H448" s="35" t="str">
        <f>IFERROR(_xlfn.XLOOKUP(Table6[[#This Row],[Affected WTG]],'Basic Data'!$A:$A,'Basic Data'!$B:$B),"")</f>
        <v>TQGXIIPL</v>
      </c>
      <c r="I448" s="35" t="str">
        <f>IFERROR(_xlfn.XLOOKUP(Table6[[#This Row],[Affected WTG]],'Basic Data'!$A:$A,'Basic Data'!$C:$C),"")</f>
        <v>GEDA</v>
      </c>
      <c r="J448" s="471">
        <f>IFERROR(_xlfn.XLOOKUP(Table6[[#This Row],[Affected WTG]],'Basic Data'!$A:$A,'Basic Data'!$E:$E),"")</f>
        <v>3.846153846153845E-2</v>
      </c>
      <c r="K448" s="102">
        <v>6130</v>
      </c>
      <c r="L448" s="35" t="str">
        <f>IFERROR(_xlfn.XLOOKUP(Table6[[#This Row],[Error Code]],'Basic Data'!$AA:$AA,'Basic Data'!$AB:$AB),"Incorrect Error Code")</f>
        <v>Yaw speed high</v>
      </c>
      <c r="M448" s="35" t="s">
        <v>292</v>
      </c>
      <c r="N448" s="475"/>
      <c r="O448" s="476">
        <v>0.52500000000000002</v>
      </c>
      <c r="P448" s="476">
        <v>0.52500000000000002</v>
      </c>
      <c r="Q448" s="477">
        <v>0.52916666666666667</v>
      </c>
      <c r="R448" s="472">
        <f>IF(Table6[[#This Row],[Work Start TimeStamp]]="","",(Table6[[#This Row],[Work Start TimeStamp]]-Table6[[#This Row],[Fault Start TimeStamp]])*24)</f>
        <v>0</v>
      </c>
      <c r="S448" s="472">
        <f>(Table6[[#This Row],[Fault Clearance time]]-Table6[[#This Row],[Work Start TimeStamp]])*24</f>
        <v>9.9999999999999645E-2</v>
      </c>
      <c r="T448" s="472">
        <f>(Table6[[#This Row],[Fault Clearance time]]-Table6[[#This Row],[Fault Start TimeStamp]])*24</f>
        <v>9.9999999999999645E-2</v>
      </c>
      <c r="U448" s="35" t="s">
        <v>336</v>
      </c>
      <c r="V448" s="102" t="s">
        <v>293</v>
      </c>
      <c r="W448" s="478">
        <f>IFERROR(Table6[[#This Row],[Breakdown Time]]*Table6[[#This Row],[Plant Equivalent Weightage]],"")</f>
        <v>3.8461538461538312E-3</v>
      </c>
      <c r="X448" s="473" t="s">
        <v>294</v>
      </c>
      <c r="Y448" s="474" t="s">
        <v>88</v>
      </c>
      <c r="Z448" s="102">
        <v>40415</v>
      </c>
      <c r="AA448" s="468">
        <f>(Table6[[#This Row],[Paired WTG Generation for loss calculation]]/24)*Table6[[#This Row],[Breakdown Time]]</f>
        <v>168.39583333333272</v>
      </c>
      <c r="AB448" s="102"/>
      <c r="AC448" s="35"/>
      <c r="AD448" s="35"/>
    </row>
    <row r="449" spans="1:30">
      <c r="A449" s="102">
        <f t="shared" si="7"/>
        <v>448</v>
      </c>
      <c r="B449" s="468">
        <f>YEAR(Table6[[#This Row],[Date]])+IF(MONTH(Table6[[#This Row],[Date]])&gt;=4,1,0)</f>
        <v>2026</v>
      </c>
      <c r="C449" s="102">
        <f>YEAR(Table6[[#This Row],[Date]])</f>
        <v>2025</v>
      </c>
      <c r="D449" s="102" t="s">
        <v>1992</v>
      </c>
      <c r="E449" s="469">
        <f>Table6[[#This Row],[Date]]-DAY(Table6[[#This Row],[Date]])+1</f>
        <v>45748</v>
      </c>
      <c r="F449" s="470">
        <v>45776</v>
      </c>
      <c r="G449" s="35" t="s">
        <v>85</v>
      </c>
      <c r="H449" s="35" t="str">
        <f>IFERROR(_xlfn.XLOOKUP(Table6[[#This Row],[Affected WTG]],'Basic Data'!$A:$A,'Basic Data'!$B:$B),"")</f>
        <v>TQGXIIPL</v>
      </c>
      <c r="I449" s="35" t="str">
        <f>IFERROR(_xlfn.XLOOKUP(Table6[[#This Row],[Affected WTG]],'Basic Data'!$A:$A,'Basic Data'!$C:$C),"")</f>
        <v>GEDA</v>
      </c>
      <c r="J449" s="471">
        <f>IFERROR(_xlfn.XLOOKUP(Table6[[#This Row],[Affected WTG]],'Basic Data'!$A:$A,'Basic Data'!$E:$E),"")</f>
        <v>3.846153846153845E-2</v>
      </c>
      <c r="K449" s="102">
        <v>1700</v>
      </c>
      <c r="L449" s="35" t="str">
        <f>IFERROR(_xlfn.XLOOKUP(Table6[[#This Row],[Error Code]],'Basic Data'!$AA:$AA,'Basic Data'!$AB:$AB),"Incorrect Error Code")</f>
        <v>High temp. gear bearing 1</v>
      </c>
      <c r="M449" s="35" t="s">
        <v>291</v>
      </c>
      <c r="N449" s="475"/>
      <c r="O449" s="476">
        <v>0.5083333333333333</v>
      </c>
      <c r="P449" s="476">
        <v>0.5083333333333333</v>
      </c>
      <c r="Q449" s="477">
        <v>0.51944444444444449</v>
      </c>
      <c r="R449" s="472">
        <f>IF(Table6[[#This Row],[Work Start TimeStamp]]="","",(Table6[[#This Row],[Work Start TimeStamp]]-Table6[[#This Row],[Fault Start TimeStamp]])*24)</f>
        <v>0</v>
      </c>
      <c r="S449" s="472">
        <f>(Table6[[#This Row],[Fault Clearance time]]-Table6[[#This Row],[Work Start TimeStamp]])*24</f>
        <v>0.26666666666666838</v>
      </c>
      <c r="T449" s="472">
        <f>(Table6[[#This Row],[Fault Clearance time]]-Table6[[#This Row],[Fault Start TimeStamp]])*24</f>
        <v>0.26666666666666838</v>
      </c>
      <c r="U449" s="35" t="s">
        <v>382</v>
      </c>
      <c r="V449" s="102" t="s">
        <v>293</v>
      </c>
      <c r="W449" s="478">
        <f>IFERROR(Table6[[#This Row],[Breakdown Time]]*Table6[[#This Row],[Plant Equivalent Weightage]],"")</f>
        <v>1.0256410256410319E-2</v>
      </c>
      <c r="X449" s="473" t="s">
        <v>294</v>
      </c>
      <c r="Y449" s="474" t="s">
        <v>87</v>
      </c>
      <c r="Z449" s="102">
        <v>36243</v>
      </c>
      <c r="AA449" s="468">
        <f>(Table6[[#This Row],[Paired WTG Generation for loss calculation]]/24)*Table6[[#This Row],[Breakdown Time]]</f>
        <v>402.7000000000026</v>
      </c>
      <c r="AB449" s="102"/>
      <c r="AC449" s="35"/>
      <c r="AD449" s="35"/>
    </row>
    <row r="450" spans="1:30">
      <c r="A450" s="102">
        <f t="shared" si="7"/>
        <v>449</v>
      </c>
      <c r="B450" s="468">
        <f>YEAR(Table6[[#This Row],[Date]])+IF(MONTH(Table6[[#This Row],[Date]])&gt;=4,1,0)</f>
        <v>2026</v>
      </c>
      <c r="C450" s="102">
        <f>YEAR(Table6[[#This Row],[Date]])</f>
        <v>2025</v>
      </c>
      <c r="D450" s="102" t="s">
        <v>1992</v>
      </c>
      <c r="E450" s="469">
        <f>Table6[[#This Row],[Date]]-DAY(Table6[[#This Row],[Date]])+1</f>
        <v>45748</v>
      </c>
      <c r="F450" s="470">
        <v>45776</v>
      </c>
      <c r="G450" s="35" t="s">
        <v>86</v>
      </c>
      <c r="H450" s="35" t="str">
        <f>IFERROR(_xlfn.XLOOKUP(Table6[[#This Row],[Affected WTG]],'Basic Data'!$A:$A,'Basic Data'!$B:$B),"")</f>
        <v>TQGXIIPL</v>
      </c>
      <c r="I450" s="35" t="str">
        <f>IFERROR(_xlfn.XLOOKUP(Table6[[#This Row],[Affected WTG]],'Basic Data'!$A:$A,'Basic Data'!$C:$C),"")</f>
        <v>GEDA</v>
      </c>
      <c r="J450" s="471">
        <f>IFERROR(_xlfn.XLOOKUP(Table6[[#This Row],[Affected WTG]],'Basic Data'!$A:$A,'Basic Data'!$E:$E),"")</f>
        <v>3.846153846153845E-2</v>
      </c>
      <c r="K450" s="102">
        <v>6130</v>
      </c>
      <c r="L450" s="35" t="str">
        <f>IFERROR(_xlfn.XLOOKUP(Table6[[#This Row],[Error Code]],'Basic Data'!$AA:$AA,'Basic Data'!$AB:$AB),"Incorrect Error Code")</f>
        <v>Yaw speed high</v>
      </c>
      <c r="M450" s="35" t="s">
        <v>292</v>
      </c>
      <c r="N450" s="475"/>
      <c r="O450" s="476">
        <v>0.4597222222222222</v>
      </c>
      <c r="P450" s="476">
        <v>0.4597222222222222</v>
      </c>
      <c r="Q450" s="477">
        <v>0.46388888888888891</v>
      </c>
      <c r="R450" s="472">
        <f>IF(Table6[[#This Row],[Work Start TimeStamp]]="","",(Table6[[#This Row],[Work Start TimeStamp]]-Table6[[#This Row],[Fault Start TimeStamp]])*24)</f>
        <v>0</v>
      </c>
      <c r="S450" s="472">
        <f>(Table6[[#This Row],[Fault Clearance time]]-Table6[[#This Row],[Work Start TimeStamp]])*24</f>
        <v>0.10000000000000098</v>
      </c>
      <c r="T450" s="472">
        <f>(Table6[[#This Row],[Fault Clearance time]]-Table6[[#This Row],[Fault Start TimeStamp]])*24</f>
        <v>0.10000000000000098</v>
      </c>
      <c r="U450" s="35" t="s">
        <v>336</v>
      </c>
      <c r="V450" s="102" t="s">
        <v>293</v>
      </c>
      <c r="W450" s="478">
        <f>IFERROR(Table6[[#This Row],[Breakdown Time]]*Table6[[#This Row],[Plant Equivalent Weightage]],"")</f>
        <v>3.8461538461538824E-3</v>
      </c>
      <c r="X450" s="473" t="s">
        <v>294</v>
      </c>
      <c r="Y450" s="474" t="s">
        <v>84</v>
      </c>
      <c r="Z450" s="102">
        <v>38381</v>
      </c>
      <c r="AA450" s="468">
        <f>(Table6[[#This Row],[Paired WTG Generation for loss calculation]]/24)*Table6[[#This Row],[Breakdown Time]]</f>
        <v>159.92083333333488</v>
      </c>
      <c r="AB450" s="102"/>
      <c r="AC450" s="35"/>
      <c r="AD450" s="35"/>
    </row>
    <row r="451" spans="1:30">
      <c r="A451" s="102">
        <f t="shared" si="7"/>
        <v>450</v>
      </c>
      <c r="B451" s="468">
        <f>YEAR(Table6[[#This Row],[Date]])+IF(MONTH(Table6[[#This Row],[Date]])&gt;=4,1,0)</f>
        <v>2026</v>
      </c>
      <c r="C451" s="102">
        <f>YEAR(Table6[[#This Row],[Date]])</f>
        <v>2025</v>
      </c>
      <c r="D451" s="102" t="s">
        <v>1992</v>
      </c>
      <c r="E451" s="469">
        <f>Table6[[#This Row],[Date]]-DAY(Table6[[#This Row],[Date]])+1</f>
        <v>45748</v>
      </c>
      <c r="F451" s="470">
        <v>45776</v>
      </c>
      <c r="G451" s="35" t="s">
        <v>86</v>
      </c>
      <c r="H451" s="35" t="str">
        <f>IFERROR(_xlfn.XLOOKUP(Table6[[#This Row],[Affected WTG]],'Basic Data'!$A:$A,'Basic Data'!$B:$B),"")</f>
        <v>TQGXIIPL</v>
      </c>
      <c r="I451" s="35" t="str">
        <f>IFERROR(_xlfn.XLOOKUP(Table6[[#This Row],[Affected WTG]],'Basic Data'!$A:$A,'Basic Data'!$C:$C),"")</f>
        <v>GEDA</v>
      </c>
      <c r="J451" s="471">
        <f>IFERROR(_xlfn.XLOOKUP(Table6[[#This Row],[Affected WTG]],'Basic Data'!$A:$A,'Basic Data'!$E:$E),"")</f>
        <v>3.846153846153845E-2</v>
      </c>
      <c r="K451" s="102">
        <v>6130</v>
      </c>
      <c r="L451" s="35" t="str">
        <f>IFERROR(_xlfn.XLOOKUP(Table6[[#This Row],[Error Code]],'Basic Data'!$AA:$AA,'Basic Data'!$AB:$AB),"Incorrect Error Code")</f>
        <v>Yaw speed high</v>
      </c>
      <c r="M451" s="35" t="s">
        <v>291</v>
      </c>
      <c r="N451" s="475"/>
      <c r="O451" s="476">
        <v>0.48055555555555557</v>
      </c>
      <c r="P451" s="476">
        <v>0.48055555555555557</v>
      </c>
      <c r="Q451" s="477">
        <v>0.49513888888888891</v>
      </c>
      <c r="R451" s="472">
        <f>IF(Table6[[#This Row],[Work Start TimeStamp]]="","",(Table6[[#This Row],[Work Start TimeStamp]]-Table6[[#This Row],[Fault Start TimeStamp]])*24)</f>
        <v>0</v>
      </c>
      <c r="S451" s="472">
        <f>(Table6[[#This Row],[Fault Clearance time]]-Table6[[#This Row],[Work Start TimeStamp]])*24</f>
        <v>0.35000000000000009</v>
      </c>
      <c r="T451" s="472">
        <f>(Table6[[#This Row],[Fault Clearance time]]-Table6[[#This Row],[Fault Start TimeStamp]])*24</f>
        <v>0.35000000000000009</v>
      </c>
      <c r="U451" s="35" t="s">
        <v>349</v>
      </c>
      <c r="V451" s="102" t="s">
        <v>293</v>
      </c>
      <c r="W451" s="478">
        <f>IFERROR(Table6[[#This Row],[Breakdown Time]]*Table6[[#This Row],[Plant Equivalent Weightage]],"")</f>
        <v>1.3461538461538461E-2</v>
      </c>
      <c r="X451" s="473" t="s">
        <v>294</v>
      </c>
      <c r="Y451" s="474" t="s">
        <v>84</v>
      </c>
      <c r="Z451" s="102">
        <v>38381</v>
      </c>
      <c r="AA451" s="468">
        <f>(Table6[[#This Row],[Paired WTG Generation for loss calculation]]/24)*Table6[[#This Row],[Breakdown Time]]</f>
        <v>559.72291666666683</v>
      </c>
      <c r="AB451" s="102"/>
      <c r="AC451" s="35"/>
      <c r="AD451" s="35"/>
    </row>
    <row r="452" spans="1:30">
      <c r="A452" s="102">
        <f t="shared" si="7"/>
        <v>451</v>
      </c>
      <c r="B452" s="468">
        <f>YEAR(Table6[[#This Row],[Date]])+IF(MONTH(Table6[[#This Row],[Date]])&gt;=4,1,0)</f>
        <v>2026</v>
      </c>
      <c r="C452" s="102">
        <f>YEAR(Table6[[#This Row],[Date]])</f>
        <v>2025</v>
      </c>
      <c r="D452" s="102" t="s">
        <v>1992</v>
      </c>
      <c r="E452" s="469">
        <f>Table6[[#This Row],[Date]]-DAY(Table6[[#This Row],[Date]])+1</f>
        <v>45748</v>
      </c>
      <c r="F452" s="470">
        <v>45776</v>
      </c>
      <c r="G452" s="35" t="s">
        <v>87</v>
      </c>
      <c r="H452" s="35" t="str">
        <f>IFERROR(_xlfn.XLOOKUP(Table6[[#This Row],[Affected WTG]],'Basic Data'!$A:$A,'Basic Data'!$B:$B),"")</f>
        <v>TQGXIIPL</v>
      </c>
      <c r="I452" s="35" t="str">
        <f>IFERROR(_xlfn.XLOOKUP(Table6[[#This Row],[Affected WTG]],'Basic Data'!$A:$A,'Basic Data'!$C:$C),"")</f>
        <v>GEDA</v>
      </c>
      <c r="J452" s="471">
        <f>IFERROR(_xlfn.XLOOKUP(Table6[[#This Row],[Affected WTG]],'Basic Data'!$A:$A,'Basic Data'!$E:$E),"")</f>
        <v>3.846153846153845E-2</v>
      </c>
      <c r="K452" s="102">
        <v>6130</v>
      </c>
      <c r="L452" s="35" t="str">
        <f>IFERROR(_xlfn.XLOOKUP(Table6[[#This Row],[Error Code]],'Basic Data'!$AA:$AA,'Basic Data'!$AB:$AB),"Incorrect Error Code")</f>
        <v>Yaw speed high</v>
      </c>
      <c r="M452" s="35" t="s">
        <v>291</v>
      </c>
      <c r="N452" s="475"/>
      <c r="O452" s="476">
        <v>0.51666666666666672</v>
      </c>
      <c r="P452" s="476">
        <v>0.51666666666666672</v>
      </c>
      <c r="Q452" s="477">
        <v>0.52013888888888893</v>
      </c>
      <c r="R452" s="472">
        <f>IF(Table6[[#This Row],[Work Start TimeStamp]]="","",(Table6[[#This Row],[Work Start TimeStamp]]-Table6[[#This Row],[Fault Start TimeStamp]])*24)</f>
        <v>0</v>
      </c>
      <c r="S452" s="472">
        <f>(Table6[[#This Row],[Fault Clearance time]]-Table6[[#This Row],[Work Start TimeStamp]])*24</f>
        <v>8.3333333333333037E-2</v>
      </c>
      <c r="T452" s="472">
        <f>(Table6[[#This Row],[Fault Clearance time]]-Table6[[#This Row],[Fault Start TimeStamp]])*24</f>
        <v>8.3333333333333037E-2</v>
      </c>
      <c r="U452" s="35" t="s">
        <v>349</v>
      </c>
      <c r="V452" s="102" t="s">
        <v>293</v>
      </c>
      <c r="W452" s="478">
        <f>IFERROR(Table6[[#This Row],[Breakdown Time]]*Table6[[#This Row],[Plant Equivalent Weightage]],"")</f>
        <v>3.2051282051281929E-3</v>
      </c>
      <c r="X452" s="473" t="s">
        <v>294</v>
      </c>
      <c r="Y452" s="474" t="s">
        <v>85</v>
      </c>
      <c r="Z452" s="102">
        <v>36596</v>
      </c>
      <c r="AA452" s="468">
        <f>(Table6[[#This Row],[Paired WTG Generation for loss calculation]]/24)*Table6[[#This Row],[Breakdown Time]]</f>
        <v>127.06944444444399</v>
      </c>
      <c r="AB452" s="102"/>
      <c r="AC452" s="35"/>
      <c r="AD452" s="35"/>
    </row>
    <row r="453" spans="1:30">
      <c r="A453" s="102">
        <f t="shared" si="7"/>
        <v>452</v>
      </c>
      <c r="B453" s="468">
        <f>YEAR(Table6[[#This Row],[Date]])+IF(MONTH(Table6[[#This Row],[Date]])&gt;=4,1,0)</f>
        <v>2026</v>
      </c>
      <c r="C453" s="102">
        <f>YEAR(Table6[[#This Row],[Date]])</f>
        <v>2025</v>
      </c>
      <c r="D453" s="102" t="s">
        <v>1992</v>
      </c>
      <c r="E453" s="469">
        <f>Table6[[#This Row],[Date]]-DAY(Table6[[#This Row],[Date]])+1</f>
        <v>45748</v>
      </c>
      <c r="F453" s="470">
        <v>45776</v>
      </c>
      <c r="G453" s="35" t="s">
        <v>88</v>
      </c>
      <c r="H453" s="35" t="str">
        <f>IFERROR(_xlfn.XLOOKUP(Table6[[#This Row],[Affected WTG]],'Basic Data'!$A:$A,'Basic Data'!$B:$B),"")</f>
        <v>TQGXIIPL</v>
      </c>
      <c r="I453" s="35" t="str">
        <f>IFERROR(_xlfn.XLOOKUP(Table6[[#This Row],[Affected WTG]],'Basic Data'!$A:$A,'Basic Data'!$C:$C),"")</f>
        <v>GEDA</v>
      </c>
      <c r="J453" s="471">
        <f>IFERROR(_xlfn.XLOOKUP(Table6[[#This Row],[Affected WTG]],'Basic Data'!$A:$A,'Basic Data'!$E:$E),"")</f>
        <v>3.846153846153845E-2</v>
      </c>
      <c r="K453" s="102">
        <v>6130</v>
      </c>
      <c r="L453" s="35" t="str">
        <f>IFERROR(_xlfn.XLOOKUP(Table6[[#This Row],[Error Code]],'Basic Data'!$AA:$AA,'Basic Data'!$AB:$AB),"Incorrect Error Code")</f>
        <v>Yaw speed high</v>
      </c>
      <c r="M453" s="35" t="s">
        <v>292</v>
      </c>
      <c r="N453" s="475"/>
      <c r="O453" s="476">
        <v>0.35902777777777778</v>
      </c>
      <c r="P453" s="476">
        <v>0.35902777777777778</v>
      </c>
      <c r="Q453" s="477">
        <v>0.36319444444444443</v>
      </c>
      <c r="R453" s="472">
        <f>IF(Table6[[#This Row],[Work Start TimeStamp]]="","",(Table6[[#This Row],[Work Start TimeStamp]]-Table6[[#This Row],[Fault Start TimeStamp]])*24)</f>
        <v>0</v>
      </c>
      <c r="S453" s="472">
        <f>(Table6[[#This Row],[Fault Clearance time]]-Table6[[#This Row],[Work Start TimeStamp]])*24</f>
        <v>9.9999999999999645E-2</v>
      </c>
      <c r="T453" s="472">
        <f>(Table6[[#This Row],[Fault Clearance time]]-Table6[[#This Row],[Fault Start TimeStamp]])*24</f>
        <v>9.9999999999999645E-2</v>
      </c>
      <c r="U453" s="35" t="s">
        <v>336</v>
      </c>
      <c r="V453" s="102" t="s">
        <v>293</v>
      </c>
      <c r="W453" s="478">
        <f>IFERROR(Table6[[#This Row],[Breakdown Time]]*Table6[[#This Row],[Plant Equivalent Weightage]],"")</f>
        <v>3.8461538461538312E-3</v>
      </c>
      <c r="X453" s="473" t="s">
        <v>294</v>
      </c>
      <c r="Y453" s="474" t="s">
        <v>83</v>
      </c>
      <c r="Z453" s="102">
        <v>33673</v>
      </c>
      <c r="AA453" s="468">
        <f>(Table6[[#This Row],[Paired WTG Generation for loss calculation]]/24)*Table6[[#This Row],[Breakdown Time]]</f>
        <v>140.30416666666616</v>
      </c>
      <c r="AB453" s="102"/>
      <c r="AC453" s="35"/>
      <c r="AD453" s="35"/>
    </row>
    <row r="454" spans="1:30">
      <c r="A454" s="102">
        <f t="shared" si="7"/>
        <v>453</v>
      </c>
      <c r="B454" s="468">
        <f>YEAR(Table6[[#This Row],[Date]])+IF(MONTH(Table6[[#This Row],[Date]])&gt;=4,1,0)</f>
        <v>2026</v>
      </c>
      <c r="C454" s="102">
        <f>YEAR(Table6[[#This Row],[Date]])</f>
        <v>2025</v>
      </c>
      <c r="D454" s="102" t="s">
        <v>1992</v>
      </c>
      <c r="E454" s="469">
        <f>Table6[[#This Row],[Date]]-DAY(Table6[[#This Row],[Date]])+1</f>
        <v>45748</v>
      </c>
      <c r="F454" s="470">
        <v>45776</v>
      </c>
      <c r="G454" s="35" t="s">
        <v>88</v>
      </c>
      <c r="H454" s="35" t="str">
        <f>IFERROR(_xlfn.XLOOKUP(Table6[[#This Row],[Affected WTG]],'Basic Data'!$A:$A,'Basic Data'!$B:$B),"")</f>
        <v>TQGXIIPL</v>
      </c>
      <c r="I454" s="35" t="str">
        <f>IFERROR(_xlfn.XLOOKUP(Table6[[#This Row],[Affected WTG]],'Basic Data'!$A:$A,'Basic Data'!$C:$C),"")</f>
        <v>GEDA</v>
      </c>
      <c r="J454" s="471">
        <f>IFERROR(_xlfn.XLOOKUP(Table6[[#This Row],[Affected WTG]],'Basic Data'!$A:$A,'Basic Data'!$E:$E),"")</f>
        <v>3.846153846153845E-2</v>
      </c>
      <c r="K454" s="102">
        <v>6130</v>
      </c>
      <c r="L454" s="35" t="str">
        <f>IFERROR(_xlfn.XLOOKUP(Table6[[#This Row],[Error Code]],'Basic Data'!$AA:$AA,'Basic Data'!$AB:$AB),"Incorrect Error Code")</f>
        <v>Yaw speed high</v>
      </c>
      <c r="M454" s="35" t="s">
        <v>291</v>
      </c>
      <c r="N454" s="475"/>
      <c r="O454" s="476">
        <v>0.69027777777777777</v>
      </c>
      <c r="P454" s="476">
        <v>0.69027777777777777</v>
      </c>
      <c r="Q454" s="477">
        <v>0.70694444444444449</v>
      </c>
      <c r="R454" s="472">
        <f>IF(Table6[[#This Row],[Work Start TimeStamp]]="","",(Table6[[#This Row],[Work Start TimeStamp]]-Table6[[#This Row],[Fault Start TimeStamp]])*24)</f>
        <v>0</v>
      </c>
      <c r="S454" s="472">
        <f>(Table6[[#This Row],[Fault Clearance time]]-Table6[[#This Row],[Work Start TimeStamp]])*24</f>
        <v>0.40000000000000124</v>
      </c>
      <c r="T454" s="472">
        <f>(Table6[[#This Row],[Fault Clearance time]]-Table6[[#This Row],[Fault Start TimeStamp]])*24</f>
        <v>0.40000000000000124</v>
      </c>
      <c r="U454" s="35" t="s">
        <v>396</v>
      </c>
      <c r="V454" s="102" t="s">
        <v>293</v>
      </c>
      <c r="W454" s="478">
        <f>IFERROR(Table6[[#This Row],[Breakdown Time]]*Table6[[#This Row],[Plant Equivalent Weightage]],"")</f>
        <v>1.5384615384615427E-2</v>
      </c>
      <c r="X454" s="473" t="s">
        <v>294</v>
      </c>
      <c r="Y454" s="474" t="s">
        <v>83</v>
      </c>
      <c r="Z454" s="102">
        <v>33673</v>
      </c>
      <c r="AA454" s="468">
        <f>(Table6[[#This Row],[Paired WTG Generation for loss calculation]]/24)*Table6[[#This Row],[Breakdown Time]]</f>
        <v>561.2166666666684</v>
      </c>
      <c r="AB454" s="102"/>
      <c r="AC454" s="35"/>
      <c r="AD454" s="35"/>
    </row>
    <row r="455" spans="1:30">
      <c r="A455" s="102">
        <f t="shared" si="7"/>
        <v>454</v>
      </c>
      <c r="B455" s="468">
        <f>YEAR(Table6[[#This Row],[Date]])+IF(MONTH(Table6[[#This Row],[Date]])&gt;=4,1,0)</f>
        <v>2026</v>
      </c>
      <c r="C455" s="102">
        <f>YEAR(Table6[[#This Row],[Date]])</f>
        <v>2025</v>
      </c>
      <c r="D455" s="102" t="s">
        <v>1992</v>
      </c>
      <c r="E455" s="469">
        <f>Table6[[#This Row],[Date]]-DAY(Table6[[#This Row],[Date]])+1</f>
        <v>45748</v>
      </c>
      <c r="F455" s="470">
        <v>45776</v>
      </c>
      <c r="G455" s="35" t="s">
        <v>89</v>
      </c>
      <c r="H455" s="35" t="str">
        <f>IFERROR(_xlfn.XLOOKUP(Table6[[#This Row],[Affected WTG]],'Basic Data'!$A:$A,'Basic Data'!$B:$B),"")</f>
        <v>TQGXIIPL</v>
      </c>
      <c r="I455" s="35" t="str">
        <f>IFERROR(_xlfn.XLOOKUP(Table6[[#This Row],[Affected WTG]],'Basic Data'!$A:$A,'Basic Data'!$C:$C),"")</f>
        <v>GEDA</v>
      </c>
      <c r="J455" s="471">
        <f>IFERROR(_xlfn.XLOOKUP(Table6[[#This Row],[Affected WTG]],'Basic Data'!$A:$A,'Basic Data'!$E:$E),"")</f>
        <v>3.846153846153845E-2</v>
      </c>
      <c r="K455" s="102">
        <v>3000</v>
      </c>
      <c r="L455" s="35" t="str">
        <f>IFERROR(_xlfn.XLOOKUP(Table6[[#This Row],[Error Code]],'Basic Data'!$AA:$AA,'Basic Data'!$AB:$AB),"Incorrect Error Code")</f>
        <v>Frequency converter not ready</v>
      </c>
      <c r="M455" s="35" t="s">
        <v>291</v>
      </c>
      <c r="N455" s="475"/>
      <c r="O455" s="476">
        <v>0.64861111111111114</v>
      </c>
      <c r="P455" s="476">
        <v>0.64861111111111114</v>
      </c>
      <c r="Q455" s="477">
        <v>0.65416666666666667</v>
      </c>
      <c r="R455" s="472">
        <f>IF(Table6[[#This Row],[Work Start TimeStamp]]="","",(Table6[[#This Row],[Work Start TimeStamp]]-Table6[[#This Row],[Fault Start TimeStamp]])*24)</f>
        <v>0</v>
      </c>
      <c r="S455" s="472">
        <f>(Table6[[#This Row],[Fault Clearance time]]-Table6[[#This Row],[Work Start TimeStamp]])*24</f>
        <v>0.13333333333333286</v>
      </c>
      <c r="T455" s="472">
        <f>(Table6[[#This Row],[Fault Clearance time]]-Table6[[#This Row],[Fault Start TimeStamp]])*24</f>
        <v>0.13333333333333286</v>
      </c>
      <c r="U455" s="35" t="s">
        <v>396</v>
      </c>
      <c r="V455" s="102" t="s">
        <v>293</v>
      </c>
      <c r="W455" s="478">
        <f>IFERROR(Table6[[#This Row],[Breakdown Time]]*Table6[[#This Row],[Plant Equivalent Weightage]],"")</f>
        <v>5.1282051282051083E-3</v>
      </c>
      <c r="X455" s="473" t="s">
        <v>294</v>
      </c>
      <c r="Y455" s="474" t="s">
        <v>94</v>
      </c>
      <c r="Z455" s="102">
        <v>35807</v>
      </c>
      <c r="AA455" s="468">
        <f>(Table6[[#This Row],[Paired WTG Generation for loss calculation]]/24)*Table6[[#This Row],[Breakdown Time]]</f>
        <v>198.92777777777707</v>
      </c>
      <c r="AB455" s="102"/>
      <c r="AC455" s="35"/>
      <c r="AD455" s="35"/>
    </row>
    <row r="456" spans="1:30">
      <c r="A456" s="102">
        <f t="shared" si="7"/>
        <v>455</v>
      </c>
      <c r="B456" s="468">
        <f>YEAR(Table6[[#This Row],[Date]])+IF(MONTH(Table6[[#This Row],[Date]])&gt;=4,1,0)</f>
        <v>2026</v>
      </c>
      <c r="C456" s="102">
        <f>YEAR(Table6[[#This Row],[Date]])</f>
        <v>2025</v>
      </c>
      <c r="D456" s="102" t="s">
        <v>1992</v>
      </c>
      <c r="E456" s="469">
        <f>Table6[[#This Row],[Date]]-DAY(Table6[[#This Row],[Date]])+1</f>
        <v>45748</v>
      </c>
      <c r="F456" s="470">
        <v>45776</v>
      </c>
      <c r="G456" s="35" t="s">
        <v>89</v>
      </c>
      <c r="H456" s="35" t="str">
        <f>IFERROR(_xlfn.XLOOKUP(Table6[[#This Row],[Affected WTG]],'Basic Data'!$A:$A,'Basic Data'!$B:$B),"")</f>
        <v>TQGXIIPL</v>
      </c>
      <c r="I456" s="35" t="str">
        <f>IFERROR(_xlfn.XLOOKUP(Table6[[#This Row],[Affected WTG]],'Basic Data'!$A:$A,'Basic Data'!$C:$C),"")</f>
        <v>GEDA</v>
      </c>
      <c r="J456" s="471">
        <f>IFERROR(_xlfn.XLOOKUP(Table6[[#This Row],[Affected WTG]],'Basic Data'!$A:$A,'Basic Data'!$E:$E),"")</f>
        <v>3.846153846153845E-2</v>
      </c>
      <c r="K456" s="102">
        <v>3000</v>
      </c>
      <c r="L456" s="35" t="str">
        <f>IFERROR(_xlfn.XLOOKUP(Table6[[#This Row],[Error Code]],'Basic Data'!$AA:$AA,'Basic Data'!$AB:$AB),"Incorrect Error Code")</f>
        <v>Frequency converter not ready</v>
      </c>
      <c r="M456" s="35" t="s">
        <v>291</v>
      </c>
      <c r="N456" s="475"/>
      <c r="O456" s="476">
        <v>0.67291666666666672</v>
      </c>
      <c r="P456" s="476">
        <v>0.67291666666666672</v>
      </c>
      <c r="Q456" s="477">
        <v>0.67708333333333337</v>
      </c>
      <c r="R456" s="472">
        <f>IF(Table6[[#This Row],[Work Start TimeStamp]]="","",(Table6[[#This Row],[Work Start TimeStamp]]-Table6[[#This Row],[Fault Start TimeStamp]])*24)</f>
        <v>0</v>
      </c>
      <c r="S456" s="472">
        <f>(Table6[[#This Row],[Fault Clearance time]]-Table6[[#This Row],[Work Start TimeStamp]])*24</f>
        <v>9.9999999999999645E-2</v>
      </c>
      <c r="T456" s="472">
        <f>(Table6[[#This Row],[Fault Clearance time]]-Table6[[#This Row],[Fault Start TimeStamp]])*24</f>
        <v>9.9999999999999645E-2</v>
      </c>
      <c r="U456" s="35" t="s">
        <v>396</v>
      </c>
      <c r="V456" s="102" t="s">
        <v>293</v>
      </c>
      <c r="W456" s="478">
        <f>IFERROR(Table6[[#This Row],[Breakdown Time]]*Table6[[#This Row],[Plant Equivalent Weightage]],"")</f>
        <v>3.8461538461538312E-3</v>
      </c>
      <c r="X456" s="473" t="s">
        <v>294</v>
      </c>
      <c r="Y456" s="474" t="s">
        <v>94</v>
      </c>
      <c r="Z456" s="102">
        <v>35807</v>
      </c>
      <c r="AA456" s="468">
        <f>(Table6[[#This Row],[Paired WTG Generation for loss calculation]]/24)*Table6[[#This Row],[Breakdown Time]]</f>
        <v>149.19583333333279</v>
      </c>
      <c r="AB456" s="102"/>
      <c r="AC456" s="35"/>
      <c r="AD456" s="35"/>
    </row>
    <row r="457" spans="1:30">
      <c r="A457" s="102">
        <f t="shared" si="7"/>
        <v>456</v>
      </c>
      <c r="B457" s="468">
        <f>YEAR(Table6[[#This Row],[Date]])+IF(MONTH(Table6[[#This Row],[Date]])&gt;=4,1,0)</f>
        <v>2026</v>
      </c>
      <c r="C457" s="102">
        <f>YEAR(Table6[[#This Row],[Date]])</f>
        <v>2025</v>
      </c>
      <c r="D457" s="102" t="s">
        <v>1992</v>
      </c>
      <c r="E457" s="469">
        <f>Table6[[#This Row],[Date]]-DAY(Table6[[#This Row],[Date]])+1</f>
        <v>45748</v>
      </c>
      <c r="F457" s="470">
        <v>45776</v>
      </c>
      <c r="G457" s="35" t="s">
        <v>89</v>
      </c>
      <c r="H457" s="35" t="str">
        <f>IFERROR(_xlfn.XLOOKUP(Table6[[#This Row],[Affected WTG]],'Basic Data'!$A:$A,'Basic Data'!$B:$B),"")</f>
        <v>TQGXIIPL</v>
      </c>
      <c r="I457" s="35" t="str">
        <f>IFERROR(_xlfn.XLOOKUP(Table6[[#This Row],[Affected WTG]],'Basic Data'!$A:$A,'Basic Data'!$C:$C),"")</f>
        <v>GEDA</v>
      </c>
      <c r="J457" s="471">
        <f>IFERROR(_xlfn.XLOOKUP(Table6[[#This Row],[Affected WTG]],'Basic Data'!$A:$A,'Basic Data'!$E:$E),"")</f>
        <v>3.846153846153845E-2</v>
      </c>
      <c r="K457" s="102">
        <v>6130</v>
      </c>
      <c r="L457" s="35" t="str">
        <f>IFERROR(_xlfn.XLOOKUP(Table6[[#This Row],[Error Code]],'Basic Data'!$AA:$AA,'Basic Data'!$AB:$AB),"Incorrect Error Code")</f>
        <v>Yaw speed high</v>
      </c>
      <c r="M457" s="35" t="s">
        <v>292</v>
      </c>
      <c r="N457" s="475"/>
      <c r="O457" s="476">
        <v>0.69513888888888886</v>
      </c>
      <c r="P457" s="476">
        <v>0.69513888888888886</v>
      </c>
      <c r="Q457" s="477">
        <v>0.69930555555555551</v>
      </c>
      <c r="R457" s="472">
        <f>IF(Table6[[#This Row],[Work Start TimeStamp]]="","",(Table6[[#This Row],[Work Start TimeStamp]]-Table6[[#This Row],[Fault Start TimeStamp]])*24)</f>
        <v>0</v>
      </c>
      <c r="S457" s="472">
        <f>(Table6[[#This Row],[Fault Clearance time]]-Table6[[#This Row],[Work Start TimeStamp]])*24</f>
        <v>9.9999999999999645E-2</v>
      </c>
      <c r="T457" s="472">
        <f>(Table6[[#This Row],[Fault Clearance time]]-Table6[[#This Row],[Fault Start TimeStamp]])*24</f>
        <v>9.9999999999999645E-2</v>
      </c>
      <c r="U457" s="35" t="s">
        <v>336</v>
      </c>
      <c r="V457" s="102" t="s">
        <v>293</v>
      </c>
      <c r="W457" s="478">
        <f>IFERROR(Table6[[#This Row],[Breakdown Time]]*Table6[[#This Row],[Plant Equivalent Weightage]],"")</f>
        <v>3.8461538461538312E-3</v>
      </c>
      <c r="X457" s="473" t="s">
        <v>294</v>
      </c>
      <c r="Y457" s="474" t="s">
        <v>94</v>
      </c>
      <c r="Z457" s="102">
        <v>35807</v>
      </c>
      <c r="AA457" s="468">
        <f>(Table6[[#This Row],[Paired WTG Generation for loss calculation]]/24)*Table6[[#This Row],[Breakdown Time]]</f>
        <v>149.19583333333279</v>
      </c>
      <c r="AB457" s="102"/>
      <c r="AC457" s="35"/>
      <c r="AD457" s="35"/>
    </row>
    <row r="458" spans="1:30">
      <c r="A458" s="102">
        <f t="shared" si="7"/>
        <v>457</v>
      </c>
      <c r="B458" s="468">
        <f>YEAR(Table6[[#This Row],[Date]])+IF(MONTH(Table6[[#This Row],[Date]])&gt;=4,1,0)</f>
        <v>2026</v>
      </c>
      <c r="C458" s="102">
        <f>YEAR(Table6[[#This Row],[Date]])</f>
        <v>2025</v>
      </c>
      <c r="D458" s="102" t="s">
        <v>1992</v>
      </c>
      <c r="E458" s="469">
        <f>Table6[[#This Row],[Date]]-DAY(Table6[[#This Row],[Date]])+1</f>
        <v>45748</v>
      </c>
      <c r="F458" s="470">
        <v>45776</v>
      </c>
      <c r="G458" s="35" t="s">
        <v>90</v>
      </c>
      <c r="H458" s="35" t="str">
        <f>IFERROR(_xlfn.XLOOKUP(Table6[[#This Row],[Affected WTG]],'Basic Data'!$A:$A,'Basic Data'!$B:$B),"")</f>
        <v>TQGXIIPL</v>
      </c>
      <c r="I458" s="35" t="str">
        <f>IFERROR(_xlfn.XLOOKUP(Table6[[#This Row],[Affected WTG]],'Basic Data'!$A:$A,'Basic Data'!$C:$C),"")</f>
        <v>GEDA</v>
      </c>
      <c r="J458" s="471">
        <f>IFERROR(_xlfn.XLOOKUP(Table6[[#This Row],[Affected WTG]],'Basic Data'!$A:$A,'Basic Data'!$E:$E),"")</f>
        <v>3.846153846153845E-2</v>
      </c>
      <c r="K458" s="102">
        <v>6605</v>
      </c>
      <c r="L458" s="35" t="str">
        <f>IFERROR(_xlfn.XLOOKUP(Table6[[#This Row],[Error Code]],'Basic Data'!$AA:$AA,'Basic Data'!$AB:$AB),"Incorrect Error Code")</f>
        <v>Wind.dir. diff. level 2</v>
      </c>
      <c r="M458" s="35" t="s">
        <v>291</v>
      </c>
      <c r="N458" s="475"/>
      <c r="O458" s="476">
        <v>0.62291666666666667</v>
      </c>
      <c r="P458" s="476">
        <v>0.62291666666666667</v>
      </c>
      <c r="Q458" s="477">
        <v>0.62430555555555556</v>
      </c>
      <c r="R458" s="472">
        <f>IF(Table6[[#This Row],[Work Start TimeStamp]]="","",(Table6[[#This Row],[Work Start TimeStamp]]-Table6[[#This Row],[Fault Start TimeStamp]])*24)</f>
        <v>0</v>
      </c>
      <c r="S458" s="472">
        <f>(Table6[[#This Row],[Fault Clearance time]]-Table6[[#This Row],[Work Start TimeStamp]])*24</f>
        <v>3.3333333333333215E-2</v>
      </c>
      <c r="T458" s="472">
        <f>(Table6[[#This Row],[Fault Clearance time]]-Table6[[#This Row],[Fault Start TimeStamp]])*24</f>
        <v>3.3333333333333215E-2</v>
      </c>
      <c r="U458" s="35" t="s">
        <v>349</v>
      </c>
      <c r="V458" s="102" t="s">
        <v>293</v>
      </c>
      <c r="W458" s="478">
        <f>IFERROR(Table6[[#This Row],[Breakdown Time]]*Table6[[#This Row],[Plant Equivalent Weightage]],"")</f>
        <v>1.2820512820512771E-3</v>
      </c>
      <c r="X458" s="473" t="s">
        <v>294</v>
      </c>
      <c r="Y458" s="474" t="s">
        <v>95</v>
      </c>
      <c r="Z458" s="102">
        <v>41434</v>
      </c>
      <c r="AA458" s="468">
        <f>(Table6[[#This Row],[Paired WTG Generation for loss calculation]]/24)*Table6[[#This Row],[Breakdown Time]]</f>
        <v>57.547222222222018</v>
      </c>
      <c r="AB458" s="102"/>
      <c r="AC458" s="35"/>
      <c r="AD458" s="35"/>
    </row>
    <row r="459" spans="1:30">
      <c r="A459" s="102">
        <f t="shared" si="7"/>
        <v>458</v>
      </c>
      <c r="B459" s="468">
        <f>YEAR(Table6[[#This Row],[Date]])+IF(MONTH(Table6[[#This Row],[Date]])&gt;=4,1,0)</f>
        <v>2026</v>
      </c>
      <c r="C459" s="102">
        <f>YEAR(Table6[[#This Row],[Date]])</f>
        <v>2025</v>
      </c>
      <c r="D459" s="102" t="s">
        <v>1992</v>
      </c>
      <c r="E459" s="469">
        <f>Table6[[#This Row],[Date]]-DAY(Table6[[#This Row],[Date]])+1</f>
        <v>45748</v>
      </c>
      <c r="F459" s="470">
        <v>45776</v>
      </c>
      <c r="G459" s="35" t="s">
        <v>90</v>
      </c>
      <c r="H459" s="35" t="str">
        <f>IFERROR(_xlfn.XLOOKUP(Table6[[#This Row],[Affected WTG]],'Basic Data'!$A:$A,'Basic Data'!$B:$B),"")</f>
        <v>TQGXIIPL</v>
      </c>
      <c r="I459" s="35" t="str">
        <f>IFERROR(_xlfn.XLOOKUP(Table6[[#This Row],[Affected WTG]],'Basic Data'!$A:$A,'Basic Data'!$C:$C),"")</f>
        <v>GEDA</v>
      </c>
      <c r="J459" s="471">
        <f>IFERROR(_xlfn.XLOOKUP(Table6[[#This Row],[Affected WTG]],'Basic Data'!$A:$A,'Basic Data'!$E:$E),"")</f>
        <v>3.846153846153845E-2</v>
      </c>
      <c r="K459" s="102">
        <v>6130</v>
      </c>
      <c r="L459" s="35" t="str">
        <f>IFERROR(_xlfn.XLOOKUP(Table6[[#This Row],[Error Code]],'Basic Data'!$AA:$AA,'Basic Data'!$AB:$AB),"Incorrect Error Code")</f>
        <v>Yaw speed high</v>
      </c>
      <c r="M459" s="35" t="s">
        <v>292</v>
      </c>
      <c r="N459" s="475"/>
      <c r="O459" s="476">
        <v>0.64652777777777781</v>
      </c>
      <c r="P459" s="476">
        <v>0.64652777777777781</v>
      </c>
      <c r="Q459" s="477">
        <v>0.65069444444444446</v>
      </c>
      <c r="R459" s="472">
        <f>IF(Table6[[#This Row],[Work Start TimeStamp]]="","",(Table6[[#This Row],[Work Start TimeStamp]]-Table6[[#This Row],[Fault Start TimeStamp]])*24)</f>
        <v>0</v>
      </c>
      <c r="S459" s="472">
        <f>(Table6[[#This Row],[Fault Clearance time]]-Table6[[#This Row],[Work Start TimeStamp]])*24</f>
        <v>9.9999999999999645E-2</v>
      </c>
      <c r="T459" s="472">
        <f>(Table6[[#This Row],[Fault Clearance time]]-Table6[[#This Row],[Fault Start TimeStamp]])*24</f>
        <v>9.9999999999999645E-2</v>
      </c>
      <c r="U459" s="35" t="s">
        <v>336</v>
      </c>
      <c r="V459" s="102" t="s">
        <v>293</v>
      </c>
      <c r="W459" s="478">
        <f>IFERROR(Table6[[#This Row],[Breakdown Time]]*Table6[[#This Row],[Plant Equivalent Weightage]],"")</f>
        <v>3.8461538461538312E-3</v>
      </c>
      <c r="X459" s="473" t="s">
        <v>294</v>
      </c>
      <c r="Y459" s="474" t="s">
        <v>95</v>
      </c>
      <c r="Z459" s="102">
        <v>41434</v>
      </c>
      <c r="AA459" s="468">
        <f>(Table6[[#This Row],[Paired WTG Generation for loss calculation]]/24)*Table6[[#This Row],[Breakdown Time]]</f>
        <v>172.64166666666605</v>
      </c>
      <c r="AB459" s="102"/>
      <c r="AC459" s="35"/>
      <c r="AD459" s="35"/>
    </row>
    <row r="460" spans="1:30">
      <c r="A460" s="102">
        <f t="shared" si="7"/>
        <v>459</v>
      </c>
      <c r="B460" s="468">
        <f>YEAR(Table6[[#This Row],[Date]])+IF(MONTH(Table6[[#This Row],[Date]])&gt;=4,1,0)</f>
        <v>2026</v>
      </c>
      <c r="C460" s="102">
        <f>YEAR(Table6[[#This Row],[Date]])</f>
        <v>2025</v>
      </c>
      <c r="D460" s="102" t="s">
        <v>1992</v>
      </c>
      <c r="E460" s="469">
        <f>Table6[[#This Row],[Date]]-DAY(Table6[[#This Row],[Date]])+1</f>
        <v>45748</v>
      </c>
      <c r="F460" s="470">
        <v>45776</v>
      </c>
      <c r="G460" s="35" t="s">
        <v>90</v>
      </c>
      <c r="H460" s="35" t="str">
        <f>IFERROR(_xlfn.XLOOKUP(Table6[[#This Row],[Affected WTG]],'Basic Data'!$A:$A,'Basic Data'!$B:$B),"")</f>
        <v>TQGXIIPL</v>
      </c>
      <c r="I460" s="35" t="str">
        <f>IFERROR(_xlfn.XLOOKUP(Table6[[#This Row],[Affected WTG]],'Basic Data'!$A:$A,'Basic Data'!$C:$C),"")</f>
        <v>GEDA</v>
      </c>
      <c r="J460" s="471">
        <f>IFERROR(_xlfn.XLOOKUP(Table6[[#This Row],[Affected WTG]],'Basic Data'!$A:$A,'Basic Data'!$E:$E),"")</f>
        <v>3.846153846153845E-2</v>
      </c>
      <c r="K460" s="102">
        <v>3000</v>
      </c>
      <c r="L460" s="35" t="str">
        <f>IFERROR(_xlfn.XLOOKUP(Table6[[#This Row],[Error Code]],'Basic Data'!$AA:$AA,'Basic Data'!$AB:$AB),"Incorrect Error Code")</f>
        <v>Frequency converter not ready</v>
      </c>
      <c r="M460" s="35" t="s">
        <v>291</v>
      </c>
      <c r="N460" s="475"/>
      <c r="O460" s="476">
        <v>0.74513888888888891</v>
      </c>
      <c r="P460" s="476">
        <v>0.74513888888888891</v>
      </c>
      <c r="Q460" s="477">
        <v>0.77222222222222225</v>
      </c>
      <c r="R460" s="472">
        <f>IF(Table6[[#This Row],[Work Start TimeStamp]]="","",(Table6[[#This Row],[Work Start TimeStamp]]-Table6[[#This Row],[Fault Start TimeStamp]])*24)</f>
        <v>0</v>
      </c>
      <c r="S460" s="472">
        <f>(Table6[[#This Row],[Fault Clearance time]]-Table6[[#This Row],[Work Start TimeStamp]])*24</f>
        <v>0.65000000000000036</v>
      </c>
      <c r="T460" s="472">
        <f>(Table6[[#This Row],[Fault Clearance time]]-Table6[[#This Row],[Fault Start TimeStamp]])*24</f>
        <v>0.65000000000000036</v>
      </c>
      <c r="U460" s="35" t="s">
        <v>396</v>
      </c>
      <c r="V460" s="102" t="s">
        <v>293</v>
      </c>
      <c r="W460" s="478">
        <f>IFERROR(Table6[[#This Row],[Breakdown Time]]*Table6[[#This Row],[Plant Equivalent Weightage]],"")</f>
        <v>2.5000000000000005E-2</v>
      </c>
      <c r="X460" s="473" t="s">
        <v>294</v>
      </c>
      <c r="Y460" s="474" t="s">
        <v>95</v>
      </c>
      <c r="Z460" s="102">
        <v>41434</v>
      </c>
      <c r="AA460" s="468">
        <f>(Table6[[#This Row],[Paired WTG Generation for loss calculation]]/24)*Table6[[#This Row],[Breakdown Time]]</f>
        <v>1122.170833333334</v>
      </c>
      <c r="AB460" s="102"/>
      <c r="AC460" s="35"/>
      <c r="AD460" s="35"/>
    </row>
    <row r="461" spans="1:30">
      <c r="A461" s="102">
        <f t="shared" si="7"/>
        <v>460</v>
      </c>
      <c r="B461" s="468">
        <f>YEAR(Table6[[#This Row],[Date]])+IF(MONTH(Table6[[#This Row],[Date]])&gt;=4,1,0)</f>
        <v>2026</v>
      </c>
      <c r="C461" s="102">
        <f>YEAR(Table6[[#This Row],[Date]])</f>
        <v>2025</v>
      </c>
      <c r="D461" s="102" t="s">
        <v>1992</v>
      </c>
      <c r="E461" s="469">
        <f>Table6[[#This Row],[Date]]-DAY(Table6[[#This Row],[Date]])+1</f>
        <v>45748</v>
      </c>
      <c r="F461" s="470">
        <v>45776</v>
      </c>
      <c r="G461" s="35" t="s">
        <v>92</v>
      </c>
      <c r="H461" s="35" t="str">
        <f>IFERROR(_xlfn.XLOOKUP(Table6[[#This Row],[Affected WTG]],'Basic Data'!$A:$A,'Basic Data'!$B:$B),"")</f>
        <v>TQGXIIPL</v>
      </c>
      <c r="I461" s="35" t="str">
        <f>IFERROR(_xlfn.XLOOKUP(Table6[[#This Row],[Affected WTG]],'Basic Data'!$A:$A,'Basic Data'!$C:$C),"")</f>
        <v>GEDA</v>
      </c>
      <c r="J461" s="471">
        <f>IFERROR(_xlfn.XLOOKUP(Table6[[#This Row],[Affected WTG]],'Basic Data'!$A:$A,'Basic Data'!$E:$E),"")</f>
        <v>3.846153846153845E-2</v>
      </c>
      <c r="K461" s="102">
        <v>1700</v>
      </c>
      <c r="L461" s="35" t="str">
        <f>IFERROR(_xlfn.XLOOKUP(Table6[[#This Row],[Error Code]],'Basic Data'!$AA:$AA,'Basic Data'!$AB:$AB),"Incorrect Error Code")</f>
        <v>High temp. gear bearing 1</v>
      </c>
      <c r="M461" s="35" t="s">
        <v>291</v>
      </c>
      <c r="N461" s="475"/>
      <c r="O461" s="476">
        <v>0.51180555555555551</v>
      </c>
      <c r="P461" s="476">
        <v>0.51180555555555551</v>
      </c>
      <c r="Q461" s="477">
        <v>0.51736111111111116</v>
      </c>
      <c r="R461" s="472">
        <f>IF(Table6[[#This Row],[Work Start TimeStamp]]="","",(Table6[[#This Row],[Work Start TimeStamp]]-Table6[[#This Row],[Fault Start TimeStamp]])*24)</f>
        <v>0</v>
      </c>
      <c r="S461" s="472">
        <f>(Table6[[#This Row],[Fault Clearance time]]-Table6[[#This Row],[Work Start TimeStamp]])*24</f>
        <v>0.13333333333333552</v>
      </c>
      <c r="T461" s="472">
        <f>(Table6[[#This Row],[Fault Clearance time]]-Table6[[#This Row],[Fault Start TimeStamp]])*24</f>
        <v>0.13333333333333552</v>
      </c>
      <c r="U461" s="35" t="s">
        <v>349</v>
      </c>
      <c r="V461" s="102" t="s">
        <v>293</v>
      </c>
      <c r="W461" s="478">
        <f>IFERROR(Table6[[#This Row],[Breakdown Time]]*Table6[[#This Row],[Plant Equivalent Weightage]],"")</f>
        <v>5.1282051282052106E-3</v>
      </c>
      <c r="X461" s="473" t="s">
        <v>294</v>
      </c>
      <c r="Y461" s="474" t="s">
        <v>80</v>
      </c>
      <c r="Z461" s="102">
        <v>47322</v>
      </c>
      <c r="AA461" s="468">
        <f>(Table6[[#This Row],[Paired WTG Generation for loss calculation]]/24)*Table6[[#This Row],[Breakdown Time]]</f>
        <v>262.9000000000043</v>
      </c>
      <c r="AB461" s="102"/>
      <c r="AC461" s="35"/>
      <c r="AD461" s="35"/>
    </row>
    <row r="462" spans="1:30">
      <c r="A462" s="102">
        <f t="shared" ref="A462:A525" si="8">A461+1</f>
        <v>461</v>
      </c>
      <c r="B462" s="468">
        <f>YEAR(Table6[[#This Row],[Date]])+IF(MONTH(Table6[[#This Row],[Date]])&gt;=4,1,0)</f>
        <v>2026</v>
      </c>
      <c r="C462" s="102">
        <f>YEAR(Table6[[#This Row],[Date]])</f>
        <v>2025</v>
      </c>
      <c r="D462" s="102" t="s">
        <v>1992</v>
      </c>
      <c r="E462" s="469">
        <f>Table6[[#This Row],[Date]]-DAY(Table6[[#This Row],[Date]])+1</f>
        <v>45748</v>
      </c>
      <c r="F462" s="470">
        <v>45776</v>
      </c>
      <c r="G462" s="35" t="s">
        <v>92</v>
      </c>
      <c r="H462" s="35" t="str">
        <f>IFERROR(_xlfn.XLOOKUP(Table6[[#This Row],[Affected WTG]],'Basic Data'!$A:$A,'Basic Data'!$B:$B),"")</f>
        <v>TQGXIIPL</v>
      </c>
      <c r="I462" s="35" t="str">
        <f>IFERROR(_xlfn.XLOOKUP(Table6[[#This Row],[Affected WTG]],'Basic Data'!$A:$A,'Basic Data'!$C:$C),"")</f>
        <v>GEDA</v>
      </c>
      <c r="J462" s="471">
        <f>IFERROR(_xlfn.XLOOKUP(Table6[[#This Row],[Affected WTG]],'Basic Data'!$A:$A,'Basic Data'!$E:$E),"")</f>
        <v>3.846153846153845E-2</v>
      </c>
      <c r="K462" s="102">
        <v>1700</v>
      </c>
      <c r="L462" s="35" t="str">
        <f>IFERROR(_xlfn.XLOOKUP(Table6[[#This Row],[Error Code]],'Basic Data'!$AA:$AA,'Basic Data'!$AB:$AB),"Incorrect Error Code")</f>
        <v>High temp. gear bearing 1</v>
      </c>
      <c r="M462" s="35" t="s">
        <v>291</v>
      </c>
      <c r="N462" s="475"/>
      <c r="O462" s="476">
        <v>0.73124999999999996</v>
      </c>
      <c r="P462" s="476">
        <v>0.73124999999999996</v>
      </c>
      <c r="Q462" s="477">
        <v>0.74722222222222223</v>
      </c>
      <c r="R462" s="472">
        <f>IF(Table6[[#This Row],[Work Start TimeStamp]]="","",(Table6[[#This Row],[Work Start TimeStamp]]-Table6[[#This Row],[Fault Start TimeStamp]])*24)</f>
        <v>0</v>
      </c>
      <c r="S462" s="472">
        <f>(Table6[[#This Row],[Fault Clearance time]]-Table6[[#This Row],[Work Start TimeStamp]])*24</f>
        <v>0.38333333333333464</v>
      </c>
      <c r="T462" s="472">
        <f>(Table6[[#This Row],[Fault Clearance time]]-Table6[[#This Row],[Fault Start TimeStamp]])*24</f>
        <v>0.38333333333333464</v>
      </c>
      <c r="U462" s="35" t="s">
        <v>382</v>
      </c>
      <c r="V462" s="102" t="s">
        <v>293</v>
      </c>
      <c r="W462" s="478">
        <f>IFERROR(Table6[[#This Row],[Breakdown Time]]*Table6[[#This Row],[Plant Equivalent Weightage]],"")</f>
        <v>1.4743589743589788E-2</v>
      </c>
      <c r="X462" s="473" t="s">
        <v>294</v>
      </c>
      <c r="Y462" s="474" t="s">
        <v>80</v>
      </c>
      <c r="Z462" s="102">
        <v>47322</v>
      </c>
      <c r="AA462" s="468">
        <f>(Table6[[#This Row],[Paired WTG Generation for loss calculation]]/24)*Table6[[#This Row],[Breakdown Time]]</f>
        <v>755.83750000000259</v>
      </c>
      <c r="AB462" s="102"/>
      <c r="AC462" s="35"/>
      <c r="AD462" s="35"/>
    </row>
    <row r="463" spans="1:30">
      <c r="A463" s="102">
        <f t="shared" si="8"/>
        <v>462</v>
      </c>
      <c r="B463" s="468">
        <f>YEAR(Table6[[#This Row],[Date]])+IF(MONTH(Table6[[#This Row],[Date]])&gt;=4,1,0)</f>
        <v>2026</v>
      </c>
      <c r="C463" s="102">
        <f>YEAR(Table6[[#This Row],[Date]])</f>
        <v>2025</v>
      </c>
      <c r="D463" s="102" t="s">
        <v>1992</v>
      </c>
      <c r="E463" s="469">
        <f>Table6[[#This Row],[Date]]-DAY(Table6[[#This Row],[Date]])+1</f>
        <v>45748</v>
      </c>
      <c r="F463" s="470">
        <v>45776</v>
      </c>
      <c r="G463" s="35" t="s">
        <v>94</v>
      </c>
      <c r="H463" s="35" t="str">
        <f>IFERROR(_xlfn.XLOOKUP(Table6[[#This Row],[Affected WTG]],'Basic Data'!$A:$A,'Basic Data'!$B:$B),"")</f>
        <v>TQGXIIPL</v>
      </c>
      <c r="I463" s="35" t="str">
        <f>IFERROR(_xlfn.XLOOKUP(Table6[[#This Row],[Affected WTG]],'Basic Data'!$A:$A,'Basic Data'!$C:$C),"")</f>
        <v>GEDA</v>
      </c>
      <c r="J463" s="471">
        <f>IFERROR(_xlfn.XLOOKUP(Table6[[#This Row],[Affected WTG]],'Basic Data'!$A:$A,'Basic Data'!$E:$E),"")</f>
        <v>3.846153846153845E-2</v>
      </c>
      <c r="K463" s="102">
        <v>6130</v>
      </c>
      <c r="L463" s="35" t="str">
        <f>IFERROR(_xlfn.XLOOKUP(Table6[[#This Row],[Error Code]],'Basic Data'!$AA:$AA,'Basic Data'!$AB:$AB),"Incorrect Error Code")</f>
        <v>Yaw speed high</v>
      </c>
      <c r="M463" s="35" t="s">
        <v>292</v>
      </c>
      <c r="N463" s="475"/>
      <c r="O463" s="476">
        <v>0.61388888888888893</v>
      </c>
      <c r="P463" s="476">
        <v>0.61388888888888893</v>
      </c>
      <c r="Q463" s="477">
        <v>0.61805555555555558</v>
      </c>
      <c r="R463" s="472">
        <f>IF(Table6[[#This Row],[Work Start TimeStamp]]="","",(Table6[[#This Row],[Work Start TimeStamp]]-Table6[[#This Row],[Fault Start TimeStamp]])*24)</f>
        <v>0</v>
      </c>
      <c r="S463" s="472">
        <f>(Table6[[#This Row],[Fault Clearance time]]-Table6[[#This Row],[Work Start TimeStamp]])*24</f>
        <v>9.9999999999999645E-2</v>
      </c>
      <c r="T463" s="472">
        <f>(Table6[[#This Row],[Fault Clearance time]]-Table6[[#This Row],[Fault Start TimeStamp]])*24</f>
        <v>9.9999999999999645E-2</v>
      </c>
      <c r="U463" s="35" t="s">
        <v>336</v>
      </c>
      <c r="V463" s="102" t="s">
        <v>293</v>
      </c>
      <c r="W463" s="478">
        <f>IFERROR(Table6[[#This Row],[Breakdown Time]]*Table6[[#This Row],[Plant Equivalent Weightage]],"")</f>
        <v>3.8461538461538312E-3</v>
      </c>
      <c r="X463" s="473" t="s">
        <v>294</v>
      </c>
      <c r="Y463" s="474" t="s">
        <v>79</v>
      </c>
      <c r="Z463" s="102">
        <v>30203</v>
      </c>
      <c r="AA463" s="468">
        <f>(Table6[[#This Row],[Paired WTG Generation for loss calculation]]/24)*Table6[[#This Row],[Breakdown Time]]</f>
        <v>125.84583333333288</v>
      </c>
      <c r="AB463" s="102"/>
      <c r="AC463" s="35"/>
      <c r="AD463" s="35"/>
    </row>
    <row r="464" spans="1:30">
      <c r="A464" s="102">
        <f t="shared" si="8"/>
        <v>463</v>
      </c>
      <c r="B464" s="468">
        <f>YEAR(Table6[[#This Row],[Date]])+IF(MONTH(Table6[[#This Row],[Date]])&gt;=4,1,0)</f>
        <v>2026</v>
      </c>
      <c r="C464" s="102">
        <f>YEAR(Table6[[#This Row],[Date]])</f>
        <v>2025</v>
      </c>
      <c r="D464" s="102" t="s">
        <v>1992</v>
      </c>
      <c r="E464" s="469">
        <f>Table6[[#This Row],[Date]]-DAY(Table6[[#This Row],[Date]])+1</f>
        <v>45748</v>
      </c>
      <c r="F464" s="470">
        <v>45776</v>
      </c>
      <c r="G464" s="35" t="s">
        <v>95</v>
      </c>
      <c r="H464" s="35" t="str">
        <f>IFERROR(_xlfn.XLOOKUP(Table6[[#This Row],[Affected WTG]],'Basic Data'!$A:$A,'Basic Data'!$B:$B),"")</f>
        <v>TQGXIIPL</v>
      </c>
      <c r="I464" s="35" t="str">
        <f>IFERROR(_xlfn.XLOOKUP(Table6[[#This Row],[Affected WTG]],'Basic Data'!$A:$A,'Basic Data'!$C:$C),"")</f>
        <v>GEDA</v>
      </c>
      <c r="J464" s="471">
        <f>IFERROR(_xlfn.XLOOKUP(Table6[[#This Row],[Affected WTG]],'Basic Data'!$A:$A,'Basic Data'!$E:$E),"")</f>
        <v>3.846153846153845E-2</v>
      </c>
      <c r="K464" s="102">
        <v>1700</v>
      </c>
      <c r="L464" s="35" t="str">
        <f>IFERROR(_xlfn.XLOOKUP(Table6[[#This Row],[Error Code]],'Basic Data'!$AA:$AA,'Basic Data'!$AB:$AB),"Incorrect Error Code")</f>
        <v>High temp. gear bearing 1</v>
      </c>
      <c r="M464" s="35" t="s">
        <v>291</v>
      </c>
      <c r="N464" s="475"/>
      <c r="O464" s="476">
        <v>0.83958333333333335</v>
      </c>
      <c r="P464" s="476">
        <v>0.83958333333333335</v>
      </c>
      <c r="Q464" s="477">
        <v>0.85624999999999996</v>
      </c>
      <c r="R464" s="472">
        <f>IF(Table6[[#This Row],[Work Start TimeStamp]]="","",(Table6[[#This Row],[Work Start TimeStamp]]-Table6[[#This Row],[Fault Start TimeStamp]])*24)</f>
        <v>0</v>
      </c>
      <c r="S464" s="472">
        <f>(Table6[[#This Row],[Fault Clearance time]]-Table6[[#This Row],[Work Start TimeStamp]])*24</f>
        <v>0.39999999999999858</v>
      </c>
      <c r="T464" s="472">
        <f>(Table6[[#This Row],[Fault Clearance time]]-Table6[[#This Row],[Fault Start TimeStamp]])*24</f>
        <v>0.39999999999999858</v>
      </c>
      <c r="U464" s="35" t="s">
        <v>382</v>
      </c>
      <c r="V464" s="102" t="s">
        <v>293</v>
      </c>
      <c r="W464" s="478">
        <f>IFERROR(Table6[[#This Row],[Breakdown Time]]*Table6[[#This Row],[Plant Equivalent Weightage]],"")</f>
        <v>1.5384615384615325E-2</v>
      </c>
      <c r="X464" s="473" t="s">
        <v>294</v>
      </c>
      <c r="Y464" s="474" t="s">
        <v>79</v>
      </c>
      <c r="Z464" s="102">
        <v>30203</v>
      </c>
      <c r="AA464" s="468">
        <f>(Table6[[#This Row],[Paired WTG Generation for loss calculation]]/24)*Table6[[#This Row],[Breakdown Time]]</f>
        <v>503.38333333333151</v>
      </c>
      <c r="AB464" s="102"/>
      <c r="AC464" s="35"/>
      <c r="AD464" s="35"/>
    </row>
    <row r="465" spans="1:30">
      <c r="A465" s="102">
        <f t="shared" si="8"/>
        <v>464</v>
      </c>
      <c r="B465" s="468">
        <f>YEAR(Table6[[#This Row],[Date]])+IF(MONTH(Table6[[#This Row],[Date]])&gt;=4,1,0)</f>
        <v>2026</v>
      </c>
      <c r="C465" s="102">
        <f>YEAR(Table6[[#This Row],[Date]])</f>
        <v>2025</v>
      </c>
      <c r="D465" s="102" t="s">
        <v>1992</v>
      </c>
      <c r="E465" s="469">
        <f>Table6[[#This Row],[Date]]-DAY(Table6[[#This Row],[Date]])+1</f>
        <v>45748</v>
      </c>
      <c r="F465" s="470">
        <v>45776</v>
      </c>
      <c r="G465" s="35" t="s">
        <v>96</v>
      </c>
      <c r="H465" s="35" t="str">
        <f>IFERROR(_xlfn.XLOOKUP(Table6[[#This Row],[Affected WTG]],'Basic Data'!$A:$A,'Basic Data'!$B:$B),"")</f>
        <v>TQGXIIPL</v>
      </c>
      <c r="I465" s="35" t="str">
        <f>IFERROR(_xlfn.XLOOKUP(Table6[[#This Row],[Affected WTG]],'Basic Data'!$A:$A,'Basic Data'!$C:$C),"")</f>
        <v>GEDA</v>
      </c>
      <c r="J465" s="471">
        <f>IFERROR(_xlfn.XLOOKUP(Table6[[#This Row],[Affected WTG]],'Basic Data'!$A:$A,'Basic Data'!$E:$E),"")</f>
        <v>3.846153846153845E-2</v>
      </c>
      <c r="K465" s="102">
        <v>1700</v>
      </c>
      <c r="L465" s="35" t="str">
        <f>IFERROR(_xlfn.XLOOKUP(Table6[[#This Row],[Error Code]],'Basic Data'!$AA:$AA,'Basic Data'!$AB:$AB),"Incorrect Error Code")</f>
        <v>High temp. gear bearing 1</v>
      </c>
      <c r="M465" s="35" t="s">
        <v>291</v>
      </c>
      <c r="N465" s="475"/>
      <c r="O465" s="476">
        <v>0.76944444444444449</v>
      </c>
      <c r="P465" s="476">
        <v>0.76944444444444449</v>
      </c>
      <c r="Q465" s="477">
        <v>0.78611111111111109</v>
      </c>
      <c r="R465" s="472">
        <f>IF(Table6[[#This Row],[Work Start TimeStamp]]="","",(Table6[[#This Row],[Work Start TimeStamp]]-Table6[[#This Row],[Fault Start TimeStamp]])*24)</f>
        <v>0</v>
      </c>
      <c r="S465" s="472">
        <f>(Table6[[#This Row],[Fault Clearance time]]-Table6[[#This Row],[Work Start TimeStamp]])*24</f>
        <v>0.39999999999999858</v>
      </c>
      <c r="T465" s="472">
        <f>(Table6[[#This Row],[Fault Clearance time]]-Table6[[#This Row],[Fault Start TimeStamp]])*24</f>
        <v>0.39999999999999858</v>
      </c>
      <c r="U465" s="35" t="s">
        <v>382</v>
      </c>
      <c r="V465" s="102" t="s">
        <v>293</v>
      </c>
      <c r="W465" s="478">
        <f>IFERROR(Table6[[#This Row],[Breakdown Time]]*Table6[[#This Row],[Plant Equivalent Weightage]],"")</f>
        <v>1.5384615384615325E-2</v>
      </c>
      <c r="X465" s="473" t="s">
        <v>294</v>
      </c>
      <c r="Y465" s="474" t="s">
        <v>84</v>
      </c>
      <c r="Z465" s="102">
        <v>38381</v>
      </c>
      <c r="AA465" s="468">
        <f>(Table6[[#This Row],[Paired WTG Generation for loss calculation]]/24)*Table6[[#This Row],[Breakdown Time]]</f>
        <v>639.68333333333101</v>
      </c>
      <c r="AB465" s="102"/>
      <c r="AC465" s="35"/>
      <c r="AD465" s="35"/>
    </row>
    <row r="466" spans="1:30">
      <c r="A466" s="102">
        <f t="shared" si="8"/>
        <v>465</v>
      </c>
      <c r="B466" s="468">
        <f>YEAR(Table6[[#This Row],[Date]])+IF(MONTH(Table6[[#This Row],[Date]])&gt;=4,1,0)</f>
        <v>2026</v>
      </c>
      <c r="C466" s="102">
        <f>YEAR(Table6[[#This Row],[Date]])</f>
        <v>2025</v>
      </c>
      <c r="D466" s="102" t="s">
        <v>1992</v>
      </c>
      <c r="E466" s="469">
        <f>Table6[[#This Row],[Date]]-DAY(Table6[[#This Row],[Date]])+1</f>
        <v>45748</v>
      </c>
      <c r="F466" s="470">
        <v>45776</v>
      </c>
      <c r="G466" s="35" t="s">
        <v>97</v>
      </c>
      <c r="H466" s="35" t="str">
        <f>IFERROR(_xlfn.XLOOKUP(Table6[[#This Row],[Affected WTG]],'Basic Data'!$A:$A,'Basic Data'!$B:$B),"")</f>
        <v>TQGXIIPL</v>
      </c>
      <c r="I466" s="35" t="str">
        <f>IFERROR(_xlfn.XLOOKUP(Table6[[#This Row],[Affected WTG]],'Basic Data'!$A:$A,'Basic Data'!$C:$C),"")</f>
        <v>GEDA</v>
      </c>
      <c r="J466" s="471">
        <f>IFERROR(_xlfn.XLOOKUP(Table6[[#This Row],[Affected WTG]],'Basic Data'!$A:$A,'Basic Data'!$E:$E),"")</f>
        <v>3.846153846153845E-2</v>
      </c>
      <c r="K466" s="102">
        <v>6056</v>
      </c>
      <c r="L466" s="35" t="str">
        <f>IFERROR(_xlfn.XLOOKUP(Table6[[#This Row],[Error Code]],'Basic Data'!$AA:$AA,'Basic Data'!$AB:$AB),"Incorrect Error Code")</f>
        <v>High yaw load</v>
      </c>
      <c r="M466" s="35" t="s">
        <v>291</v>
      </c>
      <c r="N466" s="475"/>
      <c r="O466" s="476">
        <v>0.5708333333333333</v>
      </c>
      <c r="P466" s="476">
        <v>0.5708333333333333</v>
      </c>
      <c r="Q466" s="477">
        <v>0.57291666666666663</v>
      </c>
      <c r="R466" s="472">
        <f>IF(Table6[[#This Row],[Work Start TimeStamp]]="","",(Table6[[#This Row],[Work Start TimeStamp]]-Table6[[#This Row],[Fault Start TimeStamp]])*24)</f>
        <v>0</v>
      </c>
      <c r="S466" s="472">
        <f>(Table6[[#This Row],[Fault Clearance time]]-Table6[[#This Row],[Work Start TimeStamp]])*24</f>
        <v>4.9999999999999822E-2</v>
      </c>
      <c r="T466" s="472">
        <f>(Table6[[#This Row],[Fault Clearance time]]-Table6[[#This Row],[Fault Start TimeStamp]])*24</f>
        <v>4.9999999999999822E-2</v>
      </c>
      <c r="U466" s="35" t="s">
        <v>349</v>
      </c>
      <c r="V466" s="102" t="s">
        <v>293</v>
      </c>
      <c r="W466" s="478">
        <f>IFERROR(Table6[[#This Row],[Breakdown Time]]*Table6[[#This Row],[Plant Equivalent Weightage]],"")</f>
        <v>1.9230769230769156E-3</v>
      </c>
      <c r="X466" s="473" t="s">
        <v>294</v>
      </c>
      <c r="Y466" s="474" t="s">
        <v>93</v>
      </c>
      <c r="Z466" s="102">
        <v>41925</v>
      </c>
      <c r="AA466" s="468">
        <f>(Table6[[#This Row],[Paired WTG Generation for loss calculation]]/24)*Table6[[#This Row],[Breakdown Time]]</f>
        <v>87.343749999999687</v>
      </c>
      <c r="AB466" s="102"/>
      <c r="AC466" s="35"/>
      <c r="AD466" s="35"/>
    </row>
    <row r="467" spans="1:30">
      <c r="A467" s="102">
        <f t="shared" si="8"/>
        <v>466</v>
      </c>
      <c r="B467" s="468">
        <f>YEAR(Table6[[#This Row],[Date]])+IF(MONTH(Table6[[#This Row],[Date]])&gt;=4,1,0)</f>
        <v>2026</v>
      </c>
      <c r="C467" s="102">
        <f>YEAR(Table6[[#This Row],[Date]])</f>
        <v>2025</v>
      </c>
      <c r="D467" s="102" t="s">
        <v>1992</v>
      </c>
      <c r="E467" s="469">
        <f>Table6[[#This Row],[Date]]-DAY(Table6[[#This Row],[Date]])+1</f>
        <v>45748</v>
      </c>
      <c r="F467" s="470">
        <v>45776</v>
      </c>
      <c r="G467" s="35" t="s">
        <v>98</v>
      </c>
      <c r="H467" s="35" t="str">
        <f>IFERROR(_xlfn.XLOOKUP(Table6[[#This Row],[Affected WTG]],'Basic Data'!$A:$A,'Basic Data'!$B:$B),"")</f>
        <v>TQGXIIPL</v>
      </c>
      <c r="I467" s="35" t="str">
        <f>IFERROR(_xlfn.XLOOKUP(Table6[[#This Row],[Affected WTG]],'Basic Data'!$A:$A,'Basic Data'!$C:$C),"")</f>
        <v>GEDA</v>
      </c>
      <c r="J467" s="471">
        <f>IFERROR(_xlfn.XLOOKUP(Table6[[#This Row],[Affected WTG]],'Basic Data'!$A:$A,'Basic Data'!$E:$E),"")</f>
        <v>3.846153846153845E-2</v>
      </c>
      <c r="K467" s="102">
        <v>55</v>
      </c>
      <c r="L467" s="35" t="str">
        <f>IFERROR(_xlfn.XLOOKUP(Table6[[#This Row],[Error Code]],'Basic Data'!$AA:$AA,'Basic Data'!$AB:$AB),"Incorrect Error Code")</f>
        <v>WTG shut down</v>
      </c>
      <c r="M467" s="35" t="s">
        <v>330</v>
      </c>
      <c r="N467" s="475"/>
      <c r="O467" s="476">
        <v>0.75694444444444442</v>
      </c>
      <c r="P467" s="476">
        <v>0.75694444444444442</v>
      </c>
      <c r="Q467" s="477">
        <v>1</v>
      </c>
      <c r="R467" s="472">
        <f>IF(Table6[[#This Row],[Work Start TimeStamp]]="","",(Table6[[#This Row],[Work Start TimeStamp]]-Table6[[#This Row],[Fault Start TimeStamp]])*24)</f>
        <v>0</v>
      </c>
      <c r="S467" s="472">
        <f>(Table6[[#This Row],[Fault Clearance time]]-Table6[[#This Row],[Work Start TimeStamp]])*24</f>
        <v>5.8333333333333339</v>
      </c>
      <c r="T467" s="472">
        <f>(Table6[[#This Row],[Fault Clearance time]]-Table6[[#This Row],[Fault Start TimeStamp]])*24</f>
        <v>5.8333333333333339</v>
      </c>
      <c r="U467" s="35" t="s">
        <v>1737</v>
      </c>
      <c r="V467" s="102" t="s">
        <v>293</v>
      </c>
      <c r="W467" s="478">
        <f>IFERROR(Table6[[#This Row],[Breakdown Time]]*Table6[[#This Row],[Plant Equivalent Weightage]],"")</f>
        <v>0.22435897435897431</v>
      </c>
      <c r="X467" s="473" t="s">
        <v>290</v>
      </c>
      <c r="Y467" s="474" t="s">
        <v>74</v>
      </c>
      <c r="Z467" s="102">
        <v>39002</v>
      </c>
      <c r="AA467" s="468">
        <f>(Table6[[#This Row],[Paired WTG Generation for loss calculation]]/24)*Table6[[#This Row],[Breakdown Time]]</f>
        <v>9479.6527777777792</v>
      </c>
      <c r="AB467" s="102"/>
      <c r="AC467" s="35"/>
      <c r="AD467" s="35"/>
    </row>
    <row r="468" spans="1:30">
      <c r="A468" s="102">
        <f t="shared" si="8"/>
        <v>467</v>
      </c>
      <c r="B468" s="468">
        <f>YEAR(Table6[[#This Row],[Date]])+IF(MONTH(Table6[[#This Row],[Date]])&gt;=4,1,0)</f>
        <v>2026</v>
      </c>
      <c r="C468" s="102">
        <f>YEAR(Table6[[#This Row],[Date]])</f>
        <v>2025</v>
      </c>
      <c r="D468" s="102" t="s">
        <v>1992</v>
      </c>
      <c r="E468" s="469">
        <f>Table6[[#This Row],[Date]]-DAY(Table6[[#This Row],[Date]])+1</f>
        <v>45748</v>
      </c>
      <c r="F468" s="470">
        <v>45776</v>
      </c>
      <c r="G468" s="35" t="s">
        <v>99</v>
      </c>
      <c r="H468" s="35" t="str">
        <f>IFERROR(_xlfn.XLOOKUP(Table6[[#This Row],[Affected WTG]],'Basic Data'!$A:$A,'Basic Data'!$B:$B),"")</f>
        <v>TQGXIIPL</v>
      </c>
      <c r="I468" s="35" t="str">
        <f>IFERROR(_xlfn.XLOOKUP(Table6[[#This Row],[Affected WTG]],'Basic Data'!$A:$A,'Basic Data'!$C:$C),"")</f>
        <v>GEDA</v>
      </c>
      <c r="J468" s="471">
        <f>IFERROR(_xlfn.XLOOKUP(Table6[[#This Row],[Affected WTG]],'Basic Data'!$A:$A,'Basic Data'!$E:$E),"")</f>
        <v>3.846153846153845E-2</v>
      </c>
      <c r="K468" s="102">
        <v>5700</v>
      </c>
      <c r="L468" s="35" t="str">
        <f>IFERROR(_xlfn.XLOOKUP(Table6[[#This Row],[Error Code]],'Basic Data'!$AA:$AA,'Basic Data'!$AB:$AB),"Incorrect Error Code")</f>
        <v>Max. operation time hydraulic</v>
      </c>
      <c r="M468" s="35" t="s">
        <v>291</v>
      </c>
      <c r="N468" s="475"/>
      <c r="O468" s="476">
        <v>0.65138888888888891</v>
      </c>
      <c r="P468" s="476">
        <v>0.65138888888888891</v>
      </c>
      <c r="Q468" s="477">
        <v>0.66736111111111107</v>
      </c>
      <c r="R468" s="472">
        <f>IF(Table6[[#This Row],[Work Start TimeStamp]]="","",(Table6[[#This Row],[Work Start TimeStamp]]-Table6[[#This Row],[Fault Start TimeStamp]])*24)</f>
        <v>0</v>
      </c>
      <c r="S468" s="472">
        <f>(Table6[[#This Row],[Fault Clearance time]]-Table6[[#This Row],[Work Start TimeStamp]])*24</f>
        <v>0.38333333333333197</v>
      </c>
      <c r="T468" s="472">
        <f>(Table6[[#This Row],[Fault Clearance time]]-Table6[[#This Row],[Fault Start TimeStamp]])*24</f>
        <v>0.38333333333333197</v>
      </c>
      <c r="U468" s="35" t="s">
        <v>396</v>
      </c>
      <c r="V468" s="102" t="s">
        <v>293</v>
      </c>
      <c r="W468" s="478">
        <f>IFERROR(Table6[[#This Row],[Breakdown Time]]*Table6[[#This Row],[Plant Equivalent Weightage]],"")</f>
        <v>1.4743589743589686E-2</v>
      </c>
      <c r="X468" s="473" t="s">
        <v>294</v>
      </c>
      <c r="Y468" s="474" t="s">
        <v>74</v>
      </c>
      <c r="Z468" s="102">
        <v>39002</v>
      </c>
      <c r="AA468" s="468">
        <f>(Table6[[#This Row],[Paired WTG Generation for loss calculation]]/24)*Table6[[#This Row],[Breakdown Time]]</f>
        <v>622.9486111111089</v>
      </c>
      <c r="AB468" s="102"/>
      <c r="AC468" s="35"/>
      <c r="AD468" s="35"/>
    </row>
    <row r="469" spans="1:30">
      <c r="A469" s="102">
        <f t="shared" si="8"/>
        <v>468</v>
      </c>
      <c r="B469" s="468">
        <f>YEAR(Table6[[#This Row],[Date]])+IF(MONTH(Table6[[#This Row],[Date]])&gt;=4,1,0)</f>
        <v>2026</v>
      </c>
      <c r="C469" s="102">
        <f>YEAR(Table6[[#This Row],[Date]])</f>
        <v>2025</v>
      </c>
      <c r="D469" s="102" t="s">
        <v>1992</v>
      </c>
      <c r="E469" s="469">
        <f>Table6[[#This Row],[Date]]-DAY(Table6[[#This Row],[Date]])+1</f>
        <v>45748</v>
      </c>
      <c r="F469" s="470">
        <v>45776</v>
      </c>
      <c r="G469" s="35" t="s">
        <v>99</v>
      </c>
      <c r="H469" s="35" t="str">
        <f>IFERROR(_xlfn.XLOOKUP(Table6[[#This Row],[Affected WTG]],'Basic Data'!$A:$A,'Basic Data'!$B:$B),"")</f>
        <v>TQGXIIPL</v>
      </c>
      <c r="I469" s="35" t="str">
        <f>IFERROR(_xlfn.XLOOKUP(Table6[[#This Row],[Affected WTG]],'Basic Data'!$A:$A,'Basic Data'!$C:$C),"")</f>
        <v>GEDA</v>
      </c>
      <c r="J469" s="471">
        <f>IFERROR(_xlfn.XLOOKUP(Table6[[#This Row],[Affected WTG]],'Basic Data'!$A:$A,'Basic Data'!$E:$E),"")</f>
        <v>3.846153846153845E-2</v>
      </c>
      <c r="K469" s="102">
        <v>6130</v>
      </c>
      <c r="L469" s="35" t="str">
        <f>IFERROR(_xlfn.XLOOKUP(Table6[[#This Row],[Error Code]],'Basic Data'!$AA:$AA,'Basic Data'!$AB:$AB),"Incorrect Error Code")</f>
        <v>Yaw speed high</v>
      </c>
      <c r="M469" s="35" t="s">
        <v>292</v>
      </c>
      <c r="N469" s="475"/>
      <c r="O469" s="476">
        <v>0.67500000000000004</v>
      </c>
      <c r="P469" s="476">
        <v>0.67500000000000004</v>
      </c>
      <c r="Q469" s="477">
        <v>0.6791666666666667</v>
      </c>
      <c r="R469" s="472">
        <f>IF(Table6[[#This Row],[Work Start TimeStamp]]="","",(Table6[[#This Row],[Work Start TimeStamp]]-Table6[[#This Row],[Fault Start TimeStamp]])*24)</f>
        <v>0</v>
      </c>
      <c r="S469" s="472">
        <f>(Table6[[#This Row],[Fault Clearance time]]-Table6[[#This Row],[Work Start TimeStamp]])*24</f>
        <v>9.9999999999999645E-2</v>
      </c>
      <c r="T469" s="472">
        <f>(Table6[[#This Row],[Fault Clearance time]]-Table6[[#This Row],[Fault Start TimeStamp]])*24</f>
        <v>9.9999999999999645E-2</v>
      </c>
      <c r="U469" s="35" t="s">
        <v>336</v>
      </c>
      <c r="V469" s="102" t="s">
        <v>293</v>
      </c>
      <c r="W469" s="478">
        <f>IFERROR(Table6[[#This Row],[Breakdown Time]]*Table6[[#This Row],[Plant Equivalent Weightage]],"")</f>
        <v>3.8461538461538312E-3</v>
      </c>
      <c r="X469" s="473" t="s">
        <v>294</v>
      </c>
      <c r="Y469" s="474" t="s">
        <v>74</v>
      </c>
      <c r="Z469" s="102">
        <v>39002</v>
      </c>
      <c r="AA469" s="468">
        <f>(Table6[[#This Row],[Paired WTG Generation for loss calculation]]/24)*Table6[[#This Row],[Breakdown Time]]</f>
        <v>162.50833333333276</v>
      </c>
      <c r="AB469" s="102"/>
      <c r="AC469" s="35"/>
      <c r="AD469" s="35"/>
    </row>
    <row r="470" spans="1:30">
      <c r="A470" s="102">
        <f t="shared" si="8"/>
        <v>469</v>
      </c>
      <c r="B470" s="468">
        <f>YEAR(Table6[[#This Row],[Date]])+IF(MONTH(Table6[[#This Row],[Date]])&gt;=4,1,0)</f>
        <v>2026</v>
      </c>
      <c r="C470" s="102">
        <f>YEAR(Table6[[#This Row],[Date]])</f>
        <v>2025</v>
      </c>
      <c r="D470" s="102" t="s">
        <v>1992</v>
      </c>
      <c r="E470" s="469">
        <f>Table6[[#This Row],[Date]]-DAY(Table6[[#This Row],[Date]])+1</f>
        <v>45748</v>
      </c>
      <c r="F470" s="470">
        <v>45777</v>
      </c>
      <c r="G470" s="35" t="s">
        <v>74</v>
      </c>
      <c r="H470" s="35" t="str">
        <f>IFERROR(_xlfn.XLOOKUP(Table6[[#This Row],[Affected WTG]],'Basic Data'!$A:$A,'Basic Data'!$B:$B),"")</f>
        <v>TQGXIIPL</v>
      </c>
      <c r="I470" s="35" t="str">
        <f>IFERROR(_xlfn.XLOOKUP(Table6[[#This Row],[Affected WTG]],'Basic Data'!$A:$A,'Basic Data'!$C:$C),"")</f>
        <v>GEDA</v>
      </c>
      <c r="J470" s="471">
        <f>IFERROR(_xlfn.XLOOKUP(Table6[[#This Row],[Affected WTG]],'Basic Data'!$A:$A,'Basic Data'!$E:$E),"")</f>
        <v>3.846153846153845E-2</v>
      </c>
      <c r="K470" s="102">
        <v>159</v>
      </c>
      <c r="L470" s="35" t="str">
        <f>IFERROR(_xlfn.XLOOKUP(Table6[[#This Row],[Error Code]],'Basic Data'!$AA:$AA,'Basic Data'!$AB:$AB),"Incorrect Error Code")</f>
        <v>SLC SF emergency stop</v>
      </c>
      <c r="M470" s="35" t="s">
        <v>291</v>
      </c>
      <c r="N470" s="475"/>
      <c r="O470" s="476">
        <v>0</v>
      </c>
      <c r="P470" s="476">
        <v>0</v>
      </c>
      <c r="Q470" s="477">
        <v>0.1111111111111111</v>
      </c>
      <c r="R470" s="472">
        <f>IF(Table6[[#This Row],[Work Start TimeStamp]]="","",(Table6[[#This Row],[Work Start TimeStamp]]-Table6[[#This Row],[Fault Start TimeStamp]])*24)</f>
        <v>0</v>
      </c>
      <c r="S470" s="472">
        <f>(Table6[[#This Row],[Fault Clearance time]]-Table6[[#This Row],[Work Start TimeStamp]])*24</f>
        <v>2.6666666666666665</v>
      </c>
      <c r="T470" s="472">
        <f>(Table6[[#This Row],[Fault Clearance time]]-Table6[[#This Row],[Fault Start TimeStamp]])*24</f>
        <v>2.6666666666666665</v>
      </c>
      <c r="U470" s="35" t="s">
        <v>1742</v>
      </c>
      <c r="V470" s="102" t="s">
        <v>293</v>
      </c>
      <c r="W470" s="478">
        <f>IFERROR(Table6[[#This Row],[Breakdown Time]]*Table6[[#This Row],[Plant Equivalent Weightage]],"")</f>
        <v>0.10256410256410253</v>
      </c>
      <c r="X470" s="473" t="s">
        <v>294</v>
      </c>
      <c r="Y470" s="474" t="s">
        <v>99</v>
      </c>
      <c r="Z470" s="102">
        <v>38333</v>
      </c>
      <c r="AA470" s="468">
        <f>(Table6[[#This Row],[Paired WTG Generation for loss calculation]]/24)*Table6[[#This Row],[Breakdown Time]]</f>
        <v>4259.2222222222217</v>
      </c>
      <c r="AB470" s="102"/>
      <c r="AC470" s="35"/>
      <c r="AD470" s="35"/>
    </row>
    <row r="471" spans="1:30">
      <c r="A471" s="102">
        <f t="shared" si="8"/>
        <v>470</v>
      </c>
      <c r="B471" s="468">
        <f>YEAR(Table6[[#This Row],[Date]])+IF(MONTH(Table6[[#This Row],[Date]])&gt;=4,1,0)</f>
        <v>2026</v>
      </c>
      <c r="C471" s="102">
        <f>YEAR(Table6[[#This Row],[Date]])</f>
        <v>2025</v>
      </c>
      <c r="D471" s="102" t="s">
        <v>1992</v>
      </c>
      <c r="E471" s="469">
        <f>Table6[[#This Row],[Date]]-DAY(Table6[[#This Row],[Date]])+1</f>
        <v>45748</v>
      </c>
      <c r="F471" s="470">
        <v>45777</v>
      </c>
      <c r="G471" s="35" t="s">
        <v>74</v>
      </c>
      <c r="H471" s="35" t="str">
        <f>IFERROR(_xlfn.XLOOKUP(Table6[[#This Row],[Affected WTG]],'Basic Data'!$A:$A,'Basic Data'!$B:$B),"")</f>
        <v>TQGXIIPL</v>
      </c>
      <c r="I471" s="35" t="str">
        <f>IFERROR(_xlfn.XLOOKUP(Table6[[#This Row],[Affected WTG]],'Basic Data'!$A:$A,'Basic Data'!$C:$C),"")</f>
        <v>GEDA</v>
      </c>
      <c r="J471" s="471">
        <f>IFERROR(_xlfn.XLOOKUP(Table6[[#This Row],[Affected WTG]],'Basic Data'!$A:$A,'Basic Data'!$E:$E),"")</f>
        <v>3.846153846153845E-2</v>
      </c>
      <c r="K471" s="102">
        <v>159</v>
      </c>
      <c r="L471" s="35" t="str">
        <f>IFERROR(_xlfn.XLOOKUP(Table6[[#This Row],[Error Code]],'Basic Data'!$AA:$AA,'Basic Data'!$AB:$AB),"Incorrect Error Code")</f>
        <v>SLC SF emergency stop</v>
      </c>
      <c r="M471" s="35" t="s">
        <v>291</v>
      </c>
      <c r="N471" s="475"/>
      <c r="O471" s="476">
        <v>0.14583333333333334</v>
      </c>
      <c r="P471" s="476">
        <v>0.14583333333333334</v>
      </c>
      <c r="Q471" s="477">
        <v>0.1875</v>
      </c>
      <c r="R471" s="472">
        <f>IF(Table6[[#This Row],[Work Start TimeStamp]]="","",(Table6[[#This Row],[Work Start TimeStamp]]-Table6[[#This Row],[Fault Start TimeStamp]])*24)</f>
        <v>0</v>
      </c>
      <c r="S471" s="472">
        <f>(Table6[[#This Row],[Fault Clearance time]]-Table6[[#This Row],[Work Start TimeStamp]])*24</f>
        <v>0.99999999999999978</v>
      </c>
      <c r="T471" s="472">
        <f>(Table6[[#This Row],[Fault Clearance time]]-Table6[[#This Row],[Fault Start TimeStamp]])*24</f>
        <v>0.99999999999999978</v>
      </c>
      <c r="U471" s="35" t="s">
        <v>1742</v>
      </c>
      <c r="V471" s="102" t="s">
        <v>293</v>
      </c>
      <c r="W471" s="478">
        <f>IFERROR(Table6[[#This Row],[Breakdown Time]]*Table6[[#This Row],[Plant Equivalent Weightage]],"")</f>
        <v>3.8461538461538443E-2</v>
      </c>
      <c r="X471" s="473" t="s">
        <v>294</v>
      </c>
      <c r="Y471" s="474" t="s">
        <v>99</v>
      </c>
      <c r="Z471" s="102">
        <v>38333</v>
      </c>
      <c r="AA471" s="468">
        <f>(Table6[[#This Row],[Paired WTG Generation for loss calculation]]/24)*Table6[[#This Row],[Breakdown Time]]</f>
        <v>1597.2083333333328</v>
      </c>
      <c r="AB471" s="102"/>
      <c r="AC471" s="35"/>
      <c r="AD471" s="35"/>
    </row>
    <row r="472" spans="1:30">
      <c r="A472" s="102">
        <f t="shared" si="8"/>
        <v>471</v>
      </c>
      <c r="B472" s="468">
        <f>YEAR(Table6[[#This Row],[Date]])+IF(MONTH(Table6[[#This Row],[Date]])&gt;=4,1,0)</f>
        <v>2026</v>
      </c>
      <c r="C472" s="102">
        <f>YEAR(Table6[[#This Row],[Date]])</f>
        <v>2025</v>
      </c>
      <c r="D472" s="102" t="s">
        <v>1992</v>
      </c>
      <c r="E472" s="469">
        <f>Table6[[#This Row],[Date]]-DAY(Table6[[#This Row],[Date]])+1</f>
        <v>45748</v>
      </c>
      <c r="F472" s="470">
        <v>45777</v>
      </c>
      <c r="G472" s="35" t="s">
        <v>74</v>
      </c>
      <c r="H472" s="35" t="str">
        <f>IFERROR(_xlfn.XLOOKUP(Table6[[#This Row],[Affected WTG]],'Basic Data'!$A:$A,'Basic Data'!$B:$B),"")</f>
        <v>TQGXIIPL</v>
      </c>
      <c r="I472" s="35" t="str">
        <f>IFERROR(_xlfn.XLOOKUP(Table6[[#This Row],[Affected WTG]],'Basic Data'!$A:$A,'Basic Data'!$C:$C),"")</f>
        <v>GEDA</v>
      </c>
      <c r="J472" s="471">
        <f>IFERROR(_xlfn.XLOOKUP(Table6[[#This Row],[Affected WTG]],'Basic Data'!$A:$A,'Basic Data'!$E:$E),"")</f>
        <v>3.846153846153845E-2</v>
      </c>
      <c r="K472" s="102">
        <v>55</v>
      </c>
      <c r="L472" s="35" t="str">
        <f>IFERROR(_xlfn.XLOOKUP(Table6[[#This Row],[Error Code]],'Basic Data'!$AA:$AA,'Basic Data'!$AB:$AB),"Incorrect Error Code")</f>
        <v>WTG shut down</v>
      </c>
      <c r="M472" s="35" t="s">
        <v>330</v>
      </c>
      <c r="N472" s="475"/>
      <c r="O472" s="476">
        <v>0.9</v>
      </c>
      <c r="P472" s="476">
        <v>0.9</v>
      </c>
      <c r="Q472" s="477">
        <v>0.95138888888888884</v>
      </c>
      <c r="R472" s="472">
        <f>IF(Table6[[#This Row],[Work Start TimeStamp]]="","",(Table6[[#This Row],[Work Start TimeStamp]]-Table6[[#This Row],[Fault Start TimeStamp]])*24)</f>
        <v>0</v>
      </c>
      <c r="S472" s="472">
        <f>(Table6[[#This Row],[Fault Clearance time]]-Table6[[#This Row],[Work Start TimeStamp]])*24</f>
        <v>1.2333333333333316</v>
      </c>
      <c r="T472" s="472">
        <f>(Table6[[#This Row],[Fault Clearance time]]-Table6[[#This Row],[Fault Start TimeStamp]])*24</f>
        <v>1.2333333333333316</v>
      </c>
      <c r="U472" s="35" t="s">
        <v>1744</v>
      </c>
      <c r="V472" s="102" t="s">
        <v>293</v>
      </c>
      <c r="W472" s="478">
        <f>IFERROR(Table6[[#This Row],[Breakdown Time]]*Table6[[#This Row],[Plant Equivalent Weightage]],"")</f>
        <v>4.7435897435897358E-2</v>
      </c>
      <c r="X472" s="473" t="s">
        <v>290</v>
      </c>
      <c r="Y472" s="474" t="s">
        <v>99</v>
      </c>
      <c r="Z472" s="102">
        <v>38333</v>
      </c>
      <c r="AA472" s="468">
        <f>(Table6[[#This Row],[Paired WTG Generation for loss calculation]]/24)*Table6[[#This Row],[Breakdown Time]]</f>
        <v>1969.8902777777751</v>
      </c>
      <c r="AB472" s="102"/>
      <c r="AC472" s="35"/>
      <c r="AD472" s="35"/>
    </row>
    <row r="473" spans="1:30">
      <c r="A473" s="102">
        <f t="shared" si="8"/>
        <v>472</v>
      </c>
      <c r="B473" s="468">
        <f>YEAR(Table6[[#This Row],[Date]])+IF(MONTH(Table6[[#This Row],[Date]])&gt;=4,1,0)</f>
        <v>2026</v>
      </c>
      <c r="C473" s="102">
        <f>YEAR(Table6[[#This Row],[Date]])</f>
        <v>2025</v>
      </c>
      <c r="D473" s="102" t="s">
        <v>1992</v>
      </c>
      <c r="E473" s="469">
        <f>Table6[[#This Row],[Date]]-DAY(Table6[[#This Row],[Date]])+1</f>
        <v>45748</v>
      </c>
      <c r="F473" s="470">
        <v>45777</v>
      </c>
      <c r="G473" s="35" t="s">
        <v>75</v>
      </c>
      <c r="H473" s="35" t="str">
        <f>IFERROR(_xlfn.XLOOKUP(Table6[[#This Row],[Affected WTG]],'Basic Data'!$A:$A,'Basic Data'!$B:$B),"")</f>
        <v>TQGXIIPL</v>
      </c>
      <c r="I473" s="35" t="str">
        <f>IFERROR(_xlfn.XLOOKUP(Table6[[#This Row],[Affected WTG]],'Basic Data'!$A:$A,'Basic Data'!$C:$C),"")</f>
        <v>GEDA</v>
      </c>
      <c r="J473" s="471">
        <f>IFERROR(_xlfn.XLOOKUP(Table6[[#This Row],[Affected WTG]],'Basic Data'!$A:$A,'Basic Data'!$E:$E),"")</f>
        <v>3.846153846153845E-2</v>
      </c>
      <c r="K473" s="102">
        <v>6605</v>
      </c>
      <c r="L473" s="35" t="str">
        <f>IFERROR(_xlfn.XLOOKUP(Table6[[#This Row],[Error Code]],'Basic Data'!$AA:$AA,'Basic Data'!$AB:$AB),"Incorrect Error Code")</f>
        <v>Wind.dir. diff. level 2</v>
      </c>
      <c r="M473" s="35" t="s">
        <v>291</v>
      </c>
      <c r="N473" s="475"/>
      <c r="O473" s="476">
        <v>0.57499999999999996</v>
      </c>
      <c r="P473" s="476">
        <v>0.57499999999999996</v>
      </c>
      <c r="Q473" s="477">
        <v>0.57638888888888884</v>
      </c>
      <c r="R473" s="472">
        <f>IF(Table6[[#This Row],[Work Start TimeStamp]]="","",(Table6[[#This Row],[Work Start TimeStamp]]-Table6[[#This Row],[Fault Start TimeStamp]])*24)</f>
        <v>0</v>
      </c>
      <c r="S473" s="472">
        <f>(Table6[[#This Row],[Fault Clearance time]]-Table6[[#This Row],[Work Start TimeStamp]])*24</f>
        <v>3.3333333333333215E-2</v>
      </c>
      <c r="T473" s="472">
        <f>(Table6[[#This Row],[Fault Clearance time]]-Table6[[#This Row],[Fault Start TimeStamp]])*24</f>
        <v>3.3333333333333215E-2</v>
      </c>
      <c r="U473" s="35" t="s">
        <v>349</v>
      </c>
      <c r="V473" s="102" t="s">
        <v>293</v>
      </c>
      <c r="W473" s="478">
        <f>IFERROR(Table6[[#This Row],[Breakdown Time]]*Table6[[#This Row],[Plant Equivalent Weightage]],"")</f>
        <v>1.2820512820512771E-3</v>
      </c>
      <c r="X473" s="473" t="s">
        <v>294</v>
      </c>
      <c r="Y473" s="474" t="s">
        <v>78</v>
      </c>
      <c r="Z473" s="102">
        <v>37428</v>
      </c>
      <c r="AA473" s="468">
        <f>(Table6[[#This Row],[Paired WTG Generation for loss calculation]]/24)*Table6[[#This Row],[Breakdown Time]]</f>
        <v>51.98333333333315</v>
      </c>
      <c r="AB473" s="102"/>
      <c r="AC473" s="35"/>
      <c r="AD473" s="35"/>
    </row>
    <row r="474" spans="1:30">
      <c r="A474" s="102">
        <f t="shared" si="8"/>
        <v>473</v>
      </c>
      <c r="B474" s="468">
        <f>YEAR(Table6[[#This Row],[Date]])+IF(MONTH(Table6[[#This Row],[Date]])&gt;=4,1,0)</f>
        <v>2026</v>
      </c>
      <c r="C474" s="102">
        <f>YEAR(Table6[[#This Row],[Date]])</f>
        <v>2025</v>
      </c>
      <c r="D474" s="102" t="s">
        <v>1992</v>
      </c>
      <c r="E474" s="469">
        <f>Table6[[#This Row],[Date]]-DAY(Table6[[#This Row],[Date]])+1</f>
        <v>45748</v>
      </c>
      <c r="F474" s="470">
        <v>45777</v>
      </c>
      <c r="G474" s="35" t="s">
        <v>77</v>
      </c>
      <c r="H474" s="35" t="str">
        <f>IFERROR(_xlfn.XLOOKUP(Table6[[#This Row],[Affected WTG]],'Basic Data'!$A:$A,'Basic Data'!$B:$B),"")</f>
        <v>TQGXIIPL</v>
      </c>
      <c r="I474" s="35" t="str">
        <f>IFERROR(_xlfn.XLOOKUP(Table6[[#This Row],[Affected WTG]],'Basic Data'!$A:$A,'Basic Data'!$C:$C),"")</f>
        <v>GEDA</v>
      </c>
      <c r="J474" s="471">
        <f>IFERROR(_xlfn.XLOOKUP(Table6[[#This Row],[Affected WTG]],'Basic Data'!$A:$A,'Basic Data'!$E:$E),"")</f>
        <v>3.846153846153845E-2</v>
      </c>
      <c r="K474" s="102">
        <v>6130</v>
      </c>
      <c r="L474" s="35" t="str">
        <f>IFERROR(_xlfn.XLOOKUP(Table6[[#This Row],[Error Code]],'Basic Data'!$AA:$AA,'Basic Data'!$AB:$AB),"Incorrect Error Code")</f>
        <v>Yaw speed high</v>
      </c>
      <c r="M474" s="35" t="s">
        <v>292</v>
      </c>
      <c r="N474" s="475"/>
      <c r="O474" s="476">
        <v>0.34861111111111109</v>
      </c>
      <c r="P474" s="476">
        <v>0.34861111111111109</v>
      </c>
      <c r="Q474" s="477">
        <v>0.3527777777777778</v>
      </c>
      <c r="R474" s="472">
        <f>IF(Table6[[#This Row],[Work Start TimeStamp]]="","",(Table6[[#This Row],[Work Start TimeStamp]]-Table6[[#This Row],[Fault Start TimeStamp]])*24)</f>
        <v>0</v>
      </c>
      <c r="S474" s="472">
        <f>(Table6[[#This Row],[Fault Clearance time]]-Table6[[#This Row],[Work Start TimeStamp]])*24</f>
        <v>0.10000000000000098</v>
      </c>
      <c r="T474" s="472">
        <f>(Table6[[#This Row],[Fault Clearance time]]-Table6[[#This Row],[Fault Start TimeStamp]])*24</f>
        <v>0.10000000000000098</v>
      </c>
      <c r="U474" s="35" t="s">
        <v>336</v>
      </c>
      <c r="V474" s="102" t="s">
        <v>293</v>
      </c>
      <c r="W474" s="478">
        <f>IFERROR(Table6[[#This Row],[Breakdown Time]]*Table6[[#This Row],[Plant Equivalent Weightage]],"")</f>
        <v>3.8461538461538824E-3</v>
      </c>
      <c r="X474" s="473" t="s">
        <v>294</v>
      </c>
      <c r="Y474" s="474" t="s">
        <v>80</v>
      </c>
      <c r="Z474" s="102">
        <v>43595</v>
      </c>
      <c r="AA474" s="468">
        <f>(Table6[[#This Row],[Paired WTG Generation for loss calculation]]/24)*Table6[[#This Row],[Breakdown Time]]</f>
        <v>181.6458333333351</v>
      </c>
      <c r="AB474" s="102"/>
      <c r="AC474" s="35"/>
      <c r="AD474" s="35"/>
    </row>
    <row r="475" spans="1:30">
      <c r="A475" s="102">
        <f t="shared" si="8"/>
        <v>474</v>
      </c>
      <c r="B475" s="468">
        <f>YEAR(Table6[[#This Row],[Date]])+IF(MONTH(Table6[[#This Row],[Date]])&gt;=4,1,0)</f>
        <v>2026</v>
      </c>
      <c r="C475" s="102">
        <f>YEAR(Table6[[#This Row],[Date]])</f>
        <v>2025</v>
      </c>
      <c r="D475" s="102" t="s">
        <v>1992</v>
      </c>
      <c r="E475" s="469">
        <f>Table6[[#This Row],[Date]]-DAY(Table6[[#This Row],[Date]])+1</f>
        <v>45748</v>
      </c>
      <c r="F475" s="470">
        <v>45777</v>
      </c>
      <c r="G475" s="35" t="s">
        <v>77</v>
      </c>
      <c r="H475" s="35" t="str">
        <f>IFERROR(_xlfn.XLOOKUP(Table6[[#This Row],[Affected WTG]],'Basic Data'!$A:$A,'Basic Data'!$B:$B),"")</f>
        <v>TQGXIIPL</v>
      </c>
      <c r="I475" s="35" t="str">
        <f>IFERROR(_xlfn.XLOOKUP(Table6[[#This Row],[Affected WTG]],'Basic Data'!$A:$A,'Basic Data'!$C:$C),"")</f>
        <v>GEDA</v>
      </c>
      <c r="J475" s="471">
        <f>IFERROR(_xlfn.XLOOKUP(Table6[[#This Row],[Affected WTG]],'Basic Data'!$A:$A,'Basic Data'!$E:$E),"")</f>
        <v>3.846153846153845E-2</v>
      </c>
      <c r="K475" s="102">
        <v>6130</v>
      </c>
      <c r="L475" s="35" t="str">
        <f>IFERROR(_xlfn.XLOOKUP(Table6[[#This Row],[Error Code]],'Basic Data'!$AA:$AA,'Basic Data'!$AB:$AB),"Incorrect Error Code")</f>
        <v>Yaw speed high</v>
      </c>
      <c r="M475" s="35" t="s">
        <v>291</v>
      </c>
      <c r="N475" s="475"/>
      <c r="O475" s="476">
        <v>0.38124999999999998</v>
      </c>
      <c r="P475" s="476">
        <v>0.38124999999999998</v>
      </c>
      <c r="Q475" s="477">
        <v>0.38263888888888886</v>
      </c>
      <c r="R475" s="472">
        <f>IF(Table6[[#This Row],[Work Start TimeStamp]]="","",(Table6[[#This Row],[Work Start TimeStamp]]-Table6[[#This Row],[Fault Start TimeStamp]])*24)</f>
        <v>0</v>
      </c>
      <c r="S475" s="472">
        <f>(Table6[[#This Row],[Fault Clearance time]]-Table6[[#This Row],[Work Start TimeStamp]])*24</f>
        <v>3.3333333333333215E-2</v>
      </c>
      <c r="T475" s="472">
        <f>(Table6[[#This Row],[Fault Clearance time]]-Table6[[#This Row],[Fault Start TimeStamp]])*24</f>
        <v>3.3333333333333215E-2</v>
      </c>
      <c r="U475" s="35" t="s">
        <v>349</v>
      </c>
      <c r="V475" s="102" t="s">
        <v>293</v>
      </c>
      <c r="W475" s="478">
        <f>IFERROR(Table6[[#This Row],[Breakdown Time]]*Table6[[#This Row],[Plant Equivalent Weightage]],"")</f>
        <v>1.2820512820512771E-3</v>
      </c>
      <c r="X475" s="473" t="s">
        <v>294</v>
      </c>
      <c r="Y475" s="474" t="s">
        <v>80</v>
      </c>
      <c r="Z475" s="102">
        <v>43595</v>
      </c>
      <c r="AA475" s="468">
        <f>(Table6[[#This Row],[Paired WTG Generation for loss calculation]]/24)*Table6[[#This Row],[Breakdown Time]]</f>
        <v>60.548611111110894</v>
      </c>
      <c r="AB475" s="102"/>
      <c r="AC475" s="35"/>
      <c r="AD475" s="35"/>
    </row>
    <row r="476" spans="1:30">
      <c r="A476" s="102">
        <f t="shared" si="8"/>
        <v>475</v>
      </c>
      <c r="B476" s="468">
        <f>YEAR(Table6[[#This Row],[Date]])+IF(MONTH(Table6[[#This Row],[Date]])&gt;=4,1,0)</f>
        <v>2026</v>
      </c>
      <c r="C476" s="102">
        <f>YEAR(Table6[[#This Row],[Date]])</f>
        <v>2025</v>
      </c>
      <c r="D476" s="102" t="s">
        <v>1992</v>
      </c>
      <c r="E476" s="469">
        <f>Table6[[#This Row],[Date]]-DAY(Table6[[#This Row],[Date]])+1</f>
        <v>45748</v>
      </c>
      <c r="F476" s="470">
        <v>45777</v>
      </c>
      <c r="G476" s="35" t="s">
        <v>77</v>
      </c>
      <c r="H476" s="35" t="str">
        <f>IFERROR(_xlfn.XLOOKUP(Table6[[#This Row],[Affected WTG]],'Basic Data'!$A:$A,'Basic Data'!$B:$B),"")</f>
        <v>TQGXIIPL</v>
      </c>
      <c r="I476" s="35" t="str">
        <f>IFERROR(_xlfn.XLOOKUP(Table6[[#This Row],[Affected WTG]],'Basic Data'!$A:$A,'Basic Data'!$C:$C),"")</f>
        <v>GEDA</v>
      </c>
      <c r="J476" s="471">
        <f>IFERROR(_xlfn.XLOOKUP(Table6[[#This Row],[Affected WTG]],'Basic Data'!$A:$A,'Basic Data'!$E:$E),"")</f>
        <v>3.846153846153845E-2</v>
      </c>
      <c r="K476" s="102">
        <v>6130</v>
      </c>
      <c r="L476" s="35" t="str">
        <f>IFERROR(_xlfn.XLOOKUP(Table6[[#This Row],[Error Code]],'Basic Data'!$AA:$AA,'Basic Data'!$AB:$AB),"Incorrect Error Code")</f>
        <v>Yaw speed high</v>
      </c>
      <c r="M476" s="35" t="s">
        <v>292</v>
      </c>
      <c r="N476" s="475"/>
      <c r="O476" s="476">
        <v>0.49722222222222223</v>
      </c>
      <c r="P476" s="476">
        <v>0.49722222222222223</v>
      </c>
      <c r="Q476" s="477">
        <v>0.50138888888888888</v>
      </c>
      <c r="R476" s="472">
        <f>IF(Table6[[#This Row],[Work Start TimeStamp]]="","",(Table6[[#This Row],[Work Start TimeStamp]]-Table6[[#This Row],[Fault Start TimeStamp]])*24)</f>
        <v>0</v>
      </c>
      <c r="S476" s="472">
        <f>(Table6[[#This Row],[Fault Clearance time]]-Table6[[#This Row],[Work Start TimeStamp]])*24</f>
        <v>9.9999999999999645E-2</v>
      </c>
      <c r="T476" s="472">
        <f>(Table6[[#This Row],[Fault Clearance time]]-Table6[[#This Row],[Fault Start TimeStamp]])*24</f>
        <v>9.9999999999999645E-2</v>
      </c>
      <c r="U476" s="35" t="s">
        <v>336</v>
      </c>
      <c r="V476" s="102" t="s">
        <v>293</v>
      </c>
      <c r="W476" s="478">
        <f>IFERROR(Table6[[#This Row],[Breakdown Time]]*Table6[[#This Row],[Plant Equivalent Weightage]],"")</f>
        <v>3.8461538461538312E-3</v>
      </c>
      <c r="X476" s="473" t="s">
        <v>294</v>
      </c>
      <c r="Y476" s="474" t="s">
        <v>80</v>
      </c>
      <c r="Z476" s="102">
        <v>43595</v>
      </c>
      <c r="AA476" s="468">
        <f>(Table6[[#This Row],[Paired WTG Generation for loss calculation]]/24)*Table6[[#This Row],[Breakdown Time]]</f>
        <v>181.64583333333269</v>
      </c>
      <c r="AB476" s="102"/>
      <c r="AC476" s="35"/>
      <c r="AD476" s="35"/>
    </row>
    <row r="477" spans="1:30">
      <c r="A477" s="102">
        <f t="shared" si="8"/>
        <v>476</v>
      </c>
      <c r="B477" s="468">
        <f>YEAR(Table6[[#This Row],[Date]])+IF(MONTH(Table6[[#This Row],[Date]])&gt;=4,1,0)</f>
        <v>2026</v>
      </c>
      <c r="C477" s="102">
        <f>YEAR(Table6[[#This Row],[Date]])</f>
        <v>2025</v>
      </c>
      <c r="D477" s="102" t="s">
        <v>1992</v>
      </c>
      <c r="E477" s="469">
        <f>Table6[[#This Row],[Date]]-DAY(Table6[[#This Row],[Date]])+1</f>
        <v>45748</v>
      </c>
      <c r="F477" s="470">
        <v>45777</v>
      </c>
      <c r="G477" s="35" t="s">
        <v>77</v>
      </c>
      <c r="H477" s="35" t="str">
        <f>IFERROR(_xlfn.XLOOKUP(Table6[[#This Row],[Affected WTG]],'Basic Data'!$A:$A,'Basic Data'!$B:$B),"")</f>
        <v>TQGXIIPL</v>
      </c>
      <c r="I477" s="35" t="str">
        <f>IFERROR(_xlfn.XLOOKUP(Table6[[#This Row],[Affected WTG]],'Basic Data'!$A:$A,'Basic Data'!$C:$C),"")</f>
        <v>GEDA</v>
      </c>
      <c r="J477" s="471">
        <f>IFERROR(_xlfn.XLOOKUP(Table6[[#This Row],[Affected WTG]],'Basic Data'!$A:$A,'Basic Data'!$E:$E),"")</f>
        <v>3.846153846153845E-2</v>
      </c>
      <c r="K477" s="102">
        <v>1700</v>
      </c>
      <c r="L477" s="35" t="str">
        <f>IFERROR(_xlfn.XLOOKUP(Table6[[#This Row],[Error Code]],'Basic Data'!$AA:$AA,'Basic Data'!$AB:$AB),"Incorrect Error Code")</f>
        <v>High temp. gear bearing 1</v>
      </c>
      <c r="M477" s="35" t="s">
        <v>291</v>
      </c>
      <c r="N477" s="475"/>
      <c r="O477" s="476">
        <v>0.76249999999999996</v>
      </c>
      <c r="P477" s="476">
        <v>0.76249999999999996</v>
      </c>
      <c r="Q477" s="477">
        <v>0.78055555555555556</v>
      </c>
      <c r="R477" s="472">
        <f>IF(Table6[[#This Row],[Work Start TimeStamp]]="","",(Table6[[#This Row],[Work Start TimeStamp]]-Table6[[#This Row],[Fault Start TimeStamp]])*24)</f>
        <v>0</v>
      </c>
      <c r="S477" s="472">
        <f>(Table6[[#This Row],[Fault Clearance time]]-Table6[[#This Row],[Work Start TimeStamp]])*24</f>
        <v>0.43333333333333446</v>
      </c>
      <c r="T477" s="472">
        <f>(Table6[[#This Row],[Fault Clearance time]]-Table6[[#This Row],[Fault Start TimeStamp]])*24</f>
        <v>0.43333333333333446</v>
      </c>
      <c r="U477" s="35" t="s">
        <v>382</v>
      </c>
      <c r="V477" s="102" t="s">
        <v>293</v>
      </c>
      <c r="W477" s="478">
        <f>IFERROR(Table6[[#This Row],[Breakdown Time]]*Table6[[#This Row],[Plant Equivalent Weightage]],"")</f>
        <v>1.6666666666666705E-2</v>
      </c>
      <c r="X477" s="473" t="s">
        <v>294</v>
      </c>
      <c r="Y477" s="474" t="s">
        <v>80</v>
      </c>
      <c r="Z477" s="102">
        <v>43595</v>
      </c>
      <c r="AA477" s="468">
        <f>(Table6[[#This Row],[Paired WTG Generation for loss calculation]]/24)*Table6[[#This Row],[Breakdown Time]]</f>
        <v>787.1319444444465</v>
      </c>
      <c r="AB477" s="102"/>
      <c r="AC477" s="35"/>
      <c r="AD477" s="35"/>
    </row>
    <row r="478" spans="1:30">
      <c r="A478" s="102">
        <f t="shared" si="8"/>
        <v>477</v>
      </c>
      <c r="B478" s="468">
        <f>YEAR(Table6[[#This Row],[Date]])+IF(MONTH(Table6[[#This Row],[Date]])&gt;=4,1,0)</f>
        <v>2026</v>
      </c>
      <c r="C478" s="102">
        <f>YEAR(Table6[[#This Row],[Date]])</f>
        <v>2025</v>
      </c>
      <c r="D478" s="102" t="s">
        <v>1992</v>
      </c>
      <c r="E478" s="469">
        <f>Table6[[#This Row],[Date]]-DAY(Table6[[#This Row],[Date]])+1</f>
        <v>45748</v>
      </c>
      <c r="F478" s="470">
        <v>45777</v>
      </c>
      <c r="G478" s="35" t="s">
        <v>78</v>
      </c>
      <c r="H478" s="35" t="str">
        <f>IFERROR(_xlfn.XLOOKUP(Table6[[#This Row],[Affected WTG]],'Basic Data'!$A:$A,'Basic Data'!$B:$B),"")</f>
        <v>TQGXIIPL</v>
      </c>
      <c r="I478" s="35" t="str">
        <f>IFERROR(_xlfn.XLOOKUP(Table6[[#This Row],[Affected WTG]],'Basic Data'!$A:$A,'Basic Data'!$C:$C),"")</f>
        <v>GEDA</v>
      </c>
      <c r="J478" s="471">
        <f>IFERROR(_xlfn.XLOOKUP(Table6[[#This Row],[Affected WTG]],'Basic Data'!$A:$A,'Basic Data'!$E:$E),"")</f>
        <v>3.846153846153845E-2</v>
      </c>
      <c r="K478" s="102">
        <v>55</v>
      </c>
      <c r="L478" s="35" t="str">
        <f>IFERROR(_xlfn.XLOOKUP(Table6[[#This Row],[Error Code]],'Basic Data'!$AA:$AA,'Basic Data'!$AB:$AB),"Incorrect Error Code")</f>
        <v>WTG shut down</v>
      </c>
      <c r="M478" s="35" t="s">
        <v>330</v>
      </c>
      <c r="N478" s="475"/>
      <c r="O478" s="476">
        <v>0</v>
      </c>
      <c r="P478" s="476">
        <v>0</v>
      </c>
      <c r="Q478" s="477">
        <v>3.8194444444444448E-2</v>
      </c>
      <c r="R478" s="472">
        <f>IF(Table6[[#This Row],[Work Start TimeStamp]]="","",(Table6[[#This Row],[Work Start TimeStamp]]-Table6[[#This Row],[Fault Start TimeStamp]])*24)</f>
        <v>0</v>
      </c>
      <c r="S478" s="472">
        <f>(Table6[[#This Row],[Fault Clearance time]]-Table6[[#This Row],[Work Start TimeStamp]])*24</f>
        <v>0.91666666666666674</v>
      </c>
      <c r="T478" s="472">
        <f>(Table6[[#This Row],[Fault Clearance time]]-Table6[[#This Row],[Fault Start TimeStamp]])*24</f>
        <v>0.91666666666666674</v>
      </c>
      <c r="U478" s="35" t="s">
        <v>1744</v>
      </c>
      <c r="V478" s="102" t="s">
        <v>293</v>
      </c>
      <c r="W478" s="478">
        <f>IFERROR(Table6[[#This Row],[Breakdown Time]]*Table6[[#This Row],[Plant Equivalent Weightage]],"")</f>
        <v>3.5256410256410249E-2</v>
      </c>
      <c r="X478" s="473" t="s">
        <v>290</v>
      </c>
      <c r="Y478" s="474" t="s">
        <v>75</v>
      </c>
      <c r="Z478" s="102">
        <v>46976</v>
      </c>
      <c r="AA478" s="468">
        <f>(Table6[[#This Row],[Paired WTG Generation for loss calculation]]/24)*Table6[[#This Row],[Breakdown Time]]</f>
        <v>1794.2222222222224</v>
      </c>
      <c r="AB478" s="102"/>
      <c r="AC478" s="35"/>
      <c r="AD478" s="35"/>
    </row>
    <row r="479" spans="1:30">
      <c r="A479" s="102">
        <f t="shared" si="8"/>
        <v>478</v>
      </c>
      <c r="B479" s="468">
        <f>YEAR(Table6[[#This Row],[Date]])+IF(MONTH(Table6[[#This Row],[Date]])&gt;=4,1,0)</f>
        <v>2026</v>
      </c>
      <c r="C479" s="102">
        <f>YEAR(Table6[[#This Row],[Date]])</f>
        <v>2025</v>
      </c>
      <c r="D479" s="102" t="s">
        <v>1992</v>
      </c>
      <c r="E479" s="469">
        <f>Table6[[#This Row],[Date]]-DAY(Table6[[#This Row],[Date]])+1</f>
        <v>45748</v>
      </c>
      <c r="F479" s="470">
        <v>45777</v>
      </c>
      <c r="G479" s="35" t="s">
        <v>78</v>
      </c>
      <c r="H479" s="35" t="str">
        <f>IFERROR(_xlfn.XLOOKUP(Table6[[#This Row],[Affected WTG]],'Basic Data'!$A:$A,'Basic Data'!$B:$B),"")</f>
        <v>TQGXIIPL</v>
      </c>
      <c r="I479" s="35" t="str">
        <f>IFERROR(_xlfn.XLOOKUP(Table6[[#This Row],[Affected WTG]],'Basic Data'!$A:$A,'Basic Data'!$C:$C),"")</f>
        <v>GEDA</v>
      </c>
      <c r="J479" s="471">
        <f>IFERROR(_xlfn.XLOOKUP(Table6[[#This Row],[Affected WTG]],'Basic Data'!$A:$A,'Basic Data'!$E:$E),"")</f>
        <v>3.846153846153845E-2</v>
      </c>
      <c r="K479" s="102">
        <v>6130</v>
      </c>
      <c r="L479" s="35" t="str">
        <f>IFERROR(_xlfn.XLOOKUP(Table6[[#This Row],[Error Code]],'Basic Data'!$AA:$AA,'Basic Data'!$AB:$AB),"Incorrect Error Code")</f>
        <v>Yaw speed high</v>
      </c>
      <c r="M479" s="35" t="s">
        <v>292</v>
      </c>
      <c r="N479" s="475"/>
      <c r="O479" s="476">
        <v>0.77986111111111112</v>
      </c>
      <c r="P479" s="476">
        <v>0.77986111111111112</v>
      </c>
      <c r="Q479" s="477">
        <v>0.78402777777777777</v>
      </c>
      <c r="R479" s="472">
        <f>IF(Table6[[#This Row],[Work Start TimeStamp]]="","",(Table6[[#This Row],[Work Start TimeStamp]]-Table6[[#This Row],[Fault Start TimeStamp]])*24)</f>
        <v>0</v>
      </c>
      <c r="S479" s="472">
        <f>(Table6[[#This Row],[Fault Clearance time]]-Table6[[#This Row],[Work Start TimeStamp]])*24</f>
        <v>9.9999999999999645E-2</v>
      </c>
      <c r="T479" s="472">
        <f>(Table6[[#This Row],[Fault Clearance time]]-Table6[[#This Row],[Fault Start TimeStamp]])*24</f>
        <v>9.9999999999999645E-2</v>
      </c>
      <c r="U479" s="35" t="s">
        <v>336</v>
      </c>
      <c r="V479" s="102" t="s">
        <v>293</v>
      </c>
      <c r="W479" s="478">
        <f>IFERROR(Table6[[#This Row],[Breakdown Time]]*Table6[[#This Row],[Plant Equivalent Weightage]],"")</f>
        <v>3.8461538461538312E-3</v>
      </c>
      <c r="X479" s="473" t="s">
        <v>294</v>
      </c>
      <c r="Y479" s="474" t="s">
        <v>75</v>
      </c>
      <c r="Z479" s="102">
        <v>46976</v>
      </c>
      <c r="AA479" s="468">
        <f>(Table6[[#This Row],[Paired WTG Generation for loss calculation]]/24)*Table6[[#This Row],[Breakdown Time]]</f>
        <v>195.73333333333264</v>
      </c>
      <c r="AB479" s="102"/>
      <c r="AC479" s="35"/>
      <c r="AD479" s="35"/>
    </row>
    <row r="480" spans="1:30">
      <c r="A480" s="102">
        <f t="shared" si="8"/>
        <v>479</v>
      </c>
      <c r="B480" s="468">
        <f>YEAR(Table6[[#This Row],[Date]])+IF(MONTH(Table6[[#This Row],[Date]])&gt;=4,1,0)</f>
        <v>2026</v>
      </c>
      <c r="C480" s="102">
        <f>YEAR(Table6[[#This Row],[Date]])</f>
        <v>2025</v>
      </c>
      <c r="D480" s="102" t="s">
        <v>1992</v>
      </c>
      <c r="E480" s="469">
        <f>Table6[[#This Row],[Date]]-DAY(Table6[[#This Row],[Date]])+1</f>
        <v>45748</v>
      </c>
      <c r="F480" s="470">
        <v>45777</v>
      </c>
      <c r="G480" s="35" t="s">
        <v>78</v>
      </c>
      <c r="H480" s="35" t="str">
        <f>IFERROR(_xlfn.XLOOKUP(Table6[[#This Row],[Affected WTG]],'Basic Data'!$A:$A,'Basic Data'!$B:$B),"")</f>
        <v>TQGXIIPL</v>
      </c>
      <c r="I480" s="35" t="str">
        <f>IFERROR(_xlfn.XLOOKUP(Table6[[#This Row],[Affected WTG]],'Basic Data'!$A:$A,'Basic Data'!$C:$C),"")</f>
        <v>GEDA</v>
      </c>
      <c r="J480" s="471">
        <f>IFERROR(_xlfn.XLOOKUP(Table6[[#This Row],[Affected WTG]],'Basic Data'!$A:$A,'Basic Data'!$E:$E),"")</f>
        <v>3.846153846153845E-2</v>
      </c>
      <c r="K480" s="102">
        <v>55</v>
      </c>
      <c r="L480" s="35" t="str">
        <f>IFERROR(_xlfn.XLOOKUP(Table6[[#This Row],[Error Code]],'Basic Data'!$AA:$AA,'Basic Data'!$AB:$AB),"Incorrect Error Code")</f>
        <v>WTG shut down</v>
      </c>
      <c r="M480" s="35" t="s">
        <v>330</v>
      </c>
      <c r="N480" s="475"/>
      <c r="O480" s="476">
        <v>0.89444444444444449</v>
      </c>
      <c r="P480" s="476">
        <v>0.89444444444444449</v>
      </c>
      <c r="Q480" s="477">
        <v>0.97222222222222221</v>
      </c>
      <c r="R480" s="472">
        <f>IF(Table6[[#This Row],[Work Start TimeStamp]]="","",(Table6[[#This Row],[Work Start TimeStamp]]-Table6[[#This Row],[Fault Start TimeStamp]])*24)</f>
        <v>0</v>
      </c>
      <c r="S480" s="472">
        <f>(Table6[[#This Row],[Fault Clearance time]]-Table6[[#This Row],[Work Start TimeStamp]])*24</f>
        <v>1.8666666666666654</v>
      </c>
      <c r="T480" s="472">
        <f>(Table6[[#This Row],[Fault Clearance time]]-Table6[[#This Row],[Fault Start TimeStamp]])*24</f>
        <v>1.8666666666666654</v>
      </c>
      <c r="U480" s="35" t="s">
        <v>1744</v>
      </c>
      <c r="V480" s="102" t="s">
        <v>293</v>
      </c>
      <c r="W480" s="478">
        <f>IFERROR(Table6[[#This Row],[Breakdown Time]]*Table6[[#This Row],[Plant Equivalent Weightage]],"")</f>
        <v>7.179487179487172E-2</v>
      </c>
      <c r="X480" s="473" t="s">
        <v>290</v>
      </c>
      <c r="Y480" s="474" t="s">
        <v>75</v>
      </c>
      <c r="Z480" s="102">
        <v>46976</v>
      </c>
      <c r="AA480" s="468">
        <f>(Table6[[#This Row],[Paired WTG Generation for loss calculation]]/24)*Table6[[#This Row],[Breakdown Time]]</f>
        <v>3653.6888888888861</v>
      </c>
      <c r="AB480" s="102"/>
      <c r="AC480" s="35"/>
      <c r="AD480" s="35"/>
    </row>
    <row r="481" spans="1:30">
      <c r="A481" s="102">
        <f t="shared" si="8"/>
        <v>480</v>
      </c>
      <c r="B481" s="468">
        <f>YEAR(Table6[[#This Row],[Date]])+IF(MONTH(Table6[[#This Row],[Date]])&gt;=4,1,0)</f>
        <v>2026</v>
      </c>
      <c r="C481" s="102">
        <f>YEAR(Table6[[#This Row],[Date]])</f>
        <v>2025</v>
      </c>
      <c r="D481" s="102" t="s">
        <v>1992</v>
      </c>
      <c r="E481" s="469">
        <f>Table6[[#This Row],[Date]]-DAY(Table6[[#This Row],[Date]])+1</f>
        <v>45748</v>
      </c>
      <c r="F481" s="470">
        <v>45777</v>
      </c>
      <c r="G481" s="35" t="s">
        <v>79</v>
      </c>
      <c r="H481" s="35" t="str">
        <f>IFERROR(_xlfn.XLOOKUP(Table6[[#This Row],[Affected WTG]],'Basic Data'!$A:$A,'Basic Data'!$B:$B),"")</f>
        <v>TQGXIIPL</v>
      </c>
      <c r="I481" s="35" t="str">
        <f>IFERROR(_xlfn.XLOOKUP(Table6[[#This Row],[Affected WTG]],'Basic Data'!$A:$A,'Basic Data'!$C:$C),"")</f>
        <v>GEDA</v>
      </c>
      <c r="J481" s="471">
        <f>IFERROR(_xlfn.XLOOKUP(Table6[[#This Row],[Affected WTG]],'Basic Data'!$A:$A,'Basic Data'!$E:$E),"")</f>
        <v>3.846153846153845E-2</v>
      </c>
      <c r="K481" s="102">
        <v>6056</v>
      </c>
      <c r="L481" s="35" t="str">
        <f>IFERROR(_xlfn.XLOOKUP(Table6[[#This Row],[Error Code]],'Basic Data'!$AA:$AA,'Basic Data'!$AB:$AB),"Incorrect Error Code")</f>
        <v>High yaw load</v>
      </c>
      <c r="M481" s="35" t="s">
        <v>291</v>
      </c>
      <c r="N481" s="475"/>
      <c r="O481" s="476">
        <v>0.60902777777777772</v>
      </c>
      <c r="P481" s="476">
        <v>0.60902777777777772</v>
      </c>
      <c r="Q481" s="477">
        <v>0.61111111111111116</v>
      </c>
      <c r="R481" s="472">
        <f>IF(Table6[[#This Row],[Work Start TimeStamp]]="","",(Table6[[#This Row],[Work Start TimeStamp]]-Table6[[#This Row],[Fault Start TimeStamp]])*24)</f>
        <v>0</v>
      </c>
      <c r="S481" s="472">
        <f>(Table6[[#This Row],[Fault Clearance time]]-Table6[[#This Row],[Work Start TimeStamp]])*24</f>
        <v>5.0000000000002487E-2</v>
      </c>
      <c r="T481" s="472">
        <f>(Table6[[#This Row],[Fault Clearance time]]-Table6[[#This Row],[Fault Start TimeStamp]])*24</f>
        <v>5.0000000000002487E-2</v>
      </c>
      <c r="U481" s="35" t="s">
        <v>349</v>
      </c>
      <c r="V481" s="102" t="s">
        <v>293</v>
      </c>
      <c r="W481" s="478">
        <f>IFERROR(Table6[[#This Row],[Breakdown Time]]*Table6[[#This Row],[Plant Equivalent Weightage]],"")</f>
        <v>1.9230769230770182E-3</v>
      </c>
      <c r="X481" s="473" t="s">
        <v>294</v>
      </c>
      <c r="Y481" s="474" t="s">
        <v>94</v>
      </c>
      <c r="Z481" s="102">
        <v>34897</v>
      </c>
      <c r="AA481" s="468">
        <f>(Table6[[#This Row],[Paired WTG Generation for loss calculation]]/24)*Table6[[#This Row],[Breakdown Time]]</f>
        <v>72.702083333336958</v>
      </c>
      <c r="AB481" s="102"/>
      <c r="AC481" s="35"/>
      <c r="AD481" s="35"/>
    </row>
    <row r="482" spans="1:30">
      <c r="A482" s="102">
        <f t="shared" si="8"/>
        <v>481</v>
      </c>
      <c r="B482" s="468">
        <f>YEAR(Table6[[#This Row],[Date]])+IF(MONTH(Table6[[#This Row],[Date]])&gt;=4,1,0)</f>
        <v>2026</v>
      </c>
      <c r="C482" s="102">
        <f>YEAR(Table6[[#This Row],[Date]])</f>
        <v>2025</v>
      </c>
      <c r="D482" s="102" t="s">
        <v>1992</v>
      </c>
      <c r="E482" s="469">
        <f>Table6[[#This Row],[Date]]-DAY(Table6[[#This Row],[Date]])+1</f>
        <v>45748</v>
      </c>
      <c r="F482" s="470">
        <v>45777</v>
      </c>
      <c r="G482" s="35" t="s">
        <v>81</v>
      </c>
      <c r="H482" s="35" t="str">
        <f>IFERROR(_xlfn.XLOOKUP(Table6[[#This Row],[Affected WTG]],'Basic Data'!$A:$A,'Basic Data'!$B:$B),"")</f>
        <v>TQGXIIPL</v>
      </c>
      <c r="I482" s="35" t="str">
        <f>IFERROR(_xlfn.XLOOKUP(Table6[[#This Row],[Affected WTG]],'Basic Data'!$A:$A,'Basic Data'!$C:$C),"")</f>
        <v>GEDA</v>
      </c>
      <c r="J482" s="471">
        <f>IFERROR(_xlfn.XLOOKUP(Table6[[#This Row],[Affected WTG]],'Basic Data'!$A:$A,'Basic Data'!$E:$E),"")</f>
        <v>3.846153846153845E-2</v>
      </c>
      <c r="K482" s="102">
        <v>55</v>
      </c>
      <c r="L482" s="35" t="str">
        <f>IFERROR(_xlfn.XLOOKUP(Table6[[#This Row],[Error Code]],'Basic Data'!$AA:$AA,'Basic Data'!$AB:$AB),"Incorrect Error Code")</f>
        <v>WTG shut down</v>
      </c>
      <c r="M482" s="35" t="s">
        <v>291</v>
      </c>
      <c r="N482" s="475"/>
      <c r="O482" s="476">
        <v>0.44444444444444442</v>
      </c>
      <c r="P482" s="476">
        <v>0.44444444444444442</v>
      </c>
      <c r="Q482" s="477">
        <v>0.47569444444444442</v>
      </c>
      <c r="R482" s="472">
        <f>IF(Table6[[#This Row],[Work Start TimeStamp]]="","",(Table6[[#This Row],[Work Start TimeStamp]]-Table6[[#This Row],[Fault Start TimeStamp]])*24)</f>
        <v>0</v>
      </c>
      <c r="S482" s="472">
        <f>(Table6[[#This Row],[Fault Clearance time]]-Table6[[#This Row],[Work Start TimeStamp]])*24</f>
        <v>0.75</v>
      </c>
      <c r="T482" s="472">
        <f>(Table6[[#This Row],[Fault Clearance time]]-Table6[[#This Row],[Fault Start TimeStamp]])*24</f>
        <v>0.75</v>
      </c>
      <c r="U482" s="35" t="s">
        <v>1719</v>
      </c>
      <c r="V482" s="102" t="s">
        <v>293</v>
      </c>
      <c r="W482" s="478">
        <f>IFERROR(Table6[[#This Row],[Breakdown Time]]*Table6[[#This Row],[Plant Equivalent Weightage]],"")</f>
        <v>2.8846153846153837E-2</v>
      </c>
      <c r="X482" s="473" t="s">
        <v>290</v>
      </c>
      <c r="Y482" s="474" t="s">
        <v>99</v>
      </c>
      <c r="Z482" s="102">
        <v>38333</v>
      </c>
      <c r="AA482" s="468">
        <f>(Table6[[#This Row],[Paired WTG Generation for loss calculation]]/24)*Table6[[#This Row],[Breakdown Time]]</f>
        <v>1197.90625</v>
      </c>
      <c r="AB482" s="102"/>
      <c r="AC482" s="35"/>
      <c r="AD482" s="35"/>
    </row>
    <row r="483" spans="1:30">
      <c r="A483" s="102">
        <f t="shared" si="8"/>
        <v>482</v>
      </c>
      <c r="B483" s="468">
        <f>YEAR(Table6[[#This Row],[Date]])+IF(MONTH(Table6[[#This Row],[Date]])&gt;=4,1,0)</f>
        <v>2026</v>
      </c>
      <c r="C483" s="102">
        <f>YEAR(Table6[[#This Row],[Date]])</f>
        <v>2025</v>
      </c>
      <c r="D483" s="102" t="s">
        <v>1992</v>
      </c>
      <c r="E483" s="469">
        <f>Table6[[#This Row],[Date]]-DAY(Table6[[#This Row],[Date]])+1</f>
        <v>45748</v>
      </c>
      <c r="F483" s="470">
        <v>45777</v>
      </c>
      <c r="G483" s="35" t="s">
        <v>81</v>
      </c>
      <c r="H483" s="35" t="str">
        <f>IFERROR(_xlfn.XLOOKUP(Table6[[#This Row],[Affected WTG]],'Basic Data'!$A:$A,'Basic Data'!$B:$B),"")</f>
        <v>TQGXIIPL</v>
      </c>
      <c r="I483" s="35" t="str">
        <f>IFERROR(_xlfn.XLOOKUP(Table6[[#This Row],[Affected WTG]],'Basic Data'!$A:$A,'Basic Data'!$C:$C),"")</f>
        <v>GEDA</v>
      </c>
      <c r="J483" s="471">
        <f>IFERROR(_xlfn.XLOOKUP(Table6[[#This Row],[Affected WTG]],'Basic Data'!$A:$A,'Basic Data'!$E:$E),"")</f>
        <v>3.846153846153845E-2</v>
      </c>
      <c r="K483" s="102">
        <v>6130</v>
      </c>
      <c r="L483" s="35" t="str">
        <f>IFERROR(_xlfn.XLOOKUP(Table6[[#This Row],[Error Code]],'Basic Data'!$AA:$AA,'Basic Data'!$AB:$AB),"Incorrect Error Code")</f>
        <v>Yaw speed high</v>
      </c>
      <c r="M483" s="35" t="s">
        <v>292</v>
      </c>
      <c r="N483" s="475"/>
      <c r="O483" s="476">
        <v>0.68333333333333335</v>
      </c>
      <c r="P483" s="476">
        <v>0.68333333333333335</v>
      </c>
      <c r="Q483" s="477">
        <v>0.6875</v>
      </c>
      <c r="R483" s="472">
        <f>IF(Table6[[#This Row],[Work Start TimeStamp]]="","",(Table6[[#This Row],[Work Start TimeStamp]]-Table6[[#This Row],[Fault Start TimeStamp]])*24)</f>
        <v>0</v>
      </c>
      <c r="S483" s="472">
        <f>(Table6[[#This Row],[Fault Clearance time]]-Table6[[#This Row],[Work Start TimeStamp]])*24</f>
        <v>9.9999999999999645E-2</v>
      </c>
      <c r="T483" s="472">
        <f>(Table6[[#This Row],[Fault Clearance time]]-Table6[[#This Row],[Fault Start TimeStamp]])*24</f>
        <v>9.9999999999999645E-2</v>
      </c>
      <c r="U483" s="35" t="s">
        <v>336</v>
      </c>
      <c r="V483" s="102" t="s">
        <v>293</v>
      </c>
      <c r="W483" s="478">
        <f>IFERROR(Table6[[#This Row],[Breakdown Time]]*Table6[[#This Row],[Plant Equivalent Weightage]],"")</f>
        <v>3.8461538461538312E-3</v>
      </c>
      <c r="X483" s="473" t="s">
        <v>294</v>
      </c>
      <c r="Y483" s="474" t="s">
        <v>99</v>
      </c>
      <c r="Z483" s="102">
        <v>38333</v>
      </c>
      <c r="AA483" s="468">
        <f>(Table6[[#This Row],[Paired WTG Generation for loss calculation]]/24)*Table6[[#This Row],[Breakdown Time]]</f>
        <v>159.72083333333276</v>
      </c>
      <c r="AB483" s="102"/>
      <c r="AC483" s="35"/>
      <c r="AD483" s="35"/>
    </row>
    <row r="484" spans="1:30">
      <c r="A484" s="102">
        <f t="shared" si="8"/>
        <v>483</v>
      </c>
      <c r="B484" s="468">
        <f>YEAR(Table6[[#This Row],[Date]])+IF(MONTH(Table6[[#This Row],[Date]])&gt;=4,1,0)</f>
        <v>2026</v>
      </c>
      <c r="C484" s="102">
        <f>YEAR(Table6[[#This Row],[Date]])</f>
        <v>2025</v>
      </c>
      <c r="D484" s="102" t="s">
        <v>1992</v>
      </c>
      <c r="E484" s="469">
        <f>Table6[[#This Row],[Date]]-DAY(Table6[[#This Row],[Date]])+1</f>
        <v>45748</v>
      </c>
      <c r="F484" s="470">
        <v>45777</v>
      </c>
      <c r="G484" s="35" t="s">
        <v>81</v>
      </c>
      <c r="H484" s="35" t="str">
        <f>IFERROR(_xlfn.XLOOKUP(Table6[[#This Row],[Affected WTG]],'Basic Data'!$A:$A,'Basic Data'!$B:$B),"")</f>
        <v>TQGXIIPL</v>
      </c>
      <c r="I484" s="35" t="str">
        <f>IFERROR(_xlfn.XLOOKUP(Table6[[#This Row],[Affected WTG]],'Basic Data'!$A:$A,'Basic Data'!$C:$C),"")</f>
        <v>GEDA</v>
      </c>
      <c r="J484" s="471">
        <f>IFERROR(_xlfn.XLOOKUP(Table6[[#This Row],[Affected WTG]],'Basic Data'!$A:$A,'Basic Data'!$E:$E),"")</f>
        <v>3.846153846153845E-2</v>
      </c>
      <c r="K484" s="102">
        <v>55</v>
      </c>
      <c r="L484" s="35" t="str">
        <f>IFERROR(_xlfn.XLOOKUP(Table6[[#This Row],[Error Code]],'Basic Data'!$AA:$AA,'Basic Data'!$AB:$AB),"Incorrect Error Code")</f>
        <v>WTG shut down</v>
      </c>
      <c r="M484" s="35" t="s">
        <v>330</v>
      </c>
      <c r="N484" s="475"/>
      <c r="O484" s="476">
        <v>0.75694444444444442</v>
      </c>
      <c r="P484" s="476">
        <v>0.75694444444444442</v>
      </c>
      <c r="Q484" s="477">
        <v>0.84930555555555554</v>
      </c>
      <c r="R484" s="472">
        <f>IF(Table6[[#This Row],[Work Start TimeStamp]]="","",(Table6[[#This Row],[Work Start TimeStamp]]-Table6[[#This Row],[Fault Start TimeStamp]])*24)</f>
        <v>0</v>
      </c>
      <c r="S484" s="472">
        <f>(Table6[[#This Row],[Fault Clearance time]]-Table6[[#This Row],[Work Start TimeStamp]])*24</f>
        <v>2.2166666666666668</v>
      </c>
      <c r="T484" s="472">
        <f>(Table6[[#This Row],[Fault Clearance time]]-Table6[[#This Row],[Fault Start TimeStamp]])*24</f>
        <v>2.2166666666666668</v>
      </c>
      <c r="U484" s="35" t="s">
        <v>1744</v>
      </c>
      <c r="V484" s="102" t="s">
        <v>293</v>
      </c>
      <c r="W484" s="478">
        <f>IFERROR(Table6[[#This Row],[Breakdown Time]]*Table6[[#This Row],[Plant Equivalent Weightage]],"")</f>
        <v>8.5256410256410231E-2</v>
      </c>
      <c r="X484" s="473" t="s">
        <v>294</v>
      </c>
      <c r="Y484" s="474" t="s">
        <v>99</v>
      </c>
      <c r="Z484" s="102">
        <v>38333</v>
      </c>
      <c r="AA484" s="468">
        <f>(Table6[[#This Row],[Paired WTG Generation for loss calculation]]/24)*Table6[[#This Row],[Breakdown Time]]</f>
        <v>3540.4784722222221</v>
      </c>
      <c r="AB484" s="102"/>
      <c r="AC484" s="35"/>
      <c r="AD484" s="35"/>
    </row>
    <row r="485" spans="1:30">
      <c r="A485" s="102">
        <f t="shared" si="8"/>
        <v>484</v>
      </c>
      <c r="B485" s="468">
        <f>YEAR(Table6[[#This Row],[Date]])+IF(MONTH(Table6[[#This Row],[Date]])&gt;=4,1,0)</f>
        <v>2026</v>
      </c>
      <c r="C485" s="102">
        <f>YEAR(Table6[[#This Row],[Date]])</f>
        <v>2025</v>
      </c>
      <c r="D485" s="102" t="s">
        <v>1992</v>
      </c>
      <c r="E485" s="469">
        <f>Table6[[#This Row],[Date]]-DAY(Table6[[#This Row],[Date]])+1</f>
        <v>45748</v>
      </c>
      <c r="F485" s="470">
        <v>45777</v>
      </c>
      <c r="G485" s="35" t="s">
        <v>82</v>
      </c>
      <c r="H485" s="35" t="str">
        <f>IFERROR(_xlfn.XLOOKUP(Table6[[#This Row],[Affected WTG]],'Basic Data'!$A:$A,'Basic Data'!$B:$B),"")</f>
        <v>TQGXIIPL</v>
      </c>
      <c r="I485" s="35" t="str">
        <f>IFERROR(_xlfn.XLOOKUP(Table6[[#This Row],[Affected WTG]],'Basic Data'!$A:$A,'Basic Data'!$C:$C),"")</f>
        <v>GEDA</v>
      </c>
      <c r="J485" s="471">
        <f>IFERROR(_xlfn.XLOOKUP(Table6[[#This Row],[Affected WTG]],'Basic Data'!$A:$A,'Basic Data'!$E:$E),"")</f>
        <v>3.846153846153845E-2</v>
      </c>
      <c r="K485" s="102">
        <v>55</v>
      </c>
      <c r="L485" s="35" t="str">
        <f>IFERROR(_xlfn.XLOOKUP(Table6[[#This Row],[Error Code]],'Basic Data'!$AA:$AA,'Basic Data'!$AB:$AB),"Incorrect Error Code")</f>
        <v>WTG shut down</v>
      </c>
      <c r="M485" s="35" t="s">
        <v>291</v>
      </c>
      <c r="N485" s="475"/>
      <c r="O485" s="476">
        <v>0.69305555555555554</v>
      </c>
      <c r="P485" s="476">
        <v>0.69305555555555554</v>
      </c>
      <c r="Q485" s="477">
        <v>0.72152777777777777</v>
      </c>
      <c r="R485" s="472">
        <f>IF(Table6[[#This Row],[Work Start TimeStamp]]="","",(Table6[[#This Row],[Work Start TimeStamp]]-Table6[[#This Row],[Fault Start TimeStamp]])*24)</f>
        <v>0</v>
      </c>
      <c r="S485" s="472">
        <f>(Table6[[#This Row],[Fault Clearance time]]-Table6[[#This Row],[Work Start TimeStamp]])*24</f>
        <v>0.68333333333333357</v>
      </c>
      <c r="T485" s="472">
        <f>(Table6[[#This Row],[Fault Clearance time]]-Table6[[#This Row],[Fault Start TimeStamp]])*24</f>
        <v>0.68333333333333357</v>
      </c>
      <c r="U485" s="35" t="s">
        <v>1719</v>
      </c>
      <c r="V485" s="102" t="s">
        <v>293</v>
      </c>
      <c r="W485" s="478">
        <f>IFERROR(Table6[[#This Row],[Breakdown Time]]*Table6[[#This Row],[Plant Equivalent Weightage]],"")</f>
        <v>2.6282051282051282E-2</v>
      </c>
      <c r="X485" s="473" t="s">
        <v>290</v>
      </c>
      <c r="Y485" s="474" t="s">
        <v>76</v>
      </c>
      <c r="Z485" s="102">
        <v>35656</v>
      </c>
      <c r="AA485" s="468">
        <f>(Table6[[#This Row],[Paired WTG Generation for loss calculation]]/24)*Table6[[#This Row],[Breakdown Time]]</f>
        <v>1015.205555555556</v>
      </c>
      <c r="AB485" s="102"/>
      <c r="AC485" s="35"/>
      <c r="AD485" s="35"/>
    </row>
    <row r="486" spans="1:30">
      <c r="A486" s="102">
        <f t="shared" si="8"/>
        <v>485</v>
      </c>
      <c r="B486" s="468">
        <f>YEAR(Table6[[#This Row],[Date]])+IF(MONTH(Table6[[#This Row],[Date]])&gt;=4,1,0)</f>
        <v>2026</v>
      </c>
      <c r="C486" s="102">
        <f>YEAR(Table6[[#This Row],[Date]])</f>
        <v>2025</v>
      </c>
      <c r="D486" s="102" t="s">
        <v>1992</v>
      </c>
      <c r="E486" s="469">
        <f>Table6[[#This Row],[Date]]-DAY(Table6[[#This Row],[Date]])+1</f>
        <v>45748</v>
      </c>
      <c r="F486" s="470">
        <v>45777</v>
      </c>
      <c r="G486" s="35" t="s">
        <v>83</v>
      </c>
      <c r="H486" s="35" t="str">
        <f>IFERROR(_xlfn.XLOOKUP(Table6[[#This Row],[Affected WTG]],'Basic Data'!$A:$A,'Basic Data'!$B:$B),"")</f>
        <v>TQGXIIPL</v>
      </c>
      <c r="I486" s="35" t="str">
        <f>IFERROR(_xlfn.XLOOKUP(Table6[[#This Row],[Affected WTG]],'Basic Data'!$A:$A,'Basic Data'!$C:$C),"")</f>
        <v>GEDA</v>
      </c>
      <c r="J486" s="471">
        <f>IFERROR(_xlfn.XLOOKUP(Table6[[#This Row],[Affected WTG]],'Basic Data'!$A:$A,'Basic Data'!$E:$E),"")</f>
        <v>3.846153846153845E-2</v>
      </c>
      <c r="K486" s="102">
        <v>6130</v>
      </c>
      <c r="L486" s="35" t="str">
        <f>IFERROR(_xlfn.XLOOKUP(Table6[[#This Row],[Error Code]],'Basic Data'!$AA:$AA,'Basic Data'!$AB:$AB),"Incorrect Error Code")</f>
        <v>Yaw speed high</v>
      </c>
      <c r="M486" s="35" t="s">
        <v>292</v>
      </c>
      <c r="N486" s="475"/>
      <c r="O486" s="476">
        <v>0.70625000000000004</v>
      </c>
      <c r="P486" s="476">
        <v>0.70625000000000004</v>
      </c>
      <c r="Q486" s="477">
        <v>0.7104166666666667</v>
      </c>
      <c r="R486" s="472">
        <f>IF(Table6[[#This Row],[Work Start TimeStamp]]="","",(Table6[[#This Row],[Work Start TimeStamp]]-Table6[[#This Row],[Fault Start TimeStamp]])*24)</f>
        <v>0</v>
      </c>
      <c r="S486" s="472">
        <f>(Table6[[#This Row],[Fault Clearance time]]-Table6[[#This Row],[Work Start TimeStamp]])*24</f>
        <v>9.9999999999999645E-2</v>
      </c>
      <c r="T486" s="472">
        <f>(Table6[[#This Row],[Fault Clearance time]]-Table6[[#This Row],[Fault Start TimeStamp]])*24</f>
        <v>9.9999999999999645E-2</v>
      </c>
      <c r="U486" s="35" t="s">
        <v>336</v>
      </c>
      <c r="V486" s="102" t="s">
        <v>293</v>
      </c>
      <c r="W486" s="478">
        <f>IFERROR(Table6[[#This Row],[Breakdown Time]]*Table6[[#This Row],[Plant Equivalent Weightage]],"")</f>
        <v>3.8461538461538312E-3</v>
      </c>
      <c r="X486" s="473" t="s">
        <v>294</v>
      </c>
      <c r="Y486" s="474" t="s">
        <v>88</v>
      </c>
      <c r="Z486" s="102">
        <v>39028</v>
      </c>
      <c r="AA486" s="468">
        <f>(Table6[[#This Row],[Paired WTG Generation for loss calculation]]/24)*Table6[[#This Row],[Breakdown Time]]</f>
        <v>162.61666666666611</v>
      </c>
      <c r="AB486" s="102"/>
      <c r="AC486" s="35"/>
      <c r="AD486" s="35"/>
    </row>
    <row r="487" spans="1:30">
      <c r="A487" s="102">
        <f t="shared" si="8"/>
        <v>486</v>
      </c>
      <c r="B487" s="468">
        <f>YEAR(Table6[[#This Row],[Date]])+IF(MONTH(Table6[[#This Row],[Date]])&gt;=4,1,0)</f>
        <v>2026</v>
      </c>
      <c r="C487" s="102">
        <f>YEAR(Table6[[#This Row],[Date]])</f>
        <v>2025</v>
      </c>
      <c r="D487" s="102" t="s">
        <v>1992</v>
      </c>
      <c r="E487" s="469">
        <f>Table6[[#This Row],[Date]]-DAY(Table6[[#This Row],[Date]])+1</f>
        <v>45748</v>
      </c>
      <c r="F487" s="470">
        <v>45777</v>
      </c>
      <c r="G487" s="35" t="s">
        <v>85</v>
      </c>
      <c r="H487" s="35" t="str">
        <f>IFERROR(_xlfn.XLOOKUP(Table6[[#This Row],[Affected WTG]],'Basic Data'!$A:$A,'Basic Data'!$B:$B),"")</f>
        <v>TQGXIIPL</v>
      </c>
      <c r="I487" s="35" t="str">
        <f>IFERROR(_xlfn.XLOOKUP(Table6[[#This Row],[Affected WTG]],'Basic Data'!$A:$A,'Basic Data'!$C:$C),"")</f>
        <v>GEDA</v>
      </c>
      <c r="J487" s="471">
        <f>IFERROR(_xlfn.XLOOKUP(Table6[[#This Row],[Affected WTG]],'Basic Data'!$A:$A,'Basic Data'!$E:$E),"")</f>
        <v>3.846153846153845E-2</v>
      </c>
      <c r="K487" s="102">
        <v>643</v>
      </c>
      <c r="L487" s="35" t="str">
        <f>IFERROR(_xlfn.XLOOKUP(Table6[[#This Row],[Error Code]],'Basic Data'!$AA:$AA,'Basic Data'!$AB:$AB),"Incorrect Error Code")</f>
        <v>Sim.angle E enc. &lt;&gt; act.angle 3</v>
      </c>
      <c r="M487" s="35" t="s">
        <v>291</v>
      </c>
      <c r="N487" s="475"/>
      <c r="O487" s="476">
        <v>0.45555555555555555</v>
      </c>
      <c r="P487" s="476">
        <v>0.45555555555555555</v>
      </c>
      <c r="Q487" s="477">
        <v>0.57291666666666663</v>
      </c>
      <c r="R487" s="472">
        <f>IF(Table6[[#This Row],[Work Start TimeStamp]]="","",(Table6[[#This Row],[Work Start TimeStamp]]-Table6[[#This Row],[Fault Start TimeStamp]])*24)</f>
        <v>0</v>
      </c>
      <c r="S487" s="472">
        <f>(Table6[[#This Row],[Fault Clearance time]]-Table6[[#This Row],[Work Start TimeStamp]])*24</f>
        <v>2.816666666666666</v>
      </c>
      <c r="T487" s="472">
        <f>(Table6[[#This Row],[Fault Clearance time]]-Table6[[#This Row],[Fault Start TimeStamp]])*24</f>
        <v>2.816666666666666</v>
      </c>
      <c r="U487" s="35" t="s">
        <v>1743</v>
      </c>
      <c r="V487" s="102" t="s">
        <v>293</v>
      </c>
      <c r="W487" s="478">
        <f>IFERROR(Table6[[#This Row],[Breakdown Time]]*Table6[[#This Row],[Plant Equivalent Weightage]],"")</f>
        <v>0.10833333333333327</v>
      </c>
      <c r="X487" s="473" t="s">
        <v>290</v>
      </c>
      <c r="Y487" s="474" t="s">
        <v>87</v>
      </c>
      <c r="Z487" s="102">
        <v>35100</v>
      </c>
      <c r="AA487" s="468">
        <f>(Table6[[#This Row],[Paired WTG Generation for loss calculation]]/24)*Table6[[#This Row],[Breakdown Time]]</f>
        <v>4119.3749999999991</v>
      </c>
      <c r="AB487" s="102"/>
      <c r="AC487" s="35"/>
      <c r="AD487" s="35"/>
    </row>
    <row r="488" spans="1:30">
      <c r="A488" s="102">
        <f t="shared" si="8"/>
        <v>487</v>
      </c>
      <c r="B488" s="468">
        <f>YEAR(Table6[[#This Row],[Date]])+IF(MONTH(Table6[[#This Row],[Date]])&gt;=4,1,0)</f>
        <v>2026</v>
      </c>
      <c r="C488" s="102">
        <f>YEAR(Table6[[#This Row],[Date]])</f>
        <v>2025</v>
      </c>
      <c r="D488" s="102" t="s">
        <v>1992</v>
      </c>
      <c r="E488" s="469">
        <f>Table6[[#This Row],[Date]]-DAY(Table6[[#This Row],[Date]])+1</f>
        <v>45748</v>
      </c>
      <c r="F488" s="470">
        <v>45777</v>
      </c>
      <c r="G488" s="35" t="s">
        <v>88</v>
      </c>
      <c r="H488" s="35" t="str">
        <f>IFERROR(_xlfn.XLOOKUP(Table6[[#This Row],[Affected WTG]],'Basic Data'!$A:$A,'Basic Data'!$B:$B),"")</f>
        <v>TQGXIIPL</v>
      </c>
      <c r="I488" s="35" t="str">
        <f>IFERROR(_xlfn.XLOOKUP(Table6[[#This Row],[Affected WTG]],'Basic Data'!$A:$A,'Basic Data'!$C:$C),"")</f>
        <v>GEDA</v>
      </c>
      <c r="J488" s="471">
        <f>IFERROR(_xlfn.XLOOKUP(Table6[[#This Row],[Affected WTG]],'Basic Data'!$A:$A,'Basic Data'!$E:$E),"")</f>
        <v>3.846153846153845E-2</v>
      </c>
      <c r="K488" s="102">
        <v>55</v>
      </c>
      <c r="L488" s="35" t="str">
        <f>IFERROR(_xlfn.XLOOKUP(Table6[[#This Row],[Error Code]],'Basic Data'!$AA:$AA,'Basic Data'!$AB:$AB),"Incorrect Error Code")</f>
        <v>WTG shut down</v>
      </c>
      <c r="M488" s="35" t="s">
        <v>291</v>
      </c>
      <c r="N488" s="475"/>
      <c r="O488" s="476">
        <v>0.6020833333333333</v>
      </c>
      <c r="P488" s="476">
        <v>0.6020833333333333</v>
      </c>
      <c r="Q488" s="477">
        <v>0.625</v>
      </c>
      <c r="R488" s="472">
        <f>IF(Table6[[#This Row],[Work Start TimeStamp]]="","",(Table6[[#This Row],[Work Start TimeStamp]]-Table6[[#This Row],[Fault Start TimeStamp]])*24)</f>
        <v>0</v>
      </c>
      <c r="S488" s="472">
        <f>(Table6[[#This Row],[Fault Clearance time]]-Table6[[#This Row],[Work Start TimeStamp]])*24</f>
        <v>0.55000000000000071</v>
      </c>
      <c r="T488" s="472">
        <f>(Table6[[#This Row],[Fault Clearance time]]-Table6[[#This Row],[Fault Start TimeStamp]])*24</f>
        <v>0.55000000000000071</v>
      </c>
      <c r="U488" s="35" t="s">
        <v>1719</v>
      </c>
      <c r="V488" s="102" t="s">
        <v>293</v>
      </c>
      <c r="W488" s="478">
        <f>IFERROR(Table6[[#This Row],[Breakdown Time]]*Table6[[#This Row],[Plant Equivalent Weightage]],"")</f>
        <v>2.1153846153846176E-2</v>
      </c>
      <c r="X488" s="473" t="s">
        <v>290</v>
      </c>
      <c r="Y488" s="474" t="s">
        <v>83</v>
      </c>
      <c r="Z488" s="102">
        <v>33815</v>
      </c>
      <c r="AA488" s="468">
        <f>(Table6[[#This Row],[Paired WTG Generation for loss calculation]]/24)*Table6[[#This Row],[Breakdown Time]]</f>
        <v>774.92708333333428</v>
      </c>
      <c r="AB488" s="102"/>
      <c r="AC488" s="35"/>
      <c r="AD488" s="35"/>
    </row>
    <row r="489" spans="1:30">
      <c r="A489" s="102">
        <f t="shared" si="8"/>
        <v>488</v>
      </c>
      <c r="B489" s="468">
        <f>YEAR(Table6[[#This Row],[Date]])+IF(MONTH(Table6[[#This Row],[Date]])&gt;=4,1,0)</f>
        <v>2026</v>
      </c>
      <c r="C489" s="102">
        <f>YEAR(Table6[[#This Row],[Date]])</f>
        <v>2025</v>
      </c>
      <c r="D489" s="102" t="s">
        <v>1992</v>
      </c>
      <c r="E489" s="469">
        <f>Table6[[#This Row],[Date]]-DAY(Table6[[#This Row],[Date]])+1</f>
        <v>45748</v>
      </c>
      <c r="F489" s="470">
        <v>45777</v>
      </c>
      <c r="G489" s="35" t="s">
        <v>90</v>
      </c>
      <c r="H489" s="35" t="str">
        <f>IFERROR(_xlfn.XLOOKUP(Table6[[#This Row],[Affected WTG]],'Basic Data'!$A:$A,'Basic Data'!$B:$B),"")</f>
        <v>TQGXIIPL</v>
      </c>
      <c r="I489" s="35" t="str">
        <f>IFERROR(_xlfn.XLOOKUP(Table6[[#This Row],[Affected WTG]],'Basic Data'!$A:$A,'Basic Data'!$C:$C),"")</f>
        <v>GEDA</v>
      </c>
      <c r="J489" s="471">
        <f>IFERROR(_xlfn.XLOOKUP(Table6[[#This Row],[Affected WTG]],'Basic Data'!$A:$A,'Basic Data'!$E:$E),"")</f>
        <v>3.846153846153845E-2</v>
      </c>
      <c r="K489" s="102">
        <v>6605</v>
      </c>
      <c r="L489" s="35" t="str">
        <f>IFERROR(_xlfn.XLOOKUP(Table6[[#This Row],[Error Code]],'Basic Data'!$AA:$AA,'Basic Data'!$AB:$AB),"Incorrect Error Code")</f>
        <v>Wind.dir. diff. level 2</v>
      </c>
      <c r="M489" s="35" t="s">
        <v>291</v>
      </c>
      <c r="N489" s="475"/>
      <c r="O489" s="476">
        <v>0.64930555555555558</v>
      </c>
      <c r="P489" s="476">
        <v>0.64930555555555558</v>
      </c>
      <c r="Q489" s="477">
        <v>0.65625</v>
      </c>
      <c r="R489" s="472">
        <f>IF(Table6[[#This Row],[Work Start TimeStamp]]="","",(Table6[[#This Row],[Work Start TimeStamp]]-Table6[[#This Row],[Fault Start TimeStamp]])*24)</f>
        <v>0</v>
      </c>
      <c r="S489" s="472">
        <f>(Table6[[#This Row],[Fault Clearance time]]-Table6[[#This Row],[Work Start TimeStamp]])*24</f>
        <v>0.16666666666666607</v>
      </c>
      <c r="T489" s="472">
        <f>(Table6[[#This Row],[Fault Clearance time]]-Table6[[#This Row],[Fault Start TimeStamp]])*24</f>
        <v>0.16666666666666607</v>
      </c>
      <c r="U489" s="35" t="s">
        <v>349</v>
      </c>
      <c r="V489" s="102" t="s">
        <v>293</v>
      </c>
      <c r="W489" s="478">
        <f>IFERROR(Table6[[#This Row],[Breakdown Time]]*Table6[[#This Row],[Plant Equivalent Weightage]],"")</f>
        <v>6.4102564102563857E-3</v>
      </c>
      <c r="X489" s="473" t="s">
        <v>294</v>
      </c>
      <c r="Y489" s="474" t="s">
        <v>95</v>
      </c>
      <c r="Z489" s="102">
        <v>40527</v>
      </c>
      <c r="AA489" s="468">
        <f>(Table6[[#This Row],[Paired WTG Generation for loss calculation]]/24)*Table6[[#This Row],[Breakdown Time]]</f>
        <v>281.43749999999898</v>
      </c>
      <c r="AB489" s="102"/>
      <c r="AC489" s="35"/>
      <c r="AD489" s="35"/>
    </row>
    <row r="490" spans="1:30">
      <c r="A490" s="102">
        <f t="shared" si="8"/>
        <v>489</v>
      </c>
      <c r="B490" s="468">
        <f>YEAR(Table6[[#This Row],[Date]])+IF(MONTH(Table6[[#This Row],[Date]])&gt;=4,1,0)</f>
        <v>2026</v>
      </c>
      <c r="C490" s="102">
        <f>YEAR(Table6[[#This Row],[Date]])</f>
        <v>2025</v>
      </c>
      <c r="D490" s="102" t="s">
        <v>1992</v>
      </c>
      <c r="E490" s="469">
        <f>Table6[[#This Row],[Date]]-DAY(Table6[[#This Row],[Date]])+1</f>
        <v>45748</v>
      </c>
      <c r="F490" s="470">
        <v>45777</v>
      </c>
      <c r="G490" s="35" t="s">
        <v>90</v>
      </c>
      <c r="H490" s="35" t="str">
        <f>IFERROR(_xlfn.XLOOKUP(Table6[[#This Row],[Affected WTG]],'Basic Data'!$A:$A,'Basic Data'!$B:$B),"")</f>
        <v>TQGXIIPL</v>
      </c>
      <c r="I490" s="35" t="str">
        <f>IFERROR(_xlfn.XLOOKUP(Table6[[#This Row],[Affected WTG]],'Basic Data'!$A:$A,'Basic Data'!$C:$C),"")</f>
        <v>GEDA</v>
      </c>
      <c r="J490" s="471">
        <f>IFERROR(_xlfn.XLOOKUP(Table6[[#This Row],[Affected WTG]],'Basic Data'!$A:$A,'Basic Data'!$E:$E),"")</f>
        <v>3.846153846153845E-2</v>
      </c>
      <c r="K490" s="102">
        <v>6605</v>
      </c>
      <c r="L490" s="35" t="str">
        <f>IFERROR(_xlfn.XLOOKUP(Table6[[#This Row],[Error Code]],'Basic Data'!$AA:$AA,'Basic Data'!$AB:$AB),"Incorrect Error Code")</f>
        <v>Wind.dir. diff. level 2</v>
      </c>
      <c r="M490" s="35" t="s">
        <v>291</v>
      </c>
      <c r="N490" s="475"/>
      <c r="O490" s="476">
        <v>0.73333333333333328</v>
      </c>
      <c r="P490" s="476">
        <v>0.73333333333333328</v>
      </c>
      <c r="Q490" s="477">
        <v>0.73541666666666672</v>
      </c>
      <c r="R490" s="472">
        <f>IF(Table6[[#This Row],[Work Start TimeStamp]]="","",(Table6[[#This Row],[Work Start TimeStamp]]-Table6[[#This Row],[Fault Start TimeStamp]])*24)</f>
        <v>0</v>
      </c>
      <c r="S490" s="472">
        <f>(Table6[[#This Row],[Fault Clearance time]]-Table6[[#This Row],[Work Start TimeStamp]])*24</f>
        <v>5.0000000000002487E-2</v>
      </c>
      <c r="T490" s="472">
        <f>(Table6[[#This Row],[Fault Clearance time]]-Table6[[#This Row],[Fault Start TimeStamp]])*24</f>
        <v>5.0000000000002487E-2</v>
      </c>
      <c r="U490" s="35" t="s">
        <v>349</v>
      </c>
      <c r="V490" s="102" t="s">
        <v>293</v>
      </c>
      <c r="W490" s="478">
        <f>IFERROR(Table6[[#This Row],[Breakdown Time]]*Table6[[#This Row],[Plant Equivalent Weightage]],"")</f>
        <v>1.9230769230770182E-3</v>
      </c>
      <c r="X490" s="473" t="s">
        <v>294</v>
      </c>
      <c r="Y490" s="474" t="s">
        <v>95</v>
      </c>
      <c r="Z490" s="102">
        <v>40527</v>
      </c>
      <c r="AA490" s="468">
        <f>(Table6[[#This Row],[Paired WTG Generation for loss calculation]]/24)*Table6[[#This Row],[Breakdown Time]]</f>
        <v>84.431250000004198</v>
      </c>
      <c r="AB490" s="102"/>
      <c r="AC490" s="35"/>
      <c r="AD490" s="35"/>
    </row>
    <row r="491" spans="1:30">
      <c r="A491" s="102">
        <f t="shared" si="8"/>
        <v>490</v>
      </c>
      <c r="B491" s="468">
        <f>YEAR(Table6[[#This Row],[Date]])+IF(MONTH(Table6[[#This Row],[Date]])&gt;=4,1,0)</f>
        <v>2026</v>
      </c>
      <c r="C491" s="102">
        <f>YEAR(Table6[[#This Row],[Date]])</f>
        <v>2025</v>
      </c>
      <c r="D491" s="102" t="s">
        <v>1992</v>
      </c>
      <c r="E491" s="469">
        <f>Table6[[#This Row],[Date]]-DAY(Table6[[#This Row],[Date]])+1</f>
        <v>45748</v>
      </c>
      <c r="F491" s="470">
        <v>45777</v>
      </c>
      <c r="G491" s="35" t="s">
        <v>91</v>
      </c>
      <c r="H491" s="35" t="str">
        <f>IFERROR(_xlfn.XLOOKUP(Table6[[#This Row],[Affected WTG]],'Basic Data'!$A:$A,'Basic Data'!$B:$B),"")</f>
        <v>TQGXIIPL</v>
      </c>
      <c r="I491" s="35" t="str">
        <f>IFERROR(_xlfn.XLOOKUP(Table6[[#This Row],[Affected WTG]],'Basic Data'!$A:$A,'Basic Data'!$C:$C),"")</f>
        <v>GEDA</v>
      </c>
      <c r="J491" s="471">
        <f>IFERROR(_xlfn.XLOOKUP(Table6[[#This Row],[Affected WTG]],'Basic Data'!$A:$A,'Basic Data'!$E:$E),"")</f>
        <v>3.846153846153845E-2</v>
      </c>
      <c r="K491" s="102">
        <v>2355</v>
      </c>
      <c r="L491" s="35" t="str">
        <f>IFERROR(_xlfn.XLOOKUP(Table6[[#This Row],[Error Code]],'Basic Data'!$AA:$AA,'Basic Data'!$AB:$AB),"Incorrect Error Code")</f>
        <v>Temp. rot.br.pad high</v>
      </c>
      <c r="M491" s="35" t="s">
        <v>291</v>
      </c>
      <c r="N491" s="475"/>
      <c r="O491" s="476">
        <v>7.2222222222222215E-2</v>
      </c>
      <c r="P491" s="476">
        <v>7.2222222222222215E-2</v>
      </c>
      <c r="Q491" s="477">
        <v>7.6388888888888895E-2</v>
      </c>
      <c r="R491" s="472">
        <f>IF(Table6[[#This Row],[Work Start TimeStamp]]="","",(Table6[[#This Row],[Work Start TimeStamp]]-Table6[[#This Row],[Fault Start TimeStamp]])*24)</f>
        <v>0</v>
      </c>
      <c r="S491" s="472">
        <f>(Table6[[#This Row],[Fault Clearance time]]-Table6[[#This Row],[Work Start TimeStamp]])*24</f>
        <v>0.10000000000000031</v>
      </c>
      <c r="T491" s="472">
        <f>(Table6[[#This Row],[Fault Clearance time]]-Table6[[#This Row],[Fault Start TimeStamp]])*24</f>
        <v>0.10000000000000031</v>
      </c>
      <c r="U491" s="35" t="s">
        <v>349</v>
      </c>
      <c r="V491" s="102" t="s">
        <v>293</v>
      </c>
      <c r="W491" s="478">
        <f>IFERROR(Table6[[#This Row],[Breakdown Time]]*Table6[[#This Row],[Plant Equivalent Weightage]],"")</f>
        <v>3.8461538461538568E-3</v>
      </c>
      <c r="X491" s="473" t="s">
        <v>294</v>
      </c>
      <c r="Y491" s="474" t="s">
        <v>79</v>
      </c>
      <c r="Z491" s="102">
        <v>40195</v>
      </c>
      <c r="AA491" s="468">
        <f>(Table6[[#This Row],[Paired WTG Generation for loss calculation]]/24)*Table6[[#This Row],[Breakdown Time]]</f>
        <v>167.4791666666672</v>
      </c>
      <c r="AB491" s="102"/>
      <c r="AC491" s="35"/>
      <c r="AD491" s="35"/>
    </row>
    <row r="492" spans="1:30">
      <c r="A492" s="102">
        <f t="shared" si="8"/>
        <v>491</v>
      </c>
      <c r="B492" s="468">
        <f>YEAR(Table6[[#This Row],[Date]])+IF(MONTH(Table6[[#This Row],[Date]])&gt;=4,1,0)</f>
        <v>2026</v>
      </c>
      <c r="C492" s="102">
        <f>YEAR(Table6[[#This Row],[Date]])</f>
        <v>2025</v>
      </c>
      <c r="D492" s="102" t="s">
        <v>1992</v>
      </c>
      <c r="E492" s="469">
        <f>Table6[[#This Row],[Date]]-DAY(Table6[[#This Row],[Date]])+1</f>
        <v>45748</v>
      </c>
      <c r="F492" s="470">
        <v>45777</v>
      </c>
      <c r="G492" s="35" t="s">
        <v>91</v>
      </c>
      <c r="H492" s="35" t="str">
        <f>IFERROR(_xlfn.XLOOKUP(Table6[[#This Row],[Affected WTG]],'Basic Data'!$A:$A,'Basic Data'!$B:$B),"")</f>
        <v>TQGXIIPL</v>
      </c>
      <c r="I492" s="35" t="str">
        <f>IFERROR(_xlfn.XLOOKUP(Table6[[#This Row],[Affected WTG]],'Basic Data'!$A:$A,'Basic Data'!$C:$C),"")</f>
        <v>GEDA</v>
      </c>
      <c r="J492" s="471">
        <f>IFERROR(_xlfn.XLOOKUP(Table6[[#This Row],[Affected WTG]],'Basic Data'!$A:$A,'Basic Data'!$E:$E),"")</f>
        <v>3.846153846153845E-2</v>
      </c>
      <c r="K492" s="102">
        <v>2355</v>
      </c>
      <c r="L492" s="35" t="str">
        <f>IFERROR(_xlfn.XLOOKUP(Table6[[#This Row],[Error Code]],'Basic Data'!$AA:$AA,'Basic Data'!$AB:$AB),"Incorrect Error Code")</f>
        <v>Temp. rot.br.pad high</v>
      </c>
      <c r="M492" s="35" t="s">
        <v>291</v>
      </c>
      <c r="N492" s="475"/>
      <c r="O492" s="476">
        <v>0.94513888888888886</v>
      </c>
      <c r="P492" s="476">
        <v>0.94513888888888886</v>
      </c>
      <c r="Q492" s="477">
        <v>0.95416666666666672</v>
      </c>
      <c r="R492" s="472">
        <f>IF(Table6[[#This Row],[Work Start TimeStamp]]="","",(Table6[[#This Row],[Work Start TimeStamp]]-Table6[[#This Row],[Fault Start TimeStamp]])*24)</f>
        <v>0</v>
      </c>
      <c r="S492" s="472">
        <f>(Table6[[#This Row],[Fault Clearance time]]-Table6[[#This Row],[Work Start TimeStamp]])*24</f>
        <v>0.21666666666666856</v>
      </c>
      <c r="T492" s="472">
        <f>(Table6[[#This Row],[Fault Clearance time]]-Table6[[#This Row],[Fault Start TimeStamp]])*24</f>
        <v>0.21666666666666856</v>
      </c>
      <c r="U492" s="35" t="s">
        <v>382</v>
      </c>
      <c r="V492" s="102" t="s">
        <v>293</v>
      </c>
      <c r="W492" s="478">
        <f>IFERROR(Table6[[#This Row],[Breakdown Time]]*Table6[[#This Row],[Plant Equivalent Weightage]],"")</f>
        <v>8.3333333333334043E-3</v>
      </c>
      <c r="X492" s="473" t="s">
        <v>294</v>
      </c>
      <c r="Y492" s="474" t="s">
        <v>79</v>
      </c>
      <c r="Z492" s="102">
        <v>40195</v>
      </c>
      <c r="AA492" s="468">
        <f>(Table6[[#This Row],[Paired WTG Generation for loss calculation]]/24)*Table6[[#This Row],[Breakdown Time]]</f>
        <v>362.87152777778095</v>
      </c>
      <c r="AB492" s="102"/>
      <c r="AC492" s="35"/>
      <c r="AD492" s="35"/>
    </row>
    <row r="493" spans="1:30">
      <c r="A493" s="102">
        <f t="shared" si="8"/>
        <v>492</v>
      </c>
      <c r="B493" s="468">
        <f>YEAR(Table6[[#This Row],[Date]])+IF(MONTH(Table6[[#This Row],[Date]])&gt;=4,1,0)</f>
        <v>2026</v>
      </c>
      <c r="C493" s="102">
        <f>YEAR(Table6[[#This Row],[Date]])</f>
        <v>2025</v>
      </c>
      <c r="D493" s="102" t="s">
        <v>1992</v>
      </c>
      <c r="E493" s="469">
        <f>Table6[[#This Row],[Date]]-DAY(Table6[[#This Row],[Date]])+1</f>
        <v>45748</v>
      </c>
      <c r="F493" s="470">
        <v>45777</v>
      </c>
      <c r="G493" s="35" t="s">
        <v>94</v>
      </c>
      <c r="H493" s="35" t="str">
        <f>IFERROR(_xlfn.XLOOKUP(Table6[[#This Row],[Affected WTG]],'Basic Data'!$A:$A,'Basic Data'!$B:$B),"")</f>
        <v>TQGXIIPL</v>
      </c>
      <c r="I493" s="35" t="str">
        <f>IFERROR(_xlfn.XLOOKUP(Table6[[#This Row],[Affected WTG]],'Basic Data'!$A:$A,'Basic Data'!$C:$C),"")</f>
        <v>GEDA</v>
      </c>
      <c r="J493" s="471">
        <f>IFERROR(_xlfn.XLOOKUP(Table6[[#This Row],[Affected WTG]],'Basic Data'!$A:$A,'Basic Data'!$E:$E),"")</f>
        <v>3.846153846153845E-2</v>
      </c>
      <c r="K493" s="102">
        <v>6130</v>
      </c>
      <c r="L493" s="35" t="str">
        <f>IFERROR(_xlfn.XLOOKUP(Table6[[#This Row],[Error Code]],'Basic Data'!$AA:$AA,'Basic Data'!$AB:$AB),"Incorrect Error Code")</f>
        <v>Yaw speed high</v>
      </c>
      <c r="M493" s="35" t="s">
        <v>292</v>
      </c>
      <c r="N493" s="475"/>
      <c r="O493" s="476">
        <v>0.6645833333333333</v>
      </c>
      <c r="P493" s="476">
        <v>0.6645833333333333</v>
      </c>
      <c r="Q493" s="477">
        <v>0.66874999999999996</v>
      </c>
      <c r="R493" s="472">
        <f>IF(Table6[[#This Row],[Work Start TimeStamp]]="","",(Table6[[#This Row],[Work Start TimeStamp]]-Table6[[#This Row],[Fault Start TimeStamp]])*24)</f>
        <v>0</v>
      </c>
      <c r="S493" s="472">
        <f>(Table6[[#This Row],[Fault Clearance time]]-Table6[[#This Row],[Work Start TimeStamp]])*24</f>
        <v>9.9999999999999645E-2</v>
      </c>
      <c r="T493" s="472">
        <f>(Table6[[#This Row],[Fault Clearance time]]-Table6[[#This Row],[Fault Start TimeStamp]])*24</f>
        <v>9.9999999999999645E-2</v>
      </c>
      <c r="U493" s="35" t="s">
        <v>336</v>
      </c>
      <c r="V493" s="102" t="s">
        <v>293</v>
      </c>
      <c r="W493" s="478">
        <f>IFERROR(Table6[[#This Row],[Breakdown Time]]*Table6[[#This Row],[Plant Equivalent Weightage]],"")</f>
        <v>3.8461538461538312E-3</v>
      </c>
      <c r="X493" s="473" t="s">
        <v>294</v>
      </c>
      <c r="Y493" s="474" t="s">
        <v>79</v>
      </c>
      <c r="Z493" s="102">
        <v>40195</v>
      </c>
      <c r="AA493" s="468">
        <f>(Table6[[#This Row],[Paired WTG Generation for loss calculation]]/24)*Table6[[#This Row],[Breakdown Time]]</f>
        <v>167.47916666666609</v>
      </c>
      <c r="AB493" s="102"/>
      <c r="AC493" s="35"/>
      <c r="AD493" s="35"/>
    </row>
    <row r="494" spans="1:30">
      <c r="A494" s="102">
        <f t="shared" si="8"/>
        <v>493</v>
      </c>
      <c r="B494" s="468">
        <f>YEAR(Table6[[#This Row],[Date]])+IF(MONTH(Table6[[#This Row],[Date]])&gt;=4,1,0)</f>
        <v>2026</v>
      </c>
      <c r="C494" s="102">
        <f>YEAR(Table6[[#This Row],[Date]])</f>
        <v>2025</v>
      </c>
      <c r="D494" s="102" t="s">
        <v>1992</v>
      </c>
      <c r="E494" s="469">
        <f>Table6[[#This Row],[Date]]-DAY(Table6[[#This Row],[Date]])+1</f>
        <v>45748</v>
      </c>
      <c r="F494" s="470">
        <v>45777</v>
      </c>
      <c r="G494" s="35" t="s">
        <v>95</v>
      </c>
      <c r="H494" s="35" t="str">
        <f>IFERROR(_xlfn.XLOOKUP(Table6[[#This Row],[Affected WTG]],'Basic Data'!$A:$A,'Basic Data'!$B:$B),"")</f>
        <v>TQGXIIPL</v>
      </c>
      <c r="I494" s="35" t="str">
        <f>IFERROR(_xlfn.XLOOKUP(Table6[[#This Row],[Affected WTG]],'Basic Data'!$A:$A,'Basic Data'!$C:$C),"")</f>
        <v>GEDA</v>
      </c>
      <c r="J494" s="471">
        <f>IFERROR(_xlfn.XLOOKUP(Table6[[#This Row],[Affected WTG]],'Basic Data'!$A:$A,'Basic Data'!$E:$E),"")</f>
        <v>3.846153846153845E-2</v>
      </c>
      <c r="K494" s="102">
        <v>6130</v>
      </c>
      <c r="L494" s="35" t="str">
        <f>IFERROR(_xlfn.XLOOKUP(Table6[[#This Row],[Error Code]],'Basic Data'!$AA:$AA,'Basic Data'!$AB:$AB),"Incorrect Error Code")</f>
        <v>Yaw speed high</v>
      </c>
      <c r="M494" s="35" t="s">
        <v>292</v>
      </c>
      <c r="N494" s="475"/>
      <c r="O494" s="476">
        <v>0.53055555555555556</v>
      </c>
      <c r="P494" s="476">
        <v>0.53055555555555556</v>
      </c>
      <c r="Q494" s="477">
        <v>0.53472222222222221</v>
      </c>
      <c r="R494" s="472">
        <f>IF(Table6[[#This Row],[Work Start TimeStamp]]="","",(Table6[[#This Row],[Work Start TimeStamp]]-Table6[[#This Row],[Fault Start TimeStamp]])*24)</f>
        <v>0</v>
      </c>
      <c r="S494" s="472">
        <f>(Table6[[#This Row],[Fault Clearance time]]-Table6[[#This Row],[Work Start TimeStamp]])*24</f>
        <v>9.9999999999999645E-2</v>
      </c>
      <c r="T494" s="472">
        <f>(Table6[[#This Row],[Fault Clearance time]]-Table6[[#This Row],[Fault Start TimeStamp]])*24</f>
        <v>9.9999999999999645E-2</v>
      </c>
      <c r="U494" s="35" t="s">
        <v>336</v>
      </c>
      <c r="V494" s="102" t="s">
        <v>293</v>
      </c>
      <c r="W494" s="478">
        <f>IFERROR(Table6[[#This Row],[Breakdown Time]]*Table6[[#This Row],[Plant Equivalent Weightage]],"")</f>
        <v>3.8461538461538312E-3</v>
      </c>
      <c r="X494" s="473" t="s">
        <v>294</v>
      </c>
      <c r="Y494" s="474" t="s">
        <v>79</v>
      </c>
      <c r="Z494" s="102">
        <v>40195</v>
      </c>
      <c r="AA494" s="468">
        <f>(Table6[[#This Row],[Paired WTG Generation for loss calculation]]/24)*Table6[[#This Row],[Breakdown Time]]</f>
        <v>167.47916666666609</v>
      </c>
      <c r="AB494" s="102"/>
      <c r="AC494" s="35"/>
      <c r="AD494" s="35"/>
    </row>
    <row r="495" spans="1:30">
      <c r="A495" s="102">
        <f t="shared" si="8"/>
        <v>494</v>
      </c>
      <c r="B495" s="468">
        <f>YEAR(Table6[[#This Row],[Date]])+IF(MONTH(Table6[[#This Row],[Date]])&gt;=4,1,0)</f>
        <v>2026</v>
      </c>
      <c r="C495" s="102">
        <f>YEAR(Table6[[#This Row],[Date]])</f>
        <v>2025</v>
      </c>
      <c r="D495" s="102" t="s">
        <v>1992</v>
      </c>
      <c r="E495" s="469">
        <f>Table6[[#This Row],[Date]]-DAY(Table6[[#This Row],[Date]])+1</f>
        <v>45748</v>
      </c>
      <c r="F495" s="470">
        <v>45777</v>
      </c>
      <c r="G495" s="35" t="s">
        <v>95</v>
      </c>
      <c r="H495" s="35" t="str">
        <f>IFERROR(_xlfn.XLOOKUP(Table6[[#This Row],[Affected WTG]],'Basic Data'!$A:$A,'Basic Data'!$B:$B),"")</f>
        <v>TQGXIIPL</v>
      </c>
      <c r="I495" s="35" t="str">
        <f>IFERROR(_xlfn.XLOOKUP(Table6[[#This Row],[Affected WTG]],'Basic Data'!$A:$A,'Basic Data'!$C:$C),"")</f>
        <v>GEDA</v>
      </c>
      <c r="J495" s="471">
        <f>IFERROR(_xlfn.XLOOKUP(Table6[[#This Row],[Affected WTG]],'Basic Data'!$A:$A,'Basic Data'!$E:$E),"")</f>
        <v>3.846153846153845E-2</v>
      </c>
      <c r="K495" s="102">
        <v>6130</v>
      </c>
      <c r="L495" s="35" t="str">
        <f>IFERROR(_xlfn.XLOOKUP(Table6[[#This Row],[Error Code]],'Basic Data'!$AA:$AA,'Basic Data'!$AB:$AB),"Incorrect Error Code")</f>
        <v>Yaw speed high</v>
      </c>
      <c r="M495" s="35" t="s">
        <v>291</v>
      </c>
      <c r="N495" s="475"/>
      <c r="O495" s="476">
        <v>0.61527777777777781</v>
      </c>
      <c r="P495" s="476">
        <v>0.61527777777777781</v>
      </c>
      <c r="Q495" s="477">
        <v>0.61736111111111114</v>
      </c>
      <c r="R495" s="472">
        <f>IF(Table6[[#This Row],[Work Start TimeStamp]]="","",(Table6[[#This Row],[Work Start TimeStamp]]-Table6[[#This Row],[Fault Start TimeStamp]])*24)</f>
        <v>0</v>
      </c>
      <c r="S495" s="472">
        <f>(Table6[[#This Row],[Fault Clearance time]]-Table6[[#This Row],[Work Start TimeStamp]])*24</f>
        <v>4.9999999999999822E-2</v>
      </c>
      <c r="T495" s="472">
        <f>(Table6[[#This Row],[Fault Clearance time]]-Table6[[#This Row],[Fault Start TimeStamp]])*24</f>
        <v>4.9999999999999822E-2</v>
      </c>
      <c r="U495" s="35" t="s">
        <v>349</v>
      </c>
      <c r="V495" s="102" t="s">
        <v>293</v>
      </c>
      <c r="W495" s="478">
        <f>IFERROR(Table6[[#This Row],[Breakdown Time]]*Table6[[#This Row],[Plant Equivalent Weightage]],"")</f>
        <v>1.9230769230769156E-3</v>
      </c>
      <c r="X495" s="473" t="s">
        <v>294</v>
      </c>
      <c r="Y495" s="474" t="s">
        <v>79</v>
      </c>
      <c r="Z495" s="102">
        <v>40195</v>
      </c>
      <c r="AA495" s="468">
        <f>(Table6[[#This Row],[Paired WTG Generation for loss calculation]]/24)*Table6[[#This Row],[Breakdown Time]]</f>
        <v>83.739583333333044</v>
      </c>
      <c r="AB495" s="102"/>
      <c r="AC495" s="35"/>
      <c r="AD495" s="35"/>
    </row>
    <row r="496" spans="1:30">
      <c r="A496" s="102">
        <f t="shared" si="8"/>
        <v>495</v>
      </c>
      <c r="B496" s="468">
        <f>YEAR(Table6[[#This Row],[Date]])+IF(MONTH(Table6[[#This Row],[Date]])&gt;=4,1,0)</f>
        <v>2026</v>
      </c>
      <c r="C496" s="102">
        <f>YEAR(Table6[[#This Row],[Date]])</f>
        <v>2025</v>
      </c>
      <c r="D496" s="102" t="s">
        <v>1992</v>
      </c>
      <c r="E496" s="469">
        <f>Table6[[#This Row],[Date]]-DAY(Table6[[#This Row],[Date]])+1</f>
        <v>45748</v>
      </c>
      <c r="F496" s="470">
        <v>45777</v>
      </c>
      <c r="G496" s="35" t="s">
        <v>96</v>
      </c>
      <c r="H496" s="35" t="str">
        <f>IFERROR(_xlfn.XLOOKUP(Table6[[#This Row],[Affected WTG]],'Basic Data'!$A:$A,'Basic Data'!$B:$B),"")</f>
        <v>TQGXIIPL</v>
      </c>
      <c r="I496" s="35" t="str">
        <f>IFERROR(_xlfn.XLOOKUP(Table6[[#This Row],[Affected WTG]],'Basic Data'!$A:$A,'Basic Data'!$C:$C),"")</f>
        <v>GEDA</v>
      </c>
      <c r="J496" s="471">
        <f>IFERROR(_xlfn.XLOOKUP(Table6[[#This Row],[Affected WTG]],'Basic Data'!$A:$A,'Basic Data'!$E:$E),"")</f>
        <v>3.846153846153845E-2</v>
      </c>
      <c r="K496" s="102">
        <v>55</v>
      </c>
      <c r="L496" s="35" t="str">
        <f>IFERROR(_xlfn.XLOOKUP(Table6[[#This Row],[Error Code]],'Basic Data'!$AA:$AA,'Basic Data'!$AB:$AB),"Incorrect Error Code")</f>
        <v>WTG shut down</v>
      </c>
      <c r="M496" s="35" t="s">
        <v>291</v>
      </c>
      <c r="N496" s="475"/>
      <c r="O496" s="476">
        <v>0.65208333333333335</v>
      </c>
      <c r="P496" s="476">
        <v>0.65208333333333335</v>
      </c>
      <c r="Q496" s="477">
        <v>0.67708333333333337</v>
      </c>
      <c r="R496" s="472">
        <f>IF(Table6[[#This Row],[Work Start TimeStamp]]="","",(Table6[[#This Row],[Work Start TimeStamp]]-Table6[[#This Row],[Fault Start TimeStamp]])*24)</f>
        <v>0</v>
      </c>
      <c r="S496" s="472">
        <f>(Table6[[#This Row],[Fault Clearance time]]-Table6[[#This Row],[Work Start TimeStamp]])*24</f>
        <v>0.60000000000000053</v>
      </c>
      <c r="T496" s="472">
        <f>(Table6[[#This Row],[Fault Clearance time]]-Table6[[#This Row],[Fault Start TimeStamp]])*24</f>
        <v>0.60000000000000053</v>
      </c>
      <c r="U496" s="35" t="s">
        <v>1719</v>
      </c>
      <c r="V496" s="102" t="s">
        <v>293</v>
      </c>
      <c r="W496" s="478">
        <f>IFERROR(Table6[[#This Row],[Breakdown Time]]*Table6[[#This Row],[Plant Equivalent Weightage]],"")</f>
        <v>2.3076923076923092E-2</v>
      </c>
      <c r="X496" s="473" t="s">
        <v>290</v>
      </c>
      <c r="Y496" s="474" t="s">
        <v>84</v>
      </c>
      <c r="Z496" s="102">
        <v>39981</v>
      </c>
      <c r="AA496" s="468">
        <f>(Table6[[#This Row],[Paired WTG Generation for loss calculation]]/24)*Table6[[#This Row],[Breakdown Time]]</f>
        <v>999.52500000000089</v>
      </c>
      <c r="AB496" s="102"/>
      <c r="AC496" s="35"/>
      <c r="AD496" s="35"/>
    </row>
    <row r="497" spans="1:30">
      <c r="A497" s="102">
        <f t="shared" si="8"/>
        <v>496</v>
      </c>
      <c r="B497" s="468">
        <f>YEAR(Table6[[#This Row],[Date]])+IF(MONTH(Table6[[#This Row],[Date]])&gt;=4,1,0)</f>
        <v>2026</v>
      </c>
      <c r="C497" s="102">
        <f>YEAR(Table6[[#This Row],[Date]])</f>
        <v>2025</v>
      </c>
      <c r="D497" s="102" t="s">
        <v>1992</v>
      </c>
      <c r="E497" s="469">
        <f>Table6[[#This Row],[Date]]-DAY(Table6[[#This Row],[Date]])+1</f>
        <v>45748</v>
      </c>
      <c r="F497" s="470">
        <v>45777</v>
      </c>
      <c r="G497" s="35" t="s">
        <v>98</v>
      </c>
      <c r="H497" s="35" t="str">
        <f>IFERROR(_xlfn.XLOOKUP(Table6[[#This Row],[Affected WTG]],'Basic Data'!$A:$A,'Basic Data'!$B:$B),"")</f>
        <v>TQGXIIPL</v>
      </c>
      <c r="I497" s="35" t="str">
        <f>IFERROR(_xlfn.XLOOKUP(Table6[[#This Row],[Affected WTG]],'Basic Data'!$A:$A,'Basic Data'!$C:$C),"")</f>
        <v>GEDA</v>
      </c>
      <c r="J497" s="471">
        <f>IFERROR(_xlfn.XLOOKUP(Table6[[#This Row],[Affected WTG]],'Basic Data'!$A:$A,'Basic Data'!$E:$E),"")</f>
        <v>3.846153846153845E-2</v>
      </c>
      <c r="K497" s="102">
        <v>55</v>
      </c>
      <c r="L497" s="35" t="str">
        <f>IFERROR(_xlfn.XLOOKUP(Table6[[#This Row],[Error Code]],'Basic Data'!$AA:$AA,'Basic Data'!$AB:$AB),"Incorrect Error Code")</f>
        <v>WTG shut down</v>
      </c>
      <c r="M497" s="35" t="s">
        <v>330</v>
      </c>
      <c r="N497" s="475"/>
      <c r="O497" s="476">
        <v>0</v>
      </c>
      <c r="P497" s="476">
        <v>0</v>
      </c>
      <c r="Q497" s="477">
        <v>1.6666666666666666E-2</v>
      </c>
      <c r="R497" s="472">
        <f>IF(Table6[[#This Row],[Work Start TimeStamp]]="","",(Table6[[#This Row],[Work Start TimeStamp]]-Table6[[#This Row],[Fault Start TimeStamp]])*24)</f>
        <v>0</v>
      </c>
      <c r="S497" s="472">
        <f>(Table6[[#This Row],[Fault Clearance time]]-Table6[[#This Row],[Work Start TimeStamp]])*24</f>
        <v>0.4</v>
      </c>
      <c r="T497" s="472">
        <f>(Table6[[#This Row],[Fault Clearance time]]-Table6[[#This Row],[Fault Start TimeStamp]])*24</f>
        <v>0.4</v>
      </c>
      <c r="U497" s="35" t="s">
        <v>1744</v>
      </c>
      <c r="V497" s="102" t="s">
        <v>293</v>
      </c>
      <c r="W497" s="478">
        <f>IFERROR(Table6[[#This Row],[Breakdown Time]]*Table6[[#This Row],[Plant Equivalent Weightage]],"")</f>
        <v>1.538461538461538E-2</v>
      </c>
      <c r="X497" s="473" t="s">
        <v>290</v>
      </c>
      <c r="Y497" s="474" t="s">
        <v>74</v>
      </c>
      <c r="Z497" s="102">
        <v>30766</v>
      </c>
      <c r="AA497" s="468">
        <f>(Table6[[#This Row],[Paired WTG Generation for loss calculation]]/24)*Table6[[#This Row],[Breakdown Time]]</f>
        <v>512.76666666666677</v>
      </c>
      <c r="AB497" s="102"/>
      <c r="AC497" s="35"/>
      <c r="AD497" s="35"/>
    </row>
    <row r="498" spans="1:30">
      <c r="A498" s="102">
        <f t="shared" si="8"/>
        <v>497</v>
      </c>
      <c r="B498" s="468">
        <f>YEAR(Table6[[#This Row],[Date]])+IF(MONTH(Table6[[#This Row],[Date]])&gt;=4,1,0)</f>
        <v>2026</v>
      </c>
      <c r="C498" s="102">
        <f>YEAR(Table6[[#This Row],[Date]])</f>
        <v>2025</v>
      </c>
      <c r="D498" s="102" t="s">
        <v>1992</v>
      </c>
      <c r="E498" s="469">
        <f>Table6[[#This Row],[Date]]-DAY(Table6[[#This Row],[Date]])+1</f>
        <v>45748</v>
      </c>
      <c r="F498" s="470">
        <v>45777</v>
      </c>
      <c r="G498" s="35" t="s">
        <v>98</v>
      </c>
      <c r="H498" s="35" t="str">
        <f>IFERROR(_xlfn.XLOOKUP(Table6[[#This Row],[Affected WTG]],'Basic Data'!$A:$A,'Basic Data'!$B:$B),"")</f>
        <v>TQGXIIPL</v>
      </c>
      <c r="I498" s="35" t="str">
        <f>IFERROR(_xlfn.XLOOKUP(Table6[[#This Row],[Affected WTG]],'Basic Data'!$A:$A,'Basic Data'!$C:$C),"")</f>
        <v>GEDA</v>
      </c>
      <c r="J498" s="471">
        <f>IFERROR(_xlfn.XLOOKUP(Table6[[#This Row],[Affected WTG]],'Basic Data'!$A:$A,'Basic Data'!$E:$E),"")</f>
        <v>3.846153846153845E-2</v>
      </c>
      <c r="K498" s="102">
        <v>55</v>
      </c>
      <c r="L498" s="35" t="str">
        <f>IFERROR(_xlfn.XLOOKUP(Table6[[#This Row],[Error Code]],'Basic Data'!$AA:$AA,'Basic Data'!$AB:$AB),"Incorrect Error Code")</f>
        <v>WTG shut down</v>
      </c>
      <c r="M498" s="35" t="s">
        <v>330</v>
      </c>
      <c r="N498" s="475"/>
      <c r="O498" s="476">
        <v>0.74444444444444446</v>
      </c>
      <c r="P498" s="476">
        <v>0.74444444444444446</v>
      </c>
      <c r="Q498" s="477">
        <v>0.81319444444444444</v>
      </c>
      <c r="R498" s="472">
        <f>IF(Table6[[#This Row],[Work Start TimeStamp]]="","",(Table6[[#This Row],[Work Start TimeStamp]]-Table6[[#This Row],[Fault Start TimeStamp]])*24)</f>
        <v>0</v>
      </c>
      <c r="S498" s="472">
        <f>(Table6[[#This Row],[Fault Clearance time]]-Table6[[#This Row],[Work Start TimeStamp]])*24</f>
        <v>1.6499999999999995</v>
      </c>
      <c r="T498" s="472">
        <f>(Table6[[#This Row],[Fault Clearance time]]-Table6[[#This Row],[Fault Start TimeStamp]])*24</f>
        <v>1.6499999999999995</v>
      </c>
      <c r="U498" s="35" t="s">
        <v>1744</v>
      </c>
      <c r="V498" s="102" t="s">
        <v>293</v>
      </c>
      <c r="W498" s="478">
        <f>IFERROR(Table6[[#This Row],[Breakdown Time]]*Table6[[#This Row],[Plant Equivalent Weightage]],"")</f>
        <v>6.3461538461538416E-2</v>
      </c>
      <c r="X498" s="473" t="s">
        <v>290</v>
      </c>
      <c r="Y498" s="474" t="s">
        <v>74</v>
      </c>
      <c r="Z498" s="102">
        <v>30766</v>
      </c>
      <c r="AA498" s="468">
        <f>(Table6[[#This Row],[Paired WTG Generation for loss calculation]]/24)*Table6[[#This Row],[Breakdown Time]]</f>
        <v>2115.1624999999995</v>
      </c>
      <c r="AB498" s="102"/>
      <c r="AC498" s="35"/>
      <c r="AD498" s="35"/>
    </row>
    <row r="499" spans="1:30">
      <c r="A499" s="102">
        <f t="shared" si="8"/>
        <v>498</v>
      </c>
      <c r="B499" s="468">
        <f>YEAR(Table6[[#This Row],[Date]])+IF(MONTH(Table6[[#This Row],[Date]])&gt;=4,1,0)</f>
        <v>2026</v>
      </c>
      <c r="C499" s="102">
        <f>YEAR(Table6[[#This Row],[Date]])</f>
        <v>2025</v>
      </c>
      <c r="D499" s="102" t="s">
        <v>1992</v>
      </c>
      <c r="E499" s="469">
        <f>Table6[[#This Row],[Date]]-DAY(Table6[[#This Row],[Date]])+1</f>
        <v>45748</v>
      </c>
      <c r="F499" s="470">
        <v>45777</v>
      </c>
      <c r="G499" s="35" t="s">
        <v>99</v>
      </c>
      <c r="H499" s="35" t="str">
        <f>IFERROR(_xlfn.XLOOKUP(Table6[[#This Row],[Affected WTG]],'Basic Data'!$A:$A,'Basic Data'!$B:$B),"")</f>
        <v>TQGXIIPL</v>
      </c>
      <c r="I499" s="35" t="str">
        <f>IFERROR(_xlfn.XLOOKUP(Table6[[#This Row],[Affected WTG]],'Basic Data'!$A:$A,'Basic Data'!$C:$C),"")</f>
        <v>GEDA</v>
      </c>
      <c r="J499" s="471">
        <f>IFERROR(_xlfn.XLOOKUP(Table6[[#This Row],[Affected WTG]],'Basic Data'!$A:$A,'Basic Data'!$E:$E),"")</f>
        <v>3.846153846153845E-2</v>
      </c>
      <c r="K499" s="102">
        <v>55</v>
      </c>
      <c r="L499" s="35" t="str">
        <f>IFERROR(_xlfn.XLOOKUP(Table6[[#This Row],[Error Code]],'Basic Data'!$AA:$AA,'Basic Data'!$AB:$AB),"Incorrect Error Code")</f>
        <v>WTG shut down</v>
      </c>
      <c r="M499" s="35" t="s">
        <v>291</v>
      </c>
      <c r="N499" s="475"/>
      <c r="O499" s="476">
        <v>0.49791666666666667</v>
      </c>
      <c r="P499" s="476">
        <v>0.49791666666666667</v>
      </c>
      <c r="Q499" s="477">
        <v>0.51180555555555551</v>
      </c>
      <c r="R499" s="472">
        <f>IF(Table6[[#This Row],[Work Start TimeStamp]]="","",(Table6[[#This Row],[Work Start TimeStamp]]-Table6[[#This Row],[Fault Start TimeStamp]])*24)</f>
        <v>0</v>
      </c>
      <c r="S499" s="472">
        <f>(Table6[[#This Row],[Fault Clearance time]]-Table6[[#This Row],[Work Start TimeStamp]])*24</f>
        <v>0.33333333333333215</v>
      </c>
      <c r="T499" s="472">
        <f>(Table6[[#This Row],[Fault Clearance time]]-Table6[[#This Row],[Fault Start TimeStamp]])*24</f>
        <v>0.33333333333333215</v>
      </c>
      <c r="U499" s="35" t="s">
        <v>1719</v>
      </c>
      <c r="V499" s="102" t="s">
        <v>293</v>
      </c>
      <c r="W499" s="478">
        <f>IFERROR(Table6[[#This Row],[Breakdown Time]]*Table6[[#This Row],[Plant Equivalent Weightage]],"")</f>
        <v>1.2820512820512771E-2</v>
      </c>
      <c r="X499" s="473" t="s">
        <v>290</v>
      </c>
      <c r="Y499" s="474" t="s">
        <v>74</v>
      </c>
      <c r="Z499" s="102">
        <v>30766</v>
      </c>
      <c r="AA499" s="468">
        <f>(Table6[[#This Row],[Paired WTG Generation for loss calculation]]/24)*Table6[[#This Row],[Breakdown Time]]</f>
        <v>427.30555555555406</v>
      </c>
      <c r="AB499" s="102"/>
      <c r="AC499" s="35"/>
      <c r="AD499" s="35"/>
    </row>
    <row r="500" spans="1:30">
      <c r="A500" s="102">
        <f t="shared" si="8"/>
        <v>499</v>
      </c>
      <c r="B500" s="468">
        <f>YEAR(Table6[[#This Row],[Date]])+IF(MONTH(Table6[[#This Row],[Date]])&gt;=4,1,0)</f>
        <v>2026</v>
      </c>
      <c r="C500" s="102">
        <f>YEAR(Table6[[#This Row],[Date]])</f>
        <v>2025</v>
      </c>
      <c r="D500" s="102" t="s">
        <v>1992</v>
      </c>
      <c r="E500" s="469">
        <f>Table6[[#This Row],[Date]]-DAY(Table6[[#This Row],[Date]])+1</f>
        <v>45748</v>
      </c>
      <c r="F500" s="470">
        <v>45777</v>
      </c>
      <c r="G500" s="35" t="s">
        <v>99</v>
      </c>
      <c r="H500" s="35" t="str">
        <f>IFERROR(_xlfn.XLOOKUP(Table6[[#This Row],[Affected WTG]],'Basic Data'!$A:$A,'Basic Data'!$B:$B),"")</f>
        <v>TQGXIIPL</v>
      </c>
      <c r="I500" s="35" t="str">
        <f>IFERROR(_xlfn.XLOOKUP(Table6[[#This Row],[Affected WTG]],'Basic Data'!$A:$A,'Basic Data'!$C:$C),"")</f>
        <v>GEDA</v>
      </c>
      <c r="J500" s="471">
        <f>IFERROR(_xlfn.XLOOKUP(Table6[[#This Row],[Affected WTG]],'Basic Data'!$A:$A,'Basic Data'!$E:$E),"")</f>
        <v>3.846153846153845E-2</v>
      </c>
      <c r="K500" s="102">
        <v>6130</v>
      </c>
      <c r="L500" s="35" t="str">
        <f>IFERROR(_xlfn.XLOOKUP(Table6[[#This Row],[Error Code]],'Basic Data'!$AA:$AA,'Basic Data'!$AB:$AB),"Incorrect Error Code")</f>
        <v>Yaw speed high</v>
      </c>
      <c r="M500" s="35" t="s">
        <v>291</v>
      </c>
      <c r="N500" s="475"/>
      <c r="O500" s="476">
        <v>0.56527777777777777</v>
      </c>
      <c r="P500" s="476">
        <v>0.56527777777777777</v>
      </c>
      <c r="Q500" s="477">
        <v>0.57361111111111107</v>
      </c>
      <c r="R500" s="472">
        <f>IF(Table6[[#This Row],[Work Start TimeStamp]]="","",(Table6[[#This Row],[Work Start TimeStamp]]-Table6[[#This Row],[Fault Start TimeStamp]])*24)</f>
        <v>0</v>
      </c>
      <c r="S500" s="472">
        <f>(Table6[[#This Row],[Fault Clearance time]]-Table6[[#This Row],[Work Start TimeStamp]])*24</f>
        <v>0.19999999999999929</v>
      </c>
      <c r="T500" s="472">
        <f>(Table6[[#This Row],[Fault Clearance time]]-Table6[[#This Row],[Fault Start TimeStamp]])*24</f>
        <v>0.19999999999999929</v>
      </c>
      <c r="U500" s="35" t="s">
        <v>349</v>
      </c>
      <c r="V500" s="102" t="s">
        <v>293</v>
      </c>
      <c r="W500" s="478">
        <f>IFERROR(Table6[[#This Row],[Breakdown Time]]*Table6[[#This Row],[Plant Equivalent Weightage]],"")</f>
        <v>7.6923076923076624E-3</v>
      </c>
      <c r="X500" s="473" t="s">
        <v>294</v>
      </c>
      <c r="Y500" s="474" t="s">
        <v>74</v>
      </c>
      <c r="Z500" s="102">
        <v>30766</v>
      </c>
      <c r="AA500" s="468">
        <f>(Table6[[#This Row],[Paired WTG Generation for loss calculation]]/24)*Table6[[#This Row],[Breakdown Time]]</f>
        <v>256.38333333333242</v>
      </c>
      <c r="AB500" s="102"/>
      <c r="AC500" s="35"/>
      <c r="AD500" s="35"/>
    </row>
    <row r="501" spans="1:30">
      <c r="A501" s="102">
        <f t="shared" si="8"/>
        <v>500</v>
      </c>
      <c r="B501" s="468">
        <f>YEAR(Table6[[#This Row],[Date]])+IF(MONTH(Table6[[#This Row],[Date]])&gt;=4,1,0)</f>
        <v>2026</v>
      </c>
      <c r="C501" s="102">
        <f>YEAR(Table6[[#This Row],[Date]])</f>
        <v>2025</v>
      </c>
      <c r="D501" s="102" t="s">
        <v>1992</v>
      </c>
      <c r="E501" s="469">
        <f>Table6[[#This Row],[Date]]-DAY(Table6[[#This Row],[Date]])+1</f>
        <v>45778</v>
      </c>
      <c r="F501" s="470">
        <v>45778</v>
      </c>
      <c r="G501" s="35" t="s">
        <v>77</v>
      </c>
      <c r="H501" s="35" t="str">
        <f>IFERROR(_xlfn.XLOOKUP(Table6[[#This Row],[Affected WTG]],'Basic Data'!$A:$A,'Basic Data'!$B:$B),"")</f>
        <v>TQGXIIPL</v>
      </c>
      <c r="I501" s="35" t="str">
        <f>IFERROR(_xlfn.XLOOKUP(Table6[[#This Row],[Affected WTG]],'Basic Data'!$A:$A,'Basic Data'!$C:$C),"")</f>
        <v>GEDA</v>
      </c>
      <c r="J501" s="471">
        <f>IFERROR(_xlfn.XLOOKUP(Table6[[#This Row],[Affected WTG]],'Basic Data'!$A:$A,'Basic Data'!$E:$E),"")</f>
        <v>3.846153846153845E-2</v>
      </c>
      <c r="K501" s="102">
        <v>6130</v>
      </c>
      <c r="L501" s="35" t="str">
        <f>IFERROR(_xlfn.XLOOKUP(Table6[[#This Row],[Error Code]],'Basic Data'!$AA:$AA,'Basic Data'!$AB:$AB),"Incorrect Error Code")</f>
        <v>Yaw speed high</v>
      </c>
      <c r="M501" s="35" t="s">
        <v>292</v>
      </c>
      <c r="N501" s="475"/>
      <c r="O501" s="476">
        <v>0.60833333333333328</v>
      </c>
      <c r="P501" s="476">
        <v>0.60833333333333328</v>
      </c>
      <c r="Q501" s="477">
        <v>0.61250000000000004</v>
      </c>
      <c r="R501" s="472">
        <f>IF(Table6[[#This Row],[Work Start TimeStamp]]="","",(Table6[[#This Row],[Work Start TimeStamp]]-Table6[[#This Row],[Fault Start TimeStamp]])*24)</f>
        <v>0</v>
      </c>
      <c r="S501" s="472">
        <f>(Table6[[#This Row],[Fault Clearance time]]-Table6[[#This Row],[Work Start TimeStamp]])*24</f>
        <v>0.10000000000000231</v>
      </c>
      <c r="T501" s="472">
        <f>(Table6[[#This Row],[Fault Clearance time]]-Table6[[#This Row],[Fault Start TimeStamp]])*24</f>
        <v>0.10000000000000231</v>
      </c>
      <c r="U501" s="35" t="s">
        <v>336</v>
      </c>
      <c r="V501" s="102" t="s">
        <v>293</v>
      </c>
      <c r="W501" s="478">
        <f>IFERROR(Table6[[#This Row],[Breakdown Time]]*Table6[[#This Row],[Plant Equivalent Weightage]],"")</f>
        <v>3.846153846153934E-3</v>
      </c>
      <c r="X501" s="473" t="s">
        <v>294</v>
      </c>
      <c r="Y501" s="474" t="s">
        <v>80</v>
      </c>
      <c r="Z501" s="102">
        <v>45834</v>
      </c>
      <c r="AA501" s="468">
        <f>(Table6[[#This Row],[Paired WTG Generation for loss calculation]]/24)*Table6[[#This Row],[Breakdown Time]]</f>
        <v>190.9750000000044</v>
      </c>
      <c r="AB501" s="102"/>
      <c r="AC501" s="35"/>
      <c r="AD501" s="35"/>
    </row>
    <row r="502" spans="1:30">
      <c r="A502" s="102">
        <f t="shared" si="8"/>
        <v>501</v>
      </c>
      <c r="B502" s="468">
        <f>YEAR(Table6[[#This Row],[Date]])+IF(MONTH(Table6[[#This Row],[Date]])&gt;=4,1,0)</f>
        <v>2026</v>
      </c>
      <c r="C502" s="102">
        <f>YEAR(Table6[[#This Row],[Date]])</f>
        <v>2025</v>
      </c>
      <c r="D502" s="102" t="s">
        <v>1992</v>
      </c>
      <c r="E502" s="469">
        <f>Table6[[#This Row],[Date]]-DAY(Table6[[#This Row],[Date]])+1</f>
        <v>45778</v>
      </c>
      <c r="F502" s="470">
        <v>45778</v>
      </c>
      <c r="G502" s="35" t="s">
        <v>78</v>
      </c>
      <c r="H502" s="35" t="str">
        <f>IFERROR(_xlfn.XLOOKUP(Table6[[#This Row],[Affected WTG]],'Basic Data'!$A:$A,'Basic Data'!$B:$B),"")</f>
        <v>TQGXIIPL</v>
      </c>
      <c r="I502" s="35" t="str">
        <f>IFERROR(_xlfn.XLOOKUP(Table6[[#This Row],[Affected WTG]],'Basic Data'!$A:$A,'Basic Data'!$C:$C),"")</f>
        <v>GEDA</v>
      </c>
      <c r="J502" s="471">
        <f>IFERROR(_xlfn.XLOOKUP(Table6[[#This Row],[Affected WTG]],'Basic Data'!$A:$A,'Basic Data'!$E:$E),"")</f>
        <v>3.846153846153845E-2</v>
      </c>
      <c r="K502" s="102">
        <v>55</v>
      </c>
      <c r="L502" s="35" t="str">
        <f>IFERROR(_xlfn.XLOOKUP(Table6[[#This Row],[Error Code]],'Basic Data'!$AA:$AA,'Basic Data'!$AB:$AB),"Incorrect Error Code")</f>
        <v>WTG shut down</v>
      </c>
      <c r="M502" s="35" t="s">
        <v>291</v>
      </c>
      <c r="N502" s="475"/>
      <c r="O502" s="476">
        <v>0.44513888888888886</v>
      </c>
      <c r="P502" s="476">
        <v>0.44513888888888886</v>
      </c>
      <c r="Q502" s="477">
        <v>0.47569444444444442</v>
      </c>
      <c r="R502" s="472">
        <f>IF(Table6[[#This Row],[Work Start TimeStamp]]="","",(Table6[[#This Row],[Work Start TimeStamp]]-Table6[[#This Row],[Fault Start TimeStamp]])*24)</f>
        <v>0</v>
      </c>
      <c r="S502" s="472">
        <f>(Table6[[#This Row],[Fault Clearance time]]-Table6[[#This Row],[Work Start TimeStamp]])*24</f>
        <v>0.73333333333333339</v>
      </c>
      <c r="T502" s="472">
        <f>(Table6[[#This Row],[Fault Clearance time]]-Table6[[#This Row],[Fault Start TimeStamp]])*24</f>
        <v>0.73333333333333339</v>
      </c>
      <c r="U502" s="35" t="s">
        <v>1719</v>
      </c>
      <c r="V502" s="102" t="s">
        <v>293</v>
      </c>
      <c r="W502" s="478">
        <f>IFERROR(Table6[[#This Row],[Breakdown Time]]*Table6[[#This Row],[Plant Equivalent Weightage]],"")</f>
        <v>2.8205128205128199E-2</v>
      </c>
      <c r="X502" s="473" t="s">
        <v>290</v>
      </c>
      <c r="Y502" s="474" t="s">
        <v>75</v>
      </c>
      <c r="Z502" s="102">
        <v>49670</v>
      </c>
      <c r="AA502" s="468">
        <f>(Table6[[#This Row],[Paired WTG Generation for loss calculation]]/24)*Table6[[#This Row],[Breakdown Time]]</f>
        <v>1517.6944444444446</v>
      </c>
      <c r="AB502" s="102"/>
      <c r="AC502" s="35"/>
      <c r="AD502" s="35"/>
    </row>
    <row r="503" spans="1:30">
      <c r="A503" s="102">
        <f t="shared" si="8"/>
        <v>502</v>
      </c>
      <c r="B503" s="468">
        <f>YEAR(Table6[[#This Row],[Date]])+IF(MONTH(Table6[[#This Row],[Date]])&gt;=4,1,0)</f>
        <v>2026</v>
      </c>
      <c r="C503" s="102">
        <f>YEAR(Table6[[#This Row],[Date]])</f>
        <v>2025</v>
      </c>
      <c r="D503" s="102" t="s">
        <v>1992</v>
      </c>
      <c r="E503" s="469">
        <f>Table6[[#This Row],[Date]]-DAY(Table6[[#This Row],[Date]])+1</f>
        <v>45778</v>
      </c>
      <c r="F503" s="470">
        <v>45778</v>
      </c>
      <c r="G503" s="35" t="s">
        <v>78</v>
      </c>
      <c r="H503" s="35" t="str">
        <f>IFERROR(_xlfn.XLOOKUP(Table6[[#This Row],[Affected WTG]],'Basic Data'!$A:$A,'Basic Data'!$B:$B),"")</f>
        <v>TQGXIIPL</v>
      </c>
      <c r="I503" s="35" t="str">
        <f>IFERROR(_xlfn.XLOOKUP(Table6[[#This Row],[Affected WTG]],'Basic Data'!$A:$A,'Basic Data'!$C:$C),"")</f>
        <v>GEDA</v>
      </c>
      <c r="J503" s="471">
        <f>IFERROR(_xlfn.XLOOKUP(Table6[[#This Row],[Affected WTG]],'Basic Data'!$A:$A,'Basic Data'!$E:$E),"")</f>
        <v>3.846153846153845E-2</v>
      </c>
      <c r="K503" s="102">
        <v>6130</v>
      </c>
      <c r="L503" s="35" t="str">
        <f>IFERROR(_xlfn.XLOOKUP(Table6[[#This Row],[Error Code]],'Basic Data'!$AA:$AA,'Basic Data'!$AB:$AB),"Incorrect Error Code")</f>
        <v>Yaw speed high</v>
      </c>
      <c r="M503" s="35" t="s">
        <v>291</v>
      </c>
      <c r="N503" s="475"/>
      <c r="O503" s="476">
        <v>0.61944444444444446</v>
      </c>
      <c r="P503" s="476">
        <v>0.61944444444444446</v>
      </c>
      <c r="Q503" s="477">
        <v>0.62083333333333335</v>
      </c>
      <c r="R503" s="472">
        <f>IF(Table6[[#This Row],[Work Start TimeStamp]]="","",(Table6[[#This Row],[Work Start TimeStamp]]-Table6[[#This Row],[Fault Start TimeStamp]])*24)</f>
        <v>0</v>
      </c>
      <c r="S503" s="472">
        <f>(Table6[[#This Row],[Fault Clearance time]]-Table6[[#This Row],[Work Start TimeStamp]])*24</f>
        <v>3.3333333333333215E-2</v>
      </c>
      <c r="T503" s="472">
        <f>(Table6[[#This Row],[Fault Clearance time]]-Table6[[#This Row],[Fault Start TimeStamp]])*24</f>
        <v>3.3333333333333215E-2</v>
      </c>
      <c r="U503" s="35" t="s">
        <v>349</v>
      </c>
      <c r="V503" s="102" t="s">
        <v>293</v>
      </c>
      <c r="W503" s="478">
        <f>IFERROR(Table6[[#This Row],[Breakdown Time]]*Table6[[#This Row],[Plant Equivalent Weightage]],"")</f>
        <v>1.2820512820512771E-3</v>
      </c>
      <c r="X503" s="473" t="s">
        <v>294</v>
      </c>
      <c r="Y503" s="474" t="s">
        <v>75</v>
      </c>
      <c r="Z503" s="102">
        <v>49670</v>
      </c>
      <c r="AA503" s="468">
        <f>(Table6[[#This Row],[Paired WTG Generation for loss calculation]]/24)*Table6[[#This Row],[Breakdown Time]]</f>
        <v>68.986111111110873</v>
      </c>
      <c r="AB503" s="102"/>
      <c r="AC503" s="35"/>
      <c r="AD503" s="35"/>
    </row>
    <row r="504" spans="1:30">
      <c r="A504" s="102">
        <f t="shared" si="8"/>
        <v>503</v>
      </c>
      <c r="B504" s="468">
        <f>YEAR(Table6[[#This Row],[Date]])+IF(MONTH(Table6[[#This Row],[Date]])&gt;=4,1,0)</f>
        <v>2026</v>
      </c>
      <c r="C504" s="102">
        <f>YEAR(Table6[[#This Row],[Date]])</f>
        <v>2025</v>
      </c>
      <c r="D504" s="102" t="s">
        <v>1992</v>
      </c>
      <c r="E504" s="469">
        <f>Table6[[#This Row],[Date]]-DAY(Table6[[#This Row],[Date]])+1</f>
        <v>45778</v>
      </c>
      <c r="F504" s="470">
        <v>45778</v>
      </c>
      <c r="G504" s="35" t="s">
        <v>81</v>
      </c>
      <c r="H504" s="35" t="str">
        <f>IFERROR(_xlfn.XLOOKUP(Table6[[#This Row],[Affected WTG]],'Basic Data'!$A:$A,'Basic Data'!$B:$B),"")</f>
        <v>TQGXIIPL</v>
      </c>
      <c r="I504" s="35" t="str">
        <f>IFERROR(_xlfn.XLOOKUP(Table6[[#This Row],[Affected WTG]],'Basic Data'!$A:$A,'Basic Data'!$C:$C),"")</f>
        <v>GEDA</v>
      </c>
      <c r="J504" s="471">
        <f>IFERROR(_xlfn.XLOOKUP(Table6[[#This Row],[Affected WTG]],'Basic Data'!$A:$A,'Basic Data'!$E:$E),"")</f>
        <v>3.846153846153845E-2</v>
      </c>
      <c r="K504" s="102">
        <v>6130</v>
      </c>
      <c r="L504" s="35" t="str">
        <f>IFERROR(_xlfn.XLOOKUP(Table6[[#This Row],[Error Code]],'Basic Data'!$AA:$AA,'Basic Data'!$AB:$AB),"Incorrect Error Code")</f>
        <v>Yaw speed high</v>
      </c>
      <c r="M504" s="35" t="s">
        <v>292</v>
      </c>
      <c r="N504" s="475"/>
      <c r="O504" s="476">
        <v>0.60069444444444442</v>
      </c>
      <c r="P504" s="476">
        <v>0.60069444444444442</v>
      </c>
      <c r="Q504" s="477">
        <v>0.60486111111111107</v>
      </c>
      <c r="R504" s="472">
        <f>IF(Table6[[#This Row],[Work Start TimeStamp]]="","",(Table6[[#This Row],[Work Start TimeStamp]]-Table6[[#This Row],[Fault Start TimeStamp]])*24)</f>
        <v>0</v>
      </c>
      <c r="S504" s="472">
        <f>(Table6[[#This Row],[Fault Clearance time]]-Table6[[#This Row],[Work Start TimeStamp]])*24</f>
        <v>9.9999999999999645E-2</v>
      </c>
      <c r="T504" s="472">
        <f>(Table6[[#This Row],[Fault Clearance time]]-Table6[[#This Row],[Fault Start TimeStamp]])*24</f>
        <v>9.9999999999999645E-2</v>
      </c>
      <c r="U504" s="35" t="s">
        <v>336</v>
      </c>
      <c r="V504" s="102" t="s">
        <v>293</v>
      </c>
      <c r="W504" s="478">
        <f>IFERROR(Table6[[#This Row],[Breakdown Time]]*Table6[[#This Row],[Plant Equivalent Weightage]],"")</f>
        <v>3.8461538461538312E-3</v>
      </c>
      <c r="X504" s="473" t="s">
        <v>294</v>
      </c>
      <c r="Y504" s="474" t="s">
        <v>99</v>
      </c>
      <c r="Z504" s="102">
        <v>44674</v>
      </c>
      <c r="AA504" s="468">
        <f>(Table6[[#This Row],[Paired WTG Generation for loss calculation]]/24)*Table6[[#This Row],[Breakdown Time]]</f>
        <v>186.14166666666603</v>
      </c>
      <c r="AB504" s="102"/>
      <c r="AC504" s="35"/>
      <c r="AD504" s="35"/>
    </row>
    <row r="505" spans="1:30">
      <c r="A505" s="102">
        <f t="shared" si="8"/>
        <v>504</v>
      </c>
      <c r="B505" s="468">
        <f>YEAR(Table6[[#This Row],[Date]])+IF(MONTH(Table6[[#This Row],[Date]])&gt;=4,1,0)</f>
        <v>2026</v>
      </c>
      <c r="C505" s="102">
        <f>YEAR(Table6[[#This Row],[Date]])</f>
        <v>2025</v>
      </c>
      <c r="D505" s="102" t="s">
        <v>1992</v>
      </c>
      <c r="E505" s="469">
        <f>Table6[[#This Row],[Date]]-DAY(Table6[[#This Row],[Date]])+1</f>
        <v>45778</v>
      </c>
      <c r="F505" s="470">
        <v>45778</v>
      </c>
      <c r="G505" s="35" t="s">
        <v>81</v>
      </c>
      <c r="H505" s="35" t="str">
        <f>IFERROR(_xlfn.XLOOKUP(Table6[[#This Row],[Affected WTG]],'Basic Data'!$A:$A,'Basic Data'!$B:$B),"")</f>
        <v>TQGXIIPL</v>
      </c>
      <c r="I505" s="35" t="str">
        <f>IFERROR(_xlfn.XLOOKUP(Table6[[#This Row],[Affected WTG]],'Basic Data'!$A:$A,'Basic Data'!$C:$C),"")</f>
        <v>GEDA</v>
      </c>
      <c r="J505" s="471">
        <f>IFERROR(_xlfn.XLOOKUP(Table6[[#This Row],[Affected WTG]],'Basic Data'!$A:$A,'Basic Data'!$E:$E),"")</f>
        <v>3.846153846153845E-2</v>
      </c>
      <c r="K505" s="102">
        <v>6605</v>
      </c>
      <c r="L505" s="35" t="str">
        <f>IFERROR(_xlfn.XLOOKUP(Table6[[#This Row],[Error Code]],'Basic Data'!$AA:$AA,'Basic Data'!$AB:$AB),"Incorrect Error Code")</f>
        <v>Wind.dir. diff. level 2</v>
      </c>
      <c r="M505" s="35" t="s">
        <v>291</v>
      </c>
      <c r="N505" s="475"/>
      <c r="O505" s="476">
        <v>0.61111111111111116</v>
      </c>
      <c r="P505" s="476">
        <v>0.61111111111111116</v>
      </c>
      <c r="Q505" s="477">
        <v>0.61319444444444449</v>
      </c>
      <c r="R505" s="472">
        <f>IF(Table6[[#This Row],[Work Start TimeStamp]]="","",(Table6[[#This Row],[Work Start TimeStamp]]-Table6[[#This Row],[Fault Start TimeStamp]])*24)</f>
        <v>0</v>
      </c>
      <c r="S505" s="472">
        <f>(Table6[[#This Row],[Fault Clearance time]]-Table6[[#This Row],[Work Start TimeStamp]])*24</f>
        <v>4.9999999999999822E-2</v>
      </c>
      <c r="T505" s="472">
        <f>(Table6[[#This Row],[Fault Clearance time]]-Table6[[#This Row],[Fault Start TimeStamp]])*24</f>
        <v>4.9999999999999822E-2</v>
      </c>
      <c r="U505" s="35" t="s">
        <v>349</v>
      </c>
      <c r="V505" s="102" t="s">
        <v>293</v>
      </c>
      <c r="W505" s="478">
        <f>IFERROR(Table6[[#This Row],[Breakdown Time]]*Table6[[#This Row],[Plant Equivalent Weightage]],"")</f>
        <v>1.9230769230769156E-3</v>
      </c>
      <c r="X505" s="473" t="s">
        <v>294</v>
      </c>
      <c r="Y505" s="474" t="s">
        <v>99</v>
      </c>
      <c r="Z505" s="102">
        <v>44674</v>
      </c>
      <c r="AA505" s="468">
        <f>(Table6[[#This Row],[Paired WTG Generation for loss calculation]]/24)*Table6[[#This Row],[Breakdown Time]]</f>
        <v>93.070833333333013</v>
      </c>
      <c r="AB505" s="102"/>
      <c r="AC505" s="35"/>
      <c r="AD505" s="35"/>
    </row>
    <row r="506" spans="1:30">
      <c r="A506" s="102">
        <f t="shared" si="8"/>
        <v>505</v>
      </c>
      <c r="B506" s="468">
        <f>YEAR(Table6[[#This Row],[Date]])+IF(MONTH(Table6[[#This Row],[Date]])&gt;=4,1,0)</f>
        <v>2026</v>
      </c>
      <c r="C506" s="102">
        <f>YEAR(Table6[[#This Row],[Date]])</f>
        <v>2025</v>
      </c>
      <c r="D506" s="102" t="s">
        <v>1992</v>
      </c>
      <c r="E506" s="469">
        <f>Table6[[#This Row],[Date]]-DAY(Table6[[#This Row],[Date]])+1</f>
        <v>45778</v>
      </c>
      <c r="F506" s="470">
        <v>45778</v>
      </c>
      <c r="G506" s="35" t="s">
        <v>85</v>
      </c>
      <c r="H506" s="35" t="str">
        <f>IFERROR(_xlfn.XLOOKUP(Table6[[#This Row],[Affected WTG]],'Basic Data'!$A:$A,'Basic Data'!$B:$B),"")</f>
        <v>TQGXIIPL</v>
      </c>
      <c r="I506" s="35" t="str">
        <f>IFERROR(_xlfn.XLOOKUP(Table6[[#This Row],[Affected WTG]],'Basic Data'!$A:$A,'Basic Data'!$C:$C),"")</f>
        <v>GEDA</v>
      </c>
      <c r="J506" s="471">
        <f>IFERROR(_xlfn.XLOOKUP(Table6[[#This Row],[Affected WTG]],'Basic Data'!$A:$A,'Basic Data'!$E:$E),"")</f>
        <v>3.846153846153845E-2</v>
      </c>
      <c r="K506" s="102">
        <v>6605</v>
      </c>
      <c r="L506" s="35" t="str">
        <f>IFERROR(_xlfn.XLOOKUP(Table6[[#This Row],[Error Code]],'Basic Data'!$AA:$AA,'Basic Data'!$AB:$AB),"Incorrect Error Code")</f>
        <v>Wind.dir. diff. level 2</v>
      </c>
      <c r="M506" s="35" t="s">
        <v>291</v>
      </c>
      <c r="N506" s="475"/>
      <c r="O506" s="476">
        <v>0.63541666666666663</v>
      </c>
      <c r="P506" s="476">
        <v>0.63541666666666663</v>
      </c>
      <c r="Q506" s="477">
        <v>0.63680555555555551</v>
      </c>
      <c r="R506" s="472">
        <f>IF(Table6[[#This Row],[Work Start TimeStamp]]="","",(Table6[[#This Row],[Work Start TimeStamp]]-Table6[[#This Row],[Fault Start TimeStamp]])*24)</f>
        <v>0</v>
      </c>
      <c r="S506" s="472">
        <f>(Table6[[#This Row],[Fault Clearance time]]-Table6[[#This Row],[Work Start TimeStamp]])*24</f>
        <v>3.3333333333333215E-2</v>
      </c>
      <c r="T506" s="472">
        <f>(Table6[[#This Row],[Fault Clearance time]]-Table6[[#This Row],[Fault Start TimeStamp]])*24</f>
        <v>3.3333333333333215E-2</v>
      </c>
      <c r="U506" s="35" t="s">
        <v>349</v>
      </c>
      <c r="V506" s="102" t="s">
        <v>293</v>
      </c>
      <c r="W506" s="478">
        <f>IFERROR(Table6[[#This Row],[Breakdown Time]]*Table6[[#This Row],[Plant Equivalent Weightage]],"")</f>
        <v>1.2820512820512771E-3</v>
      </c>
      <c r="X506" s="473" t="s">
        <v>294</v>
      </c>
      <c r="Y506" s="474" t="s">
        <v>87</v>
      </c>
      <c r="Z506" s="102">
        <v>38537</v>
      </c>
      <c r="AA506" s="468">
        <f>(Table6[[#This Row],[Paired WTG Generation for loss calculation]]/24)*Table6[[#This Row],[Breakdown Time]]</f>
        <v>53.523611111110917</v>
      </c>
      <c r="AB506" s="102"/>
      <c r="AC506" s="35"/>
      <c r="AD506" s="35"/>
    </row>
    <row r="507" spans="1:30">
      <c r="A507" s="102">
        <f t="shared" si="8"/>
        <v>506</v>
      </c>
      <c r="B507" s="468">
        <f>YEAR(Table6[[#This Row],[Date]])+IF(MONTH(Table6[[#This Row],[Date]])&gt;=4,1,0)</f>
        <v>2026</v>
      </c>
      <c r="C507" s="102">
        <f>YEAR(Table6[[#This Row],[Date]])</f>
        <v>2025</v>
      </c>
      <c r="D507" s="102" t="s">
        <v>1992</v>
      </c>
      <c r="E507" s="469">
        <f>Table6[[#This Row],[Date]]-DAY(Table6[[#This Row],[Date]])+1</f>
        <v>45778</v>
      </c>
      <c r="F507" s="470">
        <v>45778</v>
      </c>
      <c r="G507" s="35" t="s">
        <v>85</v>
      </c>
      <c r="H507" s="35" t="str">
        <f>IFERROR(_xlfn.XLOOKUP(Table6[[#This Row],[Affected WTG]],'Basic Data'!$A:$A,'Basic Data'!$B:$B),"")</f>
        <v>TQGXIIPL</v>
      </c>
      <c r="I507" s="35" t="str">
        <f>IFERROR(_xlfn.XLOOKUP(Table6[[#This Row],[Affected WTG]],'Basic Data'!$A:$A,'Basic Data'!$C:$C),"")</f>
        <v>GEDA</v>
      </c>
      <c r="J507" s="471">
        <f>IFERROR(_xlfn.XLOOKUP(Table6[[#This Row],[Affected WTG]],'Basic Data'!$A:$A,'Basic Data'!$E:$E),"")</f>
        <v>3.846153846153845E-2</v>
      </c>
      <c r="K507" s="102">
        <v>1700</v>
      </c>
      <c r="L507" s="35" t="str">
        <f>IFERROR(_xlfn.XLOOKUP(Table6[[#This Row],[Error Code]],'Basic Data'!$AA:$AA,'Basic Data'!$AB:$AB),"Incorrect Error Code")</f>
        <v>High temp. gear bearing 1</v>
      </c>
      <c r="M507" s="35" t="s">
        <v>291</v>
      </c>
      <c r="N507" s="475"/>
      <c r="O507" s="476">
        <v>0.78333333333333333</v>
      </c>
      <c r="P507" s="476">
        <v>0.78333333333333333</v>
      </c>
      <c r="Q507" s="477">
        <v>0.79861111111111116</v>
      </c>
      <c r="R507" s="472">
        <f>IF(Table6[[#This Row],[Work Start TimeStamp]]="","",(Table6[[#This Row],[Work Start TimeStamp]]-Table6[[#This Row],[Fault Start TimeStamp]])*24)</f>
        <v>0</v>
      </c>
      <c r="S507" s="472">
        <f>(Table6[[#This Row],[Fault Clearance time]]-Table6[[#This Row],[Work Start TimeStamp]])*24</f>
        <v>0.36666666666666803</v>
      </c>
      <c r="T507" s="472">
        <f>(Table6[[#This Row],[Fault Clearance time]]-Table6[[#This Row],[Fault Start TimeStamp]])*24</f>
        <v>0.36666666666666803</v>
      </c>
      <c r="U507" s="35" t="s">
        <v>382</v>
      </c>
      <c r="V507" s="102" t="s">
        <v>293</v>
      </c>
      <c r="W507" s="478">
        <f>IFERROR(Table6[[#This Row],[Breakdown Time]]*Table6[[#This Row],[Plant Equivalent Weightage]],"")</f>
        <v>1.4102564102564151E-2</v>
      </c>
      <c r="X507" s="473" t="s">
        <v>294</v>
      </c>
      <c r="Y507" s="474" t="s">
        <v>87</v>
      </c>
      <c r="Z507" s="102">
        <v>38537</v>
      </c>
      <c r="AA507" s="468">
        <f>(Table6[[#This Row],[Paired WTG Generation for loss calculation]]/24)*Table6[[#This Row],[Breakdown Time]]</f>
        <v>588.75972222222435</v>
      </c>
      <c r="AB507" s="102"/>
      <c r="AC507" s="35"/>
      <c r="AD507" s="35"/>
    </row>
    <row r="508" spans="1:30">
      <c r="A508" s="102">
        <f t="shared" si="8"/>
        <v>507</v>
      </c>
      <c r="B508" s="468">
        <f>YEAR(Table6[[#This Row],[Date]])+IF(MONTH(Table6[[#This Row],[Date]])&gt;=4,1,0)</f>
        <v>2026</v>
      </c>
      <c r="C508" s="102">
        <f>YEAR(Table6[[#This Row],[Date]])</f>
        <v>2025</v>
      </c>
      <c r="D508" s="102" t="s">
        <v>1992</v>
      </c>
      <c r="E508" s="469">
        <f>Table6[[#This Row],[Date]]-DAY(Table6[[#This Row],[Date]])+1</f>
        <v>45778</v>
      </c>
      <c r="F508" s="470">
        <v>45778</v>
      </c>
      <c r="G508" s="35" t="s">
        <v>90</v>
      </c>
      <c r="H508" s="35" t="str">
        <f>IFERROR(_xlfn.XLOOKUP(Table6[[#This Row],[Affected WTG]],'Basic Data'!$A:$A,'Basic Data'!$B:$B),"")</f>
        <v>TQGXIIPL</v>
      </c>
      <c r="I508" s="35" t="str">
        <f>IFERROR(_xlfn.XLOOKUP(Table6[[#This Row],[Affected WTG]],'Basic Data'!$A:$A,'Basic Data'!$C:$C),"")</f>
        <v>GEDA</v>
      </c>
      <c r="J508" s="471">
        <f>IFERROR(_xlfn.XLOOKUP(Table6[[#This Row],[Affected WTG]],'Basic Data'!$A:$A,'Basic Data'!$E:$E),"")</f>
        <v>3.846153846153845E-2</v>
      </c>
      <c r="K508" s="102">
        <v>55</v>
      </c>
      <c r="L508" s="35" t="str">
        <f>IFERROR(_xlfn.XLOOKUP(Table6[[#This Row],[Error Code]],'Basic Data'!$AA:$AA,'Basic Data'!$AB:$AB),"Incorrect Error Code")</f>
        <v>WTG shut down</v>
      </c>
      <c r="M508" s="35" t="s">
        <v>291</v>
      </c>
      <c r="N508" s="475"/>
      <c r="O508" s="476">
        <v>0.42430555555555555</v>
      </c>
      <c r="P508" s="476">
        <v>0.42430555555555555</v>
      </c>
      <c r="Q508" s="477">
        <v>0.57291666666666663</v>
      </c>
      <c r="R508" s="472">
        <f>IF(Table6[[#This Row],[Work Start TimeStamp]]="","",(Table6[[#This Row],[Work Start TimeStamp]]-Table6[[#This Row],[Fault Start TimeStamp]])*24)</f>
        <v>0</v>
      </c>
      <c r="S508" s="472">
        <f>(Table6[[#This Row],[Fault Clearance time]]-Table6[[#This Row],[Work Start TimeStamp]])*24</f>
        <v>3.566666666666666</v>
      </c>
      <c r="T508" s="472">
        <f>(Table6[[#This Row],[Fault Clearance time]]-Table6[[#This Row],[Fault Start TimeStamp]])*24</f>
        <v>3.566666666666666</v>
      </c>
      <c r="U508" s="35" t="s">
        <v>1746</v>
      </c>
      <c r="V508" s="102" t="s">
        <v>293</v>
      </c>
      <c r="W508" s="478">
        <f>IFERROR(Table6[[#This Row],[Breakdown Time]]*Table6[[#This Row],[Plant Equivalent Weightage]],"")</f>
        <v>0.13717948717948711</v>
      </c>
      <c r="X508" s="473" t="s">
        <v>290</v>
      </c>
      <c r="Y508" s="474" t="s">
        <v>95</v>
      </c>
      <c r="Z508" s="102">
        <v>47524</v>
      </c>
      <c r="AA508" s="468">
        <f>(Table6[[#This Row],[Paired WTG Generation for loss calculation]]/24)*Table6[[#This Row],[Breakdown Time]]</f>
        <v>7062.5944444444431</v>
      </c>
      <c r="AB508" s="102"/>
      <c r="AC508" s="35"/>
      <c r="AD508" s="35"/>
    </row>
    <row r="509" spans="1:30">
      <c r="A509" s="102">
        <f t="shared" si="8"/>
        <v>508</v>
      </c>
      <c r="B509" s="468">
        <f>YEAR(Table6[[#This Row],[Date]])+IF(MONTH(Table6[[#This Row],[Date]])&gt;=4,1,0)</f>
        <v>2026</v>
      </c>
      <c r="C509" s="102">
        <f>YEAR(Table6[[#This Row],[Date]])</f>
        <v>2025</v>
      </c>
      <c r="D509" s="102" t="s">
        <v>1992</v>
      </c>
      <c r="E509" s="469">
        <f>Table6[[#This Row],[Date]]-DAY(Table6[[#This Row],[Date]])+1</f>
        <v>45778</v>
      </c>
      <c r="F509" s="470">
        <v>45778</v>
      </c>
      <c r="G509" s="35" t="s">
        <v>91</v>
      </c>
      <c r="H509" s="35" t="str">
        <f>IFERROR(_xlfn.XLOOKUP(Table6[[#This Row],[Affected WTG]],'Basic Data'!$A:$A,'Basic Data'!$B:$B),"")</f>
        <v>TQGXIIPL</v>
      </c>
      <c r="I509" s="35" t="str">
        <f>IFERROR(_xlfn.XLOOKUP(Table6[[#This Row],[Affected WTG]],'Basic Data'!$A:$A,'Basic Data'!$C:$C),"")</f>
        <v>GEDA</v>
      </c>
      <c r="J509" s="471">
        <f>IFERROR(_xlfn.XLOOKUP(Table6[[#This Row],[Affected WTG]],'Basic Data'!$A:$A,'Basic Data'!$E:$E),"")</f>
        <v>3.846153846153845E-2</v>
      </c>
      <c r="K509" s="102">
        <v>2355</v>
      </c>
      <c r="L509" s="35" t="str">
        <f>IFERROR(_xlfn.XLOOKUP(Table6[[#This Row],[Error Code]],'Basic Data'!$AA:$AA,'Basic Data'!$AB:$AB),"Incorrect Error Code")</f>
        <v>Temp. rot.br.pad high</v>
      </c>
      <c r="M509" s="35" t="s">
        <v>291</v>
      </c>
      <c r="N509" s="475"/>
      <c r="O509" s="476">
        <v>0.14444444444444443</v>
      </c>
      <c r="P509" s="476">
        <v>0.14444444444444443</v>
      </c>
      <c r="Q509" s="477">
        <v>0.16805555555555557</v>
      </c>
      <c r="R509" s="472">
        <f>IF(Table6[[#This Row],[Work Start TimeStamp]]="","",(Table6[[#This Row],[Work Start TimeStamp]]-Table6[[#This Row],[Fault Start TimeStamp]])*24)</f>
        <v>0</v>
      </c>
      <c r="S509" s="472">
        <f>(Table6[[#This Row],[Fault Clearance time]]-Table6[[#This Row],[Work Start TimeStamp]])*24</f>
        <v>0.56666666666666732</v>
      </c>
      <c r="T509" s="472">
        <f>(Table6[[#This Row],[Fault Clearance time]]-Table6[[#This Row],[Fault Start TimeStamp]])*24</f>
        <v>0.56666666666666732</v>
      </c>
      <c r="U509" s="35" t="s">
        <v>382</v>
      </c>
      <c r="V509" s="102" t="s">
        <v>293</v>
      </c>
      <c r="W509" s="478">
        <f>IFERROR(Table6[[#This Row],[Breakdown Time]]*Table6[[#This Row],[Plant Equivalent Weightage]],"")</f>
        <v>2.1794871794871815E-2</v>
      </c>
      <c r="X509" s="473" t="s">
        <v>294</v>
      </c>
      <c r="Y509" s="474" t="s">
        <v>79</v>
      </c>
      <c r="Z509" s="102">
        <v>46547</v>
      </c>
      <c r="AA509" s="468">
        <f>(Table6[[#This Row],[Paired WTG Generation for loss calculation]]/24)*Table6[[#This Row],[Breakdown Time]]</f>
        <v>1099.0263888888901</v>
      </c>
      <c r="AB509" s="102"/>
      <c r="AC509" s="35"/>
      <c r="AD509" s="35"/>
    </row>
    <row r="510" spans="1:30">
      <c r="A510" s="102">
        <f t="shared" si="8"/>
        <v>509</v>
      </c>
      <c r="B510" s="468">
        <f>YEAR(Table6[[#This Row],[Date]])+IF(MONTH(Table6[[#This Row],[Date]])&gt;=4,1,0)</f>
        <v>2026</v>
      </c>
      <c r="C510" s="102">
        <f>YEAR(Table6[[#This Row],[Date]])</f>
        <v>2025</v>
      </c>
      <c r="D510" s="102" t="s">
        <v>1992</v>
      </c>
      <c r="E510" s="469">
        <f>Table6[[#This Row],[Date]]-DAY(Table6[[#This Row],[Date]])+1</f>
        <v>45778</v>
      </c>
      <c r="F510" s="470">
        <v>45778</v>
      </c>
      <c r="G510" s="35" t="s">
        <v>92</v>
      </c>
      <c r="H510" s="35" t="str">
        <f>IFERROR(_xlfn.XLOOKUP(Table6[[#This Row],[Affected WTG]],'Basic Data'!$A:$A,'Basic Data'!$B:$B),"")</f>
        <v>TQGXIIPL</v>
      </c>
      <c r="I510" s="35" t="str">
        <f>IFERROR(_xlfn.XLOOKUP(Table6[[#This Row],[Affected WTG]],'Basic Data'!$A:$A,'Basic Data'!$C:$C),"")</f>
        <v>GEDA</v>
      </c>
      <c r="J510" s="471">
        <f>IFERROR(_xlfn.XLOOKUP(Table6[[#This Row],[Affected WTG]],'Basic Data'!$A:$A,'Basic Data'!$E:$E),"")</f>
        <v>3.846153846153845E-2</v>
      </c>
      <c r="K510" s="102">
        <v>6605</v>
      </c>
      <c r="L510" s="35" t="str">
        <f>IFERROR(_xlfn.XLOOKUP(Table6[[#This Row],[Error Code]],'Basic Data'!$AA:$AA,'Basic Data'!$AB:$AB),"Incorrect Error Code")</f>
        <v>Wind.dir. diff. level 2</v>
      </c>
      <c r="M510" s="35" t="s">
        <v>291</v>
      </c>
      <c r="N510" s="475"/>
      <c r="O510" s="476">
        <v>0.57222222222222219</v>
      </c>
      <c r="P510" s="476">
        <v>0.57222222222222219</v>
      </c>
      <c r="Q510" s="477">
        <v>0.5756944444444444</v>
      </c>
      <c r="R510" s="472">
        <f>IF(Table6[[#This Row],[Work Start TimeStamp]]="","",(Table6[[#This Row],[Work Start TimeStamp]]-Table6[[#This Row],[Fault Start TimeStamp]])*24)</f>
        <v>0</v>
      </c>
      <c r="S510" s="472">
        <f>(Table6[[#This Row],[Fault Clearance time]]-Table6[[#This Row],[Work Start TimeStamp]])*24</f>
        <v>8.3333333333333037E-2</v>
      </c>
      <c r="T510" s="472">
        <f>(Table6[[#This Row],[Fault Clearance time]]-Table6[[#This Row],[Fault Start TimeStamp]])*24</f>
        <v>8.3333333333333037E-2</v>
      </c>
      <c r="U510" s="35" t="s">
        <v>349</v>
      </c>
      <c r="V510" s="102" t="s">
        <v>293</v>
      </c>
      <c r="W510" s="478">
        <f>IFERROR(Table6[[#This Row],[Breakdown Time]]*Table6[[#This Row],[Plant Equivalent Weightage]],"")</f>
        <v>3.2051282051281929E-3</v>
      </c>
      <c r="X510" s="473" t="s">
        <v>294</v>
      </c>
      <c r="Y510" s="474" t="s">
        <v>80</v>
      </c>
      <c r="Z510" s="102">
        <v>45834</v>
      </c>
      <c r="AA510" s="468">
        <f>(Table6[[#This Row],[Paired WTG Generation for loss calculation]]/24)*Table6[[#This Row],[Breakdown Time]]</f>
        <v>159.14583333333277</v>
      </c>
      <c r="AB510" s="102"/>
      <c r="AC510" s="35"/>
      <c r="AD510" s="35"/>
    </row>
    <row r="511" spans="1:30">
      <c r="A511" s="102">
        <f t="shared" si="8"/>
        <v>510</v>
      </c>
      <c r="B511" s="468">
        <f>YEAR(Table6[[#This Row],[Date]])+IF(MONTH(Table6[[#This Row],[Date]])&gt;=4,1,0)</f>
        <v>2026</v>
      </c>
      <c r="C511" s="102">
        <f>YEAR(Table6[[#This Row],[Date]])</f>
        <v>2025</v>
      </c>
      <c r="D511" s="102" t="s">
        <v>1992</v>
      </c>
      <c r="E511" s="469">
        <f>Table6[[#This Row],[Date]]-DAY(Table6[[#This Row],[Date]])+1</f>
        <v>45778</v>
      </c>
      <c r="F511" s="470">
        <v>45778</v>
      </c>
      <c r="G511" s="35" t="s">
        <v>92</v>
      </c>
      <c r="H511" s="35" t="str">
        <f>IFERROR(_xlfn.XLOOKUP(Table6[[#This Row],[Affected WTG]],'Basic Data'!$A:$A,'Basic Data'!$B:$B),"")</f>
        <v>TQGXIIPL</v>
      </c>
      <c r="I511" s="35" t="str">
        <f>IFERROR(_xlfn.XLOOKUP(Table6[[#This Row],[Affected WTG]],'Basic Data'!$A:$A,'Basic Data'!$C:$C),"")</f>
        <v>GEDA</v>
      </c>
      <c r="J511" s="471">
        <f>IFERROR(_xlfn.XLOOKUP(Table6[[#This Row],[Affected WTG]],'Basic Data'!$A:$A,'Basic Data'!$E:$E),"")</f>
        <v>3.846153846153845E-2</v>
      </c>
      <c r="K511" s="102">
        <v>1700</v>
      </c>
      <c r="L511" s="35" t="str">
        <f>IFERROR(_xlfn.XLOOKUP(Table6[[#This Row],[Error Code]],'Basic Data'!$AA:$AA,'Basic Data'!$AB:$AB),"Incorrect Error Code")</f>
        <v>High temp. gear bearing 1</v>
      </c>
      <c r="M511" s="35" t="s">
        <v>291</v>
      </c>
      <c r="N511" s="475"/>
      <c r="O511" s="476">
        <v>0.71319444444444446</v>
      </c>
      <c r="P511" s="476">
        <v>0.71319444444444446</v>
      </c>
      <c r="Q511" s="477">
        <v>0.72916666666666663</v>
      </c>
      <c r="R511" s="472">
        <f>IF(Table6[[#This Row],[Work Start TimeStamp]]="","",(Table6[[#This Row],[Work Start TimeStamp]]-Table6[[#This Row],[Fault Start TimeStamp]])*24)</f>
        <v>0</v>
      </c>
      <c r="S511" s="472">
        <f>(Table6[[#This Row],[Fault Clearance time]]-Table6[[#This Row],[Work Start TimeStamp]])*24</f>
        <v>0.38333333333333197</v>
      </c>
      <c r="T511" s="472">
        <f>(Table6[[#This Row],[Fault Clearance time]]-Table6[[#This Row],[Fault Start TimeStamp]])*24</f>
        <v>0.38333333333333197</v>
      </c>
      <c r="U511" s="35" t="s">
        <v>382</v>
      </c>
      <c r="V511" s="102" t="s">
        <v>293</v>
      </c>
      <c r="W511" s="478">
        <f>IFERROR(Table6[[#This Row],[Breakdown Time]]*Table6[[#This Row],[Plant Equivalent Weightage]],"")</f>
        <v>1.4743589743589686E-2</v>
      </c>
      <c r="X511" s="473" t="s">
        <v>294</v>
      </c>
      <c r="Y511" s="474" t="s">
        <v>80</v>
      </c>
      <c r="Z511" s="102">
        <v>45834</v>
      </c>
      <c r="AA511" s="468">
        <f>(Table6[[#This Row],[Paired WTG Generation for loss calculation]]/24)*Table6[[#This Row],[Breakdown Time]]</f>
        <v>732.07083333333071</v>
      </c>
      <c r="AB511" s="102"/>
      <c r="AC511" s="35"/>
      <c r="AD511" s="35"/>
    </row>
    <row r="512" spans="1:30">
      <c r="A512" s="102">
        <f t="shared" si="8"/>
        <v>511</v>
      </c>
      <c r="B512" s="468">
        <f>YEAR(Table6[[#This Row],[Date]])+IF(MONTH(Table6[[#This Row],[Date]])&gt;=4,1,0)</f>
        <v>2026</v>
      </c>
      <c r="C512" s="102">
        <f>YEAR(Table6[[#This Row],[Date]])</f>
        <v>2025</v>
      </c>
      <c r="D512" s="102" t="s">
        <v>1992</v>
      </c>
      <c r="E512" s="469">
        <f>Table6[[#This Row],[Date]]-DAY(Table6[[#This Row],[Date]])+1</f>
        <v>45778</v>
      </c>
      <c r="F512" s="470">
        <v>45778</v>
      </c>
      <c r="G512" s="35" t="s">
        <v>92</v>
      </c>
      <c r="H512" s="35" t="str">
        <f>IFERROR(_xlfn.XLOOKUP(Table6[[#This Row],[Affected WTG]],'Basic Data'!$A:$A,'Basic Data'!$B:$B),"")</f>
        <v>TQGXIIPL</v>
      </c>
      <c r="I512" s="35" t="str">
        <f>IFERROR(_xlfn.XLOOKUP(Table6[[#This Row],[Affected WTG]],'Basic Data'!$A:$A,'Basic Data'!$C:$C),"")</f>
        <v>GEDA</v>
      </c>
      <c r="J512" s="471">
        <f>IFERROR(_xlfn.XLOOKUP(Table6[[#This Row],[Affected WTG]],'Basic Data'!$A:$A,'Basic Data'!$E:$E),"")</f>
        <v>3.846153846153845E-2</v>
      </c>
      <c r="K512" s="102">
        <v>1700</v>
      </c>
      <c r="L512" s="35" t="str">
        <f>IFERROR(_xlfn.XLOOKUP(Table6[[#This Row],[Error Code]],'Basic Data'!$AA:$AA,'Basic Data'!$AB:$AB),"Incorrect Error Code")</f>
        <v>High temp. gear bearing 1</v>
      </c>
      <c r="M512" s="35" t="s">
        <v>291</v>
      </c>
      <c r="N512" s="475"/>
      <c r="O512" s="476">
        <v>0.82430555555555551</v>
      </c>
      <c r="P512" s="476">
        <v>0.82430555555555551</v>
      </c>
      <c r="Q512" s="477">
        <v>0.84444444444444444</v>
      </c>
      <c r="R512" s="472">
        <f>IF(Table6[[#This Row],[Work Start TimeStamp]]="","",(Table6[[#This Row],[Work Start TimeStamp]]-Table6[[#This Row],[Fault Start TimeStamp]])*24)</f>
        <v>0</v>
      </c>
      <c r="S512" s="472">
        <f>(Table6[[#This Row],[Fault Clearance time]]-Table6[[#This Row],[Work Start TimeStamp]])*24</f>
        <v>0.48333333333333428</v>
      </c>
      <c r="T512" s="472">
        <f>(Table6[[#This Row],[Fault Clearance time]]-Table6[[#This Row],[Fault Start TimeStamp]])*24</f>
        <v>0.48333333333333428</v>
      </c>
      <c r="U512" s="35" t="s">
        <v>382</v>
      </c>
      <c r="V512" s="102" t="s">
        <v>293</v>
      </c>
      <c r="W512" s="478">
        <f>IFERROR(Table6[[#This Row],[Breakdown Time]]*Table6[[#This Row],[Plant Equivalent Weightage]],"")</f>
        <v>1.8589743589743621E-2</v>
      </c>
      <c r="X512" s="473" t="s">
        <v>294</v>
      </c>
      <c r="Y512" s="474" t="s">
        <v>80</v>
      </c>
      <c r="Z512" s="102">
        <v>45834</v>
      </c>
      <c r="AA512" s="468">
        <f>(Table6[[#This Row],[Paired WTG Generation for loss calculation]]/24)*Table6[[#This Row],[Breakdown Time]]</f>
        <v>923.04583333333517</v>
      </c>
      <c r="AB512" s="102"/>
      <c r="AC512" s="35"/>
      <c r="AD512" s="35"/>
    </row>
    <row r="513" spans="1:30">
      <c r="A513" s="102">
        <f t="shared" si="8"/>
        <v>512</v>
      </c>
      <c r="B513" s="468">
        <f>YEAR(Table6[[#This Row],[Date]])+IF(MONTH(Table6[[#This Row],[Date]])&gt;=4,1,0)</f>
        <v>2026</v>
      </c>
      <c r="C513" s="102">
        <f>YEAR(Table6[[#This Row],[Date]])</f>
        <v>2025</v>
      </c>
      <c r="D513" s="102" t="s">
        <v>1992</v>
      </c>
      <c r="E513" s="469">
        <f>Table6[[#This Row],[Date]]-DAY(Table6[[#This Row],[Date]])+1</f>
        <v>45778</v>
      </c>
      <c r="F513" s="470">
        <v>45778</v>
      </c>
      <c r="G513" s="35" t="s">
        <v>93</v>
      </c>
      <c r="H513" s="35" t="str">
        <f>IFERROR(_xlfn.XLOOKUP(Table6[[#This Row],[Affected WTG]],'Basic Data'!$A:$A,'Basic Data'!$B:$B),"")</f>
        <v>TQGXIIPL</v>
      </c>
      <c r="I513" s="35" t="str">
        <f>IFERROR(_xlfn.XLOOKUP(Table6[[#This Row],[Affected WTG]],'Basic Data'!$A:$A,'Basic Data'!$C:$C),"")</f>
        <v>GEDA</v>
      </c>
      <c r="J513" s="471">
        <f>IFERROR(_xlfn.XLOOKUP(Table6[[#This Row],[Affected WTG]],'Basic Data'!$A:$A,'Basic Data'!$E:$E),"")</f>
        <v>3.846153846153845E-2</v>
      </c>
      <c r="K513" s="102">
        <v>6130</v>
      </c>
      <c r="L513" s="35" t="str">
        <f>IFERROR(_xlfn.XLOOKUP(Table6[[#This Row],[Error Code]],'Basic Data'!$AA:$AA,'Basic Data'!$AB:$AB),"Incorrect Error Code")</f>
        <v>Yaw speed high</v>
      </c>
      <c r="M513" s="35" t="s">
        <v>292</v>
      </c>
      <c r="N513" s="475"/>
      <c r="O513" s="476">
        <v>0.53402777777777777</v>
      </c>
      <c r="P513" s="476">
        <v>0.53402777777777777</v>
      </c>
      <c r="Q513" s="477">
        <v>0.53819444444444442</v>
      </c>
      <c r="R513" s="472">
        <f>IF(Table6[[#This Row],[Work Start TimeStamp]]="","",(Table6[[#This Row],[Work Start TimeStamp]]-Table6[[#This Row],[Fault Start TimeStamp]])*24)</f>
        <v>0</v>
      </c>
      <c r="S513" s="472">
        <f>(Table6[[#This Row],[Fault Clearance time]]-Table6[[#This Row],[Work Start TimeStamp]])*24</f>
        <v>9.9999999999999645E-2</v>
      </c>
      <c r="T513" s="472">
        <f>(Table6[[#This Row],[Fault Clearance time]]-Table6[[#This Row],[Fault Start TimeStamp]])*24</f>
        <v>9.9999999999999645E-2</v>
      </c>
      <c r="U513" s="35" t="s">
        <v>336</v>
      </c>
      <c r="V513" s="102" t="s">
        <v>293</v>
      </c>
      <c r="W513" s="478">
        <f>IFERROR(Table6[[#This Row],[Breakdown Time]]*Table6[[#This Row],[Plant Equivalent Weightage]],"")</f>
        <v>3.8461538461538312E-3</v>
      </c>
      <c r="X513" s="473" t="s">
        <v>294</v>
      </c>
      <c r="Y513" s="474" t="s">
        <v>97</v>
      </c>
      <c r="Z513" s="102">
        <v>41385</v>
      </c>
      <c r="AA513" s="468">
        <f>(Table6[[#This Row],[Paired WTG Generation for loss calculation]]/24)*Table6[[#This Row],[Breakdown Time]]</f>
        <v>172.43749999999937</v>
      </c>
      <c r="AB513" s="102"/>
      <c r="AC513" s="35"/>
      <c r="AD513" s="35"/>
    </row>
    <row r="514" spans="1:30">
      <c r="A514" s="102">
        <f t="shared" si="8"/>
        <v>513</v>
      </c>
      <c r="B514" s="468">
        <f>YEAR(Table6[[#This Row],[Date]])+IF(MONTH(Table6[[#This Row],[Date]])&gt;=4,1,0)</f>
        <v>2026</v>
      </c>
      <c r="C514" s="102">
        <f>YEAR(Table6[[#This Row],[Date]])</f>
        <v>2025</v>
      </c>
      <c r="D514" s="102" t="s">
        <v>1992</v>
      </c>
      <c r="E514" s="469">
        <f>Table6[[#This Row],[Date]]-DAY(Table6[[#This Row],[Date]])+1</f>
        <v>45778</v>
      </c>
      <c r="F514" s="470">
        <v>45778</v>
      </c>
      <c r="G514" s="35" t="s">
        <v>93</v>
      </c>
      <c r="H514" s="35" t="str">
        <f>IFERROR(_xlfn.XLOOKUP(Table6[[#This Row],[Affected WTG]],'Basic Data'!$A:$A,'Basic Data'!$B:$B),"")</f>
        <v>TQGXIIPL</v>
      </c>
      <c r="I514" s="35" t="str">
        <f>IFERROR(_xlfn.XLOOKUP(Table6[[#This Row],[Affected WTG]],'Basic Data'!$A:$A,'Basic Data'!$C:$C),"")</f>
        <v>GEDA</v>
      </c>
      <c r="J514" s="471">
        <f>IFERROR(_xlfn.XLOOKUP(Table6[[#This Row],[Affected WTG]],'Basic Data'!$A:$A,'Basic Data'!$E:$E),"")</f>
        <v>3.846153846153845E-2</v>
      </c>
      <c r="K514" s="102">
        <v>6130</v>
      </c>
      <c r="L514" s="35" t="str">
        <f>IFERROR(_xlfn.XLOOKUP(Table6[[#This Row],[Error Code]],'Basic Data'!$AA:$AA,'Basic Data'!$AB:$AB),"Incorrect Error Code")</f>
        <v>Yaw speed high</v>
      </c>
      <c r="M514" s="35" t="s">
        <v>291</v>
      </c>
      <c r="N514" s="475"/>
      <c r="O514" s="476">
        <v>0.58888888888888891</v>
      </c>
      <c r="P514" s="476">
        <v>0.58888888888888891</v>
      </c>
      <c r="Q514" s="477">
        <v>0.59791666666666665</v>
      </c>
      <c r="R514" s="472">
        <f>IF(Table6[[#This Row],[Work Start TimeStamp]]="","",(Table6[[#This Row],[Work Start TimeStamp]]-Table6[[#This Row],[Fault Start TimeStamp]])*24)</f>
        <v>0</v>
      </c>
      <c r="S514" s="472">
        <f>(Table6[[#This Row],[Fault Clearance time]]-Table6[[#This Row],[Work Start TimeStamp]])*24</f>
        <v>0.2166666666666659</v>
      </c>
      <c r="T514" s="472">
        <f>(Table6[[#This Row],[Fault Clearance time]]-Table6[[#This Row],[Fault Start TimeStamp]])*24</f>
        <v>0.2166666666666659</v>
      </c>
      <c r="U514" s="35" t="s">
        <v>349</v>
      </c>
      <c r="V514" s="102" t="s">
        <v>293</v>
      </c>
      <c r="W514" s="478">
        <f>IFERROR(Table6[[#This Row],[Breakdown Time]]*Table6[[#This Row],[Plant Equivalent Weightage]],"")</f>
        <v>8.333333333333302E-3</v>
      </c>
      <c r="X514" s="473" t="s">
        <v>294</v>
      </c>
      <c r="Y514" s="474" t="s">
        <v>97</v>
      </c>
      <c r="Z514" s="102">
        <v>41385</v>
      </c>
      <c r="AA514" s="468">
        <f>(Table6[[#This Row],[Paired WTG Generation for loss calculation]]/24)*Table6[[#This Row],[Breakdown Time]]</f>
        <v>373.61458333333201</v>
      </c>
      <c r="AB514" s="102"/>
      <c r="AC514" s="35"/>
      <c r="AD514" s="35"/>
    </row>
    <row r="515" spans="1:30">
      <c r="A515" s="102">
        <f t="shared" si="8"/>
        <v>514</v>
      </c>
      <c r="B515" s="468">
        <f>YEAR(Table6[[#This Row],[Date]])+IF(MONTH(Table6[[#This Row],[Date]])&gt;=4,1,0)</f>
        <v>2026</v>
      </c>
      <c r="C515" s="102">
        <f>YEAR(Table6[[#This Row],[Date]])</f>
        <v>2025</v>
      </c>
      <c r="D515" s="102" t="s">
        <v>1992</v>
      </c>
      <c r="E515" s="469">
        <f>Table6[[#This Row],[Date]]-DAY(Table6[[#This Row],[Date]])+1</f>
        <v>45778</v>
      </c>
      <c r="F515" s="470">
        <v>45778</v>
      </c>
      <c r="G515" s="35" t="s">
        <v>94</v>
      </c>
      <c r="H515" s="35" t="str">
        <f>IFERROR(_xlfn.XLOOKUP(Table6[[#This Row],[Affected WTG]],'Basic Data'!$A:$A,'Basic Data'!$B:$B),"")</f>
        <v>TQGXIIPL</v>
      </c>
      <c r="I515" s="35" t="str">
        <f>IFERROR(_xlfn.XLOOKUP(Table6[[#This Row],[Affected WTG]],'Basic Data'!$A:$A,'Basic Data'!$C:$C),"")</f>
        <v>GEDA</v>
      </c>
      <c r="J515" s="471">
        <f>IFERROR(_xlfn.XLOOKUP(Table6[[#This Row],[Affected WTG]],'Basic Data'!$A:$A,'Basic Data'!$E:$E),"")</f>
        <v>3.846153846153845E-2</v>
      </c>
      <c r="K515" s="102">
        <v>6130</v>
      </c>
      <c r="L515" s="35" t="str">
        <f>IFERROR(_xlfn.XLOOKUP(Table6[[#This Row],[Error Code]],'Basic Data'!$AA:$AA,'Basic Data'!$AB:$AB),"Incorrect Error Code")</f>
        <v>Yaw speed high</v>
      </c>
      <c r="M515" s="35" t="s">
        <v>292</v>
      </c>
      <c r="N515" s="475"/>
      <c r="O515" s="476">
        <v>0.31319444444444444</v>
      </c>
      <c r="P515" s="476">
        <v>0.31319444444444444</v>
      </c>
      <c r="Q515" s="477">
        <v>0.31736111111111109</v>
      </c>
      <c r="R515" s="472">
        <f>IF(Table6[[#This Row],[Work Start TimeStamp]]="","",(Table6[[#This Row],[Work Start TimeStamp]]-Table6[[#This Row],[Fault Start TimeStamp]])*24)</f>
        <v>0</v>
      </c>
      <c r="S515" s="472">
        <f>(Table6[[#This Row],[Fault Clearance time]]-Table6[[#This Row],[Work Start TimeStamp]])*24</f>
        <v>9.9999999999999645E-2</v>
      </c>
      <c r="T515" s="472">
        <f>(Table6[[#This Row],[Fault Clearance time]]-Table6[[#This Row],[Fault Start TimeStamp]])*24</f>
        <v>9.9999999999999645E-2</v>
      </c>
      <c r="U515" s="35" t="s">
        <v>336</v>
      </c>
      <c r="V515" s="102" t="s">
        <v>293</v>
      </c>
      <c r="W515" s="478">
        <f>IFERROR(Table6[[#This Row],[Breakdown Time]]*Table6[[#This Row],[Plant Equivalent Weightage]],"")</f>
        <v>3.8461538461538312E-3</v>
      </c>
      <c r="X515" s="473" t="s">
        <v>294</v>
      </c>
      <c r="Y515" s="474" t="s">
        <v>79</v>
      </c>
      <c r="Z515" s="102">
        <v>46547</v>
      </c>
      <c r="AA515" s="468">
        <f>(Table6[[#This Row],[Paired WTG Generation for loss calculation]]/24)*Table6[[#This Row],[Breakdown Time]]</f>
        <v>193.94583333333264</v>
      </c>
      <c r="AB515" s="102"/>
      <c r="AC515" s="35"/>
      <c r="AD515" s="35"/>
    </row>
    <row r="516" spans="1:30">
      <c r="A516" s="102">
        <f t="shared" si="8"/>
        <v>515</v>
      </c>
      <c r="B516" s="468">
        <f>YEAR(Table6[[#This Row],[Date]])+IF(MONTH(Table6[[#This Row],[Date]])&gt;=4,1,0)</f>
        <v>2026</v>
      </c>
      <c r="C516" s="102">
        <f>YEAR(Table6[[#This Row],[Date]])</f>
        <v>2025</v>
      </c>
      <c r="D516" s="102" t="s">
        <v>1992</v>
      </c>
      <c r="E516" s="469">
        <f>Table6[[#This Row],[Date]]-DAY(Table6[[#This Row],[Date]])+1</f>
        <v>45778</v>
      </c>
      <c r="F516" s="470">
        <v>45778</v>
      </c>
      <c r="G516" s="35" t="s">
        <v>96</v>
      </c>
      <c r="H516" s="35" t="str">
        <f>IFERROR(_xlfn.XLOOKUP(Table6[[#This Row],[Affected WTG]],'Basic Data'!$A:$A,'Basic Data'!$B:$B),"")</f>
        <v>TQGXIIPL</v>
      </c>
      <c r="I516" s="35" t="str">
        <f>IFERROR(_xlfn.XLOOKUP(Table6[[#This Row],[Affected WTG]],'Basic Data'!$A:$A,'Basic Data'!$C:$C),"")</f>
        <v>GEDA</v>
      </c>
      <c r="J516" s="471">
        <f>IFERROR(_xlfn.XLOOKUP(Table6[[#This Row],[Affected WTG]],'Basic Data'!$A:$A,'Basic Data'!$E:$E),"")</f>
        <v>3.846153846153845E-2</v>
      </c>
      <c r="K516" s="102">
        <v>6130</v>
      </c>
      <c r="L516" s="35" t="str">
        <f>IFERROR(_xlfn.XLOOKUP(Table6[[#This Row],[Error Code]],'Basic Data'!$AA:$AA,'Basic Data'!$AB:$AB),"Incorrect Error Code")</f>
        <v>Yaw speed high</v>
      </c>
      <c r="M516" s="35" t="s">
        <v>292</v>
      </c>
      <c r="N516" s="475"/>
      <c r="O516" s="476">
        <v>0.44236111111111109</v>
      </c>
      <c r="P516" s="476">
        <v>0.44236111111111109</v>
      </c>
      <c r="Q516" s="477">
        <v>0.4465277777777778</v>
      </c>
      <c r="R516" s="472">
        <f>IF(Table6[[#This Row],[Work Start TimeStamp]]="","",(Table6[[#This Row],[Work Start TimeStamp]]-Table6[[#This Row],[Fault Start TimeStamp]])*24)</f>
        <v>0</v>
      </c>
      <c r="S516" s="472">
        <f>(Table6[[#This Row],[Fault Clearance time]]-Table6[[#This Row],[Work Start TimeStamp]])*24</f>
        <v>0.10000000000000098</v>
      </c>
      <c r="T516" s="472">
        <f>(Table6[[#This Row],[Fault Clearance time]]-Table6[[#This Row],[Fault Start TimeStamp]])*24</f>
        <v>0.10000000000000098</v>
      </c>
      <c r="U516" s="35" t="s">
        <v>336</v>
      </c>
      <c r="V516" s="102" t="s">
        <v>293</v>
      </c>
      <c r="W516" s="478">
        <f>IFERROR(Table6[[#This Row],[Breakdown Time]]*Table6[[#This Row],[Plant Equivalent Weightage]],"")</f>
        <v>3.8461538461538824E-3</v>
      </c>
      <c r="X516" s="473" t="s">
        <v>294</v>
      </c>
      <c r="Y516" s="474" t="s">
        <v>84</v>
      </c>
      <c r="Z516" s="102">
        <v>40516</v>
      </c>
      <c r="AA516" s="468">
        <f>(Table6[[#This Row],[Paired WTG Generation for loss calculation]]/24)*Table6[[#This Row],[Breakdown Time]]</f>
        <v>168.81666666666831</v>
      </c>
      <c r="AB516" s="102"/>
      <c r="AC516" s="35"/>
      <c r="AD516" s="35"/>
    </row>
    <row r="517" spans="1:30">
      <c r="A517" s="102">
        <f t="shared" si="8"/>
        <v>516</v>
      </c>
      <c r="B517" s="468">
        <f>YEAR(Table6[[#This Row],[Date]])+IF(MONTH(Table6[[#This Row],[Date]])&gt;=4,1,0)</f>
        <v>2026</v>
      </c>
      <c r="C517" s="102">
        <f>YEAR(Table6[[#This Row],[Date]])</f>
        <v>2025</v>
      </c>
      <c r="D517" s="102" t="s">
        <v>1992</v>
      </c>
      <c r="E517" s="469">
        <f>Table6[[#This Row],[Date]]-DAY(Table6[[#This Row],[Date]])+1</f>
        <v>45778</v>
      </c>
      <c r="F517" s="470">
        <v>45778</v>
      </c>
      <c r="G517" s="35" t="s">
        <v>97</v>
      </c>
      <c r="H517" s="35" t="str">
        <f>IFERROR(_xlfn.XLOOKUP(Table6[[#This Row],[Affected WTG]],'Basic Data'!$A:$A,'Basic Data'!$B:$B),"")</f>
        <v>TQGXIIPL</v>
      </c>
      <c r="I517" s="35" t="str">
        <f>IFERROR(_xlfn.XLOOKUP(Table6[[#This Row],[Affected WTG]],'Basic Data'!$A:$A,'Basic Data'!$C:$C),"")</f>
        <v>GEDA</v>
      </c>
      <c r="J517" s="471">
        <f>IFERROR(_xlfn.XLOOKUP(Table6[[#This Row],[Affected WTG]],'Basic Data'!$A:$A,'Basic Data'!$E:$E),"")</f>
        <v>3.846153846153845E-2</v>
      </c>
      <c r="K517" s="102">
        <v>55</v>
      </c>
      <c r="L517" s="35" t="str">
        <f>IFERROR(_xlfn.XLOOKUP(Table6[[#This Row],[Error Code]],'Basic Data'!$AA:$AA,'Basic Data'!$AB:$AB),"Incorrect Error Code")</f>
        <v>WTG shut down</v>
      </c>
      <c r="M517" s="35" t="s">
        <v>291</v>
      </c>
      <c r="N517" s="475"/>
      <c r="O517" s="476">
        <v>0.64722222222222225</v>
      </c>
      <c r="P517" s="476">
        <v>0.64722222222222225</v>
      </c>
      <c r="Q517" s="477">
        <v>0.68611111111111112</v>
      </c>
      <c r="R517" s="472">
        <f>IF(Table6[[#This Row],[Work Start TimeStamp]]="","",(Table6[[#This Row],[Work Start TimeStamp]]-Table6[[#This Row],[Fault Start TimeStamp]])*24)</f>
        <v>0</v>
      </c>
      <c r="S517" s="472">
        <f>(Table6[[#This Row],[Fault Clearance time]]-Table6[[#This Row],[Work Start TimeStamp]])*24</f>
        <v>0.93333333333333268</v>
      </c>
      <c r="T517" s="472">
        <f>(Table6[[#This Row],[Fault Clearance time]]-Table6[[#This Row],[Fault Start TimeStamp]])*24</f>
        <v>0.93333333333333268</v>
      </c>
      <c r="U517" s="35" t="s">
        <v>1719</v>
      </c>
      <c r="V517" s="102" t="s">
        <v>293</v>
      </c>
      <c r="W517" s="478">
        <f>IFERROR(Table6[[#This Row],[Breakdown Time]]*Table6[[#This Row],[Plant Equivalent Weightage]],"")</f>
        <v>3.589743589743586E-2</v>
      </c>
      <c r="X517" s="473" t="s">
        <v>290</v>
      </c>
      <c r="Y517" s="474" t="s">
        <v>93</v>
      </c>
      <c r="Z517" s="102">
        <v>43931</v>
      </c>
      <c r="AA517" s="468">
        <f>(Table6[[#This Row],[Paired WTG Generation for loss calculation]]/24)*Table6[[#This Row],[Breakdown Time]]</f>
        <v>1708.4277777777766</v>
      </c>
      <c r="AB517" s="102"/>
      <c r="AC517" s="35"/>
      <c r="AD517" s="35"/>
    </row>
    <row r="518" spans="1:30">
      <c r="A518" s="102">
        <f t="shared" si="8"/>
        <v>517</v>
      </c>
      <c r="B518" s="468">
        <f>YEAR(Table6[[#This Row],[Date]])+IF(MONTH(Table6[[#This Row],[Date]])&gt;=4,1,0)</f>
        <v>2026</v>
      </c>
      <c r="C518" s="102">
        <f>YEAR(Table6[[#This Row],[Date]])</f>
        <v>2025</v>
      </c>
      <c r="D518" s="102" t="s">
        <v>1992</v>
      </c>
      <c r="E518" s="469">
        <f>Table6[[#This Row],[Date]]-DAY(Table6[[#This Row],[Date]])+1</f>
        <v>45778</v>
      </c>
      <c r="F518" s="470">
        <v>45779</v>
      </c>
      <c r="G518" s="35" t="s">
        <v>77</v>
      </c>
      <c r="H518" s="35" t="str">
        <f>IFERROR(_xlfn.XLOOKUP(Table6[[#This Row],[Affected WTG]],'Basic Data'!$A:$A,'Basic Data'!$B:$B),"")</f>
        <v>TQGXIIPL</v>
      </c>
      <c r="I518" s="35" t="str">
        <f>IFERROR(_xlfn.XLOOKUP(Table6[[#This Row],[Affected WTG]],'Basic Data'!$A:$A,'Basic Data'!$C:$C),"")</f>
        <v>GEDA</v>
      </c>
      <c r="J518" s="471">
        <f>IFERROR(_xlfn.XLOOKUP(Table6[[#This Row],[Affected WTG]],'Basic Data'!$A:$A,'Basic Data'!$E:$E),"")</f>
        <v>3.846153846153845E-2</v>
      </c>
      <c r="K518" s="102">
        <v>6130</v>
      </c>
      <c r="L518" s="35" t="str">
        <f>IFERROR(_xlfn.XLOOKUP(Table6[[#This Row],[Error Code]],'Basic Data'!$AA:$AA,'Basic Data'!$AB:$AB),"Incorrect Error Code")</f>
        <v>Yaw speed high</v>
      </c>
      <c r="M518" s="35" t="s">
        <v>292</v>
      </c>
      <c r="N518" s="475"/>
      <c r="O518" s="476">
        <v>0.68055555555555558</v>
      </c>
      <c r="P518" s="476">
        <v>0.68055555555555558</v>
      </c>
      <c r="Q518" s="477">
        <v>0.68472222222222223</v>
      </c>
      <c r="R518" s="472">
        <f>IF(Table6[[#This Row],[Work Start TimeStamp]]="","",(Table6[[#This Row],[Work Start TimeStamp]]-Table6[[#This Row],[Fault Start TimeStamp]])*24)</f>
        <v>0</v>
      </c>
      <c r="S518" s="472">
        <f>(Table6[[#This Row],[Fault Clearance time]]-Table6[[#This Row],[Work Start TimeStamp]])*24</f>
        <v>9.9999999999999645E-2</v>
      </c>
      <c r="T518" s="472">
        <f>(Table6[[#This Row],[Fault Clearance time]]-Table6[[#This Row],[Fault Start TimeStamp]])*24</f>
        <v>9.9999999999999645E-2</v>
      </c>
      <c r="U518" s="35" t="s">
        <v>336</v>
      </c>
      <c r="V518" s="102" t="s">
        <v>293</v>
      </c>
      <c r="W518" s="478">
        <f>IFERROR(Table6[[#This Row],[Breakdown Time]]*Table6[[#This Row],[Plant Equivalent Weightage]],"")</f>
        <v>3.8461538461538312E-3</v>
      </c>
      <c r="X518" s="473" t="s">
        <v>294</v>
      </c>
      <c r="Y518" s="474" t="s">
        <v>80</v>
      </c>
      <c r="Z518" s="102">
        <v>26581</v>
      </c>
      <c r="AA518" s="468">
        <f>(Table6[[#This Row],[Paired WTG Generation for loss calculation]]/24)*Table6[[#This Row],[Breakdown Time]]</f>
        <v>110.75416666666628</v>
      </c>
      <c r="AB518" s="102"/>
      <c r="AC518" s="35"/>
      <c r="AD518" s="35"/>
    </row>
    <row r="519" spans="1:30">
      <c r="A519" s="102">
        <f t="shared" si="8"/>
        <v>518</v>
      </c>
      <c r="B519" s="468">
        <f>YEAR(Table6[[#This Row],[Date]])+IF(MONTH(Table6[[#This Row],[Date]])&gt;=4,1,0)</f>
        <v>2026</v>
      </c>
      <c r="C519" s="102">
        <f>YEAR(Table6[[#This Row],[Date]])</f>
        <v>2025</v>
      </c>
      <c r="D519" s="102" t="s">
        <v>1992</v>
      </c>
      <c r="E519" s="469">
        <f>Table6[[#This Row],[Date]]-DAY(Table6[[#This Row],[Date]])+1</f>
        <v>45778</v>
      </c>
      <c r="F519" s="470">
        <v>45779</v>
      </c>
      <c r="G519" s="35" t="s">
        <v>81</v>
      </c>
      <c r="H519" s="35" t="str">
        <f>IFERROR(_xlfn.XLOOKUP(Table6[[#This Row],[Affected WTG]],'Basic Data'!$A:$A,'Basic Data'!$B:$B),"")</f>
        <v>TQGXIIPL</v>
      </c>
      <c r="I519" s="35" t="str">
        <f>IFERROR(_xlfn.XLOOKUP(Table6[[#This Row],[Affected WTG]],'Basic Data'!$A:$A,'Basic Data'!$C:$C),"")</f>
        <v>GEDA</v>
      </c>
      <c r="J519" s="471">
        <f>IFERROR(_xlfn.XLOOKUP(Table6[[#This Row],[Affected WTG]],'Basic Data'!$A:$A,'Basic Data'!$E:$E),"")</f>
        <v>3.846153846153845E-2</v>
      </c>
      <c r="K519" s="102">
        <v>58</v>
      </c>
      <c r="L519" s="35" t="str">
        <f>IFERROR(_xlfn.XLOOKUP(Table6[[#This Row],[Error Code]],'Basic Data'!$AA:$AA,'Basic Data'!$AB:$AB),"Incorrect Error Code")</f>
        <v>Wind dir.dev. level 2</v>
      </c>
      <c r="M519" s="35" t="s">
        <v>291</v>
      </c>
      <c r="N519" s="475"/>
      <c r="O519" s="476">
        <v>0.58680555555555558</v>
      </c>
      <c r="P519" s="476">
        <v>0.58680555555555558</v>
      </c>
      <c r="Q519" s="477">
        <v>0.58888888888888891</v>
      </c>
      <c r="R519" s="472">
        <f>IF(Table6[[#This Row],[Work Start TimeStamp]]="","",(Table6[[#This Row],[Work Start TimeStamp]]-Table6[[#This Row],[Fault Start TimeStamp]])*24)</f>
        <v>0</v>
      </c>
      <c r="S519" s="472">
        <f>(Table6[[#This Row],[Fault Clearance time]]-Table6[[#This Row],[Work Start TimeStamp]])*24</f>
        <v>4.9999999999999822E-2</v>
      </c>
      <c r="T519" s="472">
        <f>(Table6[[#This Row],[Fault Clearance time]]-Table6[[#This Row],[Fault Start TimeStamp]])*24</f>
        <v>4.9999999999999822E-2</v>
      </c>
      <c r="U519" s="35" t="s">
        <v>349</v>
      </c>
      <c r="V519" s="102" t="s">
        <v>293</v>
      </c>
      <c r="W519" s="478">
        <f>IFERROR(Table6[[#This Row],[Breakdown Time]]*Table6[[#This Row],[Plant Equivalent Weightage]],"")</f>
        <v>1.9230769230769156E-3</v>
      </c>
      <c r="X519" s="473" t="s">
        <v>294</v>
      </c>
      <c r="Y519" s="474" t="s">
        <v>99</v>
      </c>
      <c r="Z519" s="102">
        <v>25628</v>
      </c>
      <c r="AA519" s="468">
        <f>(Table6[[#This Row],[Paired WTG Generation for loss calculation]]/24)*Table6[[#This Row],[Breakdown Time]]</f>
        <v>53.391666666666474</v>
      </c>
      <c r="AB519" s="102"/>
      <c r="AC519" s="35"/>
      <c r="AD519" s="35"/>
    </row>
    <row r="520" spans="1:30">
      <c r="A520" s="102">
        <f t="shared" si="8"/>
        <v>519</v>
      </c>
      <c r="B520" s="468">
        <f>YEAR(Table6[[#This Row],[Date]])+IF(MONTH(Table6[[#This Row],[Date]])&gt;=4,1,0)</f>
        <v>2026</v>
      </c>
      <c r="C520" s="102">
        <f>YEAR(Table6[[#This Row],[Date]])</f>
        <v>2025</v>
      </c>
      <c r="D520" s="102" t="s">
        <v>1992</v>
      </c>
      <c r="E520" s="469">
        <f>Table6[[#This Row],[Date]]-DAY(Table6[[#This Row],[Date]])+1</f>
        <v>45778</v>
      </c>
      <c r="F520" s="470">
        <v>45779</v>
      </c>
      <c r="G520" s="35" t="s">
        <v>81</v>
      </c>
      <c r="H520" s="35" t="str">
        <f>IFERROR(_xlfn.XLOOKUP(Table6[[#This Row],[Affected WTG]],'Basic Data'!$A:$A,'Basic Data'!$B:$B),"")</f>
        <v>TQGXIIPL</v>
      </c>
      <c r="I520" s="35" t="str">
        <f>IFERROR(_xlfn.XLOOKUP(Table6[[#This Row],[Affected WTG]],'Basic Data'!$A:$A,'Basic Data'!$C:$C),"")</f>
        <v>GEDA</v>
      </c>
      <c r="J520" s="471">
        <f>IFERROR(_xlfn.XLOOKUP(Table6[[#This Row],[Affected WTG]],'Basic Data'!$A:$A,'Basic Data'!$E:$E),"")</f>
        <v>3.846153846153845E-2</v>
      </c>
      <c r="K520" s="102">
        <v>6130</v>
      </c>
      <c r="L520" s="35" t="str">
        <f>IFERROR(_xlfn.XLOOKUP(Table6[[#This Row],[Error Code]],'Basic Data'!$AA:$AA,'Basic Data'!$AB:$AB),"Incorrect Error Code")</f>
        <v>Yaw speed high</v>
      </c>
      <c r="M520" s="35" t="s">
        <v>292</v>
      </c>
      <c r="N520" s="475"/>
      <c r="O520" s="476">
        <v>0.56319444444444444</v>
      </c>
      <c r="P520" s="476">
        <v>0.56319444444444444</v>
      </c>
      <c r="Q520" s="477">
        <v>0.56736111111111109</v>
      </c>
      <c r="R520" s="472">
        <f>IF(Table6[[#This Row],[Work Start TimeStamp]]="","",(Table6[[#This Row],[Work Start TimeStamp]]-Table6[[#This Row],[Fault Start TimeStamp]])*24)</f>
        <v>0</v>
      </c>
      <c r="S520" s="472">
        <f>(Table6[[#This Row],[Fault Clearance time]]-Table6[[#This Row],[Work Start TimeStamp]])*24</f>
        <v>9.9999999999999645E-2</v>
      </c>
      <c r="T520" s="472">
        <f>(Table6[[#This Row],[Fault Clearance time]]-Table6[[#This Row],[Fault Start TimeStamp]])*24</f>
        <v>9.9999999999999645E-2</v>
      </c>
      <c r="U520" s="35" t="s">
        <v>336</v>
      </c>
      <c r="V520" s="102" t="s">
        <v>293</v>
      </c>
      <c r="W520" s="478">
        <f>IFERROR(Table6[[#This Row],[Breakdown Time]]*Table6[[#This Row],[Plant Equivalent Weightage]],"")</f>
        <v>3.8461538461538312E-3</v>
      </c>
      <c r="X520" s="473" t="s">
        <v>294</v>
      </c>
      <c r="Y520" s="474" t="s">
        <v>99</v>
      </c>
      <c r="Z520" s="102">
        <v>25628</v>
      </c>
      <c r="AA520" s="468">
        <f>(Table6[[#This Row],[Paired WTG Generation for loss calculation]]/24)*Table6[[#This Row],[Breakdown Time]]</f>
        <v>106.78333333333295</v>
      </c>
      <c r="AB520" s="102"/>
      <c r="AC520" s="35"/>
      <c r="AD520" s="35"/>
    </row>
    <row r="521" spans="1:30">
      <c r="A521" s="102">
        <f t="shared" si="8"/>
        <v>520</v>
      </c>
      <c r="B521" s="468">
        <f>YEAR(Table6[[#This Row],[Date]])+IF(MONTH(Table6[[#This Row],[Date]])&gt;=4,1,0)</f>
        <v>2026</v>
      </c>
      <c r="C521" s="102">
        <f>YEAR(Table6[[#This Row],[Date]])</f>
        <v>2025</v>
      </c>
      <c r="D521" s="102" t="s">
        <v>1992</v>
      </c>
      <c r="E521" s="469">
        <f>Table6[[#This Row],[Date]]-DAY(Table6[[#This Row],[Date]])+1</f>
        <v>45778</v>
      </c>
      <c r="F521" s="470">
        <v>45779</v>
      </c>
      <c r="G521" s="35" t="s">
        <v>81</v>
      </c>
      <c r="H521" s="35" t="str">
        <f>IFERROR(_xlfn.XLOOKUP(Table6[[#This Row],[Affected WTG]],'Basic Data'!$A:$A,'Basic Data'!$B:$B),"")</f>
        <v>TQGXIIPL</v>
      </c>
      <c r="I521" s="35" t="str">
        <f>IFERROR(_xlfn.XLOOKUP(Table6[[#This Row],[Affected WTG]],'Basic Data'!$A:$A,'Basic Data'!$C:$C),"")</f>
        <v>GEDA</v>
      </c>
      <c r="J521" s="471">
        <f>IFERROR(_xlfn.XLOOKUP(Table6[[#This Row],[Affected WTG]],'Basic Data'!$A:$A,'Basic Data'!$E:$E),"")</f>
        <v>3.846153846153845E-2</v>
      </c>
      <c r="K521" s="102">
        <v>175</v>
      </c>
      <c r="L521" s="35" t="str">
        <f>IFERROR(_xlfn.XLOOKUP(Table6[[#This Row],[Error Code]],'Basic Data'!$AA:$AA,'Basic Data'!$AB:$AB),"Incorrect Error Code")</f>
        <v>SLC error</v>
      </c>
      <c r="M521" s="35" t="s">
        <v>291</v>
      </c>
      <c r="N521" s="475"/>
      <c r="O521" s="476">
        <v>0.61250000000000004</v>
      </c>
      <c r="P521" s="476">
        <v>0.61250000000000004</v>
      </c>
      <c r="Q521" s="477">
        <v>0.62777777777777777</v>
      </c>
      <c r="R521" s="472">
        <f>IF(Table6[[#This Row],[Work Start TimeStamp]]="","",(Table6[[#This Row],[Work Start TimeStamp]]-Table6[[#This Row],[Fault Start TimeStamp]])*24)</f>
        <v>0</v>
      </c>
      <c r="S521" s="472">
        <f>(Table6[[#This Row],[Fault Clearance time]]-Table6[[#This Row],[Work Start TimeStamp]])*24</f>
        <v>0.36666666666666536</v>
      </c>
      <c r="T521" s="472">
        <f>(Table6[[#This Row],[Fault Clearance time]]-Table6[[#This Row],[Fault Start TimeStamp]])*24</f>
        <v>0.36666666666666536</v>
      </c>
      <c r="U521" s="35" t="s">
        <v>1749</v>
      </c>
      <c r="V521" s="102" t="s">
        <v>293</v>
      </c>
      <c r="W521" s="478">
        <f>IFERROR(Table6[[#This Row],[Breakdown Time]]*Table6[[#This Row],[Plant Equivalent Weightage]],"")</f>
        <v>1.4102564102564049E-2</v>
      </c>
      <c r="X521" s="473" t="s">
        <v>294</v>
      </c>
      <c r="Y521" s="474" t="s">
        <v>99</v>
      </c>
      <c r="Z521" s="102">
        <v>25628</v>
      </c>
      <c r="AA521" s="468">
        <f>(Table6[[#This Row],[Paired WTG Generation for loss calculation]]/24)*Table6[[#This Row],[Breakdown Time]]</f>
        <v>391.53888888888747</v>
      </c>
      <c r="AB521" s="102"/>
      <c r="AC521" s="35"/>
      <c r="AD521" s="35"/>
    </row>
    <row r="522" spans="1:30">
      <c r="A522" s="102">
        <f t="shared" si="8"/>
        <v>521</v>
      </c>
      <c r="B522" s="468">
        <f>YEAR(Table6[[#This Row],[Date]])+IF(MONTH(Table6[[#This Row],[Date]])&gt;=4,1,0)</f>
        <v>2026</v>
      </c>
      <c r="C522" s="102">
        <f>YEAR(Table6[[#This Row],[Date]])</f>
        <v>2025</v>
      </c>
      <c r="D522" s="102" t="s">
        <v>1992</v>
      </c>
      <c r="E522" s="469">
        <f>Table6[[#This Row],[Date]]-DAY(Table6[[#This Row],[Date]])+1</f>
        <v>45778</v>
      </c>
      <c r="F522" s="470">
        <v>45779</v>
      </c>
      <c r="G522" s="35" t="s">
        <v>84</v>
      </c>
      <c r="H522" s="35" t="str">
        <f>IFERROR(_xlfn.XLOOKUP(Table6[[#This Row],[Affected WTG]],'Basic Data'!$A:$A,'Basic Data'!$B:$B),"")</f>
        <v>TQGXIIPL</v>
      </c>
      <c r="I522" s="35" t="str">
        <f>IFERROR(_xlfn.XLOOKUP(Table6[[#This Row],[Affected WTG]],'Basic Data'!$A:$A,'Basic Data'!$C:$C),"")</f>
        <v>GEDA</v>
      </c>
      <c r="J522" s="471">
        <f>IFERROR(_xlfn.XLOOKUP(Table6[[#This Row],[Affected WTG]],'Basic Data'!$A:$A,'Basic Data'!$E:$E),"")</f>
        <v>3.846153846153845E-2</v>
      </c>
      <c r="K522" s="102">
        <v>6130</v>
      </c>
      <c r="L522" s="35" t="str">
        <f>IFERROR(_xlfn.XLOOKUP(Table6[[#This Row],[Error Code]],'Basic Data'!$AA:$AA,'Basic Data'!$AB:$AB),"Incorrect Error Code")</f>
        <v>Yaw speed high</v>
      </c>
      <c r="M522" s="35" t="s">
        <v>292</v>
      </c>
      <c r="N522" s="475"/>
      <c r="O522" s="476">
        <v>0.52361111111111114</v>
      </c>
      <c r="P522" s="476">
        <v>0.52361111111111114</v>
      </c>
      <c r="Q522" s="477">
        <v>0.52777777777777779</v>
      </c>
      <c r="R522" s="472">
        <f>IF(Table6[[#This Row],[Work Start TimeStamp]]="","",(Table6[[#This Row],[Work Start TimeStamp]]-Table6[[#This Row],[Fault Start TimeStamp]])*24)</f>
        <v>0</v>
      </c>
      <c r="S522" s="472">
        <f>(Table6[[#This Row],[Fault Clearance time]]-Table6[[#This Row],[Work Start TimeStamp]])*24</f>
        <v>9.9999999999999645E-2</v>
      </c>
      <c r="T522" s="472">
        <f>(Table6[[#This Row],[Fault Clearance time]]-Table6[[#This Row],[Fault Start TimeStamp]])*24</f>
        <v>9.9999999999999645E-2</v>
      </c>
      <c r="U522" s="35" t="s">
        <v>336</v>
      </c>
      <c r="V522" s="102" t="s">
        <v>293</v>
      </c>
      <c r="W522" s="478">
        <f>IFERROR(Table6[[#This Row],[Breakdown Time]]*Table6[[#This Row],[Plant Equivalent Weightage]],"")</f>
        <v>3.8461538461538312E-3</v>
      </c>
      <c r="X522" s="473" t="s">
        <v>294</v>
      </c>
      <c r="Y522" s="474" t="s">
        <v>85</v>
      </c>
      <c r="Z522" s="102">
        <v>25954</v>
      </c>
      <c r="AA522" s="468">
        <f>(Table6[[#This Row],[Paired WTG Generation for loss calculation]]/24)*Table6[[#This Row],[Breakdown Time]]</f>
        <v>108.1416666666663</v>
      </c>
      <c r="AB522" s="102"/>
      <c r="AC522" s="35"/>
      <c r="AD522" s="35"/>
    </row>
    <row r="523" spans="1:30">
      <c r="A523" s="102">
        <f t="shared" si="8"/>
        <v>522</v>
      </c>
      <c r="B523" s="468">
        <f>YEAR(Table6[[#This Row],[Date]])+IF(MONTH(Table6[[#This Row],[Date]])&gt;=4,1,0)</f>
        <v>2026</v>
      </c>
      <c r="C523" s="102">
        <f>YEAR(Table6[[#This Row],[Date]])</f>
        <v>2025</v>
      </c>
      <c r="D523" s="102" t="s">
        <v>1992</v>
      </c>
      <c r="E523" s="469">
        <f>Table6[[#This Row],[Date]]-DAY(Table6[[#This Row],[Date]])+1</f>
        <v>45778</v>
      </c>
      <c r="F523" s="470">
        <v>45779</v>
      </c>
      <c r="G523" s="35" t="s">
        <v>86</v>
      </c>
      <c r="H523" s="35" t="str">
        <f>IFERROR(_xlfn.XLOOKUP(Table6[[#This Row],[Affected WTG]],'Basic Data'!$A:$A,'Basic Data'!$B:$B),"")</f>
        <v>TQGXIIPL</v>
      </c>
      <c r="I523" s="35" t="str">
        <f>IFERROR(_xlfn.XLOOKUP(Table6[[#This Row],[Affected WTG]],'Basic Data'!$A:$A,'Basic Data'!$C:$C),"")</f>
        <v>GEDA</v>
      </c>
      <c r="J523" s="471">
        <f>IFERROR(_xlfn.XLOOKUP(Table6[[#This Row],[Affected WTG]],'Basic Data'!$A:$A,'Basic Data'!$E:$E),"")</f>
        <v>3.846153846153845E-2</v>
      </c>
      <c r="K523" s="102">
        <v>6056</v>
      </c>
      <c r="L523" s="35" t="str">
        <f>IFERROR(_xlfn.XLOOKUP(Table6[[#This Row],[Error Code]],'Basic Data'!$AA:$AA,'Basic Data'!$AB:$AB),"Incorrect Error Code")</f>
        <v>High yaw load</v>
      </c>
      <c r="M523" s="35" t="s">
        <v>291</v>
      </c>
      <c r="N523" s="475"/>
      <c r="O523" s="476">
        <v>0.66111111111111109</v>
      </c>
      <c r="P523" s="476">
        <v>0.66111111111111109</v>
      </c>
      <c r="Q523" s="477">
        <v>0.66319444444444442</v>
      </c>
      <c r="R523" s="472">
        <f>IF(Table6[[#This Row],[Work Start TimeStamp]]="","",(Table6[[#This Row],[Work Start TimeStamp]]-Table6[[#This Row],[Fault Start TimeStamp]])*24)</f>
        <v>0</v>
      </c>
      <c r="S523" s="472">
        <f>(Table6[[#This Row],[Fault Clearance time]]-Table6[[#This Row],[Work Start TimeStamp]])*24</f>
        <v>4.9999999999999822E-2</v>
      </c>
      <c r="T523" s="472">
        <f>(Table6[[#This Row],[Fault Clearance time]]-Table6[[#This Row],[Fault Start TimeStamp]])*24</f>
        <v>4.9999999999999822E-2</v>
      </c>
      <c r="U523" s="35" t="s">
        <v>349</v>
      </c>
      <c r="V523" s="102" t="s">
        <v>293</v>
      </c>
      <c r="W523" s="478">
        <f>IFERROR(Table6[[#This Row],[Breakdown Time]]*Table6[[#This Row],[Plant Equivalent Weightage]],"")</f>
        <v>1.9230769230769156E-3</v>
      </c>
      <c r="X523" s="473" t="s">
        <v>294</v>
      </c>
      <c r="Y523" s="474" t="s">
        <v>84</v>
      </c>
      <c r="Z523" s="102">
        <v>26607</v>
      </c>
      <c r="AA523" s="468">
        <f>(Table6[[#This Row],[Paired WTG Generation for loss calculation]]/24)*Table6[[#This Row],[Breakdown Time]]</f>
        <v>55.4312499999998</v>
      </c>
      <c r="AB523" s="102"/>
      <c r="AC523" s="35"/>
      <c r="AD523" s="35"/>
    </row>
    <row r="524" spans="1:30">
      <c r="A524" s="102">
        <f t="shared" si="8"/>
        <v>523</v>
      </c>
      <c r="B524" s="468">
        <f>YEAR(Table6[[#This Row],[Date]])+IF(MONTH(Table6[[#This Row],[Date]])&gt;=4,1,0)</f>
        <v>2026</v>
      </c>
      <c r="C524" s="102">
        <f>YEAR(Table6[[#This Row],[Date]])</f>
        <v>2025</v>
      </c>
      <c r="D524" s="102" t="s">
        <v>1992</v>
      </c>
      <c r="E524" s="469">
        <f>Table6[[#This Row],[Date]]-DAY(Table6[[#This Row],[Date]])+1</f>
        <v>45778</v>
      </c>
      <c r="F524" s="470">
        <v>45779</v>
      </c>
      <c r="G524" s="35" t="s">
        <v>90</v>
      </c>
      <c r="H524" s="35" t="str">
        <f>IFERROR(_xlfn.XLOOKUP(Table6[[#This Row],[Affected WTG]],'Basic Data'!$A:$A,'Basic Data'!$B:$B),"")</f>
        <v>TQGXIIPL</v>
      </c>
      <c r="I524" s="35" t="str">
        <f>IFERROR(_xlfn.XLOOKUP(Table6[[#This Row],[Affected WTG]],'Basic Data'!$A:$A,'Basic Data'!$C:$C),"")</f>
        <v>GEDA</v>
      </c>
      <c r="J524" s="471">
        <f>IFERROR(_xlfn.XLOOKUP(Table6[[#This Row],[Affected WTG]],'Basic Data'!$A:$A,'Basic Data'!$E:$E),"")</f>
        <v>3.846153846153845E-2</v>
      </c>
      <c r="K524" s="102">
        <v>55</v>
      </c>
      <c r="L524" s="35" t="str">
        <f>IFERROR(_xlfn.XLOOKUP(Table6[[#This Row],[Error Code]],'Basic Data'!$AA:$AA,'Basic Data'!$AB:$AB),"Incorrect Error Code")</f>
        <v>WTG shut down</v>
      </c>
      <c r="M524" s="35" t="s">
        <v>291</v>
      </c>
      <c r="N524" s="475"/>
      <c r="O524" s="476">
        <v>0.48472222222222222</v>
      </c>
      <c r="P524" s="476">
        <v>0.48472222222222222</v>
      </c>
      <c r="Q524" s="477">
        <v>0.4861111111111111</v>
      </c>
      <c r="R524" s="472">
        <f>IF(Table6[[#This Row],[Work Start TimeStamp]]="","",(Table6[[#This Row],[Work Start TimeStamp]]-Table6[[#This Row],[Fault Start TimeStamp]])*24)</f>
        <v>0</v>
      </c>
      <c r="S524" s="472">
        <f>(Table6[[#This Row],[Fault Clearance time]]-Table6[[#This Row],[Work Start TimeStamp]])*24</f>
        <v>3.3333333333333215E-2</v>
      </c>
      <c r="T524" s="472">
        <f>(Table6[[#This Row],[Fault Clearance time]]-Table6[[#This Row],[Fault Start TimeStamp]])*24</f>
        <v>3.3333333333333215E-2</v>
      </c>
      <c r="U524" s="35" t="s">
        <v>1747</v>
      </c>
      <c r="V524" s="102" t="s">
        <v>293</v>
      </c>
      <c r="W524" s="478">
        <f>IFERROR(Table6[[#This Row],[Breakdown Time]]*Table6[[#This Row],[Plant Equivalent Weightage]],"")</f>
        <v>1.2820512820512771E-3</v>
      </c>
      <c r="X524" s="473" t="s">
        <v>294</v>
      </c>
      <c r="Y524" s="474" t="s">
        <v>95</v>
      </c>
      <c r="Z524" s="102">
        <v>28813</v>
      </c>
      <c r="AA524" s="468">
        <f>(Table6[[#This Row],[Paired WTG Generation for loss calculation]]/24)*Table6[[#This Row],[Breakdown Time]]</f>
        <v>40.018055555555414</v>
      </c>
      <c r="AB524" s="102"/>
      <c r="AC524" s="35"/>
      <c r="AD524" s="35"/>
    </row>
    <row r="525" spans="1:30">
      <c r="A525" s="102">
        <f t="shared" si="8"/>
        <v>524</v>
      </c>
      <c r="B525" s="468">
        <f>YEAR(Table6[[#This Row],[Date]])+IF(MONTH(Table6[[#This Row],[Date]])&gt;=4,1,0)</f>
        <v>2026</v>
      </c>
      <c r="C525" s="102">
        <f>YEAR(Table6[[#This Row],[Date]])</f>
        <v>2025</v>
      </c>
      <c r="D525" s="102" t="s">
        <v>1992</v>
      </c>
      <c r="E525" s="469">
        <f>Table6[[#This Row],[Date]]-DAY(Table6[[#This Row],[Date]])+1</f>
        <v>45778</v>
      </c>
      <c r="F525" s="470">
        <v>45779</v>
      </c>
      <c r="G525" s="35" t="s">
        <v>91</v>
      </c>
      <c r="H525" s="35" t="str">
        <f>IFERROR(_xlfn.XLOOKUP(Table6[[#This Row],[Affected WTG]],'Basic Data'!$A:$A,'Basic Data'!$B:$B),"")</f>
        <v>TQGXIIPL</v>
      </c>
      <c r="I525" s="35" t="str">
        <f>IFERROR(_xlfn.XLOOKUP(Table6[[#This Row],[Affected WTG]],'Basic Data'!$A:$A,'Basic Data'!$C:$C),"")</f>
        <v>GEDA</v>
      </c>
      <c r="J525" s="471">
        <f>IFERROR(_xlfn.XLOOKUP(Table6[[#This Row],[Affected WTG]],'Basic Data'!$A:$A,'Basic Data'!$E:$E),"")</f>
        <v>3.846153846153845E-2</v>
      </c>
      <c r="K525" s="102">
        <v>172</v>
      </c>
      <c r="L525" s="35" t="str">
        <f>IFERROR(_xlfn.XLOOKUP(Table6[[#This Row],[Error Code]],'Basic Data'!$AA:$AA,'Basic Data'!$AB:$AB),"Incorrect Error Code")</f>
        <v>SLC MF torque protection</v>
      </c>
      <c r="M525" s="35" t="s">
        <v>291</v>
      </c>
      <c r="N525" s="475"/>
      <c r="O525" s="476">
        <v>7.1527777777777773E-2</v>
      </c>
      <c r="P525" s="476">
        <v>7.1527777777777773E-2</v>
      </c>
      <c r="Q525" s="477">
        <v>8.7499999999999994E-2</v>
      </c>
      <c r="R525" s="472">
        <f>IF(Table6[[#This Row],[Work Start TimeStamp]]="","",(Table6[[#This Row],[Work Start TimeStamp]]-Table6[[#This Row],[Fault Start TimeStamp]])*24)</f>
        <v>0</v>
      </c>
      <c r="S525" s="472">
        <f>(Table6[[#This Row],[Fault Clearance time]]-Table6[[#This Row],[Work Start TimeStamp]])*24</f>
        <v>0.3833333333333333</v>
      </c>
      <c r="T525" s="472">
        <f>(Table6[[#This Row],[Fault Clearance time]]-Table6[[#This Row],[Fault Start TimeStamp]])*24</f>
        <v>0.3833333333333333</v>
      </c>
      <c r="U525" s="35" t="s">
        <v>396</v>
      </c>
      <c r="V525" s="102" t="s">
        <v>293</v>
      </c>
      <c r="W525" s="478">
        <f>IFERROR(Table6[[#This Row],[Breakdown Time]]*Table6[[#This Row],[Plant Equivalent Weightage]],"")</f>
        <v>1.4743589743589738E-2</v>
      </c>
      <c r="X525" s="473" t="s">
        <v>294</v>
      </c>
      <c r="Y525" s="474" t="s">
        <v>79</v>
      </c>
      <c r="Z525" s="102">
        <v>29048</v>
      </c>
      <c r="AA525" s="468">
        <f>(Table6[[#This Row],[Paired WTG Generation for loss calculation]]/24)*Table6[[#This Row],[Breakdown Time]]</f>
        <v>463.96111111111105</v>
      </c>
      <c r="AB525" s="102"/>
      <c r="AC525" s="35"/>
      <c r="AD525" s="35"/>
    </row>
    <row r="526" spans="1:30">
      <c r="A526" s="102">
        <f t="shared" ref="A526:A589" si="9">A525+1</f>
        <v>525</v>
      </c>
      <c r="B526" s="468">
        <f>YEAR(Table6[[#This Row],[Date]])+IF(MONTH(Table6[[#This Row],[Date]])&gt;=4,1,0)</f>
        <v>2026</v>
      </c>
      <c r="C526" s="102">
        <f>YEAR(Table6[[#This Row],[Date]])</f>
        <v>2025</v>
      </c>
      <c r="D526" s="102" t="s">
        <v>1992</v>
      </c>
      <c r="E526" s="469">
        <f>Table6[[#This Row],[Date]]-DAY(Table6[[#This Row],[Date]])+1</f>
        <v>45778</v>
      </c>
      <c r="F526" s="470">
        <v>45779</v>
      </c>
      <c r="G526" s="35" t="s">
        <v>91</v>
      </c>
      <c r="H526" s="35" t="str">
        <f>IFERROR(_xlfn.XLOOKUP(Table6[[#This Row],[Affected WTG]],'Basic Data'!$A:$A,'Basic Data'!$B:$B),"")</f>
        <v>TQGXIIPL</v>
      </c>
      <c r="I526" s="35" t="str">
        <f>IFERROR(_xlfn.XLOOKUP(Table6[[#This Row],[Affected WTG]],'Basic Data'!$A:$A,'Basic Data'!$C:$C),"")</f>
        <v>GEDA</v>
      </c>
      <c r="J526" s="471">
        <f>IFERROR(_xlfn.XLOOKUP(Table6[[#This Row],[Affected WTG]],'Basic Data'!$A:$A,'Basic Data'!$E:$E),"")</f>
        <v>3.846153846153845E-2</v>
      </c>
      <c r="K526" s="102">
        <v>55</v>
      </c>
      <c r="L526" s="35" t="str">
        <f>IFERROR(_xlfn.XLOOKUP(Table6[[#This Row],[Error Code]],'Basic Data'!$AA:$AA,'Basic Data'!$AB:$AB),"Incorrect Error Code")</f>
        <v>WTG shut down</v>
      </c>
      <c r="M526" s="35" t="s">
        <v>291</v>
      </c>
      <c r="N526" s="475"/>
      <c r="O526" s="476">
        <v>0.48749999999999999</v>
      </c>
      <c r="P526" s="476">
        <v>0.48749999999999999</v>
      </c>
      <c r="Q526" s="477">
        <v>0.48958333333333331</v>
      </c>
      <c r="R526" s="472">
        <f>IF(Table6[[#This Row],[Work Start TimeStamp]]="","",(Table6[[#This Row],[Work Start TimeStamp]]-Table6[[#This Row],[Fault Start TimeStamp]])*24)</f>
        <v>0</v>
      </c>
      <c r="S526" s="472">
        <f>(Table6[[#This Row],[Fault Clearance time]]-Table6[[#This Row],[Work Start TimeStamp]])*24</f>
        <v>4.9999999999999822E-2</v>
      </c>
      <c r="T526" s="472">
        <f>(Table6[[#This Row],[Fault Clearance time]]-Table6[[#This Row],[Fault Start TimeStamp]])*24</f>
        <v>4.9999999999999822E-2</v>
      </c>
      <c r="U526" s="35" t="s">
        <v>1747</v>
      </c>
      <c r="V526" s="102" t="s">
        <v>293</v>
      </c>
      <c r="W526" s="478">
        <f>IFERROR(Table6[[#This Row],[Breakdown Time]]*Table6[[#This Row],[Plant Equivalent Weightage]],"")</f>
        <v>1.9230769230769156E-3</v>
      </c>
      <c r="X526" s="473" t="s">
        <v>290</v>
      </c>
      <c r="Y526" s="474" t="s">
        <v>79</v>
      </c>
      <c r="Z526" s="102">
        <v>29048</v>
      </c>
      <c r="AA526" s="468">
        <f>(Table6[[#This Row],[Paired WTG Generation for loss calculation]]/24)*Table6[[#This Row],[Breakdown Time]]</f>
        <v>60.516666666666445</v>
      </c>
      <c r="AB526" s="102"/>
      <c r="AC526" s="35"/>
      <c r="AD526" s="35"/>
    </row>
    <row r="527" spans="1:30">
      <c r="A527" s="102">
        <f t="shared" si="9"/>
        <v>526</v>
      </c>
      <c r="B527" s="468">
        <f>YEAR(Table6[[#This Row],[Date]])+IF(MONTH(Table6[[#This Row],[Date]])&gt;=4,1,0)</f>
        <v>2026</v>
      </c>
      <c r="C527" s="102">
        <f>YEAR(Table6[[#This Row],[Date]])</f>
        <v>2025</v>
      </c>
      <c r="D527" s="102" t="s">
        <v>1992</v>
      </c>
      <c r="E527" s="469">
        <f>Table6[[#This Row],[Date]]-DAY(Table6[[#This Row],[Date]])+1</f>
        <v>45778</v>
      </c>
      <c r="F527" s="470">
        <v>45779</v>
      </c>
      <c r="G527" s="35" t="s">
        <v>94</v>
      </c>
      <c r="H527" s="35" t="str">
        <f>IFERROR(_xlfn.XLOOKUP(Table6[[#This Row],[Affected WTG]],'Basic Data'!$A:$A,'Basic Data'!$B:$B),"")</f>
        <v>TQGXIIPL</v>
      </c>
      <c r="I527" s="35" t="str">
        <f>IFERROR(_xlfn.XLOOKUP(Table6[[#This Row],[Affected WTG]],'Basic Data'!$A:$A,'Basic Data'!$C:$C),"")</f>
        <v>GEDA</v>
      </c>
      <c r="J527" s="471">
        <f>IFERROR(_xlfn.XLOOKUP(Table6[[#This Row],[Affected WTG]],'Basic Data'!$A:$A,'Basic Data'!$E:$E),"")</f>
        <v>3.846153846153845E-2</v>
      </c>
      <c r="K527" s="102">
        <v>55</v>
      </c>
      <c r="L527" s="35" t="str">
        <f>IFERROR(_xlfn.XLOOKUP(Table6[[#This Row],[Error Code]],'Basic Data'!$AA:$AA,'Basic Data'!$AB:$AB),"Incorrect Error Code")</f>
        <v>WTG shut down</v>
      </c>
      <c r="M527" s="35" t="s">
        <v>304</v>
      </c>
      <c r="N527" s="475"/>
      <c r="O527" s="476">
        <v>0.30972222222222223</v>
      </c>
      <c r="P527" s="476">
        <v>0.30972222222222223</v>
      </c>
      <c r="Q527" s="477">
        <v>0.6875</v>
      </c>
      <c r="R527" s="472">
        <f>IF(Table6[[#This Row],[Work Start TimeStamp]]="","",(Table6[[#This Row],[Work Start TimeStamp]]-Table6[[#This Row],[Fault Start TimeStamp]])*24)</f>
        <v>0</v>
      </c>
      <c r="S527" s="472">
        <f>(Table6[[#This Row],[Fault Clearance time]]-Table6[[#This Row],[Work Start TimeStamp]])*24</f>
        <v>9.0666666666666664</v>
      </c>
      <c r="T527" s="472">
        <f>(Table6[[#This Row],[Fault Clearance time]]-Table6[[#This Row],[Fault Start TimeStamp]])*24</f>
        <v>9.0666666666666664</v>
      </c>
      <c r="U527" s="35" t="s">
        <v>1850</v>
      </c>
      <c r="V527" s="102" t="s">
        <v>293</v>
      </c>
      <c r="W527" s="478">
        <f>IFERROR(Table6[[#This Row],[Breakdown Time]]*Table6[[#This Row],[Plant Equivalent Weightage]],"")</f>
        <v>0.34871794871794859</v>
      </c>
      <c r="X527" s="473" t="s">
        <v>305</v>
      </c>
      <c r="Y527" s="474" t="s">
        <v>79</v>
      </c>
      <c r="Z527" s="102">
        <v>29048</v>
      </c>
      <c r="AA527" s="468">
        <f>(Table6[[#This Row],[Paired WTG Generation for loss calculation]]/24)*Table6[[#This Row],[Breakdown Time]]</f>
        <v>10973.688888888888</v>
      </c>
      <c r="AB527" s="102"/>
      <c r="AC527" s="35"/>
      <c r="AD527" s="35"/>
    </row>
    <row r="528" spans="1:30">
      <c r="A528" s="102">
        <f t="shared" si="9"/>
        <v>527</v>
      </c>
      <c r="B528" s="468">
        <f>YEAR(Table6[[#This Row],[Date]])+IF(MONTH(Table6[[#This Row],[Date]])&gt;=4,1,0)</f>
        <v>2026</v>
      </c>
      <c r="C528" s="102">
        <f>YEAR(Table6[[#This Row],[Date]])</f>
        <v>2025</v>
      </c>
      <c r="D528" s="102" t="s">
        <v>1992</v>
      </c>
      <c r="E528" s="469">
        <f>Table6[[#This Row],[Date]]-DAY(Table6[[#This Row],[Date]])+1</f>
        <v>45778</v>
      </c>
      <c r="F528" s="470">
        <v>45779</v>
      </c>
      <c r="G528" s="35" t="s">
        <v>99</v>
      </c>
      <c r="H528" s="35" t="str">
        <f>IFERROR(_xlfn.XLOOKUP(Table6[[#This Row],[Affected WTG]],'Basic Data'!$A:$A,'Basic Data'!$B:$B),"")</f>
        <v>TQGXIIPL</v>
      </c>
      <c r="I528" s="35" t="str">
        <f>IFERROR(_xlfn.XLOOKUP(Table6[[#This Row],[Affected WTG]],'Basic Data'!$A:$A,'Basic Data'!$C:$C),"")</f>
        <v>GEDA</v>
      </c>
      <c r="J528" s="471">
        <f>IFERROR(_xlfn.XLOOKUP(Table6[[#This Row],[Affected WTG]],'Basic Data'!$A:$A,'Basic Data'!$E:$E),"")</f>
        <v>3.846153846153845E-2</v>
      </c>
      <c r="K528" s="102">
        <v>6130</v>
      </c>
      <c r="L528" s="35" t="str">
        <f>IFERROR(_xlfn.XLOOKUP(Table6[[#This Row],[Error Code]],'Basic Data'!$AA:$AA,'Basic Data'!$AB:$AB),"Incorrect Error Code")</f>
        <v>Yaw speed high</v>
      </c>
      <c r="M528" s="35" t="s">
        <v>291</v>
      </c>
      <c r="N528" s="475"/>
      <c r="O528" s="476">
        <v>0.625</v>
      </c>
      <c r="P528" s="476">
        <v>0.625</v>
      </c>
      <c r="Q528" s="477">
        <v>0.62916666666666665</v>
      </c>
      <c r="R528" s="472">
        <f>IF(Table6[[#This Row],[Work Start TimeStamp]]="","",(Table6[[#This Row],[Work Start TimeStamp]]-Table6[[#This Row],[Fault Start TimeStamp]])*24)</f>
        <v>0</v>
      </c>
      <c r="S528" s="472">
        <f>(Table6[[#This Row],[Fault Clearance time]]-Table6[[#This Row],[Work Start TimeStamp]])*24</f>
        <v>9.9999999999999645E-2</v>
      </c>
      <c r="T528" s="472">
        <f>(Table6[[#This Row],[Fault Clearance time]]-Table6[[#This Row],[Fault Start TimeStamp]])*24</f>
        <v>9.9999999999999645E-2</v>
      </c>
      <c r="U528" s="35" t="s">
        <v>349</v>
      </c>
      <c r="V528" s="102" t="s">
        <v>293</v>
      </c>
      <c r="W528" s="478">
        <f>IFERROR(Table6[[#This Row],[Breakdown Time]]*Table6[[#This Row],[Plant Equivalent Weightage]],"")</f>
        <v>3.8461538461538312E-3</v>
      </c>
      <c r="X528" s="473" t="s">
        <v>294</v>
      </c>
      <c r="Y528" s="474" t="s">
        <v>74</v>
      </c>
      <c r="Z528" s="102">
        <v>29702</v>
      </c>
      <c r="AA528" s="468">
        <f>(Table6[[#This Row],[Paired WTG Generation for loss calculation]]/24)*Table6[[#This Row],[Breakdown Time]]</f>
        <v>123.75833333333289</v>
      </c>
      <c r="AB528" s="102"/>
      <c r="AC528" s="35"/>
      <c r="AD528" s="35"/>
    </row>
    <row r="529" spans="1:30">
      <c r="A529" s="102">
        <f t="shared" si="9"/>
        <v>528</v>
      </c>
      <c r="B529" s="468">
        <f>YEAR(Table6[[#This Row],[Date]])+IF(MONTH(Table6[[#This Row],[Date]])&gt;=4,1,0)</f>
        <v>2026</v>
      </c>
      <c r="C529" s="102">
        <f>YEAR(Table6[[#This Row],[Date]])</f>
        <v>2025</v>
      </c>
      <c r="D529" s="102" t="s">
        <v>1992</v>
      </c>
      <c r="E529" s="469">
        <f>Table6[[#This Row],[Date]]-DAY(Table6[[#This Row],[Date]])+1</f>
        <v>45778</v>
      </c>
      <c r="F529" s="470">
        <v>45779</v>
      </c>
      <c r="G529" s="35" t="s">
        <v>99</v>
      </c>
      <c r="H529" s="35" t="str">
        <f>IFERROR(_xlfn.XLOOKUP(Table6[[#This Row],[Affected WTG]],'Basic Data'!$A:$A,'Basic Data'!$B:$B),"")</f>
        <v>TQGXIIPL</v>
      </c>
      <c r="I529" s="35" t="str">
        <f>IFERROR(_xlfn.XLOOKUP(Table6[[#This Row],[Affected WTG]],'Basic Data'!$A:$A,'Basic Data'!$C:$C),"")</f>
        <v>GEDA</v>
      </c>
      <c r="J529" s="471">
        <f>IFERROR(_xlfn.XLOOKUP(Table6[[#This Row],[Affected WTG]],'Basic Data'!$A:$A,'Basic Data'!$E:$E),"")</f>
        <v>3.846153846153845E-2</v>
      </c>
      <c r="K529" s="102">
        <v>6130</v>
      </c>
      <c r="L529" s="35" t="str">
        <f>IFERROR(_xlfn.XLOOKUP(Table6[[#This Row],[Error Code]],'Basic Data'!$AA:$AA,'Basic Data'!$AB:$AB),"Incorrect Error Code")</f>
        <v>Yaw speed high</v>
      </c>
      <c r="M529" s="35" t="s">
        <v>291</v>
      </c>
      <c r="N529" s="475"/>
      <c r="O529" s="476">
        <v>0.73472222222222228</v>
      </c>
      <c r="P529" s="476">
        <v>0.73472222222222228</v>
      </c>
      <c r="Q529" s="477">
        <v>0.74444444444444446</v>
      </c>
      <c r="R529" s="472">
        <f>IF(Table6[[#This Row],[Work Start TimeStamp]]="","",(Table6[[#This Row],[Work Start TimeStamp]]-Table6[[#This Row],[Fault Start TimeStamp]])*24)</f>
        <v>0</v>
      </c>
      <c r="S529" s="472">
        <f>(Table6[[#This Row],[Fault Clearance time]]-Table6[[#This Row],[Work Start TimeStamp]])*24</f>
        <v>0.2333333333333325</v>
      </c>
      <c r="T529" s="472">
        <f>(Table6[[#This Row],[Fault Clearance time]]-Table6[[#This Row],[Fault Start TimeStamp]])*24</f>
        <v>0.2333333333333325</v>
      </c>
      <c r="U529" s="35" t="s">
        <v>349</v>
      </c>
      <c r="V529" s="102" t="s">
        <v>293</v>
      </c>
      <c r="W529" s="478">
        <f>IFERROR(Table6[[#This Row],[Breakdown Time]]*Table6[[#This Row],[Plant Equivalent Weightage]],"")</f>
        <v>8.974358974358939E-3</v>
      </c>
      <c r="X529" s="473" t="s">
        <v>294</v>
      </c>
      <c r="Y529" s="474" t="s">
        <v>74</v>
      </c>
      <c r="Z529" s="102">
        <v>29702</v>
      </c>
      <c r="AA529" s="468">
        <f>(Table6[[#This Row],[Paired WTG Generation for loss calculation]]/24)*Table6[[#This Row],[Breakdown Time]]</f>
        <v>288.76944444444342</v>
      </c>
      <c r="AB529" s="102"/>
      <c r="AC529" s="35"/>
      <c r="AD529" s="35"/>
    </row>
    <row r="530" spans="1:30">
      <c r="A530" s="102">
        <f t="shared" si="9"/>
        <v>529</v>
      </c>
      <c r="B530" s="468">
        <f>YEAR(Table6[[#This Row],[Date]])+IF(MONTH(Table6[[#This Row],[Date]])&gt;=4,1,0)</f>
        <v>2026</v>
      </c>
      <c r="C530" s="102">
        <f>YEAR(Table6[[#This Row],[Date]])</f>
        <v>2025</v>
      </c>
      <c r="D530" s="102" t="s">
        <v>1992</v>
      </c>
      <c r="E530" s="469">
        <f>Table6[[#This Row],[Date]]-DAY(Table6[[#This Row],[Date]])+1</f>
        <v>45778</v>
      </c>
      <c r="F530" s="470">
        <v>45780</v>
      </c>
      <c r="G530" s="35" t="s">
        <v>74</v>
      </c>
      <c r="H530" s="35" t="str">
        <f>IFERROR(_xlfn.XLOOKUP(Table6[[#This Row],[Affected WTG]],'Basic Data'!$A:$A,'Basic Data'!$B:$B),"")</f>
        <v>TQGXIIPL</v>
      </c>
      <c r="I530" s="35" t="str">
        <f>IFERROR(_xlfn.XLOOKUP(Table6[[#This Row],[Affected WTG]],'Basic Data'!$A:$A,'Basic Data'!$C:$C),"")</f>
        <v>GEDA</v>
      </c>
      <c r="J530" s="471">
        <f>IFERROR(_xlfn.XLOOKUP(Table6[[#This Row],[Affected WTG]],'Basic Data'!$A:$A,'Basic Data'!$E:$E),"")</f>
        <v>3.846153846153845E-2</v>
      </c>
      <c r="K530" s="102">
        <v>7002</v>
      </c>
      <c r="L530" s="35" t="str">
        <f>IFERROR(_xlfn.XLOOKUP(Table6[[#This Row],[Error Code]],'Basic Data'!$AA:$AA,'Basic Data'!$AB:$AB),"Incorrect Error Code")</f>
        <v>Task runtime failure 5ms</v>
      </c>
      <c r="M530" s="35" t="s">
        <v>291</v>
      </c>
      <c r="N530" s="475"/>
      <c r="O530" s="476">
        <v>0.16666666666666666</v>
      </c>
      <c r="P530" s="476">
        <v>0.16666666666666666</v>
      </c>
      <c r="Q530" s="477">
        <v>0.17152777777777778</v>
      </c>
      <c r="R530" s="472">
        <f>IF(Table6[[#This Row],[Work Start TimeStamp]]="","",(Table6[[#This Row],[Work Start TimeStamp]]-Table6[[#This Row],[Fault Start TimeStamp]])*24)</f>
        <v>0</v>
      </c>
      <c r="S530" s="472">
        <f>(Table6[[#This Row],[Fault Clearance time]]-Table6[[#This Row],[Work Start TimeStamp]])*24</f>
        <v>0.11666666666666692</v>
      </c>
      <c r="T530" s="472">
        <f>(Table6[[#This Row],[Fault Clearance time]]-Table6[[#This Row],[Fault Start TimeStamp]])*24</f>
        <v>0.11666666666666692</v>
      </c>
      <c r="U530" s="35" t="s">
        <v>349</v>
      </c>
      <c r="V530" s="102" t="s">
        <v>293</v>
      </c>
      <c r="W530" s="478">
        <f>IFERROR(Table6[[#This Row],[Breakdown Time]]*Table6[[#This Row],[Plant Equivalent Weightage]],"")</f>
        <v>4.4871794871794955E-3</v>
      </c>
      <c r="X530" s="473" t="s">
        <v>294</v>
      </c>
      <c r="Y530" s="474" t="s">
        <v>99</v>
      </c>
      <c r="Z530" s="102">
        <v>43445</v>
      </c>
      <c r="AA530" s="468">
        <f>(Table6[[#This Row],[Paired WTG Generation for loss calculation]]/24)*Table6[[#This Row],[Breakdown Time]]</f>
        <v>211.19097222222265</v>
      </c>
      <c r="AB530" s="102"/>
      <c r="AC530" s="35"/>
      <c r="AD530" s="35"/>
    </row>
    <row r="531" spans="1:30">
      <c r="A531" s="102">
        <f t="shared" si="9"/>
        <v>530</v>
      </c>
      <c r="B531" s="468">
        <f>YEAR(Table6[[#This Row],[Date]])+IF(MONTH(Table6[[#This Row],[Date]])&gt;=4,1,0)</f>
        <v>2026</v>
      </c>
      <c r="C531" s="102">
        <f>YEAR(Table6[[#This Row],[Date]])</f>
        <v>2025</v>
      </c>
      <c r="D531" s="102" t="s">
        <v>1992</v>
      </c>
      <c r="E531" s="469">
        <f>Table6[[#This Row],[Date]]-DAY(Table6[[#This Row],[Date]])+1</f>
        <v>45778</v>
      </c>
      <c r="F531" s="470">
        <v>45780</v>
      </c>
      <c r="G531" s="35" t="s">
        <v>74</v>
      </c>
      <c r="H531" s="35" t="str">
        <f>IFERROR(_xlfn.XLOOKUP(Table6[[#This Row],[Affected WTG]],'Basic Data'!$A:$A,'Basic Data'!$B:$B),"")</f>
        <v>TQGXIIPL</v>
      </c>
      <c r="I531" s="35" t="str">
        <f>IFERROR(_xlfn.XLOOKUP(Table6[[#This Row],[Affected WTG]],'Basic Data'!$A:$A,'Basic Data'!$C:$C),"")</f>
        <v>GEDA</v>
      </c>
      <c r="J531" s="471">
        <f>IFERROR(_xlfn.XLOOKUP(Table6[[#This Row],[Affected WTG]],'Basic Data'!$A:$A,'Basic Data'!$E:$E),"")</f>
        <v>3.846153846153845E-2</v>
      </c>
      <c r="K531" s="102">
        <v>55</v>
      </c>
      <c r="L531" s="35" t="str">
        <f>IFERROR(_xlfn.XLOOKUP(Table6[[#This Row],[Error Code]],'Basic Data'!$AA:$AA,'Basic Data'!$AB:$AB),"Incorrect Error Code")</f>
        <v>WTG shut down</v>
      </c>
      <c r="M531" s="35" t="s">
        <v>330</v>
      </c>
      <c r="N531" s="475"/>
      <c r="O531" s="476">
        <v>0.75069444444444444</v>
      </c>
      <c r="P531" s="476">
        <v>0.75069444444444444</v>
      </c>
      <c r="Q531" s="477">
        <v>0.91666666666666663</v>
      </c>
      <c r="R531" s="472">
        <f>IF(Table6[[#This Row],[Work Start TimeStamp]]="","",(Table6[[#This Row],[Work Start TimeStamp]]-Table6[[#This Row],[Fault Start TimeStamp]])*24)</f>
        <v>0</v>
      </c>
      <c r="S531" s="472">
        <f>(Table6[[#This Row],[Fault Clearance time]]-Table6[[#This Row],[Work Start TimeStamp]])*24</f>
        <v>3.9833333333333325</v>
      </c>
      <c r="T531" s="472">
        <f>(Table6[[#This Row],[Fault Clearance time]]-Table6[[#This Row],[Fault Start TimeStamp]])*24</f>
        <v>3.9833333333333325</v>
      </c>
      <c r="U531" s="35" t="s">
        <v>1744</v>
      </c>
      <c r="V531" s="102" t="s">
        <v>293</v>
      </c>
      <c r="W531" s="478">
        <f>IFERROR(Table6[[#This Row],[Breakdown Time]]*Table6[[#This Row],[Plant Equivalent Weightage]],"")</f>
        <v>0.15320512820512813</v>
      </c>
      <c r="X531" s="473" t="s">
        <v>290</v>
      </c>
      <c r="Y531" s="474" t="s">
        <v>99</v>
      </c>
      <c r="Z531" s="102">
        <v>43445</v>
      </c>
      <c r="AA531" s="468">
        <f>(Table6[[#This Row],[Paired WTG Generation for loss calculation]]/24)*Table6[[#This Row],[Breakdown Time]]</f>
        <v>7210.6631944444425</v>
      </c>
      <c r="AB531" s="102"/>
      <c r="AC531" s="35"/>
      <c r="AD531" s="35"/>
    </row>
    <row r="532" spans="1:30">
      <c r="A532" s="102">
        <f t="shared" si="9"/>
        <v>531</v>
      </c>
      <c r="B532" s="468">
        <f>YEAR(Table6[[#This Row],[Date]])+IF(MONTH(Table6[[#This Row],[Date]])&gt;=4,1,0)</f>
        <v>2026</v>
      </c>
      <c r="C532" s="102">
        <f>YEAR(Table6[[#This Row],[Date]])</f>
        <v>2025</v>
      </c>
      <c r="D532" s="102" t="s">
        <v>1992</v>
      </c>
      <c r="E532" s="469">
        <f>Table6[[#This Row],[Date]]-DAY(Table6[[#This Row],[Date]])+1</f>
        <v>45778</v>
      </c>
      <c r="F532" s="470">
        <v>45780</v>
      </c>
      <c r="G532" s="35" t="s">
        <v>75</v>
      </c>
      <c r="H532" s="35" t="str">
        <f>IFERROR(_xlfn.XLOOKUP(Table6[[#This Row],[Affected WTG]],'Basic Data'!$A:$A,'Basic Data'!$B:$B),"")</f>
        <v>TQGXIIPL</v>
      </c>
      <c r="I532" s="35" t="str">
        <f>IFERROR(_xlfn.XLOOKUP(Table6[[#This Row],[Affected WTG]],'Basic Data'!$A:$A,'Basic Data'!$C:$C),"")</f>
        <v>GEDA</v>
      </c>
      <c r="J532" s="471">
        <f>IFERROR(_xlfn.XLOOKUP(Table6[[#This Row],[Affected WTG]],'Basic Data'!$A:$A,'Basic Data'!$E:$E),"")</f>
        <v>3.846153846153845E-2</v>
      </c>
      <c r="K532" s="102">
        <v>550</v>
      </c>
      <c r="L532" s="35" t="str">
        <f>IFERROR(_xlfn.XLOOKUP(Table6[[#This Row],[Error Code]],'Basic Data'!$AA:$AA,'Basic Data'!$AB:$AB),"Incorrect Error Code")</f>
        <v>Pitch current asymmetry</v>
      </c>
      <c r="M532" s="35" t="s">
        <v>292</v>
      </c>
      <c r="N532" s="475"/>
      <c r="O532" s="476">
        <v>0.17569444444444443</v>
      </c>
      <c r="P532" s="476">
        <v>0.17569444444444443</v>
      </c>
      <c r="Q532" s="477">
        <v>0.17777777777777778</v>
      </c>
      <c r="R532" s="472">
        <f>IF(Table6[[#This Row],[Work Start TimeStamp]]="","",(Table6[[#This Row],[Work Start TimeStamp]]-Table6[[#This Row],[Fault Start TimeStamp]])*24)</f>
        <v>0</v>
      </c>
      <c r="S532" s="472">
        <f>(Table6[[#This Row],[Fault Clearance time]]-Table6[[#This Row],[Work Start TimeStamp]])*24</f>
        <v>5.0000000000000488E-2</v>
      </c>
      <c r="T532" s="472">
        <f>(Table6[[#This Row],[Fault Clearance time]]-Table6[[#This Row],[Fault Start TimeStamp]])*24</f>
        <v>5.0000000000000488E-2</v>
      </c>
      <c r="U532" s="35" t="s">
        <v>336</v>
      </c>
      <c r="V532" s="102" t="s">
        <v>293</v>
      </c>
      <c r="W532" s="478">
        <f>IFERROR(Table6[[#This Row],[Breakdown Time]]*Table6[[#This Row],[Plant Equivalent Weightage]],"")</f>
        <v>1.9230769230769412E-3</v>
      </c>
      <c r="X532" s="473" t="s">
        <v>294</v>
      </c>
      <c r="Y532" s="474" t="s">
        <v>78</v>
      </c>
      <c r="Z532" s="102">
        <v>50589</v>
      </c>
      <c r="AA532" s="468">
        <f>(Table6[[#This Row],[Paired WTG Generation for loss calculation]]/24)*Table6[[#This Row],[Breakdown Time]]</f>
        <v>105.39375000000103</v>
      </c>
      <c r="AB532" s="102"/>
      <c r="AC532" s="35"/>
      <c r="AD532" s="35"/>
    </row>
    <row r="533" spans="1:30">
      <c r="A533" s="102">
        <f t="shared" si="9"/>
        <v>532</v>
      </c>
      <c r="B533" s="468">
        <f>YEAR(Table6[[#This Row],[Date]])+IF(MONTH(Table6[[#This Row],[Date]])&gt;=4,1,0)</f>
        <v>2026</v>
      </c>
      <c r="C533" s="102">
        <f>YEAR(Table6[[#This Row],[Date]])</f>
        <v>2025</v>
      </c>
      <c r="D533" s="102" t="s">
        <v>1992</v>
      </c>
      <c r="E533" s="469">
        <f>Table6[[#This Row],[Date]]-DAY(Table6[[#This Row],[Date]])+1</f>
        <v>45778</v>
      </c>
      <c r="F533" s="470">
        <v>45780</v>
      </c>
      <c r="G533" s="35" t="s">
        <v>79</v>
      </c>
      <c r="H533" s="35" t="str">
        <f>IFERROR(_xlfn.XLOOKUP(Table6[[#This Row],[Affected WTG]],'Basic Data'!$A:$A,'Basic Data'!$B:$B),"")</f>
        <v>TQGXIIPL</v>
      </c>
      <c r="I533" s="35" t="str">
        <f>IFERROR(_xlfn.XLOOKUP(Table6[[#This Row],[Affected WTG]],'Basic Data'!$A:$A,'Basic Data'!$C:$C),"")</f>
        <v>GEDA</v>
      </c>
      <c r="J533" s="471">
        <f>IFERROR(_xlfn.XLOOKUP(Table6[[#This Row],[Affected WTG]],'Basic Data'!$A:$A,'Basic Data'!$E:$E),"")</f>
        <v>3.846153846153845E-2</v>
      </c>
      <c r="K533" s="102">
        <v>175</v>
      </c>
      <c r="L533" s="35" t="str">
        <f>IFERROR(_xlfn.XLOOKUP(Table6[[#This Row],[Error Code]],'Basic Data'!$AA:$AA,'Basic Data'!$AB:$AB),"Incorrect Error Code")</f>
        <v>SLC error</v>
      </c>
      <c r="M533" s="35" t="s">
        <v>291</v>
      </c>
      <c r="N533" s="475"/>
      <c r="O533" s="476">
        <v>0.60833333333333328</v>
      </c>
      <c r="P533" s="476">
        <v>0.60833333333333328</v>
      </c>
      <c r="Q533" s="477">
        <v>0.62083333333333335</v>
      </c>
      <c r="R533" s="472">
        <f>IF(Table6[[#This Row],[Work Start TimeStamp]]="","",(Table6[[#This Row],[Work Start TimeStamp]]-Table6[[#This Row],[Fault Start TimeStamp]])*24)</f>
        <v>0</v>
      </c>
      <c r="S533" s="472">
        <f>(Table6[[#This Row],[Fault Clearance time]]-Table6[[#This Row],[Work Start TimeStamp]])*24</f>
        <v>0.3000000000000016</v>
      </c>
      <c r="T533" s="472">
        <f>(Table6[[#This Row],[Fault Clearance time]]-Table6[[#This Row],[Fault Start TimeStamp]])*24</f>
        <v>0.3000000000000016</v>
      </c>
      <c r="U533" s="35" t="s">
        <v>382</v>
      </c>
      <c r="V533" s="102" t="s">
        <v>293</v>
      </c>
      <c r="W533" s="478">
        <f>IFERROR(Table6[[#This Row],[Breakdown Time]]*Table6[[#This Row],[Plant Equivalent Weightage]],"")</f>
        <v>1.1538461538461596E-2</v>
      </c>
      <c r="X533" s="473" t="s">
        <v>294</v>
      </c>
      <c r="Y533" s="474" t="s">
        <v>94</v>
      </c>
      <c r="Z533" s="102">
        <v>47180</v>
      </c>
      <c r="AA533" s="468">
        <f>(Table6[[#This Row],[Paired WTG Generation for loss calculation]]/24)*Table6[[#This Row],[Breakdown Time]]</f>
        <v>589.75000000000307</v>
      </c>
      <c r="AB533" s="102"/>
      <c r="AC533" s="35"/>
      <c r="AD533" s="35"/>
    </row>
    <row r="534" spans="1:30">
      <c r="A534" s="102">
        <f t="shared" si="9"/>
        <v>533</v>
      </c>
      <c r="B534" s="468">
        <f>YEAR(Table6[[#This Row],[Date]])+IF(MONTH(Table6[[#This Row],[Date]])&gt;=4,1,0)</f>
        <v>2026</v>
      </c>
      <c r="C534" s="102">
        <f>YEAR(Table6[[#This Row],[Date]])</f>
        <v>2025</v>
      </c>
      <c r="D534" s="102" t="s">
        <v>1992</v>
      </c>
      <c r="E534" s="469">
        <f>Table6[[#This Row],[Date]]-DAY(Table6[[#This Row],[Date]])+1</f>
        <v>45778</v>
      </c>
      <c r="F534" s="470">
        <v>45780</v>
      </c>
      <c r="G534" s="35" t="s">
        <v>79</v>
      </c>
      <c r="H534" s="35" t="str">
        <f>IFERROR(_xlfn.XLOOKUP(Table6[[#This Row],[Affected WTG]],'Basic Data'!$A:$A,'Basic Data'!$B:$B),"")</f>
        <v>TQGXIIPL</v>
      </c>
      <c r="I534" s="35" t="str">
        <f>IFERROR(_xlfn.XLOOKUP(Table6[[#This Row],[Affected WTG]],'Basic Data'!$A:$A,'Basic Data'!$C:$C),"")</f>
        <v>GEDA</v>
      </c>
      <c r="J534" s="471">
        <f>IFERROR(_xlfn.XLOOKUP(Table6[[#This Row],[Affected WTG]],'Basic Data'!$A:$A,'Basic Data'!$E:$E),"")</f>
        <v>3.846153846153845E-2</v>
      </c>
      <c r="K534" s="102">
        <v>175</v>
      </c>
      <c r="L534" s="35" t="str">
        <f>IFERROR(_xlfn.XLOOKUP(Table6[[#This Row],[Error Code]],'Basic Data'!$AA:$AA,'Basic Data'!$AB:$AB),"Incorrect Error Code")</f>
        <v>SLC error</v>
      </c>
      <c r="M534" s="35" t="s">
        <v>291</v>
      </c>
      <c r="N534" s="475"/>
      <c r="O534" s="476">
        <v>0.67638888888888893</v>
      </c>
      <c r="P534" s="476">
        <v>0.69027777777777777</v>
      </c>
      <c r="Q534" s="477">
        <v>0.71527777777777779</v>
      </c>
      <c r="R534" s="472">
        <f>IF(Table6[[#This Row],[Work Start TimeStamp]]="","",(Table6[[#This Row],[Work Start TimeStamp]]-Table6[[#This Row],[Fault Start TimeStamp]])*24)</f>
        <v>0.33333333333333215</v>
      </c>
      <c r="S534" s="472">
        <f>(Table6[[#This Row],[Fault Clearance time]]-Table6[[#This Row],[Work Start TimeStamp]])*24</f>
        <v>0.60000000000000053</v>
      </c>
      <c r="T534" s="472">
        <f>(Table6[[#This Row],[Fault Clearance time]]-Table6[[#This Row],[Fault Start TimeStamp]])*24</f>
        <v>0.93333333333333268</v>
      </c>
      <c r="U534" s="35" t="s">
        <v>1750</v>
      </c>
      <c r="V534" s="102" t="s">
        <v>293</v>
      </c>
      <c r="W534" s="478">
        <f>IFERROR(Table6[[#This Row],[Breakdown Time]]*Table6[[#This Row],[Plant Equivalent Weightage]],"")</f>
        <v>3.589743589743586E-2</v>
      </c>
      <c r="X534" s="473" t="s">
        <v>290</v>
      </c>
      <c r="Y534" s="474" t="s">
        <v>94</v>
      </c>
      <c r="Z534" s="102">
        <v>47180</v>
      </c>
      <c r="AA534" s="468">
        <f>(Table6[[#This Row],[Paired WTG Generation for loss calculation]]/24)*Table6[[#This Row],[Breakdown Time]]</f>
        <v>1834.7777777777765</v>
      </c>
      <c r="AB534" s="102"/>
      <c r="AC534" s="35"/>
      <c r="AD534" s="35"/>
    </row>
    <row r="535" spans="1:30">
      <c r="A535" s="102">
        <f t="shared" si="9"/>
        <v>534</v>
      </c>
      <c r="B535" s="468">
        <f>YEAR(Table6[[#This Row],[Date]])+IF(MONTH(Table6[[#This Row],[Date]])&gt;=4,1,0)</f>
        <v>2026</v>
      </c>
      <c r="C535" s="102">
        <f>YEAR(Table6[[#This Row],[Date]])</f>
        <v>2025</v>
      </c>
      <c r="D535" s="102" t="s">
        <v>1992</v>
      </c>
      <c r="E535" s="469">
        <f>Table6[[#This Row],[Date]]-DAY(Table6[[#This Row],[Date]])+1</f>
        <v>45778</v>
      </c>
      <c r="F535" s="470">
        <v>45780</v>
      </c>
      <c r="G535" s="35" t="s">
        <v>81</v>
      </c>
      <c r="H535" s="35" t="str">
        <f>IFERROR(_xlfn.XLOOKUP(Table6[[#This Row],[Affected WTG]],'Basic Data'!$A:$A,'Basic Data'!$B:$B),"")</f>
        <v>TQGXIIPL</v>
      </c>
      <c r="I535" s="35" t="str">
        <f>IFERROR(_xlfn.XLOOKUP(Table6[[#This Row],[Affected WTG]],'Basic Data'!$A:$A,'Basic Data'!$C:$C),"")</f>
        <v>GEDA</v>
      </c>
      <c r="J535" s="471">
        <f>IFERROR(_xlfn.XLOOKUP(Table6[[#This Row],[Affected WTG]],'Basic Data'!$A:$A,'Basic Data'!$E:$E),"")</f>
        <v>3.846153846153845E-2</v>
      </c>
      <c r="K535" s="102">
        <v>6605</v>
      </c>
      <c r="L535" s="35" t="str">
        <f>IFERROR(_xlfn.XLOOKUP(Table6[[#This Row],[Error Code]],'Basic Data'!$AA:$AA,'Basic Data'!$AB:$AB),"Incorrect Error Code")</f>
        <v>Wind.dir. diff. level 2</v>
      </c>
      <c r="M535" s="35" t="s">
        <v>291</v>
      </c>
      <c r="N535" s="475"/>
      <c r="O535" s="476">
        <v>0.35902777777777778</v>
      </c>
      <c r="P535" s="476">
        <v>0.35902777777777778</v>
      </c>
      <c r="Q535" s="477">
        <v>0.36249999999999999</v>
      </c>
      <c r="R535" s="472">
        <f>IF(Table6[[#This Row],[Work Start TimeStamp]]="","",(Table6[[#This Row],[Work Start TimeStamp]]-Table6[[#This Row],[Fault Start TimeStamp]])*24)</f>
        <v>0</v>
      </c>
      <c r="S535" s="472">
        <f>(Table6[[#This Row],[Fault Clearance time]]-Table6[[#This Row],[Work Start TimeStamp]])*24</f>
        <v>8.3333333333333037E-2</v>
      </c>
      <c r="T535" s="472">
        <f>(Table6[[#This Row],[Fault Clearance time]]-Table6[[#This Row],[Fault Start TimeStamp]])*24</f>
        <v>8.3333333333333037E-2</v>
      </c>
      <c r="U535" s="35" t="s">
        <v>349</v>
      </c>
      <c r="V535" s="102" t="s">
        <v>293</v>
      </c>
      <c r="W535" s="478">
        <f>IFERROR(Table6[[#This Row],[Breakdown Time]]*Table6[[#This Row],[Plant Equivalent Weightage]],"")</f>
        <v>3.2051282051281929E-3</v>
      </c>
      <c r="X535" s="473" t="s">
        <v>294</v>
      </c>
      <c r="Y535" s="474" t="s">
        <v>99</v>
      </c>
      <c r="Z535" s="102">
        <v>43445</v>
      </c>
      <c r="AA535" s="468">
        <f>(Table6[[#This Row],[Paired WTG Generation for loss calculation]]/24)*Table6[[#This Row],[Breakdown Time]]</f>
        <v>150.85069444444389</v>
      </c>
      <c r="AB535" s="102"/>
      <c r="AC535" s="35"/>
      <c r="AD535" s="35"/>
    </row>
    <row r="536" spans="1:30">
      <c r="A536" s="102">
        <f t="shared" si="9"/>
        <v>535</v>
      </c>
      <c r="B536" s="468">
        <f>YEAR(Table6[[#This Row],[Date]])+IF(MONTH(Table6[[#This Row],[Date]])&gt;=4,1,0)</f>
        <v>2026</v>
      </c>
      <c r="C536" s="102">
        <f>YEAR(Table6[[#This Row],[Date]])</f>
        <v>2025</v>
      </c>
      <c r="D536" s="102" t="s">
        <v>1992</v>
      </c>
      <c r="E536" s="469">
        <f>Table6[[#This Row],[Date]]-DAY(Table6[[#This Row],[Date]])+1</f>
        <v>45778</v>
      </c>
      <c r="F536" s="470">
        <v>45780</v>
      </c>
      <c r="G536" s="35" t="s">
        <v>81</v>
      </c>
      <c r="H536" s="35" t="str">
        <f>IFERROR(_xlfn.XLOOKUP(Table6[[#This Row],[Affected WTG]],'Basic Data'!$A:$A,'Basic Data'!$B:$B),"")</f>
        <v>TQGXIIPL</v>
      </c>
      <c r="I536" s="35" t="str">
        <f>IFERROR(_xlfn.XLOOKUP(Table6[[#This Row],[Affected WTG]],'Basic Data'!$A:$A,'Basic Data'!$C:$C),"")</f>
        <v>GEDA</v>
      </c>
      <c r="J536" s="471">
        <f>IFERROR(_xlfn.XLOOKUP(Table6[[#This Row],[Affected WTG]],'Basic Data'!$A:$A,'Basic Data'!$E:$E),"")</f>
        <v>3.846153846153845E-2</v>
      </c>
      <c r="K536" s="102">
        <v>6605</v>
      </c>
      <c r="L536" s="35" t="str">
        <f>IFERROR(_xlfn.XLOOKUP(Table6[[#This Row],[Error Code]],'Basic Data'!$AA:$AA,'Basic Data'!$AB:$AB),"Incorrect Error Code")</f>
        <v>Wind.dir. diff. level 2</v>
      </c>
      <c r="M536" s="35" t="s">
        <v>291</v>
      </c>
      <c r="N536" s="475"/>
      <c r="O536" s="476">
        <v>0.67638888888888893</v>
      </c>
      <c r="P536" s="476">
        <v>0.67638888888888893</v>
      </c>
      <c r="Q536" s="477">
        <v>0.68125000000000002</v>
      </c>
      <c r="R536" s="472">
        <f>IF(Table6[[#This Row],[Work Start TimeStamp]]="","",(Table6[[#This Row],[Work Start TimeStamp]]-Table6[[#This Row],[Fault Start TimeStamp]])*24)</f>
        <v>0</v>
      </c>
      <c r="S536" s="472">
        <f>(Table6[[#This Row],[Fault Clearance time]]-Table6[[#This Row],[Work Start TimeStamp]])*24</f>
        <v>0.11666666666666625</v>
      </c>
      <c r="T536" s="472">
        <f>(Table6[[#This Row],[Fault Clearance time]]-Table6[[#This Row],[Fault Start TimeStamp]])*24</f>
        <v>0.11666666666666625</v>
      </c>
      <c r="U536" s="35" t="s">
        <v>349</v>
      </c>
      <c r="V536" s="102" t="s">
        <v>293</v>
      </c>
      <c r="W536" s="478">
        <f>IFERROR(Table6[[#This Row],[Breakdown Time]]*Table6[[#This Row],[Plant Equivalent Weightage]],"")</f>
        <v>4.4871794871794695E-3</v>
      </c>
      <c r="X536" s="473" t="s">
        <v>294</v>
      </c>
      <c r="Y536" s="474" t="s">
        <v>99</v>
      </c>
      <c r="Z536" s="102">
        <v>43445</v>
      </c>
      <c r="AA536" s="468">
        <f>(Table6[[#This Row],[Paired WTG Generation for loss calculation]]/24)*Table6[[#This Row],[Breakdown Time]]</f>
        <v>211.19097222222146</v>
      </c>
      <c r="AB536" s="102"/>
      <c r="AC536" s="35"/>
      <c r="AD536" s="35"/>
    </row>
    <row r="537" spans="1:30">
      <c r="A537" s="102">
        <f t="shared" si="9"/>
        <v>536</v>
      </c>
      <c r="B537" s="468">
        <f>YEAR(Table6[[#This Row],[Date]])+IF(MONTH(Table6[[#This Row],[Date]])&gt;=4,1,0)</f>
        <v>2026</v>
      </c>
      <c r="C537" s="102">
        <f>YEAR(Table6[[#This Row],[Date]])</f>
        <v>2025</v>
      </c>
      <c r="D537" s="102" t="s">
        <v>1992</v>
      </c>
      <c r="E537" s="469">
        <f>Table6[[#This Row],[Date]]-DAY(Table6[[#This Row],[Date]])+1</f>
        <v>45778</v>
      </c>
      <c r="F537" s="470">
        <v>45780</v>
      </c>
      <c r="G537" s="35" t="s">
        <v>81</v>
      </c>
      <c r="H537" s="35" t="str">
        <f>IFERROR(_xlfn.XLOOKUP(Table6[[#This Row],[Affected WTG]],'Basic Data'!$A:$A,'Basic Data'!$B:$B),"")</f>
        <v>TQGXIIPL</v>
      </c>
      <c r="I537" s="35" t="str">
        <f>IFERROR(_xlfn.XLOOKUP(Table6[[#This Row],[Affected WTG]],'Basic Data'!$A:$A,'Basic Data'!$C:$C),"")</f>
        <v>GEDA</v>
      </c>
      <c r="J537" s="471">
        <f>IFERROR(_xlfn.XLOOKUP(Table6[[#This Row],[Affected WTG]],'Basic Data'!$A:$A,'Basic Data'!$E:$E),"")</f>
        <v>3.846153846153845E-2</v>
      </c>
      <c r="K537" s="102">
        <v>6130</v>
      </c>
      <c r="L537" s="35" t="str">
        <f>IFERROR(_xlfn.XLOOKUP(Table6[[#This Row],[Error Code]],'Basic Data'!$AA:$AA,'Basic Data'!$AB:$AB),"Incorrect Error Code")</f>
        <v>Yaw speed high</v>
      </c>
      <c r="M537" s="35" t="s">
        <v>292</v>
      </c>
      <c r="N537" s="475"/>
      <c r="O537" s="476">
        <v>0.99444444444444446</v>
      </c>
      <c r="P537" s="476">
        <v>0.99444444444444446</v>
      </c>
      <c r="Q537" s="477">
        <v>0.99791666666666667</v>
      </c>
      <c r="R537" s="472">
        <f>IF(Table6[[#This Row],[Work Start TimeStamp]]="","",(Table6[[#This Row],[Work Start TimeStamp]]-Table6[[#This Row],[Fault Start TimeStamp]])*24)</f>
        <v>0</v>
      </c>
      <c r="S537" s="472">
        <f>(Table6[[#This Row],[Fault Clearance time]]-Table6[[#This Row],[Work Start TimeStamp]])*24</f>
        <v>8.3333333333333037E-2</v>
      </c>
      <c r="T537" s="472">
        <f>(Table6[[#This Row],[Fault Clearance time]]-Table6[[#This Row],[Fault Start TimeStamp]])*24</f>
        <v>8.3333333333333037E-2</v>
      </c>
      <c r="U537" s="35" t="s">
        <v>336</v>
      </c>
      <c r="V537" s="102" t="s">
        <v>293</v>
      </c>
      <c r="W537" s="478">
        <f>IFERROR(Table6[[#This Row],[Breakdown Time]]*Table6[[#This Row],[Plant Equivalent Weightage]],"")</f>
        <v>3.2051282051281929E-3</v>
      </c>
      <c r="X537" s="473" t="s">
        <v>294</v>
      </c>
      <c r="Y537" s="474" t="s">
        <v>99</v>
      </c>
      <c r="Z537" s="102">
        <v>43445</v>
      </c>
      <c r="AA537" s="468">
        <f>(Table6[[#This Row],[Paired WTG Generation for loss calculation]]/24)*Table6[[#This Row],[Breakdown Time]]</f>
        <v>150.85069444444389</v>
      </c>
      <c r="AB537" s="102"/>
      <c r="AC537" s="35"/>
      <c r="AD537" s="35"/>
    </row>
    <row r="538" spans="1:30">
      <c r="A538" s="102">
        <f t="shared" si="9"/>
        <v>537</v>
      </c>
      <c r="B538" s="468">
        <f>YEAR(Table6[[#This Row],[Date]])+IF(MONTH(Table6[[#This Row],[Date]])&gt;=4,1,0)</f>
        <v>2026</v>
      </c>
      <c r="C538" s="102">
        <f>YEAR(Table6[[#This Row],[Date]])</f>
        <v>2025</v>
      </c>
      <c r="D538" s="102" t="s">
        <v>1992</v>
      </c>
      <c r="E538" s="469">
        <f>Table6[[#This Row],[Date]]-DAY(Table6[[#This Row],[Date]])+1</f>
        <v>45778</v>
      </c>
      <c r="F538" s="470">
        <v>45780</v>
      </c>
      <c r="G538" s="35" t="s">
        <v>84</v>
      </c>
      <c r="H538" s="35" t="str">
        <f>IFERROR(_xlfn.XLOOKUP(Table6[[#This Row],[Affected WTG]],'Basic Data'!$A:$A,'Basic Data'!$B:$B),"")</f>
        <v>TQGXIIPL</v>
      </c>
      <c r="I538" s="35" t="str">
        <f>IFERROR(_xlfn.XLOOKUP(Table6[[#This Row],[Affected WTG]],'Basic Data'!$A:$A,'Basic Data'!$C:$C),"")</f>
        <v>GEDA</v>
      </c>
      <c r="J538" s="471">
        <f>IFERROR(_xlfn.XLOOKUP(Table6[[#This Row],[Affected WTG]],'Basic Data'!$A:$A,'Basic Data'!$E:$E),"")</f>
        <v>3.846153846153845E-2</v>
      </c>
      <c r="K538" s="102">
        <v>6130</v>
      </c>
      <c r="L538" s="35" t="str">
        <f>IFERROR(_xlfn.XLOOKUP(Table6[[#This Row],[Error Code]],'Basic Data'!$AA:$AA,'Basic Data'!$AB:$AB),"Incorrect Error Code")</f>
        <v>Yaw speed high</v>
      </c>
      <c r="M538" s="35" t="s">
        <v>292</v>
      </c>
      <c r="N538" s="475"/>
      <c r="O538" s="476">
        <v>0.625</v>
      </c>
      <c r="P538" s="476">
        <v>0.625</v>
      </c>
      <c r="Q538" s="477">
        <v>0.62916666666666665</v>
      </c>
      <c r="R538" s="472">
        <f>IF(Table6[[#This Row],[Work Start TimeStamp]]="","",(Table6[[#This Row],[Work Start TimeStamp]]-Table6[[#This Row],[Fault Start TimeStamp]])*24)</f>
        <v>0</v>
      </c>
      <c r="S538" s="472">
        <f>(Table6[[#This Row],[Fault Clearance time]]-Table6[[#This Row],[Work Start TimeStamp]])*24</f>
        <v>9.9999999999999645E-2</v>
      </c>
      <c r="T538" s="472">
        <f>(Table6[[#This Row],[Fault Clearance time]]-Table6[[#This Row],[Fault Start TimeStamp]])*24</f>
        <v>9.9999999999999645E-2</v>
      </c>
      <c r="U538" s="35" t="s">
        <v>336</v>
      </c>
      <c r="V538" s="102" t="s">
        <v>293</v>
      </c>
      <c r="W538" s="478">
        <f>IFERROR(Table6[[#This Row],[Breakdown Time]]*Table6[[#This Row],[Plant Equivalent Weightage]],"")</f>
        <v>3.8461538461538312E-3</v>
      </c>
      <c r="X538" s="473" t="s">
        <v>294</v>
      </c>
      <c r="Y538" s="474" t="s">
        <v>85</v>
      </c>
      <c r="Z538" s="102">
        <v>43049</v>
      </c>
      <c r="AA538" s="468">
        <f>(Table6[[#This Row],[Paired WTG Generation for loss calculation]]/24)*Table6[[#This Row],[Breakdown Time]]</f>
        <v>179.37083333333268</v>
      </c>
      <c r="AB538" s="102"/>
      <c r="AC538" s="35"/>
      <c r="AD538" s="35"/>
    </row>
    <row r="539" spans="1:30">
      <c r="A539" s="102">
        <f t="shared" si="9"/>
        <v>538</v>
      </c>
      <c r="B539" s="468">
        <f>YEAR(Table6[[#This Row],[Date]])+IF(MONTH(Table6[[#This Row],[Date]])&gt;=4,1,0)</f>
        <v>2026</v>
      </c>
      <c r="C539" s="102">
        <f>YEAR(Table6[[#This Row],[Date]])</f>
        <v>2025</v>
      </c>
      <c r="D539" s="102" t="s">
        <v>1992</v>
      </c>
      <c r="E539" s="469">
        <f>Table6[[#This Row],[Date]]-DAY(Table6[[#This Row],[Date]])+1</f>
        <v>45778</v>
      </c>
      <c r="F539" s="470">
        <v>45780</v>
      </c>
      <c r="G539" s="35" t="s">
        <v>86</v>
      </c>
      <c r="H539" s="35" t="str">
        <f>IFERROR(_xlfn.XLOOKUP(Table6[[#This Row],[Affected WTG]],'Basic Data'!$A:$A,'Basic Data'!$B:$B),"")</f>
        <v>TQGXIIPL</v>
      </c>
      <c r="I539" s="35" t="str">
        <f>IFERROR(_xlfn.XLOOKUP(Table6[[#This Row],[Affected WTG]],'Basic Data'!$A:$A,'Basic Data'!$C:$C),"")</f>
        <v>GEDA</v>
      </c>
      <c r="J539" s="471">
        <f>IFERROR(_xlfn.XLOOKUP(Table6[[#This Row],[Affected WTG]],'Basic Data'!$A:$A,'Basic Data'!$E:$E),"")</f>
        <v>3.846153846153845E-2</v>
      </c>
      <c r="K539" s="102">
        <v>6130</v>
      </c>
      <c r="L539" s="35" t="str">
        <f>IFERROR(_xlfn.XLOOKUP(Table6[[#This Row],[Error Code]],'Basic Data'!$AA:$AA,'Basic Data'!$AB:$AB),"Incorrect Error Code")</f>
        <v>Yaw speed high</v>
      </c>
      <c r="M539" s="35" t="s">
        <v>292</v>
      </c>
      <c r="N539" s="475"/>
      <c r="O539" s="476">
        <v>0.66736111111111107</v>
      </c>
      <c r="P539" s="476">
        <v>0.66736111111111107</v>
      </c>
      <c r="Q539" s="477">
        <v>0.67013888888888884</v>
      </c>
      <c r="R539" s="472">
        <f>IF(Table6[[#This Row],[Work Start TimeStamp]]="","",(Table6[[#This Row],[Work Start TimeStamp]]-Table6[[#This Row],[Fault Start TimeStamp]])*24)</f>
        <v>0</v>
      </c>
      <c r="S539" s="472">
        <f>(Table6[[#This Row],[Fault Clearance time]]-Table6[[#This Row],[Work Start TimeStamp]])*24</f>
        <v>6.666666666666643E-2</v>
      </c>
      <c r="T539" s="472">
        <f>(Table6[[#This Row],[Fault Clearance time]]-Table6[[#This Row],[Fault Start TimeStamp]])*24</f>
        <v>6.666666666666643E-2</v>
      </c>
      <c r="U539" s="35" t="s">
        <v>336</v>
      </c>
      <c r="V539" s="102" t="s">
        <v>293</v>
      </c>
      <c r="W539" s="478">
        <f>IFERROR(Table6[[#This Row],[Breakdown Time]]*Table6[[#This Row],[Plant Equivalent Weightage]],"")</f>
        <v>2.5641025641025541E-3</v>
      </c>
      <c r="X539" s="473" t="s">
        <v>294</v>
      </c>
      <c r="Y539" s="474" t="s">
        <v>84</v>
      </c>
      <c r="Z539" s="102">
        <v>41617</v>
      </c>
      <c r="AA539" s="468">
        <f>(Table6[[#This Row],[Paired WTG Generation for loss calculation]]/24)*Table6[[#This Row],[Breakdown Time]]</f>
        <v>115.60277777777738</v>
      </c>
      <c r="AB539" s="102"/>
      <c r="AC539" s="35"/>
      <c r="AD539" s="35"/>
    </row>
    <row r="540" spans="1:30">
      <c r="A540" s="102">
        <f t="shared" si="9"/>
        <v>539</v>
      </c>
      <c r="B540" s="468">
        <f>YEAR(Table6[[#This Row],[Date]])+IF(MONTH(Table6[[#This Row],[Date]])&gt;=4,1,0)</f>
        <v>2026</v>
      </c>
      <c r="C540" s="102">
        <f>YEAR(Table6[[#This Row],[Date]])</f>
        <v>2025</v>
      </c>
      <c r="D540" s="102" t="s">
        <v>1992</v>
      </c>
      <c r="E540" s="469">
        <f>Table6[[#This Row],[Date]]-DAY(Table6[[#This Row],[Date]])+1</f>
        <v>45778</v>
      </c>
      <c r="F540" s="470">
        <v>45780</v>
      </c>
      <c r="G540" s="35" t="s">
        <v>91</v>
      </c>
      <c r="H540" s="35" t="str">
        <f>IFERROR(_xlfn.XLOOKUP(Table6[[#This Row],[Affected WTG]],'Basic Data'!$A:$A,'Basic Data'!$B:$B),"")</f>
        <v>TQGXIIPL</v>
      </c>
      <c r="I540" s="35" t="str">
        <f>IFERROR(_xlfn.XLOOKUP(Table6[[#This Row],[Affected WTG]],'Basic Data'!$A:$A,'Basic Data'!$C:$C),"")</f>
        <v>GEDA</v>
      </c>
      <c r="J540" s="471">
        <f>IFERROR(_xlfn.XLOOKUP(Table6[[#This Row],[Affected WTG]],'Basic Data'!$A:$A,'Basic Data'!$E:$E),"")</f>
        <v>3.846153846153845E-2</v>
      </c>
      <c r="K540" s="102">
        <v>175</v>
      </c>
      <c r="L540" s="35" t="str">
        <f>IFERROR(_xlfn.XLOOKUP(Table6[[#This Row],[Error Code]],'Basic Data'!$AA:$AA,'Basic Data'!$AB:$AB),"Incorrect Error Code")</f>
        <v>SLC error</v>
      </c>
      <c r="M540" s="35" t="s">
        <v>292</v>
      </c>
      <c r="N540" s="475"/>
      <c r="O540" s="476">
        <v>0.63194444444444442</v>
      </c>
      <c r="P540" s="476">
        <v>0.63194444444444442</v>
      </c>
      <c r="Q540" s="477">
        <v>0.64027777777777772</v>
      </c>
      <c r="R540" s="472">
        <f>IF(Table6[[#This Row],[Work Start TimeStamp]]="","",(Table6[[#This Row],[Work Start TimeStamp]]-Table6[[#This Row],[Fault Start TimeStamp]])*24)</f>
        <v>0</v>
      </c>
      <c r="S540" s="472">
        <f>(Table6[[#This Row],[Fault Clearance time]]-Table6[[#This Row],[Work Start TimeStamp]])*24</f>
        <v>0.19999999999999929</v>
      </c>
      <c r="T540" s="472">
        <f>(Table6[[#This Row],[Fault Clearance time]]-Table6[[#This Row],[Fault Start TimeStamp]])*24</f>
        <v>0.19999999999999929</v>
      </c>
      <c r="U540" s="35" t="s">
        <v>336</v>
      </c>
      <c r="V540" s="102" t="s">
        <v>293</v>
      </c>
      <c r="W540" s="478">
        <f>IFERROR(Table6[[#This Row],[Breakdown Time]]*Table6[[#This Row],[Plant Equivalent Weightage]],"")</f>
        <v>7.6923076923076624E-3</v>
      </c>
      <c r="X540" s="473" t="s">
        <v>294</v>
      </c>
      <c r="Y540" s="474" t="s">
        <v>79</v>
      </c>
      <c r="Z540" s="102">
        <v>39457</v>
      </c>
      <c r="AA540" s="468">
        <f>(Table6[[#This Row],[Paired WTG Generation for loss calculation]]/24)*Table6[[#This Row],[Breakdown Time]]</f>
        <v>328.8083333333322</v>
      </c>
      <c r="AB540" s="102"/>
      <c r="AC540" s="35"/>
      <c r="AD540" s="35"/>
    </row>
    <row r="541" spans="1:30">
      <c r="A541" s="102">
        <f t="shared" si="9"/>
        <v>540</v>
      </c>
      <c r="B541" s="468">
        <f>YEAR(Table6[[#This Row],[Date]])+IF(MONTH(Table6[[#This Row],[Date]])&gt;=4,1,0)</f>
        <v>2026</v>
      </c>
      <c r="C541" s="102">
        <f>YEAR(Table6[[#This Row],[Date]])</f>
        <v>2025</v>
      </c>
      <c r="D541" s="102" t="s">
        <v>1992</v>
      </c>
      <c r="E541" s="469">
        <f>Table6[[#This Row],[Date]]-DAY(Table6[[#This Row],[Date]])+1</f>
        <v>45778</v>
      </c>
      <c r="F541" s="470">
        <v>45780</v>
      </c>
      <c r="G541" s="35" t="s">
        <v>91</v>
      </c>
      <c r="H541" s="35" t="str">
        <f>IFERROR(_xlfn.XLOOKUP(Table6[[#This Row],[Affected WTG]],'Basic Data'!$A:$A,'Basic Data'!$B:$B),"")</f>
        <v>TQGXIIPL</v>
      </c>
      <c r="I541" s="35" t="str">
        <f>IFERROR(_xlfn.XLOOKUP(Table6[[#This Row],[Affected WTG]],'Basic Data'!$A:$A,'Basic Data'!$C:$C),"")</f>
        <v>GEDA</v>
      </c>
      <c r="J541" s="471">
        <f>IFERROR(_xlfn.XLOOKUP(Table6[[#This Row],[Affected WTG]],'Basic Data'!$A:$A,'Basic Data'!$E:$E),"")</f>
        <v>3.846153846153845E-2</v>
      </c>
      <c r="K541" s="102">
        <v>175</v>
      </c>
      <c r="L541" s="35" t="str">
        <f>IFERROR(_xlfn.XLOOKUP(Table6[[#This Row],[Error Code]],'Basic Data'!$AA:$AA,'Basic Data'!$AB:$AB),"Incorrect Error Code")</f>
        <v>SLC error</v>
      </c>
      <c r="M541" s="35" t="s">
        <v>291</v>
      </c>
      <c r="N541" s="475"/>
      <c r="O541" s="476">
        <v>0.77777777777777779</v>
      </c>
      <c r="P541" s="476">
        <v>0.77777777777777779</v>
      </c>
      <c r="Q541" s="477">
        <v>0.84305555555555556</v>
      </c>
      <c r="R541" s="472">
        <f>IF(Table6[[#This Row],[Work Start TimeStamp]]="","",(Table6[[#This Row],[Work Start TimeStamp]]-Table6[[#This Row],[Fault Start TimeStamp]])*24)</f>
        <v>0</v>
      </c>
      <c r="S541" s="472">
        <f>(Table6[[#This Row],[Fault Clearance time]]-Table6[[#This Row],[Work Start TimeStamp]])*24</f>
        <v>1.5666666666666664</v>
      </c>
      <c r="T541" s="472">
        <f>(Table6[[#This Row],[Fault Clearance time]]-Table6[[#This Row],[Fault Start TimeStamp]])*24</f>
        <v>1.5666666666666664</v>
      </c>
      <c r="U541" s="35" t="s">
        <v>348</v>
      </c>
      <c r="V541" s="102" t="s">
        <v>293</v>
      </c>
      <c r="W541" s="478">
        <f>IFERROR(Table6[[#This Row],[Breakdown Time]]*Table6[[#This Row],[Plant Equivalent Weightage]],"")</f>
        <v>6.025641025641023E-2</v>
      </c>
      <c r="X541" s="473" t="s">
        <v>290</v>
      </c>
      <c r="Y541" s="474" t="s">
        <v>79</v>
      </c>
      <c r="Z541" s="102">
        <v>39457</v>
      </c>
      <c r="AA541" s="468">
        <f>(Table6[[#This Row],[Paired WTG Generation for loss calculation]]/24)*Table6[[#This Row],[Breakdown Time]]</f>
        <v>2575.6652777777776</v>
      </c>
      <c r="AB541" s="102"/>
      <c r="AC541" s="35"/>
      <c r="AD541" s="35"/>
    </row>
    <row r="542" spans="1:30">
      <c r="A542" s="102">
        <f t="shared" si="9"/>
        <v>541</v>
      </c>
      <c r="B542" s="468">
        <f>YEAR(Table6[[#This Row],[Date]])+IF(MONTH(Table6[[#This Row],[Date]])&gt;=4,1,0)</f>
        <v>2026</v>
      </c>
      <c r="C542" s="102">
        <f>YEAR(Table6[[#This Row],[Date]])</f>
        <v>2025</v>
      </c>
      <c r="D542" s="102" t="s">
        <v>1992</v>
      </c>
      <c r="E542" s="469">
        <f>Table6[[#This Row],[Date]]-DAY(Table6[[#This Row],[Date]])+1</f>
        <v>45778</v>
      </c>
      <c r="F542" s="470">
        <v>45780</v>
      </c>
      <c r="G542" s="35" t="s">
        <v>92</v>
      </c>
      <c r="H542" s="35" t="str">
        <f>IFERROR(_xlfn.XLOOKUP(Table6[[#This Row],[Affected WTG]],'Basic Data'!$A:$A,'Basic Data'!$B:$B),"")</f>
        <v>TQGXIIPL</v>
      </c>
      <c r="I542" s="35" t="str">
        <f>IFERROR(_xlfn.XLOOKUP(Table6[[#This Row],[Affected WTG]],'Basic Data'!$A:$A,'Basic Data'!$C:$C),"")</f>
        <v>GEDA</v>
      </c>
      <c r="J542" s="471">
        <f>IFERROR(_xlfn.XLOOKUP(Table6[[#This Row],[Affected WTG]],'Basic Data'!$A:$A,'Basic Data'!$E:$E),"")</f>
        <v>3.846153846153845E-2</v>
      </c>
      <c r="K542" s="102">
        <v>1700</v>
      </c>
      <c r="L542" s="35" t="str">
        <f>IFERROR(_xlfn.XLOOKUP(Table6[[#This Row],[Error Code]],'Basic Data'!$AA:$AA,'Basic Data'!$AB:$AB),"Incorrect Error Code")</f>
        <v>High temp. gear bearing 1</v>
      </c>
      <c r="M542" s="35" t="s">
        <v>291</v>
      </c>
      <c r="N542" s="475"/>
      <c r="O542" s="476">
        <v>0.68333333333333335</v>
      </c>
      <c r="P542" s="476">
        <v>0.68333333333333335</v>
      </c>
      <c r="Q542" s="477">
        <v>0.69722222222222219</v>
      </c>
      <c r="R542" s="472">
        <f>IF(Table6[[#This Row],[Work Start TimeStamp]]="","",(Table6[[#This Row],[Work Start TimeStamp]]-Table6[[#This Row],[Fault Start TimeStamp]])*24)</f>
        <v>0</v>
      </c>
      <c r="S542" s="472">
        <f>(Table6[[#This Row],[Fault Clearance time]]-Table6[[#This Row],[Work Start TimeStamp]])*24</f>
        <v>0.33333333333333215</v>
      </c>
      <c r="T542" s="472">
        <f>(Table6[[#This Row],[Fault Clearance time]]-Table6[[#This Row],[Fault Start TimeStamp]])*24</f>
        <v>0.33333333333333215</v>
      </c>
      <c r="U542" s="35" t="s">
        <v>382</v>
      </c>
      <c r="V542" s="102" t="s">
        <v>293</v>
      </c>
      <c r="W542" s="478">
        <f>IFERROR(Table6[[#This Row],[Breakdown Time]]*Table6[[#This Row],[Plant Equivalent Weightage]],"")</f>
        <v>1.2820512820512771E-2</v>
      </c>
      <c r="X542" s="473" t="s">
        <v>294</v>
      </c>
      <c r="Y542" s="474" t="s">
        <v>80</v>
      </c>
      <c r="Z542" s="102">
        <v>42306</v>
      </c>
      <c r="AA542" s="468">
        <f>(Table6[[#This Row],[Paired WTG Generation for loss calculation]]/24)*Table6[[#This Row],[Breakdown Time]]</f>
        <v>587.58333333333121</v>
      </c>
      <c r="AB542" s="102"/>
      <c r="AC542" s="35"/>
      <c r="AD542" s="35"/>
    </row>
    <row r="543" spans="1:30">
      <c r="A543" s="102">
        <f t="shared" si="9"/>
        <v>542</v>
      </c>
      <c r="B543" s="468">
        <f>YEAR(Table6[[#This Row],[Date]])+IF(MONTH(Table6[[#This Row],[Date]])&gt;=4,1,0)</f>
        <v>2026</v>
      </c>
      <c r="C543" s="102">
        <f>YEAR(Table6[[#This Row],[Date]])</f>
        <v>2025</v>
      </c>
      <c r="D543" s="102" t="s">
        <v>1992</v>
      </c>
      <c r="E543" s="469">
        <f>Table6[[#This Row],[Date]]-DAY(Table6[[#This Row],[Date]])+1</f>
        <v>45778</v>
      </c>
      <c r="F543" s="470">
        <v>45780</v>
      </c>
      <c r="G543" s="35" t="s">
        <v>81</v>
      </c>
      <c r="H543" s="35" t="str">
        <f>IFERROR(_xlfn.XLOOKUP(Table6[[#This Row],[Affected WTG]],'Basic Data'!$A:$A,'Basic Data'!$B:$B),"")</f>
        <v>TQGXIIPL</v>
      </c>
      <c r="I543" s="35" t="str">
        <f>IFERROR(_xlfn.XLOOKUP(Table6[[#This Row],[Affected WTG]],'Basic Data'!$A:$A,'Basic Data'!$C:$C),"")</f>
        <v>GEDA</v>
      </c>
      <c r="J543" s="471">
        <f>IFERROR(_xlfn.XLOOKUP(Table6[[#This Row],[Affected WTG]],'Basic Data'!$A:$A,'Basic Data'!$E:$E),"")</f>
        <v>3.846153846153845E-2</v>
      </c>
      <c r="K543" s="102">
        <v>55</v>
      </c>
      <c r="L543" s="35" t="str">
        <f>IFERROR(_xlfn.XLOOKUP(Table6[[#This Row],[Error Code]],'Basic Data'!$AA:$AA,'Basic Data'!$AB:$AB),"Incorrect Error Code")</f>
        <v>WTG shut down</v>
      </c>
      <c r="M543" s="35" t="s">
        <v>330</v>
      </c>
      <c r="N543" s="475"/>
      <c r="O543" s="476">
        <v>0.69791666666666663</v>
      </c>
      <c r="P543" s="476">
        <v>0.69791666666666663</v>
      </c>
      <c r="Q543" s="477">
        <v>0.9</v>
      </c>
      <c r="R543" s="472">
        <f>IF(Table6[[#This Row],[Work Start TimeStamp]]="","",(Table6[[#This Row],[Work Start TimeStamp]]-Table6[[#This Row],[Fault Start TimeStamp]])*24)</f>
        <v>0</v>
      </c>
      <c r="S543" s="472">
        <f>(Table6[[#This Row],[Fault Clearance time]]-Table6[[#This Row],[Work Start TimeStamp]])*24</f>
        <v>4.8500000000000014</v>
      </c>
      <c r="T543" s="472">
        <f>(Table6[[#This Row],[Fault Clearance time]]-Table6[[#This Row],[Fault Start TimeStamp]])*24</f>
        <v>4.8500000000000014</v>
      </c>
      <c r="U543" s="35" t="s">
        <v>1744</v>
      </c>
      <c r="V543" s="102" t="s">
        <v>293</v>
      </c>
      <c r="W543" s="478">
        <f>IFERROR(Table6[[#This Row],[Breakdown Time]]*Table6[[#This Row],[Plant Equivalent Weightage]],"")</f>
        <v>0.18653846153846154</v>
      </c>
      <c r="X543" s="473" t="s">
        <v>290</v>
      </c>
      <c r="Y543" s="474" t="s">
        <v>99</v>
      </c>
      <c r="Z543" s="102">
        <v>43445</v>
      </c>
      <c r="AA543" s="468">
        <f>(Table6[[#This Row],[Paired WTG Generation for loss calculation]]/24)*Table6[[#This Row],[Breakdown Time]]</f>
        <v>8779.5104166666697</v>
      </c>
      <c r="AB543" s="102"/>
      <c r="AC543" s="35"/>
      <c r="AD543" s="35"/>
    </row>
    <row r="544" spans="1:30">
      <c r="A544" s="102">
        <f t="shared" si="9"/>
        <v>543</v>
      </c>
      <c r="B544" s="468">
        <f>YEAR(Table6[[#This Row],[Date]])+IF(MONTH(Table6[[#This Row],[Date]])&gt;=4,1,0)</f>
        <v>2026</v>
      </c>
      <c r="C544" s="102">
        <f>YEAR(Table6[[#This Row],[Date]])</f>
        <v>2025</v>
      </c>
      <c r="D544" s="102" t="s">
        <v>1992</v>
      </c>
      <c r="E544" s="469">
        <f>Table6[[#This Row],[Date]]-DAY(Table6[[#This Row],[Date]])+1</f>
        <v>45778</v>
      </c>
      <c r="F544" s="470">
        <v>45780</v>
      </c>
      <c r="G544" s="35" t="s">
        <v>96</v>
      </c>
      <c r="H544" s="35" t="str">
        <f>IFERROR(_xlfn.XLOOKUP(Table6[[#This Row],[Affected WTG]],'Basic Data'!$A:$A,'Basic Data'!$B:$B),"")</f>
        <v>TQGXIIPL</v>
      </c>
      <c r="I544" s="35" t="str">
        <f>IFERROR(_xlfn.XLOOKUP(Table6[[#This Row],[Affected WTG]],'Basic Data'!$A:$A,'Basic Data'!$C:$C),"")</f>
        <v>GEDA</v>
      </c>
      <c r="J544" s="471">
        <f>IFERROR(_xlfn.XLOOKUP(Table6[[#This Row],[Affected WTG]],'Basic Data'!$A:$A,'Basic Data'!$E:$E),"")</f>
        <v>3.846153846153845E-2</v>
      </c>
      <c r="K544" s="102">
        <v>6130</v>
      </c>
      <c r="L544" s="35" t="str">
        <f>IFERROR(_xlfn.XLOOKUP(Table6[[#This Row],[Error Code]],'Basic Data'!$AA:$AA,'Basic Data'!$AB:$AB),"Incorrect Error Code")</f>
        <v>Yaw speed high</v>
      </c>
      <c r="M544" s="35" t="s">
        <v>291</v>
      </c>
      <c r="N544" s="475"/>
      <c r="O544" s="476">
        <v>0.68125000000000002</v>
      </c>
      <c r="P544" s="476">
        <v>0.68125000000000002</v>
      </c>
      <c r="Q544" s="477">
        <v>0.68611111111111112</v>
      </c>
      <c r="R544" s="472">
        <f>IF(Table6[[#This Row],[Work Start TimeStamp]]="","",(Table6[[#This Row],[Work Start TimeStamp]]-Table6[[#This Row],[Fault Start TimeStamp]])*24)</f>
        <v>0</v>
      </c>
      <c r="S544" s="472">
        <f>(Table6[[#This Row],[Fault Clearance time]]-Table6[[#This Row],[Work Start TimeStamp]])*24</f>
        <v>0.11666666666666625</v>
      </c>
      <c r="T544" s="472">
        <f>(Table6[[#This Row],[Fault Clearance time]]-Table6[[#This Row],[Fault Start TimeStamp]])*24</f>
        <v>0.11666666666666625</v>
      </c>
      <c r="U544" s="35" t="s">
        <v>336</v>
      </c>
      <c r="V544" s="102" t="s">
        <v>293</v>
      </c>
      <c r="W544" s="478">
        <f>IFERROR(Table6[[#This Row],[Breakdown Time]]*Table6[[#This Row],[Plant Equivalent Weightage]],"")</f>
        <v>4.4871794871794695E-3</v>
      </c>
      <c r="X544" s="473" t="s">
        <v>294</v>
      </c>
      <c r="Y544" s="474" t="s">
        <v>84</v>
      </c>
      <c r="Z544" s="102">
        <v>41617</v>
      </c>
      <c r="AA544" s="468">
        <f>(Table6[[#This Row],[Paired WTG Generation for loss calculation]]/24)*Table6[[#This Row],[Breakdown Time]]</f>
        <v>202.3048611111104</v>
      </c>
      <c r="AB544" s="102"/>
      <c r="AC544" s="35"/>
      <c r="AD544" s="35"/>
    </row>
    <row r="545" spans="1:30">
      <c r="A545" s="102">
        <f t="shared" si="9"/>
        <v>544</v>
      </c>
      <c r="B545" s="468">
        <f>YEAR(Table6[[#This Row],[Date]])+IF(MONTH(Table6[[#This Row],[Date]])&gt;=4,1,0)</f>
        <v>2026</v>
      </c>
      <c r="C545" s="102">
        <f>YEAR(Table6[[#This Row],[Date]])</f>
        <v>2025</v>
      </c>
      <c r="D545" s="102" t="s">
        <v>1992</v>
      </c>
      <c r="E545" s="469">
        <f>Table6[[#This Row],[Date]]-DAY(Table6[[#This Row],[Date]])+1</f>
        <v>45778</v>
      </c>
      <c r="F545" s="470">
        <v>45780</v>
      </c>
      <c r="G545" s="35" t="s">
        <v>97</v>
      </c>
      <c r="H545" s="35" t="str">
        <f>IFERROR(_xlfn.XLOOKUP(Table6[[#This Row],[Affected WTG]],'Basic Data'!$A:$A,'Basic Data'!$B:$B),"")</f>
        <v>TQGXIIPL</v>
      </c>
      <c r="I545" s="35" t="str">
        <f>IFERROR(_xlfn.XLOOKUP(Table6[[#This Row],[Affected WTG]],'Basic Data'!$A:$A,'Basic Data'!$C:$C),"")</f>
        <v>GEDA</v>
      </c>
      <c r="J545" s="471">
        <f>IFERROR(_xlfn.XLOOKUP(Table6[[#This Row],[Affected WTG]],'Basic Data'!$A:$A,'Basic Data'!$E:$E),"")</f>
        <v>3.846153846153845E-2</v>
      </c>
      <c r="K545" s="102">
        <v>55</v>
      </c>
      <c r="L545" s="35" t="str">
        <f>IFERROR(_xlfn.XLOOKUP(Table6[[#This Row],[Error Code]],'Basic Data'!$AA:$AA,'Basic Data'!$AB:$AB),"Incorrect Error Code")</f>
        <v>WTG shut down</v>
      </c>
      <c r="M545" s="35" t="s">
        <v>304</v>
      </c>
      <c r="N545" s="475"/>
      <c r="O545" s="476">
        <v>0.3034722222222222</v>
      </c>
      <c r="P545" s="476">
        <v>0.3034722222222222</v>
      </c>
      <c r="Q545" s="477">
        <v>0.85763888888888884</v>
      </c>
      <c r="R545" s="472">
        <f>IF(Table6[[#This Row],[Work Start TimeStamp]]="","",(Table6[[#This Row],[Work Start TimeStamp]]-Table6[[#This Row],[Fault Start TimeStamp]])*24)</f>
        <v>0</v>
      </c>
      <c r="S545" s="472">
        <f>(Table6[[#This Row],[Fault Clearance time]]-Table6[[#This Row],[Work Start TimeStamp]])*24</f>
        <v>13.3</v>
      </c>
      <c r="T545" s="472">
        <f>(Table6[[#This Row],[Fault Clearance time]]-Table6[[#This Row],[Fault Start TimeStamp]])*24</f>
        <v>13.3</v>
      </c>
      <c r="U545" s="35" t="s">
        <v>1748</v>
      </c>
      <c r="V545" s="102" t="s">
        <v>293</v>
      </c>
      <c r="W545" s="478">
        <f>IFERROR(Table6[[#This Row],[Breakdown Time]]*Table6[[#This Row],[Plant Equivalent Weightage]],"")</f>
        <v>0.51153846153846139</v>
      </c>
      <c r="X545" s="473" t="s">
        <v>305</v>
      </c>
      <c r="Y545" s="474" t="s">
        <v>93</v>
      </c>
      <c r="Z545" s="102">
        <v>44438</v>
      </c>
      <c r="AA545" s="468">
        <f>(Table6[[#This Row],[Paired WTG Generation for loss calculation]]/24)*Table6[[#This Row],[Breakdown Time]]</f>
        <v>24626.058333333334</v>
      </c>
      <c r="AB545" s="102"/>
      <c r="AC545" s="35"/>
      <c r="AD545" s="35"/>
    </row>
    <row r="546" spans="1:30">
      <c r="A546" s="102">
        <f t="shared" si="9"/>
        <v>545</v>
      </c>
      <c r="B546" s="468">
        <f>YEAR(Table6[[#This Row],[Date]])+IF(MONTH(Table6[[#This Row],[Date]])&gt;=4,1,0)</f>
        <v>2026</v>
      </c>
      <c r="C546" s="102">
        <f>YEAR(Table6[[#This Row],[Date]])</f>
        <v>2025</v>
      </c>
      <c r="D546" s="102" t="s">
        <v>1992</v>
      </c>
      <c r="E546" s="469">
        <f>Table6[[#This Row],[Date]]-DAY(Table6[[#This Row],[Date]])+1</f>
        <v>45778</v>
      </c>
      <c r="F546" s="470">
        <v>45780</v>
      </c>
      <c r="G546" s="35" t="s">
        <v>98</v>
      </c>
      <c r="H546" s="35" t="str">
        <f>IFERROR(_xlfn.XLOOKUP(Table6[[#This Row],[Affected WTG]],'Basic Data'!$A:$A,'Basic Data'!$B:$B),"")</f>
        <v>TQGXIIPL</v>
      </c>
      <c r="I546" s="35" t="str">
        <f>IFERROR(_xlfn.XLOOKUP(Table6[[#This Row],[Affected WTG]],'Basic Data'!$A:$A,'Basic Data'!$C:$C),"")</f>
        <v>GEDA</v>
      </c>
      <c r="J546" s="471">
        <f>IFERROR(_xlfn.XLOOKUP(Table6[[#This Row],[Affected WTG]],'Basic Data'!$A:$A,'Basic Data'!$E:$E),"")</f>
        <v>3.846153846153845E-2</v>
      </c>
      <c r="K546" s="102">
        <v>550</v>
      </c>
      <c r="L546" s="35" t="str">
        <f>IFERROR(_xlfn.XLOOKUP(Table6[[#This Row],[Error Code]],'Basic Data'!$AA:$AA,'Basic Data'!$AB:$AB),"Incorrect Error Code")</f>
        <v>Pitch current asymmetry</v>
      </c>
      <c r="M546" s="35" t="s">
        <v>291</v>
      </c>
      <c r="N546" s="475"/>
      <c r="O546" s="476">
        <v>9.7916666666666666E-2</v>
      </c>
      <c r="P546" s="476">
        <v>9.7916666666666666E-2</v>
      </c>
      <c r="Q546" s="477">
        <v>0.11041666666666666</v>
      </c>
      <c r="R546" s="472">
        <f>IF(Table6[[#This Row],[Work Start TimeStamp]]="","",(Table6[[#This Row],[Work Start TimeStamp]]-Table6[[#This Row],[Fault Start TimeStamp]])*24)</f>
        <v>0</v>
      </c>
      <c r="S546" s="472">
        <f>(Table6[[#This Row],[Fault Clearance time]]-Table6[[#This Row],[Work Start TimeStamp]])*24</f>
        <v>0.29999999999999993</v>
      </c>
      <c r="T546" s="472">
        <f>(Table6[[#This Row],[Fault Clearance time]]-Table6[[#This Row],[Fault Start TimeStamp]])*24</f>
        <v>0.29999999999999993</v>
      </c>
      <c r="U546" s="35" t="s">
        <v>349</v>
      </c>
      <c r="V546" s="102" t="s">
        <v>293</v>
      </c>
      <c r="W546" s="478">
        <f>IFERROR(Table6[[#This Row],[Breakdown Time]]*Table6[[#This Row],[Plant Equivalent Weightage]],"")</f>
        <v>1.1538461538461532E-2</v>
      </c>
      <c r="X546" s="473" t="s">
        <v>290</v>
      </c>
      <c r="Y546" s="474" t="s">
        <v>74</v>
      </c>
      <c r="Z546" s="102">
        <v>29084</v>
      </c>
      <c r="AA546" s="468">
        <f>(Table6[[#This Row],[Paired WTG Generation for loss calculation]]/24)*Table6[[#This Row],[Breakdown Time]]</f>
        <v>363.5499999999999</v>
      </c>
      <c r="AB546" s="102"/>
      <c r="AC546" s="35"/>
      <c r="AD546" s="35"/>
    </row>
    <row r="547" spans="1:30">
      <c r="A547" s="102">
        <f t="shared" si="9"/>
        <v>546</v>
      </c>
      <c r="B547" s="468">
        <f>YEAR(Table6[[#This Row],[Date]])+IF(MONTH(Table6[[#This Row],[Date]])&gt;=4,1,0)</f>
        <v>2026</v>
      </c>
      <c r="C547" s="102">
        <f>YEAR(Table6[[#This Row],[Date]])</f>
        <v>2025</v>
      </c>
      <c r="D547" s="102" t="s">
        <v>1992</v>
      </c>
      <c r="E547" s="469">
        <f>Table6[[#This Row],[Date]]-DAY(Table6[[#This Row],[Date]])+1</f>
        <v>45778</v>
      </c>
      <c r="F547" s="470">
        <v>45780</v>
      </c>
      <c r="G547" s="35" t="s">
        <v>98</v>
      </c>
      <c r="H547" s="35" t="str">
        <f>IFERROR(_xlfn.XLOOKUP(Table6[[#This Row],[Affected WTG]],'Basic Data'!$A:$A,'Basic Data'!$B:$B),"")</f>
        <v>TQGXIIPL</v>
      </c>
      <c r="I547" s="35" t="str">
        <f>IFERROR(_xlfn.XLOOKUP(Table6[[#This Row],[Affected WTG]],'Basic Data'!$A:$A,'Basic Data'!$C:$C),"")</f>
        <v>GEDA</v>
      </c>
      <c r="J547" s="471">
        <f>IFERROR(_xlfn.XLOOKUP(Table6[[#This Row],[Affected WTG]],'Basic Data'!$A:$A,'Basic Data'!$E:$E),"")</f>
        <v>3.846153846153845E-2</v>
      </c>
      <c r="K547" s="102">
        <v>6130</v>
      </c>
      <c r="L547" s="35" t="str">
        <f>IFERROR(_xlfn.XLOOKUP(Table6[[#This Row],[Error Code]],'Basic Data'!$AA:$AA,'Basic Data'!$AB:$AB),"Incorrect Error Code")</f>
        <v>Yaw speed high</v>
      </c>
      <c r="M547" s="35" t="s">
        <v>292</v>
      </c>
      <c r="N547" s="475"/>
      <c r="O547" s="476">
        <v>0.68819444444444444</v>
      </c>
      <c r="P547" s="476">
        <v>0.68819444444444444</v>
      </c>
      <c r="Q547" s="477">
        <v>0.69236111111111109</v>
      </c>
      <c r="R547" s="472">
        <f>IF(Table6[[#This Row],[Work Start TimeStamp]]="","",(Table6[[#This Row],[Work Start TimeStamp]]-Table6[[#This Row],[Fault Start TimeStamp]])*24)</f>
        <v>0</v>
      </c>
      <c r="S547" s="472">
        <f>(Table6[[#This Row],[Fault Clearance time]]-Table6[[#This Row],[Work Start TimeStamp]])*24</f>
        <v>9.9999999999999645E-2</v>
      </c>
      <c r="T547" s="472">
        <f>(Table6[[#This Row],[Fault Clearance time]]-Table6[[#This Row],[Fault Start TimeStamp]])*24</f>
        <v>9.9999999999999645E-2</v>
      </c>
      <c r="U547" s="35" t="s">
        <v>336</v>
      </c>
      <c r="V547" s="102" t="s">
        <v>293</v>
      </c>
      <c r="W547" s="478">
        <f>IFERROR(Table6[[#This Row],[Breakdown Time]]*Table6[[#This Row],[Plant Equivalent Weightage]],"")</f>
        <v>3.8461538461538312E-3</v>
      </c>
      <c r="X547" s="473" t="s">
        <v>294</v>
      </c>
      <c r="Y547" s="474" t="s">
        <v>74</v>
      </c>
      <c r="Z547" s="102">
        <v>29084</v>
      </c>
      <c r="AA547" s="468">
        <f>(Table6[[#This Row],[Paired WTG Generation for loss calculation]]/24)*Table6[[#This Row],[Breakdown Time]]</f>
        <v>121.1833333333329</v>
      </c>
      <c r="AB547" s="102"/>
      <c r="AC547" s="35"/>
      <c r="AD547" s="35"/>
    </row>
    <row r="548" spans="1:30">
      <c r="A548" s="102">
        <f t="shared" si="9"/>
        <v>547</v>
      </c>
      <c r="B548" s="468">
        <f>YEAR(Table6[[#This Row],[Date]])+IF(MONTH(Table6[[#This Row],[Date]])&gt;=4,1,0)</f>
        <v>2026</v>
      </c>
      <c r="C548" s="102">
        <f>YEAR(Table6[[#This Row],[Date]])</f>
        <v>2025</v>
      </c>
      <c r="D548" s="102" t="s">
        <v>1992</v>
      </c>
      <c r="E548" s="469">
        <f>Table6[[#This Row],[Date]]-DAY(Table6[[#This Row],[Date]])+1</f>
        <v>45778</v>
      </c>
      <c r="F548" s="470">
        <v>45780</v>
      </c>
      <c r="G548" s="35" t="s">
        <v>98</v>
      </c>
      <c r="H548" s="35" t="str">
        <f>IFERROR(_xlfn.XLOOKUP(Table6[[#This Row],[Affected WTG]],'Basic Data'!$A:$A,'Basic Data'!$B:$B),"")</f>
        <v>TQGXIIPL</v>
      </c>
      <c r="I548" s="35" t="str">
        <f>IFERROR(_xlfn.XLOOKUP(Table6[[#This Row],[Affected WTG]],'Basic Data'!$A:$A,'Basic Data'!$C:$C),"")</f>
        <v>GEDA</v>
      </c>
      <c r="J548" s="471">
        <f>IFERROR(_xlfn.XLOOKUP(Table6[[#This Row],[Affected WTG]],'Basic Data'!$A:$A,'Basic Data'!$E:$E),"")</f>
        <v>3.846153846153845E-2</v>
      </c>
      <c r="K548" s="102">
        <v>55</v>
      </c>
      <c r="L548" s="35" t="str">
        <f>IFERROR(_xlfn.XLOOKUP(Table6[[#This Row],[Error Code]],'Basic Data'!$AA:$AA,'Basic Data'!$AB:$AB),"Incorrect Error Code")</f>
        <v>WTG shut down</v>
      </c>
      <c r="M548" s="35" t="s">
        <v>330</v>
      </c>
      <c r="N548" s="475"/>
      <c r="O548" s="476">
        <v>0.70625000000000004</v>
      </c>
      <c r="P548" s="476">
        <v>0.70625000000000004</v>
      </c>
      <c r="Q548" s="477">
        <v>0.75</v>
      </c>
      <c r="R548" s="472">
        <f>IF(Table6[[#This Row],[Work Start TimeStamp]]="","",(Table6[[#This Row],[Work Start TimeStamp]]-Table6[[#This Row],[Fault Start TimeStamp]])*24)</f>
        <v>0</v>
      </c>
      <c r="S548" s="472">
        <f>(Table6[[#This Row],[Fault Clearance time]]-Table6[[#This Row],[Work Start TimeStamp]])*24</f>
        <v>1.0499999999999989</v>
      </c>
      <c r="T548" s="472">
        <f>(Table6[[#This Row],[Fault Clearance time]]-Table6[[#This Row],[Fault Start TimeStamp]])*24</f>
        <v>1.0499999999999989</v>
      </c>
      <c r="U548" s="35" t="s">
        <v>1744</v>
      </c>
      <c r="V548" s="102" t="s">
        <v>293</v>
      </c>
      <c r="W548" s="478">
        <f>IFERROR(Table6[[#This Row],[Breakdown Time]]*Table6[[#This Row],[Plant Equivalent Weightage]],"")</f>
        <v>4.0384615384615331E-2</v>
      </c>
      <c r="X548" s="473" t="s">
        <v>290</v>
      </c>
      <c r="Y548" s="474" t="s">
        <v>74</v>
      </c>
      <c r="Z548" s="102">
        <v>29084</v>
      </c>
      <c r="AA548" s="468">
        <f>(Table6[[#This Row],[Paired WTG Generation for loss calculation]]/24)*Table6[[#This Row],[Breakdown Time]]</f>
        <v>1272.4249999999986</v>
      </c>
      <c r="AB548" s="102"/>
      <c r="AC548" s="35"/>
      <c r="AD548" s="35"/>
    </row>
    <row r="549" spans="1:30">
      <c r="A549" s="102">
        <f t="shared" si="9"/>
        <v>548</v>
      </c>
      <c r="B549" s="468">
        <f>YEAR(Table6[[#This Row],[Date]])+IF(MONTH(Table6[[#This Row],[Date]])&gt;=4,1,0)</f>
        <v>2026</v>
      </c>
      <c r="C549" s="102">
        <f>YEAR(Table6[[#This Row],[Date]])</f>
        <v>2025</v>
      </c>
      <c r="D549" s="102" t="s">
        <v>1992</v>
      </c>
      <c r="E549" s="469">
        <f>Table6[[#This Row],[Date]]-DAY(Table6[[#This Row],[Date]])+1</f>
        <v>45778</v>
      </c>
      <c r="F549" s="470">
        <v>45781</v>
      </c>
      <c r="G549" s="35" t="s">
        <v>76</v>
      </c>
      <c r="H549" s="35" t="str">
        <f>IFERROR(_xlfn.XLOOKUP(Table6[[#This Row],[Affected WTG]],'Basic Data'!$A:$A,'Basic Data'!$B:$B),"")</f>
        <v>TQGXIIPL</v>
      </c>
      <c r="I549" s="35" t="str">
        <f>IFERROR(_xlfn.XLOOKUP(Table6[[#This Row],[Affected WTG]],'Basic Data'!$A:$A,'Basic Data'!$C:$C),"")</f>
        <v>GEDA</v>
      </c>
      <c r="J549" s="471">
        <f>IFERROR(_xlfn.XLOOKUP(Table6[[#This Row],[Affected WTG]],'Basic Data'!$A:$A,'Basic Data'!$E:$E),"")</f>
        <v>3.846153846153845E-2</v>
      </c>
      <c r="K549" s="102">
        <v>175</v>
      </c>
      <c r="L549" s="35" t="str">
        <f>IFERROR(_xlfn.XLOOKUP(Table6[[#This Row],[Error Code]],'Basic Data'!$AA:$AA,'Basic Data'!$AB:$AB),"Incorrect Error Code")</f>
        <v>SLC error</v>
      </c>
      <c r="M549" s="35" t="s">
        <v>292</v>
      </c>
      <c r="N549" s="475"/>
      <c r="O549" s="476">
        <v>0.45833333333333331</v>
      </c>
      <c r="P549" s="476">
        <v>0.45833333333333331</v>
      </c>
      <c r="Q549" s="477">
        <v>0.46319444444444446</v>
      </c>
      <c r="R549" s="472">
        <f>IF(Table6[[#This Row],[Work Start TimeStamp]]="","",(Table6[[#This Row],[Work Start TimeStamp]]-Table6[[#This Row],[Fault Start TimeStamp]])*24)</f>
        <v>0</v>
      </c>
      <c r="S549" s="472">
        <f>(Table6[[#This Row],[Fault Clearance time]]-Table6[[#This Row],[Work Start TimeStamp]])*24</f>
        <v>0.11666666666666758</v>
      </c>
      <c r="T549" s="472">
        <f>(Table6[[#This Row],[Fault Clearance time]]-Table6[[#This Row],[Fault Start TimeStamp]])*24</f>
        <v>0.11666666666666758</v>
      </c>
      <c r="U549" s="35" t="s">
        <v>336</v>
      </c>
      <c r="V549" s="102" t="s">
        <v>293</v>
      </c>
      <c r="W549" s="478">
        <f>IFERROR(Table6[[#This Row],[Breakdown Time]]*Table6[[#This Row],[Plant Equivalent Weightage]],"")</f>
        <v>4.4871794871795207E-3</v>
      </c>
      <c r="X549" s="473" t="s">
        <v>294</v>
      </c>
      <c r="Y549" s="474" t="s">
        <v>82</v>
      </c>
      <c r="Z549" s="102">
        <v>28449</v>
      </c>
      <c r="AA549" s="468">
        <f>(Table6[[#This Row],[Paired WTG Generation for loss calculation]]/24)*Table6[[#This Row],[Breakdown Time]]</f>
        <v>138.2937500000011</v>
      </c>
      <c r="AB549" s="102"/>
      <c r="AC549" s="35"/>
      <c r="AD549" s="35"/>
    </row>
    <row r="550" spans="1:30">
      <c r="A550" s="102">
        <f t="shared" si="9"/>
        <v>549</v>
      </c>
      <c r="B550" s="468">
        <f>YEAR(Table6[[#This Row],[Date]])+IF(MONTH(Table6[[#This Row],[Date]])&gt;=4,1,0)</f>
        <v>2026</v>
      </c>
      <c r="C550" s="102">
        <f>YEAR(Table6[[#This Row],[Date]])</f>
        <v>2025</v>
      </c>
      <c r="D550" s="102" t="s">
        <v>1992</v>
      </c>
      <c r="E550" s="469">
        <f>Table6[[#This Row],[Date]]-DAY(Table6[[#This Row],[Date]])+1</f>
        <v>45778</v>
      </c>
      <c r="F550" s="470">
        <v>45781</v>
      </c>
      <c r="G550" s="35" t="s">
        <v>77</v>
      </c>
      <c r="H550" s="35" t="str">
        <f>IFERROR(_xlfn.XLOOKUP(Table6[[#This Row],[Affected WTG]],'Basic Data'!$A:$A,'Basic Data'!$B:$B),"")</f>
        <v>TQGXIIPL</v>
      </c>
      <c r="I550" s="35" t="str">
        <f>IFERROR(_xlfn.XLOOKUP(Table6[[#This Row],[Affected WTG]],'Basic Data'!$A:$A,'Basic Data'!$C:$C),"")</f>
        <v>GEDA</v>
      </c>
      <c r="J550" s="471">
        <f>IFERROR(_xlfn.XLOOKUP(Table6[[#This Row],[Affected WTG]],'Basic Data'!$A:$A,'Basic Data'!$E:$E),"")</f>
        <v>3.846153846153845E-2</v>
      </c>
      <c r="K550" s="102">
        <v>6130</v>
      </c>
      <c r="L550" s="35" t="str">
        <f>IFERROR(_xlfn.XLOOKUP(Table6[[#This Row],[Error Code]],'Basic Data'!$AA:$AA,'Basic Data'!$AB:$AB),"Incorrect Error Code")</f>
        <v>Yaw speed high</v>
      </c>
      <c r="M550" s="35" t="s">
        <v>292</v>
      </c>
      <c r="N550" s="475"/>
      <c r="O550" s="476">
        <v>0.69027777777777777</v>
      </c>
      <c r="P550" s="476">
        <v>0.69027777777777777</v>
      </c>
      <c r="Q550" s="477">
        <v>0.69444444444444442</v>
      </c>
      <c r="R550" s="472">
        <f>IF(Table6[[#This Row],[Work Start TimeStamp]]="","",(Table6[[#This Row],[Work Start TimeStamp]]-Table6[[#This Row],[Fault Start TimeStamp]])*24)</f>
        <v>0</v>
      </c>
      <c r="S550" s="472">
        <f>(Table6[[#This Row],[Fault Clearance time]]-Table6[[#This Row],[Work Start TimeStamp]])*24</f>
        <v>9.9999999999999645E-2</v>
      </c>
      <c r="T550" s="472">
        <f>(Table6[[#This Row],[Fault Clearance time]]-Table6[[#This Row],[Fault Start TimeStamp]])*24</f>
        <v>9.9999999999999645E-2</v>
      </c>
      <c r="U550" s="35" t="s">
        <v>336</v>
      </c>
      <c r="V550" s="102" t="s">
        <v>293</v>
      </c>
      <c r="W550" s="478">
        <f>IFERROR(Table6[[#This Row],[Breakdown Time]]*Table6[[#This Row],[Plant Equivalent Weightage]],"")</f>
        <v>3.8461538461538312E-3</v>
      </c>
      <c r="X550" s="473" t="s">
        <v>294</v>
      </c>
      <c r="Y550" s="474" t="s">
        <v>80</v>
      </c>
      <c r="Z550" s="102">
        <v>23702</v>
      </c>
      <c r="AA550" s="468">
        <f>(Table6[[#This Row],[Paired WTG Generation for loss calculation]]/24)*Table6[[#This Row],[Breakdown Time]]</f>
        <v>98.758333333332985</v>
      </c>
      <c r="AB550" s="102"/>
      <c r="AC550" s="35"/>
      <c r="AD550" s="35"/>
    </row>
    <row r="551" spans="1:30">
      <c r="A551" s="102">
        <f t="shared" si="9"/>
        <v>550</v>
      </c>
      <c r="B551" s="468">
        <f>YEAR(Table6[[#This Row],[Date]])+IF(MONTH(Table6[[#This Row],[Date]])&gt;=4,1,0)</f>
        <v>2026</v>
      </c>
      <c r="C551" s="102">
        <f>YEAR(Table6[[#This Row],[Date]])</f>
        <v>2025</v>
      </c>
      <c r="D551" s="102" t="s">
        <v>1992</v>
      </c>
      <c r="E551" s="469">
        <f>Table6[[#This Row],[Date]]-DAY(Table6[[#This Row],[Date]])+1</f>
        <v>45778</v>
      </c>
      <c r="F551" s="470">
        <v>45781</v>
      </c>
      <c r="G551" s="35" t="s">
        <v>78</v>
      </c>
      <c r="H551" s="35" t="str">
        <f>IFERROR(_xlfn.XLOOKUP(Table6[[#This Row],[Affected WTG]],'Basic Data'!$A:$A,'Basic Data'!$B:$B),"")</f>
        <v>TQGXIIPL</v>
      </c>
      <c r="I551" s="35" t="str">
        <f>IFERROR(_xlfn.XLOOKUP(Table6[[#This Row],[Affected WTG]],'Basic Data'!$A:$A,'Basic Data'!$C:$C),"")</f>
        <v>GEDA</v>
      </c>
      <c r="J551" s="471">
        <f>IFERROR(_xlfn.XLOOKUP(Table6[[#This Row],[Affected WTG]],'Basic Data'!$A:$A,'Basic Data'!$E:$E),"")</f>
        <v>3.846153846153845E-2</v>
      </c>
      <c r="K551" s="102">
        <v>6605</v>
      </c>
      <c r="L551" s="35" t="str">
        <f>IFERROR(_xlfn.XLOOKUP(Table6[[#This Row],[Error Code]],'Basic Data'!$AA:$AA,'Basic Data'!$AB:$AB),"Incorrect Error Code")</f>
        <v>Wind.dir. diff. level 2</v>
      </c>
      <c r="M551" s="35" t="s">
        <v>292</v>
      </c>
      <c r="N551" s="475"/>
      <c r="O551" s="476">
        <v>0.69722222222222219</v>
      </c>
      <c r="P551" s="476">
        <v>0.69722222222222219</v>
      </c>
      <c r="Q551" s="477">
        <v>0.69861111111111107</v>
      </c>
      <c r="R551" s="472">
        <f>IF(Table6[[#This Row],[Work Start TimeStamp]]="","",(Table6[[#This Row],[Work Start TimeStamp]]-Table6[[#This Row],[Fault Start TimeStamp]])*24)</f>
        <v>0</v>
      </c>
      <c r="S551" s="472">
        <f>(Table6[[#This Row],[Fault Clearance time]]-Table6[[#This Row],[Work Start TimeStamp]])*24</f>
        <v>3.3333333333333215E-2</v>
      </c>
      <c r="T551" s="472">
        <f>(Table6[[#This Row],[Fault Clearance time]]-Table6[[#This Row],[Fault Start TimeStamp]])*24</f>
        <v>3.3333333333333215E-2</v>
      </c>
      <c r="U551" s="35" t="s">
        <v>336</v>
      </c>
      <c r="V551" s="102" t="s">
        <v>293</v>
      </c>
      <c r="W551" s="478">
        <f>IFERROR(Table6[[#This Row],[Breakdown Time]]*Table6[[#This Row],[Plant Equivalent Weightage]],"")</f>
        <v>1.2820512820512771E-3</v>
      </c>
      <c r="X551" s="473" t="s">
        <v>294</v>
      </c>
      <c r="Y551" s="474" t="s">
        <v>75</v>
      </c>
      <c r="Z551" s="102">
        <v>29174</v>
      </c>
      <c r="AA551" s="468">
        <f>(Table6[[#This Row],[Paired WTG Generation for loss calculation]]/24)*Table6[[#This Row],[Breakdown Time]]</f>
        <v>40.519444444444296</v>
      </c>
      <c r="AB551" s="102"/>
      <c r="AC551" s="35"/>
      <c r="AD551" s="35"/>
    </row>
    <row r="552" spans="1:30">
      <c r="A552" s="102">
        <f t="shared" si="9"/>
        <v>551</v>
      </c>
      <c r="B552" s="468">
        <f>YEAR(Table6[[#This Row],[Date]])+IF(MONTH(Table6[[#This Row],[Date]])&gt;=4,1,0)</f>
        <v>2026</v>
      </c>
      <c r="C552" s="102">
        <f>YEAR(Table6[[#This Row],[Date]])</f>
        <v>2025</v>
      </c>
      <c r="D552" s="102" t="s">
        <v>1992</v>
      </c>
      <c r="E552" s="469">
        <f>Table6[[#This Row],[Date]]-DAY(Table6[[#This Row],[Date]])+1</f>
        <v>45778</v>
      </c>
      <c r="F552" s="470">
        <v>45781</v>
      </c>
      <c r="G552" s="35" t="s">
        <v>79</v>
      </c>
      <c r="H552" s="35" t="str">
        <f>IFERROR(_xlfn.XLOOKUP(Table6[[#This Row],[Affected WTG]],'Basic Data'!$A:$A,'Basic Data'!$B:$B),"")</f>
        <v>TQGXIIPL</v>
      </c>
      <c r="I552" s="35" t="str">
        <f>IFERROR(_xlfn.XLOOKUP(Table6[[#This Row],[Affected WTG]],'Basic Data'!$A:$A,'Basic Data'!$C:$C),"")</f>
        <v>GEDA</v>
      </c>
      <c r="J552" s="471">
        <f>IFERROR(_xlfn.XLOOKUP(Table6[[#This Row],[Affected WTG]],'Basic Data'!$A:$A,'Basic Data'!$E:$E),"")</f>
        <v>3.846153846153845E-2</v>
      </c>
      <c r="K552" s="102">
        <v>6605</v>
      </c>
      <c r="L552" s="35" t="str">
        <f>IFERROR(_xlfn.XLOOKUP(Table6[[#This Row],[Error Code]],'Basic Data'!$AA:$AA,'Basic Data'!$AB:$AB),"Incorrect Error Code")</f>
        <v>Wind.dir. diff. level 2</v>
      </c>
      <c r="M552" s="35" t="s">
        <v>292</v>
      </c>
      <c r="N552" s="475"/>
      <c r="O552" s="476">
        <v>0.61527777777777781</v>
      </c>
      <c r="P552" s="476">
        <v>0.61527777777777781</v>
      </c>
      <c r="Q552" s="477">
        <v>0.6166666666666667</v>
      </c>
      <c r="R552" s="472">
        <f>IF(Table6[[#This Row],[Work Start TimeStamp]]="","",(Table6[[#This Row],[Work Start TimeStamp]]-Table6[[#This Row],[Fault Start TimeStamp]])*24)</f>
        <v>0</v>
      </c>
      <c r="S552" s="472">
        <f>(Table6[[#This Row],[Fault Clearance time]]-Table6[[#This Row],[Work Start TimeStamp]])*24</f>
        <v>3.3333333333333215E-2</v>
      </c>
      <c r="T552" s="472">
        <f>(Table6[[#This Row],[Fault Clearance time]]-Table6[[#This Row],[Fault Start TimeStamp]])*24</f>
        <v>3.3333333333333215E-2</v>
      </c>
      <c r="U552" s="35" t="s">
        <v>336</v>
      </c>
      <c r="V552" s="102" t="s">
        <v>293</v>
      </c>
      <c r="W552" s="478">
        <f>IFERROR(Table6[[#This Row],[Breakdown Time]]*Table6[[#This Row],[Plant Equivalent Weightage]],"")</f>
        <v>1.2820512820512771E-3</v>
      </c>
      <c r="X552" s="473" t="s">
        <v>294</v>
      </c>
      <c r="Y552" s="474" t="s">
        <v>94</v>
      </c>
      <c r="Z552" s="102">
        <v>30867</v>
      </c>
      <c r="AA552" s="468">
        <f>(Table6[[#This Row],[Paired WTG Generation for loss calculation]]/24)*Table6[[#This Row],[Breakdown Time]]</f>
        <v>42.870833333333181</v>
      </c>
      <c r="AB552" s="102"/>
      <c r="AC552" s="35"/>
      <c r="AD552" s="35"/>
    </row>
    <row r="553" spans="1:30">
      <c r="A553" s="102">
        <f t="shared" si="9"/>
        <v>552</v>
      </c>
      <c r="B553" s="468">
        <f>YEAR(Table6[[#This Row],[Date]])+IF(MONTH(Table6[[#This Row],[Date]])&gt;=4,1,0)</f>
        <v>2026</v>
      </c>
      <c r="C553" s="102">
        <f>YEAR(Table6[[#This Row],[Date]])</f>
        <v>2025</v>
      </c>
      <c r="D553" s="102" t="s">
        <v>1992</v>
      </c>
      <c r="E553" s="469">
        <f>Table6[[#This Row],[Date]]-DAY(Table6[[#This Row],[Date]])+1</f>
        <v>45778</v>
      </c>
      <c r="F553" s="470">
        <v>45781</v>
      </c>
      <c r="G553" s="35" t="s">
        <v>81</v>
      </c>
      <c r="H553" s="35" t="str">
        <f>IFERROR(_xlfn.XLOOKUP(Table6[[#This Row],[Affected WTG]],'Basic Data'!$A:$A,'Basic Data'!$B:$B),"")</f>
        <v>TQGXIIPL</v>
      </c>
      <c r="I553" s="35" t="str">
        <f>IFERROR(_xlfn.XLOOKUP(Table6[[#This Row],[Affected WTG]],'Basic Data'!$A:$A,'Basic Data'!$C:$C),"")</f>
        <v>GEDA</v>
      </c>
      <c r="J553" s="471">
        <f>IFERROR(_xlfn.XLOOKUP(Table6[[#This Row],[Affected WTG]],'Basic Data'!$A:$A,'Basic Data'!$E:$E),"")</f>
        <v>3.846153846153845E-2</v>
      </c>
      <c r="K553" s="102">
        <v>6130</v>
      </c>
      <c r="L553" s="35" t="str">
        <f>IFERROR(_xlfn.XLOOKUP(Table6[[#This Row],[Error Code]],'Basic Data'!$AA:$AA,'Basic Data'!$AB:$AB),"Incorrect Error Code")</f>
        <v>Yaw speed high</v>
      </c>
      <c r="M553" s="35" t="s">
        <v>292</v>
      </c>
      <c r="N553" s="475"/>
      <c r="O553" s="476">
        <v>1.1111111111111112E-2</v>
      </c>
      <c r="P553" s="476">
        <v>1.1111111111111112E-2</v>
      </c>
      <c r="Q553" s="477">
        <v>1.3194444444444444E-2</v>
      </c>
      <c r="R553" s="472">
        <f>IF(Table6[[#This Row],[Work Start TimeStamp]]="","",(Table6[[#This Row],[Work Start TimeStamp]]-Table6[[#This Row],[Fault Start TimeStamp]])*24)</f>
        <v>0</v>
      </c>
      <c r="S553" s="472">
        <f>(Table6[[#This Row],[Fault Clearance time]]-Table6[[#This Row],[Work Start TimeStamp]])*24</f>
        <v>4.9999999999999989E-2</v>
      </c>
      <c r="T553" s="472">
        <f>(Table6[[#This Row],[Fault Clearance time]]-Table6[[#This Row],[Fault Start TimeStamp]])*24</f>
        <v>4.9999999999999989E-2</v>
      </c>
      <c r="U553" s="35" t="s">
        <v>336</v>
      </c>
      <c r="V553" s="102" t="s">
        <v>293</v>
      </c>
      <c r="W553" s="478">
        <f>IFERROR(Table6[[#This Row],[Breakdown Time]]*Table6[[#This Row],[Plant Equivalent Weightage]],"")</f>
        <v>1.9230769230769221E-3</v>
      </c>
      <c r="X553" s="473" t="s">
        <v>294</v>
      </c>
      <c r="Y553" s="474" t="s">
        <v>99</v>
      </c>
      <c r="Z553" s="102">
        <v>30825</v>
      </c>
      <c r="AA553" s="468">
        <f>(Table6[[#This Row],[Paired WTG Generation for loss calculation]]/24)*Table6[[#This Row],[Breakdown Time]]</f>
        <v>64.218749999999986</v>
      </c>
      <c r="AB553" s="102"/>
      <c r="AC553" s="35"/>
      <c r="AD553" s="35"/>
    </row>
    <row r="554" spans="1:30">
      <c r="A554" s="102">
        <f t="shared" si="9"/>
        <v>553</v>
      </c>
      <c r="B554" s="468">
        <f>YEAR(Table6[[#This Row],[Date]])+IF(MONTH(Table6[[#This Row],[Date]])&gt;=4,1,0)</f>
        <v>2026</v>
      </c>
      <c r="C554" s="102">
        <f>YEAR(Table6[[#This Row],[Date]])</f>
        <v>2025</v>
      </c>
      <c r="D554" s="102" t="s">
        <v>1992</v>
      </c>
      <c r="E554" s="469">
        <f>Table6[[#This Row],[Date]]-DAY(Table6[[#This Row],[Date]])+1</f>
        <v>45778</v>
      </c>
      <c r="F554" s="470">
        <v>45781</v>
      </c>
      <c r="G554" s="35" t="s">
        <v>81</v>
      </c>
      <c r="H554" s="35" t="str">
        <f>IFERROR(_xlfn.XLOOKUP(Table6[[#This Row],[Affected WTG]],'Basic Data'!$A:$A,'Basic Data'!$B:$B),"")</f>
        <v>TQGXIIPL</v>
      </c>
      <c r="I554" s="35" t="str">
        <f>IFERROR(_xlfn.XLOOKUP(Table6[[#This Row],[Affected WTG]],'Basic Data'!$A:$A,'Basic Data'!$C:$C),"")</f>
        <v>GEDA</v>
      </c>
      <c r="J554" s="471">
        <f>IFERROR(_xlfn.XLOOKUP(Table6[[#This Row],[Affected WTG]],'Basic Data'!$A:$A,'Basic Data'!$E:$E),"")</f>
        <v>3.846153846153845E-2</v>
      </c>
      <c r="K554" s="102">
        <v>55</v>
      </c>
      <c r="L554" s="35" t="str">
        <f>IFERROR(_xlfn.XLOOKUP(Table6[[#This Row],[Error Code]],'Basic Data'!$AA:$AA,'Basic Data'!$AB:$AB),"Incorrect Error Code")</f>
        <v>WTG shut down</v>
      </c>
      <c r="M554" s="35" t="s">
        <v>330</v>
      </c>
      <c r="N554" s="475"/>
      <c r="O554" s="476">
        <v>0.7270833333333333</v>
      </c>
      <c r="P554" s="476">
        <v>0.7270833333333333</v>
      </c>
      <c r="Q554" s="477">
        <v>0.85416666666666663</v>
      </c>
      <c r="R554" s="472">
        <f>IF(Table6[[#This Row],[Work Start TimeStamp]]="","",(Table6[[#This Row],[Work Start TimeStamp]]-Table6[[#This Row],[Fault Start TimeStamp]])*24)</f>
        <v>0</v>
      </c>
      <c r="S554" s="472">
        <f>(Table6[[#This Row],[Fault Clearance time]]-Table6[[#This Row],[Work Start TimeStamp]])*24</f>
        <v>3.05</v>
      </c>
      <c r="T554" s="472">
        <f>(Table6[[#This Row],[Fault Clearance time]]-Table6[[#This Row],[Fault Start TimeStamp]])*24</f>
        <v>3.05</v>
      </c>
      <c r="U554" s="35" t="s">
        <v>1744</v>
      </c>
      <c r="V554" s="102" t="s">
        <v>293</v>
      </c>
      <c r="W554" s="478">
        <f>IFERROR(Table6[[#This Row],[Breakdown Time]]*Table6[[#This Row],[Plant Equivalent Weightage]],"")</f>
        <v>0.11730769230769227</v>
      </c>
      <c r="X554" s="473" t="s">
        <v>290</v>
      </c>
      <c r="Y554" s="474" t="s">
        <v>99</v>
      </c>
      <c r="Z554" s="102">
        <v>30825</v>
      </c>
      <c r="AA554" s="468">
        <f>(Table6[[#This Row],[Paired WTG Generation for loss calculation]]/24)*Table6[[#This Row],[Breakdown Time]]</f>
        <v>3917.3437499999995</v>
      </c>
      <c r="AB554" s="102"/>
      <c r="AC554" s="35"/>
      <c r="AD554" s="35"/>
    </row>
    <row r="555" spans="1:30">
      <c r="A555" s="102">
        <f t="shared" si="9"/>
        <v>554</v>
      </c>
      <c r="B555" s="468">
        <f>YEAR(Table6[[#This Row],[Date]])+IF(MONTH(Table6[[#This Row],[Date]])&gt;=4,1,0)</f>
        <v>2026</v>
      </c>
      <c r="C555" s="102">
        <f>YEAR(Table6[[#This Row],[Date]])</f>
        <v>2025</v>
      </c>
      <c r="D555" s="102" t="s">
        <v>1992</v>
      </c>
      <c r="E555" s="469">
        <f>Table6[[#This Row],[Date]]-DAY(Table6[[#This Row],[Date]])+1</f>
        <v>45778</v>
      </c>
      <c r="F555" s="470">
        <v>45781</v>
      </c>
      <c r="G555" s="35" t="s">
        <v>83</v>
      </c>
      <c r="H555" s="35" t="str">
        <f>IFERROR(_xlfn.XLOOKUP(Table6[[#This Row],[Affected WTG]],'Basic Data'!$A:$A,'Basic Data'!$B:$B),"")</f>
        <v>TQGXIIPL</v>
      </c>
      <c r="I555" s="35" t="str">
        <f>IFERROR(_xlfn.XLOOKUP(Table6[[#This Row],[Affected WTG]],'Basic Data'!$A:$A,'Basic Data'!$C:$C),"")</f>
        <v>GEDA</v>
      </c>
      <c r="J555" s="471">
        <f>IFERROR(_xlfn.XLOOKUP(Table6[[#This Row],[Affected WTG]],'Basic Data'!$A:$A,'Basic Data'!$E:$E),"")</f>
        <v>3.846153846153845E-2</v>
      </c>
      <c r="K555" s="102">
        <v>6130</v>
      </c>
      <c r="L555" s="35" t="str">
        <f>IFERROR(_xlfn.XLOOKUP(Table6[[#This Row],[Error Code]],'Basic Data'!$AA:$AA,'Basic Data'!$AB:$AB),"Incorrect Error Code")</f>
        <v>Yaw speed high</v>
      </c>
      <c r="M555" s="35" t="s">
        <v>292</v>
      </c>
      <c r="N555" s="475"/>
      <c r="O555" s="476">
        <v>0.71180555555555558</v>
      </c>
      <c r="P555" s="476">
        <v>0.71180555555555558</v>
      </c>
      <c r="Q555" s="477">
        <v>0.71597222222222223</v>
      </c>
      <c r="R555" s="472">
        <f>IF(Table6[[#This Row],[Work Start TimeStamp]]="","",(Table6[[#This Row],[Work Start TimeStamp]]-Table6[[#This Row],[Fault Start TimeStamp]])*24)</f>
        <v>0</v>
      </c>
      <c r="S555" s="472">
        <f>(Table6[[#This Row],[Fault Clearance time]]-Table6[[#This Row],[Work Start TimeStamp]])*24</f>
        <v>9.9999999999999645E-2</v>
      </c>
      <c r="T555" s="472">
        <f>(Table6[[#This Row],[Fault Clearance time]]-Table6[[#This Row],[Fault Start TimeStamp]])*24</f>
        <v>9.9999999999999645E-2</v>
      </c>
      <c r="U555" s="35" t="s">
        <v>336</v>
      </c>
      <c r="V555" s="102" t="s">
        <v>293</v>
      </c>
      <c r="W555" s="478">
        <f>IFERROR(Table6[[#This Row],[Breakdown Time]]*Table6[[#This Row],[Plant Equivalent Weightage]],"")</f>
        <v>3.8461538461538312E-3</v>
      </c>
      <c r="X555" s="473" t="s">
        <v>294</v>
      </c>
      <c r="Y555" s="474" t="s">
        <v>88</v>
      </c>
      <c r="Z555" s="102">
        <v>27808</v>
      </c>
      <c r="AA555" s="468">
        <f>(Table6[[#This Row],[Paired WTG Generation for loss calculation]]/24)*Table6[[#This Row],[Breakdown Time]]</f>
        <v>115.86666666666626</v>
      </c>
      <c r="AB555" s="102"/>
      <c r="AC555" s="35"/>
      <c r="AD555" s="35"/>
    </row>
    <row r="556" spans="1:30">
      <c r="A556" s="102">
        <f t="shared" si="9"/>
        <v>555</v>
      </c>
      <c r="B556" s="468">
        <f>YEAR(Table6[[#This Row],[Date]])+IF(MONTH(Table6[[#This Row],[Date]])&gt;=4,1,0)</f>
        <v>2026</v>
      </c>
      <c r="C556" s="102">
        <f>YEAR(Table6[[#This Row],[Date]])</f>
        <v>2025</v>
      </c>
      <c r="D556" s="102" t="s">
        <v>1992</v>
      </c>
      <c r="E556" s="469">
        <f>Table6[[#This Row],[Date]]-DAY(Table6[[#This Row],[Date]])+1</f>
        <v>45778</v>
      </c>
      <c r="F556" s="470">
        <v>45781</v>
      </c>
      <c r="G556" s="35" t="s">
        <v>84</v>
      </c>
      <c r="H556" s="35" t="str">
        <f>IFERROR(_xlfn.XLOOKUP(Table6[[#This Row],[Affected WTG]],'Basic Data'!$A:$A,'Basic Data'!$B:$B),"")</f>
        <v>TQGXIIPL</v>
      </c>
      <c r="I556" s="35" t="str">
        <f>IFERROR(_xlfn.XLOOKUP(Table6[[#This Row],[Affected WTG]],'Basic Data'!$A:$A,'Basic Data'!$C:$C),"")</f>
        <v>GEDA</v>
      </c>
      <c r="J556" s="471">
        <f>IFERROR(_xlfn.XLOOKUP(Table6[[#This Row],[Affected WTG]],'Basic Data'!$A:$A,'Basic Data'!$E:$E),"")</f>
        <v>3.846153846153845E-2</v>
      </c>
      <c r="K556" s="102">
        <v>6130</v>
      </c>
      <c r="L556" s="35" t="str">
        <f>IFERROR(_xlfn.XLOOKUP(Table6[[#This Row],[Error Code]],'Basic Data'!$AA:$AA,'Basic Data'!$AB:$AB),"Incorrect Error Code")</f>
        <v>Yaw speed high</v>
      </c>
      <c r="M556" s="35" t="s">
        <v>292</v>
      </c>
      <c r="N556" s="475"/>
      <c r="O556" s="476">
        <v>0.55000000000000004</v>
      </c>
      <c r="P556" s="476">
        <v>0.55000000000000004</v>
      </c>
      <c r="Q556" s="477">
        <v>0.55138888888888893</v>
      </c>
      <c r="R556" s="472">
        <f>IF(Table6[[#This Row],[Work Start TimeStamp]]="","",(Table6[[#This Row],[Work Start TimeStamp]]-Table6[[#This Row],[Fault Start TimeStamp]])*24)</f>
        <v>0</v>
      </c>
      <c r="S556" s="472">
        <f>(Table6[[#This Row],[Fault Clearance time]]-Table6[[#This Row],[Work Start TimeStamp]])*24</f>
        <v>3.3333333333333215E-2</v>
      </c>
      <c r="T556" s="472">
        <f>(Table6[[#This Row],[Fault Clearance time]]-Table6[[#This Row],[Fault Start TimeStamp]])*24</f>
        <v>3.3333333333333215E-2</v>
      </c>
      <c r="U556" s="35" t="s">
        <v>336</v>
      </c>
      <c r="V556" s="102" t="s">
        <v>293</v>
      </c>
      <c r="W556" s="478">
        <f>IFERROR(Table6[[#This Row],[Breakdown Time]]*Table6[[#This Row],[Plant Equivalent Weightage]],"")</f>
        <v>1.2820512820512771E-3</v>
      </c>
      <c r="X556" s="473" t="s">
        <v>294</v>
      </c>
      <c r="Y556" s="474" t="s">
        <v>85</v>
      </c>
      <c r="Z556" s="102">
        <v>29548</v>
      </c>
      <c r="AA556" s="468">
        <f>(Table6[[#This Row],[Paired WTG Generation for loss calculation]]/24)*Table6[[#This Row],[Breakdown Time]]</f>
        <v>41.038888888888742</v>
      </c>
      <c r="AB556" s="102"/>
      <c r="AC556" s="35"/>
      <c r="AD556" s="35"/>
    </row>
    <row r="557" spans="1:30">
      <c r="A557" s="102">
        <f t="shared" si="9"/>
        <v>556</v>
      </c>
      <c r="B557" s="468">
        <f>YEAR(Table6[[#This Row],[Date]])+IF(MONTH(Table6[[#This Row],[Date]])&gt;=4,1,0)</f>
        <v>2026</v>
      </c>
      <c r="C557" s="102">
        <f>YEAR(Table6[[#This Row],[Date]])</f>
        <v>2025</v>
      </c>
      <c r="D557" s="102" t="s">
        <v>1992</v>
      </c>
      <c r="E557" s="469">
        <f>Table6[[#This Row],[Date]]-DAY(Table6[[#This Row],[Date]])+1</f>
        <v>45778</v>
      </c>
      <c r="F557" s="470">
        <v>45781</v>
      </c>
      <c r="G557" s="35" t="s">
        <v>84</v>
      </c>
      <c r="H557" s="35" t="str">
        <f>IFERROR(_xlfn.XLOOKUP(Table6[[#This Row],[Affected WTG]],'Basic Data'!$A:$A,'Basic Data'!$B:$B),"")</f>
        <v>TQGXIIPL</v>
      </c>
      <c r="I557" s="35" t="str">
        <f>IFERROR(_xlfn.XLOOKUP(Table6[[#This Row],[Affected WTG]],'Basic Data'!$A:$A,'Basic Data'!$C:$C),"")</f>
        <v>GEDA</v>
      </c>
      <c r="J557" s="471">
        <f>IFERROR(_xlfn.XLOOKUP(Table6[[#This Row],[Affected WTG]],'Basic Data'!$A:$A,'Basic Data'!$E:$E),"")</f>
        <v>3.846153846153845E-2</v>
      </c>
      <c r="K557" s="102">
        <v>6130</v>
      </c>
      <c r="L557" s="35" t="str">
        <f>IFERROR(_xlfn.XLOOKUP(Table6[[#This Row],[Error Code]],'Basic Data'!$AA:$AA,'Basic Data'!$AB:$AB),"Incorrect Error Code")</f>
        <v>Yaw speed high</v>
      </c>
      <c r="M557" s="35" t="s">
        <v>292</v>
      </c>
      <c r="N557" s="475"/>
      <c r="O557" s="476">
        <v>0.7368055555555556</v>
      </c>
      <c r="P557" s="476">
        <v>0.7368055555555556</v>
      </c>
      <c r="Q557" s="477">
        <v>0.74097222222222225</v>
      </c>
      <c r="R557" s="472">
        <f>IF(Table6[[#This Row],[Work Start TimeStamp]]="","",(Table6[[#This Row],[Work Start TimeStamp]]-Table6[[#This Row],[Fault Start TimeStamp]])*24)</f>
        <v>0</v>
      </c>
      <c r="S557" s="472">
        <f>(Table6[[#This Row],[Fault Clearance time]]-Table6[[#This Row],[Work Start TimeStamp]])*24</f>
        <v>9.9999999999999645E-2</v>
      </c>
      <c r="T557" s="472">
        <f>(Table6[[#This Row],[Fault Clearance time]]-Table6[[#This Row],[Fault Start TimeStamp]])*24</f>
        <v>9.9999999999999645E-2</v>
      </c>
      <c r="U557" s="35" t="s">
        <v>336</v>
      </c>
      <c r="V557" s="102" t="s">
        <v>293</v>
      </c>
      <c r="W557" s="478">
        <f>IFERROR(Table6[[#This Row],[Breakdown Time]]*Table6[[#This Row],[Plant Equivalent Weightage]],"")</f>
        <v>3.8461538461538312E-3</v>
      </c>
      <c r="X557" s="473" t="s">
        <v>294</v>
      </c>
      <c r="Y557" s="474" t="s">
        <v>85</v>
      </c>
      <c r="Z557" s="102">
        <v>29548</v>
      </c>
      <c r="AA557" s="468">
        <f>(Table6[[#This Row],[Paired WTG Generation for loss calculation]]/24)*Table6[[#This Row],[Breakdown Time]]</f>
        <v>123.11666666666623</v>
      </c>
      <c r="AB557" s="102"/>
      <c r="AC557" s="35"/>
      <c r="AD557" s="35"/>
    </row>
    <row r="558" spans="1:30">
      <c r="A558" s="102">
        <f t="shared" si="9"/>
        <v>557</v>
      </c>
      <c r="B558" s="468">
        <f>YEAR(Table6[[#This Row],[Date]])+IF(MONTH(Table6[[#This Row],[Date]])&gt;=4,1,0)</f>
        <v>2026</v>
      </c>
      <c r="C558" s="102">
        <f>YEAR(Table6[[#This Row],[Date]])</f>
        <v>2025</v>
      </c>
      <c r="D558" s="102" t="s">
        <v>1992</v>
      </c>
      <c r="E558" s="469">
        <f>Table6[[#This Row],[Date]]-DAY(Table6[[#This Row],[Date]])+1</f>
        <v>45778</v>
      </c>
      <c r="F558" s="470">
        <v>45781</v>
      </c>
      <c r="G558" s="35" t="s">
        <v>89</v>
      </c>
      <c r="H558" s="35" t="str">
        <f>IFERROR(_xlfn.XLOOKUP(Table6[[#This Row],[Affected WTG]],'Basic Data'!$A:$A,'Basic Data'!$B:$B),"")</f>
        <v>TQGXIIPL</v>
      </c>
      <c r="I558" s="35" t="str">
        <f>IFERROR(_xlfn.XLOOKUP(Table6[[#This Row],[Affected WTG]],'Basic Data'!$A:$A,'Basic Data'!$C:$C),"")</f>
        <v>GEDA</v>
      </c>
      <c r="J558" s="471">
        <f>IFERROR(_xlfn.XLOOKUP(Table6[[#This Row],[Affected WTG]],'Basic Data'!$A:$A,'Basic Data'!$E:$E),"")</f>
        <v>3.846153846153845E-2</v>
      </c>
      <c r="K558" s="102">
        <v>3000</v>
      </c>
      <c r="L558" s="35" t="str">
        <f>IFERROR(_xlfn.XLOOKUP(Table6[[#This Row],[Error Code]],'Basic Data'!$AA:$AA,'Basic Data'!$AB:$AB),"Incorrect Error Code")</f>
        <v>Frequency converter not ready</v>
      </c>
      <c r="M558" s="35" t="s">
        <v>291</v>
      </c>
      <c r="N558" s="475"/>
      <c r="O558" s="476">
        <v>0.2361111111111111</v>
      </c>
      <c r="P558" s="476">
        <v>0.28194444444444444</v>
      </c>
      <c r="Q558" s="477">
        <v>0.39930555555555558</v>
      </c>
      <c r="R558" s="472">
        <f>IF(Table6[[#This Row],[Work Start TimeStamp]]="","",(Table6[[#This Row],[Work Start TimeStamp]]-Table6[[#This Row],[Fault Start TimeStamp]])*24)</f>
        <v>1.1000000000000001</v>
      </c>
      <c r="S558" s="472">
        <f>(Table6[[#This Row],[Fault Clearance time]]-Table6[[#This Row],[Work Start TimeStamp]])*24</f>
        <v>2.8166666666666673</v>
      </c>
      <c r="T558" s="472">
        <f>(Table6[[#This Row],[Fault Clearance time]]-Table6[[#This Row],[Fault Start TimeStamp]])*24</f>
        <v>3.9166666666666674</v>
      </c>
      <c r="U558" s="35" t="s">
        <v>1751</v>
      </c>
      <c r="V558" s="102" t="s">
        <v>293</v>
      </c>
      <c r="W558" s="478">
        <f>IFERROR(Table6[[#This Row],[Breakdown Time]]*Table6[[#This Row],[Plant Equivalent Weightage]],"")</f>
        <v>0.15064102564102563</v>
      </c>
      <c r="X558" s="473" t="s">
        <v>290</v>
      </c>
      <c r="Y558" s="474" t="s">
        <v>94</v>
      </c>
      <c r="Z558" s="102">
        <v>30867</v>
      </c>
      <c r="AA558" s="468">
        <f>(Table6[[#This Row],[Paired WTG Generation for loss calculation]]/24)*Table6[[#This Row],[Breakdown Time]]</f>
        <v>5037.3229166666679</v>
      </c>
      <c r="AB558" s="102"/>
      <c r="AC558" s="35"/>
      <c r="AD558" s="35"/>
    </row>
    <row r="559" spans="1:30">
      <c r="A559" s="102">
        <f t="shared" si="9"/>
        <v>558</v>
      </c>
      <c r="B559" s="468">
        <f>YEAR(Table6[[#This Row],[Date]])+IF(MONTH(Table6[[#This Row],[Date]])&gt;=4,1,0)</f>
        <v>2026</v>
      </c>
      <c r="C559" s="102">
        <f>YEAR(Table6[[#This Row],[Date]])</f>
        <v>2025</v>
      </c>
      <c r="D559" s="102" t="s">
        <v>1992</v>
      </c>
      <c r="E559" s="469">
        <f>Table6[[#This Row],[Date]]-DAY(Table6[[#This Row],[Date]])+1</f>
        <v>45778</v>
      </c>
      <c r="F559" s="470">
        <v>45781</v>
      </c>
      <c r="G559" s="35" t="s">
        <v>89</v>
      </c>
      <c r="H559" s="35" t="str">
        <f>IFERROR(_xlfn.XLOOKUP(Table6[[#This Row],[Affected WTG]],'Basic Data'!$A:$A,'Basic Data'!$B:$B),"")</f>
        <v>TQGXIIPL</v>
      </c>
      <c r="I559" s="35" t="str">
        <f>IFERROR(_xlfn.XLOOKUP(Table6[[#This Row],[Affected WTG]],'Basic Data'!$A:$A,'Basic Data'!$C:$C),"")</f>
        <v>GEDA</v>
      </c>
      <c r="J559" s="471">
        <f>IFERROR(_xlfn.XLOOKUP(Table6[[#This Row],[Affected WTG]],'Basic Data'!$A:$A,'Basic Data'!$E:$E),"")</f>
        <v>3.846153846153845E-2</v>
      </c>
      <c r="K559" s="102">
        <v>665</v>
      </c>
      <c r="L559" s="35" t="str">
        <f>IFERROR(_xlfn.XLOOKUP(Table6[[#This Row],[Error Code]],'Basic Data'!$AA:$AA,'Basic Data'!$AB:$AB),"Incorrect Error Code")</f>
        <v>Pitch error</v>
      </c>
      <c r="M559" s="35" t="s">
        <v>291</v>
      </c>
      <c r="N559" s="475"/>
      <c r="O559" s="476">
        <v>0.42152777777777778</v>
      </c>
      <c r="P559" s="476">
        <v>0.42152777777777778</v>
      </c>
      <c r="Q559" s="477">
        <v>0.43055555555555558</v>
      </c>
      <c r="R559" s="472">
        <f>IF(Table6[[#This Row],[Work Start TimeStamp]]="","",(Table6[[#This Row],[Work Start TimeStamp]]-Table6[[#This Row],[Fault Start TimeStamp]])*24)</f>
        <v>0</v>
      </c>
      <c r="S559" s="472">
        <f>(Table6[[#This Row],[Fault Clearance time]]-Table6[[#This Row],[Work Start TimeStamp]])*24</f>
        <v>0.21666666666666723</v>
      </c>
      <c r="T559" s="472">
        <f>(Table6[[#This Row],[Fault Clearance time]]-Table6[[#This Row],[Fault Start TimeStamp]])*24</f>
        <v>0.21666666666666723</v>
      </c>
      <c r="U559" s="35" t="s">
        <v>349</v>
      </c>
      <c r="V559" s="102" t="s">
        <v>293</v>
      </c>
      <c r="W559" s="478">
        <f>IFERROR(Table6[[#This Row],[Breakdown Time]]*Table6[[#This Row],[Plant Equivalent Weightage]],"")</f>
        <v>8.3333333333333523E-3</v>
      </c>
      <c r="X559" s="473" t="s">
        <v>294</v>
      </c>
      <c r="Y559" s="474" t="s">
        <v>94</v>
      </c>
      <c r="Z559" s="102">
        <v>30867</v>
      </c>
      <c r="AA559" s="468">
        <f>(Table6[[#This Row],[Paired WTG Generation for loss calculation]]/24)*Table6[[#This Row],[Breakdown Time]]</f>
        <v>278.6604166666674</v>
      </c>
      <c r="AB559" s="102"/>
      <c r="AC559" s="35"/>
      <c r="AD559" s="35"/>
    </row>
    <row r="560" spans="1:30">
      <c r="A560" s="102">
        <f t="shared" si="9"/>
        <v>559</v>
      </c>
      <c r="B560" s="468">
        <f>YEAR(Table6[[#This Row],[Date]])+IF(MONTH(Table6[[#This Row],[Date]])&gt;=4,1,0)</f>
        <v>2026</v>
      </c>
      <c r="C560" s="102">
        <f>YEAR(Table6[[#This Row],[Date]])</f>
        <v>2025</v>
      </c>
      <c r="D560" s="102" t="s">
        <v>1992</v>
      </c>
      <c r="E560" s="469">
        <f>Table6[[#This Row],[Date]]-DAY(Table6[[#This Row],[Date]])+1</f>
        <v>45778</v>
      </c>
      <c r="F560" s="470">
        <v>45781</v>
      </c>
      <c r="G560" s="35" t="s">
        <v>90</v>
      </c>
      <c r="H560" s="35" t="str">
        <f>IFERROR(_xlfn.XLOOKUP(Table6[[#This Row],[Affected WTG]],'Basic Data'!$A:$A,'Basic Data'!$B:$B),"")</f>
        <v>TQGXIIPL</v>
      </c>
      <c r="I560" s="35" t="str">
        <f>IFERROR(_xlfn.XLOOKUP(Table6[[#This Row],[Affected WTG]],'Basic Data'!$A:$A,'Basic Data'!$C:$C),"")</f>
        <v>GEDA</v>
      </c>
      <c r="J560" s="471">
        <f>IFERROR(_xlfn.XLOOKUP(Table6[[#This Row],[Affected WTG]],'Basic Data'!$A:$A,'Basic Data'!$E:$E),"")</f>
        <v>3.846153846153845E-2</v>
      </c>
      <c r="K560" s="102">
        <v>3110</v>
      </c>
      <c r="L560" s="35" t="str">
        <f>IFERROR(_xlfn.XLOOKUP(Table6[[#This Row],[Error Code]],'Basic Data'!$AA:$AA,'Basic Data'!$AB:$AB),"Incorrect Error Code")</f>
        <v>Frequency converter error</v>
      </c>
      <c r="M560" s="35" t="s">
        <v>291</v>
      </c>
      <c r="N560" s="475"/>
      <c r="O560" s="476">
        <v>0.72152777777777777</v>
      </c>
      <c r="P560" s="476">
        <v>0.72152777777777777</v>
      </c>
      <c r="Q560" s="477">
        <v>0.73541666666666672</v>
      </c>
      <c r="R560" s="472">
        <f>IF(Table6[[#This Row],[Work Start TimeStamp]]="","",(Table6[[#This Row],[Work Start TimeStamp]]-Table6[[#This Row],[Fault Start TimeStamp]])*24)</f>
        <v>0</v>
      </c>
      <c r="S560" s="472">
        <f>(Table6[[#This Row],[Fault Clearance time]]-Table6[[#This Row],[Work Start TimeStamp]])*24</f>
        <v>0.33333333333333481</v>
      </c>
      <c r="T560" s="472">
        <f>(Table6[[#This Row],[Fault Clearance time]]-Table6[[#This Row],[Fault Start TimeStamp]])*24</f>
        <v>0.33333333333333481</v>
      </c>
      <c r="U560" s="35" t="s">
        <v>382</v>
      </c>
      <c r="V560" s="102" t="s">
        <v>293</v>
      </c>
      <c r="W560" s="478">
        <f>IFERROR(Table6[[#This Row],[Breakdown Time]]*Table6[[#This Row],[Plant Equivalent Weightage]],"")</f>
        <v>1.2820512820512874E-2</v>
      </c>
      <c r="X560" s="473" t="s">
        <v>294</v>
      </c>
      <c r="Y560" s="474" t="s">
        <v>95</v>
      </c>
      <c r="Z560" s="102">
        <v>28077</v>
      </c>
      <c r="AA560" s="468">
        <f>(Table6[[#This Row],[Paired WTG Generation for loss calculation]]/24)*Table6[[#This Row],[Breakdown Time]]</f>
        <v>389.95833333333508</v>
      </c>
      <c r="AB560" s="102"/>
      <c r="AC560" s="35"/>
      <c r="AD560" s="35"/>
    </row>
    <row r="561" spans="1:30">
      <c r="A561" s="102">
        <f t="shared" si="9"/>
        <v>560</v>
      </c>
      <c r="B561" s="468">
        <f>YEAR(Table6[[#This Row],[Date]])+IF(MONTH(Table6[[#This Row],[Date]])&gt;=4,1,0)</f>
        <v>2026</v>
      </c>
      <c r="C561" s="102">
        <f>YEAR(Table6[[#This Row],[Date]])</f>
        <v>2025</v>
      </c>
      <c r="D561" s="102" t="s">
        <v>1992</v>
      </c>
      <c r="E561" s="469">
        <f>Table6[[#This Row],[Date]]-DAY(Table6[[#This Row],[Date]])+1</f>
        <v>45778</v>
      </c>
      <c r="F561" s="470">
        <v>45781</v>
      </c>
      <c r="G561" s="35" t="s">
        <v>95</v>
      </c>
      <c r="H561" s="35" t="str">
        <f>IFERROR(_xlfn.XLOOKUP(Table6[[#This Row],[Affected WTG]],'Basic Data'!$A:$A,'Basic Data'!$B:$B),"")</f>
        <v>TQGXIIPL</v>
      </c>
      <c r="I561" s="35" t="str">
        <f>IFERROR(_xlfn.XLOOKUP(Table6[[#This Row],[Affected WTG]],'Basic Data'!$A:$A,'Basic Data'!$C:$C),"")</f>
        <v>GEDA</v>
      </c>
      <c r="J561" s="471">
        <f>IFERROR(_xlfn.XLOOKUP(Table6[[#This Row],[Affected WTG]],'Basic Data'!$A:$A,'Basic Data'!$E:$E),"")</f>
        <v>3.846153846153845E-2</v>
      </c>
      <c r="K561" s="102">
        <v>6130</v>
      </c>
      <c r="L561" s="35" t="str">
        <f>IFERROR(_xlfn.XLOOKUP(Table6[[#This Row],[Error Code]],'Basic Data'!$AA:$AA,'Basic Data'!$AB:$AB),"Incorrect Error Code")</f>
        <v>Yaw speed high</v>
      </c>
      <c r="M561" s="35" t="s">
        <v>292</v>
      </c>
      <c r="N561" s="475"/>
      <c r="O561" s="476">
        <v>0.63263888888888886</v>
      </c>
      <c r="P561" s="476">
        <v>0.63263888888888886</v>
      </c>
      <c r="Q561" s="477">
        <v>0.63680555555555551</v>
      </c>
      <c r="R561" s="472">
        <f>IF(Table6[[#This Row],[Work Start TimeStamp]]="","",(Table6[[#This Row],[Work Start TimeStamp]]-Table6[[#This Row],[Fault Start TimeStamp]])*24)</f>
        <v>0</v>
      </c>
      <c r="S561" s="472">
        <f>(Table6[[#This Row],[Fault Clearance time]]-Table6[[#This Row],[Work Start TimeStamp]])*24</f>
        <v>9.9999999999999645E-2</v>
      </c>
      <c r="T561" s="472">
        <f>(Table6[[#This Row],[Fault Clearance time]]-Table6[[#This Row],[Fault Start TimeStamp]])*24</f>
        <v>9.9999999999999645E-2</v>
      </c>
      <c r="U561" s="35" t="s">
        <v>336</v>
      </c>
      <c r="V561" s="102" t="s">
        <v>293</v>
      </c>
      <c r="W561" s="478">
        <f>IFERROR(Table6[[#This Row],[Breakdown Time]]*Table6[[#This Row],[Plant Equivalent Weightage]],"")</f>
        <v>3.8461538461538312E-3</v>
      </c>
      <c r="X561" s="473" t="s">
        <v>294</v>
      </c>
      <c r="Y561" s="474" t="s">
        <v>79</v>
      </c>
      <c r="Z561" s="102">
        <v>28832</v>
      </c>
      <c r="AA561" s="468">
        <f>(Table6[[#This Row],[Paired WTG Generation for loss calculation]]/24)*Table6[[#This Row],[Breakdown Time]]</f>
        <v>120.1333333333329</v>
      </c>
      <c r="AB561" s="102"/>
      <c r="AC561" s="35"/>
      <c r="AD561" s="35"/>
    </row>
    <row r="562" spans="1:30">
      <c r="A562" s="102">
        <f t="shared" si="9"/>
        <v>561</v>
      </c>
      <c r="B562" s="468">
        <f>YEAR(Table6[[#This Row],[Date]])+IF(MONTH(Table6[[#This Row],[Date]])&gt;=4,1,0)</f>
        <v>2026</v>
      </c>
      <c r="C562" s="102">
        <f>YEAR(Table6[[#This Row],[Date]])</f>
        <v>2025</v>
      </c>
      <c r="D562" s="102" t="s">
        <v>1992</v>
      </c>
      <c r="E562" s="469">
        <f>Table6[[#This Row],[Date]]-DAY(Table6[[#This Row],[Date]])+1</f>
        <v>45778</v>
      </c>
      <c r="F562" s="470">
        <v>45781</v>
      </c>
      <c r="G562" s="35" t="s">
        <v>96</v>
      </c>
      <c r="H562" s="35" t="str">
        <f>IFERROR(_xlfn.XLOOKUP(Table6[[#This Row],[Affected WTG]],'Basic Data'!$A:$A,'Basic Data'!$B:$B),"")</f>
        <v>TQGXIIPL</v>
      </c>
      <c r="I562" s="35" t="str">
        <f>IFERROR(_xlfn.XLOOKUP(Table6[[#This Row],[Affected WTG]],'Basic Data'!$A:$A,'Basic Data'!$C:$C),"")</f>
        <v>GEDA</v>
      </c>
      <c r="J562" s="471">
        <f>IFERROR(_xlfn.XLOOKUP(Table6[[#This Row],[Affected WTG]],'Basic Data'!$A:$A,'Basic Data'!$E:$E),"")</f>
        <v>3.846153846153845E-2</v>
      </c>
      <c r="K562" s="102">
        <v>6130</v>
      </c>
      <c r="L562" s="35" t="str">
        <f>IFERROR(_xlfn.XLOOKUP(Table6[[#This Row],[Error Code]],'Basic Data'!$AA:$AA,'Basic Data'!$AB:$AB),"Incorrect Error Code")</f>
        <v>Yaw speed high</v>
      </c>
      <c r="M562" s="35" t="s">
        <v>292</v>
      </c>
      <c r="N562" s="475"/>
      <c r="O562" s="476">
        <v>0.70625000000000004</v>
      </c>
      <c r="P562" s="476">
        <v>0.70625000000000004</v>
      </c>
      <c r="Q562" s="477">
        <v>0.7104166666666667</v>
      </c>
      <c r="R562" s="472">
        <f>IF(Table6[[#This Row],[Work Start TimeStamp]]="","",(Table6[[#This Row],[Work Start TimeStamp]]-Table6[[#This Row],[Fault Start TimeStamp]])*24)</f>
        <v>0</v>
      </c>
      <c r="S562" s="472">
        <f>(Table6[[#This Row],[Fault Clearance time]]-Table6[[#This Row],[Work Start TimeStamp]])*24</f>
        <v>9.9999999999999645E-2</v>
      </c>
      <c r="T562" s="472">
        <f>(Table6[[#This Row],[Fault Clearance time]]-Table6[[#This Row],[Fault Start TimeStamp]])*24</f>
        <v>9.9999999999999645E-2</v>
      </c>
      <c r="U562" s="35" t="s">
        <v>336</v>
      </c>
      <c r="V562" s="102" t="s">
        <v>293</v>
      </c>
      <c r="W562" s="478">
        <f>IFERROR(Table6[[#This Row],[Breakdown Time]]*Table6[[#This Row],[Plant Equivalent Weightage]],"")</f>
        <v>3.8461538461538312E-3</v>
      </c>
      <c r="X562" s="473" t="s">
        <v>294</v>
      </c>
      <c r="Y562" s="474" t="s">
        <v>84</v>
      </c>
      <c r="Z562" s="102">
        <v>28037</v>
      </c>
      <c r="AA562" s="468">
        <f>(Table6[[#This Row],[Paired WTG Generation for loss calculation]]/24)*Table6[[#This Row],[Breakdown Time]]</f>
        <v>116.82083333333291</v>
      </c>
      <c r="AB562" s="102"/>
      <c r="AC562" s="35"/>
      <c r="AD562" s="35"/>
    </row>
    <row r="563" spans="1:30">
      <c r="A563" s="102">
        <f t="shared" si="9"/>
        <v>562</v>
      </c>
      <c r="B563" s="468">
        <f>YEAR(Table6[[#This Row],[Date]])+IF(MONTH(Table6[[#This Row],[Date]])&gt;=4,1,0)</f>
        <v>2026</v>
      </c>
      <c r="C563" s="102">
        <f>YEAR(Table6[[#This Row],[Date]])</f>
        <v>2025</v>
      </c>
      <c r="D563" s="102" t="s">
        <v>1992</v>
      </c>
      <c r="E563" s="469">
        <f>Table6[[#This Row],[Date]]-DAY(Table6[[#This Row],[Date]])+1</f>
        <v>45778</v>
      </c>
      <c r="F563" s="470">
        <v>45781</v>
      </c>
      <c r="G563" s="35" t="s">
        <v>98</v>
      </c>
      <c r="H563" s="35" t="str">
        <f>IFERROR(_xlfn.XLOOKUP(Table6[[#This Row],[Affected WTG]],'Basic Data'!$A:$A,'Basic Data'!$B:$B),"")</f>
        <v>TQGXIIPL</v>
      </c>
      <c r="I563" s="35" t="str">
        <f>IFERROR(_xlfn.XLOOKUP(Table6[[#This Row],[Affected WTG]],'Basic Data'!$A:$A,'Basic Data'!$C:$C),"")</f>
        <v>GEDA</v>
      </c>
      <c r="J563" s="471">
        <f>IFERROR(_xlfn.XLOOKUP(Table6[[#This Row],[Affected WTG]],'Basic Data'!$A:$A,'Basic Data'!$E:$E),"")</f>
        <v>3.846153846153845E-2</v>
      </c>
      <c r="K563" s="102">
        <v>55</v>
      </c>
      <c r="L563" s="35" t="str">
        <f>IFERROR(_xlfn.XLOOKUP(Table6[[#This Row],[Error Code]],'Basic Data'!$AA:$AA,'Basic Data'!$AB:$AB),"Incorrect Error Code")</f>
        <v>WTG shut down</v>
      </c>
      <c r="M563" s="35" t="s">
        <v>304</v>
      </c>
      <c r="N563" s="475"/>
      <c r="O563" s="476">
        <v>0.30833333333333335</v>
      </c>
      <c r="P563" s="476">
        <v>0.30833333333333335</v>
      </c>
      <c r="Q563" s="477">
        <v>0.7368055555555556</v>
      </c>
      <c r="R563" s="472">
        <f>IF(Table6[[#This Row],[Work Start TimeStamp]]="","",(Table6[[#This Row],[Work Start TimeStamp]]-Table6[[#This Row],[Fault Start TimeStamp]])*24)</f>
        <v>0</v>
      </c>
      <c r="S563" s="472">
        <f>(Table6[[#This Row],[Fault Clearance time]]-Table6[[#This Row],[Work Start TimeStamp]])*24</f>
        <v>10.283333333333335</v>
      </c>
      <c r="T563" s="472">
        <f>(Table6[[#This Row],[Fault Clearance time]]-Table6[[#This Row],[Fault Start TimeStamp]])*24</f>
        <v>10.283333333333335</v>
      </c>
      <c r="U563" s="35" t="s">
        <v>1748</v>
      </c>
      <c r="V563" s="102" t="s">
        <v>293</v>
      </c>
      <c r="W563" s="478">
        <f>IFERROR(Table6[[#This Row],[Breakdown Time]]*Table6[[#This Row],[Plant Equivalent Weightage]],"")</f>
        <v>0.39551282051282044</v>
      </c>
      <c r="X563" s="473" t="s">
        <v>305</v>
      </c>
      <c r="Y563" s="474" t="s">
        <v>74</v>
      </c>
      <c r="Z563" s="102">
        <v>17974</v>
      </c>
      <c r="AA563" s="468">
        <f>(Table6[[#This Row],[Paired WTG Generation for loss calculation]]/24)*Table6[[#This Row],[Breakdown Time]]</f>
        <v>7701.3597222222234</v>
      </c>
      <c r="AB563" s="102"/>
      <c r="AC563" s="35"/>
      <c r="AD563" s="35"/>
    </row>
    <row r="564" spans="1:30">
      <c r="A564" s="102">
        <f t="shared" si="9"/>
        <v>563</v>
      </c>
      <c r="B564" s="468">
        <f>YEAR(Table6[[#This Row],[Date]])+IF(MONTH(Table6[[#This Row],[Date]])&gt;=4,1,0)</f>
        <v>2026</v>
      </c>
      <c r="C564" s="102">
        <f>YEAR(Table6[[#This Row],[Date]])</f>
        <v>2025</v>
      </c>
      <c r="D564" s="102" t="s">
        <v>1992</v>
      </c>
      <c r="E564" s="469">
        <f>Table6[[#This Row],[Date]]-DAY(Table6[[#This Row],[Date]])+1</f>
        <v>45778</v>
      </c>
      <c r="F564" s="470">
        <v>45781</v>
      </c>
      <c r="G564" s="35" t="s">
        <v>74</v>
      </c>
      <c r="H564" s="35" t="str">
        <f>IFERROR(_xlfn.XLOOKUP(Table6[[#This Row],[Affected WTG]],'Basic Data'!$A:$A,'Basic Data'!$B:$B),"")</f>
        <v>TQGXIIPL</v>
      </c>
      <c r="I564" s="35" t="str">
        <f>IFERROR(_xlfn.XLOOKUP(Table6[[#This Row],[Affected WTG]],'Basic Data'!$A:$A,'Basic Data'!$C:$C),"")</f>
        <v>GEDA</v>
      </c>
      <c r="J564" s="471">
        <f>IFERROR(_xlfn.XLOOKUP(Table6[[#This Row],[Affected WTG]],'Basic Data'!$A:$A,'Basic Data'!$E:$E),"")</f>
        <v>3.846153846153845E-2</v>
      </c>
      <c r="K564" s="102">
        <v>55</v>
      </c>
      <c r="L564" s="35" t="str">
        <f>IFERROR(_xlfn.XLOOKUP(Table6[[#This Row],[Error Code]],'Basic Data'!$AA:$AA,'Basic Data'!$AB:$AB),"Incorrect Error Code")</f>
        <v>WTG shut down</v>
      </c>
      <c r="M564" s="35" t="s">
        <v>330</v>
      </c>
      <c r="N564" s="475"/>
      <c r="O564" s="476">
        <v>0.72291666666666665</v>
      </c>
      <c r="P564" s="476">
        <v>0.72291666666666665</v>
      </c>
      <c r="Q564" s="477">
        <v>0.86319444444444449</v>
      </c>
      <c r="R564" s="472">
        <f>IF(Table6[[#This Row],[Work Start TimeStamp]]="","",(Table6[[#This Row],[Work Start TimeStamp]]-Table6[[#This Row],[Fault Start TimeStamp]])*24)</f>
        <v>0</v>
      </c>
      <c r="S564" s="472">
        <f>(Table6[[#This Row],[Fault Clearance time]]-Table6[[#This Row],[Work Start TimeStamp]])*24</f>
        <v>3.366666666666668</v>
      </c>
      <c r="T564" s="472">
        <f>(Table6[[#This Row],[Fault Clearance time]]-Table6[[#This Row],[Fault Start TimeStamp]])*24</f>
        <v>3.366666666666668</v>
      </c>
      <c r="U564" s="35" t="s">
        <v>1744</v>
      </c>
      <c r="V564" s="102" t="s">
        <v>293</v>
      </c>
      <c r="W564" s="478">
        <f>IFERROR(Table6[[#This Row],[Breakdown Time]]*Table6[[#This Row],[Plant Equivalent Weightage]],"")</f>
        <v>0.1294871794871795</v>
      </c>
      <c r="X564" s="473" t="s">
        <v>290</v>
      </c>
      <c r="Y564" s="474" t="s">
        <v>99</v>
      </c>
      <c r="Z564" s="102">
        <v>30825</v>
      </c>
      <c r="AA564" s="468">
        <f>(Table6[[#This Row],[Paired WTG Generation for loss calculation]]/24)*Table6[[#This Row],[Breakdown Time]]</f>
        <v>4324.0625000000018</v>
      </c>
      <c r="AB564" s="102"/>
      <c r="AC564" s="35"/>
      <c r="AD564" s="35"/>
    </row>
    <row r="565" spans="1:30">
      <c r="A565" s="102">
        <f t="shared" si="9"/>
        <v>564</v>
      </c>
      <c r="B565" s="468">
        <f>YEAR(Table6[[#This Row],[Date]])+IF(MONTH(Table6[[#This Row],[Date]])&gt;=4,1,0)</f>
        <v>2026</v>
      </c>
      <c r="C565" s="102">
        <f>YEAR(Table6[[#This Row],[Date]])</f>
        <v>2025</v>
      </c>
      <c r="D565" s="102" t="s">
        <v>1992</v>
      </c>
      <c r="E565" s="469">
        <f>Table6[[#This Row],[Date]]-DAY(Table6[[#This Row],[Date]])+1</f>
        <v>45778</v>
      </c>
      <c r="F565" s="470">
        <v>45781</v>
      </c>
      <c r="G565" s="35" t="s">
        <v>78</v>
      </c>
      <c r="H565" s="35" t="str">
        <f>IFERROR(_xlfn.XLOOKUP(Table6[[#This Row],[Affected WTG]],'Basic Data'!$A:$A,'Basic Data'!$B:$B),"")</f>
        <v>TQGXIIPL</v>
      </c>
      <c r="I565" s="35" t="str">
        <f>IFERROR(_xlfn.XLOOKUP(Table6[[#This Row],[Affected WTG]],'Basic Data'!$A:$A,'Basic Data'!$C:$C),"")</f>
        <v>GEDA</v>
      </c>
      <c r="J565" s="471">
        <f>IFERROR(_xlfn.XLOOKUP(Table6[[#This Row],[Affected WTG]],'Basic Data'!$A:$A,'Basic Data'!$E:$E),"")</f>
        <v>3.846153846153845E-2</v>
      </c>
      <c r="K565" s="102">
        <v>3110</v>
      </c>
      <c r="L565" s="35" t="str">
        <f>IFERROR(_xlfn.XLOOKUP(Table6[[#This Row],[Error Code]],'Basic Data'!$AA:$AA,'Basic Data'!$AB:$AB),"Incorrect Error Code")</f>
        <v>Frequency converter error</v>
      </c>
      <c r="M565" s="35" t="s">
        <v>292</v>
      </c>
      <c r="N565" s="475"/>
      <c r="O565" s="476">
        <v>0.95486111111111116</v>
      </c>
      <c r="P565" s="476">
        <v>0.95486111111111116</v>
      </c>
      <c r="Q565" s="477">
        <v>0.95694444444444449</v>
      </c>
      <c r="R565" s="472">
        <f>IF(Table6[[#This Row],[Work Start TimeStamp]]="","",(Table6[[#This Row],[Work Start TimeStamp]]-Table6[[#This Row],[Fault Start TimeStamp]])*24)</f>
        <v>0</v>
      </c>
      <c r="S565" s="472">
        <f>(Table6[[#This Row],[Fault Clearance time]]-Table6[[#This Row],[Work Start TimeStamp]])*24</f>
        <v>4.9999999999999822E-2</v>
      </c>
      <c r="T565" s="472">
        <f>(Table6[[#This Row],[Fault Clearance time]]-Table6[[#This Row],[Fault Start TimeStamp]])*24</f>
        <v>4.9999999999999822E-2</v>
      </c>
      <c r="U565" s="35" t="s">
        <v>336</v>
      </c>
      <c r="V565" s="102" t="s">
        <v>293</v>
      </c>
      <c r="W565" s="478">
        <f>IFERROR(Table6[[#This Row],[Breakdown Time]]*Table6[[#This Row],[Plant Equivalent Weightage]],"")</f>
        <v>1.9230769230769156E-3</v>
      </c>
      <c r="X565" s="473" t="s">
        <v>294</v>
      </c>
      <c r="Y565" s="474" t="s">
        <v>75</v>
      </c>
      <c r="Z565" s="102">
        <v>29174</v>
      </c>
      <c r="AA565" s="468">
        <f>(Table6[[#This Row],[Paired WTG Generation for loss calculation]]/24)*Table6[[#This Row],[Breakdown Time]]</f>
        <v>60.779166666666448</v>
      </c>
      <c r="AB565" s="102"/>
      <c r="AC565" s="35"/>
      <c r="AD565" s="35"/>
    </row>
    <row r="566" spans="1:30">
      <c r="A566" s="102">
        <f t="shared" si="9"/>
        <v>565</v>
      </c>
      <c r="B566" s="468">
        <f>YEAR(Table6[[#This Row],[Date]])+IF(MONTH(Table6[[#This Row],[Date]])&gt;=4,1,0)</f>
        <v>2026</v>
      </c>
      <c r="C566" s="102">
        <f>YEAR(Table6[[#This Row],[Date]])</f>
        <v>2025</v>
      </c>
      <c r="D566" s="102" t="s">
        <v>1992</v>
      </c>
      <c r="E566" s="469">
        <f>Table6[[#This Row],[Date]]-DAY(Table6[[#This Row],[Date]])+1</f>
        <v>45778</v>
      </c>
      <c r="F566" s="470">
        <v>45782</v>
      </c>
      <c r="G566" s="35" t="s">
        <v>74</v>
      </c>
      <c r="H566" s="35" t="str">
        <f>IFERROR(_xlfn.XLOOKUP(Table6[[#This Row],[Affected WTG]],'Basic Data'!$A:$A,'Basic Data'!$B:$B),"")</f>
        <v>TQGXIIPL</v>
      </c>
      <c r="I566" s="35" t="str">
        <f>IFERROR(_xlfn.XLOOKUP(Table6[[#This Row],[Affected WTG]],'Basic Data'!$A:$A,'Basic Data'!$C:$C),"")</f>
        <v>GEDA</v>
      </c>
      <c r="J566" s="471">
        <f>IFERROR(_xlfn.XLOOKUP(Table6[[#This Row],[Affected WTG]],'Basic Data'!$A:$A,'Basic Data'!$E:$E),"")</f>
        <v>3.846153846153845E-2</v>
      </c>
      <c r="K566" s="102">
        <v>55</v>
      </c>
      <c r="L566" s="35" t="str">
        <f>IFERROR(_xlfn.XLOOKUP(Table6[[#This Row],[Error Code]],'Basic Data'!$AA:$AA,'Basic Data'!$AB:$AB),"Incorrect Error Code")</f>
        <v>WTG shut down</v>
      </c>
      <c r="M566" s="35" t="s">
        <v>330</v>
      </c>
      <c r="N566" s="475"/>
      <c r="O566" s="476">
        <v>0.64027777777777772</v>
      </c>
      <c r="P566" s="476">
        <v>0.64027777777777772</v>
      </c>
      <c r="Q566" s="477">
        <v>0.75</v>
      </c>
      <c r="R566" s="472">
        <f>IF(Table6[[#This Row],[Work Start TimeStamp]]="","",(Table6[[#This Row],[Work Start TimeStamp]]-Table6[[#This Row],[Fault Start TimeStamp]])*24)</f>
        <v>0</v>
      </c>
      <c r="S566" s="472">
        <f>(Table6[[#This Row],[Fault Clearance time]]-Table6[[#This Row],[Work Start TimeStamp]])*24</f>
        <v>2.6333333333333346</v>
      </c>
      <c r="T566" s="472">
        <f>(Table6[[#This Row],[Fault Clearance time]]-Table6[[#This Row],[Fault Start TimeStamp]])*24</f>
        <v>2.6333333333333346</v>
      </c>
      <c r="U566" s="35" t="s">
        <v>1744</v>
      </c>
      <c r="V566" s="102" t="s">
        <v>293</v>
      </c>
      <c r="W566" s="478">
        <f>IFERROR(Table6[[#This Row],[Breakdown Time]]*Table6[[#This Row],[Plant Equivalent Weightage]],"")</f>
        <v>0.1012820512820513</v>
      </c>
      <c r="X566" s="473" t="s">
        <v>290</v>
      </c>
      <c r="Y566" s="474" t="s">
        <v>99</v>
      </c>
      <c r="Z566" s="102">
        <v>31214</v>
      </c>
      <c r="AA566" s="468">
        <f>(Table6[[#This Row],[Paired WTG Generation for loss calculation]]/24)*Table6[[#This Row],[Breakdown Time]]</f>
        <v>3424.8694444444459</v>
      </c>
      <c r="AB566" s="102"/>
      <c r="AC566" s="35"/>
      <c r="AD566" s="35"/>
    </row>
    <row r="567" spans="1:30">
      <c r="A567" s="102">
        <f t="shared" si="9"/>
        <v>566</v>
      </c>
      <c r="B567" s="468">
        <f>YEAR(Table6[[#This Row],[Date]])+IF(MONTH(Table6[[#This Row],[Date]])&gt;=4,1,0)</f>
        <v>2026</v>
      </c>
      <c r="C567" s="102">
        <f>YEAR(Table6[[#This Row],[Date]])</f>
        <v>2025</v>
      </c>
      <c r="D567" s="102" t="s">
        <v>1992</v>
      </c>
      <c r="E567" s="469">
        <f>Table6[[#This Row],[Date]]-DAY(Table6[[#This Row],[Date]])+1</f>
        <v>45778</v>
      </c>
      <c r="F567" s="470">
        <v>45782</v>
      </c>
      <c r="G567" s="35" t="s">
        <v>74</v>
      </c>
      <c r="H567" s="35" t="str">
        <f>IFERROR(_xlfn.XLOOKUP(Table6[[#This Row],[Affected WTG]],'Basic Data'!$A:$A,'Basic Data'!$B:$B),"")</f>
        <v>TQGXIIPL</v>
      </c>
      <c r="I567" s="35" t="str">
        <f>IFERROR(_xlfn.XLOOKUP(Table6[[#This Row],[Affected WTG]],'Basic Data'!$A:$A,'Basic Data'!$C:$C),"")</f>
        <v>GEDA</v>
      </c>
      <c r="J567" s="471">
        <f>IFERROR(_xlfn.XLOOKUP(Table6[[#This Row],[Affected WTG]],'Basic Data'!$A:$A,'Basic Data'!$E:$E),"")</f>
        <v>3.846153846153845E-2</v>
      </c>
      <c r="K567" s="102">
        <v>55</v>
      </c>
      <c r="L567" s="35" t="str">
        <f>IFERROR(_xlfn.XLOOKUP(Table6[[#This Row],[Error Code]],'Basic Data'!$AA:$AA,'Basic Data'!$AB:$AB),"Incorrect Error Code")</f>
        <v>WTG shut down</v>
      </c>
      <c r="M567" s="35" t="s">
        <v>330</v>
      </c>
      <c r="N567" s="475"/>
      <c r="O567" s="476">
        <v>0.78541666666666665</v>
      </c>
      <c r="P567" s="476">
        <v>0.78541666666666665</v>
      </c>
      <c r="Q567" s="477">
        <v>0.87152777777777779</v>
      </c>
      <c r="R567" s="472">
        <f>IF(Table6[[#This Row],[Work Start TimeStamp]]="","",(Table6[[#This Row],[Work Start TimeStamp]]-Table6[[#This Row],[Fault Start TimeStamp]])*24)</f>
        <v>0</v>
      </c>
      <c r="S567" s="472">
        <f>(Table6[[#This Row],[Fault Clearance time]]-Table6[[#This Row],[Work Start TimeStamp]])*24</f>
        <v>2.0666666666666673</v>
      </c>
      <c r="T567" s="472">
        <f>(Table6[[#This Row],[Fault Clearance time]]-Table6[[#This Row],[Fault Start TimeStamp]])*24</f>
        <v>2.0666666666666673</v>
      </c>
      <c r="U567" s="35" t="s">
        <v>1744</v>
      </c>
      <c r="V567" s="102" t="s">
        <v>293</v>
      </c>
      <c r="W567" s="478">
        <f>IFERROR(Table6[[#This Row],[Breakdown Time]]*Table6[[#This Row],[Plant Equivalent Weightage]],"")</f>
        <v>7.9487179487179482E-2</v>
      </c>
      <c r="X567" s="473" t="s">
        <v>290</v>
      </c>
      <c r="Y567" s="474" t="s">
        <v>99</v>
      </c>
      <c r="Z567" s="102">
        <v>31214</v>
      </c>
      <c r="AA567" s="468">
        <f>(Table6[[#This Row],[Paired WTG Generation for loss calculation]]/24)*Table6[[#This Row],[Breakdown Time]]</f>
        <v>2687.8722222222227</v>
      </c>
      <c r="AB567" s="102"/>
      <c r="AC567" s="35"/>
      <c r="AD567" s="35"/>
    </row>
    <row r="568" spans="1:30">
      <c r="A568" s="102">
        <f t="shared" si="9"/>
        <v>567</v>
      </c>
      <c r="B568" s="468">
        <f>YEAR(Table6[[#This Row],[Date]])+IF(MONTH(Table6[[#This Row],[Date]])&gt;=4,1,0)</f>
        <v>2026</v>
      </c>
      <c r="C568" s="102">
        <f>YEAR(Table6[[#This Row],[Date]])</f>
        <v>2025</v>
      </c>
      <c r="D568" s="102" t="s">
        <v>1992</v>
      </c>
      <c r="E568" s="469">
        <f>Table6[[#This Row],[Date]]-DAY(Table6[[#This Row],[Date]])+1</f>
        <v>45778</v>
      </c>
      <c r="F568" s="470">
        <v>45782</v>
      </c>
      <c r="G568" s="35" t="s">
        <v>78</v>
      </c>
      <c r="H568" s="35" t="str">
        <f>IFERROR(_xlfn.XLOOKUP(Table6[[#This Row],[Affected WTG]],'Basic Data'!$A:$A,'Basic Data'!$B:$B),"")</f>
        <v>TQGXIIPL</v>
      </c>
      <c r="I568" s="35" t="str">
        <f>IFERROR(_xlfn.XLOOKUP(Table6[[#This Row],[Affected WTG]],'Basic Data'!$A:$A,'Basic Data'!$C:$C),"")</f>
        <v>GEDA</v>
      </c>
      <c r="J568" s="471">
        <f>IFERROR(_xlfn.XLOOKUP(Table6[[#This Row],[Affected WTG]],'Basic Data'!$A:$A,'Basic Data'!$E:$E),"")</f>
        <v>3.846153846153845E-2</v>
      </c>
      <c r="K568" s="102">
        <v>6605</v>
      </c>
      <c r="L568" s="35" t="str">
        <f>IFERROR(_xlfn.XLOOKUP(Table6[[#This Row],[Error Code]],'Basic Data'!$AA:$AA,'Basic Data'!$AB:$AB),"Incorrect Error Code")</f>
        <v>Wind.dir. diff. level 2</v>
      </c>
      <c r="M568" s="35" t="s">
        <v>292</v>
      </c>
      <c r="N568" s="475"/>
      <c r="O568" s="476">
        <v>0.6430555555555556</v>
      </c>
      <c r="P568" s="476">
        <v>0.6430555555555556</v>
      </c>
      <c r="Q568" s="477">
        <v>0.64444444444444449</v>
      </c>
      <c r="R568" s="472">
        <f>IF(Table6[[#This Row],[Work Start TimeStamp]]="","",(Table6[[#This Row],[Work Start TimeStamp]]-Table6[[#This Row],[Fault Start TimeStamp]])*24)</f>
        <v>0</v>
      </c>
      <c r="S568" s="472">
        <f>(Table6[[#This Row],[Fault Clearance time]]-Table6[[#This Row],[Work Start TimeStamp]])*24</f>
        <v>3.3333333333333215E-2</v>
      </c>
      <c r="T568" s="472">
        <f>(Table6[[#This Row],[Fault Clearance time]]-Table6[[#This Row],[Fault Start TimeStamp]])*24</f>
        <v>3.3333333333333215E-2</v>
      </c>
      <c r="U568" s="35" t="s">
        <v>336</v>
      </c>
      <c r="V568" s="102" t="s">
        <v>293</v>
      </c>
      <c r="W568" s="478">
        <f>IFERROR(Table6[[#This Row],[Breakdown Time]]*Table6[[#This Row],[Plant Equivalent Weightage]],"")</f>
        <v>1.2820512820512771E-3</v>
      </c>
      <c r="X568" s="473" t="s">
        <v>294</v>
      </c>
      <c r="Y568" s="474" t="s">
        <v>75</v>
      </c>
      <c r="Z568" s="102">
        <v>31559</v>
      </c>
      <c r="AA568" s="468">
        <f>(Table6[[#This Row],[Paired WTG Generation for loss calculation]]/24)*Table6[[#This Row],[Breakdown Time]]</f>
        <v>43.831944444444289</v>
      </c>
      <c r="AB568" s="102"/>
      <c r="AC568" s="35"/>
      <c r="AD568" s="35"/>
    </row>
    <row r="569" spans="1:30">
      <c r="A569" s="102">
        <f t="shared" si="9"/>
        <v>568</v>
      </c>
      <c r="B569" s="468">
        <f>YEAR(Table6[[#This Row],[Date]])+IF(MONTH(Table6[[#This Row],[Date]])&gt;=4,1,0)</f>
        <v>2026</v>
      </c>
      <c r="C569" s="102">
        <f>YEAR(Table6[[#This Row],[Date]])</f>
        <v>2025</v>
      </c>
      <c r="D569" s="102" t="s">
        <v>1992</v>
      </c>
      <c r="E569" s="469">
        <f>Table6[[#This Row],[Date]]-DAY(Table6[[#This Row],[Date]])+1</f>
        <v>45778</v>
      </c>
      <c r="F569" s="470">
        <v>45782</v>
      </c>
      <c r="G569" s="35" t="s">
        <v>81</v>
      </c>
      <c r="H569" s="35" t="str">
        <f>IFERROR(_xlfn.XLOOKUP(Table6[[#This Row],[Affected WTG]],'Basic Data'!$A:$A,'Basic Data'!$B:$B),"")</f>
        <v>TQGXIIPL</v>
      </c>
      <c r="I569" s="35" t="str">
        <f>IFERROR(_xlfn.XLOOKUP(Table6[[#This Row],[Affected WTG]],'Basic Data'!$A:$A,'Basic Data'!$C:$C),"")</f>
        <v>GEDA</v>
      </c>
      <c r="J569" s="471">
        <f>IFERROR(_xlfn.XLOOKUP(Table6[[#This Row],[Affected WTG]],'Basic Data'!$A:$A,'Basic Data'!$E:$E),"")</f>
        <v>3.846153846153845E-2</v>
      </c>
      <c r="K569" s="102">
        <v>6130</v>
      </c>
      <c r="L569" s="35" t="str">
        <f>IFERROR(_xlfn.XLOOKUP(Table6[[#This Row],[Error Code]],'Basic Data'!$AA:$AA,'Basic Data'!$AB:$AB),"Incorrect Error Code")</f>
        <v>Yaw speed high</v>
      </c>
      <c r="M569" s="35" t="s">
        <v>292</v>
      </c>
      <c r="N569" s="475"/>
      <c r="O569" s="476">
        <v>0.62013888888888891</v>
      </c>
      <c r="P569" s="476">
        <v>0.62013888888888891</v>
      </c>
      <c r="Q569" s="477">
        <v>0.62430555555555556</v>
      </c>
      <c r="R569" s="472">
        <f>IF(Table6[[#This Row],[Work Start TimeStamp]]="","",(Table6[[#This Row],[Work Start TimeStamp]]-Table6[[#This Row],[Fault Start TimeStamp]])*24)</f>
        <v>0</v>
      </c>
      <c r="S569" s="472">
        <f>(Table6[[#This Row],[Fault Clearance time]]-Table6[[#This Row],[Work Start TimeStamp]])*24</f>
        <v>9.9999999999999645E-2</v>
      </c>
      <c r="T569" s="472">
        <f>(Table6[[#This Row],[Fault Clearance time]]-Table6[[#This Row],[Fault Start TimeStamp]])*24</f>
        <v>9.9999999999999645E-2</v>
      </c>
      <c r="U569" s="35" t="s">
        <v>336</v>
      </c>
      <c r="V569" s="102" t="s">
        <v>293</v>
      </c>
      <c r="W569" s="478">
        <f>IFERROR(Table6[[#This Row],[Breakdown Time]]*Table6[[#This Row],[Plant Equivalent Weightage]],"")</f>
        <v>3.8461538461538312E-3</v>
      </c>
      <c r="X569" s="473" t="s">
        <v>294</v>
      </c>
      <c r="Y569" s="474" t="s">
        <v>99</v>
      </c>
      <c r="Z569" s="102">
        <v>31214</v>
      </c>
      <c r="AA569" s="468">
        <f>(Table6[[#This Row],[Paired WTG Generation for loss calculation]]/24)*Table6[[#This Row],[Breakdown Time]]</f>
        <v>130.05833333333285</v>
      </c>
      <c r="AB569" s="102"/>
      <c r="AC569" s="35"/>
      <c r="AD569" s="35"/>
    </row>
    <row r="570" spans="1:30">
      <c r="A570" s="102">
        <f t="shared" si="9"/>
        <v>569</v>
      </c>
      <c r="B570" s="468">
        <f>YEAR(Table6[[#This Row],[Date]])+IF(MONTH(Table6[[#This Row],[Date]])&gt;=4,1,0)</f>
        <v>2026</v>
      </c>
      <c r="C570" s="102">
        <f>YEAR(Table6[[#This Row],[Date]])</f>
        <v>2025</v>
      </c>
      <c r="D570" s="102" t="s">
        <v>1992</v>
      </c>
      <c r="E570" s="469">
        <f>Table6[[#This Row],[Date]]-DAY(Table6[[#This Row],[Date]])+1</f>
        <v>45778</v>
      </c>
      <c r="F570" s="470">
        <v>45782</v>
      </c>
      <c r="G570" s="35" t="s">
        <v>81</v>
      </c>
      <c r="H570" s="35" t="str">
        <f>IFERROR(_xlfn.XLOOKUP(Table6[[#This Row],[Affected WTG]],'Basic Data'!$A:$A,'Basic Data'!$B:$B),"")</f>
        <v>TQGXIIPL</v>
      </c>
      <c r="I570" s="35" t="str">
        <f>IFERROR(_xlfn.XLOOKUP(Table6[[#This Row],[Affected WTG]],'Basic Data'!$A:$A,'Basic Data'!$C:$C),"")</f>
        <v>GEDA</v>
      </c>
      <c r="J570" s="471">
        <f>IFERROR(_xlfn.XLOOKUP(Table6[[#This Row],[Affected WTG]],'Basic Data'!$A:$A,'Basic Data'!$E:$E),"")</f>
        <v>3.846153846153845E-2</v>
      </c>
      <c r="K570" s="102">
        <v>6130</v>
      </c>
      <c r="L570" s="35" t="str">
        <f>IFERROR(_xlfn.XLOOKUP(Table6[[#This Row],[Error Code]],'Basic Data'!$AA:$AA,'Basic Data'!$AB:$AB),"Incorrect Error Code")</f>
        <v>Yaw speed high</v>
      </c>
      <c r="M570" s="35" t="s">
        <v>292</v>
      </c>
      <c r="N570" s="475"/>
      <c r="O570" s="476">
        <v>0.67986111111111114</v>
      </c>
      <c r="P570" s="476">
        <v>0.67986111111111114</v>
      </c>
      <c r="Q570" s="477">
        <v>0.68194444444444446</v>
      </c>
      <c r="R570" s="472">
        <f>IF(Table6[[#This Row],[Work Start TimeStamp]]="","",(Table6[[#This Row],[Work Start TimeStamp]]-Table6[[#This Row],[Fault Start TimeStamp]])*24)</f>
        <v>0</v>
      </c>
      <c r="S570" s="472">
        <f>(Table6[[#This Row],[Fault Clearance time]]-Table6[[#This Row],[Work Start TimeStamp]])*24</f>
        <v>4.9999999999999822E-2</v>
      </c>
      <c r="T570" s="472">
        <f>(Table6[[#This Row],[Fault Clearance time]]-Table6[[#This Row],[Fault Start TimeStamp]])*24</f>
        <v>4.9999999999999822E-2</v>
      </c>
      <c r="U570" s="35" t="s">
        <v>336</v>
      </c>
      <c r="V570" s="102" t="s">
        <v>293</v>
      </c>
      <c r="W570" s="478">
        <f>IFERROR(Table6[[#This Row],[Breakdown Time]]*Table6[[#This Row],[Plant Equivalent Weightage]],"")</f>
        <v>1.9230769230769156E-3</v>
      </c>
      <c r="X570" s="473" t="s">
        <v>294</v>
      </c>
      <c r="Y570" s="474" t="s">
        <v>99</v>
      </c>
      <c r="Z570" s="102">
        <v>31214</v>
      </c>
      <c r="AA570" s="468">
        <f>(Table6[[#This Row],[Paired WTG Generation for loss calculation]]/24)*Table6[[#This Row],[Breakdown Time]]</f>
        <v>65.029166666666427</v>
      </c>
      <c r="AB570" s="102"/>
      <c r="AC570" s="35"/>
      <c r="AD570" s="35"/>
    </row>
    <row r="571" spans="1:30">
      <c r="A571" s="102">
        <f t="shared" si="9"/>
        <v>570</v>
      </c>
      <c r="B571" s="468">
        <f>YEAR(Table6[[#This Row],[Date]])+IF(MONTH(Table6[[#This Row],[Date]])&gt;=4,1,0)</f>
        <v>2026</v>
      </c>
      <c r="C571" s="102">
        <f>YEAR(Table6[[#This Row],[Date]])</f>
        <v>2025</v>
      </c>
      <c r="D571" s="102" t="s">
        <v>1992</v>
      </c>
      <c r="E571" s="469">
        <f>Table6[[#This Row],[Date]]-DAY(Table6[[#This Row],[Date]])+1</f>
        <v>45778</v>
      </c>
      <c r="F571" s="470">
        <v>45782</v>
      </c>
      <c r="G571" s="35" t="s">
        <v>81</v>
      </c>
      <c r="H571" s="35" t="str">
        <f>IFERROR(_xlfn.XLOOKUP(Table6[[#This Row],[Affected WTG]],'Basic Data'!$A:$A,'Basic Data'!$B:$B),"")</f>
        <v>TQGXIIPL</v>
      </c>
      <c r="I571" s="35" t="str">
        <f>IFERROR(_xlfn.XLOOKUP(Table6[[#This Row],[Affected WTG]],'Basic Data'!$A:$A,'Basic Data'!$C:$C),"")</f>
        <v>GEDA</v>
      </c>
      <c r="J571" s="471">
        <f>IFERROR(_xlfn.XLOOKUP(Table6[[#This Row],[Affected WTG]],'Basic Data'!$A:$A,'Basic Data'!$E:$E),"")</f>
        <v>3.846153846153845E-2</v>
      </c>
      <c r="K571" s="102">
        <v>6130</v>
      </c>
      <c r="L571" s="35" t="str">
        <f>IFERROR(_xlfn.XLOOKUP(Table6[[#This Row],[Error Code]],'Basic Data'!$AA:$AA,'Basic Data'!$AB:$AB),"Incorrect Error Code")</f>
        <v>Yaw speed high</v>
      </c>
      <c r="M571" s="35" t="s">
        <v>292</v>
      </c>
      <c r="N571" s="475"/>
      <c r="O571" s="476">
        <v>0.72361111111111109</v>
      </c>
      <c r="P571" s="476">
        <v>0.72361111111111109</v>
      </c>
      <c r="Q571" s="477">
        <v>0.72777777777777775</v>
      </c>
      <c r="R571" s="472">
        <f>IF(Table6[[#This Row],[Work Start TimeStamp]]="","",(Table6[[#This Row],[Work Start TimeStamp]]-Table6[[#This Row],[Fault Start TimeStamp]])*24)</f>
        <v>0</v>
      </c>
      <c r="S571" s="472">
        <f>(Table6[[#This Row],[Fault Clearance time]]-Table6[[#This Row],[Work Start TimeStamp]])*24</f>
        <v>9.9999999999999645E-2</v>
      </c>
      <c r="T571" s="472">
        <f>(Table6[[#This Row],[Fault Clearance time]]-Table6[[#This Row],[Fault Start TimeStamp]])*24</f>
        <v>9.9999999999999645E-2</v>
      </c>
      <c r="U571" s="35" t="s">
        <v>336</v>
      </c>
      <c r="V571" s="102" t="s">
        <v>293</v>
      </c>
      <c r="W571" s="478">
        <f>IFERROR(Table6[[#This Row],[Breakdown Time]]*Table6[[#This Row],[Plant Equivalent Weightage]],"")</f>
        <v>3.8461538461538312E-3</v>
      </c>
      <c r="X571" s="473" t="s">
        <v>294</v>
      </c>
      <c r="Y571" s="474" t="s">
        <v>99</v>
      </c>
      <c r="Z571" s="102">
        <v>31214</v>
      </c>
      <c r="AA571" s="468">
        <f>(Table6[[#This Row],[Paired WTG Generation for loss calculation]]/24)*Table6[[#This Row],[Breakdown Time]]</f>
        <v>130.05833333333285</v>
      </c>
      <c r="AB571" s="102"/>
      <c r="AC571" s="35"/>
      <c r="AD571" s="35"/>
    </row>
    <row r="572" spans="1:30">
      <c r="A572" s="102">
        <f t="shared" si="9"/>
        <v>571</v>
      </c>
      <c r="B572" s="468">
        <f>YEAR(Table6[[#This Row],[Date]])+IF(MONTH(Table6[[#This Row],[Date]])&gt;=4,1,0)</f>
        <v>2026</v>
      </c>
      <c r="C572" s="102">
        <f>YEAR(Table6[[#This Row],[Date]])</f>
        <v>2025</v>
      </c>
      <c r="D572" s="102" t="s">
        <v>1992</v>
      </c>
      <c r="E572" s="469">
        <f>Table6[[#This Row],[Date]]-DAY(Table6[[#This Row],[Date]])+1</f>
        <v>45778</v>
      </c>
      <c r="F572" s="470">
        <v>45782</v>
      </c>
      <c r="G572" s="35" t="s">
        <v>84</v>
      </c>
      <c r="H572" s="35" t="str">
        <f>IFERROR(_xlfn.XLOOKUP(Table6[[#This Row],[Affected WTG]],'Basic Data'!$A:$A,'Basic Data'!$B:$B),"")</f>
        <v>TQGXIIPL</v>
      </c>
      <c r="I572" s="35" t="str">
        <f>IFERROR(_xlfn.XLOOKUP(Table6[[#This Row],[Affected WTG]],'Basic Data'!$A:$A,'Basic Data'!$C:$C),"")</f>
        <v>GEDA</v>
      </c>
      <c r="J572" s="471">
        <f>IFERROR(_xlfn.XLOOKUP(Table6[[#This Row],[Affected WTG]],'Basic Data'!$A:$A,'Basic Data'!$E:$E),"")</f>
        <v>3.846153846153845E-2</v>
      </c>
      <c r="K572" s="102">
        <v>55</v>
      </c>
      <c r="L572" s="35" t="str">
        <f>IFERROR(_xlfn.XLOOKUP(Table6[[#This Row],[Error Code]],'Basic Data'!$AA:$AA,'Basic Data'!$AB:$AB),"Incorrect Error Code")</f>
        <v>WTG shut down</v>
      </c>
      <c r="M572" s="35" t="s">
        <v>330</v>
      </c>
      <c r="N572" s="475"/>
      <c r="O572" s="476">
        <v>0.64444444444444449</v>
      </c>
      <c r="P572" s="476">
        <v>0.64444444444444449</v>
      </c>
      <c r="Q572" s="477">
        <v>0.74791666666666667</v>
      </c>
      <c r="R572" s="472">
        <f>IF(Table6[[#This Row],[Work Start TimeStamp]]="","",(Table6[[#This Row],[Work Start TimeStamp]]-Table6[[#This Row],[Fault Start TimeStamp]])*24)</f>
        <v>0</v>
      </c>
      <c r="S572" s="472">
        <f>(Table6[[#This Row],[Fault Clearance time]]-Table6[[#This Row],[Work Start TimeStamp]])*24</f>
        <v>2.4833333333333325</v>
      </c>
      <c r="T572" s="472">
        <f>(Table6[[#This Row],[Fault Clearance time]]-Table6[[#This Row],[Fault Start TimeStamp]])*24</f>
        <v>2.4833333333333325</v>
      </c>
      <c r="U572" s="35" t="s">
        <v>1744</v>
      </c>
      <c r="V572" s="102" t="s">
        <v>293</v>
      </c>
      <c r="W572" s="478">
        <f>IFERROR(Table6[[#This Row],[Breakdown Time]]*Table6[[#This Row],[Plant Equivalent Weightage]],"")</f>
        <v>9.5512820512820451E-2</v>
      </c>
      <c r="X572" s="473" t="s">
        <v>290</v>
      </c>
      <c r="Y572" s="474" t="s">
        <v>85</v>
      </c>
      <c r="Z572" s="102">
        <v>31332</v>
      </c>
      <c r="AA572" s="468">
        <f>(Table6[[#This Row],[Paired WTG Generation for loss calculation]]/24)*Table6[[#This Row],[Breakdown Time]]</f>
        <v>3241.9916666666654</v>
      </c>
      <c r="AB572" s="102"/>
      <c r="AC572" s="35"/>
      <c r="AD572" s="35"/>
    </row>
    <row r="573" spans="1:30">
      <c r="A573" s="102">
        <f t="shared" si="9"/>
        <v>572</v>
      </c>
      <c r="B573" s="468">
        <f>YEAR(Table6[[#This Row],[Date]])+IF(MONTH(Table6[[#This Row],[Date]])&gt;=4,1,0)</f>
        <v>2026</v>
      </c>
      <c r="C573" s="102">
        <f>YEAR(Table6[[#This Row],[Date]])</f>
        <v>2025</v>
      </c>
      <c r="D573" s="102" t="s">
        <v>1992</v>
      </c>
      <c r="E573" s="469">
        <f>Table6[[#This Row],[Date]]-DAY(Table6[[#This Row],[Date]])+1</f>
        <v>45778</v>
      </c>
      <c r="F573" s="470">
        <v>45782</v>
      </c>
      <c r="G573" s="35" t="s">
        <v>84</v>
      </c>
      <c r="H573" s="35" t="str">
        <f>IFERROR(_xlfn.XLOOKUP(Table6[[#This Row],[Affected WTG]],'Basic Data'!$A:$A,'Basic Data'!$B:$B),"")</f>
        <v>TQGXIIPL</v>
      </c>
      <c r="I573" s="35" t="str">
        <f>IFERROR(_xlfn.XLOOKUP(Table6[[#This Row],[Affected WTG]],'Basic Data'!$A:$A,'Basic Data'!$C:$C),"")</f>
        <v>GEDA</v>
      </c>
      <c r="J573" s="471">
        <f>IFERROR(_xlfn.XLOOKUP(Table6[[#This Row],[Affected WTG]],'Basic Data'!$A:$A,'Basic Data'!$E:$E),"")</f>
        <v>3.846153846153845E-2</v>
      </c>
      <c r="K573" s="102">
        <v>55</v>
      </c>
      <c r="L573" s="35" t="str">
        <f>IFERROR(_xlfn.XLOOKUP(Table6[[#This Row],[Error Code]],'Basic Data'!$AA:$AA,'Basic Data'!$AB:$AB),"Incorrect Error Code")</f>
        <v>WTG shut down</v>
      </c>
      <c r="M573" s="35" t="s">
        <v>330</v>
      </c>
      <c r="N573" s="475"/>
      <c r="O573" s="476">
        <v>0.79652777777777772</v>
      </c>
      <c r="P573" s="476">
        <v>0.79652777777777772</v>
      </c>
      <c r="Q573" s="477">
        <v>0.86388888888888893</v>
      </c>
      <c r="R573" s="472">
        <f>IF(Table6[[#This Row],[Work Start TimeStamp]]="","",(Table6[[#This Row],[Work Start TimeStamp]]-Table6[[#This Row],[Fault Start TimeStamp]])*24)</f>
        <v>0</v>
      </c>
      <c r="S573" s="472">
        <f>(Table6[[#This Row],[Fault Clearance time]]-Table6[[#This Row],[Work Start TimeStamp]])*24</f>
        <v>1.6166666666666689</v>
      </c>
      <c r="T573" s="472">
        <f>(Table6[[#This Row],[Fault Clearance time]]-Table6[[#This Row],[Fault Start TimeStamp]])*24</f>
        <v>1.6166666666666689</v>
      </c>
      <c r="U573" s="35" t="s">
        <v>1744</v>
      </c>
      <c r="V573" s="102" t="s">
        <v>293</v>
      </c>
      <c r="W573" s="478">
        <f>IFERROR(Table6[[#This Row],[Breakdown Time]]*Table6[[#This Row],[Plant Equivalent Weightage]],"")</f>
        <v>6.217948717948725E-2</v>
      </c>
      <c r="X573" s="473" t="s">
        <v>290</v>
      </c>
      <c r="Y573" s="474" t="s">
        <v>85</v>
      </c>
      <c r="Z573" s="102">
        <v>31332</v>
      </c>
      <c r="AA573" s="468">
        <f>(Table6[[#This Row],[Paired WTG Generation for loss calculation]]/24)*Table6[[#This Row],[Breakdown Time]]</f>
        <v>2110.5583333333361</v>
      </c>
      <c r="AB573" s="102"/>
      <c r="AC573" s="35"/>
      <c r="AD573" s="35"/>
    </row>
    <row r="574" spans="1:30">
      <c r="A574" s="102">
        <f t="shared" si="9"/>
        <v>573</v>
      </c>
      <c r="B574" s="468">
        <f>YEAR(Table6[[#This Row],[Date]])+IF(MONTH(Table6[[#This Row],[Date]])&gt;=4,1,0)</f>
        <v>2026</v>
      </c>
      <c r="C574" s="102">
        <f>YEAR(Table6[[#This Row],[Date]])</f>
        <v>2025</v>
      </c>
      <c r="D574" s="102" t="s">
        <v>1992</v>
      </c>
      <c r="E574" s="469">
        <f>Table6[[#This Row],[Date]]-DAY(Table6[[#This Row],[Date]])+1</f>
        <v>45778</v>
      </c>
      <c r="F574" s="470">
        <v>45782</v>
      </c>
      <c r="G574" s="35" t="s">
        <v>85</v>
      </c>
      <c r="H574" s="35" t="str">
        <f>IFERROR(_xlfn.XLOOKUP(Table6[[#This Row],[Affected WTG]],'Basic Data'!$A:$A,'Basic Data'!$B:$B),"")</f>
        <v>TQGXIIPL</v>
      </c>
      <c r="I574" s="35" t="str">
        <f>IFERROR(_xlfn.XLOOKUP(Table6[[#This Row],[Affected WTG]],'Basic Data'!$A:$A,'Basic Data'!$C:$C),"")</f>
        <v>GEDA</v>
      </c>
      <c r="J574" s="471">
        <f>IFERROR(_xlfn.XLOOKUP(Table6[[#This Row],[Affected WTG]],'Basic Data'!$A:$A,'Basic Data'!$E:$E),"")</f>
        <v>3.846153846153845E-2</v>
      </c>
      <c r="K574" s="102">
        <v>6130</v>
      </c>
      <c r="L574" s="35" t="str">
        <f>IFERROR(_xlfn.XLOOKUP(Table6[[#This Row],[Error Code]],'Basic Data'!$AA:$AA,'Basic Data'!$AB:$AB),"Incorrect Error Code")</f>
        <v>Yaw speed high</v>
      </c>
      <c r="M574" s="35" t="s">
        <v>292</v>
      </c>
      <c r="N574" s="475"/>
      <c r="O574" s="476">
        <v>0.63124999999999998</v>
      </c>
      <c r="P574" s="476">
        <v>0.63124999999999998</v>
      </c>
      <c r="Q574" s="477">
        <v>0.63541666666666663</v>
      </c>
      <c r="R574" s="472">
        <f>IF(Table6[[#This Row],[Work Start TimeStamp]]="","",(Table6[[#This Row],[Work Start TimeStamp]]-Table6[[#This Row],[Fault Start TimeStamp]])*24)</f>
        <v>0</v>
      </c>
      <c r="S574" s="472">
        <f>(Table6[[#This Row],[Fault Clearance time]]-Table6[[#This Row],[Work Start TimeStamp]])*24</f>
        <v>9.9999999999999645E-2</v>
      </c>
      <c r="T574" s="472">
        <f>(Table6[[#This Row],[Fault Clearance time]]-Table6[[#This Row],[Fault Start TimeStamp]])*24</f>
        <v>9.9999999999999645E-2</v>
      </c>
      <c r="U574" s="35" t="s">
        <v>336</v>
      </c>
      <c r="V574" s="102" t="s">
        <v>293</v>
      </c>
      <c r="W574" s="478">
        <f>IFERROR(Table6[[#This Row],[Breakdown Time]]*Table6[[#This Row],[Plant Equivalent Weightage]],"")</f>
        <v>3.8461538461538312E-3</v>
      </c>
      <c r="X574" s="473" t="s">
        <v>294</v>
      </c>
      <c r="Y574" s="474" t="s">
        <v>87</v>
      </c>
      <c r="Z574" s="102">
        <v>29701</v>
      </c>
      <c r="AA574" s="468">
        <f>(Table6[[#This Row],[Paired WTG Generation for loss calculation]]/24)*Table6[[#This Row],[Breakdown Time]]</f>
        <v>123.75416666666624</v>
      </c>
      <c r="AB574" s="102"/>
      <c r="AC574" s="35"/>
      <c r="AD574" s="35"/>
    </row>
    <row r="575" spans="1:30">
      <c r="A575" s="102">
        <f t="shared" si="9"/>
        <v>574</v>
      </c>
      <c r="B575" s="468">
        <f>YEAR(Table6[[#This Row],[Date]])+IF(MONTH(Table6[[#This Row],[Date]])&gt;=4,1,0)</f>
        <v>2026</v>
      </c>
      <c r="C575" s="102">
        <f>YEAR(Table6[[#This Row],[Date]])</f>
        <v>2025</v>
      </c>
      <c r="D575" s="102" t="s">
        <v>1992</v>
      </c>
      <c r="E575" s="469">
        <f>Table6[[#This Row],[Date]]-DAY(Table6[[#This Row],[Date]])+1</f>
        <v>45778</v>
      </c>
      <c r="F575" s="470">
        <v>45782</v>
      </c>
      <c r="G575" s="35" t="s">
        <v>90</v>
      </c>
      <c r="H575" s="35" t="str">
        <f>IFERROR(_xlfn.XLOOKUP(Table6[[#This Row],[Affected WTG]],'Basic Data'!$A:$A,'Basic Data'!$B:$B),"")</f>
        <v>TQGXIIPL</v>
      </c>
      <c r="I575" s="35" t="str">
        <f>IFERROR(_xlfn.XLOOKUP(Table6[[#This Row],[Affected WTG]],'Basic Data'!$A:$A,'Basic Data'!$C:$C),"")</f>
        <v>GEDA</v>
      </c>
      <c r="J575" s="471">
        <f>IFERROR(_xlfn.XLOOKUP(Table6[[#This Row],[Affected WTG]],'Basic Data'!$A:$A,'Basic Data'!$E:$E),"")</f>
        <v>3.846153846153845E-2</v>
      </c>
      <c r="K575" s="102">
        <v>665</v>
      </c>
      <c r="L575" s="35" t="str">
        <f>IFERROR(_xlfn.XLOOKUP(Table6[[#This Row],[Error Code]],'Basic Data'!$AA:$AA,'Basic Data'!$AB:$AB),"Incorrect Error Code")</f>
        <v>Pitch error</v>
      </c>
      <c r="M575" s="35" t="s">
        <v>292</v>
      </c>
      <c r="N575" s="475"/>
      <c r="O575" s="476">
        <v>0.64375000000000004</v>
      </c>
      <c r="P575" s="476">
        <v>0.64375000000000004</v>
      </c>
      <c r="Q575" s="477">
        <v>0.64722222222222225</v>
      </c>
      <c r="R575" s="472">
        <f>IF(Table6[[#This Row],[Work Start TimeStamp]]="","",(Table6[[#This Row],[Work Start TimeStamp]]-Table6[[#This Row],[Fault Start TimeStamp]])*24)</f>
        <v>0</v>
      </c>
      <c r="S575" s="472">
        <f>(Table6[[#This Row],[Fault Clearance time]]-Table6[[#This Row],[Work Start TimeStamp]])*24</f>
        <v>8.3333333333333037E-2</v>
      </c>
      <c r="T575" s="472">
        <f>(Table6[[#This Row],[Fault Clearance time]]-Table6[[#This Row],[Fault Start TimeStamp]])*24</f>
        <v>8.3333333333333037E-2</v>
      </c>
      <c r="U575" s="35" t="s">
        <v>336</v>
      </c>
      <c r="V575" s="102" t="s">
        <v>293</v>
      </c>
      <c r="W575" s="478">
        <f>IFERROR(Table6[[#This Row],[Breakdown Time]]*Table6[[#This Row],[Plant Equivalent Weightage]],"")</f>
        <v>3.2051282051281929E-3</v>
      </c>
      <c r="X575" s="473" t="s">
        <v>294</v>
      </c>
      <c r="Y575" s="474" t="s">
        <v>95</v>
      </c>
      <c r="Z575" s="102">
        <v>25892</v>
      </c>
      <c r="AA575" s="468">
        <f>(Table6[[#This Row],[Paired WTG Generation for loss calculation]]/24)*Table6[[#This Row],[Breakdown Time]]</f>
        <v>89.902777777777459</v>
      </c>
      <c r="AB575" s="102"/>
      <c r="AC575" s="35"/>
      <c r="AD575" s="35"/>
    </row>
    <row r="576" spans="1:30">
      <c r="A576" s="102">
        <f t="shared" si="9"/>
        <v>575</v>
      </c>
      <c r="B576" s="468">
        <f>YEAR(Table6[[#This Row],[Date]])+IF(MONTH(Table6[[#This Row],[Date]])&gt;=4,1,0)</f>
        <v>2026</v>
      </c>
      <c r="C576" s="102">
        <f>YEAR(Table6[[#This Row],[Date]])</f>
        <v>2025</v>
      </c>
      <c r="D576" s="102" t="s">
        <v>1992</v>
      </c>
      <c r="E576" s="469">
        <f>Table6[[#This Row],[Date]]-DAY(Table6[[#This Row],[Date]])+1</f>
        <v>45778</v>
      </c>
      <c r="F576" s="470">
        <v>45782</v>
      </c>
      <c r="G576" s="35" t="s">
        <v>90</v>
      </c>
      <c r="H576" s="35" t="str">
        <f>IFERROR(_xlfn.XLOOKUP(Table6[[#This Row],[Affected WTG]],'Basic Data'!$A:$A,'Basic Data'!$B:$B),"")</f>
        <v>TQGXIIPL</v>
      </c>
      <c r="I576" s="35" t="str">
        <f>IFERROR(_xlfn.XLOOKUP(Table6[[#This Row],[Affected WTG]],'Basic Data'!$A:$A,'Basic Data'!$C:$C),"")</f>
        <v>GEDA</v>
      </c>
      <c r="J576" s="471">
        <f>IFERROR(_xlfn.XLOOKUP(Table6[[#This Row],[Affected WTG]],'Basic Data'!$A:$A,'Basic Data'!$E:$E),"")</f>
        <v>3.846153846153845E-2</v>
      </c>
      <c r="K576" s="102">
        <v>3211</v>
      </c>
      <c r="L576" s="35" t="str">
        <f>IFERROR(_xlfn.XLOOKUP(Table6[[#This Row],[Error Code]],'Basic Data'!$AA:$AA,'Basic Data'!$AB:$AB),"Incorrect Error Code")</f>
        <v>Conv. load shedding (CAN)</v>
      </c>
      <c r="M576" s="35" t="s">
        <v>291</v>
      </c>
      <c r="N576" s="475"/>
      <c r="O576" s="476">
        <v>0.77430555555555558</v>
      </c>
      <c r="P576" s="476">
        <v>0.77430555555555558</v>
      </c>
      <c r="Q576" s="477">
        <v>0.78611111111111109</v>
      </c>
      <c r="R576" s="472">
        <f>IF(Table6[[#This Row],[Work Start TimeStamp]]="","",(Table6[[#This Row],[Work Start TimeStamp]]-Table6[[#This Row],[Fault Start TimeStamp]])*24)</f>
        <v>0</v>
      </c>
      <c r="S576" s="472">
        <f>(Table6[[#This Row],[Fault Clearance time]]-Table6[[#This Row],[Work Start TimeStamp]])*24</f>
        <v>0.28333333333333233</v>
      </c>
      <c r="T576" s="472">
        <f>(Table6[[#This Row],[Fault Clearance time]]-Table6[[#This Row],[Fault Start TimeStamp]])*24</f>
        <v>0.28333333333333233</v>
      </c>
      <c r="U576" s="35" t="s">
        <v>349</v>
      </c>
      <c r="V576" s="102" t="s">
        <v>293</v>
      </c>
      <c r="W576" s="478">
        <f>IFERROR(Table6[[#This Row],[Breakdown Time]]*Table6[[#This Row],[Plant Equivalent Weightage]],"")</f>
        <v>1.0897435897435855E-2</v>
      </c>
      <c r="X576" s="473" t="s">
        <v>294</v>
      </c>
      <c r="Y576" s="474" t="s">
        <v>95</v>
      </c>
      <c r="Z576" s="102">
        <v>25892</v>
      </c>
      <c r="AA576" s="468">
        <f>(Table6[[#This Row],[Paired WTG Generation for loss calculation]]/24)*Table6[[#This Row],[Breakdown Time]]</f>
        <v>305.66944444444334</v>
      </c>
      <c r="AB576" s="102"/>
      <c r="AC576" s="35"/>
      <c r="AD576" s="35"/>
    </row>
    <row r="577" spans="1:30">
      <c r="A577" s="102">
        <f t="shared" si="9"/>
        <v>576</v>
      </c>
      <c r="B577" s="468">
        <f>YEAR(Table6[[#This Row],[Date]])+IF(MONTH(Table6[[#This Row],[Date]])&gt;=4,1,0)</f>
        <v>2026</v>
      </c>
      <c r="C577" s="102">
        <f>YEAR(Table6[[#This Row],[Date]])</f>
        <v>2025</v>
      </c>
      <c r="D577" s="102" t="s">
        <v>1992</v>
      </c>
      <c r="E577" s="469">
        <f>Table6[[#This Row],[Date]]-DAY(Table6[[#This Row],[Date]])+1</f>
        <v>45778</v>
      </c>
      <c r="F577" s="470">
        <v>45782</v>
      </c>
      <c r="G577" s="35" t="s">
        <v>93</v>
      </c>
      <c r="H577" s="35" t="str">
        <f>IFERROR(_xlfn.XLOOKUP(Table6[[#This Row],[Affected WTG]],'Basic Data'!$A:$A,'Basic Data'!$B:$B),"")</f>
        <v>TQGXIIPL</v>
      </c>
      <c r="I577" s="35" t="str">
        <f>IFERROR(_xlfn.XLOOKUP(Table6[[#This Row],[Affected WTG]],'Basic Data'!$A:$A,'Basic Data'!$C:$C),"")</f>
        <v>GEDA</v>
      </c>
      <c r="J577" s="471">
        <f>IFERROR(_xlfn.XLOOKUP(Table6[[#This Row],[Affected WTG]],'Basic Data'!$A:$A,'Basic Data'!$E:$E),"")</f>
        <v>3.846153846153845E-2</v>
      </c>
      <c r="K577" s="102">
        <v>6130</v>
      </c>
      <c r="L577" s="35" t="str">
        <f>IFERROR(_xlfn.XLOOKUP(Table6[[#This Row],[Error Code]],'Basic Data'!$AA:$AA,'Basic Data'!$AB:$AB),"Incorrect Error Code")</f>
        <v>Yaw speed high</v>
      </c>
      <c r="M577" s="35" t="s">
        <v>292</v>
      </c>
      <c r="N577" s="475"/>
      <c r="O577" s="476">
        <v>0.69652777777777775</v>
      </c>
      <c r="P577" s="476">
        <v>0.69652777777777775</v>
      </c>
      <c r="Q577" s="477">
        <v>0.7006944444444444</v>
      </c>
      <c r="R577" s="472">
        <f>IF(Table6[[#This Row],[Work Start TimeStamp]]="","",(Table6[[#This Row],[Work Start TimeStamp]]-Table6[[#This Row],[Fault Start TimeStamp]])*24)</f>
        <v>0</v>
      </c>
      <c r="S577" s="472">
        <f>(Table6[[#This Row],[Fault Clearance time]]-Table6[[#This Row],[Work Start TimeStamp]])*24</f>
        <v>9.9999999999999645E-2</v>
      </c>
      <c r="T577" s="472">
        <f>(Table6[[#This Row],[Fault Clearance time]]-Table6[[#This Row],[Fault Start TimeStamp]])*24</f>
        <v>9.9999999999999645E-2</v>
      </c>
      <c r="U577" s="35" t="s">
        <v>336</v>
      </c>
      <c r="V577" s="102" t="s">
        <v>293</v>
      </c>
      <c r="W577" s="478">
        <f>IFERROR(Table6[[#This Row],[Breakdown Time]]*Table6[[#This Row],[Plant Equivalent Weightage]],"")</f>
        <v>3.8461538461538312E-3</v>
      </c>
      <c r="X577" s="473" t="s">
        <v>294</v>
      </c>
      <c r="Y577" s="474" t="s">
        <v>97</v>
      </c>
      <c r="Z577" s="102">
        <v>30515</v>
      </c>
      <c r="AA577" s="468">
        <f>(Table6[[#This Row],[Paired WTG Generation for loss calculation]]/24)*Table6[[#This Row],[Breakdown Time]]</f>
        <v>127.14583333333287</v>
      </c>
      <c r="AB577" s="102"/>
      <c r="AC577" s="35"/>
      <c r="AD577" s="35"/>
    </row>
    <row r="578" spans="1:30">
      <c r="A578" s="102">
        <f t="shared" si="9"/>
        <v>577</v>
      </c>
      <c r="B578" s="468">
        <f>YEAR(Table6[[#This Row],[Date]])+IF(MONTH(Table6[[#This Row],[Date]])&gt;=4,1,0)</f>
        <v>2026</v>
      </c>
      <c r="C578" s="102">
        <f>YEAR(Table6[[#This Row],[Date]])</f>
        <v>2025</v>
      </c>
      <c r="D578" s="102" t="s">
        <v>1992</v>
      </c>
      <c r="E578" s="469">
        <f>Table6[[#This Row],[Date]]-DAY(Table6[[#This Row],[Date]])+1</f>
        <v>45778</v>
      </c>
      <c r="F578" s="470">
        <v>45782</v>
      </c>
      <c r="G578" s="35" t="s">
        <v>95</v>
      </c>
      <c r="H578" s="35" t="str">
        <f>IFERROR(_xlfn.XLOOKUP(Table6[[#This Row],[Affected WTG]],'Basic Data'!$A:$A,'Basic Data'!$B:$B),"")</f>
        <v>TQGXIIPL</v>
      </c>
      <c r="I578" s="35" t="str">
        <f>IFERROR(_xlfn.XLOOKUP(Table6[[#This Row],[Affected WTG]],'Basic Data'!$A:$A,'Basic Data'!$C:$C),"")</f>
        <v>GEDA</v>
      </c>
      <c r="J578" s="471">
        <f>IFERROR(_xlfn.XLOOKUP(Table6[[#This Row],[Affected WTG]],'Basic Data'!$A:$A,'Basic Data'!$E:$E),"")</f>
        <v>3.846153846153845E-2</v>
      </c>
      <c r="K578" s="102">
        <v>175</v>
      </c>
      <c r="L578" s="35" t="str">
        <f>IFERROR(_xlfn.XLOOKUP(Table6[[#This Row],[Error Code]],'Basic Data'!$AA:$AA,'Basic Data'!$AB:$AB),"Incorrect Error Code")</f>
        <v>SLC error</v>
      </c>
      <c r="M578" s="35" t="s">
        <v>291</v>
      </c>
      <c r="N578" s="475"/>
      <c r="O578" s="476">
        <v>0.54583333333333328</v>
      </c>
      <c r="P578" s="476">
        <v>0.54583333333333328</v>
      </c>
      <c r="Q578" s="477">
        <v>0.5541666666666667</v>
      </c>
      <c r="R578" s="472">
        <f>IF(Table6[[#This Row],[Work Start TimeStamp]]="","",(Table6[[#This Row],[Work Start TimeStamp]]-Table6[[#This Row],[Fault Start TimeStamp]])*24)</f>
        <v>0</v>
      </c>
      <c r="S578" s="472">
        <f>(Table6[[#This Row],[Fault Clearance time]]-Table6[[#This Row],[Work Start TimeStamp]])*24</f>
        <v>0.20000000000000195</v>
      </c>
      <c r="T578" s="472">
        <f>(Table6[[#This Row],[Fault Clearance time]]-Table6[[#This Row],[Fault Start TimeStamp]])*24</f>
        <v>0.20000000000000195</v>
      </c>
      <c r="U578" s="35" t="s">
        <v>349</v>
      </c>
      <c r="V578" s="102" t="s">
        <v>293</v>
      </c>
      <c r="W578" s="478">
        <f>IFERROR(Table6[[#This Row],[Breakdown Time]]*Table6[[#This Row],[Plant Equivalent Weightage]],"")</f>
        <v>7.6923076923077647E-3</v>
      </c>
      <c r="X578" s="473" t="s">
        <v>294</v>
      </c>
      <c r="Y578" s="474" t="s">
        <v>79</v>
      </c>
      <c r="Z578" s="102">
        <v>30904</v>
      </c>
      <c r="AA578" s="468">
        <f>(Table6[[#This Row],[Paired WTG Generation for loss calculation]]/24)*Table6[[#This Row],[Breakdown Time]]</f>
        <v>257.53333333333586</v>
      </c>
      <c r="AB578" s="102"/>
      <c r="AC578" s="35"/>
      <c r="AD578" s="35"/>
    </row>
    <row r="579" spans="1:30">
      <c r="A579" s="102">
        <f t="shared" si="9"/>
        <v>578</v>
      </c>
      <c r="B579" s="468">
        <f>YEAR(Table6[[#This Row],[Date]])+IF(MONTH(Table6[[#This Row],[Date]])&gt;=4,1,0)</f>
        <v>2026</v>
      </c>
      <c r="C579" s="102">
        <f>YEAR(Table6[[#This Row],[Date]])</f>
        <v>2025</v>
      </c>
      <c r="D579" s="102" t="s">
        <v>1992</v>
      </c>
      <c r="E579" s="469">
        <f>Table6[[#This Row],[Date]]-DAY(Table6[[#This Row],[Date]])+1</f>
        <v>45778</v>
      </c>
      <c r="F579" s="470">
        <v>45782</v>
      </c>
      <c r="G579" s="35" t="s">
        <v>99</v>
      </c>
      <c r="H579" s="35" t="str">
        <f>IFERROR(_xlfn.XLOOKUP(Table6[[#This Row],[Affected WTG]],'Basic Data'!$A:$A,'Basic Data'!$B:$B),"")</f>
        <v>TQGXIIPL</v>
      </c>
      <c r="I579" s="35" t="str">
        <f>IFERROR(_xlfn.XLOOKUP(Table6[[#This Row],[Affected WTG]],'Basic Data'!$A:$A,'Basic Data'!$C:$C),"")</f>
        <v>GEDA</v>
      </c>
      <c r="J579" s="471">
        <f>IFERROR(_xlfn.XLOOKUP(Table6[[#This Row],[Affected WTG]],'Basic Data'!$A:$A,'Basic Data'!$E:$E),"")</f>
        <v>3.846153846153845E-2</v>
      </c>
      <c r="K579" s="102">
        <v>6130</v>
      </c>
      <c r="L579" s="35" t="str">
        <f>IFERROR(_xlfn.XLOOKUP(Table6[[#This Row],[Error Code]],'Basic Data'!$AA:$AA,'Basic Data'!$AB:$AB),"Incorrect Error Code")</f>
        <v>Yaw speed high</v>
      </c>
      <c r="M579" s="35" t="s">
        <v>292</v>
      </c>
      <c r="N579" s="475"/>
      <c r="O579" s="476">
        <v>0.59791666666666665</v>
      </c>
      <c r="P579" s="476">
        <v>0.59791666666666665</v>
      </c>
      <c r="Q579" s="477">
        <v>0.60138888888888886</v>
      </c>
      <c r="R579" s="472">
        <f>IF(Table6[[#This Row],[Work Start TimeStamp]]="","",(Table6[[#This Row],[Work Start TimeStamp]]-Table6[[#This Row],[Fault Start TimeStamp]])*24)</f>
        <v>0</v>
      </c>
      <c r="S579" s="472">
        <f>(Table6[[#This Row],[Fault Clearance time]]-Table6[[#This Row],[Work Start TimeStamp]])*24</f>
        <v>8.3333333333333037E-2</v>
      </c>
      <c r="T579" s="472">
        <f>(Table6[[#This Row],[Fault Clearance time]]-Table6[[#This Row],[Fault Start TimeStamp]])*24</f>
        <v>8.3333333333333037E-2</v>
      </c>
      <c r="U579" s="35" t="s">
        <v>336</v>
      </c>
      <c r="V579" s="102" t="s">
        <v>293</v>
      </c>
      <c r="W579" s="478">
        <f>IFERROR(Table6[[#This Row],[Breakdown Time]]*Table6[[#This Row],[Plant Equivalent Weightage]],"")</f>
        <v>3.2051282051281929E-3</v>
      </c>
      <c r="X579" s="473" t="s">
        <v>294</v>
      </c>
      <c r="Y579" s="474" t="s">
        <v>74</v>
      </c>
      <c r="Z579" s="102">
        <v>18835</v>
      </c>
      <c r="AA579" s="468">
        <f>(Table6[[#This Row],[Paired WTG Generation for loss calculation]]/24)*Table6[[#This Row],[Breakdown Time]]</f>
        <v>65.399305555555316</v>
      </c>
      <c r="AB579" s="102"/>
      <c r="AC579" s="35"/>
      <c r="AD579" s="35"/>
    </row>
    <row r="580" spans="1:30">
      <c r="A580" s="102">
        <f t="shared" si="9"/>
        <v>579</v>
      </c>
      <c r="B580" s="468">
        <f>YEAR(Table6[[#This Row],[Date]])+IF(MONTH(Table6[[#This Row],[Date]])&gt;=4,1,0)</f>
        <v>2026</v>
      </c>
      <c r="C580" s="102">
        <f>YEAR(Table6[[#This Row],[Date]])</f>
        <v>2025</v>
      </c>
      <c r="D580" s="102" t="s">
        <v>1992</v>
      </c>
      <c r="E580" s="469">
        <f>Table6[[#This Row],[Date]]-DAY(Table6[[#This Row],[Date]])+1</f>
        <v>45778</v>
      </c>
      <c r="F580" s="470">
        <v>45783</v>
      </c>
      <c r="G580" s="35" t="s">
        <v>74</v>
      </c>
      <c r="H580" s="35" t="str">
        <f>IFERROR(_xlfn.XLOOKUP(Table6[[#This Row],[Affected WTG]],'Basic Data'!$A:$A,'Basic Data'!$B:$B),"")</f>
        <v>TQGXIIPL</v>
      </c>
      <c r="I580" s="35" t="str">
        <f>IFERROR(_xlfn.XLOOKUP(Table6[[#This Row],[Affected WTG]],'Basic Data'!$A:$A,'Basic Data'!$C:$C),"")</f>
        <v>GEDA</v>
      </c>
      <c r="J580" s="471">
        <f>IFERROR(_xlfn.XLOOKUP(Table6[[#This Row],[Affected WTG]],'Basic Data'!$A:$A,'Basic Data'!$E:$E),"")</f>
        <v>3.846153846153845E-2</v>
      </c>
      <c r="K580" s="102">
        <v>64</v>
      </c>
      <c r="L580" s="35" t="str">
        <f>IFERROR(_xlfn.XLOOKUP(Table6[[#This Row],[Error Code]],'Basic Data'!$AA:$AA,'Basic Data'!$AB:$AB),"Incorrect Error Code")</f>
        <v>Max. wind speed</v>
      </c>
      <c r="M580" s="35" t="s">
        <v>307</v>
      </c>
      <c r="N580" s="475"/>
      <c r="O580" s="476">
        <v>6.2500000000000003E-3</v>
      </c>
      <c r="P580" s="476">
        <v>6.2500000000000003E-3</v>
      </c>
      <c r="Q580" s="477">
        <v>1.8749999999999999E-2</v>
      </c>
      <c r="R580" s="472">
        <f>IF(Table6[[#This Row],[Work Start TimeStamp]]="","",(Table6[[#This Row],[Work Start TimeStamp]]-Table6[[#This Row],[Fault Start TimeStamp]])*24)</f>
        <v>0</v>
      </c>
      <c r="S580" s="472">
        <f>(Table6[[#This Row],[Fault Clearance time]]-Table6[[#This Row],[Work Start TimeStamp]])*24</f>
        <v>0.3</v>
      </c>
      <c r="T580" s="472">
        <f>(Table6[[#This Row],[Fault Clearance time]]-Table6[[#This Row],[Fault Start TimeStamp]])*24</f>
        <v>0.3</v>
      </c>
      <c r="U580" s="35" t="s">
        <v>336</v>
      </c>
      <c r="V580" s="102" t="s">
        <v>293</v>
      </c>
      <c r="W580" s="478">
        <f>IFERROR(Table6[[#This Row],[Breakdown Time]]*Table6[[#This Row],[Plant Equivalent Weightage]],"")</f>
        <v>1.1538461538461534E-2</v>
      </c>
      <c r="X580" s="473" t="s">
        <v>294</v>
      </c>
      <c r="Y580" s="474" t="s">
        <v>99</v>
      </c>
      <c r="Z580" s="102">
        <v>10926</v>
      </c>
      <c r="AA580" s="468">
        <f>(Table6[[#This Row],[Paired WTG Generation for loss calculation]]/24)*Table6[[#This Row],[Breakdown Time]]</f>
        <v>136.57499999999999</v>
      </c>
      <c r="AB580" s="102"/>
      <c r="AC580" s="35"/>
      <c r="AD580" s="35"/>
    </row>
    <row r="581" spans="1:30">
      <c r="A581" s="102">
        <f t="shared" si="9"/>
        <v>580</v>
      </c>
      <c r="B581" s="468">
        <f>YEAR(Table6[[#This Row],[Date]])+IF(MONTH(Table6[[#This Row],[Date]])&gt;=4,1,0)</f>
        <v>2026</v>
      </c>
      <c r="C581" s="102">
        <f>YEAR(Table6[[#This Row],[Date]])</f>
        <v>2025</v>
      </c>
      <c r="D581" s="102" t="s">
        <v>1992</v>
      </c>
      <c r="E581" s="469">
        <f>Table6[[#This Row],[Date]]-DAY(Table6[[#This Row],[Date]])+1</f>
        <v>45778</v>
      </c>
      <c r="F581" s="470">
        <v>45783</v>
      </c>
      <c r="G581" s="35" t="s">
        <v>74</v>
      </c>
      <c r="H581" s="35" t="str">
        <f>IFERROR(_xlfn.XLOOKUP(Table6[[#This Row],[Affected WTG]],'Basic Data'!$A:$A,'Basic Data'!$B:$B),"")</f>
        <v>TQGXIIPL</v>
      </c>
      <c r="I581" s="35" t="str">
        <f>IFERROR(_xlfn.XLOOKUP(Table6[[#This Row],[Affected WTG]],'Basic Data'!$A:$A,'Basic Data'!$C:$C),"")</f>
        <v>GEDA</v>
      </c>
      <c r="J581" s="471">
        <f>IFERROR(_xlfn.XLOOKUP(Table6[[#This Row],[Affected WTG]],'Basic Data'!$A:$A,'Basic Data'!$E:$E),"")</f>
        <v>3.846153846153845E-2</v>
      </c>
      <c r="K581" s="102">
        <v>3110</v>
      </c>
      <c r="L581" s="35" t="str">
        <f>IFERROR(_xlfn.XLOOKUP(Table6[[#This Row],[Error Code]],'Basic Data'!$AA:$AA,'Basic Data'!$AB:$AB),"Incorrect Error Code")</f>
        <v>Frequency converter error</v>
      </c>
      <c r="M581" s="35" t="s">
        <v>291</v>
      </c>
      <c r="N581" s="475"/>
      <c r="O581" s="476">
        <v>0.3215277777777778</v>
      </c>
      <c r="P581" s="476">
        <v>0.3215277777777778</v>
      </c>
      <c r="Q581" s="477">
        <v>0.33194444444444443</v>
      </c>
      <c r="R581" s="472">
        <f>IF(Table6[[#This Row],[Work Start TimeStamp]]="","",(Table6[[#This Row],[Work Start TimeStamp]]-Table6[[#This Row],[Fault Start TimeStamp]])*24)</f>
        <v>0</v>
      </c>
      <c r="S581" s="472">
        <f>(Table6[[#This Row],[Fault Clearance time]]-Table6[[#This Row],[Work Start TimeStamp]])*24</f>
        <v>0.24999999999999911</v>
      </c>
      <c r="T581" s="472">
        <f>(Table6[[#This Row],[Fault Clearance time]]-Table6[[#This Row],[Fault Start TimeStamp]])*24</f>
        <v>0.24999999999999911</v>
      </c>
      <c r="U581" s="35" t="s">
        <v>349</v>
      </c>
      <c r="V581" s="102" t="s">
        <v>293</v>
      </c>
      <c r="W581" s="478">
        <f>IFERROR(Table6[[#This Row],[Breakdown Time]]*Table6[[#This Row],[Plant Equivalent Weightage]],"")</f>
        <v>9.6153846153845778E-3</v>
      </c>
      <c r="X581" s="473" t="s">
        <v>290</v>
      </c>
      <c r="Y581" s="474" t="s">
        <v>99</v>
      </c>
      <c r="Z581" s="102">
        <v>10926</v>
      </c>
      <c r="AA581" s="468">
        <f>(Table6[[#This Row],[Paired WTG Generation for loss calculation]]/24)*Table6[[#This Row],[Breakdown Time]]</f>
        <v>113.8124999999996</v>
      </c>
      <c r="AB581" s="102"/>
      <c r="AC581" s="35"/>
      <c r="AD581" s="35"/>
    </row>
    <row r="582" spans="1:30">
      <c r="A582" s="102">
        <f t="shared" si="9"/>
        <v>581</v>
      </c>
      <c r="B582" s="468">
        <f>YEAR(Table6[[#This Row],[Date]])+IF(MONTH(Table6[[#This Row],[Date]])&gt;=4,1,0)</f>
        <v>2026</v>
      </c>
      <c r="C582" s="102">
        <f>YEAR(Table6[[#This Row],[Date]])</f>
        <v>2025</v>
      </c>
      <c r="D582" s="102" t="s">
        <v>1992</v>
      </c>
      <c r="E582" s="469">
        <f>Table6[[#This Row],[Date]]-DAY(Table6[[#This Row],[Date]])+1</f>
        <v>45778</v>
      </c>
      <c r="F582" s="470">
        <v>45783</v>
      </c>
      <c r="G582" s="35" t="s">
        <v>76</v>
      </c>
      <c r="H582" s="35" t="str">
        <f>IFERROR(_xlfn.XLOOKUP(Table6[[#This Row],[Affected WTG]],'Basic Data'!$A:$A,'Basic Data'!$B:$B),"")</f>
        <v>TQGXIIPL</v>
      </c>
      <c r="I582" s="35" t="str">
        <f>IFERROR(_xlfn.XLOOKUP(Table6[[#This Row],[Affected WTG]],'Basic Data'!$A:$A,'Basic Data'!$C:$C),"")</f>
        <v>GEDA</v>
      </c>
      <c r="J582" s="471">
        <f>IFERROR(_xlfn.XLOOKUP(Table6[[#This Row],[Affected WTG]],'Basic Data'!$A:$A,'Basic Data'!$E:$E),"")</f>
        <v>3.846153846153845E-2</v>
      </c>
      <c r="K582" s="102">
        <v>64</v>
      </c>
      <c r="L582" s="35" t="str">
        <f>IFERROR(_xlfn.XLOOKUP(Table6[[#This Row],[Error Code]],'Basic Data'!$AA:$AA,'Basic Data'!$AB:$AB),"Incorrect Error Code")</f>
        <v>Max. wind speed</v>
      </c>
      <c r="M582" s="35" t="s">
        <v>307</v>
      </c>
      <c r="N582" s="475"/>
      <c r="O582" s="476">
        <v>0.64513888888888893</v>
      </c>
      <c r="P582" s="476">
        <v>0.64513888888888893</v>
      </c>
      <c r="Q582" s="477">
        <v>0.66249999999999998</v>
      </c>
      <c r="R582" s="472">
        <f>IF(Table6[[#This Row],[Work Start TimeStamp]]="","",(Table6[[#This Row],[Work Start TimeStamp]]-Table6[[#This Row],[Fault Start TimeStamp]])*24)</f>
        <v>0</v>
      </c>
      <c r="S582" s="472">
        <f>(Table6[[#This Row],[Fault Clearance time]]-Table6[[#This Row],[Work Start TimeStamp]])*24</f>
        <v>0.41666666666666519</v>
      </c>
      <c r="T582" s="472">
        <f>(Table6[[#This Row],[Fault Clearance time]]-Table6[[#This Row],[Fault Start TimeStamp]])*24</f>
        <v>0.41666666666666519</v>
      </c>
      <c r="U582" s="35" t="s">
        <v>336</v>
      </c>
      <c r="V582" s="102" t="s">
        <v>293</v>
      </c>
      <c r="W582" s="478">
        <f>IFERROR(Table6[[#This Row],[Breakdown Time]]*Table6[[#This Row],[Plant Equivalent Weightage]],"")</f>
        <v>1.6025641025640965E-2</v>
      </c>
      <c r="X582" s="473" t="s">
        <v>294</v>
      </c>
      <c r="Y582" s="474" t="s">
        <v>82</v>
      </c>
      <c r="Z582" s="102">
        <v>15245</v>
      </c>
      <c r="AA582" s="468">
        <f>(Table6[[#This Row],[Paired WTG Generation for loss calculation]]/24)*Table6[[#This Row],[Breakdown Time]]</f>
        <v>264.67013888888795</v>
      </c>
      <c r="AB582" s="102"/>
      <c r="AC582" s="35"/>
      <c r="AD582" s="35"/>
    </row>
    <row r="583" spans="1:30">
      <c r="A583" s="102">
        <f t="shared" si="9"/>
        <v>582</v>
      </c>
      <c r="B583" s="468">
        <f>YEAR(Table6[[#This Row],[Date]])+IF(MONTH(Table6[[#This Row],[Date]])&gt;=4,1,0)</f>
        <v>2026</v>
      </c>
      <c r="C583" s="102">
        <f>YEAR(Table6[[#This Row],[Date]])</f>
        <v>2025</v>
      </c>
      <c r="D583" s="102" t="s">
        <v>1992</v>
      </c>
      <c r="E583" s="469">
        <f>Table6[[#This Row],[Date]]-DAY(Table6[[#This Row],[Date]])+1</f>
        <v>45778</v>
      </c>
      <c r="F583" s="470">
        <v>45783</v>
      </c>
      <c r="G583" s="35" t="s">
        <v>77</v>
      </c>
      <c r="H583" s="35" t="str">
        <f>IFERROR(_xlfn.XLOOKUP(Table6[[#This Row],[Affected WTG]],'Basic Data'!$A:$A,'Basic Data'!$B:$B),"")</f>
        <v>TQGXIIPL</v>
      </c>
      <c r="I583" s="35" t="str">
        <f>IFERROR(_xlfn.XLOOKUP(Table6[[#This Row],[Affected WTG]],'Basic Data'!$A:$A,'Basic Data'!$C:$C),"")</f>
        <v>GEDA</v>
      </c>
      <c r="J583" s="471">
        <f>IFERROR(_xlfn.XLOOKUP(Table6[[#This Row],[Affected WTG]],'Basic Data'!$A:$A,'Basic Data'!$E:$E),"")</f>
        <v>3.846153846153845E-2</v>
      </c>
      <c r="K583" s="102">
        <v>5550</v>
      </c>
      <c r="L583" s="35" t="str">
        <f>IFERROR(_xlfn.XLOOKUP(Table6[[#This Row],[Error Code]],'Basic Data'!$AA:$AA,'Basic Data'!$AB:$AB),"Incorrect Error Code")</f>
        <v>Low hydraulic oil level</v>
      </c>
      <c r="M583" s="35" t="s">
        <v>291</v>
      </c>
      <c r="N583" s="475"/>
      <c r="O583" s="476">
        <v>0.60624999999999996</v>
      </c>
      <c r="P583" s="476">
        <v>0.60624999999999996</v>
      </c>
      <c r="Q583" s="477">
        <v>0.64652777777777781</v>
      </c>
      <c r="R583" s="472">
        <f>IF(Table6[[#This Row],[Work Start TimeStamp]]="","",(Table6[[#This Row],[Work Start TimeStamp]]-Table6[[#This Row],[Fault Start TimeStamp]])*24)</f>
        <v>0</v>
      </c>
      <c r="S583" s="472">
        <f>(Table6[[#This Row],[Fault Clearance time]]-Table6[[#This Row],[Work Start TimeStamp]])*24</f>
        <v>0.96666666666666856</v>
      </c>
      <c r="T583" s="472">
        <f>(Table6[[#This Row],[Fault Clearance time]]-Table6[[#This Row],[Fault Start TimeStamp]])*24</f>
        <v>0.96666666666666856</v>
      </c>
      <c r="U583" s="35" t="s">
        <v>1760</v>
      </c>
      <c r="V583" s="102" t="s">
        <v>293</v>
      </c>
      <c r="W583" s="478">
        <f>IFERROR(Table6[[#This Row],[Breakdown Time]]*Table6[[#This Row],[Plant Equivalent Weightage]],"")</f>
        <v>3.7179487179487242E-2</v>
      </c>
      <c r="X583" s="473" t="s">
        <v>290</v>
      </c>
      <c r="Y583" s="474" t="s">
        <v>80</v>
      </c>
      <c r="Z583" s="102">
        <v>18793</v>
      </c>
      <c r="AA583" s="468">
        <f>(Table6[[#This Row],[Paired WTG Generation for loss calculation]]/24)*Table6[[#This Row],[Breakdown Time]]</f>
        <v>756.94027777777922</v>
      </c>
      <c r="AB583" s="102"/>
      <c r="AC583" s="35"/>
      <c r="AD583" s="35"/>
    </row>
    <row r="584" spans="1:30">
      <c r="A584" s="102">
        <f t="shared" si="9"/>
        <v>583</v>
      </c>
      <c r="B584" s="468">
        <f>YEAR(Table6[[#This Row],[Date]])+IF(MONTH(Table6[[#This Row],[Date]])&gt;=4,1,0)</f>
        <v>2026</v>
      </c>
      <c r="C584" s="102">
        <f>YEAR(Table6[[#This Row],[Date]])</f>
        <v>2025</v>
      </c>
      <c r="D584" s="102" t="s">
        <v>1992</v>
      </c>
      <c r="E584" s="469">
        <f>Table6[[#This Row],[Date]]-DAY(Table6[[#This Row],[Date]])+1</f>
        <v>45778</v>
      </c>
      <c r="F584" s="470">
        <v>45783</v>
      </c>
      <c r="G584" s="35" t="s">
        <v>77</v>
      </c>
      <c r="H584" s="35" t="str">
        <f>IFERROR(_xlfn.XLOOKUP(Table6[[#This Row],[Affected WTG]],'Basic Data'!$A:$A,'Basic Data'!$B:$B),"")</f>
        <v>TQGXIIPL</v>
      </c>
      <c r="I584" s="35" t="str">
        <f>IFERROR(_xlfn.XLOOKUP(Table6[[#This Row],[Affected WTG]],'Basic Data'!$A:$A,'Basic Data'!$C:$C),"")</f>
        <v>GEDA</v>
      </c>
      <c r="J584" s="471">
        <f>IFERROR(_xlfn.XLOOKUP(Table6[[#This Row],[Affected WTG]],'Basic Data'!$A:$A,'Basic Data'!$E:$E),"")</f>
        <v>3.846153846153845E-2</v>
      </c>
      <c r="K584" s="102">
        <v>5550</v>
      </c>
      <c r="L584" s="35" t="str">
        <f>IFERROR(_xlfn.XLOOKUP(Table6[[#This Row],[Error Code]],'Basic Data'!$AA:$AA,'Basic Data'!$AB:$AB),"Incorrect Error Code")</f>
        <v>Low hydraulic oil level</v>
      </c>
      <c r="M584" s="35" t="s">
        <v>291</v>
      </c>
      <c r="N584" s="475"/>
      <c r="O584" s="476">
        <v>0.74375000000000002</v>
      </c>
      <c r="P584" s="476">
        <v>0.74375000000000002</v>
      </c>
      <c r="Q584" s="477">
        <v>0.89375000000000004</v>
      </c>
      <c r="R584" s="472">
        <f>IF(Table6[[#This Row],[Work Start TimeStamp]]="","",(Table6[[#This Row],[Work Start TimeStamp]]-Table6[[#This Row],[Fault Start TimeStamp]])*24)</f>
        <v>0</v>
      </c>
      <c r="S584" s="472">
        <f>(Table6[[#This Row],[Fault Clearance time]]-Table6[[#This Row],[Work Start TimeStamp]])*24</f>
        <v>3.6000000000000005</v>
      </c>
      <c r="T584" s="472">
        <f>(Table6[[#This Row],[Fault Clearance time]]-Table6[[#This Row],[Fault Start TimeStamp]])*24</f>
        <v>3.6000000000000005</v>
      </c>
      <c r="U584" s="35" t="s">
        <v>1761</v>
      </c>
      <c r="V584" s="102" t="s">
        <v>293</v>
      </c>
      <c r="W584" s="478">
        <f>IFERROR(Table6[[#This Row],[Breakdown Time]]*Table6[[#This Row],[Plant Equivalent Weightage]],"")</f>
        <v>0.13846153846153844</v>
      </c>
      <c r="X584" s="473" t="s">
        <v>290</v>
      </c>
      <c r="Y584" s="474" t="s">
        <v>80</v>
      </c>
      <c r="Z584" s="102">
        <v>18793</v>
      </c>
      <c r="AA584" s="468">
        <f>(Table6[[#This Row],[Paired WTG Generation for loss calculation]]/24)*Table6[[#This Row],[Breakdown Time]]</f>
        <v>2818.9500000000003</v>
      </c>
      <c r="AB584" s="102"/>
      <c r="AC584" s="35"/>
      <c r="AD584" s="35"/>
    </row>
    <row r="585" spans="1:30">
      <c r="A585" s="102">
        <f t="shared" si="9"/>
        <v>584</v>
      </c>
      <c r="B585" s="468">
        <f>YEAR(Table6[[#This Row],[Date]])+IF(MONTH(Table6[[#This Row],[Date]])&gt;=4,1,0)</f>
        <v>2026</v>
      </c>
      <c r="C585" s="102">
        <f>YEAR(Table6[[#This Row],[Date]])</f>
        <v>2025</v>
      </c>
      <c r="D585" s="102" t="s">
        <v>1992</v>
      </c>
      <c r="E585" s="469">
        <f>Table6[[#This Row],[Date]]-DAY(Table6[[#This Row],[Date]])+1</f>
        <v>45778</v>
      </c>
      <c r="F585" s="470">
        <v>45783</v>
      </c>
      <c r="G585" s="35" t="s">
        <v>78</v>
      </c>
      <c r="H585" s="35" t="str">
        <f>IFERROR(_xlfn.XLOOKUP(Table6[[#This Row],[Affected WTG]],'Basic Data'!$A:$A,'Basic Data'!$B:$B),"")</f>
        <v>TQGXIIPL</v>
      </c>
      <c r="I585" s="35" t="str">
        <f>IFERROR(_xlfn.XLOOKUP(Table6[[#This Row],[Affected WTG]],'Basic Data'!$A:$A,'Basic Data'!$C:$C),"")</f>
        <v>GEDA</v>
      </c>
      <c r="J585" s="471">
        <f>IFERROR(_xlfn.XLOOKUP(Table6[[#This Row],[Affected WTG]],'Basic Data'!$A:$A,'Basic Data'!$E:$E),"")</f>
        <v>3.846153846153845E-2</v>
      </c>
      <c r="K585" s="102">
        <v>567</v>
      </c>
      <c r="L585" s="35" t="str">
        <f>IFERROR(_xlfn.XLOOKUP(Table6[[#This Row],[Error Code]],'Basic Data'!$AA:$AA,'Basic Data'!$AB:$AB),"Incorrect Error Code")</f>
        <v>Pitch too slow BP52</v>
      </c>
      <c r="M585" s="35" t="s">
        <v>291</v>
      </c>
      <c r="N585" s="475"/>
      <c r="O585" s="476">
        <v>1.9444444444444445E-2</v>
      </c>
      <c r="P585" s="476">
        <v>1.9444444444444445E-2</v>
      </c>
      <c r="Q585" s="477">
        <v>2.6388888888888889E-2</v>
      </c>
      <c r="R585" s="472">
        <f>IF(Table6[[#This Row],[Work Start TimeStamp]]="","",(Table6[[#This Row],[Work Start TimeStamp]]-Table6[[#This Row],[Fault Start TimeStamp]])*24)</f>
        <v>0</v>
      </c>
      <c r="S585" s="472">
        <f>(Table6[[#This Row],[Fault Clearance time]]-Table6[[#This Row],[Work Start TimeStamp]])*24</f>
        <v>0.16666666666666666</v>
      </c>
      <c r="T585" s="472">
        <f>(Table6[[#This Row],[Fault Clearance time]]-Table6[[#This Row],[Fault Start TimeStamp]])*24</f>
        <v>0.16666666666666666</v>
      </c>
      <c r="U585" s="35" t="s">
        <v>336</v>
      </c>
      <c r="V585" s="102" t="s">
        <v>293</v>
      </c>
      <c r="W585" s="478">
        <f>IFERROR(Table6[[#This Row],[Breakdown Time]]*Table6[[#This Row],[Plant Equivalent Weightage]],"")</f>
        <v>6.4102564102564083E-3</v>
      </c>
      <c r="X585" s="473" t="s">
        <v>294</v>
      </c>
      <c r="Y585" s="474" t="s">
        <v>75</v>
      </c>
      <c r="Z585" s="102">
        <v>15091</v>
      </c>
      <c r="AA585" s="468">
        <f>(Table6[[#This Row],[Paired WTG Generation for loss calculation]]/24)*Table6[[#This Row],[Breakdown Time]]</f>
        <v>104.7986111111111</v>
      </c>
      <c r="AB585" s="102"/>
      <c r="AC585" s="35"/>
      <c r="AD585" s="35"/>
    </row>
    <row r="586" spans="1:30">
      <c r="A586" s="102">
        <f t="shared" si="9"/>
        <v>585</v>
      </c>
      <c r="B586" s="468">
        <f>YEAR(Table6[[#This Row],[Date]])+IF(MONTH(Table6[[#This Row],[Date]])&gt;=4,1,0)</f>
        <v>2026</v>
      </c>
      <c r="C586" s="102">
        <f>YEAR(Table6[[#This Row],[Date]])</f>
        <v>2025</v>
      </c>
      <c r="D586" s="102" t="s">
        <v>1992</v>
      </c>
      <c r="E586" s="469">
        <f>Table6[[#This Row],[Date]]-DAY(Table6[[#This Row],[Date]])+1</f>
        <v>45778</v>
      </c>
      <c r="F586" s="470">
        <v>45783</v>
      </c>
      <c r="G586" s="35" t="s">
        <v>78</v>
      </c>
      <c r="H586" s="35" t="str">
        <f>IFERROR(_xlfn.XLOOKUP(Table6[[#This Row],[Affected WTG]],'Basic Data'!$A:$A,'Basic Data'!$B:$B),"")</f>
        <v>TQGXIIPL</v>
      </c>
      <c r="I586" s="35" t="str">
        <f>IFERROR(_xlfn.XLOOKUP(Table6[[#This Row],[Affected WTG]],'Basic Data'!$A:$A,'Basic Data'!$C:$C),"")</f>
        <v>GEDA</v>
      </c>
      <c r="J586" s="471">
        <f>IFERROR(_xlfn.XLOOKUP(Table6[[#This Row],[Affected WTG]],'Basic Data'!$A:$A,'Basic Data'!$E:$E),"")</f>
        <v>3.846153846153845E-2</v>
      </c>
      <c r="K586" s="102">
        <v>2520</v>
      </c>
      <c r="L586" s="35" t="str">
        <f>IFERROR(_xlfn.XLOOKUP(Table6[[#This Row],[Error Code]],'Basic Data'!$AA:$AA,'Basic Data'!$AB:$AB),"Incorrect Error Code")</f>
        <v>Gen.speed analog&lt;&gt;gear.speed</v>
      </c>
      <c r="M586" s="35" t="s">
        <v>291</v>
      </c>
      <c r="N586" s="475"/>
      <c r="O586" s="476">
        <v>0.65972222222222221</v>
      </c>
      <c r="P586" s="476">
        <v>0.65972222222222221</v>
      </c>
      <c r="Q586" s="477">
        <v>0.66111111111111109</v>
      </c>
      <c r="R586" s="472">
        <f>IF(Table6[[#This Row],[Work Start TimeStamp]]="","",(Table6[[#This Row],[Work Start TimeStamp]]-Table6[[#This Row],[Fault Start TimeStamp]])*24)</f>
        <v>0</v>
      </c>
      <c r="S586" s="472">
        <f>(Table6[[#This Row],[Fault Clearance time]]-Table6[[#This Row],[Work Start TimeStamp]])*24</f>
        <v>3.3333333333333215E-2</v>
      </c>
      <c r="T586" s="472">
        <f>(Table6[[#This Row],[Fault Clearance time]]-Table6[[#This Row],[Fault Start TimeStamp]])*24</f>
        <v>3.3333333333333215E-2</v>
      </c>
      <c r="U586" s="35" t="s">
        <v>336</v>
      </c>
      <c r="V586" s="102" t="s">
        <v>293</v>
      </c>
      <c r="W586" s="478">
        <f>IFERROR(Table6[[#This Row],[Breakdown Time]]*Table6[[#This Row],[Plant Equivalent Weightage]],"")</f>
        <v>1.2820512820512771E-3</v>
      </c>
      <c r="X586" s="473" t="s">
        <v>294</v>
      </c>
      <c r="Y586" s="474" t="s">
        <v>75</v>
      </c>
      <c r="Z586" s="102">
        <v>15091</v>
      </c>
      <c r="AA586" s="468">
        <f>(Table6[[#This Row],[Paired WTG Generation for loss calculation]]/24)*Table6[[#This Row],[Breakdown Time]]</f>
        <v>20.959722222222148</v>
      </c>
      <c r="AB586" s="102"/>
      <c r="AC586" s="35"/>
      <c r="AD586" s="35"/>
    </row>
    <row r="587" spans="1:30">
      <c r="A587" s="102">
        <f t="shared" si="9"/>
        <v>586</v>
      </c>
      <c r="B587" s="468">
        <f>YEAR(Table6[[#This Row],[Date]])+IF(MONTH(Table6[[#This Row],[Date]])&gt;=4,1,0)</f>
        <v>2026</v>
      </c>
      <c r="C587" s="102">
        <f>YEAR(Table6[[#This Row],[Date]])</f>
        <v>2025</v>
      </c>
      <c r="D587" s="102" t="s">
        <v>1992</v>
      </c>
      <c r="E587" s="469">
        <f>Table6[[#This Row],[Date]]-DAY(Table6[[#This Row],[Date]])+1</f>
        <v>45778</v>
      </c>
      <c r="F587" s="470">
        <v>45783</v>
      </c>
      <c r="G587" s="35" t="s">
        <v>80</v>
      </c>
      <c r="H587" s="35" t="str">
        <f>IFERROR(_xlfn.XLOOKUP(Table6[[#This Row],[Affected WTG]],'Basic Data'!$A:$A,'Basic Data'!$B:$B),"")</f>
        <v>TQGXIIPL</v>
      </c>
      <c r="I587" s="35" t="str">
        <f>IFERROR(_xlfn.XLOOKUP(Table6[[#This Row],[Affected WTG]],'Basic Data'!$A:$A,'Basic Data'!$C:$C),"")</f>
        <v>GEDA</v>
      </c>
      <c r="J587" s="471">
        <f>IFERROR(_xlfn.XLOOKUP(Table6[[#This Row],[Affected WTG]],'Basic Data'!$A:$A,'Basic Data'!$E:$E),"")</f>
        <v>3.846153846153845E-2</v>
      </c>
      <c r="K587" s="102">
        <v>175</v>
      </c>
      <c r="L587" s="35" t="str">
        <f>IFERROR(_xlfn.XLOOKUP(Table6[[#This Row],[Error Code]],'Basic Data'!$AA:$AA,'Basic Data'!$AB:$AB),"Incorrect Error Code")</f>
        <v>SLC error</v>
      </c>
      <c r="M587" s="35" t="s">
        <v>291</v>
      </c>
      <c r="N587" s="475"/>
      <c r="O587" s="476">
        <v>0.91736111111111107</v>
      </c>
      <c r="P587" s="476">
        <v>0.91736111111111107</v>
      </c>
      <c r="Q587" s="477">
        <v>0.91805555555555551</v>
      </c>
      <c r="R587" s="472">
        <f>IF(Table6[[#This Row],[Work Start TimeStamp]]="","",(Table6[[#This Row],[Work Start TimeStamp]]-Table6[[#This Row],[Fault Start TimeStamp]])*24)</f>
        <v>0</v>
      </c>
      <c r="S587" s="472">
        <f>(Table6[[#This Row],[Fault Clearance time]]-Table6[[#This Row],[Work Start TimeStamp]])*24</f>
        <v>1.6666666666666607E-2</v>
      </c>
      <c r="T587" s="472">
        <f>(Table6[[#This Row],[Fault Clearance time]]-Table6[[#This Row],[Fault Start TimeStamp]])*24</f>
        <v>1.6666666666666607E-2</v>
      </c>
      <c r="U587" s="35" t="s">
        <v>336</v>
      </c>
      <c r="V587" s="102" t="s">
        <v>293</v>
      </c>
      <c r="W587" s="478">
        <f>IFERROR(Table6[[#This Row],[Breakdown Time]]*Table6[[#This Row],[Plant Equivalent Weightage]],"")</f>
        <v>6.4102564102563853E-4</v>
      </c>
      <c r="X587" s="473" t="s">
        <v>294</v>
      </c>
      <c r="Y587" s="474" t="s">
        <v>77</v>
      </c>
      <c r="Z587" s="102">
        <v>15082</v>
      </c>
      <c r="AA587" s="468">
        <f>(Table6[[#This Row],[Paired WTG Generation for loss calculation]]/24)*Table6[[#This Row],[Breakdown Time]]</f>
        <v>10.473611111111074</v>
      </c>
      <c r="AB587" s="102"/>
      <c r="AC587" s="35"/>
      <c r="AD587" s="35"/>
    </row>
    <row r="588" spans="1:30">
      <c r="A588" s="102">
        <f t="shared" si="9"/>
        <v>587</v>
      </c>
      <c r="B588" s="468">
        <f>YEAR(Table6[[#This Row],[Date]])+IF(MONTH(Table6[[#This Row],[Date]])&gt;=4,1,0)</f>
        <v>2026</v>
      </c>
      <c r="C588" s="102">
        <f>YEAR(Table6[[#This Row],[Date]])</f>
        <v>2025</v>
      </c>
      <c r="D588" s="102" t="s">
        <v>1992</v>
      </c>
      <c r="E588" s="469">
        <f>Table6[[#This Row],[Date]]-DAY(Table6[[#This Row],[Date]])+1</f>
        <v>45778</v>
      </c>
      <c r="F588" s="470">
        <v>45783</v>
      </c>
      <c r="G588" s="35" t="s">
        <v>81</v>
      </c>
      <c r="H588" s="35" t="str">
        <f>IFERROR(_xlfn.XLOOKUP(Table6[[#This Row],[Affected WTG]],'Basic Data'!$A:$A,'Basic Data'!$B:$B),"")</f>
        <v>TQGXIIPL</v>
      </c>
      <c r="I588" s="35" t="str">
        <f>IFERROR(_xlfn.XLOOKUP(Table6[[#This Row],[Affected WTG]],'Basic Data'!$A:$A,'Basic Data'!$C:$C),"")</f>
        <v>GEDA</v>
      </c>
      <c r="J588" s="471">
        <f>IFERROR(_xlfn.XLOOKUP(Table6[[#This Row],[Affected WTG]],'Basic Data'!$A:$A,'Basic Data'!$E:$E),"")</f>
        <v>3.846153846153845E-2</v>
      </c>
      <c r="K588" s="102">
        <v>55</v>
      </c>
      <c r="L588" s="35" t="str">
        <f>IFERROR(_xlfn.XLOOKUP(Table6[[#This Row],[Error Code]],'Basic Data'!$AA:$AA,'Basic Data'!$AB:$AB),"Incorrect Error Code")</f>
        <v>WTG shut down</v>
      </c>
      <c r="M588" s="35" t="s">
        <v>330</v>
      </c>
      <c r="N588" s="475"/>
      <c r="O588" s="476">
        <v>2.6388888888888889E-2</v>
      </c>
      <c r="P588" s="476">
        <v>2.6388888888888889E-2</v>
      </c>
      <c r="Q588" s="477">
        <v>4.8611111111111112E-2</v>
      </c>
      <c r="R588" s="472">
        <f>IF(Table6[[#This Row],[Work Start TimeStamp]]="","",(Table6[[#This Row],[Work Start TimeStamp]]-Table6[[#This Row],[Fault Start TimeStamp]])*24)</f>
        <v>0</v>
      </c>
      <c r="S588" s="472">
        <f>(Table6[[#This Row],[Fault Clearance time]]-Table6[[#This Row],[Work Start TimeStamp]])*24</f>
        <v>0.53333333333333333</v>
      </c>
      <c r="T588" s="472">
        <f>(Table6[[#This Row],[Fault Clearance time]]-Table6[[#This Row],[Fault Start TimeStamp]])*24</f>
        <v>0.53333333333333333</v>
      </c>
      <c r="U588" s="35" t="s">
        <v>1744</v>
      </c>
      <c r="V588" s="102" t="s">
        <v>293</v>
      </c>
      <c r="W588" s="478">
        <f>IFERROR(Table6[[#This Row],[Breakdown Time]]*Table6[[#This Row],[Plant Equivalent Weightage]],"")</f>
        <v>2.0512820512820506E-2</v>
      </c>
      <c r="X588" s="473" t="s">
        <v>290</v>
      </c>
      <c r="Y588" s="474" t="s">
        <v>99</v>
      </c>
      <c r="Z588" s="102">
        <v>10926</v>
      </c>
      <c r="AA588" s="468">
        <f>(Table6[[#This Row],[Paired WTG Generation for loss calculation]]/24)*Table6[[#This Row],[Breakdown Time]]</f>
        <v>242.79999999999998</v>
      </c>
      <c r="AB588" s="102"/>
      <c r="AC588" s="35"/>
      <c r="AD588" s="35"/>
    </row>
    <row r="589" spans="1:30">
      <c r="A589" s="102">
        <f t="shared" si="9"/>
        <v>588</v>
      </c>
      <c r="B589" s="468">
        <f>YEAR(Table6[[#This Row],[Date]])+IF(MONTH(Table6[[#This Row],[Date]])&gt;=4,1,0)</f>
        <v>2026</v>
      </c>
      <c r="C589" s="102">
        <f>YEAR(Table6[[#This Row],[Date]])</f>
        <v>2025</v>
      </c>
      <c r="D589" s="102" t="s">
        <v>1992</v>
      </c>
      <c r="E589" s="469">
        <f>Table6[[#This Row],[Date]]-DAY(Table6[[#This Row],[Date]])+1</f>
        <v>45778</v>
      </c>
      <c r="F589" s="470">
        <v>45783</v>
      </c>
      <c r="G589" s="35" t="s">
        <v>81</v>
      </c>
      <c r="H589" s="35" t="str">
        <f>IFERROR(_xlfn.XLOOKUP(Table6[[#This Row],[Affected WTG]],'Basic Data'!$A:$A,'Basic Data'!$B:$B),"")</f>
        <v>TQGXIIPL</v>
      </c>
      <c r="I589" s="35" t="str">
        <f>IFERROR(_xlfn.XLOOKUP(Table6[[#This Row],[Affected WTG]],'Basic Data'!$A:$A,'Basic Data'!$C:$C),"")</f>
        <v>GEDA</v>
      </c>
      <c r="J589" s="471">
        <f>IFERROR(_xlfn.XLOOKUP(Table6[[#This Row],[Affected WTG]],'Basic Data'!$A:$A,'Basic Data'!$E:$E),"")</f>
        <v>3.846153846153845E-2</v>
      </c>
      <c r="K589" s="102">
        <v>6007</v>
      </c>
      <c r="L589" s="35" t="str">
        <f>IFERROR(_xlfn.XLOOKUP(Table6[[#This Row],[Error Code]],'Basic Data'!$AA:$AA,'Basic Data'!$AB:$AB),"Incorrect Error Code")</f>
        <v>Overload yaw motors group 1</v>
      </c>
      <c r="M589" s="35" t="s">
        <v>292</v>
      </c>
      <c r="N589" s="475"/>
      <c r="O589" s="476">
        <v>5.2083333333333336E-2</v>
      </c>
      <c r="P589" s="476">
        <v>6.5277777777777782E-2</v>
      </c>
      <c r="Q589" s="477">
        <v>8.611111111111111E-2</v>
      </c>
      <c r="R589" s="472">
        <f>IF(Table6[[#This Row],[Work Start TimeStamp]]="","",(Table6[[#This Row],[Work Start TimeStamp]]-Table6[[#This Row],[Fault Start TimeStamp]])*24)</f>
        <v>0.31666666666666671</v>
      </c>
      <c r="S589" s="472">
        <f>(Table6[[#This Row],[Fault Clearance time]]-Table6[[#This Row],[Work Start TimeStamp]])*24</f>
        <v>0.49999999999999989</v>
      </c>
      <c r="T589" s="472">
        <f>(Table6[[#This Row],[Fault Clearance time]]-Table6[[#This Row],[Fault Start TimeStamp]])*24</f>
        <v>0.81666666666666665</v>
      </c>
      <c r="U589" s="35" t="s">
        <v>1762</v>
      </c>
      <c r="V589" s="102" t="s">
        <v>293</v>
      </c>
      <c r="W589" s="478">
        <f>IFERROR(Table6[[#This Row],[Breakdown Time]]*Table6[[#This Row],[Plant Equivalent Weightage]],"")</f>
        <v>3.1410256410256403E-2</v>
      </c>
      <c r="X589" s="473" t="s">
        <v>290</v>
      </c>
      <c r="Y589" s="474" t="s">
        <v>99</v>
      </c>
      <c r="Z589" s="102">
        <v>10926</v>
      </c>
      <c r="AA589" s="468">
        <f>(Table6[[#This Row],[Paired WTG Generation for loss calculation]]/24)*Table6[[#This Row],[Breakdown Time]]</f>
        <v>371.78749999999997</v>
      </c>
      <c r="AB589" s="102"/>
      <c r="AC589" s="35"/>
      <c r="AD589" s="35"/>
    </row>
    <row r="590" spans="1:30">
      <c r="A590" s="102">
        <f t="shared" ref="A590:A653" si="10">A589+1</f>
        <v>589</v>
      </c>
      <c r="B590" s="468">
        <f>YEAR(Table6[[#This Row],[Date]])+IF(MONTH(Table6[[#This Row],[Date]])&gt;=4,1,0)</f>
        <v>2026</v>
      </c>
      <c r="C590" s="102">
        <f>YEAR(Table6[[#This Row],[Date]])</f>
        <v>2025</v>
      </c>
      <c r="D590" s="102" t="s">
        <v>1992</v>
      </c>
      <c r="E590" s="469">
        <f>Table6[[#This Row],[Date]]-DAY(Table6[[#This Row],[Date]])+1</f>
        <v>45778</v>
      </c>
      <c r="F590" s="470">
        <v>45783</v>
      </c>
      <c r="G590" s="35" t="s">
        <v>81</v>
      </c>
      <c r="H590" s="35" t="str">
        <f>IFERROR(_xlfn.XLOOKUP(Table6[[#This Row],[Affected WTG]],'Basic Data'!$A:$A,'Basic Data'!$B:$B),"")</f>
        <v>TQGXIIPL</v>
      </c>
      <c r="I590" s="35" t="str">
        <f>IFERROR(_xlfn.XLOOKUP(Table6[[#This Row],[Affected WTG]],'Basic Data'!$A:$A,'Basic Data'!$C:$C),"")</f>
        <v>GEDA</v>
      </c>
      <c r="J590" s="471">
        <f>IFERROR(_xlfn.XLOOKUP(Table6[[#This Row],[Affected WTG]],'Basic Data'!$A:$A,'Basic Data'!$E:$E),"")</f>
        <v>3.846153846153845E-2</v>
      </c>
      <c r="K590" s="102">
        <v>6130</v>
      </c>
      <c r="L590" s="35" t="str">
        <f>IFERROR(_xlfn.XLOOKUP(Table6[[#This Row],[Error Code]],'Basic Data'!$AA:$AA,'Basic Data'!$AB:$AB),"Incorrect Error Code")</f>
        <v>Yaw speed high</v>
      </c>
      <c r="M590" s="35" t="s">
        <v>292</v>
      </c>
      <c r="N590" s="475"/>
      <c r="O590" s="476">
        <v>0.55277777777777781</v>
      </c>
      <c r="P590" s="476">
        <v>0.55277777777777781</v>
      </c>
      <c r="Q590" s="477">
        <v>0.55694444444444446</v>
      </c>
      <c r="R590" s="472">
        <f>IF(Table6[[#This Row],[Work Start TimeStamp]]="","",(Table6[[#This Row],[Work Start TimeStamp]]-Table6[[#This Row],[Fault Start TimeStamp]])*24)</f>
        <v>0</v>
      </c>
      <c r="S590" s="472">
        <f>(Table6[[#This Row],[Fault Clearance time]]-Table6[[#This Row],[Work Start TimeStamp]])*24</f>
        <v>9.9999999999999645E-2</v>
      </c>
      <c r="T590" s="472">
        <f>(Table6[[#This Row],[Fault Clearance time]]-Table6[[#This Row],[Fault Start TimeStamp]])*24</f>
        <v>9.9999999999999645E-2</v>
      </c>
      <c r="U590" s="35" t="s">
        <v>336</v>
      </c>
      <c r="V590" s="102" t="s">
        <v>293</v>
      </c>
      <c r="W590" s="478">
        <f>IFERROR(Table6[[#This Row],[Breakdown Time]]*Table6[[#This Row],[Plant Equivalent Weightage]],"")</f>
        <v>3.8461538461538312E-3</v>
      </c>
      <c r="X590" s="473" t="s">
        <v>294</v>
      </c>
      <c r="Y590" s="474" t="s">
        <v>99</v>
      </c>
      <c r="Z590" s="102">
        <v>10926</v>
      </c>
      <c r="AA590" s="468">
        <f>(Table6[[#This Row],[Paired WTG Generation for loss calculation]]/24)*Table6[[#This Row],[Breakdown Time]]</f>
        <v>45.524999999999835</v>
      </c>
      <c r="AB590" s="102"/>
      <c r="AC590" s="35"/>
      <c r="AD590" s="35"/>
    </row>
    <row r="591" spans="1:30">
      <c r="A591" s="102">
        <f t="shared" si="10"/>
        <v>590</v>
      </c>
      <c r="B591" s="468">
        <f>YEAR(Table6[[#This Row],[Date]])+IF(MONTH(Table6[[#This Row],[Date]])&gt;=4,1,0)</f>
        <v>2026</v>
      </c>
      <c r="C591" s="102">
        <f>YEAR(Table6[[#This Row],[Date]])</f>
        <v>2025</v>
      </c>
      <c r="D591" s="102" t="s">
        <v>1992</v>
      </c>
      <c r="E591" s="469">
        <f>Table6[[#This Row],[Date]]-DAY(Table6[[#This Row],[Date]])+1</f>
        <v>45778</v>
      </c>
      <c r="F591" s="470">
        <v>45783</v>
      </c>
      <c r="G591" s="35" t="s">
        <v>81</v>
      </c>
      <c r="H591" s="35" t="str">
        <f>IFERROR(_xlfn.XLOOKUP(Table6[[#This Row],[Affected WTG]],'Basic Data'!$A:$A,'Basic Data'!$B:$B),"")</f>
        <v>TQGXIIPL</v>
      </c>
      <c r="I591" s="35" t="str">
        <f>IFERROR(_xlfn.XLOOKUP(Table6[[#This Row],[Affected WTG]],'Basic Data'!$A:$A,'Basic Data'!$C:$C),"")</f>
        <v>GEDA</v>
      </c>
      <c r="J591" s="471">
        <f>IFERROR(_xlfn.XLOOKUP(Table6[[#This Row],[Affected WTG]],'Basic Data'!$A:$A,'Basic Data'!$E:$E),"")</f>
        <v>3.846153846153845E-2</v>
      </c>
      <c r="K591" s="102">
        <v>6130</v>
      </c>
      <c r="L591" s="35" t="str">
        <f>IFERROR(_xlfn.XLOOKUP(Table6[[#This Row],[Error Code]],'Basic Data'!$AA:$AA,'Basic Data'!$AB:$AB),"Incorrect Error Code")</f>
        <v>Yaw speed high</v>
      </c>
      <c r="M591" s="35" t="s">
        <v>292</v>
      </c>
      <c r="N591" s="475"/>
      <c r="O591" s="476">
        <v>0.6479166666666667</v>
      </c>
      <c r="P591" s="476">
        <v>0.6479166666666667</v>
      </c>
      <c r="Q591" s="477">
        <v>0.66249999999999998</v>
      </c>
      <c r="R591" s="472">
        <f>IF(Table6[[#This Row],[Work Start TimeStamp]]="","",(Table6[[#This Row],[Work Start TimeStamp]]-Table6[[#This Row],[Fault Start TimeStamp]])*24)</f>
        <v>0</v>
      </c>
      <c r="S591" s="472">
        <f>(Table6[[#This Row],[Fault Clearance time]]-Table6[[#This Row],[Work Start TimeStamp]])*24</f>
        <v>0.34999999999999876</v>
      </c>
      <c r="T591" s="472">
        <f>(Table6[[#This Row],[Fault Clearance time]]-Table6[[#This Row],[Fault Start TimeStamp]])*24</f>
        <v>0.34999999999999876</v>
      </c>
      <c r="U591" s="35" t="s">
        <v>336</v>
      </c>
      <c r="V591" s="102" t="s">
        <v>293</v>
      </c>
      <c r="W591" s="478">
        <f>IFERROR(Table6[[#This Row],[Breakdown Time]]*Table6[[#This Row],[Plant Equivalent Weightage]],"")</f>
        <v>1.346153846153841E-2</v>
      </c>
      <c r="X591" s="473" t="s">
        <v>294</v>
      </c>
      <c r="Y591" s="474" t="s">
        <v>99</v>
      </c>
      <c r="Z591" s="102">
        <v>10926</v>
      </c>
      <c r="AA591" s="468">
        <f>(Table6[[#This Row],[Paired WTG Generation for loss calculation]]/24)*Table6[[#This Row],[Breakdown Time]]</f>
        <v>159.33749999999944</v>
      </c>
      <c r="AB591" s="102"/>
      <c r="AC591" s="35"/>
      <c r="AD591" s="35"/>
    </row>
    <row r="592" spans="1:30">
      <c r="A592" s="102">
        <f t="shared" si="10"/>
        <v>591</v>
      </c>
      <c r="B592" s="468">
        <f>YEAR(Table6[[#This Row],[Date]])+IF(MONTH(Table6[[#This Row],[Date]])&gt;=4,1,0)</f>
        <v>2026</v>
      </c>
      <c r="C592" s="102">
        <f>YEAR(Table6[[#This Row],[Date]])</f>
        <v>2025</v>
      </c>
      <c r="D592" s="102" t="s">
        <v>1992</v>
      </c>
      <c r="E592" s="469">
        <f>Table6[[#This Row],[Date]]-DAY(Table6[[#This Row],[Date]])+1</f>
        <v>45778</v>
      </c>
      <c r="F592" s="470">
        <v>45783</v>
      </c>
      <c r="G592" s="35" t="s">
        <v>82</v>
      </c>
      <c r="H592" s="35" t="str">
        <f>IFERROR(_xlfn.XLOOKUP(Table6[[#This Row],[Affected WTG]],'Basic Data'!$A:$A,'Basic Data'!$B:$B),"")</f>
        <v>TQGXIIPL</v>
      </c>
      <c r="I592" s="35" t="str">
        <f>IFERROR(_xlfn.XLOOKUP(Table6[[#This Row],[Affected WTG]],'Basic Data'!$A:$A,'Basic Data'!$C:$C),"")</f>
        <v>GEDA</v>
      </c>
      <c r="J592" s="471">
        <f>IFERROR(_xlfn.XLOOKUP(Table6[[#This Row],[Affected WTG]],'Basic Data'!$A:$A,'Basic Data'!$E:$E),"")</f>
        <v>3.846153846153845E-2</v>
      </c>
      <c r="K592" s="102">
        <v>64</v>
      </c>
      <c r="L592" s="35" t="str">
        <f>IFERROR(_xlfn.XLOOKUP(Table6[[#This Row],[Error Code]],'Basic Data'!$AA:$AA,'Basic Data'!$AB:$AB),"Incorrect Error Code")</f>
        <v>Max. wind speed</v>
      </c>
      <c r="M592" s="35" t="s">
        <v>307</v>
      </c>
      <c r="N592" s="475"/>
      <c r="O592" s="476">
        <v>0.63124999999999998</v>
      </c>
      <c r="P592" s="476">
        <v>0.63124999999999998</v>
      </c>
      <c r="Q592" s="477">
        <v>0.63263888888888886</v>
      </c>
      <c r="R592" s="472">
        <f>IF(Table6[[#This Row],[Work Start TimeStamp]]="","",(Table6[[#This Row],[Work Start TimeStamp]]-Table6[[#This Row],[Fault Start TimeStamp]])*24)</f>
        <v>0</v>
      </c>
      <c r="S592" s="472">
        <f>(Table6[[#This Row],[Fault Clearance time]]-Table6[[#This Row],[Work Start TimeStamp]])*24</f>
        <v>3.3333333333333215E-2</v>
      </c>
      <c r="T592" s="472">
        <f>(Table6[[#This Row],[Fault Clearance time]]-Table6[[#This Row],[Fault Start TimeStamp]])*24</f>
        <v>3.3333333333333215E-2</v>
      </c>
      <c r="U592" s="35" t="s">
        <v>336</v>
      </c>
      <c r="V592" s="102" t="s">
        <v>293</v>
      </c>
      <c r="W592" s="478">
        <f>IFERROR(Table6[[#This Row],[Breakdown Time]]*Table6[[#This Row],[Plant Equivalent Weightage]],"")</f>
        <v>1.2820512820512771E-3</v>
      </c>
      <c r="X592" s="473" t="s">
        <v>294</v>
      </c>
      <c r="Y592" s="474" t="s">
        <v>76</v>
      </c>
      <c r="Z592" s="102">
        <v>15302</v>
      </c>
      <c r="AA592" s="468">
        <f>(Table6[[#This Row],[Paired WTG Generation for loss calculation]]/24)*Table6[[#This Row],[Breakdown Time]]</f>
        <v>21.252777777777702</v>
      </c>
      <c r="AB592" s="102"/>
      <c r="AC592" s="35"/>
      <c r="AD592" s="35"/>
    </row>
    <row r="593" spans="1:30">
      <c r="A593" s="102">
        <f t="shared" si="10"/>
        <v>592</v>
      </c>
      <c r="B593" s="468">
        <f>YEAR(Table6[[#This Row],[Date]])+IF(MONTH(Table6[[#This Row],[Date]])&gt;=4,1,0)</f>
        <v>2026</v>
      </c>
      <c r="C593" s="102">
        <f>YEAR(Table6[[#This Row],[Date]])</f>
        <v>2025</v>
      </c>
      <c r="D593" s="102" t="s">
        <v>1992</v>
      </c>
      <c r="E593" s="469">
        <f>Table6[[#This Row],[Date]]-DAY(Table6[[#This Row],[Date]])+1</f>
        <v>45778</v>
      </c>
      <c r="F593" s="470">
        <v>45783</v>
      </c>
      <c r="G593" s="35" t="s">
        <v>83</v>
      </c>
      <c r="H593" s="35" t="str">
        <f>IFERROR(_xlfn.XLOOKUP(Table6[[#This Row],[Affected WTG]],'Basic Data'!$A:$A,'Basic Data'!$B:$B),"")</f>
        <v>TQGXIIPL</v>
      </c>
      <c r="I593" s="35" t="str">
        <f>IFERROR(_xlfn.XLOOKUP(Table6[[#This Row],[Affected WTG]],'Basic Data'!$A:$A,'Basic Data'!$C:$C),"")</f>
        <v>GEDA</v>
      </c>
      <c r="J593" s="471">
        <f>IFERROR(_xlfn.XLOOKUP(Table6[[#This Row],[Affected WTG]],'Basic Data'!$A:$A,'Basic Data'!$E:$E),"")</f>
        <v>3.846153846153845E-2</v>
      </c>
      <c r="K593" s="102">
        <v>64</v>
      </c>
      <c r="L593" s="35" t="str">
        <f>IFERROR(_xlfn.XLOOKUP(Table6[[#This Row],[Error Code]],'Basic Data'!$AA:$AA,'Basic Data'!$AB:$AB),"Incorrect Error Code")</f>
        <v>Max. wind speed</v>
      </c>
      <c r="M593" s="35" t="s">
        <v>307</v>
      </c>
      <c r="N593" s="475"/>
      <c r="O593" s="476">
        <v>0.63402777777777775</v>
      </c>
      <c r="P593" s="476">
        <v>0.63402777777777775</v>
      </c>
      <c r="Q593" s="477">
        <v>0.6381944444444444</v>
      </c>
      <c r="R593" s="472">
        <f>IF(Table6[[#This Row],[Work Start TimeStamp]]="","",(Table6[[#This Row],[Work Start TimeStamp]]-Table6[[#This Row],[Fault Start TimeStamp]])*24)</f>
        <v>0</v>
      </c>
      <c r="S593" s="472">
        <f>(Table6[[#This Row],[Fault Clearance time]]-Table6[[#This Row],[Work Start TimeStamp]])*24</f>
        <v>9.9999999999999645E-2</v>
      </c>
      <c r="T593" s="472">
        <f>(Table6[[#This Row],[Fault Clearance time]]-Table6[[#This Row],[Fault Start TimeStamp]])*24</f>
        <v>9.9999999999999645E-2</v>
      </c>
      <c r="U593" s="35" t="s">
        <v>336</v>
      </c>
      <c r="V593" s="102" t="s">
        <v>293</v>
      </c>
      <c r="W593" s="478">
        <f>IFERROR(Table6[[#This Row],[Breakdown Time]]*Table6[[#This Row],[Plant Equivalent Weightage]],"")</f>
        <v>3.8461538461538312E-3</v>
      </c>
      <c r="X593" s="473" t="s">
        <v>294</v>
      </c>
      <c r="Y593" s="474" t="s">
        <v>88</v>
      </c>
      <c r="Z593" s="102">
        <v>17961</v>
      </c>
      <c r="AA593" s="468">
        <f>(Table6[[#This Row],[Paired WTG Generation for loss calculation]]/24)*Table6[[#This Row],[Breakdown Time]]</f>
        <v>74.837499999999736</v>
      </c>
      <c r="AB593" s="102"/>
      <c r="AC593" s="35"/>
      <c r="AD593" s="35"/>
    </row>
    <row r="594" spans="1:30">
      <c r="A594" s="102">
        <f t="shared" si="10"/>
        <v>593</v>
      </c>
      <c r="B594" s="468">
        <f>YEAR(Table6[[#This Row],[Date]])+IF(MONTH(Table6[[#This Row],[Date]])&gt;=4,1,0)</f>
        <v>2026</v>
      </c>
      <c r="C594" s="102">
        <f>YEAR(Table6[[#This Row],[Date]])</f>
        <v>2025</v>
      </c>
      <c r="D594" s="102" t="s">
        <v>1992</v>
      </c>
      <c r="E594" s="469">
        <f>Table6[[#This Row],[Date]]-DAY(Table6[[#This Row],[Date]])+1</f>
        <v>45778</v>
      </c>
      <c r="F594" s="470">
        <v>45783</v>
      </c>
      <c r="G594" s="35" t="s">
        <v>83</v>
      </c>
      <c r="H594" s="35" t="str">
        <f>IFERROR(_xlfn.XLOOKUP(Table6[[#This Row],[Affected WTG]],'Basic Data'!$A:$A,'Basic Data'!$B:$B),"")</f>
        <v>TQGXIIPL</v>
      </c>
      <c r="I594" s="35" t="str">
        <f>IFERROR(_xlfn.XLOOKUP(Table6[[#This Row],[Affected WTG]],'Basic Data'!$A:$A,'Basic Data'!$C:$C),"")</f>
        <v>GEDA</v>
      </c>
      <c r="J594" s="471">
        <f>IFERROR(_xlfn.XLOOKUP(Table6[[#This Row],[Affected WTG]],'Basic Data'!$A:$A,'Basic Data'!$E:$E),"")</f>
        <v>3.846153846153845E-2</v>
      </c>
      <c r="K594" s="102">
        <v>6130</v>
      </c>
      <c r="L594" s="35" t="str">
        <f>IFERROR(_xlfn.XLOOKUP(Table6[[#This Row],[Error Code]],'Basic Data'!$AA:$AA,'Basic Data'!$AB:$AB),"Incorrect Error Code")</f>
        <v>Yaw speed high</v>
      </c>
      <c r="M594" s="35" t="s">
        <v>292</v>
      </c>
      <c r="N594" s="475"/>
      <c r="O594" s="476">
        <v>0.65</v>
      </c>
      <c r="P594" s="476">
        <v>0.65</v>
      </c>
      <c r="Q594" s="477">
        <v>0.65416666666666667</v>
      </c>
      <c r="R594" s="472">
        <f>IF(Table6[[#This Row],[Work Start TimeStamp]]="","",(Table6[[#This Row],[Work Start TimeStamp]]-Table6[[#This Row],[Fault Start TimeStamp]])*24)</f>
        <v>0</v>
      </c>
      <c r="S594" s="472">
        <f>(Table6[[#This Row],[Fault Clearance time]]-Table6[[#This Row],[Work Start TimeStamp]])*24</f>
        <v>9.9999999999999645E-2</v>
      </c>
      <c r="T594" s="472">
        <f>(Table6[[#This Row],[Fault Clearance time]]-Table6[[#This Row],[Fault Start TimeStamp]])*24</f>
        <v>9.9999999999999645E-2</v>
      </c>
      <c r="U594" s="35" t="s">
        <v>336</v>
      </c>
      <c r="V594" s="102" t="s">
        <v>293</v>
      </c>
      <c r="W594" s="478">
        <f>IFERROR(Table6[[#This Row],[Breakdown Time]]*Table6[[#This Row],[Plant Equivalent Weightage]],"")</f>
        <v>3.8461538461538312E-3</v>
      </c>
      <c r="X594" s="473" t="s">
        <v>294</v>
      </c>
      <c r="Y594" s="474" t="s">
        <v>88</v>
      </c>
      <c r="Z594" s="102">
        <v>17961</v>
      </c>
      <c r="AA594" s="468">
        <f>(Table6[[#This Row],[Paired WTG Generation for loss calculation]]/24)*Table6[[#This Row],[Breakdown Time]]</f>
        <v>74.837499999999736</v>
      </c>
      <c r="AB594" s="102"/>
      <c r="AC594" s="35"/>
      <c r="AD594" s="35"/>
    </row>
    <row r="595" spans="1:30">
      <c r="A595" s="102">
        <f t="shared" si="10"/>
        <v>594</v>
      </c>
      <c r="B595" s="468">
        <f>YEAR(Table6[[#This Row],[Date]])+IF(MONTH(Table6[[#This Row],[Date]])&gt;=4,1,0)</f>
        <v>2026</v>
      </c>
      <c r="C595" s="102">
        <f>YEAR(Table6[[#This Row],[Date]])</f>
        <v>2025</v>
      </c>
      <c r="D595" s="102" t="s">
        <v>1992</v>
      </c>
      <c r="E595" s="469">
        <f>Table6[[#This Row],[Date]]-DAY(Table6[[#This Row],[Date]])+1</f>
        <v>45778</v>
      </c>
      <c r="F595" s="470">
        <v>45783</v>
      </c>
      <c r="G595" s="35" t="s">
        <v>84</v>
      </c>
      <c r="H595" s="35" t="str">
        <f>IFERROR(_xlfn.XLOOKUP(Table6[[#This Row],[Affected WTG]],'Basic Data'!$A:$A,'Basic Data'!$B:$B),"")</f>
        <v>TQGXIIPL</v>
      </c>
      <c r="I595" s="35" t="str">
        <f>IFERROR(_xlfn.XLOOKUP(Table6[[#This Row],[Affected WTG]],'Basic Data'!$A:$A,'Basic Data'!$C:$C),"")</f>
        <v>GEDA</v>
      </c>
      <c r="J595" s="471">
        <f>IFERROR(_xlfn.XLOOKUP(Table6[[#This Row],[Affected WTG]],'Basic Data'!$A:$A,'Basic Data'!$E:$E),"")</f>
        <v>3.846153846153845E-2</v>
      </c>
      <c r="K595" s="102">
        <v>64</v>
      </c>
      <c r="L595" s="35" t="str">
        <f>IFERROR(_xlfn.XLOOKUP(Table6[[#This Row],[Error Code]],'Basic Data'!$AA:$AA,'Basic Data'!$AB:$AB),"Incorrect Error Code")</f>
        <v>Max. wind speed</v>
      </c>
      <c r="M595" s="35" t="s">
        <v>307</v>
      </c>
      <c r="N595" s="475"/>
      <c r="O595" s="476">
        <v>0.625</v>
      </c>
      <c r="P595" s="476">
        <v>0.625</v>
      </c>
      <c r="Q595" s="477">
        <v>0.63472222222222219</v>
      </c>
      <c r="R595" s="472">
        <f>IF(Table6[[#This Row],[Work Start TimeStamp]]="","",(Table6[[#This Row],[Work Start TimeStamp]]-Table6[[#This Row],[Fault Start TimeStamp]])*24)</f>
        <v>0</v>
      </c>
      <c r="S595" s="472">
        <f>(Table6[[#This Row],[Fault Clearance time]]-Table6[[#This Row],[Work Start TimeStamp]])*24</f>
        <v>0.2333333333333325</v>
      </c>
      <c r="T595" s="472">
        <f>(Table6[[#This Row],[Fault Clearance time]]-Table6[[#This Row],[Fault Start TimeStamp]])*24</f>
        <v>0.2333333333333325</v>
      </c>
      <c r="U595" s="35" t="s">
        <v>336</v>
      </c>
      <c r="V595" s="102" t="s">
        <v>293</v>
      </c>
      <c r="W595" s="478">
        <f>IFERROR(Table6[[#This Row],[Breakdown Time]]*Table6[[#This Row],[Plant Equivalent Weightage]],"")</f>
        <v>8.974358974358939E-3</v>
      </c>
      <c r="X595" s="473" t="s">
        <v>294</v>
      </c>
      <c r="Y595" s="474" t="s">
        <v>85</v>
      </c>
      <c r="Z595" s="102">
        <v>15671</v>
      </c>
      <c r="AA595" s="468">
        <f>(Table6[[#This Row],[Paired WTG Generation for loss calculation]]/24)*Table6[[#This Row],[Breakdown Time]]</f>
        <v>152.35694444444391</v>
      </c>
      <c r="AB595" s="102"/>
      <c r="AC595" s="35"/>
      <c r="AD595" s="35"/>
    </row>
    <row r="596" spans="1:30">
      <c r="A596" s="102">
        <f t="shared" si="10"/>
        <v>595</v>
      </c>
      <c r="B596" s="468">
        <f>YEAR(Table6[[#This Row],[Date]])+IF(MONTH(Table6[[#This Row],[Date]])&gt;=4,1,0)</f>
        <v>2026</v>
      </c>
      <c r="C596" s="102">
        <f>YEAR(Table6[[#This Row],[Date]])</f>
        <v>2025</v>
      </c>
      <c r="D596" s="102" t="s">
        <v>1992</v>
      </c>
      <c r="E596" s="469">
        <f>Table6[[#This Row],[Date]]-DAY(Table6[[#This Row],[Date]])+1</f>
        <v>45778</v>
      </c>
      <c r="F596" s="470">
        <v>45783</v>
      </c>
      <c r="G596" s="35" t="s">
        <v>85</v>
      </c>
      <c r="H596" s="35" t="str">
        <f>IFERROR(_xlfn.XLOOKUP(Table6[[#This Row],[Affected WTG]],'Basic Data'!$A:$A,'Basic Data'!$B:$B),"")</f>
        <v>TQGXIIPL</v>
      </c>
      <c r="I596" s="35" t="str">
        <f>IFERROR(_xlfn.XLOOKUP(Table6[[#This Row],[Affected WTG]],'Basic Data'!$A:$A,'Basic Data'!$C:$C),"")</f>
        <v>GEDA</v>
      </c>
      <c r="J596" s="471">
        <f>IFERROR(_xlfn.XLOOKUP(Table6[[#This Row],[Affected WTG]],'Basic Data'!$A:$A,'Basic Data'!$E:$E),"")</f>
        <v>3.846153846153845E-2</v>
      </c>
      <c r="K596" s="102">
        <v>64</v>
      </c>
      <c r="L596" s="35" t="str">
        <f>IFERROR(_xlfn.XLOOKUP(Table6[[#This Row],[Error Code]],'Basic Data'!$AA:$AA,'Basic Data'!$AB:$AB),"Incorrect Error Code")</f>
        <v>Max. wind speed</v>
      </c>
      <c r="M596" s="35" t="s">
        <v>307</v>
      </c>
      <c r="N596" s="475"/>
      <c r="O596" s="476">
        <v>0.62916666666666665</v>
      </c>
      <c r="P596" s="476">
        <v>0.62916666666666665</v>
      </c>
      <c r="Q596" s="477">
        <v>0.6430555555555556</v>
      </c>
      <c r="R596" s="472">
        <f>IF(Table6[[#This Row],[Work Start TimeStamp]]="","",(Table6[[#This Row],[Work Start TimeStamp]]-Table6[[#This Row],[Fault Start TimeStamp]])*24)</f>
        <v>0</v>
      </c>
      <c r="S596" s="472">
        <f>(Table6[[#This Row],[Fault Clearance time]]-Table6[[#This Row],[Work Start TimeStamp]])*24</f>
        <v>0.33333333333333481</v>
      </c>
      <c r="T596" s="472">
        <f>(Table6[[#This Row],[Fault Clearance time]]-Table6[[#This Row],[Fault Start TimeStamp]])*24</f>
        <v>0.33333333333333481</v>
      </c>
      <c r="U596" s="35" t="s">
        <v>336</v>
      </c>
      <c r="V596" s="102" t="s">
        <v>293</v>
      </c>
      <c r="W596" s="478">
        <f>IFERROR(Table6[[#This Row],[Breakdown Time]]*Table6[[#This Row],[Plant Equivalent Weightage]],"")</f>
        <v>1.2820512820512874E-2</v>
      </c>
      <c r="X596" s="473" t="s">
        <v>294</v>
      </c>
      <c r="Y596" s="474" t="s">
        <v>87</v>
      </c>
      <c r="Z596" s="102">
        <v>16788</v>
      </c>
      <c r="AA596" s="468">
        <f>(Table6[[#This Row],[Paired WTG Generation for loss calculation]]/24)*Table6[[#This Row],[Breakdown Time]]</f>
        <v>233.16666666666771</v>
      </c>
      <c r="AB596" s="102"/>
      <c r="AC596" s="35"/>
      <c r="AD596" s="35"/>
    </row>
    <row r="597" spans="1:30">
      <c r="A597" s="102">
        <f t="shared" si="10"/>
        <v>596</v>
      </c>
      <c r="B597" s="468">
        <f>YEAR(Table6[[#This Row],[Date]])+IF(MONTH(Table6[[#This Row],[Date]])&gt;=4,1,0)</f>
        <v>2026</v>
      </c>
      <c r="C597" s="102">
        <f>YEAR(Table6[[#This Row],[Date]])</f>
        <v>2025</v>
      </c>
      <c r="D597" s="102" t="s">
        <v>1992</v>
      </c>
      <c r="E597" s="469">
        <f>Table6[[#This Row],[Date]]-DAY(Table6[[#This Row],[Date]])+1</f>
        <v>45778</v>
      </c>
      <c r="F597" s="470">
        <v>45783</v>
      </c>
      <c r="G597" s="35" t="s">
        <v>86</v>
      </c>
      <c r="H597" s="35" t="str">
        <f>IFERROR(_xlfn.XLOOKUP(Table6[[#This Row],[Affected WTG]],'Basic Data'!$A:$A,'Basic Data'!$B:$B),"")</f>
        <v>TQGXIIPL</v>
      </c>
      <c r="I597" s="35" t="str">
        <f>IFERROR(_xlfn.XLOOKUP(Table6[[#This Row],[Affected WTG]],'Basic Data'!$A:$A,'Basic Data'!$C:$C),"")</f>
        <v>GEDA</v>
      </c>
      <c r="J597" s="471">
        <f>IFERROR(_xlfn.XLOOKUP(Table6[[#This Row],[Affected WTG]],'Basic Data'!$A:$A,'Basic Data'!$E:$E),"")</f>
        <v>3.846153846153845E-2</v>
      </c>
      <c r="K597" s="102">
        <v>6130</v>
      </c>
      <c r="L597" s="35" t="str">
        <f>IFERROR(_xlfn.XLOOKUP(Table6[[#This Row],[Error Code]],'Basic Data'!$AA:$AA,'Basic Data'!$AB:$AB),"Incorrect Error Code")</f>
        <v>Yaw speed high</v>
      </c>
      <c r="M597" s="35" t="s">
        <v>292</v>
      </c>
      <c r="N597" s="475"/>
      <c r="O597" s="476">
        <v>0.47708333333333336</v>
      </c>
      <c r="P597" s="476">
        <v>0.47708333333333336</v>
      </c>
      <c r="Q597" s="477">
        <v>0.48125000000000001</v>
      </c>
      <c r="R597" s="472">
        <f>IF(Table6[[#This Row],[Work Start TimeStamp]]="","",(Table6[[#This Row],[Work Start TimeStamp]]-Table6[[#This Row],[Fault Start TimeStamp]])*24)</f>
        <v>0</v>
      </c>
      <c r="S597" s="472">
        <f>(Table6[[#This Row],[Fault Clearance time]]-Table6[[#This Row],[Work Start TimeStamp]])*24</f>
        <v>9.9999999999999645E-2</v>
      </c>
      <c r="T597" s="472">
        <f>(Table6[[#This Row],[Fault Clearance time]]-Table6[[#This Row],[Fault Start TimeStamp]])*24</f>
        <v>9.9999999999999645E-2</v>
      </c>
      <c r="U597" s="35" t="s">
        <v>336</v>
      </c>
      <c r="V597" s="102" t="s">
        <v>293</v>
      </c>
      <c r="W597" s="478">
        <f>IFERROR(Table6[[#This Row],[Breakdown Time]]*Table6[[#This Row],[Plant Equivalent Weightage]],"")</f>
        <v>3.8461538461538312E-3</v>
      </c>
      <c r="X597" s="473" t="s">
        <v>294</v>
      </c>
      <c r="Y597" s="474" t="s">
        <v>84</v>
      </c>
      <c r="Z597" s="102">
        <v>16459</v>
      </c>
      <c r="AA597" s="468">
        <f>(Table6[[#This Row],[Paired WTG Generation for loss calculation]]/24)*Table6[[#This Row],[Breakdown Time]]</f>
        <v>68.579166666666424</v>
      </c>
      <c r="AB597" s="102"/>
      <c r="AC597" s="35"/>
      <c r="AD597" s="35"/>
    </row>
    <row r="598" spans="1:30">
      <c r="A598" s="102">
        <f t="shared" si="10"/>
        <v>597</v>
      </c>
      <c r="B598" s="468">
        <f>YEAR(Table6[[#This Row],[Date]])+IF(MONTH(Table6[[#This Row],[Date]])&gt;=4,1,0)</f>
        <v>2026</v>
      </c>
      <c r="C598" s="102">
        <f>YEAR(Table6[[#This Row],[Date]])</f>
        <v>2025</v>
      </c>
      <c r="D598" s="102" t="s">
        <v>1992</v>
      </c>
      <c r="E598" s="469">
        <f>Table6[[#This Row],[Date]]-DAY(Table6[[#This Row],[Date]])+1</f>
        <v>45778</v>
      </c>
      <c r="F598" s="470">
        <v>45783</v>
      </c>
      <c r="G598" s="35" t="s">
        <v>88</v>
      </c>
      <c r="H598" s="35" t="str">
        <f>IFERROR(_xlfn.XLOOKUP(Table6[[#This Row],[Affected WTG]],'Basic Data'!$A:$A,'Basic Data'!$B:$B),"")</f>
        <v>TQGXIIPL</v>
      </c>
      <c r="I598" s="35" t="str">
        <f>IFERROR(_xlfn.XLOOKUP(Table6[[#This Row],[Affected WTG]],'Basic Data'!$A:$A,'Basic Data'!$C:$C),"")</f>
        <v>GEDA</v>
      </c>
      <c r="J598" s="471">
        <f>IFERROR(_xlfn.XLOOKUP(Table6[[#This Row],[Affected WTG]],'Basic Data'!$A:$A,'Basic Data'!$E:$E),"")</f>
        <v>3.846153846153845E-2</v>
      </c>
      <c r="K598" s="102">
        <v>6056</v>
      </c>
      <c r="L598" s="35" t="str">
        <f>IFERROR(_xlfn.XLOOKUP(Table6[[#This Row],[Error Code]],'Basic Data'!$AA:$AA,'Basic Data'!$AB:$AB),"Incorrect Error Code")</f>
        <v>High yaw load</v>
      </c>
      <c r="M598" s="35" t="s">
        <v>292</v>
      </c>
      <c r="N598" s="475"/>
      <c r="O598" s="476">
        <v>0.63888888888888884</v>
      </c>
      <c r="P598" s="476">
        <v>0.63888888888888884</v>
      </c>
      <c r="Q598" s="477">
        <v>0.64097222222222228</v>
      </c>
      <c r="R598" s="472">
        <f>IF(Table6[[#This Row],[Work Start TimeStamp]]="","",(Table6[[#This Row],[Work Start TimeStamp]]-Table6[[#This Row],[Fault Start TimeStamp]])*24)</f>
        <v>0</v>
      </c>
      <c r="S598" s="472">
        <f>(Table6[[#This Row],[Fault Clearance time]]-Table6[[#This Row],[Work Start TimeStamp]])*24</f>
        <v>5.0000000000002487E-2</v>
      </c>
      <c r="T598" s="472">
        <f>(Table6[[#This Row],[Fault Clearance time]]-Table6[[#This Row],[Fault Start TimeStamp]])*24</f>
        <v>5.0000000000002487E-2</v>
      </c>
      <c r="U598" s="35" t="s">
        <v>336</v>
      </c>
      <c r="V598" s="102" t="s">
        <v>293</v>
      </c>
      <c r="W598" s="478">
        <f>IFERROR(Table6[[#This Row],[Breakdown Time]]*Table6[[#This Row],[Plant Equivalent Weightage]],"")</f>
        <v>1.9230769230770182E-3</v>
      </c>
      <c r="X598" s="473" t="s">
        <v>294</v>
      </c>
      <c r="Y598" s="474" t="s">
        <v>83</v>
      </c>
      <c r="Z598" s="102">
        <v>18504</v>
      </c>
      <c r="AA598" s="468">
        <f>(Table6[[#This Row],[Paired WTG Generation for loss calculation]]/24)*Table6[[#This Row],[Breakdown Time]]</f>
        <v>38.550000000001916</v>
      </c>
      <c r="AB598" s="102"/>
      <c r="AC598" s="35"/>
      <c r="AD598" s="35"/>
    </row>
    <row r="599" spans="1:30">
      <c r="A599" s="102">
        <f t="shared" si="10"/>
        <v>598</v>
      </c>
      <c r="B599" s="468">
        <f>YEAR(Table6[[#This Row],[Date]])+IF(MONTH(Table6[[#This Row],[Date]])&gt;=4,1,0)</f>
        <v>2026</v>
      </c>
      <c r="C599" s="102">
        <f>YEAR(Table6[[#This Row],[Date]])</f>
        <v>2025</v>
      </c>
      <c r="D599" s="102" t="s">
        <v>1992</v>
      </c>
      <c r="E599" s="469">
        <f>Table6[[#This Row],[Date]]-DAY(Table6[[#This Row],[Date]])+1</f>
        <v>45778</v>
      </c>
      <c r="F599" s="470">
        <v>45783</v>
      </c>
      <c r="G599" s="35" t="s">
        <v>89</v>
      </c>
      <c r="H599" s="35" t="str">
        <f>IFERROR(_xlfn.XLOOKUP(Table6[[#This Row],[Affected WTG]],'Basic Data'!$A:$A,'Basic Data'!$B:$B),"")</f>
        <v>TQGXIIPL</v>
      </c>
      <c r="I599" s="35" t="str">
        <f>IFERROR(_xlfn.XLOOKUP(Table6[[#This Row],[Affected WTG]],'Basic Data'!$A:$A,'Basic Data'!$C:$C),"")</f>
        <v>GEDA</v>
      </c>
      <c r="J599" s="471">
        <f>IFERROR(_xlfn.XLOOKUP(Table6[[#This Row],[Affected WTG]],'Basic Data'!$A:$A,'Basic Data'!$E:$E),"")</f>
        <v>3.846153846153845E-2</v>
      </c>
      <c r="K599" s="102">
        <v>3000</v>
      </c>
      <c r="L599" s="35" t="str">
        <f>IFERROR(_xlfn.XLOOKUP(Table6[[#This Row],[Error Code]],'Basic Data'!$AA:$AA,'Basic Data'!$AB:$AB),"Incorrect Error Code")</f>
        <v>Frequency converter not ready</v>
      </c>
      <c r="M599" s="35" t="s">
        <v>295</v>
      </c>
      <c r="N599" s="475"/>
      <c r="O599" s="476">
        <v>4.583333333333333E-2</v>
      </c>
      <c r="P599" s="476">
        <v>4.583333333333333E-2</v>
      </c>
      <c r="Q599" s="477">
        <v>0.64652777777777781</v>
      </c>
      <c r="R599" s="472">
        <f>IF(Table6[[#This Row],[Work Start TimeStamp]]="","",(Table6[[#This Row],[Work Start TimeStamp]]-Table6[[#This Row],[Fault Start TimeStamp]])*24)</f>
        <v>0</v>
      </c>
      <c r="S599" s="472">
        <f>(Table6[[#This Row],[Fault Clearance time]]-Table6[[#This Row],[Work Start TimeStamp]])*24</f>
        <v>14.416666666666668</v>
      </c>
      <c r="T599" s="472">
        <f>(Table6[[#This Row],[Fault Clearance time]]-Table6[[#This Row],[Fault Start TimeStamp]])*24</f>
        <v>14.416666666666668</v>
      </c>
      <c r="U599" s="35" t="s">
        <v>1763</v>
      </c>
      <c r="V599" s="102" t="s">
        <v>293</v>
      </c>
      <c r="W599" s="478">
        <f>IFERROR(Table6[[#This Row],[Breakdown Time]]*Table6[[#This Row],[Plant Equivalent Weightage]],"")</f>
        <v>0.5544871794871794</v>
      </c>
      <c r="X599" s="473" t="s">
        <v>290</v>
      </c>
      <c r="Y599" s="474" t="s">
        <v>94</v>
      </c>
      <c r="Z599" s="102">
        <v>23651</v>
      </c>
      <c r="AA599" s="468">
        <f>(Table6[[#This Row],[Paired WTG Generation for loss calculation]]/24)*Table6[[#This Row],[Breakdown Time]]</f>
        <v>14207.024305555557</v>
      </c>
      <c r="AB599" s="102"/>
      <c r="AC599" s="35"/>
      <c r="AD599" s="35"/>
    </row>
    <row r="600" spans="1:30">
      <c r="A600" s="102">
        <f t="shared" si="10"/>
        <v>599</v>
      </c>
      <c r="B600" s="468">
        <f>YEAR(Table6[[#This Row],[Date]])+IF(MONTH(Table6[[#This Row],[Date]])&gt;=4,1,0)</f>
        <v>2026</v>
      </c>
      <c r="C600" s="102">
        <f>YEAR(Table6[[#This Row],[Date]])</f>
        <v>2025</v>
      </c>
      <c r="D600" s="102" t="s">
        <v>1992</v>
      </c>
      <c r="E600" s="469">
        <f>Table6[[#This Row],[Date]]-DAY(Table6[[#This Row],[Date]])+1</f>
        <v>45778</v>
      </c>
      <c r="F600" s="470">
        <v>45783</v>
      </c>
      <c r="G600" s="35" t="s">
        <v>89</v>
      </c>
      <c r="H600" s="35" t="str">
        <f>IFERROR(_xlfn.XLOOKUP(Table6[[#This Row],[Affected WTG]],'Basic Data'!$A:$A,'Basic Data'!$B:$B),"")</f>
        <v>TQGXIIPL</v>
      </c>
      <c r="I600" s="35" t="str">
        <f>IFERROR(_xlfn.XLOOKUP(Table6[[#This Row],[Affected WTG]],'Basic Data'!$A:$A,'Basic Data'!$C:$C),"")</f>
        <v>GEDA</v>
      </c>
      <c r="J600" s="471">
        <f>IFERROR(_xlfn.XLOOKUP(Table6[[#This Row],[Affected WTG]],'Basic Data'!$A:$A,'Basic Data'!$E:$E),"")</f>
        <v>3.846153846153845E-2</v>
      </c>
      <c r="K600" s="102">
        <v>3000</v>
      </c>
      <c r="L600" s="35" t="str">
        <f>IFERROR(_xlfn.XLOOKUP(Table6[[#This Row],[Error Code]],'Basic Data'!$AA:$AA,'Basic Data'!$AB:$AB),"Incorrect Error Code")</f>
        <v>Frequency converter not ready</v>
      </c>
      <c r="M600" s="35" t="s">
        <v>301</v>
      </c>
      <c r="N600" s="475"/>
      <c r="O600" s="476">
        <v>0.86736111111111114</v>
      </c>
      <c r="P600" s="476">
        <v>0.86736111111111114</v>
      </c>
      <c r="Q600" s="477">
        <v>1</v>
      </c>
      <c r="R600" s="472">
        <f>IF(Table6[[#This Row],[Work Start TimeStamp]]="","",(Table6[[#This Row],[Work Start TimeStamp]]-Table6[[#This Row],[Fault Start TimeStamp]])*24)</f>
        <v>0</v>
      </c>
      <c r="S600" s="472">
        <f>(Table6[[#This Row],[Fault Clearance time]]-Table6[[#This Row],[Work Start TimeStamp]])*24</f>
        <v>3.1833333333333327</v>
      </c>
      <c r="T600" s="472">
        <f>(Table6[[#This Row],[Fault Clearance time]]-Table6[[#This Row],[Fault Start TimeStamp]])*24</f>
        <v>3.1833333333333327</v>
      </c>
      <c r="U600" s="35" t="s">
        <v>1764</v>
      </c>
      <c r="V600" s="102" t="s">
        <v>338</v>
      </c>
      <c r="W600" s="478">
        <f>IFERROR(Table6[[#This Row],[Breakdown Time]]*Table6[[#This Row],[Plant Equivalent Weightage]],"")</f>
        <v>0.12243589743589738</v>
      </c>
      <c r="X600" s="473" t="s">
        <v>294</v>
      </c>
      <c r="Y600" s="474" t="s">
        <v>94</v>
      </c>
      <c r="Z600" s="102">
        <v>23651</v>
      </c>
      <c r="AA600" s="468">
        <f>(Table6[[#This Row],[Paired WTG Generation for loss calculation]]/24)*Table6[[#This Row],[Breakdown Time]]</f>
        <v>3137.0423611111105</v>
      </c>
      <c r="AB600" s="102"/>
      <c r="AC600" s="35"/>
      <c r="AD600" s="35"/>
    </row>
    <row r="601" spans="1:30">
      <c r="A601" s="102">
        <f t="shared" si="10"/>
        <v>600</v>
      </c>
      <c r="B601" s="468">
        <f>YEAR(Table6[[#This Row],[Date]])+IF(MONTH(Table6[[#This Row],[Date]])&gt;=4,1,0)</f>
        <v>2026</v>
      </c>
      <c r="C601" s="102">
        <f>YEAR(Table6[[#This Row],[Date]])</f>
        <v>2025</v>
      </c>
      <c r="D601" s="102" t="s">
        <v>1992</v>
      </c>
      <c r="E601" s="469">
        <f>Table6[[#This Row],[Date]]-DAY(Table6[[#This Row],[Date]])+1</f>
        <v>45778</v>
      </c>
      <c r="F601" s="470">
        <v>45783</v>
      </c>
      <c r="G601" s="35" t="s">
        <v>90</v>
      </c>
      <c r="H601" s="35" t="str">
        <f>IFERROR(_xlfn.XLOOKUP(Table6[[#This Row],[Affected WTG]],'Basic Data'!$A:$A,'Basic Data'!$B:$B),"")</f>
        <v>TQGXIIPL</v>
      </c>
      <c r="I601" s="35" t="str">
        <f>IFERROR(_xlfn.XLOOKUP(Table6[[#This Row],[Affected WTG]],'Basic Data'!$A:$A,'Basic Data'!$C:$C),"")</f>
        <v>GEDA</v>
      </c>
      <c r="J601" s="471">
        <f>IFERROR(_xlfn.XLOOKUP(Table6[[#This Row],[Affected WTG]],'Basic Data'!$A:$A,'Basic Data'!$E:$E),"")</f>
        <v>3.846153846153845E-2</v>
      </c>
      <c r="K601" s="102">
        <v>665</v>
      </c>
      <c r="L601" s="35" t="str">
        <f>IFERROR(_xlfn.XLOOKUP(Table6[[#This Row],[Error Code]],'Basic Data'!$AA:$AA,'Basic Data'!$AB:$AB),"Incorrect Error Code")</f>
        <v>Pitch error</v>
      </c>
      <c r="M601" s="35" t="s">
        <v>292</v>
      </c>
      <c r="N601" s="475"/>
      <c r="O601" s="476">
        <v>0.63958333333333328</v>
      </c>
      <c r="P601" s="476">
        <v>0.63958333333333328</v>
      </c>
      <c r="Q601" s="477">
        <v>0.6430555555555556</v>
      </c>
      <c r="R601" s="472">
        <f>IF(Table6[[#This Row],[Work Start TimeStamp]]="","",(Table6[[#This Row],[Work Start TimeStamp]]-Table6[[#This Row],[Fault Start TimeStamp]])*24)</f>
        <v>0</v>
      </c>
      <c r="S601" s="472">
        <f>(Table6[[#This Row],[Fault Clearance time]]-Table6[[#This Row],[Work Start TimeStamp]])*24</f>
        <v>8.3333333333335702E-2</v>
      </c>
      <c r="T601" s="472">
        <f>(Table6[[#This Row],[Fault Clearance time]]-Table6[[#This Row],[Fault Start TimeStamp]])*24</f>
        <v>8.3333333333335702E-2</v>
      </c>
      <c r="U601" s="35" t="s">
        <v>336</v>
      </c>
      <c r="V601" s="102" t="s">
        <v>293</v>
      </c>
      <c r="W601" s="478">
        <f>IFERROR(Table6[[#This Row],[Breakdown Time]]*Table6[[#This Row],[Plant Equivalent Weightage]],"")</f>
        <v>3.2051282051282952E-3</v>
      </c>
      <c r="X601" s="473" t="s">
        <v>294</v>
      </c>
      <c r="Y601" s="474" t="s">
        <v>95</v>
      </c>
      <c r="Z601" s="102">
        <v>21281</v>
      </c>
      <c r="AA601" s="468">
        <f>(Table6[[#This Row],[Paired WTG Generation for loss calculation]]/24)*Table6[[#This Row],[Breakdown Time]]</f>
        <v>73.892361111113217</v>
      </c>
      <c r="AB601" s="102"/>
      <c r="AC601" s="35"/>
      <c r="AD601" s="35"/>
    </row>
    <row r="602" spans="1:30">
      <c r="A602" s="102">
        <f t="shared" si="10"/>
        <v>601</v>
      </c>
      <c r="B602" s="468">
        <f>YEAR(Table6[[#This Row],[Date]])+IF(MONTH(Table6[[#This Row],[Date]])&gt;=4,1,0)</f>
        <v>2026</v>
      </c>
      <c r="C602" s="102">
        <f>YEAR(Table6[[#This Row],[Date]])</f>
        <v>2025</v>
      </c>
      <c r="D602" s="102" t="s">
        <v>1992</v>
      </c>
      <c r="E602" s="469">
        <f>Table6[[#This Row],[Date]]-DAY(Table6[[#This Row],[Date]])+1</f>
        <v>45778</v>
      </c>
      <c r="F602" s="470">
        <v>45783</v>
      </c>
      <c r="G602" s="35" t="s">
        <v>96</v>
      </c>
      <c r="H602" s="35" t="str">
        <f>IFERROR(_xlfn.XLOOKUP(Table6[[#This Row],[Affected WTG]],'Basic Data'!$A:$A,'Basic Data'!$B:$B),"")</f>
        <v>TQGXIIPL</v>
      </c>
      <c r="I602" s="35" t="str">
        <f>IFERROR(_xlfn.XLOOKUP(Table6[[#This Row],[Affected WTG]],'Basic Data'!$A:$A,'Basic Data'!$C:$C),"")</f>
        <v>GEDA</v>
      </c>
      <c r="J602" s="471">
        <f>IFERROR(_xlfn.XLOOKUP(Table6[[#This Row],[Affected WTG]],'Basic Data'!$A:$A,'Basic Data'!$E:$E),"")</f>
        <v>3.846153846153845E-2</v>
      </c>
      <c r="K602" s="102">
        <v>53</v>
      </c>
      <c r="L602" s="35" t="str">
        <f>IFERROR(_xlfn.XLOOKUP(Table6[[#This Row],[Error Code]],'Basic Data'!$AA:$AA,'Basic Data'!$AB:$AB),"Incorrect Error Code")</f>
        <v>Wind dir.dev. level 1</v>
      </c>
      <c r="M602" s="35" t="s">
        <v>292</v>
      </c>
      <c r="N602" s="475"/>
      <c r="O602" s="476">
        <v>8.3333333333333332E-3</v>
      </c>
      <c r="P602" s="476">
        <v>8.3333333333333332E-3</v>
      </c>
      <c r="Q602" s="477">
        <v>1.0416666666666666E-2</v>
      </c>
      <c r="R602" s="472">
        <f>IF(Table6[[#This Row],[Work Start TimeStamp]]="","",(Table6[[#This Row],[Work Start TimeStamp]]-Table6[[#This Row],[Fault Start TimeStamp]])*24)</f>
        <v>0</v>
      </c>
      <c r="S602" s="472">
        <f>(Table6[[#This Row],[Fault Clearance time]]-Table6[[#This Row],[Work Start TimeStamp]])*24</f>
        <v>4.9999999999999989E-2</v>
      </c>
      <c r="T602" s="472">
        <f>(Table6[[#This Row],[Fault Clearance time]]-Table6[[#This Row],[Fault Start TimeStamp]])*24</f>
        <v>4.9999999999999989E-2</v>
      </c>
      <c r="U602" s="35" t="s">
        <v>336</v>
      </c>
      <c r="V602" s="102" t="s">
        <v>293</v>
      </c>
      <c r="W602" s="478">
        <f>IFERROR(Table6[[#This Row],[Breakdown Time]]*Table6[[#This Row],[Plant Equivalent Weightage]],"")</f>
        <v>1.9230769230769221E-3</v>
      </c>
      <c r="X602" s="473" t="s">
        <v>294</v>
      </c>
      <c r="Y602" s="474" t="s">
        <v>84</v>
      </c>
      <c r="Z602" s="102">
        <v>16459</v>
      </c>
      <c r="AA602" s="468">
        <f>(Table6[[#This Row],[Paired WTG Generation for loss calculation]]/24)*Table6[[#This Row],[Breakdown Time]]</f>
        <v>34.289583333333326</v>
      </c>
      <c r="AB602" s="102"/>
      <c r="AC602" s="35"/>
      <c r="AD602" s="35"/>
    </row>
    <row r="603" spans="1:30">
      <c r="A603" s="102">
        <f t="shared" si="10"/>
        <v>602</v>
      </c>
      <c r="B603" s="468">
        <f>YEAR(Table6[[#This Row],[Date]])+IF(MONTH(Table6[[#This Row],[Date]])&gt;=4,1,0)</f>
        <v>2026</v>
      </c>
      <c r="C603" s="102">
        <f>YEAR(Table6[[#This Row],[Date]])</f>
        <v>2025</v>
      </c>
      <c r="D603" s="102" t="s">
        <v>1992</v>
      </c>
      <c r="E603" s="469">
        <f>Table6[[#This Row],[Date]]-DAY(Table6[[#This Row],[Date]])+1</f>
        <v>45778</v>
      </c>
      <c r="F603" s="470">
        <v>45783</v>
      </c>
      <c r="G603" s="35" t="s">
        <v>96</v>
      </c>
      <c r="H603" s="35" t="str">
        <f>IFERROR(_xlfn.XLOOKUP(Table6[[#This Row],[Affected WTG]],'Basic Data'!$A:$A,'Basic Data'!$B:$B),"")</f>
        <v>TQGXIIPL</v>
      </c>
      <c r="I603" s="35" t="str">
        <f>IFERROR(_xlfn.XLOOKUP(Table6[[#This Row],[Affected WTG]],'Basic Data'!$A:$A,'Basic Data'!$C:$C),"")</f>
        <v>GEDA</v>
      </c>
      <c r="J603" s="471">
        <f>IFERROR(_xlfn.XLOOKUP(Table6[[#This Row],[Affected WTG]],'Basic Data'!$A:$A,'Basic Data'!$E:$E),"")</f>
        <v>3.846153846153845E-2</v>
      </c>
      <c r="K603" s="102">
        <v>64</v>
      </c>
      <c r="L603" s="35" t="str">
        <f>IFERROR(_xlfn.XLOOKUP(Table6[[#This Row],[Error Code]],'Basic Data'!$AA:$AA,'Basic Data'!$AB:$AB),"Incorrect Error Code")</f>
        <v>Max. wind speed</v>
      </c>
      <c r="M603" s="35" t="s">
        <v>292</v>
      </c>
      <c r="N603" s="475"/>
      <c r="O603" s="476">
        <v>0.62986111111111109</v>
      </c>
      <c r="P603" s="476">
        <v>0.62986111111111109</v>
      </c>
      <c r="Q603" s="477">
        <v>0.63124999999999998</v>
      </c>
      <c r="R603" s="472">
        <f>IF(Table6[[#This Row],[Work Start TimeStamp]]="","",(Table6[[#This Row],[Work Start TimeStamp]]-Table6[[#This Row],[Fault Start TimeStamp]])*24)</f>
        <v>0</v>
      </c>
      <c r="S603" s="472">
        <f>(Table6[[#This Row],[Fault Clearance time]]-Table6[[#This Row],[Work Start TimeStamp]])*24</f>
        <v>3.3333333333333215E-2</v>
      </c>
      <c r="T603" s="472">
        <f>(Table6[[#This Row],[Fault Clearance time]]-Table6[[#This Row],[Fault Start TimeStamp]])*24</f>
        <v>3.3333333333333215E-2</v>
      </c>
      <c r="U603" s="35" t="s">
        <v>336</v>
      </c>
      <c r="V603" s="102" t="s">
        <v>293</v>
      </c>
      <c r="W603" s="478">
        <f>IFERROR(Table6[[#This Row],[Breakdown Time]]*Table6[[#This Row],[Plant Equivalent Weightage]],"")</f>
        <v>1.2820512820512771E-3</v>
      </c>
      <c r="X603" s="473" t="s">
        <v>294</v>
      </c>
      <c r="Y603" s="474" t="s">
        <v>84</v>
      </c>
      <c r="Z603" s="102">
        <v>16459</v>
      </c>
      <c r="AA603" s="468">
        <f>(Table6[[#This Row],[Paired WTG Generation for loss calculation]]/24)*Table6[[#This Row],[Breakdown Time]]</f>
        <v>22.859722222222139</v>
      </c>
      <c r="AB603" s="102"/>
      <c r="AC603" s="35"/>
      <c r="AD603" s="35"/>
    </row>
    <row r="604" spans="1:30">
      <c r="A604" s="102">
        <f t="shared" si="10"/>
        <v>603</v>
      </c>
      <c r="B604" s="468">
        <f>YEAR(Table6[[#This Row],[Date]])+IF(MONTH(Table6[[#This Row],[Date]])&gt;=4,1,0)</f>
        <v>2026</v>
      </c>
      <c r="C604" s="102">
        <f>YEAR(Table6[[#This Row],[Date]])</f>
        <v>2025</v>
      </c>
      <c r="D604" s="102" t="s">
        <v>1992</v>
      </c>
      <c r="E604" s="469">
        <f>Table6[[#This Row],[Date]]-DAY(Table6[[#This Row],[Date]])+1</f>
        <v>45778</v>
      </c>
      <c r="F604" s="470">
        <v>45783</v>
      </c>
      <c r="G604" s="35" t="s">
        <v>96</v>
      </c>
      <c r="H604" s="35" t="str">
        <f>IFERROR(_xlfn.XLOOKUP(Table6[[#This Row],[Affected WTG]],'Basic Data'!$A:$A,'Basic Data'!$B:$B),"")</f>
        <v>TQGXIIPL</v>
      </c>
      <c r="I604" s="35" t="str">
        <f>IFERROR(_xlfn.XLOOKUP(Table6[[#This Row],[Affected WTG]],'Basic Data'!$A:$A,'Basic Data'!$C:$C),"")</f>
        <v>GEDA</v>
      </c>
      <c r="J604" s="471">
        <f>IFERROR(_xlfn.XLOOKUP(Table6[[#This Row],[Affected WTG]],'Basic Data'!$A:$A,'Basic Data'!$E:$E),"")</f>
        <v>3.846153846153845E-2</v>
      </c>
      <c r="K604" s="102">
        <v>6130</v>
      </c>
      <c r="L604" s="35" t="str">
        <f>IFERROR(_xlfn.XLOOKUP(Table6[[#This Row],[Error Code]],'Basic Data'!$AA:$AA,'Basic Data'!$AB:$AB),"Incorrect Error Code")</f>
        <v>Yaw speed high</v>
      </c>
      <c r="M604" s="35" t="s">
        <v>292</v>
      </c>
      <c r="N604" s="475"/>
      <c r="O604" s="476">
        <v>0.64722222222222225</v>
      </c>
      <c r="P604" s="476">
        <v>0.64722222222222225</v>
      </c>
      <c r="Q604" s="477">
        <v>0.65138888888888891</v>
      </c>
      <c r="R604" s="472">
        <f>IF(Table6[[#This Row],[Work Start TimeStamp]]="","",(Table6[[#This Row],[Work Start TimeStamp]]-Table6[[#This Row],[Fault Start TimeStamp]])*24)</f>
        <v>0</v>
      </c>
      <c r="S604" s="472">
        <f>(Table6[[#This Row],[Fault Clearance time]]-Table6[[#This Row],[Work Start TimeStamp]])*24</f>
        <v>9.9999999999999645E-2</v>
      </c>
      <c r="T604" s="472">
        <f>(Table6[[#This Row],[Fault Clearance time]]-Table6[[#This Row],[Fault Start TimeStamp]])*24</f>
        <v>9.9999999999999645E-2</v>
      </c>
      <c r="U604" s="35" t="s">
        <v>336</v>
      </c>
      <c r="V604" s="102" t="s">
        <v>293</v>
      </c>
      <c r="W604" s="478">
        <f>IFERROR(Table6[[#This Row],[Breakdown Time]]*Table6[[#This Row],[Plant Equivalent Weightage]],"")</f>
        <v>3.8461538461538312E-3</v>
      </c>
      <c r="X604" s="473" t="s">
        <v>294</v>
      </c>
      <c r="Y604" s="474" t="s">
        <v>84</v>
      </c>
      <c r="Z604" s="102">
        <v>16459</v>
      </c>
      <c r="AA604" s="468">
        <f>(Table6[[#This Row],[Paired WTG Generation for loss calculation]]/24)*Table6[[#This Row],[Breakdown Time]]</f>
        <v>68.579166666666424</v>
      </c>
      <c r="AB604" s="102"/>
      <c r="AC604" s="35"/>
      <c r="AD604" s="35"/>
    </row>
    <row r="605" spans="1:30">
      <c r="A605" s="102">
        <f t="shared" si="10"/>
        <v>604</v>
      </c>
      <c r="B605" s="468">
        <f>YEAR(Table6[[#This Row],[Date]])+IF(MONTH(Table6[[#This Row],[Date]])&gt;=4,1,0)</f>
        <v>2026</v>
      </c>
      <c r="C605" s="102">
        <f>YEAR(Table6[[#This Row],[Date]])</f>
        <v>2025</v>
      </c>
      <c r="D605" s="102" t="s">
        <v>1992</v>
      </c>
      <c r="E605" s="469">
        <f>Table6[[#This Row],[Date]]-DAY(Table6[[#This Row],[Date]])+1</f>
        <v>45778</v>
      </c>
      <c r="F605" s="470">
        <v>45783</v>
      </c>
      <c r="G605" s="35" t="s">
        <v>97</v>
      </c>
      <c r="H605" s="35" t="str">
        <f>IFERROR(_xlfn.XLOOKUP(Table6[[#This Row],[Affected WTG]],'Basic Data'!$A:$A,'Basic Data'!$B:$B),"")</f>
        <v>TQGXIIPL</v>
      </c>
      <c r="I605" s="35" t="str">
        <f>IFERROR(_xlfn.XLOOKUP(Table6[[#This Row],[Affected WTG]],'Basic Data'!$A:$A,'Basic Data'!$C:$C),"")</f>
        <v>GEDA</v>
      </c>
      <c r="J605" s="471">
        <f>IFERROR(_xlfn.XLOOKUP(Table6[[#This Row],[Affected WTG]],'Basic Data'!$A:$A,'Basic Data'!$E:$E),"")</f>
        <v>3.846153846153845E-2</v>
      </c>
      <c r="K605" s="102">
        <v>5506</v>
      </c>
      <c r="L605" s="35" t="str">
        <f>IFERROR(_xlfn.XLOOKUP(Table6[[#This Row],[Error Code]],'Basic Data'!$AA:$AA,'Basic Data'!$AB:$AB),"Incorrect Error Code")</f>
        <v>Rot.br. press. high</v>
      </c>
      <c r="M605" s="35" t="s">
        <v>295</v>
      </c>
      <c r="N605" s="475"/>
      <c r="O605" s="476">
        <v>4.3749999999999997E-2</v>
      </c>
      <c r="P605" s="476">
        <v>4.3749999999999997E-2</v>
      </c>
      <c r="Q605" s="477">
        <v>0.64652777777777781</v>
      </c>
      <c r="R605" s="472">
        <f>IF(Table6[[#This Row],[Work Start TimeStamp]]="","",(Table6[[#This Row],[Work Start TimeStamp]]-Table6[[#This Row],[Fault Start TimeStamp]])*24)</f>
        <v>0</v>
      </c>
      <c r="S605" s="472">
        <f>(Table6[[#This Row],[Fault Clearance time]]-Table6[[#This Row],[Work Start TimeStamp]])*24</f>
        <v>14.466666666666669</v>
      </c>
      <c r="T605" s="472">
        <f>(Table6[[#This Row],[Fault Clearance time]]-Table6[[#This Row],[Fault Start TimeStamp]])*24</f>
        <v>14.466666666666669</v>
      </c>
      <c r="U605" s="35" t="s">
        <v>1765</v>
      </c>
      <c r="V605" s="102" t="s">
        <v>293</v>
      </c>
      <c r="W605" s="478">
        <f>IFERROR(Table6[[#This Row],[Breakdown Time]]*Table6[[#This Row],[Plant Equivalent Weightage]],"")</f>
        <v>0.55641025641025632</v>
      </c>
      <c r="X605" s="473" t="s">
        <v>290</v>
      </c>
      <c r="Y605" s="474" t="s">
        <v>93</v>
      </c>
      <c r="Z605" s="102">
        <v>24540</v>
      </c>
      <c r="AA605" s="468">
        <f>(Table6[[#This Row],[Paired WTG Generation for loss calculation]]/24)*Table6[[#This Row],[Breakdown Time]]</f>
        <v>14792.166666666668</v>
      </c>
      <c r="AB605" s="102"/>
      <c r="AC605" s="35"/>
      <c r="AD605" s="35"/>
    </row>
    <row r="606" spans="1:30">
      <c r="A606" s="102">
        <f t="shared" si="10"/>
        <v>605</v>
      </c>
      <c r="B606" s="468">
        <f>YEAR(Table6[[#This Row],[Date]])+IF(MONTH(Table6[[#This Row],[Date]])&gt;=4,1,0)</f>
        <v>2026</v>
      </c>
      <c r="C606" s="102">
        <f>YEAR(Table6[[#This Row],[Date]])</f>
        <v>2025</v>
      </c>
      <c r="D606" s="102" t="s">
        <v>1992</v>
      </c>
      <c r="E606" s="469">
        <f>Table6[[#This Row],[Date]]-DAY(Table6[[#This Row],[Date]])+1</f>
        <v>45778</v>
      </c>
      <c r="F606" s="470">
        <v>45783</v>
      </c>
      <c r="G606" s="35" t="s">
        <v>97</v>
      </c>
      <c r="H606" s="35" t="str">
        <f>IFERROR(_xlfn.XLOOKUP(Table6[[#This Row],[Affected WTG]],'Basic Data'!$A:$A,'Basic Data'!$B:$B),"")</f>
        <v>TQGXIIPL</v>
      </c>
      <c r="I606" s="35" t="str">
        <f>IFERROR(_xlfn.XLOOKUP(Table6[[#This Row],[Affected WTG]],'Basic Data'!$A:$A,'Basic Data'!$C:$C),"")</f>
        <v>GEDA</v>
      </c>
      <c r="J606" s="471">
        <f>IFERROR(_xlfn.XLOOKUP(Table6[[#This Row],[Affected WTG]],'Basic Data'!$A:$A,'Basic Data'!$E:$E),"")</f>
        <v>3.846153846153845E-2</v>
      </c>
      <c r="K606" s="102">
        <v>5506</v>
      </c>
      <c r="L606" s="35" t="str">
        <f>IFERROR(_xlfn.XLOOKUP(Table6[[#This Row],[Error Code]],'Basic Data'!$AA:$AA,'Basic Data'!$AB:$AB),"Incorrect Error Code")</f>
        <v>Rot.br. press. high</v>
      </c>
      <c r="M606" s="35" t="s">
        <v>295</v>
      </c>
      <c r="N606" s="475"/>
      <c r="O606" s="476">
        <v>0.74375000000000002</v>
      </c>
      <c r="P606" s="476">
        <v>0.74375000000000002</v>
      </c>
      <c r="Q606" s="477">
        <v>1</v>
      </c>
      <c r="R606" s="472">
        <f>IF(Table6[[#This Row],[Work Start TimeStamp]]="","",(Table6[[#This Row],[Work Start TimeStamp]]-Table6[[#This Row],[Fault Start TimeStamp]])*24)</f>
        <v>0</v>
      </c>
      <c r="S606" s="472">
        <f>(Table6[[#This Row],[Fault Clearance time]]-Table6[[#This Row],[Work Start TimeStamp]])*24</f>
        <v>6.1499999999999995</v>
      </c>
      <c r="T606" s="472">
        <f>(Table6[[#This Row],[Fault Clearance time]]-Table6[[#This Row],[Fault Start TimeStamp]])*24</f>
        <v>6.1499999999999995</v>
      </c>
      <c r="U606" s="35" t="s">
        <v>1765</v>
      </c>
      <c r="V606" s="102" t="s">
        <v>338</v>
      </c>
      <c r="W606" s="478">
        <f>IFERROR(Table6[[#This Row],[Breakdown Time]]*Table6[[#This Row],[Plant Equivalent Weightage]],"")</f>
        <v>0.23653846153846145</v>
      </c>
      <c r="X606" s="473" t="s">
        <v>290</v>
      </c>
      <c r="Y606" s="474" t="s">
        <v>93</v>
      </c>
      <c r="Z606" s="102">
        <v>24540</v>
      </c>
      <c r="AA606" s="468">
        <f>(Table6[[#This Row],[Paired WTG Generation for loss calculation]]/24)*Table6[[#This Row],[Breakdown Time]]</f>
        <v>6288.3749999999991</v>
      </c>
      <c r="AB606" s="102"/>
      <c r="AC606" s="35"/>
      <c r="AD606" s="35"/>
    </row>
    <row r="607" spans="1:30">
      <c r="A607" s="102">
        <f t="shared" si="10"/>
        <v>606</v>
      </c>
      <c r="B607" s="468">
        <f>YEAR(Table6[[#This Row],[Date]])+IF(MONTH(Table6[[#This Row],[Date]])&gt;=4,1,0)</f>
        <v>2026</v>
      </c>
      <c r="C607" s="102">
        <f>YEAR(Table6[[#This Row],[Date]])</f>
        <v>2025</v>
      </c>
      <c r="D607" s="102" t="s">
        <v>1992</v>
      </c>
      <c r="E607" s="469">
        <f>Table6[[#This Row],[Date]]-DAY(Table6[[#This Row],[Date]])+1</f>
        <v>45778</v>
      </c>
      <c r="F607" s="470">
        <v>45783</v>
      </c>
      <c r="G607" s="35" t="s">
        <v>98</v>
      </c>
      <c r="H607" s="35" t="str">
        <f>IFERROR(_xlfn.XLOOKUP(Table6[[#This Row],[Affected WTG]],'Basic Data'!$A:$A,'Basic Data'!$B:$B),"")</f>
        <v>TQGXIIPL</v>
      </c>
      <c r="I607" s="35" t="str">
        <f>IFERROR(_xlfn.XLOOKUP(Table6[[#This Row],[Affected WTG]],'Basic Data'!$A:$A,'Basic Data'!$C:$C),"")</f>
        <v>GEDA</v>
      </c>
      <c r="J607" s="471">
        <f>IFERROR(_xlfn.XLOOKUP(Table6[[#This Row],[Affected WTG]],'Basic Data'!$A:$A,'Basic Data'!$E:$E),"")</f>
        <v>3.846153846153845E-2</v>
      </c>
      <c r="K607" s="102">
        <v>58</v>
      </c>
      <c r="L607" s="35" t="str">
        <f>IFERROR(_xlfn.XLOOKUP(Table6[[#This Row],[Error Code]],'Basic Data'!$AA:$AA,'Basic Data'!$AB:$AB),"Incorrect Error Code")</f>
        <v>Wind dir.dev. level 2</v>
      </c>
      <c r="M607" s="35" t="s">
        <v>292</v>
      </c>
      <c r="N607" s="475"/>
      <c r="O607" s="476">
        <v>0.62152777777777779</v>
      </c>
      <c r="P607" s="476">
        <v>0.62152777777777779</v>
      </c>
      <c r="Q607" s="477">
        <v>0.625</v>
      </c>
      <c r="R607" s="472">
        <f>IF(Table6[[#This Row],[Work Start TimeStamp]]="","",(Table6[[#This Row],[Work Start TimeStamp]]-Table6[[#This Row],[Fault Start TimeStamp]])*24)</f>
        <v>0</v>
      </c>
      <c r="S607" s="472">
        <f>(Table6[[#This Row],[Fault Clearance time]]-Table6[[#This Row],[Work Start TimeStamp]])*24</f>
        <v>8.3333333333333037E-2</v>
      </c>
      <c r="T607" s="472">
        <f>(Table6[[#This Row],[Fault Clearance time]]-Table6[[#This Row],[Fault Start TimeStamp]])*24</f>
        <v>8.3333333333333037E-2</v>
      </c>
      <c r="U607" s="35" t="s">
        <v>336</v>
      </c>
      <c r="V607" s="102" t="s">
        <v>293</v>
      </c>
      <c r="W607" s="478">
        <f>IFERROR(Table6[[#This Row],[Breakdown Time]]*Table6[[#This Row],[Plant Equivalent Weightage]],"")</f>
        <v>3.2051282051281929E-3</v>
      </c>
      <c r="X607" s="473" t="s">
        <v>294</v>
      </c>
      <c r="Y607" s="474" t="s">
        <v>74</v>
      </c>
      <c r="Z607" s="102">
        <v>10165</v>
      </c>
      <c r="AA607" s="468">
        <f>(Table6[[#This Row],[Paired WTG Generation for loss calculation]]/24)*Table6[[#This Row],[Breakdown Time]]</f>
        <v>35.295138888888765</v>
      </c>
      <c r="AB607" s="102"/>
      <c r="AC607" s="35"/>
      <c r="AD607" s="35"/>
    </row>
    <row r="608" spans="1:30">
      <c r="A608" s="102">
        <f t="shared" si="10"/>
        <v>607</v>
      </c>
      <c r="B608" s="468">
        <f>YEAR(Table6[[#This Row],[Date]])+IF(MONTH(Table6[[#This Row],[Date]])&gt;=4,1,0)</f>
        <v>2026</v>
      </c>
      <c r="C608" s="102">
        <f>YEAR(Table6[[#This Row],[Date]])</f>
        <v>2025</v>
      </c>
      <c r="D608" s="102" t="s">
        <v>1992</v>
      </c>
      <c r="E608" s="469">
        <f>Table6[[#This Row],[Date]]-DAY(Table6[[#This Row],[Date]])+1</f>
        <v>45778</v>
      </c>
      <c r="F608" s="470">
        <v>45783</v>
      </c>
      <c r="G608" s="35" t="s">
        <v>99</v>
      </c>
      <c r="H608" s="35" t="str">
        <f>IFERROR(_xlfn.XLOOKUP(Table6[[#This Row],[Affected WTG]],'Basic Data'!$A:$A,'Basic Data'!$B:$B),"")</f>
        <v>TQGXIIPL</v>
      </c>
      <c r="I608" s="35" t="str">
        <f>IFERROR(_xlfn.XLOOKUP(Table6[[#This Row],[Affected WTG]],'Basic Data'!$A:$A,'Basic Data'!$C:$C),"")</f>
        <v>GEDA</v>
      </c>
      <c r="J608" s="471">
        <f>IFERROR(_xlfn.XLOOKUP(Table6[[#This Row],[Affected WTG]],'Basic Data'!$A:$A,'Basic Data'!$E:$E),"")</f>
        <v>3.846153846153845E-2</v>
      </c>
      <c r="K608" s="102">
        <v>6012</v>
      </c>
      <c r="L608" s="35" t="str">
        <f>IFERROR(_xlfn.XLOOKUP(Table6[[#This Row],[Error Code]],'Basic Data'!$AA:$AA,'Basic Data'!$AB:$AB),"Incorrect Error Code")</f>
        <v>Overload yaw motors group 2</v>
      </c>
      <c r="M608" s="35" t="s">
        <v>291</v>
      </c>
      <c r="N608" s="475"/>
      <c r="O608" s="476">
        <v>2.7777777777777776E-2</v>
      </c>
      <c r="P608" s="476">
        <v>9.930555555555555E-2</v>
      </c>
      <c r="Q608" s="477">
        <v>0.11666666666666667</v>
      </c>
      <c r="R608" s="472">
        <f>IF(Table6[[#This Row],[Work Start TimeStamp]]="","",(Table6[[#This Row],[Work Start TimeStamp]]-Table6[[#This Row],[Fault Start TimeStamp]])*24)</f>
        <v>1.7166666666666666</v>
      </c>
      <c r="S608" s="472">
        <f>(Table6[[#This Row],[Fault Clearance time]]-Table6[[#This Row],[Work Start TimeStamp]])*24</f>
        <v>0.41666666666666685</v>
      </c>
      <c r="T608" s="472">
        <f>(Table6[[#This Row],[Fault Clearance time]]-Table6[[#This Row],[Fault Start TimeStamp]])*24</f>
        <v>2.1333333333333333</v>
      </c>
      <c r="U608" s="35" t="s">
        <v>1766</v>
      </c>
      <c r="V608" s="102" t="s">
        <v>293</v>
      </c>
      <c r="W608" s="478">
        <f>IFERROR(Table6[[#This Row],[Breakdown Time]]*Table6[[#This Row],[Plant Equivalent Weightage]],"")</f>
        <v>8.2051282051282023E-2</v>
      </c>
      <c r="X608" s="473" t="s">
        <v>290</v>
      </c>
      <c r="Y608" s="474" t="s">
        <v>74</v>
      </c>
      <c r="Z608" s="102">
        <v>10165</v>
      </c>
      <c r="AA608" s="468">
        <f>(Table6[[#This Row],[Paired WTG Generation for loss calculation]]/24)*Table6[[#This Row],[Breakdown Time]]</f>
        <v>903.55555555555554</v>
      </c>
      <c r="AB608" s="102"/>
      <c r="AC608" s="35"/>
      <c r="AD608" s="35"/>
    </row>
    <row r="609" spans="1:30">
      <c r="A609" s="102">
        <f t="shared" si="10"/>
        <v>608</v>
      </c>
      <c r="B609" s="468">
        <f>YEAR(Table6[[#This Row],[Date]])+IF(MONTH(Table6[[#This Row],[Date]])&gt;=4,1,0)</f>
        <v>2026</v>
      </c>
      <c r="C609" s="102">
        <f>YEAR(Table6[[#This Row],[Date]])</f>
        <v>2025</v>
      </c>
      <c r="D609" s="102" t="s">
        <v>1992</v>
      </c>
      <c r="E609" s="469">
        <f>Table6[[#This Row],[Date]]-DAY(Table6[[#This Row],[Date]])+1</f>
        <v>45778</v>
      </c>
      <c r="F609" s="470">
        <v>45783</v>
      </c>
      <c r="G609" s="35" t="s">
        <v>99</v>
      </c>
      <c r="H609" s="35" t="str">
        <f>IFERROR(_xlfn.XLOOKUP(Table6[[#This Row],[Affected WTG]],'Basic Data'!$A:$A,'Basic Data'!$B:$B),"")</f>
        <v>TQGXIIPL</v>
      </c>
      <c r="I609" s="35" t="str">
        <f>IFERROR(_xlfn.XLOOKUP(Table6[[#This Row],[Affected WTG]],'Basic Data'!$A:$A,'Basic Data'!$C:$C),"")</f>
        <v>GEDA</v>
      </c>
      <c r="J609" s="471">
        <f>IFERROR(_xlfn.XLOOKUP(Table6[[#This Row],[Affected WTG]],'Basic Data'!$A:$A,'Basic Data'!$E:$E),"")</f>
        <v>3.846153846153845E-2</v>
      </c>
      <c r="K609" s="102">
        <v>700</v>
      </c>
      <c r="L609" s="35" t="str">
        <f>IFERROR(_xlfn.XLOOKUP(Table6[[#This Row],[Error Code]],'Basic Data'!$AA:$AA,'Basic Data'!$AB:$AB),"Incorrect Error Code")</f>
        <v>Batt. undervoltage/overvoltage</v>
      </c>
      <c r="M609" s="35" t="s">
        <v>291</v>
      </c>
      <c r="N609" s="475"/>
      <c r="O609" s="476">
        <v>0.30208333333333331</v>
      </c>
      <c r="P609" s="476">
        <v>0.30208333333333331</v>
      </c>
      <c r="Q609" s="477">
        <v>0.35902777777777778</v>
      </c>
      <c r="R609" s="472">
        <f>IF(Table6[[#This Row],[Work Start TimeStamp]]="","",(Table6[[#This Row],[Work Start TimeStamp]]-Table6[[#This Row],[Fault Start TimeStamp]])*24)</f>
        <v>0</v>
      </c>
      <c r="S609" s="472">
        <f>(Table6[[#This Row],[Fault Clearance time]]-Table6[[#This Row],[Work Start TimeStamp]])*24</f>
        <v>1.3666666666666671</v>
      </c>
      <c r="T609" s="472">
        <f>(Table6[[#This Row],[Fault Clearance time]]-Table6[[#This Row],[Fault Start TimeStamp]])*24</f>
        <v>1.3666666666666671</v>
      </c>
      <c r="U609" s="35" t="s">
        <v>1767</v>
      </c>
      <c r="V609" s="102" t="s">
        <v>293</v>
      </c>
      <c r="W609" s="478">
        <f>IFERROR(Table6[[#This Row],[Breakdown Time]]*Table6[[#This Row],[Plant Equivalent Weightage]],"")</f>
        <v>5.2564102564102565E-2</v>
      </c>
      <c r="X609" s="473" t="s">
        <v>294</v>
      </c>
      <c r="Y609" s="474" t="s">
        <v>74</v>
      </c>
      <c r="Z609" s="102">
        <v>10165</v>
      </c>
      <c r="AA609" s="468">
        <f>(Table6[[#This Row],[Paired WTG Generation for loss calculation]]/24)*Table6[[#This Row],[Breakdown Time]]</f>
        <v>578.84027777777806</v>
      </c>
      <c r="AB609" s="102"/>
      <c r="AC609" s="35"/>
      <c r="AD609" s="35"/>
    </row>
    <row r="610" spans="1:30">
      <c r="A610" s="102">
        <f t="shared" si="10"/>
        <v>609</v>
      </c>
      <c r="B610" s="468">
        <f>YEAR(Table6[[#This Row],[Date]])+IF(MONTH(Table6[[#This Row],[Date]])&gt;=4,1,0)</f>
        <v>2026</v>
      </c>
      <c r="C610" s="102">
        <f>YEAR(Table6[[#This Row],[Date]])</f>
        <v>2025</v>
      </c>
      <c r="D610" s="102" t="s">
        <v>1992</v>
      </c>
      <c r="E610" s="469">
        <f>Table6[[#This Row],[Date]]-DAY(Table6[[#This Row],[Date]])+1</f>
        <v>45778</v>
      </c>
      <c r="F610" s="470">
        <v>45784</v>
      </c>
      <c r="G610" s="35" t="s">
        <v>74</v>
      </c>
      <c r="H610" s="35" t="str">
        <f>IFERROR(_xlfn.XLOOKUP(Table6[[#This Row],[Affected WTG]],'Basic Data'!$A:$A,'Basic Data'!$B:$B),"")</f>
        <v>TQGXIIPL</v>
      </c>
      <c r="I610" s="35" t="str">
        <f>IFERROR(_xlfn.XLOOKUP(Table6[[#This Row],[Affected WTG]],'Basic Data'!$A:$A,'Basic Data'!$C:$C),"")</f>
        <v>GEDA</v>
      </c>
      <c r="J610" s="471">
        <f>IFERROR(_xlfn.XLOOKUP(Table6[[#This Row],[Affected WTG]],'Basic Data'!$A:$A,'Basic Data'!$E:$E),"")</f>
        <v>3.846153846153845E-2</v>
      </c>
      <c r="K610" s="102">
        <v>2390</v>
      </c>
      <c r="L610" s="35" t="str">
        <f>IFERROR(_xlfn.XLOOKUP(Table6[[#This Row],[Error Code]],'Basic Data'!$AA:$AA,'Basic Data'!$AB:$AB),"Incorrect Error Code")</f>
        <v>Brake due to sudden sys.failure</v>
      </c>
      <c r="M610" s="35" t="s">
        <v>291</v>
      </c>
      <c r="N610" s="475"/>
      <c r="O610" s="476">
        <v>8.9583333333333334E-2</v>
      </c>
      <c r="P610" s="476">
        <v>8.9583333333333334E-2</v>
      </c>
      <c r="Q610" s="477">
        <v>0.13750000000000001</v>
      </c>
      <c r="R610" s="472">
        <f>IF(Table6[[#This Row],[Work Start TimeStamp]]="","",(Table6[[#This Row],[Work Start TimeStamp]]-Table6[[#This Row],[Fault Start TimeStamp]])*24)</f>
        <v>0</v>
      </c>
      <c r="S610" s="472">
        <f>(Table6[[#This Row],[Fault Clearance time]]-Table6[[#This Row],[Work Start TimeStamp]])*24</f>
        <v>1.1500000000000004</v>
      </c>
      <c r="T610" s="472">
        <f>(Table6[[#This Row],[Fault Clearance time]]-Table6[[#This Row],[Fault Start TimeStamp]])*24</f>
        <v>1.1500000000000004</v>
      </c>
      <c r="U610" s="35" t="s">
        <v>1768</v>
      </c>
      <c r="V610" s="102" t="s">
        <v>293</v>
      </c>
      <c r="W610" s="478">
        <f>IFERROR(Table6[[#This Row],[Breakdown Time]]*Table6[[#This Row],[Plant Equivalent Weightage]],"")</f>
        <v>4.4230769230769233E-2</v>
      </c>
      <c r="X610" s="473" t="s">
        <v>294</v>
      </c>
      <c r="Y610" s="474" t="s">
        <v>99</v>
      </c>
      <c r="Z610" s="102">
        <v>15166</v>
      </c>
      <c r="AA610" s="468">
        <f>(Table6[[#This Row],[Paired WTG Generation for loss calculation]]/24)*Table6[[#This Row],[Breakdown Time]]</f>
        <v>726.70416666666688</v>
      </c>
      <c r="AB610" s="102"/>
      <c r="AC610" s="35"/>
      <c r="AD610" s="35"/>
    </row>
    <row r="611" spans="1:30">
      <c r="A611" s="102">
        <f t="shared" si="10"/>
        <v>610</v>
      </c>
      <c r="B611" s="468">
        <f>YEAR(Table6[[#This Row],[Date]])+IF(MONTH(Table6[[#This Row],[Date]])&gt;=4,1,0)</f>
        <v>2026</v>
      </c>
      <c r="C611" s="102">
        <f>YEAR(Table6[[#This Row],[Date]])</f>
        <v>2025</v>
      </c>
      <c r="D611" s="102" t="s">
        <v>1992</v>
      </c>
      <c r="E611" s="469">
        <f>Table6[[#This Row],[Date]]-DAY(Table6[[#This Row],[Date]])+1</f>
        <v>45778</v>
      </c>
      <c r="F611" s="470">
        <v>45784</v>
      </c>
      <c r="G611" s="35" t="s">
        <v>74</v>
      </c>
      <c r="H611" s="35" t="str">
        <f>IFERROR(_xlfn.XLOOKUP(Table6[[#This Row],[Affected WTG]],'Basic Data'!$A:$A,'Basic Data'!$B:$B),"")</f>
        <v>TQGXIIPL</v>
      </c>
      <c r="I611" s="35" t="str">
        <f>IFERROR(_xlfn.XLOOKUP(Table6[[#This Row],[Affected WTG]],'Basic Data'!$A:$A,'Basic Data'!$C:$C),"")</f>
        <v>GEDA</v>
      </c>
      <c r="J611" s="471">
        <f>IFERROR(_xlfn.XLOOKUP(Table6[[#This Row],[Affected WTG]],'Basic Data'!$A:$A,'Basic Data'!$E:$E),"")</f>
        <v>3.846153846153845E-2</v>
      </c>
      <c r="K611" s="102">
        <v>55</v>
      </c>
      <c r="L611" s="35" t="str">
        <f>IFERROR(_xlfn.XLOOKUP(Table6[[#This Row],[Error Code]],'Basic Data'!$AA:$AA,'Basic Data'!$AB:$AB),"Incorrect Error Code")</f>
        <v>WTG shut down</v>
      </c>
      <c r="M611" s="35" t="s">
        <v>330</v>
      </c>
      <c r="N611" s="475"/>
      <c r="O611" s="476">
        <v>0.51388888888888884</v>
      </c>
      <c r="P611" s="476">
        <v>0.51388888888888884</v>
      </c>
      <c r="Q611" s="477">
        <v>0.59583333333333333</v>
      </c>
      <c r="R611" s="472">
        <f>IF(Table6[[#This Row],[Work Start TimeStamp]]="","",(Table6[[#This Row],[Work Start TimeStamp]]-Table6[[#This Row],[Fault Start TimeStamp]])*24)</f>
        <v>0</v>
      </c>
      <c r="S611" s="472">
        <f>(Table6[[#This Row],[Fault Clearance time]]-Table6[[#This Row],[Work Start TimeStamp]])*24</f>
        <v>1.9666666666666677</v>
      </c>
      <c r="T611" s="472">
        <f>(Table6[[#This Row],[Fault Clearance time]]-Table6[[#This Row],[Fault Start TimeStamp]])*24</f>
        <v>1.9666666666666677</v>
      </c>
      <c r="U611" s="35" t="s">
        <v>1744</v>
      </c>
      <c r="V611" s="102" t="s">
        <v>293</v>
      </c>
      <c r="W611" s="478">
        <f>IFERROR(Table6[[#This Row],[Breakdown Time]]*Table6[[#This Row],[Plant Equivalent Weightage]],"")</f>
        <v>7.564102564102565E-2</v>
      </c>
      <c r="X611" s="473" t="s">
        <v>294</v>
      </c>
      <c r="Y611" s="474" t="s">
        <v>99</v>
      </c>
      <c r="Z611" s="102">
        <v>15166</v>
      </c>
      <c r="AA611" s="468">
        <f>(Table6[[#This Row],[Paired WTG Generation for loss calculation]]/24)*Table6[[#This Row],[Breakdown Time]]</f>
        <v>1242.7694444444451</v>
      </c>
      <c r="AB611" s="102"/>
      <c r="AC611" s="35"/>
      <c r="AD611" s="35"/>
    </row>
    <row r="612" spans="1:30">
      <c r="A612" s="102">
        <f t="shared" si="10"/>
        <v>611</v>
      </c>
      <c r="B612" s="468">
        <f>YEAR(Table6[[#This Row],[Date]])+IF(MONTH(Table6[[#This Row],[Date]])&gt;=4,1,0)</f>
        <v>2026</v>
      </c>
      <c r="C612" s="102">
        <f>YEAR(Table6[[#This Row],[Date]])</f>
        <v>2025</v>
      </c>
      <c r="D612" s="102" t="s">
        <v>1992</v>
      </c>
      <c r="E612" s="469">
        <f>Table6[[#This Row],[Date]]-DAY(Table6[[#This Row],[Date]])+1</f>
        <v>45778</v>
      </c>
      <c r="F612" s="470">
        <v>45784</v>
      </c>
      <c r="G612" s="35" t="s">
        <v>75</v>
      </c>
      <c r="H612" s="35" t="str">
        <f>IFERROR(_xlfn.XLOOKUP(Table6[[#This Row],[Affected WTG]],'Basic Data'!$A:$A,'Basic Data'!$B:$B),"")</f>
        <v>TQGXIIPL</v>
      </c>
      <c r="I612" s="35" t="str">
        <f>IFERROR(_xlfn.XLOOKUP(Table6[[#This Row],[Affected WTG]],'Basic Data'!$A:$A,'Basic Data'!$C:$C),"")</f>
        <v>GEDA</v>
      </c>
      <c r="J612" s="471">
        <f>IFERROR(_xlfn.XLOOKUP(Table6[[#This Row],[Affected WTG]],'Basic Data'!$A:$A,'Basic Data'!$E:$E),"")</f>
        <v>3.846153846153845E-2</v>
      </c>
      <c r="K612" s="102">
        <v>3420</v>
      </c>
      <c r="L612" s="35" t="str">
        <f>IFERROR(_xlfn.XLOOKUP(Table6[[#This Row],[Error Code]],'Basic Data'!$AA:$AA,'Basic Data'!$AB:$AB),"Incorrect Error Code")</f>
        <v>UPS buffer time too short</v>
      </c>
      <c r="M612" s="35" t="s">
        <v>291</v>
      </c>
      <c r="N612" s="475"/>
      <c r="O612" s="476">
        <v>9.0277777777777776E-2</v>
      </c>
      <c r="P612" s="476">
        <v>9.0277777777777776E-2</v>
      </c>
      <c r="Q612" s="477">
        <v>0.13819444444444445</v>
      </c>
      <c r="R612" s="472">
        <f>IF(Table6[[#This Row],[Work Start TimeStamp]]="","",(Table6[[#This Row],[Work Start TimeStamp]]-Table6[[#This Row],[Fault Start TimeStamp]])*24)</f>
        <v>0</v>
      </c>
      <c r="S612" s="472">
        <f>(Table6[[#This Row],[Fault Clearance time]]-Table6[[#This Row],[Work Start TimeStamp]])*24</f>
        <v>1.1500000000000004</v>
      </c>
      <c r="T612" s="472">
        <f>(Table6[[#This Row],[Fault Clearance time]]-Table6[[#This Row],[Fault Start TimeStamp]])*24</f>
        <v>1.1500000000000004</v>
      </c>
      <c r="U612" s="35" t="s">
        <v>1769</v>
      </c>
      <c r="V612" s="102" t="s">
        <v>293</v>
      </c>
      <c r="W612" s="478">
        <f>IFERROR(Table6[[#This Row],[Breakdown Time]]*Table6[[#This Row],[Plant Equivalent Weightage]],"")</f>
        <v>4.4230769230769233E-2</v>
      </c>
      <c r="X612" s="473" t="s">
        <v>294</v>
      </c>
      <c r="Y612" s="474" t="s">
        <v>78</v>
      </c>
      <c r="Z612" s="102">
        <v>16886</v>
      </c>
      <c r="AA612" s="468">
        <f>(Table6[[#This Row],[Paired WTG Generation for loss calculation]]/24)*Table6[[#This Row],[Breakdown Time]]</f>
        <v>809.12083333333362</v>
      </c>
      <c r="AB612" s="102"/>
      <c r="AC612" s="35"/>
      <c r="AD612" s="35"/>
    </row>
    <row r="613" spans="1:30">
      <c r="A613" s="102">
        <f t="shared" si="10"/>
        <v>612</v>
      </c>
      <c r="B613" s="468">
        <f>YEAR(Table6[[#This Row],[Date]])+IF(MONTH(Table6[[#This Row],[Date]])&gt;=4,1,0)</f>
        <v>2026</v>
      </c>
      <c r="C613" s="102">
        <f>YEAR(Table6[[#This Row],[Date]])</f>
        <v>2025</v>
      </c>
      <c r="D613" s="102" t="s">
        <v>1992</v>
      </c>
      <c r="E613" s="469">
        <f>Table6[[#This Row],[Date]]-DAY(Table6[[#This Row],[Date]])+1</f>
        <v>45778</v>
      </c>
      <c r="F613" s="470">
        <v>45784</v>
      </c>
      <c r="G613" s="35" t="s">
        <v>76</v>
      </c>
      <c r="H613" s="35" t="str">
        <f>IFERROR(_xlfn.XLOOKUP(Table6[[#This Row],[Affected WTG]],'Basic Data'!$A:$A,'Basic Data'!$B:$B),"")</f>
        <v>TQGXIIPL</v>
      </c>
      <c r="I613" s="35" t="str">
        <f>IFERROR(_xlfn.XLOOKUP(Table6[[#This Row],[Affected WTG]],'Basic Data'!$A:$A,'Basic Data'!$C:$C),"")</f>
        <v>GEDA</v>
      </c>
      <c r="J613" s="471">
        <f>IFERROR(_xlfn.XLOOKUP(Table6[[#This Row],[Affected WTG]],'Basic Data'!$A:$A,'Basic Data'!$E:$E),"")</f>
        <v>3.846153846153845E-2</v>
      </c>
      <c r="K613" s="102">
        <v>641</v>
      </c>
      <c r="L613" s="35" t="str">
        <f>IFERROR(_xlfn.XLOOKUP(Table6[[#This Row],[Error Code]],'Basic Data'!$AA:$AA,'Basic Data'!$AB:$AB),"Incorrect Error Code")</f>
        <v>Sim.angle E enc. &lt;&gt; act.angle 1</v>
      </c>
      <c r="M613" s="35" t="s">
        <v>295</v>
      </c>
      <c r="N613" s="475"/>
      <c r="O613" s="476">
        <v>0.2013888888888889</v>
      </c>
      <c r="P613" s="476">
        <v>0.2013888888888889</v>
      </c>
      <c r="Q613" s="477">
        <v>0.62152777777777779</v>
      </c>
      <c r="R613" s="472">
        <f>IF(Table6[[#This Row],[Work Start TimeStamp]]="","",(Table6[[#This Row],[Work Start TimeStamp]]-Table6[[#This Row],[Fault Start TimeStamp]])*24)</f>
        <v>0</v>
      </c>
      <c r="S613" s="472">
        <f>(Table6[[#This Row],[Fault Clearance time]]-Table6[[#This Row],[Work Start TimeStamp]])*24</f>
        <v>10.083333333333334</v>
      </c>
      <c r="T613" s="472">
        <f>(Table6[[#This Row],[Fault Clearance time]]-Table6[[#This Row],[Fault Start TimeStamp]])*24</f>
        <v>10.083333333333334</v>
      </c>
      <c r="U613" s="35" t="s">
        <v>1770</v>
      </c>
      <c r="V613" s="102" t="s">
        <v>293</v>
      </c>
      <c r="W613" s="478">
        <f>IFERROR(Table6[[#This Row],[Breakdown Time]]*Table6[[#This Row],[Plant Equivalent Weightage]],"")</f>
        <v>0.38782051282051272</v>
      </c>
      <c r="X613" s="473" t="s">
        <v>290</v>
      </c>
      <c r="Y613" s="474" t="s">
        <v>82</v>
      </c>
      <c r="Z613" s="102">
        <v>15126</v>
      </c>
      <c r="AA613" s="468">
        <f>(Table6[[#This Row],[Paired WTG Generation for loss calculation]]/24)*Table6[[#This Row],[Breakdown Time]]</f>
        <v>6355.0208333333339</v>
      </c>
      <c r="AB613" s="102"/>
      <c r="AC613" s="35"/>
      <c r="AD613" s="35"/>
    </row>
    <row r="614" spans="1:30">
      <c r="A614" s="102">
        <f t="shared" si="10"/>
        <v>613</v>
      </c>
      <c r="B614" s="468">
        <f>YEAR(Table6[[#This Row],[Date]])+IF(MONTH(Table6[[#This Row],[Date]])&gt;=4,1,0)</f>
        <v>2026</v>
      </c>
      <c r="C614" s="102">
        <f>YEAR(Table6[[#This Row],[Date]])</f>
        <v>2025</v>
      </c>
      <c r="D614" s="102" t="s">
        <v>1992</v>
      </c>
      <c r="E614" s="469">
        <f>Table6[[#This Row],[Date]]-DAY(Table6[[#This Row],[Date]])+1</f>
        <v>45778</v>
      </c>
      <c r="F614" s="470">
        <v>45784</v>
      </c>
      <c r="G614" s="35" t="s">
        <v>78</v>
      </c>
      <c r="H614" s="35" t="str">
        <f>IFERROR(_xlfn.XLOOKUP(Table6[[#This Row],[Affected WTG]],'Basic Data'!$A:$A,'Basic Data'!$B:$B),"")</f>
        <v>TQGXIIPL</v>
      </c>
      <c r="I614" s="35" t="str">
        <f>IFERROR(_xlfn.XLOOKUP(Table6[[#This Row],[Affected WTG]],'Basic Data'!$A:$A,'Basic Data'!$C:$C),"")</f>
        <v>GEDA</v>
      </c>
      <c r="J614" s="471">
        <f>IFERROR(_xlfn.XLOOKUP(Table6[[#This Row],[Affected WTG]],'Basic Data'!$A:$A,'Basic Data'!$E:$E),"")</f>
        <v>3.846153846153845E-2</v>
      </c>
      <c r="K614" s="102">
        <v>3420</v>
      </c>
      <c r="L614" s="35" t="str">
        <f>IFERROR(_xlfn.XLOOKUP(Table6[[#This Row],[Error Code]],'Basic Data'!$AA:$AA,'Basic Data'!$AB:$AB),"Incorrect Error Code")</f>
        <v>UPS buffer time too short</v>
      </c>
      <c r="M614" s="35" t="s">
        <v>291</v>
      </c>
      <c r="N614" s="475"/>
      <c r="O614" s="476">
        <v>0.10347222222222222</v>
      </c>
      <c r="P614" s="476">
        <v>0.10347222222222222</v>
      </c>
      <c r="Q614" s="477">
        <v>0.15277777777777779</v>
      </c>
      <c r="R614" s="472">
        <f>IF(Table6[[#This Row],[Work Start TimeStamp]]="","",(Table6[[#This Row],[Work Start TimeStamp]]-Table6[[#This Row],[Fault Start TimeStamp]])*24)</f>
        <v>0</v>
      </c>
      <c r="S614" s="472">
        <f>(Table6[[#This Row],[Fault Clearance time]]-Table6[[#This Row],[Work Start TimeStamp]])*24</f>
        <v>1.1833333333333338</v>
      </c>
      <c r="T614" s="472">
        <f>(Table6[[#This Row],[Fault Clearance time]]-Table6[[#This Row],[Fault Start TimeStamp]])*24</f>
        <v>1.1833333333333338</v>
      </c>
      <c r="U614" s="35" t="s">
        <v>1769</v>
      </c>
      <c r="V614" s="102" t="s">
        <v>293</v>
      </c>
      <c r="W614" s="478">
        <f>IFERROR(Table6[[#This Row],[Breakdown Time]]*Table6[[#This Row],[Plant Equivalent Weightage]],"")</f>
        <v>4.5512820512820518E-2</v>
      </c>
      <c r="X614" s="473" t="s">
        <v>294</v>
      </c>
      <c r="Y614" s="474" t="s">
        <v>75</v>
      </c>
      <c r="Z614" s="102">
        <v>16965</v>
      </c>
      <c r="AA614" s="468">
        <f>(Table6[[#This Row],[Paired WTG Generation for loss calculation]]/24)*Table6[[#This Row],[Breakdown Time]]</f>
        <v>836.46875000000034</v>
      </c>
      <c r="AB614" s="102"/>
      <c r="AC614" s="35"/>
      <c r="AD614" s="35"/>
    </row>
    <row r="615" spans="1:30">
      <c r="A615" s="102">
        <f t="shared" si="10"/>
        <v>614</v>
      </c>
      <c r="B615" s="468">
        <f>YEAR(Table6[[#This Row],[Date]])+IF(MONTH(Table6[[#This Row],[Date]])&gt;=4,1,0)</f>
        <v>2026</v>
      </c>
      <c r="C615" s="102">
        <f>YEAR(Table6[[#This Row],[Date]])</f>
        <v>2025</v>
      </c>
      <c r="D615" s="102" t="s">
        <v>1992</v>
      </c>
      <c r="E615" s="469">
        <f>Table6[[#This Row],[Date]]-DAY(Table6[[#This Row],[Date]])+1</f>
        <v>45778</v>
      </c>
      <c r="F615" s="470">
        <v>45784</v>
      </c>
      <c r="G615" s="35" t="s">
        <v>81</v>
      </c>
      <c r="H615" s="35" t="str">
        <f>IFERROR(_xlfn.XLOOKUP(Table6[[#This Row],[Affected WTG]],'Basic Data'!$A:$A,'Basic Data'!$B:$B),"")</f>
        <v>TQGXIIPL</v>
      </c>
      <c r="I615" s="35" t="str">
        <f>IFERROR(_xlfn.XLOOKUP(Table6[[#This Row],[Affected WTG]],'Basic Data'!$A:$A,'Basic Data'!$C:$C),"")</f>
        <v>GEDA</v>
      </c>
      <c r="J615" s="471">
        <f>IFERROR(_xlfn.XLOOKUP(Table6[[#This Row],[Affected WTG]],'Basic Data'!$A:$A,'Basic Data'!$E:$E),"")</f>
        <v>3.846153846153845E-2</v>
      </c>
      <c r="K615" s="102">
        <v>3420</v>
      </c>
      <c r="L615" s="35" t="str">
        <f>IFERROR(_xlfn.XLOOKUP(Table6[[#This Row],[Error Code]],'Basic Data'!$AA:$AA,'Basic Data'!$AB:$AB),"Incorrect Error Code")</f>
        <v>UPS buffer time too short</v>
      </c>
      <c r="M615" s="35" t="s">
        <v>291</v>
      </c>
      <c r="N615" s="475"/>
      <c r="O615" s="476">
        <v>9.0277777777777776E-2</v>
      </c>
      <c r="P615" s="476">
        <v>9.0277777777777776E-2</v>
      </c>
      <c r="Q615" s="477">
        <v>0.14027777777777778</v>
      </c>
      <c r="R615" s="472">
        <f>IF(Table6[[#This Row],[Work Start TimeStamp]]="","",(Table6[[#This Row],[Work Start TimeStamp]]-Table6[[#This Row],[Fault Start TimeStamp]])*24)</f>
        <v>0</v>
      </c>
      <c r="S615" s="472">
        <f>(Table6[[#This Row],[Fault Clearance time]]-Table6[[#This Row],[Work Start TimeStamp]])*24</f>
        <v>1.2000000000000002</v>
      </c>
      <c r="T615" s="472">
        <f>(Table6[[#This Row],[Fault Clearance time]]-Table6[[#This Row],[Fault Start TimeStamp]])*24</f>
        <v>1.2000000000000002</v>
      </c>
      <c r="U615" s="35" t="s">
        <v>1771</v>
      </c>
      <c r="V615" s="102" t="s">
        <v>293</v>
      </c>
      <c r="W615" s="478">
        <f>IFERROR(Table6[[#This Row],[Breakdown Time]]*Table6[[#This Row],[Plant Equivalent Weightage]],"")</f>
        <v>4.6153846153846149E-2</v>
      </c>
      <c r="X615" s="473" t="s">
        <v>294</v>
      </c>
      <c r="Y615" s="474" t="s">
        <v>99</v>
      </c>
      <c r="Z615" s="102">
        <v>15166</v>
      </c>
      <c r="AA615" s="468">
        <f>(Table6[[#This Row],[Paired WTG Generation for loss calculation]]/24)*Table6[[#This Row],[Breakdown Time]]</f>
        <v>758.30000000000007</v>
      </c>
      <c r="AB615" s="102"/>
      <c r="AC615" s="35"/>
      <c r="AD615" s="35"/>
    </row>
    <row r="616" spans="1:30">
      <c r="A616" s="102">
        <f t="shared" si="10"/>
        <v>615</v>
      </c>
      <c r="B616" s="468">
        <f>YEAR(Table6[[#This Row],[Date]])+IF(MONTH(Table6[[#This Row],[Date]])&gt;=4,1,0)</f>
        <v>2026</v>
      </c>
      <c r="C616" s="102">
        <f>YEAR(Table6[[#This Row],[Date]])</f>
        <v>2025</v>
      </c>
      <c r="D616" s="102" t="s">
        <v>1992</v>
      </c>
      <c r="E616" s="469">
        <f>Table6[[#This Row],[Date]]-DAY(Table6[[#This Row],[Date]])+1</f>
        <v>45778</v>
      </c>
      <c r="F616" s="470">
        <v>45784</v>
      </c>
      <c r="G616" s="35" t="s">
        <v>82</v>
      </c>
      <c r="H616" s="35" t="str">
        <f>IFERROR(_xlfn.XLOOKUP(Table6[[#This Row],[Affected WTG]],'Basic Data'!$A:$A,'Basic Data'!$B:$B),"")</f>
        <v>TQGXIIPL</v>
      </c>
      <c r="I616" s="35" t="str">
        <f>IFERROR(_xlfn.XLOOKUP(Table6[[#This Row],[Affected WTG]],'Basic Data'!$A:$A,'Basic Data'!$C:$C),"")</f>
        <v>GEDA</v>
      </c>
      <c r="J616" s="471">
        <f>IFERROR(_xlfn.XLOOKUP(Table6[[#This Row],[Affected WTG]],'Basic Data'!$A:$A,'Basic Data'!$E:$E),"")</f>
        <v>3.846153846153845E-2</v>
      </c>
      <c r="K616" s="102">
        <v>3420</v>
      </c>
      <c r="L616" s="35" t="str">
        <f>IFERROR(_xlfn.XLOOKUP(Table6[[#This Row],[Error Code]],'Basic Data'!$AA:$AA,'Basic Data'!$AB:$AB),"Incorrect Error Code")</f>
        <v>UPS buffer time too short</v>
      </c>
      <c r="M616" s="35" t="s">
        <v>291</v>
      </c>
      <c r="N616" s="475"/>
      <c r="O616" s="476">
        <v>9.0277777777777776E-2</v>
      </c>
      <c r="P616" s="476">
        <v>9.0277777777777776E-2</v>
      </c>
      <c r="Q616" s="477">
        <v>0.14166666666666666</v>
      </c>
      <c r="R616" s="472">
        <f>IF(Table6[[#This Row],[Work Start TimeStamp]]="","",(Table6[[#This Row],[Work Start TimeStamp]]-Table6[[#This Row],[Fault Start TimeStamp]])*24)</f>
        <v>0</v>
      </c>
      <c r="S616" s="472">
        <f>(Table6[[#This Row],[Fault Clearance time]]-Table6[[#This Row],[Work Start TimeStamp]])*24</f>
        <v>1.2333333333333334</v>
      </c>
      <c r="T616" s="472">
        <f>(Table6[[#This Row],[Fault Clearance time]]-Table6[[#This Row],[Fault Start TimeStamp]])*24</f>
        <v>1.2333333333333334</v>
      </c>
      <c r="U616" s="35" t="s">
        <v>1771</v>
      </c>
      <c r="V616" s="102" t="s">
        <v>293</v>
      </c>
      <c r="W616" s="478">
        <f>IFERROR(Table6[[#This Row],[Breakdown Time]]*Table6[[#This Row],[Plant Equivalent Weightage]],"")</f>
        <v>4.7435897435897427E-2</v>
      </c>
      <c r="X616" s="473" t="s">
        <v>294</v>
      </c>
      <c r="Y616" s="474" t="s">
        <v>76</v>
      </c>
      <c r="Z616" s="102">
        <v>1852</v>
      </c>
      <c r="AA616" s="468">
        <f>(Table6[[#This Row],[Paired WTG Generation for loss calculation]]/24)*Table6[[#This Row],[Breakdown Time]]</f>
        <v>95.172222222222231</v>
      </c>
      <c r="AB616" s="102"/>
      <c r="AC616" s="35"/>
      <c r="AD616" s="35"/>
    </row>
    <row r="617" spans="1:30">
      <c r="A617" s="102">
        <f t="shared" si="10"/>
        <v>616</v>
      </c>
      <c r="B617" s="468">
        <f>YEAR(Table6[[#This Row],[Date]])+IF(MONTH(Table6[[#This Row],[Date]])&gt;=4,1,0)</f>
        <v>2026</v>
      </c>
      <c r="C617" s="102">
        <f>YEAR(Table6[[#This Row],[Date]])</f>
        <v>2025</v>
      </c>
      <c r="D617" s="102" t="s">
        <v>1992</v>
      </c>
      <c r="E617" s="469">
        <f>Table6[[#This Row],[Date]]-DAY(Table6[[#This Row],[Date]])+1</f>
        <v>45778</v>
      </c>
      <c r="F617" s="470">
        <v>45784</v>
      </c>
      <c r="G617" s="35" t="s">
        <v>83</v>
      </c>
      <c r="H617" s="35" t="str">
        <f>IFERROR(_xlfn.XLOOKUP(Table6[[#This Row],[Affected WTG]],'Basic Data'!$A:$A,'Basic Data'!$B:$B),"")</f>
        <v>TQGXIIPL</v>
      </c>
      <c r="I617" s="35" t="str">
        <f>IFERROR(_xlfn.XLOOKUP(Table6[[#This Row],[Affected WTG]],'Basic Data'!$A:$A,'Basic Data'!$C:$C),"")</f>
        <v>GEDA</v>
      </c>
      <c r="J617" s="471">
        <f>IFERROR(_xlfn.XLOOKUP(Table6[[#This Row],[Affected WTG]],'Basic Data'!$A:$A,'Basic Data'!$E:$E),"")</f>
        <v>3.846153846153845E-2</v>
      </c>
      <c r="K617" s="102">
        <v>3420</v>
      </c>
      <c r="L617" s="35" t="str">
        <f>IFERROR(_xlfn.XLOOKUP(Table6[[#This Row],[Error Code]],'Basic Data'!$AA:$AA,'Basic Data'!$AB:$AB),"Incorrect Error Code")</f>
        <v>UPS buffer time too short</v>
      </c>
      <c r="M617" s="35" t="s">
        <v>291</v>
      </c>
      <c r="N617" s="475"/>
      <c r="O617" s="476">
        <v>9.0277777777777776E-2</v>
      </c>
      <c r="P617" s="476">
        <v>9.0277777777777776E-2</v>
      </c>
      <c r="Q617" s="477">
        <v>0.14444444444444443</v>
      </c>
      <c r="R617" s="472">
        <f>IF(Table6[[#This Row],[Work Start TimeStamp]]="","",(Table6[[#This Row],[Work Start TimeStamp]]-Table6[[#This Row],[Fault Start TimeStamp]])*24)</f>
        <v>0</v>
      </c>
      <c r="S617" s="472">
        <f>(Table6[[#This Row],[Fault Clearance time]]-Table6[[#This Row],[Work Start TimeStamp]])*24</f>
        <v>1.2999999999999998</v>
      </c>
      <c r="T617" s="472">
        <f>(Table6[[#This Row],[Fault Clearance time]]-Table6[[#This Row],[Fault Start TimeStamp]])*24</f>
        <v>1.2999999999999998</v>
      </c>
      <c r="U617" s="35" t="s">
        <v>1771</v>
      </c>
      <c r="V617" s="102" t="s">
        <v>293</v>
      </c>
      <c r="W617" s="478">
        <f>IFERROR(Table6[[#This Row],[Breakdown Time]]*Table6[[#This Row],[Plant Equivalent Weightage]],"")</f>
        <v>4.9999999999999975E-2</v>
      </c>
      <c r="X617" s="473" t="s">
        <v>294</v>
      </c>
      <c r="Y617" s="474" t="s">
        <v>88</v>
      </c>
      <c r="Z617" s="102">
        <v>14641</v>
      </c>
      <c r="AA617" s="468">
        <f>(Table6[[#This Row],[Paired WTG Generation for loss calculation]]/24)*Table6[[#This Row],[Breakdown Time]]</f>
        <v>793.05416666666656</v>
      </c>
      <c r="AB617" s="102"/>
      <c r="AC617" s="35"/>
      <c r="AD617" s="35"/>
    </row>
    <row r="618" spans="1:30">
      <c r="A618" s="102">
        <f t="shared" si="10"/>
        <v>617</v>
      </c>
      <c r="B618" s="468">
        <f>YEAR(Table6[[#This Row],[Date]])+IF(MONTH(Table6[[#This Row],[Date]])&gt;=4,1,0)</f>
        <v>2026</v>
      </c>
      <c r="C618" s="102">
        <f>YEAR(Table6[[#This Row],[Date]])</f>
        <v>2025</v>
      </c>
      <c r="D618" s="102" t="s">
        <v>1992</v>
      </c>
      <c r="E618" s="469">
        <f>Table6[[#This Row],[Date]]-DAY(Table6[[#This Row],[Date]])+1</f>
        <v>45778</v>
      </c>
      <c r="F618" s="470">
        <v>45784</v>
      </c>
      <c r="G618" s="35" t="s">
        <v>84</v>
      </c>
      <c r="H618" s="35" t="str">
        <f>IFERROR(_xlfn.XLOOKUP(Table6[[#This Row],[Affected WTG]],'Basic Data'!$A:$A,'Basic Data'!$B:$B),"")</f>
        <v>TQGXIIPL</v>
      </c>
      <c r="I618" s="35" t="str">
        <f>IFERROR(_xlfn.XLOOKUP(Table6[[#This Row],[Affected WTG]],'Basic Data'!$A:$A,'Basic Data'!$C:$C),"")</f>
        <v>GEDA</v>
      </c>
      <c r="J618" s="471">
        <f>IFERROR(_xlfn.XLOOKUP(Table6[[#This Row],[Affected WTG]],'Basic Data'!$A:$A,'Basic Data'!$E:$E),"")</f>
        <v>3.846153846153845E-2</v>
      </c>
      <c r="K618" s="102">
        <v>3420</v>
      </c>
      <c r="L618" s="35" t="str">
        <f>IFERROR(_xlfn.XLOOKUP(Table6[[#This Row],[Error Code]],'Basic Data'!$AA:$AA,'Basic Data'!$AB:$AB),"Incorrect Error Code")</f>
        <v>UPS buffer time too short</v>
      </c>
      <c r="M618" s="35" t="s">
        <v>291</v>
      </c>
      <c r="N618" s="475"/>
      <c r="O618" s="476">
        <v>9.0277777777777776E-2</v>
      </c>
      <c r="P618" s="476">
        <v>9.0277777777777776E-2</v>
      </c>
      <c r="Q618" s="477">
        <v>9.2361111111111116E-2</v>
      </c>
      <c r="R618" s="472">
        <f>IF(Table6[[#This Row],[Work Start TimeStamp]]="","",(Table6[[#This Row],[Work Start TimeStamp]]-Table6[[#This Row],[Fault Start TimeStamp]])*24)</f>
        <v>0</v>
      </c>
      <c r="S618" s="472">
        <f>(Table6[[#This Row],[Fault Clearance time]]-Table6[[#This Row],[Work Start TimeStamp]])*24</f>
        <v>5.0000000000000155E-2</v>
      </c>
      <c r="T618" s="472">
        <f>(Table6[[#This Row],[Fault Clearance time]]-Table6[[#This Row],[Fault Start TimeStamp]])*24</f>
        <v>5.0000000000000155E-2</v>
      </c>
      <c r="U618" s="35" t="s">
        <v>1771</v>
      </c>
      <c r="V618" s="102" t="s">
        <v>293</v>
      </c>
      <c r="W618" s="478">
        <f>IFERROR(Table6[[#This Row],[Breakdown Time]]*Table6[[#This Row],[Plant Equivalent Weightage]],"")</f>
        <v>1.9230769230769284E-3</v>
      </c>
      <c r="X618" s="473" t="s">
        <v>294</v>
      </c>
      <c r="Y618" s="474" t="s">
        <v>85</v>
      </c>
      <c r="Z618" s="102">
        <v>11445</v>
      </c>
      <c r="AA618" s="468">
        <f>(Table6[[#This Row],[Paired WTG Generation for loss calculation]]/24)*Table6[[#This Row],[Breakdown Time]]</f>
        <v>23.843750000000075</v>
      </c>
      <c r="AB618" s="102"/>
      <c r="AC618" s="35"/>
      <c r="AD618" s="35"/>
    </row>
    <row r="619" spans="1:30">
      <c r="A619" s="102">
        <f t="shared" si="10"/>
        <v>618</v>
      </c>
      <c r="B619" s="468">
        <f>YEAR(Table6[[#This Row],[Date]])+IF(MONTH(Table6[[#This Row],[Date]])&gt;=4,1,0)</f>
        <v>2026</v>
      </c>
      <c r="C619" s="102">
        <f>YEAR(Table6[[#This Row],[Date]])</f>
        <v>2025</v>
      </c>
      <c r="D619" s="102" t="s">
        <v>1992</v>
      </c>
      <c r="E619" s="469">
        <f>Table6[[#This Row],[Date]]-DAY(Table6[[#This Row],[Date]])+1</f>
        <v>45778</v>
      </c>
      <c r="F619" s="470">
        <v>45784</v>
      </c>
      <c r="G619" s="35" t="s">
        <v>84</v>
      </c>
      <c r="H619" s="35" t="str">
        <f>IFERROR(_xlfn.XLOOKUP(Table6[[#This Row],[Affected WTG]],'Basic Data'!$A:$A,'Basic Data'!$B:$B),"")</f>
        <v>TQGXIIPL</v>
      </c>
      <c r="I619" s="35" t="str">
        <f>IFERROR(_xlfn.XLOOKUP(Table6[[#This Row],[Affected WTG]],'Basic Data'!$A:$A,'Basic Data'!$C:$C),"")</f>
        <v>GEDA</v>
      </c>
      <c r="J619" s="471">
        <f>IFERROR(_xlfn.XLOOKUP(Table6[[#This Row],[Affected WTG]],'Basic Data'!$A:$A,'Basic Data'!$E:$E),"")</f>
        <v>3.846153846153845E-2</v>
      </c>
      <c r="K619" s="102">
        <v>3420</v>
      </c>
      <c r="L619" s="35" t="str">
        <f>IFERROR(_xlfn.XLOOKUP(Table6[[#This Row],[Error Code]],'Basic Data'!$AA:$AA,'Basic Data'!$AB:$AB),"Incorrect Error Code")</f>
        <v>UPS buffer time too short</v>
      </c>
      <c r="M619" s="35" t="s">
        <v>291</v>
      </c>
      <c r="N619" s="475"/>
      <c r="O619" s="476">
        <v>0.70694444444444449</v>
      </c>
      <c r="P619" s="476">
        <v>0.70694444444444449</v>
      </c>
      <c r="Q619" s="477">
        <v>0.72777777777777775</v>
      </c>
      <c r="R619" s="472">
        <f>IF(Table6[[#This Row],[Work Start TimeStamp]]="","",(Table6[[#This Row],[Work Start TimeStamp]]-Table6[[#This Row],[Fault Start TimeStamp]])*24)</f>
        <v>0</v>
      </c>
      <c r="S619" s="472">
        <f>(Table6[[#This Row],[Fault Clearance time]]-Table6[[#This Row],[Work Start TimeStamp]])*24</f>
        <v>0.49999999999999822</v>
      </c>
      <c r="T619" s="472">
        <f>(Table6[[#This Row],[Fault Clearance time]]-Table6[[#This Row],[Fault Start TimeStamp]])*24</f>
        <v>0.49999999999999822</v>
      </c>
      <c r="U619" s="35" t="s">
        <v>1771</v>
      </c>
      <c r="V619" s="102" t="s">
        <v>293</v>
      </c>
      <c r="W619" s="478">
        <f>IFERROR(Table6[[#This Row],[Breakdown Time]]*Table6[[#This Row],[Plant Equivalent Weightage]],"")</f>
        <v>1.9230769230769156E-2</v>
      </c>
      <c r="X619" s="473" t="s">
        <v>294</v>
      </c>
      <c r="Y619" s="474" t="s">
        <v>85</v>
      </c>
      <c r="Z619" s="102">
        <v>11445</v>
      </c>
      <c r="AA619" s="468">
        <f>(Table6[[#This Row],[Paired WTG Generation for loss calculation]]/24)*Table6[[#This Row],[Breakdown Time]]</f>
        <v>238.43749999999915</v>
      </c>
      <c r="AB619" s="102"/>
      <c r="AC619" s="35"/>
      <c r="AD619" s="35"/>
    </row>
    <row r="620" spans="1:30">
      <c r="A620" s="102">
        <f t="shared" si="10"/>
        <v>619</v>
      </c>
      <c r="B620" s="468">
        <f>YEAR(Table6[[#This Row],[Date]])+IF(MONTH(Table6[[#This Row],[Date]])&gt;=4,1,0)</f>
        <v>2026</v>
      </c>
      <c r="C620" s="102">
        <f>YEAR(Table6[[#This Row],[Date]])</f>
        <v>2025</v>
      </c>
      <c r="D620" s="102" t="s">
        <v>1992</v>
      </c>
      <c r="E620" s="469">
        <f>Table6[[#This Row],[Date]]-DAY(Table6[[#This Row],[Date]])+1</f>
        <v>45778</v>
      </c>
      <c r="F620" s="470">
        <v>45784</v>
      </c>
      <c r="G620" s="35" t="s">
        <v>85</v>
      </c>
      <c r="H620" s="35" t="str">
        <f>IFERROR(_xlfn.XLOOKUP(Table6[[#This Row],[Affected WTG]],'Basic Data'!$A:$A,'Basic Data'!$B:$B),"")</f>
        <v>TQGXIIPL</v>
      </c>
      <c r="I620" s="35" t="str">
        <f>IFERROR(_xlfn.XLOOKUP(Table6[[#This Row],[Affected WTG]],'Basic Data'!$A:$A,'Basic Data'!$C:$C),"")</f>
        <v>GEDA</v>
      </c>
      <c r="J620" s="471">
        <f>IFERROR(_xlfn.XLOOKUP(Table6[[#This Row],[Affected WTG]],'Basic Data'!$A:$A,'Basic Data'!$E:$E),"")</f>
        <v>3.846153846153845E-2</v>
      </c>
      <c r="K620" s="102">
        <v>3420</v>
      </c>
      <c r="L620" s="35" t="str">
        <f>IFERROR(_xlfn.XLOOKUP(Table6[[#This Row],[Error Code]],'Basic Data'!$AA:$AA,'Basic Data'!$AB:$AB),"Incorrect Error Code")</f>
        <v>UPS buffer time too short</v>
      </c>
      <c r="M620" s="35" t="s">
        <v>291</v>
      </c>
      <c r="N620" s="475"/>
      <c r="O620" s="476">
        <v>9.0277777777777776E-2</v>
      </c>
      <c r="P620" s="476">
        <v>9.0277777777777776E-2</v>
      </c>
      <c r="Q620" s="477">
        <v>9.7222222222222224E-2</v>
      </c>
      <c r="R620" s="472">
        <f>IF(Table6[[#This Row],[Work Start TimeStamp]]="","",(Table6[[#This Row],[Work Start TimeStamp]]-Table6[[#This Row],[Fault Start TimeStamp]])*24)</f>
        <v>0</v>
      </c>
      <c r="S620" s="472">
        <f>(Table6[[#This Row],[Fault Clearance time]]-Table6[[#This Row],[Work Start TimeStamp]])*24</f>
        <v>0.16666666666666674</v>
      </c>
      <c r="T620" s="472">
        <f>(Table6[[#This Row],[Fault Clearance time]]-Table6[[#This Row],[Fault Start TimeStamp]])*24</f>
        <v>0.16666666666666674</v>
      </c>
      <c r="U620" s="35" t="s">
        <v>1771</v>
      </c>
      <c r="V620" s="102" t="s">
        <v>293</v>
      </c>
      <c r="W620" s="478">
        <f>IFERROR(Table6[[#This Row],[Breakdown Time]]*Table6[[#This Row],[Plant Equivalent Weightage]],"")</f>
        <v>6.4102564102564109E-3</v>
      </c>
      <c r="X620" s="473" t="s">
        <v>294</v>
      </c>
      <c r="Y620" s="474" t="s">
        <v>87</v>
      </c>
      <c r="Z620" s="102">
        <v>14856</v>
      </c>
      <c r="AA620" s="468">
        <f>(Table6[[#This Row],[Paired WTG Generation for loss calculation]]/24)*Table6[[#This Row],[Breakdown Time]]</f>
        <v>103.16666666666671</v>
      </c>
      <c r="AB620" s="102"/>
      <c r="AC620" s="35"/>
      <c r="AD620" s="35"/>
    </row>
    <row r="621" spans="1:30">
      <c r="A621" s="102">
        <f t="shared" si="10"/>
        <v>620</v>
      </c>
      <c r="B621" s="468">
        <f>YEAR(Table6[[#This Row],[Date]])+IF(MONTH(Table6[[#This Row],[Date]])&gt;=4,1,0)</f>
        <v>2026</v>
      </c>
      <c r="C621" s="102">
        <f>YEAR(Table6[[#This Row],[Date]])</f>
        <v>2025</v>
      </c>
      <c r="D621" s="102" t="s">
        <v>1992</v>
      </c>
      <c r="E621" s="469">
        <f>Table6[[#This Row],[Date]]-DAY(Table6[[#This Row],[Date]])+1</f>
        <v>45778</v>
      </c>
      <c r="F621" s="470">
        <v>45784</v>
      </c>
      <c r="G621" s="35" t="s">
        <v>85</v>
      </c>
      <c r="H621" s="35" t="str">
        <f>IFERROR(_xlfn.XLOOKUP(Table6[[#This Row],[Affected WTG]],'Basic Data'!$A:$A,'Basic Data'!$B:$B),"")</f>
        <v>TQGXIIPL</v>
      </c>
      <c r="I621" s="35" t="str">
        <f>IFERROR(_xlfn.XLOOKUP(Table6[[#This Row],[Affected WTG]],'Basic Data'!$A:$A,'Basic Data'!$C:$C),"")</f>
        <v>GEDA</v>
      </c>
      <c r="J621" s="471">
        <f>IFERROR(_xlfn.XLOOKUP(Table6[[#This Row],[Affected WTG]],'Basic Data'!$A:$A,'Basic Data'!$E:$E),"")</f>
        <v>3.846153846153845E-2</v>
      </c>
      <c r="K621" s="102">
        <v>5516</v>
      </c>
      <c r="L621" s="35" t="str">
        <f>IFERROR(_xlfn.XLOOKUP(Table6[[#This Row],[Error Code]],'Basic Data'!$AA:$AA,'Basic Data'!$AB:$AB),"Incorrect Error Code")</f>
        <v>Rot.br. press. low</v>
      </c>
      <c r="M621" s="35" t="s">
        <v>291</v>
      </c>
      <c r="N621" s="475"/>
      <c r="O621" s="476">
        <v>0.15486111111111112</v>
      </c>
      <c r="P621" s="476">
        <v>0.15486111111111112</v>
      </c>
      <c r="Q621" s="477">
        <v>0.3611111111111111</v>
      </c>
      <c r="R621" s="472">
        <f>IF(Table6[[#This Row],[Work Start TimeStamp]]="","",(Table6[[#This Row],[Work Start TimeStamp]]-Table6[[#This Row],[Fault Start TimeStamp]])*24)</f>
        <v>0</v>
      </c>
      <c r="S621" s="472">
        <f>(Table6[[#This Row],[Fault Clearance time]]-Table6[[#This Row],[Work Start TimeStamp]])*24</f>
        <v>4.9499999999999993</v>
      </c>
      <c r="T621" s="472">
        <f>(Table6[[#This Row],[Fault Clearance time]]-Table6[[#This Row],[Fault Start TimeStamp]])*24</f>
        <v>4.9499999999999993</v>
      </c>
      <c r="U621" s="35" t="s">
        <v>1772</v>
      </c>
      <c r="V621" s="102" t="s">
        <v>293</v>
      </c>
      <c r="W621" s="478">
        <f>IFERROR(Table6[[#This Row],[Breakdown Time]]*Table6[[#This Row],[Plant Equivalent Weightage]],"")</f>
        <v>0.19038461538461529</v>
      </c>
      <c r="X621" s="473" t="s">
        <v>294</v>
      </c>
      <c r="Y621" s="474" t="s">
        <v>87</v>
      </c>
      <c r="Z621" s="102">
        <v>14856</v>
      </c>
      <c r="AA621" s="468">
        <f>(Table6[[#This Row],[Paired WTG Generation for loss calculation]]/24)*Table6[[#This Row],[Breakdown Time]]</f>
        <v>3064.0499999999997</v>
      </c>
      <c r="AB621" s="102"/>
      <c r="AC621" s="35"/>
      <c r="AD621" s="35"/>
    </row>
    <row r="622" spans="1:30">
      <c r="A622" s="102">
        <f t="shared" si="10"/>
        <v>621</v>
      </c>
      <c r="B622" s="468">
        <f>YEAR(Table6[[#This Row],[Date]])+IF(MONTH(Table6[[#This Row],[Date]])&gt;=4,1,0)</f>
        <v>2026</v>
      </c>
      <c r="C622" s="102">
        <f>YEAR(Table6[[#This Row],[Date]])</f>
        <v>2025</v>
      </c>
      <c r="D622" s="102" t="s">
        <v>1992</v>
      </c>
      <c r="E622" s="469">
        <f>Table6[[#This Row],[Date]]-DAY(Table6[[#This Row],[Date]])+1</f>
        <v>45778</v>
      </c>
      <c r="F622" s="470">
        <v>45784</v>
      </c>
      <c r="G622" s="35" t="s">
        <v>85</v>
      </c>
      <c r="H622" s="35" t="str">
        <f>IFERROR(_xlfn.XLOOKUP(Table6[[#This Row],[Affected WTG]],'Basic Data'!$A:$A,'Basic Data'!$B:$B),"")</f>
        <v>TQGXIIPL</v>
      </c>
      <c r="I622" s="35" t="str">
        <f>IFERROR(_xlfn.XLOOKUP(Table6[[#This Row],[Affected WTG]],'Basic Data'!$A:$A,'Basic Data'!$C:$C),"")</f>
        <v>GEDA</v>
      </c>
      <c r="J622" s="471">
        <f>IFERROR(_xlfn.XLOOKUP(Table6[[#This Row],[Affected WTG]],'Basic Data'!$A:$A,'Basic Data'!$E:$E),"")</f>
        <v>3.846153846153845E-2</v>
      </c>
      <c r="K622" s="102">
        <v>5516</v>
      </c>
      <c r="L622" s="35" t="str">
        <f>IFERROR(_xlfn.XLOOKUP(Table6[[#This Row],[Error Code]],'Basic Data'!$AA:$AA,'Basic Data'!$AB:$AB),"Incorrect Error Code")</f>
        <v>Rot.br. press. low</v>
      </c>
      <c r="M622" s="35" t="s">
        <v>291</v>
      </c>
      <c r="N622" s="475"/>
      <c r="O622" s="476">
        <v>0.3611111111111111</v>
      </c>
      <c r="P622" s="476">
        <v>0.3611111111111111</v>
      </c>
      <c r="Q622" s="477">
        <v>0.37638888888888888</v>
      </c>
      <c r="R622" s="472">
        <f>IF(Table6[[#This Row],[Work Start TimeStamp]]="","",(Table6[[#This Row],[Work Start TimeStamp]]-Table6[[#This Row],[Fault Start TimeStamp]])*24)</f>
        <v>0</v>
      </c>
      <c r="S622" s="472">
        <f>(Table6[[#This Row],[Fault Clearance time]]-Table6[[#This Row],[Work Start TimeStamp]])*24</f>
        <v>0.3666666666666667</v>
      </c>
      <c r="T622" s="472">
        <f>(Table6[[#This Row],[Fault Clearance time]]-Table6[[#This Row],[Fault Start TimeStamp]])*24</f>
        <v>0.3666666666666667</v>
      </c>
      <c r="U622" s="35" t="s">
        <v>1773</v>
      </c>
      <c r="V622" s="102" t="s">
        <v>293</v>
      </c>
      <c r="W622" s="478">
        <f>IFERROR(Table6[[#This Row],[Breakdown Time]]*Table6[[#This Row],[Plant Equivalent Weightage]],"")</f>
        <v>1.4102564102564099E-2</v>
      </c>
      <c r="X622" s="473" t="s">
        <v>294</v>
      </c>
      <c r="Y622" s="474" t="s">
        <v>87</v>
      </c>
      <c r="Z622" s="102">
        <v>14856</v>
      </c>
      <c r="AA622" s="468">
        <f>(Table6[[#This Row],[Paired WTG Generation for loss calculation]]/24)*Table6[[#This Row],[Breakdown Time]]</f>
        <v>226.9666666666667</v>
      </c>
      <c r="AB622" s="102"/>
      <c r="AC622" s="35"/>
      <c r="AD622" s="35"/>
    </row>
    <row r="623" spans="1:30">
      <c r="A623" s="102">
        <f t="shared" si="10"/>
        <v>622</v>
      </c>
      <c r="B623" s="468">
        <f>YEAR(Table6[[#This Row],[Date]])+IF(MONTH(Table6[[#This Row],[Date]])&gt;=4,1,0)</f>
        <v>2026</v>
      </c>
      <c r="C623" s="102">
        <f>YEAR(Table6[[#This Row],[Date]])</f>
        <v>2025</v>
      </c>
      <c r="D623" s="102" t="s">
        <v>1992</v>
      </c>
      <c r="E623" s="469">
        <f>Table6[[#This Row],[Date]]-DAY(Table6[[#This Row],[Date]])+1</f>
        <v>45778</v>
      </c>
      <c r="F623" s="470">
        <v>45784</v>
      </c>
      <c r="G623" s="35" t="s">
        <v>85</v>
      </c>
      <c r="H623" s="35" t="str">
        <f>IFERROR(_xlfn.XLOOKUP(Table6[[#This Row],[Affected WTG]],'Basic Data'!$A:$A,'Basic Data'!$B:$B),"")</f>
        <v>TQGXIIPL</v>
      </c>
      <c r="I623" s="35" t="str">
        <f>IFERROR(_xlfn.XLOOKUP(Table6[[#This Row],[Affected WTG]],'Basic Data'!$A:$A,'Basic Data'!$C:$C),"")</f>
        <v>GEDA</v>
      </c>
      <c r="J623" s="471">
        <f>IFERROR(_xlfn.XLOOKUP(Table6[[#This Row],[Affected WTG]],'Basic Data'!$A:$A,'Basic Data'!$E:$E),"")</f>
        <v>3.846153846153845E-2</v>
      </c>
      <c r="K623" s="102">
        <v>175</v>
      </c>
      <c r="L623" s="35" t="str">
        <f>IFERROR(_xlfn.XLOOKUP(Table6[[#This Row],[Error Code]],'Basic Data'!$AA:$AA,'Basic Data'!$AB:$AB),"Incorrect Error Code")</f>
        <v>SLC error</v>
      </c>
      <c r="M623" s="35" t="s">
        <v>291</v>
      </c>
      <c r="N623" s="475"/>
      <c r="O623" s="476">
        <v>9.7222222222222224E-2</v>
      </c>
      <c r="P623" s="476">
        <v>9.7222222222222224E-2</v>
      </c>
      <c r="Q623" s="477">
        <v>0.11527777777777778</v>
      </c>
      <c r="R623" s="472">
        <f>IF(Table6[[#This Row],[Work Start TimeStamp]]="","",(Table6[[#This Row],[Work Start TimeStamp]]-Table6[[#This Row],[Fault Start TimeStamp]])*24)</f>
        <v>0</v>
      </c>
      <c r="S623" s="472">
        <f>(Table6[[#This Row],[Fault Clearance time]]-Table6[[#This Row],[Work Start TimeStamp]])*24</f>
        <v>0.43333333333333346</v>
      </c>
      <c r="T623" s="472">
        <f>(Table6[[#This Row],[Fault Clearance time]]-Table6[[#This Row],[Fault Start TimeStamp]])*24</f>
        <v>0.43333333333333346</v>
      </c>
      <c r="U623" s="35" t="s">
        <v>1771</v>
      </c>
      <c r="V623" s="102" t="s">
        <v>293</v>
      </c>
      <c r="W623" s="478">
        <f>IFERROR(Table6[[#This Row],[Breakdown Time]]*Table6[[#This Row],[Plant Equivalent Weightage]],"")</f>
        <v>1.6666666666666666E-2</v>
      </c>
      <c r="X623" s="473" t="s">
        <v>294</v>
      </c>
      <c r="Y623" s="474" t="s">
        <v>87</v>
      </c>
      <c r="Z623" s="102">
        <v>14856</v>
      </c>
      <c r="AA623" s="468">
        <f>(Table6[[#This Row],[Paired WTG Generation for loss calculation]]/24)*Table6[[#This Row],[Breakdown Time]]</f>
        <v>268.23333333333341</v>
      </c>
      <c r="AB623" s="102"/>
      <c r="AC623" s="35"/>
      <c r="AD623" s="35"/>
    </row>
    <row r="624" spans="1:30">
      <c r="A624" s="102">
        <f t="shared" si="10"/>
        <v>623</v>
      </c>
      <c r="B624" s="468">
        <f>YEAR(Table6[[#This Row],[Date]])+IF(MONTH(Table6[[#This Row],[Date]])&gt;=4,1,0)</f>
        <v>2026</v>
      </c>
      <c r="C624" s="102">
        <f>YEAR(Table6[[#This Row],[Date]])</f>
        <v>2025</v>
      </c>
      <c r="D624" s="102" t="s">
        <v>1992</v>
      </c>
      <c r="E624" s="469">
        <f>Table6[[#This Row],[Date]]-DAY(Table6[[#This Row],[Date]])+1</f>
        <v>45778</v>
      </c>
      <c r="F624" s="470">
        <v>45784</v>
      </c>
      <c r="G624" s="35" t="s">
        <v>85</v>
      </c>
      <c r="H624" s="35" t="str">
        <f>IFERROR(_xlfn.XLOOKUP(Table6[[#This Row],[Affected WTG]],'Basic Data'!$A:$A,'Basic Data'!$B:$B),"")</f>
        <v>TQGXIIPL</v>
      </c>
      <c r="I624" s="35" t="str">
        <f>IFERROR(_xlfn.XLOOKUP(Table6[[#This Row],[Affected WTG]],'Basic Data'!$A:$A,'Basic Data'!$C:$C),"")</f>
        <v>GEDA</v>
      </c>
      <c r="J624" s="471">
        <f>IFERROR(_xlfn.XLOOKUP(Table6[[#This Row],[Affected WTG]],'Basic Data'!$A:$A,'Basic Data'!$E:$E),"")</f>
        <v>3.846153846153845E-2</v>
      </c>
      <c r="K624" s="102">
        <v>175</v>
      </c>
      <c r="L624" s="35" t="str">
        <f>IFERROR(_xlfn.XLOOKUP(Table6[[#This Row],[Error Code]],'Basic Data'!$AA:$AA,'Basic Data'!$AB:$AB),"Incorrect Error Code")</f>
        <v>SLC error</v>
      </c>
      <c r="M624" s="35" t="s">
        <v>291</v>
      </c>
      <c r="N624" s="475"/>
      <c r="O624" s="476">
        <v>0.70694444444444449</v>
      </c>
      <c r="P624" s="476">
        <v>0.70694444444444449</v>
      </c>
      <c r="Q624" s="477">
        <v>0.72847222222222219</v>
      </c>
      <c r="R624" s="472">
        <f>IF(Table6[[#This Row],[Work Start TimeStamp]]="","",(Table6[[#This Row],[Work Start TimeStamp]]-Table6[[#This Row],[Fault Start TimeStamp]])*24)</f>
        <v>0</v>
      </c>
      <c r="S624" s="472">
        <f>(Table6[[#This Row],[Fault Clearance time]]-Table6[[#This Row],[Work Start TimeStamp]])*24</f>
        <v>0.51666666666666483</v>
      </c>
      <c r="T624" s="472">
        <f>(Table6[[#This Row],[Fault Clearance time]]-Table6[[#This Row],[Fault Start TimeStamp]])*24</f>
        <v>0.51666666666666483</v>
      </c>
      <c r="U624" s="35" t="s">
        <v>1771</v>
      </c>
      <c r="V624" s="102" t="s">
        <v>293</v>
      </c>
      <c r="W624" s="478">
        <f>IFERROR(Table6[[#This Row],[Breakdown Time]]*Table6[[#This Row],[Plant Equivalent Weightage]],"")</f>
        <v>1.9871794871794794E-2</v>
      </c>
      <c r="X624" s="473" t="s">
        <v>294</v>
      </c>
      <c r="Y624" s="474" t="s">
        <v>87</v>
      </c>
      <c r="Z624" s="102">
        <v>14856</v>
      </c>
      <c r="AA624" s="468">
        <f>(Table6[[#This Row],[Paired WTG Generation for loss calculation]]/24)*Table6[[#This Row],[Breakdown Time]]</f>
        <v>319.81666666666553</v>
      </c>
      <c r="AB624" s="102"/>
      <c r="AC624" s="35"/>
      <c r="AD624" s="35"/>
    </row>
    <row r="625" spans="1:30">
      <c r="A625" s="102">
        <f t="shared" si="10"/>
        <v>624</v>
      </c>
      <c r="B625" s="468">
        <f>YEAR(Table6[[#This Row],[Date]])+IF(MONTH(Table6[[#This Row],[Date]])&gt;=4,1,0)</f>
        <v>2026</v>
      </c>
      <c r="C625" s="102">
        <f>YEAR(Table6[[#This Row],[Date]])</f>
        <v>2025</v>
      </c>
      <c r="D625" s="102" t="s">
        <v>1992</v>
      </c>
      <c r="E625" s="469">
        <f>Table6[[#This Row],[Date]]-DAY(Table6[[#This Row],[Date]])+1</f>
        <v>45778</v>
      </c>
      <c r="F625" s="470">
        <v>45784</v>
      </c>
      <c r="G625" s="35" t="s">
        <v>85</v>
      </c>
      <c r="H625" s="35" t="str">
        <f>IFERROR(_xlfn.XLOOKUP(Table6[[#This Row],[Affected WTG]],'Basic Data'!$A:$A,'Basic Data'!$B:$B),"")</f>
        <v>TQGXIIPL</v>
      </c>
      <c r="I625" s="35" t="str">
        <f>IFERROR(_xlfn.XLOOKUP(Table6[[#This Row],[Affected WTG]],'Basic Data'!$A:$A,'Basic Data'!$C:$C),"")</f>
        <v>GEDA</v>
      </c>
      <c r="J625" s="471">
        <f>IFERROR(_xlfn.XLOOKUP(Table6[[#This Row],[Affected WTG]],'Basic Data'!$A:$A,'Basic Data'!$E:$E),"")</f>
        <v>3.846153846153845E-2</v>
      </c>
      <c r="K625" s="102">
        <v>5516</v>
      </c>
      <c r="L625" s="35" t="str">
        <f>IFERROR(_xlfn.XLOOKUP(Table6[[#This Row],[Error Code]],'Basic Data'!$AA:$AA,'Basic Data'!$AB:$AB),"Incorrect Error Code")</f>
        <v>Rot.br. press. low</v>
      </c>
      <c r="M625" s="35" t="s">
        <v>291</v>
      </c>
      <c r="N625" s="475"/>
      <c r="O625" s="476">
        <v>0.72847222222222219</v>
      </c>
      <c r="P625" s="476">
        <v>0.72847222222222219</v>
      </c>
      <c r="Q625" s="477">
        <v>0.73055555555555551</v>
      </c>
      <c r="R625" s="472">
        <f>IF(Table6[[#This Row],[Work Start TimeStamp]]="","",(Table6[[#This Row],[Work Start TimeStamp]]-Table6[[#This Row],[Fault Start TimeStamp]])*24)</f>
        <v>0</v>
      </c>
      <c r="S625" s="472">
        <f>(Table6[[#This Row],[Fault Clearance time]]-Table6[[#This Row],[Work Start TimeStamp]])*24</f>
        <v>4.9999999999999822E-2</v>
      </c>
      <c r="T625" s="472">
        <f>(Table6[[#This Row],[Fault Clearance time]]-Table6[[#This Row],[Fault Start TimeStamp]])*24</f>
        <v>4.9999999999999822E-2</v>
      </c>
      <c r="U625" s="35" t="s">
        <v>336</v>
      </c>
      <c r="V625" s="102" t="s">
        <v>293</v>
      </c>
      <c r="W625" s="478">
        <f>IFERROR(Table6[[#This Row],[Breakdown Time]]*Table6[[#This Row],[Plant Equivalent Weightage]],"")</f>
        <v>1.9230769230769156E-3</v>
      </c>
      <c r="X625" s="473" t="s">
        <v>294</v>
      </c>
      <c r="Y625" s="474" t="s">
        <v>87</v>
      </c>
      <c r="Z625" s="102">
        <v>14856</v>
      </c>
      <c r="AA625" s="468">
        <f>(Table6[[#This Row],[Paired WTG Generation for loss calculation]]/24)*Table6[[#This Row],[Breakdown Time]]</f>
        <v>30.949999999999889</v>
      </c>
      <c r="AB625" s="102"/>
      <c r="AC625" s="35"/>
      <c r="AD625" s="35"/>
    </row>
    <row r="626" spans="1:30">
      <c r="A626" s="102">
        <f t="shared" si="10"/>
        <v>625</v>
      </c>
      <c r="B626" s="468">
        <f>YEAR(Table6[[#This Row],[Date]])+IF(MONTH(Table6[[#This Row],[Date]])&gt;=4,1,0)</f>
        <v>2026</v>
      </c>
      <c r="C626" s="102">
        <f>YEAR(Table6[[#This Row],[Date]])</f>
        <v>2025</v>
      </c>
      <c r="D626" s="102" t="s">
        <v>1992</v>
      </c>
      <c r="E626" s="469">
        <f>Table6[[#This Row],[Date]]-DAY(Table6[[#This Row],[Date]])+1</f>
        <v>45778</v>
      </c>
      <c r="F626" s="470">
        <v>45784</v>
      </c>
      <c r="G626" s="35" t="s">
        <v>86</v>
      </c>
      <c r="H626" s="35" t="str">
        <f>IFERROR(_xlfn.XLOOKUP(Table6[[#This Row],[Affected WTG]],'Basic Data'!$A:$A,'Basic Data'!$B:$B),"")</f>
        <v>TQGXIIPL</v>
      </c>
      <c r="I626" s="35" t="str">
        <f>IFERROR(_xlfn.XLOOKUP(Table6[[#This Row],[Affected WTG]],'Basic Data'!$A:$A,'Basic Data'!$C:$C),"")</f>
        <v>GEDA</v>
      </c>
      <c r="J626" s="471">
        <f>IFERROR(_xlfn.XLOOKUP(Table6[[#This Row],[Affected WTG]],'Basic Data'!$A:$A,'Basic Data'!$E:$E),"")</f>
        <v>3.846153846153845E-2</v>
      </c>
      <c r="K626" s="102">
        <v>175</v>
      </c>
      <c r="L626" s="35" t="str">
        <f>IFERROR(_xlfn.XLOOKUP(Table6[[#This Row],[Error Code]],'Basic Data'!$AA:$AA,'Basic Data'!$AB:$AB),"Incorrect Error Code")</f>
        <v>SLC error</v>
      </c>
      <c r="M626" s="35" t="s">
        <v>291</v>
      </c>
      <c r="N626" s="475"/>
      <c r="O626" s="476">
        <v>9.930555555555555E-2</v>
      </c>
      <c r="P626" s="476">
        <v>9.930555555555555E-2</v>
      </c>
      <c r="Q626" s="477">
        <v>0.14583333333333334</v>
      </c>
      <c r="R626" s="472">
        <f>IF(Table6[[#This Row],[Work Start TimeStamp]]="","",(Table6[[#This Row],[Work Start TimeStamp]]-Table6[[#This Row],[Fault Start TimeStamp]])*24)</f>
        <v>0</v>
      </c>
      <c r="S626" s="472">
        <f>(Table6[[#This Row],[Fault Clearance time]]-Table6[[#This Row],[Work Start TimeStamp]])*24</f>
        <v>1.1166666666666671</v>
      </c>
      <c r="T626" s="472">
        <f>(Table6[[#This Row],[Fault Clearance time]]-Table6[[#This Row],[Fault Start TimeStamp]])*24</f>
        <v>1.1166666666666671</v>
      </c>
      <c r="U626" s="35" t="s">
        <v>1771</v>
      </c>
      <c r="V626" s="102" t="s">
        <v>293</v>
      </c>
      <c r="W626" s="478">
        <f>IFERROR(Table6[[#This Row],[Breakdown Time]]*Table6[[#This Row],[Plant Equivalent Weightage]],"")</f>
        <v>4.2948717948717956E-2</v>
      </c>
      <c r="X626" s="473" t="s">
        <v>294</v>
      </c>
      <c r="Y626" s="474" t="s">
        <v>84</v>
      </c>
      <c r="Z626" s="102">
        <v>14545</v>
      </c>
      <c r="AA626" s="468">
        <f>(Table6[[#This Row],[Paired WTG Generation for loss calculation]]/24)*Table6[[#This Row],[Breakdown Time]]</f>
        <v>676.74652777777806</v>
      </c>
      <c r="AB626" s="102"/>
      <c r="AC626" s="35"/>
      <c r="AD626" s="35"/>
    </row>
    <row r="627" spans="1:30">
      <c r="A627" s="102">
        <f t="shared" si="10"/>
        <v>626</v>
      </c>
      <c r="B627" s="468">
        <f>YEAR(Table6[[#This Row],[Date]])+IF(MONTH(Table6[[#This Row],[Date]])&gt;=4,1,0)</f>
        <v>2026</v>
      </c>
      <c r="C627" s="102">
        <f>YEAR(Table6[[#This Row],[Date]])</f>
        <v>2025</v>
      </c>
      <c r="D627" s="102" t="s">
        <v>1992</v>
      </c>
      <c r="E627" s="469">
        <f>Table6[[#This Row],[Date]]-DAY(Table6[[#This Row],[Date]])+1</f>
        <v>45778</v>
      </c>
      <c r="F627" s="470">
        <v>45784</v>
      </c>
      <c r="G627" s="35" t="s">
        <v>86</v>
      </c>
      <c r="H627" s="35" t="str">
        <f>IFERROR(_xlfn.XLOOKUP(Table6[[#This Row],[Affected WTG]],'Basic Data'!$A:$A,'Basic Data'!$B:$B),"")</f>
        <v>TQGXIIPL</v>
      </c>
      <c r="I627" s="35" t="str">
        <f>IFERROR(_xlfn.XLOOKUP(Table6[[#This Row],[Affected WTG]],'Basic Data'!$A:$A,'Basic Data'!$C:$C),"")</f>
        <v>GEDA</v>
      </c>
      <c r="J627" s="471">
        <f>IFERROR(_xlfn.XLOOKUP(Table6[[#This Row],[Affected WTG]],'Basic Data'!$A:$A,'Basic Data'!$E:$E),"")</f>
        <v>3.846153846153845E-2</v>
      </c>
      <c r="K627" s="102">
        <v>175</v>
      </c>
      <c r="L627" s="35" t="str">
        <f>IFERROR(_xlfn.XLOOKUP(Table6[[#This Row],[Error Code]],'Basic Data'!$AA:$AA,'Basic Data'!$AB:$AB),"Incorrect Error Code")</f>
        <v>SLC error</v>
      </c>
      <c r="M627" s="35" t="s">
        <v>291</v>
      </c>
      <c r="N627" s="475"/>
      <c r="O627" s="476">
        <v>0.70694444444444449</v>
      </c>
      <c r="P627" s="476">
        <v>0.70694444444444449</v>
      </c>
      <c r="Q627" s="477">
        <v>0.72847222222222219</v>
      </c>
      <c r="R627" s="472">
        <f>IF(Table6[[#This Row],[Work Start TimeStamp]]="","",(Table6[[#This Row],[Work Start TimeStamp]]-Table6[[#This Row],[Fault Start TimeStamp]])*24)</f>
        <v>0</v>
      </c>
      <c r="S627" s="472">
        <f>(Table6[[#This Row],[Fault Clearance time]]-Table6[[#This Row],[Work Start TimeStamp]])*24</f>
        <v>0.51666666666666483</v>
      </c>
      <c r="T627" s="472">
        <f>(Table6[[#This Row],[Fault Clearance time]]-Table6[[#This Row],[Fault Start TimeStamp]])*24</f>
        <v>0.51666666666666483</v>
      </c>
      <c r="U627" s="35" t="s">
        <v>1771</v>
      </c>
      <c r="V627" s="102" t="s">
        <v>293</v>
      </c>
      <c r="W627" s="478">
        <f>IFERROR(Table6[[#This Row],[Breakdown Time]]*Table6[[#This Row],[Plant Equivalent Weightage]],"")</f>
        <v>1.9871794871794794E-2</v>
      </c>
      <c r="X627" s="473" t="s">
        <v>294</v>
      </c>
      <c r="Y627" s="474" t="s">
        <v>84</v>
      </c>
      <c r="Z627" s="102">
        <v>14545</v>
      </c>
      <c r="AA627" s="468">
        <f>(Table6[[#This Row],[Paired WTG Generation for loss calculation]]/24)*Table6[[#This Row],[Breakdown Time]]</f>
        <v>313.12152777777663</v>
      </c>
      <c r="AB627" s="102"/>
      <c r="AC627" s="35"/>
      <c r="AD627" s="35"/>
    </row>
    <row r="628" spans="1:30">
      <c r="A628" s="102">
        <f t="shared" si="10"/>
        <v>627</v>
      </c>
      <c r="B628" s="468">
        <f>YEAR(Table6[[#This Row],[Date]])+IF(MONTH(Table6[[#This Row],[Date]])&gt;=4,1,0)</f>
        <v>2026</v>
      </c>
      <c r="C628" s="102">
        <f>YEAR(Table6[[#This Row],[Date]])</f>
        <v>2025</v>
      </c>
      <c r="D628" s="102" t="s">
        <v>1992</v>
      </c>
      <c r="E628" s="469">
        <f>Table6[[#This Row],[Date]]-DAY(Table6[[#This Row],[Date]])+1</f>
        <v>45778</v>
      </c>
      <c r="F628" s="470">
        <v>45784</v>
      </c>
      <c r="G628" s="35" t="s">
        <v>87</v>
      </c>
      <c r="H628" s="35" t="str">
        <f>IFERROR(_xlfn.XLOOKUP(Table6[[#This Row],[Affected WTG]],'Basic Data'!$A:$A,'Basic Data'!$B:$B),"")</f>
        <v>TQGXIIPL</v>
      </c>
      <c r="I628" s="35" t="str">
        <f>IFERROR(_xlfn.XLOOKUP(Table6[[#This Row],[Affected WTG]],'Basic Data'!$A:$A,'Basic Data'!$C:$C),"")</f>
        <v>GEDA</v>
      </c>
      <c r="J628" s="471">
        <f>IFERROR(_xlfn.XLOOKUP(Table6[[#This Row],[Affected WTG]],'Basic Data'!$A:$A,'Basic Data'!$E:$E),"")</f>
        <v>3.846153846153845E-2</v>
      </c>
      <c r="K628" s="102">
        <v>175</v>
      </c>
      <c r="L628" s="35" t="str">
        <f>IFERROR(_xlfn.XLOOKUP(Table6[[#This Row],[Error Code]],'Basic Data'!$AA:$AA,'Basic Data'!$AB:$AB),"Incorrect Error Code")</f>
        <v>SLC error</v>
      </c>
      <c r="M628" s="35" t="s">
        <v>291</v>
      </c>
      <c r="N628" s="475"/>
      <c r="O628" s="476">
        <v>0.10555555555555556</v>
      </c>
      <c r="P628" s="476">
        <v>0.10555555555555556</v>
      </c>
      <c r="Q628" s="477">
        <v>0.14652777777777778</v>
      </c>
      <c r="R628" s="472">
        <f>IF(Table6[[#This Row],[Work Start TimeStamp]]="","",(Table6[[#This Row],[Work Start TimeStamp]]-Table6[[#This Row],[Fault Start TimeStamp]])*24)</f>
        <v>0</v>
      </c>
      <c r="S628" s="472">
        <f>(Table6[[#This Row],[Fault Clearance time]]-Table6[[#This Row],[Work Start TimeStamp]])*24</f>
        <v>0.9833333333333335</v>
      </c>
      <c r="T628" s="472">
        <f>(Table6[[#This Row],[Fault Clearance time]]-Table6[[#This Row],[Fault Start TimeStamp]])*24</f>
        <v>0.9833333333333335</v>
      </c>
      <c r="U628" s="35" t="s">
        <v>1771</v>
      </c>
      <c r="V628" s="102" t="s">
        <v>293</v>
      </c>
      <c r="W628" s="478">
        <f>IFERROR(Table6[[#This Row],[Breakdown Time]]*Table6[[#This Row],[Plant Equivalent Weightage]],"")</f>
        <v>3.7820512820512818E-2</v>
      </c>
      <c r="X628" s="473" t="s">
        <v>294</v>
      </c>
      <c r="Y628" s="474" t="s">
        <v>85</v>
      </c>
      <c r="Z628" s="102">
        <v>11445</v>
      </c>
      <c r="AA628" s="468">
        <f>(Table6[[#This Row],[Paired WTG Generation for loss calculation]]/24)*Table6[[#This Row],[Breakdown Time]]</f>
        <v>468.92708333333343</v>
      </c>
      <c r="AB628" s="102"/>
      <c r="AC628" s="35"/>
      <c r="AD628" s="35"/>
    </row>
    <row r="629" spans="1:30">
      <c r="A629" s="102">
        <f t="shared" si="10"/>
        <v>628</v>
      </c>
      <c r="B629" s="468">
        <f>YEAR(Table6[[#This Row],[Date]])+IF(MONTH(Table6[[#This Row],[Date]])&gt;=4,1,0)</f>
        <v>2026</v>
      </c>
      <c r="C629" s="102">
        <f>YEAR(Table6[[#This Row],[Date]])</f>
        <v>2025</v>
      </c>
      <c r="D629" s="102" t="s">
        <v>1992</v>
      </c>
      <c r="E629" s="469">
        <f>Table6[[#This Row],[Date]]-DAY(Table6[[#This Row],[Date]])+1</f>
        <v>45778</v>
      </c>
      <c r="F629" s="470">
        <v>45784</v>
      </c>
      <c r="G629" s="35" t="s">
        <v>87</v>
      </c>
      <c r="H629" s="35" t="str">
        <f>IFERROR(_xlfn.XLOOKUP(Table6[[#This Row],[Affected WTG]],'Basic Data'!$A:$A,'Basic Data'!$B:$B),"")</f>
        <v>TQGXIIPL</v>
      </c>
      <c r="I629" s="35" t="str">
        <f>IFERROR(_xlfn.XLOOKUP(Table6[[#This Row],[Affected WTG]],'Basic Data'!$A:$A,'Basic Data'!$C:$C),"")</f>
        <v>GEDA</v>
      </c>
      <c r="J629" s="471">
        <f>IFERROR(_xlfn.XLOOKUP(Table6[[#This Row],[Affected WTG]],'Basic Data'!$A:$A,'Basic Data'!$E:$E),"")</f>
        <v>3.846153846153845E-2</v>
      </c>
      <c r="K629" s="102">
        <v>642</v>
      </c>
      <c r="L629" s="35" t="str">
        <f>IFERROR(_xlfn.XLOOKUP(Table6[[#This Row],[Error Code]],'Basic Data'!$AA:$AA,'Basic Data'!$AB:$AB),"Incorrect Error Code")</f>
        <v>Sim.angle E enc. &lt;&gt; act.angle 2</v>
      </c>
      <c r="M629" s="35" t="s">
        <v>291</v>
      </c>
      <c r="N629" s="475"/>
      <c r="O629" s="476">
        <v>0.70694444444444449</v>
      </c>
      <c r="P629" s="476">
        <v>0.70694444444444449</v>
      </c>
      <c r="Q629" s="477">
        <v>0.72916666666666663</v>
      </c>
      <c r="R629" s="472">
        <f>IF(Table6[[#This Row],[Work Start TimeStamp]]="","",(Table6[[#This Row],[Work Start TimeStamp]]-Table6[[#This Row],[Fault Start TimeStamp]])*24)</f>
        <v>0</v>
      </c>
      <c r="S629" s="472">
        <f>(Table6[[#This Row],[Fault Clearance time]]-Table6[[#This Row],[Work Start TimeStamp]])*24</f>
        <v>0.53333333333333144</v>
      </c>
      <c r="T629" s="472">
        <f>(Table6[[#This Row],[Fault Clearance time]]-Table6[[#This Row],[Fault Start TimeStamp]])*24</f>
        <v>0.53333333333333144</v>
      </c>
      <c r="U629" s="35" t="s">
        <v>1774</v>
      </c>
      <c r="V629" s="102" t="s">
        <v>293</v>
      </c>
      <c r="W629" s="478">
        <f>IFERROR(Table6[[#This Row],[Breakdown Time]]*Table6[[#This Row],[Plant Equivalent Weightage]],"")</f>
        <v>2.0512820512820433E-2</v>
      </c>
      <c r="X629" s="473" t="s">
        <v>294</v>
      </c>
      <c r="Y629" s="474" t="s">
        <v>85</v>
      </c>
      <c r="Z629" s="102">
        <v>11445</v>
      </c>
      <c r="AA629" s="468">
        <f>(Table6[[#This Row],[Paired WTG Generation for loss calculation]]/24)*Table6[[#This Row],[Breakdown Time]]</f>
        <v>254.33333333333243</v>
      </c>
      <c r="AB629" s="102"/>
      <c r="AC629" s="35"/>
      <c r="AD629" s="35"/>
    </row>
    <row r="630" spans="1:30">
      <c r="A630" s="102">
        <f t="shared" si="10"/>
        <v>629</v>
      </c>
      <c r="B630" s="468">
        <f>YEAR(Table6[[#This Row],[Date]])+IF(MONTH(Table6[[#This Row],[Date]])&gt;=4,1,0)</f>
        <v>2026</v>
      </c>
      <c r="C630" s="102">
        <f>YEAR(Table6[[#This Row],[Date]])</f>
        <v>2025</v>
      </c>
      <c r="D630" s="102" t="s">
        <v>1992</v>
      </c>
      <c r="E630" s="469">
        <f>Table6[[#This Row],[Date]]-DAY(Table6[[#This Row],[Date]])+1</f>
        <v>45778</v>
      </c>
      <c r="F630" s="470">
        <v>45784</v>
      </c>
      <c r="G630" s="35" t="s">
        <v>87</v>
      </c>
      <c r="H630" s="35" t="str">
        <f>IFERROR(_xlfn.XLOOKUP(Table6[[#This Row],[Affected WTG]],'Basic Data'!$A:$A,'Basic Data'!$B:$B),"")</f>
        <v>TQGXIIPL</v>
      </c>
      <c r="I630" s="35" t="str">
        <f>IFERROR(_xlfn.XLOOKUP(Table6[[#This Row],[Affected WTG]],'Basic Data'!$A:$A,'Basic Data'!$C:$C),"")</f>
        <v>GEDA</v>
      </c>
      <c r="J630" s="471">
        <f>IFERROR(_xlfn.XLOOKUP(Table6[[#This Row],[Affected WTG]],'Basic Data'!$A:$A,'Basic Data'!$E:$E),"")</f>
        <v>3.846153846153845E-2</v>
      </c>
      <c r="K630" s="102">
        <v>642</v>
      </c>
      <c r="L630" s="35" t="str">
        <f>IFERROR(_xlfn.XLOOKUP(Table6[[#This Row],[Error Code]],'Basic Data'!$AA:$AA,'Basic Data'!$AB:$AB),"Incorrect Error Code")</f>
        <v>Sim.angle E enc. &lt;&gt; act.angle 2</v>
      </c>
      <c r="M630" s="35" t="s">
        <v>291</v>
      </c>
      <c r="N630" s="475"/>
      <c r="O630" s="476">
        <v>0.72916666666666663</v>
      </c>
      <c r="P630" s="476">
        <v>0.72916666666666663</v>
      </c>
      <c r="Q630" s="477">
        <v>0.74791666666666667</v>
      </c>
      <c r="R630" s="472">
        <f>IF(Table6[[#This Row],[Work Start TimeStamp]]="","",(Table6[[#This Row],[Work Start TimeStamp]]-Table6[[#This Row],[Fault Start TimeStamp]])*24)</f>
        <v>0</v>
      </c>
      <c r="S630" s="472">
        <f>(Table6[[#This Row],[Fault Clearance time]]-Table6[[#This Row],[Work Start TimeStamp]])*24</f>
        <v>0.45000000000000107</v>
      </c>
      <c r="T630" s="472">
        <f>(Table6[[#This Row],[Fault Clearance time]]-Table6[[#This Row],[Fault Start TimeStamp]])*24</f>
        <v>0.45000000000000107</v>
      </c>
      <c r="U630" s="35" t="s">
        <v>1771</v>
      </c>
      <c r="V630" s="102" t="s">
        <v>293</v>
      </c>
      <c r="W630" s="478">
        <f>IFERROR(Table6[[#This Row],[Breakdown Time]]*Table6[[#This Row],[Plant Equivalent Weightage]],"")</f>
        <v>1.7307692307692343E-2</v>
      </c>
      <c r="X630" s="473" t="s">
        <v>294</v>
      </c>
      <c r="Y630" s="474" t="s">
        <v>85</v>
      </c>
      <c r="Z630" s="102">
        <v>11445</v>
      </c>
      <c r="AA630" s="468">
        <f>(Table6[[#This Row],[Paired WTG Generation for loss calculation]]/24)*Table6[[#This Row],[Breakdown Time]]</f>
        <v>214.59375000000051</v>
      </c>
      <c r="AB630" s="102"/>
      <c r="AC630" s="35"/>
      <c r="AD630" s="35"/>
    </row>
    <row r="631" spans="1:30">
      <c r="A631" s="102">
        <f t="shared" si="10"/>
        <v>630</v>
      </c>
      <c r="B631" s="468">
        <f>YEAR(Table6[[#This Row],[Date]])+IF(MONTH(Table6[[#This Row],[Date]])&gt;=4,1,0)</f>
        <v>2026</v>
      </c>
      <c r="C631" s="102">
        <f>YEAR(Table6[[#This Row],[Date]])</f>
        <v>2025</v>
      </c>
      <c r="D631" s="102" t="s">
        <v>1992</v>
      </c>
      <c r="E631" s="469">
        <f>Table6[[#This Row],[Date]]-DAY(Table6[[#This Row],[Date]])+1</f>
        <v>45778</v>
      </c>
      <c r="F631" s="470">
        <v>45784</v>
      </c>
      <c r="G631" s="35" t="s">
        <v>88</v>
      </c>
      <c r="H631" s="35" t="str">
        <f>IFERROR(_xlfn.XLOOKUP(Table6[[#This Row],[Affected WTG]],'Basic Data'!$A:$A,'Basic Data'!$B:$B),"")</f>
        <v>TQGXIIPL</v>
      </c>
      <c r="I631" s="35" t="str">
        <f>IFERROR(_xlfn.XLOOKUP(Table6[[#This Row],[Affected WTG]],'Basic Data'!$A:$A,'Basic Data'!$C:$C),"")</f>
        <v>GEDA</v>
      </c>
      <c r="J631" s="471">
        <f>IFERROR(_xlfn.XLOOKUP(Table6[[#This Row],[Affected WTG]],'Basic Data'!$A:$A,'Basic Data'!$E:$E),"")</f>
        <v>3.846153846153845E-2</v>
      </c>
      <c r="K631" s="102">
        <v>175</v>
      </c>
      <c r="L631" s="35" t="str">
        <f>IFERROR(_xlfn.XLOOKUP(Table6[[#This Row],[Error Code]],'Basic Data'!$AA:$AA,'Basic Data'!$AB:$AB),"Incorrect Error Code")</f>
        <v>SLC error</v>
      </c>
      <c r="M631" s="35" t="s">
        <v>291</v>
      </c>
      <c r="N631" s="475"/>
      <c r="O631" s="476">
        <v>9.0277777777777776E-2</v>
      </c>
      <c r="P631" s="476">
        <v>9.0277777777777776E-2</v>
      </c>
      <c r="Q631" s="477">
        <v>0.1451388888888889</v>
      </c>
      <c r="R631" s="472">
        <f>IF(Table6[[#This Row],[Work Start TimeStamp]]="","",(Table6[[#This Row],[Work Start TimeStamp]]-Table6[[#This Row],[Fault Start TimeStamp]])*24)</f>
        <v>0</v>
      </c>
      <c r="S631" s="472">
        <f>(Table6[[#This Row],[Fault Clearance time]]-Table6[[#This Row],[Work Start TimeStamp]])*24</f>
        <v>1.3166666666666669</v>
      </c>
      <c r="T631" s="472">
        <f>(Table6[[#This Row],[Fault Clearance time]]-Table6[[#This Row],[Fault Start TimeStamp]])*24</f>
        <v>1.3166666666666669</v>
      </c>
      <c r="U631" s="35" t="s">
        <v>1771</v>
      </c>
      <c r="V631" s="102" t="s">
        <v>293</v>
      </c>
      <c r="W631" s="478">
        <f>IFERROR(Table6[[#This Row],[Breakdown Time]]*Table6[[#This Row],[Plant Equivalent Weightage]],"")</f>
        <v>5.0641025641025635E-2</v>
      </c>
      <c r="X631" s="473" t="s">
        <v>294</v>
      </c>
      <c r="Y631" s="474" t="s">
        <v>83</v>
      </c>
      <c r="Z631" s="102">
        <v>14677</v>
      </c>
      <c r="AA631" s="468">
        <f>(Table6[[#This Row],[Paired WTG Generation for loss calculation]]/24)*Table6[[#This Row],[Breakdown Time]]</f>
        <v>805.19652777777787</v>
      </c>
      <c r="AB631" s="102"/>
      <c r="AC631" s="35"/>
      <c r="AD631" s="35"/>
    </row>
    <row r="632" spans="1:30">
      <c r="A632" s="102">
        <f t="shared" si="10"/>
        <v>631</v>
      </c>
      <c r="B632" s="468">
        <f>YEAR(Table6[[#This Row],[Date]])+IF(MONTH(Table6[[#This Row],[Date]])&gt;=4,1,0)</f>
        <v>2026</v>
      </c>
      <c r="C632" s="102">
        <f>YEAR(Table6[[#This Row],[Date]])</f>
        <v>2025</v>
      </c>
      <c r="D632" s="102" t="s">
        <v>1992</v>
      </c>
      <c r="E632" s="469">
        <f>Table6[[#This Row],[Date]]-DAY(Table6[[#This Row],[Date]])+1</f>
        <v>45778</v>
      </c>
      <c r="F632" s="470">
        <v>45784</v>
      </c>
      <c r="G632" s="35" t="s">
        <v>88</v>
      </c>
      <c r="H632" s="35" t="str">
        <f>IFERROR(_xlfn.XLOOKUP(Table6[[#This Row],[Affected WTG]],'Basic Data'!$A:$A,'Basic Data'!$B:$B),"")</f>
        <v>TQGXIIPL</v>
      </c>
      <c r="I632" s="35" t="str">
        <f>IFERROR(_xlfn.XLOOKUP(Table6[[#This Row],[Affected WTG]],'Basic Data'!$A:$A,'Basic Data'!$C:$C),"")</f>
        <v>GEDA</v>
      </c>
      <c r="J632" s="471">
        <f>IFERROR(_xlfn.XLOOKUP(Table6[[#This Row],[Affected WTG]],'Basic Data'!$A:$A,'Basic Data'!$E:$E),"")</f>
        <v>3.846153846153845E-2</v>
      </c>
      <c r="K632" s="102">
        <v>175</v>
      </c>
      <c r="L632" s="35" t="str">
        <f>IFERROR(_xlfn.XLOOKUP(Table6[[#This Row],[Error Code]],'Basic Data'!$AA:$AA,'Basic Data'!$AB:$AB),"Incorrect Error Code")</f>
        <v>SLC error</v>
      </c>
      <c r="M632" s="35" t="s">
        <v>291</v>
      </c>
      <c r="N632" s="475"/>
      <c r="O632" s="476">
        <v>0.70694444444444449</v>
      </c>
      <c r="P632" s="476">
        <v>0.70694444444444449</v>
      </c>
      <c r="Q632" s="477">
        <v>0.72986111111111107</v>
      </c>
      <c r="R632" s="472">
        <f>IF(Table6[[#This Row],[Work Start TimeStamp]]="","",(Table6[[#This Row],[Work Start TimeStamp]]-Table6[[#This Row],[Fault Start TimeStamp]])*24)</f>
        <v>0</v>
      </c>
      <c r="S632" s="472">
        <f>(Table6[[#This Row],[Fault Clearance time]]-Table6[[#This Row],[Work Start TimeStamp]])*24</f>
        <v>0.54999999999999805</v>
      </c>
      <c r="T632" s="472">
        <f>(Table6[[#This Row],[Fault Clearance time]]-Table6[[#This Row],[Fault Start TimeStamp]])*24</f>
        <v>0.54999999999999805</v>
      </c>
      <c r="U632" s="35" t="s">
        <v>1775</v>
      </c>
      <c r="V632" s="102" t="s">
        <v>293</v>
      </c>
      <c r="W632" s="478">
        <f>IFERROR(Table6[[#This Row],[Breakdown Time]]*Table6[[#This Row],[Plant Equivalent Weightage]],"")</f>
        <v>2.1153846153846072E-2</v>
      </c>
      <c r="X632" s="473" t="s">
        <v>294</v>
      </c>
      <c r="Y632" s="474" t="s">
        <v>83</v>
      </c>
      <c r="Z632" s="102">
        <v>14677</v>
      </c>
      <c r="AA632" s="468">
        <f>(Table6[[#This Row],[Paired WTG Generation for loss calculation]]/24)*Table6[[#This Row],[Breakdown Time]]</f>
        <v>336.34791666666547</v>
      </c>
      <c r="AB632" s="102"/>
      <c r="AC632" s="35"/>
      <c r="AD632" s="35"/>
    </row>
    <row r="633" spans="1:30">
      <c r="A633" s="102">
        <f t="shared" si="10"/>
        <v>632</v>
      </c>
      <c r="B633" s="468">
        <f>YEAR(Table6[[#This Row],[Date]])+IF(MONTH(Table6[[#This Row],[Date]])&gt;=4,1,0)</f>
        <v>2026</v>
      </c>
      <c r="C633" s="102">
        <f>YEAR(Table6[[#This Row],[Date]])</f>
        <v>2025</v>
      </c>
      <c r="D633" s="102" t="s">
        <v>1992</v>
      </c>
      <c r="E633" s="469">
        <f>Table6[[#This Row],[Date]]-DAY(Table6[[#This Row],[Date]])+1</f>
        <v>45778</v>
      </c>
      <c r="F633" s="470">
        <v>45784</v>
      </c>
      <c r="G633" s="35" t="s">
        <v>88</v>
      </c>
      <c r="H633" s="35" t="str">
        <f>IFERROR(_xlfn.XLOOKUP(Table6[[#This Row],[Affected WTG]],'Basic Data'!$A:$A,'Basic Data'!$B:$B),"")</f>
        <v>TQGXIIPL</v>
      </c>
      <c r="I633" s="35" t="str">
        <f>IFERROR(_xlfn.XLOOKUP(Table6[[#This Row],[Affected WTG]],'Basic Data'!$A:$A,'Basic Data'!$C:$C),"")</f>
        <v>GEDA</v>
      </c>
      <c r="J633" s="471">
        <f>IFERROR(_xlfn.XLOOKUP(Table6[[#This Row],[Affected WTG]],'Basic Data'!$A:$A,'Basic Data'!$E:$E),"")</f>
        <v>3.846153846153845E-2</v>
      </c>
      <c r="K633" s="102">
        <v>741</v>
      </c>
      <c r="L633" s="35" t="str">
        <f>IFERROR(_xlfn.XLOOKUP(Table6[[#This Row],[Error Code]],'Basic Data'!$AA:$AA,'Basic Data'!$AB:$AB),"Incorrect Error Code")</f>
        <v>Battery drive trigger by HC</v>
      </c>
      <c r="M633" s="35" t="s">
        <v>291</v>
      </c>
      <c r="N633" s="475"/>
      <c r="O633" s="476">
        <v>0.73263888888888884</v>
      </c>
      <c r="P633" s="476">
        <v>0.73263888888888884</v>
      </c>
      <c r="Q633" s="477">
        <v>0.80069444444444449</v>
      </c>
      <c r="R633" s="472">
        <f>IF(Table6[[#This Row],[Work Start TimeStamp]]="","",(Table6[[#This Row],[Work Start TimeStamp]]-Table6[[#This Row],[Fault Start TimeStamp]])*24)</f>
        <v>0</v>
      </c>
      <c r="S633" s="472">
        <f>(Table6[[#This Row],[Fault Clearance time]]-Table6[[#This Row],[Work Start TimeStamp]])*24</f>
        <v>1.6333333333333355</v>
      </c>
      <c r="T633" s="472">
        <f>(Table6[[#This Row],[Fault Clearance time]]-Table6[[#This Row],[Fault Start TimeStamp]])*24</f>
        <v>1.6333333333333355</v>
      </c>
      <c r="U633" s="35" t="s">
        <v>1776</v>
      </c>
      <c r="V633" s="102" t="s">
        <v>293</v>
      </c>
      <c r="W633" s="478">
        <f>IFERROR(Table6[[#This Row],[Breakdown Time]]*Table6[[#This Row],[Plant Equivalent Weightage]],"")</f>
        <v>6.2820512820512889E-2</v>
      </c>
      <c r="X633" s="473" t="s">
        <v>294</v>
      </c>
      <c r="Y633" s="474" t="s">
        <v>83</v>
      </c>
      <c r="Z633" s="102">
        <v>14677</v>
      </c>
      <c r="AA633" s="468">
        <f>(Table6[[#This Row],[Paired WTG Generation for loss calculation]]/24)*Table6[[#This Row],[Breakdown Time]]</f>
        <v>998.85138888889014</v>
      </c>
      <c r="AB633" s="102"/>
      <c r="AC633" s="35"/>
      <c r="AD633" s="35"/>
    </row>
    <row r="634" spans="1:30">
      <c r="A634" s="102">
        <f t="shared" si="10"/>
        <v>633</v>
      </c>
      <c r="B634" s="468">
        <f>YEAR(Table6[[#This Row],[Date]])+IF(MONTH(Table6[[#This Row],[Date]])&gt;=4,1,0)</f>
        <v>2026</v>
      </c>
      <c r="C634" s="102">
        <f>YEAR(Table6[[#This Row],[Date]])</f>
        <v>2025</v>
      </c>
      <c r="D634" s="102" t="s">
        <v>1992</v>
      </c>
      <c r="E634" s="469">
        <f>Table6[[#This Row],[Date]]-DAY(Table6[[#This Row],[Date]])+1</f>
        <v>45778</v>
      </c>
      <c r="F634" s="470">
        <v>45784</v>
      </c>
      <c r="G634" s="35" t="s">
        <v>89</v>
      </c>
      <c r="H634" s="35" t="str">
        <f>IFERROR(_xlfn.XLOOKUP(Table6[[#This Row],[Affected WTG]],'Basic Data'!$A:$A,'Basic Data'!$B:$B),"")</f>
        <v>TQGXIIPL</v>
      </c>
      <c r="I634" s="35" t="str">
        <f>IFERROR(_xlfn.XLOOKUP(Table6[[#This Row],[Affected WTG]],'Basic Data'!$A:$A,'Basic Data'!$C:$C),"")</f>
        <v>GEDA</v>
      </c>
      <c r="J634" s="471">
        <f>IFERROR(_xlfn.XLOOKUP(Table6[[#This Row],[Affected WTG]],'Basic Data'!$A:$A,'Basic Data'!$E:$E),"")</f>
        <v>3.846153846153845E-2</v>
      </c>
      <c r="K634" s="102">
        <v>3000</v>
      </c>
      <c r="L634" s="35" t="str">
        <f>IFERROR(_xlfn.XLOOKUP(Table6[[#This Row],[Error Code]],'Basic Data'!$AA:$AA,'Basic Data'!$AB:$AB),"Incorrect Error Code")</f>
        <v>Frequency converter not ready</v>
      </c>
      <c r="M634" s="35" t="s">
        <v>295</v>
      </c>
      <c r="N634" s="475"/>
      <c r="O634" s="476">
        <v>0</v>
      </c>
      <c r="P634" s="476">
        <v>0</v>
      </c>
      <c r="Q634" s="477">
        <v>0.73958333333333337</v>
      </c>
      <c r="R634" s="472">
        <f>IF(Table6[[#This Row],[Work Start TimeStamp]]="","",(Table6[[#This Row],[Work Start TimeStamp]]-Table6[[#This Row],[Fault Start TimeStamp]])*24)</f>
        <v>0</v>
      </c>
      <c r="S634" s="472">
        <f>(Table6[[#This Row],[Fault Clearance time]]-Table6[[#This Row],[Work Start TimeStamp]])*24</f>
        <v>17.75</v>
      </c>
      <c r="T634" s="472">
        <f>(Table6[[#This Row],[Fault Clearance time]]-Table6[[#This Row],[Fault Start TimeStamp]])*24</f>
        <v>17.75</v>
      </c>
      <c r="U634" s="35" t="s">
        <v>1777</v>
      </c>
      <c r="V634" s="102" t="s">
        <v>293</v>
      </c>
      <c r="W634" s="478">
        <f>IFERROR(Table6[[#This Row],[Breakdown Time]]*Table6[[#This Row],[Plant Equivalent Weightage]],"")</f>
        <v>0.68269230769230749</v>
      </c>
      <c r="X634" s="473" t="s">
        <v>290</v>
      </c>
      <c r="Y634" s="474" t="s">
        <v>94</v>
      </c>
      <c r="Z634" s="102">
        <v>21725</v>
      </c>
      <c r="AA634" s="468">
        <f>(Table6[[#This Row],[Paired WTG Generation for loss calculation]]/24)*Table6[[#This Row],[Breakdown Time]]</f>
        <v>16067.447916666668</v>
      </c>
      <c r="AB634" s="102"/>
      <c r="AC634" s="35"/>
      <c r="AD634" s="35"/>
    </row>
    <row r="635" spans="1:30">
      <c r="A635" s="102">
        <f t="shared" si="10"/>
        <v>634</v>
      </c>
      <c r="B635" s="468">
        <f>YEAR(Table6[[#This Row],[Date]])+IF(MONTH(Table6[[#This Row],[Date]])&gt;=4,1,0)</f>
        <v>2026</v>
      </c>
      <c r="C635" s="102">
        <f>YEAR(Table6[[#This Row],[Date]])</f>
        <v>2025</v>
      </c>
      <c r="D635" s="102" t="s">
        <v>1992</v>
      </c>
      <c r="E635" s="469">
        <f>Table6[[#This Row],[Date]]-DAY(Table6[[#This Row],[Date]])+1</f>
        <v>45778</v>
      </c>
      <c r="F635" s="470">
        <v>45784</v>
      </c>
      <c r="G635" s="35" t="s">
        <v>90</v>
      </c>
      <c r="H635" s="35" t="str">
        <f>IFERROR(_xlfn.XLOOKUP(Table6[[#This Row],[Affected WTG]],'Basic Data'!$A:$A,'Basic Data'!$B:$B),"")</f>
        <v>TQGXIIPL</v>
      </c>
      <c r="I635" s="35" t="str">
        <f>IFERROR(_xlfn.XLOOKUP(Table6[[#This Row],[Affected WTG]],'Basic Data'!$A:$A,'Basic Data'!$C:$C),"")</f>
        <v>GEDA</v>
      </c>
      <c r="J635" s="471">
        <f>IFERROR(_xlfn.XLOOKUP(Table6[[#This Row],[Affected WTG]],'Basic Data'!$A:$A,'Basic Data'!$E:$E),"")</f>
        <v>3.846153846153845E-2</v>
      </c>
      <c r="K635" s="102">
        <v>3110</v>
      </c>
      <c r="L635" s="35" t="str">
        <f>IFERROR(_xlfn.XLOOKUP(Table6[[#This Row],[Error Code]],'Basic Data'!$AA:$AA,'Basic Data'!$AB:$AB),"Incorrect Error Code")</f>
        <v>Frequency converter error</v>
      </c>
      <c r="M635" s="35" t="s">
        <v>291</v>
      </c>
      <c r="N635" s="475"/>
      <c r="O635" s="476">
        <v>0.80972222222222223</v>
      </c>
      <c r="P635" s="476">
        <v>0.80972222222222223</v>
      </c>
      <c r="Q635" s="477">
        <v>0.94097222222222221</v>
      </c>
      <c r="R635" s="472">
        <f>IF(Table6[[#This Row],[Work Start TimeStamp]]="","",(Table6[[#This Row],[Work Start TimeStamp]]-Table6[[#This Row],[Fault Start TimeStamp]])*24)</f>
        <v>0</v>
      </c>
      <c r="S635" s="472">
        <f>(Table6[[#This Row],[Fault Clearance time]]-Table6[[#This Row],[Work Start TimeStamp]])*24</f>
        <v>3.1499999999999995</v>
      </c>
      <c r="T635" s="472">
        <f>(Table6[[#This Row],[Fault Clearance time]]-Table6[[#This Row],[Fault Start TimeStamp]])*24</f>
        <v>3.1499999999999995</v>
      </c>
      <c r="U635" s="35" t="s">
        <v>1778</v>
      </c>
      <c r="V635" s="102" t="s">
        <v>293</v>
      </c>
      <c r="W635" s="478">
        <f>IFERROR(Table6[[#This Row],[Breakdown Time]]*Table6[[#This Row],[Plant Equivalent Weightage]],"")</f>
        <v>0.1211538461538461</v>
      </c>
      <c r="X635" s="473" t="s">
        <v>294</v>
      </c>
      <c r="Y635" s="474" t="s">
        <v>95</v>
      </c>
      <c r="Z635" s="102">
        <v>19485</v>
      </c>
      <c r="AA635" s="468">
        <f>(Table6[[#This Row],[Paired WTG Generation for loss calculation]]/24)*Table6[[#This Row],[Breakdown Time]]</f>
        <v>2557.4062499999995</v>
      </c>
      <c r="AB635" s="102"/>
      <c r="AC635" s="35"/>
      <c r="AD635" s="35"/>
    </row>
    <row r="636" spans="1:30">
      <c r="A636" s="102">
        <f t="shared" si="10"/>
        <v>635</v>
      </c>
      <c r="B636" s="468">
        <f>YEAR(Table6[[#This Row],[Date]])+IF(MONTH(Table6[[#This Row],[Date]])&gt;=4,1,0)</f>
        <v>2026</v>
      </c>
      <c r="C636" s="102">
        <f>YEAR(Table6[[#This Row],[Date]])</f>
        <v>2025</v>
      </c>
      <c r="D636" s="102" t="s">
        <v>1992</v>
      </c>
      <c r="E636" s="469">
        <f>Table6[[#This Row],[Date]]-DAY(Table6[[#This Row],[Date]])+1</f>
        <v>45778</v>
      </c>
      <c r="F636" s="470">
        <v>45784</v>
      </c>
      <c r="G636" s="35" t="s">
        <v>93</v>
      </c>
      <c r="H636" s="35" t="str">
        <f>IFERROR(_xlfn.XLOOKUP(Table6[[#This Row],[Affected WTG]],'Basic Data'!$A:$A,'Basic Data'!$B:$B),"")</f>
        <v>TQGXIIPL</v>
      </c>
      <c r="I636" s="35" t="str">
        <f>IFERROR(_xlfn.XLOOKUP(Table6[[#This Row],[Affected WTG]],'Basic Data'!$A:$A,'Basic Data'!$C:$C),"")</f>
        <v>GEDA</v>
      </c>
      <c r="J636" s="471">
        <f>IFERROR(_xlfn.XLOOKUP(Table6[[#This Row],[Affected WTG]],'Basic Data'!$A:$A,'Basic Data'!$E:$E),"")</f>
        <v>3.846153846153845E-2</v>
      </c>
      <c r="K636" s="102">
        <v>55</v>
      </c>
      <c r="L636" s="35" t="str">
        <f>IFERROR(_xlfn.XLOOKUP(Table6[[#This Row],[Error Code]],'Basic Data'!$AA:$AA,'Basic Data'!$AB:$AB),"Incorrect Error Code")</f>
        <v>WTG shut down</v>
      </c>
      <c r="M636" s="35" t="s">
        <v>295</v>
      </c>
      <c r="N636" s="475"/>
      <c r="O636" s="476">
        <v>0.71875</v>
      </c>
      <c r="P636" s="476">
        <v>0.71875</v>
      </c>
      <c r="Q636" s="477">
        <v>0.97880787037037043</v>
      </c>
      <c r="R636" s="472">
        <f>IF(Table6[[#This Row],[Work Start TimeStamp]]="","",(Table6[[#This Row],[Work Start TimeStamp]]-Table6[[#This Row],[Fault Start TimeStamp]])*24)</f>
        <v>0</v>
      </c>
      <c r="S636" s="472">
        <f>(Table6[[#This Row],[Fault Clearance time]]-Table6[[#This Row],[Work Start TimeStamp]])*24</f>
        <v>6.2413888888888902</v>
      </c>
      <c r="T636" s="472">
        <f>(Table6[[#This Row],[Fault Clearance time]]-Table6[[#This Row],[Fault Start TimeStamp]])*24</f>
        <v>6.2413888888888902</v>
      </c>
      <c r="U636" s="35" t="s">
        <v>1779</v>
      </c>
      <c r="V636" s="102" t="s">
        <v>335</v>
      </c>
      <c r="W636" s="478">
        <f>IFERROR(Table6[[#This Row],[Breakdown Time]]*Table6[[#This Row],[Plant Equivalent Weightage]],"")</f>
        <v>0.24005341880341879</v>
      </c>
      <c r="X636" s="473" t="s">
        <v>290</v>
      </c>
      <c r="Y636" s="474" t="s">
        <v>97</v>
      </c>
      <c r="Z636" s="102">
        <v>10416</v>
      </c>
      <c r="AA636" s="468">
        <f>(Table6[[#This Row],[Paired WTG Generation for loss calculation]]/24)*Table6[[#This Row],[Breakdown Time]]</f>
        <v>2708.7627777777784</v>
      </c>
      <c r="AB636" s="102"/>
      <c r="AC636" s="35"/>
      <c r="AD636" s="35"/>
    </row>
    <row r="637" spans="1:30">
      <c r="A637" s="102">
        <f t="shared" si="10"/>
        <v>636</v>
      </c>
      <c r="B637" s="468">
        <f>YEAR(Table6[[#This Row],[Date]])+IF(MONTH(Table6[[#This Row],[Date]])&gt;=4,1,0)</f>
        <v>2026</v>
      </c>
      <c r="C637" s="102">
        <f>YEAR(Table6[[#This Row],[Date]])</f>
        <v>2025</v>
      </c>
      <c r="D637" s="102" t="s">
        <v>1992</v>
      </c>
      <c r="E637" s="469">
        <f>Table6[[#This Row],[Date]]-DAY(Table6[[#This Row],[Date]])+1</f>
        <v>45778</v>
      </c>
      <c r="F637" s="470">
        <v>45784</v>
      </c>
      <c r="G637" s="35" t="s">
        <v>96</v>
      </c>
      <c r="H637" s="35" t="str">
        <f>IFERROR(_xlfn.XLOOKUP(Table6[[#This Row],[Affected WTG]],'Basic Data'!$A:$A,'Basic Data'!$B:$B),"")</f>
        <v>TQGXIIPL</v>
      </c>
      <c r="I637" s="35" t="str">
        <f>IFERROR(_xlfn.XLOOKUP(Table6[[#This Row],[Affected WTG]],'Basic Data'!$A:$A,'Basic Data'!$C:$C),"")</f>
        <v>GEDA</v>
      </c>
      <c r="J637" s="471">
        <f>IFERROR(_xlfn.XLOOKUP(Table6[[#This Row],[Affected WTG]],'Basic Data'!$A:$A,'Basic Data'!$E:$E),"")</f>
        <v>3.846153846153845E-2</v>
      </c>
      <c r="K637" s="102">
        <v>3420</v>
      </c>
      <c r="L637" s="35" t="str">
        <f>IFERROR(_xlfn.XLOOKUP(Table6[[#This Row],[Error Code]],'Basic Data'!$AA:$AA,'Basic Data'!$AB:$AB),"Incorrect Error Code")</f>
        <v>UPS buffer time too short</v>
      </c>
      <c r="M637" s="35" t="s">
        <v>291</v>
      </c>
      <c r="N637" s="475"/>
      <c r="O637" s="476">
        <v>9.0277777777777776E-2</v>
      </c>
      <c r="P637" s="476">
        <v>9.0277777777777776E-2</v>
      </c>
      <c r="Q637" s="477">
        <v>0.1423611111111111</v>
      </c>
      <c r="R637" s="472">
        <f>IF(Table6[[#This Row],[Work Start TimeStamp]]="","",(Table6[[#This Row],[Work Start TimeStamp]]-Table6[[#This Row],[Fault Start TimeStamp]])*24)</f>
        <v>0</v>
      </c>
      <c r="S637" s="472">
        <f>(Table6[[#This Row],[Fault Clearance time]]-Table6[[#This Row],[Work Start TimeStamp]])*24</f>
        <v>1.25</v>
      </c>
      <c r="T637" s="472">
        <f>(Table6[[#This Row],[Fault Clearance time]]-Table6[[#This Row],[Fault Start TimeStamp]])*24</f>
        <v>1.25</v>
      </c>
      <c r="U637" s="35" t="s">
        <v>1771</v>
      </c>
      <c r="V637" s="102" t="s">
        <v>293</v>
      </c>
      <c r="W637" s="478">
        <f>IFERROR(Table6[[#This Row],[Breakdown Time]]*Table6[[#This Row],[Plant Equivalent Weightage]],"")</f>
        <v>4.8076923076923059E-2</v>
      </c>
      <c r="X637" s="473" t="s">
        <v>294</v>
      </c>
      <c r="Y637" s="474" t="s">
        <v>84</v>
      </c>
      <c r="Z637" s="102">
        <v>14545</v>
      </c>
      <c r="AA637" s="468">
        <f>(Table6[[#This Row],[Paired WTG Generation for loss calculation]]/24)*Table6[[#This Row],[Breakdown Time]]</f>
        <v>757.55208333333326</v>
      </c>
      <c r="AB637" s="102"/>
      <c r="AC637" s="35"/>
      <c r="AD637" s="35"/>
    </row>
    <row r="638" spans="1:30">
      <c r="A638" s="102">
        <f t="shared" si="10"/>
        <v>637</v>
      </c>
      <c r="B638" s="468">
        <f>YEAR(Table6[[#This Row],[Date]])+IF(MONTH(Table6[[#This Row],[Date]])&gt;=4,1,0)</f>
        <v>2026</v>
      </c>
      <c r="C638" s="102">
        <f>YEAR(Table6[[#This Row],[Date]])</f>
        <v>2025</v>
      </c>
      <c r="D638" s="102" t="s">
        <v>1992</v>
      </c>
      <c r="E638" s="469">
        <f>Table6[[#This Row],[Date]]-DAY(Table6[[#This Row],[Date]])+1</f>
        <v>45778</v>
      </c>
      <c r="F638" s="470">
        <v>45784</v>
      </c>
      <c r="G638" s="35" t="s">
        <v>96</v>
      </c>
      <c r="H638" s="35" t="str">
        <f>IFERROR(_xlfn.XLOOKUP(Table6[[#This Row],[Affected WTG]],'Basic Data'!$A:$A,'Basic Data'!$B:$B),"")</f>
        <v>TQGXIIPL</v>
      </c>
      <c r="I638" s="35" t="str">
        <f>IFERROR(_xlfn.XLOOKUP(Table6[[#This Row],[Affected WTG]],'Basic Data'!$A:$A,'Basic Data'!$C:$C),"")</f>
        <v>GEDA</v>
      </c>
      <c r="J638" s="471">
        <f>IFERROR(_xlfn.XLOOKUP(Table6[[#This Row],[Affected WTG]],'Basic Data'!$A:$A,'Basic Data'!$E:$E),"")</f>
        <v>3.846153846153845E-2</v>
      </c>
      <c r="K638" s="102">
        <v>4093</v>
      </c>
      <c r="L638" s="35" t="str">
        <f>IFERROR(_xlfn.XLOOKUP(Table6[[#This Row],[Error Code]],'Basic Data'!$AA:$AA,'Basic Data'!$AB:$AB),"Incorrect Error Code")</f>
        <v>Rel. air hum. tower base inside too high (in operation)</v>
      </c>
      <c r="M638" s="35" t="s">
        <v>291</v>
      </c>
      <c r="N638" s="475"/>
      <c r="O638" s="476">
        <v>0.26944444444444443</v>
      </c>
      <c r="P638" s="476">
        <v>0.26944444444444443</v>
      </c>
      <c r="Q638" s="477">
        <v>0.37569444444444444</v>
      </c>
      <c r="R638" s="472">
        <f>IF(Table6[[#This Row],[Work Start TimeStamp]]="","",(Table6[[#This Row],[Work Start TimeStamp]]-Table6[[#This Row],[Fault Start TimeStamp]])*24)</f>
        <v>0</v>
      </c>
      <c r="S638" s="472">
        <f>(Table6[[#This Row],[Fault Clearance time]]-Table6[[#This Row],[Work Start TimeStamp]])*24</f>
        <v>2.5500000000000003</v>
      </c>
      <c r="T638" s="472">
        <f>(Table6[[#This Row],[Fault Clearance time]]-Table6[[#This Row],[Fault Start TimeStamp]])*24</f>
        <v>2.5500000000000003</v>
      </c>
      <c r="U638" s="35" t="s">
        <v>1780</v>
      </c>
      <c r="V638" s="102" t="s">
        <v>293</v>
      </c>
      <c r="W638" s="478">
        <f>IFERROR(Table6[[#This Row],[Breakdown Time]]*Table6[[#This Row],[Plant Equivalent Weightage]],"")</f>
        <v>9.8076923076923062E-2</v>
      </c>
      <c r="X638" s="473" t="s">
        <v>294</v>
      </c>
      <c r="Y638" s="474" t="s">
        <v>84</v>
      </c>
      <c r="Z638" s="102">
        <v>14545</v>
      </c>
      <c r="AA638" s="468">
        <f>(Table6[[#This Row],[Paired WTG Generation for loss calculation]]/24)*Table6[[#This Row],[Breakdown Time]]</f>
        <v>1545.40625</v>
      </c>
      <c r="AB638" s="102"/>
      <c r="AC638" s="35"/>
      <c r="AD638" s="35"/>
    </row>
    <row r="639" spans="1:30">
      <c r="A639" s="102">
        <f t="shared" si="10"/>
        <v>638</v>
      </c>
      <c r="B639" s="468">
        <f>YEAR(Table6[[#This Row],[Date]])+IF(MONTH(Table6[[#This Row],[Date]])&gt;=4,1,0)</f>
        <v>2026</v>
      </c>
      <c r="C639" s="102">
        <f>YEAR(Table6[[#This Row],[Date]])</f>
        <v>2025</v>
      </c>
      <c r="D639" s="102" t="s">
        <v>1992</v>
      </c>
      <c r="E639" s="469">
        <f>Table6[[#This Row],[Date]]-DAY(Table6[[#This Row],[Date]])+1</f>
        <v>45778</v>
      </c>
      <c r="F639" s="470">
        <v>45784</v>
      </c>
      <c r="G639" s="35" t="s">
        <v>96</v>
      </c>
      <c r="H639" s="35" t="str">
        <f>IFERROR(_xlfn.XLOOKUP(Table6[[#This Row],[Affected WTG]],'Basic Data'!$A:$A,'Basic Data'!$B:$B),"")</f>
        <v>TQGXIIPL</v>
      </c>
      <c r="I639" s="35" t="str">
        <f>IFERROR(_xlfn.XLOOKUP(Table6[[#This Row],[Affected WTG]],'Basic Data'!$A:$A,'Basic Data'!$C:$C),"")</f>
        <v>GEDA</v>
      </c>
      <c r="J639" s="471">
        <f>IFERROR(_xlfn.XLOOKUP(Table6[[#This Row],[Affected WTG]],'Basic Data'!$A:$A,'Basic Data'!$E:$E),"")</f>
        <v>3.846153846153845E-2</v>
      </c>
      <c r="K639" s="102">
        <v>175</v>
      </c>
      <c r="L639" s="35" t="str">
        <f>IFERROR(_xlfn.XLOOKUP(Table6[[#This Row],[Error Code]],'Basic Data'!$AA:$AA,'Basic Data'!$AB:$AB),"Incorrect Error Code")</f>
        <v>SLC error</v>
      </c>
      <c r="M639" s="35" t="s">
        <v>291</v>
      </c>
      <c r="N639" s="475"/>
      <c r="O639" s="476">
        <v>0.70694444444444449</v>
      </c>
      <c r="P639" s="476">
        <v>0.70694444444444449</v>
      </c>
      <c r="Q639" s="477">
        <v>0.73263888888888884</v>
      </c>
      <c r="R639" s="472">
        <f>IF(Table6[[#This Row],[Work Start TimeStamp]]="","",(Table6[[#This Row],[Work Start TimeStamp]]-Table6[[#This Row],[Fault Start TimeStamp]])*24)</f>
        <v>0</v>
      </c>
      <c r="S639" s="472">
        <f>(Table6[[#This Row],[Fault Clearance time]]-Table6[[#This Row],[Work Start TimeStamp]])*24</f>
        <v>0.61666666666666448</v>
      </c>
      <c r="T639" s="472">
        <f>(Table6[[#This Row],[Fault Clearance time]]-Table6[[#This Row],[Fault Start TimeStamp]])*24</f>
        <v>0.61666666666666448</v>
      </c>
      <c r="U639" s="35" t="s">
        <v>1771</v>
      </c>
      <c r="V639" s="102" t="s">
        <v>293</v>
      </c>
      <c r="W639" s="478">
        <f>IFERROR(Table6[[#This Row],[Breakdown Time]]*Table6[[#This Row],[Plant Equivalent Weightage]],"")</f>
        <v>2.3717948717948627E-2</v>
      </c>
      <c r="X639" s="473" t="s">
        <v>294</v>
      </c>
      <c r="Y639" s="474" t="s">
        <v>84</v>
      </c>
      <c r="Z639" s="102">
        <v>14545</v>
      </c>
      <c r="AA639" s="468">
        <f>(Table6[[#This Row],[Paired WTG Generation for loss calculation]]/24)*Table6[[#This Row],[Breakdown Time]]</f>
        <v>373.72569444444309</v>
      </c>
      <c r="AB639" s="102"/>
      <c r="AC639" s="35"/>
      <c r="AD639" s="35"/>
    </row>
    <row r="640" spans="1:30">
      <c r="A640" s="102">
        <f t="shared" si="10"/>
        <v>639</v>
      </c>
      <c r="B640" s="468">
        <f>YEAR(Table6[[#This Row],[Date]])+IF(MONTH(Table6[[#This Row],[Date]])&gt;=4,1,0)</f>
        <v>2026</v>
      </c>
      <c r="C640" s="102">
        <f>YEAR(Table6[[#This Row],[Date]])</f>
        <v>2025</v>
      </c>
      <c r="D640" s="102" t="s">
        <v>1992</v>
      </c>
      <c r="E640" s="469">
        <f>Table6[[#This Row],[Date]]-DAY(Table6[[#This Row],[Date]])+1</f>
        <v>45778</v>
      </c>
      <c r="F640" s="470">
        <v>45784</v>
      </c>
      <c r="G640" s="35" t="s">
        <v>97</v>
      </c>
      <c r="H640" s="35" t="str">
        <f>IFERROR(_xlfn.XLOOKUP(Table6[[#This Row],[Affected WTG]],'Basic Data'!$A:$A,'Basic Data'!$B:$B),"")</f>
        <v>TQGXIIPL</v>
      </c>
      <c r="I640" s="35" t="str">
        <f>IFERROR(_xlfn.XLOOKUP(Table6[[#This Row],[Affected WTG]],'Basic Data'!$A:$A,'Basic Data'!$C:$C),"")</f>
        <v>GEDA</v>
      </c>
      <c r="J640" s="471">
        <f>IFERROR(_xlfn.XLOOKUP(Table6[[#This Row],[Affected WTG]],'Basic Data'!$A:$A,'Basic Data'!$E:$E),"")</f>
        <v>3.846153846153845E-2</v>
      </c>
      <c r="K640" s="102">
        <v>5506</v>
      </c>
      <c r="L640" s="35" t="str">
        <f>IFERROR(_xlfn.XLOOKUP(Table6[[#This Row],[Error Code]],'Basic Data'!$AA:$AA,'Basic Data'!$AB:$AB),"Incorrect Error Code")</f>
        <v>Rot.br. press. high</v>
      </c>
      <c r="M640" s="35" t="s">
        <v>295</v>
      </c>
      <c r="N640" s="475"/>
      <c r="O640" s="476">
        <v>0</v>
      </c>
      <c r="P640" s="476">
        <v>0</v>
      </c>
      <c r="Q640" s="477">
        <v>0.46597222222222223</v>
      </c>
      <c r="R640" s="472">
        <f>IF(Table6[[#This Row],[Work Start TimeStamp]]="","",(Table6[[#This Row],[Work Start TimeStamp]]-Table6[[#This Row],[Fault Start TimeStamp]])*24)</f>
        <v>0</v>
      </c>
      <c r="S640" s="472">
        <f>(Table6[[#This Row],[Fault Clearance time]]-Table6[[#This Row],[Work Start TimeStamp]])*24</f>
        <v>11.183333333333334</v>
      </c>
      <c r="T640" s="472">
        <f>(Table6[[#This Row],[Fault Clearance time]]-Table6[[#This Row],[Fault Start TimeStamp]])*24</f>
        <v>11.183333333333334</v>
      </c>
      <c r="U640" s="35" t="s">
        <v>1781</v>
      </c>
      <c r="V640" s="102" t="s">
        <v>293</v>
      </c>
      <c r="W640" s="478">
        <f>IFERROR(Table6[[#This Row],[Breakdown Time]]*Table6[[#This Row],[Plant Equivalent Weightage]],"")</f>
        <v>0.43012820512820499</v>
      </c>
      <c r="X640" s="473" t="s">
        <v>294</v>
      </c>
      <c r="Y640" s="474" t="s">
        <v>93</v>
      </c>
      <c r="Z640" s="102">
        <v>19397</v>
      </c>
      <c r="AA640" s="468">
        <f>(Table6[[#This Row],[Paired WTG Generation for loss calculation]]/24)*Table6[[#This Row],[Breakdown Time]]</f>
        <v>9038.4631944444445</v>
      </c>
      <c r="AB640" s="102"/>
      <c r="AC640" s="35"/>
      <c r="AD640" s="35"/>
    </row>
    <row r="641" spans="1:30">
      <c r="A641" s="102">
        <f t="shared" si="10"/>
        <v>640</v>
      </c>
      <c r="B641" s="468">
        <f>YEAR(Table6[[#This Row],[Date]])+IF(MONTH(Table6[[#This Row],[Date]])&gt;=4,1,0)</f>
        <v>2026</v>
      </c>
      <c r="C641" s="102">
        <f>YEAR(Table6[[#This Row],[Date]])</f>
        <v>2025</v>
      </c>
      <c r="D641" s="102" t="s">
        <v>1992</v>
      </c>
      <c r="E641" s="469">
        <f>Table6[[#This Row],[Date]]-DAY(Table6[[#This Row],[Date]])+1</f>
        <v>45778</v>
      </c>
      <c r="F641" s="470">
        <v>45784</v>
      </c>
      <c r="G641" s="35" t="s">
        <v>98</v>
      </c>
      <c r="H641" s="35" t="str">
        <f>IFERROR(_xlfn.XLOOKUP(Table6[[#This Row],[Affected WTG]],'Basic Data'!$A:$A,'Basic Data'!$B:$B),"")</f>
        <v>TQGXIIPL</v>
      </c>
      <c r="I641" s="35" t="str">
        <f>IFERROR(_xlfn.XLOOKUP(Table6[[#This Row],[Affected WTG]],'Basic Data'!$A:$A,'Basic Data'!$C:$C),"")</f>
        <v>GEDA</v>
      </c>
      <c r="J641" s="471">
        <f>IFERROR(_xlfn.XLOOKUP(Table6[[#This Row],[Affected WTG]],'Basic Data'!$A:$A,'Basic Data'!$E:$E),"")</f>
        <v>3.846153846153845E-2</v>
      </c>
      <c r="K641" s="102">
        <v>3420</v>
      </c>
      <c r="L641" s="35" t="str">
        <f>IFERROR(_xlfn.XLOOKUP(Table6[[#This Row],[Error Code]],'Basic Data'!$AA:$AA,'Basic Data'!$AB:$AB),"Incorrect Error Code")</f>
        <v>UPS buffer time too short</v>
      </c>
      <c r="M641" s="35" t="s">
        <v>291</v>
      </c>
      <c r="N641" s="475"/>
      <c r="O641" s="476">
        <v>0.70694444444444449</v>
      </c>
      <c r="P641" s="476">
        <v>0.70694444444444449</v>
      </c>
      <c r="Q641" s="477">
        <v>0.73472222222222228</v>
      </c>
      <c r="R641" s="472">
        <f>IF(Table6[[#This Row],[Work Start TimeStamp]]="","",(Table6[[#This Row],[Work Start TimeStamp]]-Table6[[#This Row],[Fault Start TimeStamp]])*24)</f>
        <v>0</v>
      </c>
      <c r="S641" s="472">
        <f>(Table6[[#This Row],[Fault Clearance time]]-Table6[[#This Row],[Work Start TimeStamp]])*24</f>
        <v>0.66666666666666696</v>
      </c>
      <c r="T641" s="472">
        <f>(Table6[[#This Row],[Fault Clearance time]]-Table6[[#This Row],[Fault Start TimeStamp]])*24</f>
        <v>0.66666666666666696</v>
      </c>
      <c r="U641" s="35" t="s">
        <v>1771</v>
      </c>
      <c r="V641" s="102" t="s">
        <v>293</v>
      </c>
      <c r="W641" s="478">
        <f>IFERROR(Table6[[#This Row],[Breakdown Time]]*Table6[[#This Row],[Plant Equivalent Weightage]],"")</f>
        <v>2.5641025641025644E-2</v>
      </c>
      <c r="X641" s="473" t="s">
        <v>294</v>
      </c>
      <c r="Y641" s="474" t="s">
        <v>74</v>
      </c>
      <c r="Z641" s="102">
        <v>11319</v>
      </c>
      <c r="AA641" s="468">
        <f>(Table6[[#This Row],[Paired WTG Generation for loss calculation]]/24)*Table6[[#This Row],[Breakdown Time]]</f>
        <v>314.4166666666668</v>
      </c>
      <c r="AB641" s="102"/>
      <c r="AC641" s="35"/>
      <c r="AD641" s="35"/>
    </row>
    <row r="642" spans="1:30">
      <c r="A642" s="102">
        <f t="shared" si="10"/>
        <v>641</v>
      </c>
      <c r="B642" s="468">
        <f>YEAR(Table6[[#This Row],[Date]])+IF(MONTH(Table6[[#This Row],[Date]])&gt;=4,1,0)</f>
        <v>2026</v>
      </c>
      <c r="C642" s="102">
        <f>YEAR(Table6[[#This Row],[Date]])</f>
        <v>2025</v>
      </c>
      <c r="D642" s="102" t="s">
        <v>1992</v>
      </c>
      <c r="E642" s="469">
        <f>Table6[[#This Row],[Date]]-DAY(Table6[[#This Row],[Date]])+1</f>
        <v>45778</v>
      </c>
      <c r="F642" s="470">
        <v>45784</v>
      </c>
      <c r="G642" s="35" t="s">
        <v>98</v>
      </c>
      <c r="H642" s="35" t="str">
        <f>IFERROR(_xlfn.XLOOKUP(Table6[[#This Row],[Affected WTG]],'Basic Data'!$A:$A,'Basic Data'!$B:$B),"")</f>
        <v>TQGXIIPL</v>
      </c>
      <c r="I642" s="35" t="str">
        <f>IFERROR(_xlfn.XLOOKUP(Table6[[#This Row],[Affected WTG]],'Basic Data'!$A:$A,'Basic Data'!$C:$C),"")</f>
        <v>GEDA</v>
      </c>
      <c r="J642" s="471">
        <f>IFERROR(_xlfn.XLOOKUP(Table6[[#This Row],[Affected WTG]],'Basic Data'!$A:$A,'Basic Data'!$E:$E),"")</f>
        <v>3.846153846153845E-2</v>
      </c>
      <c r="K642" s="102">
        <v>5510</v>
      </c>
      <c r="L642" s="35" t="str">
        <f>IFERROR(_xlfn.XLOOKUP(Table6[[#This Row],[Error Code]],'Basic Data'!$AA:$AA,'Basic Data'!$AB:$AB),"Incorrect Error Code")</f>
        <v>Low hydraulic pressure</v>
      </c>
      <c r="M642" s="35" t="s">
        <v>291</v>
      </c>
      <c r="N642" s="475"/>
      <c r="O642" s="476">
        <v>0.13194444444444445</v>
      </c>
      <c r="P642" s="476">
        <v>0.13194444444444445</v>
      </c>
      <c r="Q642" s="477">
        <v>0.14930555555555555</v>
      </c>
      <c r="R642" s="472">
        <f>IF(Table6[[#This Row],[Work Start TimeStamp]]="","",(Table6[[#This Row],[Work Start TimeStamp]]-Table6[[#This Row],[Fault Start TimeStamp]])*24)</f>
        <v>0</v>
      </c>
      <c r="S642" s="472">
        <f>(Table6[[#This Row],[Fault Clearance time]]-Table6[[#This Row],[Work Start TimeStamp]])*24</f>
        <v>0.41666666666666652</v>
      </c>
      <c r="T642" s="472">
        <f>(Table6[[#This Row],[Fault Clearance time]]-Table6[[#This Row],[Fault Start TimeStamp]])*24</f>
        <v>0.41666666666666652</v>
      </c>
      <c r="U642" s="35" t="s">
        <v>1782</v>
      </c>
      <c r="V642" s="102" t="s">
        <v>293</v>
      </c>
      <c r="W642" s="478">
        <f>IFERROR(Table6[[#This Row],[Breakdown Time]]*Table6[[#This Row],[Plant Equivalent Weightage]],"")</f>
        <v>1.6025641025641014E-2</v>
      </c>
      <c r="X642" s="473" t="s">
        <v>294</v>
      </c>
      <c r="Y642" s="474" t="s">
        <v>74</v>
      </c>
      <c r="Z642" s="102">
        <v>11319</v>
      </c>
      <c r="AA642" s="468">
        <f>(Table6[[#This Row],[Paired WTG Generation for loss calculation]]/24)*Table6[[#This Row],[Breakdown Time]]</f>
        <v>196.5104166666666</v>
      </c>
      <c r="AB642" s="102"/>
      <c r="AC642" s="35"/>
      <c r="AD642" s="35"/>
    </row>
    <row r="643" spans="1:30">
      <c r="A643" s="102">
        <f t="shared" si="10"/>
        <v>642</v>
      </c>
      <c r="B643" s="468">
        <f>YEAR(Table6[[#This Row],[Date]])+IF(MONTH(Table6[[#This Row],[Date]])&gt;=4,1,0)</f>
        <v>2026</v>
      </c>
      <c r="C643" s="102">
        <f>YEAR(Table6[[#This Row],[Date]])</f>
        <v>2025</v>
      </c>
      <c r="D643" s="102" t="s">
        <v>1992</v>
      </c>
      <c r="E643" s="469">
        <f>Table6[[#This Row],[Date]]-DAY(Table6[[#This Row],[Date]])+1</f>
        <v>45778</v>
      </c>
      <c r="F643" s="470">
        <v>45784</v>
      </c>
      <c r="G643" s="35" t="s">
        <v>98</v>
      </c>
      <c r="H643" s="35" t="str">
        <f>IFERROR(_xlfn.XLOOKUP(Table6[[#This Row],[Affected WTG]],'Basic Data'!$A:$A,'Basic Data'!$B:$B),"")</f>
        <v>TQGXIIPL</v>
      </c>
      <c r="I643" s="35" t="str">
        <f>IFERROR(_xlfn.XLOOKUP(Table6[[#This Row],[Affected WTG]],'Basic Data'!$A:$A,'Basic Data'!$C:$C),"")</f>
        <v>GEDA</v>
      </c>
      <c r="J643" s="471">
        <f>IFERROR(_xlfn.XLOOKUP(Table6[[#This Row],[Affected WTG]],'Basic Data'!$A:$A,'Basic Data'!$E:$E),"")</f>
        <v>3.846153846153845E-2</v>
      </c>
      <c r="K643" s="102">
        <v>55</v>
      </c>
      <c r="L643" s="35" t="str">
        <f>IFERROR(_xlfn.XLOOKUP(Table6[[#This Row],[Error Code]],'Basic Data'!$AA:$AA,'Basic Data'!$AB:$AB),"Incorrect Error Code")</f>
        <v>WTG shut down</v>
      </c>
      <c r="M643" s="35" t="s">
        <v>330</v>
      </c>
      <c r="N643" s="475"/>
      <c r="O643" s="476">
        <v>0.51736111111111116</v>
      </c>
      <c r="P643" s="476">
        <v>0.51736111111111116</v>
      </c>
      <c r="Q643" s="477">
        <v>0.53541666666666665</v>
      </c>
      <c r="R643" s="472">
        <f>IF(Table6[[#This Row],[Work Start TimeStamp]]="","",(Table6[[#This Row],[Work Start TimeStamp]]-Table6[[#This Row],[Fault Start TimeStamp]])*24)</f>
        <v>0</v>
      </c>
      <c r="S643" s="472">
        <f>(Table6[[#This Row],[Fault Clearance time]]-Table6[[#This Row],[Work Start TimeStamp]])*24</f>
        <v>0.43333333333333179</v>
      </c>
      <c r="T643" s="472">
        <f>(Table6[[#This Row],[Fault Clearance time]]-Table6[[#This Row],[Fault Start TimeStamp]])*24</f>
        <v>0.43333333333333179</v>
      </c>
      <c r="U643" s="35" t="s">
        <v>1744</v>
      </c>
      <c r="V643" s="102" t="s">
        <v>293</v>
      </c>
      <c r="W643" s="478">
        <f>IFERROR(Table6[[#This Row],[Breakdown Time]]*Table6[[#This Row],[Plant Equivalent Weightage]],"")</f>
        <v>1.6666666666666604E-2</v>
      </c>
      <c r="X643" s="473" t="s">
        <v>294</v>
      </c>
      <c r="Y643" s="474" t="s">
        <v>74</v>
      </c>
      <c r="Z643" s="102">
        <v>11319</v>
      </c>
      <c r="AA643" s="468">
        <f>(Table6[[#This Row],[Paired WTG Generation for loss calculation]]/24)*Table6[[#This Row],[Breakdown Time]]</f>
        <v>204.3708333333326</v>
      </c>
      <c r="AB643" s="102"/>
      <c r="AC643" s="35"/>
      <c r="AD643" s="35"/>
    </row>
    <row r="644" spans="1:30">
      <c r="A644" s="102">
        <f t="shared" si="10"/>
        <v>643</v>
      </c>
      <c r="B644" s="468">
        <f>YEAR(Table6[[#This Row],[Date]])+IF(MONTH(Table6[[#This Row],[Date]])&gt;=4,1,0)</f>
        <v>2026</v>
      </c>
      <c r="C644" s="102">
        <f>YEAR(Table6[[#This Row],[Date]])</f>
        <v>2025</v>
      </c>
      <c r="D644" s="102" t="s">
        <v>1992</v>
      </c>
      <c r="E644" s="469">
        <f>Table6[[#This Row],[Date]]-DAY(Table6[[#This Row],[Date]])+1</f>
        <v>45778</v>
      </c>
      <c r="F644" s="470">
        <v>45784</v>
      </c>
      <c r="G644" s="35" t="s">
        <v>99</v>
      </c>
      <c r="H644" s="35" t="str">
        <f>IFERROR(_xlfn.XLOOKUP(Table6[[#This Row],[Affected WTG]],'Basic Data'!$A:$A,'Basic Data'!$B:$B),"")</f>
        <v>TQGXIIPL</v>
      </c>
      <c r="I644" s="35" t="str">
        <f>IFERROR(_xlfn.XLOOKUP(Table6[[#This Row],[Affected WTG]],'Basic Data'!$A:$A,'Basic Data'!$C:$C),"")</f>
        <v>GEDA</v>
      </c>
      <c r="J644" s="471">
        <f>IFERROR(_xlfn.XLOOKUP(Table6[[#This Row],[Affected WTG]],'Basic Data'!$A:$A,'Basic Data'!$E:$E),"")</f>
        <v>3.846153846153845E-2</v>
      </c>
      <c r="K644" s="102">
        <v>675</v>
      </c>
      <c r="L644" s="35" t="str">
        <f>IFERROR(_xlfn.XLOOKUP(Table6[[#This Row],[Error Code]],'Basic Data'!$AA:$AA,'Basic Data'!$AB:$AB),"Incorrect Error Code")</f>
        <v>Pitch measuring system 1&gt;&lt;2</v>
      </c>
      <c r="M644" s="35" t="s">
        <v>291</v>
      </c>
      <c r="N644" s="475"/>
      <c r="O644" s="476">
        <v>0.70694444444444449</v>
      </c>
      <c r="P644" s="476">
        <v>0.70694444444444449</v>
      </c>
      <c r="Q644" s="477">
        <v>0.73541666666666672</v>
      </c>
      <c r="R644" s="472">
        <f>IF(Table6[[#This Row],[Work Start TimeStamp]]="","",(Table6[[#This Row],[Work Start TimeStamp]]-Table6[[#This Row],[Fault Start TimeStamp]])*24)</f>
        <v>0</v>
      </c>
      <c r="S644" s="472">
        <f>(Table6[[#This Row],[Fault Clearance time]]-Table6[[#This Row],[Work Start TimeStamp]])*24</f>
        <v>0.68333333333333357</v>
      </c>
      <c r="T644" s="472">
        <f>(Table6[[#This Row],[Fault Clearance time]]-Table6[[#This Row],[Fault Start TimeStamp]])*24</f>
        <v>0.68333333333333357</v>
      </c>
      <c r="U644" s="35" t="s">
        <v>1771</v>
      </c>
      <c r="V644" s="102" t="s">
        <v>293</v>
      </c>
      <c r="W644" s="478">
        <f>IFERROR(Table6[[#This Row],[Breakdown Time]]*Table6[[#This Row],[Plant Equivalent Weightage]],"")</f>
        <v>2.6282051282051282E-2</v>
      </c>
      <c r="X644" s="473" t="s">
        <v>294</v>
      </c>
      <c r="Y644" s="474" t="s">
        <v>74</v>
      </c>
      <c r="Z644" s="102">
        <v>11319</v>
      </c>
      <c r="AA644" s="468">
        <f>(Table6[[#This Row],[Paired WTG Generation for loss calculation]]/24)*Table6[[#This Row],[Breakdown Time]]</f>
        <v>322.27708333333345</v>
      </c>
      <c r="AB644" s="102"/>
      <c r="AC644" s="35"/>
      <c r="AD644" s="35"/>
    </row>
    <row r="645" spans="1:30">
      <c r="A645" s="102">
        <f t="shared" si="10"/>
        <v>644</v>
      </c>
      <c r="B645" s="468">
        <f>YEAR(Table6[[#This Row],[Date]])+IF(MONTH(Table6[[#This Row],[Date]])&gt;=4,1,0)</f>
        <v>2026</v>
      </c>
      <c r="C645" s="102">
        <f>YEAR(Table6[[#This Row],[Date]])</f>
        <v>2025</v>
      </c>
      <c r="D645" s="102" t="s">
        <v>1992</v>
      </c>
      <c r="E645" s="469">
        <f>Table6[[#This Row],[Date]]-DAY(Table6[[#This Row],[Date]])+1</f>
        <v>45778</v>
      </c>
      <c r="F645" s="470">
        <v>45785</v>
      </c>
      <c r="G645" s="35" t="s">
        <v>76</v>
      </c>
      <c r="H645" s="35" t="str">
        <f>IFERROR(_xlfn.XLOOKUP(Table6[[#This Row],[Affected WTG]],'Basic Data'!$A:$A,'Basic Data'!$B:$B),"")</f>
        <v>TQGXIIPL</v>
      </c>
      <c r="I645" s="35" t="str">
        <f>IFERROR(_xlfn.XLOOKUP(Table6[[#This Row],[Affected WTG]],'Basic Data'!$A:$A,'Basic Data'!$C:$C),"")</f>
        <v>GEDA</v>
      </c>
      <c r="J645" s="471">
        <f>IFERROR(_xlfn.XLOOKUP(Table6[[#This Row],[Affected WTG]],'Basic Data'!$A:$A,'Basic Data'!$E:$E),"")</f>
        <v>3.846153846153845E-2</v>
      </c>
      <c r="K645" s="102">
        <v>175</v>
      </c>
      <c r="L645" s="35" t="str">
        <f>IFERROR(_xlfn.XLOOKUP(Table6[[#This Row],[Error Code]],'Basic Data'!$AA:$AA,'Basic Data'!$AB:$AB),"Incorrect Error Code")</f>
        <v>SLC error</v>
      </c>
      <c r="M645" s="35" t="s">
        <v>292</v>
      </c>
      <c r="N645" s="475"/>
      <c r="O645" s="476">
        <v>0.79166666666666663</v>
      </c>
      <c r="P645" s="476">
        <v>0.79166666666666663</v>
      </c>
      <c r="Q645" s="477">
        <v>0.79374999999999996</v>
      </c>
      <c r="R645" s="472">
        <f>IF(Table6[[#This Row],[Work Start TimeStamp]]="","",(Table6[[#This Row],[Work Start TimeStamp]]-Table6[[#This Row],[Fault Start TimeStamp]])*24)</f>
        <v>0</v>
      </c>
      <c r="S645" s="472">
        <f>(Table6[[#This Row],[Fault Clearance time]]-Table6[[#This Row],[Work Start TimeStamp]])*24</f>
        <v>4.9999999999999822E-2</v>
      </c>
      <c r="T645" s="472">
        <f>(Table6[[#This Row],[Fault Clearance time]]-Table6[[#This Row],[Fault Start TimeStamp]])*24</f>
        <v>4.9999999999999822E-2</v>
      </c>
      <c r="U645" s="35" t="s">
        <v>1786</v>
      </c>
      <c r="V645" s="102" t="s">
        <v>293</v>
      </c>
      <c r="W645" s="478">
        <f>IFERROR(Table6[[#This Row],[Breakdown Time]]*Table6[[#This Row],[Plant Equivalent Weightage]],"")</f>
        <v>1.9230769230769156E-3</v>
      </c>
      <c r="X645" s="473" t="s">
        <v>294</v>
      </c>
      <c r="Y645" s="474" t="s">
        <v>82</v>
      </c>
      <c r="Z645" s="102">
        <v>6464</v>
      </c>
      <c r="AA645" s="468">
        <f>(Table6[[#This Row],[Paired WTG Generation for loss calculation]]/24)*Table6[[#This Row],[Breakdown Time]]</f>
        <v>13.466666666666617</v>
      </c>
      <c r="AB645" s="102"/>
      <c r="AC645" s="35"/>
      <c r="AD645" s="35"/>
    </row>
    <row r="646" spans="1:30">
      <c r="A646" s="102">
        <f t="shared" si="10"/>
        <v>645</v>
      </c>
      <c r="B646" s="468">
        <f>YEAR(Table6[[#This Row],[Date]])+IF(MONTH(Table6[[#This Row],[Date]])&gt;=4,1,0)</f>
        <v>2026</v>
      </c>
      <c r="C646" s="102">
        <f>YEAR(Table6[[#This Row],[Date]])</f>
        <v>2025</v>
      </c>
      <c r="D646" s="102" t="s">
        <v>1992</v>
      </c>
      <c r="E646" s="469">
        <f>Table6[[#This Row],[Date]]-DAY(Table6[[#This Row],[Date]])+1</f>
        <v>45778</v>
      </c>
      <c r="F646" s="470">
        <v>45785</v>
      </c>
      <c r="G646" s="35" t="s">
        <v>86</v>
      </c>
      <c r="H646" s="35" t="str">
        <f>IFERROR(_xlfn.XLOOKUP(Table6[[#This Row],[Affected WTG]],'Basic Data'!$A:$A,'Basic Data'!$B:$B),"")</f>
        <v>TQGXIIPL</v>
      </c>
      <c r="I646" s="35" t="str">
        <f>IFERROR(_xlfn.XLOOKUP(Table6[[#This Row],[Affected WTG]],'Basic Data'!$A:$A,'Basic Data'!$C:$C),"")</f>
        <v>GEDA</v>
      </c>
      <c r="J646" s="471">
        <f>IFERROR(_xlfn.XLOOKUP(Table6[[#This Row],[Affected WTG]],'Basic Data'!$A:$A,'Basic Data'!$E:$E),"")</f>
        <v>3.846153846153845E-2</v>
      </c>
      <c r="K646" s="102">
        <v>578</v>
      </c>
      <c r="L646" s="35" t="str">
        <f>IFERROR(_xlfn.XLOOKUP(Table6[[#This Row],[Error Code]],'Basic Data'!$AA:$AA,'Basic Data'!$AB:$AB),"Incorrect Error Code")</f>
        <v>Pitch set point slow hold time BP75</v>
      </c>
      <c r="M646" s="35" t="s">
        <v>292</v>
      </c>
      <c r="N646" s="475"/>
      <c r="O646" s="476">
        <v>0.84097222222222223</v>
      </c>
      <c r="P646" s="476">
        <v>0.84097222222222223</v>
      </c>
      <c r="Q646" s="477">
        <v>0.84236111111111112</v>
      </c>
      <c r="R646" s="472">
        <f>IF(Table6[[#This Row],[Work Start TimeStamp]]="","",(Table6[[#This Row],[Work Start TimeStamp]]-Table6[[#This Row],[Fault Start TimeStamp]])*24)</f>
        <v>0</v>
      </c>
      <c r="S646" s="472">
        <f>(Table6[[#This Row],[Fault Clearance time]]-Table6[[#This Row],[Work Start TimeStamp]])*24</f>
        <v>3.3333333333333215E-2</v>
      </c>
      <c r="T646" s="472">
        <f>(Table6[[#This Row],[Fault Clearance time]]-Table6[[#This Row],[Fault Start TimeStamp]])*24</f>
        <v>3.3333333333333215E-2</v>
      </c>
      <c r="U646" s="35" t="s">
        <v>1786</v>
      </c>
      <c r="V646" s="102" t="s">
        <v>293</v>
      </c>
      <c r="W646" s="478">
        <f>IFERROR(Table6[[#This Row],[Breakdown Time]]*Table6[[#This Row],[Plant Equivalent Weightage]],"")</f>
        <v>1.2820512820512771E-3</v>
      </c>
      <c r="X646" s="473" t="s">
        <v>294</v>
      </c>
      <c r="Y646" s="474" t="s">
        <v>84</v>
      </c>
      <c r="Z646" s="102">
        <v>7094</v>
      </c>
      <c r="AA646" s="468">
        <f>(Table6[[#This Row],[Paired WTG Generation for loss calculation]]/24)*Table6[[#This Row],[Breakdown Time]]</f>
        <v>9.8527777777777423</v>
      </c>
      <c r="AB646" s="102"/>
      <c r="AC646" s="35"/>
      <c r="AD646" s="35"/>
    </row>
    <row r="647" spans="1:30">
      <c r="A647" s="102">
        <f t="shared" si="10"/>
        <v>646</v>
      </c>
      <c r="B647" s="468">
        <f>YEAR(Table6[[#This Row],[Date]])+IF(MONTH(Table6[[#This Row],[Date]])&gt;=4,1,0)</f>
        <v>2026</v>
      </c>
      <c r="C647" s="102">
        <f>YEAR(Table6[[#This Row],[Date]])</f>
        <v>2025</v>
      </c>
      <c r="D647" s="102" t="s">
        <v>1992</v>
      </c>
      <c r="E647" s="469">
        <f>Table6[[#This Row],[Date]]-DAY(Table6[[#This Row],[Date]])+1</f>
        <v>45778</v>
      </c>
      <c r="F647" s="470">
        <v>45785</v>
      </c>
      <c r="G647" s="35" t="s">
        <v>87</v>
      </c>
      <c r="H647" s="35" t="str">
        <f>IFERROR(_xlfn.XLOOKUP(Table6[[#This Row],[Affected WTG]],'Basic Data'!$A:$A,'Basic Data'!$B:$B),"")</f>
        <v>TQGXIIPL</v>
      </c>
      <c r="I647" s="35" t="str">
        <f>IFERROR(_xlfn.XLOOKUP(Table6[[#This Row],[Affected WTG]],'Basic Data'!$A:$A,'Basic Data'!$C:$C),"")</f>
        <v>GEDA</v>
      </c>
      <c r="J647" s="471">
        <f>IFERROR(_xlfn.XLOOKUP(Table6[[#This Row],[Affected WTG]],'Basic Data'!$A:$A,'Basic Data'!$E:$E),"")</f>
        <v>3.846153846153845E-2</v>
      </c>
      <c r="K647" s="102">
        <v>72</v>
      </c>
      <c r="L647" s="35" t="str">
        <f>IFERROR(_xlfn.XLOOKUP(Table6[[#This Row],[Error Code]],'Basic Data'!$AA:$AA,'Basic Data'!$AB:$AB),"Incorrect Error Code")</f>
        <v>Outdoor temperature high</v>
      </c>
      <c r="M647" s="35" t="s">
        <v>291</v>
      </c>
      <c r="N647" s="475"/>
      <c r="O647" s="476">
        <v>0.84236111111111112</v>
      </c>
      <c r="P647" s="476">
        <v>0.84236111111111112</v>
      </c>
      <c r="Q647" s="477">
        <v>0.8569444444444444</v>
      </c>
      <c r="R647" s="472">
        <f>IF(Table6[[#This Row],[Work Start TimeStamp]]="","",(Table6[[#This Row],[Work Start TimeStamp]]-Table6[[#This Row],[Fault Start TimeStamp]])*24)</f>
        <v>0</v>
      </c>
      <c r="S647" s="472">
        <f>(Table6[[#This Row],[Fault Clearance time]]-Table6[[#This Row],[Work Start TimeStamp]])*24</f>
        <v>0.34999999999999876</v>
      </c>
      <c r="T647" s="472">
        <f>(Table6[[#This Row],[Fault Clearance time]]-Table6[[#This Row],[Fault Start TimeStamp]])*24</f>
        <v>0.34999999999999876</v>
      </c>
      <c r="U647" s="35" t="s">
        <v>1787</v>
      </c>
      <c r="V647" s="102" t="s">
        <v>293</v>
      </c>
      <c r="W647" s="478">
        <f>IFERROR(Table6[[#This Row],[Breakdown Time]]*Table6[[#This Row],[Plant Equivalent Weightage]],"")</f>
        <v>1.346153846153841E-2</v>
      </c>
      <c r="X647" s="473" t="s">
        <v>294</v>
      </c>
      <c r="Y647" s="474" t="s">
        <v>85</v>
      </c>
      <c r="Z647" s="102">
        <v>6716</v>
      </c>
      <c r="AA647" s="468">
        <f>(Table6[[#This Row],[Paired WTG Generation for loss calculation]]/24)*Table6[[#This Row],[Breakdown Time]]</f>
        <v>97.941666666666308</v>
      </c>
      <c r="AB647" s="102"/>
      <c r="AC647" s="35"/>
      <c r="AD647" s="35"/>
    </row>
    <row r="648" spans="1:30">
      <c r="A648" s="102">
        <f t="shared" si="10"/>
        <v>647</v>
      </c>
      <c r="B648" s="468">
        <f>YEAR(Table6[[#This Row],[Date]])+IF(MONTH(Table6[[#This Row],[Date]])&gt;=4,1,0)</f>
        <v>2026</v>
      </c>
      <c r="C648" s="102">
        <f>YEAR(Table6[[#This Row],[Date]])</f>
        <v>2025</v>
      </c>
      <c r="D648" s="102" t="s">
        <v>1992</v>
      </c>
      <c r="E648" s="469">
        <f>Table6[[#This Row],[Date]]-DAY(Table6[[#This Row],[Date]])+1</f>
        <v>45778</v>
      </c>
      <c r="F648" s="470">
        <v>45785</v>
      </c>
      <c r="G648" s="35" t="s">
        <v>89</v>
      </c>
      <c r="H648" s="35" t="str">
        <f>IFERROR(_xlfn.XLOOKUP(Table6[[#This Row],[Affected WTG]],'Basic Data'!$A:$A,'Basic Data'!$B:$B),"")</f>
        <v>TQGXIIPL</v>
      </c>
      <c r="I648" s="35" t="str">
        <f>IFERROR(_xlfn.XLOOKUP(Table6[[#This Row],[Affected WTG]],'Basic Data'!$A:$A,'Basic Data'!$C:$C),"")</f>
        <v>GEDA</v>
      </c>
      <c r="J648" s="471">
        <f>IFERROR(_xlfn.XLOOKUP(Table6[[#This Row],[Affected WTG]],'Basic Data'!$A:$A,'Basic Data'!$E:$E),"")</f>
        <v>3.846153846153845E-2</v>
      </c>
      <c r="K648" s="102">
        <v>55</v>
      </c>
      <c r="L648" s="35" t="str">
        <f>IFERROR(_xlfn.XLOOKUP(Table6[[#This Row],[Error Code]],'Basic Data'!$AA:$AA,'Basic Data'!$AB:$AB),"Incorrect Error Code")</f>
        <v>WTG shut down</v>
      </c>
      <c r="M648" s="35" t="s">
        <v>291</v>
      </c>
      <c r="N648" s="475"/>
      <c r="O648" s="476">
        <v>0.65625</v>
      </c>
      <c r="P648" s="476">
        <v>0.65625</v>
      </c>
      <c r="Q648" s="477">
        <v>0.67638888888888893</v>
      </c>
      <c r="R648" s="472">
        <f>IF(Table6[[#This Row],[Work Start TimeStamp]]="","",(Table6[[#This Row],[Work Start TimeStamp]]-Table6[[#This Row],[Fault Start TimeStamp]])*24)</f>
        <v>0</v>
      </c>
      <c r="S648" s="472">
        <f>(Table6[[#This Row],[Fault Clearance time]]-Table6[[#This Row],[Work Start TimeStamp]])*24</f>
        <v>0.48333333333333428</v>
      </c>
      <c r="T648" s="472">
        <f>(Table6[[#This Row],[Fault Clearance time]]-Table6[[#This Row],[Fault Start TimeStamp]])*24</f>
        <v>0.48333333333333428</v>
      </c>
      <c r="U648" s="35" t="s">
        <v>1788</v>
      </c>
      <c r="V648" s="102" t="s">
        <v>293</v>
      </c>
      <c r="W648" s="478">
        <f>IFERROR(Table6[[#This Row],[Breakdown Time]]*Table6[[#This Row],[Plant Equivalent Weightage]],"")</f>
        <v>1.8589743589743621E-2</v>
      </c>
      <c r="X648" s="473" t="s">
        <v>290</v>
      </c>
      <c r="Y648" s="474" t="s">
        <v>94</v>
      </c>
      <c r="Z648" s="102">
        <v>7764</v>
      </c>
      <c r="AA648" s="468">
        <f>(Table6[[#This Row],[Paired WTG Generation for loss calculation]]/24)*Table6[[#This Row],[Breakdown Time]]</f>
        <v>156.35833333333363</v>
      </c>
      <c r="AB648" s="102"/>
      <c r="AC648" s="35"/>
      <c r="AD648" s="35"/>
    </row>
    <row r="649" spans="1:30">
      <c r="A649" s="102">
        <f t="shared" si="10"/>
        <v>648</v>
      </c>
      <c r="B649" s="468">
        <f>YEAR(Table6[[#This Row],[Date]])+IF(MONTH(Table6[[#This Row],[Date]])&gt;=4,1,0)</f>
        <v>2026</v>
      </c>
      <c r="C649" s="102">
        <f>YEAR(Table6[[#This Row],[Date]])</f>
        <v>2025</v>
      </c>
      <c r="D649" s="102" t="s">
        <v>1992</v>
      </c>
      <c r="E649" s="469">
        <f>Table6[[#This Row],[Date]]-DAY(Table6[[#This Row],[Date]])+1</f>
        <v>45778</v>
      </c>
      <c r="F649" s="470">
        <v>45785</v>
      </c>
      <c r="G649" s="35" t="s">
        <v>90</v>
      </c>
      <c r="H649" s="35" t="str">
        <f>IFERROR(_xlfn.XLOOKUP(Table6[[#This Row],[Affected WTG]],'Basic Data'!$A:$A,'Basic Data'!$B:$B),"")</f>
        <v>TQGXIIPL</v>
      </c>
      <c r="I649" s="35" t="str">
        <f>IFERROR(_xlfn.XLOOKUP(Table6[[#This Row],[Affected WTG]],'Basic Data'!$A:$A,'Basic Data'!$C:$C),"")</f>
        <v>GEDA</v>
      </c>
      <c r="J649" s="471">
        <f>IFERROR(_xlfn.XLOOKUP(Table6[[#This Row],[Affected WTG]],'Basic Data'!$A:$A,'Basic Data'!$E:$E),"")</f>
        <v>3.846153846153845E-2</v>
      </c>
      <c r="K649" s="102">
        <v>3000</v>
      </c>
      <c r="L649" s="35" t="str">
        <f>IFERROR(_xlfn.XLOOKUP(Table6[[#This Row],[Error Code]],'Basic Data'!$AA:$AA,'Basic Data'!$AB:$AB),"Incorrect Error Code")</f>
        <v>Frequency converter not ready</v>
      </c>
      <c r="M649" s="35" t="s">
        <v>292</v>
      </c>
      <c r="N649" s="475"/>
      <c r="O649" s="476">
        <v>0.50277777777777777</v>
      </c>
      <c r="P649" s="476">
        <v>0.50277777777777777</v>
      </c>
      <c r="Q649" s="477">
        <v>0.50486111111111109</v>
      </c>
      <c r="R649" s="472">
        <f>IF(Table6[[#This Row],[Work Start TimeStamp]]="","",(Table6[[#This Row],[Work Start TimeStamp]]-Table6[[#This Row],[Fault Start TimeStamp]])*24)</f>
        <v>0</v>
      </c>
      <c r="S649" s="472">
        <f>(Table6[[#This Row],[Fault Clearance time]]-Table6[[#This Row],[Work Start TimeStamp]])*24</f>
        <v>4.9999999999999822E-2</v>
      </c>
      <c r="T649" s="472">
        <f>(Table6[[#This Row],[Fault Clearance time]]-Table6[[#This Row],[Fault Start TimeStamp]])*24</f>
        <v>4.9999999999999822E-2</v>
      </c>
      <c r="U649" s="35" t="s">
        <v>1786</v>
      </c>
      <c r="V649" s="102" t="s">
        <v>293</v>
      </c>
      <c r="W649" s="478">
        <f>IFERROR(Table6[[#This Row],[Breakdown Time]]*Table6[[#This Row],[Plant Equivalent Weightage]],"")</f>
        <v>1.9230769230769156E-3</v>
      </c>
      <c r="X649" s="473" t="s">
        <v>294</v>
      </c>
      <c r="Y649" s="474" t="s">
        <v>95</v>
      </c>
      <c r="Z649" s="102">
        <v>7733</v>
      </c>
      <c r="AA649" s="468">
        <f>(Table6[[#This Row],[Paired WTG Generation for loss calculation]]/24)*Table6[[#This Row],[Breakdown Time]]</f>
        <v>16.110416666666609</v>
      </c>
      <c r="AB649" s="102"/>
      <c r="AC649" s="35"/>
      <c r="AD649" s="35"/>
    </row>
    <row r="650" spans="1:30">
      <c r="A650" s="102">
        <f t="shared" si="10"/>
        <v>649</v>
      </c>
      <c r="B650" s="468">
        <f>YEAR(Table6[[#This Row],[Date]])+IF(MONTH(Table6[[#This Row],[Date]])&gt;=4,1,0)</f>
        <v>2026</v>
      </c>
      <c r="C650" s="102">
        <f>YEAR(Table6[[#This Row],[Date]])</f>
        <v>2025</v>
      </c>
      <c r="D650" s="102" t="s">
        <v>1992</v>
      </c>
      <c r="E650" s="469">
        <f>Table6[[#This Row],[Date]]-DAY(Table6[[#This Row],[Date]])+1</f>
        <v>45778</v>
      </c>
      <c r="F650" s="470">
        <v>45785</v>
      </c>
      <c r="G650" s="35" t="s">
        <v>93</v>
      </c>
      <c r="H650" s="35" t="str">
        <f>IFERROR(_xlfn.XLOOKUP(Table6[[#This Row],[Affected WTG]],'Basic Data'!$A:$A,'Basic Data'!$B:$B),"")</f>
        <v>TQGXIIPL</v>
      </c>
      <c r="I650" s="35" t="str">
        <f>IFERROR(_xlfn.XLOOKUP(Table6[[#This Row],[Affected WTG]],'Basic Data'!$A:$A,'Basic Data'!$C:$C),"")</f>
        <v>GEDA</v>
      </c>
      <c r="J650" s="471">
        <f>IFERROR(_xlfn.XLOOKUP(Table6[[#This Row],[Affected WTG]],'Basic Data'!$A:$A,'Basic Data'!$E:$E),"")</f>
        <v>3.846153846153845E-2</v>
      </c>
      <c r="K650" s="102">
        <v>3000</v>
      </c>
      <c r="L650" s="35" t="str">
        <f>IFERROR(_xlfn.XLOOKUP(Table6[[#This Row],[Error Code]],'Basic Data'!$AA:$AA,'Basic Data'!$AB:$AB),"Incorrect Error Code")</f>
        <v>Frequency converter not ready</v>
      </c>
      <c r="M650" s="35" t="s">
        <v>291</v>
      </c>
      <c r="N650" s="475"/>
      <c r="O650" s="476">
        <v>0</v>
      </c>
      <c r="P650" s="476">
        <v>0</v>
      </c>
      <c r="Q650" s="477">
        <v>0.15555555555555556</v>
      </c>
      <c r="R650" s="472">
        <f>IF(Table6[[#This Row],[Work Start TimeStamp]]="","",(Table6[[#This Row],[Work Start TimeStamp]]-Table6[[#This Row],[Fault Start TimeStamp]])*24)</f>
        <v>0</v>
      </c>
      <c r="S650" s="472">
        <f>(Table6[[#This Row],[Fault Clearance time]]-Table6[[#This Row],[Work Start TimeStamp]])*24</f>
        <v>3.7333333333333334</v>
      </c>
      <c r="T650" s="472">
        <f>(Table6[[#This Row],[Fault Clearance time]]-Table6[[#This Row],[Fault Start TimeStamp]])*24</f>
        <v>3.7333333333333334</v>
      </c>
      <c r="U650" s="35" t="s">
        <v>1789</v>
      </c>
      <c r="V650" s="102" t="s">
        <v>293</v>
      </c>
      <c r="W650" s="478">
        <f>IFERROR(Table6[[#This Row],[Breakdown Time]]*Table6[[#This Row],[Plant Equivalent Weightage]],"")</f>
        <v>0.14358974358974355</v>
      </c>
      <c r="X650" s="473" t="s">
        <v>290</v>
      </c>
      <c r="Y650" s="474" t="s">
        <v>97</v>
      </c>
      <c r="Z650" s="102">
        <v>9370</v>
      </c>
      <c r="AA650" s="468">
        <f>(Table6[[#This Row],[Paired WTG Generation for loss calculation]]/24)*Table6[[#This Row],[Breakdown Time]]</f>
        <v>1457.5555555555557</v>
      </c>
      <c r="AB650" s="102"/>
      <c r="AC650" s="35"/>
      <c r="AD650" s="35"/>
    </row>
    <row r="651" spans="1:30">
      <c r="A651" s="102">
        <f t="shared" si="10"/>
        <v>650</v>
      </c>
      <c r="B651" s="468">
        <f>YEAR(Table6[[#This Row],[Date]])+IF(MONTH(Table6[[#This Row],[Date]])&gt;=4,1,0)</f>
        <v>2026</v>
      </c>
      <c r="C651" s="102">
        <f>YEAR(Table6[[#This Row],[Date]])</f>
        <v>2025</v>
      </c>
      <c r="D651" s="102" t="s">
        <v>1992</v>
      </c>
      <c r="E651" s="469">
        <f>Table6[[#This Row],[Date]]-DAY(Table6[[#This Row],[Date]])+1</f>
        <v>45778</v>
      </c>
      <c r="F651" s="470">
        <v>45785</v>
      </c>
      <c r="G651" s="35" t="s">
        <v>93</v>
      </c>
      <c r="H651" s="35" t="str">
        <f>IFERROR(_xlfn.XLOOKUP(Table6[[#This Row],[Affected WTG]],'Basic Data'!$A:$A,'Basic Data'!$B:$B),"")</f>
        <v>TQGXIIPL</v>
      </c>
      <c r="I651" s="35" t="str">
        <f>IFERROR(_xlfn.XLOOKUP(Table6[[#This Row],[Affected WTG]],'Basic Data'!$A:$A,'Basic Data'!$C:$C),"")</f>
        <v>GEDA</v>
      </c>
      <c r="J651" s="471">
        <f>IFERROR(_xlfn.XLOOKUP(Table6[[#This Row],[Affected WTG]],'Basic Data'!$A:$A,'Basic Data'!$E:$E),"")</f>
        <v>3.846153846153845E-2</v>
      </c>
      <c r="K651" s="102">
        <v>55</v>
      </c>
      <c r="L651" s="35" t="str">
        <f>IFERROR(_xlfn.XLOOKUP(Table6[[#This Row],[Error Code]],'Basic Data'!$AA:$AA,'Basic Data'!$AB:$AB),"Incorrect Error Code")</f>
        <v>WTG shut down</v>
      </c>
      <c r="M651" s="35" t="s">
        <v>291</v>
      </c>
      <c r="N651" s="475"/>
      <c r="O651" s="476">
        <v>0.63888888888888884</v>
      </c>
      <c r="P651" s="476">
        <v>0.63888888888888884</v>
      </c>
      <c r="Q651" s="477">
        <v>0.69861111111111107</v>
      </c>
      <c r="R651" s="472">
        <f>IF(Table6[[#This Row],[Work Start TimeStamp]]="","",(Table6[[#This Row],[Work Start TimeStamp]]-Table6[[#This Row],[Fault Start TimeStamp]])*24)</f>
        <v>0</v>
      </c>
      <c r="S651" s="472">
        <f>(Table6[[#This Row],[Fault Clearance time]]-Table6[[#This Row],[Work Start TimeStamp]])*24</f>
        <v>1.4333333333333336</v>
      </c>
      <c r="T651" s="472">
        <f>(Table6[[#This Row],[Fault Clearance time]]-Table6[[#This Row],[Fault Start TimeStamp]])*24</f>
        <v>1.4333333333333336</v>
      </c>
      <c r="U651" s="35" t="s">
        <v>1788</v>
      </c>
      <c r="V651" s="102" t="s">
        <v>293</v>
      </c>
      <c r="W651" s="478">
        <f>IFERROR(Table6[[#This Row],[Breakdown Time]]*Table6[[#This Row],[Plant Equivalent Weightage]],"")</f>
        <v>5.512820512820512E-2</v>
      </c>
      <c r="X651" s="473" t="s">
        <v>290</v>
      </c>
      <c r="Y651" s="474" t="s">
        <v>97</v>
      </c>
      <c r="Z651" s="102">
        <v>9370</v>
      </c>
      <c r="AA651" s="468">
        <f>(Table6[[#This Row],[Paired WTG Generation for loss calculation]]/24)*Table6[[#This Row],[Breakdown Time]]</f>
        <v>559.59722222222229</v>
      </c>
      <c r="AB651" s="102"/>
      <c r="AC651" s="35"/>
      <c r="AD651" s="35"/>
    </row>
    <row r="652" spans="1:30">
      <c r="A652" s="102">
        <f t="shared" si="10"/>
        <v>651</v>
      </c>
      <c r="B652" s="468">
        <f>YEAR(Table6[[#This Row],[Date]])+IF(MONTH(Table6[[#This Row],[Date]])&gt;=4,1,0)</f>
        <v>2026</v>
      </c>
      <c r="C652" s="102">
        <f>YEAR(Table6[[#This Row],[Date]])</f>
        <v>2025</v>
      </c>
      <c r="D652" s="102" t="s">
        <v>1992</v>
      </c>
      <c r="E652" s="469">
        <f>Table6[[#This Row],[Date]]-DAY(Table6[[#This Row],[Date]])+1</f>
        <v>45778</v>
      </c>
      <c r="F652" s="470">
        <v>45785</v>
      </c>
      <c r="G652" s="35" t="s">
        <v>96</v>
      </c>
      <c r="H652" s="35" t="str">
        <f>IFERROR(_xlfn.XLOOKUP(Table6[[#This Row],[Affected WTG]],'Basic Data'!$A:$A,'Basic Data'!$B:$B),"")</f>
        <v>TQGXIIPL</v>
      </c>
      <c r="I652" s="35" t="str">
        <f>IFERROR(_xlfn.XLOOKUP(Table6[[#This Row],[Affected WTG]],'Basic Data'!$A:$A,'Basic Data'!$C:$C),"")</f>
        <v>GEDA</v>
      </c>
      <c r="J652" s="471">
        <f>IFERROR(_xlfn.XLOOKUP(Table6[[#This Row],[Affected WTG]],'Basic Data'!$A:$A,'Basic Data'!$E:$E),"")</f>
        <v>3.846153846153845E-2</v>
      </c>
      <c r="K652" s="102">
        <v>700</v>
      </c>
      <c r="L652" s="35" t="str">
        <f>IFERROR(_xlfn.XLOOKUP(Table6[[#This Row],[Error Code]],'Basic Data'!$AA:$AA,'Basic Data'!$AB:$AB),"Incorrect Error Code")</f>
        <v>Batt. undervoltage/overvoltage</v>
      </c>
      <c r="M652" s="35" t="s">
        <v>291</v>
      </c>
      <c r="N652" s="475"/>
      <c r="O652" s="476">
        <v>0.79166666666666663</v>
      </c>
      <c r="P652" s="476">
        <v>0.90763888888888888</v>
      </c>
      <c r="Q652" s="477">
        <v>0.96805555555555556</v>
      </c>
      <c r="R652" s="472">
        <f>IF(Table6[[#This Row],[Work Start TimeStamp]]="","",(Table6[[#This Row],[Work Start TimeStamp]]-Table6[[#This Row],[Fault Start TimeStamp]])*24)</f>
        <v>2.7833333333333341</v>
      </c>
      <c r="S652" s="472">
        <f>(Table6[[#This Row],[Fault Clearance time]]-Table6[[#This Row],[Work Start TimeStamp]])*24</f>
        <v>1.4500000000000002</v>
      </c>
      <c r="T652" s="472">
        <f>(Table6[[#This Row],[Fault Clearance time]]-Table6[[#This Row],[Fault Start TimeStamp]])*24</f>
        <v>4.2333333333333343</v>
      </c>
      <c r="U652" s="35" t="s">
        <v>1849</v>
      </c>
      <c r="V652" s="102" t="s">
        <v>293</v>
      </c>
      <c r="W652" s="478">
        <f>IFERROR(Table6[[#This Row],[Breakdown Time]]*Table6[[#This Row],[Plant Equivalent Weightage]],"")</f>
        <v>0.1628205128205128</v>
      </c>
      <c r="X652" s="473" t="s">
        <v>290</v>
      </c>
      <c r="Y652" s="474" t="s">
        <v>84</v>
      </c>
      <c r="Z652" s="102">
        <v>7094</v>
      </c>
      <c r="AA652" s="468">
        <f>(Table6[[#This Row],[Paired WTG Generation for loss calculation]]/24)*Table6[[#This Row],[Breakdown Time]]</f>
        <v>1251.3027777777779</v>
      </c>
      <c r="AB652" s="102"/>
      <c r="AC652" s="35"/>
      <c r="AD652" s="35"/>
    </row>
    <row r="653" spans="1:30">
      <c r="A653" s="102">
        <f t="shared" si="10"/>
        <v>652</v>
      </c>
      <c r="B653" s="468">
        <f>YEAR(Table6[[#This Row],[Date]])+IF(MONTH(Table6[[#This Row],[Date]])&gt;=4,1,0)</f>
        <v>2026</v>
      </c>
      <c r="C653" s="102">
        <f>YEAR(Table6[[#This Row],[Date]])</f>
        <v>2025</v>
      </c>
      <c r="D653" s="102" t="s">
        <v>1992</v>
      </c>
      <c r="E653" s="469">
        <f>Table6[[#This Row],[Date]]-DAY(Table6[[#This Row],[Date]])+1</f>
        <v>45778</v>
      </c>
      <c r="F653" s="470">
        <v>45785</v>
      </c>
      <c r="G653" s="35" t="s">
        <v>99</v>
      </c>
      <c r="H653" s="35" t="str">
        <f>IFERROR(_xlfn.XLOOKUP(Table6[[#This Row],[Affected WTG]],'Basic Data'!$A:$A,'Basic Data'!$B:$B),"")</f>
        <v>TQGXIIPL</v>
      </c>
      <c r="I653" s="35" t="str">
        <f>IFERROR(_xlfn.XLOOKUP(Table6[[#This Row],[Affected WTG]],'Basic Data'!$A:$A,'Basic Data'!$C:$C),"")</f>
        <v>GEDA</v>
      </c>
      <c r="J653" s="471">
        <f>IFERROR(_xlfn.XLOOKUP(Table6[[#This Row],[Affected WTG]],'Basic Data'!$A:$A,'Basic Data'!$E:$E),"")</f>
        <v>3.846153846153845E-2</v>
      </c>
      <c r="K653" s="102">
        <v>5510</v>
      </c>
      <c r="L653" s="35" t="str">
        <f>IFERROR(_xlfn.XLOOKUP(Table6[[#This Row],[Error Code]],'Basic Data'!$AA:$AA,'Basic Data'!$AB:$AB),"Incorrect Error Code")</f>
        <v>Low hydraulic pressure</v>
      </c>
      <c r="M653" s="35" t="s">
        <v>292</v>
      </c>
      <c r="N653" s="475"/>
      <c r="O653" s="476">
        <v>0.79027777777777775</v>
      </c>
      <c r="P653" s="476">
        <v>0.79027777777777775</v>
      </c>
      <c r="Q653" s="477">
        <v>0.79305555555555551</v>
      </c>
      <c r="R653" s="472">
        <f>IF(Table6[[#This Row],[Work Start TimeStamp]]="","",(Table6[[#This Row],[Work Start TimeStamp]]-Table6[[#This Row],[Fault Start TimeStamp]])*24)</f>
        <v>0</v>
      </c>
      <c r="S653" s="472">
        <f>(Table6[[#This Row],[Fault Clearance time]]-Table6[[#This Row],[Work Start TimeStamp]])*24</f>
        <v>6.666666666666643E-2</v>
      </c>
      <c r="T653" s="472">
        <f>(Table6[[#This Row],[Fault Clearance time]]-Table6[[#This Row],[Fault Start TimeStamp]])*24</f>
        <v>6.666666666666643E-2</v>
      </c>
      <c r="U653" s="35" t="s">
        <v>1786</v>
      </c>
      <c r="V653" s="102" t="s">
        <v>293</v>
      </c>
      <c r="W653" s="478">
        <f>IFERROR(Table6[[#This Row],[Breakdown Time]]*Table6[[#This Row],[Plant Equivalent Weightage]],"")</f>
        <v>2.5641025641025541E-3</v>
      </c>
      <c r="X653" s="473" t="s">
        <v>294</v>
      </c>
      <c r="Y653" s="474" t="s">
        <v>74</v>
      </c>
      <c r="Z653" s="102">
        <v>7575</v>
      </c>
      <c r="AA653" s="468">
        <f>(Table6[[#This Row],[Paired WTG Generation for loss calculation]]/24)*Table6[[#This Row],[Breakdown Time]]</f>
        <v>21.041666666666593</v>
      </c>
      <c r="AB653" s="102"/>
      <c r="AC653" s="35"/>
      <c r="AD653" s="35"/>
    </row>
    <row r="654" spans="1:30">
      <c r="A654" s="102">
        <f t="shared" ref="A654:A717" si="11">A653+1</f>
        <v>653</v>
      </c>
      <c r="B654" s="468">
        <f>YEAR(Table6[[#This Row],[Date]])+IF(MONTH(Table6[[#This Row],[Date]])&gt;=4,1,0)</f>
        <v>2026</v>
      </c>
      <c r="C654" s="102">
        <f>YEAR(Table6[[#This Row],[Date]])</f>
        <v>2025</v>
      </c>
      <c r="D654" s="102" t="s">
        <v>1992</v>
      </c>
      <c r="E654" s="469">
        <f>Table6[[#This Row],[Date]]-DAY(Table6[[#This Row],[Date]])+1</f>
        <v>45778</v>
      </c>
      <c r="F654" s="470">
        <v>45786</v>
      </c>
      <c r="G654" s="35" t="s">
        <v>75</v>
      </c>
      <c r="H654" s="35" t="str">
        <f>IFERROR(_xlfn.XLOOKUP(Table6[[#This Row],[Affected WTG]],'Basic Data'!$A:$A,'Basic Data'!$B:$B),"")</f>
        <v>TQGXIIPL</v>
      </c>
      <c r="I654" s="35" t="str">
        <f>IFERROR(_xlfn.XLOOKUP(Table6[[#This Row],[Affected WTG]],'Basic Data'!$A:$A,'Basic Data'!$C:$C),"")</f>
        <v>GEDA</v>
      </c>
      <c r="J654" s="471">
        <f>IFERROR(_xlfn.XLOOKUP(Table6[[#This Row],[Affected WTG]],'Basic Data'!$A:$A,'Basic Data'!$E:$E),"")</f>
        <v>3.846153846153845E-2</v>
      </c>
      <c r="K654" s="102">
        <v>55</v>
      </c>
      <c r="L654" s="35" t="str">
        <f>IFERROR(_xlfn.XLOOKUP(Table6[[#This Row],[Error Code]],'Basic Data'!$AA:$AA,'Basic Data'!$AB:$AB),"Incorrect Error Code")</f>
        <v>WTG shut down</v>
      </c>
      <c r="M654" s="35" t="s">
        <v>291</v>
      </c>
      <c r="N654" s="475"/>
      <c r="O654" s="476">
        <v>0.59791666666666665</v>
      </c>
      <c r="P654" s="476">
        <v>0.59791666666666665</v>
      </c>
      <c r="Q654" s="477">
        <v>0.59930555555555554</v>
      </c>
      <c r="R654" s="472">
        <f>IF(Table6[[#This Row],[Work Start TimeStamp]]="","",(Table6[[#This Row],[Work Start TimeStamp]]-Table6[[#This Row],[Fault Start TimeStamp]])*24)</f>
        <v>0</v>
      </c>
      <c r="S654" s="472">
        <f>(Table6[[#This Row],[Fault Clearance time]]-Table6[[#This Row],[Work Start TimeStamp]])*24</f>
        <v>3.3333333333333215E-2</v>
      </c>
      <c r="T654" s="472">
        <f>(Table6[[#This Row],[Fault Clearance time]]-Table6[[#This Row],[Fault Start TimeStamp]])*24</f>
        <v>3.3333333333333215E-2</v>
      </c>
      <c r="U654" s="35" t="s">
        <v>389</v>
      </c>
      <c r="V654" s="102" t="s">
        <v>293</v>
      </c>
      <c r="W654" s="478">
        <f>IFERROR(Table6[[#This Row],[Breakdown Time]]*Table6[[#This Row],[Plant Equivalent Weightage]],"")</f>
        <v>1.2820512820512771E-3</v>
      </c>
      <c r="X654" s="473" t="s">
        <v>290</v>
      </c>
      <c r="Y654" s="474" t="s">
        <v>78</v>
      </c>
      <c r="Z654" s="102">
        <v>11663</v>
      </c>
      <c r="AA654" s="468">
        <f>(Table6[[#This Row],[Paired WTG Generation for loss calculation]]/24)*Table6[[#This Row],[Breakdown Time]]</f>
        <v>16.198611111111052</v>
      </c>
      <c r="AB654" s="102"/>
      <c r="AC654" s="35"/>
      <c r="AD654" s="35"/>
    </row>
    <row r="655" spans="1:30">
      <c r="A655" s="102">
        <f t="shared" si="11"/>
        <v>654</v>
      </c>
      <c r="B655" s="468">
        <f>YEAR(Table6[[#This Row],[Date]])+IF(MONTH(Table6[[#This Row],[Date]])&gt;=4,1,0)</f>
        <v>2026</v>
      </c>
      <c r="C655" s="102">
        <f>YEAR(Table6[[#This Row],[Date]])</f>
        <v>2025</v>
      </c>
      <c r="D655" s="102" t="s">
        <v>1992</v>
      </c>
      <c r="E655" s="469">
        <f>Table6[[#This Row],[Date]]-DAY(Table6[[#This Row],[Date]])+1</f>
        <v>45778</v>
      </c>
      <c r="F655" s="470">
        <v>45786</v>
      </c>
      <c r="G655" s="35" t="s">
        <v>76</v>
      </c>
      <c r="H655" s="35" t="str">
        <f>IFERROR(_xlfn.XLOOKUP(Table6[[#This Row],[Affected WTG]],'Basic Data'!$A:$A,'Basic Data'!$B:$B),"")</f>
        <v>TQGXIIPL</v>
      </c>
      <c r="I655" s="35" t="str">
        <f>IFERROR(_xlfn.XLOOKUP(Table6[[#This Row],[Affected WTG]],'Basic Data'!$A:$A,'Basic Data'!$C:$C),"")</f>
        <v>GEDA</v>
      </c>
      <c r="J655" s="471">
        <f>IFERROR(_xlfn.XLOOKUP(Table6[[#This Row],[Affected WTG]],'Basic Data'!$A:$A,'Basic Data'!$E:$E),"")</f>
        <v>3.846153846153845E-2</v>
      </c>
      <c r="K655" s="102">
        <v>55</v>
      </c>
      <c r="L655" s="35" t="str">
        <f>IFERROR(_xlfn.XLOOKUP(Table6[[#This Row],[Error Code]],'Basic Data'!$AA:$AA,'Basic Data'!$AB:$AB),"Incorrect Error Code")</f>
        <v>WTG shut down</v>
      </c>
      <c r="M655" s="35" t="s">
        <v>291</v>
      </c>
      <c r="N655" s="475"/>
      <c r="O655" s="476">
        <v>0.60069444444444442</v>
      </c>
      <c r="P655" s="476">
        <v>0.60069444444444442</v>
      </c>
      <c r="Q655" s="477">
        <v>0.6020833333333333</v>
      </c>
      <c r="R655" s="472">
        <f>IF(Table6[[#This Row],[Work Start TimeStamp]]="","",(Table6[[#This Row],[Work Start TimeStamp]]-Table6[[#This Row],[Fault Start TimeStamp]])*24)</f>
        <v>0</v>
      </c>
      <c r="S655" s="472">
        <f>(Table6[[#This Row],[Fault Clearance time]]-Table6[[#This Row],[Work Start TimeStamp]])*24</f>
        <v>3.3333333333333215E-2</v>
      </c>
      <c r="T655" s="472">
        <f>(Table6[[#This Row],[Fault Clearance time]]-Table6[[#This Row],[Fault Start TimeStamp]])*24</f>
        <v>3.3333333333333215E-2</v>
      </c>
      <c r="U655" s="35" t="s">
        <v>389</v>
      </c>
      <c r="V655" s="102" t="s">
        <v>293</v>
      </c>
      <c r="W655" s="478">
        <f>IFERROR(Table6[[#This Row],[Breakdown Time]]*Table6[[#This Row],[Plant Equivalent Weightage]],"")</f>
        <v>1.2820512820512771E-3</v>
      </c>
      <c r="X655" s="473" t="s">
        <v>290</v>
      </c>
      <c r="Y655" s="474" t="s">
        <v>82</v>
      </c>
      <c r="Z655" s="102">
        <v>8780</v>
      </c>
      <c r="AA655" s="468">
        <f>(Table6[[#This Row],[Paired WTG Generation for loss calculation]]/24)*Table6[[#This Row],[Breakdown Time]]</f>
        <v>12.1944444444444</v>
      </c>
      <c r="AB655" s="102"/>
      <c r="AC655" s="35"/>
      <c r="AD655" s="35"/>
    </row>
    <row r="656" spans="1:30">
      <c r="A656" s="102">
        <f t="shared" si="11"/>
        <v>655</v>
      </c>
      <c r="B656" s="468">
        <f>YEAR(Table6[[#This Row],[Date]])+IF(MONTH(Table6[[#This Row],[Date]])&gt;=4,1,0)</f>
        <v>2026</v>
      </c>
      <c r="C656" s="102">
        <f>YEAR(Table6[[#This Row],[Date]])</f>
        <v>2025</v>
      </c>
      <c r="D656" s="102" t="s">
        <v>1992</v>
      </c>
      <c r="E656" s="469">
        <f>Table6[[#This Row],[Date]]-DAY(Table6[[#This Row],[Date]])+1</f>
        <v>45778</v>
      </c>
      <c r="F656" s="470">
        <v>45786</v>
      </c>
      <c r="G656" s="35" t="s">
        <v>77</v>
      </c>
      <c r="H656" s="35" t="str">
        <f>IFERROR(_xlfn.XLOOKUP(Table6[[#This Row],[Affected WTG]],'Basic Data'!$A:$A,'Basic Data'!$B:$B),"")</f>
        <v>TQGXIIPL</v>
      </c>
      <c r="I656" s="35" t="str">
        <f>IFERROR(_xlfn.XLOOKUP(Table6[[#This Row],[Affected WTG]],'Basic Data'!$A:$A,'Basic Data'!$C:$C),"")</f>
        <v>GEDA</v>
      </c>
      <c r="J656" s="471">
        <f>IFERROR(_xlfn.XLOOKUP(Table6[[#This Row],[Affected WTG]],'Basic Data'!$A:$A,'Basic Data'!$E:$E),"")</f>
        <v>3.846153846153845E-2</v>
      </c>
      <c r="K656" s="102">
        <v>55</v>
      </c>
      <c r="L656" s="35" t="str">
        <f>IFERROR(_xlfn.XLOOKUP(Table6[[#This Row],[Error Code]],'Basic Data'!$AA:$AA,'Basic Data'!$AB:$AB),"Incorrect Error Code")</f>
        <v>WTG shut down</v>
      </c>
      <c r="M656" s="35" t="s">
        <v>291</v>
      </c>
      <c r="N656" s="475"/>
      <c r="O656" s="476">
        <v>0.60972222222222228</v>
      </c>
      <c r="P656" s="476">
        <v>0.60972222222222228</v>
      </c>
      <c r="Q656" s="477">
        <v>0.6118055555555556</v>
      </c>
      <c r="R656" s="472">
        <f>IF(Table6[[#This Row],[Work Start TimeStamp]]="","",(Table6[[#This Row],[Work Start TimeStamp]]-Table6[[#This Row],[Fault Start TimeStamp]])*24)</f>
        <v>0</v>
      </c>
      <c r="S656" s="472">
        <f>(Table6[[#This Row],[Fault Clearance time]]-Table6[[#This Row],[Work Start TimeStamp]])*24</f>
        <v>4.9999999999999822E-2</v>
      </c>
      <c r="T656" s="472">
        <f>(Table6[[#This Row],[Fault Clearance time]]-Table6[[#This Row],[Fault Start TimeStamp]])*24</f>
        <v>4.9999999999999822E-2</v>
      </c>
      <c r="U656" s="35" t="s">
        <v>389</v>
      </c>
      <c r="V656" s="102" t="s">
        <v>293</v>
      </c>
      <c r="W656" s="478">
        <f>IFERROR(Table6[[#This Row],[Breakdown Time]]*Table6[[#This Row],[Plant Equivalent Weightage]],"")</f>
        <v>1.9230769230769156E-3</v>
      </c>
      <c r="X656" s="473" t="s">
        <v>290</v>
      </c>
      <c r="Y656" s="474" t="s">
        <v>80</v>
      </c>
      <c r="Z656" s="102">
        <v>4777</v>
      </c>
      <c r="AA656" s="468">
        <f>(Table6[[#This Row],[Paired WTG Generation for loss calculation]]/24)*Table6[[#This Row],[Breakdown Time]]</f>
        <v>9.952083333333297</v>
      </c>
      <c r="AB656" s="102"/>
      <c r="AC656" s="35"/>
      <c r="AD656" s="35"/>
    </row>
    <row r="657" spans="1:30">
      <c r="A657" s="102">
        <f t="shared" si="11"/>
        <v>656</v>
      </c>
      <c r="B657" s="468">
        <f>YEAR(Table6[[#This Row],[Date]])+IF(MONTH(Table6[[#This Row],[Date]])&gt;=4,1,0)</f>
        <v>2026</v>
      </c>
      <c r="C657" s="102">
        <f>YEAR(Table6[[#This Row],[Date]])</f>
        <v>2025</v>
      </c>
      <c r="D657" s="102" t="s">
        <v>1992</v>
      </c>
      <c r="E657" s="469">
        <f>Table6[[#This Row],[Date]]-DAY(Table6[[#This Row],[Date]])+1</f>
        <v>45778</v>
      </c>
      <c r="F657" s="470">
        <v>45786</v>
      </c>
      <c r="G657" s="35" t="s">
        <v>78</v>
      </c>
      <c r="H657" s="35" t="str">
        <f>IFERROR(_xlfn.XLOOKUP(Table6[[#This Row],[Affected WTG]],'Basic Data'!$A:$A,'Basic Data'!$B:$B),"")</f>
        <v>TQGXIIPL</v>
      </c>
      <c r="I657" s="35" t="str">
        <f>IFERROR(_xlfn.XLOOKUP(Table6[[#This Row],[Affected WTG]],'Basic Data'!$A:$A,'Basic Data'!$C:$C),"")</f>
        <v>GEDA</v>
      </c>
      <c r="J657" s="471">
        <f>IFERROR(_xlfn.XLOOKUP(Table6[[#This Row],[Affected WTG]],'Basic Data'!$A:$A,'Basic Data'!$E:$E),"")</f>
        <v>3.846153846153845E-2</v>
      </c>
      <c r="K657" s="102">
        <v>55</v>
      </c>
      <c r="L657" s="35" t="str">
        <f>IFERROR(_xlfn.XLOOKUP(Table6[[#This Row],[Error Code]],'Basic Data'!$AA:$AA,'Basic Data'!$AB:$AB),"Incorrect Error Code")</f>
        <v>WTG shut down</v>
      </c>
      <c r="M657" s="35" t="s">
        <v>291</v>
      </c>
      <c r="N657" s="475"/>
      <c r="O657" s="476">
        <v>0.62013888888888891</v>
      </c>
      <c r="P657" s="476">
        <v>0.62013888888888891</v>
      </c>
      <c r="Q657" s="477">
        <v>0.62152777777777779</v>
      </c>
      <c r="R657" s="472">
        <f>IF(Table6[[#This Row],[Work Start TimeStamp]]="","",(Table6[[#This Row],[Work Start TimeStamp]]-Table6[[#This Row],[Fault Start TimeStamp]])*24)</f>
        <v>0</v>
      </c>
      <c r="S657" s="472">
        <f>(Table6[[#This Row],[Fault Clearance time]]-Table6[[#This Row],[Work Start TimeStamp]])*24</f>
        <v>3.3333333333333215E-2</v>
      </c>
      <c r="T657" s="472">
        <f>(Table6[[#This Row],[Fault Clearance time]]-Table6[[#This Row],[Fault Start TimeStamp]])*24</f>
        <v>3.3333333333333215E-2</v>
      </c>
      <c r="U657" s="35" t="s">
        <v>389</v>
      </c>
      <c r="V657" s="102" t="s">
        <v>293</v>
      </c>
      <c r="W657" s="478">
        <f>IFERROR(Table6[[#This Row],[Breakdown Time]]*Table6[[#This Row],[Plant Equivalent Weightage]],"")</f>
        <v>1.2820512820512771E-3</v>
      </c>
      <c r="X657" s="473" t="s">
        <v>290</v>
      </c>
      <c r="Y657" s="474" t="s">
        <v>75</v>
      </c>
      <c r="Z657" s="102">
        <v>12509</v>
      </c>
      <c r="AA657" s="468">
        <f>(Table6[[#This Row],[Paired WTG Generation for loss calculation]]/24)*Table6[[#This Row],[Breakdown Time]]</f>
        <v>17.37361111111105</v>
      </c>
      <c r="AB657" s="102"/>
      <c r="AC657" s="35"/>
      <c r="AD657" s="35"/>
    </row>
    <row r="658" spans="1:30">
      <c r="A658" s="102">
        <f t="shared" si="11"/>
        <v>657</v>
      </c>
      <c r="B658" s="468">
        <f>YEAR(Table6[[#This Row],[Date]])+IF(MONTH(Table6[[#This Row],[Date]])&gt;=4,1,0)</f>
        <v>2026</v>
      </c>
      <c r="C658" s="102">
        <f>YEAR(Table6[[#This Row],[Date]])</f>
        <v>2025</v>
      </c>
      <c r="D658" s="102" t="s">
        <v>1992</v>
      </c>
      <c r="E658" s="469">
        <f>Table6[[#This Row],[Date]]-DAY(Table6[[#This Row],[Date]])+1</f>
        <v>45778</v>
      </c>
      <c r="F658" s="470">
        <v>45786</v>
      </c>
      <c r="G658" s="35" t="s">
        <v>79</v>
      </c>
      <c r="H658" s="35" t="str">
        <f>IFERROR(_xlfn.XLOOKUP(Table6[[#This Row],[Affected WTG]],'Basic Data'!$A:$A,'Basic Data'!$B:$B),"")</f>
        <v>TQGXIIPL</v>
      </c>
      <c r="I658" s="35" t="str">
        <f>IFERROR(_xlfn.XLOOKUP(Table6[[#This Row],[Affected WTG]],'Basic Data'!$A:$A,'Basic Data'!$C:$C),"")</f>
        <v>GEDA</v>
      </c>
      <c r="J658" s="471">
        <f>IFERROR(_xlfn.XLOOKUP(Table6[[#This Row],[Affected WTG]],'Basic Data'!$A:$A,'Basic Data'!$E:$E),"")</f>
        <v>3.846153846153845E-2</v>
      </c>
      <c r="K658" s="102">
        <v>55</v>
      </c>
      <c r="L658" s="35" t="str">
        <f>IFERROR(_xlfn.XLOOKUP(Table6[[#This Row],[Error Code]],'Basic Data'!$AA:$AA,'Basic Data'!$AB:$AB),"Incorrect Error Code")</f>
        <v>WTG shut down</v>
      </c>
      <c r="M658" s="35" t="s">
        <v>291</v>
      </c>
      <c r="N658" s="475"/>
      <c r="O658" s="476">
        <v>0.60416666666666663</v>
      </c>
      <c r="P658" s="476">
        <v>0.60416666666666663</v>
      </c>
      <c r="Q658" s="477">
        <v>0.60555555555555551</v>
      </c>
      <c r="R658" s="472">
        <f>IF(Table6[[#This Row],[Work Start TimeStamp]]="","",(Table6[[#This Row],[Work Start TimeStamp]]-Table6[[#This Row],[Fault Start TimeStamp]])*24)</f>
        <v>0</v>
      </c>
      <c r="S658" s="472">
        <f>(Table6[[#This Row],[Fault Clearance time]]-Table6[[#This Row],[Work Start TimeStamp]])*24</f>
        <v>3.3333333333333215E-2</v>
      </c>
      <c r="T658" s="472">
        <f>(Table6[[#This Row],[Fault Clearance time]]-Table6[[#This Row],[Fault Start TimeStamp]])*24</f>
        <v>3.3333333333333215E-2</v>
      </c>
      <c r="U658" s="35" t="s">
        <v>389</v>
      </c>
      <c r="V658" s="102" t="s">
        <v>293</v>
      </c>
      <c r="W658" s="478">
        <f>IFERROR(Table6[[#This Row],[Breakdown Time]]*Table6[[#This Row],[Plant Equivalent Weightage]],"")</f>
        <v>1.2820512820512771E-3</v>
      </c>
      <c r="X658" s="473" t="s">
        <v>290</v>
      </c>
      <c r="Y658" s="474" t="s">
        <v>94</v>
      </c>
      <c r="Z658" s="102">
        <v>5387</v>
      </c>
      <c r="AA658" s="468">
        <f>(Table6[[#This Row],[Paired WTG Generation for loss calculation]]/24)*Table6[[#This Row],[Breakdown Time]]</f>
        <v>7.4819444444444185</v>
      </c>
      <c r="AB658" s="102"/>
      <c r="AC658" s="35"/>
      <c r="AD658" s="35"/>
    </row>
    <row r="659" spans="1:30">
      <c r="A659" s="102">
        <f t="shared" si="11"/>
        <v>658</v>
      </c>
      <c r="B659" s="468">
        <f>YEAR(Table6[[#This Row],[Date]])+IF(MONTH(Table6[[#This Row],[Date]])&gt;=4,1,0)</f>
        <v>2026</v>
      </c>
      <c r="C659" s="102">
        <f>YEAR(Table6[[#This Row],[Date]])</f>
        <v>2025</v>
      </c>
      <c r="D659" s="102" t="s">
        <v>1992</v>
      </c>
      <c r="E659" s="469">
        <f>Table6[[#This Row],[Date]]-DAY(Table6[[#This Row],[Date]])+1</f>
        <v>45778</v>
      </c>
      <c r="F659" s="470">
        <v>45786</v>
      </c>
      <c r="G659" s="35" t="s">
        <v>80</v>
      </c>
      <c r="H659" s="35" t="str">
        <f>IFERROR(_xlfn.XLOOKUP(Table6[[#This Row],[Affected WTG]],'Basic Data'!$A:$A,'Basic Data'!$B:$B),"")</f>
        <v>TQGXIIPL</v>
      </c>
      <c r="I659" s="35" t="str">
        <f>IFERROR(_xlfn.XLOOKUP(Table6[[#This Row],[Affected WTG]],'Basic Data'!$A:$A,'Basic Data'!$C:$C),"")</f>
        <v>GEDA</v>
      </c>
      <c r="J659" s="471">
        <f>IFERROR(_xlfn.XLOOKUP(Table6[[#This Row],[Affected WTG]],'Basic Data'!$A:$A,'Basic Data'!$E:$E),"")</f>
        <v>3.846153846153845E-2</v>
      </c>
      <c r="K659" s="102">
        <v>55</v>
      </c>
      <c r="L659" s="35" t="str">
        <f>IFERROR(_xlfn.XLOOKUP(Table6[[#This Row],[Error Code]],'Basic Data'!$AA:$AA,'Basic Data'!$AB:$AB),"Incorrect Error Code")</f>
        <v>WTG shut down</v>
      </c>
      <c r="M659" s="35" t="s">
        <v>291</v>
      </c>
      <c r="N659" s="475"/>
      <c r="O659" s="476">
        <v>0.6333333333333333</v>
      </c>
      <c r="P659" s="476">
        <v>0.6333333333333333</v>
      </c>
      <c r="Q659" s="477">
        <v>0.64236111111111116</v>
      </c>
      <c r="R659" s="472">
        <f>IF(Table6[[#This Row],[Work Start TimeStamp]]="","",(Table6[[#This Row],[Work Start TimeStamp]]-Table6[[#This Row],[Fault Start TimeStamp]])*24)</f>
        <v>0</v>
      </c>
      <c r="S659" s="472">
        <f>(Table6[[#This Row],[Fault Clearance time]]-Table6[[#This Row],[Work Start TimeStamp]])*24</f>
        <v>0.21666666666666856</v>
      </c>
      <c r="T659" s="472">
        <f>(Table6[[#This Row],[Fault Clearance time]]-Table6[[#This Row],[Fault Start TimeStamp]])*24</f>
        <v>0.21666666666666856</v>
      </c>
      <c r="U659" s="35" t="s">
        <v>389</v>
      </c>
      <c r="V659" s="102" t="s">
        <v>293</v>
      </c>
      <c r="W659" s="478">
        <f>IFERROR(Table6[[#This Row],[Breakdown Time]]*Table6[[#This Row],[Plant Equivalent Weightage]],"")</f>
        <v>8.3333333333334043E-3</v>
      </c>
      <c r="X659" s="473" t="s">
        <v>290</v>
      </c>
      <c r="Y659" s="474" t="s">
        <v>77</v>
      </c>
      <c r="Z659" s="102">
        <v>5316</v>
      </c>
      <c r="AA659" s="468">
        <f>(Table6[[#This Row],[Paired WTG Generation for loss calculation]]/24)*Table6[[#This Row],[Breakdown Time]]</f>
        <v>47.991666666667086</v>
      </c>
      <c r="AB659" s="102"/>
      <c r="AC659" s="35"/>
      <c r="AD659" s="35"/>
    </row>
    <row r="660" spans="1:30">
      <c r="A660" s="102">
        <f t="shared" si="11"/>
        <v>659</v>
      </c>
      <c r="B660" s="468">
        <f>YEAR(Table6[[#This Row],[Date]])+IF(MONTH(Table6[[#This Row],[Date]])&gt;=4,1,0)</f>
        <v>2026</v>
      </c>
      <c r="C660" s="102">
        <f>YEAR(Table6[[#This Row],[Date]])</f>
        <v>2025</v>
      </c>
      <c r="D660" s="102" t="s">
        <v>1992</v>
      </c>
      <c r="E660" s="469">
        <f>Table6[[#This Row],[Date]]-DAY(Table6[[#This Row],[Date]])+1</f>
        <v>45778</v>
      </c>
      <c r="F660" s="470">
        <v>45786</v>
      </c>
      <c r="G660" s="35" t="s">
        <v>81</v>
      </c>
      <c r="H660" s="35" t="str">
        <f>IFERROR(_xlfn.XLOOKUP(Table6[[#This Row],[Affected WTG]],'Basic Data'!$A:$A,'Basic Data'!$B:$B),"")</f>
        <v>TQGXIIPL</v>
      </c>
      <c r="I660" s="35" t="str">
        <f>IFERROR(_xlfn.XLOOKUP(Table6[[#This Row],[Affected WTG]],'Basic Data'!$A:$A,'Basic Data'!$C:$C),"")</f>
        <v>GEDA</v>
      </c>
      <c r="J660" s="471">
        <f>IFERROR(_xlfn.XLOOKUP(Table6[[#This Row],[Affected WTG]],'Basic Data'!$A:$A,'Basic Data'!$E:$E),"")</f>
        <v>3.846153846153845E-2</v>
      </c>
      <c r="K660" s="102">
        <v>55</v>
      </c>
      <c r="L660" s="35" t="str">
        <f>IFERROR(_xlfn.XLOOKUP(Table6[[#This Row],[Error Code]],'Basic Data'!$AA:$AA,'Basic Data'!$AB:$AB),"Incorrect Error Code")</f>
        <v>WTG shut down</v>
      </c>
      <c r="M660" s="35" t="s">
        <v>291</v>
      </c>
      <c r="N660" s="475"/>
      <c r="O660" s="476">
        <v>0.64652777777777781</v>
      </c>
      <c r="P660" s="476">
        <v>0.64652777777777781</v>
      </c>
      <c r="Q660" s="477">
        <v>0.6479166666666667</v>
      </c>
      <c r="R660" s="472">
        <f>IF(Table6[[#This Row],[Work Start TimeStamp]]="","",(Table6[[#This Row],[Work Start TimeStamp]]-Table6[[#This Row],[Fault Start TimeStamp]])*24)</f>
        <v>0</v>
      </c>
      <c r="S660" s="472">
        <f>(Table6[[#This Row],[Fault Clearance time]]-Table6[[#This Row],[Work Start TimeStamp]])*24</f>
        <v>3.3333333333333215E-2</v>
      </c>
      <c r="T660" s="472">
        <f>(Table6[[#This Row],[Fault Clearance time]]-Table6[[#This Row],[Fault Start TimeStamp]])*24</f>
        <v>3.3333333333333215E-2</v>
      </c>
      <c r="U660" s="35" t="s">
        <v>389</v>
      </c>
      <c r="V660" s="102" t="s">
        <v>293</v>
      </c>
      <c r="W660" s="478">
        <f>IFERROR(Table6[[#This Row],[Breakdown Time]]*Table6[[#This Row],[Plant Equivalent Weightage]],"")</f>
        <v>1.2820512820512771E-3</v>
      </c>
      <c r="X660" s="473" t="s">
        <v>290</v>
      </c>
      <c r="Y660" s="474" t="s">
        <v>99</v>
      </c>
      <c r="Z660" s="102">
        <v>9743</v>
      </c>
      <c r="AA660" s="468">
        <f>(Table6[[#This Row],[Paired WTG Generation for loss calculation]]/24)*Table6[[#This Row],[Breakdown Time]]</f>
        <v>13.531944444444395</v>
      </c>
      <c r="AB660" s="102"/>
      <c r="AC660" s="35"/>
      <c r="AD660" s="35"/>
    </row>
    <row r="661" spans="1:30">
      <c r="A661" s="102">
        <f t="shared" si="11"/>
        <v>660</v>
      </c>
      <c r="B661" s="468">
        <f>YEAR(Table6[[#This Row],[Date]])+IF(MONTH(Table6[[#This Row],[Date]])&gt;=4,1,0)</f>
        <v>2026</v>
      </c>
      <c r="C661" s="102">
        <f>YEAR(Table6[[#This Row],[Date]])</f>
        <v>2025</v>
      </c>
      <c r="D661" s="102" t="s">
        <v>1992</v>
      </c>
      <c r="E661" s="469">
        <f>Table6[[#This Row],[Date]]-DAY(Table6[[#This Row],[Date]])+1</f>
        <v>45778</v>
      </c>
      <c r="F661" s="470">
        <v>45786</v>
      </c>
      <c r="G661" s="35" t="s">
        <v>74</v>
      </c>
      <c r="H661" s="35" t="str">
        <f>IFERROR(_xlfn.XLOOKUP(Table6[[#This Row],[Affected WTG]],'Basic Data'!$A:$A,'Basic Data'!$B:$B),"")</f>
        <v>TQGXIIPL</v>
      </c>
      <c r="I661" s="35" t="str">
        <f>IFERROR(_xlfn.XLOOKUP(Table6[[#This Row],[Affected WTG]],'Basic Data'!$A:$A,'Basic Data'!$C:$C),"")</f>
        <v>GEDA</v>
      </c>
      <c r="J661" s="471">
        <f>IFERROR(_xlfn.XLOOKUP(Table6[[#This Row],[Affected WTG]],'Basic Data'!$A:$A,'Basic Data'!$E:$E),"")</f>
        <v>3.846153846153845E-2</v>
      </c>
      <c r="K661" s="102">
        <v>55</v>
      </c>
      <c r="L661" s="35" t="str">
        <f>IFERROR(_xlfn.XLOOKUP(Table6[[#This Row],[Error Code]],'Basic Data'!$AA:$AA,'Basic Data'!$AB:$AB),"Incorrect Error Code")</f>
        <v>WTG shut down</v>
      </c>
      <c r="M661" s="35" t="s">
        <v>291</v>
      </c>
      <c r="N661" s="475"/>
      <c r="O661" s="476">
        <v>0.5854166666666667</v>
      </c>
      <c r="P661" s="476">
        <v>0.5854166666666667</v>
      </c>
      <c r="Q661" s="477">
        <v>0.58680555555555558</v>
      </c>
      <c r="R661" s="472">
        <f>IF(Table6[[#This Row],[Work Start TimeStamp]]="","",(Table6[[#This Row],[Work Start TimeStamp]]-Table6[[#This Row],[Fault Start TimeStamp]])*24)</f>
        <v>0</v>
      </c>
      <c r="S661" s="472">
        <f>(Table6[[#This Row],[Fault Clearance time]]-Table6[[#This Row],[Work Start TimeStamp]])*24</f>
        <v>3.3333333333333215E-2</v>
      </c>
      <c r="T661" s="472">
        <f>(Table6[[#This Row],[Fault Clearance time]]-Table6[[#This Row],[Fault Start TimeStamp]])*24</f>
        <v>3.3333333333333215E-2</v>
      </c>
      <c r="U661" s="35" t="s">
        <v>389</v>
      </c>
      <c r="V661" s="102" t="s">
        <v>293</v>
      </c>
      <c r="W661" s="478">
        <f>IFERROR(Table6[[#This Row],[Breakdown Time]]*Table6[[#This Row],[Plant Equivalent Weightage]],"")</f>
        <v>1.2820512820512771E-3</v>
      </c>
      <c r="X661" s="473" t="s">
        <v>290</v>
      </c>
      <c r="Y661" s="474" t="s">
        <v>99</v>
      </c>
      <c r="Z661" s="102">
        <v>9743</v>
      </c>
      <c r="AA661" s="468">
        <f>(Table6[[#This Row],[Paired WTG Generation for loss calculation]]/24)*Table6[[#This Row],[Breakdown Time]]</f>
        <v>13.531944444444395</v>
      </c>
      <c r="AB661" s="102"/>
      <c r="AC661" s="35"/>
      <c r="AD661" s="35"/>
    </row>
    <row r="662" spans="1:30">
      <c r="A662" s="102">
        <f t="shared" si="11"/>
        <v>661</v>
      </c>
      <c r="B662" s="468">
        <f>YEAR(Table6[[#This Row],[Date]])+IF(MONTH(Table6[[#This Row],[Date]])&gt;=4,1,0)</f>
        <v>2026</v>
      </c>
      <c r="C662" s="102">
        <f>YEAR(Table6[[#This Row],[Date]])</f>
        <v>2025</v>
      </c>
      <c r="D662" s="102" t="s">
        <v>1992</v>
      </c>
      <c r="E662" s="469">
        <f>Table6[[#This Row],[Date]]-DAY(Table6[[#This Row],[Date]])+1</f>
        <v>45778</v>
      </c>
      <c r="F662" s="470">
        <v>45786</v>
      </c>
      <c r="G662" s="35" t="s">
        <v>82</v>
      </c>
      <c r="H662" s="35" t="str">
        <f>IFERROR(_xlfn.XLOOKUP(Table6[[#This Row],[Affected WTG]],'Basic Data'!$A:$A,'Basic Data'!$B:$B),"")</f>
        <v>TQGXIIPL</v>
      </c>
      <c r="I662" s="35" t="str">
        <f>IFERROR(_xlfn.XLOOKUP(Table6[[#This Row],[Affected WTG]],'Basic Data'!$A:$A,'Basic Data'!$C:$C),"")</f>
        <v>GEDA</v>
      </c>
      <c r="J662" s="471">
        <f>IFERROR(_xlfn.XLOOKUP(Table6[[#This Row],[Affected WTG]],'Basic Data'!$A:$A,'Basic Data'!$E:$E),"")</f>
        <v>3.846153846153845E-2</v>
      </c>
      <c r="K662" s="102">
        <v>55</v>
      </c>
      <c r="L662" s="35" t="str">
        <f>IFERROR(_xlfn.XLOOKUP(Table6[[#This Row],[Error Code]],'Basic Data'!$AA:$AA,'Basic Data'!$AB:$AB),"Incorrect Error Code")</f>
        <v>WTG shut down</v>
      </c>
      <c r="M662" s="35" t="s">
        <v>291</v>
      </c>
      <c r="N662" s="475"/>
      <c r="O662" s="476">
        <v>0.64930555555555558</v>
      </c>
      <c r="P662" s="476">
        <v>0.64930555555555558</v>
      </c>
      <c r="Q662" s="477">
        <v>0.65069444444444446</v>
      </c>
      <c r="R662" s="472">
        <f>IF(Table6[[#This Row],[Work Start TimeStamp]]="","",(Table6[[#This Row],[Work Start TimeStamp]]-Table6[[#This Row],[Fault Start TimeStamp]])*24)</f>
        <v>0</v>
      </c>
      <c r="S662" s="472">
        <f>(Table6[[#This Row],[Fault Clearance time]]-Table6[[#This Row],[Work Start TimeStamp]])*24</f>
        <v>3.3333333333333215E-2</v>
      </c>
      <c r="T662" s="472">
        <f>(Table6[[#This Row],[Fault Clearance time]]-Table6[[#This Row],[Fault Start TimeStamp]])*24</f>
        <v>3.3333333333333215E-2</v>
      </c>
      <c r="U662" s="35" t="s">
        <v>389</v>
      </c>
      <c r="V662" s="102" t="s">
        <v>293</v>
      </c>
      <c r="W662" s="478">
        <f>IFERROR(Table6[[#This Row],[Breakdown Time]]*Table6[[#This Row],[Plant Equivalent Weightage]],"")</f>
        <v>1.2820512820512771E-3</v>
      </c>
      <c r="X662" s="473" t="s">
        <v>290</v>
      </c>
      <c r="Y662" s="474" t="s">
        <v>76</v>
      </c>
      <c r="Z662" s="102">
        <v>9207</v>
      </c>
      <c r="AA662" s="468">
        <f>(Table6[[#This Row],[Paired WTG Generation for loss calculation]]/24)*Table6[[#This Row],[Breakdown Time]]</f>
        <v>12.787499999999955</v>
      </c>
      <c r="AB662" s="102"/>
      <c r="AC662" s="35"/>
      <c r="AD662" s="35"/>
    </row>
    <row r="663" spans="1:30">
      <c r="A663" s="102">
        <f t="shared" si="11"/>
        <v>662</v>
      </c>
      <c r="B663" s="468">
        <f>YEAR(Table6[[#This Row],[Date]])+IF(MONTH(Table6[[#This Row],[Date]])&gt;=4,1,0)</f>
        <v>2026</v>
      </c>
      <c r="C663" s="102">
        <f>YEAR(Table6[[#This Row],[Date]])</f>
        <v>2025</v>
      </c>
      <c r="D663" s="102" t="s">
        <v>1992</v>
      </c>
      <c r="E663" s="469">
        <f>Table6[[#This Row],[Date]]-DAY(Table6[[#This Row],[Date]])+1</f>
        <v>45778</v>
      </c>
      <c r="F663" s="470">
        <v>45786</v>
      </c>
      <c r="G663" s="35" t="s">
        <v>83</v>
      </c>
      <c r="H663" s="35" t="str">
        <f>IFERROR(_xlfn.XLOOKUP(Table6[[#This Row],[Affected WTG]],'Basic Data'!$A:$A,'Basic Data'!$B:$B),"")</f>
        <v>TQGXIIPL</v>
      </c>
      <c r="I663" s="35" t="str">
        <f>IFERROR(_xlfn.XLOOKUP(Table6[[#This Row],[Affected WTG]],'Basic Data'!$A:$A,'Basic Data'!$C:$C),"")</f>
        <v>GEDA</v>
      </c>
      <c r="J663" s="471">
        <f>IFERROR(_xlfn.XLOOKUP(Table6[[#This Row],[Affected WTG]],'Basic Data'!$A:$A,'Basic Data'!$E:$E),"")</f>
        <v>3.846153846153845E-2</v>
      </c>
      <c r="K663" s="102">
        <v>55</v>
      </c>
      <c r="L663" s="35" t="str">
        <f>IFERROR(_xlfn.XLOOKUP(Table6[[#This Row],[Error Code]],'Basic Data'!$AA:$AA,'Basic Data'!$AB:$AB),"Incorrect Error Code")</f>
        <v>WTG shut down</v>
      </c>
      <c r="M663" s="35" t="s">
        <v>291</v>
      </c>
      <c r="N663" s="475"/>
      <c r="O663" s="476">
        <v>0.65138888888888891</v>
      </c>
      <c r="P663" s="476">
        <v>0.65138888888888891</v>
      </c>
      <c r="Q663" s="477">
        <v>0.66041666666666665</v>
      </c>
      <c r="R663" s="472">
        <f>IF(Table6[[#This Row],[Work Start TimeStamp]]="","",(Table6[[#This Row],[Work Start TimeStamp]]-Table6[[#This Row],[Fault Start TimeStamp]])*24)</f>
        <v>0</v>
      </c>
      <c r="S663" s="472">
        <f>(Table6[[#This Row],[Fault Clearance time]]-Table6[[#This Row],[Work Start TimeStamp]])*24</f>
        <v>0.2166666666666659</v>
      </c>
      <c r="T663" s="472">
        <f>(Table6[[#This Row],[Fault Clearance time]]-Table6[[#This Row],[Fault Start TimeStamp]])*24</f>
        <v>0.2166666666666659</v>
      </c>
      <c r="U663" s="35" t="s">
        <v>389</v>
      </c>
      <c r="V663" s="102" t="s">
        <v>293</v>
      </c>
      <c r="W663" s="478">
        <f>IFERROR(Table6[[#This Row],[Breakdown Time]]*Table6[[#This Row],[Plant Equivalent Weightage]],"")</f>
        <v>8.333333333333302E-3</v>
      </c>
      <c r="X663" s="473" t="s">
        <v>290</v>
      </c>
      <c r="Y663" s="474" t="s">
        <v>88</v>
      </c>
      <c r="Z663" s="102">
        <v>10040</v>
      </c>
      <c r="AA663" s="468">
        <f>(Table6[[#This Row],[Paired WTG Generation for loss calculation]]/24)*Table6[[#This Row],[Breakdown Time]]</f>
        <v>90.638888888888559</v>
      </c>
      <c r="AB663" s="102"/>
      <c r="AC663" s="35"/>
      <c r="AD663" s="35"/>
    </row>
    <row r="664" spans="1:30">
      <c r="A664" s="102">
        <f t="shared" si="11"/>
        <v>663</v>
      </c>
      <c r="B664" s="468">
        <f>YEAR(Table6[[#This Row],[Date]])+IF(MONTH(Table6[[#This Row],[Date]])&gt;=4,1,0)</f>
        <v>2026</v>
      </c>
      <c r="C664" s="102">
        <f>YEAR(Table6[[#This Row],[Date]])</f>
        <v>2025</v>
      </c>
      <c r="D664" s="102" t="s">
        <v>1992</v>
      </c>
      <c r="E664" s="469">
        <f>Table6[[#This Row],[Date]]-DAY(Table6[[#This Row],[Date]])+1</f>
        <v>45778</v>
      </c>
      <c r="F664" s="470">
        <v>45786</v>
      </c>
      <c r="G664" s="35" t="s">
        <v>84</v>
      </c>
      <c r="H664" s="35" t="str">
        <f>IFERROR(_xlfn.XLOOKUP(Table6[[#This Row],[Affected WTG]],'Basic Data'!$A:$A,'Basic Data'!$B:$B),"")</f>
        <v>TQGXIIPL</v>
      </c>
      <c r="I664" s="35" t="str">
        <f>IFERROR(_xlfn.XLOOKUP(Table6[[#This Row],[Affected WTG]],'Basic Data'!$A:$A,'Basic Data'!$C:$C),"")</f>
        <v>GEDA</v>
      </c>
      <c r="J664" s="471">
        <f>IFERROR(_xlfn.XLOOKUP(Table6[[#This Row],[Affected WTG]],'Basic Data'!$A:$A,'Basic Data'!$E:$E),"")</f>
        <v>3.846153846153845E-2</v>
      </c>
      <c r="K664" s="102">
        <v>741</v>
      </c>
      <c r="L664" s="35" t="str">
        <f>IFERROR(_xlfn.XLOOKUP(Table6[[#This Row],[Error Code]],'Basic Data'!$AA:$AA,'Basic Data'!$AB:$AB),"Incorrect Error Code")</f>
        <v>Battery drive trigger by HC</v>
      </c>
      <c r="M664" s="35" t="s">
        <v>292</v>
      </c>
      <c r="N664" s="475"/>
      <c r="O664" s="476">
        <v>0.46597222222222223</v>
      </c>
      <c r="P664" s="476">
        <v>0.46597222222222223</v>
      </c>
      <c r="Q664" s="477">
        <v>0.46944444444444444</v>
      </c>
      <c r="R664" s="472">
        <f>IF(Table6[[#This Row],[Work Start TimeStamp]]="","",(Table6[[#This Row],[Work Start TimeStamp]]-Table6[[#This Row],[Fault Start TimeStamp]])*24)</f>
        <v>0</v>
      </c>
      <c r="S664" s="472">
        <f>(Table6[[#This Row],[Fault Clearance time]]-Table6[[#This Row],[Work Start TimeStamp]])*24</f>
        <v>8.3333333333333037E-2</v>
      </c>
      <c r="T664" s="472">
        <f>(Table6[[#This Row],[Fault Clearance time]]-Table6[[#This Row],[Fault Start TimeStamp]])*24</f>
        <v>8.3333333333333037E-2</v>
      </c>
      <c r="U664" s="35" t="s">
        <v>336</v>
      </c>
      <c r="V664" s="102" t="s">
        <v>293</v>
      </c>
      <c r="W664" s="478">
        <f>IFERROR(Table6[[#This Row],[Breakdown Time]]*Table6[[#This Row],[Plant Equivalent Weightage]],"")</f>
        <v>3.2051282051281929E-3</v>
      </c>
      <c r="X664" s="473" t="s">
        <v>294</v>
      </c>
      <c r="Y664" s="474" t="s">
        <v>85</v>
      </c>
      <c r="Z664" s="102">
        <v>10322</v>
      </c>
      <c r="AA664" s="468">
        <f>(Table6[[#This Row],[Paired WTG Generation for loss calculation]]/24)*Table6[[#This Row],[Breakdown Time]]</f>
        <v>35.840277777777651</v>
      </c>
      <c r="AB664" s="102"/>
      <c r="AC664" s="35"/>
      <c r="AD664" s="35"/>
    </row>
    <row r="665" spans="1:30">
      <c r="A665" s="102">
        <f t="shared" si="11"/>
        <v>664</v>
      </c>
      <c r="B665" s="468">
        <f>YEAR(Table6[[#This Row],[Date]])+IF(MONTH(Table6[[#This Row],[Date]])&gt;=4,1,0)</f>
        <v>2026</v>
      </c>
      <c r="C665" s="102">
        <f>YEAR(Table6[[#This Row],[Date]])</f>
        <v>2025</v>
      </c>
      <c r="D665" s="102" t="s">
        <v>1992</v>
      </c>
      <c r="E665" s="469">
        <f>Table6[[#This Row],[Date]]-DAY(Table6[[#This Row],[Date]])+1</f>
        <v>45778</v>
      </c>
      <c r="F665" s="470">
        <v>45786</v>
      </c>
      <c r="G665" s="35" t="s">
        <v>84</v>
      </c>
      <c r="H665" s="35" t="str">
        <f>IFERROR(_xlfn.XLOOKUP(Table6[[#This Row],[Affected WTG]],'Basic Data'!$A:$A,'Basic Data'!$B:$B),"")</f>
        <v>TQGXIIPL</v>
      </c>
      <c r="I665" s="35" t="str">
        <f>IFERROR(_xlfn.XLOOKUP(Table6[[#This Row],[Affected WTG]],'Basic Data'!$A:$A,'Basic Data'!$C:$C),"")</f>
        <v>GEDA</v>
      </c>
      <c r="J665" s="471">
        <f>IFERROR(_xlfn.XLOOKUP(Table6[[#This Row],[Affected WTG]],'Basic Data'!$A:$A,'Basic Data'!$E:$E),"")</f>
        <v>3.846153846153845E-2</v>
      </c>
      <c r="K665" s="102">
        <v>55</v>
      </c>
      <c r="L665" s="35" t="str">
        <f>IFERROR(_xlfn.XLOOKUP(Table6[[#This Row],[Error Code]],'Basic Data'!$AA:$AA,'Basic Data'!$AB:$AB),"Incorrect Error Code")</f>
        <v>WTG shut down</v>
      </c>
      <c r="M665" s="35" t="s">
        <v>291</v>
      </c>
      <c r="N665" s="475"/>
      <c r="O665" s="476">
        <v>0.65972222222222221</v>
      </c>
      <c r="P665" s="476">
        <v>0.65972222222222221</v>
      </c>
      <c r="Q665" s="477">
        <v>0.66180555555555554</v>
      </c>
      <c r="R665" s="472">
        <f>IF(Table6[[#This Row],[Work Start TimeStamp]]="","",(Table6[[#This Row],[Work Start TimeStamp]]-Table6[[#This Row],[Fault Start TimeStamp]])*24)</f>
        <v>0</v>
      </c>
      <c r="S665" s="472">
        <f>(Table6[[#This Row],[Fault Clearance time]]-Table6[[#This Row],[Work Start TimeStamp]])*24</f>
        <v>4.9999999999999822E-2</v>
      </c>
      <c r="T665" s="472">
        <f>(Table6[[#This Row],[Fault Clearance time]]-Table6[[#This Row],[Fault Start TimeStamp]])*24</f>
        <v>4.9999999999999822E-2</v>
      </c>
      <c r="U665" s="35" t="s">
        <v>389</v>
      </c>
      <c r="V665" s="102" t="s">
        <v>293</v>
      </c>
      <c r="W665" s="478">
        <f>IFERROR(Table6[[#This Row],[Breakdown Time]]*Table6[[#This Row],[Plant Equivalent Weightage]],"")</f>
        <v>1.9230769230769156E-3</v>
      </c>
      <c r="X665" s="473" t="s">
        <v>290</v>
      </c>
      <c r="Y665" s="474" t="s">
        <v>85</v>
      </c>
      <c r="Z665" s="102">
        <v>10322</v>
      </c>
      <c r="AA665" s="468">
        <f>(Table6[[#This Row],[Paired WTG Generation for loss calculation]]/24)*Table6[[#This Row],[Breakdown Time]]</f>
        <v>21.504166666666588</v>
      </c>
      <c r="AB665" s="102"/>
      <c r="AC665" s="35"/>
      <c r="AD665" s="35"/>
    </row>
    <row r="666" spans="1:30">
      <c r="A666" s="102">
        <f t="shared" si="11"/>
        <v>665</v>
      </c>
      <c r="B666" s="468">
        <f>YEAR(Table6[[#This Row],[Date]])+IF(MONTH(Table6[[#This Row],[Date]])&gt;=4,1,0)</f>
        <v>2026</v>
      </c>
      <c r="C666" s="102">
        <f>YEAR(Table6[[#This Row],[Date]])</f>
        <v>2025</v>
      </c>
      <c r="D666" s="102" t="s">
        <v>1992</v>
      </c>
      <c r="E666" s="469">
        <f>Table6[[#This Row],[Date]]-DAY(Table6[[#This Row],[Date]])+1</f>
        <v>45778</v>
      </c>
      <c r="F666" s="470">
        <v>45786</v>
      </c>
      <c r="G666" s="35" t="s">
        <v>85</v>
      </c>
      <c r="H666" s="35" t="str">
        <f>IFERROR(_xlfn.XLOOKUP(Table6[[#This Row],[Affected WTG]],'Basic Data'!$A:$A,'Basic Data'!$B:$B),"")</f>
        <v>TQGXIIPL</v>
      </c>
      <c r="I666" s="35" t="str">
        <f>IFERROR(_xlfn.XLOOKUP(Table6[[#This Row],[Affected WTG]],'Basic Data'!$A:$A,'Basic Data'!$C:$C),"")</f>
        <v>GEDA</v>
      </c>
      <c r="J666" s="471">
        <f>IFERROR(_xlfn.XLOOKUP(Table6[[#This Row],[Affected WTG]],'Basic Data'!$A:$A,'Basic Data'!$E:$E),"")</f>
        <v>3.846153846153845E-2</v>
      </c>
      <c r="K666" s="102">
        <v>55</v>
      </c>
      <c r="L666" s="35" t="str">
        <f>IFERROR(_xlfn.XLOOKUP(Table6[[#This Row],[Error Code]],'Basic Data'!$AA:$AA,'Basic Data'!$AB:$AB),"Incorrect Error Code")</f>
        <v>WTG shut down</v>
      </c>
      <c r="M666" s="35" t="s">
        <v>291</v>
      </c>
      <c r="N666" s="475"/>
      <c r="O666" s="476">
        <v>0.66249999999999998</v>
      </c>
      <c r="P666" s="476">
        <v>0.66249999999999998</v>
      </c>
      <c r="Q666" s="477">
        <v>0.6645833333333333</v>
      </c>
      <c r="R666" s="472">
        <f>IF(Table6[[#This Row],[Work Start TimeStamp]]="","",(Table6[[#This Row],[Work Start TimeStamp]]-Table6[[#This Row],[Fault Start TimeStamp]])*24)</f>
        <v>0</v>
      </c>
      <c r="S666" s="472">
        <f>(Table6[[#This Row],[Fault Clearance time]]-Table6[[#This Row],[Work Start TimeStamp]])*24</f>
        <v>4.9999999999999822E-2</v>
      </c>
      <c r="T666" s="472">
        <f>(Table6[[#This Row],[Fault Clearance time]]-Table6[[#This Row],[Fault Start TimeStamp]])*24</f>
        <v>4.9999999999999822E-2</v>
      </c>
      <c r="U666" s="35" t="s">
        <v>389</v>
      </c>
      <c r="V666" s="102" t="s">
        <v>293</v>
      </c>
      <c r="W666" s="478">
        <f>IFERROR(Table6[[#This Row],[Breakdown Time]]*Table6[[#This Row],[Plant Equivalent Weightage]],"")</f>
        <v>1.9230769230769156E-3</v>
      </c>
      <c r="X666" s="473" t="s">
        <v>290</v>
      </c>
      <c r="Y666" s="474" t="s">
        <v>87</v>
      </c>
      <c r="Z666" s="102">
        <v>10289</v>
      </c>
      <c r="AA666" s="468">
        <f>(Table6[[#This Row],[Paired WTG Generation for loss calculation]]/24)*Table6[[#This Row],[Breakdown Time]]</f>
        <v>21.43541666666659</v>
      </c>
      <c r="AB666" s="102"/>
      <c r="AC666" s="35"/>
      <c r="AD666" s="35"/>
    </row>
    <row r="667" spans="1:30">
      <c r="A667" s="102">
        <f t="shared" si="11"/>
        <v>666</v>
      </c>
      <c r="B667" s="468">
        <f>YEAR(Table6[[#This Row],[Date]])+IF(MONTH(Table6[[#This Row],[Date]])&gt;=4,1,0)</f>
        <v>2026</v>
      </c>
      <c r="C667" s="102">
        <f>YEAR(Table6[[#This Row],[Date]])</f>
        <v>2025</v>
      </c>
      <c r="D667" s="102" t="s">
        <v>1992</v>
      </c>
      <c r="E667" s="469">
        <f>Table6[[#This Row],[Date]]-DAY(Table6[[#This Row],[Date]])+1</f>
        <v>45778</v>
      </c>
      <c r="F667" s="470">
        <v>45786</v>
      </c>
      <c r="G667" s="35" t="s">
        <v>86</v>
      </c>
      <c r="H667" s="35" t="str">
        <f>IFERROR(_xlfn.XLOOKUP(Table6[[#This Row],[Affected WTG]],'Basic Data'!$A:$A,'Basic Data'!$B:$B),"")</f>
        <v>TQGXIIPL</v>
      </c>
      <c r="I667" s="35" t="str">
        <f>IFERROR(_xlfn.XLOOKUP(Table6[[#This Row],[Affected WTG]],'Basic Data'!$A:$A,'Basic Data'!$C:$C),"")</f>
        <v>GEDA</v>
      </c>
      <c r="J667" s="471">
        <f>IFERROR(_xlfn.XLOOKUP(Table6[[#This Row],[Affected WTG]],'Basic Data'!$A:$A,'Basic Data'!$E:$E),"")</f>
        <v>3.846153846153845E-2</v>
      </c>
      <c r="K667" s="102">
        <v>55</v>
      </c>
      <c r="L667" s="35" t="str">
        <f>IFERROR(_xlfn.XLOOKUP(Table6[[#This Row],[Error Code]],'Basic Data'!$AA:$AA,'Basic Data'!$AB:$AB),"Incorrect Error Code")</f>
        <v>WTG shut down</v>
      </c>
      <c r="M667" s="35" t="s">
        <v>291</v>
      </c>
      <c r="N667" s="475"/>
      <c r="O667" s="476">
        <v>0.66527777777777775</v>
      </c>
      <c r="P667" s="476">
        <v>0.66527777777777775</v>
      </c>
      <c r="Q667" s="477">
        <v>0.66736111111111107</v>
      </c>
      <c r="R667" s="472">
        <f>IF(Table6[[#This Row],[Work Start TimeStamp]]="","",(Table6[[#This Row],[Work Start TimeStamp]]-Table6[[#This Row],[Fault Start TimeStamp]])*24)</f>
        <v>0</v>
      </c>
      <c r="S667" s="472">
        <f>(Table6[[#This Row],[Fault Clearance time]]-Table6[[#This Row],[Work Start TimeStamp]])*24</f>
        <v>4.9999999999999822E-2</v>
      </c>
      <c r="T667" s="472">
        <f>(Table6[[#This Row],[Fault Clearance time]]-Table6[[#This Row],[Fault Start TimeStamp]])*24</f>
        <v>4.9999999999999822E-2</v>
      </c>
      <c r="U667" s="35" t="s">
        <v>389</v>
      </c>
      <c r="V667" s="102" t="s">
        <v>293</v>
      </c>
      <c r="W667" s="478">
        <f>IFERROR(Table6[[#This Row],[Breakdown Time]]*Table6[[#This Row],[Plant Equivalent Weightage]],"")</f>
        <v>1.9230769230769156E-3</v>
      </c>
      <c r="X667" s="473" t="s">
        <v>290</v>
      </c>
      <c r="Y667" s="474" t="s">
        <v>84</v>
      </c>
      <c r="Z667" s="102">
        <v>9372</v>
      </c>
      <c r="AA667" s="468">
        <f>(Table6[[#This Row],[Paired WTG Generation for loss calculation]]/24)*Table6[[#This Row],[Breakdown Time]]</f>
        <v>19.524999999999931</v>
      </c>
      <c r="AB667" s="102"/>
      <c r="AC667" s="35"/>
      <c r="AD667" s="35"/>
    </row>
    <row r="668" spans="1:30">
      <c r="A668" s="102">
        <f t="shared" si="11"/>
        <v>667</v>
      </c>
      <c r="B668" s="468">
        <f>YEAR(Table6[[#This Row],[Date]])+IF(MONTH(Table6[[#This Row],[Date]])&gt;=4,1,0)</f>
        <v>2026</v>
      </c>
      <c r="C668" s="102">
        <f>YEAR(Table6[[#This Row],[Date]])</f>
        <v>2025</v>
      </c>
      <c r="D668" s="102" t="s">
        <v>1992</v>
      </c>
      <c r="E668" s="469">
        <f>Table6[[#This Row],[Date]]-DAY(Table6[[#This Row],[Date]])+1</f>
        <v>45778</v>
      </c>
      <c r="F668" s="470">
        <v>45786</v>
      </c>
      <c r="G668" s="35" t="s">
        <v>87</v>
      </c>
      <c r="H668" s="35" t="str">
        <f>IFERROR(_xlfn.XLOOKUP(Table6[[#This Row],[Affected WTG]],'Basic Data'!$A:$A,'Basic Data'!$B:$B),"")</f>
        <v>TQGXIIPL</v>
      </c>
      <c r="I668" s="35" t="str">
        <f>IFERROR(_xlfn.XLOOKUP(Table6[[#This Row],[Affected WTG]],'Basic Data'!$A:$A,'Basic Data'!$C:$C),"")</f>
        <v>GEDA</v>
      </c>
      <c r="J668" s="471">
        <f>IFERROR(_xlfn.XLOOKUP(Table6[[#This Row],[Affected WTG]],'Basic Data'!$A:$A,'Basic Data'!$E:$E),"")</f>
        <v>3.846153846153845E-2</v>
      </c>
      <c r="K668" s="102">
        <v>55</v>
      </c>
      <c r="L668" s="35" t="str">
        <f>IFERROR(_xlfn.XLOOKUP(Table6[[#This Row],[Error Code]],'Basic Data'!$AA:$AA,'Basic Data'!$AB:$AB),"Incorrect Error Code")</f>
        <v>WTG shut down</v>
      </c>
      <c r="M668" s="35" t="s">
        <v>291</v>
      </c>
      <c r="N668" s="475"/>
      <c r="O668" s="476">
        <v>0.66805555555555551</v>
      </c>
      <c r="P668" s="476">
        <v>0.66805555555555551</v>
      </c>
      <c r="Q668" s="477">
        <v>0.67083333333333328</v>
      </c>
      <c r="R668" s="472">
        <f>IF(Table6[[#This Row],[Work Start TimeStamp]]="","",(Table6[[#This Row],[Work Start TimeStamp]]-Table6[[#This Row],[Fault Start TimeStamp]])*24)</f>
        <v>0</v>
      </c>
      <c r="S668" s="472">
        <f>(Table6[[#This Row],[Fault Clearance time]]-Table6[[#This Row],[Work Start TimeStamp]])*24</f>
        <v>6.666666666666643E-2</v>
      </c>
      <c r="T668" s="472">
        <f>(Table6[[#This Row],[Fault Clearance time]]-Table6[[#This Row],[Fault Start TimeStamp]])*24</f>
        <v>6.666666666666643E-2</v>
      </c>
      <c r="U668" s="35" t="s">
        <v>389</v>
      </c>
      <c r="V668" s="102" t="s">
        <v>293</v>
      </c>
      <c r="W668" s="478">
        <f>IFERROR(Table6[[#This Row],[Breakdown Time]]*Table6[[#This Row],[Plant Equivalent Weightage]],"")</f>
        <v>2.5641025641025541E-3</v>
      </c>
      <c r="X668" s="473" t="s">
        <v>290</v>
      </c>
      <c r="Y668" s="474" t="s">
        <v>85</v>
      </c>
      <c r="Z668" s="102">
        <v>10322</v>
      </c>
      <c r="AA668" s="468">
        <f>(Table6[[#This Row],[Paired WTG Generation for loss calculation]]/24)*Table6[[#This Row],[Breakdown Time]]</f>
        <v>28.672222222222118</v>
      </c>
      <c r="AB668" s="102"/>
      <c r="AC668" s="35"/>
      <c r="AD668" s="35"/>
    </row>
    <row r="669" spans="1:30">
      <c r="A669" s="102">
        <f t="shared" si="11"/>
        <v>668</v>
      </c>
      <c r="B669" s="468">
        <f>YEAR(Table6[[#This Row],[Date]])+IF(MONTH(Table6[[#This Row],[Date]])&gt;=4,1,0)</f>
        <v>2026</v>
      </c>
      <c r="C669" s="102">
        <f>YEAR(Table6[[#This Row],[Date]])</f>
        <v>2025</v>
      </c>
      <c r="D669" s="102" t="s">
        <v>1992</v>
      </c>
      <c r="E669" s="469">
        <f>Table6[[#This Row],[Date]]-DAY(Table6[[#This Row],[Date]])+1</f>
        <v>45778</v>
      </c>
      <c r="F669" s="470">
        <v>45786</v>
      </c>
      <c r="G669" s="35" t="s">
        <v>88</v>
      </c>
      <c r="H669" s="35" t="str">
        <f>IFERROR(_xlfn.XLOOKUP(Table6[[#This Row],[Affected WTG]],'Basic Data'!$A:$A,'Basic Data'!$B:$B),"")</f>
        <v>TQGXIIPL</v>
      </c>
      <c r="I669" s="35" t="str">
        <f>IFERROR(_xlfn.XLOOKUP(Table6[[#This Row],[Affected WTG]],'Basic Data'!$A:$A,'Basic Data'!$C:$C),"")</f>
        <v>GEDA</v>
      </c>
      <c r="J669" s="471">
        <f>IFERROR(_xlfn.XLOOKUP(Table6[[#This Row],[Affected WTG]],'Basic Data'!$A:$A,'Basic Data'!$E:$E),"")</f>
        <v>3.846153846153845E-2</v>
      </c>
      <c r="K669" s="102">
        <v>55</v>
      </c>
      <c r="L669" s="35" t="str">
        <f>IFERROR(_xlfn.XLOOKUP(Table6[[#This Row],[Error Code]],'Basic Data'!$AA:$AA,'Basic Data'!$AB:$AB),"Incorrect Error Code")</f>
        <v>WTG shut down</v>
      </c>
      <c r="M669" s="35" t="s">
        <v>291</v>
      </c>
      <c r="N669" s="475"/>
      <c r="O669" s="476">
        <v>0.67152777777777772</v>
      </c>
      <c r="P669" s="476">
        <v>0.67152777777777772</v>
      </c>
      <c r="Q669" s="477">
        <v>0.6743055555555556</v>
      </c>
      <c r="R669" s="472">
        <f>IF(Table6[[#This Row],[Work Start TimeStamp]]="","",(Table6[[#This Row],[Work Start TimeStamp]]-Table6[[#This Row],[Fault Start TimeStamp]])*24)</f>
        <v>0</v>
      </c>
      <c r="S669" s="472">
        <f>(Table6[[#This Row],[Fault Clearance time]]-Table6[[#This Row],[Work Start TimeStamp]])*24</f>
        <v>6.6666666666669094E-2</v>
      </c>
      <c r="T669" s="472">
        <f>(Table6[[#This Row],[Fault Clearance time]]-Table6[[#This Row],[Fault Start TimeStamp]])*24</f>
        <v>6.6666666666669094E-2</v>
      </c>
      <c r="U669" s="35" t="s">
        <v>389</v>
      </c>
      <c r="V669" s="102" t="s">
        <v>293</v>
      </c>
      <c r="W669" s="478">
        <f>IFERROR(Table6[[#This Row],[Breakdown Time]]*Table6[[#This Row],[Plant Equivalent Weightage]],"")</f>
        <v>2.5641025641026569E-3</v>
      </c>
      <c r="X669" s="473" t="s">
        <v>290</v>
      </c>
      <c r="Y669" s="474" t="s">
        <v>83</v>
      </c>
      <c r="Z669" s="102">
        <v>9374</v>
      </c>
      <c r="AA669" s="468">
        <f>(Table6[[#This Row],[Paired WTG Generation for loss calculation]]/24)*Table6[[#This Row],[Breakdown Time]]</f>
        <v>26.038888888889836</v>
      </c>
      <c r="AB669" s="102"/>
      <c r="AC669" s="35"/>
      <c r="AD669" s="35"/>
    </row>
    <row r="670" spans="1:30">
      <c r="A670" s="102">
        <f t="shared" si="11"/>
        <v>669</v>
      </c>
      <c r="B670" s="468">
        <f>YEAR(Table6[[#This Row],[Date]])+IF(MONTH(Table6[[#This Row],[Date]])&gt;=4,1,0)</f>
        <v>2026</v>
      </c>
      <c r="C670" s="102">
        <f>YEAR(Table6[[#This Row],[Date]])</f>
        <v>2025</v>
      </c>
      <c r="D670" s="102" t="s">
        <v>1992</v>
      </c>
      <c r="E670" s="469">
        <f>Table6[[#This Row],[Date]]-DAY(Table6[[#This Row],[Date]])+1</f>
        <v>45778</v>
      </c>
      <c r="F670" s="470">
        <v>45786</v>
      </c>
      <c r="G670" s="35" t="s">
        <v>89</v>
      </c>
      <c r="H670" s="35" t="str">
        <f>IFERROR(_xlfn.XLOOKUP(Table6[[#This Row],[Affected WTG]],'Basic Data'!$A:$A,'Basic Data'!$B:$B),"")</f>
        <v>TQGXIIPL</v>
      </c>
      <c r="I670" s="35" t="str">
        <f>IFERROR(_xlfn.XLOOKUP(Table6[[#This Row],[Affected WTG]],'Basic Data'!$A:$A,'Basic Data'!$C:$C),"")</f>
        <v>GEDA</v>
      </c>
      <c r="J670" s="471">
        <f>IFERROR(_xlfn.XLOOKUP(Table6[[#This Row],[Affected WTG]],'Basic Data'!$A:$A,'Basic Data'!$E:$E),"")</f>
        <v>3.846153846153845E-2</v>
      </c>
      <c r="K670" s="102">
        <v>55</v>
      </c>
      <c r="L670" s="35" t="str">
        <f>IFERROR(_xlfn.XLOOKUP(Table6[[#This Row],[Error Code]],'Basic Data'!$AA:$AA,'Basic Data'!$AB:$AB),"Incorrect Error Code")</f>
        <v>WTG shut down</v>
      </c>
      <c r="M670" s="35" t="s">
        <v>291</v>
      </c>
      <c r="N670" s="475"/>
      <c r="O670" s="476">
        <v>0.67500000000000004</v>
      </c>
      <c r="P670" s="476">
        <v>0.67500000000000004</v>
      </c>
      <c r="Q670" s="477">
        <v>0.67708333333333337</v>
      </c>
      <c r="R670" s="472">
        <f>IF(Table6[[#This Row],[Work Start TimeStamp]]="","",(Table6[[#This Row],[Work Start TimeStamp]]-Table6[[#This Row],[Fault Start TimeStamp]])*24)</f>
        <v>0</v>
      </c>
      <c r="S670" s="472">
        <f>(Table6[[#This Row],[Fault Clearance time]]-Table6[[#This Row],[Work Start TimeStamp]])*24</f>
        <v>4.9999999999999822E-2</v>
      </c>
      <c r="T670" s="472">
        <f>(Table6[[#This Row],[Fault Clearance time]]-Table6[[#This Row],[Fault Start TimeStamp]])*24</f>
        <v>4.9999999999999822E-2</v>
      </c>
      <c r="U670" s="35" t="s">
        <v>389</v>
      </c>
      <c r="V670" s="102" t="s">
        <v>293</v>
      </c>
      <c r="W670" s="478">
        <f>IFERROR(Table6[[#This Row],[Breakdown Time]]*Table6[[#This Row],[Plant Equivalent Weightage]],"")</f>
        <v>1.9230769230769156E-3</v>
      </c>
      <c r="X670" s="473" t="s">
        <v>290</v>
      </c>
      <c r="Y670" s="474" t="s">
        <v>94</v>
      </c>
      <c r="Z670" s="102">
        <v>5387</v>
      </c>
      <c r="AA670" s="468">
        <f>(Table6[[#This Row],[Paired WTG Generation for loss calculation]]/24)*Table6[[#This Row],[Breakdown Time]]</f>
        <v>11.222916666666627</v>
      </c>
      <c r="AB670" s="102"/>
      <c r="AC670" s="35"/>
      <c r="AD670" s="35"/>
    </row>
    <row r="671" spans="1:30">
      <c r="A671" s="102">
        <f t="shared" si="11"/>
        <v>670</v>
      </c>
      <c r="B671" s="468">
        <f>YEAR(Table6[[#This Row],[Date]])+IF(MONTH(Table6[[#This Row],[Date]])&gt;=4,1,0)</f>
        <v>2026</v>
      </c>
      <c r="C671" s="102">
        <f>YEAR(Table6[[#This Row],[Date]])</f>
        <v>2025</v>
      </c>
      <c r="D671" s="102" t="s">
        <v>1992</v>
      </c>
      <c r="E671" s="469">
        <f>Table6[[#This Row],[Date]]-DAY(Table6[[#This Row],[Date]])+1</f>
        <v>45778</v>
      </c>
      <c r="F671" s="470">
        <v>45786</v>
      </c>
      <c r="G671" s="35" t="s">
        <v>92</v>
      </c>
      <c r="H671" s="35" t="str">
        <f>IFERROR(_xlfn.XLOOKUP(Table6[[#This Row],[Affected WTG]],'Basic Data'!$A:$A,'Basic Data'!$B:$B),"")</f>
        <v>TQGXIIPL</v>
      </c>
      <c r="I671" s="35" t="str">
        <f>IFERROR(_xlfn.XLOOKUP(Table6[[#This Row],[Affected WTG]],'Basic Data'!$A:$A,'Basic Data'!$C:$C),"")</f>
        <v>GEDA</v>
      </c>
      <c r="J671" s="471">
        <f>IFERROR(_xlfn.XLOOKUP(Table6[[#This Row],[Affected WTG]],'Basic Data'!$A:$A,'Basic Data'!$E:$E),"")</f>
        <v>3.846153846153845E-2</v>
      </c>
      <c r="K671" s="102">
        <v>55</v>
      </c>
      <c r="L671" s="35" t="str">
        <f>IFERROR(_xlfn.XLOOKUP(Table6[[#This Row],[Error Code]],'Basic Data'!$AA:$AA,'Basic Data'!$AB:$AB),"Incorrect Error Code")</f>
        <v>WTG shut down</v>
      </c>
      <c r="M671" s="35" t="s">
        <v>291</v>
      </c>
      <c r="N671" s="475"/>
      <c r="O671" s="476">
        <v>0.67708333333333337</v>
      </c>
      <c r="P671" s="476">
        <v>0.67708333333333337</v>
      </c>
      <c r="Q671" s="477">
        <v>0.68055555555555558</v>
      </c>
      <c r="R671" s="472">
        <f>IF(Table6[[#This Row],[Work Start TimeStamp]]="","",(Table6[[#This Row],[Work Start TimeStamp]]-Table6[[#This Row],[Fault Start TimeStamp]])*24)</f>
        <v>0</v>
      </c>
      <c r="S671" s="472">
        <f>(Table6[[#This Row],[Fault Clearance time]]-Table6[[#This Row],[Work Start TimeStamp]])*24</f>
        <v>8.3333333333333037E-2</v>
      </c>
      <c r="T671" s="472">
        <f>(Table6[[#This Row],[Fault Clearance time]]-Table6[[#This Row],[Fault Start TimeStamp]])*24</f>
        <v>8.3333333333333037E-2</v>
      </c>
      <c r="U671" s="35" t="s">
        <v>389</v>
      </c>
      <c r="V671" s="102" t="s">
        <v>293</v>
      </c>
      <c r="W671" s="478">
        <f>IFERROR(Table6[[#This Row],[Breakdown Time]]*Table6[[#This Row],[Plant Equivalent Weightage]],"")</f>
        <v>3.2051282051281929E-3</v>
      </c>
      <c r="X671" s="473" t="s">
        <v>290</v>
      </c>
      <c r="Y671" s="474" t="s">
        <v>80</v>
      </c>
      <c r="Z671" s="102">
        <v>4777</v>
      </c>
      <c r="AA671" s="468">
        <f>(Table6[[#This Row],[Paired WTG Generation for loss calculation]]/24)*Table6[[#This Row],[Breakdown Time]]</f>
        <v>16.586805555555497</v>
      </c>
      <c r="AB671" s="102"/>
      <c r="AC671" s="35"/>
      <c r="AD671" s="35"/>
    </row>
    <row r="672" spans="1:30">
      <c r="A672" s="102">
        <f t="shared" si="11"/>
        <v>671</v>
      </c>
      <c r="B672" s="468">
        <f>YEAR(Table6[[#This Row],[Date]])+IF(MONTH(Table6[[#This Row],[Date]])&gt;=4,1,0)</f>
        <v>2026</v>
      </c>
      <c r="C672" s="102">
        <f>YEAR(Table6[[#This Row],[Date]])</f>
        <v>2025</v>
      </c>
      <c r="D672" s="102" t="s">
        <v>1992</v>
      </c>
      <c r="E672" s="469">
        <f>Table6[[#This Row],[Date]]-DAY(Table6[[#This Row],[Date]])+1</f>
        <v>45778</v>
      </c>
      <c r="F672" s="470">
        <v>45786</v>
      </c>
      <c r="G672" s="35" t="s">
        <v>93</v>
      </c>
      <c r="H672" s="35" t="str">
        <f>IFERROR(_xlfn.XLOOKUP(Table6[[#This Row],[Affected WTG]],'Basic Data'!$A:$A,'Basic Data'!$B:$B),"")</f>
        <v>TQGXIIPL</v>
      </c>
      <c r="I672" s="35" t="str">
        <f>IFERROR(_xlfn.XLOOKUP(Table6[[#This Row],[Affected WTG]],'Basic Data'!$A:$A,'Basic Data'!$C:$C),"")</f>
        <v>GEDA</v>
      </c>
      <c r="J672" s="471">
        <f>IFERROR(_xlfn.XLOOKUP(Table6[[#This Row],[Affected WTG]],'Basic Data'!$A:$A,'Basic Data'!$E:$E),"")</f>
        <v>3.846153846153845E-2</v>
      </c>
      <c r="K672" s="102">
        <v>55</v>
      </c>
      <c r="L672" s="35" t="str">
        <f>IFERROR(_xlfn.XLOOKUP(Table6[[#This Row],[Error Code]],'Basic Data'!$AA:$AA,'Basic Data'!$AB:$AB),"Incorrect Error Code")</f>
        <v>WTG shut down</v>
      </c>
      <c r="M672" s="35" t="s">
        <v>291</v>
      </c>
      <c r="N672" s="475"/>
      <c r="O672" s="476">
        <v>0.67777777777777781</v>
      </c>
      <c r="P672" s="476">
        <v>0.67777777777777781</v>
      </c>
      <c r="Q672" s="477">
        <v>0.68680555555555556</v>
      </c>
      <c r="R672" s="472">
        <f>IF(Table6[[#This Row],[Work Start TimeStamp]]="","",(Table6[[#This Row],[Work Start TimeStamp]]-Table6[[#This Row],[Fault Start TimeStamp]])*24)</f>
        <v>0</v>
      </c>
      <c r="S672" s="472">
        <f>(Table6[[#This Row],[Fault Clearance time]]-Table6[[#This Row],[Work Start TimeStamp]])*24</f>
        <v>0.2166666666666659</v>
      </c>
      <c r="T672" s="472">
        <f>(Table6[[#This Row],[Fault Clearance time]]-Table6[[#This Row],[Fault Start TimeStamp]])*24</f>
        <v>0.2166666666666659</v>
      </c>
      <c r="U672" s="35" t="s">
        <v>389</v>
      </c>
      <c r="V672" s="102" t="s">
        <v>293</v>
      </c>
      <c r="W672" s="478">
        <f>IFERROR(Table6[[#This Row],[Breakdown Time]]*Table6[[#This Row],[Plant Equivalent Weightage]],"")</f>
        <v>8.333333333333302E-3</v>
      </c>
      <c r="X672" s="473" t="s">
        <v>290</v>
      </c>
      <c r="Y672" s="474" t="s">
        <v>97</v>
      </c>
      <c r="Z672" s="102">
        <v>7052</v>
      </c>
      <c r="AA672" s="468">
        <f>(Table6[[#This Row],[Paired WTG Generation for loss calculation]]/24)*Table6[[#This Row],[Breakdown Time]]</f>
        <v>63.663888888888657</v>
      </c>
      <c r="AB672" s="102"/>
      <c r="AC672" s="35"/>
      <c r="AD672" s="35"/>
    </row>
    <row r="673" spans="1:30">
      <c r="A673" s="102">
        <f t="shared" si="11"/>
        <v>672</v>
      </c>
      <c r="B673" s="468">
        <f>YEAR(Table6[[#This Row],[Date]])+IF(MONTH(Table6[[#This Row],[Date]])&gt;=4,1,0)</f>
        <v>2026</v>
      </c>
      <c r="C673" s="102">
        <f>YEAR(Table6[[#This Row],[Date]])</f>
        <v>2025</v>
      </c>
      <c r="D673" s="102" t="s">
        <v>1992</v>
      </c>
      <c r="E673" s="469">
        <f>Table6[[#This Row],[Date]]-DAY(Table6[[#This Row],[Date]])+1</f>
        <v>45778</v>
      </c>
      <c r="F673" s="470">
        <v>45786</v>
      </c>
      <c r="G673" s="35" t="s">
        <v>94</v>
      </c>
      <c r="H673" s="35" t="str">
        <f>IFERROR(_xlfn.XLOOKUP(Table6[[#This Row],[Affected WTG]],'Basic Data'!$A:$A,'Basic Data'!$B:$B),"")</f>
        <v>TQGXIIPL</v>
      </c>
      <c r="I673" s="35" t="str">
        <f>IFERROR(_xlfn.XLOOKUP(Table6[[#This Row],[Affected WTG]],'Basic Data'!$A:$A,'Basic Data'!$C:$C),"")</f>
        <v>GEDA</v>
      </c>
      <c r="J673" s="471">
        <f>IFERROR(_xlfn.XLOOKUP(Table6[[#This Row],[Affected WTG]],'Basic Data'!$A:$A,'Basic Data'!$E:$E),"")</f>
        <v>3.846153846153845E-2</v>
      </c>
      <c r="K673" s="102">
        <v>55</v>
      </c>
      <c r="L673" s="35" t="str">
        <f>IFERROR(_xlfn.XLOOKUP(Table6[[#This Row],[Error Code]],'Basic Data'!$AA:$AA,'Basic Data'!$AB:$AB),"Incorrect Error Code")</f>
        <v>WTG shut down</v>
      </c>
      <c r="M673" s="35" t="s">
        <v>291</v>
      </c>
      <c r="N673" s="475"/>
      <c r="O673" s="476">
        <v>0.69722222222222219</v>
      </c>
      <c r="P673" s="476">
        <v>0.69722222222222219</v>
      </c>
      <c r="Q673" s="477">
        <v>0.69861111111111107</v>
      </c>
      <c r="R673" s="472">
        <f>IF(Table6[[#This Row],[Work Start TimeStamp]]="","",(Table6[[#This Row],[Work Start TimeStamp]]-Table6[[#This Row],[Fault Start TimeStamp]])*24)</f>
        <v>0</v>
      </c>
      <c r="S673" s="472">
        <f>(Table6[[#This Row],[Fault Clearance time]]-Table6[[#This Row],[Work Start TimeStamp]])*24</f>
        <v>3.3333333333333215E-2</v>
      </c>
      <c r="T673" s="472">
        <f>(Table6[[#This Row],[Fault Clearance time]]-Table6[[#This Row],[Fault Start TimeStamp]])*24</f>
        <v>3.3333333333333215E-2</v>
      </c>
      <c r="U673" s="35" t="s">
        <v>389</v>
      </c>
      <c r="V673" s="102" t="s">
        <v>293</v>
      </c>
      <c r="W673" s="478">
        <f>IFERROR(Table6[[#This Row],[Breakdown Time]]*Table6[[#This Row],[Plant Equivalent Weightage]],"")</f>
        <v>1.2820512820512771E-3</v>
      </c>
      <c r="X673" s="473" t="s">
        <v>290</v>
      </c>
      <c r="Y673" s="474" t="s">
        <v>79</v>
      </c>
      <c r="Z673" s="102">
        <v>6891</v>
      </c>
      <c r="AA673" s="468">
        <f>(Table6[[#This Row],[Paired WTG Generation for loss calculation]]/24)*Table6[[#This Row],[Breakdown Time]]</f>
        <v>9.5708333333332991</v>
      </c>
      <c r="AB673" s="102"/>
      <c r="AC673" s="35"/>
      <c r="AD673" s="35"/>
    </row>
    <row r="674" spans="1:30">
      <c r="A674" s="102">
        <f t="shared" si="11"/>
        <v>673</v>
      </c>
      <c r="B674" s="468">
        <f>YEAR(Table6[[#This Row],[Date]])+IF(MONTH(Table6[[#This Row],[Date]])&gt;=4,1,0)</f>
        <v>2026</v>
      </c>
      <c r="C674" s="102">
        <f>YEAR(Table6[[#This Row],[Date]])</f>
        <v>2025</v>
      </c>
      <c r="D674" s="102" t="s">
        <v>1992</v>
      </c>
      <c r="E674" s="469">
        <f>Table6[[#This Row],[Date]]-DAY(Table6[[#This Row],[Date]])+1</f>
        <v>45778</v>
      </c>
      <c r="F674" s="470">
        <v>45786</v>
      </c>
      <c r="G674" s="35" t="s">
        <v>95</v>
      </c>
      <c r="H674" s="35" t="str">
        <f>IFERROR(_xlfn.XLOOKUP(Table6[[#This Row],[Affected WTG]],'Basic Data'!$A:$A,'Basic Data'!$B:$B),"")</f>
        <v>TQGXIIPL</v>
      </c>
      <c r="I674" s="35" t="str">
        <f>IFERROR(_xlfn.XLOOKUP(Table6[[#This Row],[Affected WTG]],'Basic Data'!$A:$A,'Basic Data'!$C:$C),"")</f>
        <v>GEDA</v>
      </c>
      <c r="J674" s="471">
        <f>IFERROR(_xlfn.XLOOKUP(Table6[[#This Row],[Affected WTG]],'Basic Data'!$A:$A,'Basic Data'!$E:$E),"")</f>
        <v>3.846153846153845E-2</v>
      </c>
      <c r="K674" s="102">
        <v>55</v>
      </c>
      <c r="L674" s="35" t="str">
        <f>IFERROR(_xlfn.XLOOKUP(Table6[[#This Row],[Error Code]],'Basic Data'!$AA:$AA,'Basic Data'!$AB:$AB),"Incorrect Error Code")</f>
        <v>WTG shut down</v>
      </c>
      <c r="M674" s="35" t="s">
        <v>291</v>
      </c>
      <c r="N674" s="475"/>
      <c r="O674" s="476">
        <v>0.70347222222222228</v>
      </c>
      <c r="P674" s="476">
        <v>0.70347222222222228</v>
      </c>
      <c r="Q674" s="477">
        <v>0.7055555555555556</v>
      </c>
      <c r="R674" s="472">
        <f>IF(Table6[[#This Row],[Work Start TimeStamp]]="","",(Table6[[#This Row],[Work Start TimeStamp]]-Table6[[#This Row],[Fault Start TimeStamp]])*24)</f>
        <v>0</v>
      </c>
      <c r="S674" s="472">
        <f>(Table6[[#This Row],[Fault Clearance time]]-Table6[[#This Row],[Work Start TimeStamp]])*24</f>
        <v>4.9999999999999822E-2</v>
      </c>
      <c r="T674" s="472">
        <f>(Table6[[#This Row],[Fault Clearance time]]-Table6[[#This Row],[Fault Start TimeStamp]])*24</f>
        <v>4.9999999999999822E-2</v>
      </c>
      <c r="U674" s="35" t="s">
        <v>389</v>
      </c>
      <c r="V674" s="102" t="s">
        <v>293</v>
      </c>
      <c r="W674" s="478">
        <f>IFERROR(Table6[[#This Row],[Breakdown Time]]*Table6[[#This Row],[Plant Equivalent Weightage]],"")</f>
        <v>1.9230769230769156E-3</v>
      </c>
      <c r="X674" s="473" t="s">
        <v>290</v>
      </c>
      <c r="Y674" s="474" t="s">
        <v>79</v>
      </c>
      <c r="Z674" s="102">
        <v>6891</v>
      </c>
      <c r="AA674" s="468">
        <f>(Table6[[#This Row],[Paired WTG Generation for loss calculation]]/24)*Table6[[#This Row],[Breakdown Time]]</f>
        <v>14.35624999999995</v>
      </c>
      <c r="AB674" s="102"/>
      <c r="AC674" s="35"/>
      <c r="AD674" s="35"/>
    </row>
    <row r="675" spans="1:30">
      <c r="A675" s="102">
        <f t="shared" si="11"/>
        <v>674</v>
      </c>
      <c r="B675" s="468">
        <f>YEAR(Table6[[#This Row],[Date]])+IF(MONTH(Table6[[#This Row],[Date]])&gt;=4,1,0)</f>
        <v>2026</v>
      </c>
      <c r="C675" s="102">
        <f>YEAR(Table6[[#This Row],[Date]])</f>
        <v>2025</v>
      </c>
      <c r="D675" s="102" t="s">
        <v>1992</v>
      </c>
      <c r="E675" s="469">
        <f>Table6[[#This Row],[Date]]-DAY(Table6[[#This Row],[Date]])+1</f>
        <v>45778</v>
      </c>
      <c r="F675" s="470">
        <v>45786</v>
      </c>
      <c r="G675" s="35" t="s">
        <v>96</v>
      </c>
      <c r="H675" s="35" t="str">
        <f>IFERROR(_xlfn.XLOOKUP(Table6[[#This Row],[Affected WTG]],'Basic Data'!$A:$A,'Basic Data'!$B:$B),"")</f>
        <v>TQGXIIPL</v>
      </c>
      <c r="I675" s="35" t="str">
        <f>IFERROR(_xlfn.XLOOKUP(Table6[[#This Row],[Affected WTG]],'Basic Data'!$A:$A,'Basic Data'!$C:$C),"")</f>
        <v>GEDA</v>
      </c>
      <c r="J675" s="471">
        <f>IFERROR(_xlfn.XLOOKUP(Table6[[#This Row],[Affected WTG]],'Basic Data'!$A:$A,'Basic Data'!$E:$E),"")</f>
        <v>3.846153846153845E-2</v>
      </c>
      <c r="K675" s="102">
        <v>6056</v>
      </c>
      <c r="L675" s="35" t="str">
        <f>IFERROR(_xlfn.XLOOKUP(Table6[[#This Row],[Error Code]],'Basic Data'!$AA:$AA,'Basic Data'!$AB:$AB),"Incorrect Error Code")</f>
        <v>High yaw load</v>
      </c>
      <c r="M675" s="35" t="s">
        <v>292</v>
      </c>
      <c r="N675" s="475"/>
      <c r="O675" s="476">
        <v>0.55000000000000004</v>
      </c>
      <c r="P675" s="476">
        <v>0.55000000000000004</v>
      </c>
      <c r="Q675" s="477">
        <v>0.55208333333333337</v>
      </c>
      <c r="R675" s="472">
        <f>IF(Table6[[#This Row],[Work Start TimeStamp]]="","",(Table6[[#This Row],[Work Start TimeStamp]]-Table6[[#This Row],[Fault Start TimeStamp]])*24)</f>
        <v>0</v>
      </c>
      <c r="S675" s="472">
        <f>(Table6[[#This Row],[Fault Clearance time]]-Table6[[#This Row],[Work Start TimeStamp]])*24</f>
        <v>4.9999999999999822E-2</v>
      </c>
      <c r="T675" s="472">
        <f>(Table6[[#This Row],[Fault Clearance time]]-Table6[[#This Row],[Fault Start TimeStamp]])*24</f>
        <v>4.9999999999999822E-2</v>
      </c>
      <c r="U675" s="35" t="s">
        <v>336</v>
      </c>
      <c r="V675" s="102" t="s">
        <v>293</v>
      </c>
      <c r="W675" s="478">
        <f>IFERROR(Table6[[#This Row],[Breakdown Time]]*Table6[[#This Row],[Plant Equivalent Weightage]],"")</f>
        <v>1.9230769230769156E-3</v>
      </c>
      <c r="X675" s="473" t="s">
        <v>290</v>
      </c>
      <c r="Y675" s="474" t="s">
        <v>84</v>
      </c>
      <c r="Z675" s="102">
        <v>9372</v>
      </c>
      <c r="AA675" s="468">
        <f>(Table6[[#This Row],[Paired WTG Generation for loss calculation]]/24)*Table6[[#This Row],[Breakdown Time]]</f>
        <v>19.524999999999931</v>
      </c>
      <c r="AB675" s="102"/>
      <c r="AC675" s="35"/>
      <c r="AD675" s="35"/>
    </row>
    <row r="676" spans="1:30">
      <c r="A676" s="102">
        <f t="shared" si="11"/>
        <v>675</v>
      </c>
      <c r="B676" s="468">
        <f>YEAR(Table6[[#This Row],[Date]])+IF(MONTH(Table6[[#This Row],[Date]])&gt;=4,1,0)</f>
        <v>2026</v>
      </c>
      <c r="C676" s="102">
        <f>YEAR(Table6[[#This Row],[Date]])</f>
        <v>2025</v>
      </c>
      <c r="D676" s="102" t="s">
        <v>1992</v>
      </c>
      <c r="E676" s="469">
        <f>Table6[[#This Row],[Date]]-DAY(Table6[[#This Row],[Date]])+1</f>
        <v>45778</v>
      </c>
      <c r="F676" s="470">
        <v>45786</v>
      </c>
      <c r="G676" s="35" t="s">
        <v>96</v>
      </c>
      <c r="H676" s="35" t="str">
        <f>IFERROR(_xlfn.XLOOKUP(Table6[[#This Row],[Affected WTG]],'Basic Data'!$A:$A,'Basic Data'!$B:$B),"")</f>
        <v>TQGXIIPL</v>
      </c>
      <c r="I676" s="35" t="str">
        <f>IFERROR(_xlfn.XLOOKUP(Table6[[#This Row],[Affected WTG]],'Basic Data'!$A:$A,'Basic Data'!$C:$C),"")</f>
        <v>GEDA</v>
      </c>
      <c r="J676" s="471">
        <f>IFERROR(_xlfn.XLOOKUP(Table6[[#This Row],[Affected WTG]],'Basic Data'!$A:$A,'Basic Data'!$E:$E),"")</f>
        <v>3.846153846153845E-2</v>
      </c>
      <c r="K676" s="102">
        <v>55</v>
      </c>
      <c r="L676" s="35" t="str">
        <f>IFERROR(_xlfn.XLOOKUP(Table6[[#This Row],[Error Code]],'Basic Data'!$AA:$AA,'Basic Data'!$AB:$AB),"Incorrect Error Code")</f>
        <v>WTG shut down</v>
      </c>
      <c r="M676" s="35" t="s">
        <v>291</v>
      </c>
      <c r="N676" s="475"/>
      <c r="O676" s="476">
        <v>0.6875</v>
      </c>
      <c r="P676" s="476">
        <v>0.6875</v>
      </c>
      <c r="Q676" s="477">
        <v>0.68958333333333333</v>
      </c>
      <c r="R676" s="472">
        <f>IF(Table6[[#This Row],[Work Start TimeStamp]]="","",(Table6[[#This Row],[Work Start TimeStamp]]-Table6[[#This Row],[Fault Start TimeStamp]])*24)</f>
        <v>0</v>
      </c>
      <c r="S676" s="472">
        <f>(Table6[[#This Row],[Fault Clearance time]]-Table6[[#This Row],[Work Start TimeStamp]])*24</f>
        <v>4.9999999999999822E-2</v>
      </c>
      <c r="T676" s="472">
        <f>(Table6[[#This Row],[Fault Clearance time]]-Table6[[#This Row],[Fault Start TimeStamp]])*24</f>
        <v>4.9999999999999822E-2</v>
      </c>
      <c r="U676" s="35" t="s">
        <v>389</v>
      </c>
      <c r="V676" s="102" t="s">
        <v>293</v>
      </c>
      <c r="W676" s="478">
        <f>IFERROR(Table6[[#This Row],[Breakdown Time]]*Table6[[#This Row],[Plant Equivalent Weightage]],"")</f>
        <v>1.9230769230769156E-3</v>
      </c>
      <c r="X676" s="473" t="s">
        <v>294</v>
      </c>
      <c r="Y676" s="474" t="s">
        <v>84</v>
      </c>
      <c r="Z676" s="102">
        <v>9372</v>
      </c>
      <c r="AA676" s="468">
        <f>(Table6[[#This Row],[Paired WTG Generation for loss calculation]]/24)*Table6[[#This Row],[Breakdown Time]]</f>
        <v>19.524999999999931</v>
      </c>
      <c r="AB676" s="102"/>
      <c r="AC676" s="35"/>
      <c r="AD676" s="35"/>
    </row>
    <row r="677" spans="1:30">
      <c r="A677" s="102">
        <f t="shared" si="11"/>
        <v>676</v>
      </c>
      <c r="B677" s="468">
        <f>YEAR(Table6[[#This Row],[Date]])+IF(MONTH(Table6[[#This Row],[Date]])&gt;=4,1,0)</f>
        <v>2026</v>
      </c>
      <c r="C677" s="102">
        <f>YEAR(Table6[[#This Row],[Date]])</f>
        <v>2025</v>
      </c>
      <c r="D677" s="102" t="s">
        <v>1992</v>
      </c>
      <c r="E677" s="469">
        <f>Table6[[#This Row],[Date]]-DAY(Table6[[#This Row],[Date]])+1</f>
        <v>45778</v>
      </c>
      <c r="F677" s="470">
        <v>45786</v>
      </c>
      <c r="G677" s="35" t="s">
        <v>97</v>
      </c>
      <c r="H677" s="35" t="str">
        <f>IFERROR(_xlfn.XLOOKUP(Table6[[#This Row],[Affected WTG]],'Basic Data'!$A:$A,'Basic Data'!$B:$B),"")</f>
        <v>TQGXIIPL</v>
      </c>
      <c r="I677" s="35" t="str">
        <f>IFERROR(_xlfn.XLOOKUP(Table6[[#This Row],[Affected WTG]],'Basic Data'!$A:$A,'Basic Data'!$C:$C),"")</f>
        <v>GEDA</v>
      </c>
      <c r="J677" s="471">
        <f>IFERROR(_xlfn.XLOOKUP(Table6[[#This Row],[Affected WTG]],'Basic Data'!$A:$A,'Basic Data'!$E:$E),"")</f>
        <v>3.846153846153845E-2</v>
      </c>
      <c r="K677" s="102">
        <v>55</v>
      </c>
      <c r="L677" s="35" t="str">
        <f>IFERROR(_xlfn.XLOOKUP(Table6[[#This Row],[Error Code]],'Basic Data'!$AA:$AA,'Basic Data'!$AB:$AB),"Incorrect Error Code")</f>
        <v>WTG shut down</v>
      </c>
      <c r="M677" s="35" t="s">
        <v>291</v>
      </c>
      <c r="N677" s="475"/>
      <c r="O677" s="476">
        <v>0.68819444444444444</v>
      </c>
      <c r="P677" s="476">
        <v>0.68819444444444444</v>
      </c>
      <c r="Q677" s="477">
        <v>0.69027777777777777</v>
      </c>
      <c r="R677" s="472">
        <f>IF(Table6[[#This Row],[Work Start TimeStamp]]="","",(Table6[[#This Row],[Work Start TimeStamp]]-Table6[[#This Row],[Fault Start TimeStamp]])*24)</f>
        <v>0</v>
      </c>
      <c r="S677" s="472">
        <f>(Table6[[#This Row],[Fault Clearance time]]-Table6[[#This Row],[Work Start TimeStamp]])*24</f>
        <v>4.9999999999999822E-2</v>
      </c>
      <c r="T677" s="472">
        <f>(Table6[[#This Row],[Fault Clearance time]]-Table6[[#This Row],[Fault Start TimeStamp]])*24</f>
        <v>4.9999999999999822E-2</v>
      </c>
      <c r="U677" s="35" t="s">
        <v>389</v>
      </c>
      <c r="V677" s="102" t="s">
        <v>293</v>
      </c>
      <c r="W677" s="478">
        <f>IFERROR(Table6[[#This Row],[Breakdown Time]]*Table6[[#This Row],[Plant Equivalent Weightage]],"")</f>
        <v>1.9230769230769156E-3</v>
      </c>
      <c r="X677" s="473" t="s">
        <v>290</v>
      </c>
      <c r="Y677" s="474" t="s">
        <v>93</v>
      </c>
      <c r="Z677" s="102">
        <v>6597</v>
      </c>
      <c r="AA677" s="468">
        <f>(Table6[[#This Row],[Paired WTG Generation for loss calculation]]/24)*Table6[[#This Row],[Breakdown Time]]</f>
        <v>13.743749999999951</v>
      </c>
      <c r="AB677" s="102"/>
      <c r="AC677" s="35"/>
      <c r="AD677" s="35"/>
    </row>
    <row r="678" spans="1:30">
      <c r="A678" s="102">
        <f t="shared" si="11"/>
        <v>677</v>
      </c>
      <c r="B678" s="468">
        <f>YEAR(Table6[[#This Row],[Date]])+IF(MONTH(Table6[[#This Row],[Date]])&gt;=4,1,0)</f>
        <v>2026</v>
      </c>
      <c r="C678" s="102">
        <f>YEAR(Table6[[#This Row],[Date]])</f>
        <v>2025</v>
      </c>
      <c r="D678" s="102" t="s">
        <v>1992</v>
      </c>
      <c r="E678" s="469">
        <f>Table6[[#This Row],[Date]]-DAY(Table6[[#This Row],[Date]])+1</f>
        <v>45778</v>
      </c>
      <c r="F678" s="470">
        <v>45786</v>
      </c>
      <c r="G678" s="35" t="s">
        <v>98</v>
      </c>
      <c r="H678" s="35" t="str">
        <f>IFERROR(_xlfn.XLOOKUP(Table6[[#This Row],[Affected WTG]],'Basic Data'!$A:$A,'Basic Data'!$B:$B),"")</f>
        <v>TQGXIIPL</v>
      </c>
      <c r="I678" s="35" t="str">
        <f>IFERROR(_xlfn.XLOOKUP(Table6[[#This Row],[Affected WTG]],'Basic Data'!$A:$A,'Basic Data'!$C:$C),"")</f>
        <v>GEDA</v>
      </c>
      <c r="J678" s="471">
        <f>IFERROR(_xlfn.XLOOKUP(Table6[[#This Row],[Affected WTG]],'Basic Data'!$A:$A,'Basic Data'!$E:$E),"")</f>
        <v>3.846153846153845E-2</v>
      </c>
      <c r="K678" s="102">
        <v>55</v>
      </c>
      <c r="L678" s="35" t="str">
        <f>IFERROR(_xlfn.XLOOKUP(Table6[[#This Row],[Error Code]],'Basic Data'!$AA:$AA,'Basic Data'!$AB:$AB),"Incorrect Error Code")</f>
        <v>WTG shut down</v>
      </c>
      <c r="M678" s="35" t="s">
        <v>291</v>
      </c>
      <c r="N678" s="475"/>
      <c r="O678" s="476">
        <v>0.69027777777777777</v>
      </c>
      <c r="P678" s="476">
        <v>0.69027777777777777</v>
      </c>
      <c r="Q678" s="477">
        <v>0.69236111111111109</v>
      </c>
      <c r="R678" s="472">
        <f>IF(Table6[[#This Row],[Work Start TimeStamp]]="","",(Table6[[#This Row],[Work Start TimeStamp]]-Table6[[#This Row],[Fault Start TimeStamp]])*24)</f>
        <v>0</v>
      </c>
      <c r="S678" s="472">
        <f>(Table6[[#This Row],[Fault Clearance time]]-Table6[[#This Row],[Work Start TimeStamp]])*24</f>
        <v>4.9999999999999822E-2</v>
      </c>
      <c r="T678" s="472">
        <f>(Table6[[#This Row],[Fault Clearance time]]-Table6[[#This Row],[Fault Start TimeStamp]])*24</f>
        <v>4.9999999999999822E-2</v>
      </c>
      <c r="U678" s="35" t="s">
        <v>389</v>
      </c>
      <c r="V678" s="102" t="s">
        <v>293</v>
      </c>
      <c r="W678" s="478">
        <f>IFERROR(Table6[[#This Row],[Breakdown Time]]*Table6[[#This Row],[Plant Equivalent Weightage]],"")</f>
        <v>1.9230769230769156E-3</v>
      </c>
      <c r="X678" s="473" t="s">
        <v>290</v>
      </c>
      <c r="Y678" s="474" t="s">
        <v>74</v>
      </c>
      <c r="Z678" s="102">
        <v>9128</v>
      </c>
      <c r="AA678" s="468">
        <f>(Table6[[#This Row],[Paired WTG Generation for loss calculation]]/24)*Table6[[#This Row],[Breakdown Time]]</f>
        <v>19.016666666666598</v>
      </c>
      <c r="AB678" s="102"/>
      <c r="AC678" s="35"/>
      <c r="AD678" s="35"/>
    </row>
    <row r="679" spans="1:30">
      <c r="A679" s="102">
        <f t="shared" si="11"/>
        <v>678</v>
      </c>
      <c r="B679" s="468">
        <f>YEAR(Table6[[#This Row],[Date]])+IF(MONTH(Table6[[#This Row],[Date]])&gt;=4,1,0)</f>
        <v>2026</v>
      </c>
      <c r="C679" s="102">
        <f>YEAR(Table6[[#This Row],[Date]])</f>
        <v>2025</v>
      </c>
      <c r="D679" s="102" t="s">
        <v>1992</v>
      </c>
      <c r="E679" s="469">
        <f>Table6[[#This Row],[Date]]-DAY(Table6[[#This Row],[Date]])+1</f>
        <v>45778</v>
      </c>
      <c r="F679" s="470">
        <v>45786</v>
      </c>
      <c r="G679" s="35" t="s">
        <v>99</v>
      </c>
      <c r="H679" s="35" t="str">
        <f>IFERROR(_xlfn.XLOOKUP(Table6[[#This Row],[Affected WTG]],'Basic Data'!$A:$A,'Basic Data'!$B:$B),"")</f>
        <v>TQGXIIPL</v>
      </c>
      <c r="I679" s="35" t="str">
        <f>IFERROR(_xlfn.XLOOKUP(Table6[[#This Row],[Affected WTG]],'Basic Data'!$A:$A,'Basic Data'!$C:$C),"")</f>
        <v>GEDA</v>
      </c>
      <c r="J679" s="471">
        <f>IFERROR(_xlfn.XLOOKUP(Table6[[#This Row],[Affected WTG]],'Basic Data'!$A:$A,'Basic Data'!$E:$E),"")</f>
        <v>3.846153846153845E-2</v>
      </c>
      <c r="K679" s="102">
        <v>55</v>
      </c>
      <c r="L679" s="35" t="str">
        <f>IFERROR(_xlfn.XLOOKUP(Table6[[#This Row],[Error Code]],'Basic Data'!$AA:$AA,'Basic Data'!$AB:$AB),"Incorrect Error Code")</f>
        <v>WTG shut down</v>
      </c>
      <c r="M679" s="35" t="s">
        <v>291</v>
      </c>
      <c r="N679" s="475"/>
      <c r="O679" s="476">
        <v>0.69027777777777777</v>
      </c>
      <c r="P679" s="476">
        <v>0.69027777777777777</v>
      </c>
      <c r="Q679" s="477">
        <v>0.69236111111111109</v>
      </c>
      <c r="R679" s="472">
        <f>IF(Table6[[#This Row],[Work Start TimeStamp]]="","",(Table6[[#This Row],[Work Start TimeStamp]]-Table6[[#This Row],[Fault Start TimeStamp]])*24)</f>
        <v>0</v>
      </c>
      <c r="S679" s="472">
        <f>(Table6[[#This Row],[Fault Clearance time]]-Table6[[#This Row],[Work Start TimeStamp]])*24</f>
        <v>4.9999999999999822E-2</v>
      </c>
      <c r="T679" s="472">
        <f>(Table6[[#This Row],[Fault Clearance time]]-Table6[[#This Row],[Fault Start TimeStamp]])*24</f>
        <v>4.9999999999999822E-2</v>
      </c>
      <c r="U679" s="35" t="s">
        <v>389</v>
      </c>
      <c r="V679" s="102" t="s">
        <v>293</v>
      </c>
      <c r="W679" s="478">
        <f>IFERROR(Table6[[#This Row],[Breakdown Time]]*Table6[[#This Row],[Plant Equivalent Weightage]],"")</f>
        <v>1.9230769230769156E-3</v>
      </c>
      <c r="X679" s="473" t="s">
        <v>290</v>
      </c>
      <c r="Y679" s="474" t="s">
        <v>74</v>
      </c>
      <c r="Z679" s="102">
        <v>9128</v>
      </c>
      <c r="AA679" s="468">
        <f>(Table6[[#This Row],[Paired WTG Generation for loss calculation]]/24)*Table6[[#This Row],[Breakdown Time]]</f>
        <v>19.016666666666598</v>
      </c>
      <c r="AB679" s="102"/>
      <c r="AC679" s="35"/>
      <c r="AD679" s="35"/>
    </row>
    <row r="680" spans="1:30">
      <c r="A680" s="102">
        <f t="shared" si="11"/>
        <v>679</v>
      </c>
      <c r="B680" s="468">
        <f>YEAR(Table6[[#This Row],[Date]])+IF(MONTH(Table6[[#This Row],[Date]])&gt;=4,1,0)</f>
        <v>2026</v>
      </c>
      <c r="C680" s="102">
        <f>YEAR(Table6[[#This Row],[Date]])</f>
        <v>2025</v>
      </c>
      <c r="D680" s="102" t="s">
        <v>1992</v>
      </c>
      <c r="E680" s="469">
        <f>Table6[[#This Row],[Date]]-DAY(Table6[[#This Row],[Date]])+1</f>
        <v>45778</v>
      </c>
      <c r="F680" s="470">
        <v>45787</v>
      </c>
      <c r="G680" s="35" t="s">
        <v>81</v>
      </c>
      <c r="H680" s="35" t="str">
        <f>IFERROR(_xlfn.XLOOKUP(Table6[[#This Row],[Affected WTG]],'Basic Data'!$A:$A,'Basic Data'!$B:$B),"")</f>
        <v>TQGXIIPL</v>
      </c>
      <c r="I680" s="35" t="str">
        <f>IFERROR(_xlfn.XLOOKUP(Table6[[#This Row],[Affected WTG]],'Basic Data'!$A:$A,'Basic Data'!$C:$C),"")</f>
        <v>GEDA</v>
      </c>
      <c r="J680" s="471">
        <f>IFERROR(_xlfn.XLOOKUP(Table6[[#This Row],[Affected WTG]],'Basic Data'!$A:$A,'Basic Data'!$E:$E),"")</f>
        <v>3.846153846153845E-2</v>
      </c>
      <c r="K680" s="102">
        <v>6210</v>
      </c>
      <c r="L680" s="35" t="str">
        <f>IFERROR(_xlfn.XLOOKUP(Table6[[#This Row],[Error Code]],'Basic Data'!$AA:$AA,'Basic Data'!$AB:$AB),"Incorrect Error Code")</f>
        <v>Max. cable twistangle</v>
      </c>
      <c r="M680" s="35" t="s">
        <v>291</v>
      </c>
      <c r="N680" s="475"/>
      <c r="O680" s="476">
        <v>0.18819444444444444</v>
      </c>
      <c r="P680" s="476">
        <v>0.18819444444444444</v>
      </c>
      <c r="Q680" s="477">
        <v>0.24583333333333332</v>
      </c>
      <c r="R680" s="472">
        <f>IF(Table6[[#This Row],[Work Start TimeStamp]]="","",(Table6[[#This Row],[Work Start TimeStamp]]-Table6[[#This Row],[Fault Start TimeStamp]])*24)</f>
        <v>0</v>
      </c>
      <c r="S680" s="472">
        <f>(Table6[[#This Row],[Fault Clearance time]]-Table6[[#This Row],[Work Start TimeStamp]])*24</f>
        <v>1.3833333333333331</v>
      </c>
      <c r="T680" s="472">
        <f>(Table6[[#This Row],[Fault Clearance time]]-Table6[[#This Row],[Fault Start TimeStamp]])*24</f>
        <v>1.3833333333333331</v>
      </c>
      <c r="U680" s="35" t="s">
        <v>1799</v>
      </c>
      <c r="V680" s="102" t="s">
        <v>293</v>
      </c>
      <c r="W680" s="478">
        <f>IFERROR(Table6[[#This Row],[Breakdown Time]]*Table6[[#This Row],[Plant Equivalent Weightage]],"")</f>
        <v>5.3205128205128183E-2</v>
      </c>
      <c r="X680" s="473" t="s">
        <v>290</v>
      </c>
      <c r="Y680" s="474" t="s">
        <v>99</v>
      </c>
      <c r="Z680" s="102">
        <v>14169</v>
      </c>
      <c r="AA680" s="468">
        <f>(Table6[[#This Row],[Paired WTG Generation for loss calculation]]/24)*Table6[[#This Row],[Breakdown Time]]</f>
        <v>816.68541666666647</v>
      </c>
      <c r="AB680" s="102"/>
      <c r="AC680" s="35"/>
      <c r="AD680" s="35"/>
    </row>
    <row r="681" spans="1:30">
      <c r="A681" s="102">
        <f t="shared" si="11"/>
        <v>680</v>
      </c>
      <c r="B681" s="468">
        <f>YEAR(Table6[[#This Row],[Date]])+IF(MONTH(Table6[[#This Row],[Date]])&gt;=4,1,0)</f>
        <v>2026</v>
      </c>
      <c r="C681" s="102">
        <f>YEAR(Table6[[#This Row],[Date]])</f>
        <v>2025</v>
      </c>
      <c r="D681" s="102" t="s">
        <v>1992</v>
      </c>
      <c r="E681" s="469">
        <f>Table6[[#This Row],[Date]]-DAY(Table6[[#This Row],[Date]])+1</f>
        <v>45778</v>
      </c>
      <c r="F681" s="470">
        <v>45787</v>
      </c>
      <c r="G681" s="35" t="s">
        <v>81</v>
      </c>
      <c r="H681" s="35" t="str">
        <f>IFERROR(_xlfn.XLOOKUP(Table6[[#This Row],[Affected WTG]],'Basic Data'!$A:$A,'Basic Data'!$B:$B),"")</f>
        <v>TQGXIIPL</v>
      </c>
      <c r="I681" s="35" t="str">
        <f>IFERROR(_xlfn.XLOOKUP(Table6[[#This Row],[Affected WTG]],'Basic Data'!$A:$A,'Basic Data'!$C:$C),"")</f>
        <v>GEDA</v>
      </c>
      <c r="J681" s="471">
        <f>IFERROR(_xlfn.XLOOKUP(Table6[[#This Row],[Affected WTG]],'Basic Data'!$A:$A,'Basic Data'!$E:$E),"")</f>
        <v>3.846153846153845E-2</v>
      </c>
      <c r="K681" s="102">
        <v>55</v>
      </c>
      <c r="L681" s="35" t="str">
        <f>IFERROR(_xlfn.XLOOKUP(Table6[[#This Row],[Error Code]],'Basic Data'!$AA:$AA,'Basic Data'!$AB:$AB),"Incorrect Error Code")</f>
        <v>WTG shut down</v>
      </c>
      <c r="M681" s="35" t="s">
        <v>291</v>
      </c>
      <c r="N681" s="475"/>
      <c r="O681" s="476">
        <v>0.46388888888888891</v>
      </c>
      <c r="P681" s="476">
        <v>0.46388888888888891</v>
      </c>
      <c r="Q681" s="477">
        <v>0.61458333333333337</v>
      </c>
      <c r="R681" s="472">
        <f>IF(Table6[[#This Row],[Work Start TimeStamp]]="","",(Table6[[#This Row],[Work Start TimeStamp]]-Table6[[#This Row],[Fault Start TimeStamp]])*24)</f>
        <v>0</v>
      </c>
      <c r="S681" s="472">
        <f>(Table6[[#This Row],[Fault Clearance time]]-Table6[[#This Row],[Work Start TimeStamp]])*24</f>
        <v>3.6166666666666671</v>
      </c>
      <c r="T681" s="472">
        <f>(Table6[[#This Row],[Fault Clearance time]]-Table6[[#This Row],[Fault Start TimeStamp]])*24</f>
        <v>3.6166666666666671</v>
      </c>
      <c r="U681" s="35" t="s">
        <v>1800</v>
      </c>
      <c r="V681" s="102" t="s">
        <v>293</v>
      </c>
      <c r="W681" s="478">
        <f>IFERROR(Table6[[#This Row],[Breakdown Time]]*Table6[[#This Row],[Plant Equivalent Weightage]],"")</f>
        <v>0.13910256410256408</v>
      </c>
      <c r="X681" s="473" t="s">
        <v>290</v>
      </c>
      <c r="Y681" s="474" t="s">
        <v>99</v>
      </c>
      <c r="Z681" s="102">
        <v>14169</v>
      </c>
      <c r="AA681" s="468">
        <f>(Table6[[#This Row],[Paired WTG Generation for loss calculation]]/24)*Table6[[#This Row],[Breakdown Time]]</f>
        <v>2135.1895833333338</v>
      </c>
      <c r="AB681" s="102"/>
      <c r="AC681" s="35"/>
      <c r="AD681" s="35"/>
    </row>
    <row r="682" spans="1:30">
      <c r="A682" s="102">
        <f t="shared" si="11"/>
        <v>681</v>
      </c>
      <c r="B682" s="468">
        <f>YEAR(Table6[[#This Row],[Date]])+IF(MONTH(Table6[[#This Row],[Date]])&gt;=4,1,0)</f>
        <v>2026</v>
      </c>
      <c r="C682" s="102">
        <f>YEAR(Table6[[#This Row],[Date]])</f>
        <v>2025</v>
      </c>
      <c r="D682" s="102" t="s">
        <v>1992</v>
      </c>
      <c r="E682" s="469">
        <f>Table6[[#This Row],[Date]]-DAY(Table6[[#This Row],[Date]])+1</f>
        <v>45778</v>
      </c>
      <c r="F682" s="470">
        <v>45787</v>
      </c>
      <c r="G682" s="35" t="s">
        <v>90</v>
      </c>
      <c r="H682" s="35" t="str">
        <f>IFERROR(_xlfn.XLOOKUP(Table6[[#This Row],[Affected WTG]],'Basic Data'!$A:$A,'Basic Data'!$B:$B),"")</f>
        <v>TQGXIIPL</v>
      </c>
      <c r="I682" s="35" t="str">
        <f>IFERROR(_xlfn.XLOOKUP(Table6[[#This Row],[Affected WTG]],'Basic Data'!$A:$A,'Basic Data'!$C:$C),"")</f>
        <v>GEDA</v>
      </c>
      <c r="J682" s="471">
        <f>IFERROR(_xlfn.XLOOKUP(Table6[[#This Row],[Affected WTG]],'Basic Data'!$A:$A,'Basic Data'!$E:$E),"")</f>
        <v>3.846153846153845E-2</v>
      </c>
      <c r="K682" s="102">
        <v>55</v>
      </c>
      <c r="L682" s="35" t="str">
        <f>IFERROR(_xlfn.XLOOKUP(Table6[[#This Row],[Error Code]],'Basic Data'!$AA:$AA,'Basic Data'!$AB:$AB),"Incorrect Error Code")</f>
        <v>WTG shut down</v>
      </c>
      <c r="M682" s="35" t="s">
        <v>291</v>
      </c>
      <c r="N682" s="475"/>
      <c r="O682" s="476">
        <v>0.50277777777777777</v>
      </c>
      <c r="P682" s="476">
        <v>0.50277777777777777</v>
      </c>
      <c r="Q682" s="477">
        <v>0.54166666666666663</v>
      </c>
      <c r="R682" s="472">
        <f>IF(Table6[[#This Row],[Work Start TimeStamp]]="","",(Table6[[#This Row],[Work Start TimeStamp]]-Table6[[#This Row],[Fault Start TimeStamp]])*24)</f>
        <v>0</v>
      </c>
      <c r="S682" s="472">
        <f>(Table6[[#This Row],[Fault Clearance time]]-Table6[[#This Row],[Work Start TimeStamp]])*24</f>
        <v>0.93333333333333268</v>
      </c>
      <c r="T682" s="472">
        <f>(Table6[[#This Row],[Fault Clearance time]]-Table6[[#This Row],[Fault Start TimeStamp]])*24</f>
        <v>0.93333333333333268</v>
      </c>
      <c r="U682" s="35" t="s">
        <v>1801</v>
      </c>
      <c r="V682" s="102" t="s">
        <v>293</v>
      </c>
      <c r="W682" s="478">
        <f>IFERROR(Table6[[#This Row],[Breakdown Time]]*Table6[[#This Row],[Plant Equivalent Weightage]],"")</f>
        <v>3.589743589743586E-2</v>
      </c>
      <c r="X682" s="473" t="s">
        <v>290</v>
      </c>
      <c r="Y682" s="474" t="s">
        <v>95</v>
      </c>
      <c r="Z682" s="102">
        <v>15068</v>
      </c>
      <c r="AA682" s="468">
        <f>(Table6[[#This Row],[Paired WTG Generation for loss calculation]]/24)*Table6[[#This Row],[Breakdown Time]]</f>
        <v>585.97777777777742</v>
      </c>
      <c r="AB682" s="102"/>
      <c r="AC682" s="35"/>
      <c r="AD682" s="35"/>
    </row>
    <row r="683" spans="1:30">
      <c r="A683" s="102">
        <f t="shared" si="11"/>
        <v>682</v>
      </c>
      <c r="B683" s="468">
        <f>YEAR(Table6[[#This Row],[Date]])+IF(MONTH(Table6[[#This Row],[Date]])&gt;=4,1,0)</f>
        <v>2026</v>
      </c>
      <c r="C683" s="102">
        <f>YEAR(Table6[[#This Row],[Date]])</f>
        <v>2025</v>
      </c>
      <c r="D683" s="102" t="s">
        <v>1992</v>
      </c>
      <c r="E683" s="469">
        <f>Table6[[#This Row],[Date]]-DAY(Table6[[#This Row],[Date]])+1</f>
        <v>45778</v>
      </c>
      <c r="F683" s="470">
        <v>45787</v>
      </c>
      <c r="G683" s="35" t="s">
        <v>90</v>
      </c>
      <c r="H683" s="35" t="str">
        <f>IFERROR(_xlfn.XLOOKUP(Table6[[#This Row],[Affected WTG]],'Basic Data'!$A:$A,'Basic Data'!$B:$B),"")</f>
        <v>TQGXIIPL</v>
      </c>
      <c r="I683" s="35" t="str">
        <f>IFERROR(_xlfn.XLOOKUP(Table6[[#This Row],[Affected WTG]],'Basic Data'!$A:$A,'Basic Data'!$C:$C),"")</f>
        <v>GEDA</v>
      </c>
      <c r="J683" s="471">
        <f>IFERROR(_xlfn.XLOOKUP(Table6[[#This Row],[Affected WTG]],'Basic Data'!$A:$A,'Basic Data'!$E:$E),"")</f>
        <v>3.846153846153845E-2</v>
      </c>
      <c r="K683" s="102">
        <v>55</v>
      </c>
      <c r="L683" s="35" t="str">
        <f>IFERROR(_xlfn.XLOOKUP(Table6[[#This Row],[Error Code]],'Basic Data'!$AA:$AA,'Basic Data'!$AB:$AB),"Incorrect Error Code")</f>
        <v>WTG shut down</v>
      </c>
      <c r="M683" s="35" t="s">
        <v>291</v>
      </c>
      <c r="N683" s="475"/>
      <c r="O683" s="476">
        <v>0.69374999999999998</v>
      </c>
      <c r="P683" s="476">
        <v>0.69374999999999998</v>
      </c>
      <c r="Q683" s="477">
        <v>0.71875</v>
      </c>
      <c r="R683" s="472">
        <f>IF(Table6[[#This Row],[Work Start TimeStamp]]="","",(Table6[[#This Row],[Work Start TimeStamp]]-Table6[[#This Row],[Fault Start TimeStamp]])*24)</f>
        <v>0</v>
      </c>
      <c r="S683" s="472">
        <f>(Table6[[#This Row],[Fault Clearance time]]-Table6[[#This Row],[Work Start TimeStamp]])*24</f>
        <v>0.60000000000000053</v>
      </c>
      <c r="T683" s="472">
        <f>(Table6[[#This Row],[Fault Clearance time]]-Table6[[#This Row],[Fault Start TimeStamp]])*24</f>
        <v>0.60000000000000053</v>
      </c>
      <c r="U683" s="35" t="s">
        <v>1802</v>
      </c>
      <c r="V683" s="102" t="s">
        <v>293</v>
      </c>
      <c r="W683" s="478">
        <f>IFERROR(Table6[[#This Row],[Breakdown Time]]*Table6[[#This Row],[Plant Equivalent Weightage]],"")</f>
        <v>2.3076923076923092E-2</v>
      </c>
      <c r="X683" s="473" t="s">
        <v>290</v>
      </c>
      <c r="Y683" s="474" t="s">
        <v>95</v>
      </c>
      <c r="Z683" s="102">
        <v>15068</v>
      </c>
      <c r="AA683" s="468">
        <f>(Table6[[#This Row],[Paired WTG Generation for loss calculation]]/24)*Table6[[#This Row],[Breakdown Time]]</f>
        <v>376.70000000000033</v>
      </c>
      <c r="AB683" s="102"/>
      <c r="AC683" s="35"/>
      <c r="AD683" s="35"/>
    </row>
    <row r="684" spans="1:30">
      <c r="A684" s="102">
        <f t="shared" si="11"/>
        <v>683</v>
      </c>
      <c r="B684" s="468">
        <f>YEAR(Table6[[#This Row],[Date]])+IF(MONTH(Table6[[#This Row],[Date]])&gt;=4,1,0)</f>
        <v>2026</v>
      </c>
      <c r="C684" s="102">
        <f>YEAR(Table6[[#This Row],[Date]])</f>
        <v>2025</v>
      </c>
      <c r="D684" s="102" t="s">
        <v>1992</v>
      </c>
      <c r="E684" s="469">
        <f>Table6[[#This Row],[Date]]-DAY(Table6[[#This Row],[Date]])+1</f>
        <v>45778</v>
      </c>
      <c r="F684" s="470">
        <v>45787</v>
      </c>
      <c r="G684" s="35" t="s">
        <v>96</v>
      </c>
      <c r="H684" s="35" t="str">
        <f>IFERROR(_xlfn.XLOOKUP(Table6[[#This Row],[Affected WTG]],'Basic Data'!$A:$A,'Basic Data'!$B:$B),"")</f>
        <v>TQGXIIPL</v>
      </c>
      <c r="I684" s="35" t="str">
        <f>IFERROR(_xlfn.XLOOKUP(Table6[[#This Row],[Affected WTG]],'Basic Data'!$A:$A,'Basic Data'!$C:$C),"")</f>
        <v>GEDA</v>
      </c>
      <c r="J684" s="471">
        <f>IFERROR(_xlfn.XLOOKUP(Table6[[#This Row],[Affected WTG]],'Basic Data'!$A:$A,'Basic Data'!$E:$E),"")</f>
        <v>3.846153846153845E-2</v>
      </c>
      <c r="K684" s="102">
        <v>5510</v>
      </c>
      <c r="L684" s="35" t="str">
        <f>IFERROR(_xlfn.XLOOKUP(Table6[[#This Row],[Error Code]],'Basic Data'!$AA:$AA,'Basic Data'!$AB:$AB),"Incorrect Error Code")</f>
        <v>Low hydraulic pressure</v>
      </c>
      <c r="M684" s="35" t="s">
        <v>291</v>
      </c>
      <c r="N684" s="475"/>
      <c r="O684" s="476">
        <v>0.12847222222222221</v>
      </c>
      <c r="P684" s="476">
        <v>0.15416666666666667</v>
      </c>
      <c r="Q684" s="477">
        <v>0.21527777777777779</v>
      </c>
      <c r="R684" s="472">
        <f>IF(Table6[[#This Row],[Work Start TimeStamp]]="","",(Table6[[#This Row],[Work Start TimeStamp]]-Table6[[#This Row],[Fault Start TimeStamp]])*24)</f>
        <v>0.61666666666666714</v>
      </c>
      <c r="S684" s="472">
        <f>(Table6[[#This Row],[Fault Clearance time]]-Table6[[#This Row],[Work Start TimeStamp]])*24</f>
        <v>1.4666666666666668</v>
      </c>
      <c r="T684" s="472">
        <f>(Table6[[#This Row],[Fault Clearance time]]-Table6[[#This Row],[Fault Start TimeStamp]])*24</f>
        <v>2.0833333333333339</v>
      </c>
      <c r="U684" s="35" t="s">
        <v>1803</v>
      </c>
      <c r="V684" s="102" t="s">
        <v>293</v>
      </c>
      <c r="W684" s="478">
        <f>IFERROR(Table6[[#This Row],[Breakdown Time]]*Table6[[#This Row],[Plant Equivalent Weightage]],"")</f>
        <v>8.0128205128205121E-2</v>
      </c>
      <c r="X684" s="473" t="s">
        <v>290</v>
      </c>
      <c r="Y684" s="474" t="s">
        <v>84</v>
      </c>
      <c r="Z684" s="102">
        <v>13194</v>
      </c>
      <c r="AA684" s="468">
        <f>(Table6[[#This Row],[Paired WTG Generation for loss calculation]]/24)*Table6[[#This Row],[Breakdown Time]]</f>
        <v>1145.3125000000002</v>
      </c>
      <c r="AB684" s="102"/>
      <c r="AC684" s="35"/>
      <c r="AD684" s="35"/>
    </row>
    <row r="685" spans="1:30">
      <c r="A685" s="102">
        <f t="shared" si="11"/>
        <v>684</v>
      </c>
      <c r="B685" s="468">
        <f>YEAR(Table6[[#This Row],[Date]])+IF(MONTH(Table6[[#This Row],[Date]])&gt;=4,1,0)</f>
        <v>2026</v>
      </c>
      <c r="C685" s="102">
        <f>YEAR(Table6[[#This Row],[Date]])</f>
        <v>2025</v>
      </c>
      <c r="D685" s="102" t="s">
        <v>1992</v>
      </c>
      <c r="E685" s="469">
        <f>Table6[[#This Row],[Date]]-DAY(Table6[[#This Row],[Date]])+1</f>
        <v>45778</v>
      </c>
      <c r="F685" s="470">
        <v>45788</v>
      </c>
      <c r="G685" s="35" t="s">
        <v>74</v>
      </c>
      <c r="H685" s="35" t="str">
        <f>IFERROR(_xlfn.XLOOKUP(Table6[[#This Row],[Affected WTG]],'Basic Data'!$A:$A,'Basic Data'!$B:$B),"")</f>
        <v>TQGXIIPL</v>
      </c>
      <c r="I685" s="35" t="str">
        <f>IFERROR(_xlfn.XLOOKUP(Table6[[#This Row],[Affected WTG]],'Basic Data'!$A:$A,'Basic Data'!$C:$C),"")</f>
        <v>GEDA</v>
      </c>
      <c r="J685" s="471">
        <f>IFERROR(_xlfn.XLOOKUP(Table6[[#This Row],[Affected WTG]],'Basic Data'!$A:$A,'Basic Data'!$E:$E),"")</f>
        <v>3.846153846153845E-2</v>
      </c>
      <c r="K685" s="102">
        <v>55</v>
      </c>
      <c r="L685" s="35" t="str">
        <f>IFERROR(_xlfn.XLOOKUP(Table6[[#This Row],[Error Code]],'Basic Data'!$AA:$AA,'Basic Data'!$AB:$AB),"Incorrect Error Code")</f>
        <v>WTG shut down</v>
      </c>
      <c r="M685" s="35" t="s">
        <v>330</v>
      </c>
      <c r="N685" s="475"/>
      <c r="O685" s="476">
        <v>0.69652777777777775</v>
      </c>
      <c r="P685" s="476">
        <v>0.69652777777777775</v>
      </c>
      <c r="Q685" s="477">
        <v>0.71944444444444444</v>
      </c>
      <c r="R685" s="472">
        <f>IF(Table6[[#This Row],[Work Start TimeStamp]]="","",(Table6[[#This Row],[Work Start TimeStamp]]-Table6[[#This Row],[Fault Start TimeStamp]])*24)</f>
        <v>0</v>
      </c>
      <c r="S685" s="472">
        <f>(Table6[[#This Row],[Fault Clearance time]]-Table6[[#This Row],[Work Start TimeStamp]])*24</f>
        <v>0.55000000000000071</v>
      </c>
      <c r="T685" s="472">
        <f>(Table6[[#This Row],[Fault Clearance time]]-Table6[[#This Row],[Fault Start TimeStamp]])*24</f>
        <v>0.55000000000000071</v>
      </c>
      <c r="U685" s="35" t="s">
        <v>1744</v>
      </c>
      <c r="V685" s="102" t="s">
        <v>293</v>
      </c>
      <c r="W685" s="478">
        <f>IFERROR(Table6[[#This Row],[Breakdown Time]]*Table6[[#This Row],[Plant Equivalent Weightage]],"")</f>
        <v>2.1153846153846176E-2</v>
      </c>
      <c r="X685" s="473" t="s">
        <v>294</v>
      </c>
      <c r="Y685" s="474" t="s">
        <v>99</v>
      </c>
      <c r="Z685" s="102">
        <v>10027</v>
      </c>
      <c r="AA685" s="468">
        <f>(Table6[[#This Row],[Paired WTG Generation for loss calculation]]/24)*Table6[[#This Row],[Breakdown Time]]</f>
        <v>229.78541666666698</v>
      </c>
      <c r="AB685" s="102"/>
      <c r="AC685" s="35"/>
      <c r="AD685" s="35"/>
    </row>
    <row r="686" spans="1:30">
      <c r="A686" s="102">
        <f t="shared" si="11"/>
        <v>685</v>
      </c>
      <c r="B686" s="468">
        <f>YEAR(Table6[[#This Row],[Date]])+IF(MONTH(Table6[[#This Row],[Date]])&gt;=4,1,0)</f>
        <v>2026</v>
      </c>
      <c r="C686" s="102">
        <f>YEAR(Table6[[#This Row],[Date]])</f>
        <v>2025</v>
      </c>
      <c r="D686" s="102" t="s">
        <v>1992</v>
      </c>
      <c r="E686" s="469">
        <f>Table6[[#This Row],[Date]]-DAY(Table6[[#This Row],[Date]])+1</f>
        <v>45778</v>
      </c>
      <c r="F686" s="470">
        <v>45788</v>
      </c>
      <c r="G686" s="35" t="s">
        <v>77</v>
      </c>
      <c r="H686" s="35" t="str">
        <f>IFERROR(_xlfn.XLOOKUP(Table6[[#This Row],[Affected WTG]],'Basic Data'!$A:$A,'Basic Data'!$B:$B),"")</f>
        <v>TQGXIIPL</v>
      </c>
      <c r="I686" s="35" t="str">
        <f>IFERROR(_xlfn.XLOOKUP(Table6[[#This Row],[Affected WTG]],'Basic Data'!$A:$A,'Basic Data'!$C:$C),"")</f>
        <v>GEDA</v>
      </c>
      <c r="J686" s="471">
        <f>IFERROR(_xlfn.XLOOKUP(Table6[[#This Row],[Affected WTG]],'Basic Data'!$A:$A,'Basic Data'!$E:$E),"")</f>
        <v>3.846153846153845E-2</v>
      </c>
      <c r="K686" s="102">
        <v>55</v>
      </c>
      <c r="L686" s="35" t="str">
        <f>IFERROR(_xlfn.XLOOKUP(Table6[[#This Row],[Error Code]],'Basic Data'!$AA:$AA,'Basic Data'!$AB:$AB),"Incorrect Error Code")</f>
        <v>WTG shut down</v>
      </c>
      <c r="M686" s="35" t="s">
        <v>308</v>
      </c>
      <c r="N686" s="475"/>
      <c r="O686" s="476">
        <v>0.72638888888888886</v>
      </c>
      <c r="P686" s="476">
        <v>0.72638888888888886</v>
      </c>
      <c r="Q686" s="477">
        <v>0.73750000000000004</v>
      </c>
      <c r="R686" s="472">
        <f>IF(Table6[[#This Row],[Work Start TimeStamp]]="","",(Table6[[#This Row],[Work Start TimeStamp]]-Table6[[#This Row],[Fault Start TimeStamp]])*24)</f>
        <v>0</v>
      </c>
      <c r="S686" s="472">
        <f>(Table6[[#This Row],[Fault Clearance time]]-Table6[[#This Row],[Work Start TimeStamp]])*24</f>
        <v>0.26666666666666838</v>
      </c>
      <c r="T686" s="472">
        <f>(Table6[[#This Row],[Fault Clearance time]]-Table6[[#This Row],[Fault Start TimeStamp]])*24</f>
        <v>0.26666666666666838</v>
      </c>
      <c r="U686" s="35" t="s">
        <v>1804</v>
      </c>
      <c r="V686" s="102" t="s">
        <v>293</v>
      </c>
      <c r="W686" s="478">
        <f>IFERROR(Table6[[#This Row],[Breakdown Time]]*Table6[[#This Row],[Plant Equivalent Weightage]],"")</f>
        <v>1.0256410256410319E-2</v>
      </c>
      <c r="X686" s="473" t="s">
        <v>290</v>
      </c>
      <c r="Y686" s="474" t="s">
        <v>80</v>
      </c>
      <c r="Z686" s="102">
        <v>12314</v>
      </c>
      <c r="AA686" s="468">
        <f>(Table6[[#This Row],[Paired WTG Generation for loss calculation]]/24)*Table6[[#This Row],[Breakdown Time]]</f>
        <v>136.8222222222231</v>
      </c>
      <c r="AB686" s="102"/>
      <c r="AC686" s="35"/>
      <c r="AD686" s="35"/>
    </row>
    <row r="687" spans="1:30">
      <c r="A687" s="102">
        <f t="shared" si="11"/>
        <v>686</v>
      </c>
      <c r="B687" s="468">
        <f>YEAR(Table6[[#This Row],[Date]])+IF(MONTH(Table6[[#This Row],[Date]])&gt;=4,1,0)</f>
        <v>2026</v>
      </c>
      <c r="C687" s="102">
        <f>YEAR(Table6[[#This Row],[Date]])</f>
        <v>2025</v>
      </c>
      <c r="D687" s="102" t="s">
        <v>1992</v>
      </c>
      <c r="E687" s="469">
        <f>Table6[[#This Row],[Date]]-DAY(Table6[[#This Row],[Date]])+1</f>
        <v>45778</v>
      </c>
      <c r="F687" s="470">
        <v>45788</v>
      </c>
      <c r="G687" s="35" t="s">
        <v>79</v>
      </c>
      <c r="H687" s="35" t="str">
        <f>IFERROR(_xlfn.XLOOKUP(Table6[[#This Row],[Affected WTG]],'Basic Data'!$A:$A,'Basic Data'!$B:$B),"")</f>
        <v>TQGXIIPL</v>
      </c>
      <c r="I687" s="35" t="str">
        <f>IFERROR(_xlfn.XLOOKUP(Table6[[#This Row],[Affected WTG]],'Basic Data'!$A:$A,'Basic Data'!$C:$C),"")</f>
        <v>GEDA</v>
      </c>
      <c r="J687" s="471">
        <f>IFERROR(_xlfn.XLOOKUP(Table6[[#This Row],[Affected WTG]],'Basic Data'!$A:$A,'Basic Data'!$E:$E),"")</f>
        <v>3.846153846153845E-2</v>
      </c>
      <c r="K687" s="102">
        <v>55</v>
      </c>
      <c r="L687" s="35" t="str">
        <f>IFERROR(_xlfn.XLOOKUP(Table6[[#This Row],[Error Code]],'Basic Data'!$AA:$AA,'Basic Data'!$AB:$AB),"Incorrect Error Code")</f>
        <v>WTG shut down</v>
      </c>
      <c r="M687" s="35" t="s">
        <v>308</v>
      </c>
      <c r="N687" s="475"/>
      <c r="O687" s="476">
        <v>0.72638888888888886</v>
      </c>
      <c r="P687" s="476">
        <v>0.72638888888888886</v>
      </c>
      <c r="Q687" s="477">
        <v>0.73472222222222228</v>
      </c>
      <c r="R687" s="472">
        <f>IF(Table6[[#This Row],[Work Start TimeStamp]]="","",(Table6[[#This Row],[Work Start TimeStamp]]-Table6[[#This Row],[Fault Start TimeStamp]])*24)</f>
        <v>0</v>
      </c>
      <c r="S687" s="472">
        <f>(Table6[[#This Row],[Fault Clearance time]]-Table6[[#This Row],[Work Start TimeStamp]])*24</f>
        <v>0.20000000000000195</v>
      </c>
      <c r="T687" s="472">
        <f>(Table6[[#This Row],[Fault Clearance time]]-Table6[[#This Row],[Fault Start TimeStamp]])*24</f>
        <v>0.20000000000000195</v>
      </c>
      <c r="U687" s="35" t="s">
        <v>1804</v>
      </c>
      <c r="V687" s="102" t="s">
        <v>293</v>
      </c>
      <c r="W687" s="478">
        <f>IFERROR(Table6[[#This Row],[Breakdown Time]]*Table6[[#This Row],[Plant Equivalent Weightage]],"")</f>
        <v>7.6923076923077647E-3</v>
      </c>
      <c r="X687" s="473" t="s">
        <v>290</v>
      </c>
      <c r="Y687" s="474" t="s">
        <v>94</v>
      </c>
      <c r="Z687" s="102">
        <v>9404</v>
      </c>
      <c r="AA687" s="468">
        <f>(Table6[[#This Row],[Paired WTG Generation for loss calculation]]/24)*Table6[[#This Row],[Breakdown Time]]</f>
        <v>78.366666666667427</v>
      </c>
      <c r="AB687" s="102"/>
      <c r="AC687" s="35"/>
      <c r="AD687" s="35"/>
    </row>
    <row r="688" spans="1:30">
      <c r="A688" s="102">
        <f t="shared" si="11"/>
        <v>687</v>
      </c>
      <c r="B688" s="468">
        <f>YEAR(Table6[[#This Row],[Date]])+IF(MONTH(Table6[[#This Row],[Date]])&gt;=4,1,0)</f>
        <v>2026</v>
      </c>
      <c r="C688" s="102">
        <f>YEAR(Table6[[#This Row],[Date]])</f>
        <v>2025</v>
      </c>
      <c r="D688" s="102" t="s">
        <v>1992</v>
      </c>
      <c r="E688" s="469">
        <f>Table6[[#This Row],[Date]]-DAY(Table6[[#This Row],[Date]])+1</f>
        <v>45778</v>
      </c>
      <c r="F688" s="470">
        <v>45788</v>
      </c>
      <c r="G688" s="35" t="s">
        <v>80</v>
      </c>
      <c r="H688" s="35" t="str">
        <f>IFERROR(_xlfn.XLOOKUP(Table6[[#This Row],[Affected WTG]],'Basic Data'!$A:$A,'Basic Data'!$B:$B),"")</f>
        <v>TQGXIIPL</v>
      </c>
      <c r="I688" s="35" t="str">
        <f>IFERROR(_xlfn.XLOOKUP(Table6[[#This Row],[Affected WTG]],'Basic Data'!$A:$A,'Basic Data'!$C:$C),"")</f>
        <v>GEDA</v>
      </c>
      <c r="J688" s="471">
        <f>IFERROR(_xlfn.XLOOKUP(Table6[[#This Row],[Affected WTG]],'Basic Data'!$A:$A,'Basic Data'!$E:$E),"")</f>
        <v>3.846153846153845E-2</v>
      </c>
      <c r="K688" s="102">
        <v>55</v>
      </c>
      <c r="L688" s="35" t="str">
        <f>IFERROR(_xlfn.XLOOKUP(Table6[[#This Row],[Error Code]],'Basic Data'!$AA:$AA,'Basic Data'!$AB:$AB),"Incorrect Error Code")</f>
        <v>WTG shut down</v>
      </c>
      <c r="M688" s="35" t="s">
        <v>308</v>
      </c>
      <c r="N688" s="475"/>
      <c r="O688" s="476">
        <v>0.72638888888888886</v>
      </c>
      <c r="P688" s="476">
        <v>0.72638888888888886</v>
      </c>
      <c r="Q688" s="477">
        <v>0.7368055555555556</v>
      </c>
      <c r="R688" s="472">
        <f>IF(Table6[[#This Row],[Work Start TimeStamp]]="","",(Table6[[#This Row],[Work Start TimeStamp]]-Table6[[#This Row],[Fault Start TimeStamp]])*24)</f>
        <v>0</v>
      </c>
      <c r="S688" s="472">
        <f>(Table6[[#This Row],[Fault Clearance time]]-Table6[[#This Row],[Work Start TimeStamp]])*24</f>
        <v>0.25000000000000178</v>
      </c>
      <c r="T688" s="472">
        <f>(Table6[[#This Row],[Fault Clearance time]]-Table6[[#This Row],[Fault Start TimeStamp]])*24</f>
        <v>0.25000000000000178</v>
      </c>
      <c r="U688" s="35" t="s">
        <v>1804</v>
      </c>
      <c r="V688" s="102" t="s">
        <v>293</v>
      </c>
      <c r="W688" s="478">
        <f>IFERROR(Table6[[#This Row],[Breakdown Time]]*Table6[[#This Row],[Plant Equivalent Weightage]],"")</f>
        <v>9.6153846153846801E-3</v>
      </c>
      <c r="X688" s="473" t="s">
        <v>290</v>
      </c>
      <c r="Y688" s="474" t="s">
        <v>77</v>
      </c>
      <c r="Z688" s="102">
        <v>14944</v>
      </c>
      <c r="AA688" s="468">
        <f>(Table6[[#This Row],[Paired WTG Generation for loss calculation]]/24)*Table6[[#This Row],[Breakdown Time]]</f>
        <v>155.66666666666777</v>
      </c>
      <c r="AB688" s="102"/>
      <c r="AC688" s="35"/>
      <c r="AD688" s="35"/>
    </row>
    <row r="689" spans="1:30">
      <c r="A689" s="102">
        <f t="shared" si="11"/>
        <v>688</v>
      </c>
      <c r="B689" s="468">
        <f>YEAR(Table6[[#This Row],[Date]])+IF(MONTH(Table6[[#This Row],[Date]])&gt;=4,1,0)</f>
        <v>2026</v>
      </c>
      <c r="C689" s="102">
        <f>YEAR(Table6[[#This Row],[Date]])</f>
        <v>2025</v>
      </c>
      <c r="D689" s="102" t="s">
        <v>1992</v>
      </c>
      <c r="E689" s="469">
        <f>Table6[[#This Row],[Date]]-DAY(Table6[[#This Row],[Date]])+1</f>
        <v>45778</v>
      </c>
      <c r="F689" s="470">
        <v>45788</v>
      </c>
      <c r="G689" s="35" t="s">
        <v>85</v>
      </c>
      <c r="H689" s="35" t="str">
        <f>IFERROR(_xlfn.XLOOKUP(Table6[[#This Row],[Affected WTG]],'Basic Data'!$A:$A,'Basic Data'!$B:$B),"")</f>
        <v>TQGXIIPL</v>
      </c>
      <c r="I689" s="35" t="str">
        <f>IFERROR(_xlfn.XLOOKUP(Table6[[#This Row],[Affected WTG]],'Basic Data'!$A:$A,'Basic Data'!$C:$C),"")</f>
        <v>GEDA</v>
      </c>
      <c r="J689" s="471">
        <f>IFERROR(_xlfn.XLOOKUP(Table6[[#This Row],[Affected WTG]],'Basic Data'!$A:$A,'Basic Data'!$E:$E),"")</f>
        <v>3.846153846153845E-2</v>
      </c>
      <c r="K689" s="102">
        <v>5506</v>
      </c>
      <c r="L689" s="35" t="str">
        <f>IFERROR(_xlfn.XLOOKUP(Table6[[#This Row],[Error Code]],'Basic Data'!$AA:$AA,'Basic Data'!$AB:$AB),"Incorrect Error Code")</f>
        <v>Rot.br. press. high</v>
      </c>
      <c r="M689" s="35" t="s">
        <v>291</v>
      </c>
      <c r="N689" s="475"/>
      <c r="O689" s="476">
        <v>0.76597222222222228</v>
      </c>
      <c r="P689" s="476">
        <v>0.76597222222222228</v>
      </c>
      <c r="Q689" s="477">
        <v>1</v>
      </c>
      <c r="R689" s="472">
        <f>IF(Table6[[#This Row],[Work Start TimeStamp]]="","",(Table6[[#This Row],[Work Start TimeStamp]]-Table6[[#This Row],[Fault Start TimeStamp]])*24)</f>
        <v>0</v>
      </c>
      <c r="S689" s="472">
        <f>(Table6[[#This Row],[Fault Clearance time]]-Table6[[#This Row],[Work Start TimeStamp]])*24</f>
        <v>5.6166666666666654</v>
      </c>
      <c r="T689" s="472">
        <f>(Table6[[#This Row],[Fault Clearance time]]-Table6[[#This Row],[Fault Start TimeStamp]])*24</f>
        <v>5.6166666666666654</v>
      </c>
      <c r="U689" s="35" t="s">
        <v>1805</v>
      </c>
      <c r="V689" s="102" t="s">
        <v>338</v>
      </c>
      <c r="W689" s="478">
        <f>IFERROR(Table6[[#This Row],[Breakdown Time]]*Table6[[#This Row],[Plant Equivalent Weightage]],"")</f>
        <v>0.2160256410256409</v>
      </c>
      <c r="X689" s="473" t="s">
        <v>290</v>
      </c>
      <c r="Y689" s="474" t="s">
        <v>87</v>
      </c>
      <c r="Z689" s="102">
        <v>10415</v>
      </c>
      <c r="AA689" s="468">
        <f>(Table6[[#This Row],[Paired WTG Generation for loss calculation]]/24)*Table6[[#This Row],[Breakdown Time]]</f>
        <v>2437.3993055555547</v>
      </c>
      <c r="AB689" s="102"/>
      <c r="AC689" s="35"/>
      <c r="AD689" s="35"/>
    </row>
    <row r="690" spans="1:30">
      <c r="A690" s="102">
        <f t="shared" si="11"/>
        <v>689</v>
      </c>
      <c r="B690" s="468">
        <f>YEAR(Table6[[#This Row],[Date]])+IF(MONTH(Table6[[#This Row],[Date]])&gt;=4,1,0)</f>
        <v>2026</v>
      </c>
      <c r="C690" s="102">
        <f>YEAR(Table6[[#This Row],[Date]])</f>
        <v>2025</v>
      </c>
      <c r="D690" s="102" t="s">
        <v>1992</v>
      </c>
      <c r="E690" s="469">
        <f>Table6[[#This Row],[Date]]-DAY(Table6[[#This Row],[Date]])+1</f>
        <v>45778</v>
      </c>
      <c r="F690" s="470">
        <v>45788</v>
      </c>
      <c r="G690" s="35" t="s">
        <v>89</v>
      </c>
      <c r="H690" s="35" t="str">
        <f>IFERROR(_xlfn.XLOOKUP(Table6[[#This Row],[Affected WTG]],'Basic Data'!$A:$A,'Basic Data'!$B:$B),"")</f>
        <v>TQGXIIPL</v>
      </c>
      <c r="I690" s="35" t="str">
        <f>IFERROR(_xlfn.XLOOKUP(Table6[[#This Row],[Affected WTG]],'Basic Data'!$A:$A,'Basic Data'!$C:$C),"")</f>
        <v>GEDA</v>
      </c>
      <c r="J690" s="471">
        <f>IFERROR(_xlfn.XLOOKUP(Table6[[#This Row],[Affected WTG]],'Basic Data'!$A:$A,'Basic Data'!$E:$E),"")</f>
        <v>3.846153846153845E-2</v>
      </c>
      <c r="K690" s="102">
        <v>675</v>
      </c>
      <c r="L690" s="35" t="str">
        <f>IFERROR(_xlfn.XLOOKUP(Table6[[#This Row],[Error Code]],'Basic Data'!$AA:$AA,'Basic Data'!$AB:$AB),"Incorrect Error Code")</f>
        <v>Pitch measuring system 1&gt;&lt;2</v>
      </c>
      <c r="M690" s="35" t="s">
        <v>291</v>
      </c>
      <c r="N690" s="475"/>
      <c r="O690" s="476">
        <v>0.72638888888888886</v>
      </c>
      <c r="P690" s="476">
        <v>0.72638888888888886</v>
      </c>
      <c r="Q690" s="477">
        <v>0.76041666666666663</v>
      </c>
      <c r="R690" s="472">
        <f>IF(Table6[[#This Row],[Work Start TimeStamp]]="","",(Table6[[#This Row],[Work Start TimeStamp]]-Table6[[#This Row],[Fault Start TimeStamp]])*24)</f>
        <v>0</v>
      </c>
      <c r="S690" s="472">
        <f>(Table6[[#This Row],[Fault Clearance time]]-Table6[[#This Row],[Work Start TimeStamp]])*24</f>
        <v>0.81666666666666643</v>
      </c>
      <c r="T690" s="472">
        <f>(Table6[[#This Row],[Fault Clearance time]]-Table6[[#This Row],[Fault Start TimeStamp]])*24</f>
        <v>0.81666666666666643</v>
      </c>
      <c r="U690" s="35" t="s">
        <v>1806</v>
      </c>
      <c r="V690" s="102" t="s">
        <v>293</v>
      </c>
      <c r="W690" s="478">
        <f>IFERROR(Table6[[#This Row],[Breakdown Time]]*Table6[[#This Row],[Plant Equivalent Weightage]],"")</f>
        <v>3.1410256410256389E-2</v>
      </c>
      <c r="X690" s="473" t="s">
        <v>290</v>
      </c>
      <c r="Y690" s="474" t="s">
        <v>94</v>
      </c>
      <c r="Z690" s="102">
        <v>9404</v>
      </c>
      <c r="AA690" s="468">
        <f>(Table6[[#This Row],[Paired WTG Generation for loss calculation]]/24)*Table6[[#This Row],[Breakdown Time]]</f>
        <v>319.99722222222209</v>
      </c>
      <c r="AB690" s="102"/>
      <c r="AC690" s="35"/>
      <c r="AD690" s="35"/>
    </row>
    <row r="691" spans="1:30">
      <c r="A691" s="102">
        <f t="shared" si="11"/>
        <v>690</v>
      </c>
      <c r="B691" s="468">
        <f>YEAR(Table6[[#This Row],[Date]])+IF(MONTH(Table6[[#This Row],[Date]])&gt;=4,1,0)</f>
        <v>2026</v>
      </c>
      <c r="C691" s="102">
        <f>YEAR(Table6[[#This Row],[Date]])</f>
        <v>2025</v>
      </c>
      <c r="D691" s="102" t="s">
        <v>1992</v>
      </c>
      <c r="E691" s="469">
        <f>Table6[[#This Row],[Date]]-DAY(Table6[[#This Row],[Date]])+1</f>
        <v>45778</v>
      </c>
      <c r="F691" s="470">
        <v>45788</v>
      </c>
      <c r="G691" s="35" t="s">
        <v>94</v>
      </c>
      <c r="H691" s="35" t="str">
        <f>IFERROR(_xlfn.XLOOKUP(Table6[[#This Row],[Affected WTG]],'Basic Data'!$A:$A,'Basic Data'!$B:$B),"")</f>
        <v>TQGXIIPL</v>
      </c>
      <c r="I691" s="35" t="str">
        <f>IFERROR(_xlfn.XLOOKUP(Table6[[#This Row],[Affected WTG]],'Basic Data'!$A:$A,'Basic Data'!$C:$C),"")</f>
        <v>GEDA</v>
      </c>
      <c r="J691" s="471">
        <f>IFERROR(_xlfn.XLOOKUP(Table6[[#This Row],[Affected WTG]],'Basic Data'!$A:$A,'Basic Data'!$E:$E),"")</f>
        <v>3.846153846153845E-2</v>
      </c>
      <c r="K691" s="102">
        <v>3500</v>
      </c>
      <c r="L691" s="35" t="str">
        <f>IFERROR(_xlfn.XLOOKUP(Table6[[#This Row],[Error Code]],'Basic Data'!$AA:$AA,'Basic Data'!$AB:$AB),"Incorrect Error Code")</f>
        <v>Grid loss</v>
      </c>
      <c r="M691" s="35" t="s">
        <v>308</v>
      </c>
      <c r="N691" s="475"/>
      <c r="O691" s="476">
        <v>0.72638888888888886</v>
      </c>
      <c r="P691" s="476">
        <v>0.72638888888888886</v>
      </c>
      <c r="Q691" s="477">
        <v>0.75069444444444444</v>
      </c>
      <c r="R691" s="472">
        <f>IF(Table6[[#This Row],[Work Start TimeStamp]]="","",(Table6[[#This Row],[Work Start TimeStamp]]-Table6[[#This Row],[Fault Start TimeStamp]])*24)</f>
        <v>0</v>
      </c>
      <c r="S691" s="472">
        <f>(Table6[[#This Row],[Fault Clearance time]]-Table6[[#This Row],[Work Start TimeStamp]])*24</f>
        <v>0.58333333333333393</v>
      </c>
      <c r="T691" s="472">
        <f>(Table6[[#This Row],[Fault Clearance time]]-Table6[[#This Row],[Fault Start TimeStamp]])*24</f>
        <v>0.58333333333333393</v>
      </c>
      <c r="U691" s="35" t="s">
        <v>1804</v>
      </c>
      <c r="V691" s="102" t="s">
        <v>293</v>
      </c>
      <c r="W691" s="478">
        <f>IFERROR(Table6[[#This Row],[Breakdown Time]]*Table6[[#This Row],[Plant Equivalent Weightage]],"")</f>
        <v>2.2435897435897453E-2</v>
      </c>
      <c r="X691" s="473" t="s">
        <v>290</v>
      </c>
      <c r="Y691" s="474" t="s">
        <v>79</v>
      </c>
      <c r="Z691" s="102">
        <v>12050</v>
      </c>
      <c r="AA691" s="468">
        <f>(Table6[[#This Row],[Paired WTG Generation for loss calculation]]/24)*Table6[[#This Row],[Breakdown Time]]</f>
        <v>292.88194444444474</v>
      </c>
      <c r="AB691" s="102"/>
      <c r="AC691" s="35"/>
      <c r="AD691" s="35"/>
    </row>
    <row r="692" spans="1:30">
      <c r="A692" s="102">
        <f t="shared" si="11"/>
        <v>691</v>
      </c>
      <c r="B692" s="468">
        <f>YEAR(Table6[[#This Row],[Date]])+IF(MONTH(Table6[[#This Row],[Date]])&gt;=4,1,0)</f>
        <v>2026</v>
      </c>
      <c r="C692" s="102">
        <f>YEAR(Table6[[#This Row],[Date]])</f>
        <v>2025</v>
      </c>
      <c r="D692" s="102" t="s">
        <v>1992</v>
      </c>
      <c r="E692" s="469">
        <f>Table6[[#This Row],[Date]]-DAY(Table6[[#This Row],[Date]])+1</f>
        <v>45778</v>
      </c>
      <c r="F692" s="470">
        <v>45788</v>
      </c>
      <c r="G692" s="35" t="s">
        <v>92</v>
      </c>
      <c r="H692" s="35" t="str">
        <f>IFERROR(_xlfn.XLOOKUP(Table6[[#This Row],[Affected WTG]],'Basic Data'!$A:$A,'Basic Data'!$B:$B),"")</f>
        <v>TQGXIIPL</v>
      </c>
      <c r="I692" s="35" t="str">
        <f>IFERROR(_xlfn.XLOOKUP(Table6[[#This Row],[Affected WTG]],'Basic Data'!$A:$A,'Basic Data'!$C:$C),"")</f>
        <v>GEDA</v>
      </c>
      <c r="J692" s="471">
        <f>IFERROR(_xlfn.XLOOKUP(Table6[[#This Row],[Affected WTG]],'Basic Data'!$A:$A,'Basic Data'!$E:$E),"")</f>
        <v>3.846153846153845E-2</v>
      </c>
      <c r="K692" s="102">
        <v>660</v>
      </c>
      <c r="L692" s="35" t="str">
        <f>IFERROR(_xlfn.XLOOKUP(Table6[[#This Row],[Error Code]],'Basic Data'!$AA:$AA,'Basic Data'!$AB:$AB),"Incorrect Error Code")</f>
        <v>Limit switches error 91°</v>
      </c>
      <c r="M692" s="35" t="s">
        <v>291</v>
      </c>
      <c r="N692" s="475"/>
      <c r="O692" s="476">
        <v>0.80625000000000002</v>
      </c>
      <c r="P692" s="476">
        <v>0.80625000000000002</v>
      </c>
      <c r="Q692" s="477">
        <v>0.91527777777777775</v>
      </c>
      <c r="R692" s="472">
        <f>IF(Table6[[#This Row],[Work Start TimeStamp]]="","",(Table6[[#This Row],[Work Start TimeStamp]]-Table6[[#This Row],[Fault Start TimeStamp]])*24)</f>
        <v>0</v>
      </c>
      <c r="S692" s="472">
        <f>(Table6[[#This Row],[Fault Clearance time]]-Table6[[#This Row],[Work Start TimeStamp]])*24</f>
        <v>2.6166666666666654</v>
      </c>
      <c r="T692" s="472">
        <f>(Table6[[#This Row],[Fault Clearance time]]-Table6[[#This Row],[Fault Start TimeStamp]])*24</f>
        <v>2.6166666666666654</v>
      </c>
      <c r="U692" s="35" t="s">
        <v>1807</v>
      </c>
      <c r="V692" s="102" t="s">
        <v>293</v>
      </c>
      <c r="W692" s="478">
        <f>IFERROR(Table6[[#This Row],[Breakdown Time]]*Table6[[#This Row],[Plant Equivalent Weightage]],"")</f>
        <v>0.10064102564102556</v>
      </c>
      <c r="X692" s="473" t="s">
        <v>290</v>
      </c>
      <c r="Y692" s="474" t="s">
        <v>80</v>
      </c>
      <c r="Z692" s="102">
        <v>12314</v>
      </c>
      <c r="AA692" s="468">
        <f>(Table6[[#This Row],[Paired WTG Generation for loss calculation]]/24)*Table6[[#This Row],[Breakdown Time]]</f>
        <v>1342.568055555555</v>
      </c>
      <c r="AB692" s="102"/>
      <c r="AC692" s="35"/>
      <c r="AD692" s="35"/>
    </row>
    <row r="693" spans="1:30">
      <c r="A693" s="102">
        <f t="shared" si="11"/>
        <v>692</v>
      </c>
      <c r="B693" s="468">
        <f>YEAR(Table6[[#This Row],[Date]])+IF(MONTH(Table6[[#This Row],[Date]])&gt;=4,1,0)</f>
        <v>2026</v>
      </c>
      <c r="C693" s="102">
        <f>YEAR(Table6[[#This Row],[Date]])</f>
        <v>2025</v>
      </c>
      <c r="D693" s="102" t="s">
        <v>1992</v>
      </c>
      <c r="E693" s="469">
        <f>Table6[[#This Row],[Date]]-DAY(Table6[[#This Row],[Date]])+1</f>
        <v>45778</v>
      </c>
      <c r="F693" s="470">
        <v>45788</v>
      </c>
      <c r="G693" s="35" t="s">
        <v>93</v>
      </c>
      <c r="H693" s="35" t="str">
        <f>IFERROR(_xlfn.XLOOKUP(Table6[[#This Row],[Affected WTG]],'Basic Data'!$A:$A,'Basic Data'!$B:$B),"")</f>
        <v>TQGXIIPL</v>
      </c>
      <c r="I693" s="35" t="str">
        <f>IFERROR(_xlfn.XLOOKUP(Table6[[#This Row],[Affected WTG]],'Basic Data'!$A:$A,'Basic Data'!$C:$C),"")</f>
        <v>GEDA</v>
      </c>
      <c r="J693" s="471">
        <f>IFERROR(_xlfn.XLOOKUP(Table6[[#This Row],[Affected WTG]],'Basic Data'!$A:$A,'Basic Data'!$E:$E),"")</f>
        <v>3.846153846153845E-2</v>
      </c>
      <c r="K693" s="102">
        <v>55</v>
      </c>
      <c r="L693" s="35" t="str">
        <f>IFERROR(_xlfn.XLOOKUP(Table6[[#This Row],[Error Code]],'Basic Data'!$AA:$AA,'Basic Data'!$AB:$AB),"Incorrect Error Code")</f>
        <v>WTG shut down</v>
      </c>
      <c r="M693" s="35" t="s">
        <v>308</v>
      </c>
      <c r="N693" s="475"/>
      <c r="O693" s="476">
        <v>0.72638888888888886</v>
      </c>
      <c r="P693" s="476">
        <v>0.72638888888888886</v>
      </c>
      <c r="Q693" s="477">
        <v>0.73611111111111116</v>
      </c>
      <c r="R693" s="472">
        <f>IF(Table6[[#This Row],[Work Start TimeStamp]]="","",(Table6[[#This Row],[Work Start TimeStamp]]-Table6[[#This Row],[Fault Start TimeStamp]])*24)</f>
        <v>0</v>
      </c>
      <c r="S693" s="472">
        <f>(Table6[[#This Row],[Fault Clearance time]]-Table6[[#This Row],[Work Start TimeStamp]])*24</f>
        <v>0.23333333333333517</v>
      </c>
      <c r="T693" s="472">
        <f>(Table6[[#This Row],[Fault Clearance time]]-Table6[[#This Row],[Fault Start TimeStamp]])*24</f>
        <v>0.23333333333333517</v>
      </c>
      <c r="U693" s="35" t="s">
        <v>1804</v>
      </c>
      <c r="V693" s="102" t="s">
        <v>293</v>
      </c>
      <c r="W693" s="478">
        <f>IFERROR(Table6[[#This Row],[Breakdown Time]]*Table6[[#This Row],[Plant Equivalent Weightage]],"")</f>
        <v>8.9743589743590414E-3</v>
      </c>
      <c r="X693" s="473" t="s">
        <v>290</v>
      </c>
      <c r="Y693" s="474" t="s">
        <v>97</v>
      </c>
      <c r="Z693" s="102">
        <v>10039</v>
      </c>
      <c r="AA693" s="468">
        <f>(Table6[[#This Row],[Paired WTG Generation for loss calculation]]/24)*Table6[[#This Row],[Breakdown Time]]</f>
        <v>97.601388888889659</v>
      </c>
      <c r="AB693" s="102"/>
      <c r="AC693" s="35"/>
      <c r="AD693" s="35"/>
    </row>
    <row r="694" spans="1:30">
      <c r="A694" s="102">
        <f t="shared" si="11"/>
        <v>693</v>
      </c>
      <c r="B694" s="468">
        <f>YEAR(Table6[[#This Row],[Date]])+IF(MONTH(Table6[[#This Row],[Date]])&gt;=4,1,0)</f>
        <v>2026</v>
      </c>
      <c r="C694" s="102">
        <f>YEAR(Table6[[#This Row],[Date]])</f>
        <v>2025</v>
      </c>
      <c r="D694" s="102" t="s">
        <v>1992</v>
      </c>
      <c r="E694" s="469">
        <f>Table6[[#This Row],[Date]]-DAY(Table6[[#This Row],[Date]])+1</f>
        <v>45778</v>
      </c>
      <c r="F694" s="470">
        <v>45788</v>
      </c>
      <c r="G694" s="35" t="s">
        <v>95</v>
      </c>
      <c r="H694" s="35" t="str">
        <f>IFERROR(_xlfn.XLOOKUP(Table6[[#This Row],[Affected WTG]],'Basic Data'!$A:$A,'Basic Data'!$B:$B),"")</f>
        <v>TQGXIIPL</v>
      </c>
      <c r="I694" s="35" t="str">
        <f>IFERROR(_xlfn.XLOOKUP(Table6[[#This Row],[Affected WTG]],'Basic Data'!$A:$A,'Basic Data'!$C:$C),"")</f>
        <v>GEDA</v>
      </c>
      <c r="J694" s="471">
        <f>IFERROR(_xlfn.XLOOKUP(Table6[[#This Row],[Affected WTG]],'Basic Data'!$A:$A,'Basic Data'!$E:$E),"")</f>
        <v>3.846153846153845E-2</v>
      </c>
      <c r="K694" s="102">
        <v>55</v>
      </c>
      <c r="L694" s="35" t="str">
        <f>IFERROR(_xlfn.XLOOKUP(Table6[[#This Row],[Error Code]],'Basic Data'!$AA:$AA,'Basic Data'!$AB:$AB),"Incorrect Error Code")</f>
        <v>WTG shut down</v>
      </c>
      <c r="M694" s="35" t="s">
        <v>308</v>
      </c>
      <c r="N694" s="475"/>
      <c r="O694" s="476">
        <v>0.72638888888888886</v>
      </c>
      <c r="P694" s="476">
        <v>0.72638888888888886</v>
      </c>
      <c r="Q694" s="477">
        <v>0.75</v>
      </c>
      <c r="R694" s="472">
        <f>IF(Table6[[#This Row],[Work Start TimeStamp]]="","",(Table6[[#This Row],[Work Start TimeStamp]]-Table6[[#This Row],[Fault Start TimeStamp]])*24)</f>
        <v>0</v>
      </c>
      <c r="S694" s="472">
        <f>(Table6[[#This Row],[Fault Clearance time]]-Table6[[#This Row],[Work Start TimeStamp]])*24</f>
        <v>0.56666666666666732</v>
      </c>
      <c r="T694" s="472">
        <f>(Table6[[#This Row],[Fault Clearance time]]-Table6[[#This Row],[Fault Start TimeStamp]])*24</f>
        <v>0.56666666666666732</v>
      </c>
      <c r="U694" s="35" t="s">
        <v>1804</v>
      </c>
      <c r="V694" s="102" t="s">
        <v>293</v>
      </c>
      <c r="W694" s="478">
        <f>IFERROR(Table6[[#This Row],[Breakdown Time]]*Table6[[#This Row],[Plant Equivalent Weightage]],"")</f>
        <v>2.1794871794871815E-2</v>
      </c>
      <c r="X694" s="473" t="s">
        <v>290</v>
      </c>
      <c r="Y694" s="474" t="s">
        <v>79</v>
      </c>
      <c r="Z694" s="102">
        <v>12050</v>
      </c>
      <c r="AA694" s="468">
        <f>(Table6[[#This Row],[Paired WTG Generation for loss calculation]]/24)*Table6[[#This Row],[Breakdown Time]]</f>
        <v>284.5138888888892</v>
      </c>
      <c r="AB694" s="102"/>
      <c r="AC694" s="35"/>
      <c r="AD694" s="35"/>
    </row>
    <row r="695" spans="1:30">
      <c r="A695" s="102">
        <f t="shared" si="11"/>
        <v>694</v>
      </c>
      <c r="B695" s="468">
        <f>YEAR(Table6[[#This Row],[Date]])+IF(MONTH(Table6[[#This Row],[Date]])&gt;=4,1,0)</f>
        <v>2026</v>
      </c>
      <c r="C695" s="102">
        <f>YEAR(Table6[[#This Row],[Date]])</f>
        <v>2025</v>
      </c>
      <c r="D695" s="102" t="s">
        <v>1992</v>
      </c>
      <c r="E695" s="469">
        <f>Table6[[#This Row],[Date]]-DAY(Table6[[#This Row],[Date]])+1</f>
        <v>45778</v>
      </c>
      <c r="F695" s="470">
        <v>45788</v>
      </c>
      <c r="G695" s="35" t="s">
        <v>96</v>
      </c>
      <c r="H695" s="35" t="str">
        <f>IFERROR(_xlfn.XLOOKUP(Table6[[#This Row],[Affected WTG]],'Basic Data'!$A:$A,'Basic Data'!$B:$B),"")</f>
        <v>TQGXIIPL</v>
      </c>
      <c r="I695" s="35" t="str">
        <f>IFERROR(_xlfn.XLOOKUP(Table6[[#This Row],[Affected WTG]],'Basic Data'!$A:$A,'Basic Data'!$C:$C),"")</f>
        <v>GEDA</v>
      </c>
      <c r="J695" s="471">
        <f>IFERROR(_xlfn.XLOOKUP(Table6[[#This Row],[Affected WTG]],'Basic Data'!$A:$A,'Basic Data'!$E:$E),"")</f>
        <v>3.846153846153845E-2</v>
      </c>
      <c r="K695" s="102">
        <v>159</v>
      </c>
      <c r="L695" s="35" t="str">
        <f>IFERROR(_xlfn.XLOOKUP(Table6[[#This Row],[Error Code]],'Basic Data'!$AA:$AA,'Basic Data'!$AB:$AB),"Incorrect Error Code")</f>
        <v>SLC SF emergency stop</v>
      </c>
      <c r="M695" s="35" t="s">
        <v>291</v>
      </c>
      <c r="N695" s="475"/>
      <c r="O695" s="476">
        <v>0.58819444444444446</v>
      </c>
      <c r="P695" s="476">
        <v>0.58819444444444446</v>
      </c>
      <c r="Q695" s="477">
        <v>0.66249999999999998</v>
      </c>
      <c r="R695" s="472">
        <f>IF(Table6[[#This Row],[Work Start TimeStamp]]="","",(Table6[[#This Row],[Work Start TimeStamp]]-Table6[[#This Row],[Fault Start TimeStamp]])*24)</f>
        <v>0</v>
      </c>
      <c r="S695" s="472">
        <f>(Table6[[#This Row],[Fault Clearance time]]-Table6[[#This Row],[Work Start TimeStamp]])*24</f>
        <v>1.7833333333333323</v>
      </c>
      <c r="T695" s="472">
        <f>(Table6[[#This Row],[Fault Clearance time]]-Table6[[#This Row],[Fault Start TimeStamp]])*24</f>
        <v>1.7833333333333323</v>
      </c>
      <c r="U695" s="35" t="s">
        <v>1808</v>
      </c>
      <c r="V695" s="102" t="s">
        <v>293</v>
      </c>
      <c r="W695" s="478">
        <f>IFERROR(Table6[[#This Row],[Breakdown Time]]*Table6[[#This Row],[Plant Equivalent Weightage]],"")</f>
        <v>6.8589743589743526E-2</v>
      </c>
      <c r="X695" s="473" t="s">
        <v>290</v>
      </c>
      <c r="Y695" s="474" t="s">
        <v>84</v>
      </c>
      <c r="Z695" s="102">
        <v>10160</v>
      </c>
      <c r="AA695" s="468">
        <f>(Table6[[#This Row],[Paired WTG Generation for loss calculation]]/24)*Table6[[#This Row],[Breakdown Time]]</f>
        <v>754.944444444444</v>
      </c>
      <c r="AB695" s="102"/>
      <c r="AC695" s="35"/>
      <c r="AD695" s="35"/>
    </row>
    <row r="696" spans="1:30">
      <c r="A696" s="102">
        <f t="shared" si="11"/>
        <v>695</v>
      </c>
      <c r="B696" s="468">
        <f>YEAR(Table6[[#This Row],[Date]])+IF(MONTH(Table6[[#This Row],[Date]])&gt;=4,1,0)</f>
        <v>2026</v>
      </c>
      <c r="C696" s="102">
        <f>YEAR(Table6[[#This Row],[Date]])</f>
        <v>2025</v>
      </c>
      <c r="D696" s="102" t="s">
        <v>1992</v>
      </c>
      <c r="E696" s="469">
        <f>Table6[[#This Row],[Date]]-DAY(Table6[[#This Row],[Date]])+1</f>
        <v>45778</v>
      </c>
      <c r="F696" s="470">
        <v>45788</v>
      </c>
      <c r="G696" s="35" t="s">
        <v>99</v>
      </c>
      <c r="H696" s="35" t="str">
        <f>IFERROR(_xlfn.XLOOKUP(Table6[[#This Row],[Affected WTG]],'Basic Data'!$A:$A,'Basic Data'!$B:$B),"")</f>
        <v>TQGXIIPL</v>
      </c>
      <c r="I696" s="35" t="str">
        <f>IFERROR(_xlfn.XLOOKUP(Table6[[#This Row],[Affected WTG]],'Basic Data'!$A:$A,'Basic Data'!$C:$C),"")</f>
        <v>GEDA</v>
      </c>
      <c r="J696" s="471">
        <f>IFERROR(_xlfn.XLOOKUP(Table6[[#This Row],[Affected WTG]],'Basic Data'!$A:$A,'Basic Data'!$E:$E),"")</f>
        <v>3.846153846153845E-2</v>
      </c>
      <c r="K696" s="102">
        <v>55</v>
      </c>
      <c r="L696" s="35" t="str">
        <f>IFERROR(_xlfn.XLOOKUP(Table6[[#This Row],[Error Code]],'Basic Data'!$AA:$AA,'Basic Data'!$AB:$AB),"Incorrect Error Code")</f>
        <v>WTG shut down</v>
      </c>
      <c r="M696" s="35" t="s">
        <v>330</v>
      </c>
      <c r="N696" s="475"/>
      <c r="O696" s="476">
        <v>0.69722222222222219</v>
      </c>
      <c r="P696" s="476">
        <v>0.69722222222222219</v>
      </c>
      <c r="Q696" s="477">
        <v>0.71875</v>
      </c>
      <c r="R696" s="472">
        <f>IF(Table6[[#This Row],[Work Start TimeStamp]]="","",(Table6[[#This Row],[Work Start TimeStamp]]-Table6[[#This Row],[Fault Start TimeStamp]])*24)</f>
        <v>0</v>
      </c>
      <c r="S696" s="472">
        <f>(Table6[[#This Row],[Fault Clearance time]]-Table6[[#This Row],[Work Start TimeStamp]])*24</f>
        <v>0.5166666666666675</v>
      </c>
      <c r="T696" s="472">
        <f>(Table6[[#This Row],[Fault Clearance time]]-Table6[[#This Row],[Fault Start TimeStamp]])*24</f>
        <v>0.5166666666666675</v>
      </c>
      <c r="U696" s="35" t="s">
        <v>1744</v>
      </c>
      <c r="V696" s="102" t="s">
        <v>293</v>
      </c>
      <c r="W696" s="478">
        <f>IFERROR(Table6[[#This Row],[Breakdown Time]]*Table6[[#This Row],[Plant Equivalent Weightage]],"")</f>
        <v>1.9871794871794898E-2</v>
      </c>
      <c r="X696" s="473" t="s">
        <v>290</v>
      </c>
      <c r="Y696" s="474" t="s">
        <v>74</v>
      </c>
      <c r="Z696" s="102">
        <v>11784</v>
      </c>
      <c r="AA696" s="468">
        <f>(Table6[[#This Row],[Paired WTG Generation for loss calculation]]/24)*Table6[[#This Row],[Breakdown Time]]</f>
        <v>253.68333333333374</v>
      </c>
      <c r="AB696" s="102"/>
      <c r="AC696" s="35"/>
      <c r="AD696" s="35"/>
    </row>
    <row r="697" spans="1:30">
      <c r="A697" s="102">
        <f t="shared" si="11"/>
        <v>696</v>
      </c>
      <c r="B697" s="468">
        <f>YEAR(Table6[[#This Row],[Date]])+IF(MONTH(Table6[[#This Row],[Date]])&gt;=4,1,0)</f>
        <v>2026</v>
      </c>
      <c r="C697" s="102">
        <f>YEAR(Table6[[#This Row],[Date]])</f>
        <v>2025</v>
      </c>
      <c r="D697" s="102" t="s">
        <v>1992</v>
      </c>
      <c r="E697" s="469">
        <f>Table6[[#This Row],[Date]]-DAY(Table6[[#This Row],[Date]])+1</f>
        <v>45778</v>
      </c>
      <c r="F697" s="470">
        <v>45789</v>
      </c>
      <c r="G697" s="35" t="s">
        <v>74</v>
      </c>
      <c r="H697" s="35" t="str">
        <f>IFERROR(_xlfn.XLOOKUP(Table6[[#This Row],[Affected WTG]],'Basic Data'!$A:$A,'Basic Data'!$B:$B),"")</f>
        <v>TQGXIIPL</v>
      </c>
      <c r="I697" s="35" t="str">
        <f>IFERROR(_xlfn.XLOOKUP(Table6[[#This Row],[Affected WTG]],'Basic Data'!$A:$A,'Basic Data'!$C:$C),"")</f>
        <v>GEDA</v>
      </c>
      <c r="J697" s="471">
        <f>IFERROR(_xlfn.XLOOKUP(Table6[[#This Row],[Affected WTG]],'Basic Data'!$A:$A,'Basic Data'!$E:$E),"")</f>
        <v>3.846153846153845E-2</v>
      </c>
      <c r="K697" s="102">
        <v>55</v>
      </c>
      <c r="L697" s="35" t="str">
        <f>IFERROR(_xlfn.XLOOKUP(Table6[[#This Row],[Error Code]],'Basic Data'!$AA:$AA,'Basic Data'!$AB:$AB),"Incorrect Error Code")</f>
        <v>WTG shut down</v>
      </c>
      <c r="M697" s="35" t="s">
        <v>330</v>
      </c>
      <c r="N697" s="475"/>
      <c r="O697" s="476">
        <v>0.65347222222222223</v>
      </c>
      <c r="P697" s="476">
        <v>0.65347222222222223</v>
      </c>
      <c r="Q697" s="477">
        <v>0.66388888888888886</v>
      </c>
      <c r="R697" s="472">
        <f>IF(Table6[[#This Row],[Work Start TimeStamp]]="","",(Table6[[#This Row],[Work Start TimeStamp]]-Table6[[#This Row],[Fault Start TimeStamp]])*24)</f>
        <v>0</v>
      </c>
      <c r="S697" s="472">
        <f>(Table6[[#This Row],[Fault Clearance time]]-Table6[[#This Row],[Work Start TimeStamp]])*24</f>
        <v>0.24999999999999911</v>
      </c>
      <c r="T697" s="472">
        <f>(Table6[[#This Row],[Fault Clearance time]]-Table6[[#This Row],[Fault Start TimeStamp]])*24</f>
        <v>0.24999999999999911</v>
      </c>
      <c r="U697" s="35" t="s">
        <v>1744</v>
      </c>
      <c r="V697" s="102" t="s">
        <v>293</v>
      </c>
      <c r="W697" s="478">
        <f>IFERROR(Table6[[#This Row],[Breakdown Time]]*Table6[[#This Row],[Plant Equivalent Weightage]],"")</f>
        <v>9.6153846153845778E-3</v>
      </c>
      <c r="X697" s="473" t="s">
        <v>290</v>
      </c>
      <c r="Y697" s="474" t="s">
        <v>99</v>
      </c>
      <c r="Z697" s="102">
        <v>13322</v>
      </c>
      <c r="AA697" s="468">
        <f>(Table6[[#This Row],[Paired WTG Generation for loss calculation]]/24)*Table6[[#This Row],[Breakdown Time]]</f>
        <v>138.77083333333286</v>
      </c>
      <c r="AB697" s="102"/>
      <c r="AC697" s="35"/>
      <c r="AD697" s="35"/>
    </row>
    <row r="698" spans="1:30">
      <c r="A698" s="102">
        <f t="shared" si="11"/>
        <v>697</v>
      </c>
      <c r="B698" s="468">
        <f>YEAR(Table6[[#This Row],[Date]])+IF(MONTH(Table6[[#This Row],[Date]])&gt;=4,1,0)</f>
        <v>2026</v>
      </c>
      <c r="C698" s="102">
        <f>YEAR(Table6[[#This Row],[Date]])</f>
        <v>2025</v>
      </c>
      <c r="D698" s="102" t="s">
        <v>1992</v>
      </c>
      <c r="E698" s="469">
        <f>Table6[[#This Row],[Date]]-DAY(Table6[[#This Row],[Date]])+1</f>
        <v>45778</v>
      </c>
      <c r="F698" s="470">
        <v>45789</v>
      </c>
      <c r="G698" s="35" t="s">
        <v>74</v>
      </c>
      <c r="H698" s="35" t="str">
        <f>IFERROR(_xlfn.XLOOKUP(Table6[[#This Row],[Affected WTG]],'Basic Data'!$A:$A,'Basic Data'!$B:$B),"")</f>
        <v>TQGXIIPL</v>
      </c>
      <c r="I698" s="35" t="str">
        <f>IFERROR(_xlfn.XLOOKUP(Table6[[#This Row],[Affected WTG]],'Basic Data'!$A:$A,'Basic Data'!$C:$C),"")</f>
        <v>GEDA</v>
      </c>
      <c r="J698" s="471">
        <f>IFERROR(_xlfn.XLOOKUP(Table6[[#This Row],[Affected WTG]],'Basic Data'!$A:$A,'Basic Data'!$E:$E),"")</f>
        <v>3.846153846153845E-2</v>
      </c>
      <c r="K698" s="102">
        <v>6130</v>
      </c>
      <c r="L698" s="35" t="str">
        <f>IFERROR(_xlfn.XLOOKUP(Table6[[#This Row],[Error Code]],'Basic Data'!$AA:$AA,'Basic Data'!$AB:$AB),"Incorrect Error Code")</f>
        <v>Yaw speed high</v>
      </c>
      <c r="M698" s="35" t="s">
        <v>292</v>
      </c>
      <c r="N698" s="475"/>
      <c r="O698" s="476">
        <v>0.67361111111111116</v>
      </c>
      <c r="P698" s="476">
        <v>0.67361111111111116</v>
      </c>
      <c r="Q698" s="477">
        <v>0.67777777777777781</v>
      </c>
      <c r="R698" s="472">
        <f>IF(Table6[[#This Row],[Work Start TimeStamp]]="","",(Table6[[#This Row],[Work Start TimeStamp]]-Table6[[#This Row],[Fault Start TimeStamp]])*24)</f>
        <v>0</v>
      </c>
      <c r="S698" s="472">
        <f>(Table6[[#This Row],[Fault Clearance time]]-Table6[[#This Row],[Work Start TimeStamp]])*24</f>
        <v>9.9999999999999645E-2</v>
      </c>
      <c r="T698" s="472">
        <f>(Table6[[#This Row],[Fault Clearance time]]-Table6[[#This Row],[Fault Start TimeStamp]])*24</f>
        <v>9.9999999999999645E-2</v>
      </c>
      <c r="U698" s="35" t="s">
        <v>336</v>
      </c>
      <c r="V698" s="102" t="s">
        <v>293</v>
      </c>
      <c r="W698" s="478">
        <f>IFERROR(Table6[[#This Row],[Breakdown Time]]*Table6[[#This Row],[Plant Equivalent Weightage]],"")</f>
        <v>3.8461538461538312E-3</v>
      </c>
      <c r="X698" s="473" t="s">
        <v>294</v>
      </c>
      <c r="Y698" s="474" t="s">
        <v>99</v>
      </c>
      <c r="Z698" s="102">
        <v>13322</v>
      </c>
      <c r="AA698" s="468">
        <f>(Table6[[#This Row],[Paired WTG Generation for loss calculation]]/24)*Table6[[#This Row],[Breakdown Time]]</f>
        <v>55.508333333333141</v>
      </c>
      <c r="AB698" s="102"/>
      <c r="AC698" s="35"/>
      <c r="AD698" s="35"/>
    </row>
    <row r="699" spans="1:30">
      <c r="A699" s="102">
        <f t="shared" si="11"/>
        <v>698</v>
      </c>
      <c r="B699" s="468">
        <f>YEAR(Table6[[#This Row],[Date]])+IF(MONTH(Table6[[#This Row],[Date]])&gt;=4,1,0)</f>
        <v>2026</v>
      </c>
      <c r="C699" s="102">
        <f>YEAR(Table6[[#This Row],[Date]])</f>
        <v>2025</v>
      </c>
      <c r="D699" s="102" t="s">
        <v>1992</v>
      </c>
      <c r="E699" s="469">
        <f>Table6[[#This Row],[Date]]-DAY(Table6[[#This Row],[Date]])+1</f>
        <v>45778</v>
      </c>
      <c r="F699" s="470">
        <v>45789</v>
      </c>
      <c r="G699" s="35" t="s">
        <v>85</v>
      </c>
      <c r="H699" s="35" t="str">
        <f>IFERROR(_xlfn.XLOOKUP(Table6[[#This Row],[Affected WTG]],'Basic Data'!$A:$A,'Basic Data'!$B:$B),"")</f>
        <v>TQGXIIPL</v>
      </c>
      <c r="I699" s="35" t="str">
        <f>IFERROR(_xlfn.XLOOKUP(Table6[[#This Row],[Affected WTG]],'Basic Data'!$A:$A,'Basic Data'!$C:$C),"")</f>
        <v>GEDA</v>
      </c>
      <c r="J699" s="471">
        <f>IFERROR(_xlfn.XLOOKUP(Table6[[#This Row],[Affected WTG]],'Basic Data'!$A:$A,'Basic Data'!$E:$E),"")</f>
        <v>3.846153846153845E-2</v>
      </c>
      <c r="K699" s="102">
        <v>5506</v>
      </c>
      <c r="L699" s="35" t="str">
        <f>IFERROR(_xlfn.XLOOKUP(Table6[[#This Row],[Error Code]],'Basic Data'!$AA:$AA,'Basic Data'!$AB:$AB),"Incorrect Error Code")</f>
        <v>Rot.br. press. high</v>
      </c>
      <c r="M699" s="35" t="s">
        <v>291</v>
      </c>
      <c r="N699" s="475"/>
      <c r="O699" s="476">
        <v>0</v>
      </c>
      <c r="P699" s="476">
        <v>0</v>
      </c>
      <c r="Q699" s="477">
        <v>0.12013888888888889</v>
      </c>
      <c r="R699" s="472">
        <f>IF(Table6[[#This Row],[Work Start TimeStamp]]="","",(Table6[[#This Row],[Work Start TimeStamp]]-Table6[[#This Row],[Fault Start TimeStamp]])*24)</f>
        <v>0</v>
      </c>
      <c r="S699" s="472">
        <f>(Table6[[#This Row],[Fault Clearance time]]-Table6[[#This Row],[Work Start TimeStamp]])*24</f>
        <v>2.8833333333333333</v>
      </c>
      <c r="T699" s="472">
        <f>(Table6[[#This Row],[Fault Clearance time]]-Table6[[#This Row],[Fault Start TimeStamp]])*24</f>
        <v>2.8833333333333333</v>
      </c>
      <c r="U699" s="35" t="s">
        <v>1813</v>
      </c>
      <c r="V699" s="102" t="s">
        <v>293</v>
      </c>
      <c r="W699" s="478">
        <f>IFERROR(Table6[[#This Row],[Breakdown Time]]*Table6[[#This Row],[Plant Equivalent Weightage]],"")</f>
        <v>0.11089743589743586</v>
      </c>
      <c r="X699" s="473" t="s">
        <v>290</v>
      </c>
      <c r="Y699" s="474" t="s">
        <v>87</v>
      </c>
      <c r="Z699" s="102">
        <v>11238</v>
      </c>
      <c r="AA699" s="468">
        <f>(Table6[[#This Row],[Paired WTG Generation for loss calculation]]/24)*Table6[[#This Row],[Breakdown Time]]</f>
        <v>1350.1208333333334</v>
      </c>
      <c r="AB699" s="102"/>
      <c r="AC699" s="35"/>
      <c r="AD699" s="35"/>
    </row>
    <row r="700" spans="1:30">
      <c r="A700" s="102">
        <f t="shared" si="11"/>
        <v>699</v>
      </c>
      <c r="B700" s="468">
        <f>YEAR(Table6[[#This Row],[Date]])+IF(MONTH(Table6[[#This Row],[Date]])&gt;=4,1,0)</f>
        <v>2026</v>
      </c>
      <c r="C700" s="102">
        <f>YEAR(Table6[[#This Row],[Date]])</f>
        <v>2025</v>
      </c>
      <c r="D700" s="102" t="s">
        <v>1992</v>
      </c>
      <c r="E700" s="469">
        <f>Table6[[#This Row],[Date]]-DAY(Table6[[#This Row],[Date]])+1</f>
        <v>45778</v>
      </c>
      <c r="F700" s="470">
        <v>45789</v>
      </c>
      <c r="G700" s="35" t="s">
        <v>93</v>
      </c>
      <c r="H700" s="35" t="str">
        <f>IFERROR(_xlfn.XLOOKUP(Table6[[#This Row],[Affected WTG]],'Basic Data'!$A:$A,'Basic Data'!$B:$B),"")</f>
        <v>TQGXIIPL</v>
      </c>
      <c r="I700" s="35" t="str">
        <f>IFERROR(_xlfn.XLOOKUP(Table6[[#This Row],[Affected WTG]],'Basic Data'!$A:$A,'Basic Data'!$C:$C),"")</f>
        <v>GEDA</v>
      </c>
      <c r="J700" s="471">
        <f>IFERROR(_xlfn.XLOOKUP(Table6[[#This Row],[Affected WTG]],'Basic Data'!$A:$A,'Basic Data'!$E:$E),"")</f>
        <v>3.846153846153845E-2</v>
      </c>
      <c r="K700" s="102">
        <v>3000</v>
      </c>
      <c r="L700" s="35" t="str">
        <f>IFERROR(_xlfn.XLOOKUP(Table6[[#This Row],[Error Code]],'Basic Data'!$AA:$AA,'Basic Data'!$AB:$AB),"Incorrect Error Code")</f>
        <v>Frequency converter not ready</v>
      </c>
      <c r="M700" s="35" t="s">
        <v>292</v>
      </c>
      <c r="N700" s="475"/>
      <c r="O700" s="476">
        <v>0.4465277777777778</v>
      </c>
      <c r="P700" s="476">
        <v>0.4465277777777778</v>
      </c>
      <c r="Q700" s="477">
        <v>0.44791666666666669</v>
      </c>
      <c r="R700" s="472">
        <f>IF(Table6[[#This Row],[Work Start TimeStamp]]="","",(Table6[[#This Row],[Work Start TimeStamp]]-Table6[[#This Row],[Fault Start TimeStamp]])*24)</f>
        <v>0</v>
      </c>
      <c r="S700" s="472">
        <f>(Table6[[#This Row],[Fault Clearance time]]-Table6[[#This Row],[Work Start TimeStamp]])*24</f>
        <v>3.3333333333333215E-2</v>
      </c>
      <c r="T700" s="472">
        <f>(Table6[[#This Row],[Fault Clearance time]]-Table6[[#This Row],[Fault Start TimeStamp]])*24</f>
        <v>3.3333333333333215E-2</v>
      </c>
      <c r="U700" s="35" t="s">
        <v>346</v>
      </c>
      <c r="V700" s="102" t="s">
        <v>293</v>
      </c>
      <c r="W700" s="478">
        <f>IFERROR(Table6[[#This Row],[Breakdown Time]]*Table6[[#This Row],[Plant Equivalent Weightage]],"")</f>
        <v>1.2820512820512771E-3</v>
      </c>
      <c r="X700" s="473" t="s">
        <v>294</v>
      </c>
      <c r="Y700" s="474" t="s">
        <v>97</v>
      </c>
      <c r="Z700" s="102">
        <v>10435</v>
      </c>
      <c r="AA700" s="468">
        <f>(Table6[[#This Row],[Paired WTG Generation for loss calculation]]/24)*Table6[[#This Row],[Breakdown Time]]</f>
        <v>14.493055555555504</v>
      </c>
      <c r="AB700" s="102"/>
      <c r="AC700" s="35"/>
      <c r="AD700" s="35"/>
    </row>
    <row r="701" spans="1:30">
      <c r="A701" s="102">
        <f t="shared" si="11"/>
        <v>700</v>
      </c>
      <c r="B701" s="468">
        <f>YEAR(Table6[[#This Row],[Date]])+IF(MONTH(Table6[[#This Row],[Date]])&gt;=4,1,0)</f>
        <v>2026</v>
      </c>
      <c r="C701" s="102">
        <f>YEAR(Table6[[#This Row],[Date]])</f>
        <v>2025</v>
      </c>
      <c r="D701" s="102" t="s">
        <v>1992</v>
      </c>
      <c r="E701" s="469">
        <f>Table6[[#This Row],[Date]]-DAY(Table6[[#This Row],[Date]])+1</f>
        <v>45778</v>
      </c>
      <c r="F701" s="470">
        <v>45789</v>
      </c>
      <c r="G701" s="35" t="s">
        <v>95</v>
      </c>
      <c r="H701" s="35" t="str">
        <f>IFERROR(_xlfn.XLOOKUP(Table6[[#This Row],[Affected WTG]],'Basic Data'!$A:$A,'Basic Data'!$B:$B),"")</f>
        <v>TQGXIIPL</v>
      </c>
      <c r="I701" s="35" t="str">
        <f>IFERROR(_xlfn.XLOOKUP(Table6[[#This Row],[Affected WTG]],'Basic Data'!$A:$A,'Basic Data'!$C:$C),"")</f>
        <v>GEDA</v>
      </c>
      <c r="J701" s="471">
        <f>IFERROR(_xlfn.XLOOKUP(Table6[[#This Row],[Affected WTG]],'Basic Data'!$A:$A,'Basic Data'!$E:$E),"")</f>
        <v>3.846153846153845E-2</v>
      </c>
      <c r="K701" s="102">
        <v>5510</v>
      </c>
      <c r="L701" s="35" t="str">
        <f>IFERROR(_xlfn.XLOOKUP(Table6[[#This Row],[Error Code]],'Basic Data'!$AA:$AA,'Basic Data'!$AB:$AB),"Incorrect Error Code")</f>
        <v>Low hydraulic pressure</v>
      </c>
      <c r="M701" s="35" t="s">
        <v>292</v>
      </c>
      <c r="N701" s="475"/>
      <c r="O701" s="476">
        <v>0.73750000000000004</v>
      </c>
      <c r="P701" s="476">
        <v>0.73750000000000004</v>
      </c>
      <c r="Q701" s="477">
        <v>0.73958333333333337</v>
      </c>
      <c r="R701" s="472">
        <f>IF(Table6[[#This Row],[Work Start TimeStamp]]="","",(Table6[[#This Row],[Work Start TimeStamp]]-Table6[[#This Row],[Fault Start TimeStamp]])*24)</f>
        <v>0</v>
      </c>
      <c r="S701" s="472">
        <f>(Table6[[#This Row],[Fault Clearance time]]-Table6[[#This Row],[Work Start TimeStamp]])*24</f>
        <v>4.9999999999999822E-2</v>
      </c>
      <c r="T701" s="472">
        <f>(Table6[[#This Row],[Fault Clearance time]]-Table6[[#This Row],[Fault Start TimeStamp]])*24</f>
        <v>4.9999999999999822E-2</v>
      </c>
      <c r="U701" s="35" t="s">
        <v>346</v>
      </c>
      <c r="V701" s="102" t="s">
        <v>293</v>
      </c>
      <c r="W701" s="478">
        <f>IFERROR(Table6[[#This Row],[Breakdown Time]]*Table6[[#This Row],[Plant Equivalent Weightage]],"")</f>
        <v>1.9230769230769156E-3</v>
      </c>
      <c r="X701" s="473" t="s">
        <v>294</v>
      </c>
      <c r="Y701" s="474" t="s">
        <v>79</v>
      </c>
      <c r="Z701" s="102">
        <v>11228</v>
      </c>
      <c r="AA701" s="468">
        <f>(Table6[[#This Row],[Paired WTG Generation for loss calculation]]/24)*Table6[[#This Row],[Breakdown Time]]</f>
        <v>23.391666666666584</v>
      </c>
      <c r="AB701" s="102"/>
      <c r="AC701" s="35"/>
      <c r="AD701" s="35"/>
    </row>
    <row r="702" spans="1:30">
      <c r="A702" s="102">
        <f t="shared" si="11"/>
        <v>701</v>
      </c>
      <c r="B702" s="468">
        <f>YEAR(Table6[[#This Row],[Date]])+IF(MONTH(Table6[[#This Row],[Date]])&gt;=4,1,0)</f>
        <v>2026</v>
      </c>
      <c r="C702" s="102">
        <f>YEAR(Table6[[#This Row],[Date]])</f>
        <v>2025</v>
      </c>
      <c r="D702" s="102" t="s">
        <v>1992</v>
      </c>
      <c r="E702" s="469">
        <f>Table6[[#This Row],[Date]]-DAY(Table6[[#This Row],[Date]])+1</f>
        <v>45778</v>
      </c>
      <c r="F702" s="470">
        <v>45789</v>
      </c>
      <c r="G702" s="35" t="s">
        <v>99</v>
      </c>
      <c r="H702" s="35" t="str">
        <f>IFERROR(_xlfn.XLOOKUP(Table6[[#This Row],[Affected WTG]],'Basic Data'!$A:$A,'Basic Data'!$B:$B),"")</f>
        <v>TQGXIIPL</v>
      </c>
      <c r="I702" s="35" t="str">
        <f>IFERROR(_xlfn.XLOOKUP(Table6[[#This Row],[Affected WTG]],'Basic Data'!$A:$A,'Basic Data'!$C:$C),"")</f>
        <v>GEDA</v>
      </c>
      <c r="J702" s="471">
        <f>IFERROR(_xlfn.XLOOKUP(Table6[[#This Row],[Affected WTG]],'Basic Data'!$A:$A,'Basic Data'!$E:$E),"")</f>
        <v>3.846153846153845E-2</v>
      </c>
      <c r="K702" s="102">
        <v>55</v>
      </c>
      <c r="L702" s="35" t="str">
        <f>IFERROR(_xlfn.XLOOKUP(Table6[[#This Row],[Error Code]],'Basic Data'!$AA:$AA,'Basic Data'!$AB:$AB),"Incorrect Error Code")</f>
        <v>WTG shut down</v>
      </c>
      <c r="M702" s="35" t="s">
        <v>330</v>
      </c>
      <c r="N702" s="475"/>
      <c r="O702" s="476">
        <v>0.65416666666666667</v>
      </c>
      <c r="P702" s="476">
        <v>0.65416666666666667</v>
      </c>
      <c r="Q702" s="477">
        <v>0.66388888888888886</v>
      </c>
      <c r="R702" s="472">
        <f>IF(Table6[[#This Row],[Work Start TimeStamp]]="","",(Table6[[#This Row],[Work Start TimeStamp]]-Table6[[#This Row],[Fault Start TimeStamp]])*24)</f>
        <v>0</v>
      </c>
      <c r="S702" s="472">
        <f>(Table6[[#This Row],[Fault Clearance time]]-Table6[[#This Row],[Work Start TimeStamp]])*24</f>
        <v>0.2333333333333325</v>
      </c>
      <c r="T702" s="472">
        <f>(Table6[[#This Row],[Fault Clearance time]]-Table6[[#This Row],[Fault Start TimeStamp]])*24</f>
        <v>0.2333333333333325</v>
      </c>
      <c r="U702" s="35" t="s">
        <v>1744</v>
      </c>
      <c r="V702" s="102" t="s">
        <v>293</v>
      </c>
      <c r="W702" s="478">
        <f>IFERROR(Table6[[#This Row],[Breakdown Time]]*Table6[[#This Row],[Plant Equivalent Weightage]],"")</f>
        <v>8.974358974358939E-3</v>
      </c>
      <c r="X702" s="473" t="s">
        <v>290</v>
      </c>
      <c r="Y702" s="474" t="s">
        <v>74</v>
      </c>
      <c r="Z702" s="102">
        <v>13179</v>
      </c>
      <c r="AA702" s="468">
        <f>(Table6[[#This Row],[Paired WTG Generation for loss calculation]]/24)*Table6[[#This Row],[Breakdown Time]]</f>
        <v>128.12916666666621</v>
      </c>
      <c r="AB702" s="102"/>
      <c r="AC702" s="35"/>
      <c r="AD702" s="35"/>
    </row>
    <row r="703" spans="1:30">
      <c r="A703" s="102">
        <f t="shared" si="11"/>
        <v>702</v>
      </c>
      <c r="B703" s="468">
        <f>YEAR(Table6[[#This Row],[Date]])+IF(MONTH(Table6[[#This Row],[Date]])&gt;=4,1,0)</f>
        <v>2026</v>
      </c>
      <c r="C703" s="102">
        <f>YEAR(Table6[[#This Row],[Date]])</f>
        <v>2025</v>
      </c>
      <c r="D703" s="102" t="s">
        <v>1992</v>
      </c>
      <c r="E703" s="469">
        <f>Table6[[#This Row],[Date]]-DAY(Table6[[#This Row],[Date]])+1</f>
        <v>45778</v>
      </c>
      <c r="F703" s="470">
        <v>45790</v>
      </c>
      <c r="G703" s="35" t="s">
        <v>74</v>
      </c>
      <c r="H703" s="35" t="str">
        <f>IFERROR(_xlfn.XLOOKUP(Table6[[#This Row],[Affected WTG]],'Basic Data'!$A:$A,'Basic Data'!$B:$B),"")</f>
        <v>TQGXIIPL</v>
      </c>
      <c r="I703" s="35" t="str">
        <f>IFERROR(_xlfn.XLOOKUP(Table6[[#This Row],[Affected WTG]],'Basic Data'!$A:$A,'Basic Data'!$C:$C),"")</f>
        <v>GEDA</v>
      </c>
      <c r="J703" s="471">
        <f>IFERROR(_xlfn.XLOOKUP(Table6[[#This Row],[Affected WTG]],'Basic Data'!$A:$A,'Basic Data'!$E:$E),"")</f>
        <v>3.846153846153845E-2</v>
      </c>
      <c r="K703" s="102">
        <v>55</v>
      </c>
      <c r="L703" s="35" t="str">
        <f>IFERROR(_xlfn.XLOOKUP(Table6[[#This Row],[Error Code]],'Basic Data'!$AA:$AA,'Basic Data'!$AB:$AB),"Incorrect Error Code")</f>
        <v>WTG shut down</v>
      </c>
      <c r="M703" s="35" t="s">
        <v>328</v>
      </c>
      <c r="N703" s="475"/>
      <c r="O703" s="476">
        <v>0.37777777777777777</v>
      </c>
      <c r="P703" s="476">
        <v>0.37777777777777777</v>
      </c>
      <c r="Q703" s="477">
        <v>0.75</v>
      </c>
      <c r="R703" s="472">
        <f>IF(Table6[[#This Row],[Work Start TimeStamp]]="","",(Table6[[#This Row],[Work Start TimeStamp]]-Table6[[#This Row],[Fault Start TimeStamp]])*24)</f>
        <v>0</v>
      </c>
      <c r="S703" s="472">
        <f>(Table6[[#This Row],[Fault Clearance time]]-Table6[[#This Row],[Work Start TimeStamp]])*24</f>
        <v>8.9333333333333336</v>
      </c>
      <c r="T703" s="472">
        <f>(Table6[[#This Row],[Fault Clearance time]]-Table6[[#This Row],[Fault Start TimeStamp]])*24</f>
        <v>8.9333333333333336</v>
      </c>
      <c r="U703" s="35" t="s">
        <v>1842</v>
      </c>
      <c r="V703" s="102" t="s">
        <v>293</v>
      </c>
      <c r="W703" s="478">
        <f>IFERROR(Table6[[#This Row],[Breakdown Time]]*Table6[[#This Row],[Plant Equivalent Weightage]],"")</f>
        <v>0.34358974358974348</v>
      </c>
      <c r="X703" s="473" t="s">
        <v>290</v>
      </c>
      <c r="Y703" s="474" t="s">
        <v>99</v>
      </c>
      <c r="Z703" s="102">
        <v>15898</v>
      </c>
      <c r="AA703" s="468">
        <f>(Table6[[#This Row],[Paired WTG Generation for loss calculation]]/24)*Table6[[#This Row],[Breakdown Time]]</f>
        <v>5917.5888888888885</v>
      </c>
      <c r="AB703" s="102"/>
      <c r="AC703" s="35"/>
      <c r="AD703" s="35"/>
    </row>
    <row r="704" spans="1:30">
      <c r="A704" s="102">
        <f t="shared" si="11"/>
        <v>703</v>
      </c>
      <c r="B704" s="468">
        <f>YEAR(Table6[[#This Row],[Date]])+IF(MONTH(Table6[[#This Row],[Date]])&gt;=4,1,0)</f>
        <v>2026</v>
      </c>
      <c r="C704" s="102">
        <f>YEAR(Table6[[#This Row],[Date]])</f>
        <v>2025</v>
      </c>
      <c r="D704" s="102" t="s">
        <v>1992</v>
      </c>
      <c r="E704" s="469">
        <f>Table6[[#This Row],[Date]]-DAY(Table6[[#This Row],[Date]])+1</f>
        <v>45778</v>
      </c>
      <c r="F704" s="470">
        <v>45790</v>
      </c>
      <c r="G704" s="35" t="s">
        <v>78</v>
      </c>
      <c r="H704" s="35" t="str">
        <f>IFERROR(_xlfn.XLOOKUP(Table6[[#This Row],[Affected WTG]],'Basic Data'!$A:$A,'Basic Data'!$B:$B),"")</f>
        <v>TQGXIIPL</v>
      </c>
      <c r="I704" s="35" t="str">
        <f>IFERROR(_xlfn.XLOOKUP(Table6[[#This Row],[Affected WTG]],'Basic Data'!$A:$A,'Basic Data'!$C:$C),"")</f>
        <v>GEDA</v>
      </c>
      <c r="J704" s="471">
        <f>IFERROR(_xlfn.XLOOKUP(Table6[[#This Row],[Affected WTG]],'Basic Data'!$A:$A,'Basic Data'!$E:$E),"")</f>
        <v>3.846153846153845E-2</v>
      </c>
      <c r="K704" s="102">
        <v>2521</v>
      </c>
      <c r="L704" s="35" t="str">
        <f>IFERROR(_xlfn.XLOOKUP(Table6[[#This Row],[Error Code]],'Basic Data'!$AA:$AA,'Basic Data'!$AB:$AB),"Incorrect Error Code")</f>
        <v>Gen.sp.analog &lt;&lt;&gt;&gt; gearb.sp.</v>
      </c>
      <c r="M704" s="35" t="s">
        <v>292</v>
      </c>
      <c r="N704" s="475"/>
      <c r="O704" s="476">
        <v>0.62361111111111112</v>
      </c>
      <c r="P704" s="476">
        <v>0.62361111111111112</v>
      </c>
      <c r="Q704" s="477">
        <v>0.62569444444444444</v>
      </c>
      <c r="R704" s="472">
        <f>IF(Table6[[#This Row],[Work Start TimeStamp]]="","",(Table6[[#This Row],[Work Start TimeStamp]]-Table6[[#This Row],[Fault Start TimeStamp]])*24)</f>
        <v>0</v>
      </c>
      <c r="S704" s="472">
        <f>(Table6[[#This Row],[Fault Clearance time]]-Table6[[#This Row],[Work Start TimeStamp]])*24</f>
        <v>4.9999999999999822E-2</v>
      </c>
      <c r="T704" s="472">
        <f>(Table6[[#This Row],[Fault Clearance time]]-Table6[[#This Row],[Fault Start TimeStamp]])*24</f>
        <v>4.9999999999999822E-2</v>
      </c>
      <c r="U704" s="35" t="s">
        <v>1816</v>
      </c>
      <c r="V704" s="102" t="s">
        <v>293</v>
      </c>
      <c r="W704" s="478">
        <f>IFERROR(Table6[[#This Row],[Breakdown Time]]*Table6[[#This Row],[Plant Equivalent Weightage]],"")</f>
        <v>1.9230769230769156E-3</v>
      </c>
      <c r="X704" s="473" t="s">
        <v>294</v>
      </c>
      <c r="Y704" s="474" t="s">
        <v>75</v>
      </c>
      <c r="Z704" s="102">
        <v>18876</v>
      </c>
      <c r="AA704" s="468">
        <f>(Table6[[#This Row],[Paired WTG Generation for loss calculation]]/24)*Table6[[#This Row],[Breakdown Time]]</f>
        <v>39.324999999999861</v>
      </c>
      <c r="AB704" s="102"/>
      <c r="AC704" s="35"/>
      <c r="AD704" s="35"/>
    </row>
    <row r="705" spans="1:30">
      <c r="A705" s="102">
        <f t="shared" si="11"/>
        <v>704</v>
      </c>
      <c r="B705" s="468">
        <f>YEAR(Table6[[#This Row],[Date]])+IF(MONTH(Table6[[#This Row],[Date]])&gt;=4,1,0)</f>
        <v>2026</v>
      </c>
      <c r="C705" s="102">
        <f>YEAR(Table6[[#This Row],[Date]])</f>
        <v>2025</v>
      </c>
      <c r="D705" s="102" t="s">
        <v>1992</v>
      </c>
      <c r="E705" s="469">
        <f>Table6[[#This Row],[Date]]-DAY(Table6[[#This Row],[Date]])+1</f>
        <v>45778</v>
      </c>
      <c r="F705" s="470">
        <v>45790</v>
      </c>
      <c r="G705" s="35" t="s">
        <v>98</v>
      </c>
      <c r="H705" s="35" t="str">
        <f>IFERROR(_xlfn.XLOOKUP(Table6[[#This Row],[Affected WTG]],'Basic Data'!$A:$A,'Basic Data'!$B:$B),"")</f>
        <v>TQGXIIPL</v>
      </c>
      <c r="I705" s="35" t="str">
        <f>IFERROR(_xlfn.XLOOKUP(Table6[[#This Row],[Affected WTG]],'Basic Data'!$A:$A,'Basic Data'!$C:$C),"")</f>
        <v>GEDA</v>
      </c>
      <c r="J705" s="471">
        <f>IFERROR(_xlfn.XLOOKUP(Table6[[#This Row],[Affected WTG]],'Basic Data'!$A:$A,'Basic Data'!$E:$E),"")</f>
        <v>3.846153846153845E-2</v>
      </c>
      <c r="K705" s="102">
        <v>55</v>
      </c>
      <c r="L705" s="35" t="str">
        <f>IFERROR(_xlfn.XLOOKUP(Table6[[#This Row],[Error Code]],'Basic Data'!$AA:$AA,'Basic Data'!$AB:$AB),"Incorrect Error Code")</f>
        <v>WTG shut down</v>
      </c>
      <c r="M705" s="35" t="s">
        <v>330</v>
      </c>
      <c r="N705" s="475"/>
      <c r="O705" s="476">
        <v>0.85277777777777775</v>
      </c>
      <c r="P705" s="476">
        <v>0.85277777777777775</v>
      </c>
      <c r="Q705" s="477">
        <v>0.87152777777777779</v>
      </c>
      <c r="R705" s="472">
        <f>IF(Table6[[#This Row],[Work Start TimeStamp]]="","",(Table6[[#This Row],[Work Start TimeStamp]]-Table6[[#This Row],[Fault Start TimeStamp]])*24)</f>
        <v>0</v>
      </c>
      <c r="S705" s="472">
        <f>(Table6[[#This Row],[Fault Clearance time]]-Table6[[#This Row],[Work Start TimeStamp]])*24</f>
        <v>0.45000000000000107</v>
      </c>
      <c r="T705" s="472">
        <f>(Table6[[#This Row],[Fault Clearance time]]-Table6[[#This Row],[Fault Start TimeStamp]])*24</f>
        <v>0.45000000000000107</v>
      </c>
      <c r="U705" s="35" t="s">
        <v>1744</v>
      </c>
      <c r="V705" s="102" t="s">
        <v>293</v>
      </c>
      <c r="W705" s="478">
        <f>IFERROR(Table6[[#This Row],[Breakdown Time]]*Table6[[#This Row],[Plant Equivalent Weightage]],"")</f>
        <v>1.7307692307692343E-2</v>
      </c>
      <c r="X705" s="473" t="s">
        <v>294</v>
      </c>
      <c r="Y705" s="474" t="s">
        <v>74</v>
      </c>
      <c r="Z705" s="102">
        <v>15857</v>
      </c>
      <c r="AA705" s="468">
        <f>(Table6[[#This Row],[Paired WTG Generation for loss calculation]]/24)*Table6[[#This Row],[Breakdown Time]]</f>
        <v>297.3187500000007</v>
      </c>
      <c r="AB705" s="102"/>
      <c r="AC705" s="35"/>
      <c r="AD705" s="35"/>
    </row>
    <row r="706" spans="1:30">
      <c r="A706" s="102">
        <f t="shared" si="11"/>
        <v>705</v>
      </c>
      <c r="B706" s="468">
        <f>YEAR(Table6[[#This Row],[Date]])+IF(MONTH(Table6[[#This Row],[Date]])&gt;=4,1,0)</f>
        <v>2026</v>
      </c>
      <c r="C706" s="102">
        <f>YEAR(Table6[[#This Row],[Date]])</f>
        <v>2025</v>
      </c>
      <c r="D706" s="102" t="s">
        <v>1992</v>
      </c>
      <c r="E706" s="469">
        <f>Table6[[#This Row],[Date]]-DAY(Table6[[#This Row],[Date]])+1</f>
        <v>45778</v>
      </c>
      <c r="F706" s="470">
        <v>45791</v>
      </c>
      <c r="G706" s="35" t="s">
        <v>74</v>
      </c>
      <c r="H706" s="35" t="str">
        <f>IFERROR(_xlfn.XLOOKUP(Table6[[#This Row],[Affected WTG]],'Basic Data'!$A:$A,'Basic Data'!$B:$B),"")</f>
        <v>TQGXIIPL</v>
      </c>
      <c r="I706" s="35" t="str">
        <f>IFERROR(_xlfn.XLOOKUP(Table6[[#This Row],[Affected WTG]],'Basic Data'!$A:$A,'Basic Data'!$C:$C),"")</f>
        <v>GEDA</v>
      </c>
      <c r="J706" s="471">
        <f>IFERROR(_xlfn.XLOOKUP(Table6[[#This Row],[Affected WTG]],'Basic Data'!$A:$A,'Basic Data'!$E:$E),"")</f>
        <v>3.846153846153845E-2</v>
      </c>
      <c r="K706" s="102">
        <v>55</v>
      </c>
      <c r="L706" s="35" t="str">
        <f>IFERROR(_xlfn.XLOOKUP(Table6[[#This Row],[Error Code]],'Basic Data'!$AA:$AA,'Basic Data'!$AB:$AB),"Incorrect Error Code")</f>
        <v>WTG shut down</v>
      </c>
      <c r="M706" s="35" t="s">
        <v>328</v>
      </c>
      <c r="N706" s="475"/>
      <c r="O706" s="476">
        <v>0.70902777777777781</v>
      </c>
      <c r="P706" s="476">
        <v>0.7270833333333333</v>
      </c>
      <c r="Q706" s="477">
        <v>0.74791666666666667</v>
      </c>
      <c r="R706" s="472">
        <f>IF(Table6[[#This Row],[Work Start TimeStamp]]="","",(Table6[[#This Row],[Work Start TimeStamp]]-Table6[[#This Row],[Fault Start TimeStamp]])*24)</f>
        <v>0.43333333333333179</v>
      </c>
      <c r="S706" s="472">
        <f>(Table6[[#This Row],[Fault Clearance time]]-Table6[[#This Row],[Work Start TimeStamp]])*24</f>
        <v>0.50000000000000089</v>
      </c>
      <c r="T706" s="472">
        <f>(Table6[[#This Row],[Fault Clearance time]]-Table6[[#This Row],[Fault Start TimeStamp]])*24</f>
        <v>0.93333333333333268</v>
      </c>
      <c r="U706" s="35" t="s">
        <v>1818</v>
      </c>
      <c r="V706" s="102" t="s">
        <v>293</v>
      </c>
      <c r="W706" s="478">
        <f>IFERROR(Table6[[#This Row],[Breakdown Time]]*Table6[[#This Row],[Plant Equivalent Weightage]],"")</f>
        <v>3.589743589743586E-2</v>
      </c>
      <c r="X706" s="473" t="s">
        <v>294</v>
      </c>
      <c r="Y706" s="474" t="s">
        <v>99</v>
      </c>
      <c r="Z706" s="102">
        <v>15454</v>
      </c>
      <c r="AA706" s="468">
        <f>(Table6[[#This Row],[Paired WTG Generation for loss calculation]]/24)*Table6[[#This Row],[Breakdown Time]]</f>
        <v>600.98888888888848</v>
      </c>
      <c r="AB706" s="102"/>
      <c r="AC706" s="35"/>
      <c r="AD706" s="35"/>
    </row>
    <row r="707" spans="1:30">
      <c r="A707" s="102">
        <f t="shared" si="11"/>
        <v>706</v>
      </c>
      <c r="B707" s="468">
        <f>YEAR(Table6[[#This Row],[Date]])+IF(MONTH(Table6[[#This Row],[Date]])&gt;=4,1,0)</f>
        <v>2026</v>
      </c>
      <c r="C707" s="102">
        <f>YEAR(Table6[[#This Row],[Date]])</f>
        <v>2025</v>
      </c>
      <c r="D707" s="102" t="s">
        <v>1992</v>
      </c>
      <c r="E707" s="469">
        <f>Table6[[#This Row],[Date]]-DAY(Table6[[#This Row],[Date]])+1</f>
        <v>45778</v>
      </c>
      <c r="F707" s="470">
        <v>45791</v>
      </c>
      <c r="G707" s="35" t="s">
        <v>78</v>
      </c>
      <c r="H707" s="35" t="str">
        <f>IFERROR(_xlfn.XLOOKUP(Table6[[#This Row],[Affected WTG]],'Basic Data'!$A:$A,'Basic Data'!$B:$B),"")</f>
        <v>TQGXIIPL</v>
      </c>
      <c r="I707" s="35" t="str">
        <f>IFERROR(_xlfn.XLOOKUP(Table6[[#This Row],[Affected WTG]],'Basic Data'!$A:$A,'Basic Data'!$C:$C),"")</f>
        <v>GEDA</v>
      </c>
      <c r="J707" s="471">
        <f>IFERROR(_xlfn.XLOOKUP(Table6[[#This Row],[Affected WTG]],'Basic Data'!$A:$A,'Basic Data'!$E:$E),"")</f>
        <v>3.846153846153845E-2</v>
      </c>
      <c r="K707" s="102">
        <v>3211</v>
      </c>
      <c r="L707" s="35" t="str">
        <f>IFERROR(_xlfn.XLOOKUP(Table6[[#This Row],[Error Code]],'Basic Data'!$AA:$AA,'Basic Data'!$AB:$AB),"Incorrect Error Code")</f>
        <v>Conv. load shedding (CAN)</v>
      </c>
      <c r="M707" s="35" t="s">
        <v>292</v>
      </c>
      <c r="N707" s="475"/>
      <c r="O707" s="476">
        <v>0.34791666666666665</v>
      </c>
      <c r="P707" s="476">
        <v>0.34791666666666665</v>
      </c>
      <c r="Q707" s="477">
        <v>0.35069444444444442</v>
      </c>
      <c r="R707" s="472">
        <f>IF(Table6[[#This Row],[Work Start TimeStamp]]="","",(Table6[[#This Row],[Work Start TimeStamp]]-Table6[[#This Row],[Fault Start TimeStamp]])*24)</f>
        <v>0</v>
      </c>
      <c r="S707" s="472">
        <f>(Table6[[#This Row],[Fault Clearance time]]-Table6[[#This Row],[Work Start TimeStamp]])*24</f>
        <v>6.666666666666643E-2</v>
      </c>
      <c r="T707" s="472">
        <f>(Table6[[#This Row],[Fault Clearance time]]-Table6[[#This Row],[Fault Start TimeStamp]])*24</f>
        <v>6.666666666666643E-2</v>
      </c>
      <c r="U707" s="35" t="s">
        <v>1816</v>
      </c>
      <c r="V707" s="102" t="s">
        <v>293</v>
      </c>
      <c r="W707" s="478">
        <f>IFERROR(Table6[[#This Row],[Breakdown Time]]*Table6[[#This Row],[Plant Equivalent Weightage]],"")</f>
        <v>2.5641025641025541E-3</v>
      </c>
      <c r="X707" s="473" t="s">
        <v>294</v>
      </c>
      <c r="Y707" s="474" t="s">
        <v>75</v>
      </c>
      <c r="Z707" s="102">
        <v>18583</v>
      </c>
      <c r="AA707" s="468">
        <f>(Table6[[#This Row],[Paired WTG Generation for loss calculation]]/24)*Table6[[#This Row],[Breakdown Time]]</f>
        <v>51.619444444444255</v>
      </c>
      <c r="AB707" s="102"/>
      <c r="AC707" s="35"/>
      <c r="AD707" s="35"/>
    </row>
    <row r="708" spans="1:30">
      <c r="A708" s="102">
        <f t="shared" si="11"/>
        <v>707</v>
      </c>
      <c r="B708" s="468">
        <f>YEAR(Table6[[#This Row],[Date]])+IF(MONTH(Table6[[#This Row],[Date]])&gt;=4,1,0)</f>
        <v>2026</v>
      </c>
      <c r="C708" s="102">
        <f>YEAR(Table6[[#This Row],[Date]])</f>
        <v>2025</v>
      </c>
      <c r="D708" s="102" t="s">
        <v>1992</v>
      </c>
      <c r="E708" s="469">
        <f>Table6[[#This Row],[Date]]-DAY(Table6[[#This Row],[Date]])+1</f>
        <v>45778</v>
      </c>
      <c r="F708" s="470">
        <v>45791</v>
      </c>
      <c r="G708" s="35" t="s">
        <v>78</v>
      </c>
      <c r="H708" s="35" t="str">
        <f>IFERROR(_xlfn.XLOOKUP(Table6[[#This Row],[Affected WTG]],'Basic Data'!$A:$A,'Basic Data'!$B:$B),"")</f>
        <v>TQGXIIPL</v>
      </c>
      <c r="I708" s="35" t="str">
        <f>IFERROR(_xlfn.XLOOKUP(Table6[[#This Row],[Affected WTG]],'Basic Data'!$A:$A,'Basic Data'!$C:$C),"")</f>
        <v>GEDA</v>
      </c>
      <c r="J708" s="471">
        <f>IFERROR(_xlfn.XLOOKUP(Table6[[#This Row],[Affected WTG]],'Basic Data'!$A:$A,'Basic Data'!$E:$E),"")</f>
        <v>3.846153846153845E-2</v>
      </c>
      <c r="K708" s="102">
        <v>55</v>
      </c>
      <c r="L708" s="35" t="str">
        <f>IFERROR(_xlfn.XLOOKUP(Table6[[#This Row],[Error Code]],'Basic Data'!$AA:$AA,'Basic Data'!$AB:$AB),"Incorrect Error Code")</f>
        <v>WTG shut down</v>
      </c>
      <c r="M708" s="35" t="s">
        <v>330</v>
      </c>
      <c r="N708" s="475"/>
      <c r="O708" s="476">
        <v>0.80277777777777781</v>
      </c>
      <c r="P708" s="476">
        <v>0.80277777777777781</v>
      </c>
      <c r="Q708" s="477">
        <v>0.85069444444444442</v>
      </c>
      <c r="R708" s="472">
        <f>IF(Table6[[#This Row],[Work Start TimeStamp]]="","",(Table6[[#This Row],[Work Start TimeStamp]]-Table6[[#This Row],[Fault Start TimeStamp]])*24)</f>
        <v>0</v>
      </c>
      <c r="S708" s="472">
        <f>(Table6[[#This Row],[Fault Clearance time]]-Table6[[#This Row],[Work Start TimeStamp]])*24</f>
        <v>1.1499999999999986</v>
      </c>
      <c r="T708" s="472">
        <f>(Table6[[#This Row],[Fault Clearance time]]-Table6[[#This Row],[Fault Start TimeStamp]])*24</f>
        <v>1.1499999999999986</v>
      </c>
      <c r="U708" s="35" t="s">
        <v>1744</v>
      </c>
      <c r="V708" s="102" t="s">
        <v>293</v>
      </c>
      <c r="W708" s="478">
        <f>IFERROR(Table6[[#This Row],[Breakdown Time]]*Table6[[#This Row],[Plant Equivalent Weightage]],"")</f>
        <v>4.4230769230769164E-2</v>
      </c>
      <c r="X708" s="473" t="s">
        <v>294</v>
      </c>
      <c r="Y708" s="474" t="s">
        <v>75</v>
      </c>
      <c r="Z708" s="102">
        <v>18583</v>
      </c>
      <c r="AA708" s="468">
        <f>(Table6[[#This Row],[Paired WTG Generation for loss calculation]]/24)*Table6[[#This Row],[Breakdown Time]]</f>
        <v>890.43541666666556</v>
      </c>
      <c r="AB708" s="102"/>
      <c r="AC708" s="35"/>
      <c r="AD708" s="35"/>
    </row>
    <row r="709" spans="1:30">
      <c r="A709" s="102">
        <f t="shared" si="11"/>
        <v>708</v>
      </c>
      <c r="B709" s="468">
        <f>YEAR(Table6[[#This Row],[Date]])+IF(MONTH(Table6[[#This Row],[Date]])&gt;=4,1,0)</f>
        <v>2026</v>
      </c>
      <c r="C709" s="102">
        <f>YEAR(Table6[[#This Row],[Date]])</f>
        <v>2025</v>
      </c>
      <c r="D709" s="102" t="s">
        <v>1992</v>
      </c>
      <c r="E709" s="469">
        <f>Table6[[#This Row],[Date]]-DAY(Table6[[#This Row],[Date]])+1</f>
        <v>45778</v>
      </c>
      <c r="F709" s="470">
        <v>45791</v>
      </c>
      <c r="G709" s="35" t="s">
        <v>82</v>
      </c>
      <c r="H709" s="35" t="str">
        <f>IFERROR(_xlfn.XLOOKUP(Table6[[#This Row],[Affected WTG]],'Basic Data'!$A:$A,'Basic Data'!$B:$B),"")</f>
        <v>TQGXIIPL</v>
      </c>
      <c r="I709" s="35" t="str">
        <f>IFERROR(_xlfn.XLOOKUP(Table6[[#This Row],[Affected WTG]],'Basic Data'!$A:$A,'Basic Data'!$C:$C),"")</f>
        <v>GEDA</v>
      </c>
      <c r="J709" s="471">
        <f>IFERROR(_xlfn.XLOOKUP(Table6[[#This Row],[Affected WTG]],'Basic Data'!$A:$A,'Basic Data'!$E:$E),"")</f>
        <v>3.846153846153845E-2</v>
      </c>
      <c r="K709" s="102">
        <v>88</v>
      </c>
      <c r="L709" s="35" t="str">
        <f>IFERROR(_xlfn.XLOOKUP(Table6[[#This Row],[Error Code]],'Basic Data'!$AA:$AA,'Basic Data'!$AB:$AB),"Incorrect Error Code")</f>
        <v>Outs.temp. nacelle implaus.</v>
      </c>
      <c r="M709" s="35" t="s">
        <v>292</v>
      </c>
      <c r="N709" s="475"/>
      <c r="O709" s="476">
        <v>0.65416666666666667</v>
      </c>
      <c r="P709" s="476">
        <v>0.65416666666666667</v>
      </c>
      <c r="Q709" s="477">
        <v>0.65625</v>
      </c>
      <c r="R709" s="472">
        <f>IF(Table6[[#This Row],[Work Start TimeStamp]]="","",(Table6[[#This Row],[Work Start TimeStamp]]-Table6[[#This Row],[Fault Start TimeStamp]])*24)</f>
        <v>0</v>
      </c>
      <c r="S709" s="472">
        <f>(Table6[[#This Row],[Fault Clearance time]]-Table6[[#This Row],[Work Start TimeStamp]])*24</f>
        <v>4.9999999999999822E-2</v>
      </c>
      <c r="T709" s="472">
        <f>(Table6[[#This Row],[Fault Clearance time]]-Table6[[#This Row],[Fault Start TimeStamp]])*24</f>
        <v>4.9999999999999822E-2</v>
      </c>
      <c r="U709" s="35" t="s">
        <v>346</v>
      </c>
      <c r="V709" s="102" t="s">
        <v>293</v>
      </c>
      <c r="W709" s="478">
        <f>IFERROR(Table6[[#This Row],[Breakdown Time]]*Table6[[#This Row],[Plant Equivalent Weightage]],"")</f>
        <v>1.9230769230769156E-3</v>
      </c>
      <c r="X709" s="473" t="s">
        <v>294</v>
      </c>
      <c r="Y709" s="474" t="s">
        <v>76</v>
      </c>
      <c r="Z709" s="102">
        <v>14080</v>
      </c>
      <c r="AA709" s="468">
        <f>(Table6[[#This Row],[Paired WTG Generation for loss calculation]]/24)*Table6[[#This Row],[Breakdown Time]]</f>
        <v>29.333333333333226</v>
      </c>
      <c r="AB709" s="102"/>
      <c r="AC709" s="35"/>
      <c r="AD709" s="35"/>
    </row>
    <row r="710" spans="1:30">
      <c r="A710" s="102">
        <f t="shared" si="11"/>
        <v>709</v>
      </c>
      <c r="B710" s="468">
        <f>YEAR(Table6[[#This Row],[Date]])+IF(MONTH(Table6[[#This Row],[Date]])&gt;=4,1,0)</f>
        <v>2026</v>
      </c>
      <c r="C710" s="102">
        <f>YEAR(Table6[[#This Row],[Date]])</f>
        <v>2025</v>
      </c>
      <c r="D710" s="102" t="s">
        <v>1992</v>
      </c>
      <c r="E710" s="469">
        <f>Table6[[#This Row],[Date]]-DAY(Table6[[#This Row],[Date]])+1</f>
        <v>45778</v>
      </c>
      <c r="F710" s="470">
        <v>45791</v>
      </c>
      <c r="G710" s="35" t="s">
        <v>82</v>
      </c>
      <c r="H710" s="35" t="str">
        <f>IFERROR(_xlfn.XLOOKUP(Table6[[#This Row],[Affected WTG]],'Basic Data'!$A:$A,'Basic Data'!$B:$B),"")</f>
        <v>TQGXIIPL</v>
      </c>
      <c r="I710" s="35" t="str">
        <f>IFERROR(_xlfn.XLOOKUP(Table6[[#This Row],[Affected WTG]],'Basic Data'!$A:$A,'Basic Data'!$C:$C),"")</f>
        <v>GEDA</v>
      </c>
      <c r="J710" s="471">
        <f>IFERROR(_xlfn.XLOOKUP(Table6[[#This Row],[Affected WTG]],'Basic Data'!$A:$A,'Basic Data'!$E:$E),"")</f>
        <v>3.846153846153845E-2</v>
      </c>
      <c r="K710" s="102">
        <v>6690</v>
      </c>
      <c r="L710" s="35" t="str">
        <f>IFERROR(_xlfn.XLOOKUP(Table6[[#This Row],[Error Code]],'Basic Data'!$AA:$AA,'Basic Data'!$AB:$AB),"Incorrect Error Code")</f>
        <v>Icing (stop)</v>
      </c>
      <c r="M710" s="35" t="s">
        <v>292</v>
      </c>
      <c r="N710" s="475"/>
      <c r="O710" s="476">
        <v>0.65833333333333333</v>
      </c>
      <c r="P710" s="476">
        <v>0.65833333333333333</v>
      </c>
      <c r="Q710" s="477">
        <v>0.66111111111111109</v>
      </c>
      <c r="R710" s="472">
        <f>IF(Table6[[#This Row],[Work Start TimeStamp]]="","",(Table6[[#This Row],[Work Start TimeStamp]]-Table6[[#This Row],[Fault Start TimeStamp]])*24)</f>
        <v>0</v>
      </c>
      <c r="S710" s="472">
        <f>(Table6[[#This Row],[Fault Clearance time]]-Table6[[#This Row],[Work Start TimeStamp]])*24</f>
        <v>6.666666666666643E-2</v>
      </c>
      <c r="T710" s="472">
        <f>(Table6[[#This Row],[Fault Clearance time]]-Table6[[#This Row],[Fault Start TimeStamp]])*24</f>
        <v>6.666666666666643E-2</v>
      </c>
      <c r="U710" s="35" t="s">
        <v>346</v>
      </c>
      <c r="V710" s="102" t="s">
        <v>293</v>
      </c>
      <c r="W710" s="478">
        <f>IFERROR(Table6[[#This Row],[Breakdown Time]]*Table6[[#This Row],[Plant Equivalent Weightage]],"")</f>
        <v>2.5641025641025541E-3</v>
      </c>
      <c r="X710" s="473" t="s">
        <v>294</v>
      </c>
      <c r="Y710" s="474" t="s">
        <v>76</v>
      </c>
      <c r="Z710" s="102">
        <v>14080</v>
      </c>
      <c r="AA710" s="468">
        <f>(Table6[[#This Row],[Paired WTG Generation for loss calculation]]/24)*Table6[[#This Row],[Breakdown Time]]</f>
        <v>39.111111111110972</v>
      </c>
      <c r="AB710" s="102"/>
      <c r="AC710" s="35"/>
      <c r="AD710" s="35"/>
    </row>
    <row r="711" spans="1:30">
      <c r="A711" s="102">
        <f t="shared" si="11"/>
        <v>710</v>
      </c>
      <c r="B711" s="468">
        <f>YEAR(Table6[[#This Row],[Date]])+IF(MONTH(Table6[[#This Row],[Date]])&gt;=4,1,0)</f>
        <v>2026</v>
      </c>
      <c r="C711" s="102">
        <f>YEAR(Table6[[#This Row],[Date]])</f>
        <v>2025</v>
      </c>
      <c r="D711" s="102" t="s">
        <v>1992</v>
      </c>
      <c r="E711" s="469">
        <f>Table6[[#This Row],[Date]]-DAY(Table6[[#This Row],[Date]])+1</f>
        <v>45778</v>
      </c>
      <c r="F711" s="470">
        <v>45791</v>
      </c>
      <c r="G711" s="35" t="s">
        <v>82</v>
      </c>
      <c r="H711" s="35" t="str">
        <f>IFERROR(_xlfn.XLOOKUP(Table6[[#This Row],[Affected WTG]],'Basic Data'!$A:$A,'Basic Data'!$B:$B),"")</f>
        <v>TQGXIIPL</v>
      </c>
      <c r="I711" s="35" t="str">
        <f>IFERROR(_xlfn.XLOOKUP(Table6[[#This Row],[Affected WTG]],'Basic Data'!$A:$A,'Basic Data'!$C:$C),"")</f>
        <v>GEDA</v>
      </c>
      <c r="J711" s="471">
        <f>IFERROR(_xlfn.XLOOKUP(Table6[[#This Row],[Affected WTG]],'Basic Data'!$A:$A,'Basic Data'!$E:$E),"")</f>
        <v>3.846153846153845E-2</v>
      </c>
      <c r="K711" s="102">
        <v>88</v>
      </c>
      <c r="L711" s="35" t="str">
        <f>IFERROR(_xlfn.XLOOKUP(Table6[[#This Row],[Error Code]],'Basic Data'!$AA:$AA,'Basic Data'!$AB:$AB),"Incorrect Error Code")</f>
        <v>Outs.temp. nacelle implaus.</v>
      </c>
      <c r="M711" s="35" t="s">
        <v>291</v>
      </c>
      <c r="N711" s="475"/>
      <c r="O711" s="476">
        <v>0.6791666666666667</v>
      </c>
      <c r="P711" s="476">
        <v>0.6791666666666667</v>
      </c>
      <c r="Q711" s="477">
        <v>0.71180555555555558</v>
      </c>
      <c r="R711" s="472">
        <f>IF(Table6[[#This Row],[Work Start TimeStamp]]="","",(Table6[[#This Row],[Work Start TimeStamp]]-Table6[[#This Row],[Fault Start TimeStamp]])*24)</f>
        <v>0</v>
      </c>
      <c r="S711" s="472">
        <f>(Table6[[#This Row],[Fault Clearance time]]-Table6[[#This Row],[Work Start TimeStamp]])*24</f>
        <v>0.78333333333333321</v>
      </c>
      <c r="T711" s="472">
        <f>(Table6[[#This Row],[Fault Clearance time]]-Table6[[#This Row],[Fault Start TimeStamp]])*24</f>
        <v>0.78333333333333321</v>
      </c>
      <c r="U711" s="35" t="s">
        <v>343</v>
      </c>
      <c r="V711" s="102" t="s">
        <v>293</v>
      </c>
      <c r="W711" s="478">
        <f>IFERROR(Table6[[#This Row],[Breakdown Time]]*Table6[[#This Row],[Plant Equivalent Weightage]],"")</f>
        <v>3.0128205128205115E-2</v>
      </c>
      <c r="X711" s="473" t="s">
        <v>294</v>
      </c>
      <c r="Y711" s="474" t="s">
        <v>76</v>
      </c>
      <c r="Z711" s="102">
        <v>14080</v>
      </c>
      <c r="AA711" s="468">
        <f>(Table6[[#This Row],[Paired WTG Generation for loss calculation]]/24)*Table6[[#This Row],[Breakdown Time]]</f>
        <v>459.55555555555543</v>
      </c>
      <c r="AB711" s="102"/>
      <c r="AC711" s="35"/>
      <c r="AD711" s="35"/>
    </row>
    <row r="712" spans="1:30">
      <c r="A712" s="102">
        <f t="shared" si="11"/>
        <v>711</v>
      </c>
      <c r="B712" s="468">
        <f>YEAR(Table6[[#This Row],[Date]])+IF(MONTH(Table6[[#This Row],[Date]])&gt;=4,1,0)</f>
        <v>2026</v>
      </c>
      <c r="C712" s="102">
        <f>YEAR(Table6[[#This Row],[Date]])</f>
        <v>2025</v>
      </c>
      <c r="D712" s="102" t="s">
        <v>1992</v>
      </c>
      <c r="E712" s="469">
        <f>Table6[[#This Row],[Date]]-DAY(Table6[[#This Row],[Date]])+1</f>
        <v>45778</v>
      </c>
      <c r="F712" s="470">
        <v>45791</v>
      </c>
      <c r="G712" s="35" t="s">
        <v>83</v>
      </c>
      <c r="H712" s="35" t="str">
        <f>IFERROR(_xlfn.XLOOKUP(Table6[[#This Row],[Affected WTG]],'Basic Data'!$A:$A,'Basic Data'!$B:$B),"")</f>
        <v>TQGXIIPL</v>
      </c>
      <c r="I712" s="35" t="str">
        <f>IFERROR(_xlfn.XLOOKUP(Table6[[#This Row],[Affected WTG]],'Basic Data'!$A:$A,'Basic Data'!$C:$C),"")</f>
        <v>GEDA</v>
      </c>
      <c r="J712" s="471">
        <f>IFERROR(_xlfn.XLOOKUP(Table6[[#This Row],[Affected WTG]],'Basic Data'!$A:$A,'Basic Data'!$E:$E),"")</f>
        <v>3.846153846153845E-2</v>
      </c>
      <c r="K712" s="102">
        <v>4970</v>
      </c>
      <c r="L712" s="35" t="str">
        <f>IFERROR(_xlfn.XLOOKUP(Table6[[#This Row],[Error Code]],'Basic Data'!$AA:$AA,'Basic Data'!$AB:$AB),"Incorrect Error Code")</f>
        <v>Tower oscillation XF</v>
      </c>
      <c r="M712" s="35" t="s">
        <v>291</v>
      </c>
      <c r="N712" s="475"/>
      <c r="O712" s="476">
        <v>0.79374999999999996</v>
      </c>
      <c r="P712" s="476">
        <v>0.79374999999999996</v>
      </c>
      <c r="Q712" s="477">
        <v>0.80277777777777781</v>
      </c>
      <c r="R712" s="472">
        <f>IF(Table6[[#This Row],[Work Start TimeStamp]]="","",(Table6[[#This Row],[Work Start TimeStamp]]-Table6[[#This Row],[Fault Start TimeStamp]])*24)</f>
        <v>0</v>
      </c>
      <c r="S712" s="472">
        <f>(Table6[[#This Row],[Fault Clearance time]]-Table6[[#This Row],[Work Start TimeStamp]])*24</f>
        <v>0.21666666666666856</v>
      </c>
      <c r="T712" s="472">
        <f>(Table6[[#This Row],[Fault Clearance time]]-Table6[[#This Row],[Fault Start TimeStamp]])*24</f>
        <v>0.21666666666666856</v>
      </c>
      <c r="U712" s="35" t="s">
        <v>343</v>
      </c>
      <c r="V712" s="102" t="s">
        <v>293</v>
      </c>
      <c r="W712" s="478">
        <f>IFERROR(Table6[[#This Row],[Breakdown Time]]*Table6[[#This Row],[Plant Equivalent Weightage]],"")</f>
        <v>8.3333333333334043E-3</v>
      </c>
      <c r="X712" s="473" t="s">
        <v>294</v>
      </c>
      <c r="Y712" s="474" t="s">
        <v>88</v>
      </c>
      <c r="Z712" s="102">
        <v>15173</v>
      </c>
      <c r="AA712" s="468">
        <f>(Table6[[#This Row],[Paired WTG Generation for loss calculation]]/24)*Table6[[#This Row],[Breakdown Time]]</f>
        <v>136.97847222222342</v>
      </c>
      <c r="AB712" s="102"/>
      <c r="AC712" s="35"/>
      <c r="AD712" s="35"/>
    </row>
    <row r="713" spans="1:30">
      <c r="A713" s="102">
        <f t="shared" si="11"/>
        <v>712</v>
      </c>
      <c r="B713" s="468">
        <f>YEAR(Table6[[#This Row],[Date]])+IF(MONTH(Table6[[#This Row],[Date]])&gt;=4,1,0)</f>
        <v>2026</v>
      </c>
      <c r="C713" s="102">
        <f>YEAR(Table6[[#This Row],[Date]])</f>
        <v>2025</v>
      </c>
      <c r="D713" s="102" t="s">
        <v>1992</v>
      </c>
      <c r="E713" s="469">
        <f>Table6[[#This Row],[Date]]-DAY(Table6[[#This Row],[Date]])+1</f>
        <v>45778</v>
      </c>
      <c r="F713" s="470">
        <v>45791</v>
      </c>
      <c r="G713" s="35" t="s">
        <v>85</v>
      </c>
      <c r="H713" s="35" t="str">
        <f>IFERROR(_xlfn.XLOOKUP(Table6[[#This Row],[Affected WTG]],'Basic Data'!$A:$A,'Basic Data'!$B:$B),"")</f>
        <v>TQGXIIPL</v>
      </c>
      <c r="I713" s="35" t="str">
        <f>IFERROR(_xlfn.XLOOKUP(Table6[[#This Row],[Affected WTG]],'Basic Data'!$A:$A,'Basic Data'!$C:$C),"")</f>
        <v>GEDA</v>
      </c>
      <c r="J713" s="471">
        <f>IFERROR(_xlfn.XLOOKUP(Table6[[#This Row],[Affected WTG]],'Basic Data'!$A:$A,'Basic Data'!$E:$E),"")</f>
        <v>3.846153846153845E-2</v>
      </c>
      <c r="K713" s="102">
        <v>6130</v>
      </c>
      <c r="L713" s="35" t="str">
        <f>IFERROR(_xlfn.XLOOKUP(Table6[[#This Row],[Error Code]],'Basic Data'!$AA:$AA,'Basic Data'!$AB:$AB),"Incorrect Error Code")</f>
        <v>Yaw speed high</v>
      </c>
      <c r="M713" s="35" t="s">
        <v>292</v>
      </c>
      <c r="N713" s="475"/>
      <c r="O713" s="476">
        <v>0.44236111111111109</v>
      </c>
      <c r="P713" s="476">
        <v>0.44236111111111109</v>
      </c>
      <c r="Q713" s="477">
        <v>0.44305555555555554</v>
      </c>
      <c r="R713" s="472">
        <f>IF(Table6[[#This Row],[Work Start TimeStamp]]="","",(Table6[[#This Row],[Work Start TimeStamp]]-Table6[[#This Row],[Fault Start TimeStamp]])*24)</f>
        <v>0</v>
      </c>
      <c r="S713" s="472">
        <f>(Table6[[#This Row],[Fault Clearance time]]-Table6[[#This Row],[Work Start TimeStamp]])*24</f>
        <v>1.6666666666666607E-2</v>
      </c>
      <c r="T713" s="472">
        <f>(Table6[[#This Row],[Fault Clearance time]]-Table6[[#This Row],[Fault Start TimeStamp]])*24</f>
        <v>1.6666666666666607E-2</v>
      </c>
      <c r="U713" s="35" t="s">
        <v>346</v>
      </c>
      <c r="V713" s="102" t="s">
        <v>293</v>
      </c>
      <c r="W713" s="478">
        <f>IFERROR(Table6[[#This Row],[Breakdown Time]]*Table6[[#This Row],[Plant Equivalent Weightage]],"")</f>
        <v>6.4102564102563853E-4</v>
      </c>
      <c r="X713" s="473" t="s">
        <v>294</v>
      </c>
      <c r="Y713" s="474" t="s">
        <v>87</v>
      </c>
      <c r="Z713" s="102">
        <v>14700</v>
      </c>
      <c r="AA713" s="468">
        <f>(Table6[[#This Row],[Paired WTG Generation for loss calculation]]/24)*Table6[[#This Row],[Breakdown Time]]</f>
        <v>10.208333333333297</v>
      </c>
      <c r="AB713" s="102"/>
      <c r="AC713" s="35"/>
      <c r="AD713" s="35"/>
    </row>
    <row r="714" spans="1:30">
      <c r="A714" s="102">
        <f t="shared" si="11"/>
        <v>713</v>
      </c>
      <c r="B714" s="468">
        <f>YEAR(Table6[[#This Row],[Date]])+IF(MONTH(Table6[[#This Row],[Date]])&gt;=4,1,0)</f>
        <v>2026</v>
      </c>
      <c r="C714" s="102">
        <f>YEAR(Table6[[#This Row],[Date]])</f>
        <v>2025</v>
      </c>
      <c r="D714" s="102" t="s">
        <v>1992</v>
      </c>
      <c r="E714" s="469">
        <f>Table6[[#This Row],[Date]]-DAY(Table6[[#This Row],[Date]])+1</f>
        <v>45778</v>
      </c>
      <c r="F714" s="470">
        <v>45791</v>
      </c>
      <c r="G714" s="35" t="s">
        <v>96</v>
      </c>
      <c r="H714" s="35" t="str">
        <f>IFERROR(_xlfn.XLOOKUP(Table6[[#This Row],[Affected WTG]],'Basic Data'!$A:$A,'Basic Data'!$B:$B),"")</f>
        <v>TQGXIIPL</v>
      </c>
      <c r="I714" s="35" t="str">
        <f>IFERROR(_xlfn.XLOOKUP(Table6[[#This Row],[Affected WTG]],'Basic Data'!$A:$A,'Basic Data'!$C:$C),"")</f>
        <v>GEDA</v>
      </c>
      <c r="J714" s="471">
        <f>IFERROR(_xlfn.XLOOKUP(Table6[[#This Row],[Affected WTG]],'Basic Data'!$A:$A,'Basic Data'!$E:$E),"")</f>
        <v>3.846153846153845E-2</v>
      </c>
      <c r="K714" s="102">
        <v>55</v>
      </c>
      <c r="L714" s="35" t="str">
        <f>IFERROR(_xlfn.XLOOKUP(Table6[[#This Row],[Error Code]],'Basic Data'!$AA:$AA,'Basic Data'!$AB:$AB),"Incorrect Error Code")</f>
        <v>WTG shut down</v>
      </c>
      <c r="M714" s="35" t="s">
        <v>328</v>
      </c>
      <c r="N714" s="475"/>
      <c r="O714" s="476">
        <v>0.62152777777777779</v>
      </c>
      <c r="P714" s="476">
        <v>0.62152777777777779</v>
      </c>
      <c r="Q714" s="477">
        <v>0.69236111111111109</v>
      </c>
      <c r="R714" s="472">
        <f>IF(Table6[[#This Row],[Work Start TimeStamp]]="","",(Table6[[#This Row],[Work Start TimeStamp]]-Table6[[#This Row],[Fault Start TimeStamp]])*24)</f>
        <v>0</v>
      </c>
      <c r="S714" s="472">
        <f>(Table6[[#This Row],[Fault Clearance time]]-Table6[[#This Row],[Work Start TimeStamp]])*24</f>
        <v>1.6999999999999993</v>
      </c>
      <c r="T714" s="472">
        <f>(Table6[[#This Row],[Fault Clearance time]]-Table6[[#This Row],[Fault Start TimeStamp]])*24</f>
        <v>1.6999999999999993</v>
      </c>
      <c r="U714" s="35" t="s">
        <v>1819</v>
      </c>
      <c r="V714" s="102" t="s">
        <v>293</v>
      </c>
      <c r="W714" s="478">
        <f>IFERROR(Table6[[#This Row],[Breakdown Time]]*Table6[[#This Row],[Plant Equivalent Weightage]],"")</f>
        <v>6.5384615384615333E-2</v>
      </c>
      <c r="X714" s="473" t="s">
        <v>294</v>
      </c>
      <c r="Y714" s="474" t="s">
        <v>84</v>
      </c>
      <c r="Z714" s="102">
        <v>14181</v>
      </c>
      <c r="AA714" s="468">
        <f>(Table6[[#This Row],[Paired WTG Generation for loss calculation]]/24)*Table6[[#This Row],[Breakdown Time]]</f>
        <v>1004.4874999999996</v>
      </c>
      <c r="AB714" s="102"/>
      <c r="AC714" s="35"/>
      <c r="AD714" s="35"/>
    </row>
    <row r="715" spans="1:30">
      <c r="A715" s="102">
        <f t="shared" si="11"/>
        <v>714</v>
      </c>
      <c r="B715" s="468">
        <f>YEAR(Table6[[#This Row],[Date]])+IF(MONTH(Table6[[#This Row],[Date]])&gt;=4,1,0)</f>
        <v>2026</v>
      </c>
      <c r="C715" s="102">
        <f>YEAR(Table6[[#This Row],[Date]])</f>
        <v>2025</v>
      </c>
      <c r="D715" s="102" t="s">
        <v>1992</v>
      </c>
      <c r="E715" s="469">
        <f>Table6[[#This Row],[Date]]-DAY(Table6[[#This Row],[Date]])+1</f>
        <v>45778</v>
      </c>
      <c r="F715" s="470">
        <v>45791</v>
      </c>
      <c r="G715" s="35" t="s">
        <v>96</v>
      </c>
      <c r="H715" s="35" t="str">
        <f>IFERROR(_xlfn.XLOOKUP(Table6[[#This Row],[Affected WTG]],'Basic Data'!$A:$A,'Basic Data'!$B:$B),"")</f>
        <v>TQGXIIPL</v>
      </c>
      <c r="I715" s="35" t="str">
        <f>IFERROR(_xlfn.XLOOKUP(Table6[[#This Row],[Affected WTG]],'Basic Data'!$A:$A,'Basic Data'!$C:$C),"")</f>
        <v>GEDA</v>
      </c>
      <c r="J715" s="471">
        <f>IFERROR(_xlfn.XLOOKUP(Table6[[#This Row],[Affected WTG]],'Basic Data'!$A:$A,'Basic Data'!$E:$E),"")</f>
        <v>3.846153846153845E-2</v>
      </c>
      <c r="K715" s="102">
        <v>4970</v>
      </c>
      <c r="L715" s="35" t="str">
        <f>IFERROR(_xlfn.XLOOKUP(Table6[[#This Row],[Error Code]],'Basic Data'!$AA:$AA,'Basic Data'!$AB:$AB),"Incorrect Error Code")</f>
        <v>Tower oscillation XF</v>
      </c>
      <c r="M715" s="35" t="s">
        <v>291</v>
      </c>
      <c r="N715" s="475"/>
      <c r="O715" s="476">
        <v>0.79166666666666663</v>
      </c>
      <c r="P715" s="476">
        <v>0.79166666666666663</v>
      </c>
      <c r="Q715" s="477">
        <v>0.80208333333333337</v>
      </c>
      <c r="R715" s="472">
        <f>IF(Table6[[#This Row],[Work Start TimeStamp]]="","",(Table6[[#This Row],[Work Start TimeStamp]]-Table6[[#This Row],[Fault Start TimeStamp]])*24)</f>
        <v>0</v>
      </c>
      <c r="S715" s="472">
        <f>(Table6[[#This Row],[Fault Clearance time]]-Table6[[#This Row],[Work Start TimeStamp]])*24</f>
        <v>0.25000000000000178</v>
      </c>
      <c r="T715" s="472">
        <f>(Table6[[#This Row],[Fault Clearance time]]-Table6[[#This Row],[Fault Start TimeStamp]])*24</f>
        <v>0.25000000000000178</v>
      </c>
      <c r="U715" s="35" t="s">
        <v>343</v>
      </c>
      <c r="V715" s="102" t="s">
        <v>293</v>
      </c>
      <c r="W715" s="478">
        <f>IFERROR(Table6[[#This Row],[Breakdown Time]]*Table6[[#This Row],[Plant Equivalent Weightage]],"")</f>
        <v>9.6153846153846801E-3</v>
      </c>
      <c r="X715" s="473" t="s">
        <v>294</v>
      </c>
      <c r="Y715" s="474" t="s">
        <v>84</v>
      </c>
      <c r="Z715" s="102">
        <v>14181</v>
      </c>
      <c r="AA715" s="468">
        <f>(Table6[[#This Row],[Paired WTG Generation for loss calculation]]/24)*Table6[[#This Row],[Breakdown Time]]</f>
        <v>147.71875000000105</v>
      </c>
      <c r="AB715" s="102"/>
      <c r="AC715" s="35"/>
      <c r="AD715" s="35"/>
    </row>
    <row r="716" spans="1:30">
      <c r="A716" s="102">
        <f t="shared" si="11"/>
        <v>715</v>
      </c>
      <c r="B716" s="468">
        <f>YEAR(Table6[[#This Row],[Date]])+IF(MONTH(Table6[[#This Row],[Date]])&gt;=4,1,0)</f>
        <v>2026</v>
      </c>
      <c r="C716" s="102">
        <f>YEAR(Table6[[#This Row],[Date]])</f>
        <v>2025</v>
      </c>
      <c r="D716" s="102" t="s">
        <v>1992</v>
      </c>
      <c r="E716" s="469">
        <f>Table6[[#This Row],[Date]]-DAY(Table6[[#This Row],[Date]])+1</f>
        <v>45778</v>
      </c>
      <c r="F716" s="470">
        <v>45791</v>
      </c>
      <c r="G716" s="35" t="s">
        <v>98</v>
      </c>
      <c r="H716" s="35" t="str">
        <f>IFERROR(_xlfn.XLOOKUP(Table6[[#This Row],[Affected WTG]],'Basic Data'!$A:$A,'Basic Data'!$B:$B),"")</f>
        <v>TQGXIIPL</v>
      </c>
      <c r="I716" s="35" t="str">
        <f>IFERROR(_xlfn.XLOOKUP(Table6[[#This Row],[Affected WTG]],'Basic Data'!$A:$A,'Basic Data'!$C:$C),"")</f>
        <v>GEDA</v>
      </c>
      <c r="J716" s="471">
        <f>IFERROR(_xlfn.XLOOKUP(Table6[[#This Row],[Affected WTG]],'Basic Data'!$A:$A,'Basic Data'!$E:$E),"")</f>
        <v>3.846153846153845E-2</v>
      </c>
      <c r="K716" s="102">
        <v>55</v>
      </c>
      <c r="L716" s="35" t="str">
        <f>IFERROR(_xlfn.XLOOKUP(Table6[[#This Row],[Error Code]],'Basic Data'!$AA:$AA,'Basic Data'!$AB:$AB),"Incorrect Error Code")</f>
        <v>WTG shut down</v>
      </c>
      <c r="M716" s="35" t="s">
        <v>330</v>
      </c>
      <c r="N716" s="475"/>
      <c r="O716" s="476">
        <v>0.79236111111111107</v>
      </c>
      <c r="P716" s="476">
        <v>0.79236111111111107</v>
      </c>
      <c r="Q716" s="477">
        <v>0.80347222222222225</v>
      </c>
      <c r="R716" s="472">
        <f>IF(Table6[[#This Row],[Work Start TimeStamp]]="","",(Table6[[#This Row],[Work Start TimeStamp]]-Table6[[#This Row],[Fault Start TimeStamp]])*24)</f>
        <v>0</v>
      </c>
      <c r="S716" s="472">
        <f>(Table6[[#This Row],[Fault Clearance time]]-Table6[[#This Row],[Work Start TimeStamp]])*24</f>
        <v>0.26666666666666838</v>
      </c>
      <c r="T716" s="472">
        <f>(Table6[[#This Row],[Fault Clearance time]]-Table6[[#This Row],[Fault Start TimeStamp]])*24</f>
        <v>0.26666666666666838</v>
      </c>
      <c r="U716" s="35" t="s">
        <v>1744</v>
      </c>
      <c r="V716" s="102" t="s">
        <v>293</v>
      </c>
      <c r="W716" s="478">
        <f>IFERROR(Table6[[#This Row],[Breakdown Time]]*Table6[[#This Row],[Plant Equivalent Weightage]],"")</f>
        <v>1.0256410256410319E-2</v>
      </c>
      <c r="X716" s="473" t="s">
        <v>294</v>
      </c>
      <c r="Y716" s="474" t="s">
        <v>74</v>
      </c>
      <c r="Z716" s="102">
        <v>16319</v>
      </c>
      <c r="AA716" s="468">
        <f>(Table6[[#This Row],[Paired WTG Generation for loss calculation]]/24)*Table6[[#This Row],[Breakdown Time]]</f>
        <v>181.32222222222339</v>
      </c>
      <c r="AB716" s="102"/>
      <c r="AC716" s="35"/>
      <c r="AD716" s="35"/>
    </row>
    <row r="717" spans="1:30">
      <c r="A717" s="102">
        <f t="shared" si="11"/>
        <v>716</v>
      </c>
      <c r="B717" s="468">
        <f>YEAR(Table6[[#This Row],[Date]])+IF(MONTH(Table6[[#This Row],[Date]])&gt;=4,1,0)</f>
        <v>2026</v>
      </c>
      <c r="C717" s="102">
        <f>YEAR(Table6[[#This Row],[Date]])</f>
        <v>2025</v>
      </c>
      <c r="D717" s="102" t="s">
        <v>1992</v>
      </c>
      <c r="E717" s="469">
        <f>Table6[[#This Row],[Date]]-DAY(Table6[[#This Row],[Date]])+1</f>
        <v>45778</v>
      </c>
      <c r="F717" s="470">
        <v>45791</v>
      </c>
      <c r="G717" s="35" t="s">
        <v>98</v>
      </c>
      <c r="H717" s="35" t="str">
        <f>IFERROR(_xlfn.XLOOKUP(Table6[[#This Row],[Affected WTG]],'Basic Data'!$A:$A,'Basic Data'!$B:$B),"")</f>
        <v>TQGXIIPL</v>
      </c>
      <c r="I717" s="35" t="str">
        <f>IFERROR(_xlfn.XLOOKUP(Table6[[#This Row],[Affected WTG]],'Basic Data'!$A:$A,'Basic Data'!$C:$C),"")</f>
        <v>GEDA</v>
      </c>
      <c r="J717" s="471">
        <f>IFERROR(_xlfn.XLOOKUP(Table6[[#This Row],[Affected WTG]],'Basic Data'!$A:$A,'Basic Data'!$E:$E),"")</f>
        <v>3.846153846153845E-2</v>
      </c>
      <c r="K717" s="102">
        <v>55</v>
      </c>
      <c r="L717" s="35" t="str">
        <f>IFERROR(_xlfn.XLOOKUP(Table6[[#This Row],[Error Code]],'Basic Data'!$AA:$AA,'Basic Data'!$AB:$AB),"Incorrect Error Code")</f>
        <v>WTG shut down</v>
      </c>
      <c r="M717" s="35" t="s">
        <v>330</v>
      </c>
      <c r="N717" s="475"/>
      <c r="O717" s="476">
        <v>0.80833333333333335</v>
      </c>
      <c r="P717" s="476">
        <v>0.80833333333333335</v>
      </c>
      <c r="Q717" s="477">
        <v>0.83333333333333337</v>
      </c>
      <c r="R717" s="472">
        <f>IF(Table6[[#This Row],[Work Start TimeStamp]]="","",(Table6[[#This Row],[Work Start TimeStamp]]-Table6[[#This Row],[Fault Start TimeStamp]])*24)</f>
        <v>0</v>
      </c>
      <c r="S717" s="472">
        <f>(Table6[[#This Row],[Fault Clearance time]]-Table6[[#This Row],[Work Start TimeStamp]])*24</f>
        <v>0.60000000000000053</v>
      </c>
      <c r="T717" s="472">
        <f>(Table6[[#This Row],[Fault Clearance time]]-Table6[[#This Row],[Fault Start TimeStamp]])*24</f>
        <v>0.60000000000000053</v>
      </c>
      <c r="U717" s="35" t="s">
        <v>1744</v>
      </c>
      <c r="V717" s="102" t="s">
        <v>293</v>
      </c>
      <c r="W717" s="478">
        <f>IFERROR(Table6[[#This Row],[Breakdown Time]]*Table6[[#This Row],[Plant Equivalent Weightage]],"")</f>
        <v>2.3076923076923092E-2</v>
      </c>
      <c r="X717" s="473" t="s">
        <v>294</v>
      </c>
      <c r="Y717" s="474" t="s">
        <v>74</v>
      </c>
      <c r="Z717" s="102">
        <v>16319</v>
      </c>
      <c r="AA717" s="468">
        <f>(Table6[[#This Row],[Paired WTG Generation for loss calculation]]/24)*Table6[[#This Row],[Breakdown Time]]</f>
        <v>407.97500000000036</v>
      </c>
      <c r="AB717" s="102"/>
      <c r="AC717" s="35"/>
      <c r="AD717" s="35"/>
    </row>
    <row r="718" spans="1:30">
      <c r="A718" s="102">
        <f t="shared" ref="A718:A781" si="12">A717+1</f>
        <v>717</v>
      </c>
      <c r="B718" s="468">
        <f>YEAR(Table6[[#This Row],[Date]])+IF(MONTH(Table6[[#This Row],[Date]])&gt;=4,1,0)</f>
        <v>2026</v>
      </c>
      <c r="C718" s="102">
        <f>YEAR(Table6[[#This Row],[Date]])</f>
        <v>2025</v>
      </c>
      <c r="D718" s="102" t="s">
        <v>1992</v>
      </c>
      <c r="E718" s="469">
        <f>Table6[[#This Row],[Date]]-DAY(Table6[[#This Row],[Date]])+1</f>
        <v>45778</v>
      </c>
      <c r="F718" s="470">
        <v>45792</v>
      </c>
      <c r="G718" s="35" t="s">
        <v>74</v>
      </c>
      <c r="H718" s="35" t="str">
        <f>IFERROR(_xlfn.XLOOKUP(Table6[[#This Row],[Affected WTG]],'Basic Data'!$A:$A,'Basic Data'!$B:$B),"")</f>
        <v>TQGXIIPL</v>
      </c>
      <c r="I718" s="35" t="str">
        <f>IFERROR(_xlfn.XLOOKUP(Table6[[#This Row],[Affected WTG]],'Basic Data'!$A:$A,'Basic Data'!$C:$C),"")</f>
        <v>GEDA</v>
      </c>
      <c r="J718" s="471">
        <f>IFERROR(_xlfn.XLOOKUP(Table6[[#This Row],[Affected WTG]],'Basic Data'!$A:$A,'Basic Data'!$E:$E),"")</f>
        <v>3.846153846153845E-2</v>
      </c>
      <c r="K718" s="102">
        <v>6130</v>
      </c>
      <c r="L718" s="35" t="str">
        <f>IFERROR(_xlfn.XLOOKUP(Table6[[#This Row],[Error Code]],'Basic Data'!$AA:$AA,'Basic Data'!$AB:$AB),"Incorrect Error Code")</f>
        <v>Yaw speed high</v>
      </c>
      <c r="M718" s="35" t="s">
        <v>291</v>
      </c>
      <c r="N718" s="475"/>
      <c r="O718" s="476">
        <v>0.76875000000000004</v>
      </c>
      <c r="P718" s="476">
        <v>0.76875000000000004</v>
      </c>
      <c r="Q718" s="477">
        <v>0.7729166666666667</v>
      </c>
      <c r="R718" s="472">
        <f>IF(Table6[[#This Row],[Work Start TimeStamp]]="","",(Table6[[#This Row],[Work Start TimeStamp]]-Table6[[#This Row],[Fault Start TimeStamp]])*24)</f>
        <v>0</v>
      </c>
      <c r="S718" s="472">
        <f>(Table6[[#This Row],[Fault Clearance time]]-Table6[[#This Row],[Work Start TimeStamp]])*24</f>
        <v>9.9999999999999645E-2</v>
      </c>
      <c r="T718" s="472">
        <f>(Table6[[#This Row],[Fault Clearance time]]-Table6[[#This Row],[Fault Start TimeStamp]])*24</f>
        <v>9.9999999999999645E-2</v>
      </c>
      <c r="U718" s="35" t="s">
        <v>343</v>
      </c>
      <c r="V718" s="102" t="s">
        <v>293</v>
      </c>
      <c r="W718" s="478">
        <f>IFERROR(Table6[[#This Row],[Breakdown Time]]*Table6[[#This Row],[Plant Equivalent Weightage]],"")</f>
        <v>3.8461538461538312E-3</v>
      </c>
      <c r="X718" s="473" t="s">
        <v>294</v>
      </c>
      <c r="Y718" s="474" t="s">
        <v>99</v>
      </c>
      <c r="Z718" s="102">
        <v>11056</v>
      </c>
      <c r="AA718" s="468">
        <f>(Table6[[#This Row],[Paired WTG Generation for loss calculation]]/24)*Table6[[#This Row],[Breakdown Time]]</f>
        <v>46.066666666666507</v>
      </c>
      <c r="AB718" s="102"/>
      <c r="AC718" s="35"/>
      <c r="AD718" s="35"/>
    </row>
    <row r="719" spans="1:30">
      <c r="A719" s="102">
        <f t="shared" si="12"/>
        <v>718</v>
      </c>
      <c r="B719" s="468">
        <f>YEAR(Table6[[#This Row],[Date]])+IF(MONTH(Table6[[#This Row],[Date]])&gt;=4,1,0)</f>
        <v>2026</v>
      </c>
      <c r="C719" s="102">
        <f>YEAR(Table6[[#This Row],[Date]])</f>
        <v>2025</v>
      </c>
      <c r="D719" s="102" t="s">
        <v>1992</v>
      </c>
      <c r="E719" s="469">
        <f>Table6[[#This Row],[Date]]-DAY(Table6[[#This Row],[Date]])+1</f>
        <v>45778</v>
      </c>
      <c r="F719" s="470">
        <v>45792</v>
      </c>
      <c r="G719" s="35" t="s">
        <v>78</v>
      </c>
      <c r="H719" s="35" t="str">
        <f>IFERROR(_xlfn.XLOOKUP(Table6[[#This Row],[Affected WTG]],'Basic Data'!$A:$A,'Basic Data'!$B:$B),"")</f>
        <v>TQGXIIPL</v>
      </c>
      <c r="I719" s="35" t="str">
        <f>IFERROR(_xlfn.XLOOKUP(Table6[[#This Row],[Affected WTG]],'Basic Data'!$A:$A,'Basic Data'!$C:$C),"")</f>
        <v>GEDA</v>
      </c>
      <c r="J719" s="471">
        <f>IFERROR(_xlfn.XLOOKUP(Table6[[#This Row],[Affected WTG]],'Basic Data'!$A:$A,'Basic Data'!$E:$E),"")</f>
        <v>3.846153846153845E-2</v>
      </c>
      <c r="K719" s="102">
        <v>3110</v>
      </c>
      <c r="L719" s="35" t="str">
        <f>IFERROR(_xlfn.XLOOKUP(Table6[[#This Row],[Error Code]],'Basic Data'!$AA:$AA,'Basic Data'!$AB:$AB),"Incorrect Error Code")</f>
        <v>Frequency converter error</v>
      </c>
      <c r="M719" s="35" t="s">
        <v>291</v>
      </c>
      <c r="N719" s="475"/>
      <c r="O719" s="476">
        <v>0.12708333333333333</v>
      </c>
      <c r="P719" s="476">
        <v>0.12708333333333333</v>
      </c>
      <c r="Q719" s="477">
        <v>0.15</v>
      </c>
      <c r="R719" s="472">
        <f>IF(Table6[[#This Row],[Work Start TimeStamp]]="","",(Table6[[#This Row],[Work Start TimeStamp]]-Table6[[#This Row],[Fault Start TimeStamp]])*24)</f>
        <v>0</v>
      </c>
      <c r="S719" s="472">
        <f>(Table6[[#This Row],[Fault Clearance time]]-Table6[[#This Row],[Work Start TimeStamp]])*24</f>
        <v>0.55000000000000004</v>
      </c>
      <c r="T719" s="472">
        <f>(Table6[[#This Row],[Fault Clearance time]]-Table6[[#This Row],[Fault Start TimeStamp]])*24</f>
        <v>0.55000000000000004</v>
      </c>
      <c r="U719" s="35" t="s">
        <v>343</v>
      </c>
      <c r="V719" s="102" t="s">
        <v>293</v>
      </c>
      <c r="W719" s="478">
        <f>IFERROR(Table6[[#This Row],[Breakdown Time]]*Table6[[#This Row],[Plant Equivalent Weightage]],"")</f>
        <v>2.1153846153846148E-2</v>
      </c>
      <c r="X719" s="473" t="s">
        <v>294</v>
      </c>
      <c r="Y719" s="474" t="s">
        <v>75</v>
      </c>
      <c r="Z719" s="102">
        <v>13755</v>
      </c>
      <c r="AA719" s="468">
        <f>(Table6[[#This Row],[Paired WTG Generation for loss calculation]]/24)*Table6[[#This Row],[Breakdown Time]]</f>
        <v>315.21875</v>
      </c>
      <c r="AB719" s="102"/>
      <c r="AC719" s="35"/>
      <c r="AD719" s="35"/>
    </row>
    <row r="720" spans="1:30">
      <c r="A720" s="102">
        <f t="shared" si="12"/>
        <v>719</v>
      </c>
      <c r="B720" s="468">
        <f>YEAR(Table6[[#This Row],[Date]])+IF(MONTH(Table6[[#This Row],[Date]])&gt;=4,1,0)</f>
        <v>2026</v>
      </c>
      <c r="C720" s="102">
        <f>YEAR(Table6[[#This Row],[Date]])</f>
        <v>2025</v>
      </c>
      <c r="D720" s="102" t="s">
        <v>1992</v>
      </c>
      <c r="E720" s="469">
        <f>Table6[[#This Row],[Date]]-DAY(Table6[[#This Row],[Date]])+1</f>
        <v>45778</v>
      </c>
      <c r="F720" s="470">
        <v>45792</v>
      </c>
      <c r="G720" s="35" t="s">
        <v>78</v>
      </c>
      <c r="H720" s="35" t="str">
        <f>IFERROR(_xlfn.XLOOKUP(Table6[[#This Row],[Affected WTG]],'Basic Data'!$A:$A,'Basic Data'!$B:$B),"")</f>
        <v>TQGXIIPL</v>
      </c>
      <c r="I720" s="35" t="str">
        <f>IFERROR(_xlfn.XLOOKUP(Table6[[#This Row],[Affected WTG]],'Basic Data'!$A:$A,'Basic Data'!$C:$C),"")</f>
        <v>GEDA</v>
      </c>
      <c r="J720" s="471">
        <f>IFERROR(_xlfn.XLOOKUP(Table6[[#This Row],[Affected WTG]],'Basic Data'!$A:$A,'Basic Data'!$E:$E),"")</f>
        <v>3.846153846153845E-2</v>
      </c>
      <c r="K720" s="102">
        <v>55</v>
      </c>
      <c r="L720" s="35" t="str">
        <f>IFERROR(_xlfn.XLOOKUP(Table6[[#This Row],[Error Code]],'Basic Data'!$AA:$AA,'Basic Data'!$AB:$AB),"Incorrect Error Code")</f>
        <v>WTG shut down</v>
      </c>
      <c r="M720" s="35" t="s">
        <v>328</v>
      </c>
      <c r="N720" s="475"/>
      <c r="O720" s="476">
        <v>0.45763888888888887</v>
      </c>
      <c r="P720" s="476">
        <v>0.45763888888888887</v>
      </c>
      <c r="Q720" s="477">
        <v>0.77361111111111114</v>
      </c>
      <c r="R720" s="472">
        <f>IF(Table6[[#This Row],[Work Start TimeStamp]]="","",(Table6[[#This Row],[Work Start TimeStamp]]-Table6[[#This Row],[Fault Start TimeStamp]])*24)</f>
        <v>0</v>
      </c>
      <c r="S720" s="472">
        <f>(Table6[[#This Row],[Fault Clearance time]]-Table6[[#This Row],[Work Start TimeStamp]])*24</f>
        <v>7.5833333333333339</v>
      </c>
      <c r="T720" s="472">
        <f>(Table6[[#This Row],[Fault Clearance time]]-Table6[[#This Row],[Fault Start TimeStamp]])*24</f>
        <v>7.5833333333333339</v>
      </c>
      <c r="U720" s="35" t="s">
        <v>1843</v>
      </c>
      <c r="V720" s="102" t="s">
        <v>293</v>
      </c>
      <c r="W720" s="478">
        <f>IFERROR(Table6[[#This Row],[Breakdown Time]]*Table6[[#This Row],[Plant Equivalent Weightage]],"")</f>
        <v>0.29166666666666657</v>
      </c>
      <c r="X720" s="473" t="s">
        <v>290</v>
      </c>
      <c r="Y720" s="474" t="s">
        <v>75</v>
      </c>
      <c r="Z720" s="102">
        <v>13755</v>
      </c>
      <c r="AA720" s="468">
        <f>(Table6[[#This Row],[Paired WTG Generation for loss calculation]]/24)*Table6[[#This Row],[Breakdown Time]]</f>
        <v>4346.197916666667</v>
      </c>
      <c r="AB720" s="102"/>
      <c r="AC720" s="35"/>
      <c r="AD720" s="35"/>
    </row>
    <row r="721" spans="1:30">
      <c r="A721" s="102">
        <f t="shared" si="12"/>
        <v>720</v>
      </c>
      <c r="B721" s="468">
        <f>YEAR(Table6[[#This Row],[Date]])+IF(MONTH(Table6[[#This Row],[Date]])&gt;=4,1,0)</f>
        <v>2026</v>
      </c>
      <c r="C721" s="102">
        <f>YEAR(Table6[[#This Row],[Date]])</f>
        <v>2025</v>
      </c>
      <c r="D721" s="102" t="s">
        <v>1992</v>
      </c>
      <c r="E721" s="469">
        <f>Table6[[#This Row],[Date]]-DAY(Table6[[#This Row],[Date]])+1</f>
        <v>45778</v>
      </c>
      <c r="F721" s="470">
        <v>45792</v>
      </c>
      <c r="G721" s="35" t="s">
        <v>80</v>
      </c>
      <c r="H721" s="35" t="str">
        <f>IFERROR(_xlfn.XLOOKUP(Table6[[#This Row],[Affected WTG]],'Basic Data'!$A:$A,'Basic Data'!$B:$B),"")</f>
        <v>TQGXIIPL</v>
      </c>
      <c r="I721" s="35" t="str">
        <f>IFERROR(_xlfn.XLOOKUP(Table6[[#This Row],[Affected WTG]],'Basic Data'!$A:$A,'Basic Data'!$C:$C),"")</f>
        <v>GEDA</v>
      </c>
      <c r="J721" s="471">
        <f>IFERROR(_xlfn.XLOOKUP(Table6[[#This Row],[Affected WTG]],'Basic Data'!$A:$A,'Basic Data'!$E:$E),"")</f>
        <v>3.846153846153845E-2</v>
      </c>
      <c r="K721" s="102">
        <v>3800</v>
      </c>
      <c r="L721" s="35" t="str">
        <f>IFERROR(_xlfn.XLOOKUP(Table6[[#This Row],[Error Code]],'Basic Data'!$AA:$AA,'Basic Data'!$AB:$AB),"Incorrect Error Code")</f>
        <v>Circuit breaker</v>
      </c>
      <c r="M721" s="35" t="s">
        <v>295</v>
      </c>
      <c r="N721" s="475"/>
      <c r="O721" s="476">
        <v>0.11597222222222223</v>
      </c>
      <c r="P721" s="476">
        <v>0.11597222222222223</v>
      </c>
      <c r="Q721" s="477">
        <v>0.53749999999999998</v>
      </c>
      <c r="R721" s="472">
        <f>IF(Table6[[#This Row],[Work Start TimeStamp]]="","",(Table6[[#This Row],[Work Start TimeStamp]]-Table6[[#This Row],[Fault Start TimeStamp]])*24)</f>
        <v>0</v>
      </c>
      <c r="S721" s="472">
        <f>(Table6[[#This Row],[Fault Clearance time]]-Table6[[#This Row],[Work Start TimeStamp]])*24</f>
        <v>10.116666666666665</v>
      </c>
      <c r="T721" s="472">
        <f>(Table6[[#This Row],[Fault Clearance time]]-Table6[[#This Row],[Fault Start TimeStamp]])*24</f>
        <v>10.116666666666665</v>
      </c>
      <c r="U721" s="35" t="s">
        <v>1822</v>
      </c>
      <c r="V721" s="102" t="s">
        <v>293</v>
      </c>
      <c r="W721" s="478">
        <f>IFERROR(Table6[[#This Row],[Breakdown Time]]*Table6[[#This Row],[Plant Equivalent Weightage]],"")</f>
        <v>0.38910256410256394</v>
      </c>
      <c r="X721" s="473" t="s">
        <v>290</v>
      </c>
      <c r="Y721" s="474" t="s">
        <v>77</v>
      </c>
      <c r="Z721" s="102">
        <v>10727</v>
      </c>
      <c r="AA721" s="468">
        <f>(Table6[[#This Row],[Paired WTG Generation for loss calculation]]/24)*Table6[[#This Row],[Breakdown Time]]</f>
        <v>4521.7284722222212</v>
      </c>
      <c r="AB721" s="102"/>
      <c r="AC721" s="35"/>
      <c r="AD721" s="35"/>
    </row>
    <row r="722" spans="1:30">
      <c r="A722" s="102">
        <f t="shared" si="12"/>
        <v>721</v>
      </c>
      <c r="B722" s="468">
        <f>YEAR(Table6[[#This Row],[Date]])+IF(MONTH(Table6[[#This Row],[Date]])&gt;=4,1,0)</f>
        <v>2026</v>
      </c>
      <c r="C722" s="102">
        <f>YEAR(Table6[[#This Row],[Date]])</f>
        <v>2025</v>
      </c>
      <c r="D722" s="102" t="s">
        <v>1992</v>
      </c>
      <c r="E722" s="469">
        <f>Table6[[#This Row],[Date]]-DAY(Table6[[#This Row],[Date]])+1</f>
        <v>45778</v>
      </c>
      <c r="F722" s="470">
        <v>45792</v>
      </c>
      <c r="G722" s="35" t="s">
        <v>80</v>
      </c>
      <c r="H722" s="35" t="str">
        <f>IFERROR(_xlfn.XLOOKUP(Table6[[#This Row],[Affected WTG]],'Basic Data'!$A:$A,'Basic Data'!$B:$B),"")</f>
        <v>TQGXIIPL</v>
      </c>
      <c r="I722" s="35" t="str">
        <f>IFERROR(_xlfn.XLOOKUP(Table6[[#This Row],[Affected WTG]],'Basic Data'!$A:$A,'Basic Data'!$C:$C),"")</f>
        <v>GEDA</v>
      </c>
      <c r="J722" s="471">
        <f>IFERROR(_xlfn.XLOOKUP(Table6[[#This Row],[Affected WTG]],'Basic Data'!$A:$A,'Basic Data'!$E:$E),"")</f>
        <v>3.846153846153845E-2</v>
      </c>
      <c r="K722" s="102">
        <v>3800</v>
      </c>
      <c r="L722" s="35" t="str">
        <f>IFERROR(_xlfn.XLOOKUP(Table6[[#This Row],[Error Code]],'Basic Data'!$AA:$AA,'Basic Data'!$AB:$AB),"Incorrect Error Code")</f>
        <v>Circuit breaker</v>
      </c>
      <c r="M722" s="35" t="s">
        <v>291</v>
      </c>
      <c r="N722" s="475"/>
      <c r="O722" s="476">
        <v>0.93055555555555558</v>
      </c>
      <c r="P722" s="476">
        <v>0.93055555555555558</v>
      </c>
      <c r="Q722" s="477">
        <v>0.99998842592592596</v>
      </c>
      <c r="R722" s="472">
        <f>IF(Table6[[#This Row],[Work Start TimeStamp]]="","",(Table6[[#This Row],[Work Start TimeStamp]]-Table6[[#This Row],[Fault Start TimeStamp]])*24)</f>
        <v>0</v>
      </c>
      <c r="S722" s="472">
        <f>(Table6[[#This Row],[Fault Clearance time]]-Table6[[#This Row],[Work Start TimeStamp]])*24</f>
        <v>1.6663888888888891</v>
      </c>
      <c r="T722" s="472">
        <f>(Table6[[#This Row],[Fault Clearance time]]-Table6[[#This Row],[Fault Start TimeStamp]])*24</f>
        <v>1.6663888888888891</v>
      </c>
      <c r="U722" s="35" t="s">
        <v>1823</v>
      </c>
      <c r="V722" s="102" t="s">
        <v>293</v>
      </c>
      <c r="W722" s="478">
        <f>IFERROR(Table6[[#This Row],[Breakdown Time]]*Table6[[#This Row],[Plant Equivalent Weightage]],"")</f>
        <v>6.4091880341880333E-2</v>
      </c>
      <c r="X722" s="473" t="s">
        <v>290</v>
      </c>
      <c r="Y722" s="474" t="s">
        <v>77</v>
      </c>
      <c r="Z722" s="102">
        <v>10727</v>
      </c>
      <c r="AA722" s="468">
        <f>(Table6[[#This Row],[Paired WTG Generation for loss calculation]]/24)*Table6[[#This Row],[Breakdown Time]]</f>
        <v>744.8064004629631</v>
      </c>
      <c r="AB722" s="102"/>
      <c r="AC722" s="35"/>
      <c r="AD722" s="35"/>
    </row>
    <row r="723" spans="1:30">
      <c r="A723" s="102">
        <f t="shared" si="12"/>
        <v>722</v>
      </c>
      <c r="B723" s="468">
        <f>YEAR(Table6[[#This Row],[Date]])+IF(MONTH(Table6[[#This Row],[Date]])&gt;=4,1,0)</f>
        <v>2026</v>
      </c>
      <c r="C723" s="102">
        <f>YEAR(Table6[[#This Row],[Date]])</f>
        <v>2025</v>
      </c>
      <c r="D723" s="102" t="s">
        <v>1992</v>
      </c>
      <c r="E723" s="469">
        <f>Table6[[#This Row],[Date]]-DAY(Table6[[#This Row],[Date]])+1</f>
        <v>45778</v>
      </c>
      <c r="F723" s="470">
        <v>45792</v>
      </c>
      <c r="G723" s="35" t="s">
        <v>81</v>
      </c>
      <c r="H723" s="35" t="str">
        <f>IFERROR(_xlfn.XLOOKUP(Table6[[#This Row],[Affected WTG]],'Basic Data'!$A:$A,'Basic Data'!$B:$B),"")</f>
        <v>TQGXIIPL</v>
      </c>
      <c r="I723" s="35" t="str">
        <f>IFERROR(_xlfn.XLOOKUP(Table6[[#This Row],[Affected WTG]],'Basic Data'!$A:$A,'Basic Data'!$C:$C),"")</f>
        <v>GEDA</v>
      </c>
      <c r="J723" s="471">
        <f>IFERROR(_xlfn.XLOOKUP(Table6[[#This Row],[Affected WTG]],'Basic Data'!$A:$A,'Basic Data'!$E:$E),"")</f>
        <v>3.846153846153845E-2</v>
      </c>
      <c r="K723" s="102">
        <v>55</v>
      </c>
      <c r="L723" s="35" t="str">
        <f>IFERROR(_xlfn.XLOOKUP(Table6[[#This Row],[Error Code]],'Basic Data'!$AA:$AA,'Basic Data'!$AB:$AB),"Incorrect Error Code")</f>
        <v>WTG shut down</v>
      </c>
      <c r="M723" s="35" t="s">
        <v>330</v>
      </c>
      <c r="N723" s="475"/>
      <c r="O723" s="476">
        <v>0.82638888888888884</v>
      </c>
      <c r="P723" s="476">
        <v>0.82638888888888884</v>
      </c>
      <c r="Q723" s="477">
        <v>0.84166666666666667</v>
      </c>
      <c r="R723" s="472">
        <f>IF(Table6[[#This Row],[Work Start TimeStamp]]="","",(Table6[[#This Row],[Work Start TimeStamp]]-Table6[[#This Row],[Fault Start TimeStamp]])*24)</f>
        <v>0</v>
      </c>
      <c r="S723" s="472">
        <f>(Table6[[#This Row],[Fault Clearance time]]-Table6[[#This Row],[Work Start TimeStamp]])*24</f>
        <v>0.36666666666666803</v>
      </c>
      <c r="T723" s="472">
        <f>(Table6[[#This Row],[Fault Clearance time]]-Table6[[#This Row],[Fault Start TimeStamp]])*24</f>
        <v>0.36666666666666803</v>
      </c>
      <c r="U723" s="35" t="s">
        <v>1744</v>
      </c>
      <c r="V723" s="102" t="s">
        <v>293</v>
      </c>
      <c r="W723" s="478">
        <f>IFERROR(Table6[[#This Row],[Breakdown Time]]*Table6[[#This Row],[Plant Equivalent Weightage]],"")</f>
        <v>1.4102564102564151E-2</v>
      </c>
      <c r="X723" s="473" t="s">
        <v>294</v>
      </c>
      <c r="Y723" s="474" t="s">
        <v>99</v>
      </c>
      <c r="Z723" s="102">
        <v>11056</v>
      </c>
      <c r="AA723" s="468">
        <f>(Table6[[#This Row],[Paired WTG Generation for loss calculation]]/24)*Table6[[#This Row],[Breakdown Time]]</f>
        <v>168.91111111111175</v>
      </c>
      <c r="AB723" s="102"/>
      <c r="AC723" s="35"/>
      <c r="AD723" s="35"/>
    </row>
    <row r="724" spans="1:30">
      <c r="A724" s="102">
        <f t="shared" si="12"/>
        <v>723</v>
      </c>
      <c r="B724" s="468">
        <f>YEAR(Table6[[#This Row],[Date]])+IF(MONTH(Table6[[#This Row],[Date]])&gt;=4,1,0)</f>
        <v>2026</v>
      </c>
      <c r="C724" s="102">
        <f>YEAR(Table6[[#This Row],[Date]])</f>
        <v>2025</v>
      </c>
      <c r="D724" s="102" t="s">
        <v>1992</v>
      </c>
      <c r="E724" s="469">
        <f>Table6[[#This Row],[Date]]-DAY(Table6[[#This Row],[Date]])+1</f>
        <v>45778</v>
      </c>
      <c r="F724" s="470">
        <v>45792</v>
      </c>
      <c r="G724" s="35" t="s">
        <v>88</v>
      </c>
      <c r="H724" s="35" t="str">
        <f>IFERROR(_xlfn.XLOOKUP(Table6[[#This Row],[Affected WTG]],'Basic Data'!$A:$A,'Basic Data'!$B:$B),"")</f>
        <v>TQGXIIPL</v>
      </c>
      <c r="I724" s="35" t="str">
        <f>IFERROR(_xlfn.XLOOKUP(Table6[[#This Row],[Affected WTG]],'Basic Data'!$A:$A,'Basic Data'!$C:$C),"")</f>
        <v>GEDA</v>
      </c>
      <c r="J724" s="471">
        <f>IFERROR(_xlfn.XLOOKUP(Table6[[#This Row],[Affected WTG]],'Basic Data'!$A:$A,'Basic Data'!$E:$E),"")</f>
        <v>3.846153846153845E-2</v>
      </c>
      <c r="K724" s="102">
        <v>58</v>
      </c>
      <c r="L724" s="35" t="str">
        <f>IFERROR(_xlfn.XLOOKUP(Table6[[#This Row],[Error Code]],'Basic Data'!$AA:$AA,'Basic Data'!$AB:$AB),"Incorrect Error Code")</f>
        <v>Wind dir.dev. level 2</v>
      </c>
      <c r="M724" s="35" t="s">
        <v>291</v>
      </c>
      <c r="N724" s="475"/>
      <c r="O724" s="476">
        <v>0.7104166666666667</v>
      </c>
      <c r="P724" s="476">
        <v>0.7104166666666667</v>
      </c>
      <c r="Q724" s="477">
        <v>0.71250000000000002</v>
      </c>
      <c r="R724" s="472">
        <f>IF(Table6[[#This Row],[Work Start TimeStamp]]="","",(Table6[[#This Row],[Work Start TimeStamp]]-Table6[[#This Row],[Fault Start TimeStamp]])*24)</f>
        <v>0</v>
      </c>
      <c r="S724" s="472">
        <f>(Table6[[#This Row],[Fault Clearance time]]-Table6[[#This Row],[Work Start TimeStamp]])*24</f>
        <v>4.9999999999999822E-2</v>
      </c>
      <c r="T724" s="472">
        <f>(Table6[[#This Row],[Fault Clearance time]]-Table6[[#This Row],[Fault Start TimeStamp]])*24</f>
        <v>4.9999999999999822E-2</v>
      </c>
      <c r="U724" s="35" t="s">
        <v>343</v>
      </c>
      <c r="V724" s="102" t="s">
        <v>293</v>
      </c>
      <c r="W724" s="478">
        <f>IFERROR(Table6[[#This Row],[Breakdown Time]]*Table6[[#This Row],[Plant Equivalent Weightage]],"")</f>
        <v>1.9230769230769156E-3</v>
      </c>
      <c r="X724" s="473" t="s">
        <v>294</v>
      </c>
      <c r="Y724" s="474" t="s">
        <v>83</v>
      </c>
      <c r="Z724" s="102">
        <v>9261</v>
      </c>
      <c r="AA724" s="468">
        <f>(Table6[[#This Row],[Paired WTG Generation for loss calculation]]/24)*Table6[[#This Row],[Breakdown Time]]</f>
        <v>19.293749999999932</v>
      </c>
      <c r="AB724" s="102"/>
      <c r="AC724" s="35"/>
      <c r="AD724" s="35"/>
    </row>
    <row r="725" spans="1:30">
      <c r="A725" s="102">
        <f t="shared" si="12"/>
        <v>724</v>
      </c>
      <c r="B725" s="468">
        <f>YEAR(Table6[[#This Row],[Date]])+IF(MONTH(Table6[[#This Row],[Date]])&gt;=4,1,0)</f>
        <v>2026</v>
      </c>
      <c r="C725" s="102">
        <f>YEAR(Table6[[#This Row],[Date]])</f>
        <v>2025</v>
      </c>
      <c r="D725" s="102" t="s">
        <v>1992</v>
      </c>
      <c r="E725" s="469">
        <f>Table6[[#This Row],[Date]]-DAY(Table6[[#This Row],[Date]])+1</f>
        <v>45778</v>
      </c>
      <c r="F725" s="470">
        <v>45792</v>
      </c>
      <c r="G725" s="35" t="s">
        <v>89</v>
      </c>
      <c r="H725" s="35" t="str">
        <f>IFERROR(_xlfn.XLOOKUP(Table6[[#This Row],[Affected WTG]],'Basic Data'!$A:$A,'Basic Data'!$B:$B),"")</f>
        <v>TQGXIIPL</v>
      </c>
      <c r="I725" s="35" t="str">
        <f>IFERROR(_xlfn.XLOOKUP(Table6[[#This Row],[Affected WTG]],'Basic Data'!$A:$A,'Basic Data'!$C:$C),"")</f>
        <v>GEDA</v>
      </c>
      <c r="J725" s="471">
        <f>IFERROR(_xlfn.XLOOKUP(Table6[[#This Row],[Affected WTG]],'Basic Data'!$A:$A,'Basic Data'!$E:$E),"")</f>
        <v>3.846153846153845E-2</v>
      </c>
      <c r="K725" s="102">
        <v>5510</v>
      </c>
      <c r="L725" s="35" t="str">
        <f>IFERROR(_xlfn.XLOOKUP(Table6[[#This Row],[Error Code]],'Basic Data'!$AA:$AA,'Basic Data'!$AB:$AB),"Incorrect Error Code")</f>
        <v>Low hydraulic pressure</v>
      </c>
      <c r="M725" s="35" t="s">
        <v>291</v>
      </c>
      <c r="N725" s="475"/>
      <c r="O725" s="476">
        <v>0.77500000000000002</v>
      </c>
      <c r="P725" s="476">
        <v>0.77500000000000002</v>
      </c>
      <c r="Q725" s="477">
        <v>0.77708333333333335</v>
      </c>
      <c r="R725" s="472">
        <f>IF(Table6[[#This Row],[Work Start TimeStamp]]="","",(Table6[[#This Row],[Work Start TimeStamp]]-Table6[[#This Row],[Fault Start TimeStamp]])*24)</f>
        <v>0</v>
      </c>
      <c r="S725" s="472">
        <f>(Table6[[#This Row],[Fault Clearance time]]-Table6[[#This Row],[Work Start TimeStamp]])*24</f>
        <v>4.9999999999999822E-2</v>
      </c>
      <c r="T725" s="472">
        <f>(Table6[[#This Row],[Fault Clearance time]]-Table6[[#This Row],[Fault Start TimeStamp]])*24</f>
        <v>4.9999999999999822E-2</v>
      </c>
      <c r="U725" s="35" t="s">
        <v>343</v>
      </c>
      <c r="V725" s="102" t="s">
        <v>293</v>
      </c>
      <c r="W725" s="478">
        <f>IFERROR(Table6[[#This Row],[Breakdown Time]]*Table6[[#This Row],[Plant Equivalent Weightage]],"")</f>
        <v>1.9230769230769156E-3</v>
      </c>
      <c r="X725" s="473" t="s">
        <v>294</v>
      </c>
      <c r="Y725" s="474" t="s">
        <v>94</v>
      </c>
      <c r="Z725" s="102">
        <v>8783</v>
      </c>
      <c r="AA725" s="468">
        <f>(Table6[[#This Row],[Paired WTG Generation for loss calculation]]/24)*Table6[[#This Row],[Breakdown Time]]</f>
        <v>18.297916666666602</v>
      </c>
      <c r="AB725" s="102"/>
      <c r="AC725" s="35"/>
      <c r="AD725" s="35"/>
    </row>
    <row r="726" spans="1:30">
      <c r="A726" s="102">
        <f t="shared" si="12"/>
        <v>725</v>
      </c>
      <c r="B726" s="468">
        <f>YEAR(Table6[[#This Row],[Date]])+IF(MONTH(Table6[[#This Row],[Date]])&gt;=4,1,0)</f>
        <v>2026</v>
      </c>
      <c r="C726" s="102">
        <f>YEAR(Table6[[#This Row],[Date]])</f>
        <v>2025</v>
      </c>
      <c r="D726" s="102" t="s">
        <v>1992</v>
      </c>
      <c r="E726" s="469">
        <f>Table6[[#This Row],[Date]]-DAY(Table6[[#This Row],[Date]])+1</f>
        <v>45778</v>
      </c>
      <c r="F726" s="470">
        <v>45792</v>
      </c>
      <c r="G726" s="35" t="s">
        <v>96</v>
      </c>
      <c r="H726" s="35" t="str">
        <f>IFERROR(_xlfn.XLOOKUP(Table6[[#This Row],[Affected WTG]],'Basic Data'!$A:$A,'Basic Data'!$B:$B),"")</f>
        <v>TQGXIIPL</v>
      </c>
      <c r="I726" s="35" t="str">
        <f>IFERROR(_xlfn.XLOOKUP(Table6[[#This Row],[Affected WTG]],'Basic Data'!$A:$A,'Basic Data'!$C:$C),"")</f>
        <v>GEDA</v>
      </c>
      <c r="J726" s="471">
        <f>IFERROR(_xlfn.XLOOKUP(Table6[[#This Row],[Affected WTG]],'Basic Data'!$A:$A,'Basic Data'!$E:$E),"")</f>
        <v>3.846153846153845E-2</v>
      </c>
      <c r="K726" s="102">
        <v>55</v>
      </c>
      <c r="L726" s="35" t="str">
        <f>IFERROR(_xlfn.XLOOKUP(Table6[[#This Row],[Error Code]],'Basic Data'!$AA:$AA,'Basic Data'!$AB:$AB),"Incorrect Error Code")</f>
        <v>WTG shut down</v>
      </c>
      <c r="M726" s="35" t="s">
        <v>330</v>
      </c>
      <c r="N726" s="475"/>
      <c r="O726" s="476">
        <v>0.82152777777777775</v>
      </c>
      <c r="P726" s="476">
        <v>0.82152777777777775</v>
      </c>
      <c r="Q726" s="477">
        <v>0.84583333333333333</v>
      </c>
      <c r="R726" s="472">
        <f>IF(Table6[[#This Row],[Work Start TimeStamp]]="","",(Table6[[#This Row],[Work Start TimeStamp]]-Table6[[#This Row],[Fault Start TimeStamp]])*24)</f>
        <v>0</v>
      </c>
      <c r="S726" s="472">
        <f>(Table6[[#This Row],[Fault Clearance time]]-Table6[[#This Row],[Work Start TimeStamp]])*24</f>
        <v>0.58333333333333393</v>
      </c>
      <c r="T726" s="472">
        <f>(Table6[[#This Row],[Fault Clearance time]]-Table6[[#This Row],[Fault Start TimeStamp]])*24</f>
        <v>0.58333333333333393</v>
      </c>
      <c r="U726" s="35" t="s">
        <v>1744</v>
      </c>
      <c r="V726" s="102" t="s">
        <v>293</v>
      </c>
      <c r="W726" s="478">
        <f>IFERROR(Table6[[#This Row],[Breakdown Time]]*Table6[[#This Row],[Plant Equivalent Weightage]],"")</f>
        <v>2.2435897435897453E-2</v>
      </c>
      <c r="X726" s="473" t="s">
        <v>294</v>
      </c>
      <c r="Y726" s="474" t="s">
        <v>84</v>
      </c>
      <c r="Z726" s="102">
        <v>9679</v>
      </c>
      <c r="AA726" s="468">
        <f>(Table6[[#This Row],[Paired WTG Generation for loss calculation]]/24)*Table6[[#This Row],[Breakdown Time]]</f>
        <v>235.25347222222248</v>
      </c>
      <c r="AB726" s="102"/>
      <c r="AC726" s="35"/>
      <c r="AD726" s="35"/>
    </row>
    <row r="727" spans="1:30">
      <c r="A727" s="102">
        <f t="shared" si="12"/>
        <v>726</v>
      </c>
      <c r="B727" s="468">
        <f>YEAR(Table6[[#This Row],[Date]])+IF(MONTH(Table6[[#This Row],[Date]])&gt;=4,1,0)</f>
        <v>2026</v>
      </c>
      <c r="C727" s="102">
        <f>YEAR(Table6[[#This Row],[Date]])</f>
        <v>2025</v>
      </c>
      <c r="D727" s="102" t="s">
        <v>1992</v>
      </c>
      <c r="E727" s="469">
        <f>Table6[[#This Row],[Date]]-DAY(Table6[[#This Row],[Date]])+1</f>
        <v>45778</v>
      </c>
      <c r="F727" s="470">
        <v>45793</v>
      </c>
      <c r="G727" s="35" t="s">
        <v>74</v>
      </c>
      <c r="H727" s="35" t="str">
        <f>IFERROR(_xlfn.XLOOKUP(Table6[[#This Row],[Affected WTG]],'Basic Data'!$A:$A,'Basic Data'!$B:$B),"")</f>
        <v>TQGXIIPL</v>
      </c>
      <c r="I727" s="35" t="str">
        <f>IFERROR(_xlfn.XLOOKUP(Table6[[#This Row],[Affected WTG]],'Basic Data'!$A:$A,'Basic Data'!$C:$C),"")</f>
        <v>GEDA</v>
      </c>
      <c r="J727" s="471">
        <f>IFERROR(_xlfn.XLOOKUP(Table6[[#This Row],[Affected WTG]],'Basic Data'!$A:$A,'Basic Data'!$E:$E),"")</f>
        <v>3.846153846153845E-2</v>
      </c>
      <c r="K727" s="102">
        <v>6130</v>
      </c>
      <c r="L727" s="35" t="str">
        <f>IFERROR(_xlfn.XLOOKUP(Table6[[#This Row],[Error Code]],'Basic Data'!$AA:$AA,'Basic Data'!$AB:$AB),"Incorrect Error Code")</f>
        <v>Yaw speed high</v>
      </c>
      <c r="M727" s="35" t="s">
        <v>291</v>
      </c>
      <c r="N727" s="475"/>
      <c r="O727" s="476">
        <v>0.7104166666666667</v>
      </c>
      <c r="P727" s="476">
        <v>0.7104166666666667</v>
      </c>
      <c r="Q727" s="477">
        <v>0.71250000000000002</v>
      </c>
      <c r="R727" s="472">
        <f>IF(Table6[[#This Row],[Work Start TimeStamp]]="","",(Table6[[#This Row],[Work Start TimeStamp]]-Table6[[#This Row],[Fault Start TimeStamp]])*24)</f>
        <v>0</v>
      </c>
      <c r="S727" s="472">
        <f>(Table6[[#This Row],[Fault Clearance time]]-Table6[[#This Row],[Work Start TimeStamp]])*24</f>
        <v>4.9999999999999822E-2</v>
      </c>
      <c r="T727" s="472">
        <f>(Table6[[#This Row],[Fault Clearance time]]-Table6[[#This Row],[Fault Start TimeStamp]])*24</f>
        <v>4.9999999999999822E-2</v>
      </c>
      <c r="U727" s="35" t="s">
        <v>343</v>
      </c>
      <c r="V727" s="102" t="s">
        <v>293</v>
      </c>
      <c r="W727" s="478">
        <f>IFERROR(Table6[[#This Row],[Breakdown Time]]*Table6[[#This Row],[Plant Equivalent Weightage]],"")</f>
        <v>1.9230769230769156E-3</v>
      </c>
      <c r="X727" s="473" t="s">
        <v>294</v>
      </c>
      <c r="Y727" s="474" t="s">
        <v>99</v>
      </c>
      <c r="Z727" s="102">
        <v>17902</v>
      </c>
      <c r="AA727" s="468">
        <f>(Table6[[#This Row],[Paired WTG Generation for loss calculation]]/24)*Table6[[#This Row],[Breakdown Time]]</f>
        <v>37.295833333333199</v>
      </c>
      <c r="AB727" s="102"/>
      <c r="AC727" s="35"/>
      <c r="AD727" s="35"/>
    </row>
    <row r="728" spans="1:30">
      <c r="A728" s="102">
        <f t="shared" si="12"/>
        <v>727</v>
      </c>
      <c r="B728" s="468">
        <f>YEAR(Table6[[#This Row],[Date]])+IF(MONTH(Table6[[#This Row],[Date]])&gt;=4,1,0)</f>
        <v>2026</v>
      </c>
      <c r="C728" s="102">
        <f>YEAR(Table6[[#This Row],[Date]])</f>
        <v>2025</v>
      </c>
      <c r="D728" s="102" t="s">
        <v>1992</v>
      </c>
      <c r="E728" s="469">
        <f>Table6[[#This Row],[Date]]-DAY(Table6[[#This Row],[Date]])+1</f>
        <v>45778</v>
      </c>
      <c r="F728" s="470">
        <v>45793</v>
      </c>
      <c r="G728" s="35" t="s">
        <v>74</v>
      </c>
      <c r="H728" s="35" t="str">
        <f>IFERROR(_xlfn.XLOOKUP(Table6[[#This Row],[Affected WTG]],'Basic Data'!$A:$A,'Basic Data'!$B:$B),"")</f>
        <v>TQGXIIPL</v>
      </c>
      <c r="I728" s="35" t="str">
        <f>IFERROR(_xlfn.XLOOKUP(Table6[[#This Row],[Affected WTG]],'Basic Data'!$A:$A,'Basic Data'!$C:$C),"")</f>
        <v>GEDA</v>
      </c>
      <c r="J728" s="471">
        <f>IFERROR(_xlfn.XLOOKUP(Table6[[#This Row],[Affected WTG]],'Basic Data'!$A:$A,'Basic Data'!$E:$E),"")</f>
        <v>3.846153846153845E-2</v>
      </c>
      <c r="K728" s="102">
        <v>55</v>
      </c>
      <c r="L728" s="35" t="str">
        <f>IFERROR(_xlfn.XLOOKUP(Table6[[#This Row],[Error Code]],'Basic Data'!$AA:$AA,'Basic Data'!$AB:$AB),"Incorrect Error Code")</f>
        <v>WTG shut down</v>
      </c>
      <c r="M728" s="35" t="s">
        <v>330</v>
      </c>
      <c r="N728" s="475"/>
      <c r="O728" s="476">
        <v>0.76666666666666672</v>
      </c>
      <c r="P728" s="476">
        <v>0.76666666666666672</v>
      </c>
      <c r="Q728" s="477">
        <v>0.79166666666666663</v>
      </c>
      <c r="R728" s="472">
        <f>IF(Table6[[#This Row],[Work Start TimeStamp]]="","",(Table6[[#This Row],[Work Start TimeStamp]]-Table6[[#This Row],[Fault Start TimeStamp]])*24)</f>
        <v>0</v>
      </c>
      <c r="S728" s="472">
        <f>(Table6[[#This Row],[Fault Clearance time]]-Table6[[#This Row],[Work Start TimeStamp]])*24</f>
        <v>0.59999999999999787</v>
      </c>
      <c r="T728" s="472">
        <f>(Table6[[#This Row],[Fault Clearance time]]-Table6[[#This Row],[Fault Start TimeStamp]])*24</f>
        <v>0.59999999999999787</v>
      </c>
      <c r="U728" s="35" t="s">
        <v>1744</v>
      </c>
      <c r="V728" s="102" t="s">
        <v>293</v>
      </c>
      <c r="W728" s="478">
        <f>IFERROR(Table6[[#This Row],[Breakdown Time]]*Table6[[#This Row],[Plant Equivalent Weightage]],"")</f>
        <v>2.3076923076922988E-2</v>
      </c>
      <c r="X728" s="473" t="s">
        <v>294</v>
      </c>
      <c r="Y728" s="474" t="s">
        <v>99</v>
      </c>
      <c r="Z728" s="102">
        <v>17902</v>
      </c>
      <c r="AA728" s="468">
        <f>(Table6[[#This Row],[Paired WTG Generation for loss calculation]]/24)*Table6[[#This Row],[Breakdown Time]]</f>
        <v>447.54999999999836</v>
      </c>
      <c r="AB728" s="102"/>
      <c r="AC728" s="35"/>
      <c r="AD728" s="35"/>
    </row>
    <row r="729" spans="1:30">
      <c r="A729" s="102">
        <f t="shared" si="12"/>
        <v>728</v>
      </c>
      <c r="B729" s="468">
        <f>YEAR(Table6[[#This Row],[Date]])+IF(MONTH(Table6[[#This Row],[Date]])&gt;=4,1,0)</f>
        <v>2026</v>
      </c>
      <c r="C729" s="102">
        <f>YEAR(Table6[[#This Row],[Date]])</f>
        <v>2025</v>
      </c>
      <c r="D729" s="102" t="s">
        <v>1992</v>
      </c>
      <c r="E729" s="469">
        <f>Table6[[#This Row],[Date]]-DAY(Table6[[#This Row],[Date]])+1</f>
        <v>45778</v>
      </c>
      <c r="F729" s="470">
        <v>45793</v>
      </c>
      <c r="G729" s="35" t="s">
        <v>75</v>
      </c>
      <c r="H729" s="35" t="str">
        <f>IFERROR(_xlfn.XLOOKUP(Table6[[#This Row],[Affected WTG]],'Basic Data'!$A:$A,'Basic Data'!$B:$B),"")</f>
        <v>TQGXIIPL</v>
      </c>
      <c r="I729" s="35" t="str">
        <f>IFERROR(_xlfn.XLOOKUP(Table6[[#This Row],[Affected WTG]],'Basic Data'!$A:$A,'Basic Data'!$C:$C),"")</f>
        <v>GEDA</v>
      </c>
      <c r="J729" s="471">
        <f>IFERROR(_xlfn.XLOOKUP(Table6[[#This Row],[Affected WTG]],'Basic Data'!$A:$A,'Basic Data'!$E:$E),"")</f>
        <v>3.846153846153845E-2</v>
      </c>
      <c r="K729" s="102">
        <v>4960</v>
      </c>
      <c r="L729" s="35" t="str">
        <f>IFERROR(_xlfn.XLOOKUP(Table6[[#This Row],[Error Code]],'Basic Data'!$AA:$AA,'Basic Data'!$AB:$AB),"Incorrect Error Code")</f>
        <v>Tower oscillation YF</v>
      </c>
      <c r="M729" s="35" t="s">
        <v>291</v>
      </c>
      <c r="N729" s="475"/>
      <c r="O729" s="476">
        <v>0.69930555555555551</v>
      </c>
      <c r="P729" s="476">
        <v>0.69930555555555551</v>
      </c>
      <c r="Q729" s="477">
        <v>0.7104166666666667</v>
      </c>
      <c r="R729" s="472">
        <f>IF(Table6[[#This Row],[Work Start TimeStamp]]="","",(Table6[[#This Row],[Work Start TimeStamp]]-Table6[[#This Row],[Fault Start TimeStamp]])*24)</f>
        <v>0</v>
      </c>
      <c r="S729" s="472">
        <f>(Table6[[#This Row],[Fault Clearance time]]-Table6[[#This Row],[Work Start TimeStamp]])*24</f>
        <v>0.26666666666666838</v>
      </c>
      <c r="T729" s="472">
        <f>(Table6[[#This Row],[Fault Clearance time]]-Table6[[#This Row],[Fault Start TimeStamp]])*24</f>
        <v>0.26666666666666838</v>
      </c>
      <c r="U729" s="35" t="s">
        <v>343</v>
      </c>
      <c r="V729" s="102" t="s">
        <v>293</v>
      </c>
      <c r="W729" s="478">
        <f>IFERROR(Table6[[#This Row],[Breakdown Time]]*Table6[[#This Row],[Plant Equivalent Weightage]],"")</f>
        <v>1.0256410256410319E-2</v>
      </c>
      <c r="X729" s="473" t="s">
        <v>294</v>
      </c>
      <c r="Y729" s="474" t="s">
        <v>78</v>
      </c>
      <c r="Z729" s="102">
        <v>17636</v>
      </c>
      <c r="AA729" s="468">
        <f>(Table6[[#This Row],[Paired WTG Generation for loss calculation]]/24)*Table6[[#This Row],[Breakdown Time]]</f>
        <v>195.95555555555683</v>
      </c>
      <c r="AB729" s="102"/>
      <c r="AC729" s="35"/>
      <c r="AD729" s="35"/>
    </row>
    <row r="730" spans="1:30">
      <c r="A730" s="102">
        <f t="shared" si="12"/>
        <v>729</v>
      </c>
      <c r="B730" s="468">
        <f>YEAR(Table6[[#This Row],[Date]])+IF(MONTH(Table6[[#This Row],[Date]])&gt;=4,1,0)</f>
        <v>2026</v>
      </c>
      <c r="C730" s="102">
        <f>YEAR(Table6[[#This Row],[Date]])</f>
        <v>2025</v>
      </c>
      <c r="D730" s="102" t="s">
        <v>1992</v>
      </c>
      <c r="E730" s="469">
        <f>Table6[[#This Row],[Date]]-DAY(Table6[[#This Row],[Date]])+1</f>
        <v>45778</v>
      </c>
      <c r="F730" s="470">
        <v>45793</v>
      </c>
      <c r="G730" s="35" t="s">
        <v>78</v>
      </c>
      <c r="H730" s="35" t="str">
        <f>IFERROR(_xlfn.XLOOKUP(Table6[[#This Row],[Affected WTG]],'Basic Data'!$A:$A,'Basic Data'!$B:$B),"")</f>
        <v>TQGXIIPL</v>
      </c>
      <c r="I730" s="35" t="str">
        <f>IFERROR(_xlfn.XLOOKUP(Table6[[#This Row],[Affected WTG]],'Basic Data'!$A:$A,'Basic Data'!$C:$C),"")</f>
        <v>GEDA</v>
      </c>
      <c r="J730" s="471">
        <f>IFERROR(_xlfn.XLOOKUP(Table6[[#This Row],[Affected WTG]],'Basic Data'!$A:$A,'Basic Data'!$E:$E),"")</f>
        <v>3.846153846153845E-2</v>
      </c>
      <c r="K730" s="102">
        <v>4960</v>
      </c>
      <c r="L730" s="35" t="str">
        <f>IFERROR(_xlfn.XLOOKUP(Table6[[#This Row],[Error Code]],'Basic Data'!$AA:$AA,'Basic Data'!$AB:$AB),"Incorrect Error Code")</f>
        <v>Tower oscillation YF</v>
      </c>
      <c r="M730" s="35" t="s">
        <v>291</v>
      </c>
      <c r="N730" s="475"/>
      <c r="O730" s="476">
        <v>0.71458333333333335</v>
      </c>
      <c r="P730" s="476">
        <v>0.71458333333333335</v>
      </c>
      <c r="Q730" s="477">
        <v>0.71875</v>
      </c>
      <c r="R730" s="472">
        <f>IF(Table6[[#This Row],[Work Start TimeStamp]]="","",(Table6[[#This Row],[Work Start TimeStamp]]-Table6[[#This Row],[Fault Start TimeStamp]])*24)</f>
        <v>0</v>
      </c>
      <c r="S730" s="472">
        <f>(Table6[[#This Row],[Fault Clearance time]]-Table6[[#This Row],[Work Start TimeStamp]])*24</f>
        <v>9.9999999999999645E-2</v>
      </c>
      <c r="T730" s="472">
        <f>(Table6[[#This Row],[Fault Clearance time]]-Table6[[#This Row],[Fault Start TimeStamp]])*24</f>
        <v>9.9999999999999645E-2</v>
      </c>
      <c r="U730" s="35" t="s">
        <v>343</v>
      </c>
      <c r="V730" s="102" t="s">
        <v>293</v>
      </c>
      <c r="W730" s="478">
        <f>IFERROR(Table6[[#This Row],[Breakdown Time]]*Table6[[#This Row],[Plant Equivalent Weightage]],"")</f>
        <v>3.8461538461538312E-3</v>
      </c>
      <c r="X730" s="473" t="s">
        <v>294</v>
      </c>
      <c r="Y730" s="474" t="s">
        <v>75</v>
      </c>
      <c r="Z730" s="102">
        <v>18473</v>
      </c>
      <c r="AA730" s="468">
        <f>(Table6[[#This Row],[Paired WTG Generation for loss calculation]]/24)*Table6[[#This Row],[Breakdown Time]]</f>
        <v>76.970833333333061</v>
      </c>
      <c r="AB730" s="102"/>
      <c r="AC730" s="35"/>
      <c r="AD730" s="35"/>
    </row>
    <row r="731" spans="1:30">
      <c r="A731" s="102">
        <f t="shared" si="12"/>
        <v>730</v>
      </c>
      <c r="B731" s="468">
        <f>YEAR(Table6[[#This Row],[Date]])+IF(MONTH(Table6[[#This Row],[Date]])&gt;=4,1,0)</f>
        <v>2026</v>
      </c>
      <c r="C731" s="102">
        <f>YEAR(Table6[[#This Row],[Date]])</f>
        <v>2025</v>
      </c>
      <c r="D731" s="102" t="s">
        <v>1992</v>
      </c>
      <c r="E731" s="469">
        <f>Table6[[#This Row],[Date]]-DAY(Table6[[#This Row],[Date]])+1</f>
        <v>45778</v>
      </c>
      <c r="F731" s="470">
        <v>45793</v>
      </c>
      <c r="G731" s="35" t="s">
        <v>78</v>
      </c>
      <c r="H731" s="35" t="str">
        <f>IFERROR(_xlfn.XLOOKUP(Table6[[#This Row],[Affected WTG]],'Basic Data'!$A:$A,'Basic Data'!$B:$B),"")</f>
        <v>TQGXIIPL</v>
      </c>
      <c r="I731" s="35" t="str">
        <f>IFERROR(_xlfn.XLOOKUP(Table6[[#This Row],[Affected WTG]],'Basic Data'!$A:$A,'Basic Data'!$C:$C),"")</f>
        <v>GEDA</v>
      </c>
      <c r="J731" s="471">
        <f>IFERROR(_xlfn.XLOOKUP(Table6[[#This Row],[Affected WTG]],'Basic Data'!$A:$A,'Basic Data'!$E:$E),"")</f>
        <v>3.846153846153845E-2</v>
      </c>
      <c r="K731" s="102">
        <v>6605</v>
      </c>
      <c r="L731" s="35" t="str">
        <f>IFERROR(_xlfn.XLOOKUP(Table6[[#This Row],[Error Code]],'Basic Data'!$AA:$AA,'Basic Data'!$AB:$AB),"Incorrect Error Code")</f>
        <v>Wind.dir. diff. level 2</v>
      </c>
      <c r="M731" s="35" t="s">
        <v>291</v>
      </c>
      <c r="N731" s="475"/>
      <c r="O731" s="476">
        <v>0.74722222222222223</v>
      </c>
      <c r="P731" s="476">
        <v>0.74722222222222223</v>
      </c>
      <c r="Q731" s="477">
        <v>0.74861111111111112</v>
      </c>
      <c r="R731" s="472">
        <f>IF(Table6[[#This Row],[Work Start TimeStamp]]="","",(Table6[[#This Row],[Work Start TimeStamp]]-Table6[[#This Row],[Fault Start TimeStamp]])*24)</f>
        <v>0</v>
      </c>
      <c r="S731" s="472">
        <f>(Table6[[#This Row],[Fault Clearance time]]-Table6[[#This Row],[Work Start TimeStamp]])*24</f>
        <v>3.3333333333333215E-2</v>
      </c>
      <c r="T731" s="472">
        <f>(Table6[[#This Row],[Fault Clearance time]]-Table6[[#This Row],[Fault Start TimeStamp]])*24</f>
        <v>3.3333333333333215E-2</v>
      </c>
      <c r="U731" s="35" t="s">
        <v>343</v>
      </c>
      <c r="V731" s="102" t="s">
        <v>293</v>
      </c>
      <c r="W731" s="478">
        <f>IFERROR(Table6[[#This Row],[Breakdown Time]]*Table6[[#This Row],[Plant Equivalent Weightage]],"")</f>
        <v>1.2820512820512771E-3</v>
      </c>
      <c r="X731" s="473" t="s">
        <v>294</v>
      </c>
      <c r="Y731" s="474" t="s">
        <v>75</v>
      </c>
      <c r="Z731" s="102">
        <v>18473</v>
      </c>
      <c r="AA731" s="468">
        <f>(Table6[[#This Row],[Paired WTG Generation for loss calculation]]/24)*Table6[[#This Row],[Breakdown Time]]</f>
        <v>25.656944444444356</v>
      </c>
      <c r="AB731" s="102"/>
      <c r="AC731" s="35"/>
      <c r="AD731" s="35"/>
    </row>
    <row r="732" spans="1:30">
      <c r="A732" s="102">
        <f t="shared" si="12"/>
        <v>731</v>
      </c>
      <c r="B732" s="468">
        <f>YEAR(Table6[[#This Row],[Date]])+IF(MONTH(Table6[[#This Row],[Date]])&gt;=4,1,0)</f>
        <v>2026</v>
      </c>
      <c r="C732" s="102">
        <f>YEAR(Table6[[#This Row],[Date]])</f>
        <v>2025</v>
      </c>
      <c r="D732" s="102" t="s">
        <v>1992</v>
      </c>
      <c r="E732" s="469">
        <f>Table6[[#This Row],[Date]]-DAY(Table6[[#This Row],[Date]])+1</f>
        <v>45778</v>
      </c>
      <c r="F732" s="470">
        <v>45793</v>
      </c>
      <c r="G732" s="35" t="s">
        <v>80</v>
      </c>
      <c r="H732" s="35" t="str">
        <f>IFERROR(_xlfn.XLOOKUP(Table6[[#This Row],[Affected WTG]],'Basic Data'!$A:$A,'Basic Data'!$B:$B),"")</f>
        <v>TQGXIIPL</v>
      </c>
      <c r="I732" s="35" t="str">
        <f>IFERROR(_xlfn.XLOOKUP(Table6[[#This Row],[Affected WTG]],'Basic Data'!$A:$A,'Basic Data'!$C:$C),"")</f>
        <v>GEDA</v>
      </c>
      <c r="J732" s="471">
        <f>IFERROR(_xlfn.XLOOKUP(Table6[[#This Row],[Affected WTG]],'Basic Data'!$A:$A,'Basic Data'!$E:$E),"")</f>
        <v>3.846153846153845E-2</v>
      </c>
      <c r="K732" s="102">
        <v>3800</v>
      </c>
      <c r="L732" s="35" t="str">
        <f>IFERROR(_xlfn.XLOOKUP(Table6[[#This Row],[Error Code]],'Basic Data'!$AA:$AA,'Basic Data'!$AB:$AB),"Incorrect Error Code")</f>
        <v>Circuit breaker</v>
      </c>
      <c r="M732" s="35" t="s">
        <v>295</v>
      </c>
      <c r="N732" s="475"/>
      <c r="O732" s="476">
        <v>0</v>
      </c>
      <c r="P732" s="476">
        <v>0</v>
      </c>
      <c r="Q732" s="477">
        <v>0.69444444444444442</v>
      </c>
      <c r="R732" s="472">
        <f>IF(Table6[[#This Row],[Work Start TimeStamp]]="","",(Table6[[#This Row],[Work Start TimeStamp]]-Table6[[#This Row],[Fault Start TimeStamp]])*24)</f>
        <v>0</v>
      </c>
      <c r="S732" s="472">
        <f>(Table6[[#This Row],[Fault Clearance time]]-Table6[[#This Row],[Work Start TimeStamp]])*24</f>
        <v>16.666666666666664</v>
      </c>
      <c r="T732" s="472">
        <f>(Table6[[#This Row],[Fault Clearance time]]-Table6[[#This Row],[Fault Start TimeStamp]])*24</f>
        <v>16.666666666666664</v>
      </c>
      <c r="U732" s="35" t="s">
        <v>1828</v>
      </c>
      <c r="V732" s="102" t="s">
        <v>338</v>
      </c>
      <c r="W732" s="478">
        <f>IFERROR(Table6[[#This Row],[Breakdown Time]]*Table6[[#This Row],[Plant Equivalent Weightage]],"")</f>
        <v>0.64102564102564075</v>
      </c>
      <c r="X732" s="473" t="s">
        <v>290</v>
      </c>
      <c r="Y732" s="474" t="s">
        <v>77</v>
      </c>
      <c r="Z732" s="102">
        <v>13328</v>
      </c>
      <c r="AA732" s="468">
        <f>(Table6[[#This Row],[Paired WTG Generation for loss calculation]]/24)*Table6[[#This Row],[Breakdown Time]]</f>
        <v>9255.5555555555547</v>
      </c>
      <c r="AB732" s="102"/>
      <c r="AC732" s="35"/>
      <c r="AD732" s="35"/>
    </row>
    <row r="733" spans="1:30">
      <c r="A733" s="102">
        <f t="shared" si="12"/>
        <v>732</v>
      </c>
      <c r="B733" s="468">
        <f>YEAR(Table6[[#This Row],[Date]])+IF(MONTH(Table6[[#This Row],[Date]])&gt;=4,1,0)</f>
        <v>2026</v>
      </c>
      <c r="C733" s="102">
        <f>YEAR(Table6[[#This Row],[Date]])</f>
        <v>2025</v>
      </c>
      <c r="D733" s="102" t="s">
        <v>1992</v>
      </c>
      <c r="E733" s="469">
        <f>Table6[[#This Row],[Date]]-DAY(Table6[[#This Row],[Date]])+1</f>
        <v>45778</v>
      </c>
      <c r="F733" s="470">
        <v>45793</v>
      </c>
      <c r="G733" s="35" t="s">
        <v>80</v>
      </c>
      <c r="H733" s="35" t="str">
        <f>IFERROR(_xlfn.XLOOKUP(Table6[[#This Row],[Affected WTG]],'Basic Data'!$A:$A,'Basic Data'!$B:$B),"")</f>
        <v>TQGXIIPL</v>
      </c>
      <c r="I733" s="35" t="str">
        <f>IFERROR(_xlfn.XLOOKUP(Table6[[#This Row],[Affected WTG]],'Basic Data'!$A:$A,'Basic Data'!$C:$C),"")</f>
        <v>GEDA</v>
      </c>
      <c r="J733" s="471">
        <f>IFERROR(_xlfn.XLOOKUP(Table6[[#This Row],[Affected WTG]],'Basic Data'!$A:$A,'Basic Data'!$E:$E),"")</f>
        <v>3.846153846153845E-2</v>
      </c>
      <c r="K733" s="102">
        <v>3800</v>
      </c>
      <c r="L733" s="35" t="str">
        <f>IFERROR(_xlfn.XLOOKUP(Table6[[#This Row],[Error Code]],'Basic Data'!$AA:$AA,'Basic Data'!$AB:$AB),"Incorrect Error Code")</f>
        <v>Circuit breaker</v>
      </c>
      <c r="M733" s="35" t="s">
        <v>295</v>
      </c>
      <c r="N733" s="475"/>
      <c r="O733" s="476">
        <v>0.7993055555555556</v>
      </c>
      <c r="P733" s="476">
        <v>0.7993055555555556</v>
      </c>
      <c r="Q733" s="477">
        <v>0.99998842592592596</v>
      </c>
      <c r="R733" s="472">
        <f>IF(Table6[[#This Row],[Work Start TimeStamp]]="","",(Table6[[#This Row],[Work Start TimeStamp]]-Table6[[#This Row],[Fault Start TimeStamp]])*24)</f>
        <v>0</v>
      </c>
      <c r="S733" s="472">
        <f>(Table6[[#This Row],[Fault Clearance time]]-Table6[[#This Row],[Work Start TimeStamp]])*24</f>
        <v>4.8163888888888886</v>
      </c>
      <c r="T733" s="472">
        <f>(Table6[[#This Row],[Fault Clearance time]]-Table6[[#This Row],[Fault Start TimeStamp]])*24</f>
        <v>4.8163888888888886</v>
      </c>
      <c r="U733" s="35" t="s">
        <v>1828</v>
      </c>
      <c r="V733" s="102" t="s">
        <v>338</v>
      </c>
      <c r="W733" s="478">
        <f>IFERROR(Table6[[#This Row],[Breakdown Time]]*Table6[[#This Row],[Plant Equivalent Weightage]],"")</f>
        <v>0.18524572649572643</v>
      </c>
      <c r="X733" s="473" t="s">
        <v>290</v>
      </c>
      <c r="Y733" s="474" t="s">
        <v>77</v>
      </c>
      <c r="Z733" s="102">
        <v>13328</v>
      </c>
      <c r="AA733" s="468">
        <f>(Table6[[#This Row],[Paired WTG Generation for loss calculation]]/24)*Table6[[#This Row],[Breakdown Time]]</f>
        <v>2674.7012962962963</v>
      </c>
      <c r="AB733" s="102"/>
      <c r="AC733" s="35"/>
      <c r="AD733" s="35"/>
    </row>
    <row r="734" spans="1:30">
      <c r="A734" s="102">
        <f t="shared" si="12"/>
        <v>733</v>
      </c>
      <c r="B734" s="468">
        <f>YEAR(Table6[[#This Row],[Date]])+IF(MONTH(Table6[[#This Row],[Date]])&gt;=4,1,0)</f>
        <v>2026</v>
      </c>
      <c r="C734" s="102">
        <f>YEAR(Table6[[#This Row],[Date]])</f>
        <v>2025</v>
      </c>
      <c r="D734" s="102" t="s">
        <v>1992</v>
      </c>
      <c r="E734" s="469">
        <f>Table6[[#This Row],[Date]]-DAY(Table6[[#This Row],[Date]])+1</f>
        <v>45778</v>
      </c>
      <c r="F734" s="470">
        <v>45793</v>
      </c>
      <c r="G734" s="35" t="s">
        <v>82</v>
      </c>
      <c r="H734" s="35" t="str">
        <f>IFERROR(_xlfn.XLOOKUP(Table6[[#This Row],[Affected WTG]],'Basic Data'!$A:$A,'Basic Data'!$B:$B),"")</f>
        <v>TQGXIIPL</v>
      </c>
      <c r="I734" s="35" t="str">
        <f>IFERROR(_xlfn.XLOOKUP(Table6[[#This Row],[Affected WTG]],'Basic Data'!$A:$A,'Basic Data'!$C:$C),"")</f>
        <v>GEDA</v>
      </c>
      <c r="J734" s="471">
        <f>IFERROR(_xlfn.XLOOKUP(Table6[[#This Row],[Affected WTG]],'Basic Data'!$A:$A,'Basic Data'!$E:$E),"")</f>
        <v>3.846153846153845E-2</v>
      </c>
      <c r="K734" s="102">
        <v>6690</v>
      </c>
      <c r="L734" s="35" t="str">
        <f>IFERROR(_xlfn.XLOOKUP(Table6[[#This Row],[Error Code]],'Basic Data'!$AA:$AA,'Basic Data'!$AB:$AB),"Incorrect Error Code")</f>
        <v>Icing (stop)</v>
      </c>
      <c r="M734" s="35" t="s">
        <v>295</v>
      </c>
      <c r="N734" s="475"/>
      <c r="O734" s="476">
        <v>0.63680555555555551</v>
      </c>
      <c r="P734" s="476">
        <v>0.63680555555555551</v>
      </c>
      <c r="Q734" s="477">
        <v>0.99998842592592596</v>
      </c>
      <c r="R734" s="472">
        <f>IF(Table6[[#This Row],[Work Start TimeStamp]]="","",(Table6[[#This Row],[Work Start TimeStamp]]-Table6[[#This Row],[Fault Start TimeStamp]])*24)</f>
        <v>0</v>
      </c>
      <c r="S734" s="472">
        <f>(Table6[[#This Row],[Fault Clearance time]]-Table6[[#This Row],[Work Start TimeStamp]])*24</f>
        <v>8.7163888888888899</v>
      </c>
      <c r="T734" s="472">
        <f>(Table6[[#This Row],[Fault Clearance time]]-Table6[[#This Row],[Fault Start TimeStamp]])*24</f>
        <v>8.7163888888888899</v>
      </c>
      <c r="U734" s="35" t="s">
        <v>1837</v>
      </c>
      <c r="V734" s="102" t="s">
        <v>293</v>
      </c>
      <c r="W734" s="478">
        <f>IFERROR(Table6[[#This Row],[Breakdown Time]]*Table6[[#This Row],[Plant Equivalent Weightage]],"")</f>
        <v>0.33524572649572643</v>
      </c>
      <c r="X734" s="473" t="s">
        <v>294</v>
      </c>
      <c r="Y734" s="474" t="s">
        <v>76</v>
      </c>
      <c r="Z734" s="102">
        <v>17202</v>
      </c>
      <c r="AA734" s="468">
        <f>(Table6[[#This Row],[Paired WTG Generation for loss calculation]]/24)*Table6[[#This Row],[Breakdown Time]]</f>
        <v>6247.4717361111116</v>
      </c>
      <c r="AB734" s="102"/>
      <c r="AC734" s="35"/>
      <c r="AD734" s="35"/>
    </row>
    <row r="735" spans="1:30">
      <c r="A735" s="102">
        <f t="shared" si="12"/>
        <v>734</v>
      </c>
      <c r="B735" s="468">
        <f>YEAR(Table6[[#This Row],[Date]])+IF(MONTH(Table6[[#This Row],[Date]])&gt;=4,1,0)</f>
        <v>2026</v>
      </c>
      <c r="C735" s="102">
        <f>YEAR(Table6[[#This Row],[Date]])</f>
        <v>2025</v>
      </c>
      <c r="D735" s="102" t="s">
        <v>1992</v>
      </c>
      <c r="E735" s="469">
        <f>Table6[[#This Row],[Date]]-DAY(Table6[[#This Row],[Date]])+1</f>
        <v>45778</v>
      </c>
      <c r="F735" s="470">
        <v>45793</v>
      </c>
      <c r="G735" s="35" t="s">
        <v>84</v>
      </c>
      <c r="H735" s="35" t="str">
        <f>IFERROR(_xlfn.XLOOKUP(Table6[[#This Row],[Affected WTG]],'Basic Data'!$A:$A,'Basic Data'!$B:$B),"")</f>
        <v>TQGXIIPL</v>
      </c>
      <c r="I735" s="35" t="str">
        <f>IFERROR(_xlfn.XLOOKUP(Table6[[#This Row],[Affected WTG]],'Basic Data'!$A:$A,'Basic Data'!$C:$C),"")</f>
        <v>GEDA</v>
      </c>
      <c r="J735" s="471">
        <f>IFERROR(_xlfn.XLOOKUP(Table6[[#This Row],[Affected WTG]],'Basic Data'!$A:$A,'Basic Data'!$E:$E),"")</f>
        <v>3.846153846153845E-2</v>
      </c>
      <c r="K735" s="102">
        <v>53</v>
      </c>
      <c r="L735" s="35" t="str">
        <f>IFERROR(_xlfn.XLOOKUP(Table6[[#This Row],[Error Code]],'Basic Data'!$AA:$AA,'Basic Data'!$AB:$AB),"Incorrect Error Code")</f>
        <v>Wind dir.dev. level 1</v>
      </c>
      <c r="M735" s="35" t="s">
        <v>292</v>
      </c>
      <c r="N735" s="475"/>
      <c r="O735" s="476">
        <v>0.7</v>
      </c>
      <c r="P735" s="476">
        <v>0.7</v>
      </c>
      <c r="Q735" s="477">
        <v>0.70138888888888884</v>
      </c>
      <c r="R735" s="472">
        <f>IF(Table6[[#This Row],[Work Start TimeStamp]]="","",(Table6[[#This Row],[Work Start TimeStamp]]-Table6[[#This Row],[Fault Start TimeStamp]])*24)</f>
        <v>0</v>
      </c>
      <c r="S735" s="472">
        <f>(Table6[[#This Row],[Fault Clearance time]]-Table6[[#This Row],[Work Start TimeStamp]])*24</f>
        <v>3.3333333333333215E-2</v>
      </c>
      <c r="T735" s="472">
        <f>(Table6[[#This Row],[Fault Clearance time]]-Table6[[#This Row],[Fault Start TimeStamp]])*24</f>
        <v>3.3333333333333215E-2</v>
      </c>
      <c r="U735" s="35" t="s">
        <v>346</v>
      </c>
      <c r="V735" s="102" t="s">
        <v>293</v>
      </c>
      <c r="W735" s="478">
        <f>IFERROR(Table6[[#This Row],[Breakdown Time]]*Table6[[#This Row],[Plant Equivalent Weightage]],"")</f>
        <v>1.2820512820512771E-3</v>
      </c>
      <c r="X735" s="473" t="s">
        <v>294</v>
      </c>
      <c r="Y735" s="474" t="s">
        <v>85</v>
      </c>
      <c r="Z735" s="102">
        <v>16669</v>
      </c>
      <c r="AA735" s="468">
        <f>(Table6[[#This Row],[Paired WTG Generation for loss calculation]]/24)*Table6[[#This Row],[Breakdown Time]]</f>
        <v>23.151388888888807</v>
      </c>
      <c r="AB735" s="102"/>
      <c r="AC735" s="35"/>
      <c r="AD735" s="35"/>
    </row>
    <row r="736" spans="1:30">
      <c r="A736" s="102">
        <f t="shared" si="12"/>
        <v>735</v>
      </c>
      <c r="B736" s="468">
        <f>YEAR(Table6[[#This Row],[Date]])+IF(MONTH(Table6[[#This Row],[Date]])&gt;=4,1,0)</f>
        <v>2026</v>
      </c>
      <c r="C736" s="102">
        <f>YEAR(Table6[[#This Row],[Date]])</f>
        <v>2025</v>
      </c>
      <c r="D736" s="102" t="s">
        <v>1992</v>
      </c>
      <c r="E736" s="469">
        <f>Table6[[#This Row],[Date]]-DAY(Table6[[#This Row],[Date]])+1</f>
        <v>45778</v>
      </c>
      <c r="F736" s="470">
        <v>45793</v>
      </c>
      <c r="G736" s="35" t="s">
        <v>84</v>
      </c>
      <c r="H736" s="35" t="str">
        <f>IFERROR(_xlfn.XLOOKUP(Table6[[#This Row],[Affected WTG]],'Basic Data'!$A:$A,'Basic Data'!$B:$B),"")</f>
        <v>TQGXIIPL</v>
      </c>
      <c r="I736" s="35" t="str">
        <f>IFERROR(_xlfn.XLOOKUP(Table6[[#This Row],[Affected WTG]],'Basic Data'!$A:$A,'Basic Data'!$C:$C),"")</f>
        <v>GEDA</v>
      </c>
      <c r="J736" s="471">
        <f>IFERROR(_xlfn.XLOOKUP(Table6[[#This Row],[Affected WTG]],'Basic Data'!$A:$A,'Basic Data'!$E:$E),"")</f>
        <v>3.846153846153845E-2</v>
      </c>
      <c r="K736" s="102">
        <v>175</v>
      </c>
      <c r="L736" s="35" t="str">
        <f>IFERROR(_xlfn.XLOOKUP(Table6[[#This Row],[Error Code]],'Basic Data'!$AA:$AA,'Basic Data'!$AB:$AB),"Incorrect Error Code")</f>
        <v>SLC error</v>
      </c>
      <c r="M736" s="35" t="s">
        <v>291</v>
      </c>
      <c r="N736" s="475"/>
      <c r="O736" s="476">
        <v>0.75</v>
      </c>
      <c r="P736" s="476">
        <v>0.75</v>
      </c>
      <c r="Q736" s="477">
        <v>0.75555555555555554</v>
      </c>
      <c r="R736" s="472">
        <f>IF(Table6[[#This Row],[Work Start TimeStamp]]="","",(Table6[[#This Row],[Work Start TimeStamp]]-Table6[[#This Row],[Fault Start TimeStamp]])*24)</f>
        <v>0</v>
      </c>
      <c r="S736" s="472">
        <f>(Table6[[#This Row],[Fault Clearance time]]-Table6[[#This Row],[Work Start TimeStamp]])*24</f>
        <v>0.13333333333333286</v>
      </c>
      <c r="T736" s="472">
        <f>(Table6[[#This Row],[Fault Clearance time]]-Table6[[#This Row],[Fault Start TimeStamp]])*24</f>
        <v>0.13333333333333286</v>
      </c>
      <c r="U736" s="35" t="s">
        <v>344</v>
      </c>
      <c r="V736" s="102" t="s">
        <v>293</v>
      </c>
      <c r="W736" s="478">
        <f>IFERROR(Table6[[#This Row],[Breakdown Time]]*Table6[[#This Row],[Plant Equivalent Weightage]],"")</f>
        <v>5.1282051282051083E-3</v>
      </c>
      <c r="X736" s="473" t="s">
        <v>294</v>
      </c>
      <c r="Y736" s="474" t="s">
        <v>85</v>
      </c>
      <c r="Z736" s="102">
        <v>16669</v>
      </c>
      <c r="AA736" s="468">
        <f>(Table6[[#This Row],[Paired WTG Generation for loss calculation]]/24)*Table6[[#This Row],[Breakdown Time]]</f>
        <v>92.605555555555227</v>
      </c>
      <c r="AB736" s="102"/>
      <c r="AC736" s="35"/>
      <c r="AD736" s="35"/>
    </row>
    <row r="737" spans="1:30">
      <c r="A737" s="102">
        <f t="shared" si="12"/>
        <v>736</v>
      </c>
      <c r="B737" s="468">
        <f>YEAR(Table6[[#This Row],[Date]])+IF(MONTH(Table6[[#This Row],[Date]])&gt;=4,1,0)</f>
        <v>2026</v>
      </c>
      <c r="C737" s="102">
        <f>YEAR(Table6[[#This Row],[Date]])</f>
        <v>2025</v>
      </c>
      <c r="D737" s="102" t="s">
        <v>1992</v>
      </c>
      <c r="E737" s="469">
        <f>Table6[[#This Row],[Date]]-DAY(Table6[[#This Row],[Date]])+1</f>
        <v>45778</v>
      </c>
      <c r="F737" s="470">
        <v>45793</v>
      </c>
      <c r="G737" s="35" t="s">
        <v>86</v>
      </c>
      <c r="H737" s="35" t="str">
        <f>IFERROR(_xlfn.XLOOKUP(Table6[[#This Row],[Affected WTG]],'Basic Data'!$A:$A,'Basic Data'!$B:$B),"")</f>
        <v>TQGXIIPL</v>
      </c>
      <c r="I737" s="35" t="str">
        <f>IFERROR(_xlfn.XLOOKUP(Table6[[#This Row],[Affected WTG]],'Basic Data'!$A:$A,'Basic Data'!$C:$C),"")</f>
        <v>GEDA</v>
      </c>
      <c r="J737" s="471">
        <f>IFERROR(_xlfn.XLOOKUP(Table6[[#This Row],[Affected WTG]],'Basic Data'!$A:$A,'Basic Data'!$E:$E),"")</f>
        <v>3.846153846153845E-2</v>
      </c>
      <c r="K737" s="102">
        <v>55</v>
      </c>
      <c r="L737" s="35" t="str">
        <f>IFERROR(_xlfn.XLOOKUP(Table6[[#This Row],[Error Code]],'Basic Data'!$AA:$AA,'Basic Data'!$AB:$AB),"Incorrect Error Code")</f>
        <v>WTG shut down</v>
      </c>
      <c r="M737" s="35" t="s">
        <v>328</v>
      </c>
      <c r="N737" s="475"/>
      <c r="O737" s="476">
        <v>0.45347222222222222</v>
      </c>
      <c r="P737" s="476">
        <v>0.45347222222222222</v>
      </c>
      <c r="Q737" s="477">
        <v>0.54722222222222228</v>
      </c>
      <c r="R737" s="472">
        <f>IF(Table6[[#This Row],[Work Start TimeStamp]]="","",(Table6[[#This Row],[Work Start TimeStamp]]-Table6[[#This Row],[Fault Start TimeStamp]])*24)</f>
        <v>0</v>
      </c>
      <c r="S737" s="472">
        <f>(Table6[[#This Row],[Fault Clearance time]]-Table6[[#This Row],[Work Start TimeStamp]])*24</f>
        <v>2.2500000000000013</v>
      </c>
      <c r="T737" s="472">
        <f>(Table6[[#This Row],[Fault Clearance time]]-Table6[[#This Row],[Fault Start TimeStamp]])*24</f>
        <v>2.2500000000000013</v>
      </c>
      <c r="U737" s="35" t="s">
        <v>1844</v>
      </c>
      <c r="V737" s="102" t="s">
        <v>293</v>
      </c>
      <c r="W737" s="478">
        <f>IFERROR(Table6[[#This Row],[Breakdown Time]]*Table6[[#This Row],[Plant Equivalent Weightage]],"")</f>
        <v>8.6538461538461564E-2</v>
      </c>
      <c r="X737" s="473" t="s">
        <v>305</v>
      </c>
      <c r="Y737" s="474" t="s">
        <v>84</v>
      </c>
      <c r="Z737" s="102">
        <v>17201</v>
      </c>
      <c r="AA737" s="468">
        <f>(Table6[[#This Row],[Paired WTG Generation for loss calculation]]/24)*Table6[[#This Row],[Breakdown Time]]</f>
        <v>1612.5937500000011</v>
      </c>
      <c r="AB737" s="102"/>
      <c r="AC737" s="35"/>
      <c r="AD737" s="35"/>
    </row>
    <row r="738" spans="1:30">
      <c r="A738" s="102">
        <f t="shared" si="12"/>
        <v>737</v>
      </c>
      <c r="B738" s="468">
        <f>YEAR(Table6[[#This Row],[Date]])+IF(MONTH(Table6[[#This Row],[Date]])&gt;=4,1,0)</f>
        <v>2026</v>
      </c>
      <c r="C738" s="102">
        <f>YEAR(Table6[[#This Row],[Date]])</f>
        <v>2025</v>
      </c>
      <c r="D738" s="102" t="s">
        <v>1992</v>
      </c>
      <c r="E738" s="469">
        <f>Table6[[#This Row],[Date]]-DAY(Table6[[#This Row],[Date]])+1</f>
        <v>45778</v>
      </c>
      <c r="F738" s="470">
        <v>45793</v>
      </c>
      <c r="G738" s="35" t="s">
        <v>86</v>
      </c>
      <c r="H738" s="35" t="str">
        <f>IFERROR(_xlfn.XLOOKUP(Table6[[#This Row],[Affected WTG]],'Basic Data'!$A:$A,'Basic Data'!$B:$B),"")</f>
        <v>TQGXIIPL</v>
      </c>
      <c r="I738" s="35" t="str">
        <f>IFERROR(_xlfn.XLOOKUP(Table6[[#This Row],[Affected WTG]],'Basic Data'!$A:$A,'Basic Data'!$C:$C),"")</f>
        <v>GEDA</v>
      </c>
      <c r="J738" s="471">
        <f>IFERROR(_xlfn.XLOOKUP(Table6[[#This Row],[Affected WTG]],'Basic Data'!$A:$A,'Basic Data'!$E:$E),"")</f>
        <v>3.846153846153845E-2</v>
      </c>
      <c r="K738" s="102">
        <v>53</v>
      </c>
      <c r="L738" s="35" t="str">
        <f>IFERROR(_xlfn.XLOOKUP(Table6[[#This Row],[Error Code]],'Basic Data'!$AA:$AA,'Basic Data'!$AB:$AB),"Incorrect Error Code")</f>
        <v>Wind dir.dev. level 1</v>
      </c>
      <c r="M738" s="35" t="s">
        <v>292</v>
      </c>
      <c r="N738" s="475"/>
      <c r="O738" s="476">
        <v>0.69722222222222219</v>
      </c>
      <c r="P738" s="476">
        <v>0.69722222222222219</v>
      </c>
      <c r="Q738" s="477">
        <v>0.69861111111111107</v>
      </c>
      <c r="R738" s="472">
        <f>IF(Table6[[#This Row],[Work Start TimeStamp]]="","",(Table6[[#This Row],[Work Start TimeStamp]]-Table6[[#This Row],[Fault Start TimeStamp]])*24)</f>
        <v>0</v>
      </c>
      <c r="S738" s="472">
        <f>(Table6[[#This Row],[Fault Clearance time]]-Table6[[#This Row],[Work Start TimeStamp]])*24</f>
        <v>3.3333333333333215E-2</v>
      </c>
      <c r="T738" s="472">
        <f>(Table6[[#This Row],[Fault Clearance time]]-Table6[[#This Row],[Fault Start TimeStamp]])*24</f>
        <v>3.3333333333333215E-2</v>
      </c>
      <c r="U738" s="35" t="s">
        <v>346</v>
      </c>
      <c r="V738" s="102" t="s">
        <v>293</v>
      </c>
      <c r="W738" s="478">
        <f>IFERROR(Table6[[#This Row],[Breakdown Time]]*Table6[[#This Row],[Plant Equivalent Weightage]],"")</f>
        <v>1.2820512820512771E-3</v>
      </c>
      <c r="X738" s="473" t="s">
        <v>294</v>
      </c>
      <c r="Y738" s="474" t="s">
        <v>84</v>
      </c>
      <c r="Z738" s="102">
        <v>17201</v>
      </c>
      <c r="AA738" s="468">
        <f>(Table6[[#This Row],[Paired WTG Generation for loss calculation]]/24)*Table6[[#This Row],[Breakdown Time]]</f>
        <v>23.890277777777694</v>
      </c>
      <c r="AB738" s="102"/>
      <c r="AC738" s="35"/>
      <c r="AD738" s="35"/>
    </row>
    <row r="739" spans="1:30">
      <c r="A739" s="102">
        <f t="shared" si="12"/>
        <v>738</v>
      </c>
      <c r="B739" s="468">
        <f>YEAR(Table6[[#This Row],[Date]])+IF(MONTH(Table6[[#This Row],[Date]])&gt;=4,1,0)</f>
        <v>2026</v>
      </c>
      <c r="C739" s="102">
        <f>YEAR(Table6[[#This Row],[Date]])</f>
        <v>2025</v>
      </c>
      <c r="D739" s="102" t="s">
        <v>1992</v>
      </c>
      <c r="E739" s="469">
        <f>Table6[[#This Row],[Date]]-DAY(Table6[[#This Row],[Date]])+1</f>
        <v>45778</v>
      </c>
      <c r="F739" s="470">
        <v>45793</v>
      </c>
      <c r="G739" s="35" t="s">
        <v>86</v>
      </c>
      <c r="H739" s="35" t="str">
        <f>IFERROR(_xlfn.XLOOKUP(Table6[[#This Row],[Affected WTG]],'Basic Data'!$A:$A,'Basic Data'!$B:$B),"")</f>
        <v>TQGXIIPL</v>
      </c>
      <c r="I739" s="35" t="str">
        <f>IFERROR(_xlfn.XLOOKUP(Table6[[#This Row],[Affected WTG]],'Basic Data'!$A:$A,'Basic Data'!$C:$C),"")</f>
        <v>GEDA</v>
      </c>
      <c r="J739" s="471">
        <f>IFERROR(_xlfn.XLOOKUP(Table6[[#This Row],[Affected WTG]],'Basic Data'!$A:$A,'Basic Data'!$E:$E),"")</f>
        <v>3.846153846153845E-2</v>
      </c>
      <c r="K739" s="102">
        <v>55</v>
      </c>
      <c r="L739" s="35" t="str">
        <f>IFERROR(_xlfn.XLOOKUP(Table6[[#This Row],[Error Code]],'Basic Data'!$AA:$AA,'Basic Data'!$AB:$AB),"Incorrect Error Code")</f>
        <v>WTG shut down</v>
      </c>
      <c r="M739" s="35" t="s">
        <v>330</v>
      </c>
      <c r="N739" s="475"/>
      <c r="O739" s="476">
        <v>0.76597222222222228</v>
      </c>
      <c r="P739" s="476">
        <v>0.76597222222222228</v>
      </c>
      <c r="Q739" s="477">
        <v>0.76875000000000004</v>
      </c>
      <c r="R739" s="472">
        <f>IF(Table6[[#This Row],[Work Start TimeStamp]]="","",(Table6[[#This Row],[Work Start TimeStamp]]-Table6[[#This Row],[Fault Start TimeStamp]])*24)</f>
        <v>0</v>
      </c>
      <c r="S739" s="472">
        <f>(Table6[[#This Row],[Fault Clearance time]]-Table6[[#This Row],[Work Start TimeStamp]])*24</f>
        <v>6.666666666666643E-2</v>
      </c>
      <c r="T739" s="472">
        <f>(Table6[[#This Row],[Fault Clearance time]]-Table6[[#This Row],[Fault Start TimeStamp]])*24</f>
        <v>6.666666666666643E-2</v>
      </c>
      <c r="U739" s="35" t="s">
        <v>1744</v>
      </c>
      <c r="V739" s="102" t="s">
        <v>293</v>
      </c>
      <c r="W739" s="478">
        <f>IFERROR(Table6[[#This Row],[Breakdown Time]]*Table6[[#This Row],[Plant Equivalent Weightage]],"")</f>
        <v>2.5641025641025541E-3</v>
      </c>
      <c r="X739" s="473" t="s">
        <v>294</v>
      </c>
      <c r="Y739" s="474" t="s">
        <v>84</v>
      </c>
      <c r="Z739" s="102">
        <v>17201</v>
      </c>
      <c r="AA739" s="468">
        <f>(Table6[[#This Row],[Paired WTG Generation for loss calculation]]/24)*Table6[[#This Row],[Breakdown Time]]</f>
        <v>47.780555555555388</v>
      </c>
      <c r="AB739" s="102"/>
      <c r="AC739" s="35"/>
      <c r="AD739" s="35"/>
    </row>
    <row r="740" spans="1:30">
      <c r="A740" s="102">
        <f t="shared" si="12"/>
        <v>739</v>
      </c>
      <c r="B740" s="468">
        <f>YEAR(Table6[[#This Row],[Date]])+IF(MONTH(Table6[[#This Row],[Date]])&gt;=4,1,0)</f>
        <v>2026</v>
      </c>
      <c r="C740" s="102">
        <f>YEAR(Table6[[#This Row],[Date]])</f>
        <v>2025</v>
      </c>
      <c r="D740" s="102" t="s">
        <v>1992</v>
      </c>
      <c r="E740" s="469">
        <f>Table6[[#This Row],[Date]]-DAY(Table6[[#This Row],[Date]])+1</f>
        <v>45778</v>
      </c>
      <c r="F740" s="470">
        <v>45793</v>
      </c>
      <c r="G740" s="35" t="s">
        <v>93</v>
      </c>
      <c r="H740" s="35" t="str">
        <f>IFERROR(_xlfn.XLOOKUP(Table6[[#This Row],[Affected WTG]],'Basic Data'!$A:$A,'Basic Data'!$B:$B),"")</f>
        <v>TQGXIIPL</v>
      </c>
      <c r="I740" s="35" t="str">
        <f>IFERROR(_xlfn.XLOOKUP(Table6[[#This Row],[Affected WTG]],'Basic Data'!$A:$A,'Basic Data'!$C:$C),"")</f>
        <v>GEDA</v>
      </c>
      <c r="J740" s="471">
        <f>IFERROR(_xlfn.XLOOKUP(Table6[[#This Row],[Affected WTG]],'Basic Data'!$A:$A,'Basic Data'!$E:$E),"")</f>
        <v>3.846153846153845E-2</v>
      </c>
      <c r="K740" s="102">
        <v>55</v>
      </c>
      <c r="L740" s="35" t="str">
        <f>IFERROR(_xlfn.XLOOKUP(Table6[[#This Row],[Error Code]],'Basic Data'!$AA:$AA,'Basic Data'!$AB:$AB),"Incorrect Error Code")</f>
        <v>WTG shut down</v>
      </c>
      <c r="M740" s="35" t="s">
        <v>291</v>
      </c>
      <c r="N740" s="475"/>
      <c r="O740" s="476">
        <v>3.9583333333333331E-2</v>
      </c>
      <c r="P740" s="476">
        <v>3.9583333333333331E-2</v>
      </c>
      <c r="Q740" s="477">
        <v>7.2222222222222215E-2</v>
      </c>
      <c r="R740" s="472">
        <f>IF(Table6[[#This Row],[Work Start TimeStamp]]="","",(Table6[[#This Row],[Work Start TimeStamp]]-Table6[[#This Row],[Fault Start TimeStamp]])*24)</f>
        <v>0</v>
      </c>
      <c r="S740" s="472">
        <f>(Table6[[#This Row],[Fault Clearance time]]-Table6[[#This Row],[Work Start TimeStamp]])*24</f>
        <v>0.78333333333333321</v>
      </c>
      <c r="T740" s="472">
        <f>(Table6[[#This Row],[Fault Clearance time]]-Table6[[#This Row],[Fault Start TimeStamp]])*24</f>
        <v>0.78333333333333321</v>
      </c>
      <c r="U740" s="35" t="s">
        <v>1829</v>
      </c>
      <c r="V740" s="102" t="s">
        <v>293</v>
      </c>
      <c r="W740" s="478">
        <f>IFERROR(Table6[[#This Row],[Breakdown Time]]*Table6[[#This Row],[Plant Equivalent Weightage]],"")</f>
        <v>3.0128205128205115E-2</v>
      </c>
      <c r="X740" s="473" t="s">
        <v>290</v>
      </c>
      <c r="Y740" s="474" t="s">
        <v>97</v>
      </c>
      <c r="Z740" s="102">
        <v>15031</v>
      </c>
      <c r="AA740" s="468">
        <f>(Table6[[#This Row],[Paired WTG Generation for loss calculation]]/24)*Table6[[#This Row],[Breakdown Time]]</f>
        <v>490.59513888888881</v>
      </c>
      <c r="AB740" s="102"/>
      <c r="AC740" s="35"/>
      <c r="AD740" s="35"/>
    </row>
    <row r="741" spans="1:30">
      <c r="A741" s="102">
        <f t="shared" si="12"/>
        <v>740</v>
      </c>
      <c r="B741" s="468">
        <f>YEAR(Table6[[#This Row],[Date]])+IF(MONTH(Table6[[#This Row],[Date]])&gt;=4,1,0)</f>
        <v>2026</v>
      </c>
      <c r="C741" s="102">
        <f>YEAR(Table6[[#This Row],[Date]])</f>
        <v>2025</v>
      </c>
      <c r="D741" s="102" t="s">
        <v>1992</v>
      </c>
      <c r="E741" s="469">
        <f>Table6[[#This Row],[Date]]-DAY(Table6[[#This Row],[Date]])+1</f>
        <v>45778</v>
      </c>
      <c r="F741" s="470">
        <v>45793</v>
      </c>
      <c r="G741" s="35" t="s">
        <v>93</v>
      </c>
      <c r="H741" s="35" t="str">
        <f>IFERROR(_xlfn.XLOOKUP(Table6[[#This Row],[Affected WTG]],'Basic Data'!$A:$A,'Basic Data'!$B:$B),"")</f>
        <v>TQGXIIPL</v>
      </c>
      <c r="I741" s="35" t="str">
        <f>IFERROR(_xlfn.XLOOKUP(Table6[[#This Row],[Affected WTG]],'Basic Data'!$A:$A,'Basic Data'!$C:$C),"")</f>
        <v>GEDA</v>
      </c>
      <c r="J741" s="471">
        <f>IFERROR(_xlfn.XLOOKUP(Table6[[#This Row],[Affected WTG]],'Basic Data'!$A:$A,'Basic Data'!$E:$E),"")</f>
        <v>3.846153846153845E-2</v>
      </c>
      <c r="K741" s="102">
        <v>643</v>
      </c>
      <c r="L741" s="35" t="str">
        <f>IFERROR(_xlfn.XLOOKUP(Table6[[#This Row],[Error Code]],'Basic Data'!$AA:$AA,'Basic Data'!$AB:$AB),"Incorrect Error Code")</f>
        <v>Sim.angle E enc. &lt;&gt; act.angle 3</v>
      </c>
      <c r="M741" s="35" t="s">
        <v>291</v>
      </c>
      <c r="N741" s="475"/>
      <c r="O741" s="476">
        <v>0.77847222222222223</v>
      </c>
      <c r="P741" s="476">
        <v>0.77847222222222223</v>
      </c>
      <c r="Q741" s="477">
        <v>0.77916666666666667</v>
      </c>
      <c r="R741" s="472">
        <f>IF(Table6[[#This Row],[Work Start TimeStamp]]="","",(Table6[[#This Row],[Work Start TimeStamp]]-Table6[[#This Row],[Fault Start TimeStamp]])*24)</f>
        <v>0</v>
      </c>
      <c r="S741" s="472">
        <f>(Table6[[#This Row],[Fault Clearance time]]-Table6[[#This Row],[Work Start TimeStamp]])*24</f>
        <v>1.6666666666666607E-2</v>
      </c>
      <c r="T741" s="472">
        <f>(Table6[[#This Row],[Fault Clearance time]]-Table6[[#This Row],[Fault Start TimeStamp]])*24</f>
        <v>1.6666666666666607E-2</v>
      </c>
      <c r="U741" s="35" t="s">
        <v>1830</v>
      </c>
      <c r="V741" s="102" t="s">
        <v>293</v>
      </c>
      <c r="W741" s="478">
        <f>IFERROR(Table6[[#This Row],[Breakdown Time]]*Table6[[#This Row],[Plant Equivalent Weightage]],"")</f>
        <v>6.4102564102563853E-4</v>
      </c>
      <c r="X741" s="473" t="s">
        <v>294</v>
      </c>
      <c r="Y741" s="474" t="s">
        <v>97</v>
      </c>
      <c r="Z741" s="102">
        <v>15031</v>
      </c>
      <c r="AA741" s="468">
        <f>(Table6[[#This Row],[Paired WTG Generation for loss calculation]]/24)*Table6[[#This Row],[Breakdown Time]]</f>
        <v>10.438194444444406</v>
      </c>
      <c r="AB741" s="102"/>
      <c r="AC741" s="35"/>
      <c r="AD741" s="35"/>
    </row>
    <row r="742" spans="1:30">
      <c r="A742" s="102">
        <f t="shared" si="12"/>
        <v>741</v>
      </c>
      <c r="B742" s="468">
        <f>YEAR(Table6[[#This Row],[Date]])+IF(MONTH(Table6[[#This Row],[Date]])&gt;=4,1,0)</f>
        <v>2026</v>
      </c>
      <c r="C742" s="102">
        <f>YEAR(Table6[[#This Row],[Date]])</f>
        <v>2025</v>
      </c>
      <c r="D742" s="102" t="s">
        <v>1992</v>
      </c>
      <c r="E742" s="469">
        <f>Table6[[#This Row],[Date]]-DAY(Table6[[#This Row],[Date]])+1</f>
        <v>45778</v>
      </c>
      <c r="F742" s="470">
        <v>45793</v>
      </c>
      <c r="G742" s="35" t="s">
        <v>96</v>
      </c>
      <c r="H742" s="35" t="str">
        <f>IFERROR(_xlfn.XLOOKUP(Table6[[#This Row],[Affected WTG]],'Basic Data'!$A:$A,'Basic Data'!$B:$B),"")</f>
        <v>TQGXIIPL</v>
      </c>
      <c r="I742" s="35" t="str">
        <f>IFERROR(_xlfn.XLOOKUP(Table6[[#This Row],[Affected WTG]],'Basic Data'!$A:$A,'Basic Data'!$C:$C),"")</f>
        <v>GEDA</v>
      </c>
      <c r="J742" s="471">
        <f>IFERROR(_xlfn.XLOOKUP(Table6[[#This Row],[Affected WTG]],'Basic Data'!$A:$A,'Basic Data'!$E:$E),"")</f>
        <v>3.846153846153845E-2</v>
      </c>
      <c r="K742" s="102">
        <v>1731</v>
      </c>
      <c r="L742" s="35" t="str">
        <f>IFERROR(_xlfn.XLOOKUP(Table6[[#This Row],[Error Code]],'Basic Data'!$AA:$AA,'Basic Data'!$AB:$AB),"Incorrect Error Code")</f>
        <v>Oil temperature gearbox input high</v>
      </c>
      <c r="M742" s="35" t="s">
        <v>291</v>
      </c>
      <c r="N742" s="475"/>
      <c r="O742" s="476">
        <v>0.19375000000000001</v>
      </c>
      <c r="P742" s="476">
        <v>0.19375000000000001</v>
      </c>
      <c r="Q742" s="477">
        <v>0.2013888888888889</v>
      </c>
      <c r="R742" s="472">
        <f>IF(Table6[[#This Row],[Work Start TimeStamp]]="","",(Table6[[#This Row],[Work Start TimeStamp]]-Table6[[#This Row],[Fault Start TimeStamp]])*24)</f>
        <v>0</v>
      </c>
      <c r="S742" s="472">
        <f>(Table6[[#This Row],[Fault Clearance time]]-Table6[[#This Row],[Work Start TimeStamp]])*24</f>
        <v>0.18333333333333335</v>
      </c>
      <c r="T742" s="472">
        <f>(Table6[[#This Row],[Fault Clearance time]]-Table6[[#This Row],[Fault Start TimeStamp]])*24</f>
        <v>0.18333333333333335</v>
      </c>
      <c r="U742" s="35" t="s">
        <v>1831</v>
      </c>
      <c r="V742" s="102" t="s">
        <v>293</v>
      </c>
      <c r="W742" s="478">
        <f>IFERROR(Table6[[#This Row],[Breakdown Time]]*Table6[[#This Row],[Plant Equivalent Weightage]],"")</f>
        <v>7.0512820512820496E-3</v>
      </c>
      <c r="X742" s="473" t="s">
        <v>294</v>
      </c>
      <c r="Y742" s="474" t="s">
        <v>84</v>
      </c>
      <c r="Z742" s="102">
        <v>17201</v>
      </c>
      <c r="AA742" s="468">
        <f>(Table6[[#This Row],[Paired WTG Generation for loss calculation]]/24)*Table6[[#This Row],[Breakdown Time]]</f>
        <v>131.39652777777781</v>
      </c>
      <c r="AB742" s="102"/>
      <c r="AC742" s="35"/>
      <c r="AD742" s="35"/>
    </row>
    <row r="743" spans="1:30">
      <c r="A743" s="102">
        <f t="shared" si="12"/>
        <v>742</v>
      </c>
      <c r="B743" s="468">
        <f>YEAR(Table6[[#This Row],[Date]])+IF(MONTH(Table6[[#This Row],[Date]])&gt;=4,1,0)</f>
        <v>2026</v>
      </c>
      <c r="C743" s="102">
        <f>YEAR(Table6[[#This Row],[Date]])</f>
        <v>2025</v>
      </c>
      <c r="D743" s="102" t="s">
        <v>1992</v>
      </c>
      <c r="E743" s="469">
        <f>Table6[[#This Row],[Date]]-DAY(Table6[[#This Row],[Date]])+1</f>
        <v>45778</v>
      </c>
      <c r="F743" s="470">
        <v>45793</v>
      </c>
      <c r="G743" s="35" t="s">
        <v>96</v>
      </c>
      <c r="H743" s="35" t="str">
        <f>IFERROR(_xlfn.XLOOKUP(Table6[[#This Row],[Affected WTG]],'Basic Data'!$A:$A,'Basic Data'!$B:$B),"")</f>
        <v>TQGXIIPL</v>
      </c>
      <c r="I743" s="35" t="str">
        <f>IFERROR(_xlfn.XLOOKUP(Table6[[#This Row],[Affected WTG]],'Basic Data'!$A:$A,'Basic Data'!$C:$C),"")</f>
        <v>GEDA</v>
      </c>
      <c r="J743" s="471">
        <f>IFERROR(_xlfn.XLOOKUP(Table6[[#This Row],[Affected WTG]],'Basic Data'!$A:$A,'Basic Data'!$E:$E),"")</f>
        <v>3.846153846153845E-2</v>
      </c>
      <c r="K743" s="102">
        <v>58</v>
      </c>
      <c r="L743" s="35" t="str">
        <f>IFERROR(_xlfn.XLOOKUP(Table6[[#This Row],[Error Code]],'Basic Data'!$AA:$AA,'Basic Data'!$AB:$AB),"Incorrect Error Code")</f>
        <v>Wind dir.dev. level 2</v>
      </c>
      <c r="M743" s="35" t="s">
        <v>292</v>
      </c>
      <c r="N743" s="475"/>
      <c r="O743" s="476">
        <v>0.74513888888888891</v>
      </c>
      <c r="P743" s="476">
        <v>0.74513888888888891</v>
      </c>
      <c r="Q743" s="477">
        <v>0.74583333333333335</v>
      </c>
      <c r="R743" s="472">
        <f>IF(Table6[[#This Row],[Work Start TimeStamp]]="","",(Table6[[#This Row],[Work Start TimeStamp]]-Table6[[#This Row],[Fault Start TimeStamp]])*24)</f>
        <v>0</v>
      </c>
      <c r="S743" s="472">
        <f>(Table6[[#This Row],[Fault Clearance time]]-Table6[[#This Row],[Work Start TimeStamp]])*24</f>
        <v>1.6666666666666607E-2</v>
      </c>
      <c r="T743" s="472">
        <f>(Table6[[#This Row],[Fault Clearance time]]-Table6[[#This Row],[Fault Start TimeStamp]])*24</f>
        <v>1.6666666666666607E-2</v>
      </c>
      <c r="U743" s="35" t="s">
        <v>346</v>
      </c>
      <c r="V743" s="102" t="s">
        <v>293</v>
      </c>
      <c r="W743" s="478">
        <f>IFERROR(Table6[[#This Row],[Breakdown Time]]*Table6[[#This Row],[Plant Equivalent Weightage]],"")</f>
        <v>6.4102564102563853E-4</v>
      </c>
      <c r="X743" s="473" t="s">
        <v>294</v>
      </c>
      <c r="Y743" s="474" t="s">
        <v>84</v>
      </c>
      <c r="Z743" s="102">
        <v>17201</v>
      </c>
      <c r="AA743" s="468">
        <f>(Table6[[#This Row],[Paired WTG Generation for loss calculation]]/24)*Table6[[#This Row],[Breakdown Time]]</f>
        <v>11.945138888888847</v>
      </c>
      <c r="AB743" s="102"/>
      <c r="AC743" s="35"/>
      <c r="AD743" s="35"/>
    </row>
    <row r="744" spans="1:30">
      <c r="A744" s="102">
        <f t="shared" si="12"/>
        <v>743</v>
      </c>
      <c r="B744" s="468">
        <f>YEAR(Table6[[#This Row],[Date]])+IF(MONTH(Table6[[#This Row],[Date]])&gt;=4,1,0)</f>
        <v>2026</v>
      </c>
      <c r="C744" s="102">
        <f>YEAR(Table6[[#This Row],[Date]])</f>
        <v>2025</v>
      </c>
      <c r="D744" s="102" t="s">
        <v>1992</v>
      </c>
      <c r="E744" s="469">
        <f>Table6[[#This Row],[Date]]-DAY(Table6[[#This Row],[Date]])+1</f>
        <v>45778</v>
      </c>
      <c r="F744" s="470">
        <v>45793</v>
      </c>
      <c r="G744" s="35" t="s">
        <v>98</v>
      </c>
      <c r="H744" s="35" t="str">
        <f>IFERROR(_xlfn.XLOOKUP(Table6[[#This Row],[Affected WTG]],'Basic Data'!$A:$A,'Basic Data'!$B:$B),"")</f>
        <v>TQGXIIPL</v>
      </c>
      <c r="I744" s="35" t="str">
        <f>IFERROR(_xlfn.XLOOKUP(Table6[[#This Row],[Affected WTG]],'Basic Data'!$A:$A,'Basic Data'!$C:$C),"")</f>
        <v>GEDA</v>
      </c>
      <c r="J744" s="471">
        <f>IFERROR(_xlfn.XLOOKUP(Table6[[#This Row],[Affected WTG]],'Basic Data'!$A:$A,'Basic Data'!$E:$E),"")</f>
        <v>3.846153846153845E-2</v>
      </c>
      <c r="K744" s="102">
        <v>55</v>
      </c>
      <c r="L744" s="35" t="str">
        <f>IFERROR(_xlfn.XLOOKUP(Table6[[#This Row],[Error Code]],'Basic Data'!$AA:$AA,'Basic Data'!$AB:$AB),"Incorrect Error Code")</f>
        <v>WTG shut down</v>
      </c>
      <c r="M744" s="35" t="s">
        <v>330</v>
      </c>
      <c r="N744" s="475"/>
      <c r="O744" s="476">
        <v>0.77361111111111114</v>
      </c>
      <c r="P744" s="476">
        <v>0.77361111111111114</v>
      </c>
      <c r="Q744" s="477">
        <v>0.79236111111111107</v>
      </c>
      <c r="R744" s="472">
        <f>IF(Table6[[#This Row],[Work Start TimeStamp]]="","",(Table6[[#This Row],[Work Start TimeStamp]]-Table6[[#This Row],[Fault Start TimeStamp]])*24)</f>
        <v>0</v>
      </c>
      <c r="S744" s="472">
        <f>(Table6[[#This Row],[Fault Clearance time]]-Table6[[#This Row],[Work Start TimeStamp]])*24</f>
        <v>0.4499999999999984</v>
      </c>
      <c r="T744" s="472">
        <f>(Table6[[#This Row],[Fault Clearance time]]-Table6[[#This Row],[Fault Start TimeStamp]])*24</f>
        <v>0.4499999999999984</v>
      </c>
      <c r="U744" s="35" t="s">
        <v>1744</v>
      </c>
      <c r="V744" s="102" t="s">
        <v>293</v>
      </c>
      <c r="W744" s="478">
        <f>IFERROR(Table6[[#This Row],[Breakdown Time]]*Table6[[#This Row],[Plant Equivalent Weightage]],"")</f>
        <v>1.7307692307692239E-2</v>
      </c>
      <c r="X744" s="473" t="s">
        <v>294</v>
      </c>
      <c r="Y744" s="474" t="s">
        <v>74</v>
      </c>
      <c r="Z744" s="102">
        <v>15323</v>
      </c>
      <c r="AA744" s="468">
        <f>(Table6[[#This Row],[Paired WTG Generation for loss calculation]]/24)*Table6[[#This Row],[Breakdown Time]]</f>
        <v>287.30624999999901</v>
      </c>
      <c r="AB744" s="102"/>
      <c r="AC744" s="35"/>
      <c r="AD744" s="35"/>
    </row>
    <row r="745" spans="1:30">
      <c r="A745" s="102">
        <f t="shared" si="12"/>
        <v>744</v>
      </c>
      <c r="B745" s="468">
        <f>YEAR(Table6[[#This Row],[Date]])+IF(MONTH(Table6[[#This Row],[Date]])&gt;=4,1,0)</f>
        <v>2026</v>
      </c>
      <c r="C745" s="102">
        <f>YEAR(Table6[[#This Row],[Date]])</f>
        <v>2025</v>
      </c>
      <c r="D745" s="102" t="s">
        <v>1992</v>
      </c>
      <c r="E745" s="469">
        <f>Table6[[#This Row],[Date]]-DAY(Table6[[#This Row],[Date]])+1</f>
        <v>45778</v>
      </c>
      <c r="F745" s="470">
        <v>45794</v>
      </c>
      <c r="G745" s="35" t="s">
        <v>78</v>
      </c>
      <c r="H745" s="35" t="str">
        <f>IFERROR(_xlfn.XLOOKUP(Table6[[#This Row],[Affected WTG]],'Basic Data'!$A:$A,'Basic Data'!$B:$B),"")</f>
        <v>TQGXIIPL</v>
      </c>
      <c r="I745" s="35" t="str">
        <f>IFERROR(_xlfn.XLOOKUP(Table6[[#This Row],[Affected WTG]],'Basic Data'!$A:$A,'Basic Data'!$C:$C),"")</f>
        <v>GEDA</v>
      </c>
      <c r="J745" s="471">
        <f>IFERROR(_xlfn.XLOOKUP(Table6[[#This Row],[Affected WTG]],'Basic Data'!$A:$A,'Basic Data'!$E:$E),"")</f>
        <v>3.846153846153845E-2</v>
      </c>
      <c r="K745" s="102">
        <v>3211</v>
      </c>
      <c r="L745" s="35" t="str">
        <f>IFERROR(_xlfn.XLOOKUP(Table6[[#This Row],[Error Code]],'Basic Data'!$AA:$AA,'Basic Data'!$AB:$AB),"Incorrect Error Code")</f>
        <v>Conv. load shedding (CAN)</v>
      </c>
      <c r="M745" s="35" t="s">
        <v>291</v>
      </c>
      <c r="N745" s="475"/>
      <c r="O745" s="476">
        <v>0.39444444444444443</v>
      </c>
      <c r="P745" s="476">
        <v>0.39444444444444443</v>
      </c>
      <c r="Q745" s="477">
        <v>0.39652777777777776</v>
      </c>
      <c r="R745" s="472">
        <f>IF(Table6[[#This Row],[Work Start TimeStamp]]="","",(Table6[[#This Row],[Work Start TimeStamp]]-Table6[[#This Row],[Fault Start TimeStamp]])*24)</f>
        <v>0</v>
      </c>
      <c r="S745" s="472">
        <f>(Table6[[#This Row],[Fault Clearance time]]-Table6[[#This Row],[Work Start TimeStamp]])*24</f>
        <v>4.9999999999999822E-2</v>
      </c>
      <c r="T745" s="472">
        <f>(Table6[[#This Row],[Fault Clearance time]]-Table6[[#This Row],[Fault Start TimeStamp]])*24</f>
        <v>4.9999999999999822E-2</v>
      </c>
      <c r="U745" s="35" t="s">
        <v>344</v>
      </c>
      <c r="V745" s="102" t="s">
        <v>293</v>
      </c>
      <c r="W745" s="478">
        <f>IFERROR(Table6[[#This Row],[Breakdown Time]]*Table6[[#This Row],[Plant Equivalent Weightage]],"")</f>
        <v>1.9230769230769156E-3</v>
      </c>
      <c r="X745" s="473" t="s">
        <v>294</v>
      </c>
      <c r="Y745" s="474" t="s">
        <v>75</v>
      </c>
      <c r="Z745" s="102">
        <v>13841</v>
      </c>
      <c r="AA745" s="468">
        <f>(Table6[[#This Row],[Paired WTG Generation for loss calculation]]/24)*Table6[[#This Row],[Breakdown Time]]</f>
        <v>28.835416666666568</v>
      </c>
      <c r="AB745" s="102"/>
      <c r="AC745" s="35"/>
      <c r="AD745" s="35"/>
    </row>
    <row r="746" spans="1:30">
      <c r="A746" s="102">
        <f t="shared" si="12"/>
        <v>745</v>
      </c>
      <c r="B746" s="468">
        <f>YEAR(Table6[[#This Row],[Date]])+IF(MONTH(Table6[[#This Row],[Date]])&gt;=4,1,0)</f>
        <v>2026</v>
      </c>
      <c r="C746" s="102">
        <f>YEAR(Table6[[#This Row],[Date]])</f>
        <v>2025</v>
      </c>
      <c r="D746" s="102" t="s">
        <v>1992</v>
      </c>
      <c r="E746" s="469">
        <f>Table6[[#This Row],[Date]]-DAY(Table6[[#This Row],[Date]])+1</f>
        <v>45778</v>
      </c>
      <c r="F746" s="470">
        <v>45794</v>
      </c>
      <c r="G746" s="35" t="s">
        <v>80</v>
      </c>
      <c r="H746" s="35" t="str">
        <f>IFERROR(_xlfn.XLOOKUP(Table6[[#This Row],[Affected WTG]],'Basic Data'!$A:$A,'Basic Data'!$B:$B),"")</f>
        <v>TQGXIIPL</v>
      </c>
      <c r="I746" s="35" t="str">
        <f>IFERROR(_xlfn.XLOOKUP(Table6[[#This Row],[Affected WTG]],'Basic Data'!$A:$A,'Basic Data'!$C:$C),"")</f>
        <v>GEDA</v>
      </c>
      <c r="J746" s="471">
        <f>IFERROR(_xlfn.XLOOKUP(Table6[[#This Row],[Affected WTG]],'Basic Data'!$A:$A,'Basic Data'!$E:$E),"")</f>
        <v>3.846153846153845E-2</v>
      </c>
      <c r="K746" s="102">
        <v>3800</v>
      </c>
      <c r="L746" s="35" t="str">
        <f>IFERROR(_xlfn.XLOOKUP(Table6[[#This Row],[Error Code]],'Basic Data'!$AA:$AA,'Basic Data'!$AB:$AB),"Incorrect Error Code")</f>
        <v>Circuit breaker</v>
      </c>
      <c r="M746" s="35" t="s">
        <v>295</v>
      </c>
      <c r="N746" s="475"/>
      <c r="O746" s="476">
        <v>0</v>
      </c>
      <c r="P746" s="476">
        <v>0</v>
      </c>
      <c r="Q746" s="477">
        <v>0.28055555555555556</v>
      </c>
      <c r="R746" s="472">
        <f>IF(Table6[[#This Row],[Work Start TimeStamp]]="","",(Table6[[#This Row],[Work Start TimeStamp]]-Table6[[#This Row],[Fault Start TimeStamp]])*24)</f>
        <v>0</v>
      </c>
      <c r="S746" s="472">
        <f>(Table6[[#This Row],[Fault Clearance time]]-Table6[[#This Row],[Work Start TimeStamp]])*24</f>
        <v>6.7333333333333334</v>
      </c>
      <c r="T746" s="472">
        <f>(Table6[[#This Row],[Fault Clearance time]]-Table6[[#This Row],[Fault Start TimeStamp]])*24</f>
        <v>6.7333333333333334</v>
      </c>
      <c r="U746" s="35" t="s">
        <v>1828</v>
      </c>
      <c r="V746" s="102" t="s">
        <v>293</v>
      </c>
      <c r="W746" s="478">
        <f>IFERROR(Table6[[#This Row],[Breakdown Time]]*Table6[[#This Row],[Plant Equivalent Weightage]],"")</f>
        <v>0.25897435897435889</v>
      </c>
      <c r="X746" s="473" t="s">
        <v>290</v>
      </c>
      <c r="Y746" s="474" t="s">
        <v>77</v>
      </c>
      <c r="Z746" s="102">
        <v>14208</v>
      </c>
      <c r="AA746" s="468">
        <f>(Table6[[#This Row],[Paired WTG Generation for loss calculation]]/24)*Table6[[#This Row],[Breakdown Time]]</f>
        <v>3986.1333333333332</v>
      </c>
      <c r="AB746" s="102"/>
      <c r="AC746" s="35"/>
      <c r="AD746" s="35"/>
    </row>
    <row r="747" spans="1:30">
      <c r="A747" s="102">
        <f t="shared" si="12"/>
        <v>746</v>
      </c>
      <c r="B747" s="468">
        <f>YEAR(Table6[[#This Row],[Date]])+IF(MONTH(Table6[[#This Row],[Date]])&gt;=4,1,0)</f>
        <v>2026</v>
      </c>
      <c r="C747" s="102">
        <f>YEAR(Table6[[#This Row],[Date]])</f>
        <v>2025</v>
      </c>
      <c r="D747" s="102" t="s">
        <v>1992</v>
      </c>
      <c r="E747" s="469">
        <f>Table6[[#This Row],[Date]]-DAY(Table6[[#This Row],[Date]])+1</f>
        <v>45778</v>
      </c>
      <c r="F747" s="470">
        <v>45794</v>
      </c>
      <c r="G747" s="35" t="s">
        <v>80</v>
      </c>
      <c r="H747" s="35" t="str">
        <f>IFERROR(_xlfn.XLOOKUP(Table6[[#This Row],[Affected WTG]],'Basic Data'!$A:$A,'Basic Data'!$B:$B),"")</f>
        <v>TQGXIIPL</v>
      </c>
      <c r="I747" s="35" t="str">
        <f>IFERROR(_xlfn.XLOOKUP(Table6[[#This Row],[Affected WTG]],'Basic Data'!$A:$A,'Basic Data'!$C:$C),"")</f>
        <v>GEDA</v>
      </c>
      <c r="J747" s="471">
        <f>IFERROR(_xlfn.XLOOKUP(Table6[[#This Row],[Affected WTG]],'Basic Data'!$A:$A,'Basic Data'!$E:$E),"")</f>
        <v>3.846153846153845E-2</v>
      </c>
      <c r="K747" s="102">
        <v>3800</v>
      </c>
      <c r="L747" s="35" t="str">
        <f>IFERROR(_xlfn.XLOOKUP(Table6[[#This Row],[Error Code]],'Basic Data'!$AA:$AA,'Basic Data'!$AB:$AB),"Incorrect Error Code")</f>
        <v>Circuit breaker</v>
      </c>
      <c r="M747" s="35" t="s">
        <v>295</v>
      </c>
      <c r="N747" s="475"/>
      <c r="O747" s="476">
        <v>0.28958333333333336</v>
      </c>
      <c r="P747" s="476">
        <v>0.28958333333333336</v>
      </c>
      <c r="Q747" s="477">
        <v>0.74305555555555558</v>
      </c>
      <c r="R747" s="472">
        <f>IF(Table6[[#This Row],[Work Start TimeStamp]]="","",(Table6[[#This Row],[Work Start TimeStamp]]-Table6[[#This Row],[Fault Start TimeStamp]])*24)</f>
        <v>0</v>
      </c>
      <c r="S747" s="472">
        <f>(Table6[[#This Row],[Fault Clearance time]]-Table6[[#This Row],[Work Start TimeStamp]])*24</f>
        <v>10.883333333333333</v>
      </c>
      <c r="T747" s="472">
        <f>(Table6[[#This Row],[Fault Clearance time]]-Table6[[#This Row],[Fault Start TimeStamp]])*24</f>
        <v>10.883333333333333</v>
      </c>
      <c r="U747" s="35" t="s">
        <v>1836</v>
      </c>
      <c r="V747" s="102" t="s">
        <v>293</v>
      </c>
      <c r="W747" s="478">
        <f>IFERROR(Table6[[#This Row],[Breakdown Time]]*Table6[[#This Row],[Plant Equivalent Weightage]],"")</f>
        <v>0.41858974358974343</v>
      </c>
      <c r="X747" s="473" t="s">
        <v>290</v>
      </c>
      <c r="Y747" s="474" t="s">
        <v>77</v>
      </c>
      <c r="Z747" s="102">
        <v>14208</v>
      </c>
      <c r="AA747" s="468">
        <f>(Table6[[#This Row],[Paired WTG Generation for loss calculation]]/24)*Table6[[#This Row],[Breakdown Time]]</f>
        <v>6442.9333333333334</v>
      </c>
      <c r="AB747" s="102"/>
      <c r="AC747" s="35"/>
      <c r="AD747" s="35"/>
    </row>
    <row r="748" spans="1:30">
      <c r="A748" s="102">
        <f t="shared" si="12"/>
        <v>747</v>
      </c>
      <c r="B748" s="468">
        <f>YEAR(Table6[[#This Row],[Date]])+IF(MONTH(Table6[[#This Row],[Date]])&gt;=4,1,0)</f>
        <v>2026</v>
      </c>
      <c r="C748" s="102">
        <f>YEAR(Table6[[#This Row],[Date]])</f>
        <v>2025</v>
      </c>
      <c r="D748" s="102" t="s">
        <v>1992</v>
      </c>
      <c r="E748" s="469">
        <f>Table6[[#This Row],[Date]]-DAY(Table6[[#This Row],[Date]])+1</f>
        <v>45778</v>
      </c>
      <c r="F748" s="470">
        <v>45794</v>
      </c>
      <c r="G748" s="35" t="s">
        <v>81</v>
      </c>
      <c r="H748" s="35" t="str">
        <f>IFERROR(_xlfn.XLOOKUP(Table6[[#This Row],[Affected WTG]],'Basic Data'!$A:$A,'Basic Data'!$B:$B),"")</f>
        <v>TQGXIIPL</v>
      </c>
      <c r="I748" s="35" t="str">
        <f>IFERROR(_xlfn.XLOOKUP(Table6[[#This Row],[Affected WTG]],'Basic Data'!$A:$A,'Basic Data'!$C:$C),"")</f>
        <v>GEDA</v>
      </c>
      <c r="J748" s="471">
        <f>IFERROR(_xlfn.XLOOKUP(Table6[[#This Row],[Affected WTG]],'Basic Data'!$A:$A,'Basic Data'!$E:$E),"")</f>
        <v>3.846153846153845E-2</v>
      </c>
      <c r="K748" s="102">
        <v>6130</v>
      </c>
      <c r="L748" s="35" t="str">
        <f>IFERROR(_xlfn.XLOOKUP(Table6[[#This Row],[Error Code]],'Basic Data'!$AA:$AA,'Basic Data'!$AB:$AB),"Incorrect Error Code")</f>
        <v>Yaw speed high</v>
      </c>
      <c r="M748" s="35" t="s">
        <v>291</v>
      </c>
      <c r="N748" s="475"/>
      <c r="O748" s="476">
        <v>0.55486111111111114</v>
      </c>
      <c r="P748" s="476">
        <v>0.55486111111111114</v>
      </c>
      <c r="Q748" s="477">
        <v>0.55902777777777779</v>
      </c>
      <c r="R748" s="472">
        <f>IF(Table6[[#This Row],[Work Start TimeStamp]]="","",(Table6[[#This Row],[Work Start TimeStamp]]-Table6[[#This Row],[Fault Start TimeStamp]])*24)</f>
        <v>0</v>
      </c>
      <c r="S748" s="472">
        <f>(Table6[[#This Row],[Fault Clearance time]]-Table6[[#This Row],[Work Start TimeStamp]])*24</f>
        <v>9.9999999999999645E-2</v>
      </c>
      <c r="T748" s="472">
        <f>(Table6[[#This Row],[Fault Clearance time]]-Table6[[#This Row],[Fault Start TimeStamp]])*24</f>
        <v>9.9999999999999645E-2</v>
      </c>
      <c r="U748" s="35" t="s">
        <v>344</v>
      </c>
      <c r="V748" s="102" t="s">
        <v>293</v>
      </c>
      <c r="W748" s="478">
        <f>IFERROR(Table6[[#This Row],[Breakdown Time]]*Table6[[#This Row],[Plant Equivalent Weightage]],"")</f>
        <v>3.8461538461538312E-3</v>
      </c>
      <c r="X748" s="473" t="s">
        <v>294</v>
      </c>
      <c r="Y748" s="474" t="s">
        <v>99</v>
      </c>
      <c r="Z748" s="102">
        <v>12529</v>
      </c>
      <c r="AA748" s="468">
        <f>(Table6[[#This Row],[Paired WTG Generation for loss calculation]]/24)*Table6[[#This Row],[Breakdown Time]]</f>
        <v>52.204166666666474</v>
      </c>
      <c r="AB748" s="102"/>
      <c r="AC748" s="35"/>
      <c r="AD748" s="35"/>
    </row>
    <row r="749" spans="1:30">
      <c r="A749" s="102">
        <f t="shared" si="12"/>
        <v>748</v>
      </c>
      <c r="B749" s="468">
        <f>YEAR(Table6[[#This Row],[Date]])+IF(MONTH(Table6[[#This Row],[Date]])&gt;=4,1,0)</f>
        <v>2026</v>
      </c>
      <c r="C749" s="102">
        <f>YEAR(Table6[[#This Row],[Date]])</f>
        <v>2025</v>
      </c>
      <c r="D749" s="102" t="s">
        <v>1992</v>
      </c>
      <c r="E749" s="469">
        <f>Table6[[#This Row],[Date]]-DAY(Table6[[#This Row],[Date]])+1</f>
        <v>45778</v>
      </c>
      <c r="F749" s="470">
        <v>45794</v>
      </c>
      <c r="G749" s="35" t="s">
        <v>84</v>
      </c>
      <c r="H749" s="35" t="str">
        <f>IFERROR(_xlfn.XLOOKUP(Table6[[#This Row],[Affected WTG]],'Basic Data'!$A:$A,'Basic Data'!$B:$B),"")</f>
        <v>TQGXIIPL</v>
      </c>
      <c r="I749" s="35" t="str">
        <f>IFERROR(_xlfn.XLOOKUP(Table6[[#This Row],[Affected WTG]],'Basic Data'!$A:$A,'Basic Data'!$C:$C),"")</f>
        <v>GEDA</v>
      </c>
      <c r="J749" s="471">
        <f>IFERROR(_xlfn.XLOOKUP(Table6[[#This Row],[Affected WTG]],'Basic Data'!$A:$A,'Basic Data'!$E:$E),"")</f>
        <v>3.846153846153845E-2</v>
      </c>
      <c r="K749" s="102">
        <v>7002</v>
      </c>
      <c r="L749" s="35" t="str">
        <f>IFERROR(_xlfn.XLOOKUP(Table6[[#This Row],[Error Code]],'Basic Data'!$AA:$AA,'Basic Data'!$AB:$AB),"Incorrect Error Code")</f>
        <v>Task runtime failure 5ms</v>
      </c>
      <c r="M749" s="35" t="s">
        <v>291</v>
      </c>
      <c r="N749" s="475"/>
      <c r="O749" s="476">
        <v>0.79166666666666663</v>
      </c>
      <c r="P749" s="476">
        <v>0.79166666666666663</v>
      </c>
      <c r="Q749" s="477">
        <v>0.80138888888888893</v>
      </c>
      <c r="R749" s="472">
        <f>IF(Table6[[#This Row],[Work Start TimeStamp]]="","",(Table6[[#This Row],[Work Start TimeStamp]]-Table6[[#This Row],[Fault Start TimeStamp]])*24)</f>
        <v>0</v>
      </c>
      <c r="S749" s="472">
        <f>(Table6[[#This Row],[Fault Clearance time]]-Table6[[#This Row],[Work Start TimeStamp]])*24</f>
        <v>0.23333333333333517</v>
      </c>
      <c r="T749" s="472">
        <f>(Table6[[#This Row],[Fault Clearance time]]-Table6[[#This Row],[Fault Start TimeStamp]])*24</f>
        <v>0.23333333333333517</v>
      </c>
      <c r="U749" s="35" t="s">
        <v>344</v>
      </c>
      <c r="V749" s="102" t="s">
        <v>293</v>
      </c>
      <c r="W749" s="478">
        <f>IFERROR(Table6[[#This Row],[Breakdown Time]]*Table6[[#This Row],[Plant Equivalent Weightage]],"")</f>
        <v>8.9743589743590414E-3</v>
      </c>
      <c r="X749" s="473" t="s">
        <v>294</v>
      </c>
      <c r="Y749" s="474" t="s">
        <v>85</v>
      </c>
      <c r="Z749" s="102">
        <v>12234</v>
      </c>
      <c r="AA749" s="468">
        <f>(Table6[[#This Row],[Paired WTG Generation for loss calculation]]/24)*Table6[[#This Row],[Breakdown Time]]</f>
        <v>118.9416666666676</v>
      </c>
      <c r="AB749" s="102"/>
      <c r="AC749" s="35"/>
      <c r="AD749" s="35"/>
    </row>
    <row r="750" spans="1:30">
      <c r="A750" s="102">
        <f t="shared" si="12"/>
        <v>749</v>
      </c>
      <c r="B750" s="468">
        <f>YEAR(Table6[[#This Row],[Date]])+IF(MONTH(Table6[[#This Row],[Date]])&gt;=4,1,0)</f>
        <v>2026</v>
      </c>
      <c r="C750" s="102">
        <f>YEAR(Table6[[#This Row],[Date]])</f>
        <v>2025</v>
      </c>
      <c r="D750" s="102" t="s">
        <v>1992</v>
      </c>
      <c r="E750" s="469">
        <f>Table6[[#This Row],[Date]]-DAY(Table6[[#This Row],[Date]])+1</f>
        <v>45778</v>
      </c>
      <c r="F750" s="470">
        <v>45794</v>
      </c>
      <c r="G750" s="35" t="s">
        <v>92</v>
      </c>
      <c r="H750" s="35" t="str">
        <f>IFERROR(_xlfn.XLOOKUP(Table6[[#This Row],[Affected WTG]],'Basic Data'!$A:$A,'Basic Data'!$B:$B),"")</f>
        <v>TQGXIIPL</v>
      </c>
      <c r="I750" s="35" t="str">
        <f>IFERROR(_xlfn.XLOOKUP(Table6[[#This Row],[Affected WTG]],'Basic Data'!$A:$A,'Basic Data'!$C:$C),"")</f>
        <v>GEDA</v>
      </c>
      <c r="J750" s="471">
        <f>IFERROR(_xlfn.XLOOKUP(Table6[[#This Row],[Affected WTG]],'Basic Data'!$A:$A,'Basic Data'!$E:$E),"")</f>
        <v>3.846153846153845E-2</v>
      </c>
      <c r="K750" s="102">
        <v>55</v>
      </c>
      <c r="L750" s="35" t="str">
        <f>IFERROR(_xlfn.XLOOKUP(Table6[[#This Row],[Error Code]],'Basic Data'!$AA:$AA,'Basic Data'!$AB:$AB),"Incorrect Error Code")</f>
        <v>WTG shut down</v>
      </c>
      <c r="M750" s="35" t="s">
        <v>328</v>
      </c>
      <c r="N750" s="475"/>
      <c r="O750" s="476">
        <v>0.63958333333333328</v>
      </c>
      <c r="P750" s="476">
        <v>0.63958333333333328</v>
      </c>
      <c r="Q750" s="477">
        <v>0.67777777777777781</v>
      </c>
      <c r="R750" s="472">
        <f>IF(Table6[[#This Row],[Work Start TimeStamp]]="","",(Table6[[#This Row],[Work Start TimeStamp]]-Table6[[#This Row],[Fault Start TimeStamp]])*24)</f>
        <v>0</v>
      </c>
      <c r="S750" s="472">
        <f>(Table6[[#This Row],[Fault Clearance time]]-Table6[[#This Row],[Work Start TimeStamp]])*24</f>
        <v>0.91666666666666874</v>
      </c>
      <c r="T750" s="472">
        <f>(Table6[[#This Row],[Fault Clearance time]]-Table6[[#This Row],[Fault Start TimeStamp]])*24</f>
        <v>0.91666666666666874</v>
      </c>
      <c r="U750" s="35" t="s">
        <v>1845</v>
      </c>
      <c r="V750" s="102" t="s">
        <v>293</v>
      </c>
      <c r="W750" s="478">
        <f>IFERROR(Table6[[#This Row],[Breakdown Time]]*Table6[[#This Row],[Plant Equivalent Weightage]],"")</f>
        <v>3.5256410256410325E-2</v>
      </c>
      <c r="X750" s="473" t="s">
        <v>290</v>
      </c>
      <c r="Y750" s="474" t="s">
        <v>80</v>
      </c>
      <c r="Z750" s="102">
        <v>6613</v>
      </c>
      <c r="AA750" s="468">
        <f>(Table6[[#This Row],[Paired WTG Generation for loss calculation]]/24)*Table6[[#This Row],[Breakdown Time]]</f>
        <v>252.57986111111171</v>
      </c>
      <c r="AB750" s="102"/>
      <c r="AC750" s="35"/>
      <c r="AD750" s="35"/>
    </row>
    <row r="751" spans="1:30">
      <c r="A751" s="102">
        <f t="shared" si="12"/>
        <v>750</v>
      </c>
      <c r="B751" s="468">
        <f>YEAR(Table6[[#This Row],[Date]])+IF(MONTH(Table6[[#This Row],[Date]])&gt;=4,1,0)</f>
        <v>2026</v>
      </c>
      <c r="C751" s="102">
        <f>YEAR(Table6[[#This Row],[Date]])</f>
        <v>2025</v>
      </c>
      <c r="D751" s="102" t="s">
        <v>1992</v>
      </c>
      <c r="E751" s="469">
        <f>Table6[[#This Row],[Date]]-DAY(Table6[[#This Row],[Date]])+1</f>
        <v>45778</v>
      </c>
      <c r="F751" s="470">
        <v>45794</v>
      </c>
      <c r="G751" s="35" t="s">
        <v>82</v>
      </c>
      <c r="H751" s="35" t="str">
        <f>IFERROR(_xlfn.XLOOKUP(Table6[[#This Row],[Affected WTG]],'Basic Data'!$A:$A,'Basic Data'!$B:$B),"")</f>
        <v>TQGXIIPL</v>
      </c>
      <c r="I751" s="35" t="str">
        <f>IFERROR(_xlfn.XLOOKUP(Table6[[#This Row],[Affected WTG]],'Basic Data'!$A:$A,'Basic Data'!$C:$C),"")</f>
        <v>GEDA</v>
      </c>
      <c r="J751" s="471">
        <f>IFERROR(_xlfn.XLOOKUP(Table6[[#This Row],[Affected WTG]],'Basic Data'!$A:$A,'Basic Data'!$E:$E),"")</f>
        <v>3.846153846153845E-2</v>
      </c>
      <c r="K751" s="102">
        <v>6690</v>
      </c>
      <c r="L751" s="35" t="str">
        <f>IFERROR(_xlfn.XLOOKUP(Table6[[#This Row],[Error Code]],'Basic Data'!$AA:$AA,'Basic Data'!$AB:$AB),"Incorrect Error Code")</f>
        <v>Icing (stop)</v>
      </c>
      <c r="M751" s="35" t="s">
        <v>295</v>
      </c>
      <c r="N751" s="475"/>
      <c r="O751" s="476">
        <v>0</v>
      </c>
      <c r="P751" s="476">
        <v>0</v>
      </c>
      <c r="Q751" s="477">
        <v>0.99998842592592596</v>
      </c>
      <c r="R751" s="472">
        <f>IF(Table6[[#This Row],[Work Start TimeStamp]]="","",(Table6[[#This Row],[Work Start TimeStamp]]-Table6[[#This Row],[Fault Start TimeStamp]])*24)</f>
        <v>0</v>
      </c>
      <c r="S751" s="472">
        <f>(Table6[[#This Row],[Fault Clearance time]]-Table6[[#This Row],[Work Start TimeStamp]])*24</f>
        <v>23.999722222222225</v>
      </c>
      <c r="T751" s="472">
        <f>(Table6[[#This Row],[Fault Clearance time]]-Table6[[#This Row],[Fault Start TimeStamp]])*24</f>
        <v>23.999722222222225</v>
      </c>
      <c r="U751" s="35" t="s">
        <v>1837</v>
      </c>
      <c r="V751" s="102" t="s">
        <v>293</v>
      </c>
      <c r="W751" s="478">
        <f>IFERROR(Table6[[#This Row],[Breakdown Time]]*Table6[[#This Row],[Plant Equivalent Weightage]],"")</f>
        <v>0.9230662393162391</v>
      </c>
      <c r="X751" s="473" t="s">
        <v>294</v>
      </c>
      <c r="Y751" s="474" t="s">
        <v>76</v>
      </c>
      <c r="Z751" s="102">
        <v>13636</v>
      </c>
      <c r="AA751" s="468">
        <f>(Table6[[#This Row],[Paired WTG Generation for loss calculation]]/24)*Table6[[#This Row],[Breakdown Time]]</f>
        <v>13635.842175925927</v>
      </c>
      <c r="AB751" s="102"/>
      <c r="AC751" s="35"/>
      <c r="AD751" s="35"/>
    </row>
    <row r="752" spans="1:30">
      <c r="A752" s="102">
        <f t="shared" si="12"/>
        <v>751</v>
      </c>
      <c r="B752" s="468">
        <f>YEAR(Table6[[#This Row],[Date]])+IF(MONTH(Table6[[#This Row],[Date]])&gt;=4,1,0)</f>
        <v>2026</v>
      </c>
      <c r="C752" s="102">
        <f>YEAR(Table6[[#This Row],[Date]])</f>
        <v>2025</v>
      </c>
      <c r="D752" s="102" t="s">
        <v>1992</v>
      </c>
      <c r="E752" s="469">
        <f>Table6[[#This Row],[Date]]-DAY(Table6[[#This Row],[Date]])+1</f>
        <v>45778</v>
      </c>
      <c r="F752" s="470">
        <v>45795</v>
      </c>
      <c r="G752" s="35" t="s">
        <v>80</v>
      </c>
      <c r="H752" s="35" t="str">
        <f>IFERROR(_xlfn.XLOOKUP(Table6[[#This Row],[Affected WTG]],'Basic Data'!$A:$A,'Basic Data'!$B:$B),"")</f>
        <v>TQGXIIPL</v>
      </c>
      <c r="I752" s="35" t="str">
        <f>IFERROR(_xlfn.XLOOKUP(Table6[[#This Row],[Affected WTG]],'Basic Data'!$A:$A,'Basic Data'!$C:$C),"")</f>
        <v>GEDA</v>
      </c>
      <c r="J752" s="471">
        <f>IFERROR(_xlfn.XLOOKUP(Table6[[#This Row],[Affected WTG]],'Basic Data'!$A:$A,'Basic Data'!$E:$E),"")</f>
        <v>3.846153846153845E-2</v>
      </c>
      <c r="K752" s="102">
        <v>175</v>
      </c>
      <c r="L752" s="35" t="str">
        <f>IFERROR(_xlfn.XLOOKUP(Table6[[#This Row],[Error Code]],'Basic Data'!$AA:$AA,'Basic Data'!$AB:$AB),"Incorrect Error Code")</f>
        <v>SLC error</v>
      </c>
      <c r="M752" s="35" t="s">
        <v>291</v>
      </c>
      <c r="N752" s="475"/>
      <c r="O752" s="476">
        <v>0.875</v>
      </c>
      <c r="P752" s="476">
        <v>0.875</v>
      </c>
      <c r="Q752" s="477">
        <v>0.87638888888888888</v>
      </c>
      <c r="R752" s="472">
        <f>IF(Table6[[#This Row],[Work Start TimeStamp]]="","",(Table6[[#This Row],[Work Start TimeStamp]]-Table6[[#This Row],[Fault Start TimeStamp]])*24)</f>
        <v>0</v>
      </c>
      <c r="S752" s="472">
        <f>(Table6[[#This Row],[Fault Clearance time]]-Table6[[#This Row],[Work Start TimeStamp]])*24</f>
        <v>3.3333333333333215E-2</v>
      </c>
      <c r="T752" s="472">
        <f>(Table6[[#This Row],[Fault Clearance time]]-Table6[[#This Row],[Fault Start TimeStamp]])*24</f>
        <v>3.3333333333333215E-2</v>
      </c>
      <c r="U752" s="35" t="s">
        <v>344</v>
      </c>
      <c r="V752" s="102" t="s">
        <v>293</v>
      </c>
      <c r="W752" s="478">
        <f>IFERROR(Table6[[#This Row],[Breakdown Time]]*Table6[[#This Row],[Plant Equivalent Weightage]],"")</f>
        <v>1.2820512820512771E-3</v>
      </c>
      <c r="X752" s="473" t="s">
        <v>294</v>
      </c>
      <c r="Y752" s="474" t="s">
        <v>77</v>
      </c>
      <c r="Z752" s="102">
        <v>13552</v>
      </c>
      <c r="AA752" s="468">
        <f>(Table6[[#This Row],[Paired WTG Generation for loss calculation]]/24)*Table6[[#This Row],[Breakdown Time]]</f>
        <v>18.822222222222155</v>
      </c>
      <c r="AB752" s="102"/>
      <c r="AC752" s="35"/>
      <c r="AD752" s="35"/>
    </row>
    <row r="753" spans="1:30">
      <c r="A753" s="102">
        <f t="shared" si="12"/>
        <v>752</v>
      </c>
      <c r="B753" s="468">
        <f>YEAR(Table6[[#This Row],[Date]])+IF(MONTH(Table6[[#This Row],[Date]])&gt;=4,1,0)</f>
        <v>2026</v>
      </c>
      <c r="C753" s="102">
        <f>YEAR(Table6[[#This Row],[Date]])</f>
        <v>2025</v>
      </c>
      <c r="D753" s="102" t="s">
        <v>1992</v>
      </c>
      <c r="E753" s="469">
        <f>Table6[[#This Row],[Date]]-DAY(Table6[[#This Row],[Date]])+1</f>
        <v>45778</v>
      </c>
      <c r="F753" s="470">
        <v>45795</v>
      </c>
      <c r="G753" s="35" t="s">
        <v>82</v>
      </c>
      <c r="H753" s="35" t="str">
        <f>IFERROR(_xlfn.XLOOKUP(Table6[[#This Row],[Affected WTG]],'Basic Data'!$A:$A,'Basic Data'!$B:$B),"")</f>
        <v>TQGXIIPL</v>
      </c>
      <c r="I753" s="35" t="str">
        <f>IFERROR(_xlfn.XLOOKUP(Table6[[#This Row],[Affected WTG]],'Basic Data'!$A:$A,'Basic Data'!$C:$C),"")</f>
        <v>GEDA</v>
      </c>
      <c r="J753" s="471">
        <f>IFERROR(_xlfn.XLOOKUP(Table6[[#This Row],[Affected WTG]],'Basic Data'!$A:$A,'Basic Data'!$E:$E),"")</f>
        <v>3.846153846153845E-2</v>
      </c>
      <c r="K753" s="102">
        <v>6690</v>
      </c>
      <c r="L753" s="35" t="str">
        <f>IFERROR(_xlfn.XLOOKUP(Table6[[#This Row],[Error Code]],'Basic Data'!$AA:$AA,'Basic Data'!$AB:$AB),"Incorrect Error Code")</f>
        <v>Icing (stop)</v>
      </c>
      <c r="M753" s="35" t="s">
        <v>295</v>
      </c>
      <c r="N753" s="475"/>
      <c r="O753" s="476">
        <v>0</v>
      </c>
      <c r="P753" s="476">
        <v>0</v>
      </c>
      <c r="Q753" s="477">
        <v>0.31527777777777777</v>
      </c>
      <c r="R753" s="472">
        <f>IF(Table6[[#This Row],[Work Start TimeStamp]]="","",(Table6[[#This Row],[Work Start TimeStamp]]-Table6[[#This Row],[Fault Start TimeStamp]])*24)</f>
        <v>0</v>
      </c>
      <c r="S753" s="472">
        <f>(Table6[[#This Row],[Fault Clearance time]]-Table6[[#This Row],[Work Start TimeStamp]])*24</f>
        <v>7.5666666666666664</v>
      </c>
      <c r="T753" s="472">
        <f>(Table6[[#This Row],[Fault Clearance time]]-Table6[[#This Row],[Fault Start TimeStamp]])*24</f>
        <v>7.5666666666666664</v>
      </c>
      <c r="U753" s="35" t="s">
        <v>1838</v>
      </c>
      <c r="V753" s="102" t="s">
        <v>293</v>
      </c>
      <c r="W753" s="478">
        <f>IFERROR(Table6[[#This Row],[Breakdown Time]]*Table6[[#This Row],[Plant Equivalent Weightage]],"")</f>
        <v>0.29102564102564094</v>
      </c>
      <c r="X753" s="473" t="s">
        <v>294</v>
      </c>
      <c r="Y753" s="474" t="s">
        <v>76</v>
      </c>
      <c r="Z753" s="102">
        <v>12694</v>
      </c>
      <c r="AA753" s="468">
        <f>(Table6[[#This Row],[Paired WTG Generation for loss calculation]]/24)*Table6[[#This Row],[Breakdown Time]]</f>
        <v>4002.1361111111105</v>
      </c>
      <c r="AB753" s="102"/>
      <c r="AC753" s="35"/>
      <c r="AD753" s="35"/>
    </row>
    <row r="754" spans="1:30">
      <c r="A754" s="102">
        <f t="shared" si="12"/>
        <v>753</v>
      </c>
      <c r="B754" s="468">
        <f>YEAR(Table6[[#This Row],[Date]])+IF(MONTH(Table6[[#This Row],[Date]])&gt;=4,1,0)</f>
        <v>2026</v>
      </c>
      <c r="C754" s="102">
        <f>YEAR(Table6[[#This Row],[Date]])</f>
        <v>2025</v>
      </c>
      <c r="D754" s="102" t="s">
        <v>1992</v>
      </c>
      <c r="E754" s="469">
        <f>Table6[[#This Row],[Date]]-DAY(Table6[[#This Row],[Date]])+1</f>
        <v>45778</v>
      </c>
      <c r="F754" s="470">
        <v>45795</v>
      </c>
      <c r="G754" s="35" t="s">
        <v>85</v>
      </c>
      <c r="H754" s="35" t="str">
        <f>IFERROR(_xlfn.XLOOKUP(Table6[[#This Row],[Affected WTG]],'Basic Data'!$A:$A,'Basic Data'!$B:$B),"")</f>
        <v>TQGXIIPL</v>
      </c>
      <c r="I754" s="35" t="str">
        <f>IFERROR(_xlfn.XLOOKUP(Table6[[#This Row],[Affected WTG]],'Basic Data'!$A:$A,'Basic Data'!$C:$C),"")</f>
        <v>GEDA</v>
      </c>
      <c r="J754" s="471">
        <f>IFERROR(_xlfn.XLOOKUP(Table6[[#This Row],[Affected WTG]],'Basic Data'!$A:$A,'Basic Data'!$E:$E),"")</f>
        <v>3.846153846153845E-2</v>
      </c>
      <c r="K754" s="102">
        <v>1130</v>
      </c>
      <c r="L754" s="35" t="str">
        <f>IFERROR(_xlfn.XLOOKUP(Table6[[#This Row],[Error Code]],'Basic Data'!$AA:$AA,'Basic Data'!$AB:$AB),"Incorrect Error Code")</f>
        <v>Acceleration detector drivetrain</v>
      </c>
      <c r="M754" s="35" t="s">
        <v>292</v>
      </c>
      <c r="N754" s="475"/>
      <c r="O754" s="476">
        <v>0.10833333333333334</v>
      </c>
      <c r="P754" s="476">
        <v>0.10833333333333334</v>
      </c>
      <c r="Q754" s="477">
        <v>0.10972222222222222</v>
      </c>
      <c r="R754" s="472">
        <f>IF(Table6[[#This Row],[Work Start TimeStamp]]="","",(Table6[[#This Row],[Work Start TimeStamp]]-Table6[[#This Row],[Fault Start TimeStamp]])*24)</f>
        <v>0</v>
      </c>
      <c r="S754" s="472">
        <f>(Table6[[#This Row],[Fault Clearance time]]-Table6[[#This Row],[Work Start TimeStamp]])*24</f>
        <v>3.3333333333333215E-2</v>
      </c>
      <c r="T754" s="472">
        <f>(Table6[[#This Row],[Fault Clearance time]]-Table6[[#This Row],[Fault Start TimeStamp]])*24</f>
        <v>3.3333333333333215E-2</v>
      </c>
      <c r="U754" s="35" t="s">
        <v>346</v>
      </c>
      <c r="V754" s="102" t="s">
        <v>293</v>
      </c>
      <c r="W754" s="478">
        <f>IFERROR(Table6[[#This Row],[Breakdown Time]]*Table6[[#This Row],[Plant Equivalent Weightage]],"")</f>
        <v>1.2820512820512771E-3</v>
      </c>
      <c r="X754" s="473" t="s">
        <v>294</v>
      </c>
      <c r="Y754" s="474" t="s">
        <v>87</v>
      </c>
      <c r="Z754" s="102">
        <v>11662</v>
      </c>
      <c r="AA754" s="468">
        <f>(Table6[[#This Row],[Paired WTG Generation for loss calculation]]/24)*Table6[[#This Row],[Breakdown Time]]</f>
        <v>16.197222222222166</v>
      </c>
      <c r="AB754" s="102"/>
      <c r="AC754" s="35"/>
      <c r="AD754" s="35"/>
    </row>
    <row r="755" spans="1:30">
      <c r="A755" s="102">
        <f t="shared" si="12"/>
        <v>754</v>
      </c>
      <c r="B755" s="468">
        <f>YEAR(Table6[[#This Row],[Date]])+IF(MONTH(Table6[[#This Row],[Date]])&gt;=4,1,0)</f>
        <v>2026</v>
      </c>
      <c r="C755" s="102">
        <f>YEAR(Table6[[#This Row],[Date]])</f>
        <v>2025</v>
      </c>
      <c r="D755" s="102" t="s">
        <v>1992</v>
      </c>
      <c r="E755" s="469">
        <f>Table6[[#This Row],[Date]]-DAY(Table6[[#This Row],[Date]])+1</f>
        <v>45778</v>
      </c>
      <c r="F755" s="470">
        <v>45795</v>
      </c>
      <c r="G755" s="35" t="s">
        <v>88</v>
      </c>
      <c r="H755" s="35" t="str">
        <f>IFERROR(_xlfn.XLOOKUP(Table6[[#This Row],[Affected WTG]],'Basic Data'!$A:$A,'Basic Data'!$B:$B),"")</f>
        <v>TQGXIIPL</v>
      </c>
      <c r="I755" s="35" t="str">
        <f>IFERROR(_xlfn.XLOOKUP(Table6[[#This Row],[Affected WTG]],'Basic Data'!$A:$A,'Basic Data'!$C:$C),"")</f>
        <v>GEDA</v>
      </c>
      <c r="J755" s="471">
        <f>IFERROR(_xlfn.XLOOKUP(Table6[[#This Row],[Affected WTG]],'Basic Data'!$A:$A,'Basic Data'!$E:$E),"")</f>
        <v>3.846153846153845E-2</v>
      </c>
      <c r="K755" s="102">
        <v>642</v>
      </c>
      <c r="L755" s="35" t="str">
        <f>IFERROR(_xlfn.XLOOKUP(Table6[[#This Row],[Error Code]],'Basic Data'!$AA:$AA,'Basic Data'!$AB:$AB),"Incorrect Error Code")</f>
        <v>Sim.angle E enc. &lt;&gt; act.angle 2</v>
      </c>
      <c r="M755" s="35" t="s">
        <v>291</v>
      </c>
      <c r="N755" s="475"/>
      <c r="O755" s="476">
        <v>0.5180555555555556</v>
      </c>
      <c r="P755" s="476">
        <v>0.56458333333333333</v>
      </c>
      <c r="Q755" s="477">
        <v>0.5805555555555556</v>
      </c>
      <c r="R755" s="472">
        <f>IF(Table6[[#This Row],[Work Start TimeStamp]]="","",(Table6[[#This Row],[Work Start TimeStamp]]-Table6[[#This Row],[Fault Start TimeStamp]])*24)</f>
        <v>1.1166666666666654</v>
      </c>
      <c r="S755" s="472">
        <f>(Table6[[#This Row],[Fault Clearance time]]-Table6[[#This Row],[Work Start TimeStamp]])*24</f>
        <v>0.38333333333333464</v>
      </c>
      <c r="T755" s="472">
        <f>(Table6[[#This Row],[Fault Clearance time]]-Table6[[#This Row],[Fault Start TimeStamp]])*24</f>
        <v>1.5</v>
      </c>
      <c r="U755" s="35" t="s">
        <v>1839</v>
      </c>
      <c r="V755" s="102" t="s">
        <v>293</v>
      </c>
      <c r="W755" s="478">
        <f>IFERROR(Table6[[#This Row],[Breakdown Time]]*Table6[[#This Row],[Plant Equivalent Weightage]],"")</f>
        <v>5.7692307692307675E-2</v>
      </c>
      <c r="X755" s="473" t="s">
        <v>290</v>
      </c>
      <c r="Y755" s="474" t="s">
        <v>83</v>
      </c>
      <c r="Z755" s="102">
        <v>13272</v>
      </c>
      <c r="AA755" s="468">
        <f>(Table6[[#This Row],[Paired WTG Generation for loss calculation]]/24)*Table6[[#This Row],[Breakdown Time]]</f>
        <v>829.5</v>
      </c>
      <c r="AB755" s="102"/>
      <c r="AC755" s="35"/>
      <c r="AD755" s="35"/>
    </row>
    <row r="756" spans="1:30">
      <c r="A756" s="102">
        <f t="shared" si="12"/>
        <v>755</v>
      </c>
      <c r="B756" s="468">
        <f>YEAR(Table6[[#This Row],[Date]])+IF(MONTH(Table6[[#This Row],[Date]])&gt;=4,1,0)</f>
        <v>2026</v>
      </c>
      <c r="C756" s="102">
        <f>YEAR(Table6[[#This Row],[Date]])</f>
        <v>2025</v>
      </c>
      <c r="D756" s="102" t="s">
        <v>1992</v>
      </c>
      <c r="E756" s="469">
        <f>Table6[[#This Row],[Date]]-DAY(Table6[[#This Row],[Date]])+1</f>
        <v>45778</v>
      </c>
      <c r="F756" s="470">
        <v>45795</v>
      </c>
      <c r="G756" s="35" t="s">
        <v>95</v>
      </c>
      <c r="H756" s="35" t="str">
        <f>IFERROR(_xlfn.XLOOKUP(Table6[[#This Row],[Affected WTG]],'Basic Data'!$A:$A,'Basic Data'!$B:$B),"")</f>
        <v>TQGXIIPL</v>
      </c>
      <c r="I756" s="35" t="str">
        <f>IFERROR(_xlfn.XLOOKUP(Table6[[#This Row],[Affected WTG]],'Basic Data'!$A:$A,'Basic Data'!$C:$C),"")</f>
        <v>GEDA</v>
      </c>
      <c r="J756" s="471">
        <f>IFERROR(_xlfn.XLOOKUP(Table6[[#This Row],[Affected WTG]],'Basic Data'!$A:$A,'Basic Data'!$E:$E),"")</f>
        <v>3.846153846153845E-2</v>
      </c>
      <c r="K756" s="102">
        <v>6130</v>
      </c>
      <c r="L756" s="35" t="str">
        <f>IFERROR(_xlfn.XLOOKUP(Table6[[#This Row],[Error Code]],'Basic Data'!$AA:$AA,'Basic Data'!$AB:$AB),"Incorrect Error Code")</f>
        <v>Yaw speed high</v>
      </c>
      <c r="M756" s="35" t="s">
        <v>291</v>
      </c>
      <c r="N756" s="475"/>
      <c r="O756" s="476">
        <v>0.54791666666666672</v>
      </c>
      <c r="P756" s="476">
        <v>0.54791666666666672</v>
      </c>
      <c r="Q756" s="477">
        <v>0.55208333333333337</v>
      </c>
      <c r="R756" s="472">
        <f>IF(Table6[[#This Row],[Work Start TimeStamp]]="","",(Table6[[#This Row],[Work Start TimeStamp]]-Table6[[#This Row],[Fault Start TimeStamp]])*24)</f>
        <v>0</v>
      </c>
      <c r="S756" s="472">
        <f>(Table6[[#This Row],[Fault Clearance time]]-Table6[[#This Row],[Work Start TimeStamp]])*24</f>
        <v>9.9999999999999645E-2</v>
      </c>
      <c r="T756" s="472">
        <f>(Table6[[#This Row],[Fault Clearance time]]-Table6[[#This Row],[Fault Start TimeStamp]])*24</f>
        <v>9.9999999999999645E-2</v>
      </c>
      <c r="U756" s="35" t="s">
        <v>344</v>
      </c>
      <c r="V756" s="102" t="s">
        <v>293</v>
      </c>
      <c r="W756" s="478">
        <f>IFERROR(Table6[[#This Row],[Breakdown Time]]*Table6[[#This Row],[Plant Equivalent Weightage]],"")</f>
        <v>3.8461538461538312E-3</v>
      </c>
      <c r="X756" s="473" t="s">
        <v>294</v>
      </c>
      <c r="Y756" s="474" t="s">
        <v>79</v>
      </c>
      <c r="Z756" s="102">
        <v>14126</v>
      </c>
      <c r="AA756" s="468">
        <f>(Table6[[#This Row],[Paired WTG Generation for loss calculation]]/24)*Table6[[#This Row],[Breakdown Time]]</f>
        <v>58.858333333333128</v>
      </c>
      <c r="AB756" s="102"/>
      <c r="AC756" s="35"/>
      <c r="AD756" s="35"/>
    </row>
    <row r="757" spans="1:30">
      <c r="A757" s="102">
        <f t="shared" si="12"/>
        <v>756</v>
      </c>
      <c r="B757" s="468">
        <f>YEAR(Table6[[#This Row],[Date]])+IF(MONTH(Table6[[#This Row],[Date]])&gt;=4,1,0)</f>
        <v>2026</v>
      </c>
      <c r="C757" s="102">
        <f>YEAR(Table6[[#This Row],[Date]])</f>
        <v>2025</v>
      </c>
      <c r="D757" s="102" t="s">
        <v>1992</v>
      </c>
      <c r="E757" s="469">
        <f>Table6[[#This Row],[Date]]-DAY(Table6[[#This Row],[Date]])+1</f>
        <v>45778</v>
      </c>
      <c r="F757" s="470">
        <v>45795</v>
      </c>
      <c r="G757" s="35" t="s">
        <v>96</v>
      </c>
      <c r="H757" s="35" t="str">
        <f>IFERROR(_xlfn.XLOOKUP(Table6[[#This Row],[Affected WTG]],'Basic Data'!$A:$A,'Basic Data'!$B:$B),"")</f>
        <v>TQGXIIPL</v>
      </c>
      <c r="I757" s="35" t="str">
        <f>IFERROR(_xlfn.XLOOKUP(Table6[[#This Row],[Affected WTG]],'Basic Data'!$A:$A,'Basic Data'!$C:$C),"")</f>
        <v>GEDA</v>
      </c>
      <c r="J757" s="471">
        <f>IFERROR(_xlfn.XLOOKUP(Table6[[#This Row],[Affected WTG]],'Basic Data'!$A:$A,'Basic Data'!$E:$E),"")</f>
        <v>3.846153846153845E-2</v>
      </c>
      <c r="K757" s="102">
        <v>6130</v>
      </c>
      <c r="L757" s="35" t="str">
        <f>IFERROR(_xlfn.XLOOKUP(Table6[[#This Row],[Error Code]],'Basic Data'!$AA:$AA,'Basic Data'!$AB:$AB),"Incorrect Error Code")</f>
        <v>Yaw speed high</v>
      </c>
      <c r="M757" s="35" t="s">
        <v>292</v>
      </c>
      <c r="N757" s="475"/>
      <c r="O757" s="476">
        <v>0.65763888888888888</v>
      </c>
      <c r="P757" s="476">
        <v>0.65763888888888888</v>
      </c>
      <c r="Q757" s="477">
        <v>0.65833333333333333</v>
      </c>
      <c r="R757" s="472">
        <f>IF(Table6[[#This Row],[Work Start TimeStamp]]="","",(Table6[[#This Row],[Work Start TimeStamp]]-Table6[[#This Row],[Fault Start TimeStamp]])*24)</f>
        <v>0</v>
      </c>
      <c r="S757" s="472">
        <f>(Table6[[#This Row],[Fault Clearance time]]-Table6[[#This Row],[Work Start TimeStamp]])*24</f>
        <v>1.6666666666666607E-2</v>
      </c>
      <c r="T757" s="472">
        <f>(Table6[[#This Row],[Fault Clearance time]]-Table6[[#This Row],[Fault Start TimeStamp]])*24</f>
        <v>1.6666666666666607E-2</v>
      </c>
      <c r="U757" s="35" t="s">
        <v>346</v>
      </c>
      <c r="V757" s="102" t="s">
        <v>293</v>
      </c>
      <c r="W757" s="478">
        <f>IFERROR(Table6[[#This Row],[Breakdown Time]]*Table6[[#This Row],[Plant Equivalent Weightage]],"")</f>
        <v>6.4102564102563853E-4</v>
      </c>
      <c r="X757" s="473" t="s">
        <v>294</v>
      </c>
      <c r="Y757" s="474" t="s">
        <v>84</v>
      </c>
      <c r="Z757" s="102">
        <v>12398</v>
      </c>
      <c r="AA757" s="468">
        <f>(Table6[[#This Row],[Paired WTG Generation for loss calculation]]/24)*Table6[[#This Row],[Breakdown Time]]</f>
        <v>8.6097222222221923</v>
      </c>
      <c r="AB757" s="102"/>
      <c r="AC757" s="35"/>
      <c r="AD757" s="35"/>
    </row>
    <row r="758" spans="1:30">
      <c r="A758" s="102">
        <f t="shared" si="12"/>
        <v>757</v>
      </c>
      <c r="B758" s="468">
        <f>YEAR(Table6[[#This Row],[Date]])+IF(MONTH(Table6[[#This Row],[Date]])&gt;=4,1,0)</f>
        <v>2026</v>
      </c>
      <c r="C758" s="102">
        <f>YEAR(Table6[[#This Row],[Date]])</f>
        <v>2025</v>
      </c>
      <c r="D758" s="102" t="s">
        <v>1992</v>
      </c>
      <c r="E758" s="469">
        <f>Table6[[#This Row],[Date]]-DAY(Table6[[#This Row],[Date]])+1</f>
        <v>45778</v>
      </c>
      <c r="F758" s="470">
        <v>45796</v>
      </c>
      <c r="G758" s="35" t="s">
        <v>74</v>
      </c>
      <c r="H758" s="35" t="str">
        <f>IFERROR(_xlfn.XLOOKUP(Table6[[#This Row],[Affected WTG]],'Basic Data'!$A:$A,'Basic Data'!$B:$B),"")</f>
        <v>TQGXIIPL</v>
      </c>
      <c r="I758" s="35" t="str">
        <f>IFERROR(_xlfn.XLOOKUP(Table6[[#This Row],[Affected WTG]],'Basic Data'!$A:$A,'Basic Data'!$C:$C),"")</f>
        <v>GEDA</v>
      </c>
      <c r="J758" s="471">
        <f>IFERROR(_xlfn.XLOOKUP(Table6[[#This Row],[Affected WTG]],'Basic Data'!$A:$A,'Basic Data'!$E:$E),"")</f>
        <v>3.846153846153845E-2</v>
      </c>
      <c r="K758" s="102">
        <v>55</v>
      </c>
      <c r="L758" s="35" t="str">
        <f>IFERROR(_xlfn.XLOOKUP(Table6[[#This Row],[Error Code]],'Basic Data'!$AA:$AA,'Basic Data'!$AB:$AB),"Incorrect Error Code")</f>
        <v>WTG shut down</v>
      </c>
      <c r="M758" s="35" t="s">
        <v>297</v>
      </c>
      <c r="N758" s="475"/>
      <c r="O758" s="476">
        <v>0.72916666666666663</v>
      </c>
      <c r="P758" s="476">
        <v>0.72916666666666663</v>
      </c>
      <c r="Q758" s="477">
        <v>0.73611111111111116</v>
      </c>
      <c r="R758" s="472">
        <f>IF(Table6[[#This Row],[Work Start TimeStamp]]="","",(Table6[[#This Row],[Work Start TimeStamp]]-Table6[[#This Row],[Fault Start TimeStamp]])*24)</f>
        <v>0</v>
      </c>
      <c r="S758" s="472">
        <f>(Table6[[#This Row],[Fault Clearance time]]-Table6[[#This Row],[Work Start TimeStamp]])*24</f>
        <v>0.16666666666666874</v>
      </c>
      <c r="T758" s="472">
        <f>(Table6[[#This Row],[Fault Clearance time]]-Table6[[#This Row],[Fault Start TimeStamp]])*24</f>
        <v>0.16666666666666874</v>
      </c>
      <c r="U758" s="35" t="s">
        <v>1846</v>
      </c>
      <c r="V758" s="102" t="s">
        <v>293</v>
      </c>
      <c r="W758" s="478">
        <f>IFERROR(Table6[[#This Row],[Breakdown Time]]*Table6[[#This Row],[Plant Equivalent Weightage]],"")</f>
        <v>6.4102564102564881E-3</v>
      </c>
      <c r="X758" s="473" t="s">
        <v>294</v>
      </c>
      <c r="Y758" s="474" t="s">
        <v>99</v>
      </c>
      <c r="Z758" s="102">
        <v>14378</v>
      </c>
      <c r="AA758" s="468">
        <f>(Table6[[#This Row],[Paired WTG Generation for loss calculation]]/24)*Table6[[#This Row],[Breakdown Time]]</f>
        <v>99.847222222223465</v>
      </c>
      <c r="AB758" s="102"/>
      <c r="AC758" s="35"/>
      <c r="AD758" s="35"/>
    </row>
    <row r="759" spans="1:30">
      <c r="A759" s="102">
        <f t="shared" si="12"/>
        <v>758</v>
      </c>
      <c r="B759" s="468">
        <f>YEAR(Table6[[#This Row],[Date]])+IF(MONTH(Table6[[#This Row],[Date]])&gt;=4,1,0)</f>
        <v>2026</v>
      </c>
      <c r="C759" s="102">
        <f>YEAR(Table6[[#This Row],[Date]])</f>
        <v>2025</v>
      </c>
      <c r="D759" s="102" t="s">
        <v>1992</v>
      </c>
      <c r="E759" s="469">
        <f>Table6[[#This Row],[Date]]-DAY(Table6[[#This Row],[Date]])+1</f>
        <v>45778</v>
      </c>
      <c r="F759" s="470">
        <v>45796</v>
      </c>
      <c r="G759" s="35" t="s">
        <v>75</v>
      </c>
      <c r="H759" s="35" t="str">
        <f>IFERROR(_xlfn.XLOOKUP(Table6[[#This Row],[Affected WTG]],'Basic Data'!$A:$A,'Basic Data'!$B:$B),"")</f>
        <v>TQGXIIPL</v>
      </c>
      <c r="I759" s="35" t="str">
        <f>IFERROR(_xlfn.XLOOKUP(Table6[[#This Row],[Affected WTG]],'Basic Data'!$A:$A,'Basic Data'!$C:$C),"")</f>
        <v>GEDA</v>
      </c>
      <c r="J759" s="471">
        <f>IFERROR(_xlfn.XLOOKUP(Table6[[#This Row],[Affected WTG]],'Basic Data'!$A:$A,'Basic Data'!$E:$E),"")</f>
        <v>3.846153846153845E-2</v>
      </c>
      <c r="K759" s="102">
        <v>55</v>
      </c>
      <c r="L759" s="35" t="str">
        <f>IFERROR(_xlfn.XLOOKUP(Table6[[#This Row],[Error Code]],'Basic Data'!$AA:$AA,'Basic Data'!$AB:$AB),"Incorrect Error Code")</f>
        <v>WTG shut down</v>
      </c>
      <c r="M759" s="35" t="s">
        <v>297</v>
      </c>
      <c r="N759" s="475"/>
      <c r="O759" s="476">
        <v>0.72916666666666663</v>
      </c>
      <c r="P759" s="476">
        <v>0.72916666666666663</v>
      </c>
      <c r="Q759" s="477">
        <v>0.73611111111111116</v>
      </c>
      <c r="R759" s="472">
        <f>IF(Table6[[#This Row],[Work Start TimeStamp]]="","",(Table6[[#This Row],[Work Start TimeStamp]]-Table6[[#This Row],[Fault Start TimeStamp]])*24)</f>
        <v>0</v>
      </c>
      <c r="S759" s="472">
        <f>(Table6[[#This Row],[Fault Clearance time]]-Table6[[#This Row],[Work Start TimeStamp]])*24</f>
        <v>0.16666666666666874</v>
      </c>
      <c r="T759" s="472">
        <f>(Table6[[#This Row],[Fault Clearance time]]-Table6[[#This Row],[Fault Start TimeStamp]])*24</f>
        <v>0.16666666666666874</v>
      </c>
      <c r="U759" s="35" t="s">
        <v>1846</v>
      </c>
      <c r="V759" s="102" t="s">
        <v>293</v>
      </c>
      <c r="W759" s="478">
        <f>IFERROR(Table6[[#This Row],[Breakdown Time]]*Table6[[#This Row],[Plant Equivalent Weightage]],"")</f>
        <v>6.4102564102564881E-3</v>
      </c>
      <c r="X759" s="473" t="s">
        <v>294</v>
      </c>
      <c r="Y759" s="474" t="s">
        <v>78</v>
      </c>
      <c r="Z759" s="102">
        <v>16621</v>
      </c>
      <c r="AA759" s="468">
        <f>(Table6[[#This Row],[Paired WTG Generation for loss calculation]]/24)*Table6[[#This Row],[Breakdown Time]]</f>
        <v>115.42361111111254</v>
      </c>
      <c r="AB759" s="102"/>
      <c r="AC759" s="35"/>
      <c r="AD759" s="35"/>
    </row>
    <row r="760" spans="1:30">
      <c r="A760" s="102">
        <f t="shared" si="12"/>
        <v>759</v>
      </c>
      <c r="B760" s="468">
        <f>YEAR(Table6[[#This Row],[Date]])+IF(MONTH(Table6[[#This Row],[Date]])&gt;=4,1,0)</f>
        <v>2026</v>
      </c>
      <c r="C760" s="102">
        <f>YEAR(Table6[[#This Row],[Date]])</f>
        <v>2025</v>
      </c>
      <c r="D760" s="102" t="s">
        <v>1992</v>
      </c>
      <c r="E760" s="469">
        <f>Table6[[#This Row],[Date]]-DAY(Table6[[#This Row],[Date]])+1</f>
        <v>45778</v>
      </c>
      <c r="F760" s="470">
        <v>45796</v>
      </c>
      <c r="G760" s="35" t="s">
        <v>76</v>
      </c>
      <c r="H760" s="35" t="str">
        <f>IFERROR(_xlfn.XLOOKUP(Table6[[#This Row],[Affected WTG]],'Basic Data'!$A:$A,'Basic Data'!$B:$B),"")</f>
        <v>TQGXIIPL</v>
      </c>
      <c r="I760" s="35" t="str">
        <f>IFERROR(_xlfn.XLOOKUP(Table6[[#This Row],[Affected WTG]],'Basic Data'!$A:$A,'Basic Data'!$C:$C),"")</f>
        <v>GEDA</v>
      </c>
      <c r="J760" s="471">
        <f>IFERROR(_xlfn.XLOOKUP(Table6[[#This Row],[Affected WTG]],'Basic Data'!$A:$A,'Basic Data'!$E:$E),"")</f>
        <v>3.846153846153845E-2</v>
      </c>
      <c r="K760" s="102">
        <v>55</v>
      </c>
      <c r="L760" s="35" t="str">
        <f>IFERROR(_xlfn.XLOOKUP(Table6[[#This Row],[Error Code]],'Basic Data'!$AA:$AA,'Basic Data'!$AB:$AB),"Incorrect Error Code")</f>
        <v>WTG shut down</v>
      </c>
      <c r="M760" s="35" t="s">
        <v>297</v>
      </c>
      <c r="N760" s="475"/>
      <c r="O760" s="476">
        <v>0.72916666666666663</v>
      </c>
      <c r="P760" s="476">
        <v>0.72916666666666663</v>
      </c>
      <c r="Q760" s="477">
        <v>0.73611111111111116</v>
      </c>
      <c r="R760" s="472">
        <f>IF(Table6[[#This Row],[Work Start TimeStamp]]="","",(Table6[[#This Row],[Work Start TimeStamp]]-Table6[[#This Row],[Fault Start TimeStamp]])*24)</f>
        <v>0</v>
      </c>
      <c r="S760" s="472">
        <f>(Table6[[#This Row],[Fault Clearance time]]-Table6[[#This Row],[Work Start TimeStamp]])*24</f>
        <v>0.16666666666666874</v>
      </c>
      <c r="T760" s="472">
        <f>(Table6[[#This Row],[Fault Clearance time]]-Table6[[#This Row],[Fault Start TimeStamp]])*24</f>
        <v>0.16666666666666874</v>
      </c>
      <c r="U760" s="35" t="s">
        <v>1846</v>
      </c>
      <c r="V760" s="102" t="s">
        <v>293</v>
      </c>
      <c r="W760" s="478">
        <f>IFERROR(Table6[[#This Row],[Breakdown Time]]*Table6[[#This Row],[Plant Equivalent Weightage]],"")</f>
        <v>6.4102564102564881E-3</v>
      </c>
      <c r="X760" s="473" t="s">
        <v>294</v>
      </c>
      <c r="Y760" s="474" t="s">
        <v>82</v>
      </c>
      <c r="Z760" s="102">
        <v>15728</v>
      </c>
      <c r="AA760" s="468">
        <f>(Table6[[#This Row],[Paired WTG Generation for loss calculation]]/24)*Table6[[#This Row],[Breakdown Time]]</f>
        <v>109.22222222222359</v>
      </c>
      <c r="AB760" s="102"/>
      <c r="AC760" s="35"/>
      <c r="AD760" s="35"/>
    </row>
    <row r="761" spans="1:30">
      <c r="A761" s="102">
        <f t="shared" si="12"/>
        <v>760</v>
      </c>
      <c r="B761" s="468">
        <f>YEAR(Table6[[#This Row],[Date]])+IF(MONTH(Table6[[#This Row],[Date]])&gt;=4,1,0)</f>
        <v>2026</v>
      </c>
      <c r="C761" s="102">
        <f>YEAR(Table6[[#This Row],[Date]])</f>
        <v>2025</v>
      </c>
      <c r="D761" s="102" t="s">
        <v>1992</v>
      </c>
      <c r="E761" s="469">
        <f>Table6[[#This Row],[Date]]-DAY(Table6[[#This Row],[Date]])+1</f>
        <v>45778</v>
      </c>
      <c r="F761" s="470">
        <v>45796</v>
      </c>
      <c r="G761" s="35" t="s">
        <v>78</v>
      </c>
      <c r="H761" s="35" t="str">
        <f>IFERROR(_xlfn.XLOOKUP(Table6[[#This Row],[Affected WTG]],'Basic Data'!$A:$A,'Basic Data'!$B:$B),"")</f>
        <v>TQGXIIPL</v>
      </c>
      <c r="I761" s="35" t="str">
        <f>IFERROR(_xlfn.XLOOKUP(Table6[[#This Row],[Affected WTG]],'Basic Data'!$A:$A,'Basic Data'!$C:$C),"")</f>
        <v>GEDA</v>
      </c>
      <c r="J761" s="471">
        <f>IFERROR(_xlfn.XLOOKUP(Table6[[#This Row],[Affected WTG]],'Basic Data'!$A:$A,'Basic Data'!$E:$E),"")</f>
        <v>3.846153846153845E-2</v>
      </c>
      <c r="K761" s="102">
        <v>55</v>
      </c>
      <c r="L761" s="35" t="str">
        <f>IFERROR(_xlfn.XLOOKUP(Table6[[#This Row],[Error Code]],'Basic Data'!$AA:$AA,'Basic Data'!$AB:$AB),"Incorrect Error Code")</f>
        <v>WTG shut down</v>
      </c>
      <c r="M761" s="35" t="s">
        <v>297</v>
      </c>
      <c r="N761" s="475"/>
      <c r="O761" s="476">
        <v>0.72916666666666663</v>
      </c>
      <c r="P761" s="476">
        <v>0.72916666666666663</v>
      </c>
      <c r="Q761" s="477">
        <v>0.73611111111111116</v>
      </c>
      <c r="R761" s="472">
        <f>IF(Table6[[#This Row],[Work Start TimeStamp]]="","",(Table6[[#This Row],[Work Start TimeStamp]]-Table6[[#This Row],[Fault Start TimeStamp]])*24)</f>
        <v>0</v>
      </c>
      <c r="S761" s="472">
        <f>(Table6[[#This Row],[Fault Clearance time]]-Table6[[#This Row],[Work Start TimeStamp]])*24</f>
        <v>0.16666666666666874</v>
      </c>
      <c r="T761" s="472">
        <f>(Table6[[#This Row],[Fault Clearance time]]-Table6[[#This Row],[Fault Start TimeStamp]])*24</f>
        <v>0.16666666666666874</v>
      </c>
      <c r="U761" s="35" t="s">
        <v>1846</v>
      </c>
      <c r="V761" s="102" t="s">
        <v>293</v>
      </c>
      <c r="W761" s="478">
        <f>IFERROR(Table6[[#This Row],[Breakdown Time]]*Table6[[#This Row],[Plant Equivalent Weightage]],"")</f>
        <v>6.4102564102564881E-3</v>
      </c>
      <c r="X761" s="473" t="s">
        <v>294</v>
      </c>
      <c r="Y761" s="474" t="s">
        <v>75</v>
      </c>
      <c r="Z761" s="102">
        <v>18002</v>
      </c>
      <c r="AA761" s="468">
        <f>(Table6[[#This Row],[Paired WTG Generation for loss calculation]]/24)*Table6[[#This Row],[Breakdown Time]]</f>
        <v>125.01388888889045</v>
      </c>
      <c r="AB761" s="102"/>
      <c r="AC761" s="35"/>
      <c r="AD761" s="35"/>
    </row>
    <row r="762" spans="1:30">
      <c r="A762" s="102">
        <f t="shared" si="12"/>
        <v>761</v>
      </c>
      <c r="B762" s="468">
        <f>YEAR(Table6[[#This Row],[Date]])+IF(MONTH(Table6[[#This Row],[Date]])&gt;=4,1,0)</f>
        <v>2026</v>
      </c>
      <c r="C762" s="102">
        <f>YEAR(Table6[[#This Row],[Date]])</f>
        <v>2025</v>
      </c>
      <c r="D762" s="102" t="s">
        <v>1992</v>
      </c>
      <c r="E762" s="469">
        <f>Table6[[#This Row],[Date]]-DAY(Table6[[#This Row],[Date]])+1</f>
        <v>45778</v>
      </c>
      <c r="F762" s="470">
        <v>45796</v>
      </c>
      <c r="G762" s="35" t="s">
        <v>80</v>
      </c>
      <c r="H762" s="35" t="str">
        <f>IFERROR(_xlfn.XLOOKUP(Table6[[#This Row],[Affected WTG]],'Basic Data'!$A:$A,'Basic Data'!$B:$B),"")</f>
        <v>TQGXIIPL</v>
      </c>
      <c r="I762" s="35" t="str">
        <f>IFERROR(_xlfn.XLOOKUP(Table6[[#This Row],[Affected WTG]],'Basic Data'!$A:$A,'Basic Data'!$C:$C),"")</f>
        <v>GEDA</v>
      </c>
      <c r="J762" s="471">
        <f>IFERROR(_xlfn.XLOOKUP(Table6[[#This Row],[Affected WTG]],'Basic Data'!$A:$A,'Basic Data'!$E:$E),"")</f>
        <v>3.846153846153845E-2</v>
      </c>
      <c r="K762" s="102">
        <v>175</v>
      </c>
      <c r="L762" s="35" t="str">
        <f>IFERROR(_xlfn.XLOOKUP(Table6[[#This Row],[Error Code]],'Basic Data'!$AA:$AA,'Basic Data'!$AB:$AB),"Incorrect Error Code")</f>
        <v>SLC error</v>
      </c>
      <c r="M762" s="35" t="s">
        <v>291</v>
      </c>
      <c r="N762" s="475"/>
      <c r="O762" s="476">
        <v>7.2916666666666671E-2</v>
      </c>
      <c r="P762" s="476">
        <v>7.2916666666666671E-2</v>
      </c>
      <c r="Q762" s="477">
        <v>7.4305555555555555E-2</v>
      </c>
      <c r="R762" s="472">
        <f>IF(Table6[[#This Row],[Work Start TimeStamp]]="","",(Table6[[#This Row],[Work Start TimeStamp]]-Table6[[#This Row],[Fault Start TimeStamp]])*24)</f>
        <v>0</v>
      </c>
      <c r="S762" s="472">
        <f>(Table6[[#This Row],[Fault Clearance time]]-Table6[[#This Row],[Work Start TimeStamp]])*24</f>
        <v>3.3333333333333215E-2</v>
      </c>
      <c r="T762" s="472">
        <f>(Table6[[#This Row],[Fault Clearance time]]-Table6[[#This Row],[Fault Start TimeStamp]])*24</f>
        <v>3.3333333333333215E-2</v>
      </c>
      <c r="U762" s="35" t="s">
        <v>344</v>
      </c>
      <c r="V762" s="102" t="s">
        <v>293</v>
      </c>
      <c r="W762" s="478">
        <f>IFERROR(Table6[[#This Row],[Breakdown Time]]*Table6[[#This Row],[Plant Equivalent Weightage]],"")</f>
        <v>1.2820512820512771E-3</v>
      </c>
      <c r="X762" s="473" t="s">
        <v>294</v>
      </c>
      <c r="Y762" s="474" t="s">
        <v>77</v>
      </c>
      <c r="Z762" s="102">
        <v>16163</v>
      </c>
      <c r="AA762" s="468">
        <f>(Table6[[#This Row],[Paired WTG Generation for loss calculation]]/24)*Table6[[#This Row],[Breakdown Time]]</f>
        <v>22.448611111111031</v>
      </c>
      <c r="AB762" s="102"/>
      <c r="AC762" s="35"/>
      <c r="AD762" s="35"/>
    </row>
    <row r="763" spans="1:30">
      <c r="A763" s="102">
        <f t="shared" si="12"/>
        <v>762</v>
      </c>
      <c r="B763" s="468">
        <f>YEAR(Table6[[#This Row],[Date]])+IF(MONTH(Table6[[#This Row],[Date]])&gt;=4,1,0)</f>
        <v>2026</v>
      </c>
      <c r="C763" s="102">
        <f>YEAR(Table6[[#This Row],[Date]])</f>
        <v>2025</v>
      </c>
      <c r="D763" s="102" t="s">
        <v>1992</v>
      </c>
      <c r="E763" s="469">
        <f>Table6[[#This Row],[Date]]-DAY(Table6[[#This Row],[Date]])+1</f>
        <v>45778</v>
      </c>
      <c r="F763" s="470">
        <v>45796</v>
      </c>
      <c r="G763" s="35" t="s">
        <v>81</v>
      </c>
      <c r="H763" s="35" t="str">
        <f>IFERROR(_xlfn.XLOOKUP(Table6[[#This Row],[Affected WTG]],'Basic Data'!$A:$A,'Basic Data'!$B:$B),"")</f>
        <v>TQGXIIPL</v>
      </c>
      <c r="I763" s="35" t="str">
        <f>IFERROR(_xlfn.XLOOKUP(Table6[[#This Row],[Affected WTG]],'Basic Data'!$A:$A,'Basic Data'!$C:$C),"")</f>
        <v>GEDA</v>
      </c>
      <c r="J763" s="471">
        <f>IFERROR(_xlfn.XLOOKUP(Table6[[#This Row],[Affected WTG]],'Basic Data'!$A:$A,'Basic Data'!$E:$E),"")</f>
        <v>3.846153846153845E-2</v>
      </c>
      <c r="K763" s="102">
        <v>55</v>
      </c>
      <c r="L763" s="35" t="str">
        <f>IFERROR(_xlfn.XLOOKUP(Table6[[#This Row],[Error Code]],'Basic Data'!$AA:$AA,'Basic Data'!$AB:$AB),"Incorrect Error Code")</f>
        <v>WTG shut down</v>
      </c>
      <c r="M763" s="35" t="s">
        <v>297</v>
      </c>
      <c r="N763" s="475"/>
      <c r="O763" s="476">
        <v>0.72916666666666663</v>
      </c>
      <c r="P763" s="476">
        <v>0.72916666666666663</v>
      </c>
      <c r="Q763" s="477">
        <v>0.73611111111111116</v>
      </c>
      <c r="R763" s="472">
        <f>IF(Table6[[#This Row],[Work Start TimeStamp]]="","",(Table6[[#This Row],[Work Start TimeStamp]]-Table6[[#This Row],[Fault Start TimeStamp]])*24)</f>
        <v>0</v>
      </c>
      <c r="S763" s="472">
        <f>(Table6[[#This Row],[Fault Clearance time]]-Table6[[#This Row],[Work Start TimeStamp]])*24</f>
        <v>0.16666666666666874</v>
      </c>
      <c r="T763" s="472">
        <f>(Table6[[#This Row],[Fault Clearance time]]-Table6[[#This Row],[Fault Start TimeStamp]])*24</f>
        <v>0.16666666666666874</v>
      </c>
      <c r="U763" s="35" t="s">
        <v>1846</v>
      </c>
      <c r="V763" s="102" t="s">
        <v>293</v>
      </c>
      <c r="W763" s="478">
        <f>IFERROR(Table6[[#This Row],[Breakdown Time]]*Table6[[#This Row],[Plant Equivalent Weightage]],"")</f>
        <v>6.4102564102564881E-3</v>
      </c>
      <c r="X763" s="473" t="s">
        <v>294</v>
      </c>
      <c r="Y763" s="474" t="s">
        <v>99</v>
      </c>
      <c r="Z763" s="102">
        <v>14378</v>
      </c>
      <c r="AA763" s="468">
        <f>(Table6[[#This Row],[Paired WTG Generation for loss calculation]]/24)*Table6[[#This Row],[Breakdown Time]]</f>
        <v>99.847222222223465</v>
      </c>
      <c r="AB763" s="102"/>
      <c r="AC763" s="35"/>
      <c r="AD763" s="35"/>
    </row>
    <row r="764" spans="1:30">
      <c r="A764" s="102">
        <f t="shared" si="12"/>
        <v>763</v>
      </c>
      <c r="B764" s="468">
        <f>YEAR(Table6[[#This Row],[Date]])+IF(MONTH(Table6[[#This Row],[Date]])&gt;=4,1,0)</f>
        <v>2026</v>
      </c>
      <c r="C764" s="102">
        <f>YEAR(Table6[[#This Row],[Date]])</f>
        <v>2025</v>
      </c>
      <c r="D764" s="102" t="s">
        <v>1992</v>
      </c>
      <c r="E764" s="469">
        <f>Table6[[#This Row],[Date]]-DAY(Table6[[#This Row],[Date]])+1</f>
        <v>45778</v>
      </c>
      <c r="F764" s="470">
        <v>45796</v>
      </c>
      <c r="G764" s="35" t="s">
        <v>82</v>
      </c>
      <c r="H764" s="35" t="str">
        <f>IFERROR(_xlfn.XLOOKUP(Table6[[#This Row],[Affected WTG]],'Basic Data'!$A:$A,'Basic Data'!$B:$B),"")</f>
        <v>TQGXIIPL</v>
      </c>
      <c r="I764" s="35" t="str">
        <f>IFERROR(_xlfn.XLOOKUP(Table6[[#This Row],[Affected WTG]],'Basic Data'!$A:$A,'Basic Data'!$C:$C),"")</f>
        <v>GEDA</v>
      </c>
      <c r="J764" s="471">
        <f>IFERROR(_xlfn.XLOOKUP(Table6[[#This Row],[Affected WTG]],'Basic Data'!$A:$A,'Basic Data'!$E:$E),"")</f>
        <v>3.846153846153845E-2</v>
      </c>
      <c r="K764" s="102">
        <v>55</v>
      </c>
      <c r="L764" s="35" t="str">
        <f>IFERROR(_xlfn.XLOOKUP(Table6[[#This Row],[Error Code]],'Basic Data'!$AA:$AA,'Basic Data'!$AB:$AB),"Incorrect Error Code")</f>
        <v>WTG shut down</v>
      </c>
      <c r="M764" s="35" t="s">
        <v>297</v>
      </c>
      <c r="N764" s="475"/>
      <c r="O764" s="476">
        <v>0.72916666666666663</v>
      </c>
      <c r="P764" s="476">
        <v>0.72916666666666663</v>
      </c>
      <c r="Q764" s="477">
        <v>0.73611111111111116</v>
      </c>
      <c r="R764" s="472">
        <f>IF(Table6[[#This Row],[Work Start TimeStamp]]="","",(Table6[[#This Row],[Work Start TimeStamp]]-Table6[[#This Row],[Fault Start TimeStamp]])*24)</f>
        <v>0</v>
      </c>
      <c r="S764" s="472">
        <f>(Table6[[#This Row],[Fault Clearance time]]-Table6[[#This Row],[Work Start TimeStamp]])*24</f>
        <v>0.16666666666666874</v>
      </c>
      <c r="T764" s="472">
        <f>(Table6[[#This Row],[Fault Clearance time]]-Table6[[#This Row],[Fault Start TimeStamp]])*24</f>
        <v>0.16666666666666874</v>
      </c>
      <c r="U764" s="35" t="s">
        <v>1846</v>
      </c>
      <c r="V764" s="102" t="s">
        <v>293</v>
      </c>
      <c r="W764" s="478">
        <f>IFERROR(Table6[[#This Row],[Breakdown Time]]*Table6[[#This Row],[Plant Equivalent Weightage]],"")</f>
        <v>6.4102564102564881E-3</v>
      </c>
      <c r="X764" s="473" t="s">
        <v>294</v>
      </c>
      <c r="Y764" s="474" t="s">
        <v>76</v>
      </c>
      <c r="Z764" s="102">
        <v>13334</v>
      </c>
      <c r="AA764" s="468">
        <f>(Table6[[#This Row],[Paired WTG Generation for loss calculation]]/24)*Table6[[#This Row],[Breakdown Time]]</f>
        <v>92.59722222222338</v>
      </c>
      <c r="AB764" s="102"/>
      <c r="AC764" s="35"/>
      <c r="AD764" s="35"/>
    </row>
    <row r="765" spans="1:30">
      <c r="A765" s="102">
        <f t="shared" si="12"/>
        <v>764</v>
      </c>
      <c r="B765" s="468">
        <f>YEAR(Table6[[#This Row],[Date]])+IF(MONTH(Table6[[#This Row],[Date]])&gt;=4,1,0)</f>
        <v>2026</v>
      </c>
      <c r="C765" s="102">
        <f>YEAR(Table6[[#This Row],[Date]])</f>
        <v>2025</v>
      </c>
      <c r="D765" s="102" t="s">
        <v>1992</v>
      </c>
      <c r="E765" s="469">
        <f>Table6[[#This Row],[Date]]-DAY(Table6[[#This Row],[Date]])+1</f>
        <v>45778</v>
      </c>
      <c r="F765" s="470">
        <v>45796</v>
      </c>
      <c r="G765" s="35" t="s">
        <v>83</v>
      </c>
      <c r="H765" s="35" t="str">
        <f>IFERROR(_xlfn.XLOOKUP(Table6[[#This Row],[Affected WTG]],'Basic Data'!$A:$A,'Basic Data'!$B:$B),"")</f>
        <v>TQGXIIPL</v>
      </c>
      <c r="I765" s="35" t="str">
        <f>IFERROR(_xlfn.XLOOKUP(Table6[[#This Row],[Affected WTG]],'Basic Data'!$A:$A,'Basic Data'!$C:$C),"")</f>
        <v>GEDA</v>
      </c>
      <c r="J765" s="471">
        <f>IFERROR(_xlfn.XLOOKUP(Table6[[#This Row],[Affected WTG]],'Basic Data'!$A:$A,'Basic Data'!$E:$E),"")</f>
        <v>3.846153846153845E-2</v>
      </c>
      <c r="K765" s="102">
        <v>55</v>
      </c>
      <c r="L765" s="35" t="str">
        <f>IFERROR(_xlfn.XLOOKUP(Table6[[#This Row],[Error Code]],'Basic Data'!$AA:$AA,'Basic Data'!$AB:$AB),"Incorrect Error Code")</f>
        <v>WTG shut down</v>
      </c>
      <c r="M765" s="35" t="s">
        <v>297</v>
      </c>
      <c r="N765" s="475"/>
      <c r="O765" s="476">
        <v>0.72916666666666663</v>
      </c>
      <c r="P765" s="476">
        <v>0.72916666666666663</v>
      </c>
      <c r="Q765" s="477">
        <v>0.73611111111111116</v>
      </c>
      <c r="R765" s="472">
        <f>IF(Table6[[#This Row],[Work Start TimeStamp]]="","",(Table6[[#This Row],[Work Start TimeStamp]]-Table6[[#This Row],[Fault Start TimeStamp]])*24)</f>
        <v>0</v>
      </c>
      <c r="S765" s="472">
        <f>(Table6[[#This Row],[Fault Clearance time]]-Table6[[#This Row],[Work Start TimeStamp]])*24</f>
        <v>0.16666666666666874</v>
      </c>
      <c r="T765" s="472">
        <f>(Table6[[#This Row],[Fault Clearance time]]-Table6[[#This Row],[Fault Start TimeStamp]])*24</f>
        <v>0.16666666666666874</v>
      </c>
      <c r="U765" s="35" t="s">
        <v>1846</v>
      </c>
      <c r="V765" s="102" t="s">
        <v>293</v>
      </c>
      <c r="W765" s="478">
        <f>IFERROR(Table6[[#This Row],[Breakdown Time]]*Table6[[#This Row],[Plant Equivalent Weightage]],"")</f>
        <v>6.4102564102564881E-3</v>
      </c>
      <c r="X765" s="473" t="s">
        <v>294</v>
      </c>
      <c r="Y765" s="474" t="s">
        <v>88</v>
      </c>
      <c r="Z765" s="102">
        <v>13808</v>
      </c>
      <c r="AA765" s="468">
        <f>(Table6[[#This Row],[Paired WTG Generation for loss calculation]]/24)*Table6[[#This Row],[Breakdown Time]]</f>
        <v>95.888888888890094</v>
      </c>
      <c r="AB765" s="102"/>
      <c r="AC765" s="35"/>
      <c r="AD765" s="35"/>
    </row>
    <row r="766" spans="1:30">
      <c r="A766" s="102">
        <f t="shared" si="12"/>
        <v>765</v>
      </c>
      <c r="B766" s="468">
        <f>YEAR(Table6[[#This Row],[Date]])+IF(MONTH(Table6[[#This Row],[Date]])&gt;=4,1,0)</f>
        <v>2026</v>
      </c>
      <c r="C766" s="102">
        <f>YEAR(Table6[[#This Row],[Date]])</f>
        <v>2025</v>
      </c>
      <c r="D766" s="102" t="s">
        <v>1992</v>
      </c>
      <c r="E766" s="469">
        <f>Table6[[#This Row],[Date]]-DAY(Table6[[#This Row],[Date]])+1</f>
        <v>45778</v>
      </c>
      <c r="F766" s="470">
        <v>45796</v>
      </c>
      <c r="G766" s="35" t="s">
        <v>84</v>
      </c>
      <c r="H766" s="35" t="str">
        <f>IFERROR(_xlfn.XLOOKUP(Table6[[#This Row],[Affected WTG]],'Basic Data'!$A:$A,'Basic Data'!$B:$B),"")</f>
        <v>TQGXIIPL</v>
      </c>
      <c r="I766" s="35" t="str">
        <f>IFERROR(_xlfn.XLOOKUP(Table6[[#This Row],[Affected WTG]],'Basic Data'!$A:$A,'Basic Data'!$C:$C),"")</f>
        <v>GEDA</v>
      </c>
      <c r="J766" s="471">
        <f>IFERROR(_xlfn.XLOOKUP(Table6[[#This Row],[Affected WTG]],'Basic Data'!$A:$A,'Basic Data'!$E:$E),"")</f>
        <v>3.846153846153845E-2</v>
      </c>
      <c r="K766" s="102">
        <v>55</v>
      </c>
      <c r="L766" s="35" t="str">
        <f>IFERROR(_xlfn.XLOOKUP(Table6[[#This Row],[Error Code]],'Basic Data'!$AA:$AA,'Basic Data'!$AB:$AB),"Incorrect Error Code")</f>
        <v>WTG shut down</v>
      </c>
      <c r="M766" s="35" t="s">
        <v>297</v>
      </c>
      <c r="N766" s="475"/>
      <c r="O766" s="476">
        <v>0.72916666666666663</v>
      </c>
      <c r="P766" s="476">
        <v>0.72916666666666663</v>
      </c>
      <c r="Q766" s="477">
        <v>0.73611111111111116</v>
      </c>
      <c r="R766" s="472">
        <f>IF(Table6[[#This Row],[Work Start TimeStamp]]="","",(Table6[[#This Row],[Work Start TimeStamp]]-Table6[[#This Row],[Fault Start TimeStamp]])*24)</f>
        <v>0</v>
      </c>
      <c r="S766" s="472">
        <f>(Table6[[#This Row],[Fault Clearance time]]-Table6[[#This Row],[Work Start TimeStamp]])*24</f>
        <v>0.16666666666666874</v>
      </c>
      <c r="T766" s="472">
        <f>(Table6[[#This Row],[Fault Clearance time]]-Table6[[#This Row],[Fault Start TimeStamp]])*24</f>
        <v>0.16666666666666874</v>
      </c>
      <c r="U766" s="35" t="s">
        <v>1846</v>
      </c>
      <c r="V766" s="102" t="s">
        <v>293</v>
      </c>
      <c r="W766" s="478">
        <f>IFERROR(Table6[[#This Row],[Breakdown Time]]*Table6[[#This Row],[Plant Equivalent Weightage]],"")</f>
        <v>6.4102564102564881E-3</v>
      </c>
      <c r="X766" s="473" t="s">
        <v>294</v>
      </c>
      <c r="Y766" s="474" t="s">
        <v>85</v>
      </c>
      <c r="Z766" s="102">
        <v>13600</v>
      </c>
      <c r="AA766" s="468">
        <f>(Table6[[#This Row],[Paired WTG Generation for loss calculation]]/24)*Table6[[#This Row],[Breakdown Time]]</f>
        <v>94.444444444445608</v>
      </c>
      <c r="AB766" s="102"/>
      <c r="AC766" s="35"/>
      <c r="AD766" s="35"/>
    </row>
    <row r="767" spans="1:30">
      <c r="A767" s="102">
        <f t="shared" si="12"/>
        <v>766</v>
      </c>
      <c r="B767" s="468">
        <f>YEAR(Table6[[#This Row],[Date]])+IF(MONTH(Table6[[#This Row],[Date]])&gt;=4,1,0)</f>
        <v>2026</v>
      </c>
      <c r="C767" s="102">
        <f>YEAR(Table6[[#This Row],[Date]])</f>
        <v>2025</v>
      </c>
      <c r="D767" s="102" t="s">
        <v>1992</v>
      </c>
      <c r="E767" s="469">
        <f>Table6[[#This Row],[Date]]-DAY(Table6[[#This Row],[Date]])+1</f>
        <v>45778</v>
      </c>
      <c r="F767" s="470">
        <v>45796</v>
      </c>
      <c r="G767" s="35" t="s">
        <v>85</v>
      </c>
      <c r="H767" s="35" t="str">
        <f>IFERROR(_xlfn.XLOOKUP(Table6[[#This Row],[Affected WTG]],'Basic Data'!$A:$A,'Basic Data'!$B:$B),"")</f>
        <v>TQGXIIPL</v>
      </c>
      <c r="I767" s="35" t="str">
        <f>IFERROR(_xlfn.XLOOKUP(Table6[[#This Row],[Affected WTG]],'Basic Data'!$A:$A,'Basic Data'!$C:$C),"")</f>
        <v>GEDA</v>
      </c>
      <c r="J767" s="471">
        <f>IFERROR(_xlfn.XLOOKUP(Table6[[#This Row],[Affected WTG]],'Basic Data'!$A:$A,'Basic Data'!$E:$E),"")</f>
        <v>3.846153846153845E-2</v>
      </c>
      <c r="K767" s="102">
        <v>55</v>
      </c>
      <c r="L767" s="35" t="str">
        <f>IFERROR(_xlfn.XLOOKUP(Table6[[#This Row],[Error Code]],'Basic Data'!$AA:$AA,'Basic Data'!$AB:$AB),"Incorrect Error Code")</f>
        <v>WTG shut down</v>
      </c>
      <c r="M767" s="35" t="s">
        <v>297</v>
      </c>
      <c r="N767" s="475"/>
      <c r="O767" s="476">
        <v>0.72916666666666663</v>
      </c>
      <c r="P767" s="476">
        <v>0.72916666666666663</v>
      </c>
      <c r="Q767" s="477">
        <v>0.73611111111111116</v>
      </c>
      <c r="R767" s="472">
        <f>IF(Table6[[#This Row],[Work Start TimeStamp]]="","",(Table6[[#This Row],[Work Start TimeStamp]]-Table6[[#This Row],[Fault Start TimeStamp]])*24)</f>
        <v>0</v>
      </c>
      <c r="S767" s="472">
        <f>(Table6[[#This Row],[Fault Clearance time]]-Table6[[#This Row],[Work Start TimeStamp]])*24</f>
        <v>0.16666666666666874</v>
      </c>
      <c r="T767" s="472">
        <f>(Table6[[#This Row],[Fault Clearance time]]-Table6[[#This Row],[Fault Start TimeStamp]])*24</f>
        <v>0.16666666666666874</v>
      </c>
      <c r="U767" s="35" t="s">
        <v>1846</v>
      </c>
      <c r="V767" s="102" t="s">
        <v>293</v>
      </c>
      <c r="W767" s="478">
        <f>IFERROR(Table6[[#This Row],[Breakdown Time]]*Table6[[#This Row],[Plant Equivalent Weightage]],"")</f>
        <v>6.4102564102564881E-3</v>
      </c>
      <c r="X767" s="473" t="s">
        <v>294</v>
      </c>
      <c r="Y767" s="474" t="s">
        <v>87</v>
      </c>
      <c r="Z767" s="102">
        <v>14141</v>
      </c>
      <c r="AA767" s="468">
        <f>(Table6[[#This Row],[Paired WTG Generation for loss calculation]]/24)*Table6[[#This Row],[Breakdown Time]]</f>
        <v>98.201388888890122</v>
      </c>
      <c r="AB767" s="102"/>
      <c r="AC767" s="35"/>
      <c r="AD767" s="35"/>
    </row>
    <row r="768" spans="1:30">
      <c r="A768" s="102">
        <f t="shared" si="12"/>
        <v>767</v>
      </c>
      <c r="B768" s="468">
        <f>YEAR(Table6[[#This Row],[Date]])+IF(MONTH(Table6[[#This Row],[Date]])&gt;=4,1,0)</f>
        <v>2026</v>
      </c>
      <c r="C768" s="102">
        <f>YEAR(Table6[[#This Row],[Date]])</f>
        <v>2025</v>
      </c>
      <c r="D768" s="102" t="s">
        <v>1992</v>
      </c>
      <c r="E768" s="469">
        <f>Table6[[#This Row],[Date]]-DAY(Table6[[#This Row],[Date]])+1</f>
        <v>45778</v>
      </c>
      <c r="F768" s="470">
        <v>45796</v>
      </c>
      <c r="G768" s="35" t="s">
        <v>86</v>
      </c>
      <c r="H768" s="35" t="str">
        <f>IFERROR(_xlfn.XLOOKUP(Table6[[#This Row],[Affected WTG]],'Basic Data'!$A:$A,'Basic Data'!$B:$B),"")</f>
        <v>TQGXIIPL</v>
      </c>
      <c r="I768" s="35" t="str">
        <f>IFERROR(_xlfn.XLOOKUP(Table6[[#This Row],[Affected WTG]],'Basic Data'!$A:$A,'Basic Data'!$C:$C),"")</f>
        <v>GEDA</v>
      </c>
      <c r="J768" s="471">
        <f>IFERROR(_xlfn.XLOOKUP(Table6[[#This Row],[Affected WTG]],'Basic Data'!$A:$A,'Basic Data'!$E:$E),"")</f>
        <v>3.846153846153845E-2</v>
      </c>
      <c r="K768" s="102">
        <v>55</v>
      </c>
      <c r="L768" s="35" t="str">
        <f>IFERROR(_xlfn.XLOOKUP(Table6[[#This Row],[Error Code]],'Basic Data'!$AA:$AA,'Basic Data'!$AB:$AB),"Incorrect Error Code")</f>
        <v>WTG shut down</v>
      </c>
      <c r="M768" s="35" t="s">
        <v>297</v>
      </c>
      <c r="N768" s="475"/>
      <c r="O768" s="476">
        <v>0.72916666666666663</v>
      </c>
      <c r="P768" s="476">
        <v>0.72916666666666663</v>
      </c>
      <c r="Q768" s="477">
        <v>0.73611111111111116</v>
      </c>
      <c r="R768" s="472">
        <f>IF(Table6[[#This Row],[Work Start TimeStamp]]="","",(Table6[[#This Row],[Work Start TimeStamp]]-Table6[[#This Row],[Fault Start TimeStamp]])*24)</f>
        <v>0</v>
      </c>
      <c r="S768" s="472">
        <f>(Table6[[#This Row],[Fault Clearance time]]-Table6[[#This Row],[Work Start TimeStamp]])*24</f>
        <v>0.16666666666666874</v>
      </c>
      <c r="T768" s="472">
        <f>(Table6[[#This Row],[Fault Clearance time]]-Table6[[#This Row],[Fault Start TimeStamp]])*24</f>
        <v>0.16666666666666874</v>
      </c>
      <c r="U768" s="35" t="s">
        <v>1846</v>
      </c>
      <c r="V768" s="102" t="s">
        <v>293</v>
      </c>
      <c r="W768" s="478">
        <f>IFERROR(Table6[[#This Row],[Breakdown Time]]*Table6[[#This Row],[Plant Equivalent Weightage]],"")</f>
        <v>6.4102564102564881E-3</v>
      </c>
      <c r="X768" s="473" t="s">
        <v>294</v>
      </c>
      <c r="Y768" s="474" t="s">
        <v>84</v>
      </c>
      <c r="Z768" s="102">
        <v>12657</v>
      </c>
      <c r="AA768" s="468">
        <f>(Table6[[#This Row],[Paired WTG Generation for loss calculation]]/24)*Table6[[#This Row],[Breakdown Time]]</f>
        <v>87.895833333334423</v>
      </c>
      <c r="AB768" s="102"/>
      <c r="AC768" s="35"/>
      <c r="AD768" s="35"/>
    </row>
    <row r="769" spans="1:30">
      <c r="A769" s="102">
        <f t="shared" si="12"/>
        <v>768</v>
      </c>
      <c r="B769" s="468">
        <f>YEAR(Table6[[#This Row],[Date]])+IF(MONTH(Table6[[#This Row],[Date]])&gt;=4,1,0)</f>
        <v>2026</v>
      </c>
      <c r="C769" s="102">
        <f>YEAR(Table6[[#This Row],[Date]])</f>
        <v>2025</v>
      </c>
      <c r="D769" s="102" t="s">
        <v>1992</v>
      </c>
      <c r="E769" s="469">
        <f>Table6[[#This Row],[Date]]-DAY(Table6[[#This Row],[Date]])+1</f>
        <v>45778</v>
      </c>
      <c r="F769" s="470">
        <v>45796</v>
      </c>
      <c r="G769" s="35" t="s">
        <v>87</v>
      </c>
      <c r="H769" s="35" t="str">
        <f>IFERROR(_xlfn.XLOOKUP(Table6[[#This Row],[Affected WTG]],'Basic Data'!$A:$A,'Basic Data'!$B:$B),"")</f>
        <v>TQGXIIPL</v>
      </c>
      <c r="I769" s="35" t="str">
        <f>IFERROR(_xlfn.XLOOKUP(Table6[[#This Row],[Affected WTG]],'Basic Data'!$A:$A,'Basic Data'!$C:$C),"")</f>
        <v>GEDA</v>
      </c>
      <c r="J769" s="471">
        <f>IFERROR(_xlfn.XLOOKUP(Table6[[#This Row],[Affected WTG]],'Basic Data'!$A:$A,'Basic Data'!$E:$E),"")</f>
        <v>3.846153846153845E-2</v>
      </c>
      <c r="K769" s="102">
        <v>55</v>
      </c>
      <c r="L769" s="35" t="str">
        <f>IFERROR(_xlfn.XLOOKUP(Table6[[#This Row],[Error Code]],'Basic Data'!$AA:$AA,'Basic Data'!$AB:$AB),"Incorrect Error Code")</f>
        <v>WTG shut down</v>
      </c>
      <c r="M769" s="35" t="s">
        <v>297</v>
      </c>
      <c r="N769" s="475"/>
      <c r="O769" s="476">
        <v>0.72916666666666663</v>
      </c>
      <c r="P769" s="476">
        <v>0.72916666666666663</v>
      </c>
      <c r="Q769" s="477">
        <v>0.73611111111111116</v>
      </c>
      <c r="R769" s="472">
        <f>IF(Table6[[#This Row],[Work Start TimeStamp]]="","",(Table6[[#This Row],[Work Start TimeStamp]]-Table6[[#This Row],[Fault Start TimeStamp]])*24)</f>
        <v>0</v>
      </c>
      <c r="S769" s="472">
        <f>(Table6[[#This Row],[Fault Clearance time]]-Table6[[#This Row],[Work Start TimeStamp]])*24</f>
        <v>0.16666666666666874</v>
      </c>
      <c r="T769" s="472">
        <f>(Table6[[#This Row],[Fault Clearance time]]-Table6[[#This Row],[Fault Start TimeStamp]])*24</f>
        <v>0.16666666666666874</v>
      </c>
      <c r="U769" s="35" t="s">
        <v>1846</v>
      </c>
      <c r="V769" s="102" t="s">
        <v>293</v>
      </c>
      <c r="W769" s="478">
        <f>IFERROR(Table6[[#This Row],[Breakdown Time]]*Table6[[#This Row],[Plant Equivalent Weightage]],"")</f>
        <v>6.4102564102564881E-3</v>
      </c>
      <c r="X769" s="473" t="s">
        <v>294</v>
      </c>
      <c r="Y769" s="474" t="s">
        <v>85</v>
      </c>
      <c r="Z769" s="102">
        <v>13600</v>
      </c>
      <c r="AA769" s="468">
        <f>(Table6[[#This Row],[Paired WTG Generation for loss calculation]]/24)*Table6[[#This Row],[Breakdown Time]]</f>
        <v>94.444444444445608</v>
      </c>
      <c r="AB769" s="102"/>
      <c r="AC769" s="35"/>
      <c r="AD769" s="35"/>
    </row>
    <row r="770" spans="1:30">
      <c r="A770" s="102">
        <f t="shared" si="12"/>
        <v>769</v>
      </c>
      <c r="B770" s="468">
        <f>YEAR(Table6[[#This Row],[Date]])+IF(MONTH(Table6[[#This Row],[Date]])&gt;=4,1,0)</f>
        <v>2026</v>
      </c>
      <c r="C770" s="102">
        <f>YEAR(Table6[[#This Row],[Date]])</f>
        <v>2025</v>
      </c>
      <c r="D770" s="102" t="s">
        <v>1992</v>
      </c>
      <c r="E770" s="469">
        <f>Table6[[#This Row],[Date]]-DAY(Table6[[#This Row],[Date]])+1</f>
        <v>45778</v>
      </c>
      <c r="F770" s="470">
        <v>45796</v>
      </c>
      <c r="G770" s="35" t="s">
        <v>88</v>
      </c>
      <c r="H770" s="35" t="str">
        <f>IFERROR(_xlfn.XLOOKUP(Table6[[#This Row],[Affected WTG]],'Basic Data'!$A:$A,'Basic Data'!$B:$B),"")</f>
        <v>TQGXIIPL</v>
      </c>
      <c r="I770" s="35" t="str">
        <f>IFERROR(_xlfn.XLOOKUP(Table6[[#This Row],[Affected WTG]],'Basic Data'!$A:$A,'Basic Data'!$C:$C),"")</f>
        <v>GEDA</v>
      </c>
      <c r="J770" s="471">
        <f>IFERROR(_xlfn.XLOOKUP(Table6[[#This Row],[Affected WTG]],'Basic Data'!$A:$A,'Basic Data'!$E:$E),"")</f>
        <v>3.846153846153845E-2</v>
      </c>
      <c r="K770" s="102">
        <v>4555</v>
      </c>
      <c r="L770" s="35" t="str">
        <f>IFERROR(_xlfn.XLOOKUP(Table6[[#This Row],[Error Code]],'Basic Data'!$AA:$AA,'Basic Data'!$AB:$AB),"Incorrect Error Code")</f>
        <v>Tower accel. difference</v>
      </c>
      <c r="M770" s="35" t="s">
        <v>292</v>
      </c>
      <c r="N770" s="475"/>
      <c r="O770" s="476">
        <v>0.12847222222222221</v>
      </c>
      <c r="P770" s="476">
        <v>0.12847222222222221</v>
      </c>
      <c r="Q770" s="477">
        <v>0.13263888888888889</v>
      </c>
      <c r="R770" s="472">
        <f>IF(Table6[[#This Row],[Work Start TimeStamp]]="","",(Table6[[#This Row],[Work Start TimeStamp]]-Table6[[#This Row],[Fault Start TimeStamp]])*24)</f>
        <v>0</v>
      </c>
      <c r="S770" s="472">
        <f>(Table6[[#This Row],[Fault Clearance time]]-Table6[[#This Row],[Work Start TimeStamp]])*24</f>
        <v>0.10000000000000031</v>
      </c>
      <c r="T770" s="472">
        <f>(Table6[[#This Row],[Fault Clearance time]]-Table6[[#This Row],[Fault Start TimeStamp]])*24</f>
        <v>0.10000000000000031</v>
      </c>
      <c r="U770" s="35" t="s">
        <v>346</v>
      </c>
      <c r="V770" s="102" t="s">
        <v>293</v>
      </c>
      <c r="W770" s="478">
        <f>IFERROR(Table6[[#This Row],[Breakdown Time]]*Table6[[#This Row],[Plant Equivalent Weightage]],"")</f>
        <v>3.8461538461538568E-3</v>
      </c>
      <c r="X770" s="473" t="s">
        <v>294</v>
      </c>
      <c r="Y770" s="474" t="s">
        <v>83</v>
      </c>
      <c r="Z770" s="102">
        <v>14496</v>
      </c>
      <c r="AA770" s="468">
        <f>(Table6[[#This Row],[Paired WTG Generation for loss calculation]]/24)*Table6[[#This Row],[Breakdown Time]]</f>
        <v>60.40000000000019</v>
      </c>
      <c r="AB770" s="102"/>
      <c r="AC770" s="35"/>
      <c r="AD770" s="35"/>
    </row>
    <row r="771" spans="1:30">
      <c r="A771" s="102">
        <f t="shared" si="12"/>
        <v>770</v>
      </c>
      <c r="B771" s="468">
        <f>YEAR(Table6[[#This Row],[Date]])+IF(MONTH(Table6[[#This Row],[Date]])&gt;=4,1,0)</f>
        <v>2026</v>
      </c>
      <c r="C771" s="102">
        <f>YEAR(Table6[[#This Row],[Date]])</f>
        <v>2025</v>
      </c>
      <c r="D771" s="102" t="s">
        <v>1992</v>
      </c>
      <c r="E771" s="469">
        <f>Table6[[#This Row],[Date]]-DAY(Table6[[#This Row],[Date]])+1</f>
        <v>45778</v>
      </c>
      <c r="F771" s="470">
        <v>45796</v>
      </c>
      <c r="G771" s="35" t="s">
        <v>88</v>
      </c>
      <c r="H771" s="35" t="str">
        <f>IFERROR(_xlfn.XLOOKUP(Table6[[#This Row],[Affected WTG]],'Basic Data'!$A:$A,'Basic Data'!$B:$B),"")</f>
        <v>TQGXIIPL</v>
      </c>
      <c r="I771" s="35" t="str">
        <f>IFERROR(_xlfn.XLOOKUP(Table6[[#This Row],[Affected WTG]],'Basic Data'!$A:$A,'Basic Data'!$C:$C),"")</f>
        <v>GEDA</v>
      </c>
      <c r="J771" s="471">
        <f>IFERROR(_xlfn.XLOOKUP(Table6[[#This Row],[Affected WTG]],'Basic Data'!$A:$A,'Basic Data'!$E:$E),"")</f>
        <v>3.846153846153845E-2</v>
      </c>
      <c r="K771" s="102">
        <v>55</v>
      </c>
      <c r="L771" s="35" t="str">
        <f>IFERROR(_xlfn.XLOOKUP(Table6[[#This Row],[Error Code]],'Basic Data'!$AA:$AA,'Basic Data'!$AB:$AB),"Incorrect Error Code")</f>
        <v>WTG shut down</v>
      </c>
      <c r="M771" s="35" t="s">
        <v>297</v>
      </c>
      <c r="N771" s="475"/>
      <c r="O771" s="476">
        <v>0.72916666666666663</v>
      </c>
      <c r="P771" s="476">
        <v>0.72916666666666663</v>
      </c>
      <c r="Q771" s="477">
        <v>0.73611111111111116</v>
      </c>
      <c r="R771" s="472">
        <f>IF(Table6[[#This Row],[Work Start TimeStamp]]="","",(Table6[[#This Row],[Work Start TimeStamp]]-Table6[[#This Row],[Fault Start TimeStamp]])*24)</f>
        <v>0</v>
      </c>
      <c r="S771" s="472">
        <f>(Table6[[#This Row],[Fault Clearance time]]-Table6[[#This Row],[Work Start TimeStamp]])*24</f>
        <v>0.16666666666666874</v>
      </c>
      <c r="T771" s="472">
        <f>(Table6[[#This Row],[Fault Clearance time]]-Table6[[#This Row],[Fault Start TimeStamp]])*24</f>
        <v>0.16666666666666874</v>
      </c>
      <c r="U771" s="35" t="s">
        <v>1846</v>
      </c>
      <c r="V771" s="102" t="s">
        <v>293</v>
      </c>
      <c r="W771" s="478">
        <f>IFERROR(Table6[[#This Row],[Breakdown Time]]*Table6[[#This Row],[Plant Equivalent Weightage]],"")</f>
        <v>6.4102564102564881E-3</v>
      </c>
      <c r="X771" s="473" t="s">
        <v>294</v>
      </c>
      <c r="Y771" s="474" t="s">
        <v>83</v>
      </c>
      <c r="Z771" s="102">
        <v>14496</v>
      </c>
      <c r="AA771" s="468">
        <f>(Table6[[#This Row],[Paired WTG Generation for loss calculation]]/24)*Table6[[#This Row],[Breakdown Time]]</f>
        <v>100.66666666666792</v>
      </c>
      <c r="AB771" s="102"/>
      <c r="AC771" s="35"/>
      <c r="AD771" s="35"/>
    </row>
    <row r="772" spans="1:30">
      <c r="A772" s="102">
        <f t="shared" si="12"/>
        <v>771</v>
      </c>
      <c r="B772" s="468">
        <f>YEAR(Table6[[#This Row],[Date]])+IF(MONTH(Table6[[#This Row],[Date]])&gt;=4,1,0)</f>
        <v>2026</v>
      </c>
      <c r="C772" s="102">
        <f>YEAR(Table6[[#This Row],[Date]])</f>
        <v>2025</v>
      </c>
      <c r="D772" s="102" t="s">
        <v>1992</v>
      </c>
      <c r="E772" s="469">
        <f>Table6[[#This Row],[Date]]-DAY(Table6[[#This Row],[Date]])+1</f>
        <v>45778</v>
      </c>
      <c r="F772" s="470">
        <v>45796</v>
      </c>
      <c r="G772" s="35" t="s">
        <v>95</v>
      </c>
      <c r="H772" s="35" t="str">
        <f>IFERROR(_xlfn.XLOOKUP(Table6[[#This Row],[Affected WTG]],'Basic Data'!$A:$A,'Basic Data'!$B:$B),"")</f>
        <v>TQGXIIPL</v>
      </c>
      <c r="I772" s="35" t="str">
        <f>IFERROR(_xlfn.XLOOKUP(Table6[[#This Row],[Affected WTG]],'Basic Data'!$A:$A,'Basic Data'!$C:$C),"")</f>
        <v>GEDA</v>
      </c>
      <c r="J772" s="471">
        <f>IFERROR(_xlfn.XLOOKUP(Table6[[#This Row],[Affected WTG]],'Basic Data'!$A:$A,'Basic Data'!$E:$E),"")</f>
        <v>3.846153846153845E-2</v>
      </c>
      <c r="K772" s="102">
        <v>55</v>
      </c>
      <c r="L772" s="35" t="str">
        <f>IFERROR(_xlfn.XLOOKUP(Table6[[#This Row],[Error Code]],'Basic Data'!$AA:$AA,'Basic Data'!$AB:$AB),"Incorrect Error Code")</f>
        <v>WTG shut down</v>
      </c>
      <c r="M772" s="35" t="s">
        <v>291</v>
      </c>
      <c r="N772" s="475"/>
      <c r="O772" s="476">
        <v>0.52916666666666667</v>
      </c>
      <c r="P772" s="476">
        <v>0.52916666666666667</v>
      </c>
      <c r="Q772" s="477">
        <v>0.625</v>
      </c>
      <c r="R772" s="472">
        <f>IF(Table6[[#This Row],[Work Start TimeStamp]]="","",(Table6[[#This Row],[Work Start TimeStamp]]-Table6[[#This Row],[Fault Start TimeStamp]])*24)</f>
        <v>0</v>
      </c>
      <c r="S772" s="472">
        <f>(Table6[[#This Row],[Fault Clearance time]]-Table6[[#This Row],[Work Start TimeStamp]])*24</f>
        <v>2.2999999999999998</v>
      </c>
      <c r="T772" s="472">
        <f>(Table6[[#This Row],[Fault Clearance time]]-Table6[[#This Row],[Fault Start TimeStamp]])*24</f>
        <v>2.2999999999999998</v>
      </c>
      <c r="U772" s="35" t="s">
        <v>1847</v>
      </c>
      <c r="V772" s="102" t="s">
        <v>293</v>
      </c>
      <c r="W772" s="478">
        <f>IFERROR(Table6[[#This Row],[Breakdown Time]]*Table6[[#This Row],[Plant Equivalent Weightage]],"")</f>
        <v>8.8461538461538425E-2</v>
      </c>
      <c r="X772" s="473" t="s">
        <v>290</v>
      </c>
      <c r="Y772" s="474" t="s">
        <v>79</v>
      </c>
      <c r="Z772" s="102">
        <v>15698</v>
      </c>
      <c r="AA772" s="468">
        <f>(Table6[[#This Row],[Paired WTG Generation for loss calculation]]/24)*Table6[[#This Row],[Breakdown Time]]</f>
        <v>1504.3916666666667</v>
      </c>
      <c r="AB772" s="102"/>
      <c r="AC772" s="35"/>
      <c r="AD772" s="35"/>
    </row>
    <row r="773" spans="1:30">
      <c r="A773" s="102">
        <f t="shared" si="12"/>
        <v>772</v>
      </c>
      <c r="B773" s="468">
        <f>YEAR(Table6[[#This Row],[Date]])+IF(MONTH(Table6[[#This Row],[Date]])&gt;=4,1,0)</f>
        <v>2026</v>
      </c>
      <c r="C773" s="102">
        <f>YEAR(Table6[[#This Row],[Date]])</f>
        <v>2025</v>
      </c>
      <c r="D773" s="102" t="s">
        <v>1992</v>
      </c>
      <c r="E773" s="469">
        <f>Table6[[#This Row],[Date]]-DAY(Table6[[#This Row],[Date]])+1</f>
        <v>45778</v>
      </c>
      <c r="F773" s="470">
        <v>45796</v>
      </c>
      <c r="G773" s="35" t="s">
        <v>95</v>
      </c>
      <c r="H773" s="35" t="str">
        <f>IFERROR(_xlfn.XLOOKUP(Table6[[#This Row],[Affected WTG]],'Basic Data'!$A:$A,'Basic Data'!$B:$B),"")</f>
        <v>TQGXIIPL</v>
      </c>
      <c r="I773" s="35" t="str">
        <f>IFERROR(_xlfn.XLOOKUP(Table6[[#This Row],[Affected WTG]],'Basic Data'!$A:$A,'Basic Data'!$C:$C),"")</f>
        <v>GEDA</v>
      </c>
      <c r="J773" s="471">
        <f>IFERROR(_xlfn.XLOOKUP(Table6[[#This Row],[Affected WTG]],'Basic Data'!$A:$A,'Basic Data'!$E:$E),"")</f>
        <v>3.846153846153845E-2</v>
      </c>
      <c r="K773" s="102">
        <v>55</v>
      </c>
      <c r="L773" s="35" t="str">
        <f>IFERROR(_xlfn.XLOOKUP(Table6[[#This Row],[Error Code]],'Basic Data'!$AA:$AA,'Basic Data'!$AB:$AB),"Incorrect Error Code")</f>
        <v>WTG shut down</v>
      </c>
      <c r="M773" s="35" t="s">
        <v>328</v>
      </c>
      <c r="N773" s="475"/>
      <c r="O773" s="476">
        <v>0.625</v>
      </c>
      <c r="P773" s="476">
        <v>0.625</v>
      </c>
      <c r="Q773" s="477">
        <v>0.75347222222222221</v>
      </c>
      <c r="R773" s="472">
        <f>IF(Table6[[#This Row],[Work Start TimeStamp]]="","",(Table6[[#This Row],[Work Start TimeStamp]]-Table6[[#This Row],[Fault Start TimeStamp]])*24)</f>
        <v>0</v>
      </c>
      <c r="S773" s="472">
        <f>(Table6[[#This Row],[Fault Clearance time]]-Table6[[#This Row],[Work Start TimeStamp]])*24</f>
        <v>3.083333333333333</v>
      </c>
      <c r="T773" s="472">
        <f>(Table6[[#This Row],[Fault Clearance time]]-Table6[[#This Row],[Fault Start TimeStamp]])*24</f>
        <v>3.083333333333333</v>
      </c>
      <c r="U773" s="35" t="s">
        <v>1848</v>
      </c>
      <c r="V773" s="102" t="s">
        <v>293</v>
      </c>
      <c r="W773" s="478">
        <f>IFERROR(Table6[[#This Row],[Breakdown Time]]*Table6[[#This Row],[Plant Equivalent Weightage]],"")</f>
        <v>0.11858974358974354</v>
      </c>
      <c r="X773" s="473" t="s">
        <v>290</v>
      </c>
      <c r="Y773" s="474" t="s">
        <v>79</v>
      </c>
      <c r="Z773" s="102">
        <v>15698</v>
      </c>
      <c r="AA773" s="468">
        <f>(Table6[[#This Row],[Paired WTG Generation for loss calculation]]/24)*Table6[[#This Row],[Breakdown Time]]</f>
        <v>2016.7569444444443</v>
      </c>
      <c r="AB773" s="102"/>
      <c r="AC773" s="35"/>
      <c r="AD773" s="35"/>
    </row>
    <row r="774" spans="1:30">
      <c r="A774" s="102">
        <f t="shared" si="12"/>
        <v>773</v>
      </c>
      <c r="B774" s="468">
        <f>YEAR(Table6[[#This Row],[Date]])+IF(MONTH(Table6[[#This Row],[Date]])&gt;=4,1,0)</f>
        <v>2026</v>
      </c>
      <c r="C774" s="102">
        <f>YEAR(Table6[[#This Row],[Date]])</f>
        <v>2025</v>
      </c>
      <c r="D774" s="102" t="s">
        <v>1992</v>
      </c>
      <c r="E774" s="469">
        <f>Table6[[#This Row],[Date]]-DAY(Table6[[#This Row],[Date]])+1</f>
        <v>45778</v>
      </c>
      <c r="F774" s="470">
        <v>45796</v>
      </c>
      <c r="G774" s="35" t="s">
        <v>96</v>
      </c>
      <c r="H774" s="35" t="str">
        <f>IFERROR(_xlfn.XLOOKUP(Table6[[#This Row],[Affected WTG]],'Basic Data'!$A:$A,'Basic Data'!$B:$B),"")</f>
        <v>TQGXIIPL</v>
      </c>
      <c r="I774" s="35" t="str">
        <f>IFERROR(_xlfn.XLOOKUP(Table6[[#This Row],[Affected WTG]],'Basic Data'!$A:$A,'Basic Data'!$C:$C),"")</f>
        <v>GEDA</v>
      </c>
      <c r="J774" s="471">
        <f>IFERROR(_xlfn.XLOOKUP(Table6[[#This Row],[Affected WTG]],'Basic Data'!$A:$A,'Basic Data'!$E:$E),"")</f>
        <v>3.846153846153845E-2</v>
      </c>
      <c r="K774" s="102">
        <v>55</v>
      </c>
      <c r="L774" s="35" t="str">
        <f>IFERROR(_xlfn.XLOOKUP(Table6[[#This Row],[Error Code]],'Basic Data'!$AA:$AA,'Basic Data'!$AB:$AB),"Incorrect Error Code")</f>
        <v>WTG shut down</v>
      </c>
      <c r="M774" s="35" t="s">
        <v>297</v>
      </c>
      <c r="N774" s="475"/>
      <c r="O774" s="476">
        <v>0.72916666666666663</v>
      </c>
      <c r="P774" s="476">
        <v>0.72916666666666663</v>
      </c>
      <c r="Q774" s="477">
        <v>0.73611111111111116</v>
      </c>
      <c r="R774" s="472">
        <f>IF(Table6[[#This Row],[Work Start TimeStamp]]="","",(Table6[[#This Row],[Work Start TimeStamp]]-Table6[[#This Row],[Fault Start TimeStamp]])*24)</f>
        <v>0</v>
      </c>
      <c r="S774" s="472">
        <f>(Table6[[#This Row],[Fault Clearance time]]-Table6[[#This Row],[Work Start TimeStamp]])*24</f>
        <v>0.16666666666666874</v>
      </c>
      <c r="T774" s="472">
        <f>(Table6[[#This Row],[Fault Clearance time]]-Table6[[#This Row],[Fault Start TimeStamp]])*24</f>
        <v>0.16666666666666874</v>
      </c>
      <c r="U774" s="35" t="s">
        <v>1846</v>
      </c>
      <c r="V774" s="102" t="s">
        <v>293</v>
      </c>
      <c r="W774" s="478">
        <f>IFERROR(Table6[[#This Row],[Breakdown Time]]*Table6[[#This Row],[Plant Equivalent Weightage]],"")</f>
        <v>6.4102564102564881E-3</v>
      </c>
      <c r="X774" s="473" t="s">
        <v>294</v>
      </c>
      <c r="Y774" s="474" t="s">
        <v>84</v>
      </c>
      <c r="Z774" s="102">
        <v>12657</v>
      </c>
      <c r="AA774" s="468">
        <f>(Table6[[#This Row],[Paired WTG Generation for loss calculation]]/24)*Table6[[#This Row],[Breakdown Time]]</f>
        <v>87.895833333334423</v>
      </c>
      <c r="AB774" s="102"/>
      <c r="AC774" s="35"/>
      <c r="AD774" s="35"/>
    </row>
    <row r="775" spans="1:30">
      <c r="A775" s="102">
        <f t="shared" si="12"/>
        <v>774</v>
      </c>
      <c r="B775" s="468">
        <f>YEAR(Table6[[#This Row],[Date]])+IF(MONTH(Table6[[#This Row],[Date]])&gt;=4,1,0)</f>
        <v>2026</v>
      </c>
      <c r="C775" s="102">
        <f>YEAR(Table6[[#This Row],[Date]])</f>
        <v>2025</v>
      </c>
      <c r="D775" s="102" t="s">
        <v>1992</v>
      </c>
      <c r="E775" s="469">
        <f>Table6[[#This Row],[Date]]-DAY(Table6[[#This Row],[Date]])+1</f>
        <v>45778</v>
      </c>
      <c r="F775" s="470">
        <v>45796</v>
      </c>
      <c r="G775" s="35" t="s">
        <v>98</v>
      </c>
      <c r="H775" s="35" t="str">
        <f>IFERROR(_xlfn.XLOOKUP(Table6[[#This Row],[Affected WTG]],'Basic Data'!$A:$A,'Basic Data'!$B:$B),"")</f>
        <v>TQGXIIPL</v>
      </c>
      <c r="I775" s="35" t="str">
        <f>IFERROR(_xlfn.XLOOKUP(Table6[[#This Row],[Affected WTG]],'Basic Data'!$A:$A,'Basic Data'!$C:$C),"")</f>
        <v>GEDA</v>
      </c>
      <c r="J775" s="471">
        <f>IFERROR(_xlfn.XLOOKUP(Table6[[#This Row],[Affected WTG]],'Basic Data'!$A:$A,'Basic Data'!$E:$E),"")</f>
        <v>3.846153846153845E-2</v>
      </c>
      <c r="K775" s="102">
        <v>55</v>
      </c>
      <c r="L775" s="35" t="str">
        <f>IFERROR(_xlfn.XLOOKUP(Table6[[#This Row],[Error Code]],'Basic Data'!$AA:$AA,'Basic Data'!$AB:$AB),"Incorrect Error Code")</f>
        <v>WTG shut down</v>
      </c>
      <c r="M775" s="35" t="s">
        <v>297</v>
      </c>
      <c r="N775" s="475"/>
      <c r="O775" s="476">
        <v>0.72916666666666663</v>
      </c>
      <c r="P775" s="476">
        <v>0.72916666666666663</v>
      </c>
      <c r="Q775" s="477">
        <v>0.73611111111111116</v>
      </c>
      <c r="R775" s="472">
        <f>IF(Table6[[#This Row],[Work Start TimeStamp]]="","",(Table6[[#This Row],[Work Start TimeStamp]]-Table6[[#This Row],[Fault Start TimeStamp]])*24)</f>
        <v>0</v>
      </c>
      <c r="S775" s="472">
        <f>(Table6[[#This Row],[Fault Clearance time]]-Table6[[#This Row],[Work Start TimeStamp]])*24</f>
        <v>0.16666666666666874</v>
      </c>
      <c r="T775" s="472">
        <f>(Table6[[#This Row],[Fault Clearance time]]-Table6[[#This Row],[Fault Start TimeStamp]])*24</f>
        <v>0.16666666666666874</v>
      </c>
      <c r="U775" s="35" t="s">
        <v>1846</v>
      </c>
      <c r="V775" s="102" t="s">
        <v>293</v>
      </c>
      <c r="W775" s="478">
        <f>IFERROR(Table6[[#This Row],[Breakdown Time]]*Table6[[#This Row],[Plant Equivalent Weightage]],"")</f>
        <v>6.4102564102564881E-3</v>
      </c>
      <c r="X775" s="473" t="s">
        <v>294</v>
      </c>
      <c r="Y775" s="474" t="s">
        <v>74</v>
      </c>
      <c r="Z775" s="102">
        <v>15558</v>
      </c>
      <c r="AA775" s="468">
        <f>(Table6[[#This Row],[Paired WTG Generation for loss calculation]]/24)*Table6[[#This Row],[Breakdown Time]]</f>
        <v>108.04166666666801</v>
      </c>
      <c r="AB775" s="102"/>
      <c r="AC775" s="35"/>
      <c r="AD775" s="35"/>
    </row>
    <row r="776" spans="1:30">
      <c r="A776" s="102">
        <f t="shared" si="12"/>
        <v>775</v>
      </c>
      <c r="B776" s="468">
        <f>YEAR(Table6[[#This Row],[Date]])+IF(MONTH(Table6[[#This Row],[Date]])&gt;=4,1,0)</f>
        <v>2026</v>
      </c>
      <c r="C776" s="102">
        <f>YEAR(Table6[[#This Row],[Date]])</f>
        <v>2025</v>
      </c>
      <c r="D776" s="102" t="s">
        <v>1992</v>
      </c>
      <c r="E776" s="469">
        <f>Table6[[#This Row],[Date]]-DAY(Table6[[#This Row],[Date]])+1</f>
        <v>45778</v>
      </c>
      <c r="F776" s="470">
        <v>45796</v>
      </c>
      <c r="G776" s="35" t="s">
        <v>99</v>
      </c>
      <c r="H776" s="35" t="str">
        <f>IFERROR(_xlfn.XLOOKUP(Table6[[#This Row],[Affected WTG]],'Basic Data'!$A:$A,'Basic Data'!$B:$B),"")</f>
        <v>TQGXIIPL</v>
      </c>
      <c r="I776" s="35" t="str">
        <f>IFERROR(_xlfn.XLOOKUP(Table6[[#This Row],[Affected WTG]],'Basic Data'!$A:$A,'Basic Data'!$C:$C),"")</f>
        <v>GEDA</v>
      </c>
      <c r="J776" s="471">
        <f>IFERROR(_xlfn.XLOOKUP(Table6[[#This Row],[Affected WTG]],'Basic Data'!$A:$A,'Basic Data'!$E:$E),"")</f>
        <v>3.846153846153845E-2</v>
      </c>
      <c r="K776" s="102">
        <v>55</v>
      </c>
      <c r="L776" s="35" t="str">
        <f>IFERROR(_xlfn.XLOOKUP(Table6[[#This Row],[Error Code]],'Basic Data'!$AA:$AA,'Basic Data'!$AB:$AB),"Incorrect Error Code")</f>
        <v>WTG shut down</v>
      </c>
      <c r="M776" s="35" t="s">
        <v>297</v>
      </c>
      <c r="N776" s="475"/>
      <c r="O776" s="476">
        <v>0.72916666666666663</v>
      </c>
      <c r="P776" s="476">
        <v>0.72916666666666663</v>
      </c>
      <c r="Q776" s="477">
        <v>0.73611111111111116</v>
      </c>
      <c r="R776" s="472">
        <f>IF(Table6[[#This Row],[Work Start TimeStamp]]="","",(Table6[[#This Row],[Work Start TimeStamp]]-Table6[[#This Row],[Fault Start TimeStamp]])*24)</f>
        <v>0</v>
      </c>
      <c r="S776" s="472">
        <f>(Table6[[#This Row],[Fault Clearance time]]-Table6[[#This Row],[Work Start TimeStamp]])*24</f>
        <v>0.16666666666666874</v>
      </c>
      <c r="T776" s="472">
        <f>(Table6[[#This Row],[Fault Clearance time]]-Table6[[#This Row],[Fault Start TimeStamp]])*24</f>
        <v>0.16666666666666874</v>
      </c>
      <c r="U776" s="35" t="s">
        <v>1846</v>
      </c>
      <c r="V776" s="102" t="s">
        <v>293</v>
      </c>
      <c r="W776" s="478">
        <f>IFERROR(Table6[[#This Row],[Breakdown Time]]*Table6[[#This Row],[Plant Equivalent Weightage]],"")</f>
        <v>6.4102564102564881E-3</v>
      </c>
      <c r="X776" s="473" t="s">
        <v>294</v>
      </c>
      <c r="Y776" s="474" t="s">
        <v>74</v>
      </c>
      <c r="Z776" s="102">
        <v>15558</v>
      </c>
      <c r="AA776" s="468">
        <f>(Table6[[#This Row],[Paired WTG Generation for loss calculation]]/24)*Table6[[#This Row],[Breakdown Time]]</f>
        <v>108.04166666666801</v>
      </c>
      <c r="AB776" s="102"/>
      <c r="AC776" s="35"/>
      <c r="AD776" s="35"/>
    </row>
    <row r="777" spans="1:30">
      <c r="A777" s="102">
        <f t="shared" si="12"/>
        <v>776</v>
      </c>
      <c r="B777" s="468">
        <f>YEAR(Table6[[#This Row],[Date]])+IF(MONTH(Table6[[#This Row],[Date]])&gt;=4,1,0)</f>
        <v>2026</v>
      </c>
      <c r="C777" s="102">
        <f>YEAR(Table6[[#This Row],[Date]])</f>
        <v>2025</v>
      </c>
      <c r="D777" s="102" t="s">
        <v>1992</v>
      </c>
      <c r="E777" s="469">
        <f>Table6[[#This Row],[Date]]-DAY(Table6[[#This Row],[Date]])+1</f>
        <v>45778</v>
      </c>
      <c r="F777" s="470">
        <v>45797</v>
      </c>
      <c r="G777" s="35" t="s">
        <v>77</v>
      </c>
      <c r="H777" s="35" t="str">
        <f>IFERROR(_xlfn.XLOOKUP(Table6[[#This Row],[Affected WTG]],'Basic Data'!$A:$A,'Basic Data'!$B:$B),"")</f>
        <v>TQGXIIPL</v>
      </c>
      <c r="I777" s="35" t="str">
        <f>IFERROR(_xlfn.XLOOKUP(Table6[[#This Row],[Affected WTG]],'Basic Data'!$A:$A,'Basic Data'!$C:$C),"")</f>
        <v>GEDA</v>
      </c>
      <c r="J777" s="471">
        <f>IFERROR(_xlfn.XLOOKUP(Table6[[#This Row],[Affected WTG]],'Basic Data'!$A:$A,'Basic Data'!$E:$E),"")</f>
        <v>3.846153846153845E-2</v>
      </c>
      <c r="K777" s="102">
        <v>6130</v>
      </c>
      <c r="L777" s="35" t="str">
        <f>IFERROR(_xlfn.XLOOKUP(Table6[[#This Row],[Error Code]],'Basic Data'!$AA:$AA,'Basic Data'!$AB:$AB),"Incorrect Error Code")</f>
        <v>Yaw speed high</v>
      </c>
      <c r="M777" s="35" t="s">
        <v>291</v>
      </c>
      <c r="N777" s="475"/>
      <c r="O777" s="476">
        <v>0.70972222222222225</v>
      </c>
      <c r="P777" s="476">
        <v>0.70972222222222225</v>
      </c>
      <c r="Q777" s="477">
        <v>0.71597222222222223</v>
      </c>
      <c r="R777" s="472">
        <f>IF(Table6[[#This Row],[Work Start TimeStamp]]="","",(Table6[[#This Row],[Work Start TimeStamp]]-Table6[[#This Row],[Fault Start TimeStamp]])*24)</f>
        <v>0</v>
      </c>
      <c r="S777" s="472">
        <f>(Table6[[#This Row],[Fault Clearance time]]-Table6[[#This Row],[Work Start TimeStamp]])*24</f>
        <v>0.14999999999999947</v>
      </c>
      <c r="T777" s="472">
        <f>(Table6[[#This Row],[Fault Clearance time]]-Table6[[#This Row],[Fault Start TimeStamp]])*24</f>
        <v>0.14999999999999947</v>
      </c>
      <c r="U777" s="35" t="s">
        <v>344</v>
      </c>
      <c r="V777" s="102" t="s">
        <v>293</v>
      </c>
      <c r="W777" s="478">
        <f>IFERROR(Table6[[#This Row],[Breakdown Time]]*Table6[[#This Row],[Plant Equivalent Weightage]],"")</f>
        <v>5.769230769230747E-3</v>
      </c>
      <c r="X777" s="473" t="s">
        <v>294</v>
      </c>
      <c r="Y777" s="474" t="s">
        <v>80</v>
      </c>
      <c r="Z777" s="102">
        <v>12687</v>
      </c>
      <c r="AA777" s="468">
        <f>(Table6[[#This Row],[Paired WTG Generation for loss calculation]]/24)*Table6[[#This Row],[Breakdown Time]]</f>
        <v>79.293749999999719</v>
      </c>
      <c r="AB777" s="102"/>
      <c r="AC777" s="35"/>
      <c r="AD777" s="35"/>
    </row>
    <row r="778" spans="1:30">
      <c r="A778" s="102">
        <f t="shared" si="12"/>
        <v>777</v>
      </c>
      <c r="B778" s="468">
        <f>YEAR(Table6[[#This Row],[Date]])+IF(MONTH(Table6[[#This Row],[Date]])&gt;=4,1,0)</f>
        <v>2026</v>
      </c>
      <c r="C778" s="102">
        <f>YEAR(Table6[[#This Row],[Date]])</f>
        <v>2025</v>
      </c>
      <c r="D778" s="102" t="s">
        <v>1992</v>
      </c>
      <c r="E778" s="469">
        <f>Table6[[#This Row],[Date]]-DAY(Table6[[#This Row],[Date]])+1</f>
        <v>45778</v>
      </c>
      <c r="F778" s="470">
        <v>45797</v>
      </c>
      <c r="G778" s="35" t="s">
        <v>79</v>
      </c>
      <c r="H778" s="35" t="str">
        <f>IFERROR(_xlfn.XLOOKUP(Table6[[#This Row],[Affected WTG]],'Basic Data'!$A:$A,'Basic Data'!$B:$B),"")</f>
        <v>TQGXIIPL</v>
      </c>
      <c r="I778" s="35" t="str">
        <f>IFERROR(_xlfn.XLOOKUP(Table6[[#This Row],[Affected WTG]],'Basic Data'!$A:$A,'Basic Data'!$C:$C),"")</f>
        <v>GEDA</v>
      </c>
      <c r="J778" s="471">
        <f>IFERROR(_xlfn.XLOOKUP(Table6[[#This Row],[Affected WTG]],'Basic Data'!$A:$A,'Basic Data'!$E:$E),"")</f>
        <v>3.846153846153845E-2</v>
      </c>
      <c r="K778" s="102">
        <v>6130</v>
      </c>
      <c r="L778" s="35" t="str">
        <f>IFERROR(_xlfn.XLOOKUP(Table6[[#This Row],[Error Code]],'Basic Data'!$AA:$AA,'Basic Data'!$AB:$AB),"Incorrect Error Code")</f>
        <v>Yaw speed high</v>
      </c>
      <c r="M778" s="35" t="s">
        <v>292</v>
      </c>
      <c r="N778" s="475"/>
      <c r="O778" s="476">
        <v>0.54236111111111107</v>
      </c>
      <c r="P778" s="476">
        <v>0.54236111111111107</v>
      </c>
      <c r="Q778" s="477">
        <v>0.54652777777777772</v>
      </c>
      <c r="R778" s="472">
        <f>IF(Table6[[#This Row],[Work Start TimeStamp]]="","",(Table6[[#This Row],[Work Start TimeStamp]]-Table6[[#This Row],[Fault Start TimeStamp]])*24)</f>
        <v>0</v>
      </c>
      <c r="S778" s="472">
        <f>(Table6[[#This Row],[Fault Clearance time]]-Table6[[#This Row],[Work Start TimeStamp]])*24</f>
        <v>9.9999999999999645E-2</v>
      </c>
      <c r="T778" s="472">
        <f>(Table6[[#This Row],[Fault Clearance time]]-Table6[[#This Row],[Fault Start TimeStamp]])*24</f>
        <v>9.9999999999999645E-2</v>
      </c>
      <c r="U778" s="35" t="s">
        <v>346</v>
      </c>
      <c r="V778" s="102" t="s">
        <v>293</v>
      </c>
      <c r="W778" s="478">
        <f>IFERROR(Table6[[#This Row],[Breakdown Time]]*Table6[[#This Row],[Plant Equivalent Weightage]],"")</f>
        <v>3.8461538461538312E-3</v>
      </c>
      <c r="X778" s="473" t="s">
        <v>294</v>
      </c>
      <c r="Y778" s="474" t="s">
        <v>94</v>
      </c>
      <c r="Z778" s="102">
        <v>13934</v>
      </c>
      <c r="AA778" s="468">
        <f>(Table6[[#This Row],[Paired WTG Generation for loss calculation]]/24)*Table6[[#This Row],[Breakdown Time]]</f>
        <v>58.058333333333131</v>
      </c>
      <c r="AB778" s="102"/>
      <c r="AC778" s="35"/>
      <c r="AD778" s="35"/>
    </row>
    <row r="779" spans="1:30">
      <c r="A779" s="102">
        <f t="shared" si="12"/>
        <v>778</v>
      </c>
      <c r="B779" s="468">
        <f>YEAR(Table6[[#This Row],[Date]])+IF(MONTH(Table6[[#This Row],[Date]])&gt;=4,1,0)</f>
        <v>2026</v>
      </c>
      <c r="C779" s="102">
        <f>YEAR(Table6[[#This Row],[Date]])</f>
        <v>2025</v>
      </c>
      <c r="D779" s="102" t="s">
        <v>1992</v>
      </c>
      <c r="E779" s="469">
        <f>Table6[[#This Row],[Date]]-DAY(Table6[[#This Row],[Date]])+1</f>
        <v>45778</v>
      </c>
      <c r="F779" s="470">
        <v>45797</v>
      </c>
      <c r="G779" s="35" t="s">
        <v>81</v>
      </c>
      <c r="H779" s="35" t="str">
        <f>IFERROR(_xlfn.XLOOKUP(Table6[[#This Row],[Affected WTG]],'Basic Data'!$A:$A,'Basic Data'!$B:$B),"")</f>
        <v>TQGXIIPL</v>
      </c>
      <c r="I779" s="35" t="str">
        <f>IFERROR(_xlfn.XLOOKUP(Table6[[#This Row],[Affected WTG]],'Basic Data'!$A:$A,'Basic Data'!$C:$C),"")</f>
        <v>GEDA</v>
      </c>
      <c r="J779" s="471">
        <f>IFERROR(_xlfn.XLOOKUP(Table6[[#This Row],[Affected WTG]],'Basic Data'!$A:$A,'Basic Data'!$E:$E),"")</f>
        <v>3.846153846153845E-2</v>
      </c>
      <c r="K779" s="102">
        <v>55</v>
      </c>
      <c r="L779" s="35" t="str">
        <f>IFERROR(_xlfn.XLOOKUP(Table6[[#This Row],[Error Code]],'Basic Data'!$AA:$AA,'Basic Data'!$AB:$AB),"Incorrect Error Code")</f>
        <v>WTG shut down</v>
      </c>
      <c r="M779" s="35" t="s">
        <v>330</v>
      </c>
      <c r="N779" s="475"/>
      <c r="O779" s="476">
        <v>0.71736111111111112</v>
      </c>
      <c r="P779" s="476">
        <v>0.71736111111111112</v>
      </c>
      <c r="Q779" s="477">
        <v>0.76041666666666663</v>
      </c>
      <c r="R779" s="472">
        <f>IF(Table6[[#This Row],[Work Start TimeStamp]]="","",(Table6[[#This Row],[Work Start TimeStamp]]-Table6[[#This Row],[Fault Start TimeStamp]])*24)</f>
        <v>0</v>
      </c>
      <c r="S779" s="472">
        <f>(Table6[[#This Row],[Fault Clearance time]]-Table6[[#This Row],[Work Start TimeStamp]])*24</f>
        <v>1.0333333333333323</v>
      </c>
      <c r="T779" s="472">
        <f>(Table6[[#This Row],[Fault Clearance time]]-Table6[[#This Row],[Fault Start TimeStamp]])*24</f>
        <v>1.0333333333333323</v>
      </c>
      <c r="U779" s="35" t="s">
        <v>1744</v>
      </c>
      <c r="V779" s="102" t="s">
        <v>293</v>
      </c>
      <c r="W779" s="478">
        <f>IFERROR(Table6[[#This Row],[Breakdown Time]]*Table6[[#This Row],[Plant Equivalent Weightage]],"")</f>
        <v>3.9743589743589693E-2</v>
      </c>
      <c r="X779" s="473" t="s">
        <v>294</v>
      </c>
      <c r="Y779" s="474" t="s">
        <v>99</v>
      </c>
      <c r="Z779" s="102">
        <v>14103</v>
      </c>
      <c r="AA779" s="468">
        <f>(Table6[[#This Row],[Paired WTG Generation for loss calculation]]/24)*Table6[[#This Row],[Breakdown Time]]</f>
        <v>607.21249999999941</v>
      </c>
      <c r="AB779" s="102"/>
      <c r="AC779" s="35"/>
      <c r="AD779" s="35"/>
    </row>
    <row r="780" spans="1:30">
      <c r="A780" s="102">
        <f t="shared" si="12"/>
        <v>779</v>
      </c>
      <c r="B780" s="468">
        <f>YEAR(Table6[[#This Row],[Date]])+IF(MONTH(Table6[[#This Row],[Date]])&gt;=4,1,0)</f>
        <v>2026</v>
      </c>
      <c r="C780" s="102">
        <f>YEAR(Table6[[#This Row],[Date]])</f>
        <v>2025</v>
      </c>
      <c r="D780" s="102" t="s">
        <v>1992</v>
      </c>
      <c r="E780" s="469">
        <f>Table6[[#This Row],[Date]]-DAY(Table6[[#This Row],[Date]])+1</f>
        <v>45778</v>
      </c>
      <c r="F780" s="470">
        <v>45797</v>
      </c>
      <c r="G780" s="35" t="s">
        <v>83</v>
      </c>
      <c r="H780" s="35" t="str">
        <f>IFERROR(_xlfn.XLOOKUP(Table6[[#This Row],[Affected WTG]],'Basic Data'!$A:$A,'Basic Data'!$B:$B),"")</f>
        <v>TQGXIIPL</v>
      </c>
      <c r="I780" s="35" t="str">
        <f>IFERROR(_xlfn.XLOOKUP(Table6[[#This Row],[Affected WTG]],'Basic Data'!$A:$A,'Basic Data'!$C:$C),"")</f>
        <v>GEDA</v>
      </c>
      <c r="J780" s="471">
        <f>IFERROR(_xlfn.XLOOKUP(Table6[[#This Row],[Affected WTG]],'Basic Data'!$A:$A,'Basic Data'!$E:$E),"")</f>
        <v>3.846153846153845E-2</v>
      </c>
      <c r="K780" s="102">
        <v>6130</v>
      </c>
      <c r="L780" s="35" t="str">
        <f>IFERROR(_xlfn.XLOOKUP(Table6[[#This Row],[Error Code]],'Basic Data'!$AA:$AA,'Basic Data'!$AB:$AB),"Incorrect Error Code")</f>
        <v>Yaw speed high</v>
      </c>
      <c r="M780" s="35" t="s">
        <v>292</v>
      </c>
      <c r="N780" s="475"/>
      <c r="O780" s="476">
        <v>0.73263888888888884</v>
      </c>
      <c r="P780" s="476">
        <v>0.73263888888888884</v>
      </c>
      <c r="Q780" s="477">
        <v>0.7368055555555556</v>
      </c>
      <c r="R780" s="472">
        <f>IF(Table6[[#This Row],[Work Start TimeStamp]]="","",(Table6[[#This Row],[Work Start TimeStamp]]-Table6[[#This Row],[Fault Start TimeStamp]])*24)</f>
        <v>0</v>
      </c>
      <c r="S780" s="472">
        <f>(Table6[[#This Row],[Fault Clearance time]]-Table6[[#This Row],[Work Start TimeStamp]])*24</f>
        <v>0.10000000000000231</v>
      </c>
      <c r="T780" s="472">
        <f>(Table6[[#This Row],[Fault Clearance time]]-Table6[[#This Row],[Fault Start TimeStamp]])*24</f>
        <v>0.10000000000000231</v>
      </c>
      <c r="U780" s="35" t="s">
        <v>346</v>
      </c>
      <c r="V780" s="102" t="s">
        <v>293</v>
      </c>
      <c r="W780" s="478">
        <f>IFERROR(Table6[[#This Row],[Breakdown Time]]*Table6[[#This Row],[Plant Equivalent Weightage]],"")</f>
        <v>3.846153846153934E-3</v>
      </c>
      <c r="X780" s="473" t="s">
        <v>294</v>
      </c>
      <c r="Y780" s="474" t="s">
        <v>88</v>
      </c>
      <c r="Z780" s="102">
        <v>14995</v>
      </c>
      <c r="AA780" s="468">
        <f>(Table6[[#This Row],[Paired WTG Generation for loss calculation]]/24)*Table6[[#This Row],[Breakdown Time]]</f>
        <v>62.479166666668107</v>
      </c>
      <c r="AB780" s="102"/>
      <c r="AC780" s="35"/>
      <c r="AD780" s="35"/>
    </row>
    <row r="781" spans="1:30">
      <c r="A781" s="102">
        <f t="shared" si="12"/>
        <v>780</v>
      </c>
      <c r="B781" s="468">
        <f>YEAR(Table6[[#This Row],[Date]])+IF(MONTH(Table6[[#This Row],[Date]])&gt;=4,1,0)</f>
        <v>2026</v>
      </c>
      <c r="C781" s="102">
        <f>YEAR(Table6[[#This Row],[Date]])</f>
        <v>2025</v>
      </c>
      <c r="D781" s="102" t="s">
        <v>1992</v>
      </c>
      <c r="E781" s="469">
        <f>Table6[[#This Row],[Date]]-DAY(Table6[[#This Row],[Date]])+1</f>
        <v>45778</v>
      </c>
      <c r="F781" s="470">
        <v>45797</v>
      </c>
      <c r="G781" s="35" t="s">
        <v>85</v>
      </c>
      <c r="H781" s="35" t="str">
        <f>IFERROR(_xlfn.XLOOKUP(Table6[[#This Row],[Affected WTG]],'Basic Data'!$A:$A,'Basic Data'!$B:$B),"")</f>
        <v>TQGXIIPL</v>
      </c>
      <c r="I781" s="35" t="str">
        <f>IFERROR(_xlfn.XLOOKUP(Table6[[#This Row],[Affected WTG]],'Basic Data'!$A:$A,'Basic Data'!$C:$C),"")</f>
        <v>GEDA</v>
      </c>
      <c r="J781" s="471">
        <f>IFERROR(_xlfn.XLOOKUP(Table6[[#This Row],[Affected WTG]],'Basic Data'!$A:$A,'Basic Data'!$E:$E),"")</f>
        <v>3.846153846153845E-2</v>
      </c>
      <c r="K781" s="102">
        <v>3110</v>
      </c>
      <c r="L781" s="35" t="str">
        <f>IFERROR(_xlfn.XLOOKUP(Table6[[#This Row],[Error Code]],'Basic Data'!$AA:$AA,'Basic Data'!$AB:$AB),"Incorrect Error Code")</f>
        <v>Frequency converter error</v>
      </c>
      <c r="M781" s="35" t="s">
        <v>291</v>
      </c>
      <c r="N781" s="475"/>
      <c r="O781" s="476">
        <v>0.37083333333333335</v>
      </c>
      <c r="P781" s="476">
        <v>0.37083333333333335</v>
      </c>
      <c r="Q781" s="477">
        <v>0.45833333333333331</v>
      </c>
      <c r="R781" s="472">
        <f>IF(Table6[[#This Row],[Work Start TimeStamp]]="","",(Table6[[#This Row],[Work Start TimeStamp]]-Table6[[#This Row],[Fault Start TimeStamp]])*24)</f>
        <v>0</v>
      </c>
      <c r="S781" s="472">
        <f>(Table6[[#This Row],[Fault Clearance time]]-Table6[[#This Row],[Work Start TimeStamp]])*24</f>
        <v>2.0999999999999992</v>
      </c>
      <c r="T781" s="472">
        <f>(Table6[[#This Row],[Fault Clearance time]]-Table6[[#This Row],[Fault Start TimeStamp]])*24</f>
        <v>2.0999999999999992</v>
      </c>
      <c r="U781" s="35" t="s">
        <v>1851</v>
      </c>
      <c r="V781" s="102" t="s">
        <v>293</v>
      </c>
      <c r="W781" s="478">
        <f>IFERROR(Table6[[#This Row],[Breakdown Time]]*Table6[[#This Row],[Plant Equivalent Weightage]],"")</f>
        <v>8.0769230769230718E-2</v>
      </c>
      <c r="X781" s="473" t="s">
        <v>290</v>
      </c>
      <c r="Y781" s="474" t="s">
        <v>87</v>
      </c>
      <c r="Z781" s="102">
        <v>13779</v>
      </c>
      <c r="AA781" s="468">
        <f>(Table6[[#This Row],[Paired WTG Generation for loss calculation]]/24)*Table6[[#This Row],[Breakdown Time]]</f>
        <v>1205.6624999999995</v>
      </c>
      <c r="AB781" s="102"/>
      <c r="AC781" s="35"/>
      <c r="AD781" s="35"/>
    </row>
    <row r="782" spans="1:30">
      <c r="A782" s="102">
        <f t="shared" ref="A782:A845" si="13">A781+1</f>
        <v>781</v>
      </c>
      <c r="B782" s="468">
        <f>YEAR(Table6[[#This Row],[Date]])+IF(MONTH(Table6[[#This Row],[Date]])&gt;=4,1,0)</f>
        <v>2026</v>
      </c>
      <c r="C782" s="102">
        <f>YEAR(Table6[[#This Row],[Date]])</f>
        <v>2025</v>
      </c>
      <c r="D782" s="102" t="s">
        <v>1992</v>
      </c>
      <c r="E782" s="469">
        <f>Table6[[#This Row],[Date]]-DAY(Table6[[#This Row],[Date]])+1</f>
        <v>45778</v>
      </c>
      <c r="F782" s="470">
        <v>45797</v>
      </c>
      <c r="G782" s="35" t="s">
        <v>85</v>
      </c>
      <c r="H782" s="35" t="str">
        <f>IFERROR(_xlfn.XLOOKUP(Table6[[#This Row],[Affected WTG]],'Basic Data'!$A:$A,'Basic Data'!$B:$B),"")</f>
        <v>TQGXIIPL</v>
      </c>
      <c r="I782" s="35" t="str">
        <f>IFERROR(_xlfn.XLOOKUP(Table6[[#This Row],[Affected WTG]],'Basic Data'!$A:$A,'Basic Data'!$C:$C),"")</f>
        <v>GEDA</v>
      </c>
      <c r="J782" s="471">
        <f>IFERROR(_xlfn.XLOOKUP(Table6[[#This Row],[Affected WTG]],'Basic Data'!$A:$A,'Basic Data'!$E:$E),"")</f>
        <v>3.846153846153845E-2</v>
      </c>
      <c r="K782" s="102">
        <v>55</v>
      </c>
      <c r="L782" s="35" t="str">
        <f>IFERROR(_xlfn.XLOOKUP(Table6[[#This Row],[Error Code]],'Basic Data'!$AA:$AA,'Basic Data'!$AB:$AB),"Incorrect Error Code")</f>
        <v>WTG shut down</v>
      </c>
      <c r="M782" s="35" t="s">
        <v>328</v>
      </c>
      <c r="N782" s="475"/>
      <c r="O782" s="476">
        <v>0.48055555555555557</v>
      </c>
      <c r="P782" s="476">
        <v>0.48055555555555557</v>
      </c>
      <c r="Q782" s="477">
        <v>0.5493055555555556</v>
      </c>
      <c r="R782" s="472">
        <f>IF(Table6[[#This Row],[Work Start TimeStamp]]="","",(Table6[[#This Row],[Work Start TimeStamp]]-Table6[[#This Row],[Fault Start TimeStamp]])*24)</f>
        <v>0</v>
      </c>
      <c r="S782" s="472">
        <f>(Table6[[#This Row],[Fault Clearance time]]-Table6[[#This Row],[Work Start TimeStamp]])*24</f>
        <v>1.6500000000000008</v>
      </c>
      <c r="T782" s="472">
        <f>(Table6[[#This Row],[Fault Clearance time]]-Table6[[#This Row],[Fault Start TimeStamp]])*24</f>
        <v>1.6500000000000008</v>
      </c>
      <c r="U782" s="35" t="s">
        <v>1852</v>
      </c>
      <c r="V782" s="102" t="s">
        <v>293</v>
      </c>
      <c r="W782" s="478">
        <f>IFERROR(Table6[[#This Row],[Breakdown Time]]*Table6[[#This Row],[Plant Equivalent Weightage]],"")</f>
        <v>6.3461538461538472E-2</v>
      </c>
      <c r="X782" s="473" t="s">
        <v>290</v>
      </c>
      <c r="Y782" s="474" t="s">
        <v>87</v>
      </c>
      <c r="Z782" s="102">
        <v>13779</v>
      </c>
      <c r="AA782" s="468">
        <f>(Table6[[#This Row],[Paired WTG Generation for loss calculation]]/24)*Table6[[#This Row],[Breakdown Time]]</f>
        <v>947.30625000000043</v>
      </c>
      <c r="AB782" s="102"/>
      <c r="AC782" s="35"/>
      <c r="AD782" s="35"/>
    </row>
    <row r="783" spans="1:30">
      <c r="A783" s="102">
        <f t="shared" si="13"/>
        <v>782</v>
      </c>
      <c r="B783" s="468">
        <f>YEAR(Table6[[#This Row],[Date]])+IF(MONTH(Table6[[#This Row],[Date]])&gt;=4,1,0)</f>
        <v>2026</v>
      </c>
      <c r="C783" s="102">
        <f>YEAR(Table6[[#This Row],[Date]])</f>
        <v>2025</v>
      </c>
      <c r="D783" s="102" t="s">
        <v>1992</v>
      </c>
      <c r="E783" s="469">
        <f>Table6[[#This Row],[Date]]-DAY(Table6[[#This Row],[Date]])+1</f>
        <v>45778</v>
      </c>
      <c r="F783" s="470">
        <v>45797</v>
      </c>
      <c r="G783" s="35" t="s">
        <v>86</v>
      </c>
      <c r="H783" s="35" t="str">
        <f>IFERROR(_xlfn.XLOOKUP(Table6[[#This Row],[Affected WTG]],'Basic Data'!$A:$A,'Basic Data'!$B:$B),"")</f>
        <v>TQGXIIPL</v>
      </c>
      <c r="I783" s="35" t="str">
        <f>IFERROR(_xlfn.XLOOKUP(Table6[[#This Row],[Affected WTG]],'Basic Data'!$A:$A,'Basic Data'!$C:$C),"")</f>
        <v>GEDA</v>
      </c>
      <c r="J783" s="471">
        <f>IFERROR(_xlfn.XLOOKUP(Table6[[#This Row],[Affected WTG]],'Basic Data'!$A:$A,'Basic Data'!$E:$E),"")</f>
        <v>3.846153846153845E-2</v>
      </c>
      <c r="K783" s="102">
        <v>1510</v>
      </c>
      <c r="L783" s="35" t="str">
        <f>IFERROR(_xlfn.XLOOKUP(Table6[[#This Row],[Error Code]],'Basic Data'!$AA:$AA,'Basic Data'!$AB:$AB),"Incorrect Error Code")</f>
        <v>Low gearbox oil pressure</v>
      </c>
      <c r="M783" s="35" t="s">
        <v>291</v>
      </c>
      <c r="N783" s="475"/>
      <c r="O783" s="476">
        <v>0.89513888888888893</v>
      </c>
      <c r="P783" s="476">
        <v>0.89513888888888893</v>
      </c>
      <c r="Q783" s="477">
        <v>0.89722222222222225</v>
      </c>
      <c r="R783" s="472">
        <f>IF(Table6[[#This Row],[Work Start TimeStamp]]="","",(Table6[[#This Row],[Work Start TimeStamp]]-Table6[[#This Row],[Fault Start TimeStamp]])*24)</f>
        <v>0</v>
      </c>
      <c r="S783" s="472">
        <f>(Table6[[#This Row],[Fault Clearance time]]-Table6[[#This Row],[Work Start TimeStamp]])*24</f>
        <v>4.9999999999999822E-2</v>
      </c>
      <c r="T783" s="472">
        <f>(Table6[[#This Row],[Fault Clearance time]]-Table6[[#This Row],[Fault Start TimeStamp]])*24</f>
        <v>4.9999999999999822E-2</v>
      </c>
      <c r="U783" s="35" t="s">
        <v>344</v>
      </c>
      <c r="V783" s="102" t="s">
        <v>293</v>
      </c>
      <c r="W783" s="478">
        <f>IFERROR(Table6[[#This Row],[Breakdown Time]]*Table6[[#This Row],[Plant Equivalent Weightage]],"")</f>
        <v>1.9230769230769156E-3</v>
      </c>
      <c r="X783" s="473" t="s">
        <v>294</v>
      </c>
      <c r="Y783" s="474" t="s">
        <v>84</v>
      </c>
      <c r="Z783" s="102">
        <v>12633</v>
      </c>
      <c r="AA783" s="468">
        <f>(Table6[[#This Row],[Paired WTG Generation for loss calculation]]/24)*Table6[[#This Row],[Breakdown Time]]</f>
        <v>26.318749999999905</v>
      </c>
      <c r="AB783" s="102"/>
      <c r="AC783" s="35"/>
      <c r="AD783" s="35"/>
    </row>
    <row r="784" spans="1:30">
      <c r="A784" s="102">
        <f t="shared" si="13"/>
        <v>783</v>
      </c>
      <c r="B784" s="468">
        <f>YEAR(Table6[[#This Row],[Date]])+IF(MONTH(Table6[[#This Row],[Date]])&gt;=4,1,0)</f>
        <v>2026</v>
      </c>
      <c r="C784" s="102">
        <f>YEAR(Table6[[#This Row],[Date]])</f>
        <v>2025</v>
      </c>
      <c r="D784" s="102" t="s">
        <v>1992</v>
      </c>
      <c r="E784" s="469">
        <f>Table6[[#This Row],[Date]]-DAY(Table6[[#This Row],[Date]])+1</f>
        <v>45778</v>
      </c>
      <c r="F784" s="470">
        <v>45797</v>
      </c>
      <c r="G784" s="35" t="s">
        <v>90</v>
      </c>
      <c r="H784" s="35" t="str">
        <f>IFERROR(_xlfn.XLOOKUP(Table6[[#This Row],[Affected WTG]],'Basic Data'!$A:$A,'Basic Data'!$B:$B),"")</f>
        <v>TQGXIIPL</v>
      </c>
      <c r="I784" s="35" t="str">
        <f>IFERROR(_xlfn.XLOOKUP(Table6[[#This Row],[Affected WTG]],'Basic Data'!$A:$A,'Basic Data'!$C:$C),"")</f>
        <v>GEDA</v>
      </c>
      <c r="J784" s="471">
        <f>IFERROR(_xlfn.XLOOKUP(Table6[[#This Row],[Affected WTG]],'Basic Data'!$A:$A,'Basic Data'!$E:$E),"")</f>
        <v>3.846153846153845E-2</v>
      </c>
      <c r="K784" s="102">
        <v>3110</v>
      </c>
      <c r="L784" s="35" t="str">
        <f>IFERROR(_xlfn.XLOOKUP(Table6[[#This Row],[Error Code]],'Basic Data'!$AA:$AA,'Basic Data'!$AB:$AB),"Incorrect Error Code")</f>
        <v>Frequency converter error</v>
      </c>
      <c r="M784" s="35" t="s">
        <v>291</v>
      </c>
      <c r="N784" s="475"/>
      <c r="O784" s="476">
        <v>0.66319444444444442</v>
      </c>
      <c r="P784" s="476">
        <v>0.66319444444444442</v>
      </c>
      <c r="Q784" s="477">
        <v>0.6645833333333333</v>
      </c>
      <c r="R784" s="472">
        <f>IF(Table6[[#This Row],[Work Start TimeStamp]]="","",(Table6[[#This Row],[Work Start TimeStamp]]-Table6[[#This Row],[Fault Start TimeStamp]])*24)</f>
        <v>0</v>
      </c>
      <c r="S784" s="472">
        <f>(Table6[[#This Row],[Fault Clearance time]]-Table6[[#This Row],[Work Start TimeStamp]])*24</f>
        <v>3.3333333333333215E-2</v>
      </c>
      <c r="T784" s="472">
        <f>(Table6[[#This Row],[Fault Clearance time]]-Table6[[#This Row],[Fault Start TimeStamp]])*24</f>
        <v>3.3333333333333215E-2</v>
      </c>
      <c r="U784" s="35" t="s">
        <v>1853</v>
      </c>
      <c r="V784" s="102" t="s">
        <v>293</v>
      </c>
      <c r="W784" s="478">
        <f>IFERROR(Table6[[#This Row],[Breakdown Time]]*Table6[[#This Row],[Plant Equivalent Weightage]],"")</f>
        <v>1.2820512820512771E-3</v>
      </c>
      <c r="X784" s="473" t="s">
        <v>294</v>
      </c>
      <c r="Y784" s="474" t="s">
        <v>95</v>
      </c>
      <c r="Z784" s="102">
        <v>19816</v>
      </c>
      <c r="AA784" s="468">
        <f>(Table6[[#This Row],[Paired WTG Generation for loss calculation]]/24)*Table6[[#This Row],[Breakdown Time]]</f>
        <v>27.522222222222123</v>
      </c>
      <c r="AB784" s="102"/>
      <c r="AC784" s="35"/>
      <c r="AD784" s="35"/>
    </row>
    <row r="785" spans="1:30">
      <c r="A785" s="102">
        <f t="shared" si="13"/>
        <v>784</v>
      </c>
      <c r="B785" s="468">
        <f>YEAR(Table6[[#This Row],[Date]])+IF(MONTH(Table6[[#This Row],[Date]])&gt;=4,1,0)</f>
        <v>2026</v>
      </c>
      <c r="C785" s="102">
        <f>YEAR(Table6[[#This Row],[Date]])</f>
        <v>2025</v>
      </c>
      <c r="D785" s="102" t="s">
        <v>1992</v>
      </c>
      <c r="E785" s="469">
        <f>Table6[[#This Row],[Date]]-DAY(Table6[[#This Row],[Date]])+1</f>
        <v>45778</v>
      </c>
      <c r="F785" s="470">
        <v>45797</v>
      </c>
      <c r="G785" s="35" t="s">
        <v>98</v>
      </c>
      <c r="H785" s="35" t="str">
        <f>IFERROR(_xlfn.XLOOKUP(Table6[[#This Row],[Affected WTG]],'Basic Data'!$A:$A,'Basic Data'!$B:$B),"")</f>
        <v>TQGXIIPL</v>
      </c>
      <c r="I785" s="35" t="str">
        <f>IFERROR(_xlfn.XLOOKUP(Table6[[#This Row],[Affected WTG]],'Basic Data'!$A:$A,'Basic Data'!$C:$C),"")</f>
        <v>GEDA</v>
      </c>
      <c r="J785" s="471">
        <f>IFERROR(_xlfn.XLOOKUP(Table6[[#This Row],[Affected WTG]],'Basic Data'!$A:$A,'Basic Data'!$E:$E),"")</f>
        <v>3.846153846153845E-2</v>
      </c>
      <c r="K785" s="102">
        <v>55</v>
      </c>
      <c r="L785" s="35" t="str">
        <f>IFERROR(_xlfn.XLOOKUP(Table6[[#This Row],[Error Code]],'Basic Data'!$AA:$AA,'Basic Data'!$AB:$AB),"Incorrect Error Code")</f>
        <v>WTG shut down</v>
      </c>
      <c r="M785" s="35" t="s">
        <v>330</v>
      </c>
      <c r="N785" s="475"/>
      <c r="O785" s="476">
        <v>0.71944444444444444</v>
      </c>
      <c r="P785" s="476">
        <v>0.71944444444444444</v>
      </c>
      <c r="Q785" s="477">
        <v>0.75694444444444442</v>
      </c>
      <c r="R785" s="472">
        <f>IF(Table6[[#This Row],[Work Start TimeStamp]]="","",(Table6[[#This Row],[Work Start TimeStamp]]-Table6[[#This Row],[Fault Start TimeStamp]])*24)</f>
        <v>0</v>
      </c>
      <c r="S785" s="472">
        <f>(Table6[[#This Row],[Fault Clearance time]]-Table6[[#This Row],[Work Start TimeStamp]])*24</f>
        <v>0.89999999999999947</v>
      </c>
      <c r="T785" s="472">
        <f>(Table6[[#This Row],[Fault Clearance time]]-Table6[[#This Row],[Fault Start TimeStamp]])*24</f>
        <v>0.89999999999999947</v>
      </c>
      <c r="U785" s="35" t="s">
        <v>1744</v>
      </c>
      <c r="V785" s="102" t="s">
        <v>293</v>
      </c>
      <c r="W785" s="478">
        <f>IFERROR(Table6[[#This Row],[Breakdown Time]]*Table6[[#This Row],[Plant Equivalent Weightage]],"")</f>
        <v>3.4615384615384583E-2</v>
      </c>
      <c r="X785" s="473" t="s">
        <v>294</v>
      </c>
      <c r="Y785" s="474" t="s">
        <v>74</v>
      </c>
      <c r="Z785" s="102">
        <v>13354</v>
      </c>
      <c r="AA785" s="468">
        <f>(Table6[[#This Row],[Paired WTG Generation for loss calculation]]/24)*Table6[[#This Row],[Breakdown Time]]</f>
        <v>500.77499999999969</v>
      </c>
      <c r="AB785" s="102"/>
      <c r="AC785" s="35"/>
      <c r="AD785" s="35"/>
    </row>
    <row r="786" spans="1:30">
      <c r="A786" s="102">
        <f t="shared" si="13"/>
        <v>785</v>
      </c>
      <c r="B786" s="468">
        <f>YEAR(Table6[[#This Row],[Date]])+IF(MONTH(Table6[[#This Row],[Date]])&gt;=4,1,0)</f>
        <v>2026</v>
      </c>
      <c r="C786" s="102">
        <f>YEAR(Table6[[#This Row],[Date]])</f>
        <v>2025</v>
      </c>
      <c r="D786" s="102" t="s">
        <v>1992</v>
      </c>
      <c r="E786" s="469">
        <f>Table6[[#This Row],[Date]]-DAY(Table6[[#This Row],[Date]])+1</f>
        <v>45778</v>
      </c>
      <c r="F786" s="470">
        <v>45797</v>
      </c>
      <c r="G786" s="35" t="s">
        <v>99</v>
      </c>
      <c r="H786" s="35" t="str">
        <f>IFERROR(_xlfn.XLOOKUP(Table6[[#This Row],[Affected WTG]],'Basic Data'!$A:$A,'Basic Data'!$B:$B),"")</f>
        <v>TQGXIIPL</v>
      </c>
      <c r="I786" s="35" t="str">
        <f>IFERROR(_xlfn.XLOOKUP(Table6[[#This Row],[Affected WTG]],'Basic Data'!$A:$A,'Basic Data'!$C:$C),"")</f>
        <v>GEDA</v>
      </c>
      <c r="J786" s="471">
        <f>IFERROR(_xlfn.XLOOKUP(Table6[[#This Row],[Affected WTG]],'Basic Data'!$A:$A,'Basic Data'!$E:$E),"")</f>
        <v>3.846153846153845E-2</v>
      </c>
      <c r="K786" s="102">
        <v>665</v>
      </c>
      <c r="L786" s="35" t="str">
        <f>IFERROR(_xlfn.XLOOKUP(Table6[[#This Row],[Error Code]],'Basic Data'!$AA:$AA,'Basic Data'!$AB:$AB),"Incorrect Error Code")</f>
        <v>Pitch error</v>
      </c>
      <c r="M786" s="35" t="s">
        <v>291</v>
      </c>
      <c r="N786" s="475"/>
      <c r="O786" s="476">
        <v>0.37083333333333335</v>
      </c>
      <c r="P786" s="476">
        <v>0.37083333333333335</v>
      </c>
      <c r="Q786" s="477">
        <v>0.38263888888888886</v>
      </c>
      <c r="R786" s="472">
        <f>IF(Table6[[#This Row],[Work Start TimeStamp]]="","",(Table6[[#This Row],[Work Start TimeStamp]]-Table6[[#This Row],[Fault Start TimeStamp]])*24)</f>
        <v>0</v>
      </c>
      <c r="S786" s="472">
        <f>(Table6[[#This Row],[Fault Clearance time]]-Table6[[#This Row],[Work Start TimeStamp]])*24</f>
        <v>0.28333333333333233</v>
      </c>
      <c r="T786" s="472">
        <f>(Table6[[#This Row],[Fault Clearance time]]-Table6[[#This Row],[Fault Start TimeStamp]])*24</f>
        <v>0.28333333333333233</v>
      </c>
      <c r="U786" s="35" t="s">
        <v>1854</v>
      </c>
      <c r="V786" s="102" t="s">
        <v>293</v>
      </c>
      <c r="W786" s="478">
        <f>IFERROR(Table6[[#This Row],[Breakdown Time]]*Table6[[#This Row],[Plant Equivalent Weightage]],"")</f>
        <v>1.0897435897435855E-2</v>
      </c>
      <c r="X786" s="473" t="s">
        <v>294</v>
      </c>
      <c r="Y786" s="474" t="s">
        <v>74</v>
      </c>
      <c r="Z786" s="102">
        <v>13354</v>
      </c>
      <c r="AA786" s="468">
        <f>(Table6[[#This Row],[Paired WTG Generation for loss calculation]]/24)*Table6[[#This Row],[Breakdown Time]]</f>
        <v>157.65138888888831</v>
      </c>
      <c r="AB786" s="102"/>
      <c r="AC786" s="35"/>
      <c r="AD786" s="35"/>
    </row>
    <row r="787" spans="1:30">
      <c r="A787" s="102">
        <f t="shared" si="13"/>
        <v>786</v>
      </c>
      <c r="B787" s="468">
        <f>YEAR(Table6[[#This Row],[Date]])+IF(MONTH(Table6[[#This Row],[Date]])&gt;=4,1,0)</f>
        <v>2026</v>
      </c>
      <c r="C787" s="102">
        <f>YEAR(Table6[[#This Row],[Date]])</f>
        <v>2025</v>
      </c>
      <c r="D787" s="102" t="s">
        <v>1992</v>
      </c>
      <c r="E787" s="469">
        <f>Table6[[#This Row],[Date]]-DAY(Table6[[#This Row],[Date]])+1</f>
        <v>45778</v>
      </c>
      <c r="F787" s="470">
        <v>45798</v>
      </c>
      <c r="G787" s="35" t="s">
        <v>74</v>
      </c>
      <c r="H787" s="35" t="str">
        <f>IFERROR(_xlfn.XLOOKUP(Table6[[#This Row],[Affected WTG]],'Basic Data'!$A:$A,'Basic Data'!$B:$B),"")</f>
        <v>TQGXIIPL</v>
      </c>
      <c r="I787" s="35" t="str">
        <f>IFERROR(_xlfn.XLOOKUP(Table6[[#This Row],[Affected WTG]],'Basic Data'!$A:$A,'Basic Data'!$C:$C),"")</f>
        <v>GEDA</v>
      </c>
      <c r="J787" s="471">
        <f>IFERROR(_xlfn.XLOOKUP(Table6[[#This Row],[Affected WTG]],'Basic Data'!$A:$A,'Basic Data'!$E:$E),"")</f>
        <v>3.846153846153845E-2</v>
      </c>
      <c r="K787" s="102">
        <v>152</v>
      </c>
      <c r="L787" s="35" t="str">
        <f>IFERROR(_xlfn.XLOOKUP(Table6[[#This Row],[Error Code]],'Basic Data'!$AA:$AA,'Basic Data'!$AB:$AB),"Incorrect Error Code")</f>
        <v>SLC app. not in SAFE mode</v>
      </c>
      <c r="M787" s="35" t="s">
        <v>291</v>
      </c>
      <c r="N787" s="475"/>
      <c r="O787" s="476">
        <v>0.80277777777777781</v>
      </c>
      <c r="P787" s="476">
        <v>0.80277777777777781</v>
      </c>
      <c r="Q787" s="477">
        <v>0.81736111111111109</v>
      </c>
      <c r="R787" s="472">
        <f>IF(Table6[[#This Row],[Work Start TimeStamp]]="","",(Table6[[#This Row],[Work Start TimeStamp]]-Table6[[#This Row],[Fault Start TimeStamp]])*24)</f>
        <v>0</v>
      </c>
      <c r="S787" s="472">
        <f>(Table6[[#This Row],[Fault Clearance time]]-Table6[[#This Row],[Work Start TimeStamp]])*24</f>
        <v>0.34999999999999876</v>
      </c>
      <c r="T787" s="472">
        <f>(Table6[[#This Row],[Fault Clearance time]]-Table6[[#This Row],[Fault Start TimeStamp]])*24</f>
        <v>0.34999999999999876</v>
      </c>
      <c r="U787" s="35" t="s">
        <v>1858</v>
      </c>
      <c r="V787" s="102" t="s">
        <v>293</v>
      </c>
      <c r="W787" s="478">
        <f>IFERROR(Table6[[#This Row],[Breakdown Time]]*Table6[[#This Row],[Plant Equivalent Weightage]],"")</f>
        <v>1.346153846153841E-2</v>
      </c>
      <c r="X787" s="473" t="s">
        <v>294</v>
      </c>
      <c r="Y787" s="474" t="s">
        <v>99</v>
      </c>
      <c r="Z787" s="102">
        <v>5324</v>
      </c>
      <c r="AA787" s="468">
        <f>(Table6[[#This Row],[Paired WTG Generation for loss calculation]]/24)*Table6[[#This Row],[Breakdown Time]]</f>
        <v>77.641666666666396</v>
      </c>
      <c r="AB787" s="102"/>
      <c r="AC787" s="35"/>
      <c r="AD787" s="35"/>
    </row>
    <row r="788" spans="1:30">
      <c r="A788" s="102">
        <f t="shared" si="13"/>
        <v>787</v>
      </c>
      <c r="B788" s="468">
        <f>YEAR(Table6[[#This Row],[Date]])+IF(MONTH(Table6[[#This Row],[Date]])&gt;=4,1,0)</f>
        <v>2026</v>
      </c>
      <c r="C788" s="102">
        <f>YEAR(Table6[[#This Row],[Date]])</f>
        <v>2025</v>
      </c>
      <c r="D788" s="102" t="s">
        <v>1992</v>
      </c>
      <c r="E788" s="469">
        <f>Table6[[#This Row],[Date]]-DAY(Table6[[#This Row],[Date]])+1</f>
        <v>45778</v>
      </c>
      <c r="F788" s="470">
        <v>45798</v>
      </c>
      <c r="G788" s="35" t="s">
        <v>75</v>
      </c>
      <c r="H788" s="35" t="str">
        <f>IFERROR(_xlfn.XLOOKUP(Table6[[#This Row],[Affected WTG]],'Basic Data'!$A:$A,'Basic Data'!$B:$B),"")</f>
        <v>TQGXIIPL</v>
      </c>
      <c r="I788" s="35" t="str">
        <f>IFERROR(_xlfn.XLOOKUP(Table6[[#This Row],[Affected WTG]],'Basic Data'!$A:$A,'Basic Data'!$C:$C),"")</f>
        <v>GEDA</v>
      </c>
      <c r="J788" s="471">
        <f>IFERROR(_xlfn.XLOOKUP(Table6[[#This Row],[Affected WTG]],'Basic Data'!$A:$A,'Basic Data'!$E:$E),"")</f>
        <v>3.846153846153845E-2</v>
      </c>
      <c r="K788" s="102">
        <v>3000</v>
      </c>
      <c r="L788" s="35" t="str">
        <f>IFERROR(_xlfn.XLOOKUP(Table6[[#This Row],[Error Code]],'Basic Data'!$AA:$AA,'Basic Data'!$AB:$AB),"Incorrect Error Code")</f>
        <v>Frequency converter not ready</v>
      </c>
      <c r="M788" s="35" t="s">
        <v>291</v>
      </c>
      <c r="N788" s="475"/>
      <c r="O788" s="476">
        <v>0.80277777777777781</v>
      </c>
      <c r="P788" s="476">
        <v>0.80277777777777781</v>
      </c>
      <c r="Q788" s="477">
        <v>0.83333333333333337</v>
      </c>
      <c r="R788" s="472">
        <f>IF(Table6[[#This Row],[Work Start TimeStamp]]="","",(Table6[[#This Row],[Work Start TimeStamp]]-Table6[[#This Row],[Fault Start TimeStamp]])*24)</f>
        <v>0</v>
      </c>
      <c r="S788" s="472">
        <f>(Table6[[#This Row],[Fault Clearance time]]-Table6[[#This Row],[Work Start TimeStamp]])*24</f>
        <v>0.73333333333333339</v>
      </c>
      <c r="T788" s="472">
        <f>(Table6[[#This Row],[Fault Clearance time]]-Table6[[#This Row],[Fault Start TimeStamp]])*24</f>
        <v>0.73333333333333339</v>
      </c>
      <c r="U788" s="35" t="s">
        <v>341</v>
      </c>
      <c r="V788" s="102" t="s">
        <v>293</v>
      </c>
      <c r="W788" s="478">
        <f>IFERROR(Table6[[#This Row],[Breakdown Time]]*Table6[[#This Row],[Plant Equivalent Weightage]],"")</f>
        <v>2.8205128205128199E-2</v>
      </c>
      <c r="X788" s="473" t="s">
        <v>294</v>
      </c>
      <c r="Y788" s="474" t="s">
        <v>78</v>
      </c>
      <c r="Z788" s="102">
        <v>6797</v>
      </c>
      <c r="AA788" s="468">
        <f>(Table6[[#This Row],[Paired WTG Generation for loss calculation]]/24)*Table6[[#This Row],[Breakdown Time]]</f>
        <v>207.6861111111111</v>
      </c>
      <c r="AB788" s="102"/>
      <c r="AC788" s="35"/>
      <c r="AD788" s="35"/>
    </row>
    <row r="789" spans="1:30">
      <c r="A789" s="102">
        <f t="shared" si="13"/>
        <v>788</v>
      </c>
      <c r="B789" s="468">
        <f>YEAR(Table6[[#This Row],[Date]])+IF(MONTH(Table6[[#This Row],[Date]])&gt;=4,1,0)</f>
        <v>2026</v>
      </c>
      <c r="C789" s="102">
        <f>YEAR(Table6[[#This Row],[Date]])</f>
        <v>2025</v>
      </c>
      <c r="D789" s="102" t="s">
        <v>1992</v>
      </c>
      <c r="E789" s="469">
        <f>Table6[[#This Row],[Date]]-DAY(Table6[[#This Row],[Date]])+1</f>
        <v>45778</v>
      </c>
      <c r="F789" s="470">
        <v>45798</v>
      </c>
      <c r="G789" s="35" t="s">
        <v>76</v>
      </c>
      <c r="H789" s="35" t="str">
        <f>IFERROR(_xlfn.XLOOKUP(Table6[[#This Row],[Affected WTG]],'Basic Data'!$A:$A,'Basic Data'!$B:$B),"")</f>
        <v>TQGXIIPL</v>
      </c>
      <c r="I789" s="35" t="str">
        <f>IFERROR(_xlfn.XLOOKUP(Table6[[#This Row],[Affected WTG]],'Basic Data'!$A:$A,'Basic Data'!$C:$C),"")</f>
        <v>GEDA</v>
      </c>
      <c r="J789" s="471">
        <f>IFERROR(_xlfn.XLOOKUP(Table6[[#This Row],[Affected WTG]],'Basic Data'!$A:$A,'Basic Data'!$E:$E),"")</f>
        <v>3.846153846153845E-2</v>
      </c>
      <c r="K789" s="102">
        <v>3000</v>
      </c>
      <c r="L789" s="35" t="str">
        <f>IFERROR(_xlfn.XLOOKUP(Table6[[#This Row],[Error Code]],'Basic Data'!$AA:$AA,'Basic Data'!$AB:$AB),"Incorrect Error Code")</f>
        <v>Frequency converter not ready</v>
      </c>
      <c r="M789" s="35" t="s">
        <v>291</v>
      </c>
      <c r="N789" s="475"/>
      <c r="O789" s="476">
        <v>0.80277777777777781</v>
      </c>
      <c r="P789" s="476">
        <v>0.80277777777777781</v>
      </c>
      <c r="Q789" s="477">
        <v>0.8305555555555556</v>
      </c>
      <c r="R789" s="472">
        <f>IF(Table6[[#This Row],[Work Start TimeStamp]]="","",(Table6[[#This Row],[Work Start TimeStamp]]-Table6[[#This Row],[Fault Start TimeStamp]])*24)</f>
        <v>0</v>
      </c>
      <c r="S789" s="472">
        <f>(Table6[[#This Row],[Fault Clearance time]]-Table6[[#This Row],[Work Start TimeStamp]])*24</f>
        <v>0.66666666666666696</v>
      </c>
      <c r="T789" s="472">
        <f>(Table6[[#This Row],[Fault Clearance time]]-Table6[[#This Row],[Fault Start TimeStamp]])*24</f>
        <v>0.66666666666666696</v>
      </c>
      <c r="U789" s="35" t="s">
        <v>341</v>
      </c>
      <c r="V789" s="102" t="s">
        <v>293</v>
      </c>
      <c r="W789" s="478">
        <f>IFERROR(Table6[[#This Row],[Breakdown Time]]*Table6[[#This Row],[Plant Equivalent Weightage]],"")</f>
        <v>2.5641025641025644E-2</v>
      </c>
      <c r="X789" s="473" t="s">
        <v>294</v>
      </c>
      <c r="Y789" s="474" t="s">
        <v>82</v>
      </c>
      <c r="Z789" s="102">
        <v>5730</v>
      </c>
      <c r="AA789" s="468">
        <f>(Table6[[#This Row],[Paired WTG Generation for loss calculation]]/24)*Table6[[#This Row],[Breakdown Time]]</f>
        <v>159.16666666666674</v>
      </c>
      <c r="AB789" s="102"/>
      <c r="AC789" s="35"/>
      <c r="AD789" s="35"/>
    </row>
    <row r="790" spans="1:30">
      <c r="A790" s="102">
        <f t="shared" si="13"/>
        <v>789</v>
      </c>
      <c r="B790" s="468">
        <f>YEAR(Table6[[#This Row],[Date]])+IF(MONTH(Table6[[#This Row],[Date]])&gt;=4,1,0)</f>
        <v>2026</v>
      </c>
      <c r="C790" s="102">
        <f>YEAR(Table6[[#This Row],[Date]])</f>
        <v>2025</v>
      </c>
      <c r="D790" s="102" t="s">
        <v>1992</v>
      </c>
      <c r="E790" s="469">
        <f>Table6[[#This Row],[Date]]-DAY(Table6[[#This Row],[Date]])+1</f>
        <v>45778</v>
      </c>
      <c r="F790" s="470">
        <v>45798</v>
      </c>
      <c r="G790" s="35" t="s">
        <v>77</v>
      </c>
      <c r="H790" s="35" t="str">
        <f>IFERROR(_xlfn.XLOOKUP(Table6[[#This Row],[Affected WTG]],'Basic Data'!$A:$A,'Basic Data'!$B:$B),"")</f>
        <v>TQGXIIPL</v>
      </c>
      <c r="I790" s="35" t="str">
        <f>IFERROR(_xlfn.XLOOKUP(Table6[[#This Row],[Affected WTG]],'Basic Data'!$A:$A,'Basic Data'!$C:$C),"")</f>
        <v>GEDA</v>
      </c>
      <c r="J790" s="471">
        <f>IFERROR(_xlfn.XLOOKUP(Table6[[#This Row],[Affected WTG]],'Basic Data'!$A:$A,'Basic Data'!$E:$E),"")</f>
        <v>3.846153846153845E-2</v>
      </c>
      <c r="K790" s="102">
        <v>3420</v>
      </c>
      <c r="L790" s="35" t="str">
        <f>IFERROR(_xlfn.XLOOKUP(Table6[[#This Row],[Error Code]],'Basic Data'!$AA:$AA,'Basic Data'!$AB:$AB),"Incorrect Error Code")</f>
        <v>UPS buffer time too short</v>
      </c>
      <c r="M790" s="35" t="s">
        <v>291</v>
      </c>
      <c r="N790" s="475"/>
      <c r="O790" s="476">
        <v>0.79861111111111116</v>
      </c>
      <c r="P790" s="476">
        <v>0.79861111111111116</v>
      </c>
      <c r="Q790" s="477">
        <v>0.85416666666666663</v>
      </c>
      <c r="R790" s="472">
        <f>IF(Table6[[#This Row],[Work Start TimeStamp]]="","",(Table6[[#This Row],[Work Start TimeStamp]]-Table6[[#This Row],[Fault Start TimeStamp]])*24)</f>
        <v>0</v>
      </c>
      <c r="S790" s="472">
        <f>(Table6[[#This Row],[Fault Clearance time]]-Table6[[#This Row],[Work Start TimeStamp]])*24</f>
        <v>1.3333333333333313</v>
      </c>
      <c r="T790" s="472">
        <f>(Table6[[#This Row],[Fault Clearance time]]-Table6[[#This Row],[Fault Start TimeStamp]])*24</f>
        <v>1.3333333333333313</v>
      </c>
      <c r="U790" s="35" t="s">
        <v>1859</v>
      </c>
      <c r="V790" s="102" t="s">
        <v>293</v>
      </c>
      <c r="W790" s="478">
        <f>IFERROR(Table6[[#This Row],[Breakdown Time]]*Table6[[#This Row],[Plant Equivalent Weightage]],"")</f>
        <v>5.128205128205119E-2</v>
      </c>
      <c r="X790" s="473" t="s">
        <v>294</v>
      </c>
      <c r="Y790" s="474" t="s">
        <v>80</v>
      </c>
      <c r="Z790" s="102">
        <v>8259</v>
      </c>
      <c r="AA790" s="468">
        <f>(Table6[[#This Row],[Paired WTG Generation for loss calculation]]/24)*Table6[[#This Row],[Breakdown Time]]</f>
        <v>458.83333333333263</v>
      </c>
      <c r="AB790" s="102"/>
      <c r="AC790" s="35"/>
      <c r="AD790" s="35"/>
    </row>
    <row r="791" spans="1:30">
      <c r="A791" s="102">
        <f t="shared" si="13"/>
        <v>790</v>
      </c>
      <c r="B791" s="468">
        <f>YEAR(Table6[[#This Row],[Date]])+IF(MONTH(Table6[[#This Row],[Date]])&gt;=4,1,0)</f>
        <v>2026</v>
      </c>
      <c r="C791" s="102">
        <f>YEAR(Table6[[#This Row],[Date]])</f>
        <v>2025</v>
      </c>
      <c r="D791" s="102" t="s">
        <v>1992</v>
      </c>
      <c r="E791" s="469">
        <f>Table6[[#This Row],[Date]]-DAY(Table6[[#This Row],[Date]])+1</f>
        <v>45778</v>
      </c>
      <c r="F791" s="470">
        <v>45798</v>
      </c>
      <c r="G791" s="35" t="s">
        <v>78</v>
      </c>
      <c r="H791" s="35" t="str">
        <f>IFERROR(_xlfn.XLOOKUP(Table6[[#This Row],[Affected WTG]],'Basic Data'!$A:$A,'Basic Data'!$B:$B),"")</f>
        <v>TQGXIIPL</v>
      </c>
      <c r="I791" s="35" t="str">
        <f>IFERROR(_xlfn.XLOOKUP(Table6[[#This Row],[Affected WTG]],'Basic Data'!$A:$A,'Basic Data'!$C:$C),"")</f>
        <v>GEDA</v>
      </c>
      <c r="J791" s="471">
        <f>IFERROR(_xlfn.XLOOKUP(Table6[[#This Row],[Affected WTG]],'Basic Data'!$A:$A,'Basic Data'!$E:$E),"")</f>
        <v>3.846153846153845E-2</v>
      </c>
      <c r="K791" s="102">
        <v>3110</v>
      </c>
      <c r="L791" s="35" t="str">
        <f>IFERROR(_xlfn.XLOOKUP(Table6[[#This Row],[Error Code]],'Basic Data'!$AA:$AA,'Basic Data'!$AB:$AB),"Incorrect Error Code")</f>
        <v>Frequency converter error</v>
      </c>
      <c r="M791" s="35" t="s">
        <v>291</v>
      </c>
      <c r="N791" s="475"/>
      <c r="O791" s="476">
        <v>0.80277777777777781</v>
      </c>
      <c r="P791" s="476">
        <v>0.80277777777777781</v>
      </c>
      <c r="Q791" s="477">
        <v>0.8354166666666667</v>
      </c>
      <c r="R791" s="472">
        <f>IF(Table6[[#This Row],[Work Start TimeStamp]]="","",(Table6[[#This Row],[Work Start TimeStamp]]-Table6[[#This Row],[Fault Start TimeStamp]])*24)</f>
        <v>0</v>
      </c>
      <c r="S791" s="472">
        <f>(Table6[[#This Row],[Fault Clearance time]]-Table6[[#This Row],[Work Start TimeStamp]])*24</f>
        <v>0.78333333333333321</v>
      </c>
      <c r="T791" s="472">
        <f>(Table6[[#This Row],[Fault Clearance time]]-Table6[[#This Row],[Fault Start TimeStamp]])*24</f>
        <v>0.78333333333333321</v>
      </c>
      <c r="U791" s="35" t="s">
        <v>1858</v>
      </c>
      <c r="V791" s="102" t="s">
        <v>293</v>
      </c>
      <c r="W791" s="478">
        <f>IFERROR(Table6[[#This Row],[Breakdown Time]]*Table6[[#This Row],[Plant Equivalent Weightage]],"")</f>
        <v>3.0128205128205115E-2</v>
      </c>
      <c r="X791" s="473" t="s">
        <v>294</v>
      </c>
      <c r="Y791" s="474" t="s">
        <v>75</v>
      </c>
      <c r="Z791" s="102">
        <v>6870</v>
      </c>
      <c r="AA791" s="468">
        <f>(Table6[[#This Row],[Paired WTG Generation for loss calculation]]/24)*Table6[[#This Row],[Breakdown Time]]</f>
        <v>224.22916666666663</v>
      </c>
      <c r="AB791" s="102"/>
      <c r="AC791" s="35"/>
      <c r="AD791" s="35"/>
    </row>
    <row r="792" spans="1:30">
      <c r="A792" s="102">
        <f t="shared" si="13"/>
        <v>791</v>
      </c>
      <c r="B792" s="468">
        <f>YEAR(Table6[[#This Row],[Date]])+IF(MONTH(Table6[[#This Row],[Date]])&gt;=4,1,0)</f>
        <v>2026</v>
      </c>
      <c r="C792" s="102">
        <f>YEAR(Table6[[#This Row],[Date]])</f>
        <v>2025</v>
      </c>
      <c r="D792" s="102" t="s">
        <v>1992</v>
      </c>
      <c r="E792" s="469">
        <f>Table6[[#This Row],[Date]]-DAY(Table6[[#This Row],[Date]])+1</f>
        <v>45778</v>
      </c>
      <c r="F792" s="470">
        <v>45798</v>
      </c>
      <c r="G792" s="35" t="s">
        <v>79</v>
      </c>
      <c r="H792" s="35" t="str">
        <f>IFERROR(_xlfn.XLOOKUP(Table6[[#This Row],[Affected WTG]],'Basic Data'!$A:$A,'Basic Data'!$B:$B),"")</f>
        <v>TQGXIIPL</v>
      </c>
      <c r="I792" s="35" t="str">
        <f>IFERROR(_xlfn.XLOOKUP(Table6[[#This Row],[Affected WTG]],'Basic Data'!$A:$A,'Basic Data'!$C:$C),"")</f>
        <v>GEDA</v>
      </c>
      <c r="J792" s="471">
        <f>IFERROR(_xlfn.XLOOKUP(Table6[[#This Row],[Affected WTG]],'Basic Data'!$A:$A,'Basic Data'!$E:$E),"")</f>
        <v>3.846153846153845E-2</v>
      </c>
      <c r="K792" s="102">
        <v>3000</v>
      </c>
      <c r="L792" s="35" t="str">
        <f>IFERROR(_xlfn.XLOOKUP(Table6[[#This Row],[Error Code]],'Basic Data'!$AA:$AA,'Basic Data'!$AB:$AB),"Incorrect Error Code")</f>
        <v>Frequency converter not ready</v>
      </c>
      <c r="M792" s="35" t="s">
        <v>291</v>
      </c>
      <c r="N792" s="475"/>
      <c r="O792" s="476">
        <v>0.79861111111111116</v>
      </c>
      <c r="P792" s="476">
        <v>0.79861111111111116</v>
      </c>
      <c r="Q792" s="477">
        <v>0.83194444444444449</v>
      </c>
      <c r="R792" s="472">
        <f>IF(Table6[[#This Row],[Work Start TimeStamp]]="","",(Table6[[#This Row],[Work Start TimeStamp]]-Table6[[#This Row],[Fault Start TimeStamp]])*24)</f>
        <v>0</v>
      </c>
      <c r="S792" s="472">
        <f>(Table6[[#This Row],[Fault Clearance time]]-Table6[[#This Row],[Work Start TimeStamp]])*24</f>
        <v>0.79999999999999982</v>
      </c>
      <c r="T792" s="472">
        <f>(Table6[[#This Row],[Fault Clearance time]]-Table6[[#This Row],[Fault Start TimeStamp]])*24</f>
        <v>0.79999999999999982</v>
      </c>
      <c r="U792" s="35" t="s">
        <v>341</v>
      </c>
      <c r="V792" s="102" t="s">
        <v>293</v>
      </c>
      <c r="W792" s="478">
        <f>IFERROR(Table6[[#This Row],[Breakdown Time]]*Table6[[#This Row],[Plant Equivalent Weightage]],"")</f>
        <v>3.0769230769230754E-2</v>
      </c>
      <c r="X792" s="473" t="s">
        <v>294</v>
      </c>
      <c r="Y792" s="474" t="s">
        <v>94</v>
      </c>
      <c r="Z792" s="102">
        <v>9422</v>
      </c>
      <c r="AA792" s="468">
        <f>(Table6[[#This Row],[Paired WTG Generation for loss calculation]]/24)*Table6[[#This Row],[Breakdown Time]]</f>
        <v>314.06666666666661</v>
      </c>
      <c r="AB792" s="102"/>
      <c r="AC792" s="35"/>
      <c r="AD792" s="35"/>
    </row>
    <row r="793" spans="1:30">
      <c r="A793" s="102">
        <f t="shared" si="13"/>
        <v>792</v>
      </c>
      <c r="B793" s="468">
        <f>YEAR(Table6[[#This Row],[Date]])+IF(MONTH(Table6[[#This Row],[Date]])&gt;=4,1,0)</f>
        <v>2026</v>
      </c>
      <c r="C793" s="102">
        <f>YEAR(Table6[[#This Row],[Date]])</f>
        <v>2025</v>
      </c>
      <c r="D793" s="102" t="s">
        <v>1992</v>
      </c>
      <c r="E793" s="469">
        <f>Table6[[#This Row],[Date]]-DAY(Table6[[#This Row],[Date]])+1</f>
        <v>45778</v>
      </c>
      <c r="F793" s="470">
        <v>45798</v>
      </c>
      <c r="G793" s="35" t="s">
        <v>80</v>
      </c>
      <c r="H793" s="35" t="str">
        <f>IFERROR(_xlfn.XLOOKUP(Table6[[#This Row],[Affected WTG]],'Basic Data'!$A:$A,'Basic Data'!$B:$B),"")</f>
        <v>TQGXIIPL</v>
      </c>
      <c r="I793" s="35" t="str">
        <f>IFERROR(_xlfn.XLOOKUP(Table6[[#This Row],[Affected WTG]],'Basic Data'!$A:$A,'Basic Data'!$C:$C),"")</f>
        <v>GEDA</v>
      </c>
      <c r="J793" s="471">
        <f>IFERROR(_xlfn.XLOOKUP(Table6[[#This Row],[Affected WTG]],'Basic Data'!$A:$A,'Basic Data'!$E:$E),"")</f>
        <v>3.846153846153845E-2</v>
      </c>
      <c r="K793" s="102">
        <v>152</v>
      </c>
      <c r="L793" s="35" t="str">
        <f>IFERROR(_xlfn.XLOOKUP(Table6[[#This Row],[Error Code]],'Basic Data'!$AA:$AA,'Basic Data'!$AB:$AB),"Incorrect Error Code")</f>
        <v>SLC app. not in SAFE mode</v>
      </c>
      <c r="M793" s="35" t="s">
        <v>291</v>
      </c>
      <c r="N793" s="475"/>
      <c r="O793" s="476">
        <v>0.79861111111111116</v>
      </c>
      <c r="P793" s="476">
        <v>0.79861111111111116</v>
      </c>
      <c r="Q793" s="477">
        <v>0.85486111111111107</v>
      </c>
      <c r="R793" s="472">
        <f>IF(Table6[[#This Row],[Work Start TimeStamp]]="","",(Table6[[#This Row],[Work Start TimeStamp]]-Table6[[#This Row],[Fault Start TimeStamp]])*24)</f>
        <v>0</v>
      </c>
      <c r="S793" s="472">
        <f>(Table6[[#This Row],[Fault Clearance time]]-Table6[[#This Row],[Work Start TimeStamp]])*24</f>
        <v>1.3499999999999979</v>
      </c>
      <c r="T793" s="472">
        <f>(Table6[[#This Row],[Fault Clearance time]]-Table6[[#This Row],[Fault Start TimeStamp]])*24</f>
        <v>1.3499999999999979</v>
      </c>
      <c r="U793" s="35" t="s">
        <v>1858</v>
      </c>
      <c r="V793" s="102" t="s">
        <v>293</v>
      </c>
      <c r="W793" s="478">
        <f>IFERROR(Table6[[#This Row],[Breakdown Time]]*Table6[[#This Row],[Plant Equivalent Weightage]],"")</f>
        <v>5.1923076923076822E-2</v>
      </c>
      <c r="X793" s="473" t="s">
        <v>294</v>
      </c>
      <c r="Y793" s="474" t="s">
        <v>77</v>
      </c>
      <c r="Z793" s="102">
        <v>8746</v>
      </c>
      <c r="AA793" s="468">
        <f>(Table6[[#This Row],[Paired WTG Generation for loss calculation]]/24)*Table6[[#This Row],[Breakdown Time]]</f>
        <v>491.96249999999924</v>
      </c>
      <c r="AB793" s="102"/>
      <c r="AC793" s="35"/>
      <c r="AD793" s="35"/>
    </row>
    <row r="794" spans="1:30">
      <c r="A794" s="102">
        <f t="shared" si="13"/>
        <v>793</v>
      </c>
      <c r="B794" s="468">
        <f>YEAR(Table6[[#This Row],[Date]])+IF(MONTH(Table6[[#This Row],[Date]])&gt;=4,1,0)</f>
        <v>2026</v>
      </c>
      <c r="C794" s="102">
        <f>YEAR(Table6[[#This Row],[Date]])</f>
        <v>2025</v>
      </c>
      <c r="D794" s="102" t="s">
        <v>1992</v>
      </c>
      <c r="E794" s="469">
        <f>Table6[[#This Row],[Date]]-DAY(Table6[[#This Row],[Date]])+1</f>
        <v>45778</v>
      </c>
      <c r="F794" s="470">
        <v>45798</v>
      </c>
      <c r="G794" s="35" t="s">
        <v>81</v>
      </c>
      <c r="H794" s="35" t="str">
        <f>IFERROR(_xlfn.XLOOKUP(Table6[[#This Row],[Affected WTG]],'Basic Data'!$A:$A,'Basic Data'!$B:$B),"")</f>
        <v>TQGXIIPL</v>
      </c>
      <c r="I794" s="35" t="str">
        <f>IFERROR(_xlfn.XLOOKUP(Table6[[#This Row],[Affected WTG]],'Basic Data'!$A:$A,'Basic Data'!$C:$C),"")</f>
        <v>GEDA</v>
      </c>
      <c r="J794" s="471">
        <f>IFERROR(_xlfn.XLOOKUP(Table6[[#This Row],[Affected WTG]],'Basic Data'!$A:$A,'Basic Data'!$E:$E),"")</f>
        <v>3.846153846153845E-2</v>
      </c>
      <c r="K794" s="102">
        <v>175</v>
      </c>
      <c r="L794" s="35" t="str">
        <f>IFERROR(_xlfn.XLOOKUP(Table6[[#This Row],[Error Code]],'Basic Data'!$AA:$AA,'Basic Data'!$AB:$AB),"Incorrect Error Code")</f>
        <v>SLC error</v>
      </c>
      <c r="M794" s="35" t="s">
        <v>291</v>
      </c>
      <c r="N794" s="475"/>
      <c r="O794" s="476">
        <v>0.80277777777777781</v>
      </c>
      <c r="P794" s="476">
        <v>0.80277777777777781</v>
      </c>
      <c r="Q794" s="477">
        <v>0.81944444444444442</v>
      </c>
      <c r="R794" s="472">
        <f>IF(Table6[[#This Row],[Work Start TimeStamp]]="","",(Table6[[#This Row],[Work Start TimeStamp]]-Table6[[#This Row],[Fault Start TimeStamp]])*24)</f>
        <v>0</v>
      </c>
      <c r="S794" s="472">
        <f>(Table6[[#This Row],[Fault Clearance time]]-Table6[[#This Row],[Work Start TimeStamp]])*24</f>
        <v>0.39999999999999858</v>
      </c>
      <c r="T794" s="472">
        <f>(Table6[[#This Row],[Fault Clearance time]]-Table6[[#This Row],[Fault Start TimeStamp]])*24</f>
        <v>0.39999999999999858</v>
      </c>
      <c r="U794" s="35" t="s">
        <v>1858</v>
      </c>
      <c r="V794" s="102" t="s">
        <v>293</v>
      </c>
      <c r="W794" s="478">
        <f>IFERROR(Table6[[#This Row],[Breakdown Time]]*Table6[[#This Row],[Plant Equivalent Weightage]],"")</f>
        <v>1.5384615384615325E-2</v>
      </c>
      <c r="X794" s="473" t="s">
        <v>294</v>
      </c>
      <c r="Y794" s="474" t="s">
        <v>99</v>
      </c>
      <c r="Z794" s="102">
        <v>5324</v>
      </c>
      <c r="AA794" s="468">
        <f>(Table6[[#This Row],[Paired WTG Generation for loss calculation]]/24)*Table6[[#This Row],[Breakdown Time]]</f>
        <v>88.733333333333022</v>
      </c>
      <c r="AB794" s="102"/>
      <c r="AC794" s="35"/>
      <c r="AD794" s="35"/>
    </row>
    <row r="795" spans="1:30">
      <c r="A795" s="102">
        <f t="shared" si="13"/>
        <v>794</v>
      </c>
      <c r="B795" s="468">
        <f>YEAR(Table6[[#This Row],[Date]])+IF(MONTH(Table6[[#This Row],[Date]])&gt;=4,1,0)</f>
        <v>2026</v>
      </c>
      <c r="C795" s="102">
        <f>YEAR(Table6[[#This Row],[Date]])</f>
        <v>2025</v>
      </c>
      <c r="D795" s="102" t="s">
        <v>1992</v>
      </c>
      <c r="E795" s="469">
        <f>Table6[[#This Row],[Date]]-DAY(Table6[[#This Row],[Date]])+1</f>
        <v>45778</v>
      </c>
      <c r="F795" s="470">
        <v>45798</v>
      </c>
      <c r="G795" s="35" t="s">
        <v>82</v>
      </c>
      <c r="H795" s="35" t="str">
        <f>IFERROR(_xlfn.XLOOKUP(Table6[[#This Row],[Affected WTG]],'Basic Data'!$A:$A,'Basic Data'!$B:$B),"")</f>
        <v>TQGXIIPL</v>
      </c>
      <c r="I795" s="35" t="str">
        <f>IFERROR(_xlfn.XLOOKUP(Table6[[#This Row],[Affected WTG]],'Basic Data'!$A:$A,'Basic Data'!$C:$C),"")</f>
        <v>GEDA</v>
      </c>
      <c r="J795" s="471">
        <f>IFERROR(_xlfn.XLOOKUP(Table6[[#This Row],[Affected WTG]],'Basic Data'!$A:$A,'Basic Data'!$E:$E),"")</f>
        <v>3.846153846153845E-2</v>
      </c>
      <c r="K795" s="102">
        <v>3420</v>
      </c>
      <c r="L795" s="35" t="str">
        <f>IFERROR(_xlfn.XLOOKUP(Table6[[#This Row],[Error Code]],'Basic Data'!$AA:$AA,'Basic Data'!$AB:$AB),"Incorrect Error Code")</f>
        <v>UPS buffer time too short</v>
      </c>
      <c r="M795" s="35" t="s">
        <v>291</v>
      </c>
      <c r="N795" s="475"/>
      <c r="O795" s="476">
        <v>0.80277777777777781</v>
      </c>
      <c r="P795" s="476">
        <v>0.80277777777777781</v>
      </c>
      <c r="Q795" s="477">
        <v>0.8208333333333333</v>
      </c>
      <c r="R795" s="472">
        <f>IF(Table6[[#This Row],[Work Start TimeStamp]]="","",(Table6[[#This Row],[Work Start TimeStamp]]-Table6[[#This Row],[Fault Start TimeStamp]])*24)</f>
        <v>0</v>
      </c>
      <c r="S795" s="472">
        <f>(Table6[[#This Row],[Fault Clearance time]]-Table6[[#This Row],[Work Start TimeStamp]])*24</f>
        <v>0.43333333333333179</v>
      </c>
      <c r="T795" s="472">
        <f>(Table6[[#This Row],[Fault Clearance time]]-Table6[[#This Row],[Fault Start TimeStamp]])*24</f>
        <v>0.43333333333333179</v>
      </c>
      <c r="U795" s="35" t="s">
        <v>1858</v>
      </c>
      <c r="V795" s="102" t="s">
        <v>293</v>
      </c>
      <c r="W795" s="478">
        <f>IFERROR(Table6[[#This Row],[Breakdown Time]]*Table6[[#This Row],[Plant Equivalent Weightage]],"")</f>
        <v>1.6666666666666604E-2</v>
      </c>
      <c r="X795" s="473" t="s">
        <v>294</v>
      </c>
      <c r="Y795" s="474" t="s">
        <v>76</v>
      </c>
      <c r="Z795" s="102">
        <v>4988</v>
      </c>
      <c r="AA795" s="468">
        <f>(Table6[[#This Row],[Paired WTG Generation for loss calculation]]/24)*Table6[[#This Row],[Breakdown Time]]</f>
        <v>90.06111111111079</v>
      </c>
      <c r="AB795" s="102"/>
      <c r="AC795" s="35"/>
      <c r="AD795" s="35"/>
    </row>
    <row r="796" spans="1:30">
      <c r="A796" s="102">
        <f t="shared" si="13"/>
        <v>795</v>
      </c>
      <c r="B796" s="468">
        <f>YEAR(Table6[[#This Row],[Date]])+IF(MONTH(Table6[[#This Row],[Date]])&gt;=4,1,0)</f>
        <v>2026</v>
      </c>
      <c r="C796" s="102">
        <f>YEAR(Table6[[#This Row],[Date]])</f>
        <v>2025</v>
      </c>
      <c r="D796" s="102" t="s">
        <v>1992</v>
      </c>
      <c r="E796" s="469">
        <f>Table6[[#This Row],[Date]]-DAY(Table6[[#This Row],[Date]])+1</f>
        <v>45778</v>
      </c>
      <c r="F796" s="470">
        <v>45798</v>
      </c>
      <c r="G796" s="35" t="s">
        <v>83</v>
      </c>
      <c r="H796" s="35" t="str">
        <f>IFERROR(_xlfn.XLOOKUP(Table6[[#This Row],[Affected WTG]],'Basic Data'!$A:$A,'Basic Data'!$B:$B),"")</f>
        <v>TQGXIIPL</v>
      </c>
      <c r="I796" s="35" t="str">
        <f>IFERROR(_xlfn.XLOOKUP(Table6[[#This Row],[Affected WTG]],'Basic Data'!$A:$A,'Basic Data'!$C:$C),"")</f>
        <v>GEDA</v>
      </c>
      <c r="J796" s="471">
        <f>IFERROR(_xlfn.XLOOKUP(Table6[[#This Row],[Affected WTG]],'Basic Data'!$A:$A,'Basic Data'!$E:$E),"")</f>
        <v>3.846153846153845E-2</v>
      </c>
      <c r="K796" s="102">
        <v>3420</v>
      </c>
      <c r="L796" s="35" t="str">
        <f>IFERROR(_xlfn.XLOOKUP(Table6[[#This Row],[Error Code]],'Basic Data'!$AA:$AA,'Basic Data'!$AB:$AB),"Incorrect Error Code")</f>
        <v>UPS buffer time too short</v>
      </c>
      <c r="M796" s="35" t="s">
        <v>291</v>
      </c>
      <c r="N796" s="475"/>
      <c r="O796" s="476">
        <v>0.80277777777777781</v>
      </c>
      <c r="P796" s="476">
        <v>0.80277777777777781</v>
      </c>
      <c r="Q796" s="477">
        <v>0.8208333333333333</v>
      </c>
      <c r="R796" s="472">
        <f>IF(Table6[[#This Row],[Work Start TimeStamp]]="","",(Table6[[#This Row],[Work Start TimeStamp]]-Table6[[#This Row],[Fault Start TimeStamp]])*24)</f>
        <v>0</v>
      </c>
      <c r="S796" s="472">
        <f>(Table6[[#This Row],[Fault Clearance time]]-Table6[[#This Row],[Work Start TimeStamp]])*24</f>
        <v>0.43333333333333179</v>
      </c>
      <c r="T796" s="472">
        <f>(Table6[[#This Row],[Fault Clearance time]]-Table6[[#This Row],[Fault Start TimeStamp]])*24</f>
        <v>0.43333333333333179</v>
      </c>
      <c r="U796" s="35" t="s">
        <v>1858</v>
      </c>
      <c r="V796" s="102" t="s">
        <v>293</v>
      </c>
      <c r="W796" s="478">
        <f>IFERROR(Table6[[#This Row],[Breakdown Time]]*Table6[[#This Row],[Plant Equivalent Weightage]],"")</f>
        <v>1.6666666666666604E-2</v>
      </c>
      <c r="X796" s="473" t="s">
        <v>294</v>
      </c>
      <c r="Y796" s="474" t="s">
        <v>88</v>
      </c>
      <c r="Z796" s="102">
        <v>6055</v>
      </c>
      <c r="AA796" s="468">
        <f>(Table6[[#This Row],[Paired WTG Generation for loss calculation]]/24)*Table6[[#This Row],[Breakdown Time]]</f>
        <v>109.3263888888885</v>
      </c>
      <c r="AB796" s="102"/>
      <c r="AC796" s="35"/>
      <c r="AD796" s="35"/>
    </row>
    <row r="797" spans="1:30">
      <c r="A797" s="102">
        <f t="shared" si="13"/>
        <v>796</v>
      </c>
      <c r="B797" s="468">
        <f>YEAR(Table6[[#This Row],[Date]])+IF(MONTH(Table6[[#This Row],[Date]])&gt;=4,1,0)</f>
        <v>2026</v>
      </c>
      <c r="C797" s="102">
        <f>YEAR(Table6[[#This Row],[Date]])</f>
        <v>2025</v>
      </c>
      <c r="D797" s="102" t="s">
        <v>1992</v>
      </c>
      <c r="E797" s="469">
        <f>Table6[[#This Row],[Date]]-DAY(Table6[[#This Row],[Date]])+1</f>
        <v>45778</v>
      </c>
      <c r="F797" s="470">
        <v>45798</v>
      </c>
      <c r="G797" s="35" t="s">
        <v>84</v>
      </c>
      <c r="H797" s="35" t="str">
        <f>IFERROR(_xlfn.XLOOKUP(Table6[[#This Row],[Affected WTG]],'Basic Data'!$A:$A,'Basic Data'!$B:$B),"")</f>
        <v>TQGXIIPL</v>
      </c>
      <c r="I797" s="35" t="str">
        <f>IFERROR(_xlfn.XLOOKUP(Table6[[#This Row],[Affected WTG]],'Basic Data'!$A:$A,'Basic Data'!$C:$C),"")</f>
        <v>GEDA</v>
      </c>
      <c r="J797" s="471">
        <f>IFERROR(_xlfn.XLOOKUP(Table6[[#This Row],[Affected WTG]],'Basic Data'!$A:$A,'Basic Data'!$E:$E),"")</f>
        <v>3.846153846153845E-2</v>
      </c>
      <c r="K797" s="102">
        <v>152</v>
      </c>
      <c r="L797" s="35" t="str">
        <f>IFERROR(_xlfn.XLOOKUP(Table6[[#This Row],[Error Code]],'Basic Data'!$AA:$AA,'Basic Data'!$AB:$AB),"Incorrect Error Code")</f>
        <v>SLC app. not in SAFE mode</v>
      </c>
      <c r="M797" s="35" t="s">
        <v>291</v>
      </c>
      <c r="N797" s="475"/>
      <c r="O797" s="476">
        <v>0.80277777777777781</v>
      </c>
      <c r="P797" s="476">
        <v>0.80277777777777781</v>
      </c>
      <c r="Q797" s="477">
        <v>0.82152777777777775</v>
      </c>
      <c r="R797" s="472">
        <f>IF(Table6[[#This Row],[Work Start TimeStamp]]="","",(Table6[[#This Row],[Work Start TimeStamp]]-Table6[[#This Row],[Fault Start TimeStamp]])*24)</f>
        <v>0</v>
      </c>
      <c r="S797" s="472">
        <f>(Table6[[#This Row],[Fault Clearance time]]-Table6[[#This Row],[Work Start TimeStamp]])*24</f>
        <v>0.4499999999999984</v>
      </c>
      <c r="T797" s="472">
        <f>(Table6[[#This Row],[Fault Clearance time]]-Table6[[#This Row],[Fault Start TimeStamp]])*24</f>
        <v>0.4499999999999984</v>
      </c>
      <c r="U797" s="35" t="s">
        <v>1858</v>
      </c>
      <c r="V797" s="102" t="s">
        <v>293</v>
      </c>
      <c r="W797" s="478">
        <f>IFERROR(Table6[[#This Row],[Breakdown Time]]*Table6[[#This Row],[Plant Equivalent Weightage]],"")</f>
        <v>1.7307692307692239E-2</v>
      </c>
      <c r="X797" s="473" t="s">
        <v>294</v>
      </c>
      <c r="Y797" s="474" t="s">
        <v>85</v>
      </c>
      <c r="Z797" s="102">
        <v>5048</v>
      </c>
      <c r="AA797" s="468">
        <f>(Table6[[#This Row],[Paired WTG Generation for loss calculation]]/24)*Table6[[#This Row],[Breakdown Time]]</f>
        <v>94.649999999999665</v>
      </c>
      <c r="AB797" s="102"/>
      <c r="AC797" s="35"/>
      <c r="AD797" s="35"/>
    </row>
    <row r="798" spans="1:30">
      <c r="A798" s="102">
        <f t="shared" si="13"/>
        <v>797</v>
      </c>
      <c r="B798" s="468">
        <f>YEAR(Table6[[#This Row],[Date]])+IF(MONTH(Table6[[#This Row],[Date]])&gt;=4,1,0)</f>
        <v>2026</v>
      </c>
      <c r="C798" s="102">
        <f>YEAR(Table6[[#This Row],[Date]])</f>
        <v>2025</v>
      </c>
      <c r="D798" s="102" t="s">
        <v>1992</v>
      </c>
      <c r="E798" s="469">
        <f>Table6[[#This Row],[Date]]-DAY(Table6[[#This Row],[Date]])+1</f>
        <v>45778</v>
      </c>
      <c r="F798" s="470">
        <v>45798</v>
      </c>
      <c r="G798" s="35" t="s">
        <v>85</v>
      </c>
      <c r="H798" s="35" t="str">
        <f>IFERROR(_xlfn.XLOOKUP(Table6[[#This Row],[Affected WTG]],'Basic Data'!$A:$A,'Basic Data'!$B:$B),"")</f>
        <v>TQGXIIPL</v>
      </c>
      <c r="I798" s="35" t="str">
        <f>IFERROR(_xlfn.XLOOKUP(Table6[[#This Row],[Affected WTG]],'Basic Data'!$A:$A,'Basic Data'!$C:$C),"")</f>
        <v>GEDA</v>
      </c>
      <c r="J798" s="471">
        <f>IFERROR(_xlfn.XLOOKUP(Table6[[#This Row],[Affected WTG]],'Basic Data'!$A:$A,'Basic Data'!$E:$E),"")</f>
        <v>3.846153846153845E-2</v>
      </c>
      <c r="K798" s="102">
        <v>3000</v>
      </c>
      <c r="L798" s="35" t="str">
        <f>IFERROR(_xlfn.XLOOKUP(Table6[[#This Row],[Error Code]],'Basic Data'!$AA:$AA,'Basic Data'!$AB:$AB),"Incorrect Error Code")</f>
        <v>Frequency converter not ready</v>
      </c>
      <c r="M798" s="35" t="s">
        <v>291</v>
      </c>
      <c r="N798" s="475"/>
      <c r="O798" s="476">
        <v>0.80277777777777781</v>
      </c>
      <c r="P798" s="476">
        <v>0.80277777777777781</v>
      </c>
      <c r="Q798" s="477">
        <v>0.83263888888888893</v>
      </c>
      <c r="R798" s="472">
        <f>IF(Table6[[#This Row],[Work Start TimeStamp]]="","",(Table6[[#This Row],[Work Start TimeStamp]]-Table6[[#This Row],[Fault Start TimeStamp]])*24)</f>
        <v>0</v>
      </c>
      <c r="S798" s="472">
        <f>(Table6[[#This Row],[Fault Clearance time]]-Table6[[#This Row],[Work Start TimeStamp]])*24</f>
        <v>0.71666666666666679</v>
      </c>
      <c r="T798" s="472">
        <f>(Table6[[#This Row],[Fault Clearance time]]-Table6[[#This Row],[Fault Start TimeStamp]])*24</f>
        <v>0.71666666666666679</v>
      </c>
      <c r="U798" s="35" t="s">
        <v>341</v>
      </c>
      <c r="V798" s="102" t="s">
        <v>293</v>
      </c>
      <c r="W798" s="478">
        <f>IFERROR(Table6[[#This Row],[Breakdown Time]]*Table6[[#This Row],[Plant Equivalent Weightage]],"")</f>
        <v>2.756410256410256E-2</v>
      </c>
      <c r="X798" s="473" t="s">
        <v>294</v>
      </c>
      <c r="Y798" s="474" t="s">
        <v>87</v>
      </c>
      <c r="Z798" s="102">
        <v>4919</v>
      </c>
      <c r="AA798" s="468">
        <f>(Table6[[#This Row],[Paired WTG Generation for loss calculation]]/24)*Table6[[#This Row],[Breakdown Time]]</f>
        <v>146.88680555555558</v>
      </c>
      <c r="AB798" s="102"/>
      <c r="AC798" s="35"/>
      <c r="AD798" s="35"/>
    </row>
    <row r="799" spans="1:30">
      <c r="A799" s="102">
        <f t="shared" si="13"/>
        <v>798</v>
      </c>
      <c r="B799" s="468">
        <f>YEAR(Table6[[#This Row],[Date]])+IF(MONTH(Table6[[#This Row],[Date]])&gt;=4,1,0)</f>
        <v>2026</v>
      </c>
      <c r="C799" s="102">
        <f>YEAR(Table6[[#This Row],[Date]])</f>
        <v>2025</v>
      </c>
      <c r="D799" s="102" t="s">
        <v>1992</v>
      </c>
      <c r="E799" s="469">
        <f>Table6[[#This Row],[Date]]-DAY(Table6[[#This Row],[Date]])+1</f>
        <v>45778</v>
      </c>
      <c r="F799" s="470">
        <v>45798</v>
      </c>
      <c r="G799" s="35" t="s">
        <v>87</v>
      </c>
      <c r="H799" s="35" t="str">
        <f>IFERROR(_xlfn.XLOOKUP(Table6[[#This Row],[Affected WTG]],'Basic Data'!$A:$A,'Basic Data'!$B:$B),"")</f>
        <v>TQGXIIPL</v>
      </c>
      <c r="I799" s="35" t="str">
        <f>IFERROR(_xlfn.XLOOKUP(Table6[[#This Row],[Affected WTG]],'Basic Data'!$A:$A,'Basic Data'!$C:$C),"")</f>
        <v>GEDA</v>
      </c>
      <c r="J799" s="471">
        <f>IFERROR(_xlfn.XLOOKUP(Table6[[#This Row],[Affected WTG]],'Basic Data'!$A:$A,'Basic Data'!$E:$E),"")</f>
        <v>3.846153846153845E-2</v>
      </c>
      <c r="K799" s="102">
        <v>152</v>
      </c>
      <c r="L799" s="35" t="str">
        <f>IFERROR(_xlfn.XLOOKUP(Table6[[#This Row],[Error Code]],'Basic Data'!$AA:$AA,'Basic Data'!$AB:$AB),"Incorrect Error Code")</f>
        <v>SLC app. not in SAFE mode</v>
      </c>
      <c r="M799" s="35" t="s">
        <v>291</v>
      </c>
      <c r="N799" s="475"/>
      <c r="O799" s="476">
        <v>0.80277777777777781</v>
      </c>
      <c r="P799" s="476">
        <v>0.80277777777777781</v>
      </c>
      <c r="Q799" s="477">
        <v>0.82291666666666663</v>
      </c>
      <c r="R799" s="472">
        <f>IF(Table6[[#This Row],[Work Start TimeStamp]]="","",(Table6[[#This Row],[Work Start TimeStamp]]-Table6[[#This Row],[Fault Start TimeStamp]])*24)</f>
        <v>0</v>
      </c>
      <c r="S799" s="472">
        <f>(Table6[[#This Row],[Fault Clearance time]]-Table6[[#This Row],[Work Start TimeStamp]])*24</f>
        <v>0.48333333333333162</v>
      </c>
      <c r="T799" s="472">
        <f>(Table6[[#This Row],[Fault Clearance time]]-Table6[[#This Row],[Fault Start TimeStamp]])*24</f>
        <v>0.48333333333333162</v>
      </c>
      <c r="U799" s="35" t="s">
        <v>1858</v>
      </c>
      <c r="V799" s="102" t="s">
        <v>293</v>
      </c>
      <c r="W799" s="478">
        <f>IFERROR(Table6[[#This Row],[Breakdown Time]]*Table6[[#This Row],[Plant Equivalent Weightage]],"")</f>
        <v>1.8589743589743517E-2</v>
      </c>
      <c r="X799" s="473" t="s">
        <v>294</v>
      </c>
      <c r="Y799" s="474" t="s">
        <v>85</v>
      </c>
      <c r="Z799" s="102">
        <v>5048</v>
      </c>
      <c r="AA799" s="468">
        <f>(Table6[[#This Row],[Paired WTG Generation for loss calculation]]/24)*Table6[[#This Row],[Breakdown Time]]</f>
        <v>101.66111111111076</v>
      </c>
      <c r="AB799" s="102"/>
      <c r="AC799" s="35"/>
      <c r="AD799" s="35"/>
    </row>
    <row r="800" spans="1:30">
      <c r="A800" s="102">
        <f t="shared" si="13"/>
        <v>799</v>
      </c>
      <c r="B800" s="468">
        <f>YEAR(Table6[[#This Row],[Date]])+IF(MONTH(Table6[[#This Row],[Date]])&gt;=4,1,0)</f>
        <v>2026</v>
      </c>
      <c r="C800" s="102">
        <f>YEAR(Table6[[#This Row],[Date]])</f>
        <v>2025</v>
      </c>
      <c r="D800" s="102" t="s">
        <v>1992</v>
      </c>
      <c r="E800" s="469">
        <f>Table6[[#This Row],[Date]]-DAY(Table6[[#This Row],[Date]])+1</f>
        <v>45778</v>
      </c>
      <c r="F800" s="470">
        <v>45798</v>
      </c>
      <c r="G800" s="35" t="s">
        <v>88</v>
      </c>
      <c r="H800" s="35" t="str">
        <f>IFERROR(_xlfn.XLOOKUP(Table6[[#This Row],[Affected WTG]],'Basic Data'!$A:$A,'Basic Data'!$B:$B),"")</f>
        <v>TQGXIIPL</v>
      </c>
      <c r="I800" s="35" t="str">
        <f>IFERROR(_xlfn.XLOOKUP(Table6[[#This Row],[Affected WTG]],'Basic Data'!$A:$A,'Basic Data'!$C:$C),"")</f>
        <v>GEDA</v>
      </c>
      <c r="J800" s="471">
        <f>IFERROR(_xlfn.XLOOKUP(Table6[[#This Row],[Affected WTG]],'Basic Data'!$A:$A,'Basic Data'!$E:$E),"")</f>
        <v>3.846153846153845E-2</v>
      </c>
      <c r="K800" s="102">
        <v>3420</v>
      </c>
      <c r="L800" s="35" t="str">
        <f>IFERROR(_xlfn.XLOOKUP(Table6[[#This Row],[Error Code]],'Basic Data'!$AA:$AA,'Basic Data'!$AB:$AB),"Incorrect Error Code")</f>
        <v>UPS buffer time too short</v>
      </c>
      <c r="M800" s="35" t="s">
        <v>291</v>
      </c>
      <c r="N800" s="475"/>
      <c r="O800" s="476">
        <v>0.80277777777777781</v>
      </c>
      <c r="P800" s="476">
        <v>0.80277777777777781</v>
      </c>
      <c r="Q800" s="477">
        <v>0.82291666666666663</v>
      </c>
      <c r="R800" s="472">
        <f>IF(Table6[[#This Row],[Work Start TimeStamp]]="","",(Table6[[#This Row],[Work Start TimeStamp]]-Table6[[#This Row],[Fault Start TimeStamp]])*24)</f>
        <v>0</v>
      </c>
      <c r="S800" s="472">
        <f>(Table6[[#This Row],[Fault Clearance time]]-Table6[[#This Row],[Work Start TimeStamp]])*24</f>
        <v>0.48333333333333162</v>
      </c>
      <c r="T800" s="472">
        <f>(Table6[[#This Row],[Fault Clearance time]]-Table6[[#This Row],[Fault Start TimeStamp]])*24</f>
        <v>0.48333333333333162</v>
      </c>
      <c r="U800" s="35" t="s">
        <v>1858</v>
      </c>
      <c r="V800" s="102" t="s">
        <v>293</v>
      </c>
      <c r="W800" s="478">
        <f>IFERROR(Table6[[#This Row],[Breakdown Time]]*Table6[[#This Row],[Plant Equivalent Weightage]],"")</f>
        <v>1.8589743589743517E-2</v>
      </c>
      <c r="X800" s="473" t="s">
        <v>294</v>
      </c>
      <c r="Y800" s="474" t="s">
        <v>83</v>
      </c>
      <c r="Z800" s="102">
        <v>4705</v>
      </c>
      <c r="AA800" s="468">
        <f>(Table6[[#This Row],[Paired WTG Generation for loss calculation]]/24)*Table6[[#This Row],[Breakdown Time]]</f>
        <v>94.753472222221887</v>
      </c>
      <c r="AB800" s="102"/>
      <c r="AC800" s="35"/>
      <c r="AD800" s="35"/>
    </row>
    <row r="801" spans="1:30">
      <c r="A801" s="102">
        <f t="shared" si="13"/>
        <v>800</v>
      </c>
      <c r="B801" s="468">
        <f>YEAR(Table6[[#This Row],[Date]])+IF(MONTH(Table6[[#This Row],[Date]])&gt;=4,1,0)</f>
        <v>2026</v>
      </c>
      <c r="C801" s="102">
        <f>YEAR(Table6[[#This Row],[Date]])</f>
        <v>2025</v>
      </c>
      <c r="D801" s="102" t="s">
        <v>1992</v>
      </c>
      <c r="E801" s="469">
        <f>Table6[[#This Row],[Date]]-DAY(Table6[[#This Row],[Date]])+1</f>
        <v>45778</v>
      </c>
      <c r="F801" s="470">
        <v>45798</v>
      </c>
      <c r="G801" s="35" t="s">
        <v>89</v>
      </c>
      <c r="H801" s="35" t="str">
        <f>IFERROR(_xlfn.XLOOKUP(Table6[[#This Row],[Affected WTG]],'Basic Data'!$A:$A,'Basic Data'!$B:$B),"")</f>
        <v>TQGXIIPL</v>
      </c>
      <c r="I801" s="35" t="str">
        <f>IFERROR(_xlfn.XLOOKUP(Table6[[#This Row],[Affected WTG]],'Basic Data'!$A:$A,'Basic Data'!$C:$C),"")</f>
        <v>GEDA</v>
      </c>
      <c r="J801" s="471">
        <f>IFERROR(_xlfn.XLOOKUP(Table6[[#This Row],[Affected WTG]],'Basic Data'!$A:$A,'Basic Data'!$E:$E),"")</f>
        <v>3.846153846153845E-2</v>
      </c>
      <c r="K801" s="102">
        <v>675</v>
      </c>
      <c r="L801" s="35" t="str">
        <f>IFERROR(_xlfn.XLOOKUP(Table6[[#This Row],[Error Code]],'Basic Data'!$AA:$AA,'Basic Data'!$AB:$AB),"Incorrect Error Code")</f>
        <v>Pitch measuring system 1&gt;&lt;2</v>
      </c>
      <c r="M801" s="35" t="s">
        <v>291</v>
      </c>
      <c r="N801" s="475"/>
      <c r="O801" s="476">
        <v>0.79861111111111116</v>
      </c>
      <c r="P801" s="476">
        <v>0.85069444444444442</v>
      </c>
      <c r="Q801" s="477">
        <v>0.86458333333333337</v>
      </c>
      <c r="R801" s="472">
        <f>IF(Table6[[#This Row],[Work Start TimeStamp]]="","",(Table6[[#This Row],[Work Start TimeStamp]]-Table6[[#This Row],[Fault Start TimeStamp]])*24)</f>
        <v>1.2499999999999982</v>
      </c>
      <c r="S801" s="472">
        <f>(Table6[[#This Row],[Fault Clearance time]]-Table6[[#This Row],[Work Start TimeStamp]])*24</f>
        <v>0.33333333333333481</v>
      </c>
      <c r="T801" s="472">
        <f>(Table6[[#This Row],[Fault Clearance time]]-Table6[[#This Row],[Fault Start TimeStamp]])*24</f>
        <v>1.583333333333333</v>
      </c>
      <c r="U801" s="35" t="s">
        <v>1860</v>
      </c>
      <c r="V801" s="102" t="s">
        <v>293</v>
      </c>
      <c r="W801" s="478">
        <f>IFERROR(Table6[[#This Row],[Breakdown Time]]*Table6[[#This Row],[Plant Equivalent Weightage]],"")</f>
        <v>6.0897435897435868E-2</v>
      </c>
      <c r="X801" s="473" t="s">
        <v>290</v>
      </c>
      <c r="Y801" s="474" t="s">
        <v>94</v>
      </c>
      <c r="Z801" s="102">
        <v>9422</v>
      </c>
      <c r="AA801" s="468">
        <f>(Table6[[#This Row],[Paired WTG Generation for loss calculation]]/24)*Table6[[#This Row],[Breakdown Time]]</f>
        <v>621.5902777777776</v>
      </c>
      <c r="AB801" s="102"/>
      <c r="AC801" s="35"/>
      <c r="AD801" s="35"/>
    </row>
    <row r="802" spans="1:30">
      <c r="A802" s="102">
        <f t="shared" si="13"/>
        <v>801</v>
      </c>
      <c r="B802" s="468">
        <f>YEAR(Table6[[#This Row],[Date]])+IF(MONTH(Table6[[#This Row],[Date]])&gt;=4,1,0)</f>
        <v>2026</v>
      </c>
      <c r="C802" s="102">
        <f>YEAR(Table6[[#This Row],[Date]])</f>
        <v>2025</v>
      </c>
      <c r="D802" s="102" t="s">
        <v>1992</v>
      </c>
      <c r="E802" s="469">
        <f>Table6[[#This Row],[Date]]-DAY(Table6[[#This Row],[Date]])+1</f>
        <v>45778</v>
      </c>
      <c r="F802" s="470">
        <v>45798</v>
      </c>
      <c r="G802" s="35" t="s">
        <v>90</v>
      </c>
      <c r="H802" s="35" t="str">
        <f>IFERROR(_xlfn.XLOOKUP(Table6[[#This Row],[Affected WTG]],'Basic Data'!$A:$A,'Basic Data'!$B:$B),"")</f>
        <v>TQGXIIPL</v>
      </c>
      <c r="I802" s="35" t="str">
        <f>IFERROR(_xlfn.XLOOKUP(Table6[[#This Row],[Affected WTG]],'Basic Data'!$A:$A,'Basic Data'!$C:$C),"")</f>
        <v>GEDA</v>
      </c>
      <c r="J802" s="471">
        <f>IFERROR(_xlfn.XLOOKUP(Table6[[#This Row],[Affected WTG]],'Basic Data'!$A:$A,'Basic Data'!$E:$E),"")</f>
        <v>3.846153846153845E-2</v>
      </c>
      <c r="K802" s="102">
        <v>152</v>
      </c>
      <c r="L802" s="35" t="str">
        <f>IFERROR(_xlfn.XLOOKUP(Table6[[#This Row],[Error Code]],'Basic Data'!$AA:$AA,'Basic Data'!$AB:$AB),"Incorrect Error Code")</f>
        <v>SLC app. not in SAFE mode</v>
      </c>
      <c r="M802" s="35" t="s">
        <v>291</v>
      </c>
      <c r="N802" s="475"/>
      <c r="O802" s="476">
        <v>0.79861111111111116</v>
      </c>
      <c r="P802" s="476">
        <v>0.79861111111111116</v>
      </c>
      <c r="Q802" s="477">
        <v>0.82361111111111107</v>
      </c>
      <c r="R802" s="472">
        <f>IF(Table6[[#This Row],[Work Start TimeStamp]]="","",(Table6[[#This Row],[Work Start TimeStamp]]-Table6[[#This Row],[Fault Start TimeStamp]])*24)</f>
        <v>0</v>
      </c>
      <c r="S802" s="472">
        <f>(Table6[[#This Row],[Fault Clearance time]]-Table6[[#This Row],[Work Start TimeStamp]])*24</f>
        <v>0.59999999999999787</v>
      </c>
      <c r="T802" s="472">
        <f>(Table6[[#This Row],[Fault Clearance time]]-Table6[[#This Row],[Fault Start TimeStamp]])*24</f>
        <v>0.59999999999999787</v>
      </c>
      <c r="U802" s="35" t="s">
        <v>1858</v>
      </c>
      <c r="V802" s="102" t="s">
        <v>293</v>
      </c>
      <c r="W802" s="478">
        <f>IFERROR(Table6[[#This Row],[Breakdown Time]]*Table6[[#This Row],[Plant Equivalent Weightage]],"")</f>
        <v>2.3076923076922988E-2</v>
      </c>
      <c r="X802" s="473" t="s">
        <v>294</v>
      </c>
      <c r="Y802" s="474" t="s">
        <v>95</v>
      </c>
      <c r="Z802" s="102">
        <v>13881</v>
      </c>
      <c r="AA802" s="468">
        <f>(Table6[[#This Row],[Paired WTG Generation for loss calculation]]/24)*Table6[[#This Row],[Breakdown Time]]</f>
        <v>347.02499999999878</v>
      </c>
      <c r="AB802" s="102"/>
      <c r="AC802" s="35"/>
      <c r="AD802" s="35"/>
    </row>
    <row r="803" spans="1:30">
      <c r="A803" s="102">
        <f t="shared" si="13"/>
        <v>802</v>
      </c>
      <c r="B803" s="468">
        <f>YEAR(Table6[[#This Row],[Date]])+IF(MONTH(Table6[[#This Row],[Date]])&gt;=4,1,0)</f>
        <v>2026</v>
      </c>
      <c r="C803" s="102">
        <f>YEAR(Table6[[#This Row],[Date]])</f>
        <v>2025</v>
      </c>
      <c r="D803" s="102" t="s">
        <v>1992</v>
      </c>
      <c r="E803" s="469">
        <f>Table6[[#This Row],[Date]]-DAY(Table6[[#This Row],[Date]])+1</f>
        <v>45778</v>
      </c>
      <c r="F803" s="470">
        <v>45798</v>
      </c>
      <c r="G803" s="35" t="s">
        <v>91</v>
      </c>
      <c r="H803" s="35" t="str">
        <f>IFERROR(_xlfn.XLOOKUP(Table6[[#This Row],[Affected WTG]],'Basic Data'!$A:$A,'Basic Data'!$B:$B),"")</f>
        <v>TQGXIIPL</v>
      </c>
      <c r="I803" s="35" t="str">
        <f>IFERROR(_xlfn.XLOOKUP(Table6[[#This Row],[Affected WTG]],'Basic Data'!$A:$A,'Basic Data'!$C:$C),"")</f>
        <v>GEDA</v>
      </c>
      <c r="J803" s="471">
        <f>IFERROR(_xlfn.XLOOKUP(Table6[[#This Row],[Affected WTG]],'Basic Data'!$A:$A,'Basic Data'!$E:$E),"")</f>
        <v>3.846153846153845E-2</v>
      </c>
      <c r="K803" s="102">
        <v>3110</v>
      </c>
      <c r="L803" s="35" t="str">
        <f>IFERROR(_xlfn.XLOOKUP(Table6[[#This Row],[Error Code]],'Basic Data'!$AA:$AA,'Basic Data'!$AB:$AB),"Incorrect Error Code")</f>
        <v>Frequency converter error</v>
      </c>
      <c r="M803" s="35" t="s">
        <v>291</v>
      </c>
      <c r="N803" s="475"/>
      <c r="O803" s="476">
        <v>0.79861111111111116</v>
      </c>
      <c r="P803" s="476">
        <v>0.88263888888888886</v>
      </c>
      <c r="Q803" s="477">
        <v>0.8930555555555556</v>
      </c>
      <c r="R803" s="472">
        <f>IF(Table6[[#This Row],[Work Start TimeStamp]]="","",(Table6[[#This Row],[Work Start TimeStamp]]-Table6[[#This Row],[Fault Start TimeStamp]])*24)</f>
        <v>2.0166666666666648</v>
      </c>
      <c r="S803" s="472">
        <f>(Table6[[#This Row],[Fault Clearance time]]-Table6[[#This Row],[Work Start TimeStamp]])*24</f>
        <v>0.25000000000000178</v>
      </c>
      <c r="T803" s="472">
        <f>(Table6[[#This Row],[Fault Clearance time]]-Table6[[#This Row],[Fault Start TimeStamp]])*24</f>
        <v>2.2666666666666666</v>
      </c>
      <c r="U803" s="35" t="s">
        <v>1860</v>
      </c>
      <c r="V803" s="102" t="s">
        <v>293</v>
      </c>
      <c r="W803" s="478">
        <f>IFERROR(Table6[[#This Row],[Breakdown Time]]*Table6[[#This Row],[Plant Equivalent Weightage]],"")</f>
        <v>8.7179487179487147E-2</v>
      </c>
      <c r="X803" s="473" t="s">
        <v>290</v>
      </c>
      <c r="Y803" s="474" t="s">
        <v>79</v>
      </c>
      <c r="Z803" s="102">
        <v>12064</v>
      </c>
      <c r="AA803" s="468">
        <f>(Table6[[#This Row],[Paired WTG Generation for loss calculation]]/24)*Table6[[#This Row],[Breakdown Time]]</f>
        <v>1139.3777777777777</v>
      </c>
      <c r="AB803" s="102"/>
      <c r="AC803" s="35"/>
      <c r="AD803" s="35"/>
    </row>
    <row r="804" spans="1:30">
      <c r="A804" s="102">
        <f t="shared" si="13"/>
        <v>803</v>
      </c>
      <c r="B804" s="468">
        <f>YEAR(Table6[[#This Row],[Date]])+IF(MONTH(Table6[[#This Row],[Date]])&gt;=4,1,0)</f>
        <v>2026</v>
      </c>
      <c r="C804" s="102">
        <f>YEAR(Table6[[#This Row],[Date]])</f>
        <v>2025</v>
      </c>
      <c r="D804" s="102" t="s">
        <v>1992</v>
      </c>
      <c r="E804" s="469">
        <f>Table6[[#This Row],[Date]]-DAY(Table6[[#This Row],[Date]])+1</f>
        <v>45778</v>
      </c>
      <c r="F804" s="470">
        <v>45798</v>
      </c>
      <c r="G804" s="35" t="s">
        <v>92</v>
      </c>
      <c r="H804" s="35" t="str">
        <f>IFERROR(_xlfn.XLOOKUP(Table6[[#This Row],[Affected WTG]],'Basic Data'!$A:$A,'Basic Data'!$B:$B),"")</f>
        <v>TQGXIIPL</v>
      </c>
      <c r="I804" s="35" t="str">
        <f>IFERROR(_xlfn.XLOOKUP(Table6[[#This Row],[Affected WTG]],'Basic Data'!$A:$A,'Basic Data'!$C:$C),"")</f>
        <v>GEDA</v>
      </c>
      <c r="J804" s="471">
        <f>IFERROR(_xlfn.XLOOKUP(Table6[[#This Row],[Affected WTG]],'Basic Data'!$A:$A,'Basic Data'!$E:$E),"")</f>
        <v>3.846153846153845E-2</v>
      </c>
      <c r="K804" s="102">
        <v>3420</v>
      </c>
      <c r="L804" s="35" t="str">
        <f>IFERROR(_xlfn.XLOOKUP(Table6[[#This Row],[Error Code]],'Basic Data'!$AA:$AA,'Basic Data'!$AB:$AB),"Incorrect Error Code")</f>
        <v>UPS buffer time too short</v>
      </c>
      <c r="M804" s="35" t="s">
        <v>291</v>
      </c>
      <c r="N804" s="475"/>
      <c r="O804" s="476">
        <v>0.79861111111111116</v>
      </c>
      <c r="P804" s="476">
        <v>0.79861111111111116</v>
      </c>
      <c r="Q804" s="477">
        <v>0.85555555555555551</v>
      </c>
      <c r="R804" s="472">
        <f>IF(Table6[[#This Row],[Work Start TimeStamp]]="","",(Table6[[#This Row],[Work Start TimeStamp]]-Table6[[#This Row],[Fault Start TimeStamp]])*24)</f>
        <v>0</v>
      </c>
      <c r="S804" s="472">
        <f>(Table6[[#This Row],[Fault Clearance time]]-Table6[[#This Row],[Work Start TimeStamp]])*24</f>
        <v>1.3666666666666645</v>
      </c>
      <c r="T804" s="472">
        <f>(Table6[[#This Row],[Fault Clearance time]]-Table6[[#This Row],[Fault Start TimeStamp]])*24</f>
        <v>1.3666666666666645</v>
      </c>
      <c r="U804" s="35" t="s">
        <v>1858</v>
      </c>
      <c r="V804" s="102" t="s">
        <v>293</v>
      </c>
      <c r="W804" s="478">
        <f>IFERROR(Table6[[#This Row],[Breakdown Time]]*Table6[[#This Row],[Plant Equivalent Weightage]],"")</f>
        <v>5.2564102564102461E-2</v>
      </c>
      <c r="X804" s="473" t="s">
        <v>294</v>
      </c>
      <c r="Y804" s="474" t="s">
        <v>80</v>
      </c>
      <c r="Z804" s="102">
        <v>8259</v>
      </c>
      <c r="AA804" s="468">
        <f>(Table6[[#This Row],[Paired WTG Generation for loss calculation]]/24)*Table6[[#This Row],[Breakdown Time]]</f>
        <v>470.30416666666594</v>
      </c>
      <c r="AB804" s="102"/>
      <c r="AC804" s="35"/>
      <c r="AD804" s="35"/>
    </row>
    <row r="805" spans="1:30">
      <c r="A805" s="102">
        <f t="shared" si="13"/>
        <v>804</v>
      </c>
      <c r="B805" s="468">
        <f>YEAR(Table6[[#This Row],[Date]])+IF(MONTH(Table6[[#This Row],[Date]])&gt;=4,1,0)</f>
        <v>2026</v>
      </c>
      <c r="C805" s="102">
        <f>YEAR(Table6[[#This Row],[Date]])</f>
        <v>2025</v>
      </c>
      <c r="D805" s="102" t="s">
        <v>1992</v>
      </c>
      <c r="E805" s="469">
        <f>Table6[[#This Row],[Date]]-DAY(Table6[[#This Row],[Date]])+1</f>
        <v>45778</v>
      </c>
      <c r="F805" s="470">
        <v>45798</v>
      </c>
      <c r="G805" s="35" t="s">
        <v>93</v>
      </c>
      <c r="H805" s="35" t="str">
        <f>IFERROR(_xlfn.XLOOKUP(Table6[[#This Row],[Affected WTG]],'Basic Data'!$A:$A,'Basic Data'!$B:$B),"")</f>
        <v>TQGXIIPL</v>
      </c>
      <c r="I805" s="35" t="str">
        <f>IFERROR(_xlfn.XLOOKUP(Table6[[#This Row],[Affected WTG]],'Basic Data'!$A:$A,'Basic Data'!$C:$C),"")</f>
        <v>GEDA</v>
      </c>
      <c r="J805" s="471">
        <f>IFERROR(_xlfn.XLOOKUP(Table6[[#This Row],[Affected WTG]],'Basic Data'!$A:$A,'Basic Data'!$E:$E),"")</f>
        <v>3.846153846153845E-2</v>
      </c>
      <c r="K805" s="102">
        <v>152</v>
      </c>
      <c r="L805" s="35" t="str">
        <f>IFERROR(_xlfn.XLOOKUP(Table6[[#This Row],[Error Code]],'Basic Data'!$AA:$AA,'Basic Data'!$AB:$AB),"Incorrect Error Code")</f>
        <v>SLC app. not in SAFE mode</v>
      </c>
      <c r="M805" s="35" t="s">
        <v>291</v>
      </c>
      <c r="N805" s="475"/>
      <c r="O805" s="476">
        <v>0.79861111111111116</v>
      </c>
      <c r="P805" s="476">
        <v>0.79861111111111116</v>
      </c>
      <c r="Q805" s="477">
        <v>0.82499999999999996</v>
      </c>
      <c r="R805" s="472">
        <f>IF(Table6[[#This Row],[Work Start TimeStamp]]="","",(Table6[[#This Row],[Work Start TimeStamp]]-Table6[[#This Row],[Fault Start TimeStamp]])*24)</f>
        <v>0</v>
      </c>
      <c r="S805" s="472">
        <f>(Table6[[#This Row],[Fault Clearance time]]-Table6[[#This Row],[Work Start TimeStamp]])*24</f>
        <v>0.63333333333333108</v>
      </c>
      <c r="T805" s="472">
        <f>(Table6[[#This Row],[Fault Clearance time]]-Table6[[#This Row],[Fault Start TimeStamp]])*24</f>
        <v>0.63333333333333108</v>
      </c>
      <c r="U805" s="35" t="s">
        <v>1858</v>
      </c>
      <c r="V805" s="102" t="s">
        <v>293</v>
      </c>
      <c r="W805" s="478">
        <f>IFERROR(Table6[[#This Row],[Breakdown Time]]*Table6[[#This Row],[Plant Equivalent Weightage]],"")</f>
        <v>2.4358974358974265E-2</v>
      </c>
      <c r="X805" s="473" t="s">
        <v>294</v>
      </c>
      <c r="Y805" s="474" t="s">
        <v>97</v>
      </c>
      <c r="Z805" s="102">
        <v>7917</v>
      </c>
      <c r="AA805" s="468">
        <f>(Table6[[#This Row],[Paired WTG Generation for loss calculation]]/24)*Table6[[#This Row],[Breakdown Time]]</f>
        <v>208.92083333333258</v>
      </c>
      <c r="AB805" s="102"/>
      <c r="AC805" s="35"/>
      <c r="AD805" s="35"/>
    </row>
    <row r="806" spans="1:30">
      <c r="A806" s="102">
        <f t="shared" si="13"/>
        <v>805</v>
      </c>
      <c r="B806" s="468">
        <f>YEAR(Table6[[#This Row],[Date]])+IF(MONTH(Table6[[#This Row],[Date]])&gt;=4,1,0)</f>
        <v>2026</v>
      </c>
      <c r="C806" s="102">
        <f>YEAR(Table6[[#This Row],[Date]])</f>
        <v>2025</v>
      </c>
      <c r="D806" s="102" t="s">
        <v>1992</v>
      </c>
      <c r="E806" s="469">
        <f>Table6[[#This Row],[Date]]-DAY(Table6[[#This Row],[Date]])+1</f>
        <v>45778</v>
      </c>
      <c r="F806" s="470">
        <v>45798</v>
      </c>
      <c r="G806" s="35" t="s">
        <v>94</v>
      </c>
      <c r="H806" s="35" t="str">
        <f>IFERROR(_xlfn.XLOOKUP(Table6[[#This Row],[Affected WTG]],'Basic Data'!$A:$A,'Basic Data'!$B:$B),"")</f>
        <v>TQGXIIPL</v>
      </c>
      <c r="I806" s="35" t="str">
        <f>IFERROR(_xlfn.XLOOKUP(Table6[[#This Row],[Affected WTG]],'Basic Data'!$A:$A,'Basic Data'!$C:$C),"")</f>
        <v>GEDA</v>
      </c>
      <c r="J806" s="471">
        <f>IFERROR(_xlfn.XLOOKUP(Table6[[#This Row],[Affected WTG]],'Basic Data'!$A:$A,'Basic Data'!$E:$E),"")</f>
        <v>3.846153846153845E-2</v>
      </c>
      <c r="K806" s="102">
        <v>3000</v>
      </c>
      <c r="L806" s="35" t="str">
        <f>IFERROR(_xlfn.XLOOKUP(Table6[[#This Row],[Error Code]],'Basic Data'!$AA:$AA,'Basic Data'!$AB:$AB),"Incorrect Error Code")</f>
        <v>Frequency converter not ready</v>
      </c>
      <c r="M806" s="35" t="s">
        <v>291</v>
      </c>
      <c r="N806" s="475"/>
      <c r="O806" s="476">
        <v>0.79861111111111116</v>
      </c>
      <c r="P806" s="476">
        <v>0.79861111111111116</v>
      </c>
      <c r="Q806" s="477">
        <v>0.86875000000000002</v>
      </c>
      <c r="R806" s="472">
        <f>IF(Table6[[#This Row],[Work Start TimeStamp]]="","",(Table6[[#This Row],[Work Start TimeStamp]]-Table6[[#This Row],[Fault Start TimeStamp]])*24)</f>
        <v>0</v>
      </c>
      <c r="S806" s="472">
        <f>(Table6[[#This Row],[Fault Clearance time]]-Table6[[#This Row],[Work Start TimeStamp]])*24</f>
        <v>1.6833333333333327</v>
      </c>
      <c r="T806" s="472">
        <f>(Table6[[#This Row],[Fault Clearance time]]-Table6[[#This Row],[Fault Start TimeStamp]])*24</f>
        <v>1.6833333333333327</v>
      </c>
      <c r="U806" s="35" t="s">
        <v>341</v>
      </c>
      <c r="V806" s="102" t="s">
        <v>293</v>
      </c>
      <c r="W806" s="478">
        <f>IFERROR(Table6[[#This Row],[Breakdown Time]]*Table6[[#This Row],[Plant Equivalent Weightage]],"")</f>
        <v>6.4743589743589694E-2</v>
      </c>
      <c r="X806" s="473" t="s">
        <v>294</v>
      </c>
      <c r="Y806" s="474" t="s">
        <v>79</v>
      </c>
      <c r="Z806" s="102">
        <v>12064</v>
      </c>
      <c r="AA806" s="468">
        <f>(Table6[[#This Row],[Paired WTG Generation for loss calculation]]/24)*Table6[[#This Row],[Breakdown Time]]</f>
        <v>846.15555555555522</v>
      </c>
      <c r="AB806" s="102"/>
      <c r="AC806" s="35"/>
      <c r="AD806" s="35"/>
    </row>
    <row r="807" spans="1:30">
      <c r="A807" s="102">
        <f t="shared" si="13"/>
        <v>806</v>
      </c>
      <c r="B807" s="468">
        <f>YEAR(Table6[[#This Row],[Date]])+IF(MONTH(Table6[[#This Row],[Date]])&gt;=4,1,0)</f>
        <v>2026</v>
      </c>
      <c r="C807" s="102">
        <f>YEAR(Table6[[#This Row],[Date]])</f>
        <v>2025</v>
      </c>
      <c r="D807" s="102" t="s">
        <v>1992</v>
      </c>
      <c r="E807" s="469">
        <f>Table6[[#This Row],[Date]]-DAY(Table6[[#This Row],[Date]])+1</f>
        <v>45778</v>
      </c>
      <c r="F807" s="470">
        <v>45798</v>
      </c>
      <c r="G807" s="35" t="s">
        <v>95</v>
      </c>
      <c r="H807" s="35" t="str">
        <f>IFERROR(_xlfn.XLOOKUP(Table6[[#This Row],[Affected WTG]],'Basic Data'!$A:$A,'Basic Data'!$B:$B),"")</f>
        <v>TQGXIIPL</v>
      </c>
      <c r="I807" s="35" t="str">
        <f>IFERROR(_xlfn.XLOOKUP(Table6[[#This Row],[Affected WTG]],'Basic Data'!$A:$A,'Basic Data'!$C:$C),"")</f>
        <v>GEDA</v>
      </c>
      <c r="J807" s="471">
        <f>IFERROR(_xlfn.XLOOKUP(Table6[[#This Row],[Affected WTG]],'Basic Data'!$A:$A,'Basic Data'!$E:$E),"")</f>
        <v>3.846153846153845E-2</v>
      </c>
      <c r="K807" s="102">
        <v>3420</v>
      </c>
      <c r="L807" s="35" t="str">
        <f>IFERROR(_xlfn.XLOOKUP(Table6[[#This Row],[Error Code]],'Basic Data'!$AA:$AA,'Basic Data'!$AB:$AB),"Incorrect Error Code")</f>
        <v>UPS buffer time too short</v>
      </c>
      <c r="M807" s="35" t="s">
        <v>291</v>
      </c>
      <c r="N807" s="475"/>
      <c r="O807" s="476">
        <v>0.79861111111111116</v>
      </c>
      <c r="P807" s="476">
        <v>0.79861111111111116</v>
      </c>
      <c r="Q807" s="477">
        <v>0.84513888888888888</v>
      </c>
      <c r="R807" s="472">
        <f>IF(Table6[[#This Row],[Work Start TimeStamp]]="","",(Table6[[#This Row],[Work Start TimeStamp]]-Table6[[#This Row],[Fault Start TimeStamp]])*24)</f>
        <v>0</v>
      </c>
      <c r="S807" s="472">
        <f>(Table6[[#This Row],[Fault Clearance time]]-Table6[[#This Row],[Work Start TimeStamp]])*24</f>
        <v>1.1166666666666654</v>
      </c>
      <c r="T807" s="472">
        <f>(Table6[[#This Row],[Fault Clearance time]]-Table6[[#This Row],[Fault Start TimeStamp]])*24</f>
        <v>1.1166666666666654</v>
      </c>
      <c r="U807" s="35" t="s">
        <v>1858</v>
      </c>
      <c r="V807" s="102" t="s">
        <v>293</v>
      </c>
      <c r="W807" s="478">
        <f>IFERROR(Table6[[#This Row],[Breakdown Time]]*Table6[[#This Row],[Plant Equivalent Weightage]],"")</f>
        <v>4.2948717948717886E-2</v>
      </c>
      <c r="X807" s="473" t="s">
        <v>294</v>
      </c>
      <c r="Y807" s="474" t="s">
        <v>79</v>
      </c>
      <c r="Z807" s="102">
        <v>12064</v>
      </c>
      <c r="AA807" s="468">
        <f>(Table6[[#This Row],[Paired WTG Generation for loss calculation]]/24)*Table6[[#This Row],[Breakdown Time]]</f>
        <v>561.31111111111045</v>
      </c>
      <c r="AB807" s="102"/>
      <c r="AC807" s="35"/>
      <c r="AD807" s="35"/>
    </row>
    <row r="808" spans="1:30">
      <c r="A808" s="102">
        <f t="shared" si="13"/>
        <v>807</v>
      </c>
      <c r="B808" s="468">
        <f>YEAR(Table6[[#This Row],[Date]])+IF(MONTH(Table6[[#This Row],[Date]])&gt;=4,1,0)</f>
        <v>2026</v>
      </c>
      <c r="C808" s="102">
        <f>YEAR(Table6[[#This Row],[Date]])</f>
        <v>2025</v>
      </c>
      <c r="D808" s="102" t="s">
        <v>1992</v>
      </c>
      <c r="E808" s="469">
        <f>Table6[[#This Row],[Date]]-DAY(Table6[[#This Row],[Date]])+1</f>
        <v>45778</v>
      </c>
      <c r="F808" s="470">
        <v>45798</v>
      </c>
      <c r="G808" s="35" t="s">
        <v>96</v>
      </c>
      <c r="H808" s="35" t="str">
        <f>IFERROR(_xlfn.XLOOKUP(Table6[[#This Row],[Affected WTG]],'Basic Data'!$A:$A,'Basic Data'!$B:$B),"")</f>
        <v>TQGXIIPL</v>
      </c>
      <c r="I808" s="35" t="str">
        <f>IFERROR(_xlfn.XLOOKUP(Table6[[#This Row],[Affected WTG]],'Basic Data'!$A:$A,'Basic Data'!$C:$C),"")</f>
        <v>GEDA</v>
      </c>
      <c r="J808" s="471">
        <f>IFERROR(_xlfn.XLOOKUP(Table6[[#This Row],[Affected WTG]],'Basic Data'!$A:$A,'Basic Data'!$E:$E),"")</f>
        <v>3.846153846153845E-2</v>
      </c>
      <c r="K808" s="102">
        <v>3000</v>
      </c>
      <c r="L808" s="35" t="str">
        <f>IFERROR(_xlfn.XLOOKUP(Table6[[#This Row],[Error Code]],'Basic Data'!$AA:$AA,'Basic Data'!$AB:$AB),"Incorrect Error Code")</f>
        <v>Frequency converter not ready</v>
      </c>
      <c r="M808" s="35" t="s">
        <v>291</v>
      </c>
      <c r="N808" s="475"/>
      <c r="O808" s="476">
        <v>0.80277777777777781</v>
      </c>
      <c r="P808" s="476">
        <v>0.80277777777777781</v>
      </c>
      <c r="Q808" s="477">
        <v>0.83125000000000004</v>
      </c>
      <c r="R808" s="472">
        <f>IF(Table6[[#This Row],[Work Start TimeStamp]]="","",(Table6[[#This Row],[Work Start TimeStamp]]-Table6[[#This Row],[Fault Start TimeStamp]])*24)</f>
        <v>0</v>
      </c>
      <c r="S808" s="472">
        <f>(Table6[[#This Row],[Fault Clearance time]]-Table6[[#This Row],[Work Start TimeStamp]])*24</f>
        <v>0.68333333333333357</v>
      </c>
      <c r="T808" s="472">
        <f>(Table6[[#This Row],[Fault Clearance time]]-Table6[[#This Row],[Fault Start TimeStamp]])*24</f>
        <v>0.68333333333333357</v>
      </c>
      <c r="U808" s="35" t="s">
        <v>341</v>
      </c>
      <c r="V808" s="102" t="s">
        <v>293</v>
      </c>
      <c r="W808" s="478">
        <f>IFERROR(Table6[[#This Row],[Breakdown Time]]*Table6[[#This Row],[Plant Equivalent Weightage]],"")</f>
        <v>2.6282051282051282E-2</v>
      </c>
      <c r="X808" s="473" t="s">
        <v>294</v>
      </c>
      <c r="Y808" s="474" t="s">
        <v>84</v>
      </c>
      <c r="Z808" s="102">
        <v>4932</v>
      </c>
      <c r="AA808" s="468">
        <f>(Table6[[#This Row],[Paired WTG Generation for loss calculation]]/24)*Table6[[#This Row],[Breakdown Time]]</f>
        <v>140.42500000000004</v>
      </c>
      <c r="AB808" s="102"/>
      <c r="AC808" s="35"/>
      <c r="AD808" s="35"/>
    </row>
    <row r="809" spans="1:30">
      <c r="A809" s="102">
        <f t="shared" si="13"/>
        <v>808</v>
      </c>
      <c r="B809" s="468">
        <f>YEAR(Table6[[#This Row],[Date]])+IF(MONTH(Table6[[#This Row],[Date]])&gt;=4,1,0)</f>
        <v>2026</v>
      </c>
      <c r="C809" s="102">
        <f>YEAR(Table6[[#This Row],[Date]])</f>
        <v>2025</v>
      </c>
      <c r="D809" s="102" t="s">
        <v>1992</v>
      </c>
      <c r="E809" s="469">
        <f>Table6[[#This Row],[Date]]-DAY(Table6[[#This Row],[Date]])+1</f>
        <v>45778</v>
      </c>
      <c r="F809" s="470">
        <v>45798</v>
      </c>
      <c r="G809" s="35" t="s">
        <v>97</v>
      </c>
      <c r="H809" s="35" t="str">
        <f>IFERROR(_xlfn.XLOOKUP(Table6[[#This Row],[Affected WTG]],'Basic Data'!$A:$A,'Basic Data'!$B:$B),"")</f>
        <v>TQGXIIPL</v>
      </c>
      <c r="I809" s="35" t="str">
        <f>IFERROR(_xlfn.XLOOKUP(Table6[[#This Row],[Affected WTG]],'Basic Data'!$A:$A,'Basic Data'!$C:$C),"")</f>
        <v>GEDA</v>
      </c>
      <c r="J809" s="471">
        <f>IFERROR(_xlfn.XLOOKUP(Table6[[#This Row],[Affected WTG]],'Basic Data'!$A:$A,'Basic Data'!$E:$E),"")</f>
        <v>3.846153846153845E-2</v>
      </c>
      <c r="K809" s="102">
        <v>152</v>
      </c>
      <c r="L809" s="35" t="str">
        <f>IFERROR(_xlfn.XLOOKUP(Table6[[#This Row],[Error Code]],'Basic Data'!$AA:$AA,'Basic Data'!$AB:$AB),"Incorrect Error Code")</f>
        <v>SLC app. not in SAFE mode</v>
      </c>
      <c r="M809" s="35" t="s">
        <v>291</v>
      </c>
      <c r="N809" s="475"/>
      <c r="O809" s="476">
        <v>0.79861111111111116</v>
      </c>
      <c r="P809" s="476">
        <v>0.79861111111111116</v>
      </c>
      <c r="Q809" s="477">
        <v>0.82638888888888884</v>
      </c>
      <c r="R809" s="472">
        <f>IF(Table6[[#This Row],[Work Start TimeStamp]]="","",(Table6[[#This Row],[Work Start TimeStamp]]-Table6[[#This Row],[Fault Start TimeStamp]])*24)</f>
        <v>0</v>
      </c>
      <c r="S809" s="472">
        <f>(Table6[[#This Row],[Fault Clearance time]]-Table6[[#This Row],[Work Start TimeStamp]])*24</f>
        <v>0.6666666666666643</v>
      </c>
      <c r="T809" s="472">
        <f>(Table6[[#This Row],[Fault Clearance time]]-Table6[[#This Row],[Fault Start TimeStamp]])*24</f>
        <v>0.6666666666666643</v>
      </c>
      <c r="U809" s="35" t="s">
        <v>1858</v>
      </c>
      <c r="V809" s="102" t="s">
        <v>293</v>
      </c>
      <c r="W809" s="478">
        <f>IFERROR(Table6[[#This Row],[Breakdown Time]]*Table6[[#This Row],[Plant Equivalent Weightage]],"")</f>
        <v>2.5641025641025543E-2</v>
      </c>
      <c r="X809" s="473" t="s">
        <v>294</v>
      </c>
      <c r="Y809" s="474" t="s">
        <v>93</v>
      </c>
      <c r="Z809" s="102">
        <v>7738</v>
      </c>
      <c r="AA809" s="468">
        <f>(Table6[[#This Row],[Paired WTG Generation for loss calculation]]/24)*Table6[[#This Row],[Breakdown Time]]</f>
        <v>214.94444444444369</v>
      </c>
      <c r="AB809" s="102"/>
      <c r="AC809" s="35"/>
      <c r="AD809" s="35"/>
    </row>
    <row r="810" spans="1:30">
      <c r="A810" s="102">
        <f t="shared" si="13"/>
        <v>809</v>
      </c>
      <c r="B810" s="468">
        <f>YEAR(Table6[[#This Row],[Date]])+IF(MONTH(Table6[[#This Row],[Date]])&gt;=4,1,0)</f>
        <v>2026</v>
      </c>
      <c r="C810" s="102">
        <f>YEAR(Table6[[#This Row],[Date]])</f>
        <v>2025</v>
      </c>
      <c r="D810" s="102" t="s">
        <v>1992</v>
      </c>
      <c r="E810" s="469">
        <f>Table6[[#This Row],[Date]]-DAY(Table6[[#This Row],[Date]])+1</f>
        <v>45778</v>
      </c>
      <c r="F810" s="470">
        <v>45798</v>
      </c>
      <c r="G810" s="35" t="s">
        <v>98</v>
      </c>
      <c r="H810" s="35" t="str">
        <f>IFERROR(_xlfn.XLOOKUP(Table6[[#This Row],[Affected WTG]],'Basic Data'!$A:$A,'Basic Data'!$B:$B),"")</f>
        <v>TQGXIIPL</v>
      </c>
      <c r="I810" s="35" t="str">
        <f>IFERROR(_xlfn.XLOOKUP(Table6[[#This Row],[Affected WTG]],'Basic Data'!$A:$A,'Basic Data'!$C:$C),"")</f>
        <v>GEDA</v>
      </c>
      <c r="J810" s="471">
        <f>IFERROR(_xlfn.XLOOKUP(Table6[[#This Row],[Affected WTG]],'Basic Data'!$A:$A,'Basic Data'!$E:$E),"")</f>
        <v>3.846153846153845E-2</v>
      </c>
      <c r="K810" s="102">
        <v>3420</v>
      </c>
      <c r="L810" s="35" t="str">
        <f>IFERROR(_xlfn.XLOOKUP(Table6[[#This Row],[Error Code]],'Basic Data'!$AA:$AA,'Basic Data'!$AB:$AB),"Incorrect Error Code")</f>
        <v>UPS buffer time too short</v>
      </c>
      <c r="M810" s="35" t="s">
        <v>291</v>
      </c>
      <c r="N810" s="475"/>
      <c r="O810" s="476">
        <v>0.80277777777777781</v>
      </c>
      <c r="P810" s="476">
        <v>0.80277777777777781</v>
      </c>
      <c r="Q810" s="477">
        <v>0.82708333333333328</v>
      </c>
      <c r="R810" s="472">
        <f>IF(Table6[[#This Row],[Work Start TimeStamp]]="","",(Table6[[#This Row],[Work Start TimeStamp]]-Table6[[#This Row],[Fault Start TimeStamp]])*24)</f>
        <v>0</v>
      </c>
      <c r="S810" s="472">
        <f>(Table6[[#This Row],[Fault Clearance time]]-Table6[[#This Row],[Work Start TimeStamp]])*24</f>
        <v>0.58333333333333126</v>
      </c>
      <c r="T810" s="472">
        <f>(Table6[[#This Row],[Fault Clearance time]]-Table6[[#This Row],[Fault Start TimeStamp]])*24</f>
        <v>0.58333333333333126</v>
      </c>
      <c r="U810" s="35" t="s">
        <v>1858</v>
      </c>
      <c r="V810" s="102" t="s">
        <v>293</v>
      </c>
      <c r="W810" s="478">
        <f>IFERROR(Table6[[#This Row],[Breakdown Time]]*Table6[[#This Row],[Plant Equivalent Weightage]],"")</f>
        <v>2.2435897435897349E-2</v>
      </c>
      <c r="X810" s="473" t="s">
        <v>294</v>
      </c>
      <c r="Y810" s="474" t="s">
        <v>74</v>
      </c>
      <c r="Z810" s="102">
        <v>5803</v>
      </c>
      <c r="AA810" s="468">
        <f>(Table6[[#This Row],[Paired WTG Generation for loss calculation]]/24)*Table6[[#This Row],[Breakdown Time]]</f>
        <v>141.04513888888837</v>
      </c>
      <c r="AB810" s="102"/>
      <c r="AC810" s="35"/>
      <c r="AD810" s="35"/>
    </row>
    <row r="811" spans="1:30">
      <c r="A811" s="102">
        <f t="shared" si="13"/>
        <v>810</v>
      </c>
      <c r="B811" s="468">
        <f>YEAR(Table6[[#This Row],[Date]])+IF(MONTH(Table6[[#This Row],[Date]])&gt;=4,1,0)</f>
        <v>2026</v>
      </c>
      <c r="C811" s="102">
        <f>YEAR(Table6[[#This Row],[Date]])</f>
        <v>2025</v>
      </c>
      <c r="D811" s="102" t="s">
        <v>1992</v>
      </c>
      <c r="E811" s="469">
        <f>Table6[[#This Row],[Date]]-DAY(Table6[[#This Row],[Date]])+1</f>
        <v>45778</v>
      </c>
      <c r="F811" s="470">
        <v>45798</v>
      </c>
      <c r="G811" s="35" t="s">
        <v>99</v>
      </c>
      <c r="H811" s="35" t="str">
        <f>IFERROR(_xlfn.XLOOKUP(Table6[[#This Row],[Affected WTG]],'Basic Data'!$A:$A,'Basic Data'!$B:$B),"")</f>
        <v>TQGXIIPL</v>
      </c>
      <c r="I811" s="35" t="str">
        <f>IFERROR(_xlfn.XLOOKUP(Table6[[#This Row],[Affected WTG]],'Basic Data'!$A:$A,'Basic Data'!$C:$C),"")</f>
        <v>GEDA</v>
      </c>
      <c r="J811" s="471">
        <f>IFERROR(_xlfn.XLOOKUP(Table6[[#This Row],[Affected WTG]],'Basic Data'!$A:$A,'Basic Data'!$E:$E),"")</f>
        <v>3.846153846153845E-2</v>
      </c>
      <c r="K811" s="102">
        <v>152</v>
      </c>
      <c r="L811" s="35" t="str">
        <f>IFERROR(_xlfn.XLOOKUP(Table6[[#This Row],[Error Code]],'Basic Data'!$AA:$AA,'Basic Data'!$AB:$AB),"Incorrect Error Code")</f>
        <v>SLC app. not in SAFE mode</v>
      </c>
      <c r="M811" s="35" t="s">
        <v>291</v>
      </c>
      <c r="N811" s="475"/>
      <c r="O811" s="476">
        <v>0.80277777777777781</v>
      </c>
      <c r="P811" s="476">
        <v>0.80277777777777781</v>
      </c>
      <c r="Q811" s="477">
        <v>0.83472222222222225</v>
      </c>
      <c r="R811" s="472">
        <f>IF(Table6[[#This Row],[Work Start TimeStamp]]="","",(Table6[[#This Row],[Work Start TimeStamp]]-Table6[[#This Row],[Fault Start TimeStamp]])*24)</f>
        <v>0</v>
      </c>
      <c r="S811" s="472">
        <f>(Table6[[#This Row],[Fault Clearance time]]-Table6[[#This Row],[Work Start TimeStamp]])*24</f>
        <v>0.76666666666666661</v>
      </c>
      <c r="T811" s="472">
        <f>(Table6[[#This Row],[Fault Clearance time]]-Table6[[#This Row],[Fault Start TimeStamp]])*24</f>
        <v>0.76666666666666661</v>
      </c>
      <c r="U811" s="35" t="s">
        <v>1858</v>
      </c>
      <c r="V811" s="102" t="s">
        <v>293</v>
      </c>
      <c r="W811" s="478">
        <f>IFERROR(Table6[[#This Row],[Breakdown Time]]*Table6[[#This Row],[Plant Equivalent Weightage]],"")</f>
        <v>2.9487179487179476E-2</v>
      </c>
      <c r="X811" s="473" t="s">
        <v>294</v>
      </c>
      <c r="Y811" s="474" t="s">
        <v>74</v>
      </c>
      <c r="Z811" s="102">
        <v>5803</v>
      </c>
      <c r="AA811" s="468">
        <f>(Table6[[#This Row],[Paired WTG Generation for loss calculation]]/24)*Table6[[#This Row],[Breakdown Time]]</f>
        <v>185.3736111111111</v>
      </c>
      <c r="AB811" s="102"/>
      <c r="AC811" s="35"/>
      <c r="AD811" s="35"/>
    </row>
    <row r="812" spans="1:30">
      <c r="A812" s="102">
        <f t="shared" si="13"/>
        <v>811</v>
      </c>
      <c r="B812" s="468">
        <f>YEAR(Table6[[#This Row],[Date]])+IF(MONTH(Table6[[#This Row],[Date]])&gt;=4,1,0)</f>
        <v>2026</v>
      </c>
      <c r="C812" s="102">
        <f>YEAR(Table6[[#This Row],[Date]])</f>
        <v>2025</v>
      </c>
      <c r="D812" s="102" t="s">
        <v>1992</v>
      </c>
      <c r="E812" s="469">
        <f>Table6[[#This Row],[Date]]-DAY(Table6[[#This Row],[Date]])+1</f>
        <v>45778</v>
      </c>
      <c r="F812" s="470">
        <v>45799</v>
      </c>
      <c r="G812" s="35" t="s">
        <v>75</v>
      </c>
      <c r="H812" s="35" t="str">
        <f>IFERROR(_xlfn.XLOOKUP(Table6[[#This Row],[Affected WTG]],'Basic Data'!$A:$A,'Basic Data'!$B:$B),"")</f>
        <v>TQGXIIPL</v>
      </c>
      <c r="I812" s="35" t="str">
        <f>IFERROR(_xlfn.XLOOKUP(Table6[[#This Row],[Affected WTG]],'Basic Data'!$A:$A,'Basic Data'!$C:$C),"")</f>
        <v>GEDA</v>
      </c>
      <c r="J812" s="471">
        <f>IFERROR(_xlfn.XLOOKUP(Table6[[#This Row],[Affected WTG]],'Basic Data'!$A:$A,'Basic Data'!$E:$E),"")</f>
        <v>3.846153846153845E-2</v>
      </c>
      <c r="K812" s="102">
        <v>3000</v>
      </c>
      <c r="L812" s="35" t="str">
        <f>IFERROR(_xlfn.XLOOKUP(Table6[[#This Row],[Error Code]],'Basic Data'!$AA:$AA,'Basic Data'!$AB:$AB),"Incorrect Error Code")</f>
        <v>Frequency converter not ready</v>
      </c>
      <c r="M812" s="35" t="s">
        <v>291</v>
      </c>
      <c r="N812" s="475"/>
      <c r="O812" s="476">
        <v>0.79236111111111107</v>
      </c>
      <c r="P812" s="476">
        <v>0.79236111111111107</v>
      </c>
      <c r="Q812" s="477">
        <v>0.8208333333333333</v>
      </c>
      <c r="R812" s="472">
        <f>IF(Table6[[#This Row],[Work Start TimeStamp]]="","",(Table6[[#This Row],[Work Start TimeStamp]]-Table6[[#This Row],[Fault Start TimeStamp]])*24)</f>
        <v>0</v>
      </c>
      <c r="S812" s="472">
        <f>(Table6[[#This Row],[Fault Clearance time]]-Table6[[#This Row],[Work Start TimeStamp]])*24</f>
        <v>0.68333333333333357</v>
      </c>
      <c r="T812" s="472">
        <f>(Table6[[#This Row],[Fault Clearance time]]-Table6[[#This Row],[Fault Start TimeStamp]])*24</f>
        <v>0.68333333333333357</v>
      </c>
      <c r="U812" s="35" t="s">
        <v>341</v>
      </c>
      <c r="V812" s="102" t="s">
        <v>293</v>
      </c>
      <c r="W812" s="478">
        <f>IFERROR(Table6[[#This Row],[Breakdown Time]]*Table6[[#This Row],[Plant Equivalent Weightage]],"")</f>
        <v>2.6282051282051282E-2</v>
      </c>
      <c r="X812" s="473" t="s">
        <v>294</v>
      </c>
      <c r="Y812" s="474" t="s">
        <v>78</v>
      </c>
      <c r="Z812" s="102">
        <v>5814</v>
      </c>
      <c r="AA812" s="468">
        <f>(Table6[[#This Row],[Paired WTG Generation for loss calculation]]/24)*Table6[[#This Row],[Breakdown Time]]</f>
        <v>165.53750000000005</v>
      </c>
      <c r="AB812" s="102"/>
      <c r="AC812" s="35"/>
      <c r="AD812" s="35"/>
    </row>
    <row r="813" spans="1:30">
      <c r="A813" s="102">
        <f t="shared" si="13"/>
        <v>812</v>
      </c>
      <c r="B813" s="468">
        <f>YEAR(Table6[[#This Row],[Date]])+IF(MONTH(Table6[[#This Row],[Date]])&gt;=4,1,0)</f>
        <v>2026</v>
      </c>
      <c r="C813" s="102">
        <f>YEAR(Table6[[#This Row],[Date]])</f>
        <v>2025</v>
      </c>
      <c r="D813" s="102" t="s">
        <v>1992</v>
      </c>
      <c r="E813" s="469">
        <f>Table6[[#This Row],[Date]]-DAY(Table6[[#This Row],[Date]])+1</f>
        <v>45778</v>
      </c>
      <c r="F813" s="470">
        <v>45799</v>
      </c>
      <c r="G813" s="35" t="s">
        <v>76</v>
      </c>
      <c r="H813" s="35" t="str">
        <f>IFERROR(_xlfn.XLOOKUP(Table6[[#This Row],[Affected WTG]],'Basic Data'!$A:$A,'Basic Data'!$B:$B),"")</f>
        <v>TQGXIIPL</v>
      </c>
      <c r="I813" s="35" t="str">
        <f>IFERROR(_xlfn.XLOOKUP(Table6[[#This Row],[Affected WTG]],'Basic Data'!$A:$A,'Basic Data'!$C:$C),"")</f>
        <v>GEDA</v>
      </c>
      <c r="J813" s="471">
        <f>IFERROR(_xlfn.XLOOKUP(Table6[[#This Row],[Affected WTG]],'Basic Data'!$A:$A,'Basic Data'!$E:$E),"")</f>
        <v>3.846153846153845E-2</v>
      </c>
      <c r="K813" s="102">
        <v>3000</v>
      </c>
      <c r="L813" s="35" t="str">
        <f>IFERROR(_xlfn.XLOOKUP(Table6[[#This Row],[Error Code]],'Basic Data'!$AA:$AA,'Basic Data'!$AB:$AB),"Incorrect Error Code")</f>
        <v>Frequency converter not ready</v>
      </c>
      <c r="M813" s="35" t="s">
        <v>291</v>
      </c>
      <c r="N813" s="475"/>
      <c r="O813" s="476">
        <v>0.79236111111111107</v>
      </c>
      <c r="P813" s="476">
        <v>0.79236111111111107</v>
      </c>
      <c r="Q813" s="477">
        <v>0.81944444444444442</v>
      </c>
      <c r="R813" s="472">
        <f>IF(Table6[[#This Row],[Work Start TimeStamp]]="","",(Table6[[#This Row],[Work Start TimeStamp]]-Table6[[#This Row],[Fault Start TimeStamp]])*24)</f>
        <v>0</v>
      </c>
      <c r="S813" s="472">
        <f>(Table6[[#This Row],[Fault Clearance time]]-Table6[[#This Row],[Work Start TimeStamp]])*24</f>
        <v>0.65000000000000036</v>
      </c>
      <c r="T813" s="472">
        <f>(Table6[[#This Row],[Fault Clearance time]]-Table6[[#This Row],[Fault Start TimeStamp]])*24</f>
        <v>0.65000000000000036</v>
      </c>
      <c r="U813" s="35" t="s">
        <v>341</v>
      </c>
      <c r="V813" s="102" t="s">
        <v>293</v>
      </c>
      <c r="W813" s="478">
        <f>IFERROR(Table6[[#This Row],[Breakdown Time]]*Table6[[#This Row],[Plant Equivalent Weightage]],"")</f>
        <v>2.5000000000000005E-2</v>
      </c>
      <c r="X813" s="473" t="s">
        <v>294</v>
      </c>
      <c r="Y813" s="474" t="s">
        <v>82</v>
      </c>
      <c r="Z813" s="102">
        <v>4651</v>
      </c>
      <c r="AA813" s="468">
        <f>(Table6[[#This Row],[Paired WTG Generation for loss calculation]]/24)*Table6[[#This Row],[Breakdown Time]]</f>
        <v>125.96458333333339</v>
      </c>
      <c r="AB813" s="102"/>
      <c r="AC813" s="35"/>
      <c r="AD813" s="35"/>
    </row>
    <row r="814" spans="1:30">
      <c r="A814" s="102">
        <f t="shared" si="13"/>
        <v>813</v>
      </c>
      <c r="B814" s="468">
        <f>YEAR(Table6[[#This Row],[Date]])+IF(MONTH(Table6[[#This Row],[Date]])&gt;=4,1,0)</f>
        <v>2026</v>
      </c>
      <c r="C814" s="102">
        <f>YEAR(Table6[[#This Row],[Date]])</f>
        <v>2025</v>
      </c>
      <c r="D814" s="102" t="s">
        <v>1992</v>
      </c>
      <c r="E814" s="469">
        <f>Table6[[#This Row],[Date]]-DAY(Table6[[#This Row],[Date]])+1</f>
        <v>45778</v>
      </c>
      <c r="F814" s="470">
        <v>45799</v>
      </c>
      <c r="G814" s="35" t="s">
        <v>76</v>
      </c>
      <c r="H814" s="35" t="str">
        <f>IFERROR(_xlfn.XLOOKUP(Table6[[#This Row],[Affected WTG]],'Basic Data'!$A:$A,'Basic Data'!$B:$B),"")</f>
        <v>TQGXIIPL</v>
      </c>
      <c r="I814" s="35" t="str">
        <f>IFERROR(_xlfn.XLOOKUP(Table6[[#This Row],[Affected WTG]],'Basic Data'!$A:$A,'Basic Data'!$C:$C),"")</f>
        <v>GEDA</v>
      </c>
      <c r="J814" s="471">
        <f>IFERROR(_xlfn.XLOOKUP(Table6[[#This Row],[Affected WTG]],'Basic Data'!$A:$A,'Basic Data'!$E:$E),"")</f>
        <v>3.846153846153845E-2</v>
      </c>
      <c r="K814" s="102">
        <v>641</v>
      </c>
      <c r="L814" s="35" t="str">
        <f>IFERROR(_xlfn.XLOOKUP(Table6[[#This Row],[Error Code]],'Basic Data'!$AA:$AA,'Basic Data'!$AB:$AB),"Incorrect Error Code")</f>
        <v>Sim.angle E enc. &lt;&gt; act.angle 1</v>
      </c>
      <c r="M814" s="35" t="s">
        <v>291</v>
      </c>
      <c r="N814" s="475"/>
      <c r="O814" s="476">
        <v>0.82152777777777775</v>
      </c>
      <c r="P814" s="476">
        <v>0.82152777777777775</v>
      </c>
      <c r="Q814" s="477">
        <v>0.83819444444444446</v>
      </c>
      <c r="R814" s="472">
        <f>IF(Table6[[#This Row],[Work Start TimeStamp]]="","",(Table6[[#This Row],[Work Start TimeStamp]]-Table6[[#This Row],[Fault Start TimeStamp]])*24)</f>
        <v>0</v>
      </c>
      <c r="S814" s="472">
        <f>(Table6[[#This Row],[Fault Clearance time]]-Table6[[#This Row],[Work Start TimeStamp]])*24</f>
        <v>0.40000000000000124</v>
      </c>
      <c r="T814" s="472">
        <f>(Table6[[#This Row],[Fault Clearance time]]-Table6[[#This Row],[Fault Start TimeStamp]])*24</f>
        <v>0.40000000000000124</v>
      </c>
      <c r="U814" s="35" t="s">
        <v>1885</v>
      </c>
      <c r="V814" s="102" t="s">
        <v>293</v>
      </c>
      <c r="W814" s="478">
        <f>IFERROR(Table6[[#This Row],[Breakdown Time]]*Table6[[#This Row],[Plant Equivalent Weightage]],"")</f>
        <v>1.5384615384615427E-2</v>
      </c>
      <c r="X814" s="473" t="s">
        <v>294</v>
      </c>
      <c r="Y814" s="474" t="s">
        <v>82</v>
      </c>
      <c r="Z814" s="102">
        <v>4651</v>
      </c>
      <c r="AA814" s="468">
        <f>(Table6[[#This Row],[Paired WTG Generation for loss calculation]]/24)*Table6[[#This Row],[Breakdown Time]]</f>
        <v>77.516666666666907</v>
      </c>
      <c r="AB814" s="102"/>
      <c r="AC814" s="35"/>
      <c r="AD814" s="35"/>
    </row>
    <row r="815" spans="1:30">
      <c r="A815" s="102">
        <f t="shared" si="13"/>
        <v>814</v>
      </c>
      <c r="B815" s="468">
        <f>YEAR(Table6[[#This Row],[Date]])+IF(MONTH(Table6[[#This Row],[Date]])&gt;=4,1,0)</f>
        <v>2026</v>
      </c>
      <c r="C815" s="102">
        <f>YEAR(Table6[[#This Row],[Date]])</f>
        <v>2025</v>
      </c>
      <c r="D815" s="102" t="s">
        <v>1992</v>
      </c>
      <c r="E815" s="469">
        <f>Table6[[#This Row],[Date]]-DAY(Table6[[#This Row],[Date]])+1</f>
        <v>45778</v>
      </c>
      <c r="F815" s="470">
        <v>45799</v>
      </c>
      <c r="G815" s="35" t="s">
        <v>78</v>
      </c>
      <c r="H815" s="35" t="str">
        <f>IFERROR(_xlfn.XLOOKUP(Table6[[#This Row],[Affected WTG]],'Basic Data'!$A:$A,'Basic Data'!$B:$B),"")</f>
        <v>TQGXIIPL</v>
      </c>
      <c r="I815" s="35" t="str">
        <f>IFERROR(_xlfn.XLOOKUP(Table6[[#This Row],[Affected WTG]],'Basic Data'!$A:$A,'Basic Data'!$C:$C),"")</f>
        <v>GEDA</v>
      </c>
      <c r="J815" s="471">
        <f>IFERROR(_xlfn.XLOOKUP(Table6[[#This Row],[Affected WTG]],'Basic Data'!$A:$A,'Basic Data'!$E:$E),"")</f>
        <v>3.846153846153845E-2</v>
      </c>
      <c r="K815" s="102">
        <v>3420</v>
      </c>
      <c r="L815" s="35" t="str">
        <f>IFERROR(_xlfn.XLOOKUP(Table6[[#This Row],[Error Code]],'Basic Data'!$AA:$AA,'Basic Data'!$AB:$AB),"Incorrect Error Code")</f>
        <v>UPS buffer time too short</v>
      </c>
      <c r="M815" s="35" t="s">
        <v>291</v>
      </c>
      <c r="N815" s="475"/>
      <c r="O815" s="476">
        <v>0.79236111111111107</v>
      </c>
      <c r="P815" s="476">
        <v>0.79236111111111107</v>
      </c>
      <c r="Q815" s="477">
        <v>0.80763888888888891</v>
      </c>
      <c r="R815" s="472">
        <f>IF(Table6[[#This Row],[Work Start TimeStamp]]="","",(Table6[[#This Row],[Work Start TimeStamp]]-Table6[[#This Row],[Fault Start TimeStamp]])*24)</f>
        <v>0</v>
      </c>
      <c r="S815" s="472">
        <f>(Table6[[#This Row],[Fault Clearance time]]-Table6[[#This Row],[Work Start TimeStamp]])*24</f>
        <v>0.36666666666666803</v>
      </c>
      <c r="T815" s="472">
        <f>(Table6[[#This Row],[Fault Clearance time]]-Table6[[#This Row],[Fault Start TimeStamp]])*24</f>
        <v>0.36666666666666803</v>
      </c>
      <c r="U815" s="35" t="s">
        <v>1858</v>
      </c>
      <c r="V815" s="102" t="s">
        <v>293</v>
      </c>
      <c r="W815" s="478">
        <f>IFERROR(Table6[[#This Row],[Breakdown Time]]*Table6[[#This Row],[Plant Equivalent Weightage]],"")</f>
        <v>1.4102564102564151E-2</v>
      </c>
      <c r="X815" s="473" t="s">
        <v>294</v>
      </c>
      <c r="Y815" s="474" t="s">
        <v>75</v>
      </c>
      <c r="Z815" s="102">
        <v>4261</v>
      </c>
      <c r="AA815" s="468">
        <f>(Table6[[#This Row],[Paired WTG Generation for loss calculation]]/24)*Table6[[#This Row],[Breakdown Time]]</f>
        <v>65.098611111111353</v>
      </c>
      <c r="AB815" s="102"/>
      <c r="AC815" s="35"/>
      <c r="AD815" s="35"/>
    </row>
    <row r="816" spans="1:30">
      <c r="A816" s="102">
        <f t="shared" si="13"/>
        <v>815</v>
      </c>
      <c r="B816" s="468">
        <f>YEAR(Table6[[#This Row],[Date]])+IF(MONTH(Table6[[#This Row],[Date]])&gt;=4,1,0)</f>
        <v>2026</v>
      </c>
      <c r="C816" s="102">
        <f>YEAR(Table6[[#This Row],[Date]])</f>
        <v>2025</v>
      </c>
      <c r="D816" s="102" t="s">
        <v>1992</v>
      </c>
      <c r="E816" s="469">
        <f>Table6[[#This Row],[Date]]-DAY(Table6[[#This Row],[Date]])+1</f>
        <v>45778</v>
      </c>
      <c r="F816" s="470">
        <v>45799</v>
      </c>
      <c r="G816" s="35" t="s">
        <v>81</v>
      </c>
      <c r="H816" s="35" t="str">
        <f>IFERROR(_xlfn.XLOOKUP(Table6[[#This Row],[Affected WTG]],'Basic Data'!$A:$A,'Basic Data'!$B:$B),"")</f>
        <v>TQGXIIPL</v>
      </c>
      <c r="I816" s="35" t="str">
        <f>IFERROR(_xlfn.XLOOKUP(Table6[[#This Row],[Affected WTG]],'Basic Data'!$A:$A,'Basic Data'!$C:$C),"")</f>
        <v>GEDA</v>
      </c>
      <c r="J816" s="471">
        <f>IFERROR(_xlfn.XLOOKUP(Table6[[#This Row],[Affected WTG]],'Basic Data'!$A:$A,'Basic Data'!$E:$E),"")</f>
        <v>3.846153846153845E-2</v>
      </c>
      <c r="K816" s="102">
        <v>643</v>
      </c>
      <c r="L816" s="35" t="str">
        <f>IFERROR(_xlfn.XLOOKUP(Table6[[#This Row],[Error Code]],'Basic Data'!$AA:$AA,'Basic Data'!$AB:$AB),"Incorrect Error Code")</f>
        <v>Sim.angle E enc. &lt;&gt; act.angle 3</v>
      </c>
      <c r="M816" s="35" t="s">
        <v>291</v>
      </c>
      <c r="N816" s="475"/>
      <c r="O816" s="476">
        <v>0.79236111111111107</v>
      </c>
      <c r="P816" s="476">
        <v>0.79236111111111107</v>
      </c>
      <c r="Q816" s="477">
        <v>0.81388888888888888</v>
      </c>
      <c r="R816" s="472">
        <f>IF(Table6[[#This Row],[Work Start TimeStamp]]="","",(Table6[[#This Row],[Work Start TimeStamp]]-Table6[[#This Row],[Fault Start TimeStamp]])*24)</f>
        <v>0</v>
      </c>
      <c r="S816" s="472">
        <f>(Table6[[#This Row],[Fault Clearance time]]-Table6[[#This Row],[Work Start TimeStamp]])*24</f>
        <v>0.5166666666666675</v>
      </c>
      <c r="T816" s="472">
        <f>(Table6[[#This Row],[Fault Clearance time]]-Table6[[#This Row],[Fault Start TimeStamp]])*24</f>
        <v>0.5166666666666675</v>
      </c>
      <c r="U816" s="35" t="s">
        <v>1858</v>
      </c>
      <c r="V816" s="102" t="s">
        <v>293</v>
      </c>
      <c r="W816" s="478">
        <f>IFERROR(Table6[[#This Row],[Breakdown Time]]*Table6[[#This Row],[Plant Equivalent Weightage]],"")</f>
        <v>1.9871794871794898E-2</v>
      </c>
      <c r="X816" s="473" t="s">
        <v>294</v>
      </c>
      <c r="Y816" s="474" t="s">
        <v>99</v>
      </c>
      <c r="Z816" s="102">
        <v>3271</v>
      </c>
      <c r="AA816" s="468">
        <f>(Table6[[#This Row],[Paired WTG Generation for loss calculation]]/24)*Table6[[#This Row],[Breakdown Time]]</f>
        <v>70.417361111111219</v>
      </c>
      <c r="AB816" s="102"/>
      <c r="AC816" s="35"/>
      <c r="AD816" s="35"/>
    </row>
    <row r="817" spans="1:30">
      <c r="A817" s="102">
        <f t="shared" si="13"/>
        <v>816</v>
      </c>
      <c r="B817" s="468">
        <f>YEAR(Table6[[#This Row],[Date]])+IF(MONTH(Table6[[#This Row],[Date]])&gt;=4,1,0)</f>
        <v>2026</v>
      </c>
      <c r="C817" s="102">
        <f>YEAR(Table6[[#This Row],[Date]])</f>
        <v>2025</v>
      </c>
      <c r="D817" s="102" t="s">
        <v>1992</v>
      </c>
      <c r="E817" s="469">
        <f>Table6[[#This Row],[Date]]-DAY(Table6[[#This Row],[Date]])+1</f>
        <v>45778</v>
      </c>
      <c r="F817" s="470">
        <v>45799</v>
      </c>
      <c r="G817" s="35" t="s">
        <v>83</v>
      </c>
      <c r="H817" s="35" t="str">
        <f>IFERROR(_xlfn.XLOOKUP(Table6[[#This Row],[Affected WTG]],'Basic Data'!$A:$A,'Basic Data'!$B:$B),"")</f>
        <v>TQGXIIPL</v>
      </c>
      <c r="I817" s="35" t="str">
        <f>IFERROR(_xlfn.XLOOKUP(Table6[[#This Row],[Affected WTG]],'Basic Data'!$A:$A,'Basic Data'!$C:$C),"")</f>
        <v>GEDA</v>
      </c>
      <c r="J817" s="471">
        <f>IFERROR(_xlfn.XLOOKUP(Table6[[#This Row],[Affected WTG]],'Basic Data'!$A:$A,'Basic Data'!$E:$E),"")</f>
        <v>3.846153846153845E-2</v>
      </c>
      <c r="K817" s="102">
        <v>3420</v>
      </c>
      <c r="L817" s="35" t="str">
        <f>IFERROR(_xlfn.XLOOKUP(Table6[[#This Row],[Error Code]],'Basic Data'!$AA:$AA,'Basic Data'!$AB:$AB),"Incorrect Error Code")</f>
        <v>UPS buffer time too short</v>
      </c>
      <c r="M817" s="35" t="s">
        <v>291</v>
      </c>
      <c r="N817" s="475"/>
      <c r="O817" s="476">
        <v>0.47430555555555554</v>
      </c>
      <c r="P817" s="476">
        <v>0.47430555555555554</v>
      </c>
      <c r="Q817" s="477">
        <v>0.49236111111111114</v>
      </c>
      <c r="R817" s="472">
        <f>IF(Table6[[#This Row],[Work Start TimeStamp]]="","",(Table6[[#This Row],[Work Start TimeStamp]]-Table6[[#This Row],[Fault Start TimeStamp]])*24)</f>
        <v>0</v>
      </c>
      <c r="S817" s="472">
        <f>(Table6[[#This Row],[Fault Clearance time]]-Table6[[#This Row],[Work Start TimeStamp]])*24</f>
        <v>0.43333333333333446</v>
      </c>
      <c r="T817" s="472">
        <f>(Table6[[#This Row],[Fault Clearance time]]-Table6[[#This Row],[Fault Start TimeStamp]])*24</f>
        <v>0.43333333333333446</v>
      </c>
      <c r="U817" s="35" t="s">
        <v>1886</v>
      </c>
      <c r="V817" s="102" t="s">
        <v>293</v>
      </c>
      <c r="W817" s="478">
        <f>IFERROR(Table6[[#This Row],[Breakdown Time]]*Table6[[#This Row],[Plant Equivalent Weightage]],"")</f>
        <v>1.6666666666666705E-2</v>
      </c>
      <c r="X817" s="473" t="s">
        <v>294</v>
      </c>
      <c r="Y817" s="474" t="s">
        <v>88</v>
      </c>
      <c r="Z817" s="102">
        <v>5244</v>
      </c>
      <c r="AA817" s="468">
        <f>(Table6[[#This Row],[Paired WTG Generation for loss calculation]]/24)*Table6[[#This Row],[Breakdown Time]]</f>
        <v>94.683333333333579</v>
      </c>
      <c r="AB817" s="102"/>
      <c r="AC817" s="35"/>
      <c r="AD817" s="35"/>
    </row>
    <row r="818" spans="1:30">
      <c r="A818" s="102">
        <f t="shared" si="13"/>
        <v>817</v>
      </c>
      <c r="B818" s="468">
        <f>YEAR(Table6[[#This Row],[Date]])+IF(MONTH(Table6[[#This Row],[Date]])&gt;=4,1,0)</f>
        <v>2026</v>
      </c>
      <c r="C818" s="102">
        <f>YEAR(Table6[[#This Row],[Date]])</f>
        <v>2025</v>
      </c>
      <c r="D818" s="102" t="s">
        <v>1992</v>
      </c>
      <c r="E818" s="469">
        <f>Table6[[#This Row],[Date]]-DAY(Table6[[#This Row],[Date]])+1</f>
        <v>45778</v>
      </c>
      <c r="F818" s="470">
        <v>45799</v>
      </c>
      <c r="G818" s="35" t="s">
        <v>85</v>
      </c>
      <c r="H818" s="35" t="str">
        <f>IFERROR(_xlfn.XLOOKUP(Table6[[#This Row],[Affected WTG]],'Basic Data'!$A:$A,'Basic Data'!$B:$B),"")</f>
        <v>TQGXIIPL</v>
      </c>
      <c r="I818" s="35" t="str">
        <f>IFERROR(_xlfn.XLOOKUP(Table6[[#This Row],[Affected WTG]],'Basic Data'!$A:$A,'Basic Data'!$C:$C),"")</f>
        <v>GEDA</v>
      </c>
      <c r="J818" s="471">
        <f>IFERROR(_xlfn.XLOOKUP(Table6[[#This Row],[Affected WTG]],'Basic Data'!$A:$A,'Basic Data'!$E:$E),"")</f>
        <v>3.846153846153845E-2</v>
      </c>
      <c r="K818" s="102">
        <v>3000</v>
      </c>
      <c r="L818" s="35" t="str">
        <f>IFERROR(_xlfn.XLOOKUP(Table6[[#This Row],[Error Code]],'Basic Data'!$AA:$AA,'Basic Data'!$AB:$AB),"Incorrect Error Code")</f>
        <v>Frequency converter not ready</v>
      </c>
      <c r="M818" s="35" t="s">
        <v>291</v>
      </c>
      <c r="N818" s="475"/>
      <c r="O818" s="476">
        <v>0.79236111111111107</v>
      </c>
      <c r="P818" s="476">
        <v>0.79236111111111107</v>
      </c>
      <c r="Q818" s="477">
        <v>0.8208333333333333</v>
      </c>
      <c r="R818" s="472">
        <f>IF(Table6[[#This Row],[Work Start TimeStamp]]="","",(Table6[[#This Row],[Work Start TimeStamp]]-Table6[[#This Row],[Fault Start TimeStamp]])*24)</f>
        <v>0</v>
      </c>
      <c r="S818" s="472">
        <f>(Table6[[#This Row],[Fault Clearance time]]-Table6[[#This Row],[Work Start TimeStamp]])*24</f>
        <v>0.68333333333333357</v>
      </c>
      <c r="T818" s="472">
        <f>(Table6[[#This Row],[Fault Clearance time]]-Table6[[#This Row],[Fault Start TimeStamp]])*24</f>
        <v>0.68333333333333357</v>
      </c>
      <c r="U818" s="35" t="s">
        <v>341</v>
      </c>
      <c r="V818" s="102" t="s">
        <v>293</v>
      </c>
      <c r="W818" s="478">
        <f>IFERROR(Table6[[#This Row],[Breakdown Time]]*Table6[[#This Row],[Plant Equivalent Weightage]],"")</f>
        <v>2.6282051282051282E-2</v>
      </c>
      <c r="X818" s="473" t="s">
        <v>294</v>
      </c>
      <c r="Y818" s="474" t="s">
        <v>87</v>
      </c>
      <c r="Z818" s="102">
        <v>4869</v>
      </c>
      <c r="AA818" s="468">
        <f>(Table6[[#This Row],[Paired WTG Generation for loss calculation]]/24)*Table6[[#This Row],[Breakdown Time]]</f>
        <v>138.63125000000005</v>
      </c>
      <c r="AB818" s="102"/>
      <c r="AC818" s="35"/>
      <c r="AD818" s="35"/>
    </row>
    <row r="819" spans="1:30">
      <c r="A819" s="102">
        <f t="shared" si="13"/>
        <v>818</v>
      </c>
      <c r="B819" s="468">
        <f>YEAR(Table6[[#This Row],[Date]])+IF(MONTH(Table6[[#This Row],[Date]])&gt;=4,1,0)</f>
        <v>2026</v>
      </c>
      <c r="C819" s="102">
        <f>YEAR(Table6[[#This Row],[Date]])</f>
        <v>2025</v>
      </c>
      <c r="D819" s="102" t="s">
        <v>1992</v>
      </c>
      <c r="E819" s="469">
        <f>Table6[[#This Row],[Date]]-DAY(Table6[[#This Row],[Date]])+1</f>
        <v>45778</v>
      </c>
      <c r="F819" s="470">
        <v>45799</v>
      </c>
      <c r="G819" s="35" t="s">
        <v>88</v>
      </c>
      <c r="H819" s="35" t="str">
        <f>IFERROR(_xlfn.XLOOKUP(Table6[[#This Row],[Affected WTG]],'Basic Data'!$A:$A,'Basic Data'!$B:$B),"")</f>
        <v>TQGXIIPL</v>
      </c>
      <c r="I819" s="35" t="str">
        <f>IFERROR(_xlfn.XLOOKUP(Table6[[#This Row],[Affected WTG]],'Basic Data'!$A:$A,'Basic Data'!$C:$C),"")</f>
        <v>GEDA</v>
      </c>
      <c r="J819" s="471">
        <f>IFERROR(_xlfn.XLOOKUP(Table6[[#This Row],[Affected WTG]],'Basic Data'!$A:$A,'Basic Data'!$E:$E),"")</f>
        <v>3.846153846153845E-2</v>
      </c>
      <c r="K819" s="102">
        <v>3420</v>
      </c>
      <c r="L819" s="35" t="str">
        <f>IFERROR(_xlfn.XLOOKUP(Table6[[#This Row],[Error Code]],'Basic Data'!$AA:$AA,'Basic Data'!$AB:$AB),"Incorrect Error Code")</f>
        <v>UPS buffer time too short</v>
      </c>
      <c r="M819" s="35" t="s">
        <v>291</v>
      </c>
      <c r="N819" s="475"/>
      <c r="O819" s="476">
        <v>0.47430555555555554</v>
      </c>
      <c r="P819" s="476">
        <v>0.47430555555555554</v>
      </c>
      <c r="Q819" s="477">
        <v>0.49236111111111114</v>
      </c>
      <c r="R819" s="472">
        <f>IF(Table6[[#This Row],[Work Start TimeStamp]]="","",(Table6[[#This Row],[Work Start TimeStamp]]-Table6[[#This Row],[Fault Start TimeStamp]])*24)</f>
        <v>0</v>
      </c>
      <c r="S819" s="472">
        <f>(Table6[[#This Row],[Fault Clearance time]]-Table6[[#This Row],[Work Start TimeStamp]])*24</f>
        <v>0.43333333333333446</v>
      </c>
      <c r="T819" s="472">
        <f>(Table6[[#This Row],[Fault Clearance time]]-Table6[[#This Row],[Fault Start TimeStamp]])*24</f>
        <v>0.43333333333333446</v>
      </c>
      <c r="U819" s="35" t="s">
        <v>1886</v>
      </c>
      <c r="V819" s="102" t="s">
        <v>293</v>
      </c>
      <c r="W819" s="478">
        <f>IFERROR(Table6[[#This Row],[Breakdown Time]]*Table6[[#This Row],[Plant Equivalent Weightage]],"")</f>
        <v>1.6666666666666705E-2</v>
      </c>
      <c r="X819" s="473" t="s">
        <v>294</v>
      </c>
      <c r="Y819" s="474" t="s">
        <v>83</v>
      </c>
      <c r="Z819" s="102">
        <v>4928</v>
      </c>
      <c r="AA819" s="468">
        <f>(Table6[[#This Row],[Paired WTG Generation for loss calculation]]/24)*Table6[[#This Row],[Breakdown Time]]</f>
        <v>88.977777777778016</v>
      </c>
      <c r="AB819" s="102"/>
      <c r="AC819" s="35"/>
      <c r="AD819" s="35"/>
    </row>
    <row r="820" spans="1:30">
      <c r="A820" s="102">
        <f t="shared" si="13"/>
        <v>819</v>
      </c>
      <c r="B820" s="468">
        <f>YEAR(Table6[[#This Row],[Date]])+IF(MONTH(Table6[[#This Row],[Date]])&gt;=4,1,0)</f>
        <v>2026</v>
      </c>
      <c r="C820" s="102">
        <f>YEAR(Table6[[#This Row],[Date]])</f>
        <v>2025</v>
      </c>
      <c r="D820" s="102" t="s">
        <v>1992</v>
      </c>
      <c r="E820" s="469">
        <f>Table6[[#This Row],[Date]]-DAY(Table6[[#This Row],[Date]])+1</f>
        <v>45778</v>
      </c>
      <c r="F820" s="470">
        <v>45799</v>
      </c>
      <c r="G820" s="35" t="s">
        <v>96</v>
      </c>
      <c r="H820" s="35" t="str">
        <f>IFERROR(_xlfn.XLOOKUP(Table6[[#This Row],[Affected WTG]],'Basic Data'!$A:$A,'Basic Data'!$B:$B),"")</f>
        <v>TQGXIIPL</v>
      </c>
      <c r="I820" s="35" t="str">
        <f>IFERROR(_xlfn.XLOOKUP(Table6[[#This Row],[Affected WTG]],'Basic Data'!$A:$A,'Basic Data'!$C:$C),"")</f>
        <v>GEDA</v>
      </c>
      <c r="J820" s="471">
        <f>IFERROR(_xlfn.XLOOKUP(Table6[[#This Row],[Affected WTG]],'Basic Data'!$A:$A,'Basic Data'!$E:$E),"")</f>
        <v>3.846153846153845E-2</v>
      </c>
      <c r="K820" s="102">
        <v>3000</v>
      </c>
      <c r="L820" s="35" t="str">
        <f>IFERROR(_xlfn.XLOOKUP(Table6[[#This Row],[Error Code]],'Basic Data'!$AA:$AA,'Basic Data'!$AB:$AB),"Incorrect Error Code")</f>
        <v>Frequency converter not ready</v>
      </c>
      <c r="M820" s="35" t="s">
        <v>291</v>
      </c>
      <c r="N820" s="475"/>
      <c r="O820" s="476">
        <v>0.79236111111111107</v>
      </c>
      <c r="P820" s="476">
        <v>0.79236111111111107</v>
      </c>
      <c r="Q820" s="477">
        <v>0.82430555555555551</v>
      </c>
      <c r="R820" s="472">
        <f>IF(Table6[[#This Row],[Work Start TimeStamp]]="","",(Table6[[#This Row],[Work Start TimeStamp]]-Table6[[#This Row],[Fault Start TimeStamp]])*24)</f>
        <v>0</v>
      </c>
      <c r="S820" s="472">
        <f>(Table6[[#This Row],[Fault Clearance time]]-Table6[[#This Row],[Work Start TimeStamp]])*24</f>
        <v>0.76666666666666661</v>
      </c>
      <c r="T820" s="472">
        <f>(Table6[[#This Row],[Fault Clearance time]]-Table6[[#This Row],[Fault Start TimeStamp]])*24</f>
        <v>0.76666666666666661</v>
      </c>
      <c r="U820" s="35" t="s">
        <v>341</v>
      </c>
      <c r="V820" s="102" t="s">
        <v>293</v>
      </c>
      <c r="W820" s="478">
        <f>IFERROR(Table6[[#This Row],[Breakdown Time]]*Table6[[#This Row],[Plant Equivalent Weightage]],"")</f>
        <v>2.9487179487179476E-2</v>
      </c>
      <c r="X820" s="473" t="s">
        <v>294</v>
      </c>
      <c r="Y820" s="474" t="s">
        <v>84</v>
      </c>
      <c r="Z820" s="102">
        <v>4947</v>
      </c>
      <c r="AA820" s="468">
        <f>(Table6[[#This Row],[Paired WTG Generation for loss calculation]]/24)*Table6[[#This Row],[Breakdown Time]]</f>
        <v>158.02916666666667</v>
      </c>
      <c r="AB820" s="102"/>
      <c r="AC820" s="35"/>
      <c r="AD820" s="35"/>
    </row>
    <row r="821" spans="1:30">
      <c r="A821" s="102">
        <f t="shared" si="13"/>
        <v>820</v>
      </c>
      <c r="B821" s="468">
        <f>YEAR(Table6[[#This Row],[Date]])+IF(MONTH(Table6[[#This Row],[Date]])&gt;=4,1,0)</f>
        <v>2026</v>
      </c>
      <c r="C821" s="102">
        <f>YEAR(Table6[[#This Row],[Date]])</f>
        <v>2025</v>
      </c>
      <c r="D821" s="102" t="s">
        <v>1992</v>
      </c>
      <c r="E821" s="469">
        <f>Table6[[#This Row],[Date]]-DAY(Table6[[#This Row],[Date]])+1</f>
        <v>45778</v>
      </c>
      <c r="F821" s="470">
        <v>45799</v>
      </c>
      <c r="G821" s="35" t="s">
        <v>98</v>
      </c>
      <c r="H821" s="35" t="str">
        <f>IFERROR(_xlfn.XLOOKUP(Table6[[#This Row],[Affected WTG]],'Basic Data'!$A:$A,'Basic Data'!$B:$B),"")</f>
        <v>TQGXIIPL</v>
      </c>
      <c r="I821" s="35" t="str">
        <f>IFERROR(_xlfn.XLOOKUP(Table6[[#This Row],[Affected WTG]],'Basic Data'!$A:$A,'Basic Data'!$C:$C),"")</f>
        <v>GEDA</v>
      </c>
      <c r="J821" s="471">
        <f>IFERROR(_xlfn.XLOOKUP(Table6[[#This Row],[Affected WTG]],'Basic Data'!$A:$A,'Basic Data'!$E:$E),"")</f>
        <v>3.846153846153845E-2</v>
      </c>
      <c r="K821" s="102">
        <v>3110</v>
      </c>
      <c r="L821" s="35" t="str">
        <f>IFERROR(_xlfn.XLOOKUP(Table6[[#This Row],[Error Code]],'Basic Data'!$AA:$AA,'Basic Data'!$AB:$AB),"Incorrect Error Code")</f>
        <v>Frequency converter error</v>
      </c>
      <c r="M821" s="35" t="s">
        <v>291</v>
      </c>
      <c r="N821" s="475"/>
      <c r="O821" s="476">
        <v>0.79236111111111107</v>
      </c>
      <c r="P821" s="476">
        <v>0.79236111111111107</v>
      </c>
      <c r="Q821" s="477">
        <v>0.82986111111111116</v>
      </c>
      <c r="R821" s="472">
        <f>IF(Table6[[#This Row],[Work Start TimeStamp]]="","",(Table6[[#This Row],[Work Start TimeStamp]]-Table6[[#This Row],[Fault Start TimeStamp]])*24)</f>
        <v>0</v>
      </c>
      <c r="S821" s="472">
        <f>(Table6[[#This Row],[Fault Clearance time]]-Table6[[#This Row],[Work Start TimeStamp]])*24</f>
        <v>0.90000000000000213</v>
      </c>
      <c r="T821" s="472">
        <f>(Table6[[#This Row],[Fault Clearance time]]-Table6[[#This Row],[Fault Start TimeStamp]])*24</f>
        <v>0.90000000000000213</v>
      </c>
      <c r="U821" s="35" t="s">
        <v>1858</v>
      </c>
      <c r="V821" s="102" t="s">
        <v>293</v>
      </c>
      <c r="W821" s="478">
        <f>IFERROR(Table6[[#This Row],[Breakdown Time]]*Table6[[#This Row],[Plant Equivalent Weightage]],"")</f>
        <v>3.4615384615384687E-2</v>
      </c>
      <c r="X821" s="473" t="s">
        <v>294</v>
      </c>
      <c r="Y821" s="474" t="s">
        <v>74</v>
      </c>
      <c r="Z821" s="102">
        <v>5325</v>
      </c>
      <c r="AA821" s="468">
        <f>(Table6[[#This Row],[Paired WTG Generation for loss calculation]]/24)*Table6[[#This Row],[Breakdown Time]]</f>
        <v>199.68750000000048</v>
      </c>
      <c r="AB821" s="102"/>
      <c r="AC821" s="35"/>
      <c r="AD821" s="35"/>
    </row>
    <row r="822" spans="1:30">
      <c r="A822" s="102">
        <f t="shared" si="13"/>
        <v>821</v>
      </c>
      <c r="B822" s="468">
        <f>YEAR(Table6[[#This Row],[Date]])+IF(MONTH(Table6[[#This Row],[Date]])&gt;=4,1,0)</f>
        <v>2026</v>
      </c>
      <c r="C822" s="102">
        <f>YEAR(Table6[[#This Row],[Date]])</f>
        <v>2025</v>
      </c>
      <c r="D822" s="102" t="s">
        <v>1992</v>
      </c>
      <c r="E822" s="469">
        <f>Table6[[#This Row],[Date]]-DAY(Table6[[#This Row],[Date]])+1</f>
        <v>45778</v>
      </c>
      <c r="F822" s="470">
        <v>45799</v>
      </c>
      <c r="G822" s="35" t="s">
        <v>99</v>
      </c>
      <c r="H822" s="35" t="str">
        <f>IFERROR(_xlfn.XLOOKUP(Table6[[#This Row],[Affected WTG]],'Basic Data'!$A:$A,'Basic Data'!$B:$B),"")</f>
        <v>TQGXIIPL</v>
      </c>
      <c r="I822" s="35" t="str">
        <f>IFERROR(_xlfn.XLOOKUP(Table6[[#This Row],[Affected WTG]],'Basic Data'!$A:$A,'Basic Data'!$C:$C),"")</f>
        <v>GEDA</v>
      </c>
      <c r="J822" s="471">
        <f>IFERROR(_xlfn.XLOOKUP(Table6[[#This Row],[Affected WTG]],'Basic Data'!$A:$A,'Basic Data'!$E:$E),"")</f>
        <v>3.846153846153845E-2</v>
      </c>
      <c r="K822" s="102">
        <v>3000</v>
      </c>
      <c r="L822" s="35" t="str">
        <f>IFERROR(_xlfn.XLOOKUP(Table6[[#This Row],[Error Code]],'Basic Data'!$AA:$AA,'Basic Data'!$AB:$AB),"Incorrect Error Code")</f>
        <v>Frequency converter not ready</v>
      </c>
      <c r="M822" s="35" t="s">
        <v>291</v>
      </c>
      <c r="N822" s="475"/>
      <c r="O822" s="476">
        <v>0.79236111111111107</v>
      </c>
      <c r="P822" s="476">
        <v>0.79236111111111107</v>
      </c>
      <c r="Q822" s="477">
        <v>0.82013888888888886</v>
      </c>
      <c r="R822" s="472">
        <f>IF(Table6[[#This Row],[Work Start TimeStamp]]="","",(Table6[[#This Row],[Work Start TimeStamp]]-Table6[[#This Row],[Fault Start TimeStamp]])*24)</f>
        <v>0</v>
      </c>
      <c r="S822" s="472">
        <f>(Table6[[#This Row],[Fault Clearance time]]-Table6[[#This Row],[Work Start TimeStamp]])*24</f>
        <v>0.66666666666666696</v>
      </c>
      <c r="T822" s="472">
        <f>(Table6[[#This Row],[Fault Clearance time]]-Table6[[#This Row],[Fault Start TimeStamp]])*24</f>
        <v>0.66666666666666696</v>
      </c>
      <c r="U822" s="35" t="s">
        <v>341</v>
      </c>
      <c r="V822" s="102" t="s">
        <v>293</v>
      </c>
      <c r="W822" s="478">
        <f>IFERROR(Table6[[#This Row],[Breakdown Time]]*Table6[[#This Row],[Plant Equivalent Weightage]],"")</f>
        <v>2.5641025641025644E-2</v>
      </c>
      <c r="X822" s="473" t="s">
        <v>294</v>
      </c>
      <c r="Y822" s="474" t="s">
        <v>74</v>
      </c>
      <c r="Z822" s="102">
        <v>5325</v>
      </c>
      <c r="AA822" s="468">
        <f>(Table6[[#This Row],[Paired WTG Generation for loss calculation]]/24)*Table6[[#This Row],[Breakdown Time]]</f>
        <v>147.91666666666674</v>
      </c>
      <c r="AB822" s="102"/>
      <c r="AC822" s="35"/>
      <c r="AD822" s="35"/>
    </row>
    <row r="823" spans="1:30">
      <c r="A823" s="102">
        <f t="shared" si="13"/>
        <v>822</v>
      </c>
      <c r="B823" s="468">
        <f>YEAR(Table6[[#This Row],[Date]])+IF(MONTH(Table6[[#This Row],[Date]])&gt;=4,1,0)</f>
        <v>2026</v>
      </c>
      <c r="C823" s="102">
        <f>YEAR(Table6[[#This Row],[Date]])</f>
        <v>2025</v>
      </c>
      <c r="D823" s="102" t="s">
        <v>1992</v>
      </c>
      <c r="E823" s="469">
        <f>Table6[[#This Row],[Date]]-DAY(Table6[[#This Row],[Date]])+1</f>
        <v>45778</v>
      </c>
      <c r="F823" s="470">
        <v>45800</v>
      </c>
      <c r="G823" s="35" t="s">
        <v>76</v>
      </c>
      <c r="H823" s="35" t="str">
        <f>IFERROR(_xlfn.XLOOKUP(Table6[[#This Row],[Affected WTG]],'Basic Data'!$A:$A,'Basic Data'!$B:$B),"")</f>
        <v>TQGXIIPL</v>
      </c>
      <c r="I823" s="35" t="str">
        <f>IFERROR(_xlfn.XLOOKUP(Table6[[#This Row],[Affected WTG]],'Basic Data'!$A:$A,'Basic Data'!$C:$C),"")</f>
        <v>GEDA</v>
      </c>
      <c r="J823" s="471">
        <f>IFERROR(_xlfn.XLOOKUP(Table6[[#This Row],[Affected WTG]],'Basic Data'!$A:$A,'Basic Data'!$E:$E),"")</f>
        <v>3.846153846153845E-2</v>
      </c>
      <c r="K823" s="102">
        <v>53</v>
      </c>
      <c r="L823" s="35" t="str">
        <f>IFERROR(_xlfn.XLOOKUP(Table6[[#This Row],[Error Code]],'Basic Data'!$AA:$AA,'Basic Data'!$AB:$AB),"Incorrect Error Code")</f>
        <v>Wind dir.dev. level 1</v>
      </c>
      <c r="M823" s="35" t="s">
        <v>292</v>
      </c>
      <c r="N823" s="475"/>
      <c r="O823" s="476">
        <v>0.72430555555555554</v>
      </c>
      <c r="P823" s="476">
        <v>0.72430555555555554</v>
      </c>
      <c r="Q823" s="477">
        <v>0.72638888888888886</v>
      </c>
      <c r="R823" s="472">
        <f>IF(Table6[[#This Row],[Work Start TimeStamp]]="","",(Table6[[#This Row],[Work Start TimeStamp]]-Table6[[#This Row],[Fault Start TimeStamp]])*24)</f>
        <v>0</v>
      </c>
      <c r="S823" s="472">
        <f>(Table6[[#This Row],[Fault Clearance time]]-Table6[[#This Row],[Work Start TimeStamp]])*24</f>
        <v>4.9999999999999822E-2</v>
      </c>
      <c r="T823" s="472">
        <f>(Table6[[#This Row],[Fault Clearance time]]-Table6[[#This Row],[Fault Start TimeStamp]])*24</f>
        <v>4.9999999999999822E-2</v>
      </c>
      <c r="U823" s="35" t="s">
        <v>346</v>
      </c>
      <c r="V823" s="102" t="s">
        <v>293</v>
      </c>
      <c r="W823" s="478">
        <f>IFERROR(Table6[[#This Row],[Breakdown Time]]*Table6[[#This Row],[Plant Equivalent Weightage]],"")</f>
        <v>1.9230769230769156E-3</v>
      </c>
      <c r="X823" s="473" t="s">
        <v>294</v>
      </c>
      <c r="Y823" s="474" t="s">
        <v>82</v>
      </c>
      <c r="Z823" s="102">
        <v>13305</v>
      </c>
      <c r="AA823" s="468">
        <f>(Table6[[#This Row],[Paired WTG Generation for loss calculation]]/24)*Table6[[#This Row],[Breakdown Time]]</f>
        <v>27.718749999999901</v>
      </c>
      <c r="AB823" s="102"/>
      <c r="AC823" s="35"/>
      <c r="AD823" s="35"/>
    </row>
    <row r="824" spans="1:30">
      <c r="A824" s="102">
        <f t="shared" si="13"/>
        <v>823</v>
      </c>
      <c r="B824" s="468">
        <f>YEAR(Table6[[#This Row],[Date]])+IF(MONTH(Table6[[#This Row],[Date]])&gt;=4,1,0)</f>
        <v>2026</v>
      </c>
      <c r="C824" s="102">
        <f>YEAR(Table6[[#This Row],[Date]])</f>
        <v>2025</v>
      </c>
      <c r="D824" s="102" t="s">
        <v>1992</v>
      </c>
      <c r="E824" s="469">
        <f>Table6[[#This Row],[Date]]-DAY(Table6[[#This Row],[Date]])+1</f>
        <v>45778</v>
      </c>
      <c r="F824" s="470">
        <v>45800</v>
      </c>
      <c r="G824" s="35" t="s">
        <v>81</v>
      </c>
      <c r="H824" s="35" t="str">
        <f>IFERROR(_xlfn.XLOOKUP(Table6[[#This Row],[Affected WTG]],'Basic Data'!$A:$A,'Basic Data'!$B:$B),"")</f>
        <v>TQGXIIPL</v>
      </c>
      <c r="I824" s="35" t="str">
        <f>IFERROR(_xlfn.XLOOKUP(Table6[[#This Row],[Affected WTG]],'Basic Data'!$A:$A,'Basic Data'!$C:$C),"")</f>
        <v>GEDA</v>
      </c>
      <c r="J824" s="471">
        <f>IFERROR(_xlfn.XLOOKUP(Table6[[#This Row],[Affected WTG]],'Basic Data'!$A:$A,'Basic Data'!$E:$E),"")</f>
        <v>3.846153846153845E-2</v>
      </c>
      <c r="K824" s="102">
        <v>3555</v>
      </c>
      <c r="L824" s="35" t="str">
        <f>IFERROR(_xlfn.XLOOKUP(Table6[[#This Row],[Error Code]],'Basic Data'!$AA:$AA,'Basic Data'!$AB:$AB),"Incorrect Error Code")</f>
        <v>Current asymmetry</v>
      </c>
      <c r="M824" s="35" t="s">
        <v>292</v>
      </c>
      <c r="N824" s="475"/>
      <c r="O824" s="476">
        <v>0.39166666666666666</v>
      </c>
      <c r="P824" s="476">
        <v>0.39166666666666666</v>
      </c>
      <c r="Q824" s="477">
        <v>0.39930555555555558</v>
      </c>
      <c r="R824" s="472">
        <f>IF(Table6[[#This Row],[Work Start TimeStamp]]="","",(Table6[[#This Row],[Work Start TimeStamp]]-Table6[[#This Row],[Fault Start TimeStamp]])*24)</f>
        <v>0</v>
      </c>
      <c r="S824" s="472">
        <f>(Table6[[#This Row],[Fault Clearance time]]-Table6[[#This Row],[Work Start TimeStamp]])*24</f>
        <v>0.18333333333333401</v>
      </c>
      <c r="T824" s="472">
        <f>(Table6[[#This Row],[Fault Clearance time]]-Table6[[#This Row],[Fault Start TimeStamp]])*24</f>
        <v>0.18333333333333401</v>
      </c>
      <c r="U824" s="35" t="s">
        <v>346</v>
      </c>
      <c r="V824" s="102" t="s">
        <v>293</v>
      </c>
      <c r="W824" s="478">
        <f>IFERROR(Table6[[#This Row],[Breakdown Time]]*Table6[[#This Row],[Plant Equivalent Weightage]],"")</f>
        <v>7.0512820512820757E-3</v>
      </c>
      <c r="X824" s="473" t="s">
        <v>294</v>
      </c>
      <c r="Y824" s="474" t="s">
        <v>99</v>
      </c>
      <c r="Z824" s="102">
        <v>12236</v>
      </c>
      <c r="AA824" s="468">
        <f>(Table6[[#This Row],[Paired WTG Generation for loss calculation]]/24)*Table6[[#This Row],[Breakdown Time]]</f>
        <v>93.46944444444479</v>
      </c>
      <c r="AB824" s="102"/>
      <c r="AC824" s="35"/>
      <c r="AD824" s="35"/>
    </row>
    <row r="825" spans="1:30">
      <c r="A825" s="102">
        <f t="shared" si="13"/>
        <v>824</v>
      </c>
      <c r="B825" s="468">
        <f>YEAR(Table6[[#This Row],[Date]])+IF(MONTH(Table6[[#This Row],[Date]])&gt;=4,1,0)</f>
        <v>2026</v>
      </c>
      <c r="C825" s="102">
        <f>YEAR(Table6[[#This Row],[Date]])</f>
        <v>2025</v>
      </c>
      <c r="D825" s="102" t="s">
        <v>1992</v>
      </c>
      <c r="E825" s="469">
        <f>Table6[[#This Row],[Date]]-DAY(Table6[[#This Row],[Date]])+1</f>
        <v>45778</v>
      </c>
      <c r="F825" s="470">
        <v>45800</v>
      </c>
      <c r="G825" s="35" t="s">
        <v>81</v>
      </c>
      <c r="H825" s="35" t="str">
        <f>IFERROR(_xlfn.XLOOKUP(Table6[[#This Row],[Affected WTG]],'Basic Data'!$A:$A,'Basic Data'!$B:$B),"")</f>
        <v>TQGXIIPL</v>
      </c>
      <c r="I825" s="35" t="str">
        <f>IFERROR(_xlfn.XLOOKUP(Table6[[#This Row],[Affected WTG]],'Basic Data'!$A:$A,'Basic Data'!$C:$C),"")</f>
        <v>GEDA</v>
      </c>
      <c r="J825" s="471">
        <f>IFERROR(_xlfn.XLOOKUP(Table6[[#This Row],[Affected WTG]],'Basic Data'!$A:$A,'Basic Data'!$E:$E),"")</f>
        <v>3.846153846153845E-2</v>
      </c>
      <c r="K825" s="102">
        <v>55</v>
      </c>
      <c r="L825" s="35" t="str">
        <f>IFERROR(_xlfn.XLOOKUP(Table6[[#This Row],[Error Code]],'Basic Data'!$AA:$AA,'Basic Data'!$AB:$AB),"Incorrect Error Code")</f>
        <v>WTG shut down</v>
      </c>
      <c r="M825" s="35" t="s">
        <v>330</v>
      </c>
      <c r="N825" s="475"/>
      <c r="O825" s="476">
        <v>0.73611111111111116</v>
      </c>
      <c r="P825" s="476">
        <v>0.73611111111111116</v>
      </c>
      <c r="Q825" s="477">
        <v>0.74791666666666667</v>
      </c>
      <c r="R825" s="472">
        <f>IF(Table6[[#This Row],[Work Start TimeStamp]]="","",(Table6[[#This Row],[Work Start TimeStamp]]-Table6[[#This Row],[Fault Start TimeStamp]])*24)</f>
        <v>0</v>
      </c>
      <c r="S825" s="472">
        <f>(Table6[[#This Row],[Fault Clearance time]]-Table6[[#This Row],[Work Start TimeStamp]])*24</f>
        <v>0.28333333333333233</v>
      </c>
      <c r="T825" s="472">
        <f>(Table6[[#This Row],[Fault Clearance time]]-Table6[[#This Row],[Fault Start TimeStamp]])*24</f>
        <v>0.28333333333333233</v>
      </c>
      <c r="U825" s="35" t="s">
        <v>1744</v>
      </c>
      <c r="V825" s="102" t="s">
        <v>293</v>
      </c>
      <c r="W825" s="478">
        <f>IFERROR(Table6[[#This Row],[Breakdown Time]]*Table6[[#This Row],[Plant Equivalent Weightage]],"")</f>
        <v>1.0897435897435855E-2</v>
      </c>
      <c r="X825" s="473" t="s">
        <v>294</v>
      </c>
      <c r="Y825" s="474" t="s">
        <v>99</v>
      </c>
      <c r="Z825" s="102">
        <v>12236</v>
      </c>
      <c r="AA825" s="468">
        <f>(Table6[[#This Row],[Paired WTG Generation for loss calculation]]/24)*Table6[[#This Row],[Breakdown Time]]</f>
        <v>144.45277777777727</v>
      </c>
      <c r="AB825" s="102"/>
      <c r="AC825" s="35"/>
      <c r="AD825" s="35"/>
    </row>
    <row r="826" spans="1:30">
      <c r="A826" s="102">
        <f t="shared" si="13"/>
        <v>825</v>
      </c>
      <c r="B826" s="468">
        <f>YEAR(Table6[[#This Row],[Date]])+IF(MONTH(Table6[[#This Row],[Date]])&gt;=4,1,0)</f>
        <v>2026</v>
      </c>
      <c r="C826" s="102">
        <f>YEAR(Table6[[#This Row],[Date]])</f>
        <v>2025</v>
      </c>
      <c r="D826" s="102" t="s">
        <v>1992</v>
      </c>
      <c r="E826" s="469">
        <f>Table6[[#This Row],[Date]]-DAY(Table6[[#This Row],[Date]])+1</f>
        <v>45778</v>
      </c>
      <c r="F826" s="470">
        <v>45800</v>
      </c>
      <c r="G826" s="35" t="s">
        <v>81</v>
      </c>
      <c r="H826" s="35" t="str">
        <f>IFERROR(_xlfn.XLOOKUP(Table6[[#This Row],[Affected WTG]],'Basic Data'!$A:$A,'Basic Data'!$B:$B),"")</f>
        <v>TQGXIIPL</v>
      </c>
      <c r="I826" s="35" t="str">
        <f>IFERROR(_xlfn.XLOOKUP(Table6[[#This Row],[Affected WTG]],'Basic Data'!$A:$A,'Basic Data'!$C:$C),"")</f>
        <v>GEDA</v>
      </c>
      <c r="J826" s="471">
        <f>IFERROR(_xlfn.XLOOKUP(Table6[[#This Row],[Affected WTG]],'Basic Data'!$A:$A,'Basic Data'!$E:$E),"")</f>
        <v>3.846153846153845E-2</v>
      </c>
      <c r="K826" s="102">
        <v>55</v>
      </c>
      <c r="L826" s="35" t="str">
        <f>IFERROR(_xlfn.XLOOKUP(Table6[[#This Row],[Error Code]],'Basic Data'!$AA:$AA,'Basic Data'!$AB:$AB),"Incorrect Error Code")</f>
        <v>WTG shut down</v>
      </c>
      <c r="M826" s="35" t="s">
        <v>330</v>
      </c>
      <c r="N826" s="475"/>
      <c r="O826" s="476">
        <v>0.80694444444444446</v>
      </c>
      <c r="P826" s="476">
        <v>0.80694444444444446</v>
      </c>
      <c r="Q826" s="477">
        <v>0.82152777777777775</v>
      </c>
      <c r="R826" s="472">
        <f>IF(Table6[[#This Row],[Work Start TimeStamp]]="","",(Table6[[#This Row],[Work Start TimeStamp]]-Table6[[#This Row],[Fault Start TimeStamp]])*24)</f>
        <v>0</v>
      </c>
      <c r="S826" s="472">
        <f>(Table6[[#This Row],[Fault Clearance time]]-Table6[[#This Row],[Work Start TimeStamp]])*24</f>
        <v>0.34999999999999876</v>
      </c>
      <c r="T826" s="472">
        <f>(Table6[[#This Row],[Fault Clearance time]]-Table6[[#This Row],[Fault Start TimeStamp]])*24</f>
        <v>0.34999999999999876</v>
      </c>
      <c r="U826" s="35" t="s">
        <v>1744</v>
      </c>
      <c r="V826" s="102" t="s">
        <v>293</v>
      </c>
      <c r="W826" s="478">
        <f>IFERROR(Table6[[#This Row],[Breakdown Time]]*Table6[[#This Row],[Plant Equivalent Weightage]],"")</f>
        <v>1.346153846153841E-2</v>
      </c>
      <c r="X826" s="473" t="s">
        <v>294</v>
      </c>
      <c r="Y826" s="474" t="s">
        <v>99</v>
      </c>
      <c r="Z826" s="102">
        <v>12236</v>
      </c>
      <c r="AA826" s="468">
        <f>(Table6[[#This Row],[Paired WTG Generation for loss calculation]]/24)*Table6[[#This Row],[Breakdown Time]]</f>
        <v>178.44166666666604</v>
      </c>
      <c r="AB826" s="102"/>
      <c r="AC826" s="35"/>
      <c r="AD826" s="35"/>
    </row>
    <row r="827" spans="1:30">
      <c r="A827" s="102">
        <f t="shared" si="13"/>
        <v>826</v>
      </c>
      <c r="B827" s="468">
        <f>YEAR(Table6[[#This Row],[Date]])+IF(MONTH(Table6[[#This Row],[Date]])&gt;=4,1,0)</f>
        <v>2026</v>
      </c>
      <c r="C827" s="102">
        <f>YEAR(Table6[[#This Row],[Date]])</f>
        <v>2025</v>
      </c>
      <c r="D827" s="102" t="s">
        <v>1992</v>
      </c>
      <c r="E827" s="469">
        <f>Table6[[#This Row],[Date]]-DAY(Table6[[#This Row],[Date]])+1</f>
        <v>45778</v>
      </c>
      <c r="F827" s="470">
        <v>45800</v>
      </c>
      <c r="G827" s="35" t="s">
        <v>83</v>
      </c>
      <c r="H827" s="35" t="str">
        <f>IFERROR(_xlfn.XLOOKUP(Table6[[#This Row],[Affected WTG]],'Basic Data'!$A:$A,'Basic Data'!$B:$B),"")</f>
        <v>TQGXIIPL</v>
      </c>
      <c r="I827" s="35" t="str">
        <f>IFERROR(_xlfn.XLOOKUP(Table6[[#This Row],[Affected WTG]],'Basic Data'!$A:$A,'Basic Data'!$C:$C),"")</f>
        <v>GEDA</v>
      </c>
      <c r="J827" s="471">
        <f>IFERROR(_xlfn.XLOOKUP(Table6[[#This Row],[Affected WTG]],'Basic Data'!$A:$A,'Basic Data'!$E:$E),"")</f>
        <v>3.846153846153845E-2</v>
      </c>
      <c r="K827" s="102">
        <v>1070</v>
      </c>
      <c r="L827" s="35" t="str">
        <f>IFERROR(_xlfn.XLOOKUP(Table6[[#This Row],[Error Code]],'Basic Data'!$AA:$AA,'Basic Data'!$AB:$AB),"Incorrect Error Code")</f>
        <v>Drive train monitor level 2</v>
      </c>
      <c r="M827" s="35" t="s">
        <v>292</v>
      </c>
      <c r="N827" s="475"/>
      <c r="O827" s="476">
        <v>0.72430555555555554</v>
      </c>
      <c r="P827" s="476">
        <v>0.72430555555555554</v>
      </c>
      <c r="Q827" s="477">
        <v>0.72499999999999998</v>
      </c>
      <c r="R827" s="472">
        <f>IF(Table6[[#This Row],[Work Start TimeStamp]]="","",(Table6[[#This Row],[Work Start TimeStamp]]-Table6[[#This Row],[Fault Start TimeStamp]])*24)</f>
        <v>0</v>
      </c>
      <c r="S827" s="472">
        <f>(Table6[[#This Row],[Fault Clearance time]]-Table6[[#This Row],[Work Start TimeStamp]])*24</f>
        <v>1.6666666666666607E-2</v>
      </c>
      <c r="T827" s="472">
        <f>(Table6[[#This Row],[Fault Clearance time]]-Table6[[#This Row],[Fault Start TimeStamp]])*24</f>
        <v>1.6666666666666607E-2</v>
      </c>
      <c r="U827" s="35" t="s">
        <v>346</v>
      </c>
      <c r="V827" s="102" t="s">
        <v>293</v>
      </c>
      <c r="W827" s="478">
        <f>IFERROR(Table6[[#This Row],[Breakdown Time]]*Table6[[#This Row],[Plant Equivalent Weightage]],"")</f>
        <v>6.4102564102563853E-4</v>
      </c>
      <c r="X827" s="473" t="s">
        <v>294</v>
      </c>
      <c r="Y827" s="474" t="s">
        <v>88</v>
      </c>
      <c r="Z827" s="102">
        <v>13871</v>
      </c>
      <c r="AA827" s="468">
        <f>(Table6[[#This Row],[Paired WTG Generation for loss calculation]]/24)*Table6[[#This Row],[Breakdown Time]]</f>
        <v>9.6326388888888559</v>
      </c>
      <c r="AB827" s="102"/>
      <c r="AC827" s="35"/>
      <c r="AD827" s="35"/>
    </row>
    <row r="828" spans="1:30">
      <c r="A828" s="102">
        <f t="shared" si="13"/>
        <v>827</v>
      </c>
      <c r="B828" s="468">
        <f>YEAR(Table6[[#This Row],[Date]])+IF(MONTH(Table6[[#This Row],[Date]])&gt;=4,1,0)</f>
        <v>2026</v>
      </c>
      <c r="C828" s="102">
        <f>YEAR(Table6[[#This Row],[Date]])</f>
        <v>2025</v>
      </c>
      <c r="D828" s="102" t="s">
        <v>1992</v>
      </c>
      <c r="E828" s="469">
        <f>Table6[[#This Row],[Date]]-DAY(Table6[[#This Row],[Date]])+1</f>
        <v>45778</v>
      </c>
      <c r="F828" s="470">
        <v>45800</v>
      </c>
      <c r="G828" s="35" t="s">
        <v>86</v>
      </c>
      <c r="H828" s="35" t="str">
        <f>IFERROR(_xlfn.XLOOKUP(Table6[[#This Row],[Affected WTG]],'Basic Data'!$A:$A,'Basic Data'!$B:$B),"")</f>
        <v>TQGXIIPL</v>
      </c>
      <c r="I828" s="35" t="str">
        <f>IFERROR(_xlfn.XLOOKUP(Table6[[#This Row],[Affected WTG]],'Basic Data'!$A:$A,'Basic Data'!$C:$C),"")</f>
        <v>GEDA</v>
      </c>
      <c r="J828" s="471">
        <f>IFERROR(_xlfn.XLOOKUP(Table6[[#This Row],[Affected WTG]],'Basic Data'!$A:$A,'Basic Data'!$E:$E),"")</f>
        <v>3.846153846153845E-2</v>
      </c>
      <c r="K828" s="102">
        <v>6130</v>
      </c>
      <c r="L828" s="35" t="str">
        <f>IFERROR(_xlfn.XLOOKUP(Table6[[#This Row],[Error Code]],'Basic Data'!$AA:$AA,'Basic Data'!$AB:$AB),"Incorrect Error Code")</f>
        <v>Yaw speed high</v>
      </c>
      <c r="M828" s="35" t="s">
        <v>292</v>
      </c>
      <c r="N828" s="475"/>
      <c r="O828" s="476">
        <v>0.82638888888888884</v>
      </c>
      <c r="P828" s="476">
        <v>0.82638888888888884</v>
      </c>
      <c r="Q828" s="477">
        <v>0.82777777777777772</v>
      </c>
      <c r="R828" s="472">
        <f>IF(Table6[[#This Row],[Work Start TimeStamp]]="","",(Table6[[#This Row],[Work Start TimeStamp]]-Table6[[#This Row],[Fault Start TimeStamp]])*24)</f>
        <v>0</v>
      </c>
      <c r="S828" s="472">
        <f>(Table6[[#This Row],[Fault Clearance time]]-Table6[[#This Row],[Work Start TimeStamp]])*24</f>
        <v>3.3333333333333215E-2</v>
      </c>
      <c r="T828" s="472">
        <f>(Table6[[#This Row],[Fault Clearance time]]-Table6[[#This Row],[Fault Start TimeStamp]])*24</f>
        <v>3.3333333333333215E-2</v>
      </c>
      <c r="U828" s="35" t="s">
        <v>346</v>
      </c>
      <c r="V828" s="102" t="s">
        <v>293</v>
      </c>
      <c r="W828" s="478">
        <f>IFERROR(Table6[[#This Row],[Breakdown Time]]*Table6[[#This Row],[Plant Equivalent Weightage]],"")</f>
        <v>1.2820512820512771E-3</v>
      </c>
      <c r="X828" s="473" t="s">
        <v>294</v>
      </c>
      <c r="Y828" s="474" t="s">
        <v>84</v>
      </c>
      <c r="Z828" s="102">
        <v>15506</v>
      </c>
      <c r="AA828" s="468">
        <f>(Table6[[#This Row],[Paired WTG Generation for loss calculation]]/24)*Table6[[#This Row],[Breakdown Time]]</f>
        <v>21.536111111111037</v>
      </c>
      <c r="AB828" s="102"/>
      <c r="AC828" s="35"/>
      <c r="AD828" s="35"/>
    </row>
    <row r="829" spans="1:30">
      <c r="A829" s="102">
        <f t="shared" si="13"/>
        <v>828</v>
      </c>
      <c r="B829" s="468">
        <f>YEAR(Table6[[#This Row],[Date]])+IF(MONTH(Table6[[#This Row],[Date]])&gt;=4,1,0)</f>
        <v>2026</v>
      </c>
      <c r="C829" s="102">
        <f>YEAR(Table6[[#This Row],[Date]])</f>
        <v>2025</v>
      </c>
      <c r="D829" s="102" t="s">
        <v>1992</v>
      </c>
      <c r="E829" s="469">
        <f>Table6[[#This Row],[Date]]-DAY(Table6[[#This Row],[Date]])+1</f>
        <v>45778</v>
      </c>
      <c r="F829" s="470">
        <v>45800</v>
      </c>
      <c r="G829" s="35" t="s">
        <v>88</v>
      </c>
      <c r="H829" s="35" t="str">
        <f>IFERROR(_xlfn.XLOOKUP(Table6[[#This Row],[Affected WTG]],'Basic Data'!$A:$A,'Basic Data'!$B:$B),"")</f>
        <v>TQGXIIPL</v>
      </c>
      <c r="I829" s="35" t="str">
        <f>IFERROR(_xlfn.XLOOKUP(Table6[[#This Row],[Affected WTG]],'Basic Data'!$A:$A,'Basic Data'!$C:$C),"")</f>
        <v>GEDA</v>
      </c>
      <c r="J829" s="471">
        <f>IFERROR(_xlfn.XLOOKUP(Table6[[#This Row],[Affected WTG]],'Basic Data'!$A:$A,'Basic Data'!$E:$E),"")</f>
        <v>3.846153846153845E-2</v>
      </c>
      <c r="K829" s="102">
        <v>3532</v>
      </c>
      <c r="L829" s="35" t="str">
        <f>IFERROR(_xlfn.XLOOKUP(Table6[[#This Row],[Error Code]],'Basic Data'!$AA:$AA,'Basic Data'!$AB:$AB),"Incorrect Error Code")</f>
        <v>Min. voltage cut in</v>
      </c>
      <c r="M829" s="35" t="s">
        <v>292</v>
      </c>
      <c r="N829" s="475"/>
      <c r="O829" s="476">
        <v>0.29930555555555555</v>
      </c>
      <c r="P829" s="476">
        <v>0.29930555555555555</v>
      </c>
      <c r="Q829" s="477">
        <v>0.3</v>
      </c>
      <c r="R829" s="472">
        <f>IF(Table6[[#This Row],[Work Start TimeStamp]]="","",(Table6[[#This Row],[Work Start TimeStamp]]-Table6[[#This Row],[Fault Start TimeStamp]])*24)</f>
        <v>0</v>
      </c>
      <c r="S829" s="472">
        <f>(Table6[[#This Row],[Fault Clearance time]]-Table6[[#This Row],[Work Start TimeStamp]])*24</f>
        <v>1.6666666666666607E-2</v>
      </c>
      <c r="T829" s="472">
        <f>(Table6[[#This Row],[Fault Clearance time]]-Table6[[#This Row],[Fault Start TimeStamp]])*24</f>
        <v>1.6666666666666607E-2</v>
      </c>
      <c r="U829" s="35" t="s">
        <v>346</v>
      </c>
      <c r="V829" s="102" t="s">
        <v>293</v>
      </c>
      <c r="W829" s="478">
        <f>IFERROR(Table6[[#This Row],[Breakdown Time]]*Table6[[#This Row],[Plant Equivalent Weightage]],"")</f>
        <v>6.4102564102563853E-4</v>
      </c>
      <c r="X829" s="473" t="s">
        <v>294</v>
      </c>
      <c r="Y829" s="474" t="s">
        <v>83</v>
      </c>
      <c r="Z829" s="102">
        <v>12638</v>
      </c>
      <c r="AA829" s="468">
        <f>(Table6[[#This Row],[Paired WTG Generation for loss calculation]]/24)*Table6[[#This Row],[Breakdown Time]]</f>
        <v>8.7763888888888584</v>
      </c>
      <c r="AB829" s="102"/>
      <c r="AC829" s="35"/>
      <c r="AD829" s="35"/>
    </row>
    <row r="830" spans="1:30">
      <c r="A830" s="102">
        <f t="shared" si="13"/>
        <v>829</v>
      </c>
      <c r="B830" s="468">
        <f>YEAR(Table6[[#This Row],[Date]])+IF(MONTH(Table6[[#This Row],[Date]])&gt;=4,1,0)</f>
        <v>2026</v>
      </c>
      <c r="C830" s="102">
        <f>YEAR(Table6[[#This Row],[Date]])</f>
        <v>2025</v>
      </c>
      <c r="D830" s="102" t="s">
        <v>1992</v>
      </c>
      <c r="E830" s="469">
        <f>Table6[[#This Row],[Date]]-DAY(Table6[[#This Row],[Date]])+1</f>
        <v>45778</v>
      </c>
      <c r="F830" s="470">
        <v>45800</v>
      </c>
      <c r="G830" s="35" t="s">
        <v>89</v>
      </c>
      <c r="H830" s="35" t="str">
        <f>IFERROR(_xlfn.XLOOKUP(Table6[[#This Row],[Affected WTG]],'Basic Data'!$A:$A,'Basic Data'!$B:$B),"")</f>
        <v>TQGXIIPL</v>
      </c>
      <c r="I830" s="35" t="str">
        <f>IFERROR(_xlfn.XLOOKUP(Table6[[#This Row],[Affected WTG]],'Basic Data'!$A:$A,'Basic Data'!$C:$C),"")</f>
        <v>GEDA</v>
      </c>
      <c r="J830" s="471">
        <f>IFERROR(_xlfn.XLOOKUP(Table6[[#This Row],[Affected WTG]],'Basic Data'!$A:$A,'Basic Data'!$E:$E),"")</f>
        <v>3.846153846153845E-2</v>
      </c>
      <c r="K830" s="102">
        <v>4960</v>
      </c>
      <c r="L830" s="35" t="str">
        <f>IFERROR(_xlfn.XLOOKUP(Table6[[#This Row],[Error Code]],'Basic Data'!$AA:$AA,'Basic Data'!$AB:$AB),"Incorrect Error Code")</f>
        <v>Tower oscillation YF</v>
      </c>
      <c r="M830" s="35" t="s">
        <v>291</v>
      </c>
      <c r="N830" s="475"/>
      <c r="O830" s="476">
        <v>0.8208333333333333</v>
      </c>
      <c r="P830" s="476">
        <v>0.8208333333333333</v>
      </c>
      <c r="Q830" s="477">
        <v>0.82361111111111107</v>
      </c>
      <c r="R830" s="472">
        <f>IF(Table6[[#This Row],[Work Start TimeStamp]]="","",(Table6[[#This Row],[Work Start TimeStamp]]-Table6[[#This Row],[Fault Start TimeStamp]])*24)</f>
        <v>0</v>
      </c>
      <c r="S830" s="472">
        <f>(Table6[[#This Row],[Fault Clearance time]]-Table6[[#This Row],[Work Start TimeStamp]])*24</f>
        <v>6.666666666666643E-2</v>
      </c>
      <c r="T830" s="472">
        <f>(Table6[[#This Row],[Fault Clearance time]]-Table6[[#This Row],[Fault Start TimeStamp]])*24</f>
        <v>6.666666666666643E-2</v>
      </c>
      <c r="U830" s="35" t="s">
        <v>344</v>
      </c>
      <c r="V830" s="102" t="s">
        <v>293</v>
      </c>
      <c r="W830" s="478">
        <f>IFERROR(Table6[[#This Row],[Breakdown Time]]*Table6[[#This Row],[Plant Equivalent Weightage]],"")</f>
        <v>2.5641025641025541E-3</v>
      </c>
      <c r="X830" s="473" t="s">
        <v>294</v>
      </c>
      <c r="Y830" s="474" t="s">
        <v>94</v>
      </c>
      <c r="Z830" s="102">
        <v>12398</v>
      </c>
      <c r="AA830" s="468">
        <f>(Table6[[#This Row],[Paired WTG Generation for loss calculation]]/24)*Table6[[#This Row],[Breakdown Time]]</f>
        <v>34.438888888888769</v>
      </c>
      <c r="AB830" s="102"/>
      <c r="AC830" s="35"/>
      <c r="AD830" s="35"/>
    </row>
    <row r="831" spans="1:30">
      <c r="A831" s="102">
        <f t="shared" si="13"/>
        <v>830</v>
      </c>
      <c r="B831" s="468">
        <f>YEAR(Table6[[#This Row],[Date]])+IF(MONTH(Table6[[#This Row],[Date]])&gt;=4,1,0)</f>
        <v>2026</v>
      </c>
      <c r="C831" s="102">
        <f>YEAR(Table6[[#This Row],[Date]])</f>
        <v>2025</v>
      </c>
      <c r="D831" s="102" t="s">
        <v>1992</v>
      </c>
      <c r="E831" s="469">
        <f>Table6[[#This Row],[Date]]-DAY(Table6[[#This Row],[Date]])+1</f>
        <v>45778</v>
      </c>
      <c r="F831" s="470">
        <v>45800</v>
      </c>
      <c r="G831" s="35" t="s">
        <v>90</v>
      </c>
      <c r="H831" s="35" t="str">
        <f>IFERROR(_xlfn.XLOOKUP(Table6[[#This Row],[Affected WTG]],'Basic Data'!$A:$A,'Basic Data'!$B:$B),"")</f>
        <v>TQGXIIPL</v>
      </c>
      <c r="I831" s="35" t="str">
        <f>IFERROR(_xlfn.XLOOKUP(Table6[[#This Row],[Affected WTG]],'Basic Data'!$A:$A,'Basic Data'!$C:$C),"")</f>
        <v>GEDA</v>
      </c>
      <c r="J831" s="471">
        <f>IFERROR(_xlfn.XLOOKUP(Table6[[#This Row],[Affected WTG]],'Basic Data'!$A:$A,'Basic Data'!$E:$E),"")</f>
        <v>3.846153846153845E-2</v>
      </c>
      <c r="K831" s="102">
        <v>3110</v>
      </c>
      <c r="L831" s="35" t="str">
        <f>IFERROR(_xlfn.XLOOKUP(Table6[[#This Row],[Error Code]],'Basic Data'!$AA:$AA,'Basic Data'!$AB:$AB),"Incorrect Error Code")</f>
        <v>Frequency converter error</v>
      </c>
      <c r="M831" s="35" t="s">
        <v>291</v>
      </c>
      <c r="N831" s="475"/>
      <c r="O831" s="476">
        <v>0.84652777777777777</v>
      </c>
      <c r="P831" s="476">
        <v>0.84652777777777777</v>
      </c>
      <c r="Q831" s="477">
        <v>0.84791666666666665</v>
      </c>
      <c r="R831" s="472">
        <f>IF(Table6[[#This Row],[Work Start TimeStamp]]="","",(Table6[[#This Row],[Work Start TimeStamp]]-Table6[[#This Row],[Fault Start TimeStamp]])*24)</f>
        <v>0</v>
      </c>
      <c r="S831" s="472">
        <f>(Table6[[#This Row],[Fault Clearance time]]-Table6[[#This Row],[Work Start TimeStamp]])*24</f>
        <v>3.3333333333333215E-2</v>
      </c>
      <c r="T831" s="472">
        <f>(Table6[[#This Row],[Fault Clearance time]]-Table6[[#This Row],[Fault Start TimeStamp]])*24</f>
        <v>3.3333333333333215E-2</v>
      </c>
      <c r="U831" s="35" t="s">
        <v>344</v>
      </c>
      <c r="V831" s="102" t="s">
        <v>293</v>
      </c>
      <c r="W831" s="478">
        <f>IFERROR(Table6[[#This Row],[Breakdown Time]]*Table6[[#This Row],[Plant Equivalent Weightage]],"")</f>
        <v>1.2820512820512771E-3</v>
      </c>
      <c r="X831" s="473" t="s">
        <v>294</v>
      </c>
      <c r="Y831" s="474" t="s">
        <v>95</v>
      </c>
      <c r="Z831" s="102">
        <v>14801</v>
      </c>
      <c r="AA831" s="468">
        <f>(Table6[[#This Row],[Paired WTG Generation for loss calculation]]/24)*Table6[[#This Row],[Breakdown Time]]</f>
        <v>20.556944444444373</v>
      </c>
      <c r="AB831" s="102"/>
      <c r="AC831" s="35"/>
      <c r="AD831" s="35"/>
    </row>
    <row r="832" spans="1:30">
      <c r="A832" s="102">
        <f t="shared" si="13"/>
        <v>831</v>
      </c>
      <c r="B832" s="468">
        <f>YEAR(Table6[[#This Row],[Date]])+IF(MONTH(Table6[[#This Row],[Date]])&gt;=4,1,0)</f>
        <v>2026</v>
      </c>
      <c r="C832" s="102">
        <f>YEAR(Table6[[#This Row],[Date]])</f>
        <v>2025</v>
      </c>
      <c r="D832" s="102" t="s">
        <v>1992</v>
      </c>
      <c r="E832" s="469">
        <f>Table6[[#This Row],[Date]]-DAY(Table6[[#This Row],[Date]])+1</f>
        <v>45778</v>
      </c>
      <c r="F832" s="470">
        <v>45800</v>
      </c>
      <c r="G832" s="35" t="s">
        <v>91</v>
      </c>
      <c r="H832" s="35" t="str">
        <f>IFERROR(_xlfn.XLOOKUP(Table6[[#This Row],[Affected WTG]],'Basic Data'!$A:$A,'Basic Data'!$B:$B),"")</f>
        <v>TQGXIIPL</v>
      </c>
      <c r="I832" s="35" t="str">
        <f>IFERROR(_xlfn.XLOOKUP(Table6[[#This Row],[Affected WTG]],'Basic Data'!$A:$A,'Basic Data'!$C:$C),"")</f>
        <v>GEDA</v>
      </c>
      <c r="J832" s="471">
        <f>IFERROR(_xlfn.XLOOKUP(Table6[[#This Row],[Affected WTG]],'Basic Data'!$A:$A,'Basic Data'!$E:$E),"")</f>
        <v>3.846153846153845E-2</v>
      </c>
      <c r="K832" s="102">
        <v>58</v>
      </c>
      <c r="L832" s="35" t="str">
        <f>IFERROR(_xlfn.XLOOKUP(Table6[[#This Row],[Error Code]],'Basic Data'!$AA:$AA,'Basic Data'!$AB:$AB),"Incorrect Error Code")</f>
        <v>Wind dir.dev. level 2</v>
      </c>
      <c r="M832" s="35" t="s">
        <v>292</v>
      </c>
      <c r="N832" s="475"/>
      <c r="O832" s="476">
        <v>0.71388888888888891</v>
      </c>
      <c r="P832" s="476">
        <v>0.71388888888888891</v>
      </c>
      <c r="Q832" s="477">
        <v>0.71527777777777779</v>
      </c>
      <c r="R832" s="472">
        <f>IF(Table6[[#This Row],[Work Start TimeStamp]]="","",(Table6[[#This Row],[Work Start TimeStamp]]-Table6[[#This Row],[Fault Start TimeStamp]])*24)</f>
        <v>0</v>
      </c>
      <c r="S832" s="472">
        <f>(Table6[[#This Row],[Fault Clearance time]]-Table6[[#This Row],[Work Start TimeStamp]])*24</f>
        <v>3.3333333333333215E-2</v>
      </c>
      <c r="T832" s="472">
        <f>(Table6[[#This Row],[Fault Clearance time]]-Table6[[#This Row],[Fault Start TimeStamp]])*24</f>
        <v>3.3333333333333215E-2</v>
      </c>
      <c r="U832" s="35" t="s">
        <v>346</v>
      </c>
      <c r="V832" s="102" t="s">
        <v>293</v>
      </c>
      <c r="W832" s="478">
        <f>IFERROR(Table6[[#This Row],[Breakdown Time]]*Table6[[#This Row],[Plant Equivalent Weightage]],"")</f>
        <v>1.2820512820512771E-3</v>
      </c>
      <c r="X832" s="473" t="s">
        <v>294</v>
      </c>
      <c r="Y832" s="474" t="s">
        <v>79</v>
      </c>
      <c r="Z832" s="102">
        <v>14664</v>
      </c>
      <c r="AA832" s="468">
        <f>(Table6[[#This Row],[Paired WTG Generation for loss calculation]]/24)*Table6[[#This Row],[Breakdown Time]]</f>
        <v>20.366666666666596</v>
      </c>
      <c r="AB832" s="102"/>
      <c r="AC832" s="35"/>
      <c r="AD832" s="35"/>
    </row>
    <row r="833" spans="1:30">
      <c r="A833" s="102">
        <f t="shared" si="13"/>
        <v>832</v>
      </c>
      <c r="B833" s="468">
        <f>YEAR(Table6[[#This Row],[Date]])+IF(MONTH(Table6[[#This Row],[Date]])&gt;=4,1,0)</f>
        <v>2026</v>
      </c>
      <c r="C833" s="102">
        <f>YEAR(Table6[[#This Row],[Date]])</f>
        <v>2025</v>
      </c>
      <c r="D833" s="102" t="s">
        <v>1992</v>
      </c>
      <c r="E833" s="469">
        <f>Table6[[#This Row],[Date]]-DAY(Table6[[#This Row],[Date]])+1</f>
        <v>45778</v>
      </c>
      <c r="F833" s="470">
        <v>45800</v>
      </c>
      <c r="G833" s="35" t="s">
        <v>92</v>
      </c>
      <c r="H833" s="35" t="str">
        <f>IFERROR(_xlfn.XLOOKUP(Table6[[#This Row],[Affected WTG]],'Basic Data'!$A:$A,'Basic Data'!$B:$B),"")</f>
        <v>TQGXIIPL</v>
      </c>
      <c r="I833" s="35" t="str">
        <f>IFERROR(_xlfn.XLOOKUP(Table6[[#This Row],[Affected WTG]],'Basic Data'!$A:$A,'Basic Data'!$C:$C),"")</f>
        <v>GEDA</v>
      </c>
      <c r="J833" s="471">
        <f>IFERROR(_xlfn.XLOOKUP(Table6[[#This Row],[Affected WTG]],'Basic Data'!$A:$A,'Basic Data'!$E:$E),"")</f>
        <v>3.846153846153845E-2</v>
      </c>
      <c r="K833" s="102">
        <v>4960</v>
      </c>
      <c r="L833" s="35" t="str">
        <f>IFERROR(_xlfn.XLOOKUP(Table6[[#This Row],[Error Code]],'Basic Data'!$AA:$AA,'Basic Data'!$AB:$AB),"Incorrect Error Code")</f>
        <v>Tower oscillation YF</v>
      </c>
      <c r="M833" s="35" t="s">
        <v>292</v>
      </c>
      <c r="N833" s="475"/>
      <c r="O833" s="476">
        <v>0.82430555555555551</v>
      </c>
      <c r="P833" s="476">
        <v>0.82430555555555551</v>
      </c>
      <c r="Q833" s="477">
        <v>0.82638888888888884</v>
      </c>
      <c r="R833" s="472">
        <f>IF(Table6[[#This Row],[Work Start TimeStamp]]="","",(Table6[[#This Row],[Work Start TimeStamp]]-Table6[[#This Row],[Fault Start TimeStamp]])*24)</f>
        <v>0</v>
      </c>
      <c r="S833" s="472">
        <f>(Table6[[#This Row],[Fault Clearance time]]-Table6[[#This Row],[Work Start TimeStamp]])*24</f>
        <v>4.9999999999999822E-2</v>
      </c>
      <c r="T833" s="472">
        <f>(Table6[[#This Row],[Fault Clearance time]]-Table6[[#This Row],[Fault Start TimeStamp]])*24</f>
        <v>4.9999999999999822E-2</v>
      </c>
      <c r="U833" s="35" t="s">
        <v>346</v>
      </c>
      <c r="V833" s="102" t="s">
        <v>293</v>
      </c>
      <c r="W833" s="478">
        <f>IFERROR(Table6[[#This Row],[Breakdown Time]]*Table6[[#This Row],[Plant Equivalent Weightage]],"")</f>
        <v>1.9230769230769156E-3</v>
      </c>
      <c r="X833" s="473" t="s">
        <v>294</v>
      </c>
      <c r="Y833" s="474" t="s">
        <v>80</v>
      </c>
      <c r="Z833" s="102">
        <v>12284</v>
      </c>
      <c r="AA833" s="468">
        <f>(Table6[[#This Row],[Paired WTG Generation for loss calculation]]/24)*Table6[[#This Row],[Breakdown Time]]</f>
        <v>25.591666666666576</v>
      </c>
      <c r="AB833" s="102"/>
      <c r="AC833" s="35"/>
      <c r="AD833" s="35"/>
    </row>
    <row r="834" spans="1:30">
      <c r="A834" s="102">
        <f t="shared" si="13"/>
        <v>833</v>
      </c>
      <c r="B834" s="468">
        <f>YEAR(Table6[[#This Row],[Date]])+IF(MONTH(Table6[[#This Row],[Date]])&gt;=4,1,0)</f>
        <v>2026</v>
      </c>
      <c r="C834" s="102">
        <f>YEAR(Table6[[#This Row],[Date]])</f>
        <v>2025</v>
      </c>
      <c r="D834" s="102" t="s">
        <v>1992</v>
      </c>
      <c r="E834" s="469">
        <f>Table6[[#This Row],[Date]]-DAY(Table6[[#This Row],[Date]])+1</f>
        <v>45778</v>
      </c>
      <c r="F834" s="470">
        <v>45800</v>
      </c>
      <c r="G834" s="35" t="s">
        <v>95</v>
      </c>
      <c r="H834" s="35" t="str">
        <f>IFERROR(_xlfn.XLOOKUP(Table6[[#This Row],[Affected WTG]],'Basic Data'!$A:$A,'Basic Data'!$B:$B),"")</f>
        <v>TQGXIIPL</v>
      </c>
      <c r="I834" s="35" t="str">
        <f>IFERROR(_xlfn.XLOOKUP(Table6[[#This Row],[Affected WTG]],'Basic Data'!$A:$A,'Basic Data'!$C:$C),"")</f>
        <v>GEDA</v>
      </c>
      <c r="J834" s="471">
        <f>IFERROR(_xlfn.XLOOKUP(Table6[[#This Row],[Affected WTG]],'Basic Data'!$A:$A,'Basic Data'!$E:$E),"")</f>
        <v>3.846153846153845E-2</v>
      </c>
      <c r="K834" s="102">
        <v>3110</v>
      </c>
      <c r="L834" s="35" t="str">
        <f>IFERROR(_xlfn.XLOOKUP(Table6[[#This Row],[Error Code]],'Basic Data'!$AA:$AA,'Basic Data'!$AB:$AB),"Incorrect Error Code")</f>
        <v>Frequency converter error</v>
      </c>
      <c r="M834" s="35" t="s">
        <v>291</v>
      </c>
      <c r="N834" s="475"/>
      <c r="O834" s="476">
        <v>0.73055555555555551</v>
      </c>
      <c r="P834" s="476">
        <v>0.73055555555555551</v>
      </c>
      <c r="Q834" s="477">
        <v>0.7319444444444444</v>
      </c>
      <c r="R834" s="472">
        <f>IF(Table6[[#This Row],[Work Start TimeStamp]]="","",(Table6[[#This Row],[Work Start TimeStamp]]-Table6[[#This Row],[Fault Start TimeStamp]])*24)</f>
        <v>0</v>
      </c>
      <c r="S834" s="472">
        <f>(Table6[[#This Row],[Fault Clearance time]]-Table6[[#This Row],[Work Start TimeStamp]])*24</f>
        <v>3.3333333333333215E-2</v>
      </c>
      <c r="T834" s="472">
        <f>(Table6[[#This Row],[Fault Clearance time]]-Table6[[#This Row],[Fault Start TimeStamp]])*24</f>
        <v>3.3333333333333215E-2</v>
      </c>
      <c r="U834" s="35" t="s">
        <v>344</v>
      </c>
      <c r="V834" s="102" t="s">
        <v>293</v>
      </c>
      <c r="W834" s="478">
        <f>IFERROR(Table6[[#This Row],[Breakdown Time]]*Table6[[#This Row],[Plant Equivalent Weightage]],"")</f>
        <v>1.2820512820512771E-3</v>
      </c>
      <c r="X834" s="473" t="s">
        <v>294</v>
      </c>
      <c r="Y834" s="474" t="s">
        <v>79</v>
      </c>
      <c r="Z834" s="102">
        <v>14664</v>
      </c>
      <c r="AA834" s="468">
        <f>(Table6[[#This Row],[Paired WTG Generation for loss calculation]]/24)*Table6[[#This Row],[Breakdown Time]]</f>
        <v>20.366666666666596</v>
      </c>
      <c r="AB834" s="102"/>
      <c r="AC834" s="35"/>
      <c r="AD834" s="35"/>
    </row>
    <row r="835" spans="1:30">
      <c r="A835" s="102">
        <f t="shared" si="13"/>
        <v>834</v>
      </c>
      <c r="B835" s="468">
        <f>YEAR(Table6[[#This Row],[Date]])+IF(MONTH(Table6[[#This Row],[Date]])&gt;=4,1,0)</f>
        <v>2026</v>
      </c>
      <c r="C835" s="102">
        <f>YEAR(Table6[[#This Row],[Date]])</f>
        <v>2025</v>
      </c>
      <c r="D835" s="102" t="s">
        <v>1992</v>
      </c>
      <c r="E835" s="469">
        <f>Table6[[#This Row],[Date]]-DAY(Table6[[#This Row],[Date]])+1</f>
        <v>45778</v>
      </c>
      <c r="F835" s="470">
        <v>45800</v>
      </c>
      <c r="G835" s="35" t="s">
        <v>98</v>
      </c>
      <c r="H835" s="35" t="str">
        <f>IFERROR(_xlfn.XLOOKUP(Table6[[#This Row],[Affected WTG]],'Basic Data'!$A:$A,'Basic Data'!$B:$B),"")</f>
        <v>TQGXIIPL</v>
      </c>
      <c r="I835" s="35" t="str">
        <f>IFERROR(_xlfn.XLOOKUP(Table6[[#This Row],[Affected WTG]],'Basic Data'!$A:$A,'Basic Data'!$C:$C),"")</f>
        <v>GEDA</v>
      </c>
      <c r="J835" s="471">
        <f>IFERROR(_xlfn.XLOOKUP(Table6[[#This Row],[Affected WTG]],'Basic Data'!$A:$A,'Basic Data'!$E:$E),"")</f>
        <v>3.846153846153845E-2</v>
      </c>
      <c r="K835" s="102">
        <v>55</v>
      </c>
      <c r="L835" s="35" t="str">
        <f>IFERROR(_xlfn.XLOOKUP(Table6[[#This Row],[Error Code]],'Basic Data'!$AA:$AA,'Basic Data'!$AB:$AB),"Incorrect Error Code")</f>
        <v>WTG shut down</v>
      </c>
      <c r="M835" s="35" t="s">
        <v>330</v>
      </c>
      <c r="N835" s="475"/>
      <c r="O835" s="476">
        <v>0.73541666666666672</v>
      </c>
      <c r="P835" s="476">
        <v>0.73541666666666672</v>
      </c>
      <c r="Q835" s="477">
        <v>0.74791666666666667</v>
      </c>
      <c r="R835" s="472">
        <f>IF(Table6[[#This Row],[Work Start TimeStamp]]="","",(Table6[[#This Row],[Work Start TimeStamp]]-Table6[[#This Row],[Fault Start TimeStamp]])*24)</f>
        <v>0</v>
      </c>
      <c r="S835" s="472">
        <f>(Table6[[#This Row],[Fault Clearance time]]-Table6[[#This Row],[Work Start TimeStamp]])*24</f>
        <v>0.29999999999999893</v>
      </c>
      <c r="T835" s="472">
        <f>(Table6[[#This Row],[Fault Clearance time]]-Table6[[#This Row],[Fault Start TimeStamp]])*24</f>
        <v>0.29999999999999893</v>
      </c>
      <c r="U835" s="35" t="s">
        <v>1744</v>
      </c>
      <c r="V835" s="102" t="s">
        <v>293</v>
      </c>
      <c r="W835" s="478">
        <f>IFERROR(Table6[[#This Row],[Breakdown Time]]*Table6[[#This Row],[Plant Equivalent Weightage]],"")</f>
        <v>1.1538461538461494E-2</v>
      </c>
      <c r="X835" s="473" t="s">
        <v>294</v>
      </c>
      <c r="Y835" s="474" t="s">
        <v>74</v>
      </c>
      <c r="Z835" s="102">
        <v>13668</v>
      </c>
      <c r="AA835" s="468">
        <f>(Table6[[#This Row],[Paired WTG Generation for loss calculation]]/24)*Table6[[#This Row],[Breakdown Time]]</f>
        <v>170.8499999999994</v>
      </c>
      <c r="AB835" s="102"/>
      <c r="AC835" s="35"/>
      <c r="AD835" s="35"/>
    </row>
    <row r="836" spans="1:30">
      <c r="A836" s="102">
        <f t="shared" si="13"/>
        <v>835</v>
      </c>
      <c r="B836" s="468">
        <f>YEAR(Table6[[#This Row],[Date]])+IF(MONTH(Table6[[#This Row],[Date]])&gt;=4,1,0)</f>
        <v>2026</v>
      </c>
      <c r="C836" s="102">
        <f>YEAR(Table6[[#This Row],[Date]])</f>
        <v>2025</v>
      </c>
      <c r="D836" s="102" t="s">
        <v>1992</v>
      </c>
      <c r="E836" s="469">
        <f>Table6[[#This Row],[Date]]-DAY(Table6[[#This Row],[Date]])+1</f>
        <v>45778</v>
      </c>
      <c r="F836" s="470">
        <v>45800</v>
      </c>
      <c r="G836" s="35" t="s">
        <v>98</v>
      </c>
      <c r="H836" s="35" t="str">
        <f>IFERROR(_xlfn.XLOOKUP(Table6[[#This Row],[Affected WTG]],'Basic Data'!$A:$A,'Basic Data'!$B:$B),"")</f>
        <v>TQGXIIPL</v>
      </c>
      <c r="I836" s="35" t="str">
        <f>IFERROR(_xlfn.XLOOKUP(Table6[[#This Row],[Affected WTG]],'Basic Data'!$A:$A,'Basic Data'!$C:$C),"")</f>
        <v>GEDA</v>
      </c>
      <c r="J836" s="471">
        <f>IFERROR(_xlfn.XLOOKUP(Table6[[#This Row],[Affected WTG]],'Basic Data'!$A:$A,'Basic Data'!$E:$E),"")</f>
        <v>3.846153846153845E-2</v>
      </c>
      <c r="K836" s="102">
        <v>55</v>
      </c>
      <c r="L836" s="35" t="str">
        <f>IFERROR(_xlfn.XLOOKUP(Table6[[#This Row],[Error Code]],'Basic Data'!$AA:$AA,'Basic Data'!$AB:$AB),"Incorrect Error Code")</f>
        <v>WTG shut down</v>
      </c>
      <c r="M836" s="35" t="s">
        <v>330</v>
      </c>
      <c r="N836" s="475"/>
      <c r="O836" s="476">
        <v>0.80555555555555558</v>
      </c>
      <c r="P836" s="476">
        <v>0.80555555555555558</v>
      </c>
      <c r="Q836" s="477">
        <v>0.82222222222222219</v>
      </c>
      <c r="R836" s="472">
        <f>IF(Table6[[#This Row],[Work Start TimeStamp]]="","",(Table6[[#This Row],[Work Start TimeStamp]]-Table6[[#This Row],[Fault Start TimeStamp]])*24)</f>
        <v>0</v>
      </c>
      <c r="S836" s="472">
        <f>(Table6[[#This Row],[Fault Clearance time]]-Table6[[#This Row],[Work Start TimeStamp]])*24</f>
        <v>0.39999999999999858</v>
      </c>
      <c r="T836" s="472">
        <f>(Table6[[#This Row],[Fault Clearance time]]-Table6[[#This Row],[Fault Start TimeStamp]])*24</f>
        <v>0.39999999999999858</v>
      </c>
      <c r="U836" s="35" t="s">
        <v>1744</v>
      </c>
      <c r="V836" s="102" t="s">
        <v>293</v>
      </c>
      <c r="W836" s="478">
        <f>IFERROR(Table6[[#This Row],[Breakdown Time]]*Table6[[#This Row],[Plant Equivalent Weightage]],"")</f>
        <v>1.5384615384615325E-2</v>
      </c>
      <c r="X836" s="473" t="s">
        <v>294</v>
      </c>
      <c r="Y836" s="474" t="s">
        <v>74</v>
      </c>
      <c r="Z836" s="102">
        <v>13668</v>
      </c>
      <c r="AA836" s="468">
        <f>(Table6[[#This Row],[Paired WTG Generation for loss calculation]]/24)*Table6[[#This Row],[Breakdown Time]]</f>
        <v>227.79999999999919</v>
      </c>
      <c r="AB836" s="102"/>
      <c r="AC836" s="35"/>
      <c r="AD836" s="35"/>
    </row>
    <row r="837" spans="1:30">
      <c r="A837" s="102">
        <f t="shared" si="13"/>
        <v>836</v>
      </c>
      <c r="B837" s="468">
        <f>YEAR(Table6[[#This Row],[Date]])+IF(MONTH(Table6[[#This Row],[Date]])&gt;=4,1,0)</f>
        <v>2026</v>
      </c>
      <c r="C837" s="102">
        <f>YEAR(Table6[[#This Row],[Date]])</f>
        <v>2025</v>
      </c>
      <c r="D837" s="102" t="s">
        <v>1992</v>
      </c>
      <c r="E837" s="469">
        <f>Table6[[#This Row],[Date]]-DAY(Table6[[#This Row],[Date]])+1</f>
        <v>45778</v>
      </c>
      <c r="F837" s="470">
        <v>45801</v>
      </c>
      <c r="G837" s="35" t="s">
        <v>75</v>
      </c>
      <c r="H837" s="35" t="str">
        <f>IFERROR(_xlfn.XLOOKUP(Table6[[#This Row],[Affected WTG]],'Basic Data'!$A:$A,'Basic Data'!$B:$B),"")</f>
        <v>TQGXIIPL</v>
      </c>
      <c r="I837" s="35" t="str">
        <f>IFERROR(_xlfn.XLOOKUP(Table6[[#This Row],[Affected WTG]],'Basic Data'!$A:$A,'Basic Data'!$C:$C),"")</f>
        <v>GEDA</v>
      </c>
      <c r="J837" s="471">
        <f>IFERROR(_xlfn.XLOOKUP(Table6[[#This Row],[Affected WTG]],'Basic Data'!$A:$A,'Basic Data'!$E:$E),"")</f>
        <v>3.846153846153845E-2</v>
      </c>
      <c r="K837" s="102">
        <v>3000</v>
      </c>
      <c r="L837" s="35" t="str">
        <f>IFERROR(_xlfn.XLOOKUP(Table6[[#This Row],[Error Code]],'Basic Data'!$AA:$AA,'Basic Data'!$AB:$AB),"Incorrect Error Code")</f>
        <v>Frequency converter not ready</v>
      </c>
      <c r="M837" s="35" t="s">
        <v>291</v>
      </c>
      <c r="N837" s="475"/>
      <c r="O837" s="476">
        <v>0.76944444444444449</v>
      </c>
      <c r="P837" s="476">
        <v>0.76944444444444449</v>
      </c>
      <c r="Q837" s="477">
        <v>0.79722222222222228</v>
      </c>
      <c r="R837" s="472">
        <f>IF(Table6[[#This Row],[Work Start TimeStamp]]="","",(Table6[[#This Row],[Work Start TimeStamp]]-Table6[[#This Row],[Fault Start TimeStamp]])*24)</f>
        <v>0</v>
      </c>
      <c r="S837" s="472">
        <f>(Table6[[#This Row],[Fault Clearance time]]-Table6[[#This Row],[Work Start TimeStamp]])*24</f>
        <v>0.66666666666666696</v>
      </c>
      <c r="T837" s="472">
        <f>(Table6[[#This Row],[Fault Clearance time]]-Table6[[#This Row],[Fault Start TimeStamp]])*24</f>
        <v>0.66666666666666696</v>
      </c>
      <c r="U837" s="35" t="s">
        <v>341</v>
      </c>
      <c r="V837" s="102" t="s">
        <v>293</v>
      </c>
      <c r="W837" s="478">
        <f>IFERROR(Table6[[#This Row],[Breakdown Time]]*Table6[[#This Row],[Plant Equivalent Weightage]],"")</f>
        <v>2.5641025641025644E-2</v>
      </c>
      <c r="X837" s="473" t="s">
        <v>294</v>
      </c>
      <c r="Y837" s="474" t="s">
        <v>78</v>
      </c>
      <c r="Z837" s="102">
        <v>32935</v>
      </c>
      <c r="AA837" s="468">
        <f>(Table6[[#This Row],[Paired WTG Generation for loss calculation]]/24)*Table6[[#This Row],[Breakdown Time]]</f>
        <v>914.86111111111154</v>
      </c>
      <c r="AB837" s="102"/>
      <c r="AC837" s="35"/>
      <c r="AD837" s="35"/>
    </row>
    <row r="838" spans="1:30">
      <c r="A838" s="102">
        <f t="shared" si="13"/>
        <v>837</v>
      </c>
      <c r="B838" s="468">
        <f>YEAR(Table6[[#This Row],[Date]])+IF(MONTH(Table6[[#This Row],[Date]])&gt;=4,1,0)</f>
        <v>2026</v>
      </c>
      <c r="C838" s="102">
        <f>YEAR(Table6[[#This Row],[Date]])</f>
        <v>2025</v>
      </c>
      <c r="D838" s="102" t="s">
        <v>1992</v>
      </c>
      <c r="E838" s="469">
        <f>Table6[[#This Row],[Date]]-DAY(Table6[[#This Row],[Date]])+1</f>
        <v>45778</v>
      </c>
      <c r="F838" s="470">
        <v>45801</v>
      </c>
      <c r="G838" s="35" t="s">
        <v>76</v>
      </c>
      <c r="H838" s="35" t="str">
        <f>IFERROR(_xlfn.XLOOKUP(Table6[[#This Row],[Affected WTG]],'Basic Data'!$A:$A,'Basic Data'!$B:$B),"")</f>
        <v>TQGXIIPL</v>
      </c>
      <c r="I838" s="35" t="str">
        <f>IFERROR(_xlfn.XLOOKUP(Table6[[#This Row],[Affected WTG]],'Basic Data'!$A:$A,'Basic Data'!$C:$C),"")</f>
        <v>GEDA</v>
      </c>
      <c r="J838" s="471">
        <f>IFERROR(_xlfn.XLOOKUP(Table6[[#This Row],[Affected WTG]],'Basic Data'!$A:$A,'Basic Data'!$E:$E),"")</f>
        <v>3.846153846153845E-2</v>
      </c>
      <c r="K838" s="102">
        <v>550</v>
      </c>
      <c r="L838" s="35" t="str">
        <f>IFERROR(_xlfn.XLOOKUP(Table6[[#This Row],[Error Code]],'Basic Data'!$AA:$AA,'Basic Data'!$AB:$AB),"Incorrect Error Code")</f>
        <v>Pitch current asymmetry</v>
      </c>
      <c r="M838" s="35" t="s">
        <v>291</v>
      </c>
      <c r="N838" s="475"/>
      <c r="O838" s="476">
        <v>0.44097222222222221</v>
      </c>
      <c r="P838" s="476">
        <v>0.44097222222222221</v>
      </c>
      <c r="Q838" s="477">
        <v>0.45277777777777778</v>
      </c>
      <c r="R838" s="472">
        <f>IF(Table6[[#This Row],[Work Start TimeStamp]]="","",(Table6[[#This Row],[Work Start TimeStamp]]-Table6[[#This Row],[Fault Start TimeStamp]])*24)</f>
        <v>0</v>
      </c>
      <c r="S838" s="472">
        <f>(Table6[[#This Row],[Fault Clearance time]]-Table6[[#This Row],[Work Start TimeStamp]])*24</f>
        <v>0.28333333333333366</v>
      </c>
      <c r="T838" s="472">
        <f>(Table6[[#This Row],[Fault Clearance time]]-Table6[[#This Row],[Fault Start TimeStamp]])*24</f>
        <v>0.28333333333333366</v>
      </c>
      <c r="U838" s="35" t="s">
        <v>1858</v>
      </c>
      <c r="V838" s="102" t="s">
        <v>293</v>
      </c>
      <c r="W838" s="478">
        <f>IFERROR(Table6[[#This Row],[Breakdown Time]]*Table6[[#This Row],[Plant Equivalent Weightage]],"")</f>
        <v>1.0897435897435907E-2</v>
      </c>
      <c r="X838" s="473" t="s">
        <v>294</v>
      </c>
      <c r="Y838" s="474" t="s">
        <v>82</v>
      </c>
      <c r="Z838" s="102">
        <v>27378</v>
      </c>
      <c r="AA838" s="468">
        <f>(Table6[[#This Row],[Paired WTG Generation for loss calculation]]/24)*Table6[[#This Row],[Breakdown Time]]</f>
        <v>323.21250000000038</v>
      </c>
      <c r="AB838" s="102"/>
      <c r="AC838" s="35"/>
      <c r="AD838" s="35"/>
    </row>
    <row r="839" spans="1:30">
      <c r="A839" s="102">
        <f t="shared" si="13"/>
        <v>838</v>
      </c>
      <c r="B839" s="468">
        <f>YEAR(Table6[[#This Row],[Date]])+IF(MONTH(Table6[[#This Row],[Date]])&gt;=4,1,0)</f>
        <v>2026</v>
      </c>
      <c r="C839" s="102">
        <f>YEAR(Table6[[#This Row],[Date]])</f>
        <v>2025</v>
      </c>
      <c r="D839" s="102" t="s">
        <v>1992</v>
      </c>
      <c r="E839" s="469">
        <f>Table6[[#This Row],[Date]]-DAY(Table6[[#This Row],[Date]])+1</f>
        <v>45778</v>
      </c>
      <c r="F839" s="470">
        <v>45801</v>
      </c>
      <c r="G839" s="35" t="s">
        <v>81</v>
      </c>
      <c r="H839" s="35" t="str">
        <f>IFERROR(_xlfn.XLOOKUP(Table6[[#This Row],[Affected WTG]],'Basic Data'!$A:$A,'Basic Data'!$B:$B),"")</f>
        <v>TQGXIIPL</v>
      </c>
      <c r="I839" s="35" t="str">
        <f>IFERROR(_xlfn.XLOOKUP(Table6[[#This Row],[Affected WTG]],'Basic Data'!$A:$A,'Basic Data'!$C:$C),"")</f>
        <v>GEDA</v>
      </c>
      <c r="J839" s="471">
        <f>IFERROR(_xlfn.XLOOKUP(Table6[[#This Row],[Affected WTG]],'Basic Data'!$A:$A,'Basic Data'!$E:$E),"")</f>
        <v>3.846153846153845E-2</v>
      </c>
      <c r="K839" s="102">
        <v>55</v>
      </c>
      <c r="L839" s="35" t="str">
        <f>IFERROR(_xlfn.XLOOKUP(Table6[[#This Row],[Error Code]],'Basic Data'!$AA:$AA,'Basic Data'!$AB:$AB),"Incorrect Error Code")</f>
        <v>WTG shut down</v>
      </c>
      <c r="M839" s="35" t="s">
        <v>330</v>
      </c>
      <c r="N839" s="475"/>
      <c r="O839" s="476">
        <v>0.80138888888888893</v>
      </c>
      <c r="P839" s="476">
        <v>0.80138888888888893</v>
      </c>
      <c r="Q839" s="477">
        <v>0.99998842592592596</v>
      </c>
      <c r="R839" s="472">
        <f>IF(Table6[[#This Row],[Work Start TimeStamp]]="","",(Table6[[#This Row],[Work Start TimeStamp]]-Table6[[#This Row],[Fault Start TimeStamp]])*24)</f>
        <v>0</v>
      </c>
      <c r="S839" s="472">
        <f>(Table6[[#This Row],[Fault Clearance time]]-Table6[[#This Row],[Work Start TimeStamp]])*24</f>
        <v>4.7663888888888888</v>
      </c>
      <c r="T839" s="472">
        <f>(Table6[[#This Row],[Fault Clearance time]]-Table6[[#This Row],[Fault Start TimeStamp]])*24</f>
        <v>4.7663888888888888</v>
      </c>
      <c r="U839" s="35" t="s">
        <v>1744</v>
      </c>
      <c r="V839" s="102" t="s">
        <v>335</v>
      </c>
      <c r="W839" s="478">
        <f>IFERROR(Table6[[#This Row],[Breakdown Time]]*Table6[[#This Row],[Plant Equivalent Weightage]],"")</f>
        <v>0.18332264957264952</v>
      </c>
      <c r="X839" s="473" t="s">
        <v>294</v>
      </c>
      <c r="Y839" s="474" t="s">
        <v>99</v>
      </c>
      <c r="Z839" s="102">
        <v>25631</v>
      </c>
      <c r="AA839" s="468">
        <f>(Table6[[#This Row],[Paired WTG Generation for loss calculation]]/24)*Table6[[#This Row],[Breakdown Time]]</f>
        <v>5090.3047337962962</v>
      </c>
      <c r="AB839" s="102"/>
      <c r="AC839" s="35"/>
      <c r="AD839" s="35"/>
    </row>
    <row r="840" spans="1:30">
      <c r="A840" s="102">
        <f t="shared" si="13"/>
        <v>839</v>
      </c>
      <c r="B840" s="468">
        <f>YEAR(Table6[[#This Row],[Date]])+IF(MONTH(Table6[[#This Row],[Date]])&gt;=4,1,0)</f>
        <v>2026</v>
      </c>
      <c r="C840" s="102">
        <f>YEAR(Table6[[#This Row],[Date]])</f>
        <v>2025</v>
      </c>
      <c r="D840" s="102" t="s">
        <v>1992</v>
      </c>
      <c r="E840" s="469">
        <f>Table6[[#This Row],[Date]]-DAY(Table6[[#This Row],[Date]])+1</f>
        <v>45778</v>
      </c>
      <c r="F840" s="470">
        <v>45801</v>
      </c>
      <c r="G840" s="35" t="s">
        <v>84</v>
      </c>
      <c r="H840" s="35" t="str">
        <f>IFERROR(_xlfn.XLOOKUP(Table6[[#This Row],[Affected WTG]],'Basic Data'!$A:$A,'Basic Data'!$B:$B),"")</f>
        <v>TQGXIIPL</v>
      </c>
      <c r="I840" s="35" t="str">
        <f>IFERROR(_xlfn.XLOOKUP(Table6[[#This Row],[Affected WTG]],'Basic Data'!$A:$A,'Basic Data'!$C:$C),"")</f>
        <v>GEDA</v>
      </c>
      <c r="J840" s="471">
        <f>IFERROR(_xlfn.XLOOKUP(Table6[[#This Row],[Affected WTG]],'Basic Data'!$A:$A,'Basic Data'!$E:$E),"")</f>
        <v>3.846153846153845E-2</v>
      </c>
      <c r="K840" s="102">
        <v>6130</v>
      </c>
      <c r="L840" s="35" t="str">
        <f>IFERROR(_xlfn.XLOOKUP(Table6[[#This Row],[Error Code]],'Basic Data'!$AA:$AA,'Basic Data'!$AB:$AB),"Incorrect Error Code")</f>
        <v>Yaw speed high</v>
      </c>
      <c r="M840" s="35" t="s">
        <v>292</v>
      </c>
      <c r="N840" s="475"/>
      <c r="O840" s="476">
        <v>0.62222222222222223</v>
      </c>
      <c r="P840" s="476">
        <v>0.62222222222222223</v>
      </c>
      <c r="Q840" s="477">
        <v>0.62569444444444444</v>
      </c>
      <c r="R840" s="472">
        <f>IF(Table6[[#This Row],[Work Start TimeStamp]]="","",(Table6[[#This Row],[Work Start TimeStamp]]-Table6[[#This Row],[Fault Start TimeStamp]])*24)</f>
        <v>0</v>
      </c>
      <c r="S840" s="472">
        <f>(Table6[[#This Row],[Fault Clearance time]]-Table6[[#This Row],[Work Start TimeStamp]])*24</f>
        <v>8.3333333333333037E-2</v>
      </c>
      <c r="T840" s="472">
        <f>(Table6[[#This Row],[Fault Clearance time]]-Table6[[#This Row],[Fault Start TimeStamp]])*24</f>
        <v>8.3333333333333037E-2</v>
      </c>
      <c r="U840" s="35" t="s">
        <v>346</v>
      </c>
      <c r="V840" s="102" t="s">
        <v>293</v>
      </c>
      <c r="W840" s="478">
        <f>IFERROR(Table6[[#This Row],[Breakdown Time]]*Table6[[#This Row],[Plant Equivalent Weightage]],"")</f>
        <v>3.2051282051281929E-3</v>
      </c>
      <c r="X840" s="473" t="s">
        <v>294</v>
      </c>
      <c r="Y840" s="474" t="s">
        <v>85</v>
      </c>
      <c r="Z840" s="102">
        <v>14646</v>
      </c>
      <c r="AA840" s="468">
        <f>(Table6[[#This Row],[Paired WTG Generation for loss calculation]]/24)*Table6[[#This Row],[Breakdown Time]]</f>
        <v>50.854166666666487</v>
      </c>
      <c r="AB840" s="102"/>
      <c r="AC840" s="35"/>
      <c r="AD840" s="35"/>
    </row>
    <row r="841" spans="1:30">
      <c r="A841" s="102">
        <f t="shared" si="13"/>
        <v>840</v>
      </c>
      <c r="B841" s="468">
        <f>YEAR(Table6[[#This Row],[Date]])+IF(MONTH(Table6[[#This Row],[Date]])&gt;=4,1,0)</f>
        <v>2026</v>
      </c>
      <c r="C841" s="102">
        <f>YEAR(Table6[[#This Row],[Date]])</f>
        <v>2025</v>
      </c>
      <c r="D841" s="102" t="s">
        <v>1992</v>
      </c>
      <c r="E841" s="469">
        <f>Table6[[#This Row],[Date]]-DAY(Table6[[#This Row],[Date]])+1</f>
        <v>45778</v>
      </c>
      <c r="F841" s="470">
        <v>45801</v>
      </c>
      <c r="G841" s="35" t="s">
        <v>85</v>
      </c>
      <c r="H841" s="35" t="str">
        <f>IFERROR(_xlfn.XLOOKUP(Table6[[#This Row],[Affected WTG]],'Basic Data'!$A:$A,'Basic Data'!$B:$B),"")</f>
        <v>TQGXIIPL</v>
      </c>
      <c r="I841" s="35" t="str">
        <f>IFERROR(_xlfn.XLOOKUP(Table6[[#This Row],[Affected WTG]],'Basic Data'!$A:$A,'Basic Data'!$C:$C),"")</f>
        <v>GEDA</v>
      </c>
      <c r="J841" s="471">
        <f>IFERROR(_xlfn.XLOOKUP(Table6[[#This Row],[Affected WTG]],'Basic Data'!$A:$A,'Basic Data'!$E:$E),"")</f>
        <v>3.846153846153845E-2</v>
      </c>
      <c r="K841" s="102">
        <v>3110</v>
      </c>
      <c r="L841" s="35" t="str">
        <f>IFERROR(_xlfn.XLOOKUP(Table6[[#This Row],[Error Code]],'Basic Data'!$AA:$AA,'Basic Data'!$AB:$AB),"Incorrect Error Code")</f>
        <v>Frequency converter error</v>
      </c>
      <c r="M841" s="35" t="s">
        <v>291</v>
      </c>
      <c r="N841" s="475"/>
      <c r="O841" s="476">
        <v>0.78194444444444444</v>
      </c>
      <c r="P841" s="476">
        <v>0.78194444444444444</v>
      </c>
      <c r="Q841" s="477">
        <v>0.8041666666666667</v>
      </c>
      <c r="R841" s="472">
        <f>IF(Table6[[#This Row],[Work Start TimeStamp]]="","",(Table6[[#This Row],[Work Start TimeStamp]]-Table6[[#This Row],[Fault Start TimeStamp]])*24)</f>
        <v>0</v>
      </c>
      <c r="S841" s="472">
        <f>(Table6[[#This Row],[Fault Clearance time]]-Table6[[#This Row],[Work Start TimeStamp]])*24</f>
        <v>0.5333333333333341</v>
      </c>
      <c r="T841" s="472">
        <f>(Table6[[#This Row],[Fault Clearance time]]-Table6[[#This Row],[Fault Start TimeStamp]])*24</f>
        <v>0.5333333333333341</v>
      </c>
      <c r="U841" s="35" t="s">
        <v>1860</v>
      </c>
      <c r="V841" s="102" t="s">
        <v>293</v>
      </c>
      <c r="W841" s="478">
        <f>IFERROR(Table6[[#This Row],[Breakdown Time]]*Table6[[#This Row],[Plant Equivalent Weightage]],"")</f>
        <v>2.0512820512820537E-2</v>
      </c>
      <c r="X841" s="473" t="s">
        <v>290</v>
      </c>
      <c r="Y841" s="474" t="s">
        <v>87</v>
      </c>
      <c r="Z841" s="102">
        <v>28337</v>
      </c>
      <c r="AA841" s="468">
        <f>(Table6[[#This Row],[Paired WTG Generation for loss calculation]]/24)*Table6[[#This Row],[Breakdown Time]]</f>
        <v>629.71111111111202</v>
      </c>
      <c r="AB841" s="102"/>
      <c r="AC841" s="35"/>
      <c r="AD841" s="35"/>
    </row>
    <row r="842" spans="1:30">
      <c r="A842" s="102">
        <f t="shared" si="13"/>
        <v>841</v>
      </c>
      <c r="B842" s="468">
        <f>YEAR(Table6[[#This Row],[Date]])+IF(MONTH(Table6[[#This Row],[Date]])&gt;=4,1,0)</f>
        <v>2026</v>
      </c>
      <c r="C842" s="102">
        <f>YEAR(Table6[[#This Row],[Date]])</f>
        <v>2025</v>
      </c>
      <c r="D842" s="102" t="s">
        <v>1992</v>
      </c>
      <c r="E842" s="469">
        <f>Table6[[#This Row],[Date]]-DAY(Table6[[#This Row],[Date]])+1</f>
        <v>45778</v>
      </c>
      <c r="F842" s="470">
        <v>45801</v>
      </c>
      <c r="G842" s="35" t="s">
        <v>85</v>
      </c>
      <c r="H842" s="35" t="str">
        <f>IFERROR(_xlfn.XLOOKUP(Table6[[#This Row],[Affected WTG]],'Basic Data'!$A:$A,'Basic Data'!$B:$B),"")</f>
        <v>TQGXIIPL</v>
      </c>
      <c r="I842" s="35" t="str">
        <f>IFERROR(_xlfn.XLOOKUP(Table6[[#This Row],[Affected WTG]],'Basic Data'!$A:$A,'Basic Data'!$C:$C),"")</f>
        <v>GEDA</v>
      </c>
      <c r="J842" s="471">
        <f>IFERROR(_xlfn.XLOOKUP(Table6[[#This Row],[Affected WTG]],'Basic Data'!$A:$A,'Basic Data'!$E:$E),"")</f>
        <v>3.846153846153845E-2</v>
      </c>
      <c r="K842" s="102">
        <v>55</v>
      </c>
      <c r="L842" s="35" t="str">
        <f>IFERROR(_xlfn.XLOOKUP(Table6[[#This Row],[Error Code]],'Basic Data'!$AA:$AA,'Basic Data'!$AB:$AB),"Incorrect Error Code")</f>
        <v>WTG shut down</v>
      </c>
      <c r="M842" s="35" t="s">
        <v>330</v>
      </c>
      <c r="N842" s="475"/>
      <c r="O842" s="476">
        <v>0.80763888888888891</v>
      </c>
      <c r="P842" s="476">
        <v>0.80763888888888891</v>
      </c>
      <c r="Q842" s="477">
        <v>0.93541666666666667</v>
      </c>
      <c r="R842" s="472">
        <f>IF(Table6[[#This Row],[Work Start TimeStamp]]="","",(Table6[[#This Row],[Work Start TimeStamp]]-Table6[[#This Row],[Fault Start TimeStamp]])*24)</f>
        <v>0</v>
      </c>
      <c r="S842" s="472">
        <f>(Table6[[#This Row],[Fault Clearance time]]-Table6[[#This Row],[Work Start TimeStamp]])*24</f>
        <v>3.0666666666666664</v>
      </c>
      <c r="T842" s="472">
        <f>(Table6[[#This Row],[Fault Clearance time]]-Table6[[#This Row],[Fault Start TimeStamp]])*24</f>
        <v>3.0666666666666664</v>
      </c>
      <c r="U842" s="35" t="s">
        <v>1744</v>
      </c>
      <c r="V842" s="102" t="s">
        <v>293</v>
      </c>
      <c r="W842" s="478">
        <f>IFERROR(Table6[[#This Row],[Breakdown Time]]*Table6[[#This Row],[Plant Equivalent Weightage]],"")</f>
        <v>0.1179487179487179</v>
      </c>
      <c r="X842" s="473" t="s">
        <v>294</v>
      </c>
      <c r="Y842" s="474" t="s">
        <v>87</v>
      </c>
      <c r="Z842" s="102">
        <v>28337</v>
      </c>
      <c r="AA842" s="468">
        <f>(Table6[[#This Row],[Paired WTG Generation for loss calculation]]/24)*Table6[[#This Row],[Breakdown Time]]</f>
        <v>3620.8388888888885</v>
      </c>
      <c r="AB842" s="102"/>
      <c r="AC842" s="35"/>
      <c r="AD842" s="35"/>
    </row>
    <row r="843" spans="1:30">
      <c r="A843" s="102">
        <f t="shared" si="13"/>
        <v>842</v>
      </c>
      <c r="B843" s="468">
        <f>YEAR(Table6[[#This Row],[Date]])+IF(MONTH(Table6[[#This Row],[Date]])&gt;=4,1,0)</f>
        <v>2026</v>
      </c>
      <c r="C843" s="102">
        <f>YEAR(Table6[[#This Row],[Date]])</f>
        <v>2025</v>
      </c>
      <c r="D843" s="102" t="s">
        <v>1992</v>
      </c>
      <c r="E843" s="469">
        <f>Table6[[#This Row],[Date]]-DAY(Table6[[#This Row],[Date]])+1</f>
        <v>45778</v>
      </c>
      <c r="F843" s="470">
        <v>45801</v>
      </c>
      <c r="G843" s="35" t="s">
        <v>85</v>
      </c>
      <c r="H843" s="35" t="str">
        <f>IFERROR(_xlfn.XLOOKUP(Table6[[#This Row],[Affected WTG]],'Basic Data'!$A:$A,'Basic Data'!$B:$B),"")</f>
        <v>TQGXIIPL</v>
      </c>
      <c r="I843" s="35" t="str">
        <f>IFERROR(_xlfn.XLOOKUP(Table6[[#This Row],[Affected WTG]],'Basic Data'!$A:$A,'Basic Data'!$C:$C),"")</f>
        <v>GEDA</v>
      </c>
      <c r="J843" s="471">
        <f>IFERROR(_xlfn.XLOOKUP(Table6[[#This Row],[Affected WTG]],'Basic Data'!$A:$A,'Basic Data'!$E:$E),"")</f>
        <v>3.846153846153845E-2</v>
      </c>
      <c r="K843" s="102">
        <v>55</v>
      </c>
      <c r="L843" s="35" t="str">
        <f>IFERROR(_xlfn.XLOOKUP(Table6[[#This Row],[Error Code]],'Basic Data'!$AA:$AA,'Basic Data'!$AB:$AB),"Incorrect Error Code")</f>
        <v>WTG shut down</v>
      </c>
      <c r="M843" s="35" t="s">
        <v>330</v>
      </c>
      <c r="N843" s="475"/>
      <c r="O843" s="476">
        <v>0.95</v>
      </c>
      <c r="P843" s="476">
        <v>0.95</v>
      </c>
      <c r="Q843" s="477">
        <v>0.99998842592592596</v>
      </c>
      <c r="R843" s="472">
        <f>IF(Table6[[#This Row],[Work Start TimeStamp]]="","",(Table6[[#This Row],[Work Start TimeStamp]]-Table6[[#This Row],[Fault Start TimeStamp]])*24)</f>
        <v>0</v>
      </c>
      <c r="S843" s="472">
        <f>(Table6[[#This Row],[Fault Clearance time]]-Table6[[#This Row],[Work Start TimeStamp]])*24</f>
        <v>1.1997222222222241</v>
      </c>
      <c r="T843" s="472">
        <f>(Table6[[#This Row],[Fault Clearance time]]-Table6[[#This Row],[Fault Start TimeStamp]])*24</f>
        <v>1.1997222222222241</v>
      </c>
      <c r="U843" s="35" t="s">
        <v>1744</v>
      </c>
      <c r="V843" s="102" t="s">
        <v>335</v>
      </c>
      <c r="W843" s="478">
        <f>IFERROR(Table6[[#This Row],[Breakdown Time]]*Table6[[#This Row],[Plant Equivalent Weightage]],"")</f>
        <v>4.6143162393162455E-2</v>
      </c>
      <c r="X843" s="473" t="s">
        <v>294</v>
      </c>
      <c r="Y843" s="474" t="s">
        <v>87</v>
      </c>
      <c r="Z843" s="102">
        <v>28337</v>
      </c>
      <c r="AA843" s="468">
        <f>(Table6[[#This Row],[Paired WTG Generation for loss calculation]]/24)*Table6[[#This Row],[Breakdown Time]]</f>
        <v>1416.5220254629651</v>
      </c>
      <c r="AB843" s="102"/>
      <c r="AC843" s="35"/>
      <c r="AD843" s="35"/>
    </row>
    <row r="844" spans="1:30">
      <c r="A844" s="102">
        <f t="shared" si="13"/>
        <v>843</v>
      </c>
      <c r="B844" s="468">
        <f>YEAR(Table6[[#This Row],[Date]])+IF(MONTH(Table6[[#This Row],[Date]])&gt;=4,1,0)</f>
        <v>2026</v>
      </c>
      <c r="C844" s="102">
        <f>YEAR(Table6[[#This Row],[Date]])</f>
        <v>2025</v>
      </c>
      <c r="D844" s="102" t="s">
        <v>1992</v>
      </c>
      <c r="E844" s="469">
        <f>Table6[[#This Row],[Date]]-DAY(Table6[[#This Row],[Date]])+1</f>
        <v>45778</v>
      </c>
      <c r="F844" s="470">
        <v>45801</v>
      </c>
      <c r="G844" s="35" t="s">
        <v>87</v>
      </c>
      <c r="H844" s="35" t="str">
        <f>IFERROR(_xlfn.XLOOKUP(Table6[[#This Row],[Affected WTG]],'Basic Data'!$A:$A,'Basic Data'!$B:$B),"")</f>
        <v>TQGXIIPL</v>
      </c>
      <c r="I844" s="35" t="str">
        <f>IFERROR(_xlfn.XLOOKUP(Table6[[#This Row],[Affected WTG]],'Basic Data'!$A:$A,'Basic Data'!$C:$C),"")</f>
        <v>GEDA</v>
      </c>
      <c r="J844" s="471">
        <f>IFERROR(_xlfn.XLOOKUP(Table6[[#This Row],[Affected WTG]],'Basic Data'!$A:$A,'Basic Data'!$E:$E),"")</f>
        <v>3.846153846153845E-2</v>
      </c>
      <c r="K844" s="102">
        <v>6130</v>
      </c>
      <c r="L844" s="35" t="str">
        <f>IFERROR(_xlfn.XLOOKUP(Table6[[#This Row],[Error Code]],'Basic Data'!$AA:$AA,'Basic Data'!$AB:$AB),"Incorrect Error Code")</f>
        <v>Yaw speed high</v>
      </c>
      <c r="M844" s="35" t="s">
        <v>292</v>
      </c>
      <c r="N844" s="475"/>
      <c r="O844" s="476">
        <v>0.68541666666666667</v>
      </c>
      <c r="P844" s="476">
        <v>0.68541666666666667</v>
      </c>
      <c r="Q844" s="477">
        <v>0.68958333333333333</v>
      </c>
      <c r="R844" s="472">
        <f>IF(Table6[[#This Row],[Work Start TimeStamp]]="","",(Table6[[#This Row],[Work Start TimeStamp]]-Table6[[#This Row],[Fault Start TimeStamp]])*24)</f>
        <v>0</v>
      </c>
      <c r="S844" s="472">
        <f>(Table6[[#This Row],[Fault Clearance time]]-Table6[[#This Row],[Work Start TimeStamp]])*24</f>
        <v>9.9999999999999645E-2</v>
      </c>
      <c r="T844" s="472">
        <f>(Table6[[#This Row],[Fault Clearance time]]-Table6[[#This Row],[Fault Start TimeStamp]])*24</f>
        <v>9.9999999999999645E-2</v>
      </c>
      <c r="U844" s="35" t="s">
        <v>346</v>
      </c>
      <c r="V844" s="102" t="s">
        <v>293</v>
      </c>
      <c r="W844" s="478">
        <f>IFERROR(Table6[[#This Row],[Breakdown Time]]*Table6[[#This Row],[Plant Equivalent Weightage]],"")</f>
        <v>3.8461538461538312E-3</v>
      </c>
      <c r="X844" s="473" t="s">
        <v>294</v>
      </c>
      <c r="Y844" s="474" t="s">
        <v>85</v>
      </c>
      <c r="Z844" s="102">
        <v>14646</v>
      </c>
      <c r="AA844" s="468">
        <f>(Table6[[#This Row],[Paired WTG Generation for loss calculation]]/24)*Table6[[#This Row],[Breakdown Time]]</f>
        <v>61.024999999999785</v>
      </c>
      <c r="AB844" s="102"/>
      <c r="AC844" s="35"/>
      <c r="AD844" s="35"/>
    </row>
    <row r="845" spans="1:30">
      <c r="A845" s="102">
        <f t="shared" si="13"/>
        <v>844</v>
      </c>
      <c r="B845" s="468">
        <f>YEAR(Table6[[#This Row],[Date]])+IF(MONTH(Table6[[#This Row],[Date]])&gt;=4,1,0)</f>
        <v>2026</v>
      </c>
      <c r="C845" s="102">
        <f>YEAR(Table6[[#This Row],[Date]])</f>
        <v>2025</v>
      </c>
      <c r="D845" s="102" t="s">
        <v>1992</v>
      </c>
      <c r="E845" s="469">
        <f>Table6[[#This Row],[Date]]-DAY(Table6[[#This Row],[Date]])+1</f>
        <v>45778</v>
      </c>
      <c r="F845" s="470">
        <v>45801</v>
      </c>
      <c r="G845" s="35" t="s">
        <v>88</v>
      </c>
      <c r="H845" s="35" t="str">
        <f>IFERROR(_xlfn.XLOOKUP(Table6[[#This Row],[Affected WTG]],'Basic Data'!$A:$A,'Basic Data'!$B:$B),"")</f>
        <v>TQGXIIPL</v>
      </c>
      <c r="I845" s="35" t="str">
        <f>IFERROR(_xlfn.XLOOKUP(Table6[[#This Row],[Affected WTG]],'Basic Data'!$A:$A,'Basic Data'!$C:$C),"")</f>
        <v>GEDA</v>
      </c>
      <c r="J845" s="471">
        <f>IFERROR(_xlfn.XLOOKUP(Table6[[#This Row],[Affected WTG]],'Basic Data'!$A:$A,'Basic Data'!$E:$E),"")</f>
        <v>3.846153846153845E-2</v>
      </c>
      <c r="K845" s="102">
        <v>642</v>
      </c>
      <c r="L845" s="35" t="str">
        <f>IFERROR(_xlfn.XLOOKUP(Table6[[#This Row],[Error Code]],'Basic Data'!$AA:$AA,'Basic Data'!$AB:$AB),"Incorrect Error Code")</f>
        <v>Sim.angle E enc. &lt;&gt; act.angle 2</v>
      </c>
      <c r="M845" s="35" t="s">
        <v>291</v>
      </c>
      <c r="N845" s="475"/>
      <c r="O845" s="476">
        <v>0.76944444444444449</v>
      </c>
      <c r="P845" s="476">
        <v>0.76944444444444449</v>
      </c>
      <c r="Q845" s="477">
        <v>0.78402777777777777</v>
      </c>
      <c r="R845" s="472">
        <f>IF(Table6[[#This Row],[Work Start TimeStamp]]="","",(Table6[[#This Row],[Work Start TimeStamp]]-Table6[[#This Row],[Fault Start TimeStamp]])*24)</f>
        <v>0</v>
      </c>
      <c r="S845" s="472">
        <f>(Table6[[#This Row],[Fault Clearance time]]-Table6[[#This Row],[Work Start TimeStamp]])*24</f>
        <v>0.34999999999999876</v>
      </c>
      <c r="T845" s="472">
        <f>(Table6[[#This Row],[Fault Clearance time]]-Table6[[#This Row],[Fault Start TimeStamp]])*24</f>
        <v>0.34999999999999876</v>
      </c>
      <c r="U845" s="35" t="s">
        <v>1900</v>
      </c>
      <c r="V845" s="102" t="s">
        <v>293</v>
      </c>
      <c r="W845" s="478">
        <f>IFERROR(Table6[[#This Row],[Breakdown Time]]*Table6[[#This Row],[Plant Equivalent Weightage]],"")</f>
        <v>1.346153846153841E-2</v>
      </c>
      <c r="X845" s="473" t="s">
        <v>294</v>
      </c>
      <c r="Y845" s="474" t="s">
        <v>83</v>
      </c>
      <c r="Z845" s="102">
        <v>28918</v>
      </c>
      <c r="AA845" s="468">
        <f>(Table6[[#This Row],[Paired WTG Generation for loss calculation]]/24)*Table6[[#This Row],[Breakdown Time]]</f>
        <v>421.72083333333188</v>
      </c>
      <c r="AB845" s="102"/>
      <c r="AC845" s="35"/>
      <c r="AD845" s="35"/>
    </row>
    <row r="846" spans="1:30">
      <c r="A846" s="102">
        <f t="shared" ref="A846:A909" si="14">A845+1</f>
        <v>845</v>
      </c>
      <c r="B846" s="468">
        <f>YEAR(Table6[[#This Row],[Date]])+IF(MONTH(Table6[[#This Row],[Date]])&gt;=4,1,0)</f>
        <v>2026</v>
      </c>
      <c r="C846" s="102">
        <f>YEAR(Table6[[#This Row],[Date]])</f>
        <v>2025</v>
      </c>
      <c r="D846" s="102" t="s">
        <v>1992</v>
      </c>
      <c r="E846" s="469">
        <f>Table6[[#This Row],[Date]]-DAY(Table6[[#This Row],[Date]])+1</f>
        <v>45778</v>
      </c>
      <c r="F846" s="470">
        <v>45801</v>
      </c>
      <c r="G846" s="35" t="s">
        <v>96</v>
      </c>
      <c r="H846" s="35" t="str">
        <f>IFERROR(_xlfn.XLOOKUP(Table6[[#This Row],[Affected WTG]],'Basic Data'!$A:$A,'Basic Data'!$B:$B),"")</f>
        <v>TQGXIIPL</v>
      </c>
      <c r="I846" s="35" t="str">
        <f>IFERROR(_xlfn.XLOOKUP(Table6[[#This Row],[Affected WTG]],'Basic Data'!$A:$A,'Basic Data'!$C:$C),"")</f>
        <v>GEDA</v>
      </c>
      <c r="J846" s="471">
        <f>IFERROR(_xlfn.XLOOKUP(Table6[[#This Row],[Affected WTG]],'Basic Data'!$A:$A,'Basic Data'!$E:$E),"")</f>
        <v>3.846153846153845E-2</v>
      </c>
      <c r="K846" s="102">
        <v>1731</v>
      </c>
      <c r="L846" s="35" t="str">
        <f>IFERROR(_xlfn.XLOOKUP(Table6[[#This Row],[Error Code]],'Basic Data'!$AA:$AA,'Basic Data'!$AB:$AB),"Incorrect Error Code")</f>
        <v>Oil temperature gearbox input high</v>
      </c>
      <c r="M846" s="35" t="s">
        <v>291</v>
      </c>
      <c r="N846" s="475"/>
      <c r="O846" s="476">
        <v>0.47499999999999998</v>
      </c>
      <c r="P846" s="476">
        <v>0.47499999999999998</v>
      </c>
      <c r="Q846" s="477">
        <v>0.48680555555555555</v>
      </c>
      <c r="R846" s="472">
        <f>IF(Table6[[#This Row],[Work Start TimeStamp]]="","",(Table6[[#This Row],[Work Start TimeStamp]]-Table6[[#This Row],[Fault Start TimeStamp]])*24)</f>
        <v>0</v>
      </c>
      <c r="S846" s="472">
        <f>(Table6[[#This Row],[Fault Clearance time]]-Table6[[#This Row],[Work Start TimeStamp]])*24</f>
        <v>0.28333333333333366</v>
      </c>
      <c r="T846" s="472">
        <f>(Table6[[#This Row],[Fault Clearance time]]-Table6[[#This Row],[Fault Start TimeStamp]])*24</f>
        <v>0.28333333333333366</v>
      </c>
      <c r="U846" s="35" t="s">
        <v>1901</v>
      </c>
      <c r="V846" s="102" t="s">
        <v>293</v>
      </c>
      <c r="W846" s="478">
        <f>IFERROR(Table6[[#This Row],[Breakdown Time]]*Table6[[#This Row],[Plant Equivalent Weightage]],"")</f>
        <v>1.0897435897435907E-2</v>
      </c>
      <c r="X846" s="473" t="s">
        <v>294</v>
      </c>
      <c r="Y846" s="474" t="s">
        <v>84</v>
      </c>
      <c r="Z846" s="102">
        <v>28336</v>
      </c>
      <c r="AA846" s="468">
        <f>(Table6[[#This Row],[Paired WTG Generation for loss calculation]]/24)*Table6[[#This Row],[Breakdown Time]]</f>
        <v>334.52222222222264</v>
      </c>
      <c r="AB846" s="102"/>
      <c r="AC846" s="35"/>
      <c r="AD846" s="35"/>
    </row>
    <row r="847" spans="1:30">
      <c r="A847" s="102">
        <f t="shared" si="14"/>
        <v>846</v>
      </c>
      <c r="B847" s="468">
        <f>YEAR(Table6[[#This Row],[Date]])+IF(MONTH(Table6[[#This Row],[Date]])&gt;=4,1,0)</f>
        <v>2026</v>
      </c>
      <c r="C847" s="102">
        <f>YEAR(Table6[[#This Row],[Date]])</f>
        <v>2025</v>
      </c>
      <c r="D847" s="102" t="s">
        <v>1992</v>
      </c>
      <c r="E847" s="469">
        <f>Table6[[#This Row],[Date]]-DAY(Table6[[#This Row],[Date]])+1</f>
        <v>45778</v>
      </c>
      <c r="F847" s="470">
        <v>45801</v>
      </c>
      <c r="G847" s="35" t="s">
        <v>98</v>
      </c>
      <c r="H847" s="35" t="str">
        <f>IFERROR(_xlfn.XLOOKUP(Table6[[#This Row],[Affected WTG]],'Basic Data'!$A:$A,'Basic Data'!$B:$B),"")</f>
        <v>TQGXIIPL</v>
      </c>
      <c r="I847" s="35" t="str">
        <f>IFERROR(_xlfn.XLOOKUP(Table6[[#This Row],[Affected WTG]],'Basic Data'!$A:$A,'Basic Data'!$C:$C),"")</f>
        <v>GEDA</v>
      </c>
      <c r="J847" s="471">
        <f>IFERROR(_xlfn.XLOOKUP(Table6[[#This Row],[Affected WTG]],'Basic Data'!$A:$A,'Basic Data'!$E:$E),"")</f>
        <v>3.846153846153845E-2</v>
      </c>
      <c r="K847" s="102">
        <v>55</v>
      </c>
      <c r="L847" s="35" t="str">
        <f>IFERROR(_xlfn.XLOOKUP(Table6[[#This Row],[Error Code]],'Basic Data'!$AA:$AA,'Basic Data'!$AB:$AB),"Incorrect Error Code")</f>
        <v>WTG shut down</v>
      </c>
      <c r="M847" s="35" t="s">
        <v>330</v>
      </c>
      <c r="N847" s="475"/>
      <c r="O847" s="476">
        <v>0.31527777777777777</v>
      </c>
      <c r="P847" s="476">
        <v>0.31527777777777777</v>
      </c>
      <c r="Q847" s="477">
        <v>0.33194444444444443</v>
      </c>
      <c r="R847" s="472">
        <f>IF(Table6[[#This Row],[Work Start TimeStamp]]="","",(Table6[[#This Row],[Work Start TimeStamp]]-Table6[[#This Row],[Fault Start TimeStamp]])*24)</f>
        <v>0</v>
      </c>
      <c r="S847" s="472">
        <f>(Table6[[#This Row],[Fault Clearance time]]-Table6[[#This Row],[Work Start TimeStamp]])*24</f>
        <v>0.39999999999999991</v>
      </c>
      <c r="T847" s="472">
        <f>(Table6[[#This Row],[Fault Clearance time]]-Table6[[#This Row],[Fault Start TimeStamp]])*24</f>
        <v>0.39999999999999991</v>
      </c>
      <c r="U847" s="35" t="s">
        <v>1744</v>
      </c>
      <c r="V847" s="102" t="s">
        <v>293</v>
      </c>
      <c r="W847" s="478">
        <f>IFERROR(Table6[[#This Row],[Breakdown Time]]*Table6[[#This Row],[Plant Equivalent Weightage]],"")</f>
        <v>1.5384615384615377E-2</v>
      </c>
      <c r="X847" s="473" t="s">
        <v>294</v>
      </c>
      <c r="Y847" s="474" t="s">
        <v>74</v>
      </c>
      <c r="Z847" s="102">
        <v>27867</v>
      </c>
      <c r="AA847" s="468">
        <f>(Table6[[#This Row],[Paired WTG Generation for loss calculation]]/24)*Table6[[#This Row],[Breakdown Time]]</f>
        <v>464.44999999999987</v>
      </c>
      <c r="AB847" s="102"/>
      <c r="AC847" s="35"/>
      <c r="AD847" s="35"/>
    </row>
    <row r="848" spans="1:30">
      <c r="A848" s="102">
        <f t="shared" si="14"/>
        <v>847</v>
      </c>
      <c r="B848" s="468">
        <f>YEAR(Table6[[#This Row],[Date]])+IF(MONTH(Table6[[#This Row],[Date]])&gt;=4,1,0)</f>
        <v>2026</v>
      </c>
      <c r="C848" s="102">
        <f>YEAR(Table6[[#This Row],[Date]])</f>
        <v>2025</v>
      </c>
      <c r="D848" s="102" t="s">
        <v>1992</v>
      </c>
      <c r="E848" s="469">
        <f>Table6[[#This Row],[Date]]-DAY(Table6[[#This Row],[Date]])+1</f>
        <v>45778</v>
      </c>
      <c r="F848" s="470">
        <v>45801</v>
      </c>
      <c r="G848" s="35" t="s">
        <v>99</v>
      </c>
      <c r="H848" s="35" t="str">
        <f>IFERROR(_xlfn.XLOOKUP(Table6[[#This Row],[Affected WTG]],'Basic Data'!$A:$A,'Basic Data'!$B:$B),"")</f>
        <v>TQGXIIPL</v>
      </c>
      <c r="I848" s="35" t="str">
        <f>IFERROR(_xlfn.XLOOKUP(Table6[[#This Row],[Affected WTG]],'Basic Data'!$A:$A,'Basic Data'!$C:$C),"")</f>
        <v>GEDA</v>
      </c>
      <c r="J848" s="471">
        <f>IFERROR(_xlfn.XLOOKUP(Table6[[#This Row],[Affected WTG]],'Basic Data'!$A:$A,'Basic Data'!$E:$E),"")</f>
        <v>3.846153846153845E-2</v>
      </c>
      <c r="K848" s="102">
        <v>3000</v>
      </c>
      <c r="L848" s="35" t="str">
        <f>IFERROR(_xlfn.XLOOKUP(Table6[[#This Row],[Error Code]],'Basic Data'!$AA:$AA,'Basic Data'!$AB:$AB),"Incorrect Error Code")</f>
        <v>Frequency converter not ready</v>
      </c>
      <c r="M848" s="35" t="s">
        <v>291</v>
      </c>
      <c r="N848" s="475"/>
      <c r="O848" s="476">
        <v>0.76944444444444449</v>
      </c>
      <c r="P848" s="476">
        <v>0.76944444444444449</v>
      </c>
      <c r="Q848" s="477">
        <v>0.79722222222222228</v>
      </c>
      <c r="R848" s="472">
        <f>IF(Table6[[#This Row],[Work Start TimeStamp]]="","",(Table6[[#This Row],[Work Start TimeStamp]]-Table6[[#This Row],[Fault Start TimeStamp]])*24)</f>
        <v>0</v>
      </c>
      <c r="S848" s="472">
        <f>(Table6[[#This Row],[Fault Clearance time]]-Table6[[#This Row],[Work Start TimeStamp]])*24</f>
        <v>0.66666666666666696</v>
      </c>
      <c r="T848" s="472">
        <f>(Table6[[#This Row],[Fault Clearance time]]-Table6[[#This Row],[Fault Start TimeStamp]])*24</f>
        <v>0.66666666666666696</v>
      </c>
      <c r="U848" s="35" t="s">
        <v>341</v>
      </c>
      <c r="V848" s="102" t="s">
        <v>293</v>
      </c>
      <c r="W848" s="478">
        <f>IFERROR(Table6[[#This Row],[Breakdown Time]]*Table6[[#This Row],[Plant Equivalent Weightage]],"")</f>
        <v>2.5641025641025644E-2</v>
      </c>
      <c r="X848" s="473" t="s">
        <v>294</v>
      </c>
      <c r="Y848" s="474" t="s">
        <v>74</v>
      </c>
      <c r="Z848" s="102">
        <v>27867</v>
      </c>
      <c r="AA848" s="468">
        <f>(Table6[[#This Row],[Paired WTG Generation for loss calculation]]/24)*Table6[[#This Row],[Breakdown Time]]</f>
        <v>774.08333333333371</v>
      </c>
      <c r="AB848" s="102"/>
      <c r="AC848" s="35"/>
      <c r="AD848" s="35"/>
    </row>
    <row r="849" spans="1:30">
      <c r="A849" s="102">
        <f t="shared" si="14"/>
        <v>848</v>
      </c>
      <c r="B849" s="468">
        <f>YEAR(Table6[[#This Row],[Date]])+IF(MONTH(Table6[[#This Row],[Date]])&gt;=4,1,0)</f>
        <v>2026</v>
      </c>
      <c r="C849" s="102">
        <f>YEAR(Table6[[#This Row],[Date]])</f>
        <v>2025</v>
      </c>
      <c r="D849" s="102" t="s">
        <v>1992</v>
      </c>
      <c r="E849" s="469">
        <f>Table6[[#This Row],[Date]]-DAY(Table6[[#This Row],[Date]])+1</f>
        <v>45778</v>
      </c>
      <c r="F849" s="470">
        <v>45802</v>
      </c>
      <c r="G849" s="35" t="s">
        <v>74</v>
      </c>
      <c r="H849" s="35" t="str">
        <f>IFERROR(_xlfn.XLOOKUP(Table6[[#This Row],[Affected WTG]],'Basic Data'!$A:$A,'Basic Data'!$B:$B),"")</f>
        <v>TQGXIIPL</v>
      </c>
      <c r="I849" s="35" t="str">
        <f>IFERROR(_xlfn.XLOOKUP(Table6[[#This Row],[Affected WTG]],'Basic Data'!$A:$A,'Basic Data'!$C:$C),"")</f>
        <v>GEDA</v>
      </c>
      <c r="J849" s="471">
        <f>IFERROR(_xlfn.XLOOKUP(Table6[[#This Row],[Affected WTG]],'Basic Data'!$A:$A,'Basic Data'!$E:$E),"")</f>
        <v>3.846153846153845E-2</v>
      </c>
      <c r="K849" s="102">
        <v>6130</v>
      </c>
      <c r="L849" s="35" t="str">
        <f>IFERROR(_xlfn.XLOOKUP(Table6[[#This Row],[Error Code]],'Basic Data'!$AA:$AA,'Basic Data'!$AB:$AB),"Incorrect Error Code")</f>
        <v>Yaw speed high</v>
      </c>
      <c r="M849" s="35" t="s">
        <v>292</v>
      </c>
      <c r="N849" s="475"/>
      <c r="O849" s="476">
        <v>0.34861111111111109</v>
      </c>
      <c r="P849" s="476">
        <v>0.34930555555555554</v>
      </c>
      <c r="Q849" s="477">
        <v>0.34930555555555554</v>
      </c>
      <c r="R849" s="472">
        <f>IF(Table6[[#This Row],[Work Start TimeStamp]]="","",(Table6[[#This Row],[Work Start TimeStamp]]-Table6[[#This Row],[Fault Start TimeStamp]])*24)</f>
        <v>1.6666666666666607E-2</v>
      </c>
      <c r="S849" s="472">
        <f>(Table6[[#This Row],[Fault Clearance time]]-Table6[[#This Row],[Work Start TimeStamp]])*24</f>
        <v>0</v>
      </c>
      <c r="T849" s="472">
        <f>(Table6[[#This Row],[Fault Clearance time]]-Table6[[#This Row],[Fault Start TimeStamp]])*24</f>
        <v>1.6666666666666607E-2</v>
      </c>
      <c r="U849" s="35" t="s">
        <v>346</v>
      </c>
      <c r="V849" s="102" t="s">
        <v>293</v>
      </c>
      <c r="W849" s="478">
        <f>IFERROR(Table6[[#This Row],[Breakdown Time]]*Table6[[#This Row],[Plant Equivalent Weightage]],"")</f>
        <v>6.4102564102563853E-4</v>
      </c>
      <c r="X849" s="473" t="s">
        <v>294</v>
      </c>
      <c r="Y849" s="474" t="s">
        <v>99</v>
      </c>
      <c r="Z849" s="102">
        <v>33380</v>
      </c>
      <c r="AA849" s="468">
        <f>(Table6[[#This Row],[Paired WTG Generation for loss calculation]]/24)*Table6[[#This Row],[Breakdown Time]]</f>
        <v>23.180555555555472</v>
      </c>
      <c r="AB849" s="102"/>
      <c r="AC849" s="35"/>
      <c r="AD849" s="35"/>
    </row>
    <row r="850" spans="1:30">
      <c r="A850" s="102">
        <f t="shared" si="14"/>
        <v>849</v>
      </c>
      <c r="B850" s="468">
        <f>YEAR(Table6[[#This Row],[Date]])+IF(MONTH(Table6[[#This Row],[Date]])&gt;=4,1,0)</f>
        <v>2026</v>
      </c>
      <c r="C850" s="102">
        <f>YEAR(Table6[[#This Row],[Date]])</f>
        <v>2025</v>
      </c>
      <c r="D850" s="102" t="s">
        <v>1992</v>
      </c>
      <c r="E850" s="469">
        <f>Table6[[#This Row],[Date]]-DAY(Table6[[#This Row],[Date]])+1</f>
        <v>45778</v>
      </c>
      <c r="F850" s="470">
        <v>45802</v>
      </c>
      <c r="G850" s="35" t="s">
        <v>75</v>
      </c>
      <c r="H850" s="35" t="str">
        <f>IFERROR(_xlfn.XLOOKUP(Table6[[#This Row],[Affected WTG]],'Basic Data'!$A:$A,'Basic Data'!$B:$B),"")</f>
        <v>TQGXIIPL</v>
      </c>
      <c r="I850" s="35" t="str">
        <f>IFERROR(_xlfn.XLOOKUP(Table6[[#This Row],[Affected WTG]],'Basic Data'!$A:$A,'Basic Data'!$C:$C),"")</f>
        <v>GEDA</v>
      </c>
      <c r="J850" s="471">
        <f>IFERROR(_xlfn.XLOOKUP(Table6[[#This Row],[Affected WTG]],'Basic Data'!$A:$A,'Basic Data'!$E:$E),"")</f>
        <v>3.846153846153845E-2</v>
      </c>
      <c r="K850" s="102">
        <v>3000</v>
      </c>
      <c r="L850" s="35" t="str">
        <f>IFERROR(_xlfn.XLOOKUP(Table6[[#This Row],[Error Code]],'Basic Data'!$AA:$AA,'Basic Data'!$AB:$AB),"Incorrect Error Code")</f>
        <v>Frequency converter not ready</v>
      </c>
      <c r="M850" s="35" t="s">
        <v>291</v>
      </c>
      <c r="N850" s="475"/>
      <c r="O850" s="476">
        <v>0.70625000000000004</v>
      </c>
      <c r="P850" s="476">
        <v>0.73611111111111116</v>
      </c>
      <c r="Q850" s="477">
        <v>0.73611111111111116</v>
      </c>
      <c r="R850" s="472">
        <f>IF(Table6[[#This Row],[Work Start TimeStamp]]="","",(Table6[[#This Row],[Work Start TimeStamp]]-Table6[[#This Row],[Fault Start TimeStamp]])*24)</f>
        <v>0.71666666666666679</v>
      </c>
      <c r="S850" s="472">
        <f>(Table6[[#This Row],[Fault Clearance time]]-Table6[[#This Row],[Work Start TimeStamp]])*24</f>
        <v>0</v>
      </c>
      <c r="T850" s="472">
        <f>(Table6[[#This Row],[Fault Clearance time]]-Table6[[#This Row],[Fault Start TimeStamp]])*24</f>
        <v>0.71666666666666679</v>
      </c>
      <c r="U850" s="35" t="s">
        <v>341</v>
      </c>
      <c r="V850" s="102" t="s">
        <v>293</v>
      </c>
      <c r="W850" s="478">
        <f>IFERROR(Table6[[#This Row],[Breakdown Time]]*Table6[[#This Row],[Plant Equivalent Weightage]],"")</f>
        <v>2.756410256410256E-2</v>
      </c>
      <c r="X850" s="473" t="s">
        <v>290</v>
      </c>
      <c r="Y850" s="474" t="s">
        <v>78</v>
      </c>
      <c r="Z850" s="102">
        <v>30576</v>
      </c>
      <c r="AA850" s="468">
        <f>(Table6[[#This Row],[Paired WTG Generation for loss calculation]]/24)*Table6[[#This Row],[Breakdown Time]]</f>
        <v>913.03333333333353</v>
      </c>
      <c r="AB850" s="102"/>
      <c r="AC850" s="35"/>
      <c r="AD850" s="35"/>
    </row>
    <row r="851" spans="1:30">
      <c r="A851" s="102">
        <f t="shared" si="14"/>
        <v>850</v>
      </c>
      <c r="B851" s="468">
        <f>YEAR(Table6[[#This Row],[Date]])+IF(MONTH(Table6[[#This Row],[Date]])&gt;=4,1,0)</f>
        <v>2026</v>
      </c>
      <c r="C851" s="102">
        <f>YEAR(Table6[[#This Row],[Date]])</f>
        <v>2025</v>
      </c>
      <c r="D851" s="102" t="s">
        <v>1992</v>
      </c>
      <c r="E851" s="469">
        <f>Table6[[#This Row],[Date]]-DAY(Table6[[#This Row],[Date]])+1</f>
        <v>45778</v>
      </c>
      <c r="F851" s="470">
        <v>45802</v>
      </c>
      <c r="G851" s="35" t="s">
        <v>79</v>
      </c>
      <c r="H851" s="35" t="str">
        <f>IFERROR(_xlfn.XLOOKUP(Table6[[#This Row],[Affected WTG]],'Basic Data'!$A:$A,'Basic Data'!$B:$B),"")</f>
        <v>TQGXIIPL</v>
      </c>
      <c r="I851" s="35" t="str">
        <f>IFERROR(_xlfn.XLOOKUP(Table6[[#This Row],[Affected WTG]],'Basic Data'!$A:$A,'Basic Data'!$C:$C),"")</f>
        <v>GEDA</v>
      </c>
      <c r="J851" s="471">
        <f>IFERROR(_xlfn.XLOOKUP(Table6[[#This Row],[Affected WTG]],'Basic Data'!$A:$A,'Basic Data'!$E:$E),"")</f>
        <v>3.846153846153845E-2</v>
      </c>
      <c r="K851" s="102">
        <v>55</v>
      </c>
      <c r="L851" s="35" t="str">
        <f>IFERROR(_xlfn.XLOOKUP(Table6[[#This Row],[Error Code]],'Basic Data'!$AA:$AA,'Basic Data'!$AB:$AB),"Incorrect Error Code")</f>
        <v>WTG shut down</v>
      </c>
      <c r="M851" s="35" t="s">
        <v>291</v>
      </c>
      <c r="N851" s="475"/>
      <c r="O851" s="476">
        <v>0.65069444444444446</v>
      </c>
      <c r="P851" s="476">
        <v>0.66249999999999998</v>
      </c>
      <c r="Q851" s="477">
        <v>0.66249999999999998</v>
      </c>
      <c r="R851" s="472">
        <f>IF(Table6[[#This Row],[Work Start TimeStamp]]="","",(Table6[[#This Row],[Work Start TimeStamp]]-Table6[[#This Row],[Fault Start TimeStamp]])*24)</f>
        <v>0.28333333333333233</v>
      </c>
      <c r="S851" s="472">
        <f>(Table6[[#This Row],[Fault Clearance time]]-Table6[[#This Row],[Work Start TimeStamp]])*24</f>
        <v>0</v>
      </c>
      <c r="T851" s="472">
        <f>(Table6[[#This Row],[Fault Clearance time]]-Table6[[#This Row],[Fault Start TimeStamp]])*24</f>
        <v>0.28333333333333233</v>
      </c>
      <c r="U851" s="35" t="s">
        <v>1788</v>
      </c>
      <c r="V851" s="102" t="s">
        <v>293</v>
      </c>
      <c r="W851" s="478">
        <f>IFERROR(Table6[[#This Row],[Breakdown Time]]*Table6[[#This Row],[Plant Equivalent Weightage]],"")</f>
        <v>1.0897435897435855E-2</v>
      </c>
      <c r="X851" s="473" t="s">
        <v>294</v>
      </c>
      <c r="Y851" s="474" t="s">
        <v>94</v>
      </c>
      <c r="Z851" s="102">
        <v>19043</v>
      </c>
      <c r="AA851" s="468">
        <f>(Table6[[#This Row],[Paired WTG Generation for loss calculation]]/24)*Table6[[#This Row],[Breakdown Time]]</f>
        <v>224.81319444444367</v>
      </c>
      <c r="AB851" s="102"/>
      <c r="AC851" s="35"/>
      <c r="AD851" s="35"/>
    </row>
    <row r="852" spans="1:30">
      <c r="A852" s="102">
        <f t="shared" si="14"/>
        <v>851</v>
      </c>
      <c r="B852" s="468">
        <f>YEAR(Table6[[#This Row],[Date]])+IF(MONTH(Table6[[#This Row],[Date]])&gt;=4,1,0)</f>
        <v>2026</v>
      </c>
      <c r="C852" s="102">
        <f>YEAR(Table6[[#This Row],[Date]])</f>
        <v>2025</v>
      </c>
      <c r="D852" s="102" t="s">
        <v>1992</v>
      </c>
      <c r="E852" s="469">
        <f>Table6[[#This Row],[Date]]-DAY(Table6[[#This Row],[Date]])+1</f>
        <v>45778</v>
      </c>
      <c r="F852" s="470">
        <v>45802</v>
      </c>
      <c r="G852" s="35" t="s">
        <v>81</v>
      </c>
      <c r="H852" s="35" t="str">
        <f>IFERROR(_xlfn.XLOOKUP(Table6[[#This Row],[Affected WTG]],'Basic Data'!$A:$A,'Basic Data'!$B:$B),"")</f>
        <v>TQGXIIPL</v>
      </c>
      <c r="I852" s="35" t="str">
        <f>IFERROR(_xlfn.XLOOKUP(Table6[[#This Row],[Affected WTG]],'Basic Data'!$A:$A,'Basic Data'!$C:$C),"")</f>
        <v>GEDA</v>
      </c>
      <c r="J852" s="471">
        <f>IFERROR(_xlfn.XLOOKUP(Table6[[#This Row],[Affected WTG]],'Basic Data'!$A:$A,'Basic Data'!$E:$E),"")</f>
        <v>3.846153846153845E-2</v>
      </c>
      <c r="K852" s="102">
        <v>55</v>
      </c>
      <c r="L852" s="35" t="str">
        <f>IFERROR(_xlfn.XLOOKUP(Table6[[#This Row],[Error Code]],'Basic Data'!$AA:$AA,'Basic Data'!$AB:$AB),"Incorrect Error Code")</f>
        <v>WTG shut down</v>
      </c>
      <c r="M852" s="35" t="s">
        <v>330</v>
      </c>
      <c r="N852" s="475"/>
      <c r="O852" s="476">
        <v>0</v>
      </c>
      <c r="P852" s="476">
        <v>0.14444444444444443</v>
      </c>
      <c r="Q852" s="477">
        <v>0.14444444444444443</v>
      </c>
      <c r="R852" s="472">
        <f>IF(Table6[[#This Row],[Work Start TimeStamp]]="","",(Table6[[#This Row],[Work Start TimeStamp]]-Table6[[#This Row],[Fault Start TimeStamp]])*24)</f>
        <v>3.4666666666666663</v>
      </c>
      <c r="S852" s="472">
        <f>(Table6[[#This Row],[Fault Clearance time]]-Table6[[#This Row],[Work Start TimeStamp]])*24</f>
        <v>0</v>
      </c>
      <c r="T852" s="472">
        <f>(Table6[[#This Row],[Fault Clearance time]]-Table6[[#This Row],[Fault Start TimeStamp]])*24</f>
        <v>3.4666666666666663</v>
      </c>
      <c r="U852" s="35" t="s">
        <v>1744</v>
      </c>
      <c r="V852" s="102" t="s">
        <v>293</v>
      </c>
      <c r="W852" s="478">
        <f>IFERROR(Table6[[#This Row],[Breakdown Time]]*Table6[[#This Row],[Plant Equivalent Weightage]],"")</f>
        <v>0.13333333333333328</v>
      </c>
      <c r="X852" s="473" t="s">
        <v>294</v>
      </c>
      <c r="Y852" s="474" t="s">
        <v>99</v>
      </c>
      <c r="Z852" s="102">
        <v>33380</v>
      </c>
      <c r="AA852" s="468">
        <f>(Table6[[#This Row],[Paired WTG Generation for loss calculation]]/24)*Table6[[#This Row],[Breakdown Time]]</f>
        <v>4821.5555555555547</v>
      </c>
      <c r="AB852" s="102"/>
      <c r="AC852" s="35"/>
      <c r="AD852" s="35"/>
    </row>
    <row r="853" spans="1:30">
      <c r="A853" s="102">
        <f t="shared" si="14"/>
        <v>852</v>
      </c>
      <c r="B853" s="468">
        <f>YEAR(Table6[[#This Row],[Date]])+IF(MONTH(Table6[[#This Row],[Date]])&gt;=4,1,0)</f>
        <v>2026</v>
      </c>
      <c r="C853" s="102">
        <f>YEAR(Table6[[#This Row],[Date]])</f>
        <v>2025</v>
      </c>
      <c r="D853" s="102" t="s">
        <v>1992</v>
      </c>
      <c r="E853" s="469">
        <f>Table6[[#This Row],[Date]]-DAY(Table6[[#This Row],[Date]])+1</f>
        <v>45778</v>
      </c>
      <c r="F853" s="470">
        <v>45802</v>
      </c>
      <c r="G853" s="35" t="s">
        <v>81</v>
      </c>
      <c r="H853" s="35" t="str">
        <f>IFERROR(_xlfn.XLOOKUP(Table6[[#This Row],[Affected WTG]],'Basic Data'!$A:$A,'Basic Data'!$B:$B),"")</f>
        <v>TQGXIIPL</v>
      </c>
      <c r="I853" s="35" t="str">
        <f>IFERROR(_xlfn.XLOOKUP(Table6[[#This Row],[Affected WTG]],'Basic Data'!$A:$A,'Basic Data'!$C:$C),"")</f>
        <v>GEDA</v>
      </c>
      <c r="J853" s="471">
        <f>IFERROR(_xlfn.XLOOKUP(Table6[[#This Row],[Affected WTG]],'Basic Data'!$A:$A,'Basic Data'!$E:$E),"")</f>
        <v>3.846153846153845E-2</v>
      </c>
      <c r="K853" s="102">
        <v>55</v>
      </c>
      <c r="L853" s="35" t="str">
        <f>IFERROR(_xlfn.XLOOKUP(Table6[[#This Row],[Error Code]],'Basic Data'!$AA:$AA,'Basic Data'!$AB:$AB),"Incorrect Error Code")</f>
        <v>WTG shut down</v>
      </c>
      <c r="M853" s="35" t="s">
        <v>330</v>
      </c>
      <c r="N853" s="475"/>
      <c r="O853" s="476">
        <v>0.31458333333333333</v>
      </c>
      <c r="P853" s="476">
        <v>0.3611111111111111</v>
      </c>
      <c r="Q853" s="477">
        <v>0.3611111111111111</v>
      </c>
      <c r="R853" s="472">
        <f>IF(Table6[[#This Row],[Work Start TimeStamp]]="","",(Table6[[#This Row],[Work Start TimeStamp]]-Table6[[#This Row],[Fault Start TimeStamp]])*24)</f>
        <v>1.1166666666666667</v>
      </c>
      <c r="S853" s="472">
        <f>(Table6[[#This Row],[Fault Clearance time]]-Table6[[#This Row],[Work Start TimeStamp]])*24</f>
        <v>0</v>
      </c>
      <c r="T853" s="472">
        <f>(Table6[[#This Row],[Fault Clearance time]]-Table6[[#This Row],[Fault Start TimeStamp]])*24</f>
        <v>1.1166666666666667</v>
      </c>
      <c r="U853" s="35" t="s">
        <v>1744</v>
      </c>
      <c r="V853" s="102" t="s">
        <v>293</v>
      </c>
      <c r="W853" s="478">
        <f>IFERROR(Table6[[#This Row],[Breakdown Time]]*Table6[[#This Row],[Plant Equivalent Weightage]],"")</f>
        <v>4.2948717948717935E-2</v>
      </c>
      <c r="X853" s="473" t="s">
        <v>294</v>
      </c>
      <c r="Y853" s="474" t="s">
        <v>99</v>
      </c>
      <c r="Z853" s="102">
        <v>33380</v>
      </c>
      <c r="AA853" s="468">
        <f>(Table6[[#This Row],[Paired WTG Generation for loss calculation]]/24)*Table6[[#This Row],[Breakdown Time]]</f>
        <v>1553.0972222222222</v>
      </c>
      <c r="AB853" s="102"/>
      <c r="AC853" s="35"/>
      <c r="AD853" s="35"/>
    </row>
    <row r="854" spans="1:30">
      <c r="A854" s="102">
        <f t="shared" si="14"/>
        <v>853</v>
      </c>
      <c r="B854" s="468">
        <f>YEAR(Table6[[#This Row],[Date]])+IF(MONTH(Table6[[#This Row],[Date]])&gt;=4,1,0)</f>
        <v>2026</v>
      </c>
      <c r="C854" s="102">
        <f>YEAR(Table6[[#This Row],[Date]])</f>
        <v>2025</v>
      </c>
      <c r="D854" s="102" t="s">
        <v>1992</v>
      </c>
      <c r="E854" s="469">
        <f>Table6[[#This Row],[Date]]-DAY(Table6[[#This Row],[Date]])+1</f>
        <v>45778</v>
      </c>
      <c r="F854" s="470">
        <v>45802</v>
      </c>
      <c r="G854" s="35" t="s">
        <v>81</v>
      </c>
      <c r="H854" s="35" t="str">
        <f>IFERROR(_xlfn.XLOOKUP(Table6[[#This Row],[Affected WTG]],'Basic Data'!$A:$A,'Basic Data'!$B:$B),"")</f>
        <v>TQGXIIPL</v>
      </c>
      <c r="I854" s="35" t="str">
        <f>IFERROR(_xlfn.XLOOKUP(Table6[[#This Row],[Affected WTG]],'Basic Data'!$A:$A,'Basic Data'!$C:$C),"")</f>
        <v>GEDA</v>
      </c>
      <c r="J854" s="471">
        <f>IFERROR(_xlfn.XLOOKUP(Table6[[#This Row],[Affected WTG]],'Basic Data'!$A:$A,'Basic Data'!$E:$E),"")</f>
        <v>3.846153846153845E-2</v>
      </c>
      <c r="K854" s="102">
        <v>6130</v>
      </c>
      <c r="L854" s="35" t="str">
        <f>IFERROR(_xlfn.XLOOKUP(Table6[[#This Row],[Error Code]],'Basic Data'!$AA:$AA,'Basic Data'!$AB:$AB),"Incorrect Error Code")</f>
        <v>Yaw speed high</v>
      </c>
      <c r="M854" s="35" t="s">
        <v>292</v>
      </c>
      <c r="N854" s="475"/>
      <c r="O854" s="476">
        <v>0.17847222222222223</v>
      </c>
      <c r="P854" s="476">
        <v>0.18263888888888888</v>
      </c>
      <c r="Q854" s="477">
        <v>0.18263888888888888</v>
      </c>
      <c r="R854" s="472">
        <f>IF(Table6[[#This Row],[Work Start TimeStamp]]="","",(Table6[[#This Row],[Work Start TimeStamp]]-Table6[[#This Row],[Fault Start TimeStamp]])*24)</f>
        <v>9.9999999999999645E-2</v>
      </c>
      <c r="S854" s="472">
        <f>(Table6[[#This Row],[Fault Clearance time]]-Table6[[#This Row],[Work Start TimeStamp]])*24</f>
        <v>0</v>
      </c>
      <c r="T854" s="472">
        <f>(Table6[[#This Row],[Fault Clearance time]]-Table6[[#This Row],[Fault Start TimeStamp]])*24</f>
        <v>9.9999999999999645E-2</v>
      </c>
      <c r="U854" s="35" t="s">
        <v>336</v>
      </c>
      <c r="V854" s="102" t="s">
        <v>293</v>
      </c>
      <c r="W854" s="478">
        <f>IFERROR(Table6[[#This Row],[Breakdown Time]]*Table6[[#This Row],[Plant Equivalent Weightage]],"")</f>
        <v>3.8461538461538312E-3</v>
      </c>
      <c r="X854" s="473" t="s">
        <v>294</v>
      </c>
      <c r="Y854" s="474" t="s">
        <v>99</v>
      </c>
      <c r="Z854" s="102">
        <v>33380</v>
      </c>
      <c r="AA854" s="468">
        <f>(Table6[[#This Row],[Paired WTG Generation for loss calculation]]/24)*Table6[[#This Row],[Breakdown Time]]</f>
        <v>139.08333333333283</v>
      </c>
      <c r="AB854" s="102"/>
      <c r="AC854" s="35"/>
      <c r="AD854" s="35"/>
    </row>
    <row r="855" spans="1:30">
      <c r="A855" s="102">
        <f t="shared" si="14"/>
        <v>854</v>
      </c>
      <c r="B855" s="468">
        <f>YEAR(Table6[[#This Row],[Date]])+IF(MONTH(Table6[[#This Row],[Date]])&gt;=4,1,0)</f>
        <v>2026</v>
      </c>
      <c r="C855" s="102">
        <f>YEAR(Table6[[#This Row],[Date]])</f>
        <v>2025</v>
      </c>
      <c r="D855" s="102" t="s">
        <v>1992</v>
      </c>
      <c r="E855" s="469">
        <f>Table6[[#This Row],[Date]]-DAY(Table6[[#This Row],[Date]])+1</f>
        <v>45778</v>
      </c>
      <c r="F855" s="470">
        <v>45802</v>
      </c>
      <c r="G855" s="35" t="s">
        <v>81</v>
      </c>
      <c r="H855" s="35" t="str">
        <f>IFERROR(_xlfn.XLOOKUP(Table6[[#This Row],[Affected WTG]],'Basic Data'!$A:$A,'Basic Data'!$B:$B),"")</f>
        <v>TQGXIIPL</v>
      </c>
      <c r="I855" s="35" t="str">
        <f>IFERROR(_xlfn.XLOOKUP(Table6[[#This Row],[Affected WTG]],'Basic Data'!$A:$A,'Basic Data'!$C:$C),"")</f>
        <v>GEDA</v>
      </c>
      <c r="J855" s="471">
        <f>IFERROR(_xlfn.XLOOKUP(Table6[[#This Row],[Affected WTG]],'Basic Data'!$A:$A,'Basic Data'!$E:$E),"")</f>
        <v>3.846153846153845E-2</v>
      </c>
      <c r="K855" s="102">
        <v>55</v>
      </c>
      <c r="L855" s="35" t="str">
        <f>IFERROR(_xlfn.XLOOKUP(Table6[[#This Row],[Error Code]],'Basic Data'!$AA:$AA,'Basic Data'!$AB:$AB),"Incorrect Error Code")</f>
        <v>WTG shut down</v>
      </c>
      <c r="M855" s="35" t="s">
        <v>330</v>
      </c>
      <c r="N855" s="475"/>
      <c r="O855" s="476">
        <v>0.81736111111111109</v>
      </c>
      <c r="P855" s="476">
        <v>0.96388888888888891</v>
      </c>
      <c r="Q855" s="477">
        <v>0.96388888888888891</v>
      </c>
      <c r="R855" s="472">
        <f>IF(Table6[[#This Row],[Work Start TimeStamp]]="","",(Table6[[#This Row],[Work Start TimeStamp]]-Table6[[#This Row],[Fault Start TimeStamp]])*24)</f>
        <v>3.5166666666666675</v>
      </c>
      <c r="S855" s="472">
        <f>(Table6[[#This Row],[Fault Clearance time]]-Table6[[#This Row],[Work Start TimeStamp]])*24</f>
        <v>0</v>
      </c>
      <c r="T855" s="472">
        <f>(Table6[[#This Row],[Fault Clearance time]]-Table6[[#This Row],[Fault Start TimeStamp]])*24</f>
        <v>3.5166666666666675</v>
      </c>
      <c r="U855" s="35" t="s">
        <v>1744</v>
      </c>
      <c r="V855" s="102" t="s">
        <v>293</v>
      </c>
      <c r="W855" s="478">
        <f>IFERROR(Table6[[#This Row],[Breakdown Time]]*Table6[[#This Row],[Plant Equivalent Weightage]],"")</f>
        <v>0.13525641025641025</v>
      </c>
      <c r="X855" s="473" t="s">
        <v>294</v>
      </c>
      <c r="Y855" s="474" t="s">
        <v>99</v>
      </c>
      <c r="Z855" s="102">
        <v>33380</v>
      </c>
      <c r="AA855" s="468">
        <f>(Table6[[#This Row],[Paired WTG Generation for loss calculation]]/24)*Table6[[#This Row],[Breakdown Time]]</f>
        <v>4891.0972222222235</v>
      </c>
      <c r="AB855" s="102"/>
      <c r="AC855" s="35"/>
      <c r="AD855" s="35"/>
    </row>
    <row r="856" spans="1:30">
      <c r="A856" s="102">
        <f t="shared" si="14"/>
        <v>855</v>
      </c>
      <c r="B856" s="468">
        <f>YEAR(Table6[[#This Row],[Date]])+IF(MONTH(Table6[[#This Row],[Date]])&gt;=4,1,0)</f>
        <v>2026</v>
      </c>
      <c r="C856" s="102">
        <f>YEAR(Table6[[#This Row],[Date]])</f>
        <v>2025</v>
      </c>
      <c r="D856" s="102" t="s">
        <v>1992</v>
      </c>
      <c r="E856" s="469">
        <f>Table6[[#This Row],[Date]]-DAY(Table6[[#This Row],[Date]])+1</f>
        <v>45778</v>
      </c>
      <c r="F856" s="470">
        <v>45802</v>
      </c>
      <c r="G856" s="35" t="s">
        <v>85</v>
      </c>
      <c r="H856" s="35" t="str">
        <f>IFERROR(_xlfn.XLOOKUP(Table6[[#This Row],[Affected WTG]],'Basic Data'!$A:$A,'Basic Data'!$B:$B),"")</f>
        <v>TQGXIIPL</v>
      </c>
      <c r="I856" s="35" t="str">
        <f>IFERROR(_xlfn.XLOOKUP(Table6[[#This Row],[Affected WTG]],'Basic Data'!$A:$A,'Basic Data'!$C:$C),"")</f>
        <v>GEDA</v>
      </c>
      <c r="J856" s="471">
        <f>IFERROR(_xlfn.XLOOKUP(Table6[[#This Row],[Affected WTG]],'Basic Data'!$A:$A,'Basic Data'!$E:$E),"")</f>
        <v>3.846153846153845E-2</v>
      </c>
      <c r="K856" s="102">
        <v>55</v>
      </c>
      <c r="L856" s="35" t="str">
        <f>IFERROR(_xlfn.XLOOKUP(Table6[[#This Row],[Error Code]],'Basic Data'!$AA:$AA,'Basic Data'!$AB:$AB),"Incorrect Error Code")</f>
        <v>WTG shut down</v>
      </c>
      <c r="M856" s="35" t="s">
        <v>330</v>
      </c>
      <c r="N856" s="475"/>
      <c r="O856" s="476">
        <v>0</v>
      </c>
      <c r="P856" s="476">
        <v>5.5555555555555552E-2</v>
      </c>
      <c r="Q856" s="477">
        <v>5.5555555555555552E-2</v>
      </c>
      <c r="R856" s="472">
        <f>IF(Table6[[#This Row],[Work Start TimeStamp]]="","",(Table6[[#This Row],[Work Start TimeStamp]]-Table6[[#This Row],[Fault Start TimeStamp]])*24)</f>
        <v>1.3333333333333333</v>
      </c>
      <c r="S856" s="472">
        <f>(Table6[[#This Row],[Fault Clearance time]]-Table6[[#This Row],[Work Start TimeStamp]])*24</f>
        <v>0</v>
      </c>
      <c r="T856" s="472">
        <f>(Table6[[#This Row],[Fault Clearance time]]-Table6[[#This Row],[Fault Start TimeStamp]])*24</f>
        <v>1.3333333333333333</v>
      </c>
      <c r="U856" s="35" t="s">
        <v>1744</v>
      </c>
      <c r="V856" s="102" t="s">
        <v>293</v>
      </c>
      <c r="W856" s="478">
        <f>IFERROR(Table6[[#This Row],[Breakdown Time]]*Table6[[#This Row],[Plant Equivalent Weightage]],"")</f>
        <v>5.1282051282051266E-2</v>
      </c>
      <c r="X856" s="473" t="s">
        <v>294</v>
      </c>
      <c r="Y856" s="474" t="s">
        <v>87</v>
      </c>
      <c r="Z856" s="102">
        <v>34055</v>
      </c>
      <c r="AA856" s="468">
        <f>(Table6[[#This Row],[Paired WTG Generation for loss calculation]]/24)*Table6[[#This Row],[Breakdown Time]]</f>
        <v>1891.9444444444443</v>
      </c>
      <c r="AB856" s="102"/>
      <c r="AC856" s="35"/>
      <c r="AD856" s="35"/>
    </row>
    <row r="857" spans="1:30">
      <c r="A857" s="102">
        <f t="shared" si="14"/>
        <v>856</v>
      </c>
      <c r="B857" s="468">
        <f>YEAR(Table6[[#This Row],[Date]])+IF(MONTH(Table6[[#This Row],[Date]])&gt;=4,1,0)</f>
        <v>2026</v>
      </c>
      <c r="C857" s="102">
        <f>YEAR(Table6[[#This Row],[Date]])</f>
        <v>2025</v>
      </c>
      <c r="D857" s="102" t="s">
        <v>1992</v>
      </c>
      <c r="E857" s="469">
        <f>Table6[[#This Row],[Date]]-DAY(Table6[[#This Row],[Date]])+1</f>
        <v>45778</v>
      </c>
      <c r="F857" s="470">
        <v>45802</v>
      </c>
      <c r="G857" s="35" t="s">
        <v>85</v>
      </c>
      <c r="H857" s="35" t="str">
        <f>IFERROR(_xlfn.XLOOKUP(Table6[[#This Row],[Affected WTG]],'Basic Data'!$A:$A,'Basic Data'!$B:$B),"")</f>
        <v>TQGXIIPL</v>
      </c>
      <c r="I857" s="35" t="str">
        <f>IFERROR(_xlfn.XLOOKUP(Table6[[#This Row],[Affected WTG]],'Basic Data'!$A:$A,'Basic Data'!$C:$C),"")</f>
        <v>GEDA</v>
      </c>
      <c r="J857" s="471">
        <f>IFERROR(_xlfn.XLOOKUP(Table6[[#This Row],[Affected WTG]],'Basic Data'!$A:$A,'Basic Data'!$E:$E),"")</f>
        <v>3.846153846153845E-2</v>
      </c>
      <c r="K857" s="102">
        <v>665</v>
      </c>
      <c r="L857" s="35" t="str">
        <f>IFERROR(_xlfn.XLOOKUP(Table6[[#This Row],[Error Code]],'Basic Data'!$AA:$AA,'Basic Data'!$AB:$AB),"Incorrect Error Code")</f>
        <v>Pitch error</v>
      </c>
      <c r="M857" s="35" t="s">
        <v>292</v>
      </c>
      <c r="N857" s="475"/>
      <c r="O857" s="476">
        <v>5.6250000000000001E-2</v>
      </c>
      <c r="P857" s="476">
        <v>5.9722222222222225E-2</v>
      </c>
      <c r="Q857" s="477">
        <v>5.9722222222222225E-2</v>
      </c>
      <c r="R857" s="472">
        <f>IF(Table6[[#This Row],[Work Start TimeStamp]]="","",(Table6[[#This Row],[Work Start TimeStamp]]-Table6[[#This Row],[Fault Start TimeStamp]])*24)</f>
        <v>8.333333333333337E-2</v>
      </c>
      <c r="S857" s="472">
        <f>(Table6[[#This Row],[Fault Clearance time]]-Table6[[#This Row],[Work Start TimeStamp]])*24</f>
        <v>0</v>
      </c>
      <c r="T857" s="472">
        <f>(Table6[[#This Row],[Fault Clearance time]]-Table6[[#This Row],[Fault Start TimeStamp]])*24</f>
        <v>8.333333333333337E-2</v>
      </c>
      <c r="U857" s="35" t="s">
        <v>346</v>
      </c>
      <c r="V857" s="102" t="s">
        <v>293</v>
      </c>
      <c r="W857" s="478">
        <f>IFERROR(Table6[[#This Row],[Breakdown Time]]*Table6[[#This Row],[Plant Equivalent Weightage]],"")</f>
        <v>3.2051282051282055E-3</v>
      </c>
      <c r="X857" s="473" t="s">
        <v>294</v>
      </c>
      <c r="Y857" s="474" t="s">
        <v>87</v>
      </c>
      <c r="Z857" s="102">
        <v>34055</v>
      </c>
      <c r="AA857" s="468">
        <f>(Table6[[#This Row],[Paired WTG Generation for loss calculation]]/24)*Table6[[#This Row],[Breakdown Time]]</f>
        <v>118.24652777777783</v>
      </c>
      <c r="AB857" s="102"/>
      <c r="AC857" s="35"/>
      <c r="AD857" s="35"/>
    </row>
    <row r="858" spans="1:30">
      <c r="A858" s="102">
        <f t="shared" si="14"/>
        <v>857</v>
      </c>
      <c r="B858" s="468">
        <f>YEAR(Table6[[#This Row],[Date]])+IF(MONTH(Table6[[#This Row],[Date]])&gt;=4,1,0)</f>
        <v>2026</v>
      </c>
      <c r="C858" s="102">
        <f>YEAR(Table6[[#This Row],[Date]])</f>
        <v>2025</v>
      </c>
      <c r="D858" s="102" t="s">
        <v>1992</v>
      </c>
      <c r="E858" s="469">
        <f>Table6[[#This Row],[Date]]-DAY(Table6[[#This Row],[Date]])+1</f>
        <v>45778</v>
      </c>
      <c r="F858" s="470">
        <v>45802</v>
      </c>
      <c r="G858" s="35" t="s">
        <v>94</v>
      </c>
      <c r="H858" s="35" t="str">
        <f>IFERROR(_xlfn.XLOOKUP(Table6[[#This Row],[Affected WTG]],'Basic Data'!$A:$A,'Basic Data'!$B:$B),"")</f>
        <v>TQGXIIPL</v>
      </c>
      <c r="I858" s="35" t="str">
        <f>IFERROR(_xlfn.XLOOKUP(Table6[[#This Row],[Affected WTG]],'Basic Data'!$A:$A,'Basic Data'!$C:$C),"")</f>
        <v>GEDA</v>
      </c>
      <c r="J858" s="471">
        <f>IFERROR(_xlfn.XLOOKUP(Table6[[#This Row],[Affected WTG]],'Basic Data'!$A:$A,'Basic Data'!$E:$E),"")</f>
        <v>3.846153846153845E-2</v>
      </c>
      <c r="K858" s="102">
        <v>3000</v>
      </c>
      <c r="L858" s="35" t="str">
        <f>IFERROR(_xlfn.XLOOKUP(Table6[[#This Row],[Error Code]],'Basic Data'!$AA:$AA,'Basic Data'!$AB:$AB),"Incorrect Error Code")</f>
        <v>Frequency converter not ready</v>
      </c>
      <c r="M858" s="35" t="s">
        <v>295</v>
      </c>
      <c r="N858" s="475"/>
      <c r="O858" s="476">
        <v>0.59097222222222223</v>
      </c>
      <c r="P858" s="476">
        <v>0.65625</v>
      </c>
      <c r="Q858" s="477">
        <v>0.99722222222222223</v>
      </c>
      <c r="R858" s="472">
        <f>IF(Table6[[#This Row],[Work Start TimeStamp]]="","",(Table6[[#This Row],[Work Start TimeStamp]]-Table6[[#This Row],[Fault Start TimeStamp]])*24)</f>
        <v>1.5666666666666664</v>
      </c>
      <c r="S858" s="472">
        <f>(Table6[[#This Row],[Fault Clearance time]]-Table6[[#This Row],[Work Start TimeStamp]])*24</f>
        <v>8.1833333333333336</v>
      </c>
      <c r="T858" s="472">
        <f>(Table6[[#This Row],[Fault Clearance time]]-Table6[[#This Row],[Fault Start TimeStamp]])*24</f>
        <v>9.75</v>
      </c>
      <c r="U858" s="35" t="s">
        <v>1902</v>
      </c>
      <c r="V858" s="102" t="s">
        <v>293</v>
      </c>
      <c r="W858" s="478">
        <f>IFERROR(Table6[[#This Row],[Breakdown Time]]*Table6[[#This Row],[Plant Equivalent Weightage]],"")</f>
        <v>0.37499999999999989</v>
      </c>
      <c r="X858" s="473" t="s">
        <v>290</v>
      </c>
      <c r="Y858" s="474" t="s">
        <v>79</v>
      </c>
      <c r="Z858" s="102">
        <v>37549</v>
      </c>
      <c r="AA858" s="468">
        <f>(Table6[[#This Row],[Paired WTG Generation for loss calculation]]/24)*Table6[[#This Row],[Breakdown Time]]</f>
        <v>15254.28125</v>
      </c>
      <c r="AB858" s="102"/>
      <c r="AC858" s="35"/>
      <c r="AD858" s="35"/>
    </row>
    <row r="859" spans="1:30">
      <c r="A859" s="102">
        <f t="shared" si="14"/>
        <v>858</v>
      </c>
      <c r="B859" s="468">
        <f>YEAR(Table6[[#This Row],[Date]])+IF(MONTH(Table6[[#This Row],[Date]])&gt;=4,1,0)</f>
        <v>2026</v>
      </c>
      <c r="C859" s="102">
        <f>YEAR(Table6[[#This Row],[Date]])</f>
        <v>2025</v>
      </c>
      <c r="D859" s="102" t="s">
        <v>1992</v>
      </c>
      <c r="E859" s="469">
        <f>Table6[[#This Row],[Date]]-DAY(Table6[[#This Row],[Date]])+1</f>
        <v>45778</v>
      </c>
      <c r="F859" s="470">
        <v>45802</v>
      </c>
      <c r="G859" s="35" t="s">
        <v>98</v>
      </c>
      <c r="H859" s="35" t="str">
        <f>IFERROR(_xlfn.XLOOKUP(Table6[[#This Row],[Affected WTG]],'Basic Data'!$A:$A,'Basic Data'!$B:$B),"")</f>
        <v>TQGXIIPL</v>
      </c>
      <c r="I859" s="35" t="str">
        <f>IFERROR(_xlfn.XLOOKUP(Table6[[#This Row],[Affected WTG]],'Basic Data'!$A:$A,'Basic Data'!$C:$C),"")</f>
        <v>GEDA</v>
      </c>
      <c r="J859" s="471">
        <f>IFERROR(_xlfn.XLOOKUP(Table6[[#This Row],[Affected WTG]],'Basic Data'!$A:$A,'Basic Data'!$E:$E),"")</f>
        <v>3.846153846153845E-2</v>
      </c>
      <c r="K859" s="102">
        <v>55</v>
      </c>
      <c r="L859" s="35" t="str">
        <f>IFERROR(_xlfn.XLOOKUP(Table6[[#This Row],[Error Code]],'Basic Data'!$AA:$AA,'Basic Data'!$AB:$AB),"Incorrect Error Code")</f>
        <v>WTG shut down</v>
      </c>
      <c r="M859" s="35" t="s">
        <v>330</v>
      </c>
      <c r="N859" s="475"/>
      <c r="O859" s="476">
        <v>0.82708333333333328</v>
      </c>
      <c r="P859" s="476">
        <v>0.93333333333333335</v>
      </c>
      <c r="Q859" s="477">
        <v>0.93333333333333335</v>
      </c>
      <c r="R859" s="472">
        <f>IF(Table6[[#This Row],[Work Start TimeStamp]]="","",(Table6[[#This Row],[Work Start TimeStamp]]-Table6[[#This Row],[Fault Start TimeStamp]])*24)</f>
        <v>2.5500000000000016</v>
      </c>
      <c r="S859" s="472">
        <f>(Table6[[#This Row],[Fault Clearance time]]-Table6[[#This Row],[Work Start TimeStamp]])*24</f>
        <v>0</v>
      </c>
      <c r="T859" s="472">
        <f>(Table6[[#This Row],[Fault Clearance time]]-Table6[[#This Row],[Fault Start TimeStamp]])*24</f>
        <v>2.5500000000000016</v>
      </c>
      <c r="U859" s="35" t="s">
        <v>1744</v>
      </c>
      <c r="V859" s="102" t="s">
        <v>293</v>
      </c>
      <c r="W859" s="478">
        <f>IFERROR(Table6[[#This Row],[Breakdown Time]]*Table6[[#This Row],[Plant Equivalent Weightage]],"")</f>
        <v>9.8076923076923103E-2</v>
      </c>
      <c r="X859" s="473" t="s">
        <v>294</v>
      </c>
      <c r="Y859" s="474" t="s">
        <v>74</v>
      </c>
      <c r="Z859" s="102">
        <v>31523</v>
      </c>
      <c r="AA859" s="468">
        <f>(Table6[[#This Row],[Paired WTG Generation for loss calculation]]/24)*Table6[[#This Row],[Breakdown Time]]</f>
        <v>3349.3187500000017</v>
      </c>
      <c r="AB859" s="102"/>
      <c r="AC859" s="35"/>
      <c r="AD859" s="35"/>
    </row>
    <row r="860" spans="1:30">
      <c r="A860" s="102">
        <f t="shared" si="14"/>
        <v>859</v>
      </c>
      <c r="B860" s="468">
        <f>YEAR(Table6[[#This Row],[Date]])+IF(MONTH(Table6[[#This Row],[Date]])&gt;=4,1,0)</f>
        <v>2026</v>
      </c>
      <c r="C860" s="102">
        <f>YEAR(Table6[[#This Row],[Date]])</f>
        <v>2025</v>
      </c>
      <c r="D860" s="102" t="s">
        <v>1992</v>
      </c>
      <c r="E860" s="469">
        <f>Table6[[#This Row],[Date]]-DAY(Table6[[#This Row],[Date]])+1</f>
        <v>45778</v>
      </c>
      <c r="F860" s="470">
        <v>45803</v>
      </c>
      <c r="G860" s="35" t="s">
        <v>74</v>
      </c>
      <c r="H860" s="35" t="str">
        <f>IFERROR(_xlfn.XLOOKUP(Table6[[#This Row],[Affected WTG]],'Basic Data'!$A:$A,'Basic Data'!$B:$B),"")</f>
        <v>TQGXIIPL</v>
      </c>
      <c r="I860" s="35" t="str">
        <f>IFERROR(_xlfn.XLOOKUP(Table6[[#This Row],[Affected WTG]],'Basic Data'!$A:$A,'Basic Data'!$C:$C),"")</f>
        <v>GEDA</v>
      </c>
      <c r="J860" s="471">
        <f>IFERROR(_xlfn.XLOOKUP(Table6[[#This Row],[Affected WTG]],'Basic Data'!$A:$A,'Basic Data'!$E:$E),"")</f>
        <v>3.846153846153845E-2</v>
      </c>
      <c r="K860" s="102">
        <v>58</v>
      </c>
      <c r="L860" s="35" t="str">
        <f>IFERROR(_xlfn.XLOOKUP(Table6[[#This Row],[Error Code]],'Basic Data'!$AA:$AA,'Basic Data'!$AB:$AB),"Incorrect Error Code")</f>
        <v>Wind dir.dev. level 2</v>
      </c>
      <c r="M860" s="35" t="s">
        <v>292</v>
      </c>
      <c r="N860" s="475"/>
      <c r="O860" s="476">
        <v>6.2500000000000003E-3</v>
      </c>
      <c r="P860" s="476">
        <v>8.3333333333333332E-3</v>
      </c>
      <c r="Q860" s="477">
        <v>8.3333333333333332E-3</v>
      </c>
      <c r="R860" s="472">
        <f>IF(Table6[[#This Row],[Work Start TimeStamp]]="","",(Table6[[#This Row],[Work Start TimeStamp]]-Table6[[#This Row],[Fault Start TimeStamp]])*24)</f>
        <v>4.9999999999999989E-2</v>
      </c>
      <c r="S860" s="472">
        <f>(Table6[[#This Row],[Fault Clearance time]]-Table6[[#This Row],[Work Start TimeStamp]])*24</f>
        <v>0</v>
      </c>
      <c r="T860" s="472">
        <f>(Table6[[#This Row],[Fault Clearance time]]-Table6[[#This Row],[Fault Start TimeStamp]])*24</f>
        <v>4.9999999999999989E-2</v>
      </c>
      <c r="U860" s="35" t="s">
        <v>336</v>
      </c>
      <c r="V860" s="102" t="s">
        <v>293</v>
      </c>
      <c r="W860" s="478">
        <f>IFERROR(Table6[[#This Row],[Breakdown Time]]*Table6[[#This Row],[Plant Equivalent Weightage]],"")</f>
        <v>1.9230769230769221E-3</v>
      </c>
      <c r="X860" s="473" t="s">
        <v>294</v>
      </c>
      <c r="Y860" s="474" t="s">
        <v>99</v>
      </c>
      <c r="Z860" s="102">
        <v>29985</v>
      </c>
      <c r="AA860" s="468">
        <f>(Table6[[#This Row],[Paired WTG Generation for loss calculation]]/24)*Table6[[#This Row],[Breakdown Time]]</f>
        <v>62.468749999999986</v>
      </c>
      <c r="AB860" s="102"/>
      <c r="AC860" s="35"/>
      <c r="AD860" s="35"/>
    </row>
    <row r="861" spans="1:30">
      <c r="A861" s="102">
        <f t="shared" si="14"/>
        <v>860</v>
      </c>
      <c r="B861" s="468">
        <f>YEAR(Table6[[#This Row],[Date]])+IF(MONTH(Table6[[#This Row],[Date]])&gt;=4,1,0)</f>
        <v>2026</v>
      </c>
      <c r="C861" s="102">
        <f>YEAR(Table6[[#This Row],[Date]])</f>
        <v>2025</v>
      </c>
      <c r="D861" s="102" t="s">
        <v>1992</v>
      </c>
      <c r="E861" s="469">
        <f>Table6[[#This Row],[Date]]-DAY(Table6[[#This Row],[Date]])+1</f>
        <v>45778</v>
      </c>
      <c r="F861" s="470">
        <v>45803</v>
      </c>
      <c r="G861" s="35" t="s">
        <v>75</v>
      </c>
      <c r="H861" s="35" t="str">
        <f>IFERROR(_xlfn.XLOOKUP(Table6[[#This Row],[Affected WTG]],'Basic Data'!$A:$A,'Basic Data'!$B:$B),"")</f>
        <v>TQGXIIPL</v>
      </c>
      <c r="I861" s="35" t="str">
        <f>IFERROR(_xlfn.XLOOKUP(Table6[[#This Row],[Affected WTG]],'Basic Data'!$A:$A,'Basic Data'!$C:$C),"")</f>
        <v>GEDA</v>
      </c>
      <c r="J861" s="471">
        <f>IFERROR(_xlfn.XLOOKUP(Table6[[#This Row],[Affected WTG]],'Basic Data'!$A:$A,'Basic Data'!$E:$E),"")</f>
        <v>3.846153846153845E-2</v>
      </c>
      <c r="K861" s="102">
        <v>565</v>
      </c>
      <c r="L861" s="35" t="str">
        <f>IFERROR(_xlfn.XLOOKUP(Table6[[#This Row],[Error Code]],'Basic Data'!$AA:$AA,'Basic Data'!$AB:$AB),"Incorrect Error Code")</f>
        <v>Max. windspeed bladeangle</v>
      </c>
      <c r="M861" s="35" t="s">
        <v>307</v>
      </c>
      <c r="N861" s="475"/>
      <c r="O861" s="476">
        <v>4.8611111111111112E-3</v>
      </c>
      <c r="P861" s="476">
        <v>6.2500000000000003E-3</v>
      </c>
      <c r="Q861" s="477">
        <v>6.2500000000000003E-3</v>
      </c>
      <c r="R861" s="472">
        <f>IF(Table6[[#This Row],[Work Start TimeStamp]]="","",(Table6[[#This Row],[Work Start TimeStamp]]-Table6[[#This Row],[Fault Start TimeStamp]])*24)</f>
        <v>3.333333333333334E-2</v>
      </c>
      <c r="S861" s="472">
        <f>(Table6[[#This Row],[Fault Clearance time]]-Table6[[#This Row],[Work Start TimeStamp]])*24</f>
        <v>0</v>
      </c>
      <c r="T861" s="472">
        <f>(Table6[[#This Row],[Fault Clearance time]]-Table6[[#This Row],[Fault Start TimeStamp]])*24</f>
        <v>3.333333333333334E-2</v>
      </c>
      <c r="U861" s="35" t="s">
        <v>336</v>
      </c>
      <c r="V861" s="102" t="s">
        <v>293</v>
      </c>
      <c r="W861" s="478">
        <f>IFERROR(Table6[[#This Row],[Breakdown Time]]*Table6[[#This Row],[Plant Equivalent Weightage]],"")</f>
        <v>1.2820512820512818E-3</v>
      </c>
      <c r="X861" s="473" t="s">
        <v>294</v>
      </c>
      <c r="Y861" s="474" t="s">
        <v>78</v>
      </c>
      <c r="Z861" s="102">
        <v>29206</v>
      </c>
      <c r="AA861" s="468">
        <f>(Table6[[#This Row],[Paired WTG Generation for loss calculation]]/24)*Table6[[#This Row],[Breakdown Time]]</f>
        <v>40.563888888888897</v>
      </c>
      <c r="AB861" s="102"/>
      <c r="AC861" s="35"/>
      <c r="AD861" s="35"/>
    </row>
    <row r="862" spans="1:30">
      <c r="A862" s="102">
        <f t="shared" si="14"/>
        <v>861</v>
      </c>
      <c r="B862" s="468">
        <f>YEAR(Table6[[#This Row],[Date]])+IF(MONTH(Table6[[#This Row],[Date]])&gt;=4,1,0)</f>
        <v>2026</v>
      </c>
      <c r="C862" s="102">
        <f>YEAR(Table6[[#This Row],[Date]])</f>
        <v>2025</v>
      </c>
      <c r="D862" s="102" t="s">
        <v>1992</v>
      </c>
      <c r="E862" s="469">
        <f>Table6[[#This Row],[Date]]-DAY(Table6[[#This Row],[Date]])+1</f>
        <v>45778</v>
      </c>
      <c r="F862" s="470">
        <v>45803</v>
      </c>
      <c r="G862" s="35" t="s">
        <v>76</v>
      </c>
      <c r="H862" s="35" t="str">
        <f>IFERROR(_xlfn.XLOOKUP(Table6[[#This Row],[Affected WTG]],'Basic Data'!$A:$A,'Basic Data'!$B:$B),"")</f>
        <v>TQGXIIPL</v>
      </c>
      <c r="I862" s="35" t="str">
        <f>IFERROR(_xlfn.XLOOKUP(Table6[[#This Row],[Affected WTG]],'Basic Data'!$A:$A,'Basic Data'!$C:$C),"")</f>
        <v>GEDA</v>
      </c>
      <c r="J862" s="471">
        <f>IFERROR(_xlfn.XLOOKUP(Table6[[#This Row],[Affected WTG]],'Basic Data'!$A:$A,'Basic Data'!$E:$E),"")</f>
        <v>3.846153846153845E-2</v>
      </c>
      <c r="K862" s="102">
        <v>53</v>
      </c>
      <c r="L862" s="35" t="str">
        <f>IFERROR(_xlfn.XLOOKUP(Table6[[#This Row],[Error Code]],'Basic Data'!$AA:$AA,'Basic Data'!$AB:$AB),"Incorrect Error Code")</f>
        <v>Wind dir.dev. level 1</v>
      </c>
      <c r="M862" s="35" t="s">
        <v>292</v>
      </c>
      <c r="N862" s="475"/>
      <c r="O862" s="476">
        <v>9.7222222222222224E-3</v>
      </c>
      <c r="P862" s="476">
        <v>1.1805555555555555E-2</v>
      </c>
      <c r="Q862" s="477">
        <v>1.1805555555555555E-2</v>
      </c>
      <c r="R862" s="472">
        <f>IF(Table6[[#This Row],[Work Start TimeStamp]]="","",(Table6[[#This Row],[Work Start TimeStamp]]-Table6[[#This Row],[Fault Start TimeStamp]])*24)</f>
        <v>4.9999999999999989E-2</v>
      </c>
      <c r="S862" s="472">
        <f>(Table6[[#This Row],[Fault Clearance time]]-Table6[[#This Row],[Work Start TimeStamp]])*24</f>
        <v>0</v>
      </c>
      <c r="T862" s="472">
        <f>(Table6[[#This Row],[Fault Clearance time]]-Table6[[#This Row],[Fault Start TimeStamp]])*24</f>
        <v>4.9999999999999989E-2</v>
      </c>
      <c r="U862" s="35" t="s">
        <v>336</v>
      </c>
      <c r="V862" s="102" t="s">
        <v>293</v>
      </c>
      <c r="W862" s="478">
        <f>IFERROR(Table6[[#This Row],[Breakdown Time]]*Table6[[#This Row],[Plant Equivalent Weightage]],"")</f>
        <v>1.9230769230769221E-3</v>
      </c>
      <c r="X862" s="473" t="s">
        <v>294</v>
      </c>
      <c r="Y862" s="474" t="s">
        <v>82</v>
      </c>
      <c r="Z862" s="102">
        <v>30386</v>
      </c>
      <c r="AA862" s="468">
        <f>(Table6[[#This Row],[Paired WTG Generation for loss calculation]]/24)*Table6[[#This Row],[Breakdown Time]]</f>
        <v>63.304166666666646</v>
      </c>
      <c r="AB862" s="102"/>
      <c r="AC862" s="35"/>
      <c r="AD862" s="35"/>
    </row>
    <row r="863" spans="1:30">
      <c r="A863" s="102">
        <f t="shared" si="14"/>
        <v>862</v>
      </c>
      <c r="B863" s="468">
        <f>YEAR(Table6[[#This Row],[Date]])+IF(MONTH(Table6[[#This Row],[Date]])&gt;=4,1,0)</f>
        <v>2026</v>
      </c>
      <c r="C863" s="102">
        <f>YEAR(Table6[[#This Row],[Date]])</f>
        <v>2025</v>
      </c>
      <c r="D863" s="102" t="s">
        <v>1992</v>
      </c>
      <c r="E863" s="469">
        <f>Table6[[#This Row],[Date]]-DAY(Table6[[#This Row],[Date]])+1</f>
        <v>45778</v>
      </c>
      <c r="F863" s="470">
        <v>45803</v>
      </c>
      <c r="G863" s="35" t="s">
        <v>76</v>
      </c>
      <c r="H863" s="35" t="str">
        <f>IFERROR(_xlfn.XLOOKUP(Table6[[#This Row],[Affected WTG]],'Basic Data'!$A:$A,'Basic Data'!$B:$B),"")</f>
        <v>TQGXIIPL</v>
      </c>
      <c r="I863" s="35" t="str">
        <f>IFERROR(_xlfn.XLOOKUP(Table6[[#This Row],[Affected WTG]],'Basic Data'!$A:$A,'Basic Data'!$C:$C),"")</f>
        <v>GEDA</v>
      </c>
      <c r="J863" s="471">
        <f>IFERROR(_xlfn.XLOOKUP(Table6[[#This Row],[Affected WTG]],'Basic Data'!$A:$A,'Basic Data'!$E:$E),"")</f>
        <v>3.846153846153845E-2</v>
      </c>
      <c r="K863" s="102">
        <v>178</v>
      </c>
      <c r="L863" s="35" t="str">
        <f>IFERROR(_xlfn.XLOOKUP(Table6[[#This Row],[Error Code]],'Basic Data'!$AA:$AA,'Basic Data'!$AB:$AB),"Incorrect Error Code")</f>
        <v>SLC MF safe operation speed limit</v>
      </c>
      <c r="M863" s="35" t="s">
        <v>291</v>
      </c>
      <c r="N863" s="475"/>
      <c r="O863" s="476">
        <v>3.5416666666666666E-2</v>
      </c>
      <c r="P863" s="476">
        <v>4.2361111111111113E-2</v>
      </c>
      <c r="Q863" s="477">
        <v>4.2361111111111113E-2</v>
      </c>
      <c r="R863" s="472">
        <f>IF(Table6[[#This Row],[Work Start TimeStamp]]="","",(Table6[[#This Row],[Work Start TimeStamp]]-Table6[[#This Row],[Fault Start TimeStamp]])*24)</f>
        <v>0.16666666666666674</v>
      </c>
      <c r="S863" s="472">
        <f>(Table6[[#This Row],[Fault Clearance time]]-Table6[[#This Row],[Work Start TimeStamp]])*24</f>
        <v>0</v>
      </c>
      <c r="T863" s="472">
        <f>(Table6[[#This Row],[Fault Clearance time]]-Table6[[#This Row],[Fault Start TimeStamp]])*24</f>
        <v>0.16666666666666674</v>
      </c>
      <c r="U863" s="35" t="s">
        <v>1858</v>
      </c>
      <c r="V863" s="102" t="s">
        <v>293</v>
      </c>
      <c r="W863" s="478">
        <f>IFERROR(Table6[[#This Row],[Breakdown Time]]*Table6[[#This Row],[Plant Equivalent Weightage]],"")</f>
        <v>6.4102564102564109E-3</v>
      </c>
      <c r="X863" s="473" t="s">
        <v>290</v>
      </c>
      <c r="Y863" s="474" t="s">
        <v>82</v>
      </c>
      <c r="Z863" s="102">
        <v>30386</v>
      </c>
      <c r="AA863" s="468">
        <f>(Table6[[#This Row],[Paired WTG Generation for loss calculation]]/24)*Table6[[#This Row],[Breakdown Time]]</f>
        <v>211.01388888888897</v>
      </c>
      <c r="AB863" s="102"/>
      <c r="AC863" s="35"/>
      <c r="AD863" s="35"/>
    </row>
    <row r="864" spans="1:30">
      <c r="A864" s="102">
        <f t="shared" si="14"/>
        <v>863</v>
      </c>
      <c r="B864" s="468">
        <f>YEAR(Table6[[#This Row],[Date]])+IF(MONTH(Table6[[#This Row],[Date]])&gt;=4,1,0)</f>
        <v>2026</v>
      </c>
      <c r="C864" s="102">
        <f>YEAR(Table6[[#This Row],[Date]])</f>
        <v>2025</v>
      </c>
      <c r="D864" s="102" t="s">
        <v>1992</v>
      </c>
      <c r="E864" s="469">
        <f>Table6[[#This Row],[Date]]-DAY(Table6[[#This Row],[Date]])+1</f>
        <v>45778</v>
      </c>
      <c r="F864" s="470">
        <v>45803</v>
      </c>
      <c r="G864" s="35" t="s">
        <v>77</v>
      </c>
      <c r="H864" s="35" t="str">
        <f>IFERROR(_xlfn.XLOOKUP(Table6[[#This Row],[Affected WTG]],'Basic Data'!$A:$A,'Basic Data'!$B:$B),"")</f>
        <v>TQGXIIPL</v>
      </c>
      <c r="I864" s="35" t="str">
        <f>IFERROR(_xlfn.XLOOKUP(Table6[[#This Row],[Affected WTG]],'Basic Data'!$A:$A,'Basic Data'!$C:$C),"")</f>
        <v>GEDA</v>
      </c>
      <c r="J864" s="471">
        <f>IFERROR(_xlfn.XLOOKUP(Table6[[#This Row],[Affected WTG]],'Basic Data'!$A:$A,'Basic Data'!$E:$E),"")</f>
        <v>3.846153846153845E-2</v>
      </c>
      <c r="K864" s="102">
        <v>3420</v>
      </c>
      <c r="L864" s="35" t="str">
        <f>IFERROR(_xlfn.XLOOKUP(Table6[[#This Row],[Error Code]],'Basic Data'!$AA:$AA,'Basic Data'!$AB:$AB),"Incorrect Error Code")</f>
        <v>UPS buffer time too short</v>
      </c>
      <c r="M864" s="35" t="s">
        <v>291</v>
      </c>
      <c r="N864" s="475"/>
      <c r="O864" s="476">
        <v>3.6111111111111108E-2</v>
      </c>
      <c r="P864" s="476">
        <v>4.2361111111111113E-2</v>
      </c>
      <c r="Q864" s="477">
        <v>4.2361111111111113E-2</v>
      </c>
      <c r="R864" s="472">
        <f>IF(Table6[[#This Row],[Work Start TimeStamp]]="","",(Table6[[#This Row],[Work Start TimeStamp]]-Table6[[#This Row],[Fault Start TimeStamp]])*24)</f>
        <v>0.15000000000000013</v>
      </c>
      <c r="S864" s="472">
        <f>(Table6[[#This Row],[Fault Clearance time]]-Table6[[#This Row],[Work Start TimeStamp]])*24</f>
        <v>0</v>
      </c>
      <c r="T864" s="472">
        <f>(Table6[[#This Row],[Fault Clearance time]]-Table6[[#This Row],[Fault Start TimeStamp]])*24</f>
        <v>0.15000000000000013</v>
      </c>
      <c r="U864" s="35" t="s">
        <v>1858</v>
      </c>
      <c r="V864" s="102" t="s">
        <v>293</v>
      </c>
      <c r="W864" s="478">
        <f>IFERROR(Table6[[#This Row],[Breakdown Time]]*Table6[[#This Row],[Plant Equivalent Weightage]],"")</f>
        <v>5.769230769230773E-3</v>
      </c>
      <c r="X864" s="473" t="s">
        <v>290</v>
      </c>
      <c r="Y864" s="474" t="s">
        <v>80</v>
      </c>
      <c r="Z864" s="102">
        <v>29635</v>
      </c>
      <c r="AA864" s="468">
        <f>(Table6[[#This Row],[Paired WTG Generation for loss calculation]]/24)*Table6[[#This Row],[Breakdown Time]]</f>
        <v>185.21875000000017</v>
      </c>
      <c r="AB864" s="102"/>
      <c r="AC864" s="35"/>
      <c r="AD864" s="35"/>
    </row>
    <row r="865" spans="1:30">
      <c r="A865" s="102">
        <f t="shared" si="14"/>
        <v>864</v>
      </c>
      <c r="B865" s="468">
        <f>YEAR(Table6[[#This Row],[Date]])+IF(MONTH(Table6[[#This Row],[Date]])&gt;=4,1,0)</f>
        <v>2026</v>
      </c>
      <c r="C865" s="102">
        <f>YEAR(Table6[[#This Row],[Date]])</f>
        <v>2025</v>
      </c>
      <c r="D865" s="102" t="s">
        <v>1992</v>
      </c>
      <c r="E865" s="469">
        <f>Table6[[#This Row],[Date]]-DAY(Table6[[#This Row],[Date]])+1</f>
        <v>45778</v>
      </c>
      <c r="F865" s="470">
        <v>45803</v>
      </c>
      <c r="G865" s="35" t="s">
        <v>77</v>
      </c>
      <c r="H865" s="35" t="str">
        <f>IFERROR(_xlfn.XLOOKUP(Table6[[#This Row],[Affected WTG]],'Basic Data'!$A:$A,'Basic Data'!$B:$B),"")</f>
        <v>TQGXIIPL</v>
      </c>
      <c r="I865" s="35" t="str">
        <f>IFERROR(_xlfn.XLOOKUP(Table6[[#This Row],[Affected WTG]],'Basic Data'!$A:$A,'Basic Data'!$C:$C),"")</f>
        <v>GEDA</v>
      </c>
      <c r="J865" s="471">
        <f>IFERROR(_xlfn.XLOOKUP(Table6[[#This Row],[Affected WTG]],'Basic Data'!$A:$A,'Basic Data'!$E:$E),"")</f>
        <v>3.846153846153845E-2</v>
      </c>
      <c r="K865" s="102">
        <v>6130</v>
      </c>
      <c r="L865" s="35" t="str">
        <f>IFERROR(_xlfn.XLOOKUP(Table6[[#This Row],[Error Code]],'Basic Data'!$AA:$AA,'Basic Data'!$AB:$AB),"Incorrect Error Code")</f>
        <v>Yaw speed high</v>
      </c>
      <c r="M865" s="35" t="s">
        <v>292</v>
      </c>
      <c r="N865" s="475"/>
      <c r="O865" s="476">
        <v>0.19583333333333333</v>
      </c>
      <c r="P865" s="476">
        <v>0.2</v>
      </c>
      <c r="Q865" s="477">
        <v>0.2</v>
      </c>
      <c r="R865" s="472">
        <f>IF(Table6[[#This Row],[Work Start TimeStamp]]="","",(Table6[[#This Row],[Work Start TimeStamp]]-Table6[[#This Row],[Fault Start TimeStamp]])*24)</f>
        <v>0.10000000000000031</v>
      </c>
      <c r="S865" s="472">
        <f>(Table6[[#This Row],[Fault Clearance time]]-Table6[[#This Row],[Work Start TimeStamp]])*24</f>
        <v>0</v>
      </c>
      <c r="T865" s="472">
        <f>(Table6[[#This Row],[Fault Clearance time]]-Table6[[#This Row],[Fault Start TimeStamp]])*24</f>
        <v>0.10000000000000031</v>
      </c>
      <c r="U865" s="35" t="s">
        <v>336</v>
      </c>
      <c r="V865" s="102" t="s">
        <v>293</v>
      </c>
      <c r="W865" s="478">
        <f>IFERROR(Table6[[#This Row],[Breakdown Time]]*Table6[[#This Row],[Plant Equivalent Weightage]],"")</f>
        <v>3.8461538461538568E-3</v>
      </c>
      <c r="X865" s="473" t="s">
        <v>294</v>
      </c>
      <c r="Y865" s="474" t="s">
        <v>80</v>
      </c>
      <c r="Z865" s="102">
        <v>29635</v>
      </c>
      <c r="AA865" s="468">
        <f>(Table6[[#This Row],[Paired WTG Generation for loss calculation]]/24)*Table6[[#This Row],[Breakdown Time]]</f>
        <v>123.47916666666706</v>
      </c>
      <c r="AB865" s="102"/>
      <c r="AC865" s="35"/>
      <c r="AD865" s="35"/>
    </row>
    <row r="866" spans="1:30">
      <c r="A866" s="102">
        <f t="shared" si="14"/>
        <v>865</v>
      </c>
      <c r="B866" s="468">
        <f>YEAR(Table6[[#This Row],[Date]])+IF(MONTH(Table6[[#This Row],[Date]])&gt;=4,1,0)</f>
        <v>2026</v>
      </c>
      <c r="C866" s="102">
        <f>YEAR(Table6[[#This Row],[Date]])</f>
        <v>2025</v>
      </c>
      <c r="D866" s="102" t="s">
        <v>1992</v>
      </c>
      <c r="E866" s="469">
        <f>Table6[[#This Row],[Date]]-DAY(Table6[[#This Row],[Date]])+1</f>
        <v>45778</v>
      </c>
      <c r="F866" s="470">
        <v>45803</v>
      </c>
      <c r="G866" s="35" t="s">
        <v>78</v>
      </c>
      <c r="H866" s="35" t="str">
        <f>IFERROR(_xlfn.XLOOKUP(Table6[[#This Row],[Affected WTG]],'Basic Data'!$A:$A,'Basic Data'!$B:$B),"")</f>
        <v>TQGXIIPL</v>
      </c>
      <c r="I866" s="35" t="str">
        <f>IFERROR(_xlfn.XLOOKUP(Table6[[#This Row],[Affected WTG]],'Basic Data'!$A:$A,'Basic Data'!$C:$C),"")</f>
        <v>GEDA</v>
      </c>
      <c r="J866" s="471">
        <f>IFERROR(_xlfn.XLOOKUP(Table6[[#This Row],[Affected WTG]],'Basic Data'!$A:$A,'Basic Data'!$E:$E),"")</f>
        <v>3.846153846153845E-2</v>
      </c>
      <c r="K866" s="102">
        <v>53</v>
      </c>
      <c r="L866" s="35" t="str">
        <f>IFERROR(_xlfn.XLOOKUP(Table6[[#This Row],[Error Code]],'Basic Data'!$AA:$AA,'Basic Data'!$AB:$AB),"Incorrect Error Code")</f>
        <v>Wind dir.dev. level 1</v>
      </c>
      <c r="M866" s="35" t="s">
        <v>292</v>
      </c>
      <c r="N866" s="475"/>
      <c r="O866" s="476">
        <v>1.5972222222222221E-2</v>
      </c>
      <c r="P866" s="476">
        <v>1.7361111111111112E-2</v>
      </c>
      <c r="Q866" s="477">
        <v>1.7361111111111112E-2</v>
      </c>
      <c r="R866" s="472">
        <f>IF(Table6[[#This Row],[Work Start TimeStamp]]="","",(Table6[[#This Row],[Work Start TimeStamp]]-Table6[[#This Row],[Fault Start TimeStamp]])*24)</f>
        <v>3.3333333333333381E-2</v>
      </c>
      <c r="S866" s="472">
        <f>(Table6[[#This Row],[Fault Clearance time]]-Table6[[#This Row],[Work Start TimeStamp]])*24</f>
        <v>0</v>
      </c>
      <c r="T866" s="472">
        <f>(Table6[[#This Row],[Fault Clearance time]]-Table6[[#This Row],[Fault Start TimeStamp]])*24</f>
        <v>3.3333333333333381E-2</v>
      </c>
      <c r="U866" s="35" t="s">
        <v>336</v>
      </c>
      <c r="V866" s="102" t="s">
        <v>293</v>
      </c>
      <c r="W866" s="478">
        <f>IFERROR(Table6[[#This Row],[Breakdown Time]]*Table6[[#This Row],[Plant Equivalent Weightage]],"")</f>
        <v>1.2820512820512836E-3</v>
      </c>
      <c r="X866" s="473" t="s">
        <v>294</v>
      </c>
      <c r="Y866" s="474" t="s">
        <v>75</v>
      </c>
      <c r="Z866" s="102">
        <v>31689</v>
      </c>
      <c r="AA866" s="468">
        <f>(Table6[[#This Row],[Paired WTG Generation for loss calculation]]/24)*Table6[[#This Row],[Breakdown Time]]</f>
        <v>44.012500000000067</v>
      </c>
      <c r="AB866" s="102"/>
      <c r="AC866" s="35"/>
      <c r="AD866" s="35"/>
    </row>
    <row r="867" spans="1:30">
      <c r="A867" s="102">
        <f t="shared" si="14"/>
        <v>866</v>
      </c>
      <c r="B867" s="468">
        <f>YEAR(Table6[[#This Row],[Date]])+IF(MONTH(Table6[[#This Row],[Date]])&gt;=4,1,0)</f>
        <v>2026</v>
      </c>
      <c r="C867" s="102">
        <f>YEAR(Table6[[#This Row],[Date]])</f>
        <v>2025</v>
      </c>
      <c r="D867" s="102" t="s">
        <v>1992</v>
      </c>
      <c r="E867" s="469">
        <f>Table6[[#This Row],[Date]]-DAY(Table6[[#This Row],[Date]])+1</f>
        <v>45778</v>
      </c>
      <c r="F867" s="470">
        <v>45803</v>
      </c>
      <c r="G867" s="35" t="s">
        <v>78</v>
      </c>
      <c r="H867" s="35" t="str">
        <f>IFERROR(_xlfn.XLOOKUP(Table6[[#This Row],[Affected WTG]],'Basic Data'!$A:$A,'Basic Data'!$B:$B),"")</f>
        <v>TQGXIIPL</v>
      </c>
      <c r="I867" s="35" t="str">
        <f>IFERROR(_xlfn.XLOOKUP(Table6[[#This Row],[Affected WTG]],'Basic Data'!$A:$A,'Basic Data'!$C:$C),"")</f>
        <v>GEDA</v>
      </c>
      <c r="J867" s="471">
        <f>IFERROR(_xlfn.XLOOKUP(Table6[[#This Row],[Affected WTG]],'Basic Data'!$A:$A,'Basic Data'!$E:$E),"")</f>
        <v>3.846153846153845E-2</v>
      </c>
      <c r="K867" s="102">
        <v>3420</v>
      </c>
      <c r="L867" s="35" t="str">
        <f>IFERROR(_xlfn.XLOOKUP(Table6[[#This Row],[Error Code]],'Basic Data'!$AA:$AA,'Basic Data'!$AB:$AB),"Incorrect Error Code")</f>
        <v>UPS buffer time too short</v>
      </c>
      <c r="M867" s="35" t="s">
        <v>291</v>
      </c>
      <c r="N867" s="475"/>
      <c r="O867" s="476">
        <v>3.5416666666666666E-2</v>
      </c>
      <c r="P867" s="476">
        <v>5.6250000000000001E-2</v>
      </c>
      <c r="Q867" s="477">
        <v>5.6250000000000001E-2</v>
      </c>
      <c r="R867" s="472">
        <f>IF(Table6[[#This Row],[Work Start TimeStamp]]="","",(Table6[[#This Row],[Work Start TimeStamp]]-Table6[[#This Row],[Fault Start TimeStamp]])*24)</f>
        <v>0.5</v>
      </c>
      <c r="S867" s="472">
        <f>(Table6[[#This Row],[Fault Clearance time]]-Table6[[#This Row],[Work Start TimeStamp]])*24</f>
        <v>0</v>
      </c>
      <c r="T867" s="472">
        <f>(Table6[[#This Row],[Fault Clearance time]]-Table6[[#This Row],[Fault Start TimeStamp]])*24</f>
        <v>0.5</v>
      </c>
      <c r="U867" s="35" t="s">
        <v>1858</v>
      </c>
      <c r="V867" s="102" t="s">
        <v>293</v>
      </c>
      <c r="W867" s="478">
        <f>IFERROR(Table6[[#This Row],[Breakdown Time]]*Table6[[#This Row],[Plant Equivalent Weightage]],"")</f>
        <v>1.9230769230769225E-2</v>
      </c>
      <c r="X867" s="473" t="s">
        <v>290</v>
      </c>
      <c r="Y867" s="474" t="s">
        <v>75</v>
      </c>
      <c r="Z867" s="102">
        <v>31689</v>
      </c>
      <c r="AA867" s="468">
        <f>(Table6[[#This Row],[Paired WTG Generation for loss calculation]]/24)*Table6[[#This Row],[Breakdown Time]]</f>
        <v>660.1875</v>
      </c>
      <c r="AB867" s="102"/>
      <c r="AC867" s="35"/>
      <c r="AD867" s="35"/>
    </row>
    <row r="868" spans="1:30">
      <c r="A868" s="102">
        <f t="shared" si="14"/>
        <v>867</v>
      </c>
      <c r="B868" s="468">
        <f>YEAR(Table6[[#This Row],[Date]])+IF(MONTH(Table6[[#This Row],[Date]])&gt;=4,1,0)</f>
        <v>2026</v>
      </c>
      <c r="C868" s="102">
        <f>YEAR(Table6[[#This Row],[Date]])</f>
        <v>2025</v>
      </c>
      <c r="D868" s="102" t="s">
        <v>1992</v>
      </c>
      <c r="E868" s="469">
        <f>Table6[[#This Row],[Date]]-DAY(Table6[[#This Row],[Date]])+1</f>
        <v>45778</v>
      </c>
      <c r="F868" s="470">
        <v>45803</v>
      </c>
      <c r="G868" s="35" t="s">
        <v>78</v>
      </c>
      <c r="H868" s="35" t="str">
        <f>IFERROR(_xlfn.XLOOKUP(Table6[[#This Row],[Affected WTG]],'Basic Data'!$A:$A,'Basic Data'!$B:$B),"")</f>
        <v>TQGXIIPL</v>
      </c>
      <c r="I868" s="35" t="str">
        <f>IFERROR(_xlfn.XLOOKUP(Table6[[#This Row],[Affected WTG]],'Basic Data'!$A:$A,'Basic Data'!$C:$C),"")</f>
        <v>GEDA</v>
      </c>
      <c r="J868" s="471">
        <f>IFERROR(_xlfn.XLOOKUP(Table6[[#This Row],[Affected WTG]],'Basic Data'!$A:$A,'Basic Data'!$E:$E),"")</f>
        <v>3.846153846153845E-2</v>
      </c>
      <c r="K868" s="102">
        <v>3110</v>
      </c>
      <c r="L868" s="35" t="str">
        <f>IFERROR(_xlfn.XLOOKUP(Table6[[#This Row],[Error Code]],'Basic Data'!$AA:$AA,'Basic Data'!$AB:$AB),"Incorrect Error Code")</f>
        <v>Frequency converter error</v>
      </c>
      <c r="M868" s="35" t="s">
        <v>291</v>
      </c>
      <c r="N868" s="475"/>
      <c r="O868" s="476">
        <v>6.5972222222222224E-2</v>
      </c>
      <c r="P868" s="476">
        <v>0.1111111111111111</v>
      </c>
      <c r="Q868" s="477">
        <v>0.1111111111111111</v>
      </c>
      <c r="R868" s="472">
        <f>IF(Table6[[#This Row],[Work Start TimeStamp]]="","",(Table6[[#This Row],[Work Start TimeStamp]]-Table6[[#This Row],[Fault Start TimeStamp]])*24)</f>
        <v>1.083333333333333</v>
      </c>
      <c r="S868" s="472">
        <f>(Table6[[#This Row],[Fault Clearance time]]-Table6[[#This Row],[Work Start TimeStamp]])*24</f>
        <v>0</v>
      </c>
      <c r="T868" s="472">
        <f>(Table6[[#This Row],[Fault Clearance time]]-Table6[[#This Row],[Fault Start TimeStamp]])*24</f>
        <v>1.083333333333333</v>
      </c>
      <c r="U868" s="35" t="s">
        <v>1858</v>
      </c>
      <c r="V868" s="102" t="s">
        <v>293</v>
      </c>
      <c r="W868" s="478">
        <f>IFERROR(Table6[[#This Row],[Breakdown Time]]*Table6[[#This Row],[Plant Equivalent Weightage]],"")</f>
        <v>4.1666666666666644E-2</v>
      </c>
      <c r="X868" s="473" t="s">
        <v>290</v>
      </c>
      <c r="Y868" s="474" t="s">
        <v>75</v>
      </c>
      <c r="Z868" s="102">
        <v>31689</v>
      </c>
      <c r="AA868" s="468">
        <f>(Table6[[#This Row],[Paired WTG Generation for loss calculation]]/24)*Table6[[#This Row],[Breakdown Time]]</f>
        <v>1430.4062499999995</v>
      </c>
      <c r="AB868" s="102"/>
      <c r="AC868" s="35"/>
      <c r="AD868" s="35"/>
    </row>
    <row r="869" spans="1:30">
      <c r="A869" s="102">
        <f t="shared" si="14"/>
        <v>868</v>
      </c>
      <c r="B869" s="468">
        <f>YEAR(Table6[[#This Row],[Date]])+IF(MONTH(Table6[[#This Row],[Date]])&gt;=4,1,0)</f>
        <v>2026</v>
      </c>
      <c r="C869" s="102">
        <f>YEAR(Table6[[#This Row],[Date]])</f>
        <v>2025</v>
      </c>
      <c r="D869" s="102" t="s">
        <v>1992</v>
      </c>
      <c r="E869" s="469">
        <f>Table6[[#This Row],[Date]]-DAY(Table6[[#This Row],[Date]])+1</f>
        <v>45778</v>
      </c>
      <c r="F869" s="470">
        <v>45803</v>
      </c>
      <c r="G869" s="35" t="s">
        <v>78</v>
      </c>
      <c r="H869" s="35" t="str">
        <f>IFERROR(_xlfn.XLOOKUP(Table6[[#This Row],[Affected WTG]],'Basic Data'!$A:$A,'Basic Data'!$B:$B),"")</f>
        <v>TQGXIIPL</v>
      </c>
      <c r="I869" s="35" t="str">
        <f>IFERROR(_xlfn.XLOOKUP(Table6[[#This Row],[Affected WTG]],'Basic Data'!$A:$A,'Basic Data'!$C:$C),"")</f>
        <v>GEDA</v>
      </c>
      <c r="J869" s="471">
        <f>IFERROR(_xlfn.XLOOKUP(Table6[[#This Row],[Affected WTG]],'Basic Data'!$A:$A,'Basic Data'!$E:$E),"")</f>
        <v>3.846153846153845E-2</v>
      </c>
      <c r="K869" s="102">
        <v>2521</v>
      </c>
      <c r="L869" s="35" t="str">
        <f>IFERROR(_xlfn.XLOOKUP(Table6[[#This Row],[Error Code]],'Basic Data'!$AA:$AA,'Basic Data'!$AB:$AB),"Incorrect Error Code")</f>
        <v>Gen.sp.analog &lt;&lt;&gt;&gt; gearb.sp.</v>
      </c>
      <c r="M869" s="35" t="s">
        <v>291</v>
      </c>
      <c r="N869" s="475"/>
      <c r="O869" s="476">
        <v>0.59305555555555556</v>
      </c>
      <c r="P869" s="476">
        <v>0.59861111111111109</v>
      </c>
      <c r="Q869" s="477">
        <v>0.59861111111111109</v>
      </c>
      <c r="R869" s="472">
        <f>IF(Table6[[#This Row],[Work Start TimeStamp]]="","",(Table6[[#This Row],[Work Start TimeStamp]]-Table6[[#This Row],[Fault Start TimeStamp]])*24)</f>
        <v>0.13333333333333286</v>
      </c>
      <c r="S869" s="472">
        <f>(Table6[[#This Row],[Fault Clearance time]]-Table6[[#This Row],[Work Start TimeStamp]])*24</f>
        <v>0</v>
      </c>
      <c r="T869" s="472">
        <f>(Table6[[#This Row],[Fault Clearance time]]-Table6[[#This Row],[Fault Start TimeStamp]])*24</f>
        <v>0.13333333333333286</v>
      </c>
      <c r="U869" s="35" t="s">
        <v>344</v>
      </c>
      <c r="V869" s="102" t="s">
        <v>293</v>
      </c>
      <c r="W869" s="478">
        <f>IFERROR(Table6[[#This Row],[Breakdown Time]]*Table6[[#This Row],[Plant Equivalent Weightage]],"")</f>
        <v>5.1282051282051083E-3</v>
      </c>
      <c r="X869" s="473" t="s">
        <v>290</v>
      </c>
      <c r="Y869" s="474" t="s">
        <v>75</v>
      </c>
      <c r="Z869" s="102">
        <v>31689</v>
      </c>
      <c r="AA869" s="468">
        <f>(Table6[[#This Row],[Paired WTG Generation for loss calculation]]/24)*Table6[[#This Row],[Breakdown Time]]</f>
        <v>176.04999999999939</v>
      </c>
      <c r="AB869" s="102"/>
      <c r="AC869" s="35"/>
      <c r="AD869" s="35"/>
    </row>
    <row r="870" spans="1:30">
      <c r="A870" s="102">
        <f t="shared" si="14"/>
        <v>869</v>
      </c>
      <c r="B870" s="468">
        <f>YEAR(Table6[[#This Row],[Date]])+IF(MONTH(Table6[[#This Row],[Date]])&gt;=4,1,0)</f>
        <v>2026</v>
      </c>
      <c r="C870" s="102">
        <f>YEAR(Table6[[#This Row],[Date]])</f>
        <v>2025</v>
      </c>
      <c r="D870" s="102" t="s">
        <v>1992</v>
      </c>
      <c r="E870" s="469">
        <f>Table6[[#This Row],[Date]]-DAY(Table6[[#This Row],[Date]])+1</f>
        <v>45778</v>
      </c>
      <c r="F870" s="470">
        <v>45803</v>
      </c>
      <c r="G870" s="35" t="s">
        <v>81</v>
      </c>
      <c r="H870" s="35" t="str">
        <f>IFERROR(_xlfn.XLOOKUP(Table6[[#This Row],[Affected WTG]],'Basic Data'!$A:$A,'Basic Data'!$B:$B),"")</f>
        <v>TQGXIIPL</v>
      </c>
      <c r="I870" s="35" t="str">
        <f>IFERROR(_xlfn.XLOOKUP(Table6[[#This Row],[Affected WTG]],'Basic Data'!$A:$A,'Basic Data'!$C:$C),"")</f>
        <v>GEDA</v>
      </c>
      <c r="J870" s="471">
        <f>IFERROR(_xlfn.XLOOKUP(Table6[[#This Row],[Affected WTG]],'Basic Data'!$A:$A,'Basic Data'!$E:$E),"")</f>
        <v>3.846153846153845E-2</v>
      </c>
      <c r="K870" s="102">
        <v>58</v>
      </c>
      <c r="L870" s="35" t="str">
        <f>IFERROR(_xlfn.XLOOKUP(Table6[[#This Row],[Error Code]],'Basic Data'!$AA:$AA,'Basic Data'!$AB:$AB),"Incorrect Error Code")</f>
        <v>Wind dir.dev. level 2</v>
      </c>
      <c r="M870" s="35" t="s">
        <v>292</v>
      </c>
      <c r="N870" s="475"/>
      <c r="O870" s="476">
        <v>6.2500000000000003E-3</v>
      </c>
      <c r="P870" s="476">
        <v>8.3333333333333332E-3</v>
      </c>
      <c r="Q870" s="477">
        <v>8.3333333333333332E-3</v>
      </c>
      <c r="R870" s="472">
        <f>IF(Table6[[#This Row],[Work Start TimeStamp]]="","",(Table6[[#This Row],[Work Start TimeStamp]]-Table6[[#This Row],[Fault Start TimeStamp]])*24)</f>
        <v>4.9999999999999989E-2</v>
      </c>
      <c r="S870" s="472">
        <f>(Table6[[#This Row],[Fault Clearance time]]-Table6[[#This Row],[Work Start TimeStamp]])*24</f>
        <v>0</v>
      </c>
      <c r="T870" s="472">
        <f>(Table6[[#This Row],[Fault Clearance time]]-Table6[[#This Row],[Fault Start TimeStamp]])*24</f>
        <v>4.9999999999999989E-2</v>
      </c>
      <c r="U870" s="35" t="s">
        <v>336</v>
      </c>
      <c r="V870" s="102" t="s">
        <v>293</v>
      </c>
      <c r="W870" s="478">
        <f>IFERROR(Table6[[#This Row],[Breakdown Time]]*Table6[[#This Row],[Plant Equivalent Weightage]],"")</f>
        <v>1.9230769230769221E-3</v>
      </c>
      <c r="X870" s="473" t="s">
        <v>294</v>
      </c>
      <c r="Y870" s="474" t="s">
        <v>99</v>
      </c>
      <c r="Z870" s="102">
        <v>29985</v>
      </c>
      <c r="AA870" s="468">
        <f>(Table6[[#This Row],[Paired WTG Generation for loss calculation]]/24)*Table6[[#This Row],[Breakdown Time]]</f>
        <v>62.468749999999986</v>
      </c>
      <c r="AB870" s="102"/>
      <c r="AC870" s="35"/>
      <c r="AD870" s="35"/>
    </row>
    <row r="871" spans="1:30">
      <c r="A871" s="102">
        <f t="shared" si="14"/>
        <v>870</v>
      </c>
      <c r="B871" s="468">
        <f>YEAR(Table6[[#This Row],[Date]])+IF(MONTH(Table6[[#This Row],[Date]])&gt;=4,1,0)</f>
        <v>2026</v>
      </c>
      <c r="C871" s="102">
        <f>YEAR(Table6[[#This Row],[Date]])</f>
        <v>2025</v>
      </c>
      <c r="D871" s="102" t="s">
        <v>1992</v>
      </c>
      <c r="E871" s="469">
        <f>Table6[[#This Row],[Date]]-DAY(Table6[[#This Row],[Date]])+1</f>
        <v>45778</v>
      </c>
      <c r="F871" s="470">
        <v>45803</v>
      </c>
      <c r="G871" s="35" t="s">
        <v>81</v>
      </c>
      <c r="H871" s="35" t="str">
        <f>IFERROR(_xlfn.XLOOKUP(Table6[[#This Row],[Affected WTG]],'Basic Data'!$A:$A,'Basic Data'!$B:$B),"")</f>
        <v>TQGXIIPL</v>
      </c>
      <c r="I871" s="35" t="str">
        <f>IFERROR(_xlfn.XLOOKUP(Table6[[#This Row],[Affected WTG]],'Basic Data'!$A:$A,'Basic Data'!$C:$C),"")</f>
        <v>GEDA</v>
      </c>
      <c r="J871" s="471">
        <f>IFERROR(_xlfn.XLOOKUP(Table6[[#This Row],[Affected WTG]],'Basic Data'!$A:$A,'Basic Data'!$E:$E),"")</f>
        <v>3.846153846153845E-2</v>
      </c>
      <c r="K871" s="102">
        <v>2390</v>
      </c>
      <c r="L871" s="35" t="str">
        <f>IFERROR(_xlfn.XLOOKUP(Table6[[#This Row],[Error Code]],'Basic Data'!$AA:$AA,'Basic Data'!$AB:$AB),"Incorrect Error Code")</f>
        <v>Brake due to sudden sys.failure</v>
      </c>
      <c r="M871" s="35" t="s">
        <v>291</v>
      </c>
      <c r="N871" s="475"/>
      <c r="O871" s="476">
        <v>3.5416666666666666E-2</v>
      </c>
      <c r="P871" s="476">
        <v>4.5138888888888888E-2</v>
      </c>
      <c r="Q871" s="477">
        <v>4.5138888888888888E-2</v>
      </c>
      <c r="R871" s="472">
        <f>IF(Table6[[#This Row],[Work Start TimeStamp]]="","",(Table6[[#This Row],[Work Start TimeStamp]]-Table6[[#This Row],[Fault Start TimeStamp]])*24)</f>
        <v>0.23333333333333334</v>
      </c>
      <c r="S871" s="472">
        <f>(Table6[[#This Row],[Fault Clearance time]]-Table6[[#This Row],[Work Start TimeStamp]])*24</f>
        <v>0</v>
      </c>
      <c r="T871" s="472">
        <f>(Table6[[#This Row],[Fault Clearance time]]-Table6[[#This Row],[Fault Start TimeStamp]])*24</f>
        <v>0.23333333333333334</v>
      </c>
      <c r="U871" s="35" t="s">
        <v>1858</v>
      </c>
      <c r="V871" s="102" t="s">
        <v>293</v>
      </c>
      <c r="W871" s="478">
        <f>IFERROR(Table6[[#This Row],[Breakdown Time]]*Table6[[#This Row],[Plant Equivalent Weightage]],"")</f>
        <v>8.974358974358972E-3</v>
      </c>
      <c r="X871" s="473" t="s">
        <v>290</v>
      </c>
      <c r="Y871" s="474" t="s">
        <v>99</v>
      </c>
      <c r="Z871" s="102">
        <v>29985</v>
      </c>
      <c r="AA871" s="468">
        <f>(Table6[[#This Row],[Paired WTG Generation for loss calculation]]/24)*Table6[[#This Row],[Breakdown Time]]</f>
        <v>291.52083333333331</v>
      </c>
      <c r="AB871" s="102"/>
      <c r="AC871" s="35"/>
      <c r="AD871" s="35"/>
    </row>
    <row r="872" spans="1:30">
      <c r="A872" s="102">
        <f t="shared" si="14"/>
        <v>871</v>
      </c>
      <c r="B872" s="468">
        <f>YEAR(Table6[[#This Row],[Date]])+IF(MONTH(Table6[[#This Row],[Date]])&gt;=4,1,0)</f>
        <v>2026</v>
      </c>
      <c r="C872" s="102">
        <f>YEAR(Table6[[#This Row],[Date]])</f>
        <v>2025</v>
      </c>
      <c r="D872" s="102" t="s">
        <v>1992</v>
      </c>
      <c r="E872" s="469">
        <f>Table6[[#This Row],[Date]]-DAY(Table6[[#This Row],[Date]])+1</f>
        <v>45778</v>
      </c>
      <c r="F872" s="470">
        <v>45803</v>
      </c>
      <c r="G872" s="35" t="s">
        <v>81</v>
      </c>
      <c r="H872" s="35" t="str">
        <f>IFERROR(_xlfn.XLOOKUP(Table6[[#This Row],[Affected WTG]],'Basic Data'!$A:$A,'Basic Data'!$B:$B),"")</f>
        <v>TQGXIIPL</v>
      </c>
      <c r="I872" s="35" t="str">
        <f>IFERROR(_xlfn.XLOOKUP(Table6[[#This Row],[Affected WTG]],'Basic Data'!$A:$A,'Basic Data'!$C:$C),"")</f>
        <v>GEDA</v>
      </c>
      <c r="J872" s="471">
        <f>IFERROR(_xlfn.XLOOKUP(Table6[[#This Row],[Affected WTG]],'Basic Data'!$A:$A,'Basic Data'!$E:$E),"")</f>
        <v>3.846153846153845E-2</v>
      </c>
      <c r="K872" s="102">
        <v>55</v>
      </c>
      <c r="L872" s="35" t="str">
        <f>IFERROR(_xlfn.XLOOKUP(Table6[[#This Row],[Error Code]],'Basic Data'!$AA:$AA,'Basic Data'!$AB:$AB),"Incorrect Error Code")</f>
        <v>WTG shut down</v>
      </c>
      <c r="M872" s="35" t="s">
        <v>330</v>
      </c>
      <c r="N872" s="475"/>
      <c r="O872" s="476">
        <v>0.17777777777777778</v>
      </c>
      <c r="P872" s="476">
        <v>0.21111111111111111</v>
      </c>
      <c r="Q872" s="477">
        <v>0.21111111111111111</v>
      </c>
      <c r="R872" s="472">
        <f>IF(Table6[[#This Row],[Work Start TimeStamp]]="","",(Table6[[#This Row],[Work Start TimeStamp]]-Table6[[#This Row],[Fault Start TimeStamp]])*24)</f>
        <v>0.79999999999999982</v>
      </c>
      <c r="S872" s="472">
        <f>(Table6[[#This Row],[Fault Clearance time]]-Table6[[#This Row],[Work Start TimeStamp]])*24</f>
        <v>0</v>
      </c>
      <c r="T872" s="472">
        <f>(Table6[[#This Row],[Fault Clearance time]]-Table6[[#This Row],[Fault Start TimeStamp]])*24</f>
        <v>0.79999999999999982</v>
      </c>
      <c r="U872" s="35" t="s">
        <v>1744</v>
      </c>
      <c r="V872" s="102" t="s">
        <v>293</v>
      </c>
      <c r="W872" s="478">
        <f>IFERROR(Table6[[#This Row],[Breakdown Time]]*Table6[[#This Row],[Plant Equivalent Weightage]],"")</f>
        <v>3.0769230769230754E-2</v>
      </c>
      <c r="X872" s="473" t="s">
        <v>294</v>
      </c>
      <c r="Y872" s="474" t="s">
        <v>99</v>
      </c>
      <c r="Z872" s="102">
        <v>29985</v>
      </c>
      <c r="AA872" s="468">
        <f>(Table6[[#This Row],[Paired WTG Generation for loss calculation]]/24)*Table6[[#This Row],[Breakdown Time]]</f>
        <v>999.49999999999977</v>
      </c>
      <c r="AB872" s="102"/>
      <c r="AC872" s="35"/>
      <c r="AD872" s="35"/>
    </row>
    <row r="873" spans="1:30">
      <c r="A873" s="102">
        <f t="shared" si="14"/>
        <v>872</v>
      </c>
      <c r="B873" s="468">
        <f>YEAR(Table6[[#This Row],[Date]])+IF(MONTH(Table6[[#This Row],[Date]])&gt;=4,1,0)</f>
        <v>2026</v>
      </c>
      <c r="C873" s="102">
        <f>YEAR(Table6[[#This Row],[Date]])</f>
        <v>2025</v>
      </c>
      <c r="D873" s="102" t="s">
        <v>1992</v>
      </c>
      <c r="E873" s="469">
        <f>Table6[[#This Row],[Date]]-DAY(Table6[[#This Row],[Date]])+1</f>
        <v>45778</v>
      </c>
      <c r="F873" s="470">
        <v>45803</v>
      </c>
      <c r="G873" s="35" t="s">
        <v>81</v>
      </c>
      <c r="H873" s="35" t="str">
        <f>IFERROR(_xlfn.XLOOKUP(Table6[[#This Row],[Affected WTG]],'Basic Data'!$A:$A,'Basic Data'!$B:$B),"")</f>
        <v>TQGXIIPL</v>
      </c>
      <c r="I873" s="35" t="str">
        <f>IFERROR(_xlfn.XLOOKUP(Table6[[#This Row],[Affected WTG]],'Basic Data'!$A:$A,'Basic Data'!$C:$C),"")</f>
        <v>GEDA</v>
      </c>
      <c r="J873" s="471">
        <f>IFERROR(_xlfn.XLOOKUP(Table6[[#This Row],[Affected WTG]],'Basic Data'!$A:$A,'Basic Data'!$E:$E),"")</f>
        <v>3.846153846153845E-2</v>
      </c>
      <c r="K873" s="102">
        <v>55</v>
      </c>
      <c r="L873" s="35" t="str">
        <f>IFERROR(_xlfn.XLOOKUP(Table6[[#This Row],[Error Code]],'Basic Data'!$AA:$AA,'Basic Data'!$AB:$AB),"Incorrect Error Code")</f>
        <v>WTG shut down</v>
      </c>
      <c r="M873" s="35" t="s">
        <v>330</v>
      </c>
      <c r="N873" s="475"/>
      <c r="O873" s="476">
        <v>0.21805555555555556</v>
      </c>
      <c r="P873" s="476">
        <v>0.25694444444444442</v>
      </c>
      <c r="Q873" s="477">
        <v>0.25694444444444442</v>
      </c>
      <c r="R873" s="472">
        <f>IF(Table6[[#This Row],[Work Start TimeStamp]]="","",(Table6[[#This Row],[Work Start TimeStamp]]-Table6[[#This Row],[Fault Start TimeStamp]])*24)</f>
        <v>0.93333333333333268</v>
      </c>
      <c r="S873" s="472">
        <f>(Table6[[#This Row],[Fault Clearance time]]-Table6[[#This Row],[Work Start TimeStamp]])*24</f>
        <v>0</v>
      </c>
      <c r="T873" s="472">
        <f>(Table6[[#This Row],[Fault Clearance time]]-Table6[[#This Row],[Fault Start TimeStamp]])*24</f>
        <v>0.93333333333333268</v>
      </c>
      <c r="U873" s="35" t="s">
        <v>1744</v>
      </c>
      <c r="V873" s="102" t="s">
        <v>293</v>
      </c>
      <c r="W873" s="478">
        <f>IFERROR(Table6[[#This Row],[Breakdown Time]]*Table6[[#This Row],[Plant Equivalent Weightage]],"")</f>
        <v>3.589743589743586E-2</v>
      </c>
      <c r="X873" s="473" t="s">
        <v>294</v>
      </c>
      <c r="Y873" s="474" t="s">
        <v>99</v>
      </c>
      <c r="Z873" s="102">
        <v>29985</v>
      </c>
      <c r="AA873" s="468">
        <f>(Table6[[#This Row],[Paired WTG Generation for loss calculation]]/24)*Table6[[#This Row],[Breakdown Time]]</f>
        <v>1166.0833333333326</v>
      </c>
      <c r="AB873" s="102"/>
      <c r="AC873" s="35"/>
      <c r="AD873" s="35"/>
    </row>
    <row r="874" spans="1:30">
      <c r="A874" s="102">
        <f t="shared" si="14"/>
        <v>873</v>
      </c>
      <c r="B874" s="468">
        <f>YEAR(Table6[[#This Row],[Date]])+IF(MONTH(Table6[[#This Row],[Date]])&gt;=4,1,0)</f>
        <v>2026</v>
      </c>
      <c r="C874" s="102">
        <f>YEAR(Table6[[#This Row],[Date]])</f>
        <v>2025</v>
      </c>
      <c r="D874" s="102" t="s">
        <v>1992</v>
      </c>
      <c r="E874" s="469">
        <f>Table6[[#This Row],[Date]]-DAY(Table6[[#This Row],[Date]])+1</f>
        <v>45778</v>
      </c>
      <c r="F874" s="470">
        <v>45803</v>
      </c>
      <c r="G874" s="35" t="s">
        <v>81</v>
      </c>
      <c r="H874" s="35" t="str">
        <f>IFERROR(_xlfn.XLOOKUP(Table6[[#This Row],[Affected WTG]],'Basic Data'!$A:$A,'Basic Data'!$B:$B),"")</f>
        <v>TQGXIIPL</v>
      </c>
      <c r="I874" s="35" t="str">
        <f>IFERROR(_xlfn.XLOOKUP(Table6[[#This Row],[Affected WTG]],'Basic Data'!$A:$A,'Basic Data'!$C:$C),"")</f>
        <v>GEDA</v>
      </c>
      <c r="J874" s="471">
        <f>IFERROR(_xlfn.XLOOKUP(Table6[[#This Row],[Affected WTG]],'Basic Data'!$A:$A,'Basic Data'!$E:$E),"")</f>
        <v>3.846153846153845E-2</v>
      </c>
      <c r="K874" s="102">
        <v>55</v>
      </c>
      <c r="L874" s="35" t="str">
        <f>IFERROR(_xlfn.XLOOKUP(Table6[[#This Row],[Error Code]],'Basic Data'!$AA:$AA,'Basic Data'!$AB:$AB),"Incorrect Error Code")</f>
        <v>WTG shut down</v>
      </c>
      <c r="M874" s="35" t="s">
        <v>330</v>
      </c>
      <c r="N874" s="475"/>
      <c r="O874" s="476">
        <v>0.99097222222222225</v>
      </c>
      <c r="P874" s="476">
        <v>1</v>
      </c>
      <c r="Q874" s="477">
        <v>1</v>
      </c>
      <c r="R874" s="472">
        <f>IF(Table6[[#This Row],[Work Start TimeStamp]]="","",(Table6[[#This Row],[Work Start TimeStamp]]-Table6[[#This Row],[Fault Start TimeStamp]])*24)</f>
        <v>0.2166666666666659</v>
      </c>
      <c r="S874" s="472">
        <f>(Table6[[#This Row],[Fault Clearance time]]-Table6[[#This Row],[Work Start TimeStamp]])*24</f>
        <v>0</v>
      </c>
      <c r="T874" s="472">
        <f>(Table6[[#This Row],[Fault Clearance time]]-Table6[[#This Row],[Fault Start TimeStamp]])*24</f>
        <v>0.2166666666666659</v>
      </c>
      <c r="U874" s="35" t="s">
        <v>1744</v>
      </c>
      <c r="V874" s="102" t="s">
        <v>293</v>
      </c>
      <c r="W874" s="478">
        <f>IFERROR(Table6[[#This Row],[Breakdown Time]]*Table6[[#This Row],[Plant Equivalent Weightage]],"")</f>
        <v>8.333333333333302E-3</v>
      </c>
      <c r="X874" s="473" t="s">
        <v>294</v>
      </c>
      <c r="Y874" s="474" t="s">
        <v>99</v>
      </c>
      <c r="Z874" s="102">
        <v>29985</v>
      </c>
      <c r="AA874" s="468">
        <f>(Table6[[#This Row],[Paired WTG Generation for loss calculation]]/24)*Table6[[#This Row],[Breakdown Time]]</f>
        <v>270.69791666666572</v>
      </c>
      <c r="AB874" s="102"/>
      <c r="AC874" s="35"/>
      <c r="AD874" s="35"/>
    </row>
    <row r="875" spans="1:30">
      <c r="A875" s="102">
        <f t="shared" si="14"/>
        <v>874</v>
      </c>
      <c r="B875" s="468">
        <f>YEAR(Table6[[#This Row],[Date]])+IF(MONTH(Table6[[#This Row],[Date]])&gt;=4,1,0)</f>
        <v>2026</v>
      </c>
      <c r="C875" s="102">
        <f>YEAR(Table6[[#This Row],[Date]])</f>
        <v>2025</v>
      </c>
      <c r="D875" s="102" t="s">
        <v>1992</v>
      </c>
      <c r="E875" s="469">
        <f>Table6[[#This Row],[Date]]-DAY(Table6[[#This Row],[Date]])+1</f>
        <v>45778</v>
      </c>
      <c r="F875" s="470">
        <v>45803</v>
      </c>
      <c r="G875" s="35" t="s">
        <v>82</v>
      </c>
      <c r="H875" s="35" t="str">
        <f>IFERROR(_xlfn.XLOOKUP(Table6[[#This Row],[Affected WTG]],'Basic Data'!$A:$A,'Basic Data'!$B:$B),"")</f>
        <v>TQGXIIPL</v>
      </c>
      <c r="I875" s="35" t="str">
        <f>IFERROR(_xlfn.XLOOKUP(Table6[[#This Row],[Affected WTG]],'Basic Data'!$A:$A,'Basic Data'!$C:$C),"")</f>
        <v>GEDA</v>
      </c>
      <c r="J875" s="471">
        <f>IFERROR(_xlfn.XLOOKUP(Table6[[#This Row],[Affected WTG]],'Basic Data'!$A:$A,'Basic Data'!$E:$E),"")</f>
        <v>3.846153846153845E-2</v>
      </c>
      <c r="K875" s="102">
        <v>58</v>
      </c>
      <c r="L875" s="35" t="str">
        <f>IFERROR(_xlfn.XLOOKUP(Table6[[#This Row],[Error Code]],'Basic Data'!$AA:$AA,'Basic Data'!$AB:$AB),"Incorrect Error Code")</f>
        <v>Wind dir.dev. level 2</v>
      </c>
      <c r="M875" s="35" t="s">
        <v>292</v>
      </c>
      <c r="N875" s="475"/>
      <c r="O875" s="476">
        <v>8.3333333333333332E-3</v>
      </c>
      <c r="P875" s="476">
        <v>1.0416666666666666E-2</v>
      </c>
      <c r="Q875" s="477">
        <v>1.0416666666666666E-2</v>
      </c>
      <c r="R875" s="472">
        <f>IF(Table6[[#This Row],[Work Start TimeStamp]]="","",(Table6[[#This Row],[Work Start TimeStamp]]-Table6[[#This Row],[Fault Start TimeStamp]])*24)</f>
        <v>4.9999999999999989E-2</v>
      </c>
      <c r="S875" s="472">
        <f>(Table6[[#This Row],[Fault Clearance time]]-Table6[[#This Row],[Work Start TimeStamp]])*24</f>
        <v>0</v>
      </c>
      <c r="T875" s="472">
        <f>(Table6[[#This Row],[Fault Clearance time]]-Table6[[#This Row],[Fault Start TimeStamp]])*24</f>
        <v>4.9999999999999989E-2</v>
      </c>
      <c r="U875" s="35" t="s">
        <v>336</v>
      </c>
      <c r="V875" s="102" t="s">
        <v>293</v>
      </c>
      <c r="W875" s="478">
        <f>IFERROR(Table6[[#This Row],[Breakdown Time]]*Table6[[#This Row],[Plant Equivalent Weightage]],"")</f>
        <v>1.9230769230769221E-3</v>
      </c>
      <c r="X875" s="473" t="s">
        <v>294</v>
      </c>
      <c r="Y875" s="474" t="s">
        <v>76</v>
      </c>
      <c r="Z875" s="102">
        <v>28918</v>
      </c>
      <c r="AA875" s="468">
        <f>(Table6[[#This Row],[Paired WTG Generation for loss calculation]]/24)*Table6[[#This Row],[Breakdown Time]]</f>
        <v>60.245833333333323</v>
      </c>
      <c r="AB875" s="102"/>
      <c r="AC875" s="35"/>
      <c r="AD875" s="35"/>
    </row>
    <row r="876" spans="1:30">
      <c r="A876" s="102">
        <f t="shared" si="14"/>
        <v>875</v>
      </c>
      <c r="B876" s="468">
        <f>YEAR(Table6[[#This Row],[Date]])+IF(MONTH(Table6[[#This Row],[Date]])&gt;=4,1,0)</f>
        <v>2026</v>
      </c>
      <c r="C876" s="102">
        <f>YEAR(Table6[[#This Row],[Date]])</f>
        <v>2025</v>
      </c>
      <c r="D876" s="102" t="s">
        <v>1992</v>
      </c>
      <c r="E876" s="469">
        <f>Table6[[#This Row],[Date]]-DAY(Table6[[#This Row],[Date]])+1</f>
        <v>45778</v>
      </c>
      <c r="F876" s="470">
        <v>45803</v>
      </c>
      <c r="G876" s="35" t="s">
        <v>82</v>
      </c>
      <c r="H876" s="35" t="str">
        <f>IFERROR(_xlfn.XLOOKUP(Table6[[#This Row],[Affected WTG]],'Basic Data'!$A:$A,'Basic Data'!$B:$B),"")</f>
        <v>TQGXIIPL</v>
      </c>
      <c r="I876" s="35" t="str">
        <f>IFERROR(_xlfn.XLOOKUP(Table6[[#This Row],[Affected WTG]],'Basic Data'!$A:$A,'Basic Data'!$C:$C),"")</f>
        <v>GEDA</v>
      </c>
      <c r="J876" s="471">
        <f>IFERROR(_xlfn.XLOOKUP(Table6[[#This Row],[Affected WTG]],'Basic Data'!$A:$A,'Basic Data'!$E:$E),"")</f>
        <v>3.846153846153845E-2</v>
      </c>
      <c r="K876" s="102">
        <v>178</v>
      </c>
      <c r="L876" s="35" t="str">
        <f>IFERROR(_xlfn.XLOOKUP(Table6[[#This Row],[Error Code]],'Basic Data'!$AA:$AA,'Basic Data'!$AB:$AB),"Incorrect Error Code")</f>
        <v>SLC MF safe operation speed limit</v>
      </c>
      <c r="M876" s="35" t="s">
        <v>291</v>
      </c>
      <c r="N876" s="475"/>
      <c r="O876" s="476">
        <v>3.5416666666666666E-2</v>
      </c>
      <c r="P876" s="476">
        <v>4.583333333333333E-2</v>
      </c>
      <c r="Q876" s="477">
        <v>4.583333333333333E-2</v>
      </c>
      <c r="R876" s="472">
        <f>IF(Table6[[#This Row],[Work Start TimeStamp]]="","",(Table6[[#This Row],[Work Start TimeStamp]]-Table6[[#This Row],[Fault Start TimeStamp]])*24)</f>
        <v>0.24999999999999994</v>
      </c>
      <c r="S876" s="472">
        <f>(Table6[[#This Row],[Fault Clearance time]]-Table6[[#This Row],[Work Start TimeStamp]])*24</f>
        <v>0</v>
      </c>
      <c r="T876" s="472">
        <f>(Table6[[#This Row],[Fault Clearance time]]-Table6[[#This Row],[Fault Start TimeStamp]])*24</f>
        <v>0.24999999999999994</v>
      </c>
      <c r="U876" s="35" t="s">
        <v>1858</v>
      </c>
      <c r="V876" s="102" t="s">
        <v>293</v>
      </c>
      <c r="W876" s="478">
        <f>IFERROR(Table6[[#This Row],[Breakdown Time]]*Table6[[#This Row],[Plant Equivalent Weightage]],"")</f>
        <v>9.6153846153846107E-3</v>
      </c>
      <c r="X876" s="473" t="s">
        <v>290</v>
      </c>
      <c r="Y876" s="474" t="s">
        <v>76</v>
      </c>
      <c r="Z876" s="102">
        <v>28918</v>
      </c>
      <c r="AA876" s="468">
        <f>(Table6[[#This Row],[Paired WTG Generation for loss calculation]]/24)*Table6[[#This Row],[Breakdown Time]]</f>
        <v>301.22916666666663</v>
      </c>
      <c r="AB876" s="102"/>
      <c r="AC876" s="35"/>
      <c r="AD876" s="35"/>
    </row>
    <row r="877" spans="1:30">
      <c r="A877" s="102">
        <f t="shared" si="14"/>
        <v>876</v>
      </c>
      <c r="B877" s="468">
        <f>YEAR(Table6[[#This Row],[Date]])+IF(MONTH(Table6[[#This Row],[Date]])&gt;=4,1,0)</f>
        <v>2026</v>
      </c>
      <c r="C877" s="102">
        <f>YEAR(Table6[[#This Row],[Date]])</f>
        <v>2025</v>
      </c>
      <c r="D877" s="102" t="s">
        <v>1992</v>
      </c>
      <c r="E877" s="469">
        <f>Table6[[#This Row],[Date]]-DAY(Table6[[#This Row],[Date]])+1</f>
        <v>45778</v>
      </c>
      <c r="F877" s="470">
        <v>45803</v>
      </c>
      <c r="G877" s="35" t="s">
        <v>83</v>
      </c>
      <c r="H877" s="35" t="str">
        <f>IFERROR(_xlfn.XLOOKUP(Table6[[#This Row],[Affected WTG]],'Basic Data'!$A:$A,'Basic Data'!$B:$B),"")</f>
        <v>TQGXIIPL</v>
      </c>
      <c r="I877" s="35" t="str">
        <f>IFERROR(_xlfn.XLOOKUP(Table6[[#This Row],[Affected WTG]],'Basic Data'!$A:$A,'Basic Data'!$C:$C),"")</f>
        <v>GEDA</v>
      </c>
      <c r="J877" s="471">
        <f>IFERROR(_xlfn.XLOOKUP(Table6[[#This Row],[Affected WTG]],'Basic Data'!$A:$A,'Basic Data'!$E:$E),"")</f>
        <v>3.846153846153845E-2</v>
      </c>
      <c r="K877" s="102">
        <v>178</v>
      </c>
      <c r="L877" s="35" t="str">
        <f>IFERROR(_xlfn.XLOOKUP(Table6[[#This Row],[Error Code]],'Basic Data'!$AA:$AA,'Basic Data'!$AB:$AB),"Incorrect Error Code")</f>
        <v>SLC MF safe operation speed limit</v>
      </c>
      <c r="M877" s="35" t="s">
        <v>291</v>
      </c>
      <c r="N877" s="475"/>
      <c r="O877" s="476">
        <v>3.5416666666666666E-2</v>
      </c>
      <c r="P877" s="476">
        <v>4.6527777777777779E-2</v>
      </c>
      <c r="Q877" s="477">
        <v>4.6527777777777779E-2</v>
      </c>
      <c r="R877" s="472">
        <f>IF(Table6[[#This Row],[Work Start TimeStamp]]="","",(Table6[[#This Row],[Work Start TimeStamp]]-Table6[[#This Row],[Fault Start TimeStamp]])*24)</f>
        <v>0.26666666666666672</v>
      </c>
      <c r="S877" s="472">
        <f>(Table6[[#This Row],[Fault Clearance time]]-Table6[[#This Row],[Work Start TimeStamp]])*24</f>
        <v>0</v>
      </c>
      <c r="T877" s="472">
        <f>(Table6[[#This Row],[Fault Clearance time]]-Table6[[#This Row],[Fault Start TimeStamp]])*24</f>
        <v>0.26666666666666672</v>
      </c>
      <c r="U877" s="35" t="s">
        <v>1858</v>
      </c>
      <c r="V877" s="102" t="s">
        <v>293</v>
      </c>
      <c r="W877" s="478">
        <f>IFERROR(Table6[[#This Row],[Breakdown Time]]*Table6[[#This Row],[Plant Equivalent Weightage]],"")</f>
        <v>1.0256410256410255E-2</v>
      </c>
      <c r="X877" s="473" t="s">
        <v>290</v>
      </c>
      <c r="Y877" s="474" t="s">
        <v>88</v>
      </c>
      <c r="Z877" s="102">
        <v>26878</v>
      </c>
      <c r="AA877" s="468">
        <f>(Table6[[#This Row],[Paired WTG Generation for loss calculation]]/24)*Table6[[#This Row],[Breakdown Time]]</f>
        <v>298.6444444444445</v>
      </c>
      <c r="AB877" s="102"/>
      <c r="AC877" s="35"/>
      <c r="AD877" s="35"/>
    </row>
    <row r="878" spans="1:30">
      <c r="A878" s="102">
        <f t="shared" si="14"/>
        <v>877</v>
      </c>
      <c r="B878" s="468">
        <f>YEAR(Table6[[#This Row],[Date]])+IF(MONTH(Table6[[#This Row],[Date]])&gt;=4,1,0)</f>
        <v>2026</v>
      </c>
      <c r="C878" s="102">
        <f>YEAR(Table6[[#This Row],[Date]])</f>
        <v>2025</v>
      </c>
      <c r="D878" s="102" t="s">
        <v>1992</v>
      </c>
      <c r="E878" s="469">
        <f>Table6[[#This Row],[Date]]-DAY(Table6[[#This Row],[Date]])+1</f>
        <v>45778</v>
      </c>
      <c r="F878" s="470">
        <v>45803</v>
      </c>
      <c r="G878" s="35" t="s">
        <v>85</v>
      </c>
      <c r="H878" s="35" t="str">
        <f>IFERROR(_xlfn.XLOOKUP(Table6[[#This Row],[Affected WTG]],'Basic Data'!$A:$A,'Basic Data'!$B:$B),"")</f>
        <v>TQGXIIPL</v>
      </c>
      <c r="I878" s="35" t="str">
        <f>IFERROR(_xlfn.XLOOKUP(Table6[[#This Row],[Affected WTG]],'Basic Data'!$A:$A,'Basic Data'!$C:$C),"")</f>
        <v>GEDA</v>
      </c>
      <c r="J878" s="471">
        <f>IFERROR(_xlfn.XLOOKUP(Table6[[#This Row],[Affected WTG]],'Basic Data'!$A:$A,'Basic Data'!$E:$E),"")</f>
        <v>3.846153846153845E-2</v>
      </c>
      <c r="K878" s="102">
        <v>178</v>
      </c>
      <c r="L878" s="35" t="str">
        <f>IFERROR(_xlfn.XLOOKUP(Table6[[#This Row],[Error Code]],'Basic Data'!$AA:$AA,'Basic Data'!$AB:$AB),"Incorrect Error Code")</f>
        <v>SLC MF safe operation speed limit</v>
      </c>
      <c r="M878" s="35" t="s">
        <v>291</v>
      </c>
      <c r="N878" s="475"/>
      <c r="O878" s="476">
        <v>3.5416666666666666E-2</v>
      </c>
      <c r="P878" s="476">
        <v>4.7222222222222221E-2</v>
      </c>
      <c r="Q878" s="477">
        <v>4.7222222222222221E-2</v>
      </c>
      <c r="R878" s="472">
        <f>IF(Table6[[#This Row],[Work Start TimeStamp]]="","",(Table6[[#This Row],[Work Start TimeStamp]]-Table6[[#This Row],[Fault Start TimeStamp]])*24)</f>
        <v>0.28333333333333333</v>
      </c>
      <c r="S878" s="472">
        <f>(Table6[[#This Row],[Fault Clearance time]]-Table6[[#This Row],[Work Start TimeStamp]])*24</f>
        <v>0</v>
      </c>
      <c r="T878" s="472">
        <f>(Table6[[#This Row],[Fault Clearance time]]-Table6[[#This Row],[Fault Start TimeStamp]])*24</f>
        <v>0.28333333333333333</v>
      </c>
      <c r="U878" s="35" t="s">
        <v>1858</v>
      </c>
      <c r="V878" s="102" t="s">
        <v>293</v>
      </c>
      <c r="W878" s="478">
        <f>IFERROR(Table6[[#This Row],[Breakdown Time]]*Table6[[#This Row],[Plant Equivalent Weightage]],"")</f>
        <v>1.0897435897435893E-2</v>
      </c>
      <c r="X878" s="473" t="s">
        <v>290</v>
      </c>
      <c r="Y878" s="474" t="s">
        <v>87</v>
      </c>
      <c r="Z878" s="102">
        <v>28114</v>
      </c>
      <c r="AA878" s="468">
        <f>(Table6[[#This Row],[Paired WTG Generation for loss calculation]]/24)*Table6[[#This Row],[Breakdown Time]]</f>
        <v>331.9013888888889</v>
      </c>
      <c r="AB878" s="102"/>
      <c r="AC878" s="35"/>
      <c r="AD878" s="35"/>
    </row>
    <row r="879" spans="1:30">
      <c r="A879" s="102">
        <f t="shared" si="14"/>
        <v>878</v>
      </c>
      <c r="B879" s="468">
        <f>YEAR(Table6[[#This Row],[Date]])+IF(MONTH(Table6[[#This Row],[Date]])&gt;=4,1,0)</f>
        <v>2026</v>
      </c>
      <c r="C879" s="102">
        <f>YEAR(Table6[[#This Row],[Date]])</f>
        <v>2025</v>
      </c>
      <c r="D879" s="102" t="s">
        <v>1992</v>
      </c>
      <c r="E879" s="469">
        <f>Table6[[#This Row],[Date]]-DAY(Table6[[#This Row],[Date]])+1</f>
        <v>45778</v>
      </c>
      <c r="F879" s="470">
        <v>45803</v>
      </c>
      <c r="G879" s="35" t="s">
        <v>87</v>
      </c>
      <c r="H879" s="35" t="str">
        <f>IFERROR(_xlfn.XLOOKUP(Table6[[#This Row],[Affected WTG]],'Basic Data'!$A:$A,'Basic Data'!$B:$B),"")</f>
        <v>TQGXIIPL</v>
      </c>
      <c r="I879" s="35" t="str">
        <f>IFERROR(_xlfn.XLOOKUP(Table6[[#This Row],[Affected WTG]],'Basic Data'!$A:$A,'Basic Data'!$C:$C),"")</f>
        <v>GEDA</v>
      </c>
      <c r="J879" s="471">
        <f>IFERROR(_xlfn.XLOOKUP(Table6[[#This Row],[Affected WTG]],'Basic Data'!$A:$A,'Basic Data'!$E:$E),"")</f>
        <v>3.846153846153845E-2</v>
      </c>
      <c r="K879" s="102">
        <v>175</v>
      </c>
      <c r="L879" s="35" t="str">
        <f>IFERROR(_xlfn.XLOOKUP(Table6[[#This Row],[Error Code]],'Basic Data'!$AA:$AA,'Basic Data'!$AB:$AB),"Incorrect Error Code")</f>
        <v>SLC error</v>
      </c>
      <c r="M879" s="35" t="s">
        <v>291</v>
      </c>
      <c r="N879" s="475"/>
      <c r="O879" s="476">
        <v>3.5416666666666666E-2</v>
      </c>
      <c r="P879" s="476">
        <v>4.791666666666667E-2</v>
      </c>
      <c r="Q879" s="477">
        <v>4.791666666666667E-2</v>
      </c>
      <c r="R879" s="472">
        <f>IF(Table6[[#This Row],[Work Start TimeStamp]]="","",(Table6[[#This Row],[Work Start TimeStamp]]-Table6[[#This Row],[Fault Start TimeStamp]])*24)</f>
        <v>0.3000000000000001</v>
      </c>
      <c r="S879" s="472">
        <f>(Table6[[#This Row],[Fault Clearance time]]-Table6[[#This Row],[Work Start TimeStamp]])*24</f>
        <v>0</v>
      </c>
      <c r="T879" s="472">
        <f>(Table6[[#This Row],[Fault Clearance time]]-Table6[[#This Row],[Fault Start TimeStamp]])*24</f>
        <v>0.3000000000000001</v>
      </c>
      <c r="U879" s="35" t="s">
        <v>1858</v>
      </c>
      <c r="V879" s="102" t="s">
        <v>293</v>
      </c>
      <c r="W879" s="478">
        <f>IFERROR(Table6[[#This Row],[Breakdown Time]]*Table6[[#This Row],[Plant Equivalent Weightage]],"")</f>
        <v>1.1538461538461539E-2</v>
      </c>
      <c r="X879" s="473" t="s">
        <v>290</v>
      </c>
      <c r="Y879" s="474" t="s">
        <v>85</v>
      </c>
      <c r="Z879" s="102">
        <v>27828</v>
      </c>
      <c r="AA879" s="468">
        <f>(Table6[[#This Row],[Paired WTG Generation for loss calculation]]/24)*Table6[[#This Row],[Breakdown Time]]</f>
        <v>347.85000000000014</v>
      </c>
      <c r="AB879" s="102"/>
      <c r="AC879" s="35"/>
      <c r="AD879" s="35"/>
    </row>
    <row r="880" spans="1:30">
      <c r="A880" s="102">
        <f t="shared" si="14"/>
        <v>879</v>
      </c>
      <c r="B880" s="468">
        <f>YEAR(Table6[[#This Row],[Date]])+IF(MONTH(Table6[[#This Row],[Date]])&gt;=4,1,0)</f>
        <v>2026</v>
      </c>
      <c r="C880" s="102">
        <f>YEAR(Table6[[#This Row],[Date]])</f>
        <v>2025</v>
      </c>
      <c r="D880" s="102" t="s">
        <v>1992</v>
      </c>
      <c r="E880" s="469">
        <f>Table6[[#This Row],[Date]]-DAY(Table6[[#This Row],[Date]])+1</f>
        <v>45778</v>
      </c>
      <c r="F880" s="470">
        <v>45803</v>
      </c>
      <c r="G880" s="35" t="s">
        <v>88</v>
      </c>
      <c r="H880" s="35" t="str">
        <f>IFERROR(_xlfn.XLOOKUP(Table6[[#This Row],[Affected WTG]],'Basic Data'!$A:$A,'Basic Data'!$B:$B),"")</f>
        <v>TQGXIIPL</v>
      </c>
      <c r="I880" s="35" t="str">
        <f>IFERROR(_xlfn.XLOOKUP(Table6[[#This Row],[Affected WTG]],'Basic Data'!$A:$A,'Basic Data'!$C:$C),"")</f>
        <v>GEDA</v>
      </c>
      <c r="J880" s="471">
        <f>IFERROR(_xlfn.XLOOKUP(Table6[[#This Row],[Affected WTG]],'Basic Data'!$A:$A,'Basic Data'!$E:$E),"")</f>
        <v>3.846153846153845E-2</v>
      </c>
      <c r="K880" s="102">
        <v>3420</v>
      </c>
      <c r="L880" s="35" t="str">
        <f>IFERROR(_xlfn.XLOOKUP(Table6[[#This Row],[Error Code]],'Basic Data'!$AA:$AA,'Basic Data'!$AB:$AB),"Incorrect Error Code")</f>
        <v>UPS buffer time too short</v>
      </c>
      <c r="M880" s="35" t="s">
        <v>291</v>
      </c>
      <c r="N880" s="475"/>
      <c r="O880" s="476">
        <v>3.5416666666666666E-2</v>
      </c>
      <c r="P880" s="476">
        <v>4.8611111111111112E-2</v>
      </c>
      <c r="Q880" s="477">
        <v>4.8611111111111112E-2</v>
      </c>
      <c r="R880" s="472">
        <f>IF(Table6[[#This Row],[Work Start TimeStamp]]="","",(Table6[[#This Row],[Work Start TimeStamp]]-Table6[[#This Row],[Fault Start TimeStamp]])*24)</f>
        <v>0.31666666666666671</v>
      </c>
      <c r="S880" s="472">
        <f>(Table6[[#This Row],[Fault Clearance time]]-Table6[[#This Row],[Work Start TimeStamp]])*24</f>
        <v>0</v>
      </c>
      <c r="T880" s="472">
        <f>(Table6[[#This Row],[Fault Clearance time]]-Table6[[#This Row],[Fault Start TimeStamp]])*24</f>
        <v>0.31666666666666671</v>
      </c>
      <c r="U880" s="35" t="s">
        <v>1858</v>
      </c>
      <c r="V880" s="102" t="s">
        <v>293</v>
      </c>
      <c r="W880" s="478">
        <f>IFERROR(Table6[[#This Row],[Breakdown Time]]*Table6[[#This Row],[Plant Equivalent Weightage]],"")</f>
        <v>1.2179487179487178E-2</v>
      </c>
      <c r="X880" s="473" t="s">
        <v>290</v>
      </c>
      <c r="Y880" s="474" t="s">
        <v>83</v>
      </c>
      <c r="Z880" s="102">
        <v>26076</v>
      </c>
      <c r="AA880" s="468">
        <f>(Table6[[#This Row],[Paired WTG Generation for loss calculation]]/24)*Table6[[#This Row],[Breakdown Time]]</f>
        <v>344.05833333333339</v>
      </c>
      <c r="AB880" s="102"/>
      <c r="AC880" s="35"/>
      <c r="AD880" s="35"/>
    </row>
    <row r="881" spans="1:30">
      <c r="A881" s="102">
        <f t="shared" si="14"/>
        <v>880</v>
      </c>
      <c r="B881" s="468">
        <f>YEAR(Table6[[#This Row],[Date]])+IF(MONTH(Table6[[#This Row],[Date]])&gt;=4,1,0)</f>
        <v>2026</v>
      </c>
      <c r="C881" s="102">
        <f>YEAR(Table6[[#This Row],[Date]])</f>
        <v>2025</v>
      </c>
      <c r="D881" s="102" t="s">
        <v>1992</v>
      </c>
      <c r="E881" s="469">
        <f>Table6[[#This Row],[Date]]-DAY(Table6[[#This Row],[Date]])+1</f>
        <v>45778</v>
      </c>
      <c r="F881" s="470">
        <v>45803</v>
      </c>
      <c r="G881" s="35" t="s">
        <v>89</v>
      </c>
      <c r="H881" s="35" t="str">
        <f>IFERROR(_xlfn.XLOOKUP(Table6[[#This Row],[Affected WTG]],'Basic Data'!$A:$A,'Basic Data'!$B:$B),"")</f>
        <v>TQGXIIPL</v>
      </c>
      <c r="I881" s="35" t="str">
        <f>IFERROR(_xlfn.XLOOKUP(Table6[[#This Row],[Affected WTG]],'Basic Data'!$A:$A,'Basic Data'!$C:$C),"")</f>
        <v>GEDA</v>
      </c>
      <c r="J881" s="471">
        <f>IFERROR(_xlfn.XLOOKUP(Table6[[#This Row],[Affected WTG]],'Basic Data'!$A:$A,'Basic Data'!$E:$E),"")</f>
        <v>3.846153846153845E-2</v>
      </c>
      <c r="K881" s="102">
        <v>178</v>
      </c>
      <c r="L881" s="35" t="str">
        <f>IFERROR(_xlfn.XLOOKUP(Table6[[#This Row],[Error Code]],'Basic Data'!$AA:$AA,'Basic Data'!$AB:$AB),"Incorrect Error Code")</f>
        <v>SLC MF safe operation speed limit</v>
      </c>
      <c r="M881" s="35" t="s">
        <v>291</v>
      </c>
      <c r="N881" s="475"/>
      <c r="O881" s="476">
        <v>3.6111111111111108E-2</v>
      </c>
      <c r="P881" s="476">
        <v>4.9305555555555554E-2</v>
      </c>
      <c r="Q881" s="477">
        <v>4.9305555555555554E-2</v>
      </c>
      <c r="R881" s="472">
        <f>IF(Table6[[#This Row],[Work Start TimeStamp]]="","",(Table6[[#This Row],[Work Start TimeStamp]]-Table6[[#This Row],[Fault Start TimeStamp]])*24)</f>
        <v>0.31666666666666671</v>
      </c>
      <c r="S881" s="472">
        <f>(Table6[[#This Row],[Fault Clearance time]]-Table6[[#This Row],[Work Start TimeStamp]])*24</f>
        <v>0</v>
      </c>
      <c r="T881" s="472">
        <f>(Table6[[#This Row],[Fault Clearance time]]-Table6[[#This Row],[Fault Start TimeStamp]])*24</f>
        <v>0.31666666666666671</v>
      </c>
      <c r="U881" s="35" t="s">
        <v>1858</v>
      </c>
      <c r="V881" s="102" t="s">
        <v>293</v>
      </c>
      <c r="W881" s="478">
        <f>IFERROR(Table6[[#This Row],[Breakdown Time]]*Table6[[#This Row],[Plant Equivalent Weightage]],"")</f>
        <v>1.2179487179487178E-2</v>
      </c>
      <c r="X881" s="473" t="s">
        <v>290</v>
      </c>
      <c r="Y881" s="474" t="s">
        <v>94</v>
      </c>
      <c r="Z881" s="102">
        <v>27558</v>
      </c>
      <c r="AA881" s="468">
        <f>(Table6[[#This Row],[Paired WTG Generation for loss calculation]]/24)*Table6[[#This Row],[Breakdown Time]]</f>
        <v>363.61250000000007</v>
      </c>
      <c r="AB881" s="102"/>
      <c r="AC881" s="35"/>
      <c r="AD881" s="35"/>
    </row>
    <row r="882" spans="1:30">
      <c r="A882" s="102">
        <f t="shared" si="14"/>
        <v>881</v>
      </c>
      <c r="B882" s="468">
        <f>YEAR(Table6[[#This Row],[Date]])+IF(MONTH(Table6[[#This Row],[Date]])&gt;=4,1,0)</f>
        <v>2026</v>
      </c>
      <c r="C882" s="102">
        <f>YEAR(Table6[[#This Row],[Date]])</f>
        <v>2025</v>
      </c>
      <c r="D882" s="102" t="s">
        <v>1992</v>
      </c>
      <c r="E882" s="469">
        <f>Table6[[#This Row],[Date]]-DAY(Table6[[#This Row],[Date]])+1</f>
        <v>45778</v>
      </c>
      <c r="F882" s="470">
        <v>45803</v>
      </c>
      <c r="G882" s="35" t="s">
        <v>90</v>
      </c>
      <c r="H882" s="35" t="str">
        <f>IFERROR(_xlfn.XLOOKUP(Table6[[#This Row],[Affected WTG]],'Basic Data'!$A:$A,'Basic Data'!$B:$B),"")</f>
        <v>TQGXIIPL</v>
      </c>
      <c r="I882" s="35" t="str">
        <f>IFERROR(_xlfn.XLOOKUP(Table6[[#This Row],[Affected WTG]],'Basic Data'!$A:$A,'Basic Data'!$C:$C),"")</f>
        <v>GEDA</v>
      </c>
      <c r="J882" s="471">
        <f>IFERROR(_xlfn.XLOOKUP(Table6[[#This Row],[Affected WTG]],'Basic Data'!$A:$A,'Basic Data'!$E:$E),"")</f>
        <v>3.846153846153845E-2</v>
      </c>
      <c r="K882" s="102">
        <v>175</v>
      </c>
      <c r="L882" s="35" t="str">
        <f>IFERROR(_xlfn.XLOOKUP(Table6[[#This Row],[Error Code]],'Basic Data'!$AA:$AA,'Basic Data'!$AB:$AB),"Incorrect Error Code")</f>
        <v>SLC error</v>
      </c>
      <c r="M882" s="35" t="s">
        <v>291</v>
      </c>
      <c r="N882" s="475"/>
      <c r="O882" s="476">
        <v>3.6111111111111108E-2</v>
      </c>
      <c r="P882" s="476">
        <v>4.9305555555555554E-2</v>
      </c>
      <c r="Q882" s="477">
        <v>4.9305555555555554E-2</v>
      </c>
      <c r="R882" s="472">
        <f>IF(Table6[[#This Row],[Work Start TimeStamp]]="","",(Table6[[#This Row],[Work Start TimeStamp]]-Table6[[#This Row],[Fault Start TimeStamp]])*24)</f>
        <v>0.31666666666666671</v>
      </c>
      <c r="S882" s="472">
        <f>(Table6[[#This Row],[Fault Clearance time]]-Table6[[#This Row],[Work Start TimeStamp]])*24</f>
        <v>0</v>
      </c>
      <c r="T882" s="472">
        <f>(Table6[[#This Row],[Fault Clearance time]]-Table6[[#This Row],[Fault Start TimeStamp]])*24</f>
        <v>0.31666666666666671</v>
      </c>
      <c r="U882" s="35" t="s">
        <v>1858</v>
      </c>
      <c r="V882" s="102" t="s">
        <v>293</v>
      </c>
      <c r="W882" s="478">
        <f>IFERROR(Table6[[#This Row],[Breakdown Time]]*Table6[[#This Row],[Plant Equivalent Weightage]],"")</f>
        <v>1.2179487179487178E-2</v>
      </c>
      <c r="X882" s="473" t="s">
        <v>290</v>
      </c>
      <c r="Y882" s="474" t="s">
        <v>95</v>
      </c>
      <c r="Z882" s="102">
        <v>31331</v>
      </c>
      <c r="AA882" s="468">
        <f>(Table6[[#This Row],[Paired WTG Generation for loss calculation]]/24)*Table6[[#This Row],[Breakdown Time]]</f>
        <v>413.39513888888894</v>
      </c>
      <c r="AB882" s="102"/>
      <c r="AC882" s="35"/>
      <c r="AD882" s="35"/>
    </row>
    <row r="883" spans="1:30">
      <c r="A883" s="102">
        <f t="shared" si="14"/>
        <v>882</v>
      </c>
      <c r="B883" s="468">
        <f>YEAR(Table6[[#This Row],[Date]])+IF(MONTH(Table6[[#This Row],[Date]])&gt;=4,1,0)</f>
        <v>2026</v>
      </c>
      <c r="C883" s="102">
        <f>YEAR(Table6[[#This Row],[Date]])</f>
        <v>2025</v>
      </c>
      <c r="D883" s="102" t="s">
        <v>1992</v>
      </c>
      <c r="E883" s="469">
        <f>Table6[[#This Row],[Date]]-DAY(Table6[[#This Row],[Date]])+1</f>
        <v>45778</v>
      </c>
      <c r="F883" s="470">
        <v>45803</v>
      </c>
      <c r="G883" s="35" t="s">
        <v>91</v>
      </c>
      <c r="H883" s="35" t="str">
        <f>IFERROR(_xlfn.XLOOKUP(Table6[[#This Row],[Affected WTG]],'Basic Data'!$A:$A,'Basic Data'!$B:$B),"")</f>
        <v>TQGXIIPL</v>
      </c>
      <c r="I883" s="35" t="str">
        <f>IFERROR(_xlfn.XLOOKUP(Table6[[#This Row],[Affected WTG]],'Basic Data'!$A:$A,'Basic Data'!$C:$C),"")</f>
        <v>GEDA</v>
      </c>
      <c r="J883" s="471">
        <f>IFERROR(_xlfn.XLOOKUP(Table6[[#This Row],[Affected WTG]],'Basic Data'!$A:$A,'Basic Data'!$E:$E),"")</f>
        <v>3.846153846153845E-2</v>
      </c>
      <c r="K883" s="102">
        <v>3420</v>
      </c>
      <c r="L883" s="35" t="str">
        <f>IFERROR(_xlfn.XLOOKUP(Table6[[#This Row],[Error Code]],'Basic Data'!$AA:$AA,'Basic Data'!$AB:$AB),"Incorrect Error Code")</f>
        <v>UPS buffer time too short</v>
      </c>
      <c r="M883" s="35" t="s">
        <v>291</v>
      </c>
      <c r="N883" s="475"/>
      <c r="O883" s="476">
        <v>3.6111111111111108E-2</v>
      </c>
      <c r="P883" s="476">
        <v>0.05</v>
      </c>
      <c r="Q883" s="477">
        <v>0.05</v>
      </c>
      <c r="R883" s="472">
        <f>IF(Table6[[#This Row],[Work Start TimeStamp]]="","",(Table6[[#This Row],[Work Start TimeStamp]]-Table6[[#This Row],[Fault Start TimeStamp]])*24)</f>
        <v>0.33333333333333348</v>
      </c>
      <c r="S883" s="472">
        <f>(Table6[[#This Row],[Fault Clearance time]]-Table6[[#This Row],[Work Start TimeStamp]])*24</f>
        <v>0</v>
      </c>
      <c r="T883" s="472">
        <f>(Table6[[#This Row],[Fault Clearance time]]-Table6[[#This Row],[Fault Start TimeStamp]])*24</f>
        <v>0.33333333333333348</v>
      </c>
      <c r="U883" s="35" t="s">
        <v>1858</v>
      </c>
      <c r="V883" s="102" t="s">
        <v>293</v>
      </c>
      <c r="W883" s="478">
        <f>IFERROR(Table6[[#This Row],[Breakdown Time]]*Table6[[#This Row],[Plant Equivalent Weightage]],"")</f>
        <v>1.2820512820512822E-2</v>
      </c>
      <c r="X883" s="473" t="s">
        <v>290</v>
      </c>
      <c r="Y883" s="474" t="s">
        <v>79</v>
      </c>
      <c r="Z883" s="102">
        <v>30683</v>
      </c>
      <c r="AA883" s="468">
        <f>(Table6[[#This Row],[Paired WTG Generation for loss calculation]]/24)*Table6[[#This Row],[Breakdown Time]]</f>
        <v>426.15277777777794</v>
      </c>
      <c r="AB883" s="102"/>
      <c r="AC883" s="35"/>
      <c r="AD883" s="35"/>
    </row>
    <row r="884" spans="1:30">
      <c r="A884" s="102">
        <f t="shared" si="14"/>
        <v>883</v>
      </c>
      <c r="B884" s="468">
        <f>YEAR(Table6[[#This Row],[Date]])+IF(MONTH(Table6[[#This Row],[Date]])&gt;=4,1,0)</f>
        <v>2026</v>
      </c>
      <c r="C884" s="102">
        <f>YEAR(Table6[[#This Row],[Date]])</f>
        <v>2025</v>
      </c>
      <c r="D884" s="102" t="s">
        <v>1992</v>
      </c>
      <c r="E884" s="469">
        <f>Table6[[#This Row],[Date]]-DAY(Table6[[#This Row],[Date]])+1</f>
        <v>45778</v>
      </c>
      <c r="F884" s="470">
        <v>45803</v>
      </c>
      <c r="G884" s="35" t="s">
        <v>92</v>
      </c>
      <c r="H884" s="35" t="str">
        <f>IFERROR(_xlfn.XLOOKUP(Table6[[#This Row],[Affected WTG]],'Basic Data'!$A:$A,'Basic Data'!$B:$B),"")</f>
        <v>TQGXIIPL</v>
      </c>
      <c r="I884" s="35" t="str">
        <f>IFERROR(_xlfn.XLOOKUP(Table6[[#This Row],[Affected WTG]],'Basic Data'!$A:$A,'Basic Data'!$C:$C),"")</f>
        <v>GEDA</v>
      </c>
      <c r="J884" s="471">
        <f>IFERROR(_xlfn.XLOOKUP(Table6[[#This Row],[Affected WTG]],'Basic Data'!$A:$A,'Basic Data'!$E:$E),"")</f>
        <v>3.846153846153845E-2</v>
      </c>
      <c r="K884" s="102">
        <v>3420</v>
      </c>
      <c r="L884" s="35" t="str">
        <f>IFERROR(_xlfn.XLOOKUP(Table6[[#This Row],[Error Code]],'Basic Data'!$AA:$AA,'Basic Data'!$AB:$AB),"Incorrect Error Code")</f>
        <v>UPS buffer time too short</v>
      </c>
      <c r="M884" s="35" t="s">
        <v>291</v>
      </c>
      <c r="N884" s="475"/>
      <c r="O884" s="476">
        <v>3.6111111111111108E-2</v>
      </c>
      <c r="P884" s="476">
        <v>5.0694444444444445E-2</v>
      </c>
      <c r="Q884" s="477">
        <v>5.0694444444444445E-2</v>
      </c>
      <c r="R884" s="472">
        <f>IF(Table6[[#This Row],[Work Start TimeStamp]]="","",(Table6[[#This Row],[Work Start TimeStamp]]-Table6[[#This Row],[Fault Start TimeStamp]])*24)</f>
        <v>0.35000000000000009</v>
      </c>
      <c r="S884" s="472">
        <f>(Table6[[#This Row],[Fault Clearance time]]-Table6[[#This Row],[Work Start TimeStamp]])*24</f>
        <v>0</v>
      </c>
      <c r="T884" s="472">
        <f>(Table6[[#This Row],[Fault Clearance time]]-Table6[[#This Row],[Fault Start TimeStamp]])*24</f>
        <v>0.35000000000000009</v>
      </c>
      <c r="U884" s="35" t="s">
        <v>1858</v>
      </c>
      <c r="V884" s="102" t="s">
        <v>293</v>
      </c>
      <c r="W884" s="478">
        <f>IFERROR(Table6[[#This Row],[Breakdown Time]]*Table6[[#This Row],[Plant Equivalent Weightage]],"")</f>
        <v>1.3461538461538461E-2</v>
      </c>
      <c r="X884" s="473" t="s">
        <v>290</v>
      </c>
      <c r="Y884" s="474" t="s">
        <v>80</v>
      </c>
      <c r="Z884" s="102">
        <v>29635</v>
      </c>
      <c r="AA884" s="468">
        <f>(Table6[[#This Row],[Paired WTG Generation for loss calculation]]/24)*Table6[[#This Row],[Breakdown Time]]</f>
        <v>432.17708333333348</v>
      </c>
      <c r="AB884" s="102"/>
      <c r="AC884" s="35"/>
      <c r="AD884" s="35"/>
    </row>
    <row r="885" spans="1:30">
      <c r="A885" s="102">
        <f t="shared" si="14"/>
        <v>884</v>
      </c>
      <c r="B885" s="468">
        <f>YEAR(Table6[[#This Row],[Date]])+IF(MONTH(Table6[[#This Row],[Date]])&gt;=4,1,0)</f>
        <v>2026</v>
      </c>
      <c r="C885" s="102">
        <f>YEAR(Table6[[#This Row],[Date]])</f>
        <v>2025</v>
      </c>
      <c r="D885" s="102" t="s">
        <v>1992</v>
      </c>
      <c r="E885" s="469">
        <f>Table6[[#This Row],[Date]]-DAY(Table6[[#This Row],[Date]])+1</f>
        <v>45778</v>
      </c>
      <c r="F885" s="470">
        <v>45803</v>
      </c>
      <c r="G885" s="35" t="s">
        <v>93</v>
      </c>
      <c r="H885" s="35" t="str">
        <f>IFERROR(_xlfn.XLOOKUP(Table6[[#This Row],[Affected WTG]],'Basic Data'!$A:$A,'Basic Data'!$B:$B),"")</f>
        <v>TQGXIIPL</v>
      </c>
      <c r="I885" s="35" t="str">
        <f>IFERROR(_xlfn.XLOOKUP(Table6[[#This Row],[Affected WTG]],'Basic Data'!$A:$A,'Basic Data'!$C:$C),"")</f>
        <v>GEDA</v>
      </c>
      <c r="J885" s="471">
        <f>IFERROR(_xlfn.XLOOKUP(Table6[[#This Row],[Affected WTG]],'Basic Data'!$A:$A,'Basic Data'!$E:$E),"")</f>
        <v>3.846153846153845E-2</v>
      </c>
      <c r="K885" s="102">
        <v>178</v>
      </c>
      <c r="L885" s="35" t="str">
        <f>IFERROR(_xlfn.XLOOKUP(Table6[[#This Row],[Error Code]],'Basic Data'!$AA:$AA,'Basic Data'!$AB:$AB),"Incorrect Error Code")</f>
        <v>SLC MF safe operation speed limit</v>
      </c>
      <c r="M885" s="35" t="s">
        <v>291</v>
      </c>
      <c r="N885" s="475"/>
      <c r="O885" s="476">
        <v>3.6111111111111108E-2</v>
      </c>
      <c r="P885" s="476">
        <v>4.9305555555555554E-2</v>
      </c>
      <c r="Q885" s="477">
        <v>4.9305555555555554E-2</v>
      </c>
      <c r="R885" s="472">
        <f>IF(Table6[[#This Row],[Work Start TimeStamp]]="","",(Table6[[#This Row],[Work Start TimeStamp]]-Table6[[#This Row],[Fault Start TimeStamp]])*24)</f>
        <v>0.31666666666666671</v>
      </c>
      <c r="S885" s="472">
        <f>(Table6[[#This Row],[Fault Clearance time]]-Table6[[#This Row],[Work Start TimeStamp]])*24</f>
        <v>0</v>
      </c>
      <c r="T885" s="472">
        <f>(Table6[[#This Row],[Fault Clearance time]]-Table6[[#This Row],[Fault Start TimeStamp]])*24</f>
        <v>0.31666666666666671</v>
      </c>
      <c r="U885" s="35" t="s">
        <v>1858</v>
      </c>
      <c r="V885" s="102" t="s">
        <v>293</v>
      </c>
      <c r="W885" s="478">
        <f>IFERROR(Table6[[#This Row],[Breakdown Time]]*Table6[[#This Row],[Plant Equivalent Weightage]],"")</f>
        <v>1.2179487179487178E-2</v>
      </c>
      <c r="X885" s="473" t="s">
        <v>290</v>
      </c>
      <c r="Y885" s="474" t="s">
        <v>97</v>
      </c>
      <c r="Z885" s="102">
        <v>28117</v>
      </c>
      <c r="AA885" s="468">
        <f>(Table6[[#This Row],[Paired WTG Generation for loss calculation]]/24)*Table6[[#This Row],[Breakdown Time]]</f>
        <v>370.9881944444445</v>
      </c>
      <c r="AB885" s="102"/>
      <c r="AC885" s="35"/>
      <c r="AD885" s="35"/>
    </row>
    <row r="886" spans="1:30">
      <c r="A886" s="102">
        <f t="shared" si="14"/>
        <v>885</v>
      </c>
      <c r="B886" s="468">
        <f>YEAR(Table6[[#This Row],[Date]])+IF(MONTH(Table6[[#This Row],[Date]])&gt;=4,1,0)</f>
        <v>2026</v>
      </c>
      <c r="C886" s="102">
        <f>YEAR(Table6[[#This Row],[Date]])</f>
        <v>2025</v>
      </c>
      <c r="D886" s="102" t="s">
        <v>1992</v>
      </c>
      <c r="E886" s="469">
        <f>Table6[[#This Row],[Date]]-DAY(Table6[[#This Row],[Date]])+1</f>
        <v>45778</v>
      </c>
      <c r="F886" s="470">
        <v>45803</v>
      </c>
      <c r="G886" s="35" t="s">
        <v>94</v>
      </c>
      <c r="H886" s="35" t="str">
        <f>IFERROR(_xlfn.XLOOKUP(Table6[[#This Row],[Affected WTG]],'Basic Data'!$A:$A,'Basic Data'!$B:$B),"")</f>
        <v>TQGXIIPL</v>
      </c>
      <c r="I886" s="35" t="str">
        <f>IFERROR(_xlfn.XLOOKUP(Table6[[#This Row],[Affected WTG]],'Basic Data'!$A:$A,'Basic Data'!$C:$C),"")</f>
        <v>GEDA</v>
      </c>
      <c r="J886" s="471">
        <f>IFERROR(_xlfn.XLOOKUP(Table6[[#This Row],[Affected WTG]],'Basic Data'!$A:$A,'Basic Data'!$E:$E),"")</f>
        <v>3.846153846153845E-2</v>
      </c>
      <c r="K886" s="102">
        <v>3420</v>
      </c>
      <c r="L886" s="35" t="str">
        <f>IFERROR(_xlfn.XLOOKUP(Table6[[#This Row],[Error Code]],'Basic Data'!$AA:$AA,'Basic Data'!$AB:$AB),"Incorrect Error Code")</f>
        <v>UPS buffer time too short</v>
      </c>
      <c r="M886" s="35" t="s">
        <v>291</v>
      </c>
      <c r="N886" s="475"/>
      <c r="O886" s="476">
        <v>4.9305555555555554E-2</v>
      </c>
      <c r="P886" s="476">
        <v>7.7777777777777779E-2</v>
      </c>
      <c r="Q886" s="477">
        <v>7.7777777777777779E-2</v>
      </c>
      <c r="R886" s="472">
        <f>IF(Table6[[#This Row],[Work Start TimeStamp]]="","",(Table6[[#This Row],[Work Start TimeStamp]]-Table6[[#This Row],[Fault Start TimeStamp]])*24)</f>
        <v>0.68333333333333335</v>
      </c>
      <c r="S886" s="472">
        <f>(Table6[[#This Row],[Fault Clearance time]]-Table6[[#This Row],[Work Start TimeStamp]])*24</f>
        <v>0</v>
      </c>
      <c r="T886" s="472">
        <f>(Table6[[#This Row],[Fault Clearance time]]-Table6[[#This Row],[Fault Start TimeStamp]])*24</f>
        <v>0.68333333333333335</v>
      </c>
      <c r="U886" s="35" t="s">
        <v>1853</v>
      </c>
      <c r="V886" s="102" t="s">
        <v>293</v>
      </c>
      <c r="W886" s="478">
        <f>IFERROR(Table6[[#This Row],[Breakdown Time]]*Table6[[#This Row],[Plant Equivalent Weightage]],"")</f>
        <v>2.6282051282051275E-2</v>
      </c>
      <c r="X886" s="473" t="s">
        <v>290</v>
      </c>
      <c r="Y886" s="474" t="s">
        <v>79</v>
      </c>
      <c r="Z886" s="102">
        <v>30683</v>
      </c>
      <c r="AA886" s="468">
        <f>(Table6[[#This Row],[Paired WTG Generation for loss calculation]]/24)*Table6[[#This Row],[Breakdown Time]]</f>
        <v>873.61319444444439</v>
      </c>
      <c r="AB886" s="102"/>
      <c r="AC886" s="35"/>
      <c r="AD886" s="35"/>
    </row>
    <row r="887" spans="1:30">
      <c r="A887" s="102">
        <f t="shared" si="14"/>
        <v>886</v>
      </c>
      <c r="B887" s="468">
        <f>YEAR(Table6[[#This Row],[Date]])+IF(MONTH(Table6[[#This Row],[Date]])&gt;=4,1,0)</f>
        <v>2026</v>
      </c>
      <c r="C887" s="102">
        <f>YEAR(Table6[[#This Row],[Date]])</f>
        <v>2025</v>
      </c>
      <c r="D887" s="102" t="s">
        <v>1992</v>
      </c>
      <c r="E887" s="469">
        <f>Table6[[#This Row],[Date]]-DAY(Table6[[#This Row],[Date]])+1</f>
        <v>45778</v>
      </c>
      <c r="F887" s="470">
        <v>45803</v>
      </c>
      <c r="G887" s="35" t="s">
        <v>94</v>
      </c>
      <c r="H887" s="35" t="str">
        <f>IFERROR(_xlfn.XLOOKUP(Table6[[#This Row],[Affected WTG]],'Basic Data'!$A:$A,'Basic Data'!$B:$B),"")</f>
        <v>TQGXIIPL</v>
      </c>
      <c r="I887" s="35" t="str">
        <f>IFERROR(_xlfn.XLOOKUP(Table6[[#This Row],[Affected WTG]],'Basic Data'!$A:$A,'Basic Data'!$C:$C),"")</f>
        <v>GEDA</v>
      </c>
      <c r="J887" s="471">
        <f>IFERROR(_xlfn.XLOOKUP(Table6[[#This Row],[Affected WTG]],'Basic Data'!$A:$A,'Basic Data'!$E:$E),"")</f>
        <v>3.846153846153845E-2</v>
      </c>
      <c r="K887" s="102">
        <v>55</v>
      </c>
      <c r="L887" s="35" t="str">
        <f>IFERROR(_xlfn.XLOOKUP(Table6[[#This Row],[Error Code]],'Basic Data'!$AA:$AA,'Basic Data'!$AB:$AB),"Incorrect Error Code")</f>
        <v>WTG shut down</v>
      </c>
      <c r="M887" s="35" t="s">
        <v>291</v>
      </c>
      <c r="N887" s="475"/>
      <c r="O887" s="476">
        <v>0.70486111111111116</v>
      </c>
      <c r="P887" s="476">
        <v>0.75763888888888886</v>
      </c>
      <c r="Q887" s="477">
        <v>0.75763888888888886</v>
      </c>
      <c r="R887" s="472">
        <f>IF(Table6[[#This Row],[Work Start TimeStamp]]="","",(Table6[[#This Row],[Work Start TimeStamp]]-Table6[[#This Row],[Fault Start TimeStamp]])*24)</f>
        <v>1.2666666666666648</v>
      </c>
      <c r="S887" s="472">
        <f>(Table6[[#This Row],[Fault Clearance time]]-Table6[[#This Row],[Work Start TimeStamp]])*24</f>
        <v>0</v>
      </c>
      <c r="T887" s="472">
        <f>(Table6[[#This Row],[Fault Clearance time]]-Table6[[#This Row],[Fault Start TimeStamp]])*24</f>
        <v>1.2666666666666648</v>
      </c>
      <c r="U887" s="35" t="s">
        <v>1905</v>
      </c>
      <c r="V887" s="102" t="s">
        <v>293</v>
      </c>
      <c r="W887" s="478">
        <f>IFERROR(Table6[[#This Row],[Breakdown Time]]*Table6[[#This Row],[Plant Equivalent Weightage]],"")</f>
        <v>4.8717948717948635E-2</v>
      </c>
      <c r="X887" s="473" t="s">
        <v>290</v>
      </c>
      <c r="Y887" s="474" t="s">
        <v>79</v>
      </c>
      <c r="Z887" s="102">
        <v>30683</v>
      </c>
      <c r="AA887" s="468">
        <f>(Table6[[#This Row],[Paired WTG Generation for loss calculation]]/24)*Table6[[#This Row],[Breakdown Time]]</f>
        <v>1619.3805555555532</v>
      </c>
      <c r="AB887" s="102"/>
      <c r="AC887" s="35"/>
      <c r="AD887" s="35"/>
    </row>
    <row r="888" spans="1:30">
      <c r="A888" s="102">
        <f t="shared" si="14"/>
        <v>887</v>
      </c>
      <c r="B888" s="468">
        <f>YEAR(Table6[[#This Row],[Date]])+IF(MONTH(Table6[[#This Row],[Date]])&gt;=4,1,0)</f>
        <v>2026</v>
      </c>
      <c r="C888" s="102">
        <f>YEAR(Table6[[#This Row],[Date]])</f>
        <v>2025</v>
      </c>
      <c r="D888" s="102" t="s">
        <v>1992</v>
      </c>
      <c r="E888" s="469">
        <f>Table6[[#This Row],[Date]]-DAY(Table6[[#This Row],[Date]])+1</f>
        <v>45778</v>
      </c>
      <c r="F888" s="470">
        <v>45803</v>
      </c>
      <c r="G888" s="35" t="s">
        <v>95</v>
      </c>
      <c r="H888" s="35" t="str">
        <f>IFERROR(_xlfn.XLOOKUP(Table6[[#This Row],[Affected WTG]],'Basic Data'!$A:$A,'Basic Data'!$B:$B),"")</f>
        <v>TQGXIIPL</v>
      </c>
      <c r="I888" s="35" t="str">
        <f>IFERROR(_xlfn.XLOOKUP(Table6[[#This Row],[Affected WTG]],'Basic Data'!$A:$A,'Basic Data'!$C:$C),"")</f>
        <v>GEDA</v>
      </c>
      <c r="J888" s="471">
        <f>IFERROR(_xlfn.XLOOKUP(Table6[[#This Row],[Affected WTG]],'Basic Data'!$A:$A,'Basic Data'!$E:$E),"")</f>
        <v>3.846153846153845E-2</v>
      </c>
      <c r="K888" s="102">
        <v>178</v>
      </c>
      <c r="L888" s="35" t="str">
        <f>IFERROR(_xlfn.XLOOKUP(Table6[[#This Row],[Error Code]],'Basic Data'!$AA:$AA,'Basic Data'!$AB:$AB),"Incorrect Error Code")</f>
        <v>SLC MF safe operation speed limit</v>
      </c>
      <c r="M888" s="35" t="s">
        <v>291</v>
      </c>
      <c r="N888" s="475"/>
      <c r="O888" s="476">
        <v>5.6250000000000001E-2</v>
      </c>
      <c r="P888" s="476">
        <v>7.013888888888889E-2</v>
      </c>
      <c r="Q888" s="477">
        <v>7.013888888888889E-2</v>
      </c>
      <c r="R888" s="472">
        <f>IF(Table6[[#This Row],[Work Start TimeStamp]]="","",(Table6[[#This Row],[Work Start TimeStamp]]-Table6[[#This Row],[Fault Start TimeStamp]])*24)</f>
        <v>0.33333333333333331</v>
      </c>
      <c r="S888" s="472">
        <f>(Table6[[#This Row],[Fault Clearance time]]-Table6[[#This Row],[Work Start TimeStamp]])*24</f>
        <v>0</v>
      </c>
      <c r="T888" s="472">
        <f>(Table6[[#This Row],[Fault Clearance time]]-Table6[[#This Row],[Fault Start TimeStamp]])*24</f>
        <v>0.33333333333333331</v>
      </c>
      <c r="U888" s="35" t="s">
        <v>1858</v>
      </c>
      <c r="V888" s="102" t="s">
        <v>293</v>
      </c>
      <c r="W888" s="478">
        <f>IFERROR(Table6[[#This Row],[Breakdown Time]]*Table6[[#This Row],[Plant Equivalent Weightage]],"")</f>
        <v>1.2820512820512817E-2</v>
      </c>
      <c r="X888" s="473" t="s">
        <v>290</v>
      </c>
      <c r="Y888" s="474" t="s">
        <v>79</v>
      </c>
      <c r="Z888" s="102">
        <v>30683</v>
      </c>
      <c r="AA888" s="468">
        <f>(Table6[[#This Row],[Paired WTG Generation for loss calculation]]/24)*Table6[[#This Row],[Breakdown Time]]</f>
        <v>426.15277777777771</v>
      </c>
      <c r="AB888" s="102"/>
      <c r="AC888" s="35"/>
      <c r="AD888" s="35"/>
    </row>
    <row r="889" spans="1:30">
      <c r="A889" s="102">
        <f t="shared" si="14"/>
        <v>888</v>
      </c>
      <c r="B889" s="468">
        <f>YEAR(Table6[[#This Row],[Date]])+IF(MONTH(Table6[[#This Row],[Date]])&gt;=4,1,0)</f>
        <v>2026</v>
      </c>
      <c r="C889" s="102">
        <f>YEAR(Table6[[#This Row],[Date]])</f>
        <v>2025</v>
      </c>
      <c r="D889" s="102" t="s">
        <v>1992</v>
      </c>
      <c r="E889" s="469">
        <f>Table6[[#This Row],[Date]]-DAY(Table6[[#This Row],[Date]])+1</f>
        <v>45778</v>
      </c>
      <c r="F889" s="470">
        <v>45803</v>
      </c>
      <c r="G889" s="35" t="s">
        <v>96</v>
      </c>
      <c r="H889" s="35" t="str">
        <f>IFERROR(_xlfn.XLOOKUP(Table6[[#This Row],[Affected WTG]],'Basic Data'!$A:$A,'Basic Data'!$B:$B),"")</f>
        <v>TQGXIIPL</v>
      </c>
      <c r="I889" s="35" t="str">
        <f>IFERROR(_xlfn.XLOOKUP(Table6[[#This Row],[Affected WTG]],'Basic Data'!$A:$A,'Basic Data'!$C:$C),"")</f>
        <v>GEDA</v>
      </c>
      <c r="J889" s="471">
        <f>IFERROR(_xlfn.XLOOKUP(Table6[[#This Row],[Affected WTG]],'Basic Data'!$A:$A,'Basic Data'!$E:$E),"")</f>
        <v>3.846153846153845E-2</v>
      </c>
      <c r="K889" s="102">
        <v>58</v>
      </c>
      <c r="L889" s="35" t="str">
        <f>IFERROR(_xlfn.XLOOKUP(Table6[[#This Row],[Error Code]],'Basic Data'!$AA:$AA,'Basic Data'!$AB:$AB),"Incorrect Error Code")</f>
        <v>Wind dir.dev. level 2</v>
      </c>
      <c r="M889" s="35" t="s">
        <v>292</v>
      </c>
      <c r="N889" s="475"/>
      <c r="O889" s="476">
        <v>8.3333333333333332E-3</v>
      </c>
      <c r="P889" s="476">
        <v>1.0416666666666666E-2</v>
      </c>
      <c r="Q889" s="477">
        <v>1.0416666666666666E-2</v>
      </c>
      <c r="R889" s="472">
        <f>IF(Table6[[#This Row],[Work Start TimeStamp]]="","",(Table6[[#This Row],[Work Start TimeStamp]]-Table6[[#This Row],[Fault Start TimeStamp]])*24)</f>
        <v>4.9999999999999989E-2</v>
      </c>
      <c r="S889" s="472">
        <f>(Table6[[#This Row],[Fault Clearance time]]-Table6[[#This Row],[Work Start TimeStamp]])*24</f>
        <v>0</v>
      </c>
      <c r="T889" s="472">
        <f>(Table6[[#This Row],[Fault Clearance time]]-Table6[[#This Row],[Fault Start TimeStamp]])*24</f>
        <v>4.9999999999999989E-2</v>
      </c>
      <c r="U889" s="35" t="s">
        <v>336</v>
      </c>
      <c r="V889" s="102" t="s">
        <v>293</v>
      </c>
      <c r="W889" s="478">
        <f>IFERROR(Table6[[#This Row],[Breakdown Time]]*Table6[[#This Row],[Plant Equivalent Weightage]],"")</f>
        <v>1.9230769230769221E-3</v>
      </c>
      <c r="X889" s="473" t="s">
        <v>294</v>
      </c>
      <c r="Y889" s="474" t="s">
        <v>84</v>
      </c>
      <c r="Z889" s="102">
        <v>29120</v>
      </c>
      <c r="AA889" s="468">
        <f>(Table6[[#This Row],[Paired WTG Generation for loss calculation]]/24)*Table6[[#This Row],[Breakdown Time]]</f>
        <v>60.66666666666665</v>
      </c>
      <c r="AB889" s="102"/>
      <c r="AC889" s="35"/>
      <c r="AD889" s="35"/>
    </row>
    <row r="890" spans="1:30">
      <c r="A890" s="102">
        <f t="shared" si="14"/>
        <v>889</v>
      </c>
      <c r="B890" s="468">
        <f>YEAR(Table6[[#This Row],[Date]])+IF(MONTH(Table6[[#This Row],[Date]])&gt;=4,1,0)</f>
        <v>2026</v>
      </c>
      <c r="C890" s="102">
        <f>YEAR(Table6[[#This Row],[Date]])</f>
        <v>2025</v>
      </c>
      <c r="D890" s="102" t="s">
        <v>1992</v>
      </c>
      <c r="E890" s="469">
        <f>Table6[[#This Row],[Date]]-DAY(Table6[[#This Row],[Date]])+1</f>
        <v>45778</v>
      </c>
      <c r="F890" s="470">
        <v>45803</v>
      </c>
      <c r="G890" s="35" t="s">
        <v>96</v>
      </c>
      <c r="H890" s="35" t="str">
        <f>IFERROR(_xlfn.XLOOKUP(Table6[[#This Row],[Affected WTG]],'Basic Data'!$A:$A,'Basic Data'!$B:$B),"")</f>
        <v>TQGXIIPL</v>
      </c>
      <c r="I890" s="35" t="str">
        <f>IFERROR(_xlfn.XLOOKUP(Table6[[#This Row],[Affected WTG]],'Basic Data'!$A:$A,'Basic Data'!$C:$C),"")</f>
        <v>GEDA</v>
      </c>
      <c r="J890" s="471">
        <f>IFERROR(_xlfn.XLOOKUP(Table6[[#This Row],[Affected WTG]],'Basic Data'!$A:$A,'Basic Data'!$E:$E),"")</f>
        <v>3.846153846153845E-2</v>
      </c>
      <c r="K890" s="102">
        <v>3420</v>
      </c>
      <c r="L890" s="35" t="str">
        <f>IFERROR(_xlfn.XLOOKUP(Table6[[#This Row],[Error Code]],'Basic Data'!$AA:$AA,'Basic Data'!$AB:$AB),"Incorrect Error Code")</f>
        <v>UPS buffer time too short</v>
      </c>
      <c r="M890" s="35" t="s">
        <v>291</v>
      </c>
      <c r="N890" s="475"/>
      <c r="O890" s="476">
        <v>3.5416666666666666E-2</v>
      </c>
      <c r="P890" s="476">
        <v>5.2083333333333336E-2</v>
      </c>
      <c r="Q890" s="477">
        <v>5.2083333333333336E-2</v>
      </c>
      <c r="R890" s="472">
        <f>IF(Table6[[#This Row],[Work Start TimeStamp]]="","",(Table6[[#This Row],[Work Start TimeStamp]]-Table6[[#This Row],[Fault Start TimeStamp]])*24)</f>
        <v>0.40000000000000008</v>
      </c>
      <c r="S890" s="472">
        <f>(Table6[[#This Row],[Fault Clearance time]]-Table6[[#This Row],[Work Start TimeStamp]])*24</f>
        <v>0</v>
      </c>
      <c r="T890" s="472">
        <f>(Table6[[#This Row],[Fault Clearance time]]-Table6[[#This Row],[Fault Start TimeStamp]])*24</f>
        <v>0.40000000000000008</v>
      </c>
      <c r="U890" s="35" t="s">
        <v>1858</v>
      </c>
      <c r="V890" s="102" t="s">
        <v>293</v>
      </c>
      <c r="W890" s="478">
        <f>IFERROR(Table6[[#This Row],[Breakdown Time]]*Table6[[#This Row],[Plant Equivalent Weightage]],"")</f>
        <v>1.5384615384615384E-2</v>
      </c>
      <c r="X890" s="473" t="s">
        <v>290</v>
      </c>
      <c r="Y890" s="474" t="s">
        <v>84</v>
      </c>
      <c r="Z890" s="102">
        <v>29120</v>
      </c>
      <c r="AA890" s="468">
        <f>(Table6[[#This Row],[Paired WTG Generation for loss calculation]]/24)*Table6[[#This Row],[Breakdown Time]]</f>
        <v>485.33333333333337</v>
      </c>
      <c r="AB890" s="102"/>
      <c r="AC890" s="35"/>
      <c r="AD890" s="35"/>
    </row>
    <row r="891" spans="1:30">
      <c r="A891" s="102">
        <f t="shared" si="14"/>
        <v>890</v>
      </c>
      <c r="B891" s="468">
        <f>YEAR(Table6[[#This Row],[Date]])+IF(MONTH(Table6[[#This Row],[Date]])&gt;=4,1,0)</f>
        <v>2026</v>
      </c>
      <c r="C891" s="102">
        <f>YEAR(Table6[[#This Row],[Date]])</f>
        <v>2025</v>
      </c>
      <c r="D891" s="102" t="s">
        <v>1992</v>
      </c>
      <c r="E891" s="469">
        <f>Table6[[#This Row],[Date]]-DAY(Table6[[#This Row],[Date]])+1</f>
        <v>45778</v>
      </c>
      <c r="F891" s="470">
        <v>45803</v>
      </c>
      <c r="G891" s="35" t="s">
        <v>97</v>
      </c>
      <c r="H891" s="35" t="str">
        <f>IFERROR(_xlfn.XLOOKUP(Table6[[#This Row],[Affected WTG]],'Basic Data'!$A:$A,'Basic Data'!$B:$B),"")</f>
        <v>TQGXIIPL</v>
      </c>
      <c r="I891" s="35" t="str">
        <f>IFERROR(_xlfn.XLOOKUP(Table6[[#This Row],[Affected WTG]],'Basic Data'!$A:$A,'Basic Data'!$C:$C),"")</f>
        <v>GEDA</v>
      </c>
      <c r="J891" s="471">
        <f>IFERROR(_xlfn.XLOOKUP(Table6[[#This Row],[Affected WTG]],'Basic Data'!$A:$A,'Basic Data'!$E:$E),"")</f>
        <v>3.846153846153845E-2</v>
      </c>
      <c r="K891" s="102">
        <v>178</v>
      </c>
      <c r="L891" s="35" t="str">
        <f>IFERROR(_xlfn.XLOOKUP(Table6[[#This Row],[Error Code]],'Basic Data'!$AA:$AA,'Basic Data'!$AB:$AB),"Incorrect Error Code")</f>
        <v>SLC MF safe operation speed limit</v>
      </c>
      <c r="M891" s="35" t="s">
        <v>291</v>
      </c>
      <c r="N891" s="475"/>
      <c r="O891" s="476">
        <v>3.6111111111111108E-2</v>
      </c>
      <c r="P891" s="476">
        <v>5.2777777777777778E-2</v>
      </c>
      <c r="Q891" s="477">
        <v>5.2777777777777778E-2</v>
      </c>
      <c r="R891" s="472">
        <f>IF(Table6[[#This Row],[Work Start TimeStamp]]="","",(Table6[[#This Row],[Work Start TimeStamp]]-Table6[[#This Row],[Fault Start TimeStamp]])*24)</f>
        <v>0.40000000000000008</v>
      </c>
      <c r="S891" s="472">
        <f>(Table6[[#This Row],[Fault Clearance time]]-Table6[[#This Row],[Work Start TimeStamp]])*24</f>
        <v>0</v>
      </c>
      <c r="T891" s="472">
        <f>(Table6[[#This Row],[Fault Clearance time]]-Table6[[#This Row],[Fault Start TimeStamp]])*24</f>
        <v>0.40000000000000008</v>
      </c>
      <c r="U891" s="35" t="s">
        <v>1858</v>
      </c>
      <c r="V891" s="102" t="s">
        <v>293</v>
      </c>
      <c r="W891" s="478">
        <f>IFERROR(Table6[[#This Row],[Breakdown Time]]*Table6[[#This Row],[Plant Equivalent Weightage]],"")</f>
        <v>1.5384615384615384E-2</v>
      </c>
      <c r="X891" s="473" t="s">
        <v>290</v>
      </c>
      <c r="Y891" s="474" t="s">
        <v>93</v>
      </c>
      <c r="Z891" s="102">
        <v>26825</v>
      </c>
      <c r="AA891" s="468">
        <f>(Table6[[#This Row],[Paired WTG Generation for loss calculation]]/24)*Table6[[#This Row],[Breakdown Time]]</f>
        <v>447.08333333333337</v>
      </c>
      <c r="AB891" s="102"/>
      <c r="AC891" s="35"/>
      <c r="AD891" s="35"/>
    </row>
    <row r="892" spans="1:30">
      <c r="A892" s="102">
        <f t="shared" si="14"/>
        <v>891</v>
      </c>
      <c r="B892" s="468">
        <f>YEAR(Table6[[#This Row],[Date]])+IF(MONTH(Table6[[#This Row],[Date]])&gt;=4,1,0)</f>
        <v>2026</v>
      </c>
      <c r="C892" s="102">
        <f>YEAR(Table6[[#This Row],[Date]])</f>
        <v>2025</v>
      </c>
      <c r="D892" s="102" t="s">
        <v>1992</v>
      </c>
      <c r="E892" s="469">
        <f>Table6[[#This Row],[Date]]-DAY(Table6[[#This Row],[Date]])+1</f>
        <v>45778</v>
      </c>
      <c r="F892" s="470">
        <v>45803</v>
      </c>
      <c r="G892" s="35" t="s">
        <v>98</v>
      </c>
      <c r="H892" s="35" t="str">
        <f>IFERROR(_xlfn.XLOOKUP(Table6[[#This Row],[Affected WTG]],'Basic Data'!$A:$A,'Basic Data'!$B:$B),"")</f>
        <v>TQGXIIPL</v>
      </c>
      <c r="I892" s="35" t="str">
        <f>IFERROR(_xlfn.XLOOKUP(Table6[[#This Row],[Affected WTG]],'Basic Data'!$A:$A,'Basic Data'!$C:$C),"")</f>
        <v>GEDA</v>
      </c>
      <c r="J892" s="471">
        <f>IFERROR(_xlfn.XLOOKUP(Table6[[#This Row],[Affected WTG]],'Basic Data'!$A:$A,'Basic Data'!$E:$E),"")</f>
        <v>3.846153846153845E-2</v>
      </c>
      <c r="K892" s="102">
        <v>58</v>
      </c>
      <c r="L892" s="35" t="str">
        <f>IFERROR(_xlfn.XLOOKUP(Table6[[#This Row],[Error Code]],'Basic Data'!$AA:$AA,'Basic Data'!$AB:$AB),"Incorrect Error Code")</f>
        <v>Wind dir.dev. level 2</v>
      </c>
      <c r="M892" s="35" t="s">
        <v>292</v>
      </c>
      <c r="N892" s="475"/>
      <c r="O892" s="476">
        <v>3.472222222222222E-3</v>
      </c>
      <c r="P892" s="476">
        <v>5.5555555555555558E-3</v>
      </c>
      <c r="Q892" s="477">
        <v>5.5555555555555558E-3</v>
      </c>
      <c r="R892" s="472">
        <f>IF(Table6[[#This Row],[Work Start TimeStamp]]="","",(Table6[[#This Row],[Work Start TimeStamp]]-Table6[[#This Row],[Fault Start TimeStamp]])*24)</f>
        <v>5.000000000000001E-2</v>
      </c>
      <c r="S892" s="472">
        <f>(Table6[[#This Row],[Fault Clearance time]]-Table6[[#This Row],[Work Start TimeStamp]])*24</f>
        <v>0</v>
      </c>
      <c r="T892" s="472">
        <f>(Table6[[#This Row],[Fault Clearance time]]-Table6[[#This Row],[Fault Start TimeStamp]])*24</f>
        <v>5.000000000000001E-2</v>
      </c>
      <c r="U892" s="35" t="s">
        <v>336</v>
      </c>
      <c r="V892" s="102" t="s">
        <v>293</v>
      </c>
      <c r="W892" s="478">
        <f>IFERROR(Table6[[#This Row],[Breakdown Time]]*Table6[[#This Row],[Plant Equivalent Weightage]],"")</f>
        <v>1.923076923076923E-3</v>
      </c>
      <c r="X892" s="473" t="s">
        <v>294</v>
      </c>
      <c r="Y892" s="474" t="s">
        <v>74</v>
      </c>
      <c r="Z892" s="102">
        <v>30294</v>
      </c>
      <c r="AA892" s="468">
        <f>(Table6[[#This Row],[Paired WTG Generation for loss calculation]]/24)*Table6[[#This Row],[Breakdown Time]]</f>
        <v>63.112500000000011</v>
      </c>
      <c r="AB892" s="102"/>
      <c r="AC892" s="35"/>
      <c r="AD892" s="35"/>
    </row>
    <row r="893" spans="1:30">
      <c r="A893" s="102">
        <f t="shared" si="14"/>
        <v>892</v>
      </c>
      <c r="B893" s="468">
        <f>YEAR(Table6[[#This Row],[Date]])+IF(MONTH(Table6[[#This Row],[Date]])&gt;=4,1,0)</f>
        <v>2026</v>
      </c>
      <c r="C893" s="102">
        <f>YEAR(Table6[[#This Row],[Date]])</f>
        <v>2025</v>
      </c>
      <c r="D893" s="102" t="s">
        <v>1992</v>
      </c>
      <c r="E893" s="469">
        <f>Table6[[#This Row],[Date]]-DAY(Table6[[#This Row],[Date]])+1</f>
        <v>45778</v>
      </c>
      <c r="F893" s="470">
        <v>45803</v>
      </c>
      <c r="G893" s="35" t="s">
        <v>98</v>
      </c>
      <c r="H893" s="35" t="str">
        <f>IFERROR(_xlfn.XLOOKUP(Table6[[#This Row],[Affected WTG]],'Basic Data'!$A:$A,'Basic Data'!$B:$B),"")</f>
        <v>TQGXIIPL</v>
      </c>
      <c r="I893" s="35" t="str">
        <f>IFERROR(_xlfn.XLOOKUP(Table6[[#This Row],[Affected WTG]],'Basic Data'!$A:$A,'Basic Data'!$C:$C),"")</f>
        <v>GEDA</v>
      </c>
      <c r="J893" s="471">
        <f>IFERROR(_xlfn.XLOOKUP(Table6[[#This Row],[Affected WTG]],'Basic Data'!$A:$A,'Basic Data'!$E:$E),"")</f>
        <v>3.846153846153845E-2</v>
      </c>
      <c r="K893" s="102">
        <v>3420</v>
      </c>
      <c r="L893" s="35" t="str">
        <f>IFERROR(_xlfn.XLOOKUP(Table6[[#This Row],[Error Code]],'Basic Data'!$AA:$AA,'Basic Data'!$AB:$AB),"Incorrect Error Code")</f>
        <v>UPS buffer time too short</v>
      </c>
      <c r="M893" s="35" t="s">
        <v>291</v>
      </c>
      <c r="N893" s="475"/>
      <c r="O893" s="476">
        <v>3.5416666666666666E-2</v>
      </c>
      <c r="P893" s="476">
        <v>5.2083333333333336E-2</v>
      </c>
      <c r="Q893" s="477">
        <v>5.2083333333333336E-2</v>
      </c>
      <c r="R893" s="472">
        <f>IF(Table6[[#This Row],[Work Start TimeStamp]]="","",(Table6[[#This Row],[Work Start TimeStamp]]-Table6[[#This Row],[Fault Start TimeStamp]])*24)</f>
        <v>0.40000000000000008</v>
      </c>
      <c r="S893" s="472">
        <f>(Table6[[#This Row],[Fault Clearance time]]-Table6[[#This Row],[Work Start TimeStamp]])*24</f>
        <v>0</v>
      </c>
      <c r="T893" s="472">
        <f>(Table6[[#This Row],[Fault Clearance time]]-Table6[[#This Row],[Fault Start TimeStamp]])*24</f>
        <v>0.40000000000000008</v>
      </c>
      <c r="U893" s="35" t="s">
        <v>1858</v>
      </c>
      <c r="V893" s="102" t="s">
        <v>293</v>
      </c>
      <c r="W893" s="478">
        <f>IFERROR(Table6[[#This Row],[Breakdown Time]]*Table6[[#This Row],[Plant Equivalent Weightage]],"")</f>
        <v>1.5384615384615384E-2</v>
      </c>
      <c r="X893" s="473" t="s">
        <v>290</v>
      </c>
      <c r="Y893" s="474" t="s">
        <v>74</v>
      </c>
      <c r="Z893" s="102">
        <v>30294</v>
      </c>
      <c r="AA893" s="468">
        <f>(Table6[[#This Row],[Paired WTG Generation for loss calculation]]/24)*Table6[[#This Row],[Breakdown Time]]</f>
        <v>504.90000000000009</v>
      </c>
      <c r="AB893" s="102"/>
      <c r="AC893" s="35"/>
      <c r="AD893" s="35"/>
    </row>
    <row r="894" spans="1:30">
      <c r="A894" s="102">
        <f t="shared" si="14"/>
        <v>893</v>
      </c>
      <c r="B894" s="468">
        <f>YEAR(Table6[[#This Row],[Date]])+IF(MONTH(Table6[[#This Row],[Date]])&gt;=4,1,0)</f>
        <v>2026</v>
      </c>
      <c r="C894" s="102">
        <f>YEAR(Table6[[#This Row],[Date]])</f>
        <v>2025</v>
      </c>
      <c r="D894" s="102" t="s">
        <v>1992</v>
      </c>
      <c r="E894" s="469">
        <f>Table6[[#This Row],[Date]]-DAY(Table6[[#This Row],[Date]])+1</f>
        <v>45778</v>
      </c>
      <c r="F894" s="470">
        <v>45803</v>
      </c>
      <c r="G894" s="35" t="s">
        <v>98</v>
      </c>
      <c r="H894" s="35" t="str">
        <f>IFERROR(_xlfn.XLOOKUP(Table6[[#This Row],[Affected WTG]],'Basic Data'!$A:$A,'Basic Data'!$B:$B),"")</f>
        <v>TQGXIIPL</v>
      </c>
      <c r="I894" s="35" t="str">
        <f>IFERROR(_xlfn.XLOOKUP(Table6[[#This Row],[Affected WTG]],'Basic Data'!$A:$A,'Basic Data'!$C:$C),"")</f>
        <v>GEDA</v>
      </c>
      <c r="J894" s="471">
        <f>IFERROR(_xlfn.XLOOKUP(Table6[[#This Row],[Affected WTG]],'Basic Data'!$A:$A,'Basic Data'!$E:$E),"")</f>
        <v>3.846153846153845E-2</v>
      </c>
      <c r="K894" s="102">
        <v>55</v>
      </c>
      <c r="L894" s="35" t="str">
        <f>IFERROR(_xlfn.XLOOKUP(Table6[[#This Row],[Error Code]],'Basic Data'!$AA:$AA,'Basic Data'!$AB:$AB),"Incorrect Error Code")</f>
        <v>WTG shut down</v>
      </c>
      <c r="M894" s="35" t="s">
        <v>330</v>
      </c>
      <c r="N894" s="475"/>
      <c r="O894" s="476">
        <v>0.17847222222222223</v>
      </c>
      <c r="P894" s="476">
        <v>0.21180555555555555</v>
      </c>
      <c r="Q894" s="477">
        <v>0.21180555555555555</v>
      </c>
      <c r="R894" s="472">
        <f>IF(Table6[[#This Row],[Work Start TimeStamp]]="","",(Table6[[#This Row],[Work Start TimeStamp]]-Table6[[#This Row],[Fault Start TimeStamp]])*24)</f>
        <v>0.79999999999999982</v>
      </c>
      <c r="S894" s="472">
        <f>(Table6[[#This Row],[Fault Clearance time]]-Table6[[#This Row],[Work Start TimeStamp]])*24</f>
        <v>0</v>
      </c>
      <c r="T894" s="472">
        <f>(Table6[[#This Row],[Fault Clearance time]]-Table6[[#This Row],[Fault Start TimeStamp]])*24</f>
        <v>0.79999999999999982</v>
      </c>
      <c r="U894" s="35" t="s">
        <v>1744</v>
      </c>
      <c r="V894" s="102" t="s">
        <v>293</v>
      </c>
      <c r="W894" s="478">
        <f>IFERROR(Table6[[#This Row],[Breakdown Time]]*Table6[[#This Row],[Plant Equivalent Weightage]],"")</f>
        <v>3.0769230769230754E-2</v>
      </c>
      <c r="X894" s="473" t="s">
        <v>294</v>
      </c>
      <c r="Y894" s="474" t="s">
        <v>74</v>
      </c>
      <c r="Z894" s="102">
        <v>30294</v>
      </c>
      <c r="AA894" s="468">
        <f>(Table6[[#This Row],[Paired WTG Generation for loss calculation]]/24)*Table6[[#This Row],[Breakdown Time]]</f>
        <v>1009.7999999999997</v>
      </c>
      <c r="AB894" s="102"/>
      <c r="AC894" s="35"/>
      <c r="AD894" s="35"/>
    </row>
    <row r="895" spans="1:30">
      <c r="A895" s="102">
        <f t="shared" si="14"/>
        <v>894</v>
      </c>
      <c r="B895" s="468">
        <f>YEAR(Table6[[#This Row],[Date]])+IF(MONTH(Table6[[#This Row],[Date]])&gt;=4,1,0)</f>
        <v>2026</v>
      </c>
      <c r="C895" s="102">
        <f>YEAR(Table6[[#This Row],[Date]])</f>
        <v>2025</v>
      </c>
      <c r="D895" s="102" t="s">
        <v>1992</v>
      </c>
      <c r="E895" s="469">
        <f>Table6[[#This Row],[Date]]-DAY(Table6[[#This Row],[Date]])+1</f>
        <v>45778</v>
      </c>
      <c r="F895" s="470">
        <v>45803</v>
      </c>
      <c r="G895" s="35" t="s">
        <v>98</v>
      </c>
      <c r="H895" s="35" t="str">
        <f>IFERROR(_xlfn.XLOOKUP(Table6[[#This Row],[Affected WTG]],'Basic Data'!$A:$A,'Basic Data'!$B:$B),"")</f>
        <v>TQGXIIPL</v>
      </c>
      <c r="I895" s="35" t="str">
        <f>IFERROR(_xlfn.XLOOKUP(Table6[[#This Row],[Affected WTG]],'Basic Data'!$A:$A,'Basic Data'!$C:$C),"")</f>
        <v>GEDA</v>
      </c>
      <c r="J895" s="471">
        <f>IFERROR(_xlfn.XLOOKUP(Table6[[#This Row],[Affected WTG]],'Basic Data'!$A:$A,'Basic Data'!$E:$E),"")</f>
        <v>3.846153846153845E-2</v>
      </c>
      <c r="K895" s="102">
        <v>55</v>
      </c>
      <c r="L895" s="35" t="str">
        <f>IFERROR(_xlfn.XLOOKUP(Table6[[#This Row],[Error Code]],'Basic Data'!$AA:$AA,'Basic Data'!$AB:$AB),"Incorrect Error Code")</f>
        <v>WTG shut down</v>
      </c>
      <c r="M895" s="35" t="s">
        <v>330</v>
      </c>
      <c r="N895" s="475"/>
      <c r="O895" s="476">
        <v>0.21805555555555556</v>
      </c>
      <c r="P895" s="476">
        <v>0.26319444444444445</v>
      </c>
      <c r="Q895" s="477">
        <v>0.26319444444444445</v>
      </c>
      <c r="R895" s="472">
        <f>IF(Table6[[#This Row],[Work Start TimeStamp]]="","",(Table6[[#This Row],[Work Start TimeStamp]]-Table6[[#This Row],[Fault Start TimeStamp]])*24)</f>
        <v>1.0833333333333335</v>
      </c>
      <c r="S895" s="472">
        <f>(Table6[[#This Row],[Fault Clearance time]]-Table6[[#This Row],[Work Start TimeStamp]])*24</f>
        <v>0</v>
      </c>
      <c r="T895" s="472">
        <f>(Table6[[#This Row],[Fault Clearance time]]-Table6[[#This Row],[Fault Start TimeStamp]])*24</f>
        <v>1.0833333333333335</v>
      </c>
      <c r="U895" s="35" t="s">
        <v>1744</v>
      </c>
      <c r="V895" s="102" t="s">
        <v>293</v>
      </c>
      <c r="W895" s="478">
        <f>IFERROR(Table6[[#This Row],[Breakdown Time]]*Table6[[#This Row],[Plant Equivalent Weightage]],"")</f>
        <v>4.1666666666666657E-2</v>
      </c>
      <c r="X895" s="473" t="s">
        <v>294</v>
      </c>
      <c r="Y895" s="474" t="s">
        <v>74</v>
      </c>
      <c r="Z895" s="102">
        <v>30294</v>
      </c>
      <c r="AA895" s="468">
        <f>(Table6[[#This Row],[Paired WTG Generation for loss calculation]]/24)*Table6[[#This Row],[Breakdown Time]]</f>
        <v>1367.4375000000002</v>
      </c>
      <c r="AB895" s="102"/>
      <c r="AC895" s="35"/>
      <c r="AD895" s="35"/>
    </row>
    <row r="896" spans="1:30">
      <c r="A896" s="102">
        <f t="shared" si="14"/>
        <v>895</v>
      </c>
      <c r="B896" s="468">
        <f>YEAR(Table6[[#This Row],[Date]])+IF(MONTH(Table6[[#This Row],[Date]])&gt;=4,1,0)</f>
        <v>2026</v>
      </c>
      <c r="C896" s="102">
        <f>YEAR(Table6[[#This Row],[Date]])</f>
        <v>2025</v>
      </c>
      <c r="D896" s="102" t="s">
        <v>1992</v>
      </c>
      <c r="E896" s="469">
        <f>Table6[[#This Row],[Date]]-DAY(Table6[[#This Row],[Date]])+1</f>
        <v>45778</v>
      </c>
      <c r="F896" s="470">
        <v>45803</v>
      </c>
      <c r="G896" s="35" t="s">
        <v>99</v>
      </c>
      <c r="H896" s="35" t="str">
        <f>IFERROR(_xlfn.XLOOKUP(Table6[[#This Row],[Affected WTG]],'Basic Data'!$A:$A,'Basic Data'!$B:$B),"")</f>
        <v>TQGXIIPL</v>
      </c>
      <c r="I896" s="35" t="str">
        <f>IFERROR(_xlfn.XLOOKUP(Table6[[#This Row],[Affected WTG]],'Basic Data'!$A:$A,'Basic Data'!$C:$C),"")</f>
        <v>GEDA</v>
      </c>
      <c r="J896" s="471">
        <f>IFERROR(_xlfn.XLOOKUP(Table6[[#This Row],[Affected WTG]],'Basic Data'!$A:$A,'Basic Data'!$E:$E),"")</f>
        <v>3.846153846153845E-2</v>
      </c>
      <c r="K896" s="102">
        <v>675</v>
      </c>
      <c r="L896" s="35" t="str">
        <f>IFERROR(_xlfn.XLOOKUP(Table6[[#This Row],[Error Code]],'Basic Data'!$AA:$AA,'Basic Data'!$AB:$AB),"Incorrect Error Code")</f>
        <v>Pitch measuring system 1&gt;&lt;2</v>
      </c>
      <c r="M896" s="35" t="s">
        <v>291</v>
      </c>
      <c r="N896" s="475"/>
      <c r="O896" s="476">
        <v>3.5416666666666666E-2</v>
      </c>
      <c r="P896" s="476">
        <v>5.2777777777777778E-2</v>
      </c>
      <c r="Q896" s="477">
        <v>5.2777777777777778E-2</v>
      </c>
      <c r="R896" s="472">
        <f>IF(Table6[[#This Row],[Work Start TimeStamp]]="","",(Table6[[#This Row],[Work Start TimeStamp]]-Table6[[#This Row],[Fault Start TimeStamp]])*24)</f>
        <v>0.41666666666666669</v>
      </c>
      <c r="S896" s="472">
        <f>(Table6[[#This Row],[Fault Clearance time]]-Table6[[#This Row],[Work Start TimeStamp]])*24</f>
        <v>0</v>
      </c>
      <c r="T896" s="472">
        <f>(Table6[[#This Row],[Fault Clearance time]]-Table6[[#This Row],[Fault Start TimeStamp]])*24</f>
        <v>0.41666666666666669</v>
      </c>
      <c r="U896" s="35" t="s">
        <v>1858</v>
      </c>
      <c r="V896" s="102" t="s">
        <v>293</v>
      </c>
      <c r="W896" s="478">
        <f>IFERROR(Table6[[#This Row],[Breakdown Time]]*Table6[[#This Row],[Plant Equivalent Weightage]],"")</f>
        <v>1.6025641025641021E-2</v>
      </c>
      <c r="X896" s="473" t="s">
        <v>290</v>
      </c>
      <c r="Y896" s="474" t="s">
        <v>74</v>
      </c>
      <c r="Z896" s="102">
        <v>30294</v>
      </c>
      <c r="AA896" s="468">
        <f>(Table6[[#This Row],[Paired WTG Generation for loss calculation]]/24)*Table6[[#This Row],[Breakdown Time]]</f>
        <v>525.9375</v>
      </c>
      <c r="AB896" s="102"/>
      <c r="AC896" s="35"/>
      <c r="AD896" s="35"/>
    </row>
    <row r="897" spans="1:30">
      <c r="A897" s="102">
        <f t="shared" si="14"/>
        <v>896</v>
      </c>
      <c r="B897" s="468">
        <f>YEAR(Table6[[#This Row],[Date]])+IF(MONTH(Table6[[#This Row],[Date]])&gt;=4,1,0)</f>
        <v>2026</v>
      </c>
      <c r="C897" s="102">
        <f>YEAR(Table6[[#This Row],[Date]])</f>
        <v>2025</v>
      </c>
      <c r="D897" s="102" t="s">
        <v>1992</v>
      </c>
      <c r="E897" s="469">
        <f>Table6[[#This Row],[Date]]-DAY(Table6[[#This Row],[Date]])+1</f>
        <v>45778</v>
      </c>
      <c r="F897" s="470">
        <v>45804</v>
      </c>
      <c r="G897" s="35" t="s">
        <v>76</v>
      </c>
      <c r="H897" s="35" t="str">
        <f>IFERROR(_xlfn.XLOOKUP(Table6[[#This Row],[Affected WTG]],'Basic Data'!$A:$A,'Basic Data'!$B:$B),"")</f>
        <v>TQGXIIPL</v>
      </c>
      <c r="I897" s="35" t="str">
        <f>IFERROR(_xlfn.XLOOKUP(Table6[[#This Row],[Affected WTG]],'Basic Data'!$A:$A,'Basic Data'!$C:$C),"")</f>
        <v>GEDA</v>
      </c>
      <c r="J897" s="471">
        <f>IFERROR(_xlfn.XLOOKUP(Table6[[#This Row],[Affected WTG]],'Basic Data'!$A:$A,'Basic Data'!$E:$E),"")</f>
        <v>3.846153846153845E-2</v>
      </c>
      <c r="K897" s="102">
        <v>55</v>
      </c>
      <c r="L897" s="35" t="str">
        <f>IFERROR(_xlfn.XLOOKUP(Table6[[#This Row],[Error Code]],'Basic Data'!$AA:$AA,'Basic Data'!$AB:$AB),"Incorrect Error Code")</f>
        <v>WTG shut down</v>
      </c>
      <c r="M897" s="35" t="s">
        <v>330</v>
      </c>
      <c r="N897" s="475"/>
      <c r="O897" s="476">
        <v>1.5972222222222221E-2</v>
      </c>
      <c r="P897" s="476">
        <v>0.26944444444444443</v>
      </c>
      <c r="Q897" s="477">
        <v>0.26944444444444443</v>
      </c>
      <c r="R897" s="472">
        <f>IF(Table6[[#This Row],[Work Start TimeStamp]]="","",(Table6[[#This Row],[Work Start TimeStamp]]-Table6[[#This Row],[Fault Start TimeStamp]])*24)</f>
        <v>6.083333333333333</v>
      </c>
      <c r="S897" s="472">
        <f>(Table6[[#This Row],[Fault Clearance time]]-Table6[[#This Row],[Work Start TimeStamp]])*24</f>
        <v>0</v>
      </c>
      <c r="T897" s="472">
        <f>(Table6[[#This Row],[Fault Clearance time]]-Table6[[#This Row],[Fault Start TimeStamp]])*24</f>
        <v>6.083333333333333</v>
      </c>
      <c r="U897" s="35" t="s">
        <v>1744</v>
      </c>
      <c r="V897" s="102" t="s">
        <v>293</v>
      </c>
      <c r="W897" s="478">
        <f>IFERROR(Table6[[#This Row],[Breakdown Time]]*Table6[[#This Row],[Plant Equivalent Weightage]],"")</f>
        <v>0.23397435897435889</v>
      </c>
      <c r="X897" s="473" t="s">
        <v>294</v>
      </c>
      <c r="Y897" s="474" t="s">
        <v>82</v>
      </c>
      <c r="Z897" s="102">
        <v>43632</v>
      </c>
      <c r="AA897" s="468">
        <f>(Table6[[#This Row],[Paired WTG Generation for loss calculation]]/24)*Table6[[#This Row],[Breakdown Time]]</f>
        <v>11059.5</v>
      </c>
      <c r="AB897" s="102"/>
      <c r="AC897" s="35"/>
      <c r="AD897" s="35"/>
    </row>
    <row r="898" spans="1:30">
      <c r="A898" s="102">
        <f t="shared" si="14"/>
        <v>897</v>
      </c>
      <c r="B898" s="468">
        <f>YEAR(Table6[[#This Row],[Date]])+IF(MONTH(Table6[[#This Row],[Date]])&gt;=4,1,0)</f>
        <v>2026</v>
      </c>
      <c r="C898" s="102">
        <f>YEAR(Table6[[#This Row],[Date]])</f>
        <v>2025</v>
      </c>
      <c r="D898" s="102" t="s">
        <v>1992</v>
      </c>
      <c r="E898" s="469">
        <f>Table6[[#This Row],[Date]]-DAY(Table6[[#This Row],[Date]])+1</f>
        <v>45778</v>
      </c>
      <c r="F898" s="470">
        <v>45804</v>
      </c>
      <c r="G898" s="35" t="s">
        <v>78</v>
      </c>
      <c r="H898" s="35" t="str">
        <f>IFERROR(_xlfn.XLOOKUP(Table6[[#This Row],[Affected WTG]],'Basic Data'!$A:$A,'Basic Data'!$B:$B),"")</f>
        <v>TQGXIIPL</v>
      </c>
      <c r="I898" s="35" t="str">
        <f>IFERROR(_xlfn.XLOOKUP(Table6[[#This Row],[Affected WTG]],'Basic Data'!$A:$A,'Basic Data'!$C:$C),"")</f>
        <v>GEDA</v>
      </c>
      <c r="J898" s="471">
        <f>IFERROR(_xlfn.XLOOKUP(Table6[[#This Row],[Affected WTG]],'Basic Data'!$A:$A,'Basic Data'!$E:$E),"")</f>
        <v>3.846153846153845E-2</v>
      </c>
      <c r="K898" s="102">
        <v>3000</v>
      </c>
      <c r="L898" s="35" t="str">
        <f>IFERROR(_xlfn.XLOOKUP(Table6[[#This Row],[Error Code]],'Basic Data'!$AA:$AA,'Basic Data'!$AB:$AB),"Incorrect Error Code")</f>
        <v>Frequency converter not ready</v>
      </c>
      <c r="M898" s="35" t="s">
        <v>291</v>
      </c>
      <c r="N898" s="475"/>
      <c r="O898" s="476">
        <v>0.27708333333333335</v>
      </c>
      <c r="P898" s="476">
        <v>0.28472222222222221</v>
      </c>
      <c r="Q898" s="477">
        <v>0.28472222222222221</v>
      </c>
      <c r="R898" s="472">
        <f>IF(Table6[[#This Row],[Work Start TimeStamp]]="","",(Table6[[#This Row],[Work Start TimeStamp]]-Table6[[#This Row],[Fault Start TimeStamp]])*24)</f>
        <v>0.18333333333333268</v>
      </c>
      <c r="S898" s="472">
        <f>(Table6[[#This Row],[Fault Clearance time]]-Table6[[#This Row],[Work Start TimeStamp]])*24</f>
        <v>0</v>
      </c>
      <c r="T898" s="472">
        <f>(Table6[[#This Row],[Fault Clearance time]]-Table6[[#This Row],[Fault Start TimeStamp]])*24</f>
        <v>0.18333333333333268</v>
      </c>
      <c r="U898" s="35" t="s">
        <v>1853</v>
      </c>
      <c r="V898" s="102" t="s">
        <v>293</v>
      </c>
      <c r="W898" s="478">
        <f>IFERROR(Table6[[#This Row],[Breakdown Time]]*Table6[[#This Row],[Plant Equivalent Weightage]],"")</f>
        <v>7.0512820512820245E-3</v>
      </c>
      <c r="X898" s="473" t="s">
        <v>290</v>
      </c>
      <c r="Y898" s="474" t="s">
        <v>75</v>
      </c>
      <c r="Z898" s="102">
        <v>48703</v>
      </c>
      <c r="AA898" s="468">
        <f>(Table6[[#This Row],[Paired WTG Generation for loss calculation]]/24)*Table6[[#This Row],[Breakdown Time]]</f>
        <v>372.03680555555422</v>
      </c>
      <c r="AB898" s="102"/>
      <c r="AC898" s="35"/>
      <c r="AD898" s="35"/>
    </row>
    <row r="899" spans="1:30">
      <c r="A899" s="102">
        <f t="shared" si="14"/>
        <v>898</v>
      </c>
      <c r="B899" s="468">
        <f>YEAR(Table6[[#This Row],[Date]])+IF(MONTH(Table6[[#This Row],[Date]])&gt;=4,1,0)</f>
        <v>2026</v>
      </c>
      <c r="C899" s="102">
        <f>YEAR(Table6[[#This Row],[Date]])</f>
        <v>2025</v>
      </c>
      <c r="D899" s="102" t="s">
        <v>1992</v>
      </c>
      <c r="E899" s="469">
        <f>Table6[[#This Row],[Date]]-DAY(Table6[[#This Row],[Date]])+1</f>
        <v>45778</v>
      </c>
      <c r="F899" s="470">
        <v>45804</v>
      </c>
      <c r="G899" s="35" t="s">
        <v>78</v>
      </c>
      <c r="H899" s="35" t="str">
        <f>IFERROR(_xlfn.XLOOKUP(Table6[[#This Row],[Affected WTG]],'Basic Data'!$A:$A,'Basic Data'!$B:$B),"")</f>
        <v>TQGXIIPL</v>
      </c>
      <c r="I899" s="35" t="str">
        <f>IFERROR(_xlfn.XLOOKUP(Table6[[#This Row],[Affected WTG]],'Basic Data'!$A:$A,'Basic Data'!$C:$C),"")</f>
        <v>GEDA</v>
      </c>
      <c r="J899" s="471">
        <f>IFERROR(_xlfn.XLOOKUP(Table6[[#This Row],[Affected WTG]],'Basic Data'!$A:$A,'Basic Data'!$E:$E),"")</f>
        <v>3.846153846153845E-2</v>
      </c>
      <c r="K899" s="102">
        <v>3000</v>
      </c>
      <c r="L899" s="35" t="str">
        <f>IFERROR(_xlfn.XLOOKUP(Table6[[#This Row],[Error Code]],'Basic Data'!$AA:$AA,'Basic Data'!$AB:$AB),"Incorrect Error Code")</f>
        <v>Frequency converter not ready</v>
      </c>
      <c r="M899" s="35" t="s">
        <v>291</v>
      </c>
      <c r="N899" s="475"/>
      <c r="O899" s="476">
        <v>0.8833333333333333</v>
      </c>
      <c r="P899" s="476">
        <v>0.89861111111111114</v>
      </c>
      <c r="Q899" s="477">
        <v>0.89861111111111114</v>
      </c>
      <c r="R899" s="472">
        <f>IF(Table6[[#This Row],[Work Start TimeStamp]]="","",(Table6[[#This Row],[Work Start TimeStamp]]-Table6[[#This Row],[Fault Start TimeStamp]])*24)</f>
        <v>0.36666666666666803</v>
      </c>
      <c r="S899" s="472">
        <f>(Table6[[#This Row],[Fault Clearance time]]-Table6[[#This Row],[Work Start TimeStamp]])*24</f>
        <v>0</v>
      </c>
      <c r="T899" s="472">
        <f>(Table6[[#This Row],[Fault Clearance time]]-Table6[[#This Row],[Fault Start TimeStamp]])*24</f>
        <v>0.36666666666666803</v>
      </c>
      <c r="U899" s="35" t="s">
        <v>1853</v>
      </c>
      <c r="V899" s="102" t="s">
        <v>293</v>
      </c>
      <c r="W899" s="478">
        <f>IFERROR(Table6[[#This Row],[Breakdown Time]]*Table6[[#This Row],[Plant Equivalent Weightage]],"")</f>
        <v>1.4102564102564151E-2</v>
      </c>
      <c r="X899" s="473" t="s">
        <v>290</v>
      </c>
      <c r="Y899" s="474" t="s">
        <v>75</v>
      </c>
      <c r="Z899" s="102">
        <v>48703</v>
      </c>
      <c r="AA899" s="468">
        <f>(Table6[[#This Row],[Paired WTG Generation for loss calculation]]/24)*Table6[[#This Row],[Breakdown Time]]</f>
        <v>744.07361111111391</v>
      </c>
      <c r="AB899" s="102"/>
      <c r="AC899" s="35"/>
      <c r="AD899" s="35"/>
    </row>
    <row r="900" spans="1:30">
      <c r="A900" s="102">
        <f t="shared" si="14"/>
        <v>899</v>
      </c>
      <c r="B900" s="468">
        <f>YEAR(Table6[[#This Row],[Date]])+IF(MONTH(Table6[[#This Row],[Date]])&gt;=4,1,0)</f>
        <v>2026</v>
      </c>
      <c r="C900" s="102">
        <f>YEAR(Table6[[#This Row],[Date]])</f>
        <v>2025</v>
      </c>
      <c r="D900" s="102" t="s">
        <v>1992</v>
      </c>
      <c r="E900" s="469">
        <f>Table6[[#This Row],[Date]]-DAY(Table6[[#This Row],[Date]])+1</f>
        <v>45778</v>
      </c>
      <c r="F900" s="470">
        <v>45804</v>
      </c>
      <c r="G900" s="35" t="s">
        <v>80</v>
      </c>
      <c r="H900" s="35" t="str">
        <f>IFERROR(_xlfn.XLOOKUP(Table6[[#This Row],[Affected WTG]],'Basic Data'!$A:$A,'Basic Data'!$B:$B),"")</f>
        <v>TQGXIIPL</v>
      </c>
      <c r="I900" s="35" t="str">
        <f>IFERROR(_xlfn.XLOOKUP(Table6[[#This Row],[Affected WTG]],'Basic Data'!$A:$A,'Basic Data'!$C:$C),"")</f>
        <v>GEDA</v>
      </c>
      <c r="J900" s="471">
        <f>IFERROR(_xlfn.XLOOKUP(Table6[[#This Row],[Affected WTG]],'Basic Data'!$A:$A,'Basic Data'!$E:$E),"")</f>
        <v>3.846153846153845E-2</v>
      </c>
      <c r="K900" s="102">
        <v>3000</v>
      </c>
      <c r="L900" s="35" t="str">
        <f>IFERROR(_xlfn.XLOOKUP(Table6[[#This Row],[Error Code]],'Basic Data'!$AA:$AA,'Basic Data'!$AB:$AB),"Incorrect Error Code")</f>
        <v>Frequency converter not ready</v>
      </c>
      <c r="M900" s="35" t="s">
        <v>291</v>
      </c>
      <c r="N900" s="475"/>
      <c r="O900" s="476">
        <v>0.23055555555555557</v>
      </c>
      <c r="P900" s="476">
        <v>0.23819444444444443</v>
      </c>
      <c r="Q900" s="477">
        <v>0.23819444444444443</v>
      </c>
      <c r="R900" s="472">
        <f>IF(Table6[[#This Row],[Work Start TimeStamp]]="","",(Table6[[#This Row],[Work Start TimeStamp]]-Table6[[#This Row],[Fault Start TimeStamp]])*24)</f>
        <v>0.18333333333333268</v>
      </c>
      <c r="S900" s="472">
        <f>(Table6[[#This Row],[Fault Clearance time]]-Table6[[#This Row],[Work Start TimeStamp]])*24</f>
        <v>0</v>
      </c>
      <c r="T900" s="472">
        <f>(Table6[[#This Row],[Fault Clearance time]]-Table6[[#This Row],[Fault Start TimeStamp]])*24</f>
        <v>0.18333333333333268</v>
      </c>
      <c r="U900" s="35" t="s">
        <v>1853</v>
      </c>
      <c r="V900" s="102" t="s">
        <v>293</v>
      </c>
      <c r="W900" s="478">
        <f>IFERROR(Table6[[#This Row],[Breakdown Time]]*Table6[[#This Row],[Plant Equivalent Weightage]],"")</f>
        <v>7.0512820512820245E-3</v>
      </c>
      <c r="X900" s="473" t="s">
        <v>290</v>
      </c>
      <c r="Y900" s="474" t="s">
        <v>77</v>
      </c>
      <c r="Z900" s="102">
        <v>55945</v>
      </c>
      <c r="AA900" s="468">
        <f>(Table6[[#This Row],[Paired WTG Generation for loss calculation]]/24)*Table6[[#This Row],[Breakdown Time]]</f>
        <v>427.35763888888732</v>
      </c>
      <c r="AB900" s="102"/>
      <c r="AC900" s="35"/>
      <c r="AD900" s="35"/>
    </row>
    <row r="901" spans="1:30">
      <c r="A901" s="102">
        <f t="shared" si="14"/>
        <v>900</v>
      </c>
      <c r="B901" s="468">
        <f>YEAR(Table6[[#This Row],[Date]])+IF(MONTH(Table6[[#This Row],[Date]])&gt;=4,1,0)</f>
        <v>2026</v>
      </c>
      <c r="C901" s="102">
        <f>YEAR(Table6[[#This Row],[Date]])</f>
        <v>2025</v>
      </c>
      <c r="D901" s="102" t="s">
        <v>1992</v>
      </c>
      <c r="E901" s="469">
        <f>Table6[[#This Row],[Date]]-DAY(Table6[[#This Row],[Date]])+1</f>
        <v>45778</v>
      </c>
      <c r="F901" s="470">
        <v>45804</v>
      </c>
      <c r="G901" s="35" t="s">
        <v>80</v>
      </c>
      <c r="H901" s="35" t="str">
        <f>IFERROR(_xlfn.XLOOKUP(Table6[[#This Row],[Affected WTG]],'Basic Data'!$A:$A,'Basic Data'!$B:$B),"")</f>
        <v>TQGXIIPL</v>
      </c>
      <c r="I901" s="35" t="str">
        <f>IFERROR(_xlfn.XLOOKUP(Table6[[#This Row],[Affected WTG]],'Basic Data'!$A:$A,'Basic Data'!$C:$C),"")</f>
        <v>GEDA</v>
      </c>
      <c r="J901" s="471">
        <f>IFERROR(_xlfn.XLOOKUP(Table6[[#This Row],[Affected WTG]],'Basic Data'!$A:$A,'Basic Data'!$E:$E),"")</f>
        <v>3.846153846153845E-2</v>
      </c>
      <c r="K901" s="102">
        <v>3000</v>
      </c>
      <c r="L901" s="35" t="str">
        <f>IFERROR(_xlfn.XLOOKUP(Table6[[#This Row],[Error Code]],'Basic Data'!$AA:$AA,'Basic Data'!$AB:$AB),"Incorrect Error Code")</f>
        <v>Frequency converter not ready</v>
      </c>
      <c r="M901" s="35" t="s">
        <v>291</v>
      </c>
      <c r="N901" s="475"/>
      <c r="O901" s="476">
        <v>0.26319444444444445</v>
      </c>
      <c r="P901" s="476">
        <v>0.29444444444444445</v>
      </c>
      <c r="Q901" s="477">
        <v>0.3527777777777778</v>
      </c>
      <c r="R901" s="472">
        <f>IF(Table6[[#This Row],[Work Start TimeStamp]]="","",(Table6[[#This Row],[Work Start TimeStamp]]-Table6[[#This Row],[Fault Start TimeStamp]])*24)</f>
        <v>0.75</v>
      </c>
      <c r="S901" s="472">
        <f>(Table6[[#This Row],[Fault Clearance time]]-Table6[[#This Row],[Work Start TimeStamp]])*24</f>
        <v>1.4000000000000004</v>
      </c>
      <c r="T901" s="472">
        <f>(Table6[[#This Row],[Fault Clearance time]]-Table6[[#This Row],[Fault Start TimeStamp]])*24</f>
        <v>2.1500000000000004</v>
      </c>
      <c r="U901" s="35" t="s">
        <v>1906</v>
      </c>
      <c r="V901" s="102" t="s">
        <v>293</v>
      </c>
      <c r="W901" s="478">
        <f>IFERROR(Table6[[#This Row],[Breakdown Time]]*Table6[[#This Row],[Plant Equivalent Weightage]],"")</f>
        <v>8.2692307692307676E-2</v>
      </c>
      <c r="X901" s="473" t="s">
        <v>290</v>
      </c>
      <c r="Y901" s="474" t="s">
        <v>77</v>
      </c>
      <c r="Z901" s="102">
        <v>55945</v>
      </c>
      <c r="AA901" s="468">
        <f>(Table6[[#This Row],[Paired WTG Generation for loss calculation]]/24)*Table6[[#This Row],[Breakdown Time]]</f>
        <v>5011.7395833333339</v>
      </c>
      <c r="AB901" s="102"/>
      <c r="AC901" s="35"/>
      <c r="AD901" s="35"/>
    </row>
    <row r="902" spans="1:30">
      <c r="A902" s="102">
        <f t="shared" si="14"/>
        <v>901</v>
      </c>
      <c r="B902" s="468">
        <f>YEAR(Table6[[#This Row],[Date]])+IF(MONTH(Table6[[#This Row],[Date]])&gt;=4,1,0)</f>
        <v>2026</v>
      </c>
      <c r="C902" s="102">
        <f>YEAR(Table6[[#This Row],[Date]])</f>
        <v>2025</v>
      </c>
      <c r="D902" s="102" t="s">
        <v>1992</v>
      </c>
      <c r="E902" s="469">
        <f>Table6[[#This Row],[Date]]-DAY(Table6[[#This Row],[Date]])+1</f>
        <v>45778</v>
      </c>
      <c r="F902" s="470">
        <v>45804</v>
      </c>
      <c r="G902" s="35" t="s">
        <v>81</v>
      </c>
      <c r="H902" s="35" t="str">
        <f>IFERROR(_xlfn.XLOOKUP(Table6[[#This Row],[Affected WTG]],'Basic Data'!$A:$A,'Basic Data'!$B:$B),"")</f>
        <v>TQGXIIPL</v>
      </c>
      <c r="I902" s="35" t="str">
        <f>IFERROR(_xlfn.XLOOKUP(Table6[[#This Row],[Affected WTG]],'Basic Data'!$A:$A,'Basic Data'!$C:$C),"")</f>
        <v>GEDA</v>
      </c>
      <c r="J902" s="471">
        <f>IFERROR(_xlfn.XLOOKUP(Table6[[#This Row],[Affected WTG]],'Basic Data'!$A:$A,'Basic Data'!$E:$E),"")</f>
        <v>3.846153846153845E-2</v>
      </c>
      <c r="K902" s="102">
        <v>55</v>
      </c>
      <c r="L902" s="35" t="str">
        <f>IFERROR(_xlfn.XLOOKUP(Table6[[#This Row],[Error Code]],'Basic Data'!$AA:$AA,'Basic Data'!$AB:$AB),"Incorrect Error Code")</f>
        <v>WTG shut down</v>
      </c>
      <c r="M902" s="35" t="s">
        <v>330</v>
      </c>
      <c r="N902" s="475"/>
      <c r="O902" s="476">
        <v>0</v>
      </c>
      <c r="P902" s="476">
        <v>0.21111111111111111</v>
      </c>
      <c r="Q902" s="477">
        <v>0.21111111111111111</v>
      </c>
      <c r="R902" s="472">
        <f>IF(Table6[[#This Row],[Work Start TimeStamp]]="","",(Table6[[#This Row],[Work Start TimeStamp]]-Table6[[#This Row],[Fault Start TimeStamp]])*24)</f>
        <v>5.0666666666666664</v>
      </c>
      <c r="S902" s="472">
        <f>(Table6[[#This Row],[Fault Clearance time]]-Table6[[#This Row],[Work Start TimeStamp]])*24</f>
        <v>0</v>
      </c>
      <c r="T902" s="472">
        <f>(Table6[[#This Row],[Fault Clearance time]]-Table6[[#This Row],[Fault Start TimeStamp]])*24</f>
        <v>5.0666666666666664</v>
      </c>
      <c r="U902" s="35" t="s">
        <v>1744</v>
      </c>
      <c r="V902" s="102" t="s">
        <v>293</v>
      </c>
      <c r="W902" s="478">
        <f>IFERROR(Table6[[#This Row],[Breakdown Time]]*Table6[[#This Row],[Plant Equivalent Weightage]],"")</f>
        <v>0.19487179487179479</v>
      </c>
      <c r="X902" s="473" t="s">
        <v>294</v>
      </c>
      <c r="Y902" s="474" t="s">
        <v>99</v>
      </c>
      <c r="Z902" s="102">
        <v>45417</v>
      </c>
      <c r="AA902" s="468">
        <f>(Table6[[#This Row],[Paired WTG Generation for loss calculation]]/24)*Table6[[#This Row],[Breakdown Time]]</f>
        <v>9588.0333333333328</v>
      </c>
      <c r="AB902" s="102"/>
      <c r="AC902" s="35"/>
      <c r="AD902" s="35"/>
    </row>
    <row r="903" spans="1:30">
      <c r="A903" s="102">
        <f t="shared" si="14"/>
        <v>902</v>
      </c>
      <c r="B903" s="468">
        <f>YEAR(Table6[[#This Row],[Date]])+IF(MONTH(Table6[[#This Row],[Date]])&gt;=4,1,0)</f>
        <v>2026</v>
      </c>
      <c r="C903" s="102">
        <f>YEAR(Table6[[#This Row],[Date]])</f>
        <v>2025</v>
      </c>
      <c r="D903" s="102" t="s">
        <v>1992</v>
      </c>
      <c r="E903" s="469">
        <f>Table6[[#This Row],[Date]]-DAY(Table6[[#This Row],[Date]])+1</f>
        <v>45778</v>
      </c>
      <c r="F903" s="470">
        <v>45804</v>
      </c>
      <c r="G903" s="35" t="s">
        <v>81</v>
      </c>
      <c r="H903" s="35" t="str">
        <f>IFERROR(_xlfn.XLOOKUP(Table6[[#This Row],[Affected WTG]],'Basic Data'!$A:$A,'Basic Data'!$B:$B),"")</f>
        <v>TQGXIIPL</v>
      </c>
      <c r="I903" s="35" t="str">
        <f>IFERROR(_xlfn.XLOOKUP(Table6[[#This Row],[Affected WTG]],'Basic Data'!$A:$A,'Basic Data'!$C:$C),"")</f>
        <v>GEDA</v>
      </c>
      <c r="J903" s="471">
        <f>IFERROR(_xlfn.XLOOKUP(Table6[[#This Row],[Affected WTG]],'Basic Data'!$A:$A,'Basic Data'!$E:$E),"")</f>
        <v>3.846153846153845E-2</v>
      </c>
      <c r="K903" s="102">
        <v>55</v>
      </c>
      <c r="L903" s="35" t="str">
        <f>IFERROR(_xlfn.XLOOKUP(Table6[[#This Row],[Error Code]],'Basic Data'!$AA:$AA,'Basic Data'!$AB:$AB),"Incorrect Error Code")</f>
        <v>WTG shut down</v>
      </c>
      <c r="M903" s="35" t="s">
        <v>330</v>
      </c>
      <c r="N903" s="475"/>
      <c r="O903" s="476">
        <v>0.57499999999999996</v>
      </c>
      <c r="P903" s="476">
        <v>0.9243055555555556</v>
      </c>
      <c r="Q903" s="477">
        <v>0.9243055555555556</v>
      </c>
      <c r="R903" s="472">
        <f>IF(Table6[[#This Row],[Work Start TimeStamp]]="","",(Table6[[#This Row],[Work Start TimeStamp]]-Table6[[#This Row],[Fault Start TimeStamp]])*24)</f>
        <v>8.3833333333333364</v>
      </c>
      <c r="S903" s="472">
        <f>(Table6[[#This Row],[Fault Clearance time]]-Table6[[#This Row],[Work Start TimeStamp]])*24</f>
        <v>0</v>
      </c>
      <c r="T903" s="472">
        <f>(Table6[[#This Row],[Fault Clearance time]]-Table6[[#This Row],[Fault Start TimeStamp]])*24</f>
        <v>8.3833333333333364</v>
      </c>
      <c r="U903" s="35" t="s">
        <v>1744</v>
      </c>
      <c r="V903" s="102" t="s">
        <v>293</v>
      </c>
      <c r="W903" s="478">
        <f>IFERROR(Table6[[#This Row],[Breakdown Time]]*Table6[[#This Row],[Plant Equivalent Weightage]],"")</f>
        <v>0.32243589743589746</v>
      </c>
      <c r="X903" s="473" t="s">
        <v>294</v>
      </c>
      <c r="Y903" s="474" t="s">
        <v>99</v>
      </c>
      <c r="Z903" s="102">
        <v>45417</v>
      </c>
      <c r="AA903" s="468">
        <f>(Table6[[#This Row],[Paired WTG Generation for loss calculation]]/24)*Table6[[#This Row],[Breakdown Time]]</f>
        <v>15864.410416666673</v>
      </c>
      <c r="AB903" s="102"/>
      <c r="AC903" s="35"/>
      <c r="AD903" s="35"/>
    </row>
    <row r="904" spans="1:30">
      <c r="A904" s="102">
        <f t="shared" si="14"/>
        <v>903</v>
      </c>
      <c r="B904" s="468">
        <f>YEAR(Table6[[#This Row],[Date]])+IF(MONTH(Table6[[#This Row],[Date]])&gt;=4,1,0)</f>
        <v>2026</v>
      </c>
      <c r="C904" s="102">
        <f>YEAR(Table6[[#This Row],[Date]])</f>
        <v>2025</v>
      </c>
      <c r="D904" s="102" t="s">
        <v>1992</v>
      </c>
      <c r="E904" s="469">
        <f>Table6[[#This Row],[Date]]-DAY(Table6[[#This Row],[Date]])+1</f>
        <v>45778</v>
      </c>
      <c r="F904" s="470">
        <v>45804</v>
      </c>
      <c r="G904" s="35" t="s">
        <v>90</v>
      </c>
      <c r="H904" s="35" t="str">
        <f>IFERROR(_xlfn.XLOOKUP(Table6[[#This Row],[Affected WTG]],'Basic Data'!$A:$A,'Basic Data'!$B:$B),"")</f>
        <v>TQGXIIPL</v>
      </c>
      <c r="I904" s="35" t="str">
        <f>IFERROR(_xlfn.XLOOKUP(Table6[[#This Row],[Affected WTG]],'Basic Data'!$A:$A,'Basic Data'!$C:$C),"")</f>
        <v>GEDA</v>
      </c>
      <c r="J904" s="471">
        <f>IFERROR(_xlfn.XLOOKUP(Table6[[#This Row],[Affected WTG]],'Basic Data'!$A:$A,'Basic Data'!$E:$E),"")</f>
        <v>3.846153846153845E-2</v>
      </c>
      <c r="K904" s="102">
        <v>3110</v>
      </c>
      <c r="L904" s="35" t="str">
        <f>IFERROR(_xlfn.XLOOKUP(Table6[[#This Row],[Error Code]],'Basic Data'!$AA:$AA,'Basic Data'!$AB:$AB),"Incorrect Error Code")</f>
        <v>Frequency converter error</v>
      </c>
      <c r="M904" s="35" t="s">
        <v>291</v>
      </c>
      <c r="N904" s="475"/>
      <c r="O904" s="476">
        <v>0.21666666666666667</v>
      </c>
      <c r="P904" s="476">
        <v>0.22152777777777777</v>
      </c>
      <c r="Q904" s="477">
        <v>0.22152777777777777</v>
      </c>
      <c r="R904" s="472">
        <f>IF(Table6[[#This Row],[Work Start TimeStamp]]="","",(Table6[[#This Row],[Work Start TimeStamp]]-Table6[[#This Row],[Fault Start TimeStamp]])*24)</f>
        <v>0.11666666666666625</v>
      </c>
      <c r="S904" s="472">
        <f>(Table6[[#This Row],[Fault Clearance time]]-Table6[[#This Row],[Work Start TimeStamp]])*24</f>
        <v>0</v>
      </c>
      <c r="T904" s="472">
        <f>(Table6[[#This Row],[Fault Clearance time]]-Table6[[#This Row],[Fault Start TimeStamp]])*24</f>
        <v>0.11666666666666625</v>
      </c>
      <c r="U904" s="35" t="s">
        <v>344</v>
      </c>
      <c r="V904" s="102" t="s">
        <v>293</v>
      </c>
      <c r="W904" s="478">
        <f>IFERROR(Table6[[#This Row],[Breakdown Time]]*Table6[[#This Row],[Plant Equivalent Weightage]],"")</f>
        <v>4.4871794871794695E-3</v>
      </c>
      <c r="X904" s="473" t="s">
        <v>290</v>
      </c>
      <c r="Y904" s="474" t="s">
        <v>95</v>
      </c>
      <c r="Z904" s="102">
        <v>54059</v>
      </c>
      <c r="AA904" s="468">
        <f>(Table6[[#This Row],[Paired WTG Generation for loss calculation]]/24)*Table6[[#This Row],[Breakdown Time]]</f>
        <v>262.78680555555462</v>
      </c>
      <c r="AB904" s="102"/>
      <c r="AC904" s="35"/>
      <c r="AD904" s="35"/>
    </row>
    <row r="905" spans="1:30">
      <c r="A905" s="102">
        <f t="shared" si="14"/>
        <v>904</v>
      </c>
      <c r="B905" s="468">
        <f>YEAR(Table6[[#This Row],[Date]])+IF(MONTH(Table6[[#This Row],[Date]])&gt;=4,1,0)</f>
        <v>2026</v>
      </c>
      <c r="C905" s="102">
        <f>YEAR(Table6[[#This Row],[Date]])</f>
        <v>2025</v>
      </c>
      <c r="D905" s="102" t="s">
        <v>1992</v>
      </c>
      <c r="E905" s="469">
        <f>Table6[[#This Row],[Date]]-DAY(Table6[[#This Row],[Date]])+1</f>
        <v>45778</v>
      </c>
      <c r="F905" s="470">
        <v>45804</v>
      </c>
      <c r="G905" s="35" t="s">
        <v>90</v>
      </c>
      <c r="H905" s="35" t="str">
        <f>IFERROR(_xlfn.XLOOKUP(Table6[[#This Row],[Affected WTG]],'Basic Data'!$A:$A,'Basic Data'!$B:$B),"")</f>
        <v>TQGXIIPL</v>
      </c>
      <c r="I905" s="35" t="str">
        <f>IFERROR(_xlfn.XLOOKUP(Table6[[#This Row],[Affected WTG]],'Basic Data'!$A:$A,'Basic Data'!$C:$C),"")</f>
        <v>GEDA</v>
      </c>
      <c r="J905" s="471">
        <f>IFERROR(_xlfn.XLOOKUP(Table6[[#This Row],[Affected WTG]],'Basic Data'!$A:$A,'Basic Data'!$E:$E),"")</f>
        <v>3.846153846153845E-2</v>
      </c>
      <c r="K905" s="102">
        <v>3110</v>
      </c>
      <c r="L905" s="35" t="str">
        <f>IFERROR(_xlfn.XLOOKUP(Table6[[#This Row],[Error Code]],'Basic Data'!$AA:$AA,'Basic Data'!$AB:$AB),"Incorrect Error Code")</f>
        <v>Frequency converter error</v>
      </c>
      <c r="M905" s="35" t="s">
        <v>291</v>
      </c>
      <c r="N905" s="475"/>
      <c r="O905" s="476">
        <v>0.23958333333333334</v>
      </c>
      <c r="P905" s="476">
        <v>0.24791666666666667</v>
      </c>
      <c r="Q905" s="477">
        <v>0.24791666666666667</v>
      </c>
      <c r="R905" s="472">
        <f>IF(Table6[[#This Row],[Work Start TimeStamp]]="","",(Table6[[#This Row],[Work Start TimeStamp]]-Table6[[#This Row],[Fault Start TimeStamp]])*24)</f>
        <v>0.19999999999999996</v>
      </c>
      <c r="S905" s="472">
        <f>(Table6[[#This Row],[Fault Clearance time]]-Table6[[#This Row],[Work Start TimeStamp]])*24</f>
        <v>0</v>
      </c>
      <c r="T905" s="472">
        <f>(Table6[[#This Row],[Fault Clearance time]]-Table6[[#This Row],[Fault Start TimeStamp]])*24</f>
        <v>0.19999999999999996</v>
      </c>
      <c r="U905" s="35" t="s">
        <v>1853</v>
      </c>
      <c r="V905" s="102" t="s">
        <v>293</v>
      </c>
      <c r="W905" s="478">
        <f>IFERROR(Table6[[#This Row],[Breakdown Time]]*Table6[[#This Row],[Plant Equivalent Weightage]],"")</f>
        <v>7.6923076923076884E-3</v>
      </c>
      <c r="X905" s="473" t="s">
        <v>290</v>
      </c>
      <c r="Y905" s="474" t="s">
        <v>95</v>
      </c>
      <c r="Z905" s="102">
        <v>54059</v>
      </c>
      <c r="AA905" s="468">
        <f>(Table6[[#This Row],[Paired WTG Generation for loss calculation]]/24)*Table6[[#This Row],[Breakdown Time]]</f>
        <v>450.49166666666662</v>
      </c>
      <c r="AB905" s="102"/>
      <c r="AC905" s="35"/>
      <c r="AD905" s="35"/>
    </row>
    <row r="906" spans="1:30">
      <c r="A906" s="102">
        <f t="shared" si="14"/>
        <v>905</v>
      </c>
      <c r="B906" s="468">
        <f>YEAR(Table6[[#This Row],[Date]])+IF(MONTH(Table6[[#This Row],[Date]])&gt;=4,1,0)</f>
        <v>2026</v>
      </c>
      <c r="C906" s="102">
        <f>YEAR(Table6[[#This Row],[Date]])</f>
        <v>2025</v>
      </c>
      <c r="D906" s="102" t="s">
        <v>1992</v>
      </c>
      <c r="E906" s="469">
        <f>Table6[[#This Row],[Date]]-DAY(Table6[[#This Row],[Date]])+1</f>
        <v>45778</v>
      </c>
      <c r="F906" s="470">
        <v>45804</v>
      </c>
      <c r="G906" s="35" t="s">
        <v>98</v>
      </c>
      <c r="H906" s="35" t="str">
        <f>IFERROR(_xlfn.XLOOKUP(Table6[[#This Row],[Affected WTG]],'Basic Data'!$A:$A,'Basic Data'!$B:$B),"")</f>
        <v>TQGXIIPL</v>
      </c>
      <c r="I906" s="35" t="str">
        <f>IFERROR(_xlfn.XLOOKUP(Table6[[#This Row],[Affected WTG]],'Basic Data'!$A:$A,'Basic Data'!$C:$C),"")</f>
        <v>GEDA</v>
      </c>
      <c r="J906" s="471">
        <f>IFERROR(_xlfn.XLOOKUP(Table6[[#This Row],[Affected WTG]],'Basic Data'!$A:$A,'Basic Data'!$E:$E),"")</f>
        <v>3.846153846153845E-2</v>
      </c>
      <c r="K906" s="102">
        <v>55</v>
      </c>
      <c r="L906" s="35" t="str">
        <f>IFERROR(_xlfn.XLOOKUP(Table6[[#This Row],[Error Code]],'Basic Data'!$AA:$AA,'Basic Data'!$AB:$AB),"Incorrect Error Code")</f>
        <v>WTG shut down</v>
      </c>
      <c r="M906" s="35" t="s">
        <v>330</v>
      </c>
      <c r="N906" s="475"/>
      <c r="O906" s="476">
        <v>0.57499999999999996</v>
      </c>
      <c r="P906" s="476">
        <v>0.90625</v>
      </c>
      <c r="Q906" s="477">
        <v>0.90625</v>
      </c>
      <c r="R906" s="472">
        <f>IF(Table6[[#This Row],[Work Start TimeStamp]]="","",(Table6[[#This Row],[Work Start TimeStamp]]-Table6[[#This Row],[Fault Start TimeStamp]])*24)</f>
        <v>7.9500000000000011</v>
      </c>
      <c r="S906" s="472">
        <f>(Table6[[#This Row],[Fault Clearance time]]-Table6[[#This Row],[Work Start TimeStamp]])*24</f>
        <v>0</v>
      </c>
      <c r="T906" s="472">
        <f>(Table6[[#This Row],[Fault Clearance time]]-Table6[[#This Row],[Fault Start TimeStamp]])*24</f>
        <v>7.9500000000000011</v>
      </c>
      <c r="U906" s="35" t="s">
        <v>1744</v>
      </c>
      <c r="V906" s="102" t="s">
        <v>293</v>
      </c>
      <c r="W906" s="478">
        <f>IFERROR(Table6[[#This Row],[Breakdown Time]]*Table6[[#This Row],[Plant Equivalent Weightage]],"")</f>
        <v>0.30576923076923074</v>
      </c>
      <c r="X906" s="473" t="s">
        <v>294</v>
      </c>
      <c r="Y906" s="474" t="s">
        <v>74</v>
      </c>
      <c r="Z906" s="102">
        <v>45298</v>
      </c>
      <c r="AA906" s="468">
        <f>(Table6[[#This Row],[Paired WTG Generation for loss calculation]]/24)*Table6[[#This Row],[Breakdown Time]]</f>
        <v>15004.962500000003</v>
      </c>
      <c r="AB906" s="102"/>
      <c r="AC906" s="35"/>
      <c r="AD906" s="35"/>
    </row>
    <row r="907" spans="1:30">
      <c r="A907" s="102">
        <f t="shared" si="14"/>
        <v>906</v>
      </c>
      <c r="B907" s="468">
        <f>YEAR(Table6[[#This Row],[Date]])+IF(MONTH(Table6[[#This Row],[Date]])&gt;=4,1,0)</f>
        <v>2026</v>
      </c>
      <c r="C907" s="102">
        <f>YEAR(Table6[[#This Row],[Date]])</f>
        <v>2025</v>
      </c>
      <c r="D907" s="102" t="s">
        <v>1992</v>
      </c>
      <c r="E907" s="469">
        <f>Table6[[#This Row],[Date]]-DAY(Table6[[#This Row],[Date]])+1</f>
        <v>45778</v>
      </c>
      <c r="F907" s="470">
        <v>45805</v>
      </c>
      <c r="G907" s="35" t="s">
        <v>77</v>
      </c>
      <c r="H907" s="35" t="str">
        <f>IFERROR(_xlfn.XLOOKUP(Table6[[#This Row],[Affected WTG]],'Basic Data'!$A:$A,'Basic Data'!$B:$B),"")</f>
        <v>TQGXIIPL</v>
      </c>
      <c r="I907" s="35" t="str">
        <f>IFERROR(_xlfn.XLOOKUP(Table6[[#This Row],[Affected WTG]],'Basic Data'!$A:$A,'Basic Data'!$C:$C),"")</f>
        <v>GEDA</v>
      </c>
      <c r="J907" s="471">
        <f>IFERROR(_xlfn.XLOOKUP(Table6[[#This Row],[Affected WTG]],'Basic Data'!$A:$A,'Basic Data'!$E:$E),"")</f>
        <v>3.846153846153845E-2</v>
      </c>
      <c r="K907" s="102">
        <v>6130</v>
      </c>
      <c r="L907" s="35" t="str">
        <f>IFERROR(_xlfn.XLOOKUP(Table6[[#This Row],[Error Code]],'Basic Data'!$AA:$AA,'Basic Data'!$AB:$AB),"Incorrect Error Code")</f>
        <v>Yaw speed high</v>
      </c>
      <c r="M907" s="35" t="s">
        <v>292</v>
      </c>
      <c r="N907" s="475"/>
      <c r="O907" s="476">
        <v>0.88958333333333328</v>
      </c>
      <c r="P907" s="476">
        <v>0.89097222222222228</v>
      </c>
      <c r="Q907" s="477">
        <v>0.89097222222222228</v>
      </c>
      <c r="R907" s="472">
        <f>IF(Table6[[#This Row],[Work Start TimeStamp]]="","",(Table6[[#This Row],[Work Start TimeStamp]]-Table6[[#This Row],[Fault Start TimeStamp]])*24)</f>
        <v>3.3333333333335879E-2</v>
      </c>
      <c r="S907" s="472">
        <f>(Table6[[#This Row],[Fault Clearance time]]-Table6[[#This Row],[Work Start TimeStamp]])*24</f>
        <v>0</v>
      </c>
      <c r="T907" s="472">
        <f>(Table6[[#This Row],[Fault Clearance time]]-Table6[[#This Row],[Fault Start TimeStamp]])*24</f>
        <v>3.3333333333335879E-2</v>
      </c>
      <c r="U907" s="35" t="s">
        <v>336</v>
      </c>
      <c r="V907" s="102" t="s">
        <v>293</v>
      </c>
      <c r="W907" s="478">
        <f>IFERROR(Table6[[#This Row],[Breakdown Time]]*Table6[[#This Row],[Plant Equivalent Weightage]],"")</f>
        <v>1.2820512820513796E-3</v>
      </c>
      <c r="X907" s="473" t="s">
        <v>294</v>
      </c>
      <c r="Y907" s="474" t="s">
        <v>80</v>
      </c>
      <c r="Z907" s="102">
        <v>38555</v>
      </c>
      <c r="AA907" s="468">
        <f>(Table6[[#This Row],[Paired WTG Generation for loss calculation]]/24)*Table6[[#This Row],[Breakdown Time]]</f>
        <v>53.5486111111152</v>
      </c>
      <c r="AB907" s="102"/>
      <c r="AC907" s="35"/>
      <c r="AD907" s="35"/>
    </row>
    <row r="908" spans="1:30">
      <c r="A908" s="102">
        <f t="shared" si="14"/>
        <v>907</v>
      </c>
      <c r="B908" s="468">
        <f>YEAR(Table6[[#This Row],[Date]])+IF(MONTH(Table6[[#This Row],[Date]])&gt;=4,1,0)</f>
        <v>2026</v>
      </c>
      <c r="C908" s="102">
        <f>YEAR(Table6[[#This Row],[Date]])</f>
        <v>2025</v>
      </c>
      <c r="D908" s="102" t="s">
        <v>1992</v>
      </c>
      <c r="E908" s="469">
        <f>Table6[[#This Row],[Date]]-DAY(Table6[[#This Row],[Date]])+1</f>
        <v>45778</v>
      </c>
      <c r="F908" s="470">
        <v>45805</v>
      </c>
      <c r="G908" s="35" t="s">
        <v>81</v>
      </c>
      <c r="H908" s="35" t="str">
        <f>IFERROR(_xlfn.XLOOKUP(Table6[[#This Row],[Affected WTG]],'Basic Data'!$A:$A,'Basic Data'!$B:$B),"")</f>
        <v>TQGXIIPL</v>
      </c>
      <c r="I908" s="35" t="str">
        <f>IFERROR(_xlfn.XLOOKUP(Table6[[#This Row],[Affected WTG]],'Basic Data'!$A:$A,'Basic Data'!$C:$C),"")</f>
        <v>GEDA</v>
      </c>
      <c r="J908" s="471">
        <f>IFERROR(_xlfn.XLOOKUP(Table6[[#This Row],[Affected WTG]],'Basic Data'!$A:$A,'Basic Data'!$E:$E),"")</f>
        <v>3.846153846153845E-2</v>
      </c>
      <c r="K908" s="102">
        <v>55</v>
      </c>
      <c r="L908" s="35" t="str">
        <f>IFERROR(_xlfn.XLOOKUP(Table6[[#This Row],[Error Code]],'Basic Data'!$AA:$AA,'Basic Data'!$AB:$AB),"Incorrect Error Code")</f>
        <v>WTG shut down</v>
      </c>
      <c r="M908" s="35" t="s">
        <v>330</v>
      </c>
      <c r="N908" s="475"/>
      <c r="O908" s="476">
        <v>0.15486111111111112</v>
      </c>
      <c r="P908" s="476">
        <v>0.20555555555555555</v>
      </c>
      <c r="Q908" s="477">
        <v>0.20555555555555555</v>
      </c>
      <c r="R908" s="472">
        <f>IF(Table6[[#This Row],[Work Start TimeStamp]]="","",(Table6[[#This Row],[Work Start TimeStamp]]-Table6[[#This Row],[Fault Start TimeStamp]])*24)</f>
        <v>1.2166666666666663</v>
      </c>
      <c r="S908" s="472">
        <f>(Table6[[#This Row],[Fault Clearance time]]-Table6[[#This Row],[Work Start TimeStamp]])*24</f>
        <v>0</v>
      </c>
      <c r="T908" s="472">
        <f>(Table6[[#This Row],[Fault Clearance time]]-Table6[[#This Row],[Fault Start TimeStamp]])*24</f>
        <v>1.2166666666666663</v>
      </c>
      <c r="U908" s="35" t="s">
        <v>1744</v>
      </c>
      <c r="V908" s="102" t="s">
        <v>293</v>
      </c>
      <c r="W908" s="478">
        <f>IFERROR(Table6[[#This Row],[Breakdown Time]]*Table6[[#This Row],[Plant Equivalent Weightage]],"")</f>
        <v>4.6794871794871767E-2</v>
      </c>
      <c r="X908" s="473" t="s">
        <v>294</v>
      </c>
      <c r="Y908" s="474" t="s">
        <v>99</v>
      </c>
      <c r="Z908" s="102">
        <v>30364</v>
      </c>
      <c r="AA908" s="468">
        <f>(Table6[[#This Row],[Paired WTG Generation for loss calculation]]/24)*Table6[[#This Row],[Breakdown Time]]</f>
        <v>1539.2861111111108</v>
      </c>
      <c r="AB908" s="102"/>
      <c r="AC908" s="35"/>
      <c r="AD908" s="35"/>
    </row>
    <row r="909" spans="1:30">
      <c r="A909" s="102">
        <f t="shared" si="14"/>
        <v>908</v>
      </c>
      <c r="B909" s="468">
        <f>YEAR(Table6[[#This Row],[Date]])+IF(MONTH(Table6[[#This Row],[Date]])&gt;=4,1,0)</f>
        <v>2026</v>
      </c>
      <c r="C909" s="102">
        <f>YEAR(Table6[[#This Row],[Date]])</f>
        <v>2025</v>
      </c>
      <c r="D909" s="102" t="s">
        <v>1992</v>
      </c>
      <c r="E909" s="469">
        <f>Table6[[#This Row],[Date]]-DAY(Table6[[#This Row],[Date]])+1</f>
        <v>45778</v>
      </c>
      <c r="F909" s="470">
        <v>45805</v>
      </c>
      <c r="G909" s="35" t="s">
        <v>86</v>
      </c>
      <c r="H909" s="35" t="str">
        <f>IFERROR(_xlfn.XLOOKUP(Table6[[#This Row],[Affected WTG]],'Basic Data'!$A:$A,'Basic Data'!$B:$B),"")</f>
        <v>TQGXIIPL</v>
      </c>
      <c r="I909" s="35" t="str">
        <f>IFERROR(_xlfn.XLOOKUP(Table6[[#This Row],[Affected WTG]],'Basic Data'!$A:$A,'Basic Data'!$C:$C),"")</f>
        <v>GEDA</v>
      </c>
      <c r="J909" s="471">
        <f>IFERROR(_xlfn.XLOOKUP(Table6[[#This Row],[Affected WTG]],'Basic Data'!$A:$A,'Basic Data'!$E:$E),"")</f>
        <v>3.846153846153845E-2</v>
      </c>
      <c r="K909" s="102">
        <v>6130</v>
      </c>
      <c r="L909" s="35" t="str">
        <f>IFERROR(_xlfn.XLOOKUP(Table6[[#This Row],[Error Code]],'Basic Data'!$AA:$AA,'Basic Data'!$AB:$AB),"Incorrect Error Code")</f>
        <v>Yaw speed high</v>
      </c>
      <c r="M909" s="35" t="s">
        <v>292</v>
      </c>
      <c r="N909" s="475"/>
      <c r="O909" s="476">
        <v>0.1388888888888889</v>
      </c>
      <c r="P909" s="476">
        <v>0.14305555555555555</v>
      </c>
      <c r="Q909" s="477">
        <v>0.14305555555555555</v>
      </c>
      <c r="R909" s="472">
        <f>IF(Table6[[#This Row],[Work Start TimeStamp]]="","",(Table6[[#This Row],[Work Start TimeStamp]]-Table6[[#This Row],[Fault Start TimeStamp]])*24)</f>
        <v>9.9999999999999645E-2</v>
      </c>
      <c r="S909" s="472">
        <f>(Table6[[#This Row],[Fault Clearance time]]-Table6[[#This Row],[Work Start TimeStamp]])*24</f>
        <v>0</v>
      </c>
      <c r="T909" s="472">
        <f>(Table6[[#This Row],[Fault Clearance time]]-Table6[[#This Row],[Fault Start TimeStamp]])*24</f>
        <v>9.9999999999999645E-2</v>
      </c>
      <c r="U909" s="35" t="s">
        <v>336</v>
      </c>
      <c r="V909" s="102" t="s">
        <v>293</v>
      </c>
      <c r="W909" s="478">
        <f>IFERROR(Table6[[#This Row],[Breakdown Time]]*Table6[[#This Row],[Plant Equivalent Weightage]],"")</f>
        <v>3.8461538461538312E-3</v>
      </c>
      <c r="X909" s="473" t="s">
        <v>294</v>
      </c>
      <c r="Y909" s="474" t="s">
        <v>84</v>
      </c>
      <c r="Z909" s="102">
        <v>37551</v>
      </c>
      <c r="AA909" s="468">
        <f>(Table6[[#This Row],[Paired WTG Generation for loss calculation]]/24)*Table6[[#This Row],[Breakdown Time]]</f>
        <v>156.46249999999944</v>
      </c>
      <c r="AB909" s="102"/>
      <c r="AC909" s="35"/>
      <c r="AD909" s="35"/>
    </row>
    <row r="910" spans="1:30">
      <c r="A910" s="102">
        <f t="shared" ref="A910:A973" si="15">A909+1</f>
        <v>909</v>
      </c>
      <c r="B910" s="468">
        <f>YEAR(Table6[[#This Row],[Date]])+IF(MONTH(Table6[[#This Row],[Date]])&gt;=4,1,0)</f>
        <v>2026</v>
      </c>
      <c r="C910" s="102">
        <f>YEAR(Table6[[#This Row],[Date]])</f>
        <v>2025</v>
      </c>
      <c r="D910" s="102" t="s">
        <v>1992</v>
      </c>
      <c r="E910" s="469">
        <f>Table6[[#This Row],[Date]]-DAY(Table6[[#This Row],[Date]])+1</f>
        <v>45778</v>
      </c>
      <c r="F910" s="470">
        <v>45805</v>
      </c>
      <c r="G910" s="35" t="s">
        <v>86</v>
      </c>
      <c r="H910" s="35" t="str">
        <f>IFERROR(_xlfn.XLOOKUP(Table6[[#This Row],[Affected WTG]],'Basic Data'!$A:$A,'Basic Data'!$B:$B),"")</f>
        <v>TQGXIIPL</v>
      </c>
      <c r="I910" s="35" t="str">
        <f>IFERROR(_xlfn.XLOOKUP(Table6[[#This Row],[Affected WTG]],'Basic Data'!$A:$A,'Basic Data'!$C:$C),"")</f>
        <v>GEDA</v>
      </c>
      <c r="J910" s="471">
        <f>IFERROR(_xlfn.XLOOKUP(Table6[[#This Row],[Affected WTG]],'Basic Data'!$A:$A,'Basic Data'!$E:$E),"")</f>
        <v>3.846153846153845E-2</v>
      </c>
      <c r="K910" s="102">
        <v>6130</v>
      </c>
      <c r="L910" s="35" t="str">
        <f>IFERROR(_xlfn.XLOOKUP(Table6[[#This Row],[Error Code]],'Basic Data'!$AA:$AA,'Basic Data'!$AB:$AB),"Incorrect Error Code")</f>
        <v>Yaw speed high</v>
      </c>
      <c r="M910" s="35" t="s">
        <v>292</v>
      </c>
      <c r="N910" s="475"/>
      <c r="O910" s="476">
        <v>0.62638888888888888</v>
      </c>
      <c r="P910" s="476">
        <v>0.63055555555555554</v>
      </c>
      <c r="Q910" s="477">
        <v>0.63055555555555554</v>
      </c>
      <c r="R910" s="472">
        <f>IF(Table6[[#This Row],[Work Start TimeStamp]]="","",(Table6[[#This Row],[Work Start TimeStamp]]-Table6[[#This Row],[Fault Start TimeStamp]])*24)</f>
        <v>9.9999999999999645E-2</v>
      </c>
      <c r="S910" s="472">
        <f>(Table6[[#This Row],[Fault Clearance time]]-Table6[[#This Row],[Work Start TimeStamp]])*24</f>
        <v>0</v>
      </c>
      <c r="T910" s="472">
        <f>(Table6[[#This Row],[Fault Clearance time]]-Table6[[#This Row],[Fault Start TimeStamp]])*24</f>
        <v>9.9999999999999645E-2</v>
      </c>
      <c r="U910" s="35" t="s">
        <v>1915</v>
      </c>
      <c r="V910" s="102" t="s">
        <v>293</v>
      </c>
      <c r="W910" s="478">
        <f>IFERROR(Table6[[#This Row],[Breakdown Time]]*Table6[[#This Row],[Plant Equivalent Weightage]],"")</f>
        <v>3.8461538461538312E-3</v>
      </c>
      <c r="X910" s="473" t="s">
        <v>294</v>
      </c>
      <c r="Y910" s="474" t="s">
        <v>84</v>
      </c>
      <c r="Z910" s="102">
        <v>37551</v>
      </c>
      <c r="AA910" s="468">
        <f>(Table6[[#This Row],[Paired WTG Generation for loss calculation]]/24)*Table6[[#This Row],[Breakdown Time]]</f>
        <v>156.46249999999944</v>
      </c>
      <c r="AB910" s="102"/>
      <c r="AC910" s="35"/>
      <c r="AD910" s="35"/>
    </row>
    <row r="911" spans="1:30">
      <c r="A911" s="102">
        <f t="shared" si="15"/>
        <v>910</v>
      </c>
      <c r="B911" s="468">
        <f>YEAR(Table6[[#This Row],[Date]])+IF(MONTH(Table6[[#This Row],[Date]])&gt;=4,1,0)</f>
        <v>2026</v>
      </c>
      <c r="C911" s="102">
        <f>YEAR(Table6[[#This Row],[Date]])</f>
        <v>2025</v>
      </c>
      <c r="D911" s="102" t="s">
        <v>1992</v>
      </c>
      <c r="E911" s="469">
        <f>Table6[[#This Row],[Date]]-DAY(Table6[[#This Row],[Date]])+1</f>
        <v>45778</v>
      </c>
      <c r="F911" s="470">
        <v>45805</v>
      </c>
      <c r="G911" s="35" t="s">
        <v>88</v>
      </c>
      <c r="H911" s="35" t="str">
        <f>IFERROR(_xlfn.XLOOKUP(Table6[[#This Row],[Affected WTG]],'Basic Data'!$A:$A,'Basic Data'!$B:$B),"")</f>
        <v>TQGXIIPL</v>
      </c>
      <c r="I911" s="35" t="str">
        <f>IFERROR(_xlfn.XLOOKUP(Table6[[#This Row],[Affected WTG]],'Basic Data'!$A:$A,'Basic Data'!$C:$C),"")</f>
        <v>GEDA</v>
      </c>
      <c r="J911" s="471">
        <f>IFERROR(_xlfn.XLOOKUP(Table6[[#This Row],[Affected WTG]],'Basic Data'!$A:$A,'Basic Data'!$E:$E),"")</f>
        <v>3.846153846153845E-2</v>
      </c>
      <c r="K911" s="102">
        <v>642</v>
      </c>
      <c r="L911" s="35" t="str">
        <f>IFERROR(_xlfn.XLOOKUP(Table6[[#This Row],[Error Code]],'Basic Data'!$AA:$AA,'Basic Data'!$AB:$AB),"Incorrect Error Code")</f>
        <v>Sim.angle E enc. &lt;&gt; act.angle 2</v>
      </c>
      <c r="M911" s="35" t="s">
        <v>291</v>
      </c>
      <c r="N911" s="475"/>
      <c r="O911" s="476">
        <v>0.40347222222222223</v>
      </c>
      <c r="P911" s="476">
        <v>0.41319444444444442</v>
      </c>
      <c r="Q911" s="477">
        <v>0.41319444444444442</v>
      </c>
      <c r="R911" s="472">
        <f>IF(Table6[[#This Row],[Work Start TimeStamp]]="","",(Table6[[#This Row],[Work Start TimeStamp]]-Table6[[#This Row],[Fault Start TimeStamp]])*24)</f>
        <v>0.2333333333333325</v>
      </c>
      <c r="S911" s="472">
        <f>(Table6[[#This Row],[Fault Clearance time]]-Table6[[#This Row],[Work Start TimeStamp]])*24</f>
        <v>0</v>
      </c>
      <c r="T911" s="472">
        <f>(Table6[[#This Row],[Fault Clearance time]]-Table6[[#This Row],[Fault Start TimeStamp]])*24</f>
        <v>0.2333333333333325</v>
      </c>
      <c r="U911" s="35" t="s">
        <v>349</v>
      </c>
      <c r="V911" s="102" t="s">
        <v>293</v>
      </c>
      <c r="W911" s="478">
        <f>IFERROR(Table6[[#This Row],[Breakdown Time]]*Table6[[#This Row],[Plant Equivalent Weightage]],"")</f>
        <v>8.974358974358939E-3</v>
      </c>
      <c r="X911" s="473" t="s">
        <v>290</v>
      </c>
      <c r="Y911" s="474" t="s">
        <v>83</v>
      </c>
      <c r="Z911" s="102">
        <v>40745</v>
      </c>
      <c r="AA911" s="468">
        <f>(Table6[[#This Row],[Paired WTG Generation for loss calculation]]/24)*Table6[[#This Row],[Breakdown Time]]</f>
        <v>396.13194444444304</v>
      </c>
      <c r="AB911" s="102"/>
      <c r="AC911" s="35"/>
      <c r="AD911" s="35"/>
    </row>
    <row r="912" spans="1:30">
      <c r="A912" s="102">
        <f t="shared" si="15"/>
        <v>911</v>
      </c>
      <c r="B912" s="468">
        <f>YEAR(Table6[[#This Row],[Date]])+IF(MONTH(Table6[[#This Row],[Date]])&gt;=4,1,0)</f>
        <v>2026</v>
      </c>
      <c r="C912" s="102">
        <f>YEAR(Table6[[#This Row],[Date]])</f>
        <v>2025</v>
      </c>
      <c r="D912" s="102" t="s">
        <v>1992</v>
      </c>
      <c r="E912" s="469">
        <f>Table6[[#This Row],[Date]]-DAY(Table6[[#This Row],[Date]])+1</f>
        <v>45778</v>
      </c>
      <c r="F912" s="470">
        <v>45805</v>
      </c>
      <c r="G912" s="35" t="s">
        <v>90</v>
      </c>
      <c r="H912" s="35" t="str">
        <f>IFERROR(_xlfn.XLOOKUP(Table6[[#This Row],[Affected WTG]],'Basic Data'!$A:$A,'Basic Data'!$B:$B),"")</f>
        <v>TQGXIIPL</v>
      </c>
      <c r="I912" s="35" t="str">
        <f>IFERROR(_xlfn.XLOOKUP(Table6[[#This Row],[Affected WTG]],'Basic Data'!$A:$A,'Basic Data'!$C:$C),"")</f>
        <v>GEDA</v>
      </c>
      <c r="J912" s="471">
        <f>IFERROR(_xlfn.XLOOKUP(Table6[[#This Row],[Affected WTG]],'Basic Data'!$A:$A,'Basic Data'!$E:$E),"")</f>
        <v>3.846153846153845E-2</v>
      </c>
      <c r="K912" s="102">
        <v>3000</v>
      </c>
      <c r="L912" s="35" t="str">
        <f>IFERROR(_xlfn.XLOOKUP(Table6[[#This Row],[Error Code]],'Basic Data'!$AA:$AA,'Basic Data'!$AB:$AB),"Incorrect Error Code")</f>
        <v>Frequency converter not ready</v>
      </c>
      <c r="M912" s="35" t="s">
        <v>291</v>
      </c>
      <c r="N912" s="475"/>
      <c r="O912" s="476">
        <v>0.16319444444444445</v>
      </c>
      <c r="P912" s="476">
        <v>0.16597222222222222</v>
      </c>
      <c r="Q912" s="477">
        <v>0.16597222222222222</v>
      </c>
      <c r="R912" s="472">
        <f>IF(Table6[[#This Row],[Work Start TimeStamp]]="","",(Table6[[#This Row],[Work Start TimeStamp]]-Table6[[#This Row],[Fault Start TimeStamp]])*24)</f>
        <v>6.666666666666643E-2</v>
      </c>
      <c r="S912" s="472">
        <f>(Table6[[#This Row],[Fault Clearance time]]-Table6[[#This Row],[Work Start TimeStamp]])*24</f>
        <v>0</v>
      </c>
      <c r="T912" s="472">
        <f>(Table6[[#This Row],[Fault Clearance time]]-Table6[[#This Row],[Fault Start TimeStamp]])*24</f>
        <v>6.666666666666643E-2</v>
      </c>
      <c r="U912" s="35" t="s">
        <v>349</v>
      </c>
      <c r="V912" s="102" t="s">
        <v>293</v>
      </c>
      <c r="W912" s="478">
        <f>IFERROR(Table6[[#This Row],[Breakdown Time]]*Table6[[#This Row],[Plant Equivalent Weightage]],"")</f>
        <v>2.5641025641025541E-3</v>
      </c>
      <c r="X912" s="473" t="s">
        <v>290</v>
      </c>
      <c r="Y912" s="474" t="s">
        <v>95</v>
      </c>
      <c r="Z912" s="102">
        <v>39494</v>
      </c>
      <c r="AA912" s="468">
        <f>(Table6[[#This Row],[Paired WTG Generation for loss calculation]]/24)*Table6[[#This Row],[Breakdown Time]]</f>
        <v>109.70555555555516</v>
      </c>
      <c r="AB912" s="102"/>
      <c r="AC912" s="35"/>
      <c r="AD912" s="35"/>
    </row>
    <row r="913" spans="1:30">
      <c r="A913" s="102">
        <f t="shared" si="15"/>
        <v>912</v>
      </c>
      <c r="B913" s="468">
        <f>YEAR(Table6[[#This Row],[Date]])+IF(MONTH(Table6[[#This Row],[Date]])&gt;=4,1,0)</f>
        <v>2026</v>
      </c>
      <c r="C913" s="102">
        <f>YEAR(Table6[[#This Row],[Date]])</f>
        <v>2025</v>
      </c>
      <c r="D913" s="102" t="s">
        <v>1992</v>
      </c>
      <c r="E913" s="469">
        <f>Table6[[#This Row],[Date]]-DAY(Table6[[#This Row],[Date]])+1</f>
        <v>45778</v>
      </c>
      <c r="F913" s="470">
        <v>45805</v>
      </c>
      <c r="G913" s="35" t="s">
        <v>90</v>
      </c>
      <c r="H913" s="35" t="str">
        <f>IFERROR(_xlfn.XLOOKUP(Table6[[#This Row],[Affected WTG]],'Basic Data'!$A:$A,'Basic Data'!$B:$B),"")</f>
        <v>TQGXIIPL</v>
      </c>
      <c r="I913" s="35" t="str">
        <f>IFERROR(_xlfn.XLOOKUP(Table6[[#This Row],[Affected WTG]],'Basic Data'!$A:$A,'Basic Data'!$C:$C),"")</f>
        <v>GEDA</v>
      </c>
      <c r="J913" s="471">
        <f>IFERROR(_xlfn.XLOOKUP(Table6[[#This Row],[Affected WTG]],'Basic Data'!$A:$A,'Basic Data'!$E:$E),"")</f>
        <v>3.846153846153845E-2</v>
      </c>
      <c r="K913" s="102">
        <v>3000</v>
      </c>
      <c r="L913" s="35" t="str">
        <f>IFERROR(_xlfn.XLOOKUP(Table6[[#This Row],[Error Code]],'Basic Data'!$AA:$AA,'Basic Data'!$AB:$AB),"Incorrect Error Code")</f>
        <v>Frequency converter not ready</v>
      </c>
      <c r="M913" s="35" t="s">
        <v>291</v>
      </c>
      <c r="N913" s="475"/>
      <c r="O913" s="476">
        <v>0.17986111111111111</v>
      </c>
      <c r="P913" s="476">
        <v>0.18402777777777779</v>
      </c>
      <c r="Q913" s="477">
        <v>0.18402777777777779</v>
      </c>
      <c r="R913" s="472">
        <f>IF(Table6[[#This Row],[Work Start TimeStamp]]="","",(Table6[[#This Row],[Work Start TimeStamp]]-Table6[[#This Row],[Fault Start TimeStamp]])*24)</f>
        <v>0.10000000000000031</v>
      </c>
      <c r="S913" s="472">
        <f>(Table6[[#This Row],[Fault Clearance time]]-Table6[[#This Row],[Work Start TimeStamp]])*24</f>
        <v>0</v>
      </c>
      <c r="T913" s="472">
        <f>(Table6[[#This Row],[Fault Clearance time]]-Table6[[#This Row],[Fault Start TimeStamp]])*24</f>
        <v>0.10000000000000031</v>
      </c>
      <c r="U913" s="35" t="s">
        <v>349</v>
      </c>
      <c r="V913" s="102" t="s">
        <v>293</v>
      </c>
      <c r="W913" s="478">
        <f>IFERROR(Table6[[#This Row],[Breakdown Time]]*Table6[[#This Row],[Plant Equivalent Weightage]],"")</f>
        <v>3.8461538461538568E-3</v>
      </c>
      <c r="X913" s="473" t="s">
        <v>290</v>
      </c>
      <c r="Y913" s="474" t="s">
        <v>95</v>
      </c>
      <c r="Z913" s="102">
        <v>39494</v>
      </c>
      <c r="AA913" s="468">
        <f>(Table6[[#This Row],[Paired WTG Generation for loss calculation]]/24)*Table6[[#This Row],[Breakdown Time]]</f>
        <v>164.55833333333385</v>
      </c>
      <c r="AB913" s="102"/>
      <c r="AC913" s="35"/>
      <c r="AD913" s="35"/>
    </row>
    <row r="914" spans="1:30">
      <c r="A914" s="102">
        <f t="shared" si="15"/>
        <v>913</v>
      </c>
      <c r="B914" s="468">
        <f>YEAR(Table6[[#This Row],[Date]])+IF(MONTH(Table6[[#This Row],[Date]])&gt;=4,1,0)</f>
        <v>2026</v>
      </c>
      <c r="C914" s="102">
        <f>YEAR(Table6[[#This Row],[Date]])</f>
        <v>2025</v>
      </c>
      <c r="D914" s="102" t="s">
        <v>1992</v>
      </c>
      <c r="E914" s="469">
        <f>Table6[[#This Row],[Date]]-DAY(Table6[[#This Row],[Date]])+1</f>
        <v>45778</v>
      </c>
      <c r="F914" s="470">
        <v>45805</v>
      </c>
      <c r="G914" s="35" t="s">
        <v>95</v>
      </c>
      <c r="H914" s="35" t="str">
        <f>IFERROR(_xlfn.XLOOKUP(Table6[[#This Row],[Affected WTG]],'Basic Data'!$A:$A,'Basic Data'!$B:$B),"")</f>
        <v>TQGXIIPL</v>
      </c>
      <c r="I914" s="35" t="str">
        <f>IFERROR(_xlfn.XLOOKUP(Table6[[#This Row],[Affected WTG]],'Basic Data'!$A:$A,'Basic Data'!$C:$C),"")</f>
        <v>GEDA</v>
      </c>
      <c r="J914" s="471">
        <f>IFERROR(_xlfn.XLOOKUP(Table6[[#This Row],[Affected WTG]],'Basic Data'!$A:$A,'Basic Data'!$E:$E),"")</f>
        <v>3.846153846153845E-2</v>
      </c>
      <c r="K914" s="102">
        <v>3000</v>
      </c>
      <c r="L914" s="35" t="str">
        <f>IFERROR(_xlfn.XLOOKUP(Table6[[#This Row],[Error Code]],'Basic Data'!$AA:$AA,'Basic Data'!$AB:$AB),"Incorrect Error Code")</f>
        <v>Frequency converter not ready</v>
      </c>
      <c r="M914" s="35" t="s">
        <v>292</v>
      </c>
      <c r="N914" s="475"/>
      <c r="O914" s="476">
        <v>0.39861111111111114</v>
      </c>
      <c r="P914" s="476">
        <v>0.4</v>
      </c>
      <c r="Q914" s="477">
        <v>0.4</v>
      </c>
      <c r="R914" s="472">
        <f>IF(Table6[[#This Row],[Work Start TimeStamp]]="","",(Table6[[#This Row],[Work Start TimeStamp]]-Table6[[#This Row],[Fault Start TimeStamp]])*24)</f>
        <v>3.3333333333333215E-2</v>
      </c>
      <c r="S914" s="472">
        <f>(Table6[[#This Row],[Fault Clearance time]]-Table6[[#This Row],[Work Start TimeStamp]])*24</f>
        <v>0</v>
      </c>
      <c r="T914" s="472">
        <f>(Table6[[#This Row],[Fault Clearance time]]-Table6[[#This Row],[Fault Start TimeStamp]])*24</f>
        <v>3.3333333333333215E-2</v>
      </c>
      <c r="U914" s="35" t="s">
        <v>336</v>
      </c>
      <c r="V914" s="102" t="s">
        <v>293</v>
      </c>
      <c r="W914" s="478">
        <f>IFERROR(Table6[[#This Row],[Breakdown Time]]*Table6[[#This Row],[Plant Equivalent Weightage]],"")</f>
        <v>1.2820512820512771E-3</v>
      </c>
      <c r="X914" s="473" t="s">
        <v>294</v>
      </c>
      <c r="Y914" s="474" t="s">
        <v>79</v>
      </c>
      <c r="Z914" s="102">
        <v>38856</v>
      </c>
      <c r="AA914" s="468">
        <f>(Table6[[#This Row],[Paired WTG Generation for loss calculation]]/24)*Table6[[#This Row],[Breakdown Time]]</f>
        <v>53.966666666666477</v>
      </c>
      <c r="AB914" s="102"/>
      <c r="AC914" s="35"/>
      <c r="AD914" s="35"/>
    </row>
    <row r="915" spans="1:30">
      <c r="A915" s="102">
        <f t="shared" si="15"/>
        <v>914</v>
      </c>
      <c r="B915" s="468">
        <f>YEAR(Table6[[#This Row],[Date]])+IF(MONTH(Table6[[#This Row],[Date]])&gt;=4,1,0)</f>
        <v>2026</v>
      </c>
      <c r="C915" s="102">
        <f>YEAR(Table6[[#This Row],[Date]])</f>
        <v>2025</v>
      </c>
      <c r="D915" s="102" t="s">
        <v>1992</v>
      </c>
      <c r="E915" s="469">
        <f>Table6[[#This Row],[Date]]-DAY(Table6[[#This Row],[Date]])+1</f>
        <v>45778</v>
      </c>
      <c r="F915" s="470">
        <v>45805</v>
      </c>
      <c r="G915" s="35" t="s">
        <v>98</v>
      </c>
      <c r="H915" s="35" t="str">
        <f>IFERROR(_xlfn.XLOOKUP(Table6[[#This Row],[Affected WTG]],'Basic Data'!$A:$A,'Basic Data'!$B:$B),"")</f>
        <v>TQGXIIPL</v>
      </c>
      <c r="I915" s="35" t="str">
        <f>IFERROR(_xlfn.XLOOKUP(Table6[[#This Row],[Affected WTG]],'Basic Data'!$A:$A,'Basic Data'!$C:$C),"")</f>
        <v>GEDA</v>
      </c>
      <c r="J915" s="471">
        <f>IFERROR(_xlfn.XLOOKUP(Table6[[#This Row],[Affected WTG]],'Basic Data'!$A:$A,'Basic Data'!$E:$E),"")</f>
        <v>3.846153846153845E-2</v>
      </c>
      <c r="K915" s="102">
        <v>55</v>
      </c>
      <c r="L915" s="35" t="str">
        <f>IFERROR(_xlfn.XLOOKUP(Table6[[#This Row],[Error Code]],'Basic Data'!$AA:$AA,'Basic Data'!$AB:$AB),"Incorrect Error Code")</f>
        <v>WTG shut down</v>
      </c>
      <c r="M915" s="35" t="s">
        <v>330</v>
      </c>
      <c r="N915" s="475"/>
      <c r="O915" s="476">
        <v>0.15694444444444444</v>
      </c>
      <c r="P915" s="476">
        <v>0.20555555555555555</v>
      </c>
      <c r="Q915" s="477">
        <v>0.20555555555555555</v>
      </c>
      <c r="R915" s="472">
        <f>IF(Table6[[#This Row],[Work Start TimeStamp]]="","",(Table6[[#This Row],[Work Start TimeStamp]]-Table6[[#This Row],[Fault Start TimeStamp]])*24)</f>
        <v>1.1666666666666665</v>
      </c>
      <c r="S915" s="472">
        <f>(Table6[[#This Row],[Fault Clearance time]]-Table6[[#This Row],[Work Start TimeStamp]])*24</f>
        <v>0</v>
      </c>
      <c r="T915" s="472">
        <f>(Table6[[#This Row],[Fault Clearance time]]-Table6[[#This Row],[Fault Start TimeStamp]])*24</f>
        <v>1.1666666666666665</v>
      </c>
      <c r="U915" s="35" t="s">
        <v>1744</v>
      </c>
      <c r="V915" s="102" t="s">
        <v>293</v>
      </c>
      <c r="W915" s="478">
        <f>IFERROR(Table6[[#This Row],[Breakdown Time]]*Table6[[#This Row],[Plant Equivalent Weightage]],"")</f>
        <v>4.4871794871794851E-2</v>
      </c>
      <c r="X915" s="473" t="s">
        <v>294</v>
      </c>
      <c r="Y915" s="474" t="s">
        <v>74</v>
      </c>
      <c r="Z915" s="102">
        <v>36145</v>
      </c>
      <c r="AA915" s="468">
        <f>(Table6[[#This Row],[Paired WTG Generation for loss calculation]]/24)*Table6[[#This Row],[Breakdown Time]]</f>
        <v>1757.0486111111111</v>
      </c>
      <c r="AB915" s="102"/>
      <c r="AC915" s="35"/>
      <c r="AD915" s="35"/>
    </row>
    <row r="916" spans="1:30">
      <c r="A916" s="102">
        <f t="shared" si="15"/>
        <v>915</v>
      </c>
      <c r="B916" s="468">
        <f>YEAR(Table6[[#This Row],[Date]])+IF(MONTH(Table6[[#This Row],[Date]])&gt;=4,1,0)</f>
        <v>2026</v>
      </c>
      <c r="C916" s="102">
        <f>YEAR(Table6[[#This Row],[Date]])</f>
        <v>2025</v>
      </c>
      <c r="D916" s="102" t="s">
        <v>1992</v>
      </c>
      <c r="E916" s="469">
        <f>Table6[[#This Row],[Date]]-DAY(Table6[[#This Row],[Date]])+1</f>
        <v>45778</v>
      </c>
      <c r="F916" s="470">
        <v>45805</v>
      </c>
      <c r="G916" s="35" t="s">
        <v>98</v>
      </c>
      <c r="H916" s="35" t="str">
        <f>IFERROR(_xlfn.XLOOKUP(Table6[[#This Row],[Affected WTG]],'Basic Data'!$A:$A,'Basic Data'!$B:$B),"")</f>
        <v>TQGXIIPL</v>
      </c>
      <c r="I916" s="35" t="str">
        <f>IFERROR(_xlfn.XLOOKUP(Table6[[#This Row],[Affected WTG]],'Basic Data'!$A:$A,'Basic Data'!$C:$C),"")</f>
        <v>GEDA</v>
      </c>
      <c r="J916" s="471">
        <f>IFERROR(_xlfn.XLOOKUP(Table6[[#This Row],[Affected WTG]],'Basic Data'!$A:$A,'Basic Data'!$E:$E),"")</f>
        <v>3.846153846153845E-2</v>
      </c>
      <c r="K916" s="102">
        <v>172</v>
      </c>
      <c r="L916" s="35" t="str">
        <f>IFERROR(_xlfn.XLOOKUP(Table6[[#This Row],[Error Code]],'Basic Data'!$AA:$AA,'Basic Data'!$AB:$AB),"Incorrect Error Code")</f>
        <v>SLC MF torque protection</v>
      </c>
      <c r="M916" s="35" t="s">
        <v>291</v>
      </c>
      <c r="N916" s="475"/>
      <c r="O916" s="476">
        <v>0.7006944444444444</v>
      </c>
      <c r="P916" s="476">
        <v>0.80347222222222225</v>
      </c>
      <c r="Q916" s="477">
        <v>0.80347222222222225</v>
      </c>
      <c r="R916" s="472">
        <f>IF(Table6[[#This Row],[Work Start TimeStamp]]="","",(Table6[[#This Row],[Work Start TimeStamp]]-Table6[[#This Row],[Fault Start TimeStamp]])*24)</f>
        <v>2.4666666666666686</v>
      </c>
      <c r="S916" s="472">
        <f>(Table6[[#This Row],[Fault Clearance time]]-Table6[[#This Row],[Work Start TimeStamp]])*24</f>
        <v>0</v>
      </c>
      <c r="T916" s="472">
        <f>(Table6[[#This Row],[Fault Clearance time]]-Table6[[#This Row],[Fault Start TimeStamp]])*24</f>
        <v>2.4666666666666686</v>
      </c>
      <c r="U916" s="35" t="s">
        <v>1916</v>
      </c>
      <c r="V916" s="102" t="s">
        <v>293</v>
      </c>
      <c r="W916" s="478">
        <f>IFERROR(Table6[[#This Row],[Breakdown Time]]*Table6[[#This Row],[Plant Equivalent Weightage]],"")</f>
        <v>9.4871794871794909E-2</v>
      </c>
      <c r="X916" s="473" t="s">
        <v>290</v>
      </c>
      <c r="Y916" s="474" t="s">
        <v>74</v>
      </c>
      <c r="Z916" s="102">
        <v>36145</v>
      </c>
      <c r="AA916" s="468">
        <f>(Table6[[#This Row],[Paired WTG Generation for loss calculation]]/24)*Table6[[#This Row],[Breakdown Time]]</f>
        <v>3714.902777777781</v>
      </c>
      <c r="AB916" s="102"/>
      <c r="AC916" s="35"/>
      <c r="AD916" s="35"/>
    </row>
    <row r="917" spans="1:30">
      <c r="A917" s="102">
        <f t="shared" si="15"/>
        <v>916</v>
      </c>
      <c r="B917" s="468">
        <f>YEAR(Table6[[#This Row],[Date]])+IF(MONTH(Table6[[#This Row],[Date]])&gt;=4,1,0)</f>
        <v>2026</v>
      </c>
      <c r="C917" s="102">
        <f>YEAR(Table6[[#This Row],[Date]])</f>
        <v>2025</v>
      </c>
      <c r="D917" s="102" t="s">
        <v>1992</v>
      </c>
      <c r="E917" s="469">
        <f>Table6[[#This Row],[Date]]-DAY(Table6[[#This Row],[Date]])+1</f>
        <v>45778</v>
      </c>
      <c r="F917" s="470">
        <v>45806</v>
      </c>
      <c r="G917" s="35" t="s">
        <v>75</v>
      </c>
      <c r="H917" s="35" t="str">
        <f>IFERROR(_xlfn.XLOOKUP(Table6[[#This Row],[Affected WTG]],'Basic Data'!$A:$A,'Basic Data'!$B:$B),"")</f>
        <v>TQGXIIPL</v>
      </c>
      <c r="I917" s="35" t="str">
        <f>IFERROR(_xlfn.XLOOKUP(Table6[[#This Row],[Affected WTG]],'Basic Data'!$A:$A,'Basic Data'!$C:$C),"")</f>
        <v>GEDA</v>
      </c>
      <c r="J917" s="471">
        <f>IFERROR(_xlfn.XLOOKUP(Table6[[#This Row],[Affected WTG]],'Basic Data'!$A:$A,'Basic Data'!$E:$E),"")</f>
        <v>3.846153846153845E-2</v>
      </c>
      <c r="K917" s="102">
        <v>3500</v>
      </c>
      <c r="L917" s="35" t="str">
        <f>IFERROR(_xlfn.XLOOKUP(Table6[[#This Row],[Error Code]],'Basic Data'!$AA:$AA,'Basic Data'!$AB:$AB),"Incorrect Error Code")</f>
        <v>Grid loss</v>
      </c>
      <c r="M917" s="35" t="s">
        <v>288</v>
      </c>
      <c r="N917" s="475"/>
      <c r="O917" s="476">
        <v>0.42708333333333331</v>
      </c>
      <c r="P917" s="476">
        <v>0.4861111111111111</v>
      </c>
      <c r="Q917" s="477">
        <v>0.4861111111111111</v>
      </c>
      <c r="R917" s="472">
        <f>IF(Table6[[#This Row],[Work Start TimeStamp]]="","",(Table6[[#This Row],[Work Start TimeStamp]]-Table6[[#This Row],[Fault Start TimeStamp]])*24)</f>
        <v>1.416666666666667</v>
      </c>
      <c r="S917" s="472">
        <f>(Table6[[#This Row],[Fault Clearance time]]-Table6[[#This Row],[Work Start TimeStamp]])*24</f>
        <v>0</v>
      </c>
      <c r="T917" s="472">
        <f>(Table6[[#This Row],[Fault Clearance time]]-Table6[[#This Row],[Fault Start TimeStamp]])*24</f>
        <v>1.416666666666667</v>
      </c>
      <c r="U917" s="35" t="s">
        <v>1919</v>
      </c>
      <c r="V917" s="102" t="s">
        <v>293</v>
      </c>
      <c r="W917" s="478">
        <f>IFERROR(Table6[[#This Row],[Breakdown Time]]*Table6[[#This Row],[Plant Equivalent Weightage]],"")</f>
        <v>5.4487179487179481E-2</v>
      </c>
      <c r="X917" s="473" t="s">
        <v>290</v>
      </c>
      <c r="Y917" s="474" t="s">
        <v>78</v>
      </c>
      <c r="Z917" s="102">
        <v>34066</v>
      </c>
      <c r="AA917" s="468">
        <f>(Table6[[#This Row],[Paired WTG Generation for loss calculation]]/24)*Table6[[#This Row],[Breakdown Time]]</f>
        <v>2010.8402777777783</v>
      </c>
      <c r="AB917" s="102"/>
      <c r="AC917" s="35"/>
      <c r="AD917" s="35"/>
    </row>
    <row r="918" spans="1:30">
      <c r="A918" s="102">
        <f t="shared" si="15"/>
        <v>917</v>
      </c>
      <c r="B918" s="468">
        <f>YEAR(Table6[[#This Row],[Date]])+IF(MONTH(Table6[[#This Row],[Date]])&gt;=4,1,0)</f>
        <v>2026</v>
      </c>
      <c r="C918" s="102">
        <f>YEAR(Table6[[#This Row],[Date]])</f>
        <v>2025</v>
      </c>
      <c r="D918" s="102" t="s">
        <v>1992</v>
      </c>
      <c r="E918" s="469">
        <f>Table6[[#This Row],[Date]]-DAY(Table6[[#This Row],[Date]])+1</f>
        <v>45778</v>
      </c>
      <c r="F918" s="470">
        <v>45806</v>
      </c>
      <c r="G918" s="35" t="s">
        <v>78</v>
      </c>
      <c r="H918" s="35" t="str">
        <f>IFERROR(_xlfn.XLOOKUP(Table6[[#This Row],[Affected WTG]],'Basic Data'!$A:$A,'Basic Data'!$B:$B),"")</f>
        <v>TQGXIIPL</v>
      </c>
      <c r="I918" s="35" t="str">
        <f>IFERROR(_xlfn.XLOOKUP(Table6[[#This Row],[Affected WTG]],'Basic Data'!$A:$A,'Basic Data'!$C:$C),"")</f>
        <v>GEDA</v>
      </c>
      <c r="J918" s="471">
        <f>IFERROR(_xlfn.XLOOKUP(Table6[[#This Row],[Affected WTG]],'Basic Data'!$A:$A,'Basic Data'!$E:$E),"")</f>
        <v>3.846153846153845E-2</v>
      </c>
      <c r="K918" s="102">
        <v>3500</v>
      </c>
      <c r="L918" s="35" t="str">
        <f>IFERROR(_xlfn.XLOOKUP(Table6[[#This Row],[Error Code]],'Basic Data'!$AA:$AA,'Basic Data'!$AB:$AB),"Incorrect Error Code")</f>
        <v>Grid loss</v>
      </c>
      <c r="M918" s="35" t="s">
        <v>288</v>
      </c>
      <c r="N918" s="475"/>
      <c r="O918" s="476">
        <v>0.42708333333333331</v>
      </c>
      <c r="P918" s="476">
        <v>0.4861111111111111</v>
      </c>
      <c r="Q918" s="477">
        <v>0.4861111111111111</v>
      </c>
      <c r="R918" s="472">
        <f>IF(Table6[[#This Row],[Work Start TimeStamp]]="","",(Table6[[#This Row],[Work Start TimeStamp]]-Table6[[#This Row],[Fault Start TimeStamp]])*24)</f>
        <v>1.416666666666667</v>
      </c>
      <c r="S918" s="472">
        <f>(Table6[[#This Row],[Fault Clearance time]]-Table6[[#This Row],[Work Start TimeStamp]])*24</f>
        <v>0</v>
      </c>
      <c r="T918" s="472">
        <f>(Table6[[#This Row],[Fault Clearance time]]-Table6[[#This Row],[Fault Start TimeStamp]])*24</f>
        <v>1.416666666666667</v>
      </c>
      <c r="U918" s="35" t="s">
        <v>1919</v>
      </c>
      <c r="V918" s="102" t="s">
        <v>293</v>
      </c>
      <c r="W918" s="478">
        <f>IFERROR(Table6[[#This Row],[Breakdown Time]]*Table6[[#This Row],[Plant Equivalent Weightage]],"")</f>
        <v>5.4487179487179481E-2</v>
      </c>
      <c r="X918" s="473" t="s">
        <v>290</v>
      </c>
      <c r="Y918" s="474" t="s">
        <v>75</v>
      </c>
      <c r="Z918" s="102">
        <v>35336</v>
      </c>
      <c r="AA918" s="468">
        <f>(Table6[[#This Row],[Paired WTG Generation for loss calculation]]/24)*Table6[[#This Row],[Breakdown Time]]</f>
        <v>2085.8055555555557</v>
      </c>
      <c r="AB918" s="102"/>
      <c r="AC918" s="35"/>
      <c r="AD918" s="35"/>
    </row>
    <row r="919" spans="1:30">
      <c r="A919" s="102">
        <f t="shared" si="15"/>
        <v>918</v>
      </c>
      <c r="B919" s="468">
        <f>YEAR(Table6[[#This Row],[Date]])+IF(MONTH(Table6[[#This Row],[Date]])&gt;=4,1,0)</f>
        <v>2026</v>
      </c>
      <c r="C919" s="102">
        <f>YEAR(Table6[[#This Row],[Date]])</f>
        <v>2025</v>
      </c>
      <c r="D919" s="102" t="s">
        <v>1992</v>
      </c>
      <c r="E919" s="469">
        <f>Table6[[#This Row],[Date]]-DAY(Table6[[#This Row],[Date]])+1</f>
        <v>45778</v>
      </c>
      <c r="F919" s="470">
        <v>45806</v>
      </c>
      <c r="G919" s="35" t="s">
        <v>98</v>
      </c>
      <c r="H919" s="35" t="str">
        <f>IFERROR(_xlfn.XLOOKUP(Table6[[#This Row],[Affected WTG]],'Basic Data'!$A:$A,'Basic Data'!$B:$B),"")</f>
        <v>TQGXIIPL</v>
      </c>
      <c r="I919" s="35" t="str">
        <f>IFERROR(_xlfn.XLOOKUP(Table6[[#This Row],[Affected WTG]],'Basic Data'!$A:$A,'Basic Data'!$C:$C),"")</f>
        <v>GEDA</v>
      </c>
      <c r="J919" s="471">
        <f>IFERROR(_xlfn.XLOOKUP(Table6[[#This Row],[Affected WTG]],'Basic Data'!$A:$A,'Basic Data'!$E:$E),"")</f>
        <v>3.846153846153845E-2</v>
      </c>
      <c r="K919" s="102">
        <v>3500</v>
      </c>
      <c r="L919" s="35" t="str">
        <f>IFERROR(_xlfn.XLOOKUP(Table6[[#This Row],[Error Code]],'Basic Data'!$AA:$AA,'Basic Data'!$AB:$AB),"Incorrect Error Code")</f>
        <v>Grid loss</v>
      </c>
      <c r="M919" s="35" t="s">
        <v>288</v>
      </c>
      <c r="N919" s="475"/>
      <c r="O919" s="476">
        <v>0.42708333333333331</v>
      </c>
      <c r="P919" s="476">
        <v>0.4861111111111111</v>
      </c>
      <c r="Q919" s="477">
        <v>0.4861111111111111</v>
      </c>
      <c r="R919" s="472">
        <f>IF(Table6[[#This Row],[Work Start TimeStamp]]="","",(Table6[[#This Row],[Work Start TimeStamp]]-Table6[[#This Row],[Fault Start TimeStamp]])*24)</f>
        <v>1.416666666666667</v>
      </c>
      <c r="S919" s="472">
        <f>(Table6[[#This Row],[Fault Clearance time]]-Table6[[#This Row],[Work Start TimeStamp]])*24</f>
        <v>0</v>
      </c>
      <c r="T919" s="472">
        <f>(Table6[[#This Row],[Fault Clearance time]]-Table6[[#This Row],[Fault Start TimeStamp]])*24</f>
        <v>1.416666666666667</v>
      </c>
      <c r="U919" s="35" t="s">
        <v>1919</v>
      </c>
      <c r="V919" s="102" t="s">
        <v>293</v>
      </c>
      <c r="W919" s="478">
        <f>IFERROR(Table6[[#This Row],[Breakdown Time]]*Table6[[#This Row],[Plant Equivalent Weightage]],"")</f>
        <v>5.4487179487179481E-2</v>
      </c>
      <c r="X919" s="473" t="s">
        <v>290</v>
      </c>
      <c r="Y919" s="474" t="s">
        <v>74</v>
      </c>
      <c r="Z919" s="102">
        <v>34991</v>
      </c>
      <c r="AA919" s="468">
        <f>(Table6[[#This Row],[Paired WTG Generation for loss calculation]]/24)*Table6[[#This Row],[Breakdown Time]]</f>
        <v>2065.4409722222226</v>
      </c>
      <c r="AB919" s="102"/>
      <c r="AC919" s="35"/>
      <c r="AD919" s="35"/>
    </row>
    <row r="920" spans="1:30">
      <c r="A920" s="102">
        <f t="shared" si="15"/>
        <v>919</v>
      </c>
      <c r="B920" s="468">
        <f>YEAR(Table6[[#This Row],[Date]])+IF(MONTH(Table6[[#This Row],[Date]])&gt;=4,1,0)</f>
        <v>2026</v>
      </c>
      <c r="C920" s="102">
        <f>YEAR(Table6[[#This Row],[Date]])</f>
        <v>2025</v>
      </c>
      <c r="D920" s="102" t="s">
        <v>1992</v>
      </c>
      <c r="E920" s="469">
        <f>Table6[[#This Row],[Date]]-DAY(Table6[[#This Row],[Date]])+1</f>
        <v>45778</v>
      </c>
      <c r="F920" s="470">
        <v>45806</v>
      </c>
      <c r="G920" s="35" t="s">
        <v>76</v>
      </c>
      <c r="H920" s="35" t="str">
        <f>IFERROR(_xlfn.XLOOKUP(Table6[[#This Row],[Affected WTG]],'Basic Data'!$A:$A,'Basic Data'!$B:$B),"")</f>
        <v>TQGXIIPL</v>
      </c>
      <c r="I920" s="35" t="str">
        <f>IFERROR(_xlfn.XLOOKUP(Table6[[#This Row],[Affected WTG]],'Basic Data'!$A:$A,'Basic Data'!$C:$C),"")</f>
        <v>GEDA</v>
      </c>
      <c r="J920" s="471">
        <f>IFERROR(_xlfn.XLOOKUP(Table6[[#This Row],[Affected WTG]],'Basic Data'!$A:$A,'Basic Data'!$E:$E),"")</f>
        <v>3.846153846153845E-2</v>
      </c>
      <c r="K920" s="102">
        <v>6605</v>
      </c>
      <c r="L920" s="35" t="str">
        <f>IFERROR(_xlfn.XLOOKUP(Table6[[#This Row],[Error Code]],'Basic Data'!$AA:$AA,'Basic Data'!$AB:$AB),"Incorrect Error Code")</f>
        <v>Wind.dir. diff. level 2</v>
      </c>
      <c r="M920" s="35" t="s">
        <v>292</v>
      </c>
      <c r="N920" s="475"/>
      <c r="O920" s="476">
        <v>0.52986111111111112</v>
      </c>
      <c r="P920" s="476">
        <v>0.53263888888888888</v>
      </c>
      <c r="Q920" s="477">
        <v>0.53263888888888888</v>
      </c>
      <c r="R920" s="472">
        <f>IF(Table6[[#This Row],[Work Start TimeStamp]]="","",(Table6[[#This Row],[Work Start TimeStamp]]-Table6[[#This Row],[Fault Start TimeStamp]])*24)</f>
        <v>6.666666666666643E-2</v>
      </c>
      <c r="S920" s="472">
        <f>(Table6[[#This Row],[Fault Clearance time]]-Table6[[#This Row],[Work Start TimeStamp]])*24</f>
        <v>0</v>
      </c>
      <c r="T920" s="472">
        <f>(Table6[[#This Row],[Fault Clearance time]]-Table6[[#This Row],[Fault Start TimeStamp]])*24</f>
        <v>6.666666666666643E-2</v>
      </c>
      <c r="U920" s="35" t="s">
        <v>336</v>
      </c>
      <c r="V920" s="102" t="s">
        <v>293</v>
      </c>
      <c r="W920" s="478">
        <f>IFERROR(Table6[[#This Row],[Breakdown Time]]*Table6[[#This Row],[Plant Equivalent Weightage]],"")</f>
        <v>2.5641025641025541E-3</v>
      </c>
      <c r="X920" s="473" t="s">
        <v>294</v>
      </c>
      <c r="Y920" s="474" t="s">
        <v>82</v>
      </c>
      <c r="Z920" s="102">
        <v>35770</v>
      </c>
      <c r="AA920" s="468">
        <f>(Table6[[#This Row],[Paired WTG Generation for loss calculation]]/24)*Table6[[#This Row],[Breakdown Time]]</f>
        <v>99.361111111110759</v>
      </c>
      <c r="AB920" s="102"/>
      <c r="AC920" s="35"/>
      <c r="AD920" s="35"/>
    </row>
    <row r="921" spans="1:30">
      <c r="A921" s="102">
        <f t="shared" si="15"/>
        <v>920</v>
      </c>
      <c r="B921" s="468">
        <f>YEAR(Table6[[#This Row],[Date]])+IF(MONTH(Table6[[#This Row],[Date]])&gt;=4,1,0)</f>
        <v>2026</v>
      </c>
      <c r="C921" s="102">
        <f>YEAR(Table6[[#This Row],[Date]])</f>
        <v>2025</v>
      </c>
      <c r="D921" s="102" t="s">
        <v>1992</v>
      </c>
      <c r="E921" s="469">
        <f>Table6[[#This Row],[Date]]-DAY(Table6[[#This Row],[Date]])+1</f>
        <v>45778</v>
      </c>
      <c r="F921" s="470">
        <v>45806</v>
      </c>
      <c r="G921" s="35" t="s">
        <v>77</v>
      </c>
      <c r="H921" s="35" t="str">
        <f>IFERROR(_xlfn.XLOOKUP(Table6[[#This Row],[Affected WTG]],'Basic Data'!$A:$A,'Basic Data'!$B:$B),"")</f>
        <v>TQGXIIPL</v>
      </c>
      <c r="I921" s="35" t="str">
        <f>IFERROR(_xlfn.XLOOKUP(Table6[[#This Row],[Affected WTG]],'Basic Data'!$A:$A,'Basic Data'!$C:$C),"")</f>
        <v>GEDA</v>
      </c>
      <c r="J921" s="471">
        <f>IFERROR(_xlfn.XLOOKUP(Table6[[#This Row],[Affected WTG]],'Basic Data'!$A:$A,'Basic Data'!$E:$E),"")</f>
        <v>3.846153846153845E-2</v>
      </c>
      <c r="K921" s="102">
        <v>6130</v>
      </c>
      <c r="L921" s="35" t="str">
        <f>IFERROR(_xlfn.XLOOKUP(Table6[[#This Row],[Error Code]],'Basic Data'!$AA:$AA,'Basic Data'!$AB:$AB),"Incorrect Error Code")</f>
        <v>Yaw speed high</v>
      </c>
      <c r="M921" s="35" t="s">
        <v>292</v>
      </c>
      <c r="N921" s="475"/>
      <c r="O921" s="476">
        <v>0.61875000000000002</v>
      </c>
      <c r="P921" s="476">
        <v>0.61944444444444446</v>
      </c>
      <c r="Q921" s="477">
        <v>0.61944444444444446</v>
      </c>
      <c r="R921" s="472">
        <f>IF(Table6[[#This Row],[Work Start TimeStamp]]="","",(Table6[[#This Row],[Work Start TimeStamp]]-Table6[[#This Row],[Fault Start TimeStamp]])*24)</f>
        <v>1.6666666666666607E-2</v>
      </c>
      <c r="S921" s="472">
        <f>(Table6[[#This Row],[Fault Clearance time]]-Table6[[#This Row],[Work Start TimeStamp]])*24</f>
        <v>0</v>
      </c>
      <c r="T921" s="472">
        <f>(Table6[[#This Row],[Fault Clearance time]]-Table6[[#This Row],[Fault Start TimeStamp]])*24</f>
        <v>1.6666666666666607E-2</v>
      </c>
      <c r="U921" s="35" t="s">
        <v>336</v>
      </c>
      <c r="V921" s="102" t="s">
        <v>293</v>
      </c>
      <c r="W921" s="478">
        <f>IFERROR(Table6[[#This Row],[Breakdown Time]]*Table6[[#This Row],[Plant Equivalent Weightage]],"")</f>
        <v>6.4102564102563853E-4</v>
      </c>
      <c r="X921" s="473" t="s">
        <v>294</v>
      </c>
      <c r="Y921" s="474" t="s">
        <v>80</v>
      </c>
      <c r="Z921" s="102">
        <v>36624</v>
      </c>
      <c r="AA921" s="468">
        <f>(Table6[[#This Row],[Paired WTG Generation for loss calculation]]/24)*Table6[[#This Row],[Breakdown Time]]</f>
        <v>25.433333333333245</v>
      </c>
      <c r="AB921" s="102"/>
      <c r="AC921" s="35"/>
      <c r="AD921" s="35"/>
    </row>
    <row r="922" spans="1:30">
      <c r="A922" s="102">
        <f t="shared" si="15"/>
        <v>921</v>
      </c>
      <c r="B922" s="468">
        <f>YEAR(Table6[[#This Row],[Date]])+IF(MONTH(Table6[[#This Row],[Date]])&gt;=4,1,0)</f>
        <v>2026</v>
      </c>
      <c r="C922" s="102">
        <f>YEAR(Table6[[#This Row],[Date]])</f>
        <v>2025</v>
      </c>
      <c r="D922" s="102" t="s">
        <v>1992</v>
      </c>
      <c r="E922" s="469">
        <f>Table6[[#This Row],[Date]]-DAY(Table6[[#This Row],[Date]])+1</f>
        <v>45778</v>
      </c>
      <c r="F922" s="470">
        <v>45806</v>
      </c>
      <c r="G922" s="35" t="s">
        <v>77</v>
      </c>
      <c r="H922" s="35" t="str">
        <f>IFERROR(_xlfn.XLOOKUP(Table6[[#This Row],[Affected WTG]],'Basic Data'!$A:$A,'Basic Data'!$B:$B),"")</f>
        <v>TQGXIIPL</v>
      </c>
      <c r="I922" s="35" t="str">
        <f>IFERROR(_xlfn.XLOOKUP(Table6[[#This Row],[Affected WTG]],'Basic Data'!$A:$A,'Basic Data'!$C:$C),"")</f>
        <v>GEDA</v>
      </c>
      <c r="J922" s="471">
        <f>IFERROR(_xlfn.XLOOKUP(Table6[[#This Row],[Affected WTG]],'Basic Data'!$A:$A,'Basic Data'!$E:$E),"")</f>
        <v>3.846153846153845E-2</v>
      </c>
      <c r="K922" s="102">
        <v>6130</v>
      </c>
      <c r="L922" s="35" t="str">
        <f>IFERROR(_xlfn.XLOOKUP(Table6[[#This Row],[Error Code]],'Basic Data'!$AA:$AA,'Basic Data'!$AB:$AB),"Incorrect Error Code")</f>
        <v>Yaw speed high</v>
      </c>
      <c r="M922" s="35" t="s">
        <v>292</v>
      </c>
      <c r="N922" s="475"/>
      <c r="O922" s="476">
        <v>0.72222222222222221</v>
      </c>
      <c r="P922" s="476">
        <v>0.72638888888888886</v>
      </c>
      <c r="Q922" s="477">
        <v>0.72638888888888886</v>
      </c>
      <c r="R922" s="472">
        <f>IF(Table6[[#This Row],[Work Start TimeStamp]]="","",(Table6[[#This Row],[Work Start TimeStamp]]-Table6[[#This Row],[Fault Start TimeStamp]])*24)</f>
        <v>9.9999999999999645E-2</v>
      </c>
      <c r="S922" s="472">
        <f>(Table6[[#This Row],[Fault Clearance time]]-Table6[[#This Row],[Work Start TimeStamp]])*24</f>
        <v>0</v>
      </c>
      <c r="T922" s="472">
        <f>(Table6[[#This Row],[Fault Clearance time]]-Table6[[#This Row],[Fault Start TimeStamp]])*24</f>
        <v>9.9999999999999645E-2</v>
      </c>
      <c r="U922" s="35" t="s">
        <v>336</v>
      </c>
      <c r="V922" s="102" t="s">
        <v>293</v>
      </c>
      <c r="W922" s="478">
        <f>IFERROR(Table6[[#This Row],[Breakdown Time]]*Table6[[#This Row],[Plant Equivalent Weightage]],"")</f>
        <v>3.8461538461538312E-3</v>
      </c>
      <c r="X922" s="473" t="s">
        <v>294</v>
      </c>
      <c r="Y922" s="474" t="s">
        <v>80</v>
      </c>
      <c r="Z922" s="102">
        <v>36624</v>
      </c>
      <c r="AA922" s="468">
        <f>(Table6[[#This Row],[Paired WTG Generation for loss calculation]]/24)*Table6[[#This Row],[Breakdown Time]]</f>
        <v>152.59999999999945</v>
      </c>
      <c r="AB922" s="102"/>
      <c r="AC922" s="35"/>
      <c r="AD922" s="35"/>
    </row>
    <row r="923" spans="1:30">
      <c r="A923" s="102">
        <f t="shared" si="15"/>
        <v>922</v>
      </c>
      <c r="B923" s="468">
        <f>YEAR(Table6[[#This Row],[Date]])+IF(MONTH(Table6[[#This Row],[Date]])&gt;=4,1,0)</f>
        <v>2026</v>
      </c>
      <c r="C923" s="102">
        <f>YEAR(Table6[[#This Row],[Date]])</f>
        <v>2025</v>
      </c>
      <c r="D923" s="102" t="s">
        <v>1992</v>
      </c>
      <c r="E923" s="469">
        <f>Table6[[#This Row],[Date]]-DAY(Table6[[#This Row],[Date]])+1</f>
        <v>45778</v>
      </c>
      <c r="F923" s="470">
        <v>45806</v>
      </c>
      <c r="G923" s="35" t="s">
        <v>77</v>
      </c>
      <c r="H923" s="35" t="str">
        <f>IFERROR(_xlfn.XLOOKUP(Table6[[#This Row],[Affected WTG]],'Basic Data'!$A:$A,'Basic Data'!$B:$B),"")</f>
        <v>TQGXIIPL</v>
      </c>
      <c r="I923" s="35" t="str">
        <f>IFERROR(_xlfn.XLOOKUP(Table6[[#This Row],[Affected WTG]],'Basic Data'!$A:$A,'Basic Data'!$C:$C),"")</f>
        <v>GEDA</v>
      </c>
      <c r="J923" s="471">
        <f>IFERROR(_xlfn.XLOOKUP(Table6[[#This Row],[Affected WTG]],'Basic Data'!$A:$A,'Basic Data'!$E:$E),"")</f>
        <v>3.846153846153845E-2</v>
      </c>
      <c r="K923" s="102">
        <v>5550</v>
      </c>
      <c r="L923" s="35" t="str">
        <f>IFERROR(_xlfn.XLOOKUP(Table6[[#This Row],[Error Code]],'Basic Data'!$AA:$AA,'Basic Data'!$AB:$AB),"Incorrect Error Code")</f>
        <v>Low hydraulic oil level</v>
      </c>
      <c r="M923" s="35" t="s">
        <v>291</v>
      </c>
      <c r="N923" s="475"/>
      <c r="O923" s="476">
        <v>0.8520833333333333</v>
      </c>
      <c r="P923" s="476">
        <v>0.91249999999999998</v>
      </c>
      <c r="Q923" s="477">
        <v>1</v>
      </c>
      <c r="R923" s="472">
        <f>IF(Table6[[#This Row],[Work Start TimeStamp]]="","",(Table6[[#This Row],[Work Start TimeStamp]]-Table6[[#This Row],[Fault Start TimeStamp]])*24)</f>
        <v>1.4500000000000002</v>
      </c>
      <c r="S923" s="472">
        <f>(Table6[[#This Row],[Fault Clearance time]]-Table6[[#This Row],[Work Start TimeStamp]])*24</f>
        <v>2.1000000000000005</v>
      </c>
      <c r="T923" s="472">
        <f>(Table6[[#This Row],[Fault Clearance time]]-Table6[[#This Row],[Fault Start TimeStamp]])*24</f>
        <v>3.5500000000000007</v>
      </c>
      <c r="U923" s="35" t="s">
        <v>1920</v>
      </c>
      <c r="V923" s="102" t="s">
        <v>293</v>
      </c>
      <c r="W923" s="478">
        <f>IFERROR(Table6[[#This Row],[Breakdown Time]]*Table6[[#This Row],[Plant Equivalent Weightage]],"")</f>
        <v>0.13653846153846153</v>
      </c>
      <c r="X923" s="473" t="s">
        <v>290</v>
      </c>
      <c r="Y923" s="474" t="s">
        <v>80</v>
      </c>
      <c r="Z923" s="102">
        <v>36624</v>
      </c>
      <c r="AA923" s="468">
        <f>(Table6[[#This Row],[Paired WTG Generation for loss calculation]]/24)*Table6[[#This Row],[Breakdown Time]]</f>
        <v>5417.3000000000011</v>
      </c>
      <c r="AB923" s="102"/>
      <c r="AC923" s="35"/>
      <c r="AD923" s="35"/>
    </row>
    <row r="924" spans="1:30">
      <c r="A924" s="102">
        <f t="shared" si="15"/>
        <v>923</v>
      </c>
      <c r="B924" s="468">
        <f>YEAR(Table6[[#This Row],[Date]])+IF(MONTH(Table6[[#This Row],[Date]])&gt;=4,1,0)</f>
        <v>2026</v>
      </c>
      <c r="C924" s="102">
        <f>YEAR(Table6[[#This Row],[Date]])</f>
        <v>2025</v>
      </c>
      <c r="D924" s="102" t="s">
        <v>1992</v>
      </c>
      <c r="E924" s="469">
        <f>Table6[[#This Row],[Date]]-DAY(Table6[[#This Row],[Date]])+1</f>
        <v>45778</v>
      </c>
      <c r="F924" s="470">
        <v>45806</v>
      </c>
      <c r="G924" s="35" t="s">
        <v>78</v>
      </c>
      <c r="H924" s="35" t="str">
        <f>IFERROR(_xlfn.XLOOKUP(Table6[[#This Row],[Affected WTG]],'Basic Data'!$A:$A,'Basic Data'!$B:$B),"")</f>
        <v>TQGXIIPL</v>
      </c>
      <c r="I924" s="35" t="str">
        <f>IFERROR(_xlfn.XLOOKUP(Table6[[#This Row],[Affected WTG]],'Basic Data'!$A:$A,'Basic Data'!$C:$C),"")</f>
        <v>GEDA</v>
      </c>
      <c r="J924" s="471">
        <f>IFERROR(_xlfn.XLOOKUP(Table6[[#This Row],[Affected WTG]],'Basic Data'!$A:$A,'Basic Data'!$E:$E),"")</f>
        <v>3.846153846153845E-2</v>
      </c>
      <c r="K924" s="102">
        <v>6605</v>
      </c>
      <c r="L924" s="35" t="str">
        <f>IFERROR(_xlfn.XLOOKUP(Table6[[#This Row],[Error Code]],'Basic Data'!$AA:$AA,'Basic Data'!$AB:$AB),"Incorrect Error Code")</f>
        <v>Wind.dir. diff. level 2</v>
      </c>
      <c r="M924" s="35" t="s">
        <v>292</v>
      </c>
      <c r="N924" s="475"/>
      <c r="O924" s="476">
        <v>0.61875000000000002</v>
      </c>
      <c r="P924" s="476">
        <v>0.62361111111111112</v>
      </c>
      <c r="Q924" s="477">
        <v>0.62361111111111112</v>
      </c>
      <c r="R924" s="472">
        <f>IF(Table6[[#This Row],[Work Start TimeStamp]]="","",(Table6[[#This Row],[Work Start TimeStamp]]-Table6[[#This Row],[Fault Start TimeStamp]])*24)</f>
        <v>0.11666666666666625</v>
      </c>
      <c r="S924" s="472">
        <f>(Table6[[#This Row],[Fault Clearance time]]-Table6[[#This Row],[Work Start TimeStamp]])*24</f>
        <v>0</v>
      </c>
      <c r="T924" s="472">
        <f>(Table6[[#This Row],[Fault Clearance time]]-Table6[[#This Row],[Fault Start TimeStamp]])*24</f>
        <v>0.11666666666666625</v>
      </c>
      <c r="U924" s="35" t="s">
        <v>336</v>
      </c>
      <c r="V924" s="102" t="s">
        <v>293</v>
      </c>
      <c r="W924" s="478">
        <f>IFERROR(Table6[[#This Row],[Breakdown Time]]*Table6[[#This Row],[Plant Equivalent Weightage]],"")</f>
        <v>4.4871794871794695E-3</v>
      </c>
      <c r="X924" s="473" t="s">
        <v>294</v>
      </c>
      <c r="Y924" s="474" t="s">
        <v>75</v>
      </c>
      <c r="Z924" s="102">
        <v>35336</v>
      </c>
      <c r="AA924" s="468">
        <f>(Table6[[#This Row],[Paired WTG Generation for loss calculation]]/24)*Table6[[#This Row],[Breakdown Time]]</f>
        <v>171.77222222222161</v>
      </c>
      <c r="AB924" s="102"/>
      <c r="AC924" s="35"/>
      <c r="AD924" s="35"/>
    </row>
    <row r="925" spans="1:30">
      <c r="A925" s="102">
        <f t="shared" si="15"/>
        <v>924</v>
      </c>
      <c r="B925" s="468">
        <f>YEAR(Table6[[#This Row],[Date]])+IF(MONTH(Table6[[#This Row],[Date]])&gt;=4,1,0)</f>
        <v>2026</v>
      </c>
      <c r="C925" s="102">
        <f>YEAR(Table6[[#This Row],[Date]])</f>
        <v>2025</v>
      </c>
      <c r="D925" s="102" t="s">
        <v>1992</v>
      </c>
      <c r="E925" s="469">
        <f>Table6[[#This Row],[Date]]-DAY(Table6[[#This Row],[Date]])+1</f>
        <v>45778</v>
      </c>
      <c r="F925" s="470">
        <v>45806</v>
      </c>
      <c r="G925" s="35" t="s">
        <v>81</v>
      </c>
      <c r="H925" s="35" t="str">
        <f>IFERROR(_xlfn.XLOOKUP(Table6[[#This Row],[Affected WTG]],'Basic Data'!$A:$A,'Basic Data'!$B:$B),"")</f>
        <v>TQGXIIPL</v>
      </c>
      <c r="I925" s="35" t="str">
        <f>IFERROR(_xlfn.XLOOKUP(Table6[[#This Row],[Affected WTG]],'Basic Data'!$A:$A,'Basic Data'!$C:$C),"")</f>
        <v>GEDA</v>
      </c>
      <c r="J925" s="471">
        <f>IFERROR(_xlfn.XLOOKUP(Table6[[#This Row],[Affected WTG]],'Basic Data'!$A:$A,'Basic Data'!$E:$E),"")</f>
        <v>3.846153846153845E-2</v>
      </c>
      <c r="K925" s="102">
        <v>641</v>
      </c>
      <c r="L925" s="35" t="str">
        <f>IFERROR(_xlfn.XLOOKUP(Table6[[#This Row],[Error Code]],'Basic Data'!$AA:$AA,'Basic Data'!$AB:$AB),"Incorrect Error Code")</f>
        <v>Sim.angle E enc. &lt;&gt; act.angle 1</v>
      </c>
      <c r="M925" s="35" t="s">
        <v>292</v>
      </c>
      <c r="N925" s="475"/>
      <c r="O925" s="476">
        <v>0.73402777777777772</v>
      </c>
      <c r="P925" s="476">
        <v>0.73472222222222228</v>
      </c>
      <c r="Q925" s="477">
        <v>0.73472222222222228</v>
      </c>
      <c r="R925" s="472">
        <f>IF(Table6[[#This Row],[Work Start TimeStamp]]="","",(Table6[[#This Row],[Work Start TimeStamp]]-Table6[[#This Row],[Fault Start TimeStamp]])*24)</f>
        <v>1.6666666666669272E-2</v>
      </c>
      <c r="S925" s="472">
        <f>(Table6[[#This Row],[Fault Clearance time]]-Table6[[#This Row],[Work Start TimeStamp]])*24</f>
        <v>0</v>
      </c>
      <c r="T925" s="472">
        <f>(Table6[[#This Row],[Fault Clearance time]]-Table6[[#This Row],[Fault Start TimeStamp]])*24</f>
        <v>1.6666666666669272E-2</v>
      </c>
      <c r="U925" s="35" t="s">
        <v>336</v>
      </c>
      <c r="V925" s="102" t="s">
        <v>293</v>
      </c>
      <c r="W925" s="478">
        <f>IFERROR(Table6[[#This Row],[Breakdown Time]]*Table6[[#This Row],[Plant Equivalent Weightage]],"")</f>
        <v>6.4102564102574099E-4</v>
      </c>
      <c r="X925" s="473" t="s">
        <v>294</v>
      </c>
      <c r="Y925" s="474" t="s">
        <v>99</v>
      </c>
      <c r="Z925" s="102">
        <v>36092</v>
      </c>
      <c r="AA925" s="468">
        <f>(Table6[[#This Row],[Paired WTG Generation for loss calculation]]/24)*Table6[[#This Row],[Breakdown Time]]</f>
        <v>25.063888888892805</v>
      </c>
      <c r="AB925" s="102"/>
      <c r="AC925" s="35"/>
      <c r="AD925" s="35"/>
    </row>
    <row r="926" spans="1:30">
      <c r="A926" s="102">
        <f t="shared" si="15"/>
        <v>925</v>
      </c>
      <c r="B926" s="468">
        <f>YEAR(Table6[[#This Row],[Date]])+IF(MONTH(Table6[[#This Row],[Date]])&gt;=4,1,0)</f>
        <v>2026</v>
      </c>
      <c r="C926" s="102">
        <f>YEAR(Table6[[#This Row],[Date]])</f>
        <v>2025</v>
      </c>
      <c r="D926" s="102" t="s">
        <v>1992</v>
      </c>
      <c r="E926" s="469">
        <f>Table6[[#This Row],[Date]]-DAY(Table6[[#This Row],[Date]])+1</f>
        <v>45778</v>
      </c>
      <c r="F926" s="470">
        <v>45806</v>
      </c>
      <c r="G926" s="35" t="s">
        <v>84</v>
      </c>
      <c r="H926" s="35" t="str">
        <f>IFERROR(_xlfn.XLOOKUP(Table6[[#This Row],[Affected WTG]],'Basic Data'!$A:$A,'Basic Data'!$B:$B),"")</f>
        <v>TQGXIIPL</v>
      </c>
      <c r="I926" s="35" t="str">
        <f>IFERROR(_xlfn.XLOOKUP(Table6[[#This Row],[Affected WTG]],'Basic Data'!$A:$A,'Basic Data'!$C:$C),"")</f>
        <v>GEDA</v>
      </c>
      <c r="J926" s="471">
        <f>IFERROR(_xlfn.XLOOKUP(Table6[[#This Row],[Affected WTG]],'Basic Data'!$A:$A,'Basic Data'!$E:$E),"")</f>
        <v>3.846153846153845E-2</v>
      </c>
      <c r="K926" s="102">
        <v>6130</v>
      </c>
      <c r="L926" s="35" t="str">
        <f>IFERROR(_xlfn.XLOOKUP(Table6[[#This Row],[Error Code]],'Basic Data'!$AA:$AA,'Basic Data'!$AB:$AB),"Incorrect Error Code")</f>
        <v>Yaw speed high</v>
      </c>
      <c r="M926" s="35" t="s">
        <v>292</v>
      </c>
      <c r="N926" s="475"/>
      <c r="O926" s="476">
        <v>0.65416666666666667</v>
      </c>
      <c r="P926" s="476">
        <v>0.65833333333333333</v>
      </c>
      <c r="Q926" s="477">
        <v>0.65833333333333333</v>
      </c>
      <c r="R926" s="472">
        <f>IF(Table6[[#This Row],[Work Start TimeStamp]]="","",(Table6[[#This Row],[Work Start TimeStamp]]-Table6[[#This Row],[Fault Start TimeStamp]])*24)</f>
        <v>9.9999999999999645E-2</v>
      </c>
      <c r="S926" s="472">
        <f>(Table6[[#This Row],[Fault Clearance time]]-Table6[[#This Row],[Work Start TimeStamp]])*24</f>
        <v>0</v>
      </c>
      <c r="T926" s="472">
        <f>(Table6[[#This Row],[Fault Clearance time]]-Table6[[#This Row],[Fault Start TimeStamp]])*24</f>
        <v>9.9999999999999645E-2</v>
      </c>
      <c r="U926" s="35" t="s">
        <v>336</v>
      </c>
      <c r="V926" s="102" t="s">
        <v>293</v>
      </c>
      <c r="W926" s="478">
        <f>IFERROR(Table6[[#This Row],[Breakdown Time]]*Table6[[#This Row],[Plant Equivalent Weightage]],"")</f>
        <v>3.8461538461538312E-3</v>
      </c>
      <c r="X926" s="473" t="s">
        <v>294</v>
      </c>
      <c r="Y926" s="474" t="s">
        <v>85</v>
      </c>
      <c r="Z926" s="102">
        <v>35861</v>
      </c>
      <c r="AA926" s="468">
        <f>(Table6[[#This Row],[Paired WTG Generation for loss calculation]]/24)*Table6[[#This Row],[Breakdown Time]]</f>
        <v>149.42083333333281</v>
      </c>
      <c r="AB926" s="102"/>
      <c r="AC926" s="35"/>
      <c r="AD926" s="35"/>
    </row>
    <row r="927" spans="1:30">
      <c r="A927" s="102">
        <f t="shared" si="15"/>
        <v>926</v>
      </c>
      <c r="B927" s="468">
        <f>YEAR(Table6[[#This Row],[Date]])+IF(MONTH(Table6[[#This Row],[Date]])&gt;=4,1,0)</f>
        <v>2026</v>
      </c>
      <c r="C927" s="102">
        <f>YEAR(Table6[[#This Row],[Date]])</f>
        <v>2025</v>
      </c>
      <c r="D927" s="102" t="s">
        <v>1992</v>
      </c>
      <c r="E927" s="469">
        <f>Table6[[#This Row],[Date]]-DAY(Table6[[#This Row],[Date]])+1</f>
        <v>45778</v>
      </c>
      <c r="F927" s="470">
        <v>45806</v>
      </c>
      <c r="G927" s="35" t="s">
        <v>85</v>
      </c>
      <c r="H927" s="35" t="str">
        <f>IFERROR(_xlfn.XLOOKUP(Table6[[#This Row],[Affected WTG]],'Basic Data'!$A:$A,'Basic Data'!$B:$B),"")</f>
        <v>TQGXIIPL</v>
      </c>
      <c r="I927" s="35" t="str">
        <f>IFERROR(_xlfn.XLOOKUP(Table6[[#This Row],[Affected WTG]],'Basic Data'!$A:$A,'Basic Data'!$C:$C),"")</f>
        <v>GEDA</v>
      </c>
      <c r="J927" s="471">
        <f>IFERROR(_xlfn.XLOOKUP(Table6[[#This Row],[Affected WTG]],'Basic Data'!$A:$A,'Basic Data'!$E:$E),"")</f>
        <v>3.846153846153845E-2</v>
      </c>
      <c r="K927" s="102">
        <v>1700</v>
      </c>
      <c r="L927" s="35" t="str">
        <f>IFERROR(_xlfn.XLOOKUP(Table6[[#This Row],[Error Code]],'Basic Data'!$AA:$AA,'Basic Data'!$AB:$AB),"Incorrect Error Code")</f>
        <v>High temp. gear bearing 1</v>
      </c>
      <c r="M927" s="35" t="s">
        <v>291</v>
      </c>
      <c r="N927" s="475"/>
      <c r="O927" s="476">
        <v>0.67847222222222225</v>
      </c>
      <c r="P927" s="476">
        <v>0.68194444444444446</v>
      </c>
      <c r="Q927" s="477">
        <v>0.68194444444444446</v>
      </c>
      <c r="R927" s="472">
        <f>IF(Table6[[#This Row],[Work Start TimeStamp]]="","",(Table6[[#This Row],[Work Start TimeStamp]]-Table6[[#This Row],[Fault Start TimeStamp]])*24)</f>
        <v>8.3333333333333037E-2</v>
      </c>
      <c r="S927" s="472">
        <f>(Table6[[#This Row],[Fault Clearance time]]-Table6[[#This Row],[Work Start TimeStamp]])*24</f>
        <v>0</v>
      </c>
      <c r="T927" s="472">
        <f>(Table6[[#This Row],[Fault Clearance time]]-Table6[[#This Row],[Fault Start TimeStamp]])*24</f>
        <v>8.3333333333333037E-2</v>
      </c>
      <c r="U927" s="35" t="s">
        <v>349</v>
      </c>
      <c r="V927" s="102" t="s">
        <v>293</v>
      </c>
      <c r="W927" s="478">
        <f>IFERROR(Table6[[#This Row],[Breakdown Time]]*Table6[[#This Row],[Plant Equivalent Weightage]],"")</f>
        <v>3.2051282051281929E-3</v>
      </c>
      <c r="X927" s="473" t="s">
        <v>290</v>
      </c>
      <c r="Y927" s="474" t="s">
        <v>87</v>
      </c>
      <c r="Z927" s="102">
        <v>36054</v>
      </c>
      <c r="AA927" s="468">
        <f>(Table6[[#This Row],[Paired WTG Generation for loss calculation]]/24)*Table6[[#This Row],[Breakdown Time]]</f>
        <v>125.18749999999956</v>
      </c>
      <c r="AB927" s="102"/>
      <c r="AC927" s="35"/>
      <c r="AD927" s="35"/>
    </row>
    <row r="928" spans="1:30">
      <c r="A928" s="102">
        <f t="shared" si="15"/>
        <v>927</v>
      </c>
      <c r="B928" s="468">
        <f>YEAR(Table6[[#This Row],[Date]])+IF(MONTH(Table6[[#This Row],[Date]])&gt;=4,1,0)</f>
        <v>2026</v>
      </c>
      <c r="C928" s="102">
        <f>YEAR(Table6[[#This Row],[Date]])</f>
        <v>2025</v>
      </c>
      <c r="D928" s="102" t="s">
        <v>1992</v>
      </c>
      <c r="E928" s="469">
        <f>Table6[[#This Row],[Date]]-DAY(Table6[[#This Row],[Date]])+1</f>
        <v>45778</v>
      </c>
      <c r="F928" s="470">
        <v>45806</v>
      </c>
      <c r="G928" s="35" t="s">
        <v>92</v>
      </c>
      <c r="H928" s="35" t="str">
        <f>IFERROR(_xlfn.XLOOKUP(Table6[[#This Row],[Affected WTG]],'Basic Data'!$A:$A,'Basic Data'!$B:$B),"")</f>
        <v>TQGXIIPL</v>
      </c>
      <c r="I928" s="35" t="str">
        <f>IFERROR(_xlfn.XLOOKUP(Table6[[#This Row],[Affected WTG]],'Basic Data'!$A:$A,'Basic Data'!$C:$C),"")</f>
        <v>GEDA</v>
      </c>
      <c r="J928" s="471">
        <f>IFERROR(_xlfn.XLOOKUP(Table6[[#This Row],[Affected WTG]],'Basic Data'!$A:$A,'Basic Data'!$E:$E),"")</f>
        <v>3.846153846153845E-2</v>
      </c>
      <c r="K928" s="102">
        <v>6605</v>
      </c>
      <c r="L928" s="35" t="str">
        <f>IFERROR(_xlfn.XLOOKUP(Table6[[#This Row],[Error Code]],'Basic Data'!$AA:$AA,'Basic Data'!$AB:$AB),"Incorrect Error Code")</f>
        <v>Wind.dir. diff. level 2</v>
      </c>
      <c r="M928" s="35" t="s">
        <v>292</v>
      </c>
      <c r="N928" s="475"/>
      <c r="O928" s="476">
        <v>0.63194444444444442</v>
      </c>
      <c r="P928" s="476">
        <v>0.63263888888888886</v>
      </c>
      <c r="Q928" s="477">
        <v>0.63263888888888886</v>
      </c>
      <c r="R928" s="472">
        <f>IF(Table6[[#This Row],[Work Start TimeStamp]]="","",(Table6[[#This Row],[Work Start TimeStamp]]-Table6[[#This Row],[Fault Start TimeStamp]])*24)</f>
        <v>1.6666666666666607E-2</v>
      </c>
      <c r="S928" s="472">
        <f>(Table6[[#This Row],[Fault Clearance time]]-Table6[[#This Row],[Work Start TimeStamp]])*24</f>
        <v>0</v>
      </c>
      <c r="T928" s="472">
        <f>(Table6[[#This Row],[Fault Clearance time]]-Table6[[#This Row],[Fault Start TimeStamp]])*24</f>
        <v>1.6666666666666607E-2</v>
      </c>
      <c r="U928" s="35" t="s">
        <v>336</v>
      </c>
      <c r="V928" s="102" t="s">
        <v>293</v>
      </c>
      <c r="W928" s="478">
        <f>IFERROR(Table6[[#This Row],[Breakdown Time]]*Table6[[#This Row],[Plant Equivalent Weightage]],"")</f>
        <v>6.4102564102563853E-4</v>
      </c>
      <c r="X928" s="473" t="s">
        <v>294</v>
      </c>
      <c r="Y928" s="474" t="s">
        <v>80</v>
      </c>
      <c r="Z928" s="102">
        <v>36624</v>
      </c>
      <c r="AA928" s="468">
        <f>(Table6[[#This Row],[Paired WTG Generation for loss calculation]]/24)*Table6[[#This Row],[Breakdown Time]]</f>
        <v>25.433333333333245</v>
      </c>
      <c r="AB928" s="102"/>
      <c r="AC928" s="35"/>
      <c r="AD928" s="35"/>
    </row>
    <row r="929" spans="1:30">
      <c r="A929" s="102">
        <f t="shared" si="15"/>
        <v>928</v>
      </c>
      <c r="B929" s="468">
        <f>YEAR(Table6[[#This Row],[Date]])+IF(MONTH(Table6[[#This Row],[Date]])&gt;=4,1,0)</f>
        <v>2026</v>
      </c>
      <c r="C929" s="102">
        <f>YEAR(Table6[[#This Row],[Date]])</f>
        <v>2025</v>
      </c>
      <c r="D929" s="102" t="s">
        <v>1992</v>
      </c>
      <c r="E929" s="469">
        <f>Table6[[#This Row],[Date]]-DAY(Table6[[#This Row],[Date]])+1</f>
        <v>45778</v>
      </c>
      <c r="F929" s="470">
        <v>45806</v>
      </c>
      <c r="G929" s="35" t="s">
        <v>93</v>
      </c>
      <c r="H929" s="35" t="str">
        <f>IFERROR(_xlfn.XLOOKUP(Table6[[#This Row],[Affected WTG]],'Basic Data'!$A:$A,'Basic Data'!$B:$B),"")</f>
        <v>TQGXIIPL</v>
      </c>
      <c r="I929" s="35" t="str">
        <f>IFERROR(_xlfn.XLOOKUP(Table6[[#This Row],[Affected WTG]],'Basic Data'!$A:$A,'Basic Data'!$C:$C),"")</f>
        <v>GEDA</v>
      </c>
      <c r="J929" s="471">
        <f>IFERROR(_xlfn.XLOOKUP(Table6[[#This Row],[Affected WTG]],'Basic Data'!$A:$A,'Basic Data'!$E:$E),"")</f>
        <v>3.846153846153845E-2</v>
      </c>
      <c r="K929" s="102">
        <v>6130</v>
      </c>
      <c r="L929" s="35" t="str">
        <f>IFERROR(_xlfn.XLOOKUP(Table6[[#This Row],[Error Code]],'Basic Data'!$AA:$AA,'Basic Data'!$AB:$AB),"Incorrect Error Code")</f>
        <v>Yaw speed high</v>
      </c>
      <c r="M929" s="35" t="s">
        <v>292</v>
      </c>
      <c r="N929" s="475"/>
      <c r="O929" s="476">
        <v>0.60069444444444442</v>
      </c>
      <c r="P929" s="476">
        <v>0.60138888888888886</v>
      </c>
      <c r="Q929" s="477">
        <v>0.60138888888888886</v>
      </c>
      <c r="R929" s="472">
        <f>IF(Table6[[#This Row],[Work Start TimeStamp]]="","",(Table6[[#This Row],[Work Start TimeStamp]]-Table6[[#This Row],[Fault Start TimeStamp]])*24)</f>
        <v>1.6666666666666607E-2</v>
      </c>
      <c r="S929" s="472">
        <f>(Table6[[#This Row],[Fault Clearance time]]-Table6[[#This Row],[Work Start TimeStamp]])*24</f>
        <v>0</v>
      </c>
      <c r="T929" s="472">
        <f>(Table6[[#This Row],[Fault Clearance time]]-Table6[[#This Row],[Fault Start TimeStamp]])*24</f>
        <v>1.6666666666666607E-2</v>
      </c>
      <c r="U929" s="35" t="s">
        <v>336</v>
      </c>
      <c r="V929" s="102" t="s">
        <v>293</v>
      </c>
      <c r="W929" s="478">
        <f>IFERROR(Table6[[#This Row],[Breakdown Time]]*Table6[[#This Row],[Plant Equivalent Weightage]],"")</f>
        <v>6.4102564102563853E-4</v>
      </c>
      <c r="X929" s="473" t="s">
        <v>294</v>
      </c>
      <c r="Y929" s="474" t="s">
        <v>97</v>
      </c>
      <c r="Z929" s="102">
        <v>36704</v>
      </c>
      <c r="AA929" s="468">
        <f>(Table6[[#This Row],[Paired WTG Generation for loss calculation]]/24)*Table6[[#This Row],[Breakdown Time]]</f>
        <v>25.488888888888798</v>
      </c>
      <c r="AB929" s="102"/>
      <c r="AC929" s="35"/>
      <c r="AD929" s="35"/>
    </row>
    <row r="930" spans="1:30">
      <c r="A930" s="102">
        <f t="shared" si="15"/>
        <v>929</v>
      </c>
      <c r="B930" s="468">
        <f>YEAR(Table6[[#This Row],[Date]])+IF(MONTH(Table6[[#This Row],[Date]])&gt;=4,1,0)</f>
        <v>2026</v>
      </c>
      <c r="C930" s="102">
        <f>YEAR(Table6[[#This Row],[Date]])</f>
        <v>2025</v>
      </c>
      <c r="D930" s="102" t="s">
        <v>1992</v>
      </c>
      <c r="E930" s="469">
        <f>Table6[[#This Row],[Date]]-DAY(Table6[[#This Row],[Date]])+1</f>
        <v>45778</v>
      </c>
      <c r="F930" s="470">
        <v>45806</v>
      </c>
      <c r="G930" s="35" t="s">
        <v>96</v>
      </c>
      <c r="H930" s="35" t="str">
        <f>IFERROR(_xlfn.XLOOKUP(Table6[[#This Row],[Affected WTG]],'Basic Data'!$A:$A,'Basic Data'!$B:$B),"")</f>
        <v>TQGXIIPL</v>
      </c>
      <c r="I930" s="35" t="str">
        <f>IFERROR(_xlfn.XLOOKUP(Table6[[#This Row],[Affected WTG]],'Basic Data'!$A:$A,'Basic Data'!$C:$C),"")</f>
        <v>GEDA</v>
      </c>
      <c r="J930" s="471">
        <f>IFERROR(_xlfn.XLOOKUP(Table6[[#This Row],[Affected WTG]],'Basic Data'!$A:$A,'Basic Data'!$E:$E),"")</f>
        <v>3.846153846153845E-2</v>
      </c>
      <c r="K930" s="102">
        <v>1731</v>
      </c>
      <c r="L930" s="35" t="str">
        <f>IFERROR(_xlfn.XLOOKUP(Table6[[#This Row],[Error Code]],'Basic Data'!$AA:$AA,'Basic Data'!$AB:$AB),"Incorrect Error Code")</f>
        <v>Oil temperature gearbox input high</v>
      </c>
      <c r="M930" s="35" t="s">
        <v>292</v>
      </c>
      <c r="N930" s="475"/>
      <c r="O930" s="476">
        <v>0.73472222222222228</v>
      </c>
      <c r="P930" s="476">
        <v>0.73611111111111116</v>
      </c>
      <c r="Q930" s="477">
        <v>0.73611111111111116</v>
      </c>
      <c r="R930" s="472">
        <f>IF(Table6[[#This Row],[Work Start TimeStamp]]="","",(Table6[[#This Row],[Work Start TimeStamp]]-Table6[[#This Row],[Fault Start TimeStamp]])*24)</f>
        <v>3.3333333333333215E-2</v>
      </c>
      <c r="S930" s="472">
        <f>(Table6[[#This Row],[Fault Clearance time]]-Table6[[#This Row],[Work Start TimeStamp]])*24</f>
        <v>0</v>
      </c>
      <c r="T930" s="472">
        <f>(Table6[[#This Row],[Fault Clearance time]]-Table6[[#This Row],[Fault Start TimeStamp]])*24</f>
        <v>3.3333333333333215E-2</v>
      </c>
      <c r="U930" s="35" t="s">
        <v>336</v>
      </c>
      <c r="V930" s="102" t="s">
        <v>293</v>
      </c>
      <c r="W930" s="478">
        <f>IFERROR(Table6[[#This Row],[Breakdown Time]]*Table6[[#This Row],[Plant Equivalent Weightage]],"")</f>
        <v>1.2820512820512771E-3</v>
      </c>
      <c r="X930" s="473" t="s">
        <v>294</v>
      </c>
      <c r="Y930" s="474" t="s">
        <v>84</v>
      </c>
      <c r="Z930" s="102">
        <v>35836</v>
      </c>
      <c r="AA930" s="468">
        <f>(Table6[[#This Row],[Paired WTG Generation for loss calculation]]/24)*Table6[[#This Row],[Breakdown Time]]</f>
        <v>49.772222222222048</v>
      </c>
      <c r="AB930" s="102"/>
      <c r="AC930" s="35"/>
      <c r="AD930" s="35"/>
    </row>
    <row r="931" spans="1:30">
      <c r="A931" s="102">
        <f t="shared" si="15"/>
        <v>930</v>
      </c>
      <c r="B931" s="468">
        <f>YEAR(Table6[[#This Row],[Date]])+IF(MONTH(Table6[[#This Row],[Date]])&gt;=4,1,0)</f>
        <v>2026</v>
      </c>
      <c r="C931" s="102">
        <f>YEAR(Table6[[#This Row],[Date]])</f>
        <v>2025</v>
      </c>
      <c r="D931" s="102" t="s">
        <v>1992</v>
      </c>
      <c r="E931" s="469">
        <f>Table6[[#This Row],[Date]]-DAY(Table6[[#This Row],[Date]])+1</f>
        <v>45778</v>
      </c>
      <c r="F931" s="470">
        <v>45806</v>
      </c>
      <c r="G931" s="35" t="s">
        <v>96</v>
      </c>
      <c r="H931" s="35" t="str">
        <f>IFERROR(_xlfn.XLOOKUP(Table6[[#This Row],[Affected WTG]],'Basic Data'!$A:$A,'Basic Data'!$B:$B),"")</f>
        <v>TQGXIIPL</v>
      </c>
      <c r="I931" s="35" t="str">
        <f>IFERROR(_xlfn.XLOOKUP(Table6[[#This Row],[Affected WTG]],'Basic Data'!$A:$A,'Basic Data'!$C:$C),"")</f>
        <v>GEDA</v>
      </c>
      <c r="J931" s="471">
        <f>IFERROR(_xlfn.XLOOKUP(Table6[[#This Row],[Affected WTG]],'Basic Data'!$A:$A,'Basic Data'!$E:$E),"")</f>
        <v>3.846153846153845E-2</v>
      </c>
      <c r="K931" s="102">
        <v>665</v>
      </c>
      <c r="L931" s="35" t="str">
        <f>IFERROR(_xlfn.XLOOKUP(Table6[[#This Row],[Error Code]],'Basic Data'!$AA:$AA,'Basic Data'!$AB:$AB),"Incorrect Error Code")</f>
        <v>Pitch error</v>
      </c>
      <c r="M931" s="35" t="s">
        <v>292</v>
      </c>
      <c r="N931" s="475"/>
      <c r="O931" s="476">
        <v>0.74097222222222225</v>
      </c>
      <c r="P931" s="476">
        <v>0.74305555555555558</v>
      </c>
      <c r="Q931" s="477">
        <v>0.74305555555555558</v>
      </c>
      <c r="R931" s="472">
        <f>IF(Table6[[#This Row],[Work Start TimeStamp]]="","",(Table6[[#This Row],[Work Start TimeStamp]]-Table6[[#This Row],[Fault Start TimeStamp]])*24)</f>
        <v>4.9999999999999822E-2</v>
      </c>
      <c r="S931" s="472">
        <f>(Table6[[#This Row],[Fault Clearance time]]-Table6[[#This Row],[Work Start TimeStamp]])*24</f>
        <v>0</v>
      </c>
      <c r="T931" s="472">
        <f>(Table6[[#This Row],[Fault Clearance time]]-Table6[[#This Row],[Fault Start TimeStamp]])*24</f>
        <v>4.9999999999999822E-2</v>
      </c>
      <c r="U931" s="35" t="s">
        <v>336</v>
      </c>
      <c r="V931" s="102" t="s">
        <v>293</v>
      </c>
      <c r="W931" s="478">
        <f>IFERROR(Table6[[#This Row],[Breakdown Time]]*Table6[[#This Row],[Plant Equivalent Weightage]],"")</f>
        <v>1.9230769230769156E-3</v>
      </c>
      <c r="X931" s="473" t="s">
        <v>294</v>
      </c>
      <c r="Y931" s="474" t="s">
        <v>84</v>
      </c>
      <c r="Z931" s="102">
        <v>35836</v>
      </c>
      <c r="AA931" s="468">
        <f>(Table6[[#This Row],[Paired WTG Generation for loss calculation]]/24)*Table6[[#This Row],[Breakdown Time]]</f>
        <v>74.658333333333076</v>
      </c>
      <c r="AB931" s="102"/>
      <c r="AC931" s="35"/>
      <c r="AD931" s="35"/>
    </row>
    <row r="932" spans="1:30">
      <c r="A932" s="102">
        <f t="shared" si="15"/>
        <v>931</v>
      </c>
      <c r="B932" s="468">
        <f>YEAR(Table6[[#This Row],[Date]])+IF(MONTH(Table6[[#This Row],[Date]])&gt;=4,1,0)</f>
        <v>2026</v>
      </c>
      <c r="C932" s="102">
        <f>YEAR(Table6[[#This Row],[Date]])</f>
        <v>2025</v>
      </c>
      <c r="D932" s="102" t="s">
        <v>1992</v>
      </c>
      <c r="E932" s="469">
        <f>Table6[[#This Row],[Date]]-DAY(Table6[[#This Row],[Date]])+1</f>
        <v>45778</v>
      </c>
      <c r="F932" s="470">
        <v>45807</v>
      </c>
      <c r="G932" s="35" t="s">
        <v>74</v>
      </c>
      <c r="H932" s="35" t="str">
        <f>IFERROR(_xlfn.XLOOKUP(Table6[[#This Row],[Affected WTG]],'Basic Data'!$A:$A,'Basic Data'!$B:$B),"")</f>
        <v>TQGXIIPL</v>
      </c>
      <c r="I932" s="35" t="str">
        <f>IFERROR(_xlfn.XLOOKUP(Table6[[#This Row],[Affected WTG]],'Basic Data'!$A:$A,'Basic Data'!$C:$C),"")</f>
        <v>GEDA</v>
      </c>
      <c r="J932" s="471">
        <f>IFERROR(_xlfn.XLOOKUP(Table6[[#This Row],[Affected WTG]],'Basic Data'!$A:$A,'Basic Data'!$E:$E),"")</f>
        <v>3.846153846153845E-2</v>
      </c>
      <c r="K932" s="102">
        <v>175</v>
      </c>
      <c r="L932" s="35" t="str">
        <f>IFERROR(_xlfn.XLOOKUP(Table6[[#This Row],[Error Code]],'Basic Data'!$AA:$AA,'Basic Data'!$AB:$AB),"Incorrect Error Code")</f>
        <v>SLC error</v>
      </c>
      <c r="M932" s="35" t="s">
        <v>291</v>
      </c>
      <c r="N932" s="475"/>
      <c r="O932" s="476">
        <v>0.49444444444444446</v>
      </c>
      <c r="P932" s="476">
        <v>0.5</v>
      </c>
      <c r="Q932" s="477">
        <v>0.5</v>
      </c>
      <c r="R932" s="472">
        <f>IF(Table6[[#This Row],[Work Start TimeStamp]]="","",(Table6[[#This Row],[Work Start TimeStamp]]-Table6[[#This Row],[Fault Start TimeStamp]])*24)</f>
        <v>0.13333333333333286</v>
      </c>
      <c r="S932" s="472">
        <f>(Table6[[#This Row],[Fault Clearance time]]-Table6[[#This Row],[Work Start TimeStamp]])*24</f>
        <v>0</v>
      </c>
      <c r="T932" s="472">
        <f>(Table6[[#This Row],[Fault Clearance time]]-Table6[[#This Row],[Fault Start TimeStamp]])*24</f>
        <v>0.13333333333333286</v>
      </c>
      <c r="U932" s="35" t="s">
        <v>349</v>
      </c>
      <c r="V932" s="102" t="s">
        <v>293</v>
      </c>
      <c r="W932" s="478">
        <f>IFERROR(Table6[[#This Row],[Breakdown Time]]*Table6[[#This Row],[Plant Equivalent Weightage]],"")</f>
        <v>5.1282051282051083E-3</v>
      </c>
      <c r="X932" s="473" t="s">
        <v>290</v>
      </c>
      <c r="Y932" s="474" t="s">
        <v>99</v>
      </c>
      <c r="Z932" s="102">
        <v>56413</v>
      </c>
      <c r="AA932" s="468">
        <f>(Table6[[#This Row],[Paired WTG Generation for loss calculation]]/24)*Table6[[#This Row],[Breakdown Time]]</f>
        <v>313.40555555555443</v>
      </c>
      <c r="AB932" s="102"/>
      <c r="AC932" s="35"/>
      <c r="AD932" s="35"/>
    </row>
    <row r="933" spans="1:30">
      <c r="A933" s="102">
        <f t="shared" si="15"/>
        <v>932</v>
      </c>
      <c r="B933" s="468">
        <f>YEAR(Table6[[#This Row],[Date]])+IF(MONTH(Table6[[#This Row],[Date]])&gt;=4,1,0)</f>
        <v>2026</v>
      </c>
      <c r="C933" s="102">
        <f>YEAR(Table6[[#This Row],[Date]])</f>
        <v>2025</v>
      </c>
      <c r="D933" s="102" t="s">
        <v>1992</v>
      </c>
      <c r="E933" s="469">
        <f>Table6[[#This Row],[Date]]-DAY(Table6[[#This Row],[Date]])+1</f>
        <v>45778</v>
      </c>
      <c r="F933" s="470">
        <v>45807</v>
      </c>
      <c r="G933" s="35" t="s">
        <v>74</v>
      </c>
      <c r="H933" s="35" t="str">
        <f>IFERROR(_xlfn.XLOOKUP(Table6[[#This Row],[Affected WTG]],'Basic Data'!$A:$A,'Basic Data'!$B:$B),"")</f>
        <v>TQGXIIPL</v>
      </c>
      <c r="I933" s="35" t="str">
        <f>IFERROR(_xlfn.XLOOKUP(Table6[[#This Row],[Affected WTG]],'Basic Data'!$A:$A,'Basic Data'!$C:$C),"")</f>
        <v>GEDA</v>
      </c>
      <c r="J933" s="471">
        <f>IFERROR(_xlfn.XLOOKUP(Table6[[#This Row],[Affected WTG]],'Basic Data'!$A:$A,'Basic Data'!$E:$E),"")</f>
        <v>3.846153846153845E-2</v>
      </c>
      <c r="K933" s="102">
        <v>6130</v>
      </c>
      <c r="L933" s="35" t="str">
        <f>IFERROR(_xlfn.XLOOKUP(Table6[[#This Row],[Error Code]],'Basic Data'!$AA:$AA,'Basic Data'!$AB:$AB),"Incorrect Error Code")</f>
        <v>Yaw speed high</v>
      </c>
      <c r="M933" s="35" t="s">
        <v>292</v>
      </c>
      <c r="N933" s="475"/>
      <c r="O933" s="476">
        <v>0.64097222222222228</v>
      </c>
      <c r="P933" s="476">
        <v>0.64513888888888893</v>
      </c>
      <c r="Q933" s="477">
        <v>0.64513888888888893</v>
      </c>
      <c r="R933" s="472">
        <f>IF(Table6[[#This Row],[Work Start TimeStamp]]="","",(Table6[[#This Row],[Work Start TimeStamp]]-Table6[[#This Row],[Fault Start TimeStamp]])*24)</f>
        <v>9.9999999999999645E-2</v>
      </c>
      <c r="S933" s="472">
        <f>(Table6[[#This Row],[Fault Clearance time]]-Table6[[#This Row],[Work Start TimeStamp]])*24</f>
        <v>0</v>
      </c>
      <c r="T933" s="472">
        <f>(Table6[[#This Row],[Fault Clearance time]]-Table6[[#This Row],[Fault Start TimeStamp]])*24</f>
        <v>9.9999999999999645E-2</v>
      </c>
      <c r="U933" s="35" t="s">
        <v>336</v>
      </c>
      <c r="V933" s="102" t="s">
        <v>293</v>
      </c>
      <c r="W933" s="478">
        <f>IFERROR(Table6[[#This Row],[Breakdown Time]]*Table6[[#This Row],[Plant Equivalent Weightage]],"")</f>
        <v>3.8461538461538312E-3</v>
      </c>
      <c r="X933" s="473" t="s">
        <v>290</v>
      </c>
      <c r="Y933" s="474" t="s">
        <v>99</v>
      </c>
      <c r="Z933" s="102">
        <v>56413</v>
      </c>
      <c r="AA933" s="468">
        <f>(Table6[[#This Row],[Paired WTG Generation for loss calculation]]/24)*Table6[[#This Row],[Breakdown Time]]</f>
        <v>235.05416666666582</v>
      </c>
      <c r="AB933" s="102"/>
      <c r="AC933" s="35"/>
      <c r="AD933" s="35"/>
    </row>
    <row r="934" spans="1:30">
      <c r="A934" s="102">
        <f t="shared" si="15"/>
        <v>933</v>
      </c>
      <c r="B934" s="468">
        <f>YEAR(Table6[[#This Row],[Date]])+IF(MONTH(Table6[[#This Row],[Date]])&gt;=4,1,0)</f>
        <v>2026</v>
      </c>
      <c r="C934" s="102">
        <f>YEAR(Table6[[#This Row],[Date]])</f>
        <v>2025</v>
      </c>
      <c r="D934" s="102" t="s">
        <v>1992</v>
      </c>
      <c r="E934" s="469">
        <f>Table6[[#This Row],[Date]]-DAY(Table6[[#This Row],[Date]])+1</f>
        <v>45778</v>
      </c>
      <c r="F934" s="470">
        <v>45807</v>
      </c>
      <c r="G934" s="35" t="s">
        <v>77</v>
      </c>
      <c r="H934" s="35" t="str">
        <f>IFERROR(_xlfn.XLOOKUP(Table6[[#This Row],[Affected WTG]],'Basic Data'!$A:$A,'Basic Data'!$B:$B),"")</f>
        <v>TQGXIIPL</v>
      </c>
      <c r="I934" s="35" t="str">
        <f>IFERROR(_xlfn.XLOOKUP(Table6[[#This Row],[Affected WTG]],'Basic Data'!$A:$A,'Basic Data'!$C:$C),"")</f>
        <v>GEDA</v>
      </c>
      <c r="J934" s="471">
        <f>IFERROR(_xlfn.XLOOKUP(Table6[[#This Row],[Affected WTG]],'Basic Data'!$A:$A,'Basic Data'!$E:$E),"")</f>
        <v>3.846153846153845E-2</v>
      </c>
      <c r="K934" s="102">
        <v>5550</v>
      </c>
      <c r="L934" s="35" t="str">
        <f>IFERROR(_xlfn.XLOOKUP(Table6[[#This Row],[Error Code]],'Basic Data'!$AA:$AA,'Basic Data'!$AB:$AB),"Incorrect Error Code")</f>
        <v>Low hydraulic oil level</v>
      </c>
      <c r="M934" s="35" t="s">
        <v>291</v>
      </c>
      <c r="N934" s="475"/>
      <c r="O934" s="476">
        <v>0</v>
      </c>
      <c r="P934" s="476">
        <v>1.2500000000000001E-2</v>
      </c>
      <c r="Q934" s="477">
        <v>1.2500000000000001E-2</v>
      </c>
      <c r="R934" s="472">
        <f>IF(Table6[[#This Row],[Work Start TimeStamp]]="","",(Table6[[#This Row],[Work Start TimeStamp]]-Table6[[#This Row],[Fault Start TimeStamp]])*24)</f>
        <v>0.30000000000000004</v>
      </c>
      <c r="S934" s="472">
        <f>(Table6[[#This Row],[Fault Clearance time]]-Table6[[#This Row],[Work Start TimeStamp]])*24</f>
        <v>0</v>
      </c>
      <c r="T934" s="472">
        <f>(Table6[[#This Row],[Fault Clearance time]]-Table6[[#This Row],[Fault Start TimeStamp]])*24</f>
        <v>0.30000000000000004</v>
      </c>
      <c r="U934" s="35" t="s">
        <v>1921</v>
      </c>
      <c r="V934" s="102" t="s">
        <v>293</v>
      </c>
      <c r="W934" s="478">
        <f>IFERROR(Table6[[#This Row],[Breakdown Time]]*Table6[[#This Row],[Plant Equivalent Weightage]],"")</f>
        <v>1.1538461538461537E-2</v>
      </c>
      <c r="X934" s="473" t="s">
        <v>290</v>
      </c>
      <c r="Y934" s="474" t="s">
        <v>80</v>
      </c>
      <c r="Z934" s="102">
        <v>52504</v>
      </c>
      <c r="AA934" s="468">
        <f>(Table6[[#This Row],[Paired WTG Generation for loss calculation]]/24)*Table6[[#This Row],[Breakdown Time]]</f>
        <v>656.30000000000007</v>
      </c>
      <c r="AB934" s="102"/>
      <c r="AC934" s="35"/>
      <c r="AD934" s="35"/>
    </row>
    <row r="935" spans="1:30">
      <c r="A935" s="102">
        <f t="shared" si="15"/>
        <v>934</v>
      </c>
      <c r="B935" s="468">
        <f>YEAR(Table6[[#This Row],[Date]])+IF(MONTH(Table6[[#This Row],[Date]])&gt;=4,1,0)</f>
        <v>2026</v>
      </c>
      <c r="C935" s="102">
        <f>YEAR(Table6[[#This Row],[Date]])</f>
        <v>2025</v>
      </c>
      <c r="D935" s="102" t="s">
        <v>1992</v>
      </c>
      <c r="E935" s="469">
        <f>Table6[[#This Row],[Date]]-DAY(Table6[[#This Row],[Date]])+1</f>
        <v>45778</v>
      </c>
      <c r="F935" s="470">
        <v>45807</v>
      </c>
      <c r="G935" s="35" t="s">
        <v>77</v>
      </c>
      <c r="H935" s="35" t="str">
        <f>IFERROR(_xlfn.XLOOKUP(Table6[[#This Row],[Affected WTG]],'Basic Data'!$A:$A,'Basic Data'!$B:$B),"")</f>
        <v>TQGXIIPL</v>
      </c>
      <c r="I935" s="35" t="str">
        <f>IFERROR(_xlfn.XLOOKUP(Table6[[#This Row],[Affected WTG]],'Basic Data'!$A:$A,'Basic Data'!$C:$C),"")</f>
        <v>GEDA</v>
      </c>
      <c r="J935" s="471">
        <f>IFERROR(_xlfn.XLOOKUP(Table6[[#This Row],[Affected WTG]],'Basic Data'!$A:$A,'Basic Data'!$E:$E),"")</f>
        <v>3.846153846153845E-2</v>
      </c>
      <c r="K935" s="102">
        <v>6130</v>
      </c>
      <c r="L935" s="35" t="str">
        <f>IFERROR(_xlfn.XLOOKUP(Table6[[#This Row],[Error Code]],'Basic Data'!$AA:$AA,'Basic Data'!$AB:$AB),"Incorrect Error Code")</f>
        <v>Yaw speed high</v>
      </c>
      <c r="M935" s="35" t="s">
        <v>292</v>
      </c>
      <c r="N935" s="475"/>
      <c r="O935" s="476">
        <v>0.43541666666666667</v>
      </c>
      <c r="P935" s="476">
        <v>0.44097222222222221</v>
      </c>
      <c r="Q935" s="477">
        <v>0.44097222222222221</v>
      </c>
      <c r="R935" s="472">
        <f>IF(Table6[[#This Row],[Work Start TimeStamp]]="","",(Table6[[#This Row],[Work Start TimeStamp]]-Table6[[#This Row],[Fault Start TimeStamp]])*24)</f>
        <v>0.13333333333333286</v>
      </c>
      <c r="S935" s="472">
        <f>(Table6[[#This Row],[Fault Clearance time]]-Table6[[#This Row],[Work Start TimeStamp]])*24</f>
        <v>0</v>
      </c>
      <c r="T935" s="472">
        <f>(Table6[[#This Row],[Fault Clearance time]]-Table6[[#This Row],[Fault Start TimeStamp]])*24</f>
        <v>0.13333333333333286</v>
      </c>
      <c r="U935" s="35" t="s">
        <v>336</v>
      </c>
      <c r="V935" s="102" t="s">
        <v>293</v>
      </c>
      <c r="W935" s="478">
        <f>IFERROR(Table6[[#This Row],[Breakdown Time]]*Table6[[#This Row],[Plant Equivalent Weightage]],"")</f>
        <v>5.1282051282051083E-3</v>
      </c>
      <c r="X935" s="473" t="s">
        <v>294</v>
      </c>
      <c r="Y935" s="474" t="s">
        <v>80</v>
      </c>
      <c r="Z935" s="102">
        <v>52504</v>
      </c>
      <c r="AA935" s="468">
        <f>(Table6[[#This Row],[Paired WTG Generation for loss calculation]]/24)*Table6[[#This Row],[Breakdown Time]]</f>
        <v>291.68888888888785</v>
      </c>
      <c r="AB935" s="102"/>
      <c r="AC935" s="35"/>
      <c r="AD935" s="35"/>
    </row>
    <row r="936" spans="1:30">
      <c r="A936" s="102">
        <f t="shared" si="15"/>
        <v>935</v>
      </c>
      <c r="B936" s="468">
        <f>YEAR(Table6[[#This Row],[Date]])+IF(MONTH(Table6[[#This Row],[Date]])&gt;=4,1,0)</f>
        <v>2026</v>
      </c>
      <c r="C936" s="102">
        <f>YEAR(Table6[[#This Row],[Date]])</f>
        <v>2025</v>
      </c>
      <c r="D936" s="102" t="s">
        <v>1992</v>
      </c>
      <c r="E936" s="469">
        <f>Table6[[#This Row],[Date]]-DAY(Table6[[#This Row],[Date]])+1</f>
        <v>45778</v>
      </c>
      <c r="F936" s="470">
        <v>45807</v>
      </c>
      <c r="G936" s="35" t="s">
        <v>77</v>
      </c>
      <c r="H936" s="35" t="str">
        <f>IFERROR(_xlfn.XLOOKUP(Table6[[#This Row],[Affected WTG]],'Basic Data'!$A:$A,'Basic Data'!$B:$B),"")</f>
        <v>TQGXIIPL</v>
      </c>
      <c r="I936" s="35" t="str">
        <f>IFERROR(_xlfn.XLOOKUP(Table6[[#This Row],[Affected WTG]],'Basic Data'!$A:$A,'Basic Data'!$C:$C),"")</f>
        <v>GEDA</v>
      </c>
      <c r="J936" s="471">
        <f>IFERROR(_xlfn.XLOOKUP(Table6[[#This Row],[Affected WTG]],'Basic Data'!$A:$A,'Basic Data'!$E:$E),"")</f>
        <v>3.846153846153845E-2</v>
      </c>
      <c r="K936" s="102">
        <v>55</v>
      </c>
      <c r="L936" s="35" t="str">
        <f>IFERROR(_xlfn.XLOOKUP(Table6[[#This Row],[Error Code]],'Basic Data'!$AA:$AA,'Basic Data'!$AB:$AB),"Incorrect Error Code")</f>
        <v>WTG shut down</v>
      </c>
      <c r="M936" s="35" t="s">
        <v>291</v>
      </c>
      <c r="N936" s="475"/>
      <c r="O936" s="476">
        <v>0.79722222222222228</v>
      </c>
      <c r="P936" s="476">
        <v>0.81874999999999998</v>
      </c>
      <c r="Q936" s="477">
        <v>0.81874999999999998</v>
      </c>
      <c r="R936" s="472">
        <f>IF(Table6[[#This Row],[Work Start TimeStamp]]="","",(Table6[[#This Row],[Work Start TimeStamp]]-Table6[[#This Row],[Fault Start TimeStamp]])*24)</f>
        <v>0.51666666666666483</v>
      </c>
      <c r="S936" s="472">
        <f>(Table6[[#This Row],[Fault Clearance time]]-Table6[[#This Row],[Work Start TimeStamp]])*24</f>
        <v>0</v>
      </c>
      <c r="T936" s="472">
        <f>(Table6[[#This Row],[Fault Clearance time]]-Table6[[#This Row],[Fault Start TimeStamp]])*24</f>
        <v>0.51666666666666483</v>
      </c>
      <c r="U936" s="35" t="s">
        <v>1922</v>
      </c>
      <c r="V936" s="102" t="s">
        <v>293</v>
      </c>
      <c r="W936" s="478">
        <f>IFERROR(Table6[[#This Row],[Breakdown Time]]*Table6[[#This Row],[Plant Equivalent Weightage]],"")</f>
        <v>1.9871794871794794E-2</v>
      </c>
      <c r="X936" s="473" t="s">
        <v>290</v>
      </c>
      <c r="Y936" s="474" t="s">
        <v>80</v>
      </c>
      <c r="Z936" s="102">
        <v>52504</v>
      </c>
      <c r="AA936" s="468">
        <f>(Table6[[#This Row],[Paired WTG Generation for loss calculation]]/24)*Table6[[#This Row],[Breakdown Time]]</f>
        <v>1130.2944444444404</v>
      </c>
      <c r="AB936" s="102"/>
      <c r="AC936" s="35"/>
      <c r="AD936" s="35"/>
    </row>
    <row r="937" spans="1:30">
      <c r="A937" s="102">
        <f t="shared" si="15"/>
        <v>936</v>
      </c>
      <c r="B937" s="468">
        <f>YEAR(Table6[[#This Row],[Date]])+IF(MONTH(Table6[[#This Row],[Date]])&gt;=4,1,0)</f>
        <v>2026</v>
      </c>
      <c r="C937" s="102">
        <f>YEAR(Table6[[#This Row],[Date]])</f>
        <v>2025</v>
      </c>
      <c r="D937" s="102" t="s">
        <v>1992</v>
      </c>
      <c r="E937" s="469">
        <f>Table6[[#This Row],[Date]]-DAY(Table6[[#This Row],[Date]])+1</f>
        <v>45778</v>
      </c>
      <c r="F937" s="470">
        <v>45807</v>
      </c>
      <c r="G937" s="35" t="s">
        <v>78</v>
      </c>
      <c r="H937" s="35" t="str">
        <f>IFERROR(_xlfn.XLOOKUP(Table6[[#This Row],[Affected WTG]],'Basic Data'!$A:$A,'Basic Data'!$B:$B),"")</f>
        <v>TQGXIIPL</v>
      </c>
      <c r="I937" s="35" t="str">
        <f>IFERROR(_xlfn.XLOOKUP(Table6[[#This Row],[Affected WTG]],'Basic Data'!$A:$A,'Basic Data'!$C:$C),"")</f>
        <v>GEDA</v>
      </c>
      <c r="J937" s="471">
        <f>IFERROR(_xlfn.XLOOKUP(Table6[[#This Row],[Affected WTG]],'Basic Data'!$A:$A,'Basic Data'!$E:$E),"")</f>
        <v>3.846153846153845E-2</v>
      </c>
      <c r="K937" s="102">
        <v>3000</v>
      </c>
      <c r="L937" s="35" t="str">
        <f>IFERROR(_xlfn.XLOOKUP(Table6[[#This Row],[Error Code]],'Basic Data'!$AA:$AA,'Basic Data'!$AB:$AB),"Incorrect Error Code")</f>
        <v>Frequency converter not ready</v>
      </c>
      <c r="M937" s="35" t="s">
        <v>291</v>
      </c>
      <c r="N937" s="475"/>
      <c r="O937" s="476">
        <v>9.2361111111111116E-2</v>
      </c>
      <c r="P937" s="476">
        <v>9.7222222222222224E-2</v>
      </c>
      <c r="Q937" s="477">
        <v>9.7222222222222224E-2</v>
      </c>
      <c r="R937" s="472">
        <f>IF(Table6[[#This Row],[Work Start TimeStamp]]="","",(Table6[[#This Row],[Work Start TimeStamp]]-Table6[[#This Row],[Fault Start TimeStamp]])*24)</f>
        <v>0.11666666666666659</v>
      </c>
      <c r="S937" s="472">
        <f>(Table6[[#This Row],[Fault Clearance time]]-Table6[[#This Row],[Work Start TimeStamp]])*24</f>
        <v>0</v>
      </c>
      <c r="T937" s="472">
        <f>(Table6[[#This Row],[Fault Clearance time]]-Table6[[#This Row],[Fault Start TimeStamp]])*24</f>
        <v>0.11666666666666659</v>
      </c>
      <c r="U937" s="35" t="s">
        <v>349</v>
      </c>
      <c r="V937" s="102" t="s">
        <v>293</v>
      </c>
      <c r="W937" s="478">
        <f>IFERROR(Table6[[#This Row],[Breakdown Time]]*Table6[[#This Row],[Plant Equivalent Weightage]],"")</f>
        <v>4.4871794871794825E-3</v>
      </c>
      <c r="X937" s="473" t="s">
        <v>290</v>
      </c>
      <c r="Y937" s="474" t="s">
        <v>75</v>
      </c>
      <c r="Z937" s="102">
        <v>56778</v>
      </c>
      <c r="AA937" s="468">
        <f>(Table6[[#This Row],[Paired WTG Generation for loss calculation]]/24)*Table6[[#This Row],[Breakdown Time]]</f>
        <v>276.00416666666649</v>
      </c>
      <c r="AB937" s="102"/>
      <c r="AC937" s="35"/>
      <c r="AD937" s="35"/>
    </row>
    <row r="938" spans="1:30">
      <c r="A938" s="102">
        <f t="shared" si="15"/>
        <v>937</v>
      </c>
      <c r="B938" s="468">
        <f>YEAR(Table6[[#This Row],[Date]])+IF(MONTH(Table6[[#This Row],[Date]])&gt;=4,1,0)</f>
        <v>2026</v>
      </c>
      <c r="C938" s="102">
        <f>YEAR(Table6[[#This Row],[Date]])</f>
        <v>2025</v>
      </c>
      <c r="D938" s="102" t="s">
        <v>1992</v>
      </c>
      <c r="E938" s="469">
        <f>Table6[[#This Row],[Date]]-DAY(Table6[[#This Row],[Date]])+1</f>
        <v>45778</v>
      </c>
      <c r="F938" s="470">
        <v>45807</v>
      </c>
      <c r="G938" s="35" t="s">
        <v>78</v>
      </c>
      <c r="H938" s="35" t="str">
        <f>IFERROR(_xlfn.XLOOKUP(Table6[[#This Row],[Affected WTG]],'Basic Data'!$A:$A,'Basic Data'!$B:$B),"")</f>
        <v>TQGXIIPL</v>
      </c>
      <c r="I938" s="35" t="str">
        <f>IFERROR(_xlfn.XLOOKUP(Table6[[#This Row],[Affected WTG]],'Basic Data'!$A:$A,'Basic Data'!$C:$C),"")</f>
        <v>GEDA</v>
      </c>
      <c r="J938" s="471">
        <f>IFERROR(_xlfn.XLOOKUP(Table6[[#This Row],[Affected WTG]],'Basic Data'!$A:$A,'Basic Data'!$E:$E),"")</f>
        <v>3.846153846153845E-2</v>
      </c>
      <c r="K938" s="102">
        <v>3000</v>
      </c>
      <c r="L938" s="35" t="str">
        <f>IFERROR(_xlfn.XLOOKUP(Table6[[#This Row],[Error Code]],'Basic Data'!$AA:$AA,'Basic Data'!$AB:$AB),"Incorrect Error Code")</f>
        <v>Frequency converter not ready</v>
      </c>
      <c r="M938" s="35" t="s">
        <v>291</v>
      </c>
      <c r="N938" s="475"/>
      <c r="O938" s="476">
        <v>0.61388888888888893</v>
      </c>
      <c r="P938" s="476">
        <v>0.63888888888888884</v>
      </c>
      <c r="Q938" s="477">
        <v>0.63888888888888884</v>
      </c>
      <c r="R938" s="472">
        <f>IF(Table6[[#This Row],[Work Start TimeStamp]]="","",(Table6[[#This Row],[Work Start TimeStamp]]-Table6[[#This Row],[Fault Start TimeStamp]])*24)</f>
        <v>0.59999999999999787</v>
      </c>
      <c r="S938" s="472">
        <f>(Table6[[#This Row],[Fault Clearance time]]-Table6[[#This Row],[Work Start TimeStamp]])*24</f>
        <v>0</v>
      </c>
      <c r="T938" s="472">
        <f>(Table6[[#This Row],[Fault Clearance time]]-Table6[[#This Row],[Fault Start TimeStamp]])*24</f>
        <v>0.59999999999999787</v>
      </c>
      <c r="U938" s="35" t="s">
        <v>1923</v>
      </c>
      <c r="V938" s="102" t="s">
        <v>293</v>
      </c>
      <c r="W938" s="478">
        <f>IFERROR(Table6[[#This Row],[Breakdown Time]]*Table6[[#This Row],[Plant Equivalent Weightage]],"")</f>
        <v>2.3076923076922988E-2</v>
      </c>
      <c r="X938" s="473" t="s">
        <v>290</v>
      </c>
      <c r="Y938" s="474" t="s">
        <v>75</v>
      </c>
      <c r="Z938" s="102">
        <v>56778</v>
      </c>
      <c r="AA938" s="468">
        <f>(Table6[[#This Row],[Paired WTG Generation for loss calculation]]/24)*Table6[[#This Row],[Breakdown Time]]</f>
        <v>1419.449999999995</v>
      </c>
      <c r="AB938" s="102"/>
      <c r="AC938" s="35"/>
      <c r="AD938" s="35"/>
    </row>
    <row r="939" spans="1:30">
      <c r="A939" s="102">
        <f t="shared" si="15"/>
        <v>938</v>
      </c>
      <c r="B939" s="468">
        <f>YEAR(Table6[[#This Row],[Date]])+IF(MONTH(Table6[[#This Row],[Date]])&gt;=4,1,0)</f>
        <v>2026</v>
      </c>
      <c r="C939" s="102">
        <f>YEAR(Table6[[#This Row],[Date]])</f>
        <v>2025</v>
      </c>
      <c r="D939" s="102" t="s">
        <v>1992</v>
      </c>
      <c r="E939" s="469">
        <f>Table6[[#This Row],[Date]]-DAY(Table6[[#This Row],[Date]])+1</f>
        <v>45778</v>
      </c>
      <c r="F939" s="470">
        <v>45807</v>
      </c>
      <c r="G939" s="35" t="s">
        <v>78</v>
      </c>
      <c r="H939" s="35" t="str">
        <f>IFERROR(_xlfn.XLOOKUP(Table6[[#This Row],[Affected WTG]],'Basic Data'!$A:$A,'Basic Data'!$B:$B),"")</f>
        <v>TQGXIIPL</v>
      </c>
      <c r="I939" s="35" t="str">
        <f>IFERROR(_xlfn.XLOOKUP(Table6[[#This Row],[Affected WTG]],'Basic Data'!$A:$A,'Basic Data'!$C:$C),"")</f>
        <v>GEDA</v>
      </c>
      <c r="J939" s="471">
        <f>IFERROR(_xlfn.XLOOKUP(Table6[[#This Row],[Affected WTG]],'Basic Data'!$A:$A,'Basic Data'!$E:$E),"")</f>
        <v>3.846153846153845E-2</v>
      </c>
      <c r="K939" s="102">
        <v>6130</v>
      </c>
      <c r="L939" s="35" t="str">
        <f>IFERROR(_xlfn.XLOOKUP(Table6[[#This Row],[Error Code]],'Basic Data'!$AA:$AA,'Basic Data'!$AB:$AB),"Incorrect Error Code")</f>
        <v>Yaw speed high</v>
      </c>
      <c r="M939" s="35" t="s">
        <v>292</v>
      </c>
      <c r="N939" s="475"/>
      <c r="O939" s="476">
        <v>0.70833333333333337</v>
      </c>
      <c r="P939" s="476">
        <v>0.71180555555555558</v>
      </c>
      <c r="Q939" s="477">
        <v>0.71180555555555558</v>
      </c>
      <c r="R939" s="472">
        <f>IF(Table6[[#This Row],[Work Start TimeStamp]]="","",(Table6[[#This Row],[Work Start TimeStamp]]-Table6[[#This Row],[Fault Start TimeStamp]])*24)</f>
        <v>8.3333333333333037E-2</v>
      </c>
      <c r="S939" s="472">
        <f>(Table6[[#This Row],[Fault Clearance time]]-Table6[[#This Row],[Work Start TimeStamp]])*24</f>
        <v>0</v>
      </c>
      <c r="T939" s="472">
        <f>(Table6[[#This Row],[Fault Clearance time]]-Table6[[#This Row],[Fault Start TimeStamp]])*24</f>
        <v>8.3333333333333037E-2</v>
      </c>
      <c r="U939" s="35" t="s">
        <v>336</v>
      </c>
      <c r="V939" s="102" t="s">
        <v>293</v>
      </c>
      <c r="W939" s="478">
        <f>IFERROR(Table6[[#This Row],[Breakdown Time]]*Table6[[#This Row],[Plant Equivalent Weightage]],"")</f>
        <v>3.2051282051281929E-3</v>
      </c>
      <c r="X939" s="473" t="s">
        <v>294</v>
      </c>
      <c r="Y939" s="474" t="s">
        <v>75</v>
      </c>
      <c r="Z939" s="102">
        <v>56778</v>
      </c>
      <c r="AA939" s="468">
        <f>(Table6[[#This Row],[Paired WTG Generation for loss calculation]]/24)*Table6[[#This Row],[Breakdown Time]]</f>
        <v>197.14583333333263</v>
      </c>
      <c r="AB939" s="102"/>
      <c r="AC939" s="35"/>
      <c r="AD939" s="35"/>
    </row>
    <row r="940" spans="1:30">
      <c r="A940" s="102">
        <f t="shared" si="15"/>
        <v>939</v>
      </c>
      <c r="B940" s="468">
        <f>YEAR(Table6[[#This Row],[Date]])+IF(MONTH(Table6[[#This Row],[Date]])&gt;=4,1,0)</f>
        <v>2026</v>
      </c>
      <c r="C940" s="102">
        <f>YEAR(Table6[[#This Row],[Date]])</f>
        <v>2025</v>
      </c>
      <c r="D940" s="102" t="s">
        <v>1992</v>
      </c>
      <c r="E940" s="469">
        <f>Table6[[#This Row],[Date]]-DAY(Table6[[#This Row],[Date]])+1</f>
        <v>45778</v>
      </c>
      <c r="F940" s="470">
        <v>45807</v>
      </c>
      <c r="G940" s="35" t="s">
        <v>80</v>
      </c>
      <c r="H940" s="35" t="str">
        <f>IFERROR(_xlfn.XLOOKUP(Table6[[#This Row],[Affected WTG]],'Basic Data'!$A:$A,'Basic Data'!$B:$B),"")</f>
        <v>TQGXIIPL</v>
      </c>
      <c r="I940" s="35" t="str">
        <f>IFERROR(_xlfn.XLOOKUP(Table6[[#This Row],[Affected WTG]],'Basic Data'!$A:$A,'Basic Data'!$C:$C),"")</f>
        <v>GEDA</v>
      </c>
      <c r="J940" s="471">
        <f>IFERROR(_xlfn.XLOOKUP(Table6[[#This Row],[Affected WTG]],'Basic Data'!$A:$A,'Basic Data'!$E:$E),"")</f>
        <v>3.846153846153845E-2</v>
      </c>
      <c r="K940" s="102">
        <v>55</v>
      </c>
      <c r="L940" s="35" t="str">
        <f>IFERROR(_xlfn.XLOOKUP(Table6[[#This Row],[Error Code]],'Basic Data'!$AA:$AA,'Basic Data'!$AB:$AB),"Incorrect Error Code")</f>
        <v>WTG shut down</v>
      </c>
      <c r="M940" s="35" t="s">
        <v>291</v>
      </c>
      <c r="N940" s="475"/>
      <c r="O940" s="476">
        <v>0.79722222222222228</v>
      </c>
      <c r="P940" s="476">
        <v>0.81874999999999998</v>
      </c>
      <c r="Q940" s="477">
        <v>0.81874999999999998</v>
      </c>
      <c r="R940" s="472">
        <f>IF(Table6[[#This Row],[Work Start TimeStamp]]="","",(Table6[[#This Row],[Work Start TimeStamp]]-Table6[[#This Row],[Fault Start TimeStamp]])*24)</f>
        <v>0.51666666666666483</v>
      </c>
      <c r="S940" s="472">
        <f>(Table6[[#This Row],[Fault Clearance time]]-Table6[[#This Row],[Work Start TimeStamp]])*24</f>
        <v>0</v>
      </c>
      <c r="T940" s="472">
        <f>(Table6[[#This Row],[Fault Clearance time]]-Table6[[#This Row],[Fault Start TimeStamp]])*24</f>
        <v>0.51666666666666483</v>
      </c>
      <c r="U940" s="35" t="s">
        <v>1922</v>
      </c>
      <c r="V940" s="102" t="s">
        <v>293</v>
      </c>
      <c r="W940" s="478">
        <f>IFERROR(Table6[[#This Row],[Breakdown Time]]*Table6[[#This Row],[Plant Equivalent Weightage]],"")</f>
        <v>1.9871794871794794E-2</v>
      </c>
      <c r="X940" s="473" t="s">
        <v>290</v>
      </c>
      <c r="Y940" s="474" t="s">
        <v>77</v>
      </c>
      <c r="Z940" s="102">
        <v>51855</v>
      </c>
      <c r="AA940" s="468">
        <f>(Table6[[#This Row],[Paired WTG Generation for loss calculation]]/24)*Table6[[#This Row],[Breakdown Time]]</f>
        <v>1116.3229166666626</v>
      </c>
      <c r="AB940" s="102"/>
      <c r="AC940" s="35"/>
      <c r="AD940" s="35"/>
    </row>
    <row r="941" spans="1:30">
      <c r="A941" s="102">
        <f t="shared" si="15"/>
        <v>940</v>
      </c>
      <c r="B941" s="468">
        <f>YEAR(Table6[[#This Row],[Date]])+IF(MONTH(Table6[[#This Row],[Date]])&gt;=4,1,0)</f>
        <v>2026</v>
      </c>
      <c r="C941" s="102">
        <f>YEAR(Table6[[#This Row],[Date]])</f>
        <v>2025</v>
      </c>
      <c r="D941" s="102" t="s">
        <v>1992</v>
      </c>
      <c r="E941" s="469">
        <f>Table6[[#This Row],[Date]]-DAY(Table6[[#This Row],[Date]])+1</f>
        <v>45778</v>
      </c>
      <c r="F941" s="470">
        <v>45807</v>
      </c>
      <c r="G941" s="35" t="s">
        <v>81</v>
      </c>
      <c r="H941" s="35" t="str">
        <f>IFERROR(_xlfn.XLOOKUP(Table6[[#This Row],[Affected WTG]],'Basic Data'!$A:$A,'Basic Data'!$B:$B),"")</f>
        <v>TQGXIIPL</v>
      </c>
      <c r="I941" s="35" t="str">
        <f>IFERROR(_xlfn.XLOOKUP(Table6[[#This Row],[Affected WTG]],'Basic Data'!$A:$A,'Basic Data'!$C:$C),"")</f>
        <v>GEDA</v>
      </c>
      <c r="J941" s="471">
        <f>IFERROR(_xlfn.XLOOKUP(Table6[[#This Row],[Affected WTG]],'Basic Data'!$A:$A,'Basic Data'!$E:$E),"")</f>
        <v>3.846153846153845E-2</v>
      </c>
      <c r="K941" s="102">
        <v>665</v>
      </c>
      <c r="L941" s="35" t="str">
        <f>IFERROR(_xlfn.XLOOKUP(Table6[[#This Row],[Error Code]],'Basic Data'!$AA:$AA,'Basic Data'!$AB:$AB),"Incorrect Error Code")</f>
        <v>Pitch error</v>
      </c>
      <c r="M941" s="35" t="s">
        <v>291</v>
      </c>
      <c r="N941" s="475"/>
      <c r="O941" s="476">
        <v>0.32013888888888886</v>
      </c>
      <c r="P941" s="476">
        <v>0.32361111111111113</v>
      </c>
      <c r="Q941" s="477">
        <v>0.32361111111111113</v>
      </c>
      <c r="R941" s="472">
        <f>IF(Table6[[#This Row],[Work Start TimeStamp]]="","",(Table6[[#This Row],[Work Start TimeStamp]]-Table6[[#This Row],[Fault Start TimeStamp]])*24)</f>
        <v>8.333333333333437E-2</v>
      </c>
      <c r="S941" s="472">
        <f>(Table6[[#This Row],[Fault Clearance time]]-Table6[[#This Row],[Work Start TimeStamp]])*24</f>
        <v>0</v>
      </c>
      <c r="T941" s="472">
        <f>(Table6[[#This Row],[Fault Clearance time]]-Table6[[#This Row],[Fault Start TimeStamp]])*24</f>
        <v>8.333333333333437E-2</v>
      </c>
      <c r="U941" s="35" t="s">
        <v>349</v>
      </c>
      <c r="V941" s="102" t="s">
        <v>293</v>
      </c>
      <c r="W941" s="478">
        <f>IFERROR(Table6[[#This Row],[Breakdown Time]]*Table6[[#This Row],[Plant Equivalent Weightage]],"")</f>
        <v>3.205128205128244E-3</v>
      </c>
      <c r="X941" s="473" t="s">
        <v>290</v>
      </c>
      <c r="Y941" s="474" t="s">
        <v>99</v>
      </c>
      <c r="Z941" s="102">
        <v>56413</v>
      </c>
      <c r="AA941" s="468">
        <f>(Table6[[#This Row],[Paired WTG Generation for loss calculation]]/24)*Table6[[#This Row],[Breakdown Time]]</f>
        <v>195.87847222222464</v>
      </c>
      <c r="AB941" s="102"/>
      <c r="AC941" s="35"/>
      <c r="AD941" s="35"/>
    </row>
    <row r="942" spans="1:30">
      <c r="A942" s="102">
        <f t="shared" si="15"/>
        <v>941</v>
      </c>
      <c r="B942" s="468">
        <f>YEAR(Table6[[#This Row],[Date]])+IF(MONTH(Table6[[#This Row],[Date]])&gt;=4,1,0)</f>
        <v>2026</v>
      </c>
      <c r="C942" s="102">
        <f>YEAR(Table6[[#This Row],[Date]])</f>
        <v>2025</v>
      </c>
      <c r="D942" s="102" t="s">
        <v>1992</v>
      </c>
      <c r="E942" s="469">
        <f>Table6[[#This Row],[Date]]-DAY(Table6[[#This Row],[Date]])+1</f>
        <v>45778</v>
      </c>
      <c r="F942" s="470">
        <v>45807</v>
      </c>
      <c r="G942" s="35" t="s">
        <v>81</v>
      </c>
      <c r="H942" s="35" t="str">
        <f>IFERROR(_xlfn.XLOOKUP(Table6[[#This Row],[Affected WTG]],'Basic Data'!$A:$A,'Basic Data'!$B:$B),"")</f>
        <v>TQGXIIPL</v>
      </c>
      <c r="I942" s="35" t="str">
        <f>IFERROR(_xlfn.XLOOKUP(Table6[[#This Row],[Affected WTG]],'Basic Data'!$A:$A,'Basic Data'!$C:$C),"")</f>
        <v>GEDA</v>
      </c>
      <c r="J942" s="471">
        <f>IFERROR(_xlfn.XLOOKUP(Table6[[#This Row],[Affected WTG]],'Basic Data'!$A:$A,'Basic Data'!$E:$E),"")</f>
        <v>3.846153846153845E-2</v>
      </c>
      <c r="K942" s="102">
        <v>6605</v>
      </c>
      <c r="L942" s="35" t="str">
        <f>IFERROR(_xlfn.XLOOKUP(Table6[[#This Row],[Error Code]],'Basic Data'!$AA:$AA,'Basic Data'!$AB:$AB),"Incorrect Error Code")</f>
        <v>Wind.dir. diff. level 2</v>
      </c>
      <c r="M942" s="35" t="s">
        <v>292</v>
      </c>
      <c r="N942" s="475"/>
      <c r="O942" s="476">
        <v>0.35902777777777778</v>
      </c>
      <c r="P942" s="476">
        <v>0.36180555555555555</v>
      </c>
      <c r="Q942" s="477">
        <v>0.36180555555555555</v>
      </c>
      <c r="R942" s="472">
        <f>IF(Table6[[#This Row],[Work Start TimeStamp]]="","",(Table6[[#This Row],[Work Start TimeStamp]]-Table6[[#This Row],[Fault Start TimeStamp]])*24)</f>
        <v>6.666666666666643E-2</v>
      </c>
      <c r="S942" s="472">
        <f>(Table6[[#This Row],[Fault Clearance time]]-Table6[[#This Row],[Work Start TimeStamp]])*24</f>
        <v>0</v>
      </c>
      <c r="T942" s="472">
        <f>(Table6[[#This Row],[Fault Clearance time]]-Table6[[#This Row],[Fault Start TimeStamp]])*24</f>
        <v>6.666666666666643E-2</v>
      </c>
      <c r="U942" s="35" t="s">
        <v>336</v>
      </c>
      <c r="V942" s="102" t="s">
        <v>293</v>
      </c>
      <c r="W942" s="478">
        <f>IFERROR(Table6[[#This Row],[Breakdown Time]]*Table6[[#This Row],[Plant Equivalent Weightage]],"")</f>
        <v>2.5641025641025541E-3</v>
      </c>
      <c r="X942" s="473" t="s">
        <v>290</v>
      </c>
      <c r="Y942" s="474" t="s">
        <v>99</v>
      </c>
      <c r="Z942" s="102">
        <v>56413</v>
      </c>
      <c r="AA942" s="468">
        <f>(Table6[[#This Row],[Paired WTG Generation for loss calculation]]/24)*Table6[[#This Row],[Breakdown Time]]</f>
        <v>156.70277777777721</v>
      </c>
      <c r="AB942" s="102"/>
      <c r="AC942" s="35"/>
      <c r="AD942" s="35"/>
    </row>
    <row r="943" spans="1:30">
      <c r="A943" s="102">
        <f t="shared" si="15"/>
        <v>942</v>
      </c>
      <c r="B943" s="468">
        <f>YEAR(Table6[[#This Row],[Date]])+IF(MONTH(Table6[[#This Row],[Date]])&gt;=4,1,0)</f>
        <v>2026</v>
      </c>
      <c r="C943" s="102">
        <f>YEAR(Table6[[#This Row],[Date]])</f>
        <v>2025</v>
      </c>
      <c r="D943" s="102" t="s">
        <v>1992</v>
      </c>
      <c r="E943" s="469">
        <f>Table6[[#This Row],[Date]]-DAY(Table6[[#This Row],[Date]])+1</f>
        <v>45778</v>
      </c>
      <c r="F943" s="470">
        <v>45807</v>
      </c>
      <c r="G943" s="35" t="s">
        <v>81</v>
      </c>
      <c r="H943" s="35" t="str">
        <f>IFERROR(_xlfn.XLOOKUP(Table6[[#This Row],[Affected WTG]],'Basic Data'!$A:$A,'Basic Data'!$B:$B),"")</f>
        <v>TQGXIIPL</v>
      </c>
      <c r="I943" s="35" t="str">
        <f>IFERROR(_xlfn.XLOOKUP(Table6[[#This Row],[Affected WTG]],'Basic Data'!$A:$A,'Basic Data'!$C:$C),"")</f>
        <v>GEDA</v>
      </c>
      <c r="J943" s="471">
        <f>IFERROR(_xlfn.XLOOKUP(Table6[[#This Row],[Affected WTG]],'Basic Data'!$A:$A,'Basic Data'!$E:$E),"")</f>
        <v>3.846153846153845E-2</v>
      </c>
      <c r="K943" s="102">
        <v>6130</v>
      </c>
      <c r="L943" s="35" t="str">
        <f>IFERROR(_xlfn.XLOOKUP(Table6[[#This Row],[Error Code]],'Basic Data'!$AA:$AA,'Basic Data'!$AB:$AB),"Incorrect Error Code")</f>
        <v>Yaw speed high</v>
      </c>
      <c r="M943" s="35" t="s">
        <v>291</v>
      </c>
      <c r="N943" s="475"/>
      <c r="O943" s="476">
        <v>0.5131944444444444</v>
      </c>
      <c r="P943" s="476">
        <v>0.51875000000000004</v>
      </c>
      <c r="Q943" s="477">
        <v>0.51875000000000004</v>
      </c>
      <c r="R943" s="472">
        <f>IF(Table6[[#This Row],[Work Start TimeStamp]]="","",(Table6[[#This Row],[Work Start TimeStamp]]-Table6[[#This Row],[Fault Start TimeStamp]])*24)</f>
        <v>0.13333333333333552</v>
      </c>
      <c r="S943" s="472">
        <f>(Table6[[#This Row],[Fault Clearance time]]-Table6[[#This Row],[Work Start TimeStamp]])*24</f>
        <v>0</v>
      </c>
      <c r="T943" s="472">
        <f>(Table6[[#This Row],[Fault Clearance time]]-Table6[[#This Row],[Fault Start TimeStamp]])*24</f>
        <v>0.13333333333333552</v>
      </c>
      <c r="U943" s="35" t="s">
        <v>349</v>
      </c>
      <c r="V943" s="102" t="s">
        <v>293</v>
      </c>
      <c r="W943" s="478">
        <f>IFERROR(Table6[[#This Row],[Breakdown Time]]*Table6[[#This Row],[Plant Equivalent Weightage]],"")</f>
        <v>5.1282051282052106E-3</v>
      </c>
      <c r="X943" s="473" t="s">
        <v>290</v>
      </c>
      <c r="Y943" s="474" t="s">
        <v>99</v>
      </c>
      <c r="Z943" s="102">
        <v>56413</v>
      </c>
      <c r="AA943" s="468">
        <f>(Table6[[#This Row],[Paired WTG Generation for loss calculation]]/24)*Table6[[#This Row],[Breakdown Time]]</f>
        <v>313.40555555556068</v>
      </c>
      <c r="AB943" s="102"/>
      <c r="AC943" s="35"/>
      <c r="AD943" s="35"/>
    </row>
    <row r="944" spans="1:30">
      <c r="A944" s="102">
        <f t="shared" si="15"/>
        <v>943</v>
      </c>
      <c r="B944" s="468">
        <f>YEAR(Table6[[#This Row],[Date]])+IF(MONTH(Table6[[#This Row],[Date]])&gt;=4,1,0)</f>
        <v>2026</v>
      </c>
      <c r="C944" s="102">
        <f>YEAR(Table6[[#This Row],[Date]])</f>
        <v>2025</v>
      </c>
      <c r="D944" s="102" t="s">
        <v>1992</v>
      </c>
      <c r="E944" s="469">
        <f>Table6[[#This Row],[Date]]-DAY(Table6[[#This Row],[Date]])+1</f>
        <v>45778</v>
      </c>
      <c r="F944" s="470">
        <v>45807</v>
      </c>
      <c r="G944" s="35" t="s">
        <v>81</v>
      </c>
      <c r="H944" s="35" t="str">
        <f>IFERROR(_xlfn.XLOOKUP(Table6[[#This Row],[Affected WTG]],'Basic Data'!$A:$A,'Basic Data'!$B:$B),"")</f>
        <v>TQGXIIPL</v>
      </c>
      <c r="I944" s="35" t="str">
        <f>IFERROR(_xlfn.XLOOKUP(Table6[[#This Row],[Affected WTG]],'Basic Data'!$A:$A,'Basic Data'!$C:$C),"")</f>
        <v>GEDA</v>
      </c>
      <c r="J944" s="471">
        <f>IFERROR(_xlfn.XLOOKUP(Table6[[#This Row],[Affected WTG]],'Basic Data'!$A:$A,'Basic Data'!$E:$E),"")</f>
        <v>3.846153846153845E-2</v>
      </c>
      <c r="K944" s="102">
        <v>665</v>
      </c>
      <c r="L944" s="35" t="str">
        <f>IFERROR(_xlfn.XLOOKUP(Table6[[#This Row],[Error Code]],'Basic Data'!$AA:$AA,'Basic Data'!$AB:$AB),"Incorrect Error Code")</f>
        <v>Pitch error</v>
      </c>
      <c r="M944" s="35" t="s">
        <v>291</v>
      </c>
      <c r="N944" s="475"/>
      <c r="O944" s="476">
        <v>0.88611111111111107</v>
      </c>
      <c r="P944" s="476">
        <v>0.89513888888888893</v>
      </c>
      <c r="Q944" s="477">
        <v>0.89513888888888893</v>
      </c>
      <c r="R944" s="472">
        <f>IF(Table6[[#This Row],[Work Start TimeStamp]]="","",(Table6[[#This Row],[Work Start TimeStamp]]-Table6[[#This Row],[Fault Start TimeStamp]])*24)</f>
        <v>0.21666666666666856</v>
      </c>
      <c r="S944" s="472">
        <f>(Table6[[#This Row],[Fault Clearance time]]-Table6[[#This Row],[Work Start TimeStamp]])*24</f>
        <v>0</v>
      </c>
      <c r="T944" s="472">
        <f>(Table6[[#This Row],[Fault Clearance time]]-Table6[[#This Row],[Fault Start TimeStamp]])*24</f>
        <v>0.21666666666666856</v>
      </c>
      <c r="U944" s="35" t="s">
        <v>1924</v>
      </c>
      <c r="V944" s="102" t="s">
        <v>293</v>
      </c>
      <c r="W944" s="478">
        <f>IFERROR(Table6[[#This Row],[Breakdown Time]]*Table6[[#This Row],[Plant Equivalent Weightage]],"")</f>
        <v>8.3333333333334043E-3</v>
      </c>
      <c r="X944" s="473" t="s">
        <v>290</v>
      </c>
      <c r="Y944" s="474" t="s">
        <v>99</v>
      </c>
      <c r="Z944" s="102">
        <v>56413</v>
      </c>
      <c r="AA944" s="468">
        <f>(Table6[[#This Row],[Paired WTG Generation for loss calculation]]/24)*Table6[[#This Row],[Breakdown Time]]</f>
        <v>509.28402777778217</v>
      </c>
      <c r="AB944" s="102"/>
      <c r="AC944" s="35"/>
      <c r="AD944" s="35"/>
    </row>
    <row r="945" spans="1:30">
      <c r="A945" s="102">
        <f t="shared" si="15"/>
        <v>944</v>
      </c>
      <c r="B945" s="468">
        <f>YEAR(Table6[[#This Row],[Date]])+IF(MONTH(Table6[[#This Row],[Date]])&gt;=4,1,0)</f>
        <v>2026</v>
      </c>
      <c r="C945" s="102">
        <f>YEAR(Table6[[#This Row],[Date]])</f>
        <v>2025</v>
      </c>
      <c r="D945" s="102" t="s">
        <v>1992</v>
      </c>
      <c r="E945" s="469">
        <f>Table6[[#This Row],[Date]]-DAY(Table6[[#This Row],[Date]])+1</f>
        <v>45778</v>
      </c>
      <c r="F945" s="470">
        <v>45807</v>
      </c>
      <c r="G945" s="35" t="s">
        <v>82</v>
      </c>
      <c r="H945" s="35" t="str">
        <f>IFERROR(_xlfn.XLOOKUP(Table6[[#This Row],[Affected WTG]],'Basic Data'!$A:$A,'Basic Data'!$B:$B),"")</f>
        <v>TQGXIIPL</v>
      </c>
      <c r="I945" s="35" t="str">
        <f>IFERROR(_xlfn.XLOOKUP(Table6[[#This Row],[Affected WTG]],'Basic Data'!$A:$A,'Basic Data'!$C:$C),"")</f>
        <v>GEDA</v>
      </c>
      <c r="J945" s="471">
        <f>IFERROR(_xlfn.XLOOKUP(Table6[[#This Row],[Affected WTG]],'Basic Data'!$A:$A,'Basic Data'!$E:$E),"")</f>
        <v>3.846153846153845E-2</v>
      </c>
      <c r="K945" s="102">
        <v>55</v>
      </c>
      <c r="L945" s="35" t="str">
        <f>IFERROR(_xlfn.XLOOKUP(Table6[[#This Row],[Error Code]],'Basic Data'!$AA:$AA,'Basic Data'!$AB:$AB),"Incorrect Error Code")</f>
        <v>WTG shut down</v>
      </c>
      <c r="M945" s="35" t="s">
        <v>291</v>
      </c>
      <c r="N945" s="475"/>
      <c r="O945" s="476">
        <v>0.79791666666666672</v>
      </c>
      <c r="P945" s="476">
        <v>0.81666666666666665</v>
      </c>
      <c r="Q945" s="477">
        <v>0.81666666666666665</v>
      </c>
      <c r="R945" s="472">
        <f>IF(Table6[[#This Row],[Work Start TimeStamp]]="","",(Table6[[#This Row],[Work Start TimeStamp]]-Table6[[#This Row],[Fault Start TimeStamp]])*24)</f>
        <v>0.4499999999999984</v>
      </c>
      <c r="S945" s="472">
        <f>(Table6[[#This Row],[Fault Clearance time]]-Table6[[#This Row],[Work Start TimeStamp]])*24</f>
        <v>0</v>
      </c>
      <c r="T945" s="472">
        <f>(Table6[[#This Row],[Fault Clearance time]]-Table6[[#This Row],[Fault Start TimeStamp]])*24</f>
        <v>0.4499999999999984</v>
      </c>
      <c r="U945" s="35" t="s">
        <v>1922</v>
      </c>
      <c r="V945" s="102" t="s">
        <v>293</v>
      </c>
      <c r="W945" s="478">
        <f>IFERROR(Table6[[#This Row],[Breakdown Time]]*Table6[[#This Row],[Plant Equivalent Weightage]],"")</f>
        <v>1.7307692307692239E-2</v>
      </c>
      <c r="X945" s="473" t="s">
        <v>290</v>
      </c>
      <c r="Y945" s="474" t="s">
        <v>76</v>
      </c>
      <c r="Z945" s="102">
        <v>55357</v>
      </c>
      <c r="AA945" s="468">
        <f>(Table6[[#This Row],[Paired WTG Generation for loss calculation]]/24)*Table6[[#This Row],[Breakdown Time]]</f>
        <v>1037.9437499999963</v>
      </c>
      <c r="AB945" s="102"/>
      <c r="AC945" s="35"/>
      <c r="AD945" s="35"/>
    </row>
    <row r="946" spans="1:30">
      <c r="A946" s="102">
        <f t="shared" si="15"/>
        <v>945</v>
      </c>
      <c r="B946" s="468">
        <f>YEAR(Table6[[#This Row],[Date]])+IF(MONTH(Table6[[#This Row],[Date]])&gt;=4,1,0)</f>
        <v>2026</v>
      </c>
      <c r="C946" s="102">
        <f>YEAR(Table6[[#This Row],[Date]])</f>
        <v>2025</v>
      </c>
      <c r="D946" s="102" t="s">
        <v>1992</v>
      </c>
      <c r="E946" s="469">
        <f>Table6[[#This Row],[Date]]-DAY(Table6[[#This Row],[Date]])+1</f>
        <v>45778</v>
      </c>
      <c r="F946" s="470">
        <v>45807</v>
      </c>
      <c r="G946" s="35" t="s">
        <v>83</v>
      </c>
      <c r="H946" s="35" t="str">
        <f>IFERROR(_xlfn.XLOOKUP(Table6[[#This Row],[Affected WTG]],'Basic Data'!$A:$A,'Basic Data'!$B:$B),"")</f>
        <v>TQGXIIPL</v>
      </c>
      <c r="I946" s="35" t="str">
        <f>IFERROR(_xlfn.XLOOKUP(Table6[[#This Row],[Affected WTG]],'Basic Data'!$A:$A,'Basic Data'!$C:$C),"")</f>
        <v>GEDA</v>
      </c>
      <c r="J946" s="471">
        <f>IFERROR(_xlfn.XLOOKUP(Table6[[#This Row],[Affected WTG]],'Basic Data'!$A:$A,'Basic Data'!$E:$E),"")</f>
        <v>3.846153846153845E-2</v>
      </c>
      <c r="K946" s="102">
        <v>55</v>
      </c>
      <c r="L946" s="35" t="str">
        <f>IFERROR(_xlfn.XLOOKUP(Table6[[#This Row],[Error Code]],'Basic Data'!$AA:$AA,'Basic Data'!$AB:$AB),"Incorrect Error Code")</f>
        <v>WTG shut down</v>
      </c>
      <c r="M946" s="35" t="s">
        <v>291</v>
      </c>
      <c r="N946" s="475"/>
      <c r="O946" s="476">
        <v>0.79791666666666672</v>
      </c>
      <c r="P946" s="476">
        <v>0.81597222222222221</v>
      </c>
      <c r="Q946" s="477">
        <v>0.81597222222222221</v>
      </c>
      <c r="R946" s="472">
        <f>IF(Table6[[#This Row],[Work Start TimeStamp]]="","",(Table6[[#This Row],[Work Start TimeStamp]]-Table6[[#This Row],[Fault Start TimeStamp]])*24)</f>
        <v>0.43333333333333179</v>
      </c>
      <c r="S946" s="472">
        <f>(Table6[[#This Row],[Fault Clearance time]]-Table6[[#This Row],[Work Start TimeStamp]])*24</f>
        <v>0</v>
      </c>
      <c r="T946" s="472">
        <f>(Table6[[#This Row],[Fault Clearance time]]-Table6[[#This Row],[Fault Start TimeStamp]])*24</f>
        <v>0.43333333333333179</v>
      </c>
      <c r="U946" s="35" t="s">
        <v>1922</v>
      </c>
      <c r="V946" s="102" t="s">
        <v>293</v>
      </c>
      <c r="W946" s="478">
        <f>IFERROR(Table6[[#This Row],[Breakdown Time]]*Table6[[#This Row],[Plant Equivalent Weightage]],"")</f>
        <v>1.6666666666666604E-2</v>
      </c>
      <c r="X946" s="473" t="s">
        <v>290</v>
      </c>
      <c r="Y946" s="474" t="s">
        <v>88</v>
      </c>
      <c r="Z946" s="102">
        <v>55209</v>
      </c>
      <c r="AA946" s="468">
        <f>(Table6[[#This Row],[Paired WTG Generation for loss calculation]]/24)*Table6[[#This Row],[Breakdown Time]]</f>
        <v>996.82916666666313</v>
      </c>
      <c r="AB946" s="102"/>
      <c r="AC946" s="35"/>
      <c r="AD946" s="35"/>
    </row>
    <row r="947" spans="1:30">
      <c r="A947" s="102">
        <f t="shared" si="15"/>
        <v>946</v>
      </c>
      <c r="B947" s="468">
        <f>YEAR(Table6[[#This Row],[Date]])+IF(MONTH(Table6[[#This Row],[Date]])&gt;=4,1,0)</f>
        <v>2026</v>
      </c>
      <c r="C947" s="102">
        <f>YEAR(Table6[[#This Row],[Date]])</f>
        <v>2025</v>
      </c>
      <c r="D947" s="102" t="s">
        <v>1992</v>
      </c>
      <c r="E947" s="469">
        <f>Table6[[#This Row],[Date]]-DAY(Table6[[#This Row],[Date]])+1</f>
        <v>45778</v>
      </c>
      <c r="F947" s="470">
        <v>45807</v>
      </c>
      <c r="G947" s="35" t="s">
        <v>83</v>
      </c>
      <c r="H947" s="35" t="str">
        <f>IFERROR(_xlfn.XLOOKUP(Table6[[#This Row],[Affected WTG]],'Basic Data'!$A:$A,'Basic Data'!$B:$B),"")</f>
        <v>TQGXIIPL</v>
      </c>
      <c r="I947" s="35" t="str">
        <f>IFERROR(_xlfn.XLOOKUP(Table6[[#This Row],[Affected WTG]],'Basic Data'!$A:$A,'Basic Data'!$C:$C),"")</f>
        <v>GEDA</v>
      </c>
      <c r="J947" s="471">
        <f>IFERROR(_xlfn.XLOOKUP(Table6[[#This Row],[Affected WTG]],'Basic Data'!$A:$A,'Basic Data'!$E:$E),"")</f>
        <v>3.846153846153845E-2</v>
      </c>
      <c r="K947" s="102">
        <v>3271</v>
      </c>
      <c r="L947" s="35" t="str">
        <f>IFERROR(_xlfn.XLOOKUP(Table6[[#This Row],[Error Code]],'Basic Data'!$AA:$AA,'Basic Data'!$AB:$AB),"Incorrect Error Code")</f>
        <v>Converter torque monitor level 1</v>
      </c>
      <c r="M947" s="35" t="s">
        <v>292</v>
      </c>
      <c r="N947" s="475"/>
      <c r="O947" s="476">
        <v>0.8256944444444444</v>
      </c>
      <c r="P947" s="476">
        <v>0.82708333333333328</v>
      </c>
      <c r="Q947" s="477">
        <v>0.82708333333333328</v>
      </c>
      <c r="R947" s="472">
        <f>IF(Table6[[#This Row],[Work Start TimeStamp]]="","",(Table6[[#This Row],[Work Start TimeStamp]]-Table6[[#This Row],[Fault Start TimeStamp]])*24)</f>
        <v>3.3333333333333215E-2</v>
      </c>
      <c r="S947" s="472">
        <f>(Table6[[#This Row],[Fault Clearance time]]-Table6[[#This Row],[Work Start TimeStamp]])*24</f>
        <v>0</v>
      </c>
      <c r="T947" s="472">
        <f>(Table6[[#This Row],[Fault Clearance time]]-Table6[[#This Row],[Fault Start TimeStamp]])*24</f>
        <v>3.3333333333333215E-2</v>
      </c>
      <c r="U947" s="35" t="s">
        <v>336</v>
      </c>
      <c r="V947" s="102" t="s">
        <v>293</v>
      </c>
      <c r="W947" s="478">
        <f>IFERROR(Table6[[#This Row],[Breakdown Time]]*Table6[[#This Row],[Plant Equivalent Weightage]],"")</f>
        <v>1.2820512820512771E-3</v>
      </c>
      <c r="X947" s="473" t="s">
        <v>294</v>
      </c>
      <c r="Y947" s="474" t="s">
        <v>88</v>
      </c>
      <c r="Z947" s="102">
        <v>55209</v>
      </c>
      <c r="AA947" s="468">
        <f>(Table6[[#This Row],[Paired WTG Generation for loss calculation]]/24)*Table6[[#This Row],[Breakdown Time]]</f>
        <v>76.67916666666639</v>
      </c>
      <c r="AB947" s="102"/>
      <c r="AC947" s="35"/>
      <c r="AD947" s="35"/>
    </row>
    <row r="948" spans="1:30">
      <c r="A948" s="102">
        <f t="shared" si="15"/>
        <v>947</v>
      </c>
      <c r="B948" s="468">
        <f>YEAR(Table6[[#This Row],[Date]])+IF(MONTH(Table6[[#This Row],[Date]])&gt;=4,1,0)</f>
        <v>2026</v>
      </c>
      <c r="C948" s="102">
        <f>YEAR(Table6[[#This Row],[Date]])</f>
        <v>2025</v>
      </c>
      <c r="D948" s="102" t="s">
        <v>1992</v>
      </c>
      <c r="E948" s="469">
        <f>Table6[[#This Row],[Date]]-DAY(Table6[[#This Row],[Date]])+1</f>
        <v>45778</v>
      </c>
      <c r="F948" s="470">
        <v>45807</v>
      </c>
      <c r="G948" s="35" t="s">
        <v>85</v>
      </c>
      <c r="H948" s="35" t="str">
        <f>IFERROR(_xlfn.XLOOKUP(Table6[[#This Row],[Affected WTG]],'Basic Data'!$A:$A,'Basic Data'!$B:$B),"")</f>
        <v>TQGXIIPL</v>
      </c>
      <c r="I948" s="35" t="str">
        <f>IFERROR(_xlfn.XLOOKUP(Table6[[#This Row],[Affected WTG]],'Basic Data'!$A:$A,'Basic Data'!$C:$C),"")</f>
        <v>GEDA</v>
      </c>
      <c r="J948" s="471">
        <f>IFERROR(_xlfn.XLOOKUP(Table6[[#This Row],[Affected WTG]],'Basic Data'!$A:$A,'Basic Data'!$E:$E),"")</f>
        <v>3.846153846153845E-2</v>
      </c>
      <c r="K948" s="102">
        <v>1700</v>
      </c>
      <c r="L948" s="35" t="str">
        <f>IFERROR(_xlfn.XLOOKUP(Table6[[#This Row],[Error Code]],'Basic Data'!$AA:$AA,'Basic Data'!$AB:$AB),"Incorrect Error Code")</f>
        <v>High temp. gear bearing 1</v>
      </c>
      <c r="M948" s="35" t="s">
        <v>292</v>
      </c>
      <c r="N948" s="475"/>
      <c r="O948" s="476">
        <v>0.67222222222222228</v>
      </c>
      <c r="P948" s="476">
        <v>0.6743055555555556</v>
      </c>
      <c r="Q948" s="477">
        <v>0.6743055555555556</v>
      </c>
      <c r="R948" s="472">
        <f>IF(Table6[[#This Row],[Work Start TimeStamp]]="","",(Table6[[#This Row],[Work Start TimeStamp]]-Table6[[#This Row],[Fault Start TimeStamp]])*24)</f>
        <v>4.9999999999999822E-2</v>
      </c>
      <c r="S948" s="472">
        <f>(Table6[[#This Row],[Fault Clearance time]]-Table6[[#This Row],[Work Start TimeStamp]])*24</f>
        <v>0</v>
      </c>
      <c r="T948" s="472">
        <f>(Table6[[#This Row],[Fault Clearance time]]-Table6[[#This Row],[Fault Start TimeStamp]])*24</f>
        <v>4.9999999999999822E-2</v>
      </c>
      <c r="U948" s="35" t="s">
        <v>336</v>
      </c>
      <c r="V948" s="102" t="s">
        <v>293</v>
      </c>
      <c r="W948" s="478">
        <f>IFERROR(Table6[[#This Row],[Breakdown Time]]*Table6[[#This Row],[Plant Equivalent Weightage]],"")</f>
        <v>1.9230769230769156E-3</v>
      </c>
      <c r="X948" s="473" t="s">
        <v>294</v>
      </c>
      <c r="Y948" s="474" t="s">
        <v>87</v>
      </c>
      <c r="Z948" s="102">
        <v>55074</v>
      </c>
      <c r="AA948" s="468">
        <f>(Table6[[#This Row],[Paired WTG Generation for loss calculation]]/24)*Table6[[#This Row],[Breakdown Time]]</f>
        <v>114.7374999999996</v>
      </c>
      <c r="AB948" s="102"/>
      <c r="AC948" s="35"/>
      <c r="AD948" s="35"/>
    </row>
    <row r="949" spans="1:30">
      <c r="A949" s="102">
        <f t="shared" si="15"/>
        <v>948</v>
      </c>
      <c r="B949" s="468">
        <f>YEAR(Table6[[#This Row],[Date]])+IF(MONTH(Table6[[#This Row],[Date]])&gt;=4,1,0)</f>
        <v>2026</v>
      </c>
      <c r="C949" s="102">
        <f>YEAR(Table6[[#This Row],[Date]])</f>
        <v>2025</v>
      </c>
      <c r="D949" s="102" t="s">
        <v>1992</v>
      </c>
      <c r="E949" s="469">
        <f>Table6[[#This Row],[Date]]-DAY(Table6[[#This Row],[Date]])+1</f>
        <v>45778</v>
      </c>
      <c r="F949" s="470">
        <v>45807</v>
      </c>
      <c r="G949" s="35" t="s">
        <v>85</v>
      </c>
      <c r="H949" s="35" t="str">
        <f>IFERROR(_xlfn.XLOOKUP(Table6[[#This Row],[Affected WTG]],'Basic Data'!$A:$A,'Basic Data'!$B:$B),"")</f>
        <v>TQGXIIPL</v>
      </c>
      <c r="I949" s="35" t="str">
        <f>IFERROR(_xlfn.XLOOKUP(Table6[[#This Row],[Affected WTG]],'Basic Data'!$A:$A,'Basic Data'!$C:$C),"")</f>
        <v>GEDA</v>
      </c>
      <c r="J949" s="471">
        <f>IFERROR(_xlfn.XLOOKUP(Table6[[#This Row],[Affected WTG]],'Basic Data'!$A:$A,'Basic Data'!$E:$E),"")</f>
        <v>3.846153846153845E-2</v>
      </c>
      <c r="K949" s="102">
        <v>1700</v>
      </c>
      <c r="L949" s="35" t="str">
        <f>IFERROR(_xlfn.XLOOKUP(Table6[[#This Row],[Error Code]],'Basic Data'!$AA:$AA,'Basic Data'!$AB:$AB),"Incorrect Error Code")</f>
        <v>High temp. gear bearing 1</v>
      </c>
      <c r="M949" s="35" t="s">
        <v>291</v>
      </c>
      <c r="N949" s="475"/>
      <c r="O949" s="476">
        <v>0.75902777777777775</v>
      </c>
      <c r="P949" s="476">
        <v>0.77013888888888893</v>
      </c>
      <c r="Q949" s="477">
        <v>0.77013888888888893</v>
      </c>
      <c r="R949" s="472">
        <f>IF(Table6[[#This Row],[Work Start TimeStamp]]="","",(Table6[[#This Row],[Work Start TimeStamp]]-Table6[[#This Row],[Fault Start TimeStamp]])*24)</f>
        <v>0.26666666666666838</v>
      </c>
      <c r="S949" s="472">
        <f>(Table6[[#This Row],[Fault Clearance time]]-Table6[[#This Row],[Work Start TimeStamp]])*24</f>
        <v>0</v>
      </c>
      <c r="T949" s="472">
        <f>(Table6[[#This Row],[Fault Clearance time]]-Table6[[#This Row],[Fault Start TimeStamp]])*24</f>
        <v>0.26666666666666838</v>
      </c>
      <c r="U949" s="35" t="s">
        <v>1924</v>
      </c>
      <c r="V949" s="102" t="s">
        <v>293</v>
      </c>
      <c r="W949" s="478">
        <f>IFERROR(Table6[[#This Row],[Breakdown Time]]*Table6[[#This Row],[Plant Equivalent Weightage]],"")</f>
        <v>1.0256410256410319E-2</v>
      </c>
      <c r="X949" s="473" t="s">
        <v>290</v>
      </c>
      <c r="Y949" s="474" t="s">
        <v>87</v>
      </c>
      <c r="Z949" s="102">
        <v>55074</v>
      </c>
      <c r="AA949" s="468">
        <f>(Table6[[#This Row],[Paired WTG Generation for loss calculation]]/24)*Table6[[#This Row],[Breakdown Time]]</f>
        <v>611.93333333333726</v>
      </c>
      <c r="AB949" s="102"/>
      <c r="AC949" s="35"/>
      <c r="AD949" s="35"/>
    </row>
    <row r="950" spans="1:30">
      <c r="A950" s="102">
        <f t="shared" si="15"/>
        <v>949</v>
      </c>
      <c r="B950" s="468">
        <f>YEAR(Table6[[#This Row],[Date]])+IF(MONTH(Table6[[#This Row],[Date]])&gt;=4,1,0)</f>
        <v>2026</v>
      </c>
      <c r="C950" s="102">
        <f>YEAR(Table6[[#This Row],[Date]])</f>
        <v>2025</v>
      </c>
      <c r="D950" s="102" t="s">
        <v>1992</v>
      </c>
      <c r="E950" s="469">
        <f>Table6[[#This Row],[Date]]-DAY(Table6[[#This Row],[Date]])+1</f>
        <v>45778</v>
      </c>
      <c r="F950" s="470">
        <v>45807</v>
      </c>
      <c r="G950" s="35" t="s">
        <v>85</v>
      </c>
      <c r="H950" s="35" t="str">
        <f>IFERROR(_xlfn.XLOOKUP(Table6[[#This Row],[Affected WTG]],'Basic Data'!$A:$A,'Basic Data'!$B:$B),"")</f>
        <v>TQGXIIPL</v>
      </c>
      <c r="I950" s="35" t="str">
        <f>IFERROR(_xlfn.XLOOKUP(Table6[[#This Row],[Affected WTG]],'Basic Data'!$A:$A,'Basic Data'!$C:$C),"")</f>
        <v>GEDA</v>
      </c>
      <c r="J950" s="471">
        <f>IFERROR(_xlfn.XLOOKUP(Table6[[#This Row],[Affected WTG]],'Basic Data'!$A:$A,'Basic Data'!$E:$E),"")</f>
        <v>3.846153846153845E-2</v>
      </c>
      <c r="K950" s="102">
        <v>55</v>
      </c>
      <c r="L950" s="35" t="str">
        <f>IFERROR(_xlfn.XLOOKUP(Table6[[#This Row],[Error Code]],'Basic Data'!$AA:$AA,'Basic Data'!$AB:$AB),"Incorrect Error Code")</f>
        <v>WTG shut down</v>
      </c>
      <c r="M950" s="35" t="s">
        <v>291</v>
      </c>
      <c r="N950" s="475"/>
      <c r="O950" s="476">
        <v>0.7993055555555556</v>
      </c>
      <c r="P950" s="476">
        <v>0.81388888888888888</v>
      </c>
      <c r="Q950" s="477">
        <v>0.81388888888888888</v>
      </c>
      <c r="R950" s="472">
        <f>IF(Table6[[#This Row],[Work Start TimeStamp]]="","",(Table6[[#This Row],[Work Start TimeStamp]]-Table6[[#This Row],[Fault Start TimeStamp]])*24)</f>
        <v>0.34999999999999876</v>
      </c>
      <c r="S950" s="472">
        <f>(Table6[[#This Row],[Fault Clearance time]]-Table6[[#This Row],[Work Start TimeStamp]])*24</f>
        <v>0</v>
      </c>
      <c r="T950" s="472">
        <f>(Table6[[#This Row],[Fault Clearance time]]-Table6[[#This Row],[Fault Start TimeStamp]])*24</f>
        <v>0.34999999999999876</v>
      </c>
      <c r="U950" s="35" t="s">
        <v>1922</v>
      </c>
      <c r="V950" s="102" t="s">
        <v>293</v>
      </c>
      <c r="W950" s="478">
        <f>IFERROR(Table6[[#This Row],[Breakdown Time]]*Table6[[#This Row],[Plant Equivalent Weightage]],"")</f>
        <v>1.346153846153841E-2</v>
      </c>
      <c r="X950" s="473" t="s">
        <v>290</v>
      </c>
      <c r="Y950" s="474" t="s">
        <v>87</v>
      </c>
      <c r="Z950" s="102">
        <v>55074</v>
      </c>
      <c r="AA950" s="468">
        <f>(Table6[[#This Row],[Paired WTG Generation for loss calculation]]/24)*Table6[[#This Row],[Breakdown Time]]</f>
        <v>803.16249999999718</v>
      </c>
      <c r="AB950" s="102"/>
      <c r="AC950" s="35"/>
      <c r="AD950" s="35"/>
    </row>
    <row r="951" spans="1:30">
      <c r="A951" s="102">
        <f t="shared" si="15"/>
        <v>950</v>
      </c>
      <c r="B951" s="468">
        <f>YEAR(Table6[[#This Row],[Date]])+IF(MONTH(Table6[[#This Row],[Date]])&gt;=4,1,0)</f>
        <v>2026</v>
      </c>
      <c r="C951" s="102">
        <f>YEAR(Table6[[#This Row],[Date]])</f>
        <v>2025</v>
      </c>
      <c r="D951" s="102" t="s">
        <v>1992</v>
      </c>
      <c r="E951" s="469">
        <f>Table6[[#This Row],[Date]]-DAY(Table6[[#This Row],[Date]])+1</f>
        <v>45778</v>
      </c>
      <c r="F951" s="470">
        <v>45807</v>
      </c>
      <c r="G951" s="35" t="s">
        <v>87</v>
      </c>
      <c r="H951" s="35" t="str">
        <f>IFERROR(_xlfn.XLOOKUP(Table6[[#This Row],[Affected WTG]],'Basic Data'!$A:$A,'Basic Data'!$B:$B),"")</f>
        <v>TQGXIIPL</v>
      </c>
      <c r="I951" s="35" t="str">
        <f>IFERROR(_xlfn.XLOOKUP(Table6[[#This Row],[Affected WTG]],'Basic Data'!$A:$A,'Basic Data'!$C:$C),"")</f>
        <v>GEDA</v>
      </c>
      <c r="J951" s="471">
        <f>IFERROR(_xlfn.XLOOKUP(Table6[[#This Row],[Affected WTG]],'Basic Data'!$A:$A,'Basic Data'!$E:$E),"")</f>
        <v>3.846153846153845E-2</v>
      </c>
      <c r="K951" s="102">
        <v>55</v>
      </c>
      <c r="L951" s="35" t="str">
        <f>IFERROR(_xlfn.XLOOKUP(Table6[[#This Row],[Error Code]],'Basic Data'!$AA:$AA,'Basic Data'!$AB:$AB),"Incorrect Error Code")</f>
        <v>WTG shut down</v>
      </c>
      <c r="M951" s="35" t="s">
        <v>291</v>
      </c>
      <c r="N951" s="475"/>
      <c r="O951" s="476">
        <v>0.7993055555555556</v>
      </c>
      <c r="P951" s="476">
        <v>0.81180555555555556</v>
      </c>
      <c r="Q951" s="477">
        <v>0.81180555555555556</v>
      </c>
      <c r="R951" s="472">
        <f>IF(Table6[[#This Row],[Work Start TimeStamp]]="","",(Table6[[#This Row],[Work Start TimeStamp]]-Table6[[#This Row],[Fault Start TimeStamp]])*24)</f>
        <v>0.29999999999999893</v>
      </c>
      <c r="S951" s="472">
        <f>(Table6[[#This Row],[Fault Clearance time]]-Table6[[#This Row],[Work Start TimeStamp]])*24</f>
        <v>0</v>
      </c>
      <c r="T951" s="472">
        <f>(Table6[[#This Row],[Fault Clearance time]]-Table6[[#This Row],[Fault Start TimeStamp]])*24</f>
        <v>0.29999999999999893</v>
      </c>
      <c r="U951" s="35" t="s">
        <v>1922</v>
      </c>
      <c r="V951" s="102" t="s">
        <v>293</v>
      </c>
      <c r="W951" s="478">
        <f>IFERROR(Table6[[#This Row],[Breakdown Time]]*Table6[[#This Row],[Plant Equivalent Weightage]],"")</f>
        <v>1.1538461538461494E-2</v>
      </c>
      <c r="X951" s="473" t="s">
        <v>290</v>
      </c>
      <c r="Y951" s="474" t="s">
        <v>85</v>
      </c>
      <c r="Z951" s="102">
        <v>54494</v>
      </c>
      <c r="AA951" s="468">
        <f>(Table6[[#This Row],[Paired WTG Generation for loss calculation]]/24)*Table6[[#This Row],[Breakdown Time]]</f>
        <v>681.17499999999768</v>
      </c>
      <c r="AB951" s="102"/>
      <c r="AC951" s="35"/>
      <c r="AD951" s="35"/>
    </row>
    <row r="952" spans="1:30">
      <c r="A952" s="102">
        <f t="shared" si="15"/>
        <v>951</v>
      </c>
      <c r="B952" s="468">
        <f>YEAR(Table6[[#This Row],[Date]])+IF(MONTH(Table6[[#This Row],[Date]])&gt;=4,1,0)</f>
        <v>2026</v>
      </c>
      <c r="C952" s="102">
        <f>YEAR(Table6[[#This Row],[Date]])</f>
        <v>2025</v>
      </c>
      <c r="D952" s="102" t="s">
        <v>1992</v>
      </c>
      <c r="E952" s="469">
        <f>Table6[[#This Row],[Date]]-DAY(Table6[[#This Row],[Date]])+1</f>
        <v>45778</v>
      </c>
      <c r="F952" s="470">
        <v>45807</v>
      </c>
      <c r="G952" s="35" t="s">
        <v>90</v>
      </c>
      <c r="H952" s="35" t="str">
        <f>IFERROR(_xlfn.XLOOKUP(Table6[[#This Row],[Affected WTG]],'Basic Data'!$A:$A,'Basic Data'!$B:$B),"")</f>
        <v>TQGXIIPL</v>
      </c>
      <c r="I952" s="35" t="str">
        <f>IFERROR(_xlfn.XLOOKUP(Table6[[#This Row],[Affected WTG]],'Basic Data'!$A:$A,'Basic Data'!$C:$C),"")</f>
        <v>GEDA</v>
      </c>
      <c r="J952" s="471">
        <f>IFERROR(_xlfn.XLOOKUP(Table6[[#This Row],[Affected WTG]],'Basic Data'!$A:$A,'Basic Data'!$E:$E),"")</f>
        <v>3.846153846153845E-2</v>
      </c>
      <c r="K952" s="102">
        <v>3000</v>
      </c>
      <c r="L952" s="35" t="str">
        <f>IFERROR(_xlfn.XLOOKUP(Table6[[#This Row],[Error Code]],'Basic Data'!$AA:$AA,'Basic Data'!$AB:$AB),"Incorrect Error Code")</f>
        <v>Frequency converter not ready</v>
      </c>
      <c r="M952" s="35" t="s">
        <v>291</v>
      </c>
      <c r="N952" s="475"/>
      <c r="O952" s="476">
        <v>4.6527777777777779E-2</v>
      </c>
      <c r="P952" s="476">
        <v>0.11180555555555556</v>
      </c>
      <c r="Q952" s="477">
        <v>0.15277777777777779</v>
      </c>
      <c r="R952" s="472">
        <f>IF(Table6[[#This Row],[Work Start TimeStamp]]="","",(Table6[[#This Row],[Work Start TimeStamp]]-Table6[[#This Row],[Fault Start TimeStamp]])*24)</f>
        <v>1.5666666666666669</v>
      </c>
      <c r="S952" s="472">
        <f>(Table6[[#This Row],[Fault Clearance time]]-Table6[[#This Row],[Work Start TimeStamp]])*24</f>
        <v>0.9833333333333335</v>
      </c>
      <c r="T952" s="472">
        <f>(Table6[[#This Row],[Fault Clearance time]]-Table6[[#This Row],[Fault Start TimeStamp]])*24</f>
        <v>2.5500000000000003</v>
      </c>
      <c r="U952" s="35" t="s">
        <v>1925</v>
      </c>
      <c r="V952" s="102" t="s">
        <v>293</v>
      </c>
      <c r="W952" s="478">
        <f>IFERROR(Table6[[#This Row],[Breakdown Time]]*Table6[[#This Row],[Plant Equivalent Weightage]],"")</f>
        <v>9.8076923076923062E-2</v>
      </c>
      <c r="X952" s="473" t="s">
        <v>290</v>
      </c>
      <c r="Y952" s="474" t="s">
        <v>95</v>
      </c>
      <c r="Z952" s="102">
        <v>57090</v>
      </c>
      <c r="AA952" s="468">
        <f>(Table6[[#This Row],[Paired WTG Generation for loss calculation]]/24)*Table6[[#This Row],[Breakdown Time]]</f>
        <v>6065.8125000000009</v>
      </c>
      <c r="AB952" s="102"/>
      <c r="AC952" s="35"/>
      <c r="AD952" s="35"/>
    </row>
    <row r="953" spans="1:30">
      <c r="A953" s="102">
        <f t="shared" si="15"/>
        <v>952</v>
      </c>
      <c r="B953" s="468">
        <f>YEAR(Table6[[#This Row],[Date]])+IF(MONTH(Table6[[#This Row],[Date]])&gt;=4,1,0)</f>
        <v>2026</v>
      </c>
      <c r="C953" s="102">
        <f>YEAR(Table6[[#This Row],[Date]])</f>
        <v>2025</v>
      </c>
      <c r="D953" s="102" t="s">
        <v>1992</v>
      </c>
      <c r="E953" s="469">
        <f>Table6[[#This Row],[Date]]-DAY(Table6[[#This Row],[Date]])+1</f>
        <v>45778</v>
      </c>
      <c r="F953" s="470">
        <v>45807</v>
      </c>
      <c r="G953" s="35" t="s">
        <v>90</v>
      </c>
      <c r="H953" s="35" t="str">
        <f>IFERROR(_xlfn.XLOOKUP(Table6[[#This Row],[Affected WTG]],'Basic Data'!$A:$A,'Basic Data'!$B:$B),"")</f>
        <v>TQGXIIPL</v>
      </c>
      <c r="I953" s="35" t="str">
        <f>IFERROR(_xlfn.XLOOKUP(Table6[[#This Row],[Affected WTG]],'Basic Data'!$A:$A,'Basic Data'!$C:$C),"")</f>
        <v>GEDA</v>
      </c>
      <c r="J953" s="471">
        <f>IFERROR(_xlfn.XLOOKUP(Table6[[#This Row],[Affected WTG]],'Basic Data'!$A:$A,'Basic Data'!$E:$E),"")</f>
        <v>3.846153846153845E-2</v>
      </c>
      <c r="K953" s="102">
        <v>175</v>
      </c>
      <c r="L953" s="35" t="str">
        <f>IFERROR(_xlfn.XLOOKUP(Table6[[#This Row],[Error Code]],'Basic Data'!$AA:$AA,'Basic Data'!$AB:$AB),"Incorrect Error Code")</f>
        <v>SLC error</v>
      </c>
      <c r="M953" s="35" t="s">
        <v>291</v>
      </c>
      <c r="N953" s="475"/>
      <c r="O953" s="476">
        <v>0.49583333333333335</v>
      </c>
      <c r="P953" s="476">
        <v>0.49861111111111112</v>
      </c>
      <c r="Q953" s="477">
        <v>0.49861111111111112</v>
      </c>
      <c r="R953" s="472">
        <f>IF(Table6[[#This Row],[Work Start TimeStamp]]="","",(Table6[[#This Row],[Work Start TimeStamp]]-Table6[[#This Row],[Fault Start TimeStamp]])*24)</f>
        <v>6.666666666666643E-2</v>
      </c>
      <c r="S953" s="472">
        <f>(Table6[[#This Row],[Fault Clearance time]]-Table6[[#This Row],[Work Start TimeStamp]])*24</f>
        <v>0</v>
      </c>
      <c r="T953" s="472">
        <f>(Table6[[#This Row],[Fault Clearance time]]-Table6[[#This Row],[Fault Start TimeStamp]])*24</f>
        <v>6.666666666666643E-2</v>
      </c>
      <c r="U953" s="35" t="s">
        <v>1924</v>
      </c>
      <c r="V953" s="102" t="s">
        <v>293</v>
      </c>
      <c r="W953" s="478">
        <f>IFERROR(Table6[[#This Row],[Breakdown Time]]*Table6[[#This Row],[Plant Equivalent Weightage]],"")</f>
        <v>2.5641025641025541E-3</v>
      </c>
      <c r="X953" s="473" t="s">
        <v>290</v>
      </c>
      <c r="Y953" s="474" t="s">
        <v>95</v>
      </c>
      <c r="Z953" s="102">
        <v>57090</v>
      </c>
      <c r="AA953" s="468">
        <f>(Table6[[#This Row],[Paired WTG Generation for loss calculation]]/24)*Table6[[#This Row],[Breakdown Time]]</f>
        <v>158.58333333333277</v>
      </c>
      <c r="AB953" s="102"/>
      <c r="AC953" s="35"/>
      <c r="AD953" s="35"/>
    </row>
    <row r="954" spans="1:30">
      <c r="A954" s="102">
        <f t="shared" si="15"/>
        <v>953</v>
      </c>
      <c r="B954" s="468">
        <f>YEAR(Table6[[#This Row],[Date]])+IF(MONTH(Table6[[#This Row],[Date]])&gt;=4,1,0)</f>
        <v>2026</v>
      </c>
      <c r="C954" s="102">
        <f>YEAR(Table6[[#This Row],[Date]])</f>
        <v>2025</v>
      </c>
      <c r="D954" s="102" t="s">
        <v>1992</v>
      </c>
      <c r="E954" s="469">
        <f>Table6[[#This Row],[Date]]-DAY(Table6[[#This Row],[Date]])+1</f>
        <v>45778</v>
      </c>
      <c r="F954" s="470">
        <v>45807</v>
      </c>
      <c r="G954" s="35" t="s">
        <v>90</v>
      </c>
      <c r="H954" s="35" t="str">
        <f>IFERROR(_xlfn.XLOOKUP(Table6[[#This Row],[Affected WTG]],'Basic Data'!$A:$A,'Basic Data'!$B:$B),"")</f>
        <v>TQGXIIPL</v>
      </c>
      <c r="I954" s="35" t="str">
        <f>IFERROR(_xlfn.XLOOKUP(Table6[[#This Row],[Affected WTG]],'Basic Data'!$A:$A,'Basic Data'!$C:$C),"")</f>
        <v>GEDA</v>
      </c>
      <c r="J954" s="471">
        <f>IFERROR(_xlfn.XLOOKUP(Table6[[#This Row],[Affected WTG]],'Basic Data'!$A:$A,'Basic Data'!$E:$E),"")</f>
        <v>3.846153846153845E-2</v>
      </c>
      <c r="K954" s="102">
        <v>3110</v>
      </c>
      <c r="L954" s="35" t="str">
        <f>IFERROR(_xlfn.XLOOKUP(Table6[[#This Row],[Error Code]],'Basic Data'!$AA:$AA,'Basic Data'!$AB:$AB),"Incorrect Error Code")</f>
        <v>Frequency converter error</v>
      </c>
      <c r="M954" s="35" t="s">
        <v>291</v>
      </c>
      <c r="N954" s="475"/>
      <c r="O954" s="476">
        <v>0.72361111111111109</v>
      </c>
      <c r="P954" s="476">
        <v>0.73611111111111116</v>
      </c>
      <c r="Q954" s="477">
        <v>0.73611111111111116</v>
      </c>
      <c r="R954" s="472">
        <f>IF(Table6[[#This Row],[Work Start TimeStamp]]="","",(Table6[[#This Row],[Work Start TimeStamp]]-Table6[[#This Row],[Fault Start TimeStamp]])*24)</f>
        <v>0.3000000000000016</v>
      </c>
      <c r="S954" s="472">
        <f>(Table6[[#This Row],[Fault Clearance time]]-Table6[[#This Row],[Work Start TimeStamp]])*24</f>
        <v>0</v>
      </c>
      <c r="T954" s="472">
        <f>(Table6[[#This Row],[Fault Clearance time]]-Table6[[#This Row],[Fault Start TimeStamp]])*24</f>
        <v>0.3000000000000016</v>
      </c>
      <c r="U954" s="35" t="s">
        <v>1924</v>
      </c>
      <c r="V954" s="102" t="s">
        <v>293</v>
      </c>
      <c r="W954" s="478">
        <f>IFERROR(Table6[[#This Row],[Breakdown Time]]*Table6[[#This Row],[Plant Equivalent Weightage]],"")</f>
        <v>1.1538461538461596E-2</v>
      </c>
      <c r="X954" s="473" t="s">
        <v>290</v>
      </c>
      <c r="Y954" s="474" t="s">
        <v>95</v>
      </c>
      <c r="Z954" s="102">
        <v>57090</v>
      </c>
      <c r="AA954" s="468">
        <f>(Table6[[#This Row],[Paired WTG Generation for loss calculation]]/24)*Table6[[#This Row],[Breakdown Time]]</f>
        <v>713.62500000000375</v>
      </c>
      <c r="AB954" s="102"/>
      <c r="AC954" s="35"/>
      <c r="AD954" s="35"/>
    </row>
    <row r="955" spans="1:30">
      <c r="A955" s="102">
        <f t="shared" si="15"/>
        <v>954</v>
      </c>
      <c r="B955" s="468">
        <f>YEAR(Table6[[#This Row],[Date]])+IF(MONTH(Table6[[#This Row],[Date]])&gt;=4,1,0)</f>
        <v>2026</v>
      </c>
      <c r="C955" s="102">
        <f>YEAR(Table6[[#This Row],[Date]])</f>
        <v>2025</v>
      </c>
      <c r="D955" s="102" t="s">
        <v>1992</v>
      </c>
      <c r="E955" s="469">
        <f>Table6[[#This Row],[Date]]-DAY(Table6[[#This Row],[Date]])+1</f>
        <v>45778</v>
      </c>
      <c r="F955" s="470">
        <v>45807</v>
      </c>
      <c r="G955" s="35" t="s">
        <v>91</v>
      </c>
      <c r="H955" s="35" t="str">
        <f>IFERROR(_xlfn.XLOOKUP(Table6[[#This Row],[Affected WTG]],'Basic Data'!$A:$A,'Basic Data'!$B:$B),"")</f>
        <v>TQGXIIPL</v>
      </c>
      <c r="I955" s="35" t="str">
        <f>IFERROR(_xlfn.XLOOKUP(Table6[[#This Row],[Affected WTG]],'Basic Data'!$A:$A,'Basic Data'!$C:$C),"")</f>
        <v>GEDA</v>
      </c>
      <c r="J955" s="471">
        <f>IFERROR(_xlfn.XLOOKUP(Table6[[#This Row],[Affected WTG]],'Basic Data'!$A:$A,'Basic Data'!$E:$E),"")</f>
        <v>3.846153846153845E-2</v>
      </c>
      <c r="K955" s="102">
        <v>696</v>
      </c>
      <c r="L955" s="35" t="str">
        <f>IFERROR(_xlfn.XLOOKUP(Table6[[#This Row],[Error Code]],'Basic Data'!$AA:$AA,'Basic Data'!$AB:$AB),"Incorrect Error Code")</f>
        <v>Indiv. setp.pitch ang. offset incorr.</v>
      </c>
      <c r="M955" s="35" t="s">
        <v>291</v>
      </c>
      <c r="N955" s="475"/>
      <c r="O955" s="476">
        <v>0.64236111111111116</v>
      </c>
      <c r="P955" s="476">
        <v>0.65069444444444446</v>
      </c>
      <c r="Q955" s="477">
        <v>0.65069444444444446</v>
      </c>
      <c r="R955" s="472">
        <f>IF(Table6[[#This Row],[Work Start TimeStamp]]="","",(Table6[[#This Row],[Work Start TimeStamp]]-Table6[[#This Row],[Fault Start TimeStamp]])*24)</f>
        <v>0.19999999999999929</v>
      </c>
      <c r="S955" s="472">
        <f>(Table6[[#This Row],[Fault Clearance time]]-Table6[[#This Row],[Work Start TimeStamp]])*24</f>
        <v>0</v>
      </c>
      <c r="T955" s="472">
        <f>(Table6[[#This Row],[Fault Clearance time]]-Table6[[#This Row],[Fault Start TimeStamp]])*24</f>
        <v>0.19999999999999929</v>
      </c>
      <c r="U955" s="35" t="s">
        <v>1924</v>
      </c>
      <c r="V955" s="102" t="s">
        <v>293</v>
      </c>
      <c r="W955" s="478">
        <f>IFERROR(Table6[[#This Row],[Breakdown Time]]*Table6[[#This Row],[Plant Equivalent Weightage]],"")</f>
        <v>7.6923076923076624E-3</v>
      </c>
      <c r="X955" s="473" t="s">
        <v>290</v>
      </c>
      <c r="Y955" s="474" t="s">
        <v>79</v>
      </c>
      <c r="Z955" s="102">
        <v>55099</v>
      </c>
      <c r="AA955" s="468">
        <f>(Table6[[#This Row],[Paired WTG Generation for loss calculation]]/24)*Table6[[#This Row],[Breakdown Time]]</f>
        <v>459.15833333333165</v>
      </c>
      <c r="AB955" s="102"/>
      <c r="AC955" s="35"/>
      <c r="AD955" s="35"/>
    </row>
    <row r="956" spans="1:30">
      <c r="A956" s="102">
        <f t="shared" si="15"/>
        <v>955</v>
      </c>
      <c r="B956" s="468">
        <f>YEAR(Table6[[#This Row],[Date]])+IF(MONTH(Table6[[#This Row],[Date]])&gt;=4,1,0)</f>
        <v>2026</v>
      </c>
      <c r="C956" s="102">
        <f>YEAR(Table6[[#This Row],[Date]])</f>
        <v>2025</v>
      </c>
      <c r="D956" s="102" t="s">
        <v>1992</v>
      </c>
      <c r="E956" s="469">
        <f>Table6[[#This Row],[Date]]-DAY(Table6[[#This Row],[Date]])+1</f>
        <v>45778</v>
      </c>
      <c r="F956" s="470">
        <v>45807</v>
      </c>
      <c r="G956" s="35" t="s">
        <v>92</v>
      </c>
      <c r="H956" s="35" t="str">
        <f>IFERROR(_xlfn.XLOOKUP(Table6[[#This Row],[Affected WTG]],'Basic Data'!$A:$A,'Basic Data'!$B:$B),"")</f>
        <v>TQGXIIPL</v>
      </c>
      <c r="I956" s="35" t="str">
        <f>IFERROR(_xlfn.XLOOKUP(Table6[[#This Row],[Affected WTG]],'Basic Data'!$A:$A,'Basic Data'!$C:$C),"")</f>
        <v>GEDA</v>
      </c>
      <c r="J956" s="471">
        <f>IFERROR(_xlfn.XLOOKUP(Table6[[#This Row],[Affected WTG]],'Basic Data'!$A:$A,'Basic Data'!$E:$E),"")</f>
        <v>3.846153846153845E-2</v>
      </c>
      <c r="K956" s="102">
        <v>6605</v>
      </c>
      <c r="L956" s="35" t="str">
        <f>IFERROR(_xlfn.XLOOKUP(Table6[[#This Row],[Error Code]],'Basic Data'!$AA:$AA,'Basic Data'!$AB:$AB),"Incorrect Error Code")</f>
        <v>Wind.dir. diff. level 2</v>
      </c>
      <c r="M956" s="35" t="s">
        <v>292</v>
      </c>
      <c r="N956" s="475"/>
      <c r="O956" s="476">
        <v>0.55208333333333337</v>
      </c>
      <c r="P956" s="476">
        <v>0.55277777777777781</v>
      </c>
      <c r="Q956" s="477">
        <v>0.55277777777777781</v>
      </c>
      <c r="R956" s="472">
        <f>IF(Table6[[#This Row],[Work Start TimeStamp]]="","",(Table6[[#This Row],[Work Start TimeStamp]]-Table6[[#This Row],[Fault Start TimeStamp]])*24)</f>
        <v>1.6666666666666607E-2</v>
      </c>
      <c r="S956" s="472">
        <f>(Table6[[#This Row],[Fault Clearance time]]-Table6[[#This Row],[Work Start TimeStamp]])*24</f>
        <v>0</v>
      </c>
      <c r="T956" s="472">
        <f>(Table6[[#This Row],[Fault Clearance time]]-Table6[[#This Row],[Fault Start TimeStamp]])*24</f>
        <v>1.6666666666666607E-2</v>
      </c>
      <c r="U956" s="35" t="s">
        <v>336</v>
      </c>
      <c r="V956" s="102" t="s">
        <v>293</v>
      </c>
      <c r="W956" s="478">
        <f>IFERROR(Table6[[#This Row],[Breakdown Time]]*Table6[[#This Row],[Plant Equivalent Weightage]],"")</f>
        <v>6.4102564102563853E-4</v>
      </c>
      <c r="X956" s="473" t="s">
        <v>294</v>
      </c>
      <c r="Y956" s="474" t="s">
        <v>80</v>
      </c>
      <c r="Z956" s="102">
        <v>52504</v>
      </c>
      <c r="AA956" s="468">
        <f>(Table6[[#This Row],[Paired WTG Generation for loss calculation]]/24)*Table6[[#This Row],[Breakdown Time]]</f>
        <v>36.461111111110981</v>
      </c>
      <c r="AB956" s="102"/>
      <c r="AC956" s="35"/>
      <c r="AD956" s="35"/>
    </row>
    <row r="957" spans="1:30">
      <c r="A957" s="102">
        <f t="shared" si="15"/>
        <v>956</v>
      </c>
      <c r="B957" s="468">
        <f>YEAR(Table6[[#This Row],[Date]])+IF(MONTH(Table6[[#This Row],[Date]])&gt;=4,1,0)</f>
        <v>2026</v>
      </c>
      <c r="C957" s="102">
        <f>YEAR(Table6[[#This Row],[Date]])</f>
        <v>2025</v>
      </c>
      <c r="D957" s="102" t="s">
        <v>1992</v>
      </c>
      <c r="E957" s="469">
        <f>Table6[[#This Row],[Date]]-DAY(Table6[[#This Row],[Date]])+1</f>
        <v>45778</v>
      </c>
      <c r="F957" s="470">
        <v>45807</v>
      </c>
      <c r="G957" s="35" t="s">
        <v>92</v>
      </c>
      <c r="H957" s="35" t="str">
        <f>IFERROR(_xlfn.XLOOKUP(Table6[[#This Row],[Affected WTG]],'Basic Data'!$A:$A,'Basic Data'!$B:$B),"")</f>
        <v>TQGXIIPL</v>
      </c>
      <c r="I957" s="35" t="str">
        <f>IFERROR(_xlfn.XLOOKUP(Table6[[#This Row],[Affected WTG]],'Basic Data'!$A:$A,'Basic Data'!$C:$C),"")</f>
        <v>GEDA</v>
      </c>
      <c r="J957" s="471">
        <f>IFERROR(_xlfn.XLOOKUP(Table6[[#This Row],[Affected WTG]],'Basic Data'!$A:$A,'Basic Data'!$E:$E),"")</f>
        <v>3.846153846153845E-2</v>
      </c>
      <c r="K957" s="102">
        <v>1700</v>
      </c>
      <c r="L957" s="35" t="str">
        <f>IFERROR(_xlfn.XLOOKUP(Table6[[#This Row],[Error Code]],'Basic Data'!$AA:$AA,'Basic Data'!$AB:$AB),"Incorrect Error Code")</f>
        <v>High temp. gear bearing 1</v>
      </c>
      <c r="M957" s="35" t="s">
        <v>292</v>
      </c>
      <c r="N957" s="475"/>
      <c r="O957" s="476">
        <v>0.65138888888888891</v>
      </c>
      <c r="P957" s="476">
        <v>0.65277777777777779</v>
      </c>
      <c r="Q957" s="477">
        <v>0.65277777777777779</v>
      </c>
      <c r="R957" s="472">
        <f>IF(Table6[[#This Row],[Work Start TimeStamp]]="","",(Table6[[#This Row],[Work Start TimeStamp]]-Table6[[#This Row],[Fault Start TimeStamp]])*24)</f>
        <v>3.3333333333333215E-2</v>
      </c>
      <c r="S957" s="472">
        <f>(Table6[[#This Row],[Fault Clearance time]]-Table6[[#This Row],[Work Start TimeStamp]])*24</f>
        <v>0</v>
      </c>
      <c r="T957" s="472">
        <f>(Table6[[#This Row],[Fault Clearance time]]-Table6[[#This Row],[Fault Start TimeStamp]])*24</f>
        <v>3.3333333333333215E-2</v>
      </c>
      <c r="U957" s="35" t="s">
        <v>336</v>
      </c>
      <c r="V957" s="102" t="s">
        <v>293</v>
      </c>
      <c r="W957" s="478">
        <f>IFERROR(Table6[[#This Row],[Breakdown Time]]*Table6[[#This Row],[Plant Equivalent Weightage]],"")</f>
        <v>1.2820512820512771E-3</v>
      </c>
      <c r="X957" s="473" t="s">
        <v>294</v>
      </c>
      <c r="Y957" s="474" t="s">
        <v>80</v>
      </c>
      <c r="Z957" s="102">
        <v>52504</v>
      </c>
      <c r="AA957" s="468">
        <f>(Table6[[#This Row],[Paired WTG Generation for loss calculation]]/24)*Table6[[#This Row],[Breakdown Time]]</f>
        <v>72.922222222221961</v>
      </c>
      <c r="AB957" s="102"/>
      <c r="AC957" s="35"/>
      <c r="AD957" s="35"/>
    </row>
    <row r="958" spans="1:30">
      <c r="A958" s="102">
        <f t="shared" si="15"/>
        <v>957</v>
      </c>
      <c r="B958" s="468">
        <f>YEAR(Table6[[#This Row],[Date]])+IF(MONTH(Table6[[#This Row],[Date]])&gt;=4,1,0)</f>
        <v>2026</v>
      </c>
      <c r="C958" s="102">
        <f>YEAR(Table6[[#This Row],[Date]])</f>
        <v>2025</v>
      </c>
      <c r="D958" s="102" t="s">
        <v>1992</v>
      </c>
      <c r="E958" s="469">
        <f>Table6[[#This Row],[Date]]-DAY(Table6[[#This Row],[Date]])+1</f>
        <v>45778</v>
      </c>
      <c r="F958" s="470">
        <v>45807</v>
      </c>
      <c r="G958" s="35" t="s">
        <v>92</v>
      </c>
      <c r="H958" s="35" t="str">
        <f>IFERROR(_xlfn.XLOOKUP(Table6[[#This Row],[Affected WTG]],'Basic Data'!$A:$A,'Basic Data'!$B:$B),"")</f>
        <v>TQGXIIPL</v>
      </c>
      <c r="I958" s="35" t="str">
        <f>IFERROR(_xlfn.XLOOKUP(Table6[[#This Row],[Affected WTG]],'Basic Data'!$A:$A,'Basic Data'!$C:$C),"")</f>
        <v>GEDA</v>
      </c>
      <c r="J958" s="471">
        <f>IFERROR(_xlfn.XLOOKUP(Table6[[#This Row],[Affected WTG]],'Basic Data'!$A:$A,'Basic Data'!$E:$E),"")</f>
        <v>3.846153846153845E-2</v>
      </c>
      <c r="K958" s="102">
        <v>1700</v>
      </c>
      <c r="L958" s="35" t="str">
        <f>IFERROR(_xlfn.XLOOKUP(Table6[[#This Row],[Error Code]],'Basic Data'!$AA:$AA,'Basic Data'!$AB:$AB),"Incorrect Error Code")</f>
        <v>High temp. gear bearing 1</v>
      </c>
      <c r="M958" s="35" t="s">
        <v>291</v>
      </c>
      <c r="N958" s="475"/>
      <c r="O958" s="476">
        <v>0.7583333333333333</v>
      </c>
      <c r="P958" s="476">
        <v>0.77013888888888893</v>
      </c>
      <c r="Q958" s="477">
        <v>0.77013888888888893</v>
      </c>
      <c r="R958" s="472">
        <f>IF(Table6[[#This Row],[Work Start TimeStamp]]="","",(Table6[[#This Row],[Work Start TimeStamp]]-Table6[[#This Row],[Fault Start TimeStamp]])*24)</f>
        <v>0.28333333333333499</v>
      </c>
      <c r="S958" s="472">
        <f>(Table6[[#This Row],[Fault Clearance time]]-Table6[[#This Row],[Work Start TimeStamp]])*24</f>
        <v>0</v>
      </c>
      <c r="T958" s="472">
        <f>(Table6[[#This Row],[Fault Clearance time]]-Table6[[#This Row],[Fault Start TimeStamp]])*24</f>
        <v>0.28333333333333499</v>
      </c>
      <c r="U958" s="35" t="s">
        <v>1926</v>
      </c>
      <c r="V958" s="102" t="s">
        <v>293</v>
      </c>
      <c r="W958" s="478">
        <f>IFERROR(Table6[[#This Row],[Breakdown Time]]*Table6[[#This Row],[Plant Equivalent Weightage]],"")</f>
        <v>1.0897435897435958E-2</v>
      </c>
      <c r="X958" s="473" t="s">
        <v>290</v>
      </c>
      <c r="Y958" s="474" t="s">
        <v>80</v>
      </c>
      <c r="Z958" s="102">
        <v>52504</v>
      </c>
      <c r="AA958" s="468">
        <f>(Table6[[#This Row],[Paired WTG Generation for loss calculation]]/24)*Table6[[#This Row],[Breakdown Time]]</f>
        <v>619.83888888889248</v>
      </c>
      <c r="AB958" s="102"/>
      <c r="AC958" s="35"/>
      <c r="AD958" s="35"/>
    </row>
    <row r="959" spans="1:30">
      <c r="A959" s="102">
        <f t="shared" si="15"/>
        <v>958</v>
      </c>
      <c r="B959" s="468">
        <f>YEAR(Table6[[#This Row],[Date]])+IF(MONTH(Table6[[#This Row],[Date]])&gt;=4,1,0)</f>
        <v>2026</v>
      </c>
      <c r="C959" s="102">
        <f>YEAR(Table6[[#This Row],[Date]])</f>
        <v>2025</v>
      </c>
      <c r="D959" s="102" t="s">
        <v>1992</v>
      </c>
      <c r="E959" s="469">
        <f>Table6[[#This Row],[Date]]-DAY(Table6[[#This Row],[Date]])+1</f>
        <v>45778</v>
      </c>
      <c r="F959" s="470">
        <v>45807</v>
      </c>
      <c r="G959" s="35" t="s">
        <v>96</v>
      </c>
      <c r="H959" s="35" t="str">
        <f>IFERROR(_xlfn.XLOOKUP(Table6[[#This Row],[Affected WTG]],'Basic Data'!$A:$A,'Basic Data'!$B:$B),"")</f>
        <v>TQGXIIPL</v>
      </c>
      <c r="I959" s="35" t="str">
        <f>IFERROR(_xlfn.XLOOKUP(Table6[[#This Row],[Affected WTG]],'Basic Data'!$A:$A,'Basic Data'!$C:$C),"")</f>
        <v>GEDA</v>
      </c>
      <c r="J959" s="471">
        <f>IFERROR(_xlfn.XLOOKUP(Table6[[#This Row],[Affected WTG]],'Basic Data'!$A:$A,'Basic Data'!$E:$E),"")</f>
        <v>3.846153846153845E-2</v>
      </c>
      <c r="K959" s="102">
        <v>1731</v>
      </c>
      <c r="L959" s="35" t="str">
        <f>IFERROR(_xlfn.XLOOKUP(Table6[[#This Row],[Error Code]],'Basic Data'!$AA:$AA,'Basic Data'!$AB:$AB),"Incorrect Error Code")</f>
        <v>Oil temperature gearbox input high</v>
      </c>
      <c r="M959" s="35" t="s">
        <v>291</v>
      </c>
      <c r="N959" s="475"/>
      <c r="O959" s="476">
        <v>0.56805555555555554</v>
      </c>
      <c r="P959" s="476">
        <v>0.57499999999999996</v>
      </c>
      <c r="Q959" s="477">
        <v>0.57499999999999996</v>
      </c>
      <c r="R959" s="472">
        <f>IF(Table6[[#This Row],[Work Start TimeStamp]]="","",(Table6[[#This Row],[Work Start TimeStamp]]-Table6[[#This Row],[Fault Start TimeStamp]])*24)</f>
        <v>0.16666666666666607</v>
      </c>
      <c r="S959" s="472">
        <f>(Table6[[#This Row],[Fault Clearance time]]-Table6[[#This Row],[Work Start TimeStamp]])*24</f>
        <v>0</v>
      </c>
      <c r="T959" s="472">
        <f>(Table6[[#This Row],[Fault Clearance time]]-Table6[[#This Row],[Fault Start TimeStamp]])*24</f>
        <v>0.16666666666666607</v>
      </c>
      <c r="U959" s="35" t="s">
        <v>1926</v>
      </c>
      <c r="V959" s="102" t="s">
        <v>293</v>
      </c>
      <c r="W959" s="478">
        <f>IFERROR(Table6[[#This Row],[Breakdown Time]]*Table6[[#This Row],[Plant Equivalent Weightage]],"")</f>
        <v>6.4102564102563857E-3</v>
      </c>
      <c r="X959" s="473" t="s">
        <v>290</v>
      </c>
      <c r="Y959" s="474" t="s">
        <v>84</v>
      </c>
      <c r="Z959" s="102">
        <v>55825</v>
      </c>
      <c r="AA959" s="468">
        <f>(Table6[[#This Row],[Paired WTG Generation for loss calculation]]/24)*Table6[[#This Row],[Breakdown Time]]</f>
        <v>387.67361111110972</v>
      </c>
      <c r="AB959" s="102"/>
      <c r="AC959" s="35"/>
      <c r="AD959" s="35"/>
    </row>
    <row r="960" spans="1:30">
      <c r="A960" s="102">
        <f t="shared" si="15"/>
        <v>959</v>
      </c>
      <c r="B960" s="468">
        <f>YEAR(Table6[[#This Row],[Date]])+IF(MONTH(Table6[[#This Row],[Date]])&gt;=4,1,0)</f>
        <v>2026</v>
      </c>
      <c r="C960" s="102">
        <f>YEAR(Table6[[#This Row],[Date]])</f>
        <v>2025</v>
      </c>
      <c r="D960" s="102" t="s">
        <v>1992</v>
      </c>
      <c r="E960" s="469">
        <f>Table6[[#This Row],[Date]]-DAY(Table6[[#This Row],[Date]])+1</f>
        <v>45778</v>
      </c>
      <c r="F960" s="470">
        <v>45807</v>
      </c>
      <c r="G960" s="35" t="s">
        <v>96</v>
      </c>
      <c r="H960" s="35" t="str">
        <f>IFERROR(_xlfn.XLOOKUP(Table6[[#This Row],[Affected WTG]],'Basic Data'!$A:$A,'Basic Data'!$B:$B),"")</f>
        <v>TQGXIIPL</v>
      </c>
      <c r="I960" s="35" t="str">
        <f>IFERROR(_xlfn.XLOOKUP(Table6[[#This Row],[Affected WTG]],'Basic Data'!$A:$A,'Basic Data'!$C:$C),"")</f>
        <v>GEDA</v>
      </c>
      <c r="J960" s="471">
        <f>IFERROR(_xlfn.XLOOKUP(Table6[[#This Row],[Affected WTG]],'Basic Data'!$A:$A,'Basic Data'!$E:$E),"")</f>
        <v>3.846153846153845E-2</v>
      </c>
      <c r="K960" s="102">
        <v>1731</v>
      </c>
      <c r="L960" s="35" t="str">
        <f>IFERROR(_xlfn.XLOOKUP(Table6[[#This Row],[Error Code]],'Basic Data'!$AA:$AA,'Basic Data'!$AB:$AB),"Incorrect Error Code")</f>
        <v>Oil temperature gearbox input high</v>
      </c>
      <c r="M960" s="35" t="s">
        <v>291</v>
      </c>
      <c r="N960" s="475"/>
      <c r="O960" s="476">
        <v>0.60138888888888886</v>
      </c>
      <c r="P960" s="476">
        <v>0.61250000000000004</v>
      </c>
      <c r="Q960" s="477">
        <v>0.61250000000000004</v>
      </c>
      <c r="R960" s="472">
        <f>IF(Table6[[#This Row],[Work Start TimeStamp]]="","",(Table6[[#This Row],[Work Start TimeStamp]]-Table6[[#This Row],[Fault Start TimeStamp]])*24)</f>
        <v>0.26666666666666838</v>
      </c>
      <c r="S960" s="472">
        <f>(Table6[[#This Row],[Fault Clearance time]]-Table6[[#This Row],[Work Start TimeStamp]])*24</f>
        <v>0</v>
      </c>
      <c r="T960" s="472">
        <f>(Table6[[#This Row],[Fault Clearance time]]-Table6[[#This Row],[Fault Start TimeStamp]])*24</f>
        <v>0.26666666666666838</v>
      </c>
      <c r="U960" s="35" t="s">
        <v>1926</v>
      </c>
      <c r="V960" s="102" t="s">
        <v>293</v>
      </c>
      <c r="W960" s="478">
        <f>IFERROR(Table6[[#This Row],[Breakdown Time]]*Table6[[#This Row],[Plant Equivalent Weightage]],"")</f>
        <v>1.0256410256410319E-2</v>
      </c>
      <c r="X960" s="473" t="s">
        <v>290</v>
      </c>
      <c r="Y960" s="474" t="s">
        <v>84</v>
      </c>
      <c r="Z960" s="102">
        <v>55825</v>
      </c>
      <c r="AA960" s="468">
        <f>(Table6[[#This Row],[Paired WTG Generation for loss calculation]]/24)*Table6[[#This Row],[Breakdown Time]]</f>
        <v>620.27777777778169</v>
      </c>
      <c r="AB960" s="102"/>
      <c r="AC960" s="35"/>
      <c r="AD960" s="35"/>
    </row>
    <row r="961" spans="1:30">
      <c r="A961" s="102">
        <f t="shared" si="15"/>
        <v>960</v>
      </c>
      <c r="B961" s="468">
        <f>YEAR(Table6[[#This Row],[Date]])+IF(MONTH(Table6[[#This Row],[Date]])&gt;=4,1,0)</f>
        <v>2026</v>
      </c>
      <c r="C961" s="102">
        <f>YEAR(Table6[[#This Row],[Date]])</f>
        <v>2025</v>
      </c>
      <c r="D961" s="102" t="s">
        <v>1992</v>
      </c>
      <c r="E961" s="469">
        <f>Table6[[#This Row],[Date]]-DAY(Table6[[#This Row],[Date]])+1</f>
        <v>45778</v>
      </c>
      <c r="F961" s="470">
        <v>45807</v>
      </c>
      <c r="G961" s="35" t="s">
        <v>97</v>
      </c>
      <c r="H961" s="35" t="str">
        <f>IFERROR(_xlfn.XLOOKUP(Table6[[#This Row],[Affected WTG]],'Basic Data'!$A:$A,'Basic Data'!$B:$B),"")</f>
        <v>TQGXIIPL</v>
      </c>
      <c r="I961" s="35" t="str">
        <f>IFERROR(_xlfn.XLOOKUP(Table6[[#This Row],[Affected WTG]],'Basic Data'!$A:$A,'Basic Data'!$C:$C),"")</f>
        <v>GEDA</v>
      </c>
      <c r="J961" s="471">
        <f>IFERROR(_xlfn.XLOOKUP(Table6[[#This Row],[Affected WTG]],'Basic Data'!$A:$A,'Basic Data'!$E:$E),"")</f>
        <v>3.846153846153845E-2</v>
      </c>
      <c r="K961" s="102">
        <v>6130</v>
      </c>
      <c r="L961" s="35" t="str">
        <f>IFERROR(_xlfn.XLOOKUP(Table6[[#This Row],[Error Code]],'Basic Data'!$AA:$AA,'Basic Data'!$AB:$AB),"Incorrect Error Code")</f>
        <v>Yaw speed high</v>
      </c>
      <c r="M961" s="35" t="s">
        <v>292</v>
      </c>
      <c r="N961" s="475"/>
      <c r="O961" s="476">
        <v>0.42291666666666666</v>
      </c>
      <c r="P961" s="476">
        <v>0.42708333333333331</v>
      </c>
      <c r="Q961" s="477">
        <v>0.42708333333333331</v>
      </c>
      <c r="R961" s="472">
        <f>IF(Table6[[#This Row],[Work Start TimeStamp]]="","",(Table6[[#This Row],[Work Start TimeStamp]]-Table6[[#This Row],[Fault Start TimeStamp]])*24)</f>
        <v>9.9999999999999645E-2</v>
      </c>
      <c r="S961" s="472">
        <f>(Table6[[#This Row],[Fault Clearance time]]-Table6[[#This Row],[Work Start TimeStamp]])*24</f>
        <v>0</v>
      </c>
      <c r="T961" s="472">
        <f>(Table6[[#This Row],[Fault Clearance time]]-Table6[[#This Row],[Fault Start TimeStamp]])*24</f>
        <v>9.9999999999999645E-2</v>
      </c>
      <c r="U961" s="35" t="s">
        <v>336</v>
      </c>
      <c r="V961" s="102" t="s">
        <v>293</v>
      </c>
      <c r="W961" s="478">
        <f>IFERROR(Table6[[#This Row],[Breakdown Time]]*Table6[[#This Row],[Plant Equivalent Weightage]],"")</f>
        <v>3.8461538461538312E-3</v>
      </c>
      <c r="X961" s="473" t="s">
        <v>294</v>
      </c>
      <c r="Y961" s="474" t="s">
        <v>93</v>
      </c>
      <c r="Z961" s="102">
        <v>53978</v>
      </c>
      <c r="AA961" s="468">
        <f>(Table6[[#This Row],[Paired WTG Generation for loss calculation]]/24)*Table6[[#This Row],[Breakdown Time]]</f>
        <v>224.90833333333254</v>
      </c>
      <c r="AB961" s="102"/>
      <c r="AC961" s="35"/>
      <c r="AD961" s="35"/>
    </row>
    <row r="962" spans="1:30">
      <c r="A962" s="102">
        <f t="shared" si="15"/>
        <v>961</v>
      </c>
      <c r="B962" s="468">
        <f>YEAR(Table6[[#This Row],[Date]])+IF(MONTH(Table6[[#This Row],[Date]])&gt;=4,1,0)</f>
        <v>2026</v>
      </c>
      <c r="C962" s="102">
        <f>YEAR(Table6[[#This Row],[Date]])</f>
        <v>2025</v>
      </c>
      <c r="D962" s="102" t="s">
        <v>1992</v>
      </c>
      <c r="E962" s="469">
        <f>Table6[[#This Row],[Date]]-DAY(Table6[[#This Row],[Date]])+1</f>
        <v>45778</v>
      </c>
      <c r="F962" s="470">
        <v>45807</v>
      </c>
      <c r="G962" s="35" t="s">
        <v>98</v>
      </c>
      <c r="H962" s="35" t="str">
        <f>IFERROR(_xlfn.XLOOKUP(Table6[[#This Row],[Affected WTG]],'Basic Data'!$A:$A,'Basic Data'!$B:$B),"")</f>
        <v>TQGXIIPL</v>
      </c>
      <c r="I962" s="35" t="str">
        <f>IFERROR(_xlfn.XLOOKUP(Table6[[#This Row],[Affected WTG]],'Basic Data'!$A:$A,'Basic Data'!$C:$C),"")</f>
        <v>GEDA</v>
      </c>
      <c r="J962" s="471">
        <f>IFERROR(_xlfn.XLOOKUP(Table6[[#This Row],[Affected WTG]],'Basic Data'!$A:$A,'Basic Data'!$E:$E),"")</f>
        <v>3.846153846153845E-2</v>
      </c>
      <c r="K962" s="102">
        <v>1700</v>
      </c>
      <c r="L962" s="35" t="str">
        <f>IFERROR(_xlfn.XLOOKUP(Table6[[#This Row],[Error Code]],'Basic Data'!$AA:$AA,'Basic Data'!$AB:$AB),"Incorrect Error Code")</f>
        <v>High temp. gear bearing 1</v>
      </c>
      <c r="M962" s="35" t="s">
        <v>291</v>
      </c>
      <c r="N962" s="475"/>
      <c r="O962" s="476">
        <v>0.72569444444444442</v>
      </c>
      <c r="P962" s="476">
        <v>0.73333333333333328</v>
      </c>
      <c r="Q962" s="477">
        <v>0.73333333333333328</v>
      </c>
      <c r="R962" s="472">
        <f>IF(Table6[[#This Row],[Work Start TimeStamp]]="","",(Table6[[#This Row],[Work Start TimeStamp]]-Table6[[#This Row],[Fault Start TimeStamp]])*24)</f>
        <v>0.18333333333333268</v>
      </c>
      <c r="S962" s="472">
        <f>(Table6[[#This Row],[Fault Clearance time]]-Table6[[#This Row],[Work Start TimeStamp]])*24</f>
        <v>0</v>
      </c>
      <c r="T962" s="472">
        <f>(Table6[[#This Row],[Fault Clearance time]]-Table6[[#This Row],[Fault Start TimeStamp]])*24</f>
        <v>0.18333333333333268</v>
      </c>
      <c r="U962" s="35" t="s">
        <v>1926</v>
      </c>
      <c r="V962" s="102" t="s">
        <v>293</v>
      </c>
      <c r="W962" s="478">
        <f>IFERROR(Table6[[#This Row],[Breakdown Time]]*Table6[[#This Row],[Plant Equivalent Weightage]],"")</f>
        <v>7.0512820512820245E-3</v>
      </c>
      <c r="X962" s="473" t="s">
        <v>290</v>
      </c>
      <c r="Y962" s="474" t="s">
        <v>74</v>
      </c>
      <c r="Z962" s="102">
        <v>54422</v>
      </c>
      <c r="AA962" s="468">
        <f>(Table6[[#This Row],[Paired WTG Generation for loss calculation]]/24)*Table6[[#This Row],[Breakdown Time]]</f>
        <v>415.72361111110968</v>
      </c>
      <c r="AB962" s="102"/>
      <c r="AC962" s="35"/>
      <c r="AD962" s="35"/>
    </row>
    <row r="963" spans="1:30">
      <c r="A963" s="102">
        <f t="shared" si="15"/>
        <v>962</v>
      </c>
      <c r="B963" s="468">
        <f>YEAR(Table6[[#This Row],[Date]])+IF(MONTH(Table6[[#This Row],[Date]])&gt;=4,1,0)</f>
        <v>2026</v>
      </c>
      <c r="C963" s="102">
        <f>YEAR(Table6[[#This Row],[Date]])</f>
        <v>2025</v>
      </c>
      <c r="D963" s="102" t="s">
        <v>1992</v>
      </c>
      <c r="E963" s="469">
        <f>Table6[[#This Row],[Date]]-DAY(Table6[[#This Row],[Date]])+1</f>
        <v>45778</v>
      </c>
      <c r="F963" s="470">
        <v>45807</v>
      </c>
      <c r="G963" s="35" t="s">
        <v>99</v>
      </c>
      <c r="H963" s="35" t="str">
        <f>IFERROR(_xlfn.XLOOKUP(Table6[[#This Row],[Affected WTG]],'Basic Data'!$A:$A,'Basic Data'!$B:$B),"")</f>
        <v>TQGXIIPL</v>
      </c>
      <c r="I963" s="35" t="str">
        <f>IFERROR(_xlfn.XLOOKUP(Table6[[#This Row],[Affected WTG]],'Basic Data'!$A:$A,'Basic Data'!$C:$C),"")</f>
        <v>GEDA</v>
      </c>
      <c r="J963" s="471">
        <f>IFERROR(_xlfn.XLOOKUP(Table6[[#This Row],[Affected WTG]],'Basic Data'!$A:$A,'Basic Data'!$E:$E),"")</f>
        <v>3.846153846153845E-2</v>
      </c>
      <c r="K963" s="102">
        <v>6130</v>
      </c>
      <c r="L963" s="35" t="str">
        <f>IFERROR(_xlfn.XLOOKUP(Table6[[#This Row],[Error Code]],'Basic Data'!$AA:$AA,'Basic Data'!$AB:$AB),"Incorrect Error Code")</f>
        <v>Yaw speed high</v>
      </c>
      <c r="M963" s="35" t="s">
        <v>292</v>
      </c>
      <c r="N963" s="475"/>
      <c r="O963" s="476">
        <v>0.51111111111111107</v>
      </c>
      <c r="P963" s="476">
        <v>0.51527777777777772</v>
      </c>
      <c r="Q963" s="477">
        <v>0.51527777777777772</v>
      </c>
      <c r="R963" s="472">
        <f>IF(Table6[[#This Row],[Work Start TimeStamp]]="","",(Table6[[#This Row],[Work Start TimeStamp]]-Table6[[#This Row],[Fault Start TimeStamp]])*24)</f>
        <v>9.9999999999999645E-2</v>
      </c>
      <c r="S963" s="472">
        <f>(Table6[[#This Row],[Fault Clearance time]]-Table6[[#This Row],[Work Start TimeStamp]])*24</f>
        <v>0</v>
      </c>
      <c r="T963" s="472">
        <f>(Table6[[#This Row],[Fault Clearance time]]-Table6[[#This Row],[Fault Start TimeStamp]])*24</f>
        <v>9.9999999999999645E-2</v>
      </c>
      <c r="U963" s="35" t="s">
        <v>336</v>
      </c>
      <c r="V963" s="102" t="s">
        <v>293</v>
      </c>
      <c r="W963" s="478">
        <f>IFERROR(Table6[[#This Row],[Breakdown Time]]*Table6[[#This Row],[Plant Equivalent Weightage]],"")</f>
        <v>3.8461538461538312E-3</v>
      </c>
      <c r="X963" s="473" t="s">
        <v>294</v>
      </c>
      <c r="Y963" s="474" t="s">
        <v>74</v>
      </c>
      <c r="Z963" s="102">
        <v>54422</v>
      </c>
      <c r="AA963" s="468">
        <f>(Table6[[#This Row],[Paired WTG Generation for loss calculation]]/24)*Table6[[#This Row],[Breakdown Time]]</f>
        <v>226.75833333333253</v>
      </c>
      <c r="AB963" s="102"/>
      <c r="AC963" s="35"/>
      <c r="AD963" s="35"/>
    </row>
    <row r="964" spans="1:30">
      <c r="A964" s="102">
        <f t="shared" si="15"/>
        <v>963</v>
      </c>
      <c r="B964" s="468">
        <f>YEAR(Table6[[#This Row],[Date]])+IF(MONTH(Table6[[#This Row],[Date]])&gt;=4,1,0)</f>
        <v>2026</v>
      </c>
      <c r="C964" s="102">
        <f>YEAR(Table6[[#This Row],[Date]])</f>
        <v>2025</v>
      </c>
      <c r="D964" s="102" t="s">
        <v>1992</v>
      </c>
      <c r="E964" s="469">
        <f>Table6[[#This Row],[Date]]-DAY(Table6[[#This Row],[Date]])+1</f>
        <v>45778</v>
      </c>
      <c r="F964" s="470">
        <v>45808</v>
      </c>
      <c r="G964" s="35" t="s">
        <v>74</v>
      </c>
      <c r="H964" s="35" t="str">
        <f>IFERROR(_xlfn.XLOOKUP(Table6[[#This Row],[Affected WTG]],'Basic Data'!$A:$A,'Basic Data'!$B:$B),"")</f>
        <v>TQGXIIPL</v>
      </c>
      <c r="I964" s="35" t="str">
        <f>IFERROR(_xlfn.XLOOKUP(Table6[[#This Row],[Affected WTG]],'Basic Data'!$A:$A,'Basic Data'!$C:$C),"")</f>
        <v>GEDA</v>
      </c>
      <c r="J964" s="471">
        <f>IFERROR(_xlfn.XLOOKUP(Table6[[#This Row],[Affected WTG]],'Basic Data'!$A:$A,'Basic Data'!$E:$E),"")</f>
        <v>3.846153846153845E-2</v>
      </c>
      <c r="K964" s="102">
        <v>6130</v>
      </c>
      <c r="L964" s="35" t="str">
        <f>IFERROR(_xlfn.XLOOKUP(Table6[[#This Row],[Error Code]],'Basic Data'!$AA:$AA,'Basic Data'!$AB:$AB),"Incorrect Error Code")</f>
        <v>Yaw speed high</v>
      </c>
      <c r="M964" s="35" t="s">
        <v>291</v>
      </c>
      <c r="N964" s="475"/>
      <c r="O964" s="476">
        <v>0.55277777777777781</v>
      </c>
      <c r="P964" s="476">
        <v>0.58819444444444446</v>
      </c>
      <c r="Q964" s="477">
        <v>0.58819444444444446</v>
      </c>
      <c r="R964" s="472">
        <f>IF(Table6[[#This Row],[Work Start TimeStamp]]="","",(Table6[[#This Row],[Work Start TimeStamp]]-Table6[[#This Row],[Fault Start TimeStamp]])*24)</f>
        <v>0.84999999999999964</v>
      </c>
      <c r="S964" s="472">
        <f>(Table6[[#This Row],[Fault Clearance time]]-Table6[[#This Row],[Work Start TimeStamp]])*24</f>
        <v>0</v>
      </c>
      <c r="T964" s="472">
        <f>(Table6[[#This Row],[Fault Clearance time]]-Table6[[#This Row],[Fault Start TimeStamp]])*24</f>
        <v>0.84999999999999964</v>
      </c>
      <c r="U964" s="35" t="s">
        <v>1927</v>
      </c>
      <c r="V964" s="102" t="s">
        <v>293</v>
      </c>
      <c r="W964" s="478">
        <f>IFERROR(Table6[[#This Row],[Breakdown Time]]*Table6[[#This Row],[Plant Equivalent Weightage]],"")</f>
        <v>3.2692307692307666E-2</v>
      </c>
      <c r="X964" s="473" t="s">
        <v>290</v>
      </c>
      <c r="Y964" s="474" t="s">
        <v>99</v>
      </c>
      <c r="Z964" s="102">
        <v>51268</v>
      </c>
      <c r="AA964" s="468">
        <f>(Table6[[#This Row],[Paired WTG Generation for loss calculation]]/24)*Table6[[#This Row],[Breakdown Time]]</f>
        <v>1815.7416666666659</v>
      </c>
      <c r="AB964" s="102"/>
      <c r="AC964" s="35"/>
      <c r="AD964" s="35"/>
    </row>
    <row r="965" spans="1:30">
      <c r="A965" s="102">
        <f t="shared" si="15"/>
        <v>964</v>
      </c>
      <c r="B965" s="468">
        <f>YEAR(Table6[[#This Row],[Date]])+IF(MONTH(Table6[[#This Row],[Date]])&gt;=4,1,0)</f>
        <v>2026</v>
      </c>
      <c r="C965" s="102">
        <f>YEAR(Table6[[#This Row],[Date]])</f>
        <v>2025</v>
      </c>
      <c r="D965" s="102" t="s">
        <v>1992</v>
      </c>
      <c r="E965" s="469">
        <f>Table6[[#This Row],[Date]]-DAY(Table6[[#This Row],[Date]])+1</f>
        <v>45778</v>
      </c>
      <c r="F965" s="470">
        <v>45808</v>
      </c>
      <c r="G965" s="35" t="s">
        <v>74</v>
      </c>
      <c r="H965" s="35" t="str">
        <f>IFERROR(_xlfn.XLOOKUP(Table6[[#This Row],[Affected WTG]],'Basic Data'!$A:$A,'Basic Data'!$B:$B),"")</f>
        <v>TQGXIIPL</v>
      </c>
      <c r="I965" s="35" t="str">
        <f>IFERROR(_xlfn.XLOOKUP(Table6[[#This Row],[Affected WTG]],'Basic Data'!$A:$A,'Basic Data'!$C:$C),"")</f>
        <v>GEDA</v>
      </c>
      <c r="J965" s="471">
        <f>IFERROR(_xlfn.XLOOKUP(Table6[[#This Row],[Affected WTG]],'Basic Data'!$A:$A,'Basic Data'!$E:$E),"")</f>
        <v>3.846153846153845E-2</v>
      </c>
      <c r="K965" s="102">
        <v>6130</v>
      </c>
      <c r="L965" s="35" t="str">
        <f>IFERROR(_xlfn.XLOOKUP(Table6[[#This Row],[Error Code]],'Basic Data'!$AA:$AA,'Basic Data'!$AB:$AB),"Incorrect Error Code")</f>
        <v>Yaw speed high</v>
      </c>
      <c r="M965" s="35" t="s">
        <v>292</v>
      </c>
      <c r="N965" s="475"/>
      <c r="O965" s="476">
        <v>0.63263888888888886</v>
      </c>
      <c r="P965" s="476">
        <v>0.63680555555555551</v>
      </c>
      <c r="Q965" s="477">
        <v>0.63680555555555551</v>
      </c>
      <c r="R965" s="472">
        <f>IF(Table6[[#This Row],[Work Start TimeStamp]]="","",(Table6[[#This Row],[Work Start TimeStamp]]-Table6[[#This Row],[Fault Start TimeStamp]])*24)</f>
        <v>9.9999999999999645E-2</v>
      </c>
      <c r="S965" s="472">
        <f>(Table6[[#This Row],[Fault Clearance time]]-Table6[[#This Row],[Work Start TimeStamp]])*24</f>
        <v>0</v>
      </c>
      <c r="T965" s="472">
        <f>(Table6[[#This Row],[Fault Clearance time]]-Table6[[#This Row],[Fault Start TimeStamp]])*24</f>
        <v>9.9999999999999645E-2</v>
      </c>
      <c r="U965" s="35" t="s">
        <v>336</v>
      </c>
      <c r="V965" s="102" t="s">
        <v>293</v>
      </c>
      <c r="W965" s="478">
        <f>IFERROR(Table6[[#This Row],[Breakdown Time]]*Table6[[#This Row],[Plant Equivalent Weightage]],"")</f>
        <v>3.8461538461538312E-3</v>
      </c>
      <c r="X965" s="473" t="s">
        <v>294</v>
      </c>
      <c r="Y965" s="474" t="s">
        <v>99</v>
      </c>
      <c r="Z965" s="102">
        <v>51268</v>
      </c>
      <c r="AA965" s="468">
        <f>(Table6[[#This Row],[Paired WTG Generation for loss calculation]]/24)*Table6[[#This Row],[Breakdown Time]]</f>
        <v>213.61666666666588</v>
      </c>
      <c r="AB965" s="102"/>
      <c r="AC965" s="35"/>
      <c r="AD965" s="35"/>
    </row>
    <row r="966" spans="1:30">
      <c r="A966" s="102">
        <f t="shared" si="15"/>
        <v>965</v>
      </c>
      <c r="B966" s="468">
        <f>YEAR(Table6[[#This Row],[Date]])+IF(MONTH(Table6[[#This Row],[Date]])&gt;=4,1,0)</f>
        <v>2026</v>
      </c>
      <c r="C966" s="102">
        <f>YEAR(Table6[[#This Row],[Date]])</f>
        <v>2025</v>
      </c>
      <c r="D966" s="102" t="s">
        <v>1992</v>
      </c>
      <c r="E966" s="469">
        <f>Table6[[#This Row],[Date]]-DAY(Table6[[#This Row],[Date]])+1</f>
        <v>45778</v>
      </c>
      <c r="F966" s="470">
        <v>45808</v>
      </c>
      <c r="G966" s="35" t="s">
        <v>77</v>
      </c>
      <c r="H966" s="35" t="str">
        <f>IFERROR(_xlfn.XLOOKUP(Table6[[#This Row],[Affected WTG]],'Basic Data'!$A:$A,'Basic Data'!$B:$B),"")</f>
        <v>TQGXIIPL</v>
      </c>
      <c r="I966" s="35" t="str">
        <f>IFERROR(_xlfn.XLOOKUP(Table6[[#This Row],[Affected WTG]],'Basic Data'!$A:$A,'Basic Data'!$C:$C),"")</f>
        <v>GEDA</v>
      </c>
      <c r="J966" s="471">
        <f>IFERROR(_xlfn.XLOOKUP(Table6[[#This Row],[Affected WTG]],'Basic Data'!$A:$A,'Basic Data'!$E:$E),"")</f>
        <v>3.846153846153845E-2</v>
      </c>
      <c r="K966" s="102">
        <v>6130</v>
      </c>
      <c r="L966" s="35" t="str">
        <f>IFERROR(_xlfn.XLOOKUP(Table6[[#This Row],[Error Code]],'Basic Data'!$AA:$AA,'Basic Data'!$AB:$AB),"Incorrect Error Code")</f>
        <v>Yaw speed high</v>
      </c>
      <c r="M966" s="35" t="s">
        <v>292</v>
      </c>
      <c r="N966" s="475"/>
      <c r="O966" s="476">
        <v>0.29583333333333334</v>
      </c>
      <c r="P966" s="476">
        <v>0.2986111111111111</v>
      </c>
      <c r="Q966" s="477">
        <v>0.2986111111111111</v>
      </c>
      <c r="R966" s="472">
        <f>IF(Table6[[#This Row],[Work Start TimeStamp]]="","",(Table6[[#This Row],[Work Start TimeStamp]]-Table6[[#This Row],[Fault Start TimeStamp]])*24)</f>
        <v>6.666666666666643E-2</v>
      </c>
      <c r="S966" s="472">
        <f>(Table6[[#This Row],[Fault Clearance time]]-Table6[[#This Row],[Work Start TimeStamp]])*24</f>
        <v>0</v>
      </c>
      <c r="T966" s="472">
        <f>(Table6[[#This Row],[Fault Clearance time]]-Table6[[#This Row],[Fault Start TimeStamp]])*24</f>
        <v>6.666666666666643E-2</v>
      </c>
      <c r="U966" s="35" t="s">
        <v>336</v>
      </c>
      <c r="V966" s="102" t="s">
        <v>293</v>
      </c>
      <c r="W966" s="478">
        <f>IFERROR(Table6[[#This Row],[Breakdown Time]]*Table6[[#This Row],[Plant Equivalent Weightage]],"")</f>
        <v>2.5641025641025541E-3</v>
      </c>
      <c r="X966" s="473" t="s">
        <v>294</v>
      </c>
      <c r="Y966" s="474" t="s">
        <v>80</v>
      </c>
      <c r="Z966" s="102">
        <v>50547</v>
      </c>
      <c r="AA966" s="468">
        <f>(Table6[[#This Row],[Paired WTG Generation for loss calculation]]/24)*Table6[[#This Row],[Breakdown Time]]</f>
        <v>140.40833333333285</v>
      </c>
      <c r="AB966" s="102"/>
      <c r="AC966" s="35"/>
      <c r="AD966" s="35"/>
    </row>
    <row r="967" spans="1:30">
      <c r="A967" s="102">
        <f t="shared" si="15"/>
        <v>966</v>
      </c>
      <c r="B967" s="468">
        <f>YEAR(Table6[[#This Row],[Date]])+IF(MONTH(Table6[[#This Row],[Date]])&gt;=4,1,0)</f>
        <v>2026</v>
      </c>
      <c r="C967" s="102">
        <f>YEAR(Table6[[#This Row],[Date]])</f>
        <v>2025</v>
      </c>
      <c r="D967" s="102" t="s">
        <v>1992</v>
      </c>
      <c r="E967" s="469">
        <f>Table6[[#This Row],[Date]]-DAY(Table6[[#This Row],[Date]])+1</f>
        <v>45778</v>
      </c>
      <c r="F967" s="470">
        <v>45808</v>
      </c>
      <c r="G967" s="35" t="s">
        <v>77</v>
      </c>
      <c r="H967" s="35" t="str">
        <f>IFERROR(_xlfn.XLOOKUP(Table6[[#This Row],[Affected WTG]],'Basic Data'!$A:$A,'Basic Data'!$B:$B),"")</f>
        <v>TQGXIIPL</v>
      </c>
      <c r="I967" s="35" t="str">
        <f>IFERROR(_xlfn.XLOOKUP(Table6[[#This Row],[Affected WTG]],'Basic Data'!$A:$A,'Basic Data'!$C:$C),"")</f>
        <v>GEDA</v>
      </c>
      <c r="J967" s="471">
        <f>IFERROR(_xlfn.XLOOKUP(Table6[[#This Row],[Affected WTG]],'Basic Data'!$A:$A,'Basic Data'!$E:$E),"")</f>
        <v>3.846153846153845E-2</v>
      </c>
      <c r="K967" s="102">
        <v>6130</v>
      </c>
      <c r="L967" s="35" t="str">
        <f>IFERROR(_xlfn.XLOOKUP(Table6[[#This Row],[Error Code]],'Basic Data'!$AA:$AA,'Basic Data'!$AB:$AB),"Incorrect Error Code")</f>
        <v>Yaw speed high</v>
      </c>
      <c r="M967" s="35" t="s">
        <v>291</v>
      </c>
      <c r="N967" s="475"/>
      <c r="O967" s="476">
        <v>0.5229166666666667</v>
      </c>
      <c r="P967" s="476">
        <v>0.54374999999999996</v>
      </c>
      <c r="Q967" s="477">
        <v>0.54374999999999996</v>
      </c>
      <c r="R967" s="472">
        <f>IF(Table6[[#This Row],[Work Start TimeStamp]]="","",(Table6[[#This Row],[Work Start TimeStamp]]-Table6[[#This Row],[Fault Start TimeStamp]])*24)</f>
        <v>0.49999999999999822</v>
      </c>
      <c r="S967" s="472">
        <f>(Table6[[#This Row],[Fault Clearance time]]-Table6[[#This Row],[Work Start TimeStamp]])*24</f>
        <v>0</v>
      </c>
      <c r="T967" s="472">
        <f>(Table6[[#This Row],[Fault Clearance time]]-Table6[[#This Row],[Fault Start TimeStamp]])*24</f>
        <v>0.49999999999999822</v>
      </c>
      <c r="U967" s="35" t="s">
        <v>1928</v>
      </c>
      <c r="V967" s="102" t="s">
        <v>293</v>
      </c>
      <c r="W967" s="478">
        <f>IFERROR(Table6[[#This Row],[Breakdown Time]]*Table6[[#This Row],[Plant Equivalent Weightage]],"")</f>
        <v>1.9230769230769156E-2</v>
      </c>
      <c r="X967" s="473" t="s">
        <v>290</v>
      </c>
      <c r="Y967" s="474" t="s">
        <v>80</v>
      </c>
      <c r="Z967" s="102">
        <v>50547</v>
      </c>
      <c r="AA967" s="468">
        <f>(Table6[[#This Row],[Paired WTG Generation for loss calculation]]/24)*Table6[[#This Row],[Breakdown Time]]</f>
        <v>1053.0624999999964</v>
      </c>
      <c r="AB967" s="102"/>
      <c r="AC967" s="35"/>
      <c r="AD967" s="35"/>
    </row>
    <row r="968" spans="1:30">
      <c r="A968" s="102">
        <f t="shared" si="15"/>
        <v>967</v>
      </c>
      <c r="B968" s="468">
        <f>YEAR(Table6[[#This Row],[Date]])+IF(MONTH(Table6[[#This Row],[Date]])&gt;=4,1,0)</f>
        <v>2026</v>
      </c>
      <c r="C968" s="102">
        <f>YEAR(Table6[[#This Row],[Date]])</f>
        <v>2025</v>
      </c>
      <c r="D968" s="102" t="s">
        <v>1992</v>
      </c>
      <c r="E968" s="469">
        <f>Table6[[#This Row],[Date]]-DAY(Table6[[#This Row],[Date]])+1</f>
        <v>45778</v>
      </c>
      <c r="F968" s="470">
        <v>45808</v>
      </c>
      <c r="G968" s="35" t="s">
        <v>77</v>
      </c>
      <c r="H968" s="35" t="str">
        <f>IFERROR(_xlfn.XLOOKUP(Table6[[#This Row],[Affected WTG]],'Basic Data'!$A:$A,'Basic Data'!$B:$B),"")</f>
        <v>TQGXIIPL</v>
      </c>
      <c r="I968" s="35" t="str">
        <f>IFERROR(_xlfn.XLOOKUP(Table6[[#This Row],[Affected WTG]],'Basic Data'!$A:$A,'Basic Data'!$C:$C),"")</f>
        <v>GEDA</v>
      </c>
      <c r="J968" s="471">
        <f>IFERROR(_xlfn.XLOOKUP(Table6[[#This Row],[Affected WTG]],'Basic Data'!$A:$A,'Basic Data'!$E:$E),"")</f>
        <v>3.846153846153845E-2</v>
      </c>
      <c r="K968" s="102">
        <v>6130</v>
      </c>
      <c r="L968" s="35" t="str">
        <f>IFERROR(_xlfn.XLOOKUP(Table6[[#This Row],[Error Code]],'Basic Data'!$AA:$AA,'Basic Data'!$AB:$AB),"Incorrect Error Code")</f>
        <v>Yaw speed high</v>
      </c>
      <c r="M968" s="35" t="s">
        <v>292</v>
      </c>
      <c r="N968" s="475"/>
      <c r="O968" s="476">
        <v>0.60972222222222228</v>
      </c>
      <c r="P968" s="476">
        <v>0.61388888888888893</v>
      </c>
      <c r="Q968" s="477">
        <v>0.61388888888888893</v>
      </c>
      <c r="R968" s="472">
        <f>IF(Table6[[#This Row],[Work Start TimeStamp]]="","",(Table6[[#This Row],[Work Start TimeStamp]]-Table6[[#This Row],[Fault Start TimeStamp]])*24)</f>
        <v>9.9999999999999645E-2</v>
      </c>
      <c r="S968" s="472">
        <f>(Table6[[#This Row],[Fault Clearance time]]-Table6[[#This Row],[Work Start TimeStamp]])*24</f>
        <v>0</v>
      </c>
      <c r="T968" s="472">
        <f>(Table6[[#This Row],[Fault Clearance time]]-Table6[[#This Row],[Fault Start TimeStamp]])*24</f>
        <v>9.9999999999999645E-2</v>
      </c>
      <c r="U968" s="35" t="s">
        <v>336</v>
      </c>
      <c r="V968" s="102" t="s">
        <v>293</v>
      </c>
      <c r="W968" s="478">
        <f>IFERROR(Table6[[#This Row],[Breakdown Time]]*Table6[[#This Row],[Plant Equivalent Weightage]],"")</f>
        <v>3.8461538461538312E-3</v>
      </c>
      <c r="X968" s="473" t="s">
        <v>294</v>
      </c>
      <c r="Y968" s="474" t="s">
        <v>80</v>
      </c>
      <c r="Z968" s="102">
        <v>50547</v>
      </c>
      <c r="AA968" s="468">
        <f>(Table6[[#This Row],[Paired WTG Generation for loss calculation]]/24)*Table6[[#This Row],[Breakdown Time]]</f>
        <v>210.61249999999924</v>
      </c>
      <c r="AB968" s="102"/>
      <c r="AC968" s="35"/>
      <c r="AD968" s="35"/>
    </row>
    <row r="969" spans="1:30">
      <c r="A969" s="102">
        <f t="shared" si="15"/>
        <v>968</v>
      </c>
      <c r="B969" s="468">
        <f>YEAR(Table6[[#This Row],[Date]])+IF(MONTH(Table6[[#This Row],[Date]])&gt;=4,1,0)</f>
        <v>2026</v>
      </c>
      <c r="C969" s="102">
        <f>YEAR(Table6[[#This Row],[Date]])</f>
        <v>2025</v>
      </c>
      <c r="D969" s="102" t="s">
        <v>1992</v>
      </c>
      <c r="E969" s="469">
        <f>Table6[[#This Row],[Date]]-DAY(Table6[[#This Row],[Date]])+1</f>
        <v>45778</v>
      </c>
      <c r="F969" s="470">
        <v>45808</v>
      </c>
      <c r="G969" s="35" t="s">
        <v>77</v>
      </c>
      <c r="H969" s="35" t="str">
        <f>IFERROR(_xlfn.XLOOKUP(Table6[[#This Row],[Affected WTG]],'Basic Data'!$A:$A,'Basic Data'!$B:$B),"")</f>
        <v>TQGXIIPL</v>
      </c>
      <c r="I969" s="35" t="str">
        <f>IFERROR(_xlfn.XLOOKUP(Table6[[#This Row],[Affected WTG]],'Basic Data'!$A:$A,'Basic Data'!$C:$C),"")</f>
        <v>GEDA</v>
      </c>
      <c r="J969" s="471">
        <f>IFERROR(_xlfn.XLOOKUP(Table6[[#This Row],[Affected WTG]],'Basic Data'!$A:$A,'Basic Data'!$E:$E),"")</f>
        <v>3.846153846153845E-2</v>
      </c>
      <c r="K969" s="102">
        <v>3420</v>
      </c>
      <c r="L969" s="35" t="str">
        <f>IFERROR(_xlfn.XLOOKUP(Table6[[#This Row],[Error Code]],'Basic Data'!$AA:$AA,'Basic Data'!$AB:$AB),"Incorrect Error Code")</f>
        <v>UPS buffer time too short</v>
      </c>
      <c r="M969" s="35" t="s">
        <v>298</v>
      </c>
      <c r="N969" s="475"/>
      <c r="O969" s="476">
        <v>0.66736111111111107</v>
      </c>
      <c r="P969" s="476">
        <v>0.71319444444444446</v>
      </c>
      <c r="Q969" s="477">
        <v>0.71319444444444446</v>
      </c>
      <c r="R969" s="472">
        <f>IF(Table6[[#This Row],[Work Start TimeStamp]]="","",(Table6[[#This Row],[Work Start TimeStamp]]-Table6[[#This Row],[Fault Start TimeStamp]])*24)</f>
        <v>1.1000000000000014</v>
      </c>
      <c r="S969" s="472">
        <f>(Table6[[#This Row],[Fault Clearance time]]-Table6[[#This Row],[Work Start TimeStamp]])*24</f>
        <v>0</v>
      </c>
      <c r="T969" s="472">
        <f>(Table6[[#This Row],[Fault Clearance time]]-Table6[[#This Row],[Fault Start TimeStamp]])*24</f>
        <v>1.1000000000000014</v>
      </c>
      <c r="U969" s="35" t="s">
        <v>1929</v>
      </c>
      <c r="V969" s="102" t="s">
        <v>293</v>
      </c>
      <c r="W969" s="478">
        <f>IFERROR(Table6[[#This Row],[Breakdown Time]]*Table6[[#This Row],[Plant Equivalent Weightage]],"")</f>
        <v>4.2307692307692352E-2</v>
      </c>
      <c r="X969" s="473" t="s">
        <v>290</v>
      </c>
      <c r="Y969" s="474" t="s">
        <v>80</v>
      </c>
      <c r="Z969" s="102">
        <v>50547</v>
      </c>
      <c r="AA969" s="468">
        <f>(Table6[[#This Row],[Paired WTG Generation for loss calculation]]/24)*Table6[[#This Row],[Breakdown Time]]</f>
        <v>2316.7375000000029</v>
      </c>
      <c r="AB969" s="102"/>
      <c r="AC969" s="35"/>
      <c r="AD969" s="35"/>
    </row>
    <row r="970" spans="1:30">
      <c r="A970" s="102">
        <f t="shared" si="15"/>
        <v>969</v>
      </c>
      <c r="B970" s="468">
        <f>YEAR(Table6[[#This Row],[Date]])+IF(MONTH(Table6[[#This Row],[Date]])&gt;=4,1,0)</f>
        <v>2026</v>
      </c>
      <c r="C970" s="102">
        <f>YEAR(Table6[[#This Row],[Date]])</f>
        <v>2025</v>
      </c>
      <c r="D970" s="102" t="s">
        <v>1992</v>
      </c>
      <c r="E970" s="469">
        <f>Table6[[#This Row],[Date]]-DAY(Table6[[#This Row],[Date]])+1</f>
        <v>45778</v>
      </c>
      <c r="F970" s="470">
        <v>45808</v>
      </c>
      <c r="G970" s="35" t="s">
        <v>81</v>
      </c>
      <c r="H970" s="35" t="str">
        <f>IFERROR(_xlfn.XLOOKUP(Table6[[#This Row],[Affected WTG]],'Basic Data'!$A:$A,'Basic Data'!$B:$B),"")</f>
        <v>TQGXIIPL</v>
      </c>
      <c r="I970" s="35" t="str">
        <f>IFERROR(_xlfn.XLOOKUP(Table6[[#This Row],[Affected WTG]],'Basic Data'!$A:$A,'Basic Data'!$C:$C),"")</f>
        <v>GEDA</v>
      </c>
      <c r="J970" s="471">
        <f>IFERROR(_xlfn.XLOOKUP(Table6[[#This Row],[Affected WTG]],'Basic Data'!$A:$A,'Basic Data'!$E:$E),"")</f>
        <v>3.846153846153845E-2</v>
      </c>
      <c r="K970" s="102">
        <v>741</v>
      </c>
      <c r="L970" s="35" t="str">
        <f>IFERROR(_xlfn.XLOOKUP(Table6[[#This Row],[Error Code]],'Basic Data'!$AA:$AA,'Basic Data'!$AB:$AB),"Incorrect Error Code")</f>
        <v>Battery drive trigger by HC</v>
      </c>
      <c r="M970" s="35" t="s">
        <v>292</v>
      </c>
      <c r="N970" s="475"/>
      <c r="O970" s="476">
        <v>0.78749999999999998</v>
      </c>
      <c r="P970" s="476">
        <v>0.78888888888888886</v>
      </c>
      <c r="Q970" s="477">
        <v>0.78888888888888886</v>
      </c>
      <c r="R970" s="472">
        <f>IF(Table6[[#This Row],[Work Start TimeStamp]]="","",(Table6[[#This Row],[Work Start TimeStamp]]-Table6[[#This Row],[Fault Start TimeStamp]])*24)</f>
        <v>3.3333333333333215E-2</v>
      </c>
      <c r="S970" s="472">
        <f>(Table6[[#This Row],[Fault Clearance time]]-Table6[[#This Row],[Work Start TimeStamp]])*24</f>
        <v>0</v>
      </c>
      <c r="T970" s="472">
        <f>(Table6[[#This Row],[Fault Clearance time]]-Table6[[#This Row],[Fault Start TimeStamp]])*24</f>
        <v>3.3333333333333215E-2</v>
      </c>
      <c r="U970" s="35" t="s">
        <v>336</v>
      </c>
      <c r="V970" s="102" t="s">
        <v>293</v>
      </c>
      <c r="W970" s="478">
        <f>IFERROR(Table6[[#This Row],[Breakdown Time]]*Table6[[#This Row],[Plant Equivalent Weightage]],"")</f>
        <v>1.2820512820512771E-3</v>
      </c>
      <c r="X970" s="473" t="s">
        <v>294</v>
      </c>
      <c r="Y970" s="474" t="s">
        <v>99</v>
      </c>
      <c r="Z970" s="102">
        <v>51268</v>
      </c>
      <c r="AA970" s="468">
        <f>(Table6[[#This Row],[Paired WTG Generation for loss calculation]]/24)*Table6[[#This Row],[Breakdown Time]]</f>
        <v>71.205555555555293</v>
      </c>
      <c r="AB970" s="102"/>
      <c r="AC970" s="35"/>
      <c r="AD970" s="35"/>
    </row>
    <row r="971" spans="1:30">
      <c r="A971" s="102">
        <f t="shared" si="15"/>
        <v>970</v>
      </c>
      <c r="B971" s="468">
        <f>YEAR(Table6[[#This Row],[Date]])+IF(MONTH(Table6[[#This Row],[Date]])&gt;=4,1,0)</f>
        <v>2026</v>
      </c>
      <c r="C971" s="102">
        <f>YEAR(Table6[[#This Row],[Date]])</f>
        <v>2025</v>
      </c>
      <c r="D971" s="102" t="s">
        <v>1992</v>
      </c>
      <c r="E971" s="469">
        <f>Table6[[#This Row],[Date]]-DAY(Table6[[#This Row],[Date]])+1</f>
        <v>45778</v>
      </c>
      <c r="F971" s="470">
        <v>45808</v>
      </c>
      <c r="G971" s="35" t="s">
        <v>82</v>
      </c>
      <c r="H971" s="35" t="str">
        <f>IFERROR(_xlfn.XLOOKUP(Table6[[#This Row],[Affected WTG]],'Basic Data'!$A:$A,'Basic Data'!$B:$B),"")</f>
        <v>TQGXIIPL</v>
      </c>
      <c r="I971" s="35" t="str">
        <f>IFERROR(_xlfn.XLOOKUP(Table6[[#This Row],[Affected WTG]],'Basic Data'!$A:$A,'Basic Data'!$C:$C),"")</f>
        <v>GEDA</v>
      </c>
      <c r="J971" s="471">
        <f>IFERROR(_xlfn.XLOOKUP(Table6[[#This Row],[Affected WTG]],'Basic Data'!$A:$A,'Basic Data'!$E:$E),"")</f>
        <v>3.846153846153845E-2</v>
      </c>
      <c r="K971" s="102">
        <v>6130</v>
      </c>
      <c r="L971" s="35" t="str">
        <f>IFERROR(_xlfn.XLOOKUP(Table6[[#This Row],[Error Code]],'Basic Data'!$AA:$AA,'Basic Data'!$AB:$AB),"Incorrect Error Code")</f>
        <v>Yaw speed high</v>
      </c>
      <c r="M971" s="35" t="s">
        <v>292</v>
      </c>
      <c r="N971" s="475"/>
      <c r="O971" s="476">
        <v>0.53402777777777777</v>
      </c>
      <c r="P971" s="476">
        <v>0.53819444444444442</v>
      </c>
      <c r="Q971" s="477">
        <v>0.53819444444444442</v>
      </c>
      <c r="R971" s="472">
        <f>IF(Table6[[#This Row],[Work Start TimeStamp]]="","",(Table6[[#This Row],[Work Start TimeStamp]]-Table6[[#This Row],[Fault Start TimeStamp]])*24)</f>
        <v>9.9999999999999645E-2</v>
      </c>
      <c r="S971" s="472">
        <f>(Table6[[#This Row],[Fault Clearance time]]-Table6[[#This Row],[Work Start TimeStamp]])*24</f>
        <v>0</v>
      </c>
      <c r="T971" s="472">
        <f>(Table6[[#This Row],[Fault Clearance time]]-Table6[[#This Row],[Fault Start TimeStamp]])*24</f>
        <v>9.9999999999999645E-2</v>
      </c>
      <c r="U971" s="35" t="s">
        <v>336</v>
      </c>
      <c r="V971" s="102" t="s">
        <v>293</v>
      </c>
      <c r="W971" s="478">
        <f>IFERROR(Table6[[#This Row],[Breakdown Time]]*Table6[[#This Row],[Plant Equivalent Weightage]],"")</f>
        <v>3.8461538461538312E-3</v>
      </c>
      <c r="X971" s="473" t="s">
        <v>294</v>
      </c>
      <c r="Y971" s="474" t="s">
        <v>76</v>
      </c>
      <c r="Z971" s="102">
        <v>55547</v>
      </c>
      <c r="AA971" s="468">
        <f>(Table6[[#This Row],[Paired WTG Generation for loss calculation]]/24)*Table6[[#This Row],[Breakdown Time]]</f>
        <v>231.44583333333253</v>
      </c>
      <c r="AB971" s="102"/>
      <c r="AC971" s="35"/>
      <c r="AD971" s="35"/>
    </row>
    <row r="972" spans="1:30">
      <c r="A972" s="102">
        <f t="shared" si="15"/>
        <v>971</v>
      </c>
      <c r="B972" s="468">
        <f>YEAR(Table6[[#This Row],[Date]])+IF(MONTH(Table6[[#This Row],[Date]])&gt;=4,1,0)</f>
        <v>2026</v>
      </c>
      <c r="C972" s="102">
        <f>YEAR(Table6[[#This Row],[Date]])</f>
        <v>2025</v>
      </c>
      <c r="D972" s="102" t="s">
        <v>1992</v>
      </c>
      <c r="E972" s="469">
        <f>Table6[[#This Row],[Date]]-DAY(Table6[[#This Row],[Date]])+1</f>
        <v>45778</v>
      </c>
      <c r="F972" s="470">
        <v>45808</v>
      </c>
      <c r="G972" s="35" t="s">
        <v>83</v>
      </c>
      <c r="H972" s="35" t="str">
        <f>IFERROR(_xlfn.XLOOKUP(Table6[[#This Row],[Affected WTG]],'Basic Data'!$A:$A,'Basic Data'!$B:$B),"")</f>
        <v>TQGXIIPL</v>
      </c>
      <c r="I972" s="35" t="str">
        <f>IFERROR(_xlfn.XLOOKUP(Table6[[#This Row],[Affected WTG]],'Basic Data'!$A:$A,'Basic Data'!$C:$C),"")</f>
        <v>GEDA</v>
      </c>
      <c r="J972" s="471">
        <f>IFERROR(_xlfn.XLOOKUP(Table6[[#This Row],[Affected WTG]],'Basic Data'!$A:$A,'Basic Data'!$E:$E),"")</f>
        <v>3.846153846153845E-2</v>
      </c>
      <c r="K972" s="102">
        <v>3271</v>
      </c>
      <c r="L972" s="35" t="str">
        <f>IFERROR(_xlfn.XLOOKUP(Table6[[#This Row],[Error Code]],'Basic Data'!$AA:$AA,'Basic Data'!$AB:$AB),"Incorrect Error Code")</f>
        <v>Converter torque monitor level 1</v>
      </c>
      <c r="M972" s="35" t="s">
        <v>292</v>
      </c>
      <c r="N972" s="475"/>
      <c r="O972" s="476">
        <v>0.70416666666666672</v>
      </c>
      <c r="P972" s="476">
        <v>0.7055555555555556</v>
      </c>
      <c r="Q972" s="477">
        <v>0.7055555555555556</v>
      </c>
      <c r="R972" s="472">
        <f>IF(Table6[[#This Row],[Work Start TimeStamp]]="","",(Table6[[#This Row],[Work Start TimeStamp]]-Table6[[#This Row],[Fault Start TimeStamp]])*24)</f>
        <v>3.3333333333333215E-2</v>
      </c>
      <c r="S972" s="472">
        <f>(Table6[[#This Row],[Fault Clearance time]]-Table6[[#This Row],[Work Start TimeStamp]])*24</f>
        <v>0</v>
      </c>
      <c r="T972" s="472">
        <f>(Table6[[#This Row],[Fault Clearance time]]-Table6[[#This Row],[Fault Start TimeStamp]])*24</f>
        <v>3.3333333333333215E-2</v>
      </c>
      <c r="U972" s="35" t="s">
        <v>336</v>
      </c>
      <c r="V972" s="102" t="s">
        <v>293</v>
      </c>
      <c r="W972" s="478">
        <f>IFERROR(Table6[[#This Row],[Breakdown Time]]*Table6[[#This Row],[Plant Equivalent Weightage]],"")</f>
        <v>1.2820512820512771E-3</v>
      </c>
      <c r="X972" s="473" t="s">
        <v>294</v>
      </c>
      <c r="Y972" s="474" t="s">
        <v>88</v>
      </c>
      <c r="Z972" s="102">
        <v>52780</v>
      </c>
      <c r="AA972" s="468">
        <f>(Table6[[#This Row],[Paired WTG Generation for loss calculation]]/24)*Table6[[#This Row],[Breakdown Time]]</f>
        <v>73.305555555555287</v>
      </c>
      <c r="AB972" s="102"/>
      <c r="AC972" s="35"/>
      <c r="AD972" s="35"/>
    </row>
    <row r="973" spans="1:30">
      <c r="A973" s="102">
        <f t="shared" si="15"/>
        <v>972</v>
      </c>
      <c r="B973" s="468">
        <f>YEAR(Table6[[#This Row],[Date]])+IF(MONTH(Table6[[#This Row],[Date]])&gt;=4,1,0)</f>
        <v>2026</v>
      </c>
      <c r="C973" s="102">
        <f>YEAR(Table6[[#This Row],[Date]])</f>
        <v>2025</v>
      </c>
      <c r="D973" s="102" t="s">
        <v>1992</v>
      </c>
      <c r="E973" s="469">
        <f>Table6[[#This Row],[Date]]-DAY(Table6[[#This Row],[Date]])+1</f>
        <v>45778</v>
      </c>
      <c r="F973" s="470">
        <v>45808</v>
      </c>
      <c r="G973" s="35" t="s">
        <v>83</v>
      </c>
      <c r="H973" s="35" t="str">
        <f>IFERROR(_xlfn.XLOOKUP(Table6[[#This Row],[Affected WTG]],'Basic Data'!$A:$A,'Basic Data'!$B:$B),"")</f>
        <v>TQGXIIPL</v>
      </c>
      <c r="I973" s="35" t="str">
        <f>IFERROR(_xlfn.XLOOKUP(Table6[[#This Row],[Affected WTG]],'Basic Data'!$A:$A,'Basic Data'!$C:$C),"")</f>
        <v>GEDA</v>
      </c>
      <c r="J973" s="471">
        <f>IFERROR(_xlfn.XLOOKUP(Table6[[#This Row],[Affected WTG]],'Basic Data'!$A:$A,'Basic Data'!$E:$E),"")</f>
        <v>3.846153846153845E-2</v>
      </c>
      <c r="K973" s="102">
        <v>3271</v>
      </c>
      <c r="L973" s="35" t="str">
        <f>IFERROR(_xlfn.XLOOKUP(Table6[[#This Row],[Error Code]],'Basic Data'!$AA:$AA,'Basic Data'!$AB:$AB),"Incorrect Error Code")</f>
        <v>Converter torque monitor level 1</v>
      </c>
      <c r="M973" s="35" t="s">
        <v>292</v>
      </c>
      <c r="N973" s="475"/>
      <c r="O973" s="476">
        <v>0.72569444444444442</v>
      </c>
      <c r="P973" s="476">
        <v>0.7270833333333333</v>
      </c>
      <c r="Q973" s="477">
        <v>0.7270833333333333</v>
      </c>
      <c r="R973" s="472">
        <f>IF(Table6[[#This Row],[Work Start TimeStamp]]="","",(Table6[[#This Row],[Work Start TimeStamp]]-Table6[[#This Row],[Fault Start TimeStamp]])*24)</f>
        <v>3.3333333333333215E-2</v>
      </c>
      <c r="S973" s="472">
        <f>(Table6[[#This Row],[Fault Clearance time]]-Table6[[#This Row],[Work Start TimeStamp]])*24</f>
        <v>0</v>
      </c>
      <c r="T973" s="472">
        <f>(Table6[[#This Row],[Fault Clearance time]]-Table6[[#This Row],[Fault Start TimeStamp]])*24</f>
        <v>3.3333333333333215E-2</v>
      </c>
      <c r="U973" s="35" t="s">
        <v>1930</v>
      </c>
      <c r="V973" s="102" t="s">
        <v>293</v>
      </c>
      <c r="W973" s="478">
        <f>IFERROR(Table6[[#This Row],[Breakdown Time]]*Table6[[#This Row],[Plant Equivalent Weightage]],"")</f>
        <v>1.2820512820512771E-3</v>
      </c>
      <c r="X973" s="473" t="s">
        <v>294</v>
      </c>
      <c r="Y973" s="474" t="s">
        <v>88</v>
      </c>
      <c r="Z973" s="102">
        <v>52780</v>
      </c>
      <c r="AA973" s="468">
        <f>(Table6[[#This Row],[Paired WTG Generation for loss calculation]]/24)*Table6[[#This Row],[Breakdown Time]]</f>
        <v>73.305555555555287</v>
      </c>
      <c r="AB973" s="102"/>
      <c r="AC973" s="35"/>
      <c r="AD973" s="35"/>
    </row>
    <row r="974" spans="1:30">
      <c r="A974" s="102">
        <f t="shared" ref="A974:A1037" si="16">A973+1</f>
        <v>973</v>
      </c>
      <c r="B974" s="468">
        <f>YEAR(Table6[[#This Row],[Date]])+IF(MONTH(Table6[[#This Row],[Date]])&gt;=4,1,0)</f>
        <v>2026</v>
      </c>
      <c r="C974" s="102">
        <f>YEAR(Table6[[#This Row],[Date]])</f>
        <v>2025</v>
      </c>
      <c r="D974" s="102" t="s">
        <v>1992</v>
      </c>
      <c r="E974" s="469">
        <f>Table6[[#This Row],[Date]]-DAY(Table6[[#This Row],[Date]])+1</f>
        <v>45778</v>
      </c>
      <c r="F974" s="470">
        <v>45808</v>
      </c>
      <c r="G974" s="35" t="s">
        <v>83</v>
      </c>
      <c r="H974" s="35" t="str">
        <f>IFERROR(_xlfn.XLOOKUP(Table6[[#This Row],[Affected WTG]],'Basic Data'!$A:$A,'Basic Data'!$B:$B),"")</f>
        <v>TQGXIIPL</v>
      </c>
      <c r="I974" s="35" t="str">
        <f>IFERROR(_xlfn.XLOOKUP(Table6[[#This Row],[Affected WTG]],'Basic Data'!$A:$A,'Basic Data'!$C:$C),"")</f>
        <v>GEDA</v>
      </c>
      <c r="J974" s="471">
        <f>IFERROR(_xlfn.XLOOKUP(Table6[[#This Row],[Affected WTG]],'Basic Data'!$A:$A,'Basic Data'!$E:$E),"")</f>
        <v>3.846153846153845E-2</v>
      </c>
      <c r="K974" s="102">
        <v>3271</v>
      </c>
      <c r="L974" s="35" t="str">
        <f>IFERROR(_xlfn.XLOOKUP(Table6[[#This Row],[Error Code]],'Basic Data'!$AA:$AA,'Basic Data'!$AB:$AB),"Incorrect Error Code")</f>
        <v>Converter torque monitor level 1</v>
      </c>
      <c r="M974" s="35" t="s">
        <v>291</v>
      </c>
      <c r="N974" s="475"/>
      <c r="O974" s="476">
        <v>0.8256944444444444</v>
      </c>
      <c r="P974" s="476">
        <v>0.82916666666666672</v>
      </c>
      <c r="Q974" s="477">
        <v>0.82916666666666672</v>
      </c>
      <c r="R974" s="472">
        <f>IF(Table6[[#This Row],[Work Start TimeStamp]]="","",(Table6[[#This Row],[Work Start TimeStamp]]-Table6[[#This Row],[Fault Start TimeStamp]])*24)</f>
        <v>8.3333333333335702E-2</v>
      </c>
      <c r="S974" s="472">
        <f>(Table6[[#This Row],[Fault Clearance time]]-Table6[[#This Row],[Work Start TimeStamp]])*24</f>
        <v>0</v>
      </c>
      <c r="T974" s="472">
        <f>(Table6[[#This Row],[Fault Clearance time]]-Table6[[#This Row],[Fault Start TimeStamp]])*24</f>
        <v>8.3333333333335702E-2</v>
      </c>
      <c r="U974" s="35" t="s">
        <v>1926</v>
      </c>
      <c r="V974" s="102" t="s">
        <v>293</v>
      </c>
      <c r="W974" s="478">
        <f>IFERROR(Table6[[#This Row],[Breakdown Time]]*Table6[[#This Row],[Plant Equivalent Weightage]],"")</f>
        <v>3.2051282051282952E-3</v>
      </c>
      <c r="X974" s="473" t="s">
        <v>294</v>
      </c>
      <c r="Y974" s="474" t="s">
        <v>88</v>
      </c>
      <c r="Z974" s="102">
        <v>52780</v>
      </c>
      <c r="AA974" s="468">
        <f>(Table6[[#This Row],[Paired WTG Generation for loss calculation]]/24)*Table6[[#This Row],[Breakdown Time]]</f>
        <v>183.26388888889409</v>
      </c>
      <c r="AB974" s="102"/>
      <c r="AC974" s="35"/>
      <c r="AD974" s="35"/>
    </row>
    <row r="975" spans="1:30">
      <c r="A975" s="102">
        <f t="shared" si="16"/>
        <v>974</v>
      </c>
      <c r="B975" s="468">
        <f>YEAR(Table6[[#This Row],[Date]])+IF(MONTH(Table6[[#This Row],[Date]])&gt;=4,1,0)</f>
        <v>2026</v>
      </c>
      <c r="C975" s="102">
        <f>YEAR(Table6[[#This Row],[Date]])</f>
        <v>2025</v>
      </c>
      <c r="D975" s="102" t="s">
        <v>1992</v>
      </c>
      <c r="E975" s="469">
        <f>Table6[[#This Row],[Date]]-DAY(Table6[[#This Row],[Date]])+1</f>
        <v>45778</v>
      </c>
      <c r="F975" s="470">
        <v>45808</v>
      </c>
      <c r="G975" s="35" t="s">
        <v>86</v>
      </c>
      <c r="H975" s="35" t="str">
        <f>IFERROR(_xlfn.XLOOKUP(Table6[[#This Row],[Affected WTG]],'Basic Data'!$A:$A,'Basic Data'!$B:$B),"")</f>
        <v>TQGXIIPL</v>
      </c>
      <c r="I975" s="35" t="str">
        <f>IFERROR(_xlfn.XLOOKUP(Table6[[#This Row],[Affected WTG]],'Basic Data'!$A:$A,'Basic Data'!$C:$C),"")</f>
        <v>GEDA</v>
      </c>
      <c r="J975" s="471">
        <f>IFERROR(_xlfn.XLOOKUP(Table6[[#This Row],[Affected WTG]],'Basic Data'!$A:$A,'Basic Data'!$E:$E),"")</f>
        <v>3.846153846153845E-2</v>
      </c>
      <c r="K975" s="102">
        <v>6130</v>
      </c>
      <c r="L975" s="35" t="str">
        <f>IFERROR(_xlfn.XLOOKUP(Table6[[#This Row],[Error Code]],'Basic Data'!$AA:$AA,'Basic Data'!$AB:$AB),"Incorrect Error Code")</f>
        <v>Yaw speed high</v>
      </c>
      <c r="M975" s="35" t="s">
        <v>292</v>
      </c>
      <c r="N975" s="475"/>
      <c r="O975" s="476">
        <v>0.50694444444444442</v>
      </c>
      <c r="P975" s="476">
        <v>0.51111111111111107</v>
      </c>
      <c r="Q975" s="477">
        <v>0.51111111111111107</v>
      </c>
      <c r="R975" s="472">
        <f>IF(Table6[[#This Row],[Work Start TimeStamp]]="","",(Table6[[#This Row],[Work Start TimeStamp]]-Table6[[#This Row],[Fault Start TimeStamp]])*24)</f>
        <v>9.9999999999999645E-2</v>
      </c>
      <c r="S975" s="472">
        <f>(Table6[[#This Row],[Fault Clearance time]]-Table6[[#This Row],[Work Start TimeStamp]])*24</f>
        <v>0</v>
      </c>
      <c r="T975" s="472">
        <f>(Table6[[#This Row],[Fault Clearance time]]-Table6[[#This Row],[Fault Start TimeStamp]])*24</f>
        <v>9.9999999999999645E-2</v>
      </c>
      <c r="U975" s="35" t="s">
        <v>336</v>
      </c>
      <c r="V975" s="102" t="s">
        <v>293</v>
      </c>
      <c r="W975" s="478">
        <f>IFERROR(Table6[[#This Row],[Breakdown Time]]*Table6[[#This Row],[Plant Equivalent Weightage]],"")</f>
        <v>3.8461538461538312E-3</v>
      </c>
      <c r="X975" s="473" t="s">
        <v>294</v>
      </c>
      <c r="Y975" s="474" t="s">
        <v>84</v>
      </c>
      <c r="Z975" s="102">
        <v>54037</v>
      </c>
      <c r="AA975" s="468">
        <f>(Table6[[#This Row],[Paired WTG Generation for loss calculation]]/24)*Table6[[#This Row],[Breakdown Time]]</f>
        <v>225.15416666666584</v>
      </c>
      <c r="AB975" s="102"/>
      <c r="AC975" s="35"/>
      <c r="AD975" s="35"/>
    </row>
    <row r="976" spans="1:30">
      <c r="A976" s="102">
        <f t="shared" si="16"/>
        <v>975</v>
      </c>
      <c r="B976" s="468">
        <f>YEAR(Table6[[#This Row],[Date]])+IF(MONTH(Table6[[#This Row],[Date]])&gt;=4,1,0)</f>
        <v>2026</v>
      </c>
      <c r="C976" s="102">
        <f>YEAR(Table6[[#This Row],[Date]])</f>
        <v>2025</v>
      </c>
      <c r="D976" s="102" t="s">
        <v>1992</v>
      </c>
      <c r="E976" s="469">
        <f>Table6[[#This Row],[Date]]-DAY(Table6[[#This Row],[Date]])+1</f>
        <v>45778</v>
      </c>
      <c r="F976" s="470">
        <v>45808</v>
      </c>
      <c r="G976" s="35" t="s">
        <v>86</v>
      </c>
      <c r="H976" s="35" t="str">
        <f>IFERROR(_xlfn.XLOOKUP(Table6[[#This Row],[Affected WTG]],'Basic Data'!$A:$A,'Basic Data'!$B:$B),"")</f>
        <v>TQGXIIPL</v>
      </c>
      <c r="I976" s="35" t="str">
        <f>IFERROR(_xlfn.XLOOKUP(Table6[[#This Row],[Affected WTG]],'Basic Data'!$A:$A,'Basic Data'!$C:$C),"")</f>
        <v>GEDA</v>
      </c>
      <c r="J976" s="471">
        <f>IFERROR(_xlfn.XLOOKUP(Table6[[#This Row],[Affected WTG]],'Basic Data'!$A:$A,'Basic Data'!$E:$E),"")</f>
        <v>3.846153846153845E-2</v>
      </c>
      <c r="K976" s="102">
        <v>6130</v>
      </c>
      <c r="L976" s="35" t="str">
        <f>IFERROR(_xlfn.XLOOKUP(Table6[[#This Row],[Error Code]],'Basic Data'!$AA:$AA,'Basic Data'!$AB:$AB),"Incorrect Error Code")</f>
        <v>Yaw speed high</v>
      </c>
      <c r="M976" s="35" t="s">
        <v>291</v>
      </c>
      <c r="N976" s="475"/>
      <c r="O976" s="476">
        <v>0.52500000000000002</v>
      </c>
      <c r="P976" s="476">
        <v>0.54374999999999996</v>
      </c>
      <c r="Q976" s="477">
        <v>0.54374999999999996</v>
      </c>
      <c r="R976" s="472">
        <f>IF(Table6[[#This Row],[Work Start TimeStamp]]="","",(Table6[[#This Row],[Work Start TimeStamp]]-Table6[[#This Row],[Fault Start TimeStamp]])*24)</f>
        <v>0.4499999999999984</v>
      </c>
      <c r="S976" s="472">
        <f>(Table6[[#This Row],[Fault Clearance time]]-Table6[[#This Row],[Work Start TimeStamp]])*24</f>
        <v>0</v>
      </c>
      <c r="T976" s="472">
        <f>(Table6[[#This Row],[Fault Clearance time]]-Table6[[#This Row],[Fault Start TimeStamp]])*24</f>
        <v>0.4499999999999984</v>
      </c>
      <c r="U976" s="35" t="s">
        <v>1931</v>
      </c>
      <c r="V976" s="102" t="s">
        <v>293</v>
      </c>
      <c r="W976" s="478">
        <f>IFERROR(Table6[[#This Row],[Breakdown Time]]*Table6[[#This Row],[Plant Equivalent Weightage]],"")</f>
        <v>1.7307692307692239E-2</v>
      </c>
      <c r="X976" s="473" t="s">
        <v>290</v>
      </c>
      <c r="Y976" s="474" t="s">
        <v>84</v>
      </c>
      <c r="Z976" s="102">
        <v>54037</v>
      </c>
      <c r="AA976" s="468">
        <f>(Table6[[#This Row],[Paired WTG Generation for loss calculation]]/24)*Table6[[#This Row],[Breakdown Time]]</f>
        <v>1013.1937499999964</v>
      </c>
      <c r="AB976" s="102"/>
      <c r="AC976" s="35"/>
      <c r="AD976" s="35"/>
    </row>
    <row r="977" spans="1:30">
      <c r="A977" s="102">
        <f t="shared" si="16"/>
        <v>976</v>
      </c>
      <c r="B977" s="468">
        <f>YEAR(Table6[[#This Row],[Date]])+IF(MONTH(Table6[[#This Row],[Date]])&gt;=4,1,0)</f>
        <v>2026</v>
      </c>
      <c r="C977" s="102">
        <f>YEAR(Table6[[#This Row],[Date]])</f>
        <v>2025</v>
      </c>
      <c r="D977" s="102" t="s">
        <v>1992</v>
      </c>
      <c r="E977" s="469">
        <f>Table6[[#This Row],[Date]]-DAY(Table6[[#This Row],[Date]])+1</f>
        <v>45778</v>
      </c>
      <c r="F977" s="470">
        <v>45808</v>
      </c>
      <c r="G977" s="35" t="s">
        <v>86</v>
      </c>
      <c r="H977" s="35" t="str">
        <f>IFERROR(_xlfn.XLOOKUP(Table6[[#This Row],[Affected WTG]],'Basic Data'!$A:$A,'Basic Data'!$B:$B),"")</f>
        <v>TQGXIIPL</v>
      </c>
      <c r="I977" s="35" t="str">
        <f>IFERROR(_xlfn.XLOOKUP(Table6[[#This Row],[Affected WTG]],'Basic Data'!$A:$A,'Basic Data'!$C:$C),"")</f>
        <v>GEDA</v>
      </c>
      <c r="J977" s="471">
        <f>IFERROR(_xlfn.XLOOKUP(Table6[[#This Row],[Affected WTG]],'Basic Data'!$A:$A,'Basic Data'!$E:$E),"")</f>
        <v>3.846153846153845E-2</v>
      </c>
      <c r="K977" s="102">
        <v>1070</v>
      </c>
      <c r="L977" s="35" t="str">
        <f>IFERROR(_xlfn.XLOOKUP(Table6[[#This Row],[Error Code]],'Basic Data'!$AA:$AA,'Basic Data'!$AB:$AB),"Incorrect Error Code")</f>
        <v>Drive train monitor level 2</v>
      </c>
      <c r="M977" s="35" t="s">
        <v>291</v>
      </c>
      <c r="N977" s="475"/>
      <c r="O977" s="476">
        <v>0.72916666666666663</v>
      </c>
      <c r="P977" s="476">
        <v>0.73472222222222228</v>
      </c>
      <c r="Q977" s="477">
        <v>0.73472222222222228</v>
      </c>
      <c r="R977" s="472">
        <f>IF(Table6[[#This Row],[Work Start TimeStamp]]="","",(Table6[[#This Row],[Work Start TimeStamp]]-Table6[[#This Row],[Fault Start TimeStamp]])*24)</f>
        <v>0.13333333333333552</v>
      </c>
      <c r="S977" s="472">
        <f>(Table6[[#This Row],[Fault Clearance time]]-Table6[[#This Row],[Work Start TimeStamp]])*24</f>
        <v>0</v>
      </c>
      <c r="T977" s="472">
        <f>(Table6[[#This Row],[Fault Clearance time]]-Table6[[#This Row],[Fault Start TimeStamp]])*24</f>
        <v>0.13333333333333552</v>
      </c>
      <c r="U977" s="35" t="s">
        <v>1926</v>
      </c>
      <c r="V977" s="102" t="s">
        <v>293</v>
      </c>
      <c r="W977" s="478">
        <f>IFERROR(Table6[[#This Row],[Breakdown Time]]*Table6[[#This Row],[Plant Equivalent Weightage]],"")</f>
        <v>5.1282051282052106E-3</v>
      </c>
      <c r="X977" s="473" t="s">
        <v>290</v>
      </c>
      <c r="Y977" s="474" t="s">
        <v>84</v>
      </c>
      <c r="Z977" s="102">
        <v>54037</v>
      </c>
      <c r="AA977" s="468">
        <f>(Table6[[#This Row],[Paired WTG Generation for loss calculation]]/24)*Table6[[#This Row],[Breakdown Time]]</f>
        <v>300.20555555556047</v>
      </c>
      <c r="AB977" s="102"/>
      <c r="AC977" s="35"/>
      <c r="AD977" s="35"/>
    </row>
    <row r="978" spans="1:30">
      <c r="A978" s="102">
        <f t="shared" si="16"/>
        <v>977</v>
      </c>
      <c r="B978" s="468">
        <f>YEAR(Table6[[#This Row],[Date]])+IF(MONTH(Table6[[#This Row],[Date]])&gt;=4,1,0)</f>
        <v>2026</v>
      </c>
      <c r="C978" s="102">
        <f>YEAR(Table6[[#This Row],[Date]])</f>
        <v>2025</v>
      </c>
      <c r="D978" s="102" t="s">
        <v>1992</v>
      </c>
      <c r="E978" s="469">
        <f>Table6[[#This Row],[Date]]-DAY(Table6[[#This Row],[Date]])+1</f>
        <v>45778</v>
      </c>
      <c r="F978" s="470">
        <v>45808</v>
      </c>
      <c r="G978" s="35" t="s">
        <v>89</v>
      </c>
      <c r="H978" s="35" t="str">
        <f>IFERROR(_xlfn.XLOOKUP(Table6[[#This Row],[Affected WTG]],'Basic Data'!$A:$A,'Basic Data'!$B:$B),"")</f>
        <v>TQGXIIPL</v>
      </c>
      <c r="I978" s="35" t="str">
        <f>IFERROR(_xlfn.XLOOKUP(Table6[[#This Row],[Affected WTG]],'Basic Data'!$A:$A,'Basic Data'!$C:$C),"")</f>
        <v>GEDA</v>
      </c>
      <c r="J978" s="471">
        <f>IFERROR(_xlfn.XLOOKUP(Table6[[#This Row],[Affected WTG]],'Basic Data'!$A:$A,'Basic Data'!$E:$E),"")</f>
        <v>3.846153846153845E-2</v>
      </c>
      <c r="K978" s="102">
        <v>1070</v>
      </c>
      <c r="L978" s="35" t="str">
        <f>IFERROR(_xlfn.XLOOKUP(Table6[[#This Row],[Error Code]],'Basic Data'!$AA:$AA,'Basic Data'!$AB:$AB),"Incorrect Error Code")</f>
        <v>Drive train monitor level 2</v>
      </c>
      <c r="M978" s="35" t="s">
        <v>291</v>
      </c>
      <c r="N978" s="475"/>
      <c r="O978" s="476">
        <v>0.72152777777777777</v>
      </c>
      <c r="P978" s="476">
        <v>0.73055555555555551</v>
      </c>
      <c r="Q978" s="477">
        <v>0.73055555555555551</v>
      </c>
      <c r="R978" s="472">
        <f>IF(Table6[[#This Row],[Work Start TimeStamp]]="","",(Table6[[#This Row],[Work Start TimeStamp]]-Table6[[#This Row],[Fault Start TimeStamp]])*24)</f>
        <v>0.2166666666666659</v>
      </c>
      <c r="S978" s="472">
        <f>(Table6[[#This Row],[Fault Clearance time]]-Table6[[#This Row],[Work Start TimeStamp]])*24</f>
        <v>0</v>
      </c>
      <c r="T978" s="472">
        <f>(Table6[[#This Row],[Fault Clearance time]]-Table6[[#This Row],[Fault Start TimeStamp]])*24</f>
        <v>0.2166666666666659</v>
      </c>
      <c r="U978" s="35" t="s">
        <v>1926</v>
      </c>
      <c r="V978" s="102" t="s">
        <v>293</v>
      </c>
      <c r="W978" s="478">
        <f>IFERROR(Table6[[#This Row],[Breakdown Time]]*Table6[[#This Row],[Plant Equivalent Weightage]],"")</f>
        <v>8.333333333333302E-3</v>
      </c>
      <c r="X978" s="473" t="s">
        <v>290</v>
      </c>
      <c r="Y978" s="474" t="s">
        <v>94</v>
      </c>
      <c r="Z978" s="102">
        <v>47315</v>
      </c>
      <c r="AA978" s="468">
        <f>(Table6[[#This Row],[Paired WTG Generation for loss calculation]]/24)*Table6[[#This Row],[Breakdown Time]]</f>
        <v>427.14930555555401</v>
      </c>
      <c r="AB978" s="102"/>
      <c r="AC978" s="35"/>
      <c r="AD978" s="35"/>
    </row>
    <row r="979" spans="1:30">
      <c r="A979" s="102">
        <f t="shared" si="16"/>
        <v>978</v>
      </c>
      <c r="B979" s="468">
        <f>YEAR(Table6[[#This Row],[Date]])+IF(MONTH(Table6[[#This Row],[Date]])&gt;=4,1,0)</f>
        <v>2026</v>
      </c>
      <c r="C979" s="102">
        <f>YEAR(Table6[[#This Row],[Date]])</f>
        <v>2025</v>
      </c>
      <c r="D979" s="102" t="s">
        <v>1992</v>
      </c>
      <c r="E979" s="469">
        <f>Table6[[#This Row],[Date]]-DAY(Table6[[#This Row],[Date]])+1</f>
        <v>45778</v>
      </c>
      <c r="F979" s="470">
        <v>45808</v>
      </c>
      <c r="G979" s="35" t="s">
        <v>91</v>
      </c>
      <c r="H979" s="35" t="str">
        <f>IFERROR(_xlfn.XLOOKUP(Table6[[#This Row],[Affected WTG]],'Basic Data'!$A:$A,'Basic Data'!$B:$B),"")</f>
        <v>TQGXIIPL</v>
      </c>
      <c r="I979" s="35" t="str">
        <f>IFERROR(_xlfn.XLOOKUP(Table6[[#This Row],[Affected WTG]],'Basic Data'!$A:$A,'Basic Data'!$C:$C),"")</f>
        <v>GEDA</v>
      </c>
      <c r="J979" s="471">
        <f>IFERROR(_xlfn.XLOOKUP(Table6[[#This Row],[Affected WTG]],'Basic Data'!$A:$A,'Basic Data'!$E:$E),"")</f>
        <v>3.846153846153845E-2</v>
      </c>
      <c r="K979" s="102">
        <v>6130</v>
      </c>
      <c r="L979" s="35" t="str">
        <f>IFERROR(_xlfn.XLOOKUP(Table6[[#This Row],[Error Code]],'Basic Data'!$AA:$AA,'Basic Data'!$AB:$AB),"Incorrect Error Code")</f>
        <v>Yaw speed high</v>
      </c>
      <c r="M979" s="35" t="s">
        <v>292</v>
      </c>
      <c r="N979" s="475"/>
      <c r="O979" s="476">
        <v>0.57013888888888886</v>
      </c>
      <c r="P979" s="476">
        <v>0.57499999999999996</v>
      </c>
      <c r="Q979" s="477">
        <v>0.57499999999999996</v>
      </c>
      <c r="R979" s="472">
        <f>IF(Table6[[#This Row],[Work Start TimeStamp]]="","",(Table6[[#This Row],[Work Start TimeStamp]]-Table6[[#This Row],[Fault Start TimeStamp]])*24)</f>
        <v>0.11666666666666625</v>
      </c>
      <c r="S979" s="472">
        <f>(Table6[[#This Row],[Fault Clearance time]]-Table6[[#This Row],[Work Start TimeStamp]])*24</f>
        <v>0</v>
      </c>
      <c r="T979" s="472">
        <f>(Table6[[#This Row],[Fault Clearance time]]-Table6[[#This Row],[Fault Start TimeStamp]])*24</f>
        <v>0.11666666666666625</v>
      </c>
      <c r="U979" s="35" t="s">
        <v>336</v>
      </c>
      <c r="V979" s="102" t="s">
        <v>293</v>
      </c>
      <c r="W979" s="478">
        <f>IFERROR(Table6[[#This Row],[Breakdown Time]]*Table6[[#This Row],[Plant Equivalent Weightage]],"")</f>
        <v>4.4871794871794695E-3</v>
      </c>
      <c r="X979" s="473" t="s">
        <v>294</v>
      </c>
      <c r="Y979" s="474" t="s">
        <v>79</v>
      </c>
      <c r="Z979" s="102">
        <v>47521</v>
      </c>
      <c r="AA979" s="468">
        <f>(Table6[[#This Row],[Paired WTG Generation for loss calculation]]/24)*Table6[[#This Row],[Breakdown Time]]</f>
        <v>231.0048611111103</v>
      </c>
      <c r="AB979" s="102"/>
      <c r="AC979" s="35"/>
      <c r="AD979" s="35"/>
    </row>
    <row r="980" spans="1:30">
      <c r="A980" s="102">
        <f t="shared" si="16"/>
        <v>979</v>
      </c>
      <c r="B980" s="468">
        <f>YEAR(Table6[[#This Row],[Date]])+IF(MONTH(Table6[[#This Row],[Date]])&gt;=4,1,0)</f>
        <v>2026</v>
      </c>
      <c r="C980" s="102">
        <f>YEAR(Table6[[#This Row],[Date]])</f>
        <v>2025</v>
      </c>
      <c r="D980" s="102" t="s">
        <v>1992</v>
      </c>
      <c r="E980" s="469">
        <f>Table6[[#This Row],[Date]]-DAY(Table6[[#This Row],[Date]])+1</f>
        <v>45778</v>
      </c>
      <c r="F980" s="470">
        <v>45808</v>
      </c>
      <c r="G980" s="35" t="s">
        <v>93</v>
      </c>
      <c r="H980" s="35" t="str">
        <f>IFERROR(_xlfn.XLOOKUP(Table6[[#This Row],[Affected WTG]],'Basic Data'!$A:$A,'Basic Data'!$B:$B),"")</f>
        <v>TQGXIIPL</v>
      </c>
      <c r="I980" s="35" t="str">
        <f>IFERROR(_xlfn.XLOOKUP(Table6[[#This Row],[Affected WTG]],'Basic Data'!$A:$A,'Basic Data'!$C:$C),"")</f>
        <v>GEDA</v>
      </c>
      <c r="J980" s="471">
        <f>IFERROR(_xlfn.XLOOKUP(Table6[[#This Row],[Affected WTG]],'Basic Data'!$A:$A,'Basic Data'!$E:$E),"")</f>
        <v>3.846153846153845E-2</v>
      </c>
      <c r="K980" s="102">
        <v>6130</v>
      </c>
      <c r="L980" s="35" t="str">
        <f>IFERROR(_xlfn.XLOOKUP(Table6[[#This Row],[Error Code]],'Basic Data'!$AA:$AA,'Basic Data'!$AB:$AB),"Incorrect Error Code")</f>
        <v>Yaw speed high</v>
      </c>
      <c r="M980" s="35" t="s">
        <v>292</v>
      </c>
      <c r="N980" s="475"/>
      <c r="O980" s="476">
        <v>0.49583333333333335</v>
      </c>
      <c r="P980" s="476">
        <v>0.5</v>
      </c>
      <c r="Q980" s="477">
        <v>0.5</v>
      </c>
      <c r="R980" s="472">
        <f>IF(Table6[[#This Row],[Work Start TimeStamp]]="","",(Table6[[#This Row],[Work Start TimeStamp]]-Table6[[#This Row],[Fault Start TimeStamp]])*24)</f>
        <v>9.9999999999999645E-2</v>
      </c>
      <c r="S980" s="472">
        <f>(Table6[[#This Row],[Fault Clearance time]]-Table6[[#This Row],[Work Start TimeStamp]])*24</f>
        <v>0</v>
      </c>
      <c r="T980" s="472">
        <f>(Table6[[#This Row],[Fault Clearance time]]-Table6[[#This Row],[Fault Start TimeStamp]])*24</f>
        <v>9.9999999999999645E-2</v>
      </c>
      <c r="U980" s="35" t="s">
        <v>336</v>
      </c>
      <c r="V980" s="102" t="s">
        <v>293</v>
      </c>
      <c r="W980" s="478">
        <f>IFERROR(Table6[[#This Row],[Breakdown Time]]*Table6[[#This Row],[Plant Equivalent Weightage]],"")</f>
        <v>3.8461538461538312E-3</v>
      </c>
      <c r="X980" s="473" t="s">
        <v>294</v>
      </c>
      <c r="Y980" s="474" t="s">
        <v>97</v>
      </c>
      <c r="Z980" s="102">
        <v>47157</v>
      </c>
      <c r="AA980" s="468">
        <f>(Table6[[#This Row],[Paired WTG Generation for loss calculation]]/24)*Table6[[#This Row],[Breakdown Time]]</f>
        <v>196.4874999999993</v>
      </c>
      <c r="AB980" s="102"/>
      <c r="AC980" s="35"/>
      <c r="AD980" s="35"/>
    </row>
    <row r="981" spans="1:30">
      <c r="A981" s="102">
        <f t="shared" si="16"/>
        <v>980</v>
      </c>
      <c r="B981" s="468">
        <f>YEAR(Table6[[#This Row],[Date]])+IF(MONTH(Table6[[#This Row],[Date]])&gt;=4,1,0)</f>
        <v>2026</v>
      </c>
      <c r="C981" s="102">
        <f>YEAR(Table6[[#This Row],[Date]])</f>
        <v>2025</v>
      </c>
      <c r="D981" s="102" t="s">
        <v>1992</v>
      </c>
      <c r="E981" s="469">
        <f>Table6[[#This Row],[Date]]-DAY(Table6[[#This Row],[Date]])+1</f>
        <v>45778</v>
      </c>
      <c r="F981" s="470">
        <v>45808</v>
      </c>
      <c r="G981" s="35" t="s">
        <v>96</v>
      </c>
      <c r="H981" s="35" t="str">
        <f>IFERROR(_xlfn.XLOOKUP(Table6[[#This Row],[Affected WTG]],'Basic Data'!$A:$A,'Basic Data'!$B:$B),"")</f>
        <v>TQGXIIPL</v>
      </c>
      <c r="I981" s="35" t="str">
        <f>IFERROR(_xlfn.XLOOKUP(Table6[[#This Row],[Affected WTG]],'Basic Data'!$A:$A,'Basic Data'!$C:$C),"")</f>
        <v>GEDA</v>
      </c>
      <c r="J981" s="471">
        <f>IFERROR(_xlfn.XLOOKUP(Table6[[#This Row],[Affected WTG]],'Basic Data'!$A:$A,'Basic Data'!$E:$E),"")</f>
        <v>3.846153846153845E-2</v>
      </c>
      <c r="K981" s="102">
        <v>6130</v>
      </c>
      <c r="L981" s="35" t="str">
        <f>IFERROR(_xlfn.XLOOKUP(Table6[[#This Row],[Error Code]],'Basic Data'!$AA:$AA,'Basic Data'!$AB:$AB),"Incorrect Error Code")</f>
        <v>Yaw speed high</v>
      </c>
      <c r="M981" s="35" t="s">
        <v>292</v>
      </c>
      <c r="N981" s="475"/>
      <c r="O981" s="476">
        <v>0.5180555555555556</v>
      </c>
      <c r="P981" s="476">
        <v>0.52222222222222225</v>
      </c>
      <c r="Q981" s="477">
        <v>0.52222222222222225</v>
      </c>
      <c r="R981" s="472">
        <f>IF(Table6[[#This Row],[Work Start TimeStamp]]="","",(Table6[[#This Row],[Work Start TimeStamp]]-Table6[[#This Row],[Fault Start TimeStamp]])*24)</f>
        <v>9.9999999999999645E-2</v>
      </c>
      <c r="S981" s="472">
        <f>(Table6[[#This Row],[Fault Clearance time]]-Table6[[#This Row],[Work Start TimeStamp]])*24</f>
        <v>0</v>
      </c>
      <c r="T981" s="472">
        <f>(Table6[[#This Row],[Fault Clearance time]]-Table6[[#This Row],[Fault Start TimeStamp]])*24</f>
        <v>9.9999999999999645E-2</v>
      </c>
      <c r="U981" s="35" t="s">
        <v>336</v>
      </c>
      <c r="V981" s="102" t="s">
        <v>293</v>
      </c>
      <c r="W981" s="478">
        <f>IFERROR(Table6[[#This Row],[Breakdown Time]]*Table6[[#This Row],[Plant Equivalent Weightage]],"")</f>
        <v>3.8461538461538312E-3</v>
      </c>
      <c r="X981" s="473" t="s">
        <v>294</v>
      </c>
      <c r="Y981" s="474" t="s">
        <v>84</v>
      </c>
      <c r="Z981" s="102">
        <v>54037</v>
      </c>
      <c r="AA981" s="468">
        <f>(Table6[[#This Row],[Paired WTG Generation for loss calculation]]/24)*Table6[[#This Row],[Breakdown Time]]</f>
        <v>225.15416666666584</v>
      </c>
      <c r="AB981" s="102"/>
      <c r="AC981" s="35"/>
      <c r="AD981" s="35"/>
    </row>
    <row r="982" spans="1:30">
      <c r="A982" s="102">
        <f t="shared" si="16"/>
        <v>981</v>
      </c>
      <c r="B982" s="468">
        <f>YEAR(Table6[[#This Row],[Date]])+IF(MONTH(Table6[[#This Row],[Date]])&gt;=4,1,0)</f>
        <v>2026</v>
      </c>
      <c r="C982" s="102">
        <f>YEAR(Table6[[#This Row],[Date]])</f>
        <v>2025</v>
      </c>
      <c r="D982" s="102" t="s">
        <v>1992</v>
      </c>
      <c r="E982" s="469">
        <f>Table6[[#This Row],[Date]]-DAY(Table6[[#This Row],[Date]])+1</f>
        <v>45778</v>
      </c>
      <c r="F982" s="470">
        <v>45808</v>
      </c>
      <c r="G982" s="35" t="s">
        <v>97</v>
      </c>
      <c r="H982" s="35" t="str">
        <f>IFERROR(_xlfn.XLOOKUP(Table6[[#This Row],[Affected WTG]],'Basic Data'!$A:$A,'Basic Data'!$B:$B),"")</f>
        <v>TQGXIIPL</v>
      </c>
      <c r="I982" s="35" t="str">
        <f>IFERROR(_xlfn.XLOOKUP(Table6[[#This Row],[Affected WTG]],'Basic Data'!$A:$A,'Basic Data'!$C:$C),"")</f>
        <v>GEDA</v>
      </c>
      <c r="J982" s="471">
        <f>IFERROR(_xlfn.XLOOKUP(Table6[[#This Row],[Affected WTG]],'Basic Data'!$A:$A,'Basic Data'!$E:$E),"")</f>
        <v>3.846153846153845E-2</v>
      </c>
      <c r="K982" s="102">
        <v>1070</v>
      </c>
      <c r="L982" s="35" t="str">
        <f>IFERROR(_xlfn.XLOOKUP(Table6[[#This Row],[Error Code]],'Basic Data'!$AA:$AA,'Basic Data'!$AB:$AB),"Incorrect Error Code")</f>
        <v>Drive train monitor level 2</v>
      </c>
      <c r="M982" s="35" t="s">
        <v>292</v>
      </c>
      <c r="N982" s="475"/>
      <c r="O982" s="476">
        <v>0.71736111111111112</v>
      </c>
      <c r="P982" s="476">
        <v>0.71944444444444444</v>
      </c>
      <c r="Q982" s="477">
        <v>0.71944444444444444</v>
      </c>
      <c r="R982" s="472">
        <f>IF(Table6[[#This Row],[Work Start TimeStamp]]="","",(Table6[[#This Row],[Work Start TimeStamp]]-Table6[[#This Row],[Fault Start TimeStamp]])*24)</f>
        <v>4.9999999999999822E-2</v>
      </c>
      <c r="S982" s="472">
        <f>(Table6[[#This Row],[Fault Clearance time]]-Table6[[#This Row],[Work Start TimeStamp]])*24</f>
        <v>0</v>
      </c>
      <c r="T982" s="472">
        <f>(Table6[[#This Row],[Fault Clearance time]]-Table6[[#This Row],[Fault Start TimeStamp]])*24</f>
        <v>4.9999999999999822E-2</v>
      </c>
      <c r="U982" s="35" t="s">
        <v>336</v>
      </c>
      <c r="V982" s="102" t="s">
        <v>293</v>
      </c>
      <c r="W982" s="478">
        <f>IFERROR(Table6[[#This Row],[Breakdown Time]]*Table6[[#This Row],[Plant Equivalent Weightage]],"")</f>
        <v>1.9230769230769156E-3</v>
      </c>
      <c r="X982" s="473" t="s">
        <v>294</v>
      </c>
      <c r="Y982" s="474" t="s">
        <v>93</v>
      </c>
      <c r="Z982" s="102">
        <v>47567</v>
      </c>
      <c r="AA982" s="468">
        <f>(Table6[[#This Row],[Paired WTG Generation for loss calculation]]/24)*Table6[[#This Row],[Breakdown Time]]</f>
        <v>99.097916666666308</v>
      </c>
      <c r="AB982" s="102"/>
      <c r="AC982" s="35"/>
      <c r="AD982" s="35"/>
    </row>
    <row r="983" spans="1:30">
      <c r="A983" s="102">
        <f t="shared" si="16"/>
        <v>982</v>
      </c>
      <c r="B983" s="468">
        <f>YEAR(Table6[[#This Row],[Date]])+IF(MONTH(Table6[[#This Row],[Date]])&gt;=4,1,0)</f>
        <v>2026</v>
      </c>
      <c r="C983" s="102">
        <f>YEAR(Table6[[#This Row],[Date]])</f>
        <v>2025</v>
      </c>
      <c r="D983" s="102" t="s">
        <v>1992</v>
      </c>
      <c r="E983" s="469">
        <f>Table6[[#This Row],[Date]]-DAY(Table6[[#This Row],[Date]])+1</f>
        <v>45778</v>
      </c>
      <c r="F983" s="470">
        <v>45808</v>
      </c>
      <c r="G983" s="35" t="s">
        <v>98</v>
      </c>
      <c r="H983" s="35" t="str">
        <f>IFERROR(_xlfn.XLOOKUP(Table6[[#This Row],[Affected WTG]],'Basic Data'!$A:$A,'Basic Data'!$B:$B),"")</f>
        <v>TQGXIIPL</v>
      </c>
      <c r="I983" s="35" t="str">
        <f>IFERROR(_xlfn.XLOOKUP(Table6[[#This Row],[Affected WTG]],'Basic Data'!$A:$A,'Basic Data'!$C:$C),"")</f>
        <v>GEDA</v>
      </c>
      <c r="J983" s="471">
        <f>IFERROR(_xlfn.XLOOKUP(Table6[[#This Row],[Affected WTG]],'Basic Data'!$A:$A,'Basic Data'!$E:$E),"")</f>
        <v>3.846153846153845E-2</v>
      </c>
      <c r="K983" s="102">
        <v>1700</v>
      </c>
      <c r="L983" s="35" t="str">
        <f>IFERROR(_xlfn.XLOOKUP(Table6[[#This Row],[Error Code]],'Basic Data'!$AA:$AA,'Basic Data'!$AB:$AB),"Incorrect Error Code")</f>
        <v>High temp. gear bearing 1</v>
      </c>
      <c r="M983" s="35" t="s">
        <v>291</v>
      </c>
      <c r="N983" s="475"/>
      <c r="O983" s="476">
        <v>0.68819444444444444</v>
      </c>
      <c r="P983" s="476">
        <v>0.69861111111111107</v>
      </c>
      <c r="Q983" s="477">
        <v>0.69861111111111107</v>
      </c>
      <c r="R983" s="472">
        <f>IF(Table6[[#This Row],[Work Start TimeStamp]]="","",(Table6[[#This Row],[Work Start TimeStamp]]-Table6[[#This Row],[Fault Start TimeStamp]])*24)</f>
        <v>0.24999999999999911</v>
      </c>
      <c r="S983" s="472">
        <f>(Table6[[#This Row],[Fault Clearance time]]-Table6[[#This Row],[Work Start TimeStamp]])*24</f>
        <v>0</v>
      </c>
      <c r="T983" s="472">
        <f>(Table6[[#This Row],[Fault Clearance time]]-Table6[[#This Row],[Fault Start TimeStamp]])*24</f>
        <v>0.24999999999999911</v>
      </c>
      <c r="U983" s="35" t="s">
        <v>1926</v>
      </c>
      <c r="V983" s="102" t="s">
        <v>293</v>
      </c>
      <c r="W983" s="478">
        <f>IFERROR(Table6[[#This Row],[Breakdown Time]]*Table6[[#This Row],[Plant Equivalent Weightage]],"")</f>
        <v>9.6153846153845778E-3</v>
      </c>
      <c r="X983" s="473" t="s">
        <v>290</v>
      </c>
      <c r="Y983" s="474" t="s">
        <v>74</v>
      </c>
      <c r="Z983" s="102">
        <v>54328</v>
      </c>
      <c r="AA983" s="468">
        <f>(Table6[[#This Row],[Paired WTG Generation for loss calculation]]/24)*Table6[[#This Row],[Breakdown Time]]</f>
        <v>565.91666666666458</v>
      </c>
      <c r="AB983" s="102"/>
      <c r="AC983" s="35"/>
      <c r="AD983" s="35"/>
    </row>
    <row r="984" spans="1:30">
      <c r="A984" s="102">
        <f t="shared" si="16"/>
        <v>983</v>
      </c>
      <c r="B984" s="468">
        <f>YEAR(Table6[[#This Row],[Date]])+IF(MONTH(Table6[[#This Row],[Date]])&gt;=4,1,0)</f>
        <v>2026</v>
      </c>
      <c r="C984" s="102">
        <f>YEAR(Table6[[#This Row],[Date]])</f>
        <v>2025</v>
      </c>
      <c r="D984" s="102" t="s">
        <v>1992</v>
      </c>
      <c r="E984" s="469">
        <f>Table6[[#This Row],[Date]]-DAY(Table6[[#This Row],[Date]])+1</f>
        <v>45778</v>
      </c>
      <c r="F984" s="470">
        <v>45808</v>
      </c>
      <c r="G984" s="35" t="s">
        <v>99</v>
      </c>
      <c r="H984" s="35" t="str">
        <f>IFERROR(_xlfn.XLOOKUP(Table6[[#This Row],[Affected WTG]],'Basic Data'!$A:$A,'Basic Data'!$B:$B),"")</f>
        <v>TQGXIIPL</v>
      </c>
      <c r="I984" s="35" t="str">
        <f>IFERROR(_xlfn.XLOOKUP(Table6[[#This Row],[Affected WTG]],'Basic Data'!$A:$A,'Basic Data'!$C:$C),"")</f>
        <v>GEDA</v>
      </c>
      <c r="J984" s="471">
        <f>IFERROR(_xlfn.XLOOKUP(Table6[[#This Row],[Affected WTG]],'Basic Data'!$A:$A,'Basic Data'!$E:$E),"")</f>
        <v>3.846153846153845E-2</v>
      </c>
      <c r="K984" s="102">
        <v>6130</v>
      </c>
      <c r="L984" s="35" t="str">
        <f>IFERROR(_xlfn.XLOOKUP(Table6[[#This Row],[Error Code]],'Basic Data'!$AA:$AA,'Basic Data'!$AB:$AB),"Incorrect Error Code")</f>
        <v>Yaw speed high</v>
      </c>
      <c r="M984" s="35" t="s">
        <v>292</v>
      </c>
      <c r="N984" s="475"/>
      <c r="O984" s="476">
        <v>0.52222222222222225</v>
      </c>
      <c r="P984" s="476">
        <v>0.52430555555555558</v>
      </c>
      <c r="Q984" s="477">
        <v>0.52430555555555558</v>
      </c>
      <c r="R984" s="472">
        <f>IF(Table6[[#This Row],[Work Start TimeStamp]]="","",(Table6[[#This Row],[Work Start TimeStamp]]-Table6[[#This Row],[Fault Start TimeStamp]])*24)</f>
        <v>4.9999999999999822E-2</v>
      </c>
      <c r="S984" s="472">
        <f>(Table6[[#This Row],[Fault Clearance time]]-Table6[[#This Row],[Work Start TimeStamp]])*24</f>
        <v>0</v>
      </c>
      <c r="T984" s="472">
        <f>(Table6[[#This Row],[Fault Clearance time]]-Table6[[#This Row],[Fault Start TimeStamp]])*24</f>
        <v>4.9999999999999822E-2</v>
      </c>
      <c r="U984" s="35" t="s">
        <v>336</v>
      </c>
      <c r="V984" s="102" t="s">
        <v>293</v>
      </c>
      <c r="W984" s="478">
        <f>IFERROR(Table6[[#This Row],[Breakdown Time]]*Table6[[#This Row],[Plant Equivalent Weightage]],"")</f>
        <v>1.9230769230769156E-3</v>
      </c>
      <c r="X984" s="473" t="s">
        <v>294</v>
      </c>
      <c r="Y984" s="474" t="s">
        <v>74</v>
      </c>
      <c r="Z984" s="102">
        <v>54328</v>
      </c>
      <c r="AA984" s="468">
        <f>(Table6[[#This Row],[Paired WTG Generation for loss calculation]]/24)*Table6[[#This Row],[Breakdown Time]]</f>
        <v>113.18333333333293</v>
      </c>
      <c r="AB984" s="102"/>
      <c r="AC984" s="35"/>
      <c r="AD984" s="35"/>
    </row>
    <row r="985" spans="1:30">
      <c r="A985" s="102">
        <f t="shared" si="16"/>
        <v>984</v>
      </c>
      <c r="B985" s="468">
        <f>YEAR(Table6[[#This Row],[Date]])+IF(MONTH(Table6[[#This Row],[Date]])&gt;=4,1,0)</f>
        <v>2026</v>
      </c>
      <c r="C985" s="102">
        <f>YEAR(Table6[[#This Row],[Date]])</f>
        <v>2025</v>
      </c>
      <c r="D985" s="102" t="s">
        <v>1992</v>
      </c>
      <c r="E985" s="469">
        <f>Table6[[#This Row],[Date]]-DAY(Table6[[#This Row],[Date]])+1</f>
        <v>45778</v>
      </c>
      <c r="F985" s="470">
        <v>45808</v>
      </c>
      <c r="G985" s="35" t="s">
        <v>83</v>
      </c>
      <c r="H985" s="35" t="str">
        <f>IFERROR(_xlfn.XLOOKUP(Table6[[#This Row],[Affected WTG]],'Basic Data'!$A:$A,'Basic Data'!$B:$B),"")</f>
        <v>TQGXIIPL</v>
      </c>
      <c r="I985" s="35" t="str">
        <f>IFERROR(_xlfn.XLOOKUP(Table6[[#This Row],[Affected WTG]],'Basic Data'!$A:$A,'Basic Data'!$C:$C),"")</f>
        <v>GEDA</v>
      </c>
      <c r="J985" s="471">
        <f>IFERROR(_xlfn.XLOOKUP(Table6[[#This Row],[Affected WTG]],'Basic Data'!$A:$A,'Basic Data'!$E:$E),"")</f>
        <v>3.846153846153845E-2</v>
      </c>
      <c r="K985" s="102">
        <v>6130</v>
      </c>
      <c r="L985" s="35" t="str">
        <f>IFERROR(_xlfn.XLOOKUP(Table6[[#This Row],[Error Code]],'Basic Data'!$AA:$AA,'Basic Data'!$AB:$AB),"Incorrect Error Code")</f>
        <v>Yaw speed high</v>
      </c>
      <c r="M985" s="35" t="s">
        <v>292</v>
      </c>
      <c r="N985" s="475"/>
      <c r="O985" s="476">
        <v>0.57222222222222219</v>
      </c>
      <c r="P985" s="476">
        <v>0.57638888888888884</v>
      </c>
      <c r="Q985" s="477">
        <v>0.57638888888888884</v>
      </c>
      <c r="R985" s="472">
        <f>IF(Table6[[#This Row],[Work Start TimeStamp]]="","",(Table6[[#This Row],[Work Start TimeStamp]]-Table6[[#This Row],[Fault Start TimeStamp]])*24)</f>
        <v>9.9999999999999645E-2</v>
      </c>
      <c r="S985" s="472">
        <f>(Table6[[#This Row],[Fault Clearance time]]-Table6[[#This Row],[Work Start TimeStamp]])*24</f>
        <v>0</v>
      </c>
      <c r="T985" s="472">
        <f>(Table6[[#This Row],[Fault Clearance time]]-Table6[[#This Row],[Fault Start TimeStamp]])*24</f>
        <v>9.9999999999999645E-2</v>
      </c>
      <c r="U985" s="35" t="s">
        <v>336</v>
      </c>
      <c r="V985" s="102" t="s">
        <v>293</v>
      </c>
      <c r="W985" s="478">
        <f>IFERROR(Table6[[#This Row],[Breakdown Time]]*Table6[[#This Row],[Plant Equivalent Weightage]],"")</f>
        <v>3.8461538461538312E-3</v>
      </c>
      <c r="X985" s="473" t="s">
        <v>294</v>
      </c>
      <c r="Y985" s="474" t="s">
        <v>88</v>
      </c>
      <c r="Z985" s="102">
        <v>52780</v>
      </c>
      <c r="AA985" s="468">
        <f>(Table6[[#This Row],[Paired WTG Generation for loss calculation]]/24)*Table6[[#This Row],[Breakdown Time]]</f>
        <v>219.91666666666586</v>
      </c>
      <c r="AB985" s="102"/>
      <c r="AC985" s="35"/>
      <c r="AD985" s="35"/>
    </row>
    <row r="986" spans="1:30">
      <c r="A986" s="102">
        <f t="shared" si="16"/>
        <v>985</v>
      </c>
      <c r="B986" s="468">
        <f>YEAR(Table6[[#This Row],[Date]])+IF(MONTH(Table6[[#This Row],[Date]])&gt;=4,1,0)</f>
        <v>2026</v>
      </c>
      <c r="C986" s="102">
        <f>YEAR(Table6[[#This Row],[Date]])</f>
        <v>2025</v>
      </c>
      <c r="D986" s="102" t="s">
        <v>1992</v>
      </c>
      <c r="E986" s="469">
        <f>Table6[[#This Row],[Date]]-DAY(Table6[[#This Row],[Date]])+1</f>
        <v>45778</v>
      </c>
      <c r="F986" s="470">
        <v>45808</v>
      </c>
      <c r="G986" s="35" t="s">
        <v>83</v>
      </c>
      <c r="H986" s="35" t="str">
        <f>IFERROR(_xlfn.XLOOKUP(Table6[[#This Row],[Affected WTG]],'Basic Data'!$A:$A,'Basic Data'!$B:$B),"")</f>
        <v>TQGXIIPL</v>
      </c>
      <c r="I986" s="35" t="str">
        <f>IFERROR(_xlfn.XLOOKUP(Table6[[#This Row],[Affected WTG]],'Basic Data'!$A:$A,'Basic Data'!$C:$C),"")</f>
        <v>GEDA</v>
      </c>
      <c r="J986" s="471">
        <f>IFERROR(_xlfn.XLOOKUP(Table6[[#This Row],[Affected WTG]],'Basic Data'!$A:$A,'Basic Data'!$E:$E),"")</f>
        <v>3.846153846153845E-2</v>
      </c>
      <c r="K986" s="102">
        <v>6130</v>
      </c>
      <c r="L986" s="35" t="str">
        <f>IFERROR(_xlfn.XLOOKUP(Table6[[#This Row],[Error Code]],'Basic Data'!$AA:$AA,'Basic Data'!$AB:$AB),"Incorrect Error Code")</f>
        <v>Yaw speed high</v>
      </c>
      <c r="M986" s="35" t="s">
        <v>292</v>
      </c>
      <c r="N986" s="475"/>
      <c r="O986" s="476">
        <v>0.62152777777777779</v>
      </c>
      <c r="P986" s="476">
        <v>0.62222222222222223</v>
      </c>
      <c r="Q986" s="477">
        <v>0.62222222222222223</v>
      </c>
      <c r="R986" s="472">
        <f>IF(Table6[[#This Row],[Work Start TimeStamp]]="","",(Table6[[#This Row],[Work Start TimeStamp]]-Table6[[#This Row],[Fault Start TimeStamp]])*24)</f>
        <v>1.6666666666666607E-2</v>
      </c>
      <c r="S986" s="472">
        <f>(Table6[[#This Row],[Fault Clearance time]]-Table6[[#This Row],[Work Start TimeStamp]])*24</f>
        <v>0</v>
      </c>
      <c r="T986" s="472">
        <f>(Table6[[#This Row],[Fault Clearance time]]-Table6[[#This Row],[Fault Start TimeStamp]])*24</f>
        <v>1.6666666666666607E-2</v>
      </c>
      <c r="U986" s="35" t="s">
        <v>336</v>
      </c>
      <c r="V986" s="102" t="s">
        <v>293</v>
      </c>
      <c r="W986" s="478">
        <f>IFERROR(Table6[[#This Row],[Breakdown Time]]*Table6[[#This Row],[Plant Equivalent Weightage]],"")</f>
        <v>6.4102564102563853E-4</v>
      </c>
      <c r="X986" s="473" t="s">
        <v>294</v>
      </c>
      <c r="Y986" s="474" t="s">
        <v>88</v>
      </c>
      <c r="Z986" s="102">
        <v>52780</v>
      </c>
      <c r="AA986" s="468">
        <f>(Table6[[#This Row],[Paired WTG Generation for loss calculation]]/24)*Table6[[#This Row],[Breakdown Time]]</f>
        <v>36.652777777777644</v>
      </c>
      <c r="AB986" s="102"/>
      <c r="AC986" s="35"/>
      <c r="AD986" s="35"/>
    </row>
    <row r="987" spans="1:30">
      <c r="A987" s="102">
        <f t="shared" si="16"/>
        <v>986</v>
      </c>
      <c r="B987" s="468">
        <f>YEAR(Table6[[#This Row],[Date]])+IF(MONTH(Table6[[#This Row],[Date]])&gt;=4,1,0)</f>
        <v>2026</v>
      </c>
      <c r="C987" s="102">
        <f>YEAR(Table6[[#This Row],[Date]])</f>
        <v>2025</v>
      </c>
      <c r="D987" s="102" t="s">
        <v>1992</v>
      </c>
      <c r="E987" s="469">
        <f>Table6[[#This Row],[Date]]-DAY(Table6[[#This Row],[Date]])+1</f>
        <v>45809</v>
      </c>
      <c r="F987" s="470">
        <v>45809</v>
      </c>
      <c r="G987" s="35" t="s">
        <v>74</v>
      </c>
      <c r="H987" s="35" t="str">
        <f>IFERROR(_xlfn.XLOOKUP(Table6[[#This Row],[Affected WTG]],'Basic Data'!$A:$A,'Basic Data'!$B:$B),"")</f>
        <v>TQGXIIPL</v>
      </c>
      <c r="I987" s="35" t="str">
        <f>IFERROR(_xlfn.XLOOKUP(Table6[[#This Row],[Affected WTG]],'Basic Data'!$A:$A,'Basic Data'!$C:$C),"")</f>
        <v>GEDA</v>
      </c>
      <c r="J987" s="471">
        <f>IFERROR(_xlfn.XLOOKUP(Table6[[#This Row],[Affected WTG]],'Basic Data'!$A:$A,'Basic Data'!$E:$E),"")</f>
        <v>3.846153846153845E-2</v>
      </c>
      <c r="K987" s="102">
        <v>6130</v>
      </c>
      <c r="L987" s="35" t="str">
        <f>IFERROR(_xlfn.XLOOKUP(Table6[[#This Row],[Error Code]],'Basic Data'!$AA:$AA,'Basic Data'!$AB:$AB),"Incorrect Error Code")</f>
        <v>Yaw speed high</v>
      </c>
      <c r="M987" s="35" t="s">
        <v>292</v>
      </c>
      <c r="N987" s="475"/>
      <c r="O987" s="476">
        <v>0.7416666666666667</v>
      </c>
      <c r="P987" s="476">
        <v>0.7416666666666667</v>
      </c>
      <c r="Q987" s="477">
        <v>0.74583333333333335</v>
      </c>
      <c r="R987" s="472">
        <f>IF(Table6[[#This Row],[Work Start TimeStamp]]="","",(Table6[[#This Row],[Work Start TimeStamp]]-Table6[[#This Row],[Fault Start TimeStamp]])*24)</f>
        <v>0</v>
      </c>
      <c r="S987" s="472">
        <f>(Table6[[#This Row],[Fault Clearance time]]-Table6[[#This Row],[Work Start TimeStamp]])*24</f>
        <v>9.9999999999999645E-2</v>
      </c>
      <c r="T987" s="472">
        <f>(Table6[[#This Row],[Fault Clearance time]]-Table6[[#This Row],[Fault Start TimeStamp]])*24</f>
        <v>9.9999999999999645E-2</v>
      </c>
      <c r="U987" s="35" t="s">
        <v>336</v>
      </c>
      <c r="V987" s="102" t="s">
        <v>293</v>
      </c>
      <c r="W987" s="478">
        <f>IFERROR(Table6[[#This Row],[Breakdown Time]]*Table6[[#This Row],[Plant Equivalent Weightage]],"")</f>
        <v>3.8461538461538312E-3</v>
      </c>
      <c r="X987" s="473" t="s">
        <v>294</v>
      </c>
      <c r="Y987" s="474" t="s">
        <v>99</v>
      </c>
      <c r="Z987" s="102">
        <v>50608.833333333328</v>
      </c>
      <c r="AA987" s="468">
        <f>(Table6[[#This Row],[Paired WTG Generation for loss calculation]]/24)*Table6[[#This Row],[Breakdown Time]]</f>
        <v>210.87013888888811</v>
      </c>
      <c r="AB987" s="102"/>
      <c r="AC987" s="35"/>
      <c r="AD987" s="35"/>
    </row>
    <row r="988" spans="1:30">
      <c r="A988" s="102">
        <f t="shared" si="16"/>
        <v>987</v>
      </c>
      <c r="B988" s="468">
        <f>YEAR(Table6[[#This Row],[Date]])+IF(MONTH(Table6[[#This Row],[Date]])&gt;=4,1,0)</f>
        <v>2026</v>
      </c>
      <c r="C988" s="102">
        <f>YEAR(Table6[[#This Row],[Date]])</f>
        <v>2025</v>
      </c>
      <c r="D988" s="102" t="s">
        <v>1992</v>
      </c>
      <c r="E988" s="469">
        <f>Table6[[#This Row],[Date]]-DAY(Table6[[#This Row],[Date]])+1</f>
        <v>45809</v>
      </c>
      <c r="F988" s="470">
        <v>45809</v>
      </c>
      <c r="G988" s="35" t="s">
        <v>77</v>
      </c>
      <c r="H988" s="35" t="str">
        <f>IFERROR(_xlfn.XLOOKUP(Table6[[#This Row],[Affected WTG]],'Basic Data'!$A:$A,'Basic Data'!$B:$B),"")</f>
        <v>TQGXIIPL</v>
      </c>
      <c r="I988" s="35" t="str">
        <f>IFERROR(_xlfn.XLOOKUP(Table6[[#This Row],[Affected WTG]],'Basic Data'!$A:$A,'Basic Data'!$C:$C),"")</f>
        <v>GEDA</v>
      </c>
      <c r="J988" s="471">
        <f>IFERROR(_xlfn.XLOOKUP(Table6[[#This Row],[Affected WTG]],'Basic Data'!$A:$A,'Basic Data'!$E:$E),"")</f>
        <v>3.846153846153845E-2</v>
      </c>
      <c r="K988" s="102">
        <v>6130</v>
      </c>
      <c r="L988" s="35" t="str">
        <f>IFERROR(_xlfn.XLOOKUP(Table6[[#This Row],[Error Code]],'Basic Data'!$AA:$AA,'Basic Data'!$AB:$AB),"Incorrect Error Code")</f>
        <v>Yaw speed high</v>
      </c>
      <c r="M988" s="35" t="s">
        <v>292</v>
      </c>
      <c r="N988" s="475"/>
      <c r="O988" s="476">
        <v>0.47499999999999998</v>
      </c>
      <c r="P988" s="476">
        <v>0.47499999999999998</v>
      </c>
      <c r="Q988" s="477">
        <v>0.47777777777777775</v>
      </c>
      <c r="R988" s="472">
        <f>IF(Table6[[#This Row],[Work Start TimeStamp]]="","",(Table6[[#This Row],[Work Start TimeStamp]]-Table6[[#This Row],[Fault Start TimeStamp]])*24)</f>
        <v>0</v>
      </c>
      <c r="S988" s="472">
        <f>(Table6[[#This Row],[Fault Clearance time]]-Table6[[#This Row],[Work Start TimeStamp]])*24</f>
        <v>6.666666666666643E-2</v>
      </c>
      <c r="T988" s="472">
        <f>(Table6[[#This Row],[Fault Clearance time]]-Table6[[#This Row],[Fault Start TimeStamp]])*24</f>
        <v>6.666666666666643E-2</v>
      </c>
      <c r="U988" s="35" t="s">
        <v>336</v>
      </c>
      <c r="V988" s="102" t="s">
        <v>293</v>
      </c>
      <c r="W988" s="478">
        <f>IFERROR(Table6[[#This Row],[Breakdown Time]]*Table6[[#This Row],[Plant Equivalent Weightage]],"")</f>
        <v>2.5641025641025541E-3</v>
      </c>
      <c r="X988" s="473" t="s">
        <v>294</v>
      </c>
      <c r="Y988" s="474" t="s">
        <v>80</v>
      </c>
      <c r="Z988" s="102">
        <v>51412.666666666664</v>
      </c>
      <c r="AA988" s="468">
        <f>(Table6[[#This Row],[Paired WTG Generation for loss calculation]]/24)*Table6[[#This Row],[Breakdown Time]]</f>
        <v>142.81296296296244</v>
      </c>
      <c r="AB988" s="102"/>
      <c r="AC988" s="35"/>
      <c r="AD988" s="35"/>
    </row>
    <row r="989" spans="1:30">
      <c r="A989" s="102">
        <f t="shared" si="16"/>
        <v>988</v>
      </c>
      <c r="B989" s="468">
        <f>YEAR(Table6[[#This Row],[Date]])+IF(MONTH(Table6[[#This Row],[Date]])&gt;=4,1,0)</f>
        <v>2026</v>
      </c>
      <c r="C989" s="102">
        <f>YEAR(Table6[[#This Row],[Date]])</f>
        <v>2025</v>
      </c>
      <c r="D989" s="102" t="s">
        <v>1992</v>
      </c>
      <c r="E989" s="469">
        <f>Table6[[#This Row],[Date]]-DAY(Table6[[#This Row],[Date]])+1</f>
        <v>45809</v>
      </c>
      <c r="F989" s="470">
        <v>45809</v>
      </c>
      <c r="G989" s="35" t="s">
        <v>77</v>
      </c>
      <c r="H989" s="35" t="str">
        <f>IFERROR(_xlfn.XLOOKUP(Table6[[#This Row],[Affected WTG]],'Basic Data'!$A:$A,'Basic Data'!$B:$B),"")</f>
        <v>TQGXIIPL</v>
      </c>
      <c r="I989" s="35" t="str">
        <f>IFERROR(_xlfn.XLOOKUP(Table6[[#This Row],[Affected WTG]],'Basic Data'!$A:$A,'Basic Data'!$C:$C),"")</f>
        <v>GEDA</v>
      </c>
      <c r="J989" s="471">
        <f>IFERROR(_xlfn.XLOOKUP(Table6[[#This Row],[Affected WTG]],'Basic Data'!$A:$A,'Basic Data'!$E:$E),"")</f>
        <v>3.846153846153845E-2</v>
      </c>
      <c r="K989" s="102">
        <v>6130</v>
      </c>
      <c r="L989" s="35" t="str">
        <f>IFERROR(_xlfn.XLOOKUP(Table6[[#This Row],[Error Code]],'Basic Data'!$AA:$AA,'Basic Data'!$AB:$AB),"Incorrect Error Code")</f>
        <v>Yaw speed high</v>
      </c>
      <c r="M989" s="35" t="s">
        <v>292</v>
      </c>
      <c r="N989" s="475"/>
      <c r="O989" s="476">
        <v>0.49513888888888885</v>
      </c>
      <c r="P989" s="476">
        <v>0.49513888888888885</v>
      </c>
      <c r="Q989" s="477">
        <v>0.49930555555555556</v>
      </c>
      <c r="R989" s="472">
        <f>IF(Table6[[#This Row],[Work Start TimeStamp]]="","",(Table6[[#This Row],[Work Start TimeStamp]]-Table6[[#This Row],[Fault Start TimeStamp]])*24)</f>
        <v>0</v>
      </c>
      <c r="S989" s="472">
        <f>(Table6[[#This Row],[Fault Clearance time]]-Table6[[#This Row],[Work Start TimeStamp]])*24</f>
        <v>0.10000000000000098</v>
      </c>
      <c r="T989" s="472">
        <f>(Table6[[#This Row],[Fault Clearance time]]-Table6[[#This Row],[Fault Start TimeStamp]])*24</f>
        <v>0.10000000000000098</v>
      </c>
      <c r="U989" s="35" t="s">
        <v>336</v>
      </c>
      <c r="V989" s="102" t="s">
        <v>293</v>
      </c>
      <c r="W989" s="478">
        <f>IFERROR(Table6[[#This Row],[Breakdown Time]]*Table6[[#This Row],[Plant Equivalent Weightage]],"")</f>
        <v>3.8461538461538824E-3</v>
      </c>
      <c r="X989" s="473" t="s">
        <v>294</v>
      </c>
      <c r="Y989" s="474" t="s">
        <v>80</v>
      </c>
      <c r="Z989" s="102">
        <v>51412.666666666664</v>
      </c>
      <c r="AA989" s="468">
        <f>(Table6[[#This Row],[Paired WTG Generation for loss calculation]]/24)*Table6[[#This Row],[Breakdown Time]]</f>
        <v>214.21944444444654</v>
      </c>
      <c r="AB989" s="102"/>
      <c r="AC989" s="35"/>
      <c r="AD989" s="35"/>
    </row>
    <row r="990" spans="1:30">
      <c r="A990" s="102">
        <f t="shared" si="16"/>
        <v>989</v>
      </c>
      <c r="B990" s="468">
        <f>YEAR(Table6[[#This Row],[Date]])+IF(MONTH(Table6[[#This Row],[Date]])&gt;=4,1,0)</f>
        <v>2026</v>
      </c>
      <c r="C990" s="102">
        <f>YEAR(Table6[[#This Row],[Date]])</f>
        <v>2025</v>
      </c>
      <c r="D990" s="102" t="s">
        <v>1992</v>
      </c>
      <c r="E990" s="469">
        <f>Table6[[#This Row],[Date]]-DAY(Table6[[#This Row],[Date]])+1</f>
        <v>45809</v>
      </c>
      <c r="F990" s="470">
        <v>45809</v>
      </c>
      <c r="G990" s="35" t="s">
        <v>79</v>
      </c>
      <c r="H990" s="35" t="str">
        <f>IFERROR(_xlfn.XLOOKUP(Table6[[#This Row],[Affected WTG]],'Basic Data'!$A:$A,'Basic Data'!$B:$B),"")</f>
        <v>TQGXIIPL</v>
      </c>
      <c r="I990" s="35" t="str">
        <f>IFERROR(_xlfn.XLOOKUP(Table6[[#This Row],[Affected WTG]],'Basic Data'!$A:$A,'Basic Data'!$C:$C),"")</f>
        <v>GEDA</v>
      </c>
      <c r="J990" s="471">
        <f>IFERROR(_xlfn.XLOOKUP(Table6[[#This Row],[Affected WTG]],'Basic Data'!$A:$A,'Basic Data'!$E:$E),"")</f>
        <v>3.846153846153845E-2</v>
      </c>
      <c r="K990" s="102">
        <v>4540</v>
      </c>
      <c r="L990" s="35" t="str">
        <f>IFERROR(_xlfn.XLOOKUP(Table6[[#This Row],[Error Code]],'Basic Data'!$AA:$AA,'Basic Data'!$AB:$AB),"Incorrect Error Code")</f>
        <v>Tower oscillation X level 2</v>
      </c>
      <c r="M990" s="35" t="s">
        <v>292</v>
      </c>
      <c r="N990" s="475"/>
      <c r="O990" s="476">
        <v>0.51736111111111116</v>
      </c>
      <c r="P990" s="476">
        <v>0.51736111111111116</v>
      </c>
      <c r="Q990" s="477">
        <v>0.52916666666666667</v>
      </c>
      <c r="R990" s="472">
        <f>IF(Table6[[#This Row],[Work Start TimeStamp]]="","",(Table6[[#This Row],[Work Start TimeStamp]]-Table6[[#This Row],[Fault Start TimeStamp]])*24)</f>
        <v>0</v>
      </c>
      <c r="S990" s="472">
        <f>(Table6[[#This Row],[Fault Clearance time]]-Table6[[#This Row],[Work Start TimeStamp]])*24</f>
        <v>0.28333333333333233</v>
      </c>
      <c r="T990" s="472">
        <f>(Table6[[#This Row],[Fault Clearance time]]-Table6[[#This Row],[Fault Start TimeStamp]])*24</f>
        <v>0.28333333333333233</v>
      </c>
      <c r="U990" s="35" t="s">
        <v>336</v>
      </c>
      <c r="V990" s="102" t="s">
        <v>293</v>
      </c>
      <c r="W990" s="478">
        <f>IFERROR(Table6[[#This Row],[Breakdown Time]]*Table6[[#This Row],[Plant Equivalent Weightage]],"")</f>
        <v>1.0897435897435855E-2</v>
      </c>
      <c r="X990" s="473" t="s">
        <v>294</v>
      </c>
      <c r="Y990" s="474" t="s">
        <v>94</v>
      </c>
      <c r="Z990" s="102">
        <v>52837.5</v>
      </c>
      <c r="AA990" s="468">
        <f>(Table6[[#This Row],[Paired WTG Generation for loss calculation]]/24)*Table6[[#This Row],[Breakdown Time]]</f>
        <v>623.77604166666447</v>
      </c>
      <c r="AB990" s="102"/>
      <c r="AC990" s="35"/>
      <c r="AD990" s="35"/>
    </row>
    <row r="991" spans="1:30">
      <c r="A991" s="102">
        <f t="shared" si="16"/>
        <v>990</v>
      </c>
      <c r="B991" s="468">
        <f>YEAR(Table6[[#This Row],[Date]])+IF(MONTH(Table6[[#This Row],[Date]])&gt;=4,1,0)</f>
        <v>2026</v>
      </c>
      <c r="C991" s="102">
        <f>YEAR(Table6[[#This Row],[Date]])</f>
        <v>2025</v>
      </c>
      <c r="D991" s="102" t="s">
        <v>1992</v>
      </c>
      <c r="E991" s="469">
        <f>Table6[[#This Row],[Date]]-DAY(Table6[[#This Row],[Date]])+1</f>
        <v>45809</v>
      </c>
      <c r="F991" s="470">
        <v>45809</v>
      </c>
      <c r="G991" s="35" t="s">
        <v>82</v>
      </c>
      <c r="H991" s="35" t="str">
        <f>IFERROR(_xlfn.XLOOKUP(Table6[[#This Row],[Affected WTG]],'Basic Data'!$A:$A,'Basic Data'!$B:$B),"")</f>
        <v>TQGXIIPL</v>
      </c>
      <c r="I991" s="35" t="str">
        <f>IFERROR(_xlfn.XLOOKUP(Table6[[#This Row],[Affected WTG]],'Basic Data'!$A:$A,'Basic Data'!$C:$C),"")</f>
        <v>GEDA</v>
      </c>
      <c r="J991" s="471">
        <f>IFERROR(_xlfn.XLOOKUP(Table6[[#This Row],[Affected WTG]],'Basic Data'!$A:$A,'Basic Data'!$E:$E),"")</f>
        <v>3.846153846153845E-2</v>
      </c>
      <c r="K991" s="102">
        <v>4970</v>
      </c>
      <c r="L991" s="35" t="str">
        <f>IFERROR(_xlfn.XLOOKUP(Table6[[#This Row],[Error Code]],'Basic Data'!$AA:$AA,'Basic Data'!$AB:$AB),"Incorrect Error Code")</f>
        <v>Tower oscillation XF</v>
      </c>
      <c r="M991" s="35" t="s">
        <v>292</v>
      </c>
      <c r="N991" s="475"/>
      <c r="O991" s="476">
        <v>0.69861111111111118</v>
      </c>
      <c r="P991" s="476">
        <v>0.69861111111111118</v>
      </c>
      <c r="Q991" s="477">
        <v>0.70902777777777781</v>
      </c>
      <c r="R991" s="472">
        <f>IF(Table6[[#This Row],[Work Start TimeStamp]]="","",(Table6[[#This Row],[Work Start TimeStamp]]-Table6[[#This Row],[Fault Start TimeStamp]])*24)</f>
        <v>0</v>
      </c>
      <c r="S991" s="472">
        <f>(Table6[[#This Row],[Fault Clearance time]]-Table6[[#This Row],[Work Start TimeStamp]])*24</f>
        <v>0.24999999999999911</v>
      </c>
      <c r="T991" s="472">
        <f>(Table6[[#This Row],[Fault Clearance time]]-Table6[[#This Row],[Fault Start TimeStamp]])*24</f>
        <v>0.24999999999999911</v>
      </c>
      <c r="U991" s="35" t="s">
        <v>336</v>
      </c>
      <c r="V991" s="102" t="s">
        <v>293</v>
      </c>
      <c r="W991" s="478">
        <f>IFERROR(Table6[[#This Row],[Breakdown Time]]*Table6[[#This Row],[Plant Equivalent Weightage]],"")</f>
        <v>9.6153846153845778E-3</v>
      </c>
      <c r="X991" s="473" t="s">
        <v>294</v>
      </c>
      <c r="Y991" s="474" t="s">
        <v>76</v>
      </c>
      <c r="Z991" s="102">
        <v>48703.333333333336</v>
      </c>
      <c r="AA991" s="468">
        <f>(Table6[[#This Row],[Paired WTG Generation for loss calculation]]/24)*Table6[[#This Row],[Breakdown Time]]</f>
        <v>507.3263888888871</v>
      </c>
      <c r="AB991" s="102"/>
      <c r="AC991" s="35"/>
      <c r="AD991" s="35"/>
    </row>
    <row r="992" spans="1:30">
      <c r="A992" s="102">
        <f t="shared" si="16"/>
        <v>991</v>
      </c>
      <c r="B992" s="468">
        <f>YEAR(Table6[[#This Row],[Date]])+IF(MONTH(Table6[[#This Row],[Date]])&gt;=4,1,0)</f>
        <v>2026</v>
      </c>
      <c r="C992" s="102">
        <f>YEAR(Table6[[#This Row],[Date]])</f>
        <v>2025</v>
      </c>
      <c r="D992" s="102" t="s">
        <v>1992</v>
      </c>
      <c r="E992" s="469">
        <f>Table6[[#This Row],[Date]]-DAY(Table6[[#This Row],[Date]])+1</f>
        <v>45809</v>
      </c>
      <c r="F992" s="470">
        <v>45809</v>
      </c>
      <c r="G992" s="35" t="s">
        <v>83</v>
      </c>
      <c r="H992" s="35" t="str">
        <f>IFERROR(_xlfn.XLOOKUP(Table6[[#This Row],[Affected WTG]],'Basic Data'!$A:$A,'Basic Data'!$B:$B),"")</f>
        <v>TQGXIIPL</v>
      </c>
      <c r="I992" s="35" t="str">
        <f>IFERROR(_xlfn.XLOOKUP(Table6[[#This Row],[Affected WTG]],'Basic Data'!$A:$A,'Basic Data'!$C:$C),"")</f>
        <v>GEDA</v>
      </c>
      <c r="J992" s="471">
        <f>IFERROR(_xlfn.XLOOKUP(Table6[[#This Row],[Affected WTG]],'Basic Data'!$A:$A,'Basic Data'!$E:$E),"")</f>
        <v>3.846153846153845E-2</v>
      </c>
      <c r="K992" s="102">
        <v>6130</v>
      </c>
      <c r="L992" s="35" t="str">
        <f>IFERROR(_xlfn.XLOOKUP(Table6[[#This Row],[Error Code]],'Basic Data'!$AA:$AA,'Basic Data'!$AB:$AB),"Incorrect Error Code")</f>
        <v>Yaw speed high</v>
      </c>
      <c r="M992" s="35" t="s">
        <v>292</v>
      </c>
      <c r="N992" s="475"/>
      <c r="O992" s="476">
        <v>0.51180555555555551</v>
      </c>
      <c r="P992" s="476">
        <v>0.51180555555555551</v>
      </c>
      <c r="Q992" s="477">
        <v>0.51597222222222228</v>
      </c>
      <c r="R992" s="472">
        <f>IF(Table6[[#This Row],[Work Start TimeStamp]]="","",(Table6[[#This Row],[Work Start TimeStamp]]-Table6[[#This Row],[Fault Start TimeStamp]])*24)</f>
        <v>0</v>
      </c>
      <c r="S992" s="472">
        <f>(Table6[[#This Row],[Fault Clearance time]]-Table6[[#This Row],[Work Start TimeStamp]])*24</f>
        <v>0.10000000000000231</v>
      </c>
      <c r="T992" s="472">
        <f>(Table6[[#This Row],[Fault Clearance time]]-Table6[[#This Row],[Fault Start TimeStamp]])*24</f>
        <v>0.10000000000000231</v>
      </c>
      <c r="U992" s="35" t="s">
        <v>336</v>
      </c>
      <c r="V992" s="102" t="s">
        <v>293</v>
      </c>
      <c r="W992" s="478">
        <f>IFERROR(Table6[[#This Row],[Breakdown Time]]*Table6[[#This Row],[Plant Equivalent Weightage]],"")</f>
        <v>3.846153846153934E-3</v>
      </c>
      <c r="X992" s="473" t="s">
        <v>294</v>
      </c>
      <c r="Y992" s="474" t="s">
        <v>88</v>
      </c>
      <c r="Z992" s="102">
        <v>54464.833333333336</v>
      </c>
      <c r="AA992" s="468">
        <f>(Table6[[#This Row],[Paired WTG Generation for loss calculation]]/24)*Table6[[#This Row],[Breakdown Time]]</f>
        <v>226.9368055555608</v>
      </c>
      <c r="AB992" s="102"/>
      <c r="AC992" s="35"/>
      <c r="AD992" s="35"/>
    </row>
    <row r="993" spans="1:30">
      <c r="A993" s="102">
        <f t="shared" si="16"/>
        <v>992</v>
      </c>
      <c r="B993" s="468">
        <f>YEAR(Table6[[#This Row],[Date]])+IF(MONTH(Table6[[#This Row],[Date]])&gt;=4,1,0)</f>
        <v>2026</v>
      </c>
      <c r="C993" s="102">
        <f>YEAR(Table6[[#This Row],[Date]])</f>
        <v>2025</v>
      </c>
      <c r="D993" s="102" t="s">
        <v>1992</v>
      </c>
      <c r="E993" s="469">
        <f>Table6[[#This Row],[Date]]-DAY(Table6[[#This Row],[Date]])+1</f>
        <v>45809</v>
      </c>
      <c r="F993" s="470">
        <v>45809</v>
      </c>
      <c r="G993" s="35" t="s">
        <v>84</v>
      </c>
      <c r="H993" s="35" t="str">
        <f>IFERROR(_xlfn.XLOOKUP(Table6[[#This Row],[Affected WTG]],'Basic Data'!$A:$A,'Basic Data'!$B:$B),"")</f>
        <v>TQGXIIPL</v>
      </c>
      <c r="I993" s="35" t="str">
        <f>IFERROR(_xlfn.XLOOKUP(Table6[[#This Row],[Affected WTG]],'Basic Data'!$A:$A,'Basic Data'!$C:$C),"")</f>
        <v>GEDA</v>
      </c>
      <c r="J993" s="471">
        <f>IFERROR(_xlfn.XLOOKUP(Table6[[#This Row],[Affected WTG]],'Basic Data'!$A:$A,'Basic Data'!$E:$E),"")</f>
        <v>3.846153846153845E-2</v>
      </c>
      <c r="K993" s="102">
        <v>6130</v>
      </c>
      <c r="L993" s="35" t="str">
        <f>IFERROR(_xlfn.XLOOKUP(Table6[[#This Row],[Error Code]],'Basic Data'!$AA:$AA,'Basic Data'!$AB:$AB),"Incorrect Error Code")</f>
        <v>Yaw speed high</v>
      </c>
      <c r="M993" s="35" t="s">
        <v>292</v>
      </c>
      <c r="N993" s="475"/>
      <c r="O993" s="476">
        <v>0.67222222222222228</v>
      </c>
      <c r="P993" s="476">
        <v>0.67222222222222228</v>
      </c>
      <c r="Q993" s="477">
        <v>0.67569444444444449</v>
      </c>
      <c r="R993" s="472">
        <f>IF(Table6[[#This Row],[Work Start TimeStamp]]="","",(Table6[[#This Row],[Work Start TimeStamp]]-Table6[[#This Row],[Fault Start TimeStamp]])*24)</f>
        <v>0</v>
      </c>
      <c r="S993" s="472">
        <f>(Table6[[#This Row],[Fault Clearance time]]-Table6[[#This Row],[Work Start TimeStamp]])*24</f>
        <v>8.3333333333333037E-2</v>
      </c>
      <c r="T993" s="472">
        <f>(Table6[[#This Row],[Fault Clearance time]]-Table6[[#This Row],[Fault Start TimeStamp]])*24</f>
        <v>8.3333333333333037E-2</v>
      </c>
      <c r="U993" s="35" t="s">
        <v>336</v>
      </c>
      <c r="V993" s="102" t="s">
        <v>293</v>
      </c>
      <c r="W993" s="478">
        <f>IFERROR(Table6[[#This Row],[Breakdown Time]]*Table6[[#This Row],[Plant Equivalent Weightage]],"")</f>
        <v>3.2051282051281929E-3</v>
      </c>
      <c r="X993" s="473" t="s">
        <v>294</v>
      </c>
      <c r="Y993" s="474" t="s">
        <v>85</v>
      </c>
      <c r="Z993" s="102">
        <v>49060.833333333336</v>
      </c>
      <c r="AA993" s="468">
        <f>(Table6[[#This Row],[Paired WTG Generation for loss calculation]]/24)*Table6[[#This Row],[Breakdown Time]]</f>
        <v>170.35011574074014</v>
      </c>
      <c r="AB993" s="102"/>
      <c r="AC993" s="35"/>
      <c r="AD993" s="35"/>
    </row>
    <row r="994" spans="1:30">
      <c r="A994" s="102">
        <f t="shared" si="16"/>
        <v>993</v>
      </c>
      <c r="B994" s="468">
        <f>YEAR(Table6[[#This Row],[Date]])+IF(MONTH(Table6[[#This Row],[Date]])&gt;=4,1,0)</f>
        <v>2026</v>
      </c>
      <c r="C994" s="102">
        <f>YEAR(Table6[[#This Row],[Date]])</f>
        <v>2025</v>
      </c>
      <c r="D994" s="102" t="s">
        <v>1992</v>
      </c>
      <c r="E994" s="469">
        <f>Table6[[#This Row],[Date]]-DAY(Table6[[#This Row],[Date]])+1</f>
        <v>45809</v>
      </c>
      <c r="F994" s="470">
        <v>45809</v>
      </c>
      <c r="G994" s="35" t="s">
        <v>85</v>
      </c>
      <c r="H994" s="35" t="str">
        <f>IFERROR(_xlfn.XLOOKUP(Table6[[#This Row],[Affected WTG]],'Basic Data'!$A:$A,'Basic Data'!$B:$B),"")</f>
        <v>TQGXIIPL</v>
      </c>
      <c r="I994" s="35" t="str">
        <f>IFERROR(_xlfn.XLOOKUP(Table6[[#This Row],[Affected WTG]],'Basic Data'!$A:$A,'Basic Data'!$C:$C),"")</f>
        <v>GEDA</v>
      </c>
      <c r="J994" s="471">
        <f>IFERROR(_xlfn.XLOOKUP(Table6[[#This Row],[Affected WTG]],'Basic Data'!$A:$A,'Basic Data'!$E:$E),"")</f>
        <v>3.846153846153845E-2</v>
      </c>
      <c r="K994" s="102">
        <v>4540</v>
      </c>
      <c r="L994" s="35" t="str">
        <f>IFERROR(_xlfn.XLOOKUP(Table6[[#This Row],[Error Code]],'Basic Data'!$AA:$AA,'Basic Data'!$AB:$AB),"Incorrect Error Code")</f>
        <v>Tower oscillation X level 2</v>
      </c>
      <c r="M994" s="35" t="s">
        <v>292</v>
      </c>
      <c r="N994" s="475"/>
      <c r="O994" s="476">
        <v>0.63611111111111118</v>
      </c>
      <c r="P994" s="476">
        <v>0.63611111111111118</v>
      </c>
      <c r="Q994" s="477">
        <v>0.64583333333333337</v>
      </c>
      <c r="R994" s="472">
        <f>IF(Table6[[#This Row],[Work Start TimeStamp]]="","",(Table6[[#This Row],[Work Start TimeStamp]]-Table6[[#This Row],[Fault Start TimeStamp]])*24)</f>
        <v>0</v>
      </c>
      <c r="S994" s="472">
        <f>(Table6[[#This Row],[Fault Clearance time]]-Table6[[#This Row],[Work Start TimeStamp]])*24</f>
        <v>0.2333333333333325</v>
      </c>
      <c r="T994" s="472">
        <f>(Table6[[#This Row],[Fault Clearance time]]-Table6[[#This Row],[Fault Start TimeStamp]])*24</f>
        <v>0.2333333333333325</v>
      </c>
      <c r="U994" s="35" t="s">
        <v>336</v>
      </c>
      <c r="V994" s="102" t="s">
        <v>293</v>
      </c>
      <c r="W994" s="478">
        <f>IFERROR(Table6[[#This Row],[Breakdown Time]]*Table6[[#This Row],[Plant Equivalent Weightage]],"")</f>
        <v>8.974358974358939E-3</v>
      </c>
      <c r="X994" s="473" t="s">
        <v>294</v>
      </c>
      <c r="Y994" s="474" t="s">
        <v>87</v>
      </c>
      <c r="Z994" s="102">
        <v>49854.5</v>
      </c>
      <c r="AA994" s="468">
        <f>(Table6[[#This Row],[Paired WTG Generation for loss calculation]]/24)*Table6[[#This Row],[Breakdown Time]]</f>
        <v>484.69652777777611</v>
      </c>
      <c r="AB994" s="102"/>
      <c r="AC994" s="35"/>
      <c r="AD994" s="35"/>
    </row>
    <row r="995" spans="1:30">
      <c r="A995" s="102">
        <f t="shared" si="16"/>
        <v>994</v>
      </c>
      <c r="B995" s="468">
        <f>YEAR(Table6[[#This Row],[Date]])+IF(MONTH(Table6[[#This Row],[Date]])&gt;=4,1,0)</f>
        <v>2026</v>
      </c>
      <c r="C995" s="102">
        <f>YEAR(Table6[[#This Row],[Date]])</f>
        <v>2025</v>
      </c>
      <c r="D995" s="102" t="s">
        <v>1992</v>
      </c>
      <c r="E995" s="469">
        <f>Table6[[#This Row],[Date]]-DAY(Table6[[#This Row],[Date]])+1</f>
        <v>45809</v>
      </c>
      <c r="F995" s="470">
        <v>45809</v>
      </c>
      <c r="G995" s="35" t="s">
        <v>86</v>
      </c>
      <c r="H995" s="35" t="str">
        <f>IFERROR(_xlfn.XLOOKUP(Table6[[#This Row],[Affected WTG]],'Basic Data'!$A:$A,'Basic Data'!$B:$B),"")</f>
        <v>TQGXIIPL</v>
      </c>
      <c r="I995" s="35" t="str">
        <f>IFERROR(_xlfn.XLOOKUP(Table6[[#This Row],[Affected WTG]],'Basic Data'!$A:$A,'Basic Data'!$C:$C),"")</f>
        <v>GEDA</v>
      </c>
      <c r="J995" s="471">
        <f>IFERROR(_xlfn.XLOOKUP(Table6[[#This Row],[Affected WTG]],'Basic Data'!$A:$A,'Basic Data'!$E:$E),"")</f>
        <v>3.846153846153845E-2</v>
      </c>
      <c r="K995" s="102">
        <v>6130</v>
      </c>
      <c r="L995" s="35" t="str">
        <f>IFERROR(_xlfn.XLOOKUP(Table6[[#This Row],[Error Code]],'Basic Data'!$AA:$AA,'Basic Data'!$AB:$AB),"Incorrect Error Code")</f>
        <v>Yaw speed high</v>
      </c>
      <c r="M995" s="35" t="s">
        <v>292</v>
      </c>
      <c r="N995" s="475"/>
      <c r="O995" s="476">
        <v>0.46388888888888885</v>
      </c>
      <c r="P995" s="476">
        <v>0.46388888888888885</v>
      </c>
      <c r="Q995" s="477">
        <v>0.46736111111111112</v>
      </c>
      <c r="R995" s="472">
        <f>IF(Table6[[#This Row],[Work Start TimeStamp]]="","",(Table6[[#This Row],[Work Start TimeStamp]]-Table6[[#This Row],[Fault Start TimeStamp]])*24)</f>
        <v>0</v>
      </c>
      <c r="S995" s="472">
        <f>(Table6[[#This Row],[Fault Clearance time]]-Table6[[#This Row],[Work Start TimeStamp]])*24</f>
        <v>8.333333333333437E-2</v>
      </c>
      <c r="T995" s="472">
        <f>(Table6[[#This Row],[Fault Clearance time]]-Table6[[#This Row],[Fault Start TimeStamp]])*24</f>
        <v>8.333333333333437E-2</v>
      </c>
      <c r="U995" s="35" t="s">
        <v>336</v>
      </c>
      <c r="V995" s="102" t="s">
        <v>293</v>
      </c>
      <c r="W995" s="478">
        <f>IFERROR(Table6[[#This Row],[Breakdown Time]]*Table6[[#This Row],[Plant Equivalent Weightage]],"")</f>
        <v>3.205128205128244E-3</v>
      </c>
      <c r="X995" s="473" t="s">
        <v>294</v>
      </c>
      <c r="Y995" s="474" t="s">
        <v>84</v>
      </c>
      <c r="Z995" s="102">
        <v>51597</v>
      </c>
      <c r="AA995" s="468">
        <f>(Table6[[#This Row],[Paired WTG Generation for loss calculation]]/24)*Table6[[#This Row],[Breakdown Time]]</f>
        <v>179.15625000000222</v>
      </c>
      <c r="AB995" s="102"/>
      <c r="AC995" s="35"/>
      <c r="AD995" s="35"/>
    </row>
    <row r="996" spans="1:30">
      <c r="A996" s="102">
        <f t="shared" si="16"/>
        <v>995</v>
      </c>
      <c r="B996" s="468">
        <f>YEAR(Table6[[#This Row],[Date]])+IF(MONTH(Table6[[#This Row],[Date]])&gt;=4,1,0)</f>
        <v>2026</v>
      </c>
      <c r="C996" s="102">
        <f>YEAR(Table6[[#This Row],[Date]])</f>
        <v>2025</v>
      </c>
      <c r="D996" s="102" t="s">
        <v>1992</v>
      </c>
      <c r="E996" s="469">
        <f>Table6[[#This Row],[Date]]-DAY(Table6[[#This Row],[Date]])+1</f>
        <v>45809</v>
      </c>
      <c r="F996" s="470">
        <v>45809</v>
      </c>
      <c r="G996" s="35" t="s">
        <v>87</v>
      </c>
      <c r="H996" s="35" t="str">
        <f>IFERROR(_xlfn.XLOOKUP(Table6[[#This Row],[Affected WTG]],'Basic Data'!$A:$A,'Basic Data'!$B:$B),"")</f>
        <v>TQGXIIPL</v>
      </c>
      <c r="I996" s="35" t="str">
        <f>IFERROR(_xlfn.XLOOKUP(Table6[[#This Row],[Affected WTG]],'Basic Data'!$A:$A,'Basic Data'!$C:$C),"")</f>
        <v>GEDA</v>
      </c>
      <c r="J996" s="471">
        <f>IFERROR(_xlfn.XLOOKUP(Table6[[#This Row],[Affected WTG]],'Basic Data'!$A:$A,'Basic Data'!$E:$E),"")</f>
        <v>3.846153846153845E-2</v>
      </c>
      <c r="K996" s="102">
        <v>6130</v>
      </c>
      <c r="L996" s="35" t="str">
        <f>IFERROR(_xlfn.XLOOKUP(Table6[[#This Row],[Error Code]],'Basic Data'!$AA:$AA,'Basic Data'!$AB:$AB),"Incorrect Error Code")</f>
        <v>Yaw speed high</v>
      </c>
      <c r="M996" s="35" t="s">
        <v>292</v>
      </c>
      <c r="N996" s="475"/>
      <c r="O996" s="476">
        <v>0.55138888888888893</v>
      </c>
      <c r="P996" s="476">
        <v>0.55138888888888893</v>
      </c>
      <c r="Q996" s="477">
        <v>0.55555555555555558</v>
      </c>
      <c r="R996" s="472">
        <f>IF(Table6[[#This Row],[Work Start TimeStamp]]="","",(Table6[[#This Row],[Work Start TimeStamp]]-Table6[[#This Row],[Fault Start TimeStamp]])*24)</f>
        <v>0</v>
      </c>
      <c r="S996" s="472">
        <f>(Table6[[#This Row],[Fault Clearance time]]-Table6[[#This Row],[Work Start TimeStamp]])*24</f>
        <v>9.9999999999999645E-2</v>
      </c>
      <c r="T996" s="472">
        <f>(Table6[[#This Row],[Fault Clearance time]]-Table6[[#This Row],[Fault Start TimeStamp]])*24</f>
        <v>9.9999999999999645E-2</v>
      </c>
      <c r="U996" s="35" t="s">
        <v>336</v>
      </c>
      <c r="V996" s="102" t="s">
        <v>293</v>
      </c>
      <c r="W996" s="478">
        <f>IFERROR(Table6[[#This Row],[Breakdown Time]]*Table6[[#This Row],[Plant Equivalent Weightage]],"")</f>
        <v>3.8461538461538312E-3</v>
      </c>
      <c r="X996" s="473" t="s">
        <v>294</v>
      </c>
      <c r="Y996" s="474" t="s">
        <v>85</v>
      </c>
      <c r="Z996" s="102">
        <v>49060.833333333336</v>
      </c>
      <c r="AA996" s="468">
        <f>(Table6[[#This Row],[Paired WTG Generation for loss calculation]]/24)*Table6[[#This Row],[Breakdown Time]]</f>
        <v>204.42013888888818</v>
      </c>
      <c r="AB996" s="102"/>
      <c r="AC996" s="35"/>
      <c r="AD996" s="35"/>
    </row>
    <row r="997" spans="1:30">
      <c r="A997" s="102">
        <f t="shared" si="16"/>
        <v>996</v>
      </c>
      <c r="B997" s="468">
        <f>YEAR(Table6[[#This Row],[Date]])+IF(MONTH(Table6[[#This Row],[Date]])&gt;=4,1,0)</f>
        <v>2026</v>
      </c>
      <c r="C997" s="102">
        <f>YEAR(Table6[[#This Row],[Date]])</f>
        <v>2025</v>
      </c>
      <c r="D997" s="102" t="s">
        <v>1992</v>
      </c>
      <c r="E997" s="469">
        <f>Table6[[#This Row],[Date]]-DAY(Table6[[#This Row],[Date]])+1</f>
        <v>45809</v>
      </c>
      <c r="F997" s="470">
        <v>45809</v>
      </c>
      <c r="G997" s="35" t="s">
        <v>87</v>
      </c>
      <c r="H997" s="35" t="str">
        <f>IFERROR(_xlfn.XLOOKUP(Table6[[#This Row],[Affected WTG]],'Basic Data'!$A:$A,'Basic Data'!$B:$B),"")</f>
        <v>TQGXIIPL</v>
      </c>
      <c r="I997" s="35" t="str">
        <f>IFERROR(_xlfn.XLOOKUP(Table6[[#This Row],[Affected WTG]],'Basic Data'!$A:$A,'Basic Data'!$C:$C),"")</f>
        <v>GEDA</v>
      </c>
      <c r="J997" s="471">
        <f>IFERROR(_xlfn.XLOOKUP(Table6[[#This Row],[Affected WTG]],'Basic Data'!$A:$A,'Basic Data'!$E:$E),"")</f>
        <v>3.846153846153845E-2</v>
      </c>
      <c r="K997" s="102">
        <v>6130</v>
      </c>
      <c r="L997" s="35" t="str">
        <f>IFERROR(_xlfn.XLOOKUP(Table6[[#This Row],[Error Code]],'Basic Data'!$AA:$AA,'Basic Data'!$AB:$AB),"Incorrect Error Code")</f>
        <v>Yaw speed high</v>
      </c>
      <c r="M997" s="35" t="s">
        <v>292</v>
      </c>
      <c r="N997" s="475"/>
      <c r="O997" s="476">
        <v>0.5625</v>
      </c>
      <c r="P997" s="476">
        <v>0.5625</v>
      </c>
      <c r="Q997" s="477">
        <v>0.56805555555555565</v>
      </c>
      <c r="R997" s="472">
        <f>IF(Table6[[#This Row],[Work Start TimeStamp]]="","",(Table6[[#This Row],[Work Start TimeStamp]]-Table6[[#This Row],[Fault Start TimeStamp]])*24)</f>
        <v>0</v>
      </c>
      <c r="S997" s="472">
        <f>(Table6[[#This Row],[Fault Clearance time]]-Table6[[#This Row],[Work Start TimeStamp]])*24</f>
        <v>0.13333333333333552</v>
      </c>
      <c r="T997" s="472">
        <f>(Table6[[#This Row],[Fault Clearance time]]-Table6[[#This Row],[Fault Start TimeStamp]])*24</f>
        <v>0.13333333333333552</v>
      </c>
      <c r="U997" s="35" t="s">
        <v>336</v>
      </c>
      <c r="V997" s="102" t="s">
        <v>293</v>
      </c>
      <c r="W997" s="478">
        <f>IFERROR(Table6[[#This Row],[Breakdown Time]]*Table6[[#This Row],[Plant Equivalent Weightage]],"")</f>
        <v>5.1282051282052106E-3</v>
      </c>
      <c r="X997" s="473" t="s">
        <v>294</v>
      </c>
      <c r="Y997" s="474" t="s">
        <v>85</v>
      </c>
      <c r="Z997" s="102">
        <v>49060.833333333336</v>
      </c>
      <c r="AA997" s="468">
        <f>(Table6[[#This Row],[Paired WTG Generation for loss calculation]]/24)*Table6[[#This Row],[Breakdown Time]]</f>
        <v>272.56018518518965</v>
      </c>
      <c r="AB997" s="102"/>
      <c r="AC997" s="35"/>
      <c r="AD997" s="35"/>
    </row>
    <row r="998" spans="1:30">
      <c r="A998" s="102">
        <f t="shared" si="16"/>
        <v>997</v>
      </c>
      <c r="B998" s="468">
        <f>YEAR(Table6[[#This Row],[Date]])+IF(MONTH(Table6[[#This Row],[Date]])&gt;=4,1,0)</f>
        <v>2026</v>
      </c>
      <c r="C998" s="102">
        <f>YEAR(Table6[[#This Row],[Date]])</f>
        <v>2025</v>
      </c>
      <c r="D998" s="102" t="s">
        <v>1992</v>
      </c>
      <c r="E998" s="469">
        <f>Table6[[#This Row],[Date]]-DAY(Table6[[#This Row],[Date]])+1</f>
        <v>45809</v>
      </c>
      <c r="F998" s="470">
        <v>45809</v>
      </c>
      <c r="G998" s="35" t="s">
        <v>87</v>
      </c>
      <c r="H998" s="35" t="str">
        <f>IFERROR(_xlfn.XLOOKUP(Table6[[#This Row],[Affected WTG]],'Basic Data'!$A:$A,'Basic Data'!$B:$B),"")</f>
        <v>TQGXIIPL</v>
      </c>
      <c r="I998" s="35" t="str">
        <f>IFERROR(_xlfn.XLOOKUP(Table6[[#This Row],[Affected WTG]],'Basic Data'!$A:$A,'Basic Data'!$C:$C),"")</f>
        <v>GEDA</v>
      </c>
      <c r="J998" s="471">
        <f>IFERROR(_xlfn.XLOOKUP(Table6[[#This Row],[Affected WTG]],'Basic Data'!$A:$A,'Basic Data'!$E:$E),"")</f>
        <v>3.846153846153845E-2</v>
      </c>
      <c r="K998" s="102">
        <v>4970</v>
      </c>
      <c r="L998" s="35" t="str">
        <f>IFERROR(_xlfn.XLOOKUP(Table6[[#This Row],[Error Code]],'Basic Data'!$AA:$AA,'Basic Data'!$AB:$AB),"Incorrect Error Code")</f>
        <v>Tower oscillation XF</v>
      </c>
      <c r="M998" s="35" t="s">
        <v>292</v>
      </c>
      <c r="N998" s="475"/>
      <c r="O998" s="476">
        <v>0.6791666666666667</v>
      </c>
      <c r="P998" s="476">
        <v>0.6791666666666667</v>
      </c>
      <c r="Q998" s="477">
        <v>0.69236111111111109</v>
      </c>
      <c r="R998" s="472">
        <f>IF(Table6[[#This Row],[Work Start TimeStamp]]="","",(Table6[[#This Row],[Work Start TimeStamp]]-Table6[[#This Row],[Fault Start TimeStamp]])*24)</f>
        <v>0</v>
      </c>
      <c r="S998" s="472">
        <f>(Table6[[#This Row],[Fault Clearance time]]-Table6[[#This Row],[Work Start TimeStamp]])*24</f>
        <v>0.31666666666666554</v>
      </c>
      <c r="T998" s="472">
        <f>(Table6[[#This Row],[Fault Clearance time]]-Table6[[#This Row],[Fault Start TimeStamp]])*24</f>
        <v>0.31666666666666554</v>
      </c>
      <c r="U998" s="35" t="s">
        <v>336</v>
      </c>
      <c r="V998" s="102" t="s">
        <v>293</v>
      </c>
      <c r="W998" s="478">
        <f>IFERROR(Table6[[#This Row],[Breakdown Time]]*Table6[[#This Row],[Plant Equivalent Weightage]],"")</f>
        <v>1.2179487179487133E-2</v>
      </c>
      <c r="X998" s="473" t="s">
        <v>294</v>
      </c>
      <c r="Y998" s="474" t="s">
        <v>85</v>
      </c>
      <c r="Z998" s="102">
        <v>49060.833333333336</v>
      </c>
      <c r="AA998" s="468">
        <f>(Table6[[#This Row],[Paired WTG Generation for loss calculation]]/24)*Table6[[#This Row],[Breakdown Time]]</f>
        <v>647.33043981481251</v>
      </c>
      <c r="AB998" s="102"/>
      <c r="AC998" s="35"/>
      <c r="AD998" s="35"/>
    </row>
    <row r="999" spans="1:30">
      <c r="A999" s="102">
        <f t="shared" si="16"/>
        <v>998</v>
      </c>
      <c r="B999" s="468">
        <f>YEAR(Table6[[#This Row],[Date]])+IF(MONTH(Table6[[#This Row],[Date]])&gt;=4,1,0)</f>
        <v>2026</v>
      </c>
      <c r="C999" s="102">
        <f>YEAR(Table6[[#This Row],[Date]])</f>
        <v>2025</v>
      </c>
      <c r="D999" s="102" t="s">
        <v>1992</v>
      </c>
      <c r="E999" s="469">
        <f>Table6[[#This Row],[Date]]-DAY(Table6[[#This Row],[Date]])+1</f>
        <v>45809</v>
      </c>
      <c r="F999" s="470">
        <v>45809</v>
      </c>
      <c r="G999" s="35" t="s">
        <v>89</v>
      </c>
      <c r="H999" s="35" t="str">
        <f>IFERROR(_xlfn.XLOOKUP(Table6[[#This Row],[Affected WTG]],'Basic Data'!$A:$A,'Basic Data'!$B:$B),"")</f>
        <v>TQGXIIPL</v>
      </c>
      <c r="I999" s="35" t="str">
        <f>IFERROR(_xlfn.XLOOKUP(Table6[[#This Row],[Affected WTG]],'Basic Data'!$A:$A,'Basic Data'!$C:$C),"")</f>
        <v>GEDA</v>
      </c>
      <c r="J999" s="471">
        <f>IFERROR(_xlfn.XLOOKUP(Table6[[#This Row],[Affected WTG]],'Basic Data'!$A:$A,'Basic Data'!$E:$E),"")</f>
        <v>3.846153846153845E-2</v>
      </c>
      <c r="K999" s="102">
        <v>4970</v>
      </c>
      <c r="L999" s="35" t="str">
        <f>IFERROR(_xlfn.XLOOKUP(Table6[[#This Row],[Error Code]],'Basic Data'!$AA:$AA,'Basic Data'!$AB:$AB),"Incorrect Error Code")</f>
        <v>Tower oscillation XF</v>
      </c>
      <c r="M999" s="35" t="s">
        <v>292</v>
      </c>
      <c r="N999" s="475"/>
      <c r="O999" s="476">
        <v>0.53750000000000009</v>
      </c>
      <c r="P999" s="476">
        <v>0.53750000000000009</v>
      </c>
      <c r="Q999" s="477">
        <v>0.54861111111111116</v>
      </c>
      <c r="R999" s="472">
        <f>IF(Table6[[#This Row],[Work Start TimeStamp]]="","",(Table6[[#This Row],[Work Start TimeStamp]]-Table6[[#This Row],[Fault Start TimeStamp]])*24)</f>
        <v>0</v>
      </c>
      <c r="S999" s="472">
        <f>(Table6[[#This Row],[Fault Clearance time]]-Table6[[#This Row],[Work Start TimeStamp]])*24</f>
        <v>0.26666666666666572</v>
      </c>
      <c r="T999" s="472">
        <f>(Table6[[#This Row],[Fault Clearance time]]-Table6[[#This Row],[Fault Start TimeStamp]])*24</f>
        <v>0.26666666666666572</v>
      </c>
      <c r="U999" s="35" t="s">
        <v>336</v>
      </c>
      <c r="V999" s="102" t="s">
        <v>293</v>
      </c>
      <c r="W999" s="478">
        <f>IFERROR(Table6[[#This Row],[Breakdown Time]]*Table6[[#This Row],[Plant Equivalent Weightage]],"")</f>
        <v>1.0256410256410217E-2</v>
      </c>
      <c r="X999" s="473" t="s">
        <v>294</v>
      </c>
      <c r="Y999" s="474" t="s">
        <v>94</v>
      </c>
      <c r="Z999" s="102">
        <v>52837.5</v>
      </c>
      <c r="AA999" s="468">
        <f>(Table6[[#This Row],[Paired WTG Generation for loss calculation]]/24)*Table6[[#This Row],[Breakdown Time]]</f>
        <v>587.08333333333121</v>
      </c>
      <c r="AB999" s="102"/>
      <c r="AC999" s="35"/>
      <c r="AD999" s="35"/>
    </row>
    <row r="1000" spans="1:30">
      <c r="A1000" s="102">
        <f t="shared" si="16"/>
        <v>999</v>
      </c>
      <c r="B1000" s="468">
        <f>YEAR(Table6[[#This Row],[Date]])+IF(MONTH(Table6[[#This Row],[Date]])&gt;=4,1,0)</f>
        <v>2026</v>
      </c>
      <c r="C1000" s="102">
        <f>YEAR(Table6[[#This Row],[Date]])</f>
        <v>2025</v>
      </c>
      <c r="D1000" s="102" t="s">
        <v>1992</v>
      </c>
      <c r="E1000" s="469">
        <f>Table6[[#This Row],[Date]]-DAY(Table6[[#This Row],[Date]])+1</f>
        <v>45809</v>
      </c>
      <c r="F1000" s="470">
        <v>45809</v>
      </c>
      <c r="G1000" s="35" t="s">
        <v>90</v>
      </c>
      <c r="H1000" s="35" t="str">
        <f>IFERROR(_xlfn.XLOOKUP(Table6[[#This Row],[Affected WTG]],'Basic Data'!$A:$A,'Basic Data'!$B:$B),"")</f>
        <v>TQGXIIPL</v>
      </c>
      <c r="I1000" s="35" t="str">
        <f>IFERROR(_xlfn.XLOOKUP(Table6[[#This Row],[Affected WTG]],'Basic Data'!$A:$A,'Basic Data'!$C:$C),"")</f>
        <v>GEDA</v>
      </c>
      <c r="J1000" s="471">
        <f>IFERROR(_xlfn.XLOOKUP(Table6[[#This Row],[Affected WTG]],'Basic Data'!$A:$A,'Basic Data'!$E:$E),"")</f>
        <v>3.846153846153845E-2</v>
      </c>
      <c r="K1000" s="102">
        <v>3000</v>
      </c>
      <c r="L1000" s="35" t="str">
        <f>IFERROR(_xlfn.XLOOKUP(Table6[[#This Row],[Error Code]],'Basic Data'!$AA:$AA,'Basic Data'!$AB:$AB),"Incorrect Error Code")</f>
        <v>Frequency converter not ready</v>
      </c>
      <c r="M1000" s="35" t="s">
        <v>291</v>
      </c>
      <c r="N1000" s="475"/>
      <c r="O1000" s="476">
        <v>0.58333333333333337</v>
      </c>
      <c r="P1000" s="476">
        <v>0.58333333333333337</v>
      </c>
      <c r="Q1000" s="477">
        <v>0.625</v>
      </c>
      <c r="R1000" s="472">
        <f>IF(Table6[[#This Row],[Work Start TimeStamp]]="","",(Table6[[#This Row],[Work Start TimeStamp]]-Table6[[#This Row],[Fault Start TimeStamp]])*24)</f>
        <v>0</v>
      </c>
      <c r="S1000" s="472">
        <f>(Table6[[#This Row],[Fault Clearance time]]-Table6[[#This Row],[Work Start TimeStamp]])*24</f>
        <v>0.99999999999999911</v>
      </c>
      <c r="T1000" s="472">
        <f>(Table6[[#This Row],[Fault Clearance time]]-Table6[[#This Row],[Fault Start TimeStamp]])*24</f>
        <v>0.99999999999999911</v>
      </c>
      <c r="U1000" s="35" t="s">
        <v>1932</v>
      </c>
      <c r="V1000" s="102" t="s">
        <v>293</v>
      </c>
      <c r="W1000" s="478">
        <f>IFERROR(Table6[[#This Row],[Breakdown Time]]*Table6[[#This Row],[Plant Equivalent Weightage]],"")</f>
        <v>3.8461538461538415E-2</v>
      </c>
      <c r="X1000" s="473" t="s">
        <v>294</v>
      </c>
      <c r="Y1000" s="474" t="s">
        <v>95</v>
      </c>
      <c r="Z1000" s="102">
        <v>56229</v>
      </c>
      <c r="AA1000" s="468">
        <f>(Table6[[#This Row],[Paired WTG Generation for loss calculation]]/24)*Table6[[#This Row],[Breakdown Time]]</f>
        <v>2342.8749999999977</v>
      </c>
      <c r="AB1000" s="102"/>
      <c r="AC1000" s="35"/>
      <c r="AD1000" s="35"/>
    </row>
    <row r="1001" spans="1:30">
      <c r="A1001" s="102">
        <f t="shared" si="16"/>
        <v>1000</v>
      </c>
      <c r="B1001" s="468">
        <f>YEAR(Table6[[#This Row],[Date]])+IF(MONTH(Table6[[#This Row],[Date]])&gt;=4,1,0)</f>
        <v>2026</v>
      </c>
      <c r="C1001" s="102">
        <f>YEAR(Table6[[#This Row],[Date]])</f>
        <v>2025</v>
      </c>
      <c r="D1001" s="102" t="s">
        <v>1992</v>
      </c>
      <c r="E1001" s="469">
        <f>Table6[[#This Row],[Date]]-DAY(Table6[[#This Row],[Date]])+1</f>
        <v>45809</v>
      </c>
      <c r="F1001" s="470">
        <v>45809</v>
      </c>
      <c r="G1001" s="35" t="s">
        <v>92</v>
      </c>
      <c r="H1001" s="35" t="str">
        <f>IFERROR(_xlfn.XLOOKUP(Table6[[#This Row],[Affected WTG]],'Basic Data'!$A:$A,'Basic Data'!$B:$B),"")</f>
        <v>TQGXIIPL</v>
      </c>
      <c r="I1001" s="35" t="str">
        <f>IFERROR(_xlfn.XLOOKUP(Table6[[#This Row],[Affected WTG]],'Basic Data'!$A:$A,'Basic Data'!$C:$C),"")</f>
        <v>GEDA</v>
      </c>
      <c r="J1001" s="471">
        <f>IFERROR(_xlfn.XLOOKUP(Table6[[#This Row],[Affected WTG]],'Basic Data'!$A:$A,'Basic Data'!$E:$E),"")</f>
        <v>3.846153846153845E-2</v>
      </c>
      <c r="K1001" s="102">
        <v>4970</v>
      </c>
      <c r="L1001" s="35" t="str">
        <f>IFERROR(_xlfn.XLOOKUP(Table6[[#This Row],[Error Code]],'Basic Data'!$AA:$AA,'Basic Data'!$AB:$AB),"Incorrect Error Code")</f>
        <v>Tower oscillation XF</v>
      </c>
      <c r="M1001" s="35" t="s">
        <v>292</v>
      </c>
      <c r="N1001" s="475"/>
      <c r="O1001" s="476">
        <v>0.53472222222222221</v>
      </c>
      <c r="P1001" s="476">
        <v>0.53472222222222221</v>
      </c>
      <c r="Q1001" s="477">
        <v>0.54513888888888895</v>
      </c>
      <c r="R1001" s="472">
        <f>IF(Table6[[#This Row],[Work Start TimeStamp]]="","",(Table6[[#This Row],[Work Start TimeStamp]]-Table6[[#This Row],[Fault Start TimeStamp]])*24)</f>
        <v>0</v>
      </c>
      <c r="S1001" s="472">
        <f>(Table6[[#This Row],[Fault Clearance time]]-Table6[[#This Row],[Work Start TimeStamp]])*24</f>
        <v>0.25000000000000178</v>
      </c>
      <c r="T1001" s="472">
        <f>(Table6[[#This Row],[Fault Clearance time]]-Table6[[#This Row],[Fault Start TimeStamp]])*24</f>
        <v>0.25000000000000178</v>
      </c>
      <c r="U1001" s="35" t="s">
        <v>336</v>
      </c>
      <c r="V1001" s="102" t="s">
        <v>293</v>
      </c>
      <c r="W1001" s="478">
        <f>IFERROR(Table6[[#This Row],[Breakdown Time]]*Table6[[#This Row],[Plant Equivalent Weightage]],"")</f>
        <v>9.6153846153846801E-3</v>
      </c>
      <c r="X1001" s="473" t="s">
        <v>294</v>
      </c>
      <c r="Y1001" s="474" t="s">
        <v>80</v>
      </c>
      <c r="Z1001" s="102">
        <v>51412.666666666664</v>
      </c>
      <c r="AA1001" s="468">
        <f>(Table6[[#This Row],[Paired WTG Generation for loss calculation]]/24)*Table6[[#This Row],[Breakdown Time]]</f>
        <v>535.54861111111484</v>
      </c>
      <c r="AB1001" s="102"/>
      <c r="AC1001" s="35"/>
      <c r="AD1001" s="35"/>
    </row>
    <row r="1002" spans="1:30">
      <c r="A1002" s="102">
        <f t="shared" si="16"/>
        <v>1001</v>
      </c>
      <c r="B1002" s="468">
        <f>YEAR(Table6[[#This Row],[Date]])+IF(MONTH(Table6[[#This Row],[Date]])&gt;=4,1,0)</f>
        <v>2026</v>
      </c>
      <c r="C1002" s="102">
        <f>YEAR(Table6[[#This Row],[Date]])</f>
        <v>2025</v>
      </c>
      <c r="D1002" s="102" t="s">
        <v>1992</v>
      </c>
      <c r="E1002" s="469">
        <f>Table6[[#This Row],[Date]]-DAY(Table6[[#This Row],[Date]])+1</f>
        <v>45809</v>
      </c>
      <c r="F1002" s="470">
        <v>45809</v>
      </c>
      <c r="G1002" s="35" t="s">
        <v>93</v>
      </c>
      <c r="H1002" s="35" t="str">
        <f>IFERROR(_xlfn.XLOOKUP(Table6[[#This Row],[Affected WTG]],'Basic Data'!$A:$A,'Basic Data'!$B:$B),"")</f>
        <v>TQGXIIPL</v>
      </c>
      <c r="I1002" s="35" t="str">
        <f>IFERROR(_xlfn.XLOOKUP(Table6[[#This Row],[Affected WTG]],'Basic Data'!$A:$A,'Basic Data'!$C:$C),"")</f>
        <v>GEDA</v>
      </c>
      <c r="J1002" s="471">
        <f>IFERROR(_xlfn.XLOOKUP(Table6[[#This Row],[Affected WTG]],'Basic Data'!$A:$A,'Basic Data'!$E:$E),"")</f>
        <v>3.846153846153845E-2</v>
      </c>
      <c r="K1002" s="102">
        <v>6130</v>
      </c>
      <c r="L1002" s="35" t="str">
        <f>IFERROR(_xlfn.XLOOKUP(Table6[[#This Row],[Error Code]],'Basic Data'!$AA:$AA,'Basic Data'!$AB:$AB),"Incorrect Error Code")</f>
        <v>Yaw speed high</v>
      </c>
      <c r="M1002" s="35" t="s">
        <v>292</v>
      </c>
      <c r="N1002" s="475"/>
      <c r="O1002" s="476">
        <v>0.51597222222222228</v>
      </c>
      <c r="P1002" s="476">
        <v>0.51597222222222228</v>
      </c>
      <c r="Q1002" s="477">
        <v>0.52152777777777781</v>
      </c>
      <c r="R1002" s="472">
        <f>IF(Table6[[#This Row],[Work Start TimeStamp]]="","",(Table6[[#This Row],[Work Start TimeStamp]]-Table6[[#This Row],[Fault Start TimeStamp]])*24)</f>
        <v>0</v>
      </c>
      <c r="S1002" s="472">
        <f>(Table6[[#This Row],[Fault Clearance time]]-Table6[[#This Row],[Work Start TimeStamp]])*24</f>
        <v>0.13333333333333286</v>
      </c>
      <c r="T1002" s="472">
        <f>(Table6[[#This Row],[Fault Clearance time]]-Table6[[#This Row],[Fault Start TimeStamp]])*24</f>
        <v>0.13333333333333286</v>
      </c>
      <c r="U1002" s="35" t="s">
        <v>336</v>
      </c>
      <c r="V1002" s="102" t="s">
        <v>293</v>
      </c>
      <c r="W1002" s="478">
        <f>IFERROR(Table6[[#This Row],[Breakdown Time]]*Table6[[#This Row],[Plant Equivalent Weightage]],"")</f>
        <v>5.1282051282051083E-3</v>
      </c>
      <c r="X1002" s="473" t="s">
        <v>294</v>
      </c>
      <c r="Y1002" s="474" t="s">
        <v>97</v>
      </c>
      <c r="Z1002" s="102">
        <v>53390.833333333336</v>
      </c>
      <c r="AA1002" s="468">
        <f>(Table6[[#This Row],[Paired WTG Generation for loss calculation]]/24)*Table6[[#This Row],[Breakdown Time]]</f>
        <v>296.61574074073968</v>
      </c>
      <c r="AB1002" s="102"/>
      <c r="AC1002" s="35"/>
      <c r="AD1002" s="35"/>
    </row>
    <row r="1003" spans="1:30">
      <c r="A1003" s="102">
        <f t="shared" si="16"/>
        <v>1002</v>
      </c>
      <c r="B1003" s="468">
        <f>YEAR(Table6[[#This Row],[Date]])+IF(MONTH(Table6[[#This Row],[Date]])&gt;=4,1,0)</f>
        <v>2026</v>
      </c>
      <c r="C1003" s="102">
        <f>YEAR(Table6[[#This Row],[Date]])</f>
        <v>2025</v>
      </c>
      <c r="D1003" s="102" t="s">
        <v>1992</v>
      </c>
      <c r="E1003" s="469">
        <f>Table6[[#This Row],[Date]]-DAY(Table6[[#This Row],[Date]])+1</f>
        <v>45809</v>
      </c>
      <c r="F1003" s="470">
        <v>45809</v>
      </c>
      <c r="G1003" s="35" t="s">
        <v>94</v>
      </c>
      <c r="H1003" s="35" t="str">
        <f>IFERROR(_xlfn.XLOOKUP(Table6[[#This Row],[Affected WTG]],'Basic Data'!$A:$A,'Basic Data'!$B:$B),"")</f>
        <v>TQGXIIPL</v>
      </c>
      <c r="I1003" s="35" t="str">
        <f>IFERROR(_xlfn.XLOOKUP(Table6[[#This Row],[Affected WTG]],'Basic Data'!$A:$A,'Basic Data'!$C:$C),"")</f>
        <v>GEDA</v>
      </c>
      <c r="J1003" s="471">
        <f>IFERROR(_xlfn.XLOOKUP(Table6[[#This Row],[Affected WTG]],'Basic Data'!$A:$A,'Basic Data'!$E:$E),"")</f>
        <v>3.846153846153845E-2</v>
      </c>
      <c r="K1003" s="102">
        <v>4970</v>
      </c>
      <c r="L1003" s="35" t="str">
        <f>IFERROR(_xlfn.XLOOKUP(Table6[[#This Row],[Error Code]],'Basic Data'!$AA:$AA,'Basic Data'!$AB:$AB),"Incorrect Error Code")</f>
        <v>Tower oscillation XF</v>
      </c>
      <c r="M1003" s="35" t="s">
        <v>292</v>
      </c>
      <c r="N1003" s="475"/>
      <c r="O1003" s="476">
        <v>0.56527777777777777</v>
      </c>
      <c r="P1003" s="476">
        <v>0.56527777777777777</v>
      </c>
      <c r="Q1003" s="477">
        <v>0.57638888888888895</v>
      </c>
      <c r="R1003" s="472">
        <f>IF(Table6[[#This Row],[Work Start TimeStamp]]="","",(Table6[[#This Row],[Work Start TimeStamp]]-Table6[[#This Row],[Fault Start TimeStamp]])*24)</f>
        <v>0</v>
      </c>
      <c r="S1003" s="472">
        <f>(Table6[[#This Row],[Fault Clearance time]]-Table6[[#This Row],[Work Start TimeStamp]])*24</f>
        <v>0.26666666666666838</v>
      </c>
      <c r="T1003" s="472">
        <f>(Table6[[#This Row],[Fault Clearance time]]-Table6[[#This Row],[Fault Start TimeStamp]])*24</f>
        <v>0.26666666666666838</v>
      </c>
      <c r="U1003" s="35" t="s">
        <v>336</v>
      </c>
      <c r="V1003" s="102" t="s">
        <v>293</v>
      </c>
      <c r="W1003" s="478">
        <f>IFERROR(Table6[[#This Row],[Breakdown Time]]*Table6[[#This Row],[Plant Equivalent Weightage]],"")</f>
        <v>1.0256410256410319E-2</v>
      </c>
      <c r="X1003" s="473" t="s">
        <v>294</v>
      </c>
      <c r="Y1003" s="474" t="s">
        <v>79</v>
      </c>
      <c r="Z1003" s="102">
        <v>52292.166666666672</v>
      </c>
      <c r="AA1003" s="468">
        <f>(Table6[[#This Row],[Paired WTG Generation for loss calculation]]/24)*Table6[[#This Row],[Breakdown Time]]</f>
        <v>581.02407407407782</v>
      </c>
      <c r="AB1003" s="102"/>
      <c r="AC1003" s="35"/>
      <c r="AD1003" s="35"/>
    </row>
    <row r="1004" spans="1:30">
      <c r="A1004" s="102">
        <f t="shared" si="16"/>
        <v>1003</v>
      </c>
      <c r="B1004" s="468">
        <f>YEAR(Table6[[#This Row],[Date]])+IF(MONTH(Table6[[#This Row],[Date]])&gt;=4,1,0)</f>
        <v>2026</v>
      </c>
      <c r="C1004" s="102">
        <f>YEAR(Table6[[#This Row],[Date]])</f>
        <v>2025</v>
      </c>
      <c r="D1004" s="102" t="s">
        <v>1992</v>
      </c>
      <c r="E1004" s="469">
        <f>Table6[[#This Row],[Date]]-DAY(Table6[[#This Row],[Date]])+1</f>
        <v>45809</v>
      </c>
      <c r="F1004" s="470">
        <v>45809</v>
      </c>
      <c r="G1004" s="35" t="s">
        <v>96</v>
      </c>
      <c r="H1004" s="35" t="str">
        <f>IFERROR(_xlfn.XLOOKUP(Table6[[#This Row],[Affected WTG]],'Basic Data'!$A:$A,'Basic Data'!$B:$B),"")</f>
        <v>TQGXIIPL</v>
      </c>
      <c r="I1004" s="35" t="str">
        <f>IFERROR(_xlfn.XLOOKUP(Table6[[#This Row],[Affected WTG]],'Basic Data'!$A:$A,'Basic Data'!$C:$C),"")</f>
        <v>GEDA</v>
      </c>
      <c r="J1004" s="471">
        <f>IFERROR(_xlfn.XLOOKUP(Table6[[#This Row],[Affected WTG]],'Basic Data'!$A:$A,'Basic Data'!$E:$E),"")</f>
        <v>3.846153846153845E-2</v>
      </c>
      <c r="K1004" s="102">
        <v>6130</v>
      </c>
      <c r="L1004" s="35" t="str">
        <f>IFERROR(_xlfn.XLOOKUP(Table6[[#This Row],[Error Code]],'Basic Data'!$AA:$AA,'Basic Data'!$AB:$AB),"Incorrect Error Code")</f>
        <v>Yaw speed high</v>
      </c>
      <c r="M1004" s="35" t="s">
        <v>292</v>
      </c>
      <c r="N1004" s="475"/>
      <c r="O1004" s="476">
        <v>0.48888888888888887</v>
      </c>
      <c r="P1004" s="476">
        <v>0.48888888888888887</v>
      </c>
      <c r="Q1004" s="477">
        <v>0.49027777777777776</v>
      </c>
      <c r="R1004" s="472">
        <f>IF(Table6[[#This Row],[Work Start TimeStamp]]="","",(Table6[[#This Row],[Work Start TimeStamp]]-Table6[[#This Row],[Fault Start TimeStamp]])*24)</f>
        <v>0</v>
      </c>
      <c r="S1004" s="472">
        <f>(Table6[[#This Row],[Fault Clearance time]]-Table6[[#This Row],[Work Start TimeStamp]])*24</f>
        <v>3.3333333333333215E-2</v>
      </c>
      <c r="T1004" s="472">
        <f>(Table6[[#This Row],[Fault Clearance time]]-Table6[[#This Row],[Fault Start TimeStamp]])*24</f>
        <v>3.3333333333333215E-2</v>
      </c>
      <c r="U1004" s="35" t="s">
        <v>336</v>
      </c>
      <c r="V1004" s="102" t="s">
        <v>293</v>
      </c>
      <c r="W1004" s="478">
        <f>IFERROR(Table6[[#This Row],[Breakdown Time]]*Table6[[#This Row],[Plant Equivalent Weightage]],"")</f>
        <v>1.2820512820512771E-3</v>
      </c>
      <c r="X1004" s="473" t="s">
        <v>294</v>
      </c>
      <c r="Y1004" s="474" t="s">
        <v>84</v>
      </c>
      <c r="Z1004" s="102">
        <v>51597</v>
      </c>
      <c r="AA1004" s="468">
        <f>(Table6[[#This Row],[Paired WTG Generation for loss calculation]]/24)*Table6[[#This Row],[Breakdown Time]]</f>
        <v>71.662499999999739</v>
      </c>
      <c r="AB1004" s="102"/>
      <c r="AC1004" s="35"/>
      <c r="AD1004" s="35"/>
    </row>
    <row r="1005" spans="1:30">
      <c r="A1005" s="102">
        <f t="shared" si="16"/>
        <v>1004</v>
      </c>
      <c r="B1005" s="468">
        <f>YEAR(Table6[[#This Row],[Date]])+IF(MONTH(Table6[[#This Row],[Date]])&gt;=4,1,0)</f>
        <v>2026</v>
      </c>
      <c r="C1005" s="102">
        <f>YEAR(Table6[[#This Row],[Date]])</f>
        <v>2025</v>
      </c>
      <c r="D1005" s="102" t="s">
        <v>1992</v>
      </c>
      <c r="E1005" s="469">
        <f>Table6[[#This Row],[Date]]-DAY(Table6[[#This Row],[Date]])+1</f>
        <v>45809</v>
      </c>
      <c r="F1005" s="470">
        <v>45809</v>
      </c>
      <c r="G1005" s="35" t="s">
        <v>97</v>
      </c>
      <c r="H1005" s="35" t="str">
        <f>IFERROR(_xlfn.XLOOKUP(Table6[[#This Row],[Affected WTG]],'Basic Data'!$A:$A,'Basic Data'!$B:$B),"")</f>
        <v>TQGXIIPL</v>
      </c>
      <c r="I1005" s="35" t="str">
        <f>IFERROR(_xlfn.XLOOKUP(Table6[[#This Row],[Affected WTG]],'Basic Data'!$A:$A,'Basic Data'!$C:$C),"")</f>
        <v>GEDA</v>
      </c>
      <c r="J1005" s="471">
        <f>IFERROR(_xlfn.XLOOKUP(Table6[[#This Row],[Affected WTG]],'Basic Data'!$A:$A,'Basic Data'!$E:$E),"")</f>
        <v>3.846153846153845E-2</v>
      </c>
      <c r="K1005" s="102">
        <v>6130</v>
      </c>
      <c r="L1005" s="35" t="str">
        <f>IFERROR(_xlfn.XLOOKUP(Table6[[#This Row],[Error Code]],'Basic Data'!$AA:$AA,'Basic Data'!$AB:$AB),"Incorrect Error Code")</f>
        <v>Yaw speed high</v>
      </c>
      <c r="M1005" s="35" t="s">
        <v>292</v>
      </c>
      <c r="N1005" s="475"/>
      <c r="O1005" s="476">
        <v>0.52222222222222225</v>
      </c>
      <c r="P1005" s="476">
        <v>0.52222222222222225</v>
      </c>
      <c r="Q1005" s="477">
        <v>0.52638888888888891</v>
      </c>
      <c r="R1005" s="472">
        <f>IF(Table6[[#This Row],[Work Start TimeStamp]]="","",(Table6[[#This Row],[Work Start TimeStamp]]-Table6[[#This Row],[Fault Start TimeStamp]])*24)</f>
        <v>0</v>
      </c>
      <c r="S1005" s="472">
        <f>(Table6[[#This Row],[Fault Clearance time]]-Table6[[#This Row],[Work Start TimeStamp]])*24</f>
        <v>9.9999999999999645E-2</v>
      </c>
      <c r="T1005" s="472">
        <f>(Table6[[#This Row],[Fault Clearance time]]-Table6[[#This Row],[Fault Start TimeStamp]])*24</f>
        <v>9.9999999999999645E-2</v>
      </c>
      <c r="U1005" s="35" t="s">
        <v>336</v>
      </c>
      <c r="V1005" s="102" t="s">
        <v>293</v>
      </c>
      <c r="W1005" s="478">
        <f>IFERROR(Table6[[#This Row],[Breakdown Time]]*Table6[[#This Row],[Plant Equivalent Weightage]],"")</f>
        <v>3.8461538461538312E-3</v>
      </c>
      <c r="X1005" s="473" t="s">
        <v>294</v>
      </c>
      <c r="Y1005" s="474" t="s">
        <v>93</v>
      </c>
      <c r="Z1005" s="102">
        <v>53693</v>
      </c>
      <c r="AA1005" s="468">
        <f>(Table6[[#This Row],[Paired WTG Generation for loss calculation]]/24)*Table6[[#This Row],[Breakdown Time]]</f>
        <v>223.72083333333256</v>
      </c>
      <c r="AB1005" s="102"/>
      <c r="AC1005" s="35"/>
      <c r="AD1005" s="35"/>
    </row>
    <row r="1006" spans="1:30">
      <c r="A1006" s="102">
        <f t="shared" si="16"/>
        <v>1005</v>
      </c>
      <c r="B1006" s="468">
        <f>YEAR(Table6[[#This Row],[Date]])+IF(MONTH(Table6[[#This Row],[Date]])&gt;=4,1,0)</f>
        <v>2026</v>
      </c>
      <c r="C1006" s="102">
        <f>YEAR(Table6[[#This Row],[Date]])</f>
        <v>2025</v>
      </c>
      <c r="D1006" s="102" t="s">
        <v>1992</v>
      </c>
      <c r="E1006" s="469">
        <f>Table6[[#This Row],[Date]]-DAY(Table6[[#This Row],[Date]])+1</f>
        <v>45809</v>
      </c>
      <c r="F1006" s="470">
        <v>45809</v>
      </c>
      <c r="G1006" s="35" t="s">
        <v>98</v>
      </c>
      <c r="H1006" s="35" t="str">
        <f>IFERROR(_xlfn.XLOOKUP(Table6[[#This Row],[Affected WTG]],'Basic Data'!$A:$A,'Basic Data'!$B:$B),"")</f>
        <v>TQGXIIPL</v>
      </c>
      <c r="I1006" s="35" t="str">
        <f>IFERROR(_xlfn.XLOOKUP(Table6[[#This Row],[Affected WTG]],'Basic Data'!$A:$A,'Basic Data'!$C:$C),"")</f>
        <v>GEDA</v>
      </c>
      <c r="J1006" s="471">
        <f>IFERROR(_xlfn.XLOOKUP(Table6[[#This Row],[Affected WTG]],'Basic Data'!$A:$A,'Basic Data'!$E:$E),"")</f>
        <v>3.846153846153845E-2</v>
      </c>
      <c r="K1006" s="102">
        <v>3110</v>
      </c>
      <c r="L1006" s="35" t="str">
        <f>IFERROR(_xlfn.XLOOKUP(Table6[[#This Row],[Error Code]],'Basic Data'!$AA:$AA,'Basic Data'!$AB:$AB),"Incorrect Error Code")</f>
        <v>Frequency converter error</v>
      </c>
      <c r="M1006" s="35" t="s">
        <v>291</v>
      </c>
      <c r="N1006" s="475"/>
      <c r="O1006" s="476">
        <v>0.11736111111111111</v>
      </c>
      <c r="P1006" s="476">
        <v>0.11736111111111111</v>
      </c>
      <c r="Q1006" s="477">
        <v>0.12291666666666666</v>
      </c>
      <c r="R1006" s="472">
        <f>IF(Table6[[#This Row],[Work Start TimeStamp]]="","",(Table6[[#This Row],[Work Start TimeStamp]]-Table6[[#This Row],[Fault Start TimeStamp]])*24)</f>
        <v>0</v>
      </c>
      <c r="S1006" s="472">
        <f>(Table6[[#This Row],[Fault Clearance time]]-Table6[[#This Row],[Work Start TimeStamp]])*24</f>
        <v>0.13333333333333319</v>
      </c>
      <c r="T1006" s="472">
        <f>(Table6[[#This Row],[Fault Clearance time]]-Table6[[#This Row],[Fault Start TimeStamp]])*24</f>
        <v>0.13333333333333319</v>
      </c>
      <c r="U1006" s="35" t="s">
        <v>1933</v>
      </c>
      <c r="V1006" s="102" t="s">
        <v>293</v>
      </c>
      <c r="W1006" s="478">
        <f>IFERROR(Table6[[#This Row],[Breakdown Time]]*Table6[[#This Row],[Plant Equivalent Weightage]],"")</f>
        <v>5.1282051282051213E-3</v>
      </c>
      <c r="X1006" s="473" t="s">
        <v>294</v>
      </c>
      <c r="Y1006" s="474" t="s">
        <v>74</v>
      </c>
      <c r="Z1006" s="102">
        <v>50690.166666666672</v>
      </c>
      <c r="AA1006" s="468">
        <f>(Table6[[#This Row],[Paired WTG Generation for loss calculation]]/24)*Table6[[#This Row],[Breakdown Time]]</f>
        <v>281.61203703703677</v>
      </c>
      <c r="AB1006" s="102"/>
      <c r="AC1006" s="35"/>
      <c r="AD1006" s="35"/>
    </row>
    <row r="1007" spans="1:30">
      <c r="A1007" s="102">
        <f t="shared" si="16"/>
        <v>1006</v>
      </c>
      <c r="B1007" s="468">
        <f>YEAR(Table6[[#This Row],[Date]])+IF(MONTH(Table6[[#This Row],[Date]])&gt;=4,1,0)</f>
        <v>2026</v>
      </c>
      <c r="C1007" s="102">
        <f>YEAR(Table6[[#This Row],[Date]])</f>
        <v>2025</v>
      </c>
      <c r="D1007" s="102" t="s">
        <v>1992</v>
      </c>
      <c r="E1007" s="469">
        <f>Table6[[#This Row],[Date]]-DAY(Table6[[#This Row],[Date]])+1</f>
        <v>45809</v>
      </c>
      <c r="F1007" s="470">
        <v>45809</v>
      </c>
      <c r="G1007" s="35" t="s">
        <v>99</v>
      </c>
      <c r="H1007" s="35" t="str">
        <f>IFERROR(_xlfn.XLOOKUP(Table6[[#This Row],[Affected WTG]],'Basic Data'!$A:$A,'Basic Data'!$B:$B),"")</f>
        <v>TQGXIIPL</v>
      </c>
      <c r="I1007" s="35" t="str">
        <f>IFERROR(_xlfn.XLOOKUP(Table6[[#This Row],[Affected WTG]],'Basic Data'!$A:$A,'Basic Data'!$C:$C),"")</f>
        <v>GEDA</v>
      </c>
      <c r="J1007" s="471">
        <f>IFERROR(_xlfn.XLOOKUP(Table6[[#This Row],[Affected WTG]],'Basic Data'!$A:$A,'Basic Data'!$E:$E),"")</f>
        <v>3.846153846153845E-2</v>
      </c>
      <c r="K1007" s="102">
        <v>6130</v>
      </c>
      <c r="L1007" s="35" t="str">
        <f>IFERROR(_xlfn.XLOOKUP(Table6[[#This Row],[Error Code]],'Basic Data'!$AA:$AA,'Basic Data'!$AB:$AB),"Incorrect Error Code")</f>
        <v>Yaw speed high</v>
      </c>
      <c r="M1007" s="35" t="s">
        <v>292</v>
      </c>
      <c r="N1007" s="475"/>
      <c r="O1007" s="476">
        <v>0.63125000000000009</v>
      </c>
      <c r="P1007" s="476">
        <v>0.63125000000000009</v>
      </c>
      <c r="Q1007" s="477">
        <v>0.63541666666666674</v>
      </c>
      <c r="R1007" s="472">
        <f>IF(Table6[[#This Row],[Work Start TimeStamp]]="","",(Table6[[#This Row],[Work Start TimeStamp]]-Table6[[#This Row],[Fault Start TimeStamp]])*24)</f>
        <v>0</v>
      </c>
      <c r="S1007" s="472">
        <f>(Table6[[#This Row],[Fault Clearance time]]-Table6[[#This Row],[Work Start TimeStamp]])*24</f>
        <v>9.9999999999999645E-2</v>
      </c>
      <c r="T1007" s="472">
        <f>(Table6[[#This Row],[Fault Clearance time]]-Table6[[#This Row],[Fault Start TimeStamp]])*24</f>
        <v>9.9999999999999645E-2</v>
      </c>
      <c r="U1007" s="35" t="s">
        <v>336</v>
      </c>
      <c r="V1007" s="102" t="s">
        <v>293</v>
      </c>
      <c r="W1007" s="478">
        <f>IFERROR(Table6[[#This Row],[Breakdown Time]]*Table6[[#This Row],[Plant Equivalent Weightage]],"")</f>
        <v>3.8461538461538312E-3</v>
      </c>
      <c r="X1007" s="473" t="s">
        <v>294</v>
      </c>
      <c r="Y1007" s="474" t="s">
        <v>74</v>
      </c>
      <c r="Z1007" s="102">
        <v>50690.166666666672</v>
      </c>
      <c r="AA1007" s="468">
        <f>(Table6[[#This Row],[Paired WTG Generation for loss calculation]]/24)*Table6[[#This Row],[Breakdown Time]]</f>
        <v>211.20902777777704</v>
      </c>
      <c r="AB1007" s="102"/>
      <c r="AC1007" s="35"/>
      <c r="AD1007" s="35"/>
    </row>
    <row r="1008" spans="1:30">
      <c r="A1008" s="102">
        <f t="shared" si="16"/>
        <v>1007</v>
      </c>
      <c r="B1008" s="468">
        <f>YEAR(Table6[[#This Row],[Date]])+IF(MONTH(Table6[[#This Row],[Date]])&gt;=4,1,0)</f>
        <v>2026</v>
      </c>
      <c r="C1008" s="102">
        <f>YEAR(Table6[[#This Row],[Date]])</f>
        <v>2025</v>
      </c>
      <c r="D1008" s="102" t="s">
        <v>1992</v>
      </c>
      <c r="E1008" s="469">
        <f>Table6[[#This Row],[Date]]-DAY(Table6[[#This Row],[Date]])+1</f>
        <v>45809</v>
      </c>
      <c r="F1008" s="470">
        <v>45809</v>
      </c>
      <c r="G1008" s="35" t="s">
        <v>99</v>
      </c>
      <c r="H1008" s="35" t="str">
        <f>IFERROR(_xlfn.XLOOKUP(Table6[[#This Row],[Affected WTG]],'Basic Data'!$A:$A,'Basic Data'!$B:$B),"")</f>
        <v>TQGXIIPL</v>
      </c>
      <c r="I1008" s="35" t="str">
        <f>IFERROR(_xlfn.XLOOKUP(Table6[[#This Row],[Affected WTG]],'Basic Data'!$A:$A,'Basic Data'!$C:$C),"")</f>
        <v>GEDA</v>
      </c>
      <c r="J1008" s="471">
        <f>IFERROR(_xlfn.XLOOKUP(Table6[[#This Row],[Affected WTG]],'Basic Data'!$A:$A,'Basic Data'!$E:$E),"")</f>
        <v>3.846153846153845E-2</v>
      </c>
      <c r="K1008" s="102">
        <v>4970</v>
      </c>
      <c r="L1008" s="35" t="str">
        <f>IFERROR(_xlfn.XLOOKUP(Table6[[#This Row],[Error Code]],'Basic Data'!$AA:$AA,'Basic Data'!$AB:$AB),"Incorrect Error Code")</f>
        <v>Tower oscillation XF</v>
      </c>
      <c r="M1008" s="35" t="s">
        <v>292</v>
      </c>
      <c r="N1008" s="475"/>
      <c r="O1008" s="476">
        <v>0.70486111111111116</v>
      </c>
      <c r="P1008" s="476">
        <v>0.70486111111111116</v>
      </c>
      <c r="Q1008" s="477">
        <v>0.71180555555555558</v>
      </c>
      <c r="R1008" s="472">
        <f>IF(Table6[[#This Row],[Work Start TimeStamp]]="","",(Table6[[#This Row],[Work Start TimeStamp]]-Table6[[#This Row],[Fault Start TimeStamp]])*24)</f>
        <v>0</v>
      </c>
      <c r="S1008" s="472">
        <f>(Table6[[#This Row],[Fault Clearance time]]-Table6[[#This Row],[Work Start TimeStamp]])*24</f>
        <v>0.16666666666666607</v>
      </c>
      <c r="T1008" s="472">
        <f>(Table6[[#This Row],[Fault Clearance time]]-Table6[[#This Row],[Fault Start TimeStamp]])*24</f>
        <v>0.16666666666666607</v>
      </c>
      <c r="U1008" s="35" t="s">
        <v>336</v>
      </c>
      <c r="V1008" s="102" t="s">
        <v>293</v>
      </c>
      <c r="W1008" s="478">
        <f>IFERROR(Table6[[#This Row],[Breakdown Time]]*Table6[[#This Row],[Plant Equivalent Weightage]],"")</f>
        <v>6.4102564102563857E-3</v>
      </c>
      <c r="X1008" s="473" t="s">
        <v>294</v>
      </c>
      <c r="Y1008" s="474" t="s">
        <v>74</v>
      </c>
      <c r="Z1008" s="102">
        <v>50690.166666666672</v>
      </c>
      <c r="AA1008" s="468">
        <f>(Table6[[#This Row],[Paired WTG Generation for loss calculation]]/24)*Table6[[#This Row],[Breakdown Time]]</f>
        <v>352.01504629629505</v>
      </c>
      <c r="AB1008" s="102"/>
      <c r="AC1008" s="35"/>
      <c r="AD1008" s="35"/>
    </row>
    <row r="1009" spans="1:30">
      <c r="A1009" s="102">
        <f t="shared" si="16"/>
        <v>1008</v>
      </c>
      <c r="B1009" s="468">
        <f>YEAR(Table6[[#This Row],[Date]])+IF(MONTH(Table6[[#This Row],[Date]])&gt;=4,1,0)</f>
        <v>2026</v>
      </c>
      <c r="C1009" s="102">
        <f>YEAR(Table6[[#This Row],[Date]])</f>
        <v>2025</v>
      </c>
      <c r="D1009" s="102" t="s">
        <v>1992</v>
      </c>
      <c r="E1009" s="469">
        <f>Table6[[#This Row],[Date]]-DAY(Table6[[#This Row],[Date]])+1</f>
        <v>45809</v>
      </c>
      <c r="F1009" s="470">
        <v>45810</v>
      </c>
      <c r="G1009" s="35" t="s">
        <v>74</v>
      </c>
      <c r="H1009" s="35" t="str">
        <f>IFERROR(_xlfn.XLOOKUP(Table6[[#This Row],[Affected WTG]],'Basic Data'!$A:$A,'Basic Data'!$B:$B),"")</f>
        <v>TQGXIIPL</v>
      </c>
      <c r="I1009" s="35" t="str">
        <f>IFERROR(_xlfn.XLOOKUP(Table6[[#This Row],[Affected WTG]],'Basic Data'!$A:$A,'Basic Data'!$C:$C),"")</f>
        <v>GEDA</v>
      </c>
      <c r="J1009" s="471">
        <f>IFERROR(_xlfn.XLOOKUP(Table6[[#This Row],[Affected WTG]],'Basic Data'!$A:$A,'Basic Data'!$E:$E),"")</f>
        <v>3.846153846153845E-2</v>
      </c>
      <c r="K1009" s="102">
        <v>6130</v>
      </c>
      <c r="L1009" s="35" t="str">
        <f>IFERROR(_xlfn.XLOOKUP(Table6[[#This Row],[Error Code]],'Basic Data'!$AA:$AA,'Basic Data'!$AB:$AB),"Incorrect Error Code")</f>
        <v>Yaw speed high</v>
      </c>
      <c r="M1009" s="35" t="s">
        <v>292</v>
      </c>
      <c r="N1009" s="475"/>
      <c r="O1009" s="476">
        <v>0.51111111111111107</v>
      </c>
      <c r="P1009" s="476">
        <v>0.51111111111111107</v>
      </c>
      <c r="Q1009" s="477">
        <v>0.51249999999999996</v>
      </c>
      <c r="R1009" s="472">
        <f>IF(Table6[[#This Row],[Work Start TimeStamp]]="","",(Table6[[#This Row],[Work Start TimeStamp]]-Table6[[#This Row],[Fault Start TimeStamp]])*24)</f>
        <v>0</v>
      </c>
      <c r="S1009" s="472">
        <f>(Table6[[#This Row],[Fault Clearance time]]-Table6[[#This Row],[Work Start TimeStamp]])*24</f>
        <v>3.3333333333333215E-2</v>
      </c>
      <c r="T1009" s="472">
        <f>(Table6[[#This Row],[Fault Clearance time]]-Table6[[#This Row],[Fault Start TimeStamp]])*24</f>
        <v>3.3333333333333215E-2</v>
      </c>
      <c r="U1009" s="35" t="s">
        <v>336</v>
      </c>
      <c r="V1009" s="102" t="s">
        <v>293</v>
      </c>
      <c r="W1009" s="478">
        <f>IFERROR(Table6[[#This Row],[Breakdown Time]]*Table6[[#This Row],[Plant Equivalent Weightage]],"")</f>
        <v>1.2820512820512771E-3</v>
      </c>
      <c r="X1009" s="473" t="s">
        <v>294</v>
      </c>
      <c r="Y1009" s="474" t="s">
        <v>99</v>
      </c>
      <c r="Z1009" s="102">
        <v>44649.833333333328</v>
      </c>
      <c r="AA1009" s="468">
        <f>(Table6[[#This Row],[Paired WTG Generation for loss calculation]]/24)*Table6[[#This Row],[Breakdown Time]]</f>
        <v>62.01365740740718</v>
      </c>
      <c r="AB1009" s="102"/>
      <c r="AC1009" s="35"/>
      <c r="AD1009" s="35"/>
    </row>
    <row r="1010" spans="1:30">
      <c r="A1010" s="102">
        <f t="shared" si="16"/>
        <v>1009</v>
      </c>
      <c r="B1010" s="468">
        <f>YEAR(Table6[[#This Row],[Date]])+IF(MONTH(Table6[[#This Row],[Date]])&gt;=4,1,0)</f>
        <v>2026</v>
      </c>
      <c r="C1010" s="102">
        <f>YEAR(Table6[[#This Row],[Date]])</f>
        <v>2025</v>
      </c>
      <c r="D1010" s="102" t="s">
        <v>1992</v>
      </c>
      <c r="E1010" s="469">
        <f>Table6[[#This Row],[Date]]-DAY(Table6[[#This Row],[Date]])+1</f>
        <v>45809</v>
      </c>
      <c r="F1010" s="470">
        <v>45810</v>
      </c>
      <c r="G1010" s="35" t="s">
        <v>77</v>
      </c>
      <c r="H1010" s="35" t="str">
        <f>IFERROR(_xlfn.XLOOKUP(Table6[[#This Row],[Affected WTG]],'Basic Data'!$A:$A,'Basic Data'!$B:$B),"")</f>
        <v>TQGXIIPL</v>
      </c>
      <c r="I1010" s="35" t="str">
        <f>IFERROR(_xlfn.XLOOKUP(Table6[[#This Row],[Affected WTG]],'Basic Data'!$A:$A,'Basic Data'!$C:$C),"")</f>
        <v>GEDA</v>
      </c>
      <c r="J1010" s="471">
        <f>IFERROR(_xlfn.XLOOKUP(Table6[[#This Row],[Affected WTG]],'Basic Data'!$A:$A,'Basic Data'!$E:$E),"")</f>
        <v>3.846153846153845E-2</v>
      </c>
      <c r="K1010" s="102">
        <v>6130</v>
      </c>
      <c r="L1010" s="35" t="str">
        <f>IFERROR(_xlfn.XLOOKUP(Table6[[#This Row],[Error Code]],'Basic Data'!$AA:$AA,'Basic Data'!$AB:$AB),"Incorrect Error Code")</f>
        <v>Yaw speed high</v>
      </c>
      <c r="M1010" s="35" t="s">
        <v>292</v>
      </c>
      <c r="N1010" s="475"/>
      <c r="O1010" s="476">
        <v>0.52361111111111114</v>
      </c>
      <c r="P1010" s="476">
        <v>0.52361111111111114</v>
      </c>
      <c r="Q1010" s="477">
        <v>0.52777777777777779</v>
      </c>
      <c r="R1010" s="472">
        <f>IF(Table6[[#This Row],[Work Start TimeStamp]]="","",(Table6[[#This Row],[Work Start TimeStamp]]-Table6[[#This Row],[Fault Start TimeStamp]])*24)</f>
        <v>0</v>
      </c>
      <c r="S1010" s="472">
        <f>(Table6[[#This Row],[Fault Clearance time]]-Table6[[#This Row],[Work Start TimeStamp]])*24</f>
        <v>9.9999999999999645E-2</v>
      </c>
      <c r="T1010" s="472">
        <f>(Table6[[#This Row],[Fault Clearance time]]-Table6[[#This Row],[Fault Start TimeStamp]])*24</f>
        <v>9.9999999999999645E-2</v>
      </c>
      <c r="U1010" s="35" t="s">
        <v>336</v>
      </c>
      <c r="V1010" s="102" t="s">
        <v>293</v>
      </c>
      <c r="W1010" s="478">
        <f>IFERROR(Table6[[#This Row],[Breakdown Time]]*Table6[[#This Row],[Plant Equivalent Weightage]],"")</f>
        <v>3.8461538461538312E-3</v>
      </c>
      <c r="X1010" s="473" t="s">
        <v>294</v>
      </c>
      <c r="Y1010" s="474" t="s">
        <v>80</v>
      </c>
      <c r="Z1010" s="102">
        <v>43345.333333333336</v>
      </c>
      <c r="AA1010" s="468">
        <f>(Table6[[#This Row],[Paired WTG Generation for loss calculation]]/24)*Table6[[#This Row],[Breakdown Time]]</f>
        <v>180.60555555555493</v>
      </c>
      <c r="AB1010" s="102"/>
      <c r="AC1010" s="35"/>
      <c r="AD1010" s="35"/>
    </row>
    <row r="1011" spans="1:30">
      <c r="A1011" s="102">
        <f t="shared" si="16"/>
        <v>1010</v>
      </c>
      <c r="B1011" s="468">
        <f>YEAR(Table6[[#This Row],[Date]])+IF(MONTH(Table6[[#This Row],[Date]])&gt;=4,1,0)</f>
        <v>2026</v>
      </c>
      <c r="C1011" s="102">
        <f>YEAR(Table6[[#This Row],[Date]])</f>
        <v>2025</v>
      </c>
      <c r="D1011" s="102" t="s">
        <v>1992</v>
      </c>
      <c r="E1011" s="469">
        <f>Table6[[#This Row],[Date]]-DAY(Table6[[#This Row],[Date]])+1</f>
        <v>45809</v>
      </c>
      <c r="F1011" s="470">
        <v>45810</v>
      </c>
      <c r="G1011" s="35" t="s">
        <v>78</v>
      </c>
      <c r="H1011" s="35" t="str">
        <f>IFERROR(_xlfn.XLOOKUP(Table6[[#This Row],[Affected WTG]],'Basic Data'!$A:$A,'Basic Data'!$B:$B),"")</f>
        <v>TQGXIIPL</v>
      </c>
      <c r="I1011" s="35" t="str">
        <f>IFERROR(_xlfn.XLOOKUP(Table6[[#This Row],[Affected WTG]],'Basic Data'!$A:$A,'Basic Data'!$C:$C),"")</f>
        <v>GEDA</v>
      </c>
      <c r="J1011" s="471">
        <f>IFERROR(_xlfn.XLOOKUP(Table6[[#This Row],[Affected WTG]],'Basic Data'!$A:$A,'Basic Data'!$E:$E),"")</f>
        <v>3.846153846153845E-2</v>
      </c>
      <c r="K1011" s="102">
        <v>3000</v>
      </c>
      <c r="L1011" s="35" t="str">
        <f>IFERROR(_xlfn.XLOOKUP(Table6[[#This Row],[Error Code]],'Basic Data'!$AA:$AA,'Basic Data'!$AB:$AB),"Incorrect Error Code")</f>
        <v>Frequency converter not ready</v>
      </c>
      <c r="M1011" s="35" t="s">
        <v>291</v>
      </c>
      <c r="N1011" s="475"/>
      <c r="O1011" s="476">
        <v>0.67708333333333337</v>
      </c>
      <c r="P1011" s="476">
        <v>0.67708333333333337</v>
      </c>
      <c r="Q1011" s="477">
        <v>0.71736111111111112</v>
      </c>
      <c r="R1011" s="472">
        <f>IF(Table6[[#This Row],[Work Start TimeStamp]]="","",(Table6[[#This Row],[Work Start TimeStamp]]-Table6[[#This Row],[Fault Start TimeStamp]])*24)</f>
        <v>0</v>
      </c>
      <c r="S1011" s="472">
        <f>(Table6[[#This Row],[Fault Clearance time]]-Table6[[#This Row],[Work Start TimeStamp]])*24</f>
        <v>0.9666666666666659</v>
      </c>
      <c r="T1011" s="472">
        <f>(Table6[[#This Row],[Fault Clearance time]]-Table6[[#This Row],[Fault Start TimeStamp]])*24</f>
        <v>0.9666666666666659</v>
      </c>
      <c r="U1011" s="35" t="s">
        <v>1934</v>
      </c>
      <c r="V1011" s="102" t="s">
        <v>293</v>
      </c>
      <c r="W1011" s="478">
        <f>IFERROR(Table6[[#This Row],[Breakdown Time]]*Table6[[#This Row],[Plant Equivalent Weightage]],"")</f>
        <v>3.7179487179487138E-2</v>
      </c>
      <c r="X1011" s="473" t="s">
        <v>294</v>
      </c>
      <c r="Y1011" s="474" t="s">
        <v>75</v>
      </c>
      <c r="Z1011" s="102">
        <v>43828.333333333336</v>
      </c>
      <c r="AA1011" s="468">
        <f>(Table6[[#This Row],[Paired WTG Generation for loss calculation]]/24)*Table6[[#This Row],[Breakdown Time]]</f>
        <v>1765.3078703703691</v>
      </c>
      <c r="AB1011" s="102"/>
      <c r="AC1011" s="35"/>
      <c r="AD1011" s="35"/>
    </row>
    <row r="1012" spans="1:30">
      <c r="A1012" s="102">
        <f t="shared" si="16"/>
        <v>1011</v>
      </c>
      <c r="B1012" s="468">
        <f>YEAR(Table6[[#This Row],[Date]])+IF(MONTH(Table6[[#This Row],[Date]])&gt;=4,1,0)</f>
        <v>2026</v>
      </c>
      <c r="C1012" s="102">
        <f>YEAR(Table6[[#This Row],[Date]])</f>
        <v>2025</v>
      </c>
      <c r="D1012" s="102" t="s">
        <v>1992</v>
      </c>
      <c r="E1012" s="469">
        <f>Table6[[#This Row],[Date]]-DAY(Table6[[#This Row],[Date]])+1</f>
        <v>45809</v>
      </c>
      <c r="F1012" s="470">
        <v>45810</v>
      </c>
      <c r="G1012" s="35" t="s">
        <v>78</v>
      </c>
      <c r="H1012" s="35" t="str">
        <f>IFERROR(_xlfn.XLOOKUP(Table6[[#This Row],[Affected WTG]],'Basic Data'!$A:$A,'Basic Data'!$B:$B),"")</f>
        <v>TQGXIIPL</v>
      </c>
      <c r="I1012" s="35" t="str">
        <f>IFERROR(_xlfn.XLOOKUP(Table6[[#This Row],[Affected WTG]],'Basic Data'!$A:$A,'Basic Data'!$C:$C),"")</f>
        <v>GEDA</v>
      </c>
      <c r="J1012" s="471">
        <f>IFERROR(_xlfn.XLOOKUP(Table6[[#This Row],[Affected WTG]],'Basic Data'!$A:$A,'Basic Data'!$E:$E),"")</f>
        <v>3.846153846153845E-2</v>
      </c>
      <c r="K1012" s="102">
        <v>4960</v>
      </c>
      <c r="L1012" s="35" t="str">
        <f>IFERROR(_xlfn.XLOOKUP(Table6[[#This Row],[Error Code]],'Basic Data'!$AA:$AA,'Basic Data'!$AB:$AB),"Incorrect Error Code")</f>
        <v>Tower oscillation YF</v>
      </c>
      <c r="M1012" s="35" t="s">
        <v>292</v>
      </c>
      <c r="N1012" s="475"/>
      <c r="O1012" s="476">
        <v>0.7597222222222223</v>
      </c>
      <c r="P1012" s="476">
        <v>0.7597222222222223</v>
      </c>
      <c r="Q1012" s="477">
        <v>0.77083333333333337</v>
      </c>
      <c r="R1012" s="472">
        <f>IF(Table6[[#This Row],[Work Start TimeStamp]]="","",(Table6[[#This Row],[Work Start TimeStamp]]-Table6[[#This Row],[Fault Start TimeStamp]])*24)</f>
        <v>0</v>
      </c>
      <c r="S1012" s="472">
        <f>(Table6[[#This Row],[Fault Clearance time]]-Table6[[#This Row],[Work Start TimeStamp]])*24</f>
        <v>0.26666666666666572</v>
      </c>
      <c r="T1012" s="472">
        <f>(Table6[[#This Row],[Fault Clearance time]]-Table6[[#This Row],[Fault Start TimeStamp]])*24</f>
        <v>0.26666666666666572</v>
      </c>
      <c r="U1012" s="35" t="s">
        <v>336</v>
      </c>
      <c r="V1012" s="102" t="s">
        <v>293</v>
      </c>
      <c r="W1012" s="478">
        <f>IFERROR(Table6[[#This Row],[Breakdown Time]]*Table6[[#This Row],[Plant Equivalent Weightage]],"")</f>
        <v>1.0256410256410217E-2</v>
      </c>
      <c r="X1012" s="473" t="s">
        <v>294</v>
      </c>
      <c r="Y1012" s="474" t="s">
        <v>75</v>
      </c>
      <c r="Z1012" s="102">
        <v>43828.333333333336</v>
      </c>
      <c r="AA1012" s="468">
        <f>(Table6[[#This Row],[Paired WTG Generation for loss calculation]]/24)*Table6[[#This Row],[Breakdown Time]]</f>
        <v>486.98148148147976</v>
      </c>
      <c r="AB1012" s="102"/>
      <c r="AC1012" s="35"/>
      <c r="AD1012" s="35"/>
    </row>
    <row r="1013" spans="1:30">
      <c r="A1013" s="102">
        <f t="shared" si="16"/>
        <v>1012</v>
      </c>
      <c r="B1013" s="468">
        <f>YEAR(Table6[[#This Row],[Date]])+IF(MONTH(Table6[[#This Row],[Date]])&gt;=4,1,0)</f>
        <v>2026</v>
      </c>
      <c r="C1013" s="102">
        <f>YEAR(Table6[[#This Row],[Date]])</f>
        <v>2025</v>
      </c>
      <c r="D1013" s="102" t="s">
        <v>1992</v>
      </c>
      <c r="E1013" s="469">
        <f>Table6[[#This Row],[Date]]-DAY(Table6[[#This Row],[Date]])+1</f>
        <v>45809</v>
      </c>
      <c r="F1013" s="470">
        <v>45810</v>
      </c>
      <c r="G1013" s="35" t="s">
        <v>78</v>
      </c>
      <c r="H1013" s="35" t="str">
        <f>IFERROR(_xlfn.XLOOKUP(Table6[[#This Row],[Affected WTG]],'Basic Data'!$A:$A,'Basic Data'!$B:$B),"")</f>
        <v>TQGXIIPL</v>
      </c>
      <c r="I1013" s="35" t="str">
        <f>IFERROR(_xlfn.XLOOKUP(Table6[[#This Row],[Affected WTG]],'Basic Data'!$A:$A,'Basic Data'!$C:$C),"")</f>
        <v>GEDA</v>
      </c>
      <c r="J1013" s="471">
        <f>IFERROR(_xlfn.XLOOKUP(Table6[[#This Row],[Affected WTG]],'Basic Data'!$A:$A,'Basic Data'!$E:$E),"")</f>
        <v>3.846153846153845E-2</v>
      </c>
      <c r="K1013" s="102">
        <v>3000</v>
      </c>
      <c r="L1013" s="35" t="str">
        <f>IFERROR(_xlfn.XLOOKUP(Table6[[#This Row],[Error Code]],'Basic Data'!$AA:$AA,'Basic Data'!$AB:$AB),"Incorrect Error Code")</f>
        <v>Frequency converter not ready</v>
      </c>
      <c r="M1013" s="35" t="s">
        <v>291</v>
      </c>
      <c r="N1013" s="475"/>
      <c r="O1013" s="476">
        <v>0.90763888888888888</v>
      </c>
      <c r="P1013" s="476">
        <v>0.90763888888888888</v>
      </c>
      <c r="Q1013" s="477">
        <v>0.91736111111111118</v>
      </c>
      <c r="R1013" s="472">
        <f>IF(Table6[[#This Row],[Work Start TimeStamp]]="","",(Table6[[#This Row],[Work Start TimeStamp]]-Table6[[#This Row],[Fault Start TimeStamp]])*24)</f>
        <v>0</v>
      </c>
      <c r="S1013" s="472">
        <f>(Table6[[#This Row],[Fault Clearance time]]-Table6[[#This Row],[Work Start TimeStamp]])*24</f>
        <v>0.23333333333333517</v>
      </c>
      <c r="T1013" s="472">
        <f>(Table6[[#This Row],[Fault Clearance time]]-Table6[[#This Row],[Fault Start TimeStamp]])*24</f>
        <v>0.23333333333333517</v>
      </c>
      <c r="U1013" s="35" t="s">
        <v>1935</v>
      </c>
      <c r="V1013" s="102" t="s">
        <v>293</v>
      </c>
      <c r="W1013" s="478">
        <f>IFERROR(Table6[[#This Row],[Breakdown Time]]*Table6[[#This Row],[Plant Equivalent Weightage]],"")</f>
        <v>8.9743589743590414E-3</v>
      </c>
      <c r="X1013" s="473" t="s">
        <v>294</v>
      </c>
      <c r="Y1013" s="474" t="s">
        <v>75</v>
      </c>
      <c r="Z1013" s="102">
        <v>43828.333333333336</v>
      </c>
      <c r="AA1013" s="468">
        <f>(Table6[[#This Row],[Paired WTG Generation for loss calculation]]/24)*Table6[[#This Row],[Breakdown Time]]</f>
        <v>426.10879629629966</v>
      </c>
      <c r="AB1013" s="102"/>
      <c r="AC1013" s="35"/>
      <c r="AD1013" s="35"/>
    </row>
    <row r="1014" spans="1:30">
      <c r="A1014" s="102">
        <f t="shared" si="16"/>
        <v>1013</v>
      </c>
      <c r="B1014" s="468">
        <f>YEAR(Table6[[#This Row],[Date]])+IF(MONTH(Table6[[#This Row],[Date]])&gt;=4,1,0)</f>
        <v>2026</v>
      </c>
      <c r="C1014" s="102">
        <f>YEAR(Table6[[#This Row],[Date]])</f>
        <v>2025</v>
      </c>
      <c r="D1014" s="102" t="s">
        <v>1992</v>
      </c>
      <c r="E1014" s="469">
        <f>Table6[[#This Row],[Date]]-DAY(Table6[[#This Row],[Date]])+1</f>
        <v>45809</v>
      </c>
      <c r="F1014" s="470">
        <v>45810</v>
      </c>
      <c r="G1014" s="35" t="s">
        <v>79</v>
      </c>
      <c r="H1014" s="35" t="str">
        <f>IFERROR(_xlfn.XLOOKUP(Table6[[#This Row],[Affected WTG]],'Basic Data'!$A:$A,'Basic Data'!$B:$B),"")</f>
        <v>TQGXIIPL</v>
      </c>
      <c r="I1014" s="35" t="str">
        <f>IFERROR(_xlfn.XLOOKUP(Table6[[#This Row],[Affected WTG]],'Basic Data'!$A:$A,'Basic Data'!$C:$C),"")</f>
        <v>GEDA</v>
      </c>
      <c r="J1014" s="471">
        <f>IFERROR(_xlfn.XLOOKUP(Table6[[#This Row],[Affected WTG]],'Basic Data'!$A:$A,'Basic Data'!$E:$E),"")</f>
        <v>3.846153846153845E-2</v>
      </c>
      <c r="K1014" s="102">
        <v>6130</v>
      </c>
      <c r="L1014" s="35" t="str">
        <f>IFERROR(_xlfn.XLOOKUP(Table6[[#This Row],[Error Code]],'Basic Data'!$AA:$AA,'Basic Data'!$AB:$AB),"Incorrect Error Code")</f>
        <v>Yaw speed high</v>
      </c>
      <c r="M1014" s="35" t="s">
        <v>292</v>
      </c>
      <c r="N1014" s="475"/>
      <c r="O1014" s="476">
        <v>0.77777777777777779</v>
      </c>
      <c r="P1014" s="476">
        <v>0.77777777777777779</v>
      </c>
      <c r="Q1014" s="477">
        <v>0.78194444444444444</v>
      </c>
      <c r="R1014" s="472">
        <f>IF(Table6[[#This Row],[Work Start TimeStamp]]="","",(Table6[[#This Row],[Work Start TimeStamp]]-Table6[[#This Row],[Fault Start TimeStamp]])*24)</f>
        <v>0</v>
      </c>
      <c r="S1014" s="472">
        <f>(Table6[[#This Row],[Fault Clearance time]]-Table6[[#This Row],[Work Start TimeStamp]])*24</f>
        <v>9.9999999999999645E-2</v>
      </c>
      <c r="T1014" s="472">
        <f>(Table6[[#This Row],[Fault Clearance time]]-Table6[[#This Row],[Fault Start TimeStamp]])*24</f>
        <v>9.9999999999999645E-2</v>
      </c>
      <c r="U1014" s="35" t="s">
        <v>336</v>
      </c>
      <c r="V1014" s="102" t="s">
        <v>293</v>
      </c>
      <c r="W1014" s="478">
        <f>IFERROR(Table6[[#This Row],[Breakdown Time]]*Table6[[#This Row],[Plant Equivalent Weightage]],"")</f>
        <v>3.8461538461538312E-3</v>
      </c>
      <c r="X1014" s="473" t="s">
        <v>294</v>
      </c>
      <c r="Y1014" s="474" t="s">
        <v>94</v>
      </c>
      <c r="Z1014" s="102">
        <v>48023.333333333328</v>
      </c>
      <c r="AA1014" s="468">
        <f>(Table6[[#This Row],[Paired WTG Generation for loss calculation]]/24)*Table6[[#This Row],[Breakdown Time]]</f>
        <v>200.09722222222149</v>
      </c>
      <c r="AB1014" s="102"/>
      <c r="AC1014" s="35"/>
      <c r="AD1014" s="35"/>
    </row>
    <row r="1015" spans="1:30">
      <c r="A1015" s="102">
        <f t="shared" si="16"/>
        <v>1014</v>
      </c>
      <c r="B1015" s="468">
        <f>YEAR(Table6[[#This Row],[Date]])+IF(MONTH(Table6[[#This Row],[Date]])&gt;=4,1,0)</f>
        <v>2026</v>
      </c>
      <c r="C1015" s="102">
        <f>YEAR(Table6[[#This Row],[Date]])</f>
        <v>2025</v>
      </c>
      <c r="D1015" s="102" t="s">
        <v>1992</v>
      </c>
      <c r="E1015" s="469">
        <f>Table6[[#This Row],[Date]]-DAY(Table6[[#This Row],[Date]])+1</f>
        <v>45809</v>
      </c>
      <c r="F1015" s="470">
        <v>45810</v>
      </c>
      <c r="G1015" s="35" t="s">
        <v>81</v>
      </c>
      <c r="H1015" s="35" t="str">
        <f>IFERROR(_xlfn.XLOOKUP(Table6[[#This Row],[Affected WTG]],'Basic Data'!$A:$A,'Basic Data'!$B:$B),"")</f>
        <v>TQGXIIPL</v>
      </c>
      <c r="I1015" s="35" t="str">
        <f>IFERROR(_xlfn.XLOOKUP(Table6[[#This Row],[Affected WTG]],'Basic Data'!$A:$A,'Basic Data'!$C:$C),"")</f>
        <v>GEDA</v>
      </c>
      <c r="J1015" s="471">
        <f>IFERROR(_xlfn.XLOOKUP(Table6[[#This Row],[Affected WTG]],'Basic Data'!$A:$A,'Basic Data'!$E:$E),"")</f>
        <v>3.846153846153845E-2</v>
      </c>
      <c r="K1015" s="102">
        <v>6605</v>
      </c>
      <c r="L1015" s="35" t="str">
        <f>IFERROR(_xlfn.XLOOKUP(Table6[[#This Row],[Error Code]],'Basic Data'!$AA:$AA,'Basic Data'!$AB:$AB),"Incorrect Error Code")</f>
        <v>Wind.dir. diff. level 2</v>
      </c>
      <c r="M1015" s="35" t="s">
        <v>292</v>
      </c>
      <c r="N1015" s="475"/>
      <c r="O1015" s="476">
        <v>0.57152777777777786</v>
      </c>
      <c r="P1015" s="476">
        <v>0.57152777777777786</v>
      </c>
      <c r="Q1015" s="477">
        <v>0.5722222222222223</v>
      </c>
      <c r="R1015" s="472">
        <f>IF(Table6[[#This Row],[Work Start TimeStamp]]="","",(Table6[[#This Row],[Work Start TimeStamp]]-Table6[[#This Row],[Fault Start TimeStamp]])*24)</f>
        <v>0</v>
      </c>
      <c r="S1015" s="472">
        <f>(Table6[[#This Row],[Fault Clearance time]]-Table6[[#This Row],[Work Start TimeStamp]])*24</f>
        <v>1.6666666666666607E-2</v>
      </c>
      <c r="T1015" s="472">
        <f>(Table6[[#This Row],[Fault Clearance time]]-Table6[[#This Row],[Fault Start TimeStamp]])*24</f>
        <v>1.6666666666666607E-2</v>
      </c>
      <c r="U1015" s="35" t="s">
        <v>336</v>
      </c>
      <c r="V1015" s="102" t="s">
        <v>293</v>
      </c>
      <c r="W1015" s="478">
        <f>IFERROR(Table6[[#This Row],[Breakdown Time]]*Table6[[#This Row],[Plant Equivalent Weightage]],"")</f>
        <v>6.4102564102563853E-4</v>
      </c>
      <c r="X1015" s="473" t="s">
        <v>294</v>
      </c>
      <c r="Y1015" s="474" t="s">
        <v>99</v>
      </c>
      <c r="Z1015" s="102">
        <v>44649.833333333328</v>
      </c>
      <c r="AA1015" s="468">
        <f>(Table6[[#This Row],[Paired WTG Generation for loss calculation]]/24)*Table6[[#This Row],[Breakdown Time]]</f>
        <v>31.00682870370359</v>
      </c>
      <c r="AB1015" s="102"/>
      <c r="AC1015" s="35"/>
      <c r="AD1015" s="35"/>
    </row>
    <row r="1016" spans="1:30">
      <c r="A1016" s="102">
        <f t="shared" si="16"/>
        <v>1015</v>
      </c>
      <c r="B1016" s="468">
        <f>YEAR(Table6[[#This Row],[Date]])+IF(MONTH(Table6[[#This Row],[Date]])&gt;=4,1,0)</f>
        <v>2026</v>
      </c>
      <c r="C1016" s="102">
        <f>YEAR(Table6[[#This Row],[Date]])</f>
        <v>2025</v>
      </c>
      <c r="D1016" s="102" t="s">
        <v>1992</v>
      </c>
      <c r="E1016" s="469">
        <f>Table6[[#This Row],[Date]]-DAY(Table6[[#This Row],[Date]])+1</f>
        <v>45809</v>
      </c>
      <c r="F1016" s="470">
        <v>45810</v>
      </c>
      <c r="G1016" s="35" t="s">
        <v>81</v>
      </c>
      <c r="H1016" s="35" t="str">
        <f>IFERROR(_xlfn.XLOOKUP(Table6[[#This Row],[Affected WTG]],'Basic Data'!$A:$A,'Basic Data'!$B:$B),"")</f>
        <v>TQGXIIPL</v>
      </c>
      <c r="I1016" s="35" t="str">
        <f>IFERROR(_xlfn.XLOOKUP(Table6[[#This Row],[Affected WTG]],'Basic Data'!$A:$A,'Basic Data'!$C:$C),"")</f>
        <v>GEDA</v>
      </c>
      <c r="J1016" s="471">
        <f>IFERROR(_xlfn.XLOOKUP(Table6[[#This Row],[Affected WTG]],'Basic Data'!$A:$A,'Basic Data'!$E:$E),"")</f>
        <v>3.846153846153845E-2</v>
      </c>
      <c r="K1016" s="102">
        <v>6130</v>
      </c>
      <c r="L1016" s="35" t="str">
        <f>IFERROR(_xlfn.XLOOKUP(Table6[[#This Row],[Error Code]],'Basic Data'!$AA:$AA,'Basic Data'!$AB:$AB),"Incorrect Error Code")</f>
        <v>Yaw speed high</v>
      </c>
      <c r="M1016" s="35" t="s">
        <v>292</v>
      </c>
      <c r="N1016" s="475"/>
      <c r="O1016" s="476">
        <v>0.64027777777777783</v>
      </c>
      <c r="P1016" s="476">
        <v>0.64027777777777783</v>
      </c>
      <c r="Q1016" s="477">
        <v>0.64444444444444449</v>
      </c>
      <c r="R1016" s="472">
        <f>IF(Table6[[#This Row],[Work Start TimeStamp]]="","",(Table6[[#This Row],[Work Start TimeStamp]]-Table6[[#This Row],[Fault Start TimeStamp]])*24)</f>
        <v>0</v>
      </c>
      <c r="S1016" s="472">
        <f>(Table6[[#This Row],[Fault Clearance time]]-Table6[[#This Row],[Work Start TimeStamp]])*24</f>
        <v>9.9999999999999645E-2</v>
      </c>
      <c r="T1016" s="472">
        <f>(Table6[[#This Row],[Fault Clearance time]]-Table6[[#This Row],[Fault Start TimeStamp]])*24</f>
        <v>9.9999999999999645E-2</v>
      </c>
      <c r="U1016" s="35" t="s">
        <v>336</v>
      </c>
      <c r="V1016" s="102" t="s">
        <v>293</v>
      </c>
      <c r="W1016" s="478">
        <f>IFERROR(Table6[[#This Row],[Breakdown Time]]*Table6[[#This Row],[Plant Equivalent Weightage]],"")</f>
        <v>3.8461538461538312E-3</v>
      </c>
      <c r="X1016" s="473" t="s">
        <v>294</v>
      </c>
      <c r="Y1016" s="474" t="s">
        <v>99</v>
      </c>
      <c r="Z1016" s="102">
        <v>44649.833333333328</v>
      </c>
      <c r="AA1016" s="468">
        <f>(Table6[[#This Row],[Paired WTG Generation for loss calculation]]/24)*Table6[[#This Row],[Breakdown Time]]</f>
        <v>186.04097222222154</v>
      </c>
      <c r="AB1016" s="102"/>
      <c r="AC1016" s="35"/>
      <c r="AD1016" s="35"/>
    </row>
    <row r="1017" spans="1:30">
      <c r="A1017" s="102">
        <f t="shared" si="16"/>
        <v>1016</v>
      </c>
      <c r="B1017" s="468">
        <f>YEAR(Table6[[#This Row],[Date]])+IF(MONTH(Table6[[#This Row],[Date]])&gt;=4,1,0)</f>
        <v>2026</v>
      </c>
      <c r="C1017" s="102">
        <f>YEAR(Table6[[#This Row],[Date]])</f>
        <v>2025</v>
      </c>
      <c r="D1017" s="102" t="s">
        <v>1992</v>
      </c>
      <c r="E1017" s="469">
        <f>Table6[[#This Row],[Date]]-DAY(Table6[[#This Row],[Date]])+1</f>
        <v>45809</v>
      </c>
      <c r="F1017" s="470">
        <v>45810</v>
      </c>
      <c r="G1017" s="35" t="s">
        <v>81</v>
      </c>
      <c r="H1017" s="35" t="str">
        <f>IFERROR(_xlfn.XLOOKUP(Table6[[#This Row],[Affected WTG]],'Basic Data'!$A:$A,'Basic Data'!$B:$B),"")</f>
        <v>TQGXIIPL</v>
      </c>
      <c r="I1017" s="35" t="str">
        <f>IFERROR(_xlfn.XLOOKUP(Table6[[#This Row],[Affected WTG]],'Basic Data'!$A:$A,'Basic Data'!$C:$C),"")</f>
        <v>GEDA</v>
      </c>
      <c r="J1017" s="471">
        <f>IFERROR(_xlfn.XLOOKUP(Table6[[#This Row],[Affected WTG]],'Basic Data'!$A:$A,'Basic Data'!$E:$E),"")</f>
        <v>3.846153846153845E-2</v>
      </c>
      <c r="K1017" s="102">
        <v>6605</v>
      </c>
      <c r="L1017" s="35" t="str">
        <f>IFERROR(_xlfn.XLOOKUP(Table6[[#This Row],[Error Code]],'Basic Data'!$AA:$AA,'Basic Data'!$AB:$AB),"Incorrect Error Code")</f>
        <v>Wind.dir. diff. level 2</v>
      </c>
      <c r="M1017" s="35" t="s">
        <v>292</v>
      </c>
      <c r="N1017" s="475"/>
      <c r="O1017" s="476">
        <v>0.67152777777777783</v>
      </c>
      <c r="P1017" s="476">
        <v>0.67152777777777783</v>
      </c>
      <c r="Q1017" s="477">
        <v>0.67291666666666672</v>
      </c>
      <c r="R1017" s="472">
        <f>IF(Table6[[#This Row],[Work Start TimeStamp]]="","",(Table6[[#This Row],[Work Start TimeStamp]]-Table6[[#This Row],[Fault Start TimeStamp]])*24)</f>
        <v>0</v>
      </c>
      <c r="S1017" s="472">
        <f>(Table6[[#This Row],[Fault Clearance time]]-Table6[[#This Row],[Work Start TimeStamp]])*24</f>
        <v>3.3333333333333215E-2</v>
      </c>
      <c r="T1017" s="472">
        <f>(Table6[[#This Row],[Fault Clearance time]]-Table6[[#This Row],[Fault Start TimeStamp]])*24</f>
        <v>3.3333333333333215E-2</v>
      </c>
      <c r="U1017" s="35" t="s">
        <v>336</v>
      </c>
      <c r="V1017" s="102" t="s">
        <v>293</v>
      </c>
      <c r="W1017" s="478">
        <f>IFERROR(Table6[[#This Row],[Breakdown Time]]*Table6[[#This Row],[Plant Equivalent Weightage]],"")</f>
        <v>1.2820512820512771E-3</v>
      </c>
      <c r="X1017" s="473" t="s">
        <v>294</v>
      </c>
      <c r="Y1017" s="474" t="s">
        <v>99</v>
      </c>
      <c r="Z1017" s="102">
        <v>44649.833333333328</v>
      </c>
      <c r="AA1017" s="468">
        <f>(Table6[[#This Row],[Paired WTG Generation for loss calculation]]/24)*Table6[[#This Row],[Breakdown Time]]</f>
        <v>62.01365740740718</v>
      </c>
      <c r="AB1017" s="102"/>
      <c r="AC1017" s="35"/>
      <c r="AD1017" s="35"/>
    </row>
    <row r="1018" spans="1:30">
      <c r="A1018" s="102">
        <f t="shared" si="16"/>
        <v>1017</v>
      </c>
      <c r="B1018" s="468">
        <f>YEAR(Table6[[#This Row],[Date]])+IF(MONTH(Table6[[#This Row],[Date]])&gt;=4,1,0)</f>
        <v>2026</v>
      </c>
      <c r="C1018" s="102">
        <f>YEAR(Table6[[#This Row],[Date]])</f>
        <v>2025</v>
      </c>
      <c r="D1018" s="102" t="s">
        <v>1992</v>
      </c>
      <c r="E1018" s="469">
        <f>Table6[[#This Row],[Date]]-DAY(Table6[[#This Row],[Date]])+1</f>
        <v>45809</v>
      </c>
      <c r="F1018" s="470">
        <v>45810</v>
      </c>
      <c r="G1018" s="35" t="s">
        <v>81</v>
      </c>
      <c r="H1018" s="35" t="str">
        <f>IFERROR(_xlfn.XLOOKUP(Table6[[#This Row],[Affected WTG]],'Basic Data'!$A:$A,'Basic Data'!$B:$B),"")</f>
        <v>TQGXIIPL</v>
      </c>
      <c r="I1018" s="35" t="str">
        <f>IFERROR(_xlfn.XLOOKUP(Table6[[#This Row],[Affected WTG]],'Basic Data'!$A:$A,'Basic Data'!$C:$C),"")</f>
        <v>GEDA</v>
      </c>
      <c r="J1018" s="471">
        <f>IFERROR(_xlfn.XLOOKUP(Table6[[#This Row],[Affected WTG]],'Basic Data'!$A:$A,'Basic Data'!$E:$E),"")</f>
        <v>3.846153846153845E-2</v>
      </c>
      <c r="K1018" s="102">
        <v>4970</v>
      </c>
      <c r="L1018" s="35" t="str">
        <f>IFERROR(_xlfn.XLOOKUP(Table6[[#This Row],[Error Code]],'Basic Data'!$AA:$AA,'Basic Data'!$AB:$AB),"Incorrect Error Code")</f>
        <v>Tower oscillation XF</v>
      </c>
      <c r="M1018" s="35" t="s">
        <v>292</v>
      </c>
      <c r="N1018" s="475"/>
      <c r="O1018" s="476">
        <v>0.69097222222222221</v>
      </c>
      <c r="P1018" s="476">
        <v>0.69097222222222221</v>
      </c>
      <c r="Q1018" s="477">
        <v>0.70208333333333339</v>
      </c>
      <c r="R1018" s="472">
        <f>IF(Table6[[#This Row],[Work Start TimeStamp]]="","",(Table6[[#This Row],[Work Start TimeStamp]]-Table6[[#This Row],[Fault Start TimeStamp]])*24)</f>
        <v>0</v>
      </c>
      <c r="S1018" s="472">
        <f>(Table6[[#This Row],[Fault Clearance time]]-Table6[[#This Row],[Work Start TimeStamp]])*24</f>
        <v>0.26666666666666838</v>
      </c>
      <c r="T1018" s="472">
        <f>(Table6[[#This Row],[Fault Clearance time]]-Table6[[#This Row],[Fault Start TimeStamp]])*24</f>
        <v>0.26666666666666838</v>
      </c>
      <c r="U1018" s="35" t="s">
        <v>336</v>
      </c>
      <c r="V1018" s="102" t="s">
        <v>293</v>
      </c>
      <c r="W1018" s="478">
        <f>IFERROR(Table6[[#This Row],[Breakdown Time]]*Table6[[#This Row],[Plant Equivalent Weightage]],"")</f>
        <v>1.0256410256410319E-2</v>
      </c>
      <c r="X1018" s="473" t="s">
        <v>294</v>
      </c>
      <c r="Y1018" s="474" t="s">
        <v>99</v>
      </c>
      <c r="Z1018" s="102">
        <v>44649.833333333328</v>
      </c>
      <c r="AA1018" s="468">
        <f>(Table6[[#This Row],[Paired WTG Generation for loss calculation]]/24)*Table6[[#This Row],[Breakdown Time]]</f>
        <v>496.10925925926239</v>
      </c>
      <c r="AB1018" s="102"/>
      <c r="AC1018" s="35"/>
      <c r="AD1018" s="35"/>
    </row>
    <row r="1019" spans="1:30">
      <c r="A1019" s="102">
        <f t="shared" si="16"/>
        <v>1018</v>
      </c>
      <c r="B1019" s="468">
        <f>YEAR(Table6[[#This Row],[Date]])+IF(MONTH(Table6[[#This Row],[Date]])&gt;=4,1,0)</f>
        <v>2026</v>
      </c>
      <c r="C1019" s="102">
        <f>YEAR(Table6[[#This Row],[Date]])</f>
        <v>2025</v>
      </c>
      <c r="D1019" s="102" t="s">
        <v>1992</v>
      </c>
      <c r="E1019" s="469">
        <f>Table6[[#This Row],[Date]]-DAY(Table6[[#This Row],[Date]])+1</f>
        <v>45809</v>
      </c>
      <c r="F1019" s="470">
        <v>45810</v>
      </c>
      <c r="G1019" s="35" t="s">
        <v>81</v>
      </c>
      <c r="H1019" s="35" t="str">
        <f>IFERROR(_xlfn.XLOOKUP(Table6[[#This Row],[Affected WTG]],'Basic Data'!$A:$A,'Basic Data'!$B:$B),"")</f>
        <v>TQGXIIPL</v>
      </c>
      <c r="I1019" s="35" t="str">
        <f>IFERROR(_xlfn.XLOOKUP(Table6[[#This Row],[Affected WTG]],'Basic Data'!$A:$A,'Basic Data'!$C:$C),"")</f>
        <v>GEDA</v>
      </c>
      <c r="J1019" s="471">
        <f>IFERROR(_xlfn.XLOOKUP(Table6[[#This Row],[Affected WTG]],'Basic Data'!$A:$A,'Basic Data'!$E:$E),"")</f>
        <v>3.846153846153845E-2</v>
      </c>
      <c r="K1019" s="102">
        <v>665</v>
      </c>
      <c r="L1019" s="35" t="str">
        <f>IFERROR(_xlfn.XLOOKUP(Table6[[#This Row],[Error Code]],'Basic Data'!$AA:$AA,'Basic Data'!$AB:$AB),"Incorrect Error Code")</f>
        <v>Pitch error</v>
      </c>
      <c r="M1019" s="35" t="s">
        <v>291</v>
      </c>
      <c r="N1019" s="475"/>
      <c r="O1019" s="476">
        <v>0.90416666666666667</v>
      </c>
      <c r="P1019" s="476">
        <v>0.90416666666666667</v>
      </c>
      <c r="Q1019" s="477">
        <v>0.90833333333333333</v>
      </c>
      <c r="R1019" s="472">
        <f>IF(Table6[[#This Row],[Work Start TimeStamp]]="","",(Table6[[#This Row],[Work Start TimeStamp]]-Table6[[#This Row],[Fault Start TimeStamp]])*24)</f>
        <v>0</v>
      </c>
      <c r="S1019" s="472">
        <f>(Table6[[#This Row],[Fault Clearance time]]-Table6[[#This Row],[Work Start TimeStamp]])*24</f>
        <v>9.9999999999999645E-2</v>
      </c>
      <c r="T1019" s="472">
        <f>(Table6[[#This Row],[Fault Clearance time]]-Table6[[#This Row],[Fault Start TimeStamp]])*24</f>
        <v>9.9999999999999645E-2</v>
      </c>
      <c r="U1019" s="35" t="s">
        <v>1936</v>
      </c>
      <c r="V1019" s="102" t="s">
        <v>293</v>
      </c>
      <c r="W1019" s="478">
        <f>IFERROR(Table6[[#This Row],[Breakdown Time]]*Table6[[#This Row],[Plant Equivalent Weightage]],"")</f>
        <v>3.8461538461538312E-3</v>
      </c>
      <c r="X1019" s="473" t="s">
        <v>294</v>
      </c>
      <c r="Y1019" s="474" t="s">
        <v>99</v>
      </c>
      <c r="Z1019" s="102">
        <v>44649.833333333328</v>
      </c>
      <c r="AA1019" s="468">
        <f>(Table6[[#This Row],[Paired WTG Generation for loss calculation]]/24)*Table6[[#This Row],[Breakdown Time]]</f>
        <v>186.04097222222154</v>
      </c>
      <c r="AB1019" s="102"/>
      <c r="AC1019" s="35"/>
      <c r="AD1019" s="35"/>
    </row>
    <row r="1020" spans="1:30">
      <c r="A1020" s="102">
        <f t="shared" si="16"/>
        <v>1019</v>
      </c>
      <c r="B1020" s="468">
        <f>YEAR(Table6[[#This Row],[Date]])+IF(MONTH(Table6[[#This Row],[Date]])&gt;=4,1,0)</f>
        <v>2026</v>
      </c>
      <c r="C1020" s="102">
        <f>YEAR(Table6[[#This Row],[Date]])</f>
        <v>2025</v>
      </c>
      <c r="D1020" s="102" t="s">
        <v>1992</v>
      </c>
      <c r="E1020" s="469">
        <f>Table6[[#This Row],[Date]]-DAY(Table6[[#This Row],[Date]])+1</f>
        <v>45809</v>
      </c>
      <c r="F1020" s="470">
        <v>45810</v>
      </c>
      <c r="G1020" s="35" t="s">
        <v>86</v>
      </c>
      <c r="H1020" s="35" t="str">
        <f>IFERROR(_xlfn.XLOOKUP(Table6[[#This Row],[Affected WTG]],'Basic Data'!$A:$A,'Basic Data'!$B:$B),"")</f>
        <v>TQGXIIPL</v>
      </c>
      <c r="I1020" s="35" t="str">
        <f>IFERROR(_xlfn.XLOOKUP(Table6[[#This Row],[Affected WTG]],'Basic Data'!$A:$A,'Basic Data'!$C:$C),"")</f>
        <v>GEDA</v>
      </c>
      <c r="J1020" s="471">
        <f>IFERROR(_xlfn.XLOOKUP(Table6[[#This Row],[Affected WTG]],'Basic Data'!$A:$A,'Basic Data'!$E:$E),"")</f>
        <v>3.846153846153845E-2</v>
      </c>
      <c r="K1020" s="102">
        <v>6130</v>
      </c>
      <c r="L1020" s="35" t="str">
        <f>IFERROR(_xlfn.XLOOKUP(Table6[[#This Row],[Error Code]],'Basic Data'!$AA:$AA,'Basic Data'!$AB:$AB),"Incorrect Error Code")</f>
        <v>Yaw speed high</v>
      </c>
      <c r="M1020" s="35" t="s">
        <v>292</v>
      </c>
      <c r="N1020" s="475"/>
      <c r="O1020" s="476">
        <v>0.70277777777777783</v>
      </c>
      <c r="P1020" s="476">
        <v>0.70277777777777783</v>
      </c>
      <c r="Q1020" s="477">
        <v>0.70694444444444449</v>
      </c>
      <c r="R1020" s="472">
        <f>IF(Table6[[#This Row],[Work Start TimeStamp]]="","",(Table6[[#This Row],[Work Start TimeStamp]]-Table6[[#This Row],[Fault Start TimeStamp]])*24)</f>
        <v>0</v>
      </c>
      <c r="S1020" s="472">
        <f>(Table6[[#This Row],[Fault Clearance time]]-Table6[[#This Row],[Work Start TimeStamp]])*24</f>
        <v>9.9999999999999645E-2</v>
      </c>
      <c r="T1020" s="472">
        <f>(Table6[[#This Row],[Fault Clearance time]]-Table6[[#This Row],[Fault Start TimeStamp]])*24</f>
        <v>9.9999999999999645E-2</v>
      </c>
      <c r="U1020" s="35" t="s">
        <v>336</v>
      </c>
      <c r="V1020" s="102" t="s">
        <v>293</v>
      </c>
      <c r="W1020" s="478">
        <f>IFERROR(Table6[[#This Row],[Breakdown Time]]*Table6[[#This Row],[Plant Equivalent Weightage]],"")</f>
        <v>3.8461538461538312E-3</v>
      </c>
      <c r="X1020" s="473" t="s">
        <v>294</v>
      </c>
      <c r="Y1020" s="474" t="s">
        <v>84</v>
      </c>
      <c r="Z1020" s="102">
        <v>44131.333333333336</v>
      </c>
      <c r="AA1020" s="468">
        <f>(Table6[[#This Row],[Paired WTG Generation for loss calculation]]/24)*Table6[[#This Row],[Breakdown Time]]</f>
        <v>183.88055555555491</v>
      </c>
      <c r="AB1020" s="102"/>
      <c r="AC1020" s="35"/>
      <c r="AD1020" s="35"/>
    </row>
    <row r="1021" spans="1:30">
      <c r="A1021" s="102">
        <f t="shared" si="16"/>
        <v>1020</v>
      </c>
      <c r="B1021" s="468">
        <f>YEAR(Table6[[#This Row],[Date]])+IF(MONTH(Table6[[#This Row],[Date]])&gt;=4,1,0)</f>
        <v>2026</v>
      </c>
      <c r="C1021" s="102">
        <f>YEAR(Table6[[#This Row],[Date]])</f>
        <v>2025</v>
      </c>
      <c r="D1021" s="102" t="s">
        <v>1992</v>
      </c>
      <c r="E1021" s="469">
        <f>Table6[[#This Row],[Date]]-DAY(Table6[[#This Row],[Date]])+1</f>
        <v>45809</v>
      </c>
      <c r="F1021" s="470">
        <v>45810</v>
      </c>
      <c r="G1021" s="35" t="s">
        <v>87</v>
      </c>
      <c r="H1021" s="35" t="str">
        <f>IFERROR(_xlfn.XLOOKUP(Table6[[#This Row],[Affected WTG]],'Basic Data'!$A:$A,'Basic Data'!$B:$B),"")</f>
        <v>TQGXIIPL</v>
      </c>
      <c r="I1021" s="35" t="str">
        <f>IFERROR(_xlfn.XLOOKUP(Table6[[#This Row],[Affected WTG]],'Basic Data'!$A:$A,'Basic Data'!$C:$C),"")</f>
        <v>GEDA</v>
      </c>
      <c r="J1021" s="471">
        <f>IFERROR(_xlfn.XLOOKUP(Table6[[#This Row],[Affected WTG]],'Basic Data'!$A:$A,'Basic Data'!$E:$E),"")</f>
        <v>3.846153846153845E-2</v>
      </c>
      <c r="K1021" s="102">
        <v>6130</v>
      </c>
      <c r="L1021" s="35" t="str">
        <f>IFERROR(_xlfn.XLOOKUP(Table6[[#This Row],[Error Code]],'Basic Data'!$AA:$AA,'Basic Data'!$AB:$AB),"Incorrect Error Code")</f>
        <v>Yaw speed high</v>
      </c>
      <c r="M1021" s="35" t="s">
        <v>292</v>
      </c>
      <c r="N1021" s="475"/>
      <c r="O1021" s="476">
        <v>0.58819444444444446</v>
      </c>
      <c r="P1021" s="476">
        <v>0.58819444444444446</v>
      </c>
      <c r="Q1021" s="477">
        <v>0.59236111111111112</v>
      </c>
      <c r="R1021" s="472">
        <f>IF(Table6[[#This Row],[Work Start TimeStamp]]="","",(Table6[[#This Row],[Work Start TimeStamp]]-Table6[[#This Row],[Fault Start TimeStamp]])*24)</f>
        <v>0</v>
      </c>
      <c r="S1021" s="472">
        <f>(Table6[[#This Row],[Fault Clearance time]]-Table6[[#This Row],[Work Start TimeStamp]])*24</f>
        <v>9.9999999999999645E-2</v>
      </c>
      <c r="T1021" s="472">
        <f>(Table6[[#This Row],[Fault Clearance time]]-Table6[[#This Row],[Fault Start TimeStamp]])*24</f>
        <v>9.9999999999999645E-2</v>
      </c>
      <c r="U1021" s="35" t="s">
        <v>336</v>
      </c>
      <c r="V1021" s="102" t="s">
        <v>293</v>
      </c>
      <c r="W1021" s="478">
        <f>IFERROR(Table6[[#This Row],[Breakdown Time]]*Table6[[#This Row],[Plant Equivalent Weightage]],"")</f>
        <v>3.8461538461538312E-3</v>
      </c>
      <c r="X1021" s="473" t="s">
        <v>294</v>
      </c>
      <c r="Y1021" s="474" t="s">
        <v>85</v>
      </c>
      <c r="Z1021" s="102">
        <v>42844.333333333336</v>
      </c>
      <c r="AA1021" s="468">
        <f>(Table6[[#This Row],[Paired WTG Generation for loss calculation]]/24)*Table6[[#This Row],[Breakdown Time]]</f>
        <v>178.51805555555492</v>
      </c>
      <c r="AB1021" s="102"/>
      <c r="AC1021" s="35"/>
      <c r="AD1021" s="35"/>
    </row>
    <row r="1022" spans="1:30">
      <c r="A1022" s="102">
        <f t="shared" si="16"/>
        <v>1021</v>
      </c>
      <c r="B1022" s="468">
        <f>YEAR(Table6[[#This Row],[Date]])+IF(MONTH(Table6[[#This Row],[Date]])&gt;=4,1,0)</f>
        <v>2026</v>
      </c>
      <c r="C1022" s="102">
        <f>YEAR(Table6[[#This Row],[Date]])</f>
        <v>2025</v>
      </c>
      <c r="D1022" s="102" t="s">
        <v>1992</v>
      </c>
      <c r="E1022" s="469">
        <f>Table6[[#This Row],[Date]]-DAY(Table6[[#This Row],[Date]])+1</f>
        <v>45809</v>
      </c>
      <c r="F1022" s="470">
        <v>45810</v>
      </c>
      <c r="G1022" s="35" t="s">
        <v>88</v>
      </c>
      <c r="H1022" s="35" t="str">
        <f>IFERROR(_xlfn.XLOOKUP(Table6[[#This Row],[Affected WTG]],'Basic Data'!$A:$A,'Basic Data'!$B:$B),"")</f>
        <v>TQGXIIPL</v>
      </c>
      <c r="I1022" s="35" t="str">
        <f>IFERROR(_xlfn.XLOOKUP(Table6[[#This Row],[Affected WTG]],'Basic Data'!$A:$A,'Basic Data'!$C:$C),"")</f>
        <v>GEDA</v>
      </c>
      <c r="J1022" s="471">
        <f>IFERROR(_xlfn.XLOOKUP(Table6[[#This Row],[Affected WTG]],'Basic Data'!$A:$A,'Basic Data'!$E:$E),"")</f>
        <v>3.846153846153845E-2</v>
      </c>
      <c r="K1022" s="102">
        <v>6130</v>
      </c>
      <c r="L1022" s="35" t="str">
        <f>IFERROR(_xlfn.XLOOKUP(Table6[[#This Row],[Error Code]],'Basic Data'!$AA:$AA,'Basic Data'!$AB:$AB),"Incorrect Error Code")</f>
        <v>Yaw speed high</v>
      </c>
      <c r="M1022" s="35" t="s">
        <v>292</v>
      </c>
      <c r="N1022" s="475"/>
      <c r="O1022" s="476">
        <v>0.73333333333333339</v>
      </c>
      <c r="P1022" s="476">
        <v>0.73333333333333339</v>
      </c>
      <c r="Q1022" s="477">
        <v>0.73541666666666672</v>
      </c>
      <c r="R1022" s="472">
        <f>IF(Table6[[#This Row],[Work Start TimeStamp]]="","",(Table6[[#This Row],[Work Start TimeStamp]]-Table6[[#This Row],[Fault Start TimeStamp]])*24)</f>
        <v>0</v>
      </c>
      <c r="S1022" s="472">
        <f>(Table6[[#This Row],[Fault Clearance time]]-Table6[[#This Row],[Work Start TimeStamp]])*24</f>
        <v>4.9999999999999822E-2</v>
      </c>
      <c r="T1022" s="472">
        <f>(Table6[[#This Row],[Fault Clearance time]]-Table6[[#This Row],[Fault Start TimeStamp]])*24</f>
        <v>4.9999999999999822E-2</v>
      </c>
      <c r="U1022" s="35" t="s">
        <v>336</v>
      </c>
      <c r="V1022" s="102" t="s">
        <v>293</v>
      </c>
      <c r="W1022" s="478">
        <f>IFERROR(Table6[[#This Row],[Breakdown Time]]*Table6[[#This Row],[Plant Equivalent Weightage]],"")</f>
        <v>1.9230769230769156E-3</v>
      </c>
      <c r="X1022" s="473" t="s">
        <v>294</v>
      </c>
      <c r="Y1022" s="474" t="s">
        <v>83</v>
      </c>
      <c r="Z1022" s="102">
        <v>43054.666666666664</v>
      </c>
      <c r="AA1022" s="468">
        <f>(Table6[[#This Row],[Paired WTG Generation for loss calculation]]/24)*Table6[[#This Row],[Breakdown Time]]</f>
        <v>89.697222222221896</v>
      </c>
      <c r="AB1022" s="102"/>
      <c r="AC1022" s="35"/>
      <c r="AD1022" s="35"/>
    </row>
    <row r="1023" spans="1:30">
      <c r="A1023" s="102">
        <f t="shared" si="16"/>
        <v>1022</v>
      </c>
      <c r="B1023" s="468">
        <f>YEAR(Table6[[#This Row],[Date]])+IF(MONTH(Table6[[#This Row],[Date]])&gt;=4,1,0)</f>
        <v>2026</v>
      </c>
      <c r="C1023" s="102">
        <f>YEAR(Table6[[#This Row],[Date]])</f>
        <v>2025</v>
      </c>
      <c r="D1023" s="102" t="s">
        <v>1992</v>
      </c>
      <c r="E1023" s="469">
        <f>Table6[[#This Row],[Date]]-DAY(Table6[[#This Row],[Date]])+1</f>
        <v>45809</v>
      </c>
      <c r="F1023" s="470">
        <v>45810</v>
      </c>
      <c r="G1023" s="35" t="s">
        <v>89</v>
      </c>
      <c r="H1023" s="35" t="str">
        <f>IFERROR(_xlfn.XLOOKUP(Table6[[#This Row],[Affected WTG]],'Basic Data'!$A:$A,'Basic Data'!$B:$B),"")</f>
        <v>TQGXIIPL</v>
      </c>
      <c r="I1023" s="35" t="str">
        <f>IFERROR(_xlfn.XLOOKUP(Table6[[#This Row],[Affected WTG]],'Basic Data'!$A:$A,'Basic Data'!$C:$C),"")</f>
        <v>GEDA</v>
      </c>
      <c r="J1023" s="471">
        <f>IFERROR(_xlfn.XLOOKUP(Table6[[#This Row],[Affected WTG]],'Basic Data'!$A:$A,'Basic Data'!$E:$E),"")</f>
        <v>3.846153846153845E-2</v>
      </c>
      <c r="K1023" s="102">
        <v>6605</v>
      </c>
      <c r="L1023" s="35" t="str">
        <f>IFERROR(_xlfn.XLOOKUP(Table6[[#This Row],[Error Code]],'Basic Data'!$AA:$AA,'Basic Data'!$AB:$AB),"Incorrect Error Code")</f>
        <v>Wind.dir. diff. level 2</v>
      </c>
      <c r="M1023" s="35" t="s">
        <v>292</v>
      </c>
      <c r="N1023" s="475"/>
      <c r="O1023" s="476">
        <v>0.41944444444444445</v>
      </c>
      <c r="P1023" s="476">
        <v>0.41944444444444445</v>
      </c>
      <c r="Q1023" s="477">
        <v>0.4236111111111111</v>
      </c>
      <c r="R1023" s="472">
        <f>IF(Table6[[#This Row],[Work Start TimeStamp]]="","",(Table6[[#This Row],[Work Start TimeStamp]]-Table6[[#This Row],[Fault Start TimeStamp]])*24)</f>
        <v>0</v>
      </c>
      <c r="S1023" s="472">
        <f>(Table6[[#This Row],[Fault Clearance time]]-Table6[[#This Row],[Work Start TimeStamp]])*24</f>
        <v>9.9999999999999645E-2</v>
      </c>
      <c r="T1023" s="472">
        <f>(Table6[[#This Row],[Fault Clearance time]]-Table6[[#This Row],[Fault Start TimeStamp]])*24</f>
        <v>9.9999999999999645E-2</v>
      </c>
      <c r="U1023" s="35" t="s">
        <v>336</v>
      </c>
      <c r="V1023" s="102" t="s">
        <v>293</v>
      </c>
      <c r="W1023" s="478">
        <f>IFERROR(Table6[[#This Row],[Breakdown Time]]*Table6[[#This Row],[Plant Equivalent Weightage]],"")</f>
        <v>3.8461538461538312E-3</v>
      </c>
      <c r="X1023" s="473" t="s">
        <v>294</v>
      </c>
      <c r="Y1023" s="474" t="s">
        <v>94</v>
      </c>
      <c r="Z1023" s="102">
        <v>48023.333333333328</v>
      </c>
      <c r="AA1023" s="468">
        <f>(Table6[[#This Row],[Paired WTG Generation for loss calculation]]/24)*Table6[[#This Row],[Breakdown Time]]</f>
        <v>200.09722222222149</v>
      </c>
      <c r="AB1023" s="102"/>
      <c r="AC1023" s="35"/>
      <c r="AD1023" s="35"/>
    </row>
    <row r="1024" spans="1:30">
      <c r="A1024" s="102">
        <f t="shared" si="16"/>
        <v>1023</v>
      </c>
      <c r="B1024" s="468">
        <f>YEAR(Table6[[#This Row],[Date]])+IF(MONTH(Table6[[#This Row],[Date]])&gt;=4,1,0)</f>
        <v>2026</v>
      </c>
      <c r="C1024" s="102">
        <f>YEAR(Table6[[#This Row],[Date]])</f>
        <v>2025</v>
      </c>
      <c r="D1024" s="102" t="s">
        <v>1992</v>
      </c>
      <c r="E1024" s="469">
        <f>Table6[[#This Row],[Date]]-DAY(Table6[[#This Row],[Date]])+1</f>
        <v>45809</v>
      </c>
      <c r="F1024" s="470">
        <v>45810</v>
      </c>
      <c r="G1024" s="35" t="s">
        <v>89</v>
      </c>
      <c r="H1024" s="35" t="str">
        <f>IFERROR(_xlfn.XLOOKUP(Table6[[#This Row],[Affected WTG]],'Basic Data'!$A:$A,'Basic Data'!$B:$B),"")</f>
        <v>TQGXIIPL</v>
      </c>
      <c r="I1024" s="35" t="str">
        <f>IFERROR(_xlfn.XLOOKUP(Table6[[#This Row],[Affected WTG]],'Basic Data'!$A:$A,'Basic Data'!$C:$C),"")</f>
        <v>GEDA</v>
      </c>
      <c r="J1024" s="471">
        <f>IFERROR(_xlfn.XLOOKUP(Table6[[#This Row],[Affected WTG]],'Basic Data'!$A:$A,'Basic Data'!$E:$E),"")</f>
        <v>3.846153846153845E-2</v>
      </c>
      <c r="K1024" s="102">
        <v>6130</v>
      </c>
      <c r="L1024" s="35" t="str">
        <f>IFERROR(_xlfn.XLOOKUP(Table6[[#This Row],[Error Code]],'Basic Data'!$AA:$AA,'Basic Data'!$AB:$AB),"Incorrect Error Code")</f>
        <v>Yaw speed high</v>
      </c>
      <c r="M1024" s="35" t="s">
        <v>292</v>
      </c>
      <c r="N1024" s="475"/>
      <c r="O1024" s="476">
        <v>0.48680555555555555</v>
      </c>
      <c r="P1024" s="476">
        <v>0.48680555555555555</v>
      </c>
      <c r="Q1024" s="477">
        <v>0.4909722222222222</v>
      </c>
      <c r="R1024" s="472">
        <f>IF(Table6[[#This Row],[Work Start TimeStamp]]="","",(Table6[[#This Row],[Work Start TimeStamp]]-Table6[[#This Row],[Fault Start TimeStamp]])*24)</f>
        <v>0</v>
      </c>
      <c r="S1024" s="472">
        <f>(Table6[[#This Row],[Fault Clearance time]]-Table6[[#This Row],[Work Start TimeStamp]])*24</f>
        <v>9.9999999999999645E-2</v>
      </c>
      <c r="T1024" s="472">
        <f>(Table6[[#This Row],[Fault Clearance time]]-Table6[[#This Row],[Fault Start TimeStamp]])*24</f>
        <v>9.9999999999999645E-2</v>
      </c>
      <c r="U1024" s="35" t="s">
        <v>336</v>
      </c>
      <c r="V1024" s="102" t="s">
        <v>293</v>
      </c>
      <c r="W1024" s="478">
        <f>IFERROR(Table6[[#This Row],[Breakdown Time]]*Table6[[#This Row],[Plant Equivalent Weightage]],"")</f>
        <v>3.8461538461538312E-3</v>
      </c>
      <c r="X1024" s="473" t="s">
        <v>294</v>
      </c>
      <c r="Y1024" s="474" t="s">
        <v>94</v>
      </c>
      <c r="Z1024" s="102">
        <v>48023.333333333328</v>
      </c>
      <c r="AA1024" s="468">
        <f>(Table6[[#This Row],[Paired WTG Generation for loss calculation]]/24)*Table6[[#This Row],[Breakdown Time]]</f>
        <v>200.09722222222149</v>
      </c>
      <c r="AB1024" s="102"/>
      <c r="AC1024" s="35"/>
      <c r="AD1024" s="35"/>
    </row>
    <row r="1025" spans="1:30">
      <c r="A1025" s="102">
        <f t="shared" si="16"/>
        <v>1024</v>
      </c>
      <c r="B1025" s="468">
        <f>YEAR(Table6[[#This Row],[Date]])+IF(MONTH(Table6[[#This Row],[Date]])&gt;=4,1,0)</f>
        <v>2026</v>
      </c>
      <c r="C1025" s="102">
        <f>YEAR(Table6[[#This Row],[Date]])</f>
        <v>2025</v>
      </c>
      <c r="D1025" s="102" t="s">
        <v>1992</v>
      </c>
      <c r="E1025" s="469">
        <f>Table6[[#This Row],[Date]]-DAY(Table6[[#This Row],[Date]])+1</f>
        <v>45809</v>
      </c>
      <c r="F1025" s="470">
        <v>45810</v>
      </c>
      <c r="G1025" s="35" t="s">
        <v>90</v>
      </c>
      <c r="H1025" s="35" t="str">
        <f>IFERROR(_xlfn.XLOOKUP(Table6[[#This Row],[Affected WTG]],'Basic Data'!$A:$A,'Basic Data'!$B:$B),"")</f>
        <v>TQGXIIPL</v>
      </c>
      <c r="I1025" s="35" t="str">
        <f>IFERROR(_xlfn.XLOOKUP(Table6[[#This Row],[Affected WTG]],'Basic Data'!$A:$A,'Basic Data'!$C:$C),"")</f>
        <v>GEDA</v>
      </c>
      <c r="J1025" s="471">
        <f>IFERROR(_xlfn.XLOOKUP(Table6[[#This Row],[Affected WTG]],'Basic Data'!$A:$A,'Basic Data'!$E:$E),"")</f>
        <v>3.846153846153845E-2</v>
      </c>
      <c r="K1025" s="102">
        <v>3000</v>
      </c>
      <c r="L1025" s="35" t="str">
        <f>IFERROR(_xlfn.XLOOKUP(Table6[[#This Row],[Error Code]],'Basic Data'!$AA:$AA,'Basic Data'!$AB:$AB),"Incorrect Error Code")</f>
        <v>Frequency converter not ready</v>
      </c>
      <c r="M1025" s="35" t="s">
        <v>291</v>
      </c>
      <c r="N1025" s="475"/>
      <c r="O1025" s="476">
        <v>0.8125</v>
      </c>
      <c r="P1025" s="476">
        <v>0.8125</v>
      </c>
      <c r="Q1025" s="477">
        <v>0.83263888888888893</v>
      </c>
      <c r="R1025" s="472">
        <f>IF(Table6[[#This Row],[Work Start TimeStamp]]="","",(Table6[[#This Row],[Work Start TimeStamp]]-Table6[[#This Row],[Fault Start TimeStamp]])*24)</f>
        <v>0</v>
      </c>
      <c r="S1025" s="472">
        <f>(Table6[[#This Row],[Fault Clearance time]]-Table6[[#This Row],[Work Start TimeStamp]])*24</f>
        <v>0.48333333333333428</v>
      </c>
      <c r="T1025" s="472">
        <f>(Table6[[#This Row],[Fault Clearance time]]-Table6[[#This Row],[Fault Start TimeStamp]])*24</f>
        <v>0.48333333333333428</v>
      </c>
      <c r="U1025" s="35" t="s">
        <v>1932</v>
      </c>
      <c r="V1025" s="102" t="s">
        <v>293</v>
      </c>
      <c r="W1025" s="478">
        <f>IFERROR(Table6[[#This Row],[Breakdown Time]]*Table6[[#This Row],[Plant Equivalent Weightage]],"")</f>
        <v>1.8589743589743621E-2</v>
      </c>
      <c r="X1025" s="473" t="s">
        <v>294</v>
      </c>
      <c r="Y1025" s="474" t="s">
        <v>95</v>
      </c>
      <c r="Z1025" s="102">
        <v>51023</v>
      </c>
      <c r="AA1025" s="468">
        <f>(Table6[[#This Row],[Paired WTG Generation for loss calculation]]/24)*Table6[[#This Row],[Breakdown Time]]</f>
        <v>1027.5465277777798</v>
      </c>
      <c r="AB1025" s="102"/>
      <c r="AC1025" s="35"/>
      <c r="AD1025" s="35"/>
    </row>
    <row r="1026" spans="1:30">
      <c r="A1026" s="102">
        <f t="shared" si="16"/>
        <v>1025</v>
      </c>
      <c r="B1026" s="468">
        <f>YEAR(Table6[[#This Row],[Date]])+IF(MONTH(Table6[[#This Row],[Date]])&gt;=4,1,0)</f>
        <v>2026</v>
      </c>
      <c r="C1026" s="102">
        <f>YEAR(Table6[[#This Row],[Date]])</f>
        <v>2025</v>
      </c>
      <c r="D1026" s="102" t="s">
        <v>1992</v>
      </c>
      <c r="E1026" s="469">
        <f>Table6[[#This Row],[Date]]-DAY(Table6[[#This Row],[Date]])+1</f>
        <v>45809</v>
      </c>
      <c r="F1026" s="470">
        <v>45810</v>
      </c>
      <c r="G1026" s="35" t="s">
        <v>93</v>
      </c>
      <c r="H1026" s="35" t="str">
        <f>IFERROR(_xlfn.XLOOKUP(Table6[[#This Row],[Affected WTG]],'Basic Data'!$A:$A,'Basic Data'!$B:$B),"")</f>
        <v>TQGXIIPL</v>
      </c>
      <c r="I1026" s="35" t="str">
        <f>IFERROR(_xlfn.XLOOKUP(Table6[[#This Row],[Affected WTG]],'Basic Data'!$A:$A,'Basic Data'!$C:$C),"")</f>
        <v>GEDA</v>
      </c>
      <c r="J1026" s="471">
        <f>IFERROR(_xlfn.XLOOKUP(Table6[[#This Row],[Affected WTG]],'Basic Data'!$A:$A,'Basic Data'!$E:$E),"")</f>
        <v>3.846153846153845E-2</v>
      </c>
      <c r="K1026" s="102">
        <v>6130</v>
      </c>
      <c r="L1026" s="35" t="str">
        <f>IFERROR(_xlfn.XLOOKUP(Table6[[#This Row],[Error Code]],'Basic Data'!$AA:$AA,'Basic Data'!$AB:$AB),"Incorrect Error Code")</f>
        <v>Yaw speed high</v>
      </c>
      <c r="M1026" s="35" t="s">
        <v>292</v>
      </c>
      <c r="N1026" s="475"/>
      <c r="O1026" s="476">
        <v>0.57013888888888897</v>
      </c>
      <c r="P1026" s="476">
        <v>0.57013888888888897</v>
      </c>
      <c r="Q1026" s="477">
        <v>0.57430555555555562</v>
      </c>
      <c r="R1026" s="472">
        <f>IF(Table6[[#This Row],[Work Start TimeStamp]]="","",(Table6[[#This Row],[Work Start TimeStamp]]-Table6[[#This Row],[Fault Start TimeStamp]])*24)</f>
        <v>0</v>
      </c>
      <c r="S1026" s="472">
        <f>(Table6[[#This Row],[Fault Clearance time]]-Table6[[#This Row],[Work Start TimeStamp]])*24</f>
        <v>9.9999999999999645E-2</v>
      </c>
      <c r="T1026" s="472">
        <f>(Table6[[#This Row],[Fault Clearance time]]-Table6[[#This Row],[Fault Start TimeStamp]])*24</f>
        <v>9.9999999999999645E-2</v>
      </c>
      <c r="U1026" s="35" t="s">
        <v>336</v>
      </c>
      <c r="V1026" s="102" t="s">
        <v>293</v>
      </c>
      <c r="W1026" s="478">
        <f>IFERROR(Table6[[#This Row],[Breakdown Time]]*Table6[[#This Row],[Plant Equivalent Weightage]],"")</f>
        <v>3.8461538461538312E-3</v>
      </c>
      <c r="X1026" s="473" t="s">
        <v>294</v>
      </c>
      <c r="Y1026" s="474" t="s">
        <v>97</v>
      </c>
      <c r="Z1026" s="102">
        <v>46021.333333333336</v>
      </c>
      <c r="AA1026" s="468">
        <f>(Table6[[#This Row],[Paired WTG Generation for loss calculation]]/24)*Table6[[#This Row],[Breakdown Time]]</f>
        <v>191.75555555555488</v>
      </c>
      <c r="AB1026" s="102"/>
      <c r="AC1026" s="35"/>
      <c r="AD1026" s="35"/>
    </row>
    <row r="1027" spans="1:30">
      <c r="A1027" s="102">
        <f t="shared" si="16"/>
        <v>1026</v>
      </c>
      <c r="B1027" s="468">
        <f>YEAR(Table6[[#This Row],[Date]])+IF(MONTH(Table6[[#This Row],[Date]])&gt;=4,1,0)</f>
        <v>2026</v>
      </c>
      <c r="C1027" s="102">
        <f>YEAR(Table6[[#This Row],[Date]])</f>
        <v>2025</v>
      </c>
      <c r="D1027" s="102" t="s">
        <v>1992</v>
      </c>
      <c r="E1027" s="469">
        <f>Table6[[#This Row],[Date]]-DAY(Table6[[#This Row],[Date]])+1</f>
        <v>45809</v>
      </c>
      <c r="F1027" s="470">
        <v>45810</v>
      </c>
      <c r="G1027" s="35" t="s">
        <v>94</v>
      </c>
      <c r="H1027" s="35" t="str">
        <f>IFERROR(_xlfn.XLOOKUP(Table6[[#This Row],[Affected WTG]],'Basic Data'!$A:$A,'Basic Data'!$B:$B),"")</f>
        <v>TQGXIIPL</v>
      </c>
      <c r="I1027" s="35" t="str">
        <f>IFERROR(_xlfn.XLOOKUP(Table6[[#This Row],[Affected WTG]],'Basic Data'!$A:$A,'Basic Data'!$C:$C),"")</f>
        <v>GEDA</v>
      </c>
      <c r="J1027" s="471">
        <f>IFERROR(_xlfn.XLOOKUP(Table6[[#This Row],[Affected WTG]],'Basic Data'!$A:$A,'Basic Data'!$E:$E),"")</f>
        <v>3.846153846153845E-2</v>
      </c>
      <c r="K1027" s="102">
        <v>6130</v>
      </c>
      <c r="L1027" s="35" t="str">
        <f>IFERROR(_xlfn.XLOOKUP(Table6[[#This Row],[Error Code]],'Basic Data'!$AA:$AA,'Basic Data'!$AB:$AB),"Incorrect Error Code")</f>
        <v>Yaw speed high</v>
      </c>
      <c r="M1027" s="35" t="s">
        <v>292</v>
      </c>
      <c r="N1027" s="475"/>
      <c r="O1027" s="476">
        <v>0.55902777777777779</v>
      </c>
      <c r="P1027" s="476">
        <v>0.55902777777777779</v>
      </c>
      <c r="Q1027" s="477">
        <v>0.5625</v>
      </c>
      <c r="R1027" s="472">
        <f>IF(Table6[[#This Row],[Work Start TimeStamp]]="","",(Table6[[#This Row],[Work Start TimeStamp]]-Table6[[#This Row],[Fault Start TimeStamp]])*24)</f>
        <v>0</v>
      </c>
      <c r="S1027" s="472">
        <f>(Table6[[#This Row],[Fault Clearance time]]-Table6[[#This Row],[Work Start TimeStamp]])*24</f>
        <v>8.3333333333333037E-2</v>
      </c>
      <c r="T1027" s="472">
        <f>(Table6[[#This Row],[Fault Clearance time]]-Table6[[#This Row],[Fault Start TimeStamp]])*24</f>
        <v>8.3333333333333037E-2</v>
      </c>
      <c r="U1027" s="35" t="s">
        <v>336</v>
      </c>
      <c r="V1027" s="102" t="s">
        <v>293</v>
      </c>
      <c r="W1027" s="478">
        <f>IFERROR(Table6[[#This Row],[Breakdown Time]]*Table6[[#This Row],[Plant Equivalent Weightage]],"")</f>
        <v>3.2051282051281929E-3</v>
      </c>
      <c r="X1027" s="473" t="s">
        <v>294</v>
      </c>
      <c r="Y1027" s="474" t="s">
        <v>79</v>
      </c>
      <c r="Z1027" s="102">
        <v>47731</v>
      </c>
      <c r="AA1027" s="468">
        <f>(Table6[[#This Row],[Paired WTG Generation for loss calculation]]/24)*Table6[[#This Row],[Breakdown Time]]</f>
        <v>165.73263888888832</v>
      </c>
      <c r="AB1027" s="102"/>
      <c r="AC1027" s="35"/>
      <c r="AD1027" s="35"/>
    </row>
    <row r="1028" spans="1:30">
      <c r="A1028" s="102">
        <f t="shared" si="16"/>
        <v>1027</v>
      </c>
      <c r="B1028" s="468">
        <f>YEAR(Table6[[#This Row],[Date]])+IF(MONTH(Table6[[#This Row],[Date]])&gt;=4,1,0)</f>
        <v>2026</v>
      </c>
      <c r="C1028" s="102">
        <f>YEAR(Table6[[#This Row],[Date]])</f>
        <v>2025</v>
      </c>
      <c r="D1028" s="102" t="s">
        <v>1992</v>
      </c>
      <c r="E1028" s="469">
        <f>Table6[[#This Row],[Date]]-DAY(Table6[[#This Row],[Date]])+1</f>
        <v>45809</v>
      </c>
      <c r="F1028" s="470">
        <v>45810</v>
      </c>
      <c r="G1028" s="35" t="s">
        <v>96</v>
      </c>
      <c r="H1028" s="35" t="str">
        <f>IFERROR(_xlfn.XLOOKUP(Table6[[#This Row],[Affected WTG]],'Basic Data'!$A:$A,'Basic Data'!$B:$B),"")</f>
        <v>TQGXIIPL</v>
      </c>
      <c r="I1028" s="35" t="str">
        <f>IFERROR(_xlfn.XLOOKUP(Table6[[#This Row],[Affected WTG]],'Basic Data'!$A:$A,'Basic Data'!$C:$C),"")</f>
        <v>GEDA</v>
      </c>
      <c r="J1028" s="471">
        <f>IFERROR(_xlfn.XLOOKUP(Table6[[#This Row],[Affected WTG]],'Basic Data'!$A:$A,'Basic Data'!$E:$E),"")</f>
        <v>3.846153846153845E-2</v>
      </c>
      <c r="K1028" s="102">
        <v>5700</v>
      </c>
      <c r="L1028" s="35" t="str">
        <f>IFERROR(_xlfn.XLOOKUP(Table6[[#This Row],[Error Code]],'Basic Data'!$AA:$AA,'Basic Data'!$AB:$AB),"Incorrect Error Code")</f>
        <v>Max. operation time hydraulic</v>
      </c>
      <c r="M1028" s="35" t="s">
        <v>292</v>
      </c>
      <c r="N1028" s="475"/>
      <c r="O1028" s="476">
        <v>0.59930555555555565</v>
      </c>
      <c r="P1028" s="476">
        <v>0.59930555555555565</v>
      </c>
      <c r="Q1028" s="477">
        <v>0.61250000000000004</v>
      </c>
      <c r="R1028" s="472">
        <f>IF(Table6[[#This Row],[Work Start TimeStamp]]="","",(Table6[[#This Row],[Work Start TimeStamp]]-Table6[[#This Row],[Fault Start TimeStamp]])*24)</f>
        <v>0</v>
      </c>
      <c r="S1028" s="472">
        <f>(Table6[[#This Row],[Fault Clearance time]]-Table6[[#This Row],[Work Start TimeStamp]])*24</f>
        <v>0.31666666666666554</v>
      </c>
      <c r="T1028" s="472">
        <f>(Table6[[#This Row],[Fault Clearance time]]-Table6[[#This Row],[Fault Start TimeStamp]])*24</f>
        <v>0.31666666666666554</v>
      </c>
      <c r="U1028" s="35" t="s">
        <v>336</v>
      </c>
      <c r="V1028" s="102" t="s">
        <v>293</v>
      </c>
      <c r="W1028" s="478">
        <f>IFERROR(Table6[[#This Row],[Breakdown Time]]*Table6[[#This Row],[Plant Equivalent Weightage]],"")</f>
        <v>1.2179487179487133E-2</v>
      </c>
      <c r="X1028" s="473" t="s">
        <v>294</v>
      </c>
      <c r="Y1028" s="474" t="s">
        <v>84</v>
      </c>
      <c r="Z1028" s="102">
        <v>44131.333333333336</v>
      </c>
      <c r="AA1028" s="468">
        <f>(Table6[[#This Row],[Paired WTG Generation for loss calculation]]/24)*Table6[[#This Row],[Breakdown Time]]</f>
        <v>582.28842592592389</v>
      </c>
      <c r="AB1028" s="102"/>
      <c r="AC1028" s="35"/>
      <c r="AD1028" s="35"/>
    </row>
    <row r="1029" spans="1:30">
      <c r="A1029" s="102">
        <f t="shared" si="16"/>
        <v>1028</v>
      </c>
      <c r="B1029" s="468">
        <f>YEAR(Table6[[#This Row],[Date]])+IF(MONTH(Table6[[#This Row],[Date]])&gt;=4,1,0)</f>
        <v>2026</v>
      </c>
      <c r="C1029" s="102">
        <f>YEAR(Table6[[#This Row],[Date]])</f>
        <v>2025</v>
      </c>
      <c r="D1029" s="102" t="s">
        <v>1992</v>
      </c>
      <c r="E1029" s="469">
        <f>Table6[[#This Row],[Date]]-DAY(Table6[[#This Row],[Date]])+1</f>
        <v>45809</v>
      </c>
      <c r="F1029" s="470">
        <v>45811</v>
      </c>
      <c r="G1029" s="35" t="s">
        <v>74</v>
      </c>
      <c r="H1029" s="35" t="str">
        <f>IFERROR(_xlfn.XLOOKUP(Table6[[#This Row],[Affected WTG]],'Basic Data'!$A:$A,'Basic Data'!$B:$B),"")</f>
        <v>TQGXIIPL</v>
      </c>
      <c r="I1029" s="35" t="str">
        <f>IFERROR(_xlfn.XLOOKUP(Table6[[#This Row],[Affected WTG]],'Basic Data'!$A:$A,'Basic Data'!$C:$C),"")</f>
        <v>GEDA</v>
      </c>
      <c r="J1029" s="471">
        <f>IFERROR(_xlfn.XLOOKUP(Table6[[#This Row],[Affected WTG]],'Basic Data'!$A:$A,'Basic Data'!$E:$E),"")</f>
        <v>3.846153846153845E-2</v>
      </c>
      <c r="K1029" s="102">
        <v>6130</v>
      </c>
      <c r="L1029" s="35" t="str">
        <f>IFERROR(_xlfn.XLOOKUP(Table6[[#This Row],[Error Code]],'Basic Data'!$AA:$AA,'Basic Data'!$AB:$AB),"Incorrect Error Code")</f>
        <v>Yaw speed high</v>
      </c>
      <c r="M1029" s="35" t="s">
        <v>292</v>
      </c>
      <c r="N1029" s="475"/>
      <c r="O1029" s="476">
        <v>0.57777777777777783</v>
      </c>
      <c r="P1029" s="476">
        <v>0.57777777777777783</v>
      </c>
      <c r="Q1029" s="477">
        <v>0.58194444444444449</v>
      </c>
      <c r="R1029" s="472">
        <f>IF(Table6[[#This Row],[Work Start TimeStamp]]="","",(Table6[[#This Row],[Work Start TimeStamp]]-Table6[[#This Row],[Fault Start TimeStamp]])*24)</f>
        <v>0</v>
      </c>
      <c r="S1029" s="472">
        <f>(Table6[[#This Row],[Fault Clearance time]]-Table6[[#This Row],[Work Start TimeStamp]])*24</f>
        <v>9.9999999999999645E-2</v>
      </c>
      <c r="T1029" s="472">
        <f>(Table6[[#This Row],[Fault Clearance time]]-Table6[[#This Row],[Fault Start TimeStamp]])*24</f>
        <v>9.9999999999999645E-2</v>
      </c>
      <c r="U1029" s="35" t="s">
        <v>336</v>
      </c>
      <c r="V1029" s="102" t="s">
        <v>293</v>
      </c>
      <c r="W1029" s="478">
        <f>IFERROR(Table6[[#This Row],[Breakdown Time]]*Table6[[#This Row],[Plant Equivalent Weightage]],"")</f>
        <v>3.8461538461538312E-3</v>
      </c>
      <c r="X1029" s="473" t="s">
        <v>294</v>
      </c>
      <c r="Y1029" s="474" t="s">
        <v>99</v>
      </c>
      <c r="Z1029" s="102">
        <v>38729.760000000002</v>
      </c>
      <c r="AA1029" s="468">
        <f>(Table6[[#This Row],[Paired WTG Generation for loss calculation]]/24)*Table6[[#This Row],[Breakdown Time]]</f>
        <v>161.37399999999943</v>
      </c>
      <c r="AB1029" s="102"/>
      <c r="AC1029" s="35"/>
      <c r="AD1029" s="35"/>
    </row>
    <row r="1030" spans="1:30">
      <c r="A1030" s="102">
        <f t="shared" si="16"/>
        <v>1029</v>
      </c>
      <c r="B1030" s="468">
        <f>YEAR(Table6[[#This Row],[Date]])+IF(MONTH(Table6[[#This Row],[Date]])&gt;=4,1,0)</f>
        <v>2026</v>
      </c>
      <c r="C1030" s="102">
        <f>YEAR(Table6[[#This Row],[Date]])</f>
        <v>2025</v>
      </c>
      <c r="D1030" s="102" t="s">
        <v>1992</v>
      </c>
      <c r="E1030" s="469">
        <f>Table6[[#This Row],[Date]]-DAY(Table6[[#This Row],[Date]])+1</f>
        <v>45809</v>
      </c>
      <c r="F1030" s="470">
        <v>45811</v>
      </c>
      <c r="G1030" s="35" t="s">
        <v>74</v>
      </c>
      <c r="H1030" s="35" t="str">
        <f>IFERROR(_xlfn.XLOOKUP(Table6[[#This Row],[Affected WTG]],'Basic Data'!$A:$A,'Basic Data'!$B:$B),"")</f>
        <v>TQGXIIPL</v>
      </c>
      <c r="I1030" s="35" t="str">
        <f>IFERROR(_xlfn.XLOOKUP(Table6[[#This Row],[Affected WTG]],'Basic Data'!$A:$A,'Basic Data'!$C:$C),"")</f>
        <v>GEDA</v>
      </c>
      <c r="J1030" s="471">
        <f>IFERROR(_xlfn.XLOOKUP(Table6[[#This Row],[Affected WTG]],'Basic Data'!$A:$A,'Basic Data'!$E:$E),"")</f>
        <v>3.846153846153845E-2</v>
      </c>
      <c r="K1030" s="102">
        <v>6130</v>
      </c>
      <c r="L1030" s="35" t="str">
        <f>IFERROR(_xlfn.XLOOKUP(Table6[[#This Row],[Error Code]],'Basic Data'!$AA:$AA,'Basic Data'!$AB:$AB),"Incorrect Error Code")</f>
        <v>Yaw speed high</v>
      </c>
      <c r="M1030" s="35" t="s">
        <v>291</v>
      </c>
      <c r="N1030" s="475"/>
      <c r="O1030" s="476">
        <v>0.66666666666666674</v>
      </c>
      <c r="P1030" s="476">
        <v>0.66666666666666674</v>
      </c>
      <c r="Q1030" s="477">
        <v>0.66805555555555562</v>
      </c>
      <c r="R1030" s="472">
        <f>IF(Table6[[#This Row],[Work Start TimeStamp]]="","",(Table6[[#This Row],[Work Start TimeStamp]]-Table6[[#This Row],[Fault Start TimeStamp]])*24)</f>
        <v>0</v>
      </c>
      <c r="S1030" s="472">
        <f>(Table6[[#This Row],[Fault Clearance time]]-Table6[[#This Row],[Work Start TimeStamp]])*24</f>
        <v>3.3333333333333215E-2</v>
      </c>
      <c r="T1030" s="472">
        <f>(Table6[[#This Row],[Fault Clearance time]]-Table6[[#This Row],[Fault Start TimeStamp]])*24</f>
        <v>3.3333333333333215E-2</v>
      </c>
      <c r="U1030" s="35" t="s">
        <v>1924</v>
      </c>
      <c r="V1030" s="102" t="s">
        <v>293</v>
      </c>
      <c r="W1030" s="478">
        <f>IFERROR(Table6[[#This Row],[Breakdown Time]]*Table6[[#This Row],[Plant Equivalent Weightage]],"")</f>
        <v>1.2820512820512771E-3</v>
      </c>
      <c r="X1030" s="473" t="s">
        <v>294</v>
      </c>
      <c r="Y1030" s="474" t="s">
        <v>99</v>
      </c>
      <c r="Z1030" s="102">
        <v>38729.760000000002</v>
      </c>
      <c r="AA1030" s="468">
        <f>(Table6[[#This Row],[Paired WTG Generation for loss calculation]]/24)*Table6[[#This Row],[Breakdown Time]]</f>
        <v>53.791333333333142</v>
      </c>
      <c r="AB1030" s="102"/>
      <c r="AC1030" s="35"/>
      <c r="AD1030" s="35"/>
    </row>
    <row r="1031" spans="1:30">
      <c r="A1031" s="102">
        <f t="shared" si="16"/>
        <v>1030</v>
      </c>
      <c r="B1031" s="468">
        <f>YEAR(Table6[[#This Row],[Date]])+IF(MONTH(Table6[[#This Row],[Date]])&gt;=4,1,0)</f>
        <v>2026</v>
      </c>
      <c r="C1031" s="102">
        <f>YEAR(Table6[[#This Row],[Date]])</f>
        <v>2025</v>
      </c>
      <c r="D1031" s="102" t="s">
        <v>1992</v>
      </c>
      <c r="E1031" s="469">
        <f>Table6[[#This Row],[Date]]-DAY(Table6[[#This Row],[Date]])+1</f>
        <v>45809</v>
      </c>
      <c r="F1031" s="470">
        <v>45811</v>
      </c>
      <c r="G1031" s="35" t="s">
        <v>77</v>
      </c>
      <c r="H1031" s="35" t="str">
        <f>IFERROR(_xlfn.XLOOKUP(Table6[[#This Row],[Affected WTG]],'Basic Data'!$A:$A,'Basic Data'!$B:$B),"")</f>
        <v>TQGXIIPL</v>
      </c>
      <c r="I1031" s="35" t="str">
        <f>IFERROR(_xlfn.XLOOKUP(Table6[[#This Row],[Affected WTG]],'Basic Data'!$A:$A,'Basic Data'!$C:$C),"")</f>
        <v>GEDA</v>
      </c>
      <c r="J1031" s="471">
        <f>IFERROR(_xlfn.XLOOKUP(Table6[[#This Row],[Affected WTG]],'Basic Data'!$A:$A,'Basic Data'!$E:$E),"")</f>
        <v>3.846153846153845E-2</v>
      </c>
      <c r="K1031" s="102">
        <v>6130</v>
      </c>
      <c r="L1031" s="35" t="str">
        <f>IFERROR(_xlfn.XLOOKUP(Table6[[#This Row],[Error Code]],'Basic Data'!$AA:$AA,'Basic Data'!$AB:$AB),"Incorrect Error Code")</f>
        <v>Yaw speed high</v>
      </c>
      <c r="M1031" s="35" t="s">
        <v>291</v>
      </c>
      <c r="N1031" s="475"/>
      <c r="O1031" s="476">
        <v>0.53888888888888897</v>
      </c>
      <c r="P1031" s="476">
        <v>0.53888888888888897</v>
      </c>
      <c r="Q1031" s="477">
        <v>0.54513888888888895</v>
      </c>
      <c r="R1031" s="472">
        <f>IF(Table6[[#This Row],[Work Start TimeStamp]]="","",(Table6[[#This Row],[Work Start TimeStamp]]-Table6[[#This Row],[Fault Start TimeStamp]])*24)</f>
        <v>0</v>
      </c>
      <c r="S1031" s="472">
        <f>(Table6[[#This Row],[Fault Clearance time]]-Table6[[#This Row],[Work Start TimeStamp]])*24</f>
        <v>0.14999999999999947</v>
      </c>
      <c r="T1031" s="472">
        <f>(Table6[[#This Row],[Fault Clearance time]]-Table6[[#This Row],[Fault Start TimeStamp]])*24</f>
        <v>0.14999999999999947</v>
      </c>
      <c r="U1031" s="35" t="s">
        <v>1924</v>
      </c>
      <c r="V1031" s="102" t="s">
        <v>293</v>
      </c>
      <c r="W1031" s="478">
        <f>IFERROR(Table6[[#This Row],[Breakdown Time]]*Table6[[#This Row],[Plant Equivalent Weightage]],"")</f>
        <v>5.769230769230747E-3</v>
      </c>
      <c r="X1031" s="473" t="s">
        <v>294</v>
      </c>
      <c r="Y1031" s="474" t="s">
        <v>80</v>
      </c>
      <c r="Z1031" s="102">
        <v>39912.239999999998</v>
      </c>
      <c r="AA1031" s="468">
        <f>(Table6[[#This Row],[Paired WTG Generation for loss calculation]]/24)*Table6[[#This Row],[Breakdown Time]]</f>
        <v>249.4514999999991</v>
      </c>
      <c r="AB1031" s="102"/>
      <c r="AC1031" s="35"/>
      <c r="AD1031" s="35"/>
    </row>
    <row r="1032" spans="1:30">
      <c r="A1032" s="102">
        <f t="shared" si="16"/>
        <v>1031</v>
      </c>
      <c r="B1032" s="468">
        <f>YEAR(Table6[[#This Row],[Date]])+IF(MONTH(Table6[[#This Row],[Date]])&gt;=4,1,0)</f>
        <v>2026</v>
      </c>
      <c r="C1032" s="102">
        <f>YEAR(Table6[[#This Row],[Date]])</f>
        <v>2025</v>
      </c>
      <c r="D1032" s="102" t="s">
        <v>1992</v>
      </c>
      <c r="E1032" s="469">
        <f>Table6[[#This Row],[Date]]-DAY(Table6[[#This Row],[Date]])+1</f>
        <v>45809</v>
      </c>
      <c r="F1032" s="470">
        <v>45811</v>
      </c>
      <c r="G1032" s="35" t="s">
        <v>77</v>
      </c>
      <c r="H1032" s="35" t="str">
        <f>IFERROR(_xlfn.XLOOKUP(Table6[[#This Row],[Affected WTG]],'Basic Data'!$A:$A,'Basic Data'!$B:$B),"")</f>
        <v>TQGXIIPL</v>
      </c>
      <c r="I1032" s="35" t="str">
        <f>IFERROR(_xlfn.XLOOKUP(Table6[[#This Row],[Affected WTG]],'Basic Data'!$A:$A,'Basic Data'!$C:$C),"")</f>
        <v>GEDA</v>
      </c>
      <c r="J1032" s="471">
        <f>IFERROR(_xlfn.XLOOKUP(Table6[[#This Row],[Affected WTG]],'Basic Data'!$A:$A,'Basic Data'!$E:$E),"")</f>
        <v>3.846153846153845E-2</v>
      </c>
      <c r="K1032" s="102">
        <v>700</v>
      </c>
      <c r="L1032" s="35" t="str">
        <f>IFERROR(_xlfn.XLOOKUP(Table6[[#This Row],[Error Code]],'Basic Data'!$AA:$AA,'Basic Data'!$AB:$AB),"Incorrect Error Code")</f>
        <v>Batt. undervoltage/overvoltage</v>
      </c>
      <c r="M1032" s="35" t="s">
        <v>291</v>
      </c>
      <c r="N1032" s="475"/>
      <c r="O1032" s="476">
        <v>0.54652777777777783</v>
      </c>
      <c r="P1032" s="476">
        <v>0.54652777777777783</v>
      </c>
      <c r="Q1032" s="477">
        <v>0.54791666666666672</v>
      </c>
      <c r="R1032" s="472">
        <f>IF(Table6[[#This Row],[Work Start TimeStamp]]="","",(Table6[[#This Row],[Work Start TimeStamp]]-Table6[[#This Row],[Fault Start TimeStamp]])*24)</f>
        <v>0</v>
      </c>
      <c r="S1032" s="472">
        <f>(Table6[[#This Row],[Fault Clearance time]]-Table6[[#This Row],[Work Start TimeStamp]])*24</f>
        <v>3.3333333333333215E-2</v>
      </c>
      <c r="T1032" s="472">
        <f>(Table6[[#This Row],[Fault Clearance time]]-Table6[[#This Row],[Fault Start TimeStamp]])*24</f>
        <v>3.3333333333333215E-2</v>
      </c>
      <c r="U1032" s="35" t="s">
        <v>1937</v>
      </c>
      <c r="V1032" s="102" t="s">
        <v>293</v>
      </c>
      <c r="W1032" s="478">
        <f>IFERROR(Table6[[#This Row],[Breakdown Time]]*Table6[[#This Row],[Plant Equivalent Weightage]],"")</f>
        <v>1.2820512820512771E-3</v>
      </c>
      <c r="X1032" s="473" t="s">
        <v>294</v>
      </c>
      <c r="Y1032" s="474" t="s">
        <v>80</v>
      </c>
      <c r="Z1032" s="102">
        <v>39912.239999999998</v>
      </c>
      <c r="AA1032" s="468">
        <f>(Table6[[#This Row],[Paired WTG Generation for loss calculation]]/24)*Table6[[#This Row],[Breakdown Time]]</f>
        <v>55.433666666666468</v>
      </c>
      <c r="AB1032" s="102"/>
      <c r="AC1032" s="35"/>
      <c r="AD1032" s="35"/>
    </row>
    <row r="1033" spans="1:30">
      <c r="A1033" s="102">
        <f t="shared" si="16"/>
        <v>1032</v>
      </c>
      <c r="B1033" s="468">
        <f>YEAR(Table6[[#This Row],[Date]])+IF(MONTH(Table6[[#This Row],[Date]])&gt;=4,1,0)</f>
        <v>2026</v>
      </c>
      <c r="C1033" s="102">
        <f>YEAR(Table6[[#This Row],[Date]])</f>
        <v>2025</v>
      </c>
      <c r="D1033" s="102" t="s">
        <v>1992</v>
      </c>
      <c r="E1033" s="469">
        <f>Table6[[#This Row],[Date]]-DAY(Table6[[#This Row],[Date]])+1</f>
        <v>45809</v>
      </c>
      <c r="F1033" s="470">
        <v>45811</v>
      </c>
      <c r="G1033" s="35" t="s">
        <v>77</v>
      </c>
      <c r="H1033" s="35" t="str">
        <f>IFERROR(_xlfn.XLOOKUP(Table6[[#This Row],[Affected WTG]],'Basic Data'!$A:$A,'Basic Data'!$B:$B),"")</f>
        <v>TQGXIIPL</v>
      </c>
      <c r="I1033" s="35" t="str">
        <f>IFERROR(_xlfn.XLOOKUP(Table6[[#This Row],[Affected WTG]],'Basic Data'!$A:$A,'Basic Data'!$C:$C),"")</f>
        <v>GEDA</v>
      </c>
      <c r="J1033" s="471">
        <f>IFERROR(_xlfn.XLOOKUP(Table6[[#This Row],[Affected WTG]],'Basic Data'!$A:$A,'Basic Data'!$E:$E),"")</f>
        <v>3.846153846153845E-2</v>
      </c>
      <c r="K1033" s="102">
        <v>6130</v>
      </c>
      <c r="L1033" s="35" t="str">
        <f>IFERROR(_xlfn.XLOOKUP(Table6[[#This Row],[Error Code]],'Basic Data'!$AA:$AA,'Basic Data'!$AB:$AB),"Incorrect Error Code")</f>
        <v>Yaw speed high</v>
      </c>
      <c r="M1033" s="35" t="s">
        <v>292</v>
      </c>
      <c r="N1033" s="475"/>
      <c r="O1033" s="476">
        <v>0.625</v>
      </c>
      <c r="P1033" s="476">
        <v>0.625</v>
      </c>
      <c r="Q1033" s="477">
        <v>0.62916666666666665</v>
      </c>
      <c r="R1033" s="472">
        <f>IF(Table6[[#This Row],[Work Start TimeStamp]]="","",(Table6[[#This Row],[Work Start TimeStamp]]-Table6[[#This Row],[Fault Start TimeStamp]])*24)</f>
        <v>0</v>
      </c>
      <c r="S1033" s="472">
        <f>(Table6[[#This Row],[Fault Clearance time]]-Table6[[#This Row],[Work Start TimeStamp]])*24</f>
        <v>9.9999999999999645E-2</v>
      </c>
      <c r="T1033" s="472">
        <f>(Table6[[#This Row],[Fault Clearance time]]-Table6[[#This Row],[Fault Start TimeStamp]])*24</f>
        <v>9.9999999999999645E-2</v>
      </c>
      <c r="U1033" s="35" t="s">
        <v>336</v>
      </c>
      <c r="V1033" s="102" t="s">
        <v>293</v>
      </c>
      <c r="W1033" s="478">
        <f>IFERROR(Table6[[#This Row],[Breakdown Time]]*Table6[[#This Row],[Plant Equivalent Weightage]],"")</f>
        <v>3.8461538461538312E-3</v>
      </c>
      <c r="X1033" s="473" t="s">
        <v>294</v>
      </c>
      <c r="Y1033" s="474" t="s">
        <v>80</v>
      </c>
      <c r="Z1033" s="102">
        <v>39912.239999999998</v>
      </c>
      <c r="AA1033" s="468">
        <f>(Table6[[#This Row],[Paired WTG Generation for loss calculation]]/24)*Table6[[#This Row],[Breakdown Time]]</f>
        <v>166.30099999999942</v>
      </c>
      <c r="AB1033" s="102"/>
      <c r="AC1033" s="35"/>
      <c r="AD1033" s="35"/>
    </row>
    <row r="1034" spans="1:30">
      <c r="A1034" s="102">
        <f t="shared" si="16"/>
        <v>1033</v>
      </c>
      <c r="B1034" s="468">
        <f>YEAR(Table6[[#This Row],[Date]])+IF(MONTH(Table6[[#This Row],[Date]])&gt;=4,1,0)</f>
        <v>2026</v>
      </c>
      <c r="C1034" s="102">
        <f>YEAR(Table6[[#This Row],[Date]])</f>
        <v>2025</v>
      </c>
      <c r="D1034" s="102" t="s">
        <v>1992</v>
      </c>
      <c r="E1034" s="469">
        <f>Table6[[#This Row],[Date]]-DAY(Table6[[#This Row],[Date]])+1</f>
        <v>45809</v>
      </c>
      <c r="F1034" s="470">
        <v>45811</v>
      </c>
      <c r="G1034" s="35" t="s">
        <v>78</v>
      </c>
      <c r="H1034" s="35" t="str">
        <f>IFERROR(_xlfn.XLOOKUP(Table6[[#This Row],[Affected WTG]],'Basic Data'!$A:$A,'Basic Data'!$B:$B),"")</f>
        <v>TQGXIIPL</v>
      </c>
      <c r="I1034" s="35" t="str">
        <f>IFERROR(_xlfn.XLOOKUP(Table6[[#This Row],[Affected WTG]],'Basic Data'!$A:$A,'Basic Data'!$C:$C),"")</f>
        <v>GEDA</v>
      </c>
      <c r="J1034" s="471">
        <f>IFERROR(_xlfn.XLOOKUP(Table6[[#This Row],[Affected WTG]],'Basic Data'!$A:$A,'Basic Data'!$E:$E),"")</f>
        <v>3.846153846153845E-2</v>
      </c>
      <c r="K1034" s="102">
        <v>6605</v>
      </c>
      <c r="L1034" s="35" t="str">
        <f>IFERROR(_xlfn.XLOOKUP(Table6[[#This Row],[Error Code]],'Basic Data'!$AA:$AA,'Basic Data'!$AB:$AB),"Incorrect Error Code")</f>
        <v>Wind.dir. diff. level 2</v>
      </c>
      <c r="M1034" s="35" t="s">
        <v>291</v>
      </c>
      <c r="N1034" s="475"/>
      <c r="O1034" s="476">
        <v>0.45833333333333331</v>
      </c>
      <c r="P1034" s="476">
        <v>0.45833333333333331</v>
      </c>
      <c r="Q1034" s="477">
        <v>0.46111111111111108</v>
      </c>
      <c r="R1034" s="472">
        <f>IF(Table6[[#This Row],[Work Start TimeStamp]]="","",(Table6[[#This Row],[Work Start TimeStamp]]-Table6[[#This Row],[Fault Start TimeStamp]])*24)</f>
        <v>0</v>
      </c>
      <c r="S1034" s="472">
        <f>(Table6[[#This Row],[Fault Clearance time]]-Table6[[#This Row],[Work Start TimeStamp]])*24</f>
        <v>6.666666666666643E-2</v>
      </c>
      <c r="T1034" s="472">
        <f>(Table6[[#This Row],[Fault Clearance time]]-Table6[[#This Row],[Fault Start TimeStamp]])*24</f>
        <v>6.666666666666643E-2</v>
      </c>
      <c r="U1034" s="35" t="s">
        <v>1924</v>
      </c>
      <c r="V1034" s="102" t="s">
        <v>293</v>
      </c>
      <c r="W1034" s="478">
        <f>IFERROR(Table6[[#This Row],[Breakdown Time]]*Table6[[#This Row],[Plant Equivalent Weightage]],"")</f>
        <v>2.5641025641025541E-3</v>
      </c>
      <c r="X1034" s="473" t="s">
        <v>294</v>
      </c>
      <c r="Y1034" s="474" t="s">
        <v>75</v>
      </c>
      <c r="Z1034" s="102">
        <v>40819.68</v>
      </c>
      <c r="AA1034" s="468">
        <f>(Table6[[#This Row],[Paired WTG Generation for loss calculation]]/24)*Table6[[#This Row],[Breakdown Time]]</f>
        <v>113.38799999999959</v>
      </c>
      <c r="AB1034" s="102"/>
      <c r="AC1034" s="35"/>
      <c r="AD1034" s="35"/>
    </row>
    <row r="1035" spans="1:30">
      <c r="A1035" s="102">
        <f t="shared" si="16"/>
        <v>1034</v>
      </c>
      <c r="B1035" s="468">
        <f>YEAR(Table6[[#This Row],[Date]])+IF(MONTH(Table6[[#This Row],[Date]])&gt;=4,1,0)</f>
        <v>2026</v>
      </c>
      <c r="C1035" s="102">
        <f>YEAR(Table6[[#This Row],[Date]])</f>
        <v>2025</v>
      </c>
      <c r="D1035" s="102" t="s">
        <v>1992</v>
      </c>
      <c r="E1035" s="469">
        <f>Table6[[#This Row],[Date]]-DAY(Table6[[#This Row],[Date]])+1</f>
        <v>45809</v>
      </c>
      <c r="F1035" s="470">
        <v>45811</v>
      </c>
      <c r="G1035" s="35" t="s">
        <v>78</v>
      </c>
      <c r="H1035" s="35" t="str">
        <f>IFERROR(_xlfn.XLOOKUP(Table6[[#This Row],[Affected WTG]],'Basic Data'!$A:$A,'Basic Data'!$B:$B),"")</f>
        <v>TQGXIIPL</v>
      </c>
      <c r="I1035" s="35" t="str">
        <f>IFERROR(_xlfn.XLOOKUP(Table6[[#This Row],[Affected WTG]],'Basic Data'!$A:$A,'Basic Data'!$C:$C),"")</f>
        <v>GEDA</v>
      </c>
      <c r="J1035" s="471">
        <f>IFERROR(_xlfn.XLOOKUP(Table6[[#This Row],[Affected WTG]],'Basic Data'!$A:$A,'Basic Data'!$E:$E),"")</f>
        <v>3.846153846153845E-2</v>
      </c>
      <c r="K1035" s="102">
        <v>6605</v>
      </c>
      <c r="L1035" s="35" t="str">
        <f>IFERROR(_xlfn.XLOOKUP(Table6[[#This Row],[Error Code]],'Basic Data'!$AA:$AA,'Basic Data'!$AB:$AB),"Incorrect Error Code")</f>
        <v>Wind.dir. diff. level 2</v>
      </c>
      <c r="M1035" s="35" t="s">
        <v>291</v>
      </c>
      <c r="N1035" s="475"/>
      <c r="O1035" s="476">
        <v>0.64236111111111116</v>
      </c>
      <c r="P1035" s="476">
        <v>0.64236111111111116</v>
      </c>
      <c r="Q1035" s="477">
        <v>0.64375000000000004</v>
      </c>
      <c r="R1035" s="472">
        <f>IF(Table6[[#This Row],[Work Start TimeStamp]]="","",(Table6[[#This Row],[Work Start TimeStamp]]-Table6[[#This Row],[Fault Start TimeStamp]])*24)</f>
        <v>0</v>
      </c>
      <c r="S1035" s="472">
        <f>(Table6[[#This Row],[Fault Clearance time]]-Table6[[#This Row],[Work Start TimeStamp]])*24</f>
        <v>3.3333333333333215E-2</v>
      </c>
      <c r="T1035" s="472">
        <f>(Table6[[#This Row],[Fault Clearance time]]-Table6[[#This Row],[Fault Start TimeStamp]])*24</f>
        <v>3.3333333333333215E-2</v>
      </c>
      <c r="U1035" s="35" t="s">
        <v>1924</v>
      </c>
      <c r="V1035" s="102" t="s">
        <v>293</v>
      </c>
      <c r="W1035" s="478">
        <f>IFERROR(Table6[[#This Row],[Breakdown Time]]*Table6[[#This Row],[Plant Equivalent Weightage]],"")</f>
        <v>1.2820512820512771E-3</v>
      </c>
      <c r="X1035" s="473" t="s">
        <v>294</v>
      </c>
      <c r="Y1035" s="474" t="s">
        <v>75</v>
      </c>
      <c r="Z1035" s="102">
        <v>40819.68</v>
      </c>
      <c r="AA1035" s="468">
        <f>(Table6[[#This Row],[Paired WTG Generation for loss calculation]]/24)*Table6[[#This Row],[Breakdown Time]]</f>
        <v>56.693999999999797</v>
      </c>
      <c r="AB1035" s="102"/>
      <c r="AC1035" s="35"/>
      <c r="AD1035" s="35"/>
    </row>
    <row r="1036" spans="1:30">
      <c r="A1036" s="102">
        <f t="shared" si="16"/>
        <v>1035</v>
      </c>
      <c r="B1036" s="468">
        <f>YEAR(Table6[[#This Row],[Date]])+IF(MONTH(Table6[[#This Row],[Date]])&gt;=4,1,0)</f>
        <v>2026</v>
      </c>
      <c r="C1036" s="102">
        <f>YEAR(Table6[[#This Row],[Date]])</f>
        <v>2025</v>
      </c>
      <c r="D1036" s="102" t="s">
        <v>1992</v>
      </c>
      <c r="E1036" s="469">
        <f>Table6[[#This Row],[Date]]-DAY(Table6[[#This Row],[Date]])+1</f>
        <v>45809</v>
      </c>
      <c r="F1036" s="470">
        <v>45811</v>
      </c>
      <c r="G1036" s="35" t="s">
        <v>78</v>
      </c>
      <c r="H1036" s="35" t="str">
        <f>IFERROR(_xlfn.XLOOKUP(Table6[[#This Row],[Affected WTG]],'Basic Data'!$A:$A,'Basic Data'!$B:$B),"")</f>
        <v>TQGXIIPL</v>
      </c>
      <c r="I1036" s="35" t="str">
        <f>IFERROR(_xlfn.XLOOKUP(Table6[[#This Row],[Affected WTG]],'Basic Data'!$A:$A,'Basic Data'!$C:$C),"")</f>
        <v>GEDA</v>
      </c>
      <c r="J1036" s="471">
        <f>IFERROR(_xlfn.XLOOKUP(Table6[[#This Row],[Affected WTG]],'Basic Data'!$A:$A,'Basic Data'!$E:$E),"")</f>
        <v>3.846153846153845E-2</v>
      </c>
      <c r="K1036" s="102">
        <v>3000</v>
      </c>
      <c r="L1036" s="35" t="str">
        <f>IFERROR(_xlfn.XLOOKUP(Table6[[#This Row],[Error Code]],'Basic Data'!$AA:$AA,'Basic Data'!$AB:$AB),"Incorrect Error Code")</f>
        <v>Frequency converter not ready</v>
      </c>
      <c r="M1036" s="35" t="s">
        <v>291</v>
      </c>
      <c r="N1036" s="475"/>
      <c r="O1036" s="476">
        <v>0.71527777777777779</v>
      </c>
      <c r="P1036" s="476">
        <v>0.71875</v>
      </c>
      <c r="Q1036" s="477">
        <v>0.77083333333333337</v>
      </c>
      <c r="R1036" s="472">
        <f>IF(Table6[[#This Row],[Work Start TimeStamp]]="","",(Table6[[#This Row],[Work Start TimeStamp]]-Table6[[#This Row],[Fault Start TimeStamp]])*24)</f>
        <v>8.3333333333333037E-2</v>
      </c>
      <c r="S1036" s="472">
        <f>(Table6[[#This Row],[Fault Clearance time]]-Table6[[#This Row],[Work Start TimeStamp]])*24</f>
        <v>1.2500000000000009</v>
      </c>
      <c r="T1036" s="472">
        <f>(Table6[[#This Row],[Fault Clearance time]]-Table6[[#This Row],[Fault Start TimeStamp]])*24</f>
        <v>1.3333333333333339</v>
      </c>
      <c r="U1036" s="35" t="s">
        <v>1938</v>
      </c>
      <c r="V1036" s="102" t="s">
        <v>293</v>
      </c>
      <c r="W1036" s="478">
        <f>IFERROR(Table6[[#This Row],[Breakdown Time]]*Table6[[#This Row],[Plant Equivalent Weightage]],"")</f>
        <v>5.1282051282051287E-2</v>
      </c>
      <c r="X1036" s="473" t="s">
        <v>290</v>
      </c>
      <c r="Y1036" s="474" t="s">
        <v>75</v>
      </c>
      <c r="Z1036" s="102">
        <v>40819.68</v>
      </c>
      <c r="AA1036" s="468">
        <f>(Table6[[#This Row],[Paired WTG Generation for loss calculation]]/24)*Table6[[#This Row],[Breakdown Time]]</f>
        <v>2267.7600000000011</v>
      </c>
      <c r="AB1036" s="102"/>
      <c r="AC1036" s="35"/>
      <c r="AD1036" s="35"/>
    </row>
    <row r="1037" spans="1:30">
      <c r="A1037" s="102">
        <f t="shared" si="16"/>
        <v>1036</v>
      </c>
      <c r="B1037" s="468">
        <f>YEAR(Table6[[#This Row],[Date]])+IF(MONTH(Table6[[#This Row],[Date]])&gt;=4,1,0)</f>
        <v>2026</v>
      </c>
      <c r="C1037" s="102">
        <f>YEAR(Table6[[#This Row],[Date]])</f>
        <v>2025</v>
      </c>
      <c r="D1037" s="102" t="s">
        <v>1992</v>
      </c>
      <c r="E1037" s="469">
        <f>Table6[[#This Row],[Date]]-DAY(Table6[[#This Row],[Date]])+1</f>
        <v>45809</v>
      </c>
      <c r="F1037" s="470">
        <v>45811</v>
      </c>
      <c r="G1037" s="35" t="s">
        <v>79</v>
      </c>
      <c r="H1037" s="35" t="str">
        <f>IFERROR(_xlfn.XLOOKUP(Table6[[#This Row],[Affected WTG]],'Basic Data'!$A:$A,'Basic Data'!$B:$B),"")</f>
        <v>TQGXIIPL</v>
      </c>
      <c r="I1037" s="35" t="str">
        <f>IFERROR(_xlfn.XLOOKUP(Table6[[#This Row],[Affected WTG]],'Basic Data'!$A:$A,'Basic Data'!$C:$C),"")</f>
        <v>GEDA</v>
      </c>
      <c r="J1037" s="471">
        <f>IFERROR(_xlfn.XLOOKUP(Table6[[#This Row],[Affected WTG]],'Basic Data'!$A:$A,'Basic Data'!$E:$E),"")</f>
        <v>3.846153846153845E-2</v>
      </c>
      <c r="K1037" s="102">
        <v>4970</v>
      </c>
      <c r="L1037" s="35" t="str">
        <f>IFERROR(_xlfn.XLOOKUP(Table6[[#This Row],[Error Code]],'Basic Data'!$AA:$AA,'Basic Data'!$AB:$AB),"Incorrect Error Code")</f>
        <v>Tower oscillation XF</v>
      </c>
      <c r="M1037" s="35" t="s">
        <v>292</v>
      </c>
      <c r="N1037" s="475"/>
      <c r="O1037" s="476">
        <v>0.59722222222222221</v>
      </c>
      <c r="P1037" s="476">
        <v>0.59722222222222221</v>
      </c>
      <c r="Q1037" s="477">
        <v>0.60833333333333339</v>
      </c>
      <c r="R1037" s="472">
        <f>IF(Table6[[#This Row],[Work Start TimeStamp]]="","",(Table6[[#This Row],[Work Start TimeStamp]]-Table6[[#This Row],[Fault Start TimeStamp]])*24)</f>
        <v>0</v>
      </c>
      <c r="S1037" s="472">
        <f>(Table6[[#This Row],[Fault Clearance time]]-Table6[[#This Row],[Work Start TimeStamp]])*24</f>
        <v>0.26666666666666838</v>
      </c>
      <c r="T1037" s="472">
        <f>(Table6[[#This Row],[Fault Clearance time]]-Table6[[#This Row],[Fault Start TimeStamp]])*24</f>
        <v>0.26666666666666838</v>
      </c>
      <c r="U1037" s="35" t="s">
        <v>336</v>
      </c>
      <c r="V1037" s="102" t="s">
        <v>293</v>
      </c>
      <c r="W1037" s="478">
        <f>IFERROR(Table6[[#This Row],[Breakdown Time]]*Table6[[#This Row],[Plant Equivalent Weightage]],"")</f>
        <v>1.0256410256410319E-2</v>
      </c>
      <c r="X1037" s="473" t="s">
        <v>294</v>
      </c>
      <c r="Y1037" s="474" t="s">
        <v>94</v>
      </c>
      <c r="Z1037" s="102">
        <v>43956.24</v>
      </c>
      <c r="AA1037" s="468">
        <f>(Table6[[#This Row],[Paired WTG Generation for loss calculation]]/24)*Table6[[#This Row],[Breakdown Time]]</f>
        <v>488.4026666666698</v>
      </c>
      <c r="AB1037" s="102"/>
      <c r="AC1037" s="35"/>
      <c r="AD1037" s="35"/>
    </row>
    <row r="1038" spans="1:30">
      <c r="A1038" s="102">
        <f t="shared" ref="A1038:A1101" si="17">A1037+1</f>
        <v>1037</v>
      </c>
      <c r="B1038" s="468">
        <f>YEAR(Table6[[#This Row],[Date]])+IF(MONTH(Table6[[#This Row],[Date]])&gt;=4,1,0)</f>
        <v>2026</v>
      </c>
      <c r="C1038" s="102">
        <f>YEAR(Table6[[#This Row],[Date]])</f>
        <v>2025</v>
      </c>
      <c r="D1038" s="102" t="s">
        <v>1992</v>
      </c>
      <c r="E1038" s="469">
        <f>Table6[[#This Row],[Date]]-DAY(Table6[[#This Row],[Date]])+1</f>
        <v>45809</v>
      </c>
      <c r="F1038" s="470">
        <v>45811</v>
      </c>
      <c r="G1038" s="35" t="s">
        <v>83</v>
      </c>
      <c r="H1038" s="35" t="str">
        <f>IFERROR(_xlfn.XLOOKUP(Table6[[#This Row],[Affected WTG]],'Basic Data'!$A:$A,'Basic Data'!$B:$B),"")</f>
        <v>TQGXIIPL</v>
      </c>
      <c r="I1038" s="35" t="str">
        <f>IFERROR(_xlfn.XLOOKUP(Table6[[#This Row],[Affected WTG]],'Basic Data'!$A:$A,'Basic Data'!$C:$C),"")</f>
        <v>GEDA</v>
      </c>
      <c r="J1038" s="471">
        <f>IFERROR(_xlfn.XLOOKUP(Table6[[#This Row],[Affected WTG]],'Basic Data'!$A:$A,'Basic Data'!$E:$E),"")</f>
        <v>3.846153846153845E-2</v>
      </c>
      <c r="K1038" s="102">
        <v>6130</v>
      </c>
      <c r="L1038" s="35" t="str">
        <f>IFERROR(_xlfn.XLOOKUP(Table6[[#This Row],[Error Code]],'Basic Data'!$AA:$AA,'Basic Data'!$AB:$AB),"Incorrect Error Code")</f>
        <v>Yaw speed high</v>
      </c>
      <c r="M1038" s="35" t="s">
        <v>292</v>
      </c>
      <c r="N1038" s="475"/>
      <c r="O1038" s="476">
        <v>0.44652777777777775</v>
      </c>
      <c r="P1038" s="476">
        <v>0.44652777777777775</v>
      </c>
      <c r="Q1038" s="477">
        <v>0.45069444444444445</v>
      </c>
      <c r="R1038" s="472">
        <f>IF(Table6[[#This Row],[Work Start TimeStamp]]="","",(Table6[[#This Row],[Work Start TimeStamp]]-Table6[[#This Row],[Fault Start TimeStamp]])*24)</f>
        <v>0</v>
      </c>
      <c r="S1038" s="472">
        <f>(Table6[[#This Row],[Fault Clearance time]]-Table6[[#This Row],[Work Start TimeStamp]])*24</f>
        <v>0.10000000000000098</v>
      </c>
      <c r="T1038" s="472">
        <f>(Table6[[#This Row],[Fault Clearance time]]-Table6[[#This Row],[Fault Start TimeStamp]])*24</f>
        <v>0.10000000000000098</v>
      </c>
      <c r="U1038" s="35" t="s">
        <v>336</v>
      </c>
      <c r="V1038" s="102" t="s">
        <v>293</v>
      </c>
      <c r="W1038" s="478">
        <f>IFERROR(Table6[[#This Row],[Breakdown Time]]*Table6[[#This Row],[Plant Equivalent Weightage]],"")</f>
        <v>3.8461538461538824E-3</v>
      </c>
      <c r="X1038" s="473" t="s">
        <v>294</v>
      </c>
      <c r="Y1038" s="474" t="s">
        <v>88</v>
      </c>
      <c r="Z1038" s="102">
        <v>40892.639999999999</v>
      </c>
      <c r="AA1038" s="468">
        <f>(Table6[[#This Row],[Paired WTG Generation for loss calculation]]/24)*Table6[[#This Row],[Breakdown Time]]</f>
        <v>170.38600000000164</v>
      </c>
      <c r="AB1038" s="102"/>
      <c r="AC1038" s="35"/>
      <c r="AD1038" s="35"/>
    </row>
    <row r="1039" spans="1:30">
      <c r="A1039" s="102">
        <f t="shared" si="17"/>
        <v>1038</v>
      </c>
      <c r="B1039" s="468">
        <f>YEAR(Table6[[#This Row],[Date]])+IF(MONTH(Table6[[#This Row],[Date]])&gt;=4,1,0)</f>
        <v>2026</v>
      </c>
      <c r="C1039" s="102">
        <f>YEAR(Table6[[#This Row],[Date]])</f>
        <v>2025</v>
      </c>
      <c r="D1039" s="102" t="s">
        <v>1992</v>
      </c>
      <c r="E1039" s="469">
        <f>Table6[[#This Row],[Date]]-DAY(Table6[[#This Row],[Date]])+1</f>
        <v>45809</v>
      </c>
      <c r="F1039" s="470">
        <v>45811</v>
      </c>
      <c r="G1039" s="35" t="s">
        <v>84</v>
      </c>
      <c r="H1039" s="35" t="str">
        <f>IFERROR(_xlfn.XLOOKUP(Table6[[#This Row],[Affected WTG]],'Basic Data'!$A:$A,'Basic Data'!$B:$B),"")</f>
        <v>TQGXIIPL</v>
      </c>
      <c r="I1039" s="35" t="str">
        <f>IFERROR(_xlfn.XLOOKUP(Table6[[#This Row],[Affected WTG]],'Basic Data'!$A:$A,'Basic Data'!$C:$C),"")</f>
        <v>GEDA</v>
      </c>
      <c r="J1039" s="471">
        <f>IFERROR(_xlfn.XLOOKUP(Table6[[#This Row],[Affected WTG]],'Basic Data'!$A:$A,'Basic Data'!$E:$E),"")</f>
        <v>3.846153846153845E-2</v>
      </c>
      <c r="K1039" s="102">
        <v>4970</v>
      </c>
      <c r="L1039" s="35" t="str">
        <f>IFERROR(_xlfn.XLOOKUP(Table6[[#This Row],[Error Code]],'Basic Data'!$AA:$AA,'Basic Data'!$AB:$AB),"Incorrect Error Code")</f>
        <v>Tower oscillation XF</v>
      </c>
      <c r="M1039" s="35" t="s">
        <v>292</v>
      </c>
      <c r="N1039" s="475"/>
      <c r="O1039" s="476">
        <v>0.53194444444444444</v>
      </c>
      <c r="P1039" s="476">
        <v>0.53194444444444444</v>
      </c>
      <c r="Q1039" s="477">
        <v>0.54305555555555562</v>
      </c>
      <c r="R1039" s="472">
        <f>IF(Table6[[#This Row],[Work Start TimeStamp]]="","",(Table6[[#This Row],[Work Start TimeStamp]]-Table6[[#This Row],[Fault Start TimeStamp]])*24)</f>
        <v>0</v>
      </c>
      <c r="S1039" s="472">
        <f>(Table6[[#This Row],[Fault Clearance time]]-Table6[[#This Row],[Work Start TimeStamp]])*24</f>
        <v>0.26666666666666838</v>
      </c>
      <c r="T1039" s="472">
        <f>(Table6[[#This Row],[Fault Clearance time]]-Table6[[#This Row],[Fault Start TimeStamp]])*24</f>
        <v>0.26666666666666838</v>
      </c>
      <c r="U1039" s="35" t="s">
        <v>336</v>
      </c>
      <c r="V1039" s="102" t="s">
        <v>293</v>
      </c>
      <c r="W1039" s="478">
        <f>IFERROR(Table6[[#This Row],[Breakdown Time]]*Table6[[#This Row],[Plant Equivalent Weightage]],"")</f>
        <v>1.0256410256410319E-2</v>
      </c>
      <c r="X1039" s="473" t="s">
        <v>294</v>
      </c>
      <c r="Y1039" s="474" t="s">
        <v>85</v>
      </c>
      <c r="Z1039" s="102">
        <v>40312.800000000003</v>
      </c>
      <c r="AA1039" s="468">
        <f>(Table6[[#This Row],[Paired WTG Generation for loss calculation]]/24)*Table6[[#This Row],[Breakdown Time]]</f>
        <v>447.92000000000291</v>
      </c>
      <c r="AB1039" s="102"/>
      <c r="AC1039" s="35"/>
      <c r="AD1039" s="35"/>
    </row>
    <row r="1040" spans="1:30">
      <c r="A1040" s="102">
        <f t="shared" si="17"/>
        <v>1039</v>
      </c>
      <c r="B1040" s="468">
        <f>YEAR(Table6[[#This Row],[Date]])+IF(MONTH(Table6[[#This Row],[Date]])&gt;=4,1,0)</f>
        <v>2026</v>
      </c>
      <c r="C1040" s="102">
        <f>YEAR(Table6[[#This Row],[Date]])</f>
        <v>2025</v>
      </c>
      <c r="D1040" s="102" t="s">
        <v>1992</v>
      </c>
      <c r="E1040" s="469">
        <f>Table6[[#This Row],[Date]]-DAY(Table6[[#This Row],[Date]])+1</f>
        <v>45809</v>
      </c>
      <c r="F1040" s="470">
        <v>45811</v>
      </c>
      <c r="G1040" s="35" t="s">
        <v>88</v>
      </c>
      <c r="H1040" s="35" t="str">
        <f>IFERROR(_xlfn.XLOOKUP(Table6[[#This Row],[Affected WTG]],'Basic Data'!$A:$A,'Basic Data'!$B:$B),"")</f>
        <v>TQGXIIPL</v>
      </c>
      <c r="I1040" s="35" t="str">
        <f>IFERROR(_xlfn.XLOOKUP(Table6[[#This Row],[Affected WTG]],'Basic Data'!$A:$A,'Basic Data'!$C:$C),"")</f>
        <v>GEDA</v>
      </c>
      <c r="J1040" s="471">
        <f>IFERROR(_xlfn.XLOOKUP(Table6[[#This Row],[Affected WTG]],'Basic Data'!$A:$A,'Basic Data'!$E:$E),"")</f>
        <v>3.846153846153845E-2</v>
      </c>
      <c r="K1040" s="102">
        <v>4970</v>
      </c>
      <c r="L1040" s="35" t="str">
        <f>IFERROR(_xlfn.XLOOKUP(Table6[[#This Row],[Error Code]],'Basic Data'!$AA:$AA,'Basic Data'!$AB:$AB),"Incorrect Error Code")</f>
        <v>Tower oscillation XF</v>
      </c>
      <c r="M1040" s="35" t="s">
        <v>292</v>
      </c>
      <c r="N1040" s="475"/>
      <c r="O1040" s="476">
        <v>0.63541666666666674</v>
      </c>
      <c r="P1040" s="476">
        <v>0.63541666666666674</v>
      </c>
      <c r="Q1040" s="477">
        <v>0.64652777777777781</v>
      </c>
      <c r="R1040" s="472">
        <f>IF(Table6[[#This Row],[Work Start TimeStamp]]="","",(Table6[[#This Row],[Work Start TimeStamp]]-Table6[[#This Row],[Fault Start TimeStamp]])*24)</f>
        <v>0</v>
      </c>
      <c r="S1040" s="472">
        <f>(Table6[[#This Row],[Fault Clearance time]]-Table6[[#This Row],[Work Start TimeStamp]])*24</f>
        <v>0.26666666666666572</v>
      </c>
      <c r="T1040" s="472">
        <f>(Table6[[#This Row],[Fault Clearance time]]-Table6[[#This Row],[Fault Start TimeStamp]])*24</f>
        <v>0.26666666666666572</v>
      </c>
      <c r="U1040" s="35" t="s">
        <v>336</v>
      </c>
      <c r="V1040" s="102" t="s">
        <v>293</v>
      </c>
      <c r="W1040" s="478">
        <f>IFERROR(Table6[[#This Row],[Breakdown Time]]*Table6[[#This Row],[Plant Equivalent Weightage]],"")</f>
        <v>1.0256410256410217E-2</v>
      </c>
      <c r="X1040" s="473" t="s">
        <v>294</v>
      </c>
      <c r="Y1040" s="474" t="s">
        <v>83</v>
      </c>
      <c r="Z1040" s="102">
        <v>40083.360000000001</v>
      </c>
      <c r="AA1040" s="468">
        <f>(Table6[[#This Row],[Paired WTG Generation for loss calculation]]/24)*Table6[[#This Row],[Breakdown Time]]</f>
        <v>445.3706666666651</v>
      </c>
      <c r="AB1040" s="102"/>
      <c r="AC1040" s="35"/>
      <c r="AD1040" s="35"/>
    </row>
    <row r="1041" spans="1:30">
      <c r="A1041" s="102">
        <f t="shared" si="17"/>
        <v>1040</v>
      </c>
      <c r="B1041" s="468">
        <f>YEAR(Table6[[#This Row],[Date]])+IF(MONTH(Table6[[#This Row],[Date]])&gt;=4,1,0)</f>
        <v>2026</v>
      </c>
      <c r="C1041" s="102">
        <f>YEAR(Table6[[#This Row],[Date]])</f>
        <v>2025</v>
      </c>
      <c r="D1041" s="102" t="s">
        <v>1992</v>
      </c>
      <c r="E1041" s="469">
        <f>Table6[[#This Row],[Date]]-DAY(Table6[[#This Row],[Date]])+1</f>
        <v>45809</v>
      </c>
      <c r="F1041" s="470">
        <v>45811</v>
      </c>
      <c r="G1041" s="35" t="s">
        <v>90</v>
      </c>
      <c r="H1041" s="35" t="str">
        <f>IFERROR(_xlfn.XLOOKUP(Table6[[#This Row],[Affected WTG]],'Basic Data'!$A:$A,'Basic Data'!$B:$B),"")</f>
        <v>TQGXIIPL</v>
      </c>
      <c r="I1041" s="35" t="str">
        <f>IFERROR(_xlfn.XLOOKUP(Table6[[#This Row],[Affected WTG]],'Basic Data'!$A:$A,'Basic Data'!$C:$C),"")</f>
        <v>GEDA</v>
      </c>
      <c r="J1041" s="471">
        <f>IFERROR(_xlfn.XLOOKUP(Table6[[#This Row],[Affected WTG]],'Basic Data'!$A:$A,'Basic Data'!$E:$E),"")</f>
        <v>3.846153846153845E-2</v>
      </c>
      <c r="K1041" s="102">
        <v>3000</v>
      </c>
      <c r="L1041" s="35" t="str">
        <f>IFERROR(_xlfn.XLOOKUP(Table6[[#This Row],[Error Code]],'Basic Data'!$AA:$AA,'Basic Data'!$AB:$AB),"Incorrect Error Code")</f>
        <v>Frequency converter not ready</v>
      </c>
      <c r="M1041" s="35" t="s">
        <v>291</v>
      </c>
      <c r="N1041" s="475"/>
      <c r="O1041" s="476">
        <v>0.71944444444444444</v>
      </c>
      <c r="P1041" s="476">
        <v>0.71944444444444444</v>
      </c>
      <c r="Q1041" s="477">
        <v>0.74513888888888891</v>
      </c>
      <c r="R1041" s="472">
        <f>IF(Table6[[#This Row],[Work Start TimeStamp]]="","",(Table6[[#This Row],[Work Start TimeStamp]]-Table6[[#This Row],[Fault Start TimeStamp]])*24)</f>
        <v>0</v>
      </c>
      <c r="S1041" s="472">
        <f>(Table6[[#This Row],[Fault Clearance time]]-Table6[[#This Row],[Work Start TimeStamp]])*24</f>
        <v>0.61666666666666714</v>
      </c>
      <c r="T1041" s="472">
        <f>(Table6[[#This Row],[Fault Clearance time]]-Table6[[#This Row],[Fault Start TimeStamp]])*24</f>
        <v>0.61666666666666714</v>
      </c>
      <c r="U1041" s="35" t="s">
        <v>1932</v>
      </c>
      <c r="V1041" s="102" t="s">
        <v>293</v>
      </c>
      <c r="W1041" s="478">
        <f>IFERROR(Table6[[#This Row],[Breakdown Time]]*Table6[[#This Row],[Plant Equivalent Weightage]],"")</f>
        <v>2.3717948717948727E-2</v>
      </c>
      <c r="X1041" s="473" t="s">
        <v>294</v>
      </c>
      <c r="Y1041" s="474" t="s">
        <v>95</v>
      </c>
      <c r="Z1041" s="102">
        <v>47631.360000000001</v>
      </c>
      <c r="AA1041" s="468">
        <f>(Table6[[#This Row],[Paired WTG Generation for loss calculation]]/24)*Table6[[#This Row],[Breakdown Time]]</f>
        <v>1223.8613333333344</v>
      </c>
      <c r="AB1041" s="102"/>
      <c r="AC1041" s="35"/>
      <c r="AD1041" s="35"/>
    </row>
    <row r="1042" spans="1:30">
      <c r="A1042" s="102">
        <f t="shared" si="17"/>
        <v>1041</v>
      </c>
      <c r="B1042" s="468">
        <f>YEAR(Table6[[#This Row],[Date]])+IF(MONTH(Table6[[#This Row],[Date]])&gt;=4,1,0)</f>
        <v>2026</v>
      </c>
      <c r="C1042" s="102">
        <f>YEAR(Table6[[#This Row],[Date]])</f>
        <v>2025</v>
      </c>
      <c r="D1042" s="102" t="s">
        <v>1992</v>
      </c>
      <c r="E1042" s="469">
        <f>Table6[[#This Row],[Date]]-DAY(Table6[[#This Row],[Date]])+1</f>
        <v>45809</v>
      </c>
      <c r="F1042" s="470">
        <v>45811</v>
      </c>
      <c r="G1042" s="35" t="s">
        <v>92</v>
      </c>
      <c r="H1042" s="35" t="str">
        <f>IFERROR(_xlfn.XLOOKUP(Table6[[#This Row],[Affected WTG]],'Basic Data'!$A:$A,'Basic Data'!$B:$B),"")</f>
        <v>TQGXIIPL</v>
      </c>
      <c r="I1042" s="35" t="str">
        <f>IFERROR(_xlfn.XLOOKUP(Table6[[#This Row],[Affected WTG]],'Basic Data'!$A:$A,'Basic Data'!$C:$C),"")</f>
        <v>GEDA</v>
      </c>
      <c r="J1042" s="471">
        <f>IFERROR(_xlfn.XLOOKUP(Table6[[#This Row],[Affected WTG]],'Basic Data'!$A:$A,'Basic Data'!$E:$E),"")</f>
        <v>3.846153846153845E-2</v>
      </c>
      <c r="K1042" s="102">
        <v>6605</v>
      </c>
      <c r="L1042" s="35" t="str">
        <f>IFERROR(_xlfn.XLOOKUP(Table6[[#This Row],[Error Code]],'Basic Data'!$AA:$AA,'Basic Data'!$AB:$AB),"Incorrect Error Code")</f>
        <v>Wind.dir. diff. level 2</v>
      </c>
      <c r="M1042" s="35" t="s">
        <v>291</v>
      </c>
      <c r="N1042" s="475"/>
      <c r="O1042" s="476">
        <v>0.63055555555555565</v>
      </c>
      <c r="P1042" s="476">
        <v>0.63055555555555565</v>
      </c>
      <c r="Q1042" s="477">
        <v>0.63611111111111118</v>
      </c>
      <c r="R1042" s="472">
        <f>IF(Table6[[#This Row],[Work Start TimeStamp]]="","",(Table6[[#This Row],[Work Start TimeStamp]]-Table6[[#This Row],[Fault Start TimeStamp]])*24)</f>
        <v>0</v>
      </c>
      <c r="S1042" s="472">
        <f>(Table6[[#This Row],[Fault Clearance time]]-Table6[[#This Row],[Work Start TimeStamp]])*24</f>
        <v>0.13333333333333286</v>
      </c>
      <c r="T1042" s="472">
        <f>(Table6[[#This Row],[Fault Clearance time]]-Table6[[#This Row],[Fault Start TimeStamp]])*24</f>
        <v>0.13333333333333286</v>
      </c>
      <c r="U1042" s="35" t="s">
        <v>1924</v>
      </c>
      <c r="V1042" s="102" t="s">
        <v>293</v>
      </c>
      <c r="W1042" s="478">
        <f>IFERROR(Table6[[#This Row],[Breakdown Time]]*Table6[[#This Row],[Plant Equivalent Weightage]],"")</f>
        <v>5.1282051282051083E-3</v>
      </c>
      <c r="X1042" s="473" t="s">
        <v>294</v>
      </c>
      <c r="Y1042" s="474" t="s">
        <v>80</v>
      </c>
      <c r="Z1042" s="102">
        <v>39912.239999999998</v>
      </c>
      <c r="AA1042" s="468">
        <f>(Table6[[#This Row],[Paired WTG Generation for loss calculation]]/24)*Table6[[#This Row],[Breakdown Time]]</f>
        <v>221.73466666666587</v>
      </c>
      <c r="AB1042" s="102"/>
      <c r="AC1042" s="35"/>
      <c r="AD1042" s="35"/>
    </row>
    <row r="1043" spans="1:30">
      <c r="A1043" s="102">
        <f t="shared" si="17"/>
        <v>1042</v>
      </c>
      <c r="B1043" s="468">
        <f>YEAR(Table6[[#This Row],[Date]])+IF(MONTH(Table6[[#This Row],[Date]])&gt;=4,1,0)</f>
        <v>2026</v>
      </c>
      <c r="C1043" s="102">
        <f>YEAR(Table6[[#This Row],[Date]])</f>
        <v>2025</v>
      </c>
      <c r="D1043" s="102" t="s">
        <v>1992</v>
      </c>
      <c r="E1043" s="469">
        <f>Table6[[#This Row],[Date]]-DAY(Table6[[#This Row],[Date]])+1</f>
        <v>45809</v>
      </c>
      <c r="F1043" s="470">
        <v>45811</v>
      </c>
      <c r="G1043" s="35" t="s">
        <v>93</v>
      </c>
      <c r="H1043" s="35" t="str">
        <f>IFERROR(_xlfn.XLOOKUP(Table6[[#This Row],[Affected WTG]],'Basic Data'!$A:$A,'Basic Data'!$B:$B),"")</f>
        <v>TQGXIIPL</v>
      </c>
      <c r="I1043" s="35" t="str">
        <f>IFERROR(_xlfn.XLOOKUP(Table6[[#This Row],[Affected WTG]],'Basic Data'!$A:$A,'Basic Data'!$C:$C),"")</f>
        <v>GEDA</v>
      </c>
      <c r="J1043" s="471">
        <f>IFERROR(_xlfn.XLOOKUP(Table6[[#This Row],[Affected WTG]],'Basic Data'!$A:$A,'Basic Data'!$E:$E),"")</f>
        <v>3.846153846153845E-2</v>
      </c>
      <c r="K1043" s="102">
        <v>6130</v>
      </c>
      <c r="L1043" s="35" t="str">
        <f>IFERROR(_xlfn.XLOOKUP(Table6[[#This Row],[Error Code]],'Basic Data'!$AA:$AA,'Basic Data'!$AB:$AB),"Incorrect Error Code")</f>
        <v>Yaw speed high</v>
      </c>
      <c r="M1043" s="35" t="s">
        <v>292</v>
      </c>
      <c r="N1043" s="475"/>
      <c r="O1043" s="476">
        <v>0.63541666666666674</v>
      </c>
      <c r="P1043" s="476">
        <v>0.63541666666666674</v>
      </c>
      <c r="Q1043" s="477">
        <v>0.63958333333333339</v>
      </c>
      <c r="R1043" s="472">
        <f>IF(Table6[[#This Row],[Work Start TimeStamp]]="","",(Table6[[#This Row],[Work Start TimeStamp]]-Table6[[#This Row],[Fault Start TimeStamp]])*24)</f>
        <v>0</v>
      </c>
      <c r="S1043" s="472">
        <f>(Table6[[#This Row],[Fault Clearance time]]-Table6[[#This Row],[Work Start TimeStamp]])*24</f>
        <v>9.9999999999999645E-2</v>
      </c>
      <c r="T1043" s="472">
        <f>(Table6[[#This Row],[Fault Clearance time]]-Table6[[#This Row],[Fault Start TimeStamp]])*24</f>
        <v>9.9999999999999645E-2</v>
      </c>
      <c r="U1043" s="35" t="s">
        <v>336</v>
      </c>
      <c r="V1043" s="102" t="s">
        <v>293</v>
      </c>
      <c r="W1043" s="478">
        <f>IFERROR(Table6[[#This Row],[Breakdown Time]]*Table6[[#This Row],[Plant Equivalent Weightage]],"")</f>
        <v>3.8461538461538312E-3</v>
      </c>
      <c r="X1043" s="473" t="s">
        <v>294</v>
      </c>
      <c r="Y1043" s="474" t="s">
        <v>97</v>
      </c>
      <c r="Z1043" s="102">
        <v>42707.040000000001</v>
      </c>
      <c r="AA1043" s="468">
        <f>(Table6[[#This Row],[Paired WTG Generation for loss calculation]]/24)*Table6[[#This Row],[Breakdown Time]]</f>
        <v>177.94599999999937</v>
      </c>
      <c r="AB1043" s="102"/>
      <c r="AC1043" s="35"/>
      <c r="AD1043" s="35"/>
    </row>
    <row r="1044" spans="1:30">
      <c r="A1044" s="102">
        <f t="shared" si="17"/>
        <v>1043</v>
      </c>
      <c r="B1044" s="468">
        <f>YEAR(Table6[[#This Row],[Date]])+IF(MONTH(Table6[[#This Row],[Date]])&gt;=4,1,0)</f>
        <v>2026</v>
      </c>
      <c r="C1044" s="102">
        <f>YEAR(Table6[[#This Row],[Date]])</f>
        <v>2025</v>
      </c>
      <c r="D1044" s="102" t="s">
        <v>1992</v>
      </c>
      <c r="E1044" s="469">
        <f>Table6[[#This Row],[Date]]-DAY(Table6[[#This Row],[Date]])+1</f>
        <v>45809</v>
      </c>
      <c r="F1044" s="470">
        <v>45811</v>
      </c>
      <c r="G1044" s="35" t="s">
        <v>96</v>
      </c>
      <c r="H1044" s="35" t="str">
        <f>IFERROR(_xlfn.XLOOKUP(Table6[[#This Row],[Affected WTG]],'Basic Data'!$A:$A,'Basic Data'!$B:$B),"")</f>
        <v>TQGXIIPL</v>
      </c>
      <c r="I1044" s="35" t="str">
        <f>IFERROR(_xlfn.XLOOKUP(Table6[[#This Row],[Affected WTG]],'Basic Data'!$A:$A,'Basic Data'!$C:$C),"")</f>
        <v>GEDA</v>
      </c>
      <c r="J1044" s="471">
        <f>IFERROR(_xlfn.XLOOKUP(Table6[[#This Row],[Affected WTG]],'Basic Data'!$A:$A,'Basic Data'!$E:$E),"")</f>
        <v>3.846153846153845E-2</v>
      </c>
      <c r="K1044" s="102">
        <v>6130</v>
      </c>
      <c r="L1044" s="35" t="str">
        <f>IFERROR(_xlfn.XLOOKUP(Table6[[#This Row],[Error Code]],'Basic Data'!$AA:$AA,'Basic Data'!$AB:$AB),"Incorrect Error Code")</f>
        <v>Yaw speed high</v>
      </c>
      <c r="M1044" s="35" t="s">
        <v>292</v>
      </c>
      <c r="N1044" s="475"/>
      <c r="O1044" s="476">
        <v>0.39305555555555555</v>
      </c>
      <c r="P1044" s="476">
        <v>0.39305555555555555</v>
      </c>
      <c r="Q1044" s="477">
        <v>0.3972222222222222</v>
      </c>
      <c r="R1044" s="472">
        <f>IF(Table6[[#This Row],[Work Start TimeStamp]]="","",(Table6[[#This Row],[Work Start TimeStamp]]-Table6[[#This Row],[Fault Start TimeStamp]])*24)</f>
        <v>0</v>
      </c>
      <c r="S1044" s="472">
        <f>(Table6[[#This Row],[Fault Clearance time]]-Table6[[#This Row],[Work Start TimeStamp]])*24</f>
        <v>9.9999999999999645E-2</v>
      </c>
      <c r="T1044" s="472">
        <f>(Table6[[#This Row],[Fault Clearance time]]-Table6[[#This Row],[Fault Start TimeStamp]])*24</f>
        <v>9.9999999999999645E-2</v>
      </c>
      <c r="U1044" s="35" t="s">
        <v>336</v>
      </c>
      <c r="V1044" s="102" t="s">
        <v>293</v>
      </c>
      <c r="W1044" s="478">
        <f>IFERROR(Table6[[#This Row],[Breakdown Time]]*Table6[[#This Row],[Plant Equivalent Weightage]],"")</f>
        <v>3.8461538461538312E-3</v>
      </c>
      <c r="X1044" s="473" t="s">
        <v>294</v>
      </c>
      <c r="Y1044" s="474" t="s">
        <v>84</v>
      </c>
      <c r="Z1044" s="102">
        <v>39065.040000000001</v>
      </c>
      <c r="AA1044" s="468">
        <f>(Table6[[#This Row],[Paired WTG Generation for loss calculation]]/24)*Table6[[#This Row],[Breakdown Time]]</f>
        <v>162.77099999999942</v>
      </c>
      <c r="AB1044" s="102"/>
      <c r="AC1044" s="35"/>
      <c r="AD1044" s="35"/>
    </row>
    <row r="1045" spans="1:30">
      <c r="A1045" s="102">
        <f t="shared" si="17"/>
        <v>1044</v>
      </c>
      <c r="B1045" s="468">
        <f>YEAR(Table6[[#This Row],[Date]])+IF(MONTH(Table6[[#This Row],[Date]])&gt;=4,1,0)</f>
        <v>2026</v>
      </c>
      <c r="C1045" s="102">
        <f>YEAR(Table6[[#This Row],[Date]])</f>
        <v>2025</v>
      </c>
      <c r="D1045" s="102" t="s">
        <v>1992</v>
      </c>
      <c r="E1045" s="469">
        <f>Table6[[#This Row],[Date]]-DAY(Table6[[#This Row],[Date]])+1</f>
        <v>45809</v>
      </c>
      <c r="F1045" s="470">
        <v>45811</v>
      </c>
      <c r="G1045" s="35" t="s">
        <v>96</v>
      </c>
      <c r="H1045" s="35" t="str">
        <f>IFERROR(_xlfn.XLOOKUP(Table6[[#This Row],[Affected WTG]],'Basic Data'!$A:$A,'Basic Data'!$B:$B),"")</f>
        <v>TQGXIIPL</v>
      </c>
      <c r="I1045" s="35" t="str">
        <f>IFERROR(_xlfn.XLOOKUP(Table6[[#This Row],[Affected WTG]],'Basic Data'!$A:$A,'Basic Data'!$C:$C),"")</f>
        <v>GEDA</v>
      </c>
      <c r="J1045" s="471">
        <f>IFERROR(_xlfn.XLOOKUP(Table6[[#This Row],[Affected WTG]],'Basic Data'!$A:$A,'Basic Data'!$E:$E),"")</f>
        <v>3.846153846153845E-2</v>
      </c>
      <c r="K1045" s="102">
        <v>5700</v>
      </c>
      <c r="L1045" s="35" t="str">
        <f>IFERROR(_xlfn.XLOOKUP(Table6[[#This Row],[Error Code]],'Basic Data'!$AA:$AA,'Basic Data'!$AB:$AB),"Incorrect Error Code")</f>
        <v>Max. operation time hydraulic</v>
      </c>
      <c r="M1045" s="35" t="s">
        <v>291</v>
      </c>
      <c r="N1045" s="475"/>
      <c r="O1045" s="476">
        <v>0.47013888888888888</v>
      </c>
      <c r="P1045" s="476">
        <v>0.47013888888888888</v>
      </c>
      <c r="Q1045" s="477">
        <v>0.47361111111111109</v>
      </c>
      <c r="R1045" s="472">
        <f>IF(Table6[[#This Row],[Work Start TimeStamp]]="","",(Table6[[#This Row],[Work Start TimeStamp]]-Table6[[#This Row],[Fault Start TimeStamp]])*24)</f>
        <v>0</v>
      </c>
      <c r="S1045" s="472">
        <f>(Table6[[#This Row],[Fault Clearance time]]-Table6[[#This Row],[Work Start TimeStamp]])*24</f>
        <v>8.3333333333333037E-2</v>
      </c>
      <c r="T1045" s="472">
        <f>(Table6[[#This Row],[Fault Clearance time]]-Table6[[#This Row],[Fault Start TimeStamp]])*24</f>
        <v>8.3333333333333037E-2</v>
      </c>
      <c r="U1045" s="35" t="s">
        <v>1924</v>
      </c>
      <c r="V1045" s="102" t="s">
        <v>293</v>
      </c>
      <c r="W1045" s="478">
        <f>IFERROR(Table6[[#This Row],[Breakdown Time]]*Table6[[#This Row],[Plant Equivalent Weightage]],"")</f>
        <v>3.2051282051281929E-3</v>
      </c>
      <c r="X1045" s="473" t="s">
        <v>294</v>
      </c>
      <c r="Y1045" s="474" t="s">
        <v>84</v>
      </c>
      <c r="Z1045" s="102">
        <v>39065.040000000001</v>
      </c>
      <c r="AA1045" s="468">
        <f>(Table6[[#This Row],[Paired WTG Generation for loss calculation]]/24)*Table6[[#This Row],[Breakdown Time]]</f>
        <v>135.64249999999953</v>
      </c>
      <c r="AB1045" s="102"/>
      <c r="AC1045" s="35"/>
      <c r="AD1045" s="35"/>
    </row>
    <row r="1046" spans="1:30">
      <c r="A1046" s="102">
        <f t="shared" si="17"/>
        <v>1045</v>
      </c>
      <c r="B1046" s="468">
        <f>YEAR(Table6[[#This Row],[Date]])+IF(MONTH(Table6[[#This Row],[Date]])&gt;=4,1,0)</f>
        <v>2026</v>
      </c>
      <c r="C1046" s="102">
        <f>YEAR(Table6[[#This Row],[Date]])</f>
        <v>2025</v>
      </c>
      <c r="D1046" s="102" t="s">
        <v>1992</v>
      </c>
      <c r="E1046" s="469">
        <f>Table6[[#This Row],[Date]]-DAY(Table6[[#This Row],[Date]])+1</f>
        <v>45809</v>
      </c>
      <c r="F1046" s="470">
        <v>45811</v>
      </c>
      <c r="G1046" s="35" t="s">
        <v>97</v>
      </c>
      <c r="H1046" s="35" t="str">
        <f>IFERROR(_xlfn.XLOOKUP(Table6[[#This Row],[Affected WTG]],'Basic Data'!$A:$A,'Basic Data'!$B:$B),"")</f>
        <v>TQGXIIPL</v>
      </c>
      <c r="I1046" s="35" t="str">
        <f>IFERROR(_xlfn.XLOOKUP(Table6[[#This Row],[Affected WTG]],'Basic Data'!$A:$A,'Basic Data'!$C:$C),"")</f>
        <v>GEDA</v>
      </c>
      <c r="J1046" s="471">
        <f>IFERROR(_xlfn.XLOOKUP(Table6[[#This Row],[Affected WTG]],'Basic Data'!$A:$A,'Basic Data'!$E:$E),"")</f>
        <v>3.846153846153845E-2</v>
      </c>
      <c r="K1046" s="102">
        <v>4970</v>
      </c>
      <c r="L1046" s="35" t="str">
        <f>IFERROR(_xlfn.XLOOKUP(Table6[[#This Row],[Error Code]],'Basic Data'!$AA:$AA,'Basic Data'!$AB:$AB),"Incorrect Error Code")</f>
        <v>Tower oscillation XF</v>
      </c>
      <c r="M1046" s="35" t="s">
        <v>292</v>
      </c>
      <c r="N1046" s="475"/>
      <c r="O1046" s="476">
        <v>0.65069444444444446</v>
      </c>
      <c r="P1046" s="476">
        <v>0.65069444444444446</v>
      </c>
      <c r="Q1046" s="477">
        <v>0.66180555555555565</v>
      </c>
      <c r="R1046" s="472">
        <f>IF(Table6[[#This Row],[Work Start TimeStamp]]="","",(Table6[[#This Row],[Work Start TimeStamp]]-Table6[[#This Row],[Fault Start TimeStamp]])*24)</f>
        <v>0</v>
      </c>
      <c r="S1046" s="472">
        <f>(Table6[[#This Row],[Fault Clearance time]]-Table6[[#This Row],[Work Start TimeStamp]])*24</f>
        <v>0.26666666666666838</v>
      </c>
      <c r="T1046" s="472">
        <f>(Table6[[#This Row],[Fault Clearance time]]-Table6[[#This Row],[Fault Start TimeStamp]])*24</f>
        <v>0.26666666666666838</v>
      </c>
      <c r="U1046" s="35" t="s">
        <v>336</v>
      </c>
      <c r="V1046" s="102" t="s">
        <v>293</v>
      </c>
      <c r="W1046" s="478">
        <f>IFERROR(Table6[[#This Row],[Breakdown Time]]*Table6[[#This Row],[Plant Equivalent Weightage]],"")</f>
        <v>1.0256410256410319E-2</v>
      </c>
      <c r="X1046" s="473" t="s">
        <v>294</v>
      </c>
      <c r="Y1046" s="474" t="s">
        <v>93</v>
      </c>
      <c r="Z1046" s="102">
        <v>42388.08</v>
      </c>
      <c r="AA1046" s="468">
        <f>(Table6[[#This Row],[Paired WTG Generation for loss calculation]]/24)*Table6[[#This Row],[Breakdown Time]]</f>
        <v>470.97866666666971</v>
      </c>
      <c r="AB1046" s="102"/>
      <c r="AC1046" s="35"/>
      <c r="AD1046" s="35"/>
    </row>
    <row r="1047" spans="1:30">
      <c r="A1047" s="102">
        <f t="shared" si="17"/>
        <v>1046</v>
      </c>
      <c r="B1047" s="468">
        <f>YEAR(Table6[[#This Row],[Date]])+IF(MONTH(Table6[[#This Row],[Date]])&gt;=4,1,0)</f>
        <v>2026</v>
      </c>
      <c r="C1047" s="102">
        <f>YEAR(Table6[[#This Row],[Date]])</f>
        <v>2025</v>
      </c>
      <c r="D1047" s="102" t="s">
        <v>1992</v>
      </c>
      <c r="E1047" s="469">
        <f>Table6[[#This Row],[Date]]-DAY(Table6[[#This Row],[Date]])+1</f>
        <v>45809</v>
      </c>
      <c r="F1047" s="470">
        <v>45811</v>
      </c>
      <c r="G1047" s="35" t="s">
        <v>98</v>
      </c>
      <c r="H1047" s="35" t="str">
        <f>IFERROR(_xlfn.XLOOKUP(Table6[[#This Row],[Affected WTG]],'Basic Data'!$A:$A,'Basic Data'!$B:$B),"")</f>
        <v>TQGXIIPL</v>
      </c>
      <c r="I1047" s="35" t="str">
        <f>IFERROR(_xlfn.XLOOKUP(Table6[[#This Row],[Affected WTG]],'Basic Data'!$A:$A,'Basic Data'!$C:$C),"")</f>
        <v>GEDA</v>
      </c>
      <c r="J1047" s="471">
        <f>IFERROR(_xlfn.XLOOKUP(Table6[[#This Row],[Affected WTG]],'Basic Data'!$A:$A,'Basic Data'!$E:$E),"")</f>
        <v>3.846153846153845E-2</v>
      </c>
      <c r="K1047" s="102">
        <v>6130</v>
      </c>
      <c r="L1047" s="35" t="str">
        <f>IFERROR(_xlfn.XLOOKUP(Table6[[#This Row],[Error Code]],'Basic Data'!$AA:$AA,'Basic Data'!$AB:$AB),"Incorrect Error Code")</f>
        <v>Yaw speed high</v>
      </c>
      <c r="M1047" s="35" t="s">
        <v>292</v>
      </c>
      <c r="N1047" s="475"/>
      <c r="O1047" s="476">
        <v>0.55208333333333337</v>
      </c>
      <c r="P1047" s="476">
        <v>0.55208333333333337</v>
      </c>
      <c r="Q1047" s="477">
        <v>0.55625000000000002</v>
      </c>
      <c r="R1047" s="472">
        <f>IF(Table6[[#This Row],[Work Start TimeStamp]]="","",(Table6[[#This Row],[Work Start TimeStamp]]-Table6[[#This Row],[Fault Start TimeStamp]])*24)</f>
        <v>0</v>
      </c>
      <c r="S1047" s="472">
        <f>(Table6[[#This Row],[Fault Clearance time]]-Table6[[#This Row],[Work Start TimeStamp]])*24</f>
        <v>9.9999999999999645E-2</v>
      </c>
      <c r="T1047" s="472">
        <f>(Table6[[#This Row],[Fault Clearance time]]-Table6[[#This Row],[Fault Start TimeStamp]])*24</f>
        <v>9.9999999999999645E-2</v>
      </c>
      <c r="U1047" s="35" t="s">
        <v>336</v>
      </c>
      <c r="V1047" s="102" t="s">
        <v>293</v>
      </c>
      <c r="W1047" s="478">
        <f>IFERROR(Table6[[#This Row],[Breakdown Time]]*Table6[[#This Row],[Plant Equivalent Weightage]],"")</f>
        <v>3.8461538461538312E-3</v>
      </c>
      <c r="X1047" s="473" t="s">
        <v>294</v>
      </c>
      <c r="Y1047" s="474" t="s">
        <v>74</v>
      </c>
      <c r="Z1047" s="102">
        <v>39300.479999999996</v>
      </c>
      <c r="AA1047" s="468">
        <f>(Table6[[#This Row],[Paired WTG Generation for loss calculation]]/24)*Table6[[#This Row],[Breakdown Time]]</f>
        <v>163.75199999999938</v>
      </c>
      <c r="AB1047" s="102"/>
      <c r="AC1047" s="35"/>
      <c r="AD1047" s="35"/>
    </row>
    <row r="1048" spans="1:30">
      <c r="A1048" s="102">
        <f t="shared" si="17"/>
        <v>1047</v>
      </c>
      <c r="B1048" s="468">
        <f>YEAR(Table6[[#This Row],[Date]])+IF(MONTH(Table6[[#This Row],[Date]])&gt;=4,1,0)</f>
        <v>2026</v>
      </c>
      <c r="C1048" s="102">
        <f>YEAR(Table6[[#This Row],[Date]])</f>
        <v>2025</v>
      </c>
      <c r="D1048" s="102" t="s">
        <v>1992</v>
      </c>
      <c r="E1048" s="469">
        <f>Table6[[#This Row],[Date]]-DAY(Table6[[#This Row],[Date]])+1</f>
        <v>45809</v>
      </c>
      <c r="F1048" s="470">
        <v>45811</v>
      </c>
      <c r="G1048" s="35" t="s">
        <v>99</v>
      </c>
      <c r="H1048" s="35" t="str">
        <f>IFERROR(_xlfn.XLOOKUP(Table6[[#This Row],[Affected WTG]],'Basic Data'!$A:$A,'Basic Data'!$B:$B),"")</f>
        <v>TQGXIIPL</v>
      </c>
      <c r="I1048" s="35" t="str">
        <f>IFERROR(_xlfn.XLOOKUP(Table6[[#This Row],[Affected WTG]],'Basic Data'!$A:$A,'Basic Data'!$C:$C),"")</f>
        <v>GEDA</v>
      </c>
      <c r="J1048" s="471">
        <f>IFERROR(_xlfn.XLOOKUP(Table6[[#This Row],[Affected WTG]],'Basic Data'!$A:$A,'Basic Data'!$E:$E),"")</f>
        <v>3.846153846153845E-2</v>
      </c>
      <c r="K1048" s="102">
        <v>4970</v>
      </c>
      <c r="L1048" s="35" t="str">
        <f>IFERROR(_xlfn.XLOOKUP(Table6[[#This Row],[Error Code]],'Basic Data'!$AA:$AA,'Basic Data'!$AB:$AB),"Incorrect Error Code")</f>
        <v>Tower oscillation XF</v>
      </c>
      <c r="M1048" s="35" t="s">
        <v>292</v>
      </c>
      <c r="N1048" s="475"/>
      <c r="O1048" s="476">
        <v>0.47222222222222221</v>
      </c>
      <c r="P1048" s="476">
        <v>0.47222222222222221</v>
      </c>
      <c r="Q1048" s="477">
        <v>0.48333333333333334</v>
      </c>
      <c r="R1048" s="472">
        <f>IF(Table6[[#This Row],[Work Start TimeStamp]]="","",(Table6[[#This Row],[Work Start TimeStamp]]-Table6[[#This Row],[Fault Start TimeStamp]])*24)</f>
        <v>0</v>
      </c>
      <c r="S1048" s="472">
        <f>(Table6[[#This Row],[Fault Clearance time]]-Table6[[#This Row],[Work Start TimeStamp]])*24</f>
        <v>0.26666666666666705</v>
      </c>
      <c r="T1048" s="472">
        <f>(Table6[[#This Row],[Fault Clearance time]]-Table6[[#This Row],[Fault Start TimeStamp]])*24</f>
        <v>0.26666666666666705</v>
      </c>
      <c r="U1048" s="35" t="s">
        <v>336</v>
      </c>
      <c r="V1048" s="102" t="s">
        <v>293</v>
      </c>
      <c r="W1048" s="478">
        <f>IFERROR(Table6[[#This Row],[Breakdown Time]]*Table6[[#This Row],[Plant Equivalent Weightage]],"")</f>
        <v>1.0256410256410269E-2</v>
      </c>
      <c r="X1048" s="473" t="s">
        <v>294</v>
      </c>
      <c r="Y1048" s="474" t="s">
        <v>74</v>
      </c>
      <c r="Z1048" s="102">
        <v>39300.479999999996</v>
      </c>
      <c r="AA1048" s="468">
        <f>(Table6[[#This Row],[Paired WTG Generation for loss calculation]]/24)*Table6[[#This Row],[Breakdown Time]]</f>
        <v>436.67200000000054</v>
      </c>
      <c r="AB1048" s="102"/>
      <c r="AC1048" s="35"/>
      <c r="AD1048" s="35"/>
    </row>
    <row r="1049" spans="1:30">
      <c r="A1049" s="102">
        <f t="shared" si="17"/>
        <v>1048</v>
      </c>
      <c r="B1049" s="468">
        <f>YEAR(Table6[[#This Row],[Date]])+IF(MONTH(Table6[[#This Row],[Date]])&gt;=4,1,0)</f>
        <v>2026</v>
      </c>
      <c r="C1049" s="102">
        <f>YEAR(Table6[[#This Row],[Date]])</f>
        <v>2025</v>
      </c>
      <c r="D1049" s="102" t="s">
        <v>1992</v>
      </c>
      <c r="E1049" s="469">
        <f>Table6[[#This Row],[Date]]-DAY(Table6[[#This Row],[Date]])+1</f>
        <v>45809</v>
      </c>
      <c r="F1049" s="470">
        <v>45811</v>
      </c>
      <c r="G1049" s="35" t="s">
        <v>99</v>
      </c>
      <c r="H1049" s="35" t="str">
        <f>IFERROR(_xlfn.XLOOKUP(Table6[[#This Row],[Affected WTG]],'Basic Data'!$A:$A,'Basic Data'!$B:$B),"")</f>
        <v>TQGXIIPL</v>
      </c>
      <c r="I1049" s="35" t="str">
        <f>IFERROR(_xlfn.XLOOKUP(Table6[[#This Row],[Affected WTG]],'Basic Data'!$A:$A,'Basic Data'!$C:$C),"")</f>
        <v>GEDA</v>
      </c>
      <c r="J1049" s="471">
        <f>IFERROR(_xlfn.XLOOKUP(Table6[[#This Row],[Affected WTG]],'Basic Data'!$A:$A,'Basic Data'!$E:$E),"")</f>
        <v>3.846153846153845E-2</v>
      </c>
      <c r="K1049" s="102">
        <v>6130</v>
      </c>
      <c r="L1049" s="35" t="str">
        <f>IFERROR(_xlfn.XLOOKUP(Table6[[#This Row],[Error Code]],'Basic Data'!$AA:$AA,'Basic Data'!$AB:$AB),"Incorrect Error Code")</f>
        <v>Yaw speed high</v>
      </c>
      <c r="M1049" s="35" t="s">
        <v>292</v>
      </c>
      <c r="N1049" s="475"/>
      <c r="O1049" s="476">
        <v>0.59027777777777779</v>
      </c>
      <c r="P1049" s="476">
        <v>0.59027777777777779</v>
      </c>
      <c r="Q1049" s="477">
        <v>0.59444444444444444</v>
      </c>
      <c r="R1049" s="472">
        <f>IF(Table6[[#This Row],[Work Start TimeStamp]]="","",(Table6[[#This Row],[Work Start TimeStamp]]-Table6[[#This Row],[Fault Start TimeStamp]])*24)</f>
        <v>0</v>
      </c>
      <c r="S1049" s="472">
        <f>(Table6[[#This Row],[Fault Clearance time]]-Table6[[#This Row],[Work Start TimeStamp]])*24</f>
        <v>9.9999999999999645E-2</v>
      </c>
      <c r="T1049" s="472">
        <f>(Table6[[#This Row],[Fault Clearance time]]-Table6[[#This Row],[Fault Start TimeStamp]])*24</f>
        <v>9.9999999999999645E-2</v>
      </c>
      <c r="U1049" s="35" t="s">
        <v>336</v>
      </c>
      <c r="V1049" s="102" t="s">
        <v>293</v>
      </c>
      <c r="W1049" s="478">
        <f>IFERROR(Table6[[#This Row],[Breakdown Time]]*Table6[[#This Row],[Plant Equivalent Weightage]],"")</f>
        <v>3.8461538461538312E-3</v>
      </c>
      <c r="X1049" s="473" t="s">
        <v>294</v>
      </c>
      <c r="Y1049" s="474" t="s">
        <v>74</v>
      </c>
      <c r="Z1049" s="102">
        <v>39300.479999999996</v>
      </c>
      <c r="AA1049" s="468">
        <f>(Table6[[#This Row],[Paired WTG Generation for loss calculation]]/24)*Table6[[#This Row],[Breakdown Time]]</f>
        <v>163.75199999999938</v>
      </c>
      <c r="AB1049" s="102"/>
      <c r="AC1049" s="35"/>
      <c r="AD1049" s="35"/>
    </row>
    <row r="1050" spans="1:30">
      <c r="A1050" s="102">
        <f t="shared" si="17"/>
        <v>1049</v>
      </c>
      <c r="B1050" s="468">
        <f>YEAR(Table6[[#This Row],[Date]])+IF(MONTH(Table6[[#This Row],[Date]])&gt;=4,1,0)</f>
        <v>2026</v>
      </c>
      <c r="C1050" s="102">
        <f>YEAR(Table6[[#This Row],[Date]])</f>
        <v>2025</v>
      </c>
      <c r="D1050" s="102" t="s">
        <v>1992</v>
      </c>
      <c r="E1050" s="469">
        <f>Table6[[#This Row],[Date]]-DAY(Table6[[#This Row],[Date]])+1</f>
        <v>45809</v>
      </c>
      <c r="F1050" s="470">
        <v>45812</v>
      </c>
      <c r="G1050" s="35" t="s">
        <v>77</v>
      </c>
      <c r="H1050" s="35" t="str">
        <f>IFERROR(_xlfn.XLOOKUP(Table6[[#This Row],[Affected WTG]],'Basic Data'!$A:$A,'Basic Data'!$B:$B),"")</f>
        <v>TQGXIIPL</v>
      </c>
      <c r="I1050" s="35" t="str">
        <f>IFERROR(_xlfn.XLOOKUP(Table6[[#This Row],[Affected WTG]],'Basic Data'!$A:$A,'Basic Data'!$C:$C),"")</f>
        <v>GEDA</v>
      </c>
      <c r="J1050" s="471">
        <f>IFERROR(_xlfn.XLOOKUP(Table6[[#This Row],[Affected WTG]],'Basic Data'!$A:$A,'Basic Data'!$E:$E),"")</f>
        <v>3.846153846153845E-2</v>
      </c>
      <c r="K1050" s="102">
        <v>177</v>
      </c>
      <c r="L1050" s="35" t="str">
        <f>IFERROR(_xlfn.XLOOKUP(Table6[[#This Row],[Error Code]],'Basic Data'!$AA:$AA,'Basic Data'!$AB:$AB),"Incorrect Error Code")</f>
        <v>SLC MF blade regulation control</v>
      </c>
      <c r="M1050" s="35" t="s">
        <v>291</v>
      </c>
      <c r="N1050" s="475"/>
      <c r="O1050" s="476">
        <v>0.38541666666666669</v>
      </c>
      <c r="P1050" s="476">
        <v>0.38541666666666669</v>
      </c>
      <c r="Q1050" s="477">
        <v>0.38750000000000001</v>
      </c>
      <c r="R1050" s="472">
        <f>IF(Table6[[#This Row],[Work Start TimeStamp]]="","",(Table6[[#This Row],[Work Start TimeStamp]]-Table6[[#This Row],[Fault Start TimeStamp]])*24)</f>
        <v>0</v>
      </c>
      <c r="S1050" s="472">
        <f>(Table6[[#This Row],[Fault Clearance time]]-Table6[[#This Row],[Work Start TimeStamp]])*24</f>
        <v>4.9999999999999822E-2</v>
      </c>
      <c r="T1050" s="472">
        <f>(Table6[[#This Row],[Fault Clearance time]]-Table6[[#This Row],[Fault Start TimeStamp]])*24</f>
        <v>4.9999999999999822E-2</v>
      </c>
      <c r="U1050" s="35" t="s">
        <v>1924</v>
      </c>
      <c r="V1050" s="102" t="s">
        <v>293</v>
      </c>
      <c r="W1050" s="478">
        <f>IFERROR(Table6[[#This Row],[Breakdown Time]]*Table6[[#This Row],[Plant Equivalent Weightage]],"")</f>
        <v>1.9230769230769156E-3</v>
      </c>
      <c r="X1050" s="473" t="s">
        <v>294</v>
      </c>
      <c r="Y1050" s="474" t="s">
        <v>80</v>
      </c>
      <c r="Z1050" s="102">
        <v>24286</v>
      </c>
      <c r="AA1050" s="468">
        <f>(Table6[[#This Row],[Paired WTG Generation for loss calculation]]/24)*Table6[[#This Row],[Breakdown Time]]</f>
        <v>50.595833333333154</v>
      </c>
      <c r="AB1050" s="102"/>
      <c r="AC1050" s="35"/>
      <c r="AD1050" s="35"/>
    </row>
    <row r="1051" spans="1:30">
      <c r="A1051" s="102">
        <f t="shared" si="17"/>
        <v>1050</v>
      </c>
      <c r="B1051" s="468">
        <f>YEAR(Table6[[#This Row],[Date]])+IF(MONTH(Table6[[#This Row],[Date]])&gt;=4,1,0)</f>
        <v>2026</v>
      </c>
      <c r="C1051" s="102">
        <f>YEAR(Table6[[#This Row],[Date]])</f>
        <v>2025</v>
      </c>
      <c r="D1051" s="102" t="s">
        <v>1992</v>
      </c>
      <c r="E1051" s="469">
        <f>Table6[[#This Row],[Date]]-DAY(Table6[[#This Row],[Date]])+1</f>
        <v>45809</v>
      </c>
      <c r="F1051" s="470">
        <v>45812</v>
      </c>
      <c r="G1051" s="35" t="s">
        <v>77</v>
      </c>
      <c r="H1051" s="35" t="str">
        <f>IFERROR(_xlfn.XLOOKUP(Table6[[#This Row],[Affected WTG]],'Basic Data'!$A:$A,'Basic Data'!$B:$B),"")</f>
        <v>TQGXIIPL</v>
      </c>
      <c r="I1051" s="35" t="str">
        <f>IFERROR(_xlfn.XLOOKUP(Table6[[#This Row],[Affected WTG]],'Basic Data'!$A:$A,'Basic Data'!$C:$C),"")</f>
        <v>GEDA</v>
      </c>
      <c r="J1051" s="471">
        <f>IFERROR(_xlfn.XLOOKUP(Table6[[#This Row],[Affected WTG]],'Basic Data'!$A:$A,'Basic Data'!$E:$E),"")</f>
        <v>3.846153846153845E-2</v>
      </c>
      <c r="K1051" s="102">
        <v>6130</v>
      </c>
      <c r="L1051" s="35" t="str">
        <f>IFERROR(_xlfn.XLOOKUP(Table6[[#This Row],[Error Code]],'Basic Data'!$AA:$AA,'Basic Data'!$AB:$AB),"Incorrect Error Code")</f>
        <v>Yaw speed high</v>
      </c>
      <c r="M1051" s="35" t="s">
        <v>291</v>
      </c>
      <c r="N1051" s="475"/>
      <c r="O1051" s="476">
        <v>0.60763888888888884</v>
      </c>
      <c r="P1051" s="476">
        <v>0.60763888888888884</v>
      </c>
      <c r="Q1051" s="477">
        <v>0.60833333333333328</v>
      </c>
      <c r="R1051" s="472">
        <f>IF(Table6[[#This Row],[Work Start TimeStamp]]="","",(Table6[[#This Row],[Work Start TimeStamp]]-Table6[[#This Row],[Fault Start TimeStamp]])*24)</f>
        <v>0</v>
      </c>
      <c r="S1051" s="472">
        <f>(Table6[[#This Row],[Fault Clearance time]]-Table6[[#This Row],[Work Start TimeStamp]])*24</f>
        <v>1.6666666666666607E-2</v>
      </c>
      <c r="T1051" s="472">
        <f>(Table6[[#This Row],[Fault Clearance time]]-Table6[[#This Row],[Fault Start TimeStamp]])*24</f>
        <v>1.6666666666666607E-2</v>
      </c>
      <c r="U1051" s="35" t="s">
        <v>1924</v>
      </c>
      <c r="V1051" s="102" t="s">
        <v>293</v>
      </c>
      <c r="W1051" s="478">
        <f>IFERROR(Table6[[#This Row],[Breakdown Time]]*Table6[[#This Row],[Plant Equivalent Weightage]],"")</f>
        <v>6.4102564102563853E-4</v>
      </c>
      <c r="X1051" s="473" t="s">
        <v>294</v>
      </c>
      <c r="Y1051" s="474" t="s">
        <v>80</v>
      </c>
      <c r="Z1051" s="102">
        <v>24286</v>
      </c>
      <c r="AA1051" s="468">
        <f>(Table6[[#This Row],[Paired WTG Generation for loss calculation]]/24)*Table6[[#This Row],[Breakdown Time]]</f>
        <v>16.865277777777717</v>
      </c>
      <c r="AB1051" s="102"/>
      <c r="AC1051" s="35"/>
      <c r="AD1051" s="35"/>
    </row>
    <row r="1052" spans="1:30">
      <c r="A1052" s="102">
        <f t="shared" si="17"/>
        <v>1051</v>
      </c>
      <c r="B1052" s="468">
        <f>YEAR(Table6[[#This Row],[Date]])+IF(MONTH(Table6[[#This Row],[Date]])&gt;=4,1,0)</f>
        <v>2026</v>
      </c>
      <c r="C1052" s="102">
        <f>YEAR(Table6[[#This Row],[Date]])</f>
        <v>2025</v>
      </c>
      <c r="D1052" s="102" t="s">
        <v>1992</v>
      </c>
      <c r="E1052" s="469">
        <f>Table6[[#This Row],[Date]]-DAY(Table6[[#This Row],[Date]])+1</f>
        <v>45809</v>
      </c>
      <c r="F1052" s="470">
        <v>45812</v>
      </c>
      <c r="G1052" s="35" t="s">
        <v>78</v>
      </c>
      <c r="H1052" s="35" t="str">
        <f>IFERROR(_xlfn.XLOOKUP(Table6[[#This Row],[Affected WTG]],'Basic Data'!$A:$A,'Basic Data'!$B:$B),"")</f>
        <v>TQGXIIPL</v>
      </c>
      <c r="I1052" s="35" t="str">
        <f>IFERROR(_xlfn.XLOOKUP(Table6[[#This Row],[Affected WTG]],'Basic Data'!$A:$A,'Basic Data'!$C:$C),"")</f>
        <v>GEDA</v>
      </c>
      <c r="J1052" s="471">
        <f>IFERROR(_xlfn.XLOOKUP(Table6[[#This Row],[Affected WTG]],'Basic Data'!$A:$A,'Basic Data'!$E:$E),"")</f>
        <v>3.846153846153845E-2</v>
      </c>
      <c r="K1052" s="102">
        <v>6130</v>
      </c>
      <c r="L1052" s="35" t="str">
        <f>IFERROR(_xlfn.XLOOKUP(Table6[[#This Row],[Error Code]],'Basic Data'!$AA:$AA,'Basic Data'!$AB:$AB),"Incorrect Error Code")</f>
        <v>Yaw speed high</v>
      </c>
      <c r="M1052" s="35" t="s">
        <v>292</v>
      </c>
      <c r="N1052" s="475"/>
      <c r="O1052" s="476">
        <v>0.53055555555555556</v>
      </c>
      <c r="P1052" s="476">
        <v>0.53055555555555556</v>
      </c>
      <c r="Q1052" s="477">
        <v>0.53472222222222221</v>
      </c>
      <c r="R1052" s="472">
        <f>IF(Table6[[#This Row],[Work Start TimeStamp]]="","",(Table6[[#This Row],[Work Start TimeStamp]]-Table6[[#This Row],[Fault Start TimeStamp]])*24)</f>
        <v>0</v>
      </c>
      <c r="S1052" s="472">
        <f>(Table6[[#This Row],[Fault Clearance time]]-Table6[[#This Row],[Work Start TimeStamp]])*24</f>
        <v>9.9999999999999645E-2</v>
      </c>
      <c r="T1052" s="472">
        <f>(Table6[[#This Row],[Fault Clearance time]]-Table6[[#This Row],[Fault Start TimeStamp]])*24</f>
        <v>9.9999999999999645E-2</v>
      </c>
      <c r="U1052" s="35" t="s">
        <v>336</v>
      </c>
      <c r="V1052" s="102" t="s">
        <v>293</v>
      </c>
      <c r="W1052" s="478">
        <f>IFERROR(Table6[[#This Row],[Breakdown Time]]*Table6[[#This Row],[Plant Equivalent Weightage]],"")</f>
        <v>3.8461538461538312E-3</v>
      </c>
      <c r="X1052" s="473" t="s">
        <v>294</v>
      </c>
      <c r="Y1052" s="474" t="s">
        <v>75</v>
      </c>
      <c r="Z1052" s="102">
        <v>25759</v>
      </c>
      <c r="AA1052" s="468">
        <f>(Table6[[#This Row],[Paired WTG Generation for loss calculation]]/24)*Table6[[#This Row],[Breakdown Time]]</f>
        <v>107.3291666666663</v>
      </c>
      <c r="AB1052" s="102"/>
      <c r="AC1052" s="35"/>
      <c r="AD1052" s="35"/>
    </row>
    <row r="1053" spans="1:30">
      <c r="A1053" s="102">
        <f t="shared" si="17"/>
        <v>1052</v>
      </c>
      <c r="B1053" s="468">
        <f>YEAR(Table6[[#This Row],[Date]])+IF(MONTH(Table6[[#This Row],[Date]])&gt;=4,1,0)</f>
        <v>2026</v>
      </c>
      <c r="C1053" s="102">
        <f>YEAR(Table6[[#This Row],[Date]])</f>
        <v>2025</v>
      </c>
      <c r="D1053" s="102" t="s">
        <v>1992</v>
      </c>
      <c r="E1053" s="469">
        <f>Table6[[#This Row],[Date]]-DAY(Table6[[#This Row],[Date]])+1</f>
        <v>45809</v>
      </c>
      <c r="F1053" s="470">
        <v>45812</v>
      </c>
      <c r="G1053" s="35" t="s">
        <v>79</v>
      </c>
      <c r="H1053" s="35" t="str">
        <f>IFERROR(_xlfn.XLOOKUP(Table6[[#This Row],[Affected WTG]],'Basic Data'!$A:$A,'Basic Data'!$B:$B),"")</f>
        <v>TQGXIIPL</v>
      </c>
      <c r="I1053" s="35" t="str">
        <f>IFERROR(_xlfn.XLOOKUP(Table6[[#This Row],[Affected WTG]],'Basic Data'!$A:$A,'Basic Data'!$C:$C),"")</f>
        <v>GEDA</v>
      </c>
      <c r="J1053" s="471">
        <f>IFERROR(_xlfn.XLOOKUP(Table6[[#This Row],[Affected WTG]],'Basic Data'!$A:$A,'Basic Data'!$E:$E),"")</f>
        <v>3.846153846153845E-2</v>
      </c>
      <c r="K1053" s="102">
        <v>4970</v>
      </c>
      <c r="L1053" s="35" t="str">
        <f>IFERROR(_xlfn.XLOOKUP(Table6[[#This Row],[Error Code]],'Basic Data'!$AA:$AA,'Basic Data'!$AB:$AB),"Incorrect Error Code")</f>
        <v>Tower oscillation XF</v>
      </c>
      <c r="M1053" s="35" t="s">
        <v>292</v>
      </c>
      <c r="N1053" s="475"/>
      <c r="O1053" s="476">
        <v>0.60277777777777775</v>
      </c>
      <c r="P1053" s="476">
        <v>0.60277777777777775</v>
      </c>
      <c r="Q1053" s="477">
        <v>0.61388888888888893</v>
      </c>
      <c r="R1053" s="472">
        <f>IF(Table6[[#This Row],[Work Start TimeStamp]]="","",(Table6[[#This Row],[Work Start TimeStamp]]-Table6[[#This Row],[Fault Start TimeStamp]])*24)</f>
        <v>0</v>
      </c>
      <c r="S1053" s="472">
        <f>(Table6[[#This Row],[Fault Clearance time]]-Table6[[#This Row],[Work Start TimeStamp]])*24</f>
        <v>0.26666666666666838</v>
      </c>
      <c r="T1053" s="472">
        <f>(Table6[[#This Row],[Fault Clearance time]]-Table6[[#This Row],[Fault Start TimeStamp]])*24</f>
        <v>0.26666666666666838</v>
      </c>
      <c r="U1053" s="35" t="s">
        <v>336</v>
      </c>
      <c r="V1053" s="102" t="s">
        <v>293</v>
      </c>
      <c r="W1053" s="478">
        <f>IFERROR(Table6[[#This Row],[Breakdown Time]]*Table6[[#This Row],[Plant Equivalent Weightage]],"")</f>
        <v>1.0256410256410319E-2</v>
      </c>
      <c r="X1053" s="473" t="s">
        <v>294</v>
      </c>
      <c r="Y1053" s="474" t="s">
        <v>94</v>
      </c>
      <c r="Z1053" s="102">
        <v>26598</v>
      </c>
      <c r="AA1053" s="468">
        <f>(Table6[[#This Row],[Paired WTG Generation for loss calculation]]/24)*Table6[[#This Row],[Breakdown Time]]</f>
        <v>295.53333333333524</v>
      </c>
      <c r="AB1053" s="102"/>
      <c r="AC1053" s="35"/>
      <c r="AD1053" s="35"/>
    </row>
    <row r="1054" spans="1:30">
      <c r="A1054" s="102">
        <f t="shared" si="17"/>
        <v>1053</v>
      </c>
      <c r="B1054" s="468">
        <f>YEAR(Table6[[#This Row],[Date]])+IF(MONTH(Table6[[#This Row],[Date]])&gt;=4,1,0)</f>
        <v>2026</v>
      </c>
      <c r="C1054" s="102">
        <f>YEAR(Table6[[#This Row],[Date]])</f>
        <v>2025</v>
      </c>
      <c r="D1054" s="102" t="s">
        <v>1992</v>
      </c>
      <c r="E1054" s="469">
        <f>Table6[[#This Row],[Date]]-DAY(Table6[[#This Row],[Date]])+1</f>
        <v>45809</v>
      </c>
      <c r="F1054" s="470">
        <v>45812</v>
      </c>
      <c r="G1054" s="35" t="s">
        <v>79</v>
      </c>
      <c r="H1054" s="35" t="str">
        <f>IFERROR(_xlfn.XLOOKUP(Table6[[#This Row],[Affected WTG]],'Basic Data'!$A:$A,'Basic Data'!$B:$B),"")</f>
        <v>TQGXIIPL</v>
      </c>
      <c r="I1054" s="35" t="str">
        <f>IFERROR(_xlfn.XLOOKUP(Table6[[#This Row],[Affected WTG]],'Basic Data'!$A:$A,'Basic Data'!$C:$C),"")</f>
        <v>GEDA</v>
      </c>
      <c r="J1054" s="471">
        <f>IFERROR(_xlfn.XLOOKUP(Table6[[#This Row],[Affected WTG]],'Basic Data'!$A:$A,'Basic Data'!$E:$E),"")</f>
        <v>3.846153846153845E-2</v>
      </c>
      <c r="K1054" s="102">
        <v>55</v>
      </c>
      <c r="L1054" s="35" t="str">
        <f>IFERROR(_xlfn.XLOOKUP(Table6[[#This Row],[Error Code]],'Basic Data'!$AA:$AA,'Basic Data'!$AB:$AB),"Incorrect Error Code")</f>
        <v>WTG shut down</v>
      </c>
      <c r="M1054" s="35" t="s">
        <v>291</v>
      </c>
      <c r="N1054" s="475"/>
      <c r="O1054" s="476">
        <v>0.64513888888888893</v>
      </c>
      <c r="P1054" s="476">
        <v>0.64513888888888893</v>
      </c>
      <c r="Q1054" s="477">
        <v>0.65138888888888891</v>
      </c>
      <c r="R1054" s="472">
        <f>IF(Table6[[#This Row],[Work Start TimeStamp]]="","",(Table6[[#This Row],[Work Start TimeStamp]]-Table6[[#This Row],[Fault Start TimeStamp]])*24)</f>
        <v>0</v>
      </c>
      <c r="S1054" s="472">
        <f>(Table6[[#This Row],[Fault Clearance time]]-Table6[[#This Row],[Work Start TimeStamp]])*24</f>
        <v>0.14999999999999947</v>
      </c>
      <c r="T1054" s="472">
        <f>(Table6[[#This Row],[Fault Clearance time]]-Table6[[#This Row],[Fault Start TimeStamp]])*24</f>
        <v>0.14999999999999947</v>
      </c>
      <c r="U1054" s="35" t="s">
        <v>1942</v>
      </c>
      <c r="V1054" s="102" t="s">
        <v>293</v>
      </c>
      <c r="W1054" s="478">
        <f>IFERROR(Table6[[#This Row],[Breakdown Time]]*Table6[[#This Row],[Plant Equivalent Weightage]],"")</f>
        <v>5.769230769230747E-3</v>
      </c>
      <c r="X1054" s="473" t="s">
        <v>294</v>
      </c>
      <c r="Y1054" s="474" t="s">
        <v>94</v>
      </c>
      <c r="Z1054" s="102">
        <v>26598</v>
      </c>
      <c r="AA1054" s="468">
        <f>(Table6[[#This Row],[Paired WTG Generation for loss calculation]]/24)*Table6[[#This Row],[Breakdown Time]]</f>
        <v>166.23749999999941</v>
      </c>
      <c r="AB1054" s="102"/>
      <c r="AC1054" s="35"/>
      <c r="AD1054" s="35"/>
    </row>
    <row r="1055" spans="1:30">
      <c r="A1055" s="102">
        <f t="shared" si="17"/>
        <v>1054</v>
      </c>
      <c r="B1055" s="468">
        <f>YEAR(Table6[[#This Row],[Date]])+IF(MONTH(Table6[[#This Row],[Date]])&gt;=4,1,0)</f>
        <v>2026</v>
      </c>
      <c r="C1055" s="102">
        <f>YEAR(Table6[[#This Row],[Date]])</f>
        <v>2025</v>
      </c>
      <c r="D1055" s="102" t="s">
        <v>1992</v>
      </c>
      <c r="E1055" s="469">
        <f>Table6[[#This Row],[Date]]-DAY(Table6[[#This Row],[Date]])+1</f>
        <v>45809</v>
      </c>
      <c r="F1055" s="470">
        <v>45812</v>
      </c>
      <c r="G1055" s="35" t="s">
        <v>81</v>
      </c>
      <c r="H1055" s="35" t="str">
        <f>IFERROR(_xlfn.XLOOKUP(Table6[[#This Row],[Affected WTG]],'Basic Data'!$A:$A,'Basic Data'!$B:$B),"")</f>
        <v>TQGXIIPL</v>
      </c>
      <c r="I1055" s="35" t="str">
        <f>IFERROR(_xlfn.XLOOKUP(Table6[[#This Row],[Affected WTG]],'Basic Data'!$A:$A,'Basic Data'!$C:$C),"")</f>
        <v>GEDA</v>
      </c>
      <c r="J1055" s="471">
        <f>IFERROR(_xlfn.XLOOKUP(Table6[[#This Row],[Affected WTG]],'Basic Data'!$A:$A,'Basic Data'!$E:$E),"")</f>
        <v>3.846153846153845E-2</v>
      </c>
      <c r="K1055" s="102">
        <v>6130</v>
      </c>
      <c r="L1055" s="35" t="str">
        <f>IFERROR(_xlfn.XLOOKUP(Table6[[#This Row],[Error Code]],'Basic Data'!$AA:$AA,'Basic Data'!$AB:$AB),"Incorrect Error Code")</f>
        <v>Yaw speed high</v>
      </c>
      <c r="M1055" s="35" t="s">
        <v>292</v>
      </c>
      <c r="N1055" s="475"/>
      <c r="O1055" s="476">
        <v>0.56041666666666667</v>
      </c>
      <c r="P1055" s="476">
        <v>0.56041666666666667</v>
      </c>
      <c r="Q1055" s="477">
        <v>0.56458333333333333</v>
      </c>
      <c r="R1055" s="472">
        <f>IF(Table6[[#This Row],[Work Start TimeStamp]]="","",(Table6[[#This Row],[Work Start TimeStamp]]-Table6[[#This Row],[Fault Start TimeStamp]])*24)</f>
        <v>0</v>
      </c>
      <c r="S1055" s="472">
        <f>(Table6[[#This Row],[Fault Clearance time]]-Table6[[#This Row],[Work Start TimeStamp]])*24</f>
        <v>9.9999999999999645E-2</v>
      </c>
      <c r="T1055" s="472">
        <f>(Table6[[#This Row],[Fault Clearance time]]-Table6[[#This Row],[Fault Start TimeStamp]])*24</f>
        <v>9.9999999999999645E-2</v>
      </c>
      <c r="U1055" s="35" t="s">
        <v>336</v>
      </c>
      <c r="V1055" s="102" t="s">
        <v>293</v>
      </c>
      <c r="W1055" s="478">
        <f>IFERROR(Table6[[#This Row],[Breakdown Time]]*Table6[[#This Row],[Plant Equivalent Weightage]],"")</f>
        <v>3.8461538461538312E-3</v>
      </c>
      <c r="X1055" s="473" t="s">
        <v>294</v>
      </c>
      <c r="Y1055" s="474" t="s">
        <v>99</v>
      </c>
      <c r="Z1055" s="102">
        <v>26960</v>
      </c>
      <c r="AA1055" s="468">
        <f>(Table6[[#This Row],[Paired WTG Generation for loss calculation]]/24)*Table6[[#This Row],[Breakdown Time]]</f>
        <v>112.33333333333293</v>
      </c>
      <c r="AB1055" s="102"/>
      <c r="AC1055" s="35"/>
      <c r="AD1055" s="35"/>
    </row>
    <row r="1056" spans="1:30">
      <c r="A1056" s="102">
        <f t="shared" si="17"/>
        <v>1055</v>
      </c>
      <c r="B1056" s="468">
        <f>YEAR(Table6[[#This Row],[Date]])+IF(MONTH(Table6[[#This Row],[Date]])&gt;=4,1,0)</f>
        <v>2026</v>
      </c>
      <c r="C1056" s="102">
        <f>YEAR(Table6[[#This Row],[Date]])</f>
        <v>2025</v>
      </c>
      <c r="D1056" s="102" t="s">
        <v>1992</v>
      </c>
      <c r="E1056" s="469">
        <f>Table6[[#This Row],[Date]]-DAY(Table6[[#This Row],[Date]])+1</f>
        <v>45809</v>
      </c>
      <c r="F1056" s="470">
        <v>45812</v>
      </c>
      <c r="G1056" s="35" t="s">
        <v>83</v>
      </c>
      <c r="H1056" s="35" t="str">
        <f>IFERROR(_xlfn.XLOOKUP(Table6[[#This Row],[Affected WTG]],'Basic Data'!$A:$A,'Basic Data'!$B:$B),"")</f>
        <v>TQGXIIPL</v>
      </c>
      <c r="I1056" s="35" t="str">
        <f>IFERROR(_xlfn.XLOOKUP(Table6[[#This Row],[Affected WTG]],'Basic Data'!$A:$A,'Basic Data'!$C:$C),"")</f>
        <v>GEDA</v>
      </c>
      <c r="J1056" s="471">
        <f>IFERROR(_xlfn.XLOOKUP(Table6[[#This Row],[Affected WTG]],'Basic Data'!$A:$A,'Basic Data'!$E:$E),"")</f>
        <v>3.846153846153845E-2</v>
      </c>
      <c r="K1056" s="102">
        <v>4970</v>
      </c>
      <c r="L1056" s="35" t="str">
        <f>IFERROR(_xlfn.XLOOKUP(Table6[[#This Row],[Error Code]],'Basic Data'!$AA:$AA,'Basic Data'!$AB:$AB),"Incorrect Error Code")</f>
        <v>Tower oscillation XF</v>
      </c>
      <c r="M1056" s="35" t="s">
        <v>292</v>
      </c>
      <c r="N1056" s="475"/>
      <c r="O1056" s="476">
        <v>0.46458333333333335</v>
      </c>
      <c r="P1056" s="476">
        <v>0.46458333333333335</v>
      </c>
      <c r="Q1056" s="477">
        <v>0.47569444444444442</v>
      </c>
      <c r="R1056" s="472">
        <f>IF(Table6[[#This Row],[Work Start TimeStamp]]="","",(Table6[[#This Row],[Work Start TimeStamp]]-Table6[[#This Row],[Fault Start TimeStamp]])*24)</f>
        <v>0</v>
      </c>
      <c r="S1056" s="472">
        <f>(Table6[[#This Row],[Fault Clearance time]]-Table6[[#This Row],[Work Start TimeStamp]])*24</f>
        <v>0.26666666666666572</v>
      </c>
      <c r="T1056" s="472">
        <f>(Table6[[#This Row],[Fault Clearance time]]-Table6[[#This Row],[Fault Start TimeStamp]])*24</f>
        <v>0.26666666666666572</v>
      </c>
      <c r="U1056" s="35" t="s">
        <v>336</v>
      </c>
      <c r="V1056" s="102" t="s">
        <v>293</v>
      </c>
      <c r="W1056" s="478">
        <f>IFERROR(Table6[[#This Row],[Breakdown Time]]*Table6[[#This Row],[Plant Equivalent Weightage]],"")</f>
        <v>1.0256410256410217E-2</v>
      </c>
      <c r="X1056" s="473" t="s">
        <v>294</v>
      </c>
      <c r="Y1056" s="474" t="s">
        <v>88</v>
      </c>
      <c r="Z1056" s="102">
        <v>25789</v>
      </c>
      <c r="AA1056" s="468">
        <f>(Table6[[#This Row],[Paired WTG Generation for loss calculation]]/24)*Table6[[#This Row],[Breakdown Time]]</f>
        <v>286.54444444444346</v>
      </c>
      <c r="AB1056" s="102"/>
      <c r="AC1056" s="35"/>
      <c r="AD1056" s="35"/>
    </row>
    <row r="1057" spans="1:30">
      <c r="A1057" s="102">
        <f t="shared" si="17"/>
        <v>1056</v>
      </c>
      <c r="B1057" s="468">
        <f>YEAR(Table6[[#This Row],[Date]])+IF(MONTH(Table6[[#This Row],[Date]])&gt;=4,1,0)</f>
        <v>2026</v>
      </c>
      <c r="C1057" s="102">
        <f>YEAR(Table6[[#This Row],[Date]])</f>
        <v>2025</v>
      </c>
      <c r="D1057" s="102" t="s">
        <v>1992</v>
      </c>
      <c r="E1057" s="469">
        <f>Table6[[#This Row],[Date]]-DAY(Table6[[#This Row],[Date]])+1</f>
        <v>45809</v>
      </c>
      <c r="F1057" s="470">
        <v>45812</v>
      </c>
      <c r="G1057" s="35" t="s">
        <v>83</v>
      </c>
      <c r="H1057" s="35" t="str">
        <f>IFERROR(_xlfn.XLOOKUP(Table6[[#This Row],[Affected WTG]],'Basic Data'!$A:$A,'Basic Data'!$B:$B),"")</f>
        <v>TQGXIIPL</v>
      </c>
      <c r="I1057" s="35" t="str">
        <f>IFERROR(_xlfn.XLOOKUP(Table6[[#This Row],[Affected WTG]],'Basic Data'!$A:$A,'Basic Data'!$C:$C),"")</f>
        <v>GEDA</v>
      </c>
      <c r="J1057" s="471">
        <f>IFERROR(_xlfn.XLOOKUP(Table6[[#This Row],[Affected WTG]],'Basic Data'!$A:$A,'Basic Data'!$E:$E),"")</f>
        <v>3.846153846153845E-2</v>
      </c>
      <c r="K1057" s="102">
        <v>6601</v>
      </c>
      <c r="L1057" s="35" t="str">
        <f>IFERROR(_xlfn.XLOOKUP(Table6[[#This Row],[Error Code]],'Basic Data'!$AA:$AA,'Basic Data'!$AB:$AB),"Incorrect Error Code")</f>
        <v>Wind.dir. diff. level 1</v>
      </c>
      <c r="M1057" s="35" t="s">
        <v>291</v>
      </c>
      <c r="N1057" s="475"/>
      <c r="O1057" s="476">
        <v>0.47569444444444442</v>
      </c>
      <c r="P1057" s="476">
        <v>0.47569444444444442</v>
      </c>
      <c r="Q1057" s="477">
        <v>0.47708333333333336</v>
      </c>
      <c r="R1057" s="472">
        <f>IF(Table6[[#This Row],[Work Start TimeStamp]]="","",(Table6[[#This Row],[Work Start TimeStamp]]-Table6[[#This Row],[Fault Start TimeStamp]])*24)</f>
        <v>0</v>
      </c>
      <c r="S1057" s="472">
        <f>(Table6[[#This Row],[Fault Clearance time]]-Table6[[#This Row],[Work Start TimeStamp]])*24</f>
        <v>3.3333333333334547E-2</v>
      </c>
      <c r="T1057" s="472">
        <f>(Table6[[#This Row],[Fault Clearance time]]-Table6[[#This Row],[Fault Start TimeStamp]])*24</f>
        <v>3.3333333333334547E-2</v>
      </c>
      <c r="U1057" s="35" t="s">
        <v>1924</v>
      </c>
      <c r="V1057" s="102" t="s">
        <v>293</v>
      </c>
      <c r="W1057" s="478">
        <f>IFERROR(Table6[[#This Row],[Breakdown Time]]*Table6[[#This Row],[Plant Equivalent Weightage]],"")</f>
        <v>1.2820512820513285E-3</v>
      </c>
      <c r="X1057" s="473" t="s">
        <v>294</v>
      </c>
      <c r="Y1057" s="474" t="s">
        <v>88</v>
      </c>
      <c r="Z1057" s="102">
        <v>25789</v>
      </c>
      <c r="AA1057" s="468">
        <f>(Table6[[#This Row],[Paired WTG Generation for loss calculation]]/24)*Table6[[#This Row],[Breakdown Time]]</f>
        <v>35.81805555555686</v>
      </c>
      <c r="AB1057" s="102"/>
      <c r="AC1057" s="35"/>
      <c r="AD1057" s="35"/>
    </row>
    <row r="1058" spans="1:30">
      <c r="A1058" s="102">
        <f t="shared" si="17"/>
        <v>1057</v>
      </c>
      <c r="B1058" s="468">
        <f>YEAR(Table6[[#This Row],[Date]])+IF(MONTH(Table6[[#This Row],[Date]])&gt;=4,1,0)</f>
        <v>2026</v>
      </c>
      <c r="C1058" s="102">
        <f>YEAR(Table6[[#This Row],[Date]])</f>
        <v>2025</v>
      </c>
      <c r="D1058" s="102" t="s">
        <v>1992</v>
      </c>
      <c r="E1058" s="469">
        <f>Table6[[#This Row],[Date]]-DAY(Table6[[#This Row],[Date]])+1</f>
        <v>45809</v>
      </c>
      <c r="F1058" s="470">
        <v>45812</v>
      </c>
      <c r="G1058" s="35" t="s">
        <v>88</v>
      </c>
      <c r="H1058" s="35" t="str">
        <f>IFERROR(_xlfn.XLOOKUP(Table6[[#This Row],[Affected WTG]],'Basic Data'!$A:$A,'Basic Data'!$B:$B),"")</f>
        <v>TQGXIIPL</v>
      </c>
      <c r="I1058" s="35" t="str">
        <f>IFERROR(_xlfn.XLOOKUP(Table6[[#This Row],[Affected WTG]],'Basic Data'!$A:$A,'Basic Data'!$C:$C),"")</f>
        <v>GEDA</v>
      </c>
      <c r="J1058" s="471">
        <f>IFERROR(_xlfn.XLOOKUP(Table6[[#This Row],[Affected WTG]],'Basic Data'!$A:$A,'Basic Data'!$E:$E),"")</f>
        <v>3.846153846153845E-2</v>
      </c>
      <c r="K1058" s="102">
        <v>780</v>
      </c>
      <c r="L1058" s="35" t="str">
        <f>IFERROR(_xlfn.XLOOKUP(Table6[[#This Row],[Error Code]],'Basic Data'!$AA:$AA,'Basic Data'!$AB:$AB),"Incorrect Error Code")</f>
        <v>Error bridging start-up</v>
      </c>
      <c r="M1058" s="35" t="s">
        <v>291</v>
      </c>
      <c r="N1058" s="475"/>
      <c r="O1058" s="476">
        <v>0.50763888888888886</v>
      </c>
      <c r="P1058" s="476">
        <v>0.50763888888888886</v>
      </c>
      <c r="Q1058" s="477">
        <v>0.51041666666666663</v>
      </c>
      <c r="R1058" s="472">
        <f>IF(Table6[[#This Row],[Work Start TimeStamp]]="","",(Table6[[#This Row],[Work Start TimeStamp]]-Table6[[#This Row],[Fault Start TimeStamp]])*24)</f>
        <v>0</v>
      </c>
      <c r="S1058" s="472">
        <f>(Table6[[#This Row],[Fault Clearance time]]-Table6[[#This Row],[Work Start TimeStamp]])*24</f>
        <v>6.666666666666643E-2</v>
      </c>
      <c r="T1058" s="472">
        <f>(Table6[[#This Row],[Fault Clearance time]]-Table6[[#This Row],[Fault Start TimeStamp]])*24</f>
        <v>6.666666666666643E-2</v>
      </c>
      <c r="U1058" s="35" t="s">
        <v>1937</v>
      </c>
      <c r="V1058" s="102" t="s">
        <v>293</v>
      </c>
      <c r="W1058" s="478">
        <f>IFERROR(Table6[[#This Row],[Breakdown Time]]*Table6[[#This Row],[Plant Equivalent Weightage]],"")</f>
        <v>2.5641025641025541E-3</v>
      </c>
      <c r="X1058" s="473" t="s">
        <v>294</v>
      </c>
      <c r="Y1058" s="474" t="s">
        <v>83</v>
      </c>
      <c r="Z1058" s="102">
        <v>25043</v>
      </c>
      <c r="AA1058" s="468">
        <f>(Table6[[#This Row],[Paired WTG Generation for loss calculation]]/24)*Table6[[#This Row],[Breakdown Time]]</f>
        <v>69.563888888888641</v>
      </c>
      <c r="AB1058" s="102"/>
      <c r="AC1058" s="35"/>
      <c r="AD1058" s="35"/>
    </row>
    <row r="1059" spans="1:30">
      <c r="A1059" s="102">
        <f t="shared" si="17"/>
        <v>1058</v>
      </c>
      <c r="B1059" s="468">
        <f>YEAR(Table6[[#This Row],[Date]])+IF(MONTH(Table6[[#This Row],[Date]])&gt;=4,1,0)</f>
        <v>2026</v>
      </c>
      <c r="C1059" s="102">
        <f>YEAR(Table6[[#This Row],[Date]])</f>
        <v>2025</v>
      </c>
      <c r="D1059" s="102" t="s">
        <v>1992</v>
      </c>
      <c r="E1059" s="469">
        <f>Table6[[#This Row],[Date]]-DAY(Table6[[#This Row],[Date]])+1</f>
        <v>45809</v>
      </c>
      <c r="F1059" s="470">
        <v>45812</v>
      </c>
      <c r="G1059" s="35" t="s">
        <v>93</v>
      </c>
      <c r="H1059" s="35" t="str">
        <f>IFERROR(_xlfn.XLOOKUP(Table6[[#This Row],[Affected WTG]],'Basic Data'!$A:$A,'Basic Data'!$B:$B),"")</f>
        <v>TQGXIIPL</v>
      </c>
      <c r="I1059" s="35" t="str">
        <f>IFERROR(_xlfn.XLOOKUP(Table6[[#This Row],[Affected WTG]],'Basic Data'!$A:$A,'Basic Data'!$C:$C),"")</f>
        <v>GEDA</v>
      </c>
      <c r="J1059" s="471">
        <f>IFERROR(_xlfn.XLOOKUP(Table6[[#This Row],[Affected WTG]],'Basic Data'!$A:$A,'Basic Data'!$E:$E),"")</f>
        <v>3.846153846153845E-2</v>
      </c>
      <c r="K1059" s="102">
        <v>6130</v>
      </c>
      <c r="L1059" s="35" t="str">
        <f>IFERROR(_xlfn.XLOOKUP(Table6[[#This Row],[Error Code]],'Basic Data'!$AA:$AA,'Basic Data'!$AB:$AB),"Incorrect Error Code")</f>
        <v>Yaw speed high</v>
      </c>
      <c r="M1059" s="35" t="s">
        <v>291</v>
      </c>
      <c r="N1059" s="475"/>
      <c r="O1059" s="476">
        <v>0.64583333333333337</v>
      </c>
      <c r="P1059" s="476">
        <v>0.64583333333333337</v>
      </c>
      <c r="Q1059" s="477">
        <v>0.64861111111111114</v>
      </c>
      <c r="R1059" s="472">
        <f>IF(Table6[[#This Row],[Work Start TimeStamp]]="","",(Table6[[#This Row],[Work Start TimeStamp]]-Table6[[#This Row],[Fault Start TimeStamp]])*24)</f>
        <v>0</v>
      </c>
      <c r="S1059" s="472">
        <f>(Table6[[#This Row],[Fault Clearance time]]-Table6[[#This Row],[Work Start TimeStamp]])*24</f>
        <v>6.666666666666643E-2</v>
      </c>
      <c r="T1059" s="472">
        <f>(Table6[[#This Row],[Fault Clearance time]]-Table6[[#This Row],[Fault Start TimeStamp]])*24</f>
        <v>6.666666666666643E-2</v>
      </c>
      <c r="U1059" s="35" t="s">
        <v>1924</v>
      </c>
      <c r="V1059" s="102" t="s">
        <v>293</v>
      </c>
      <c r="W1059" s="478">
        <f>IFERROR(Table6[[#This Row],[Breakdown Time]]*Table6[[#This Row],[Plant Equivalent Weightage]],"")</f>
        <v>2.5641025641025541E-3</v>
      </c>
      <c r="X1059" s="473" t="s">
        <v>294</v>
      </c>
      <c r="Y1059" s="474" t="s">
        <v>97</v>
      </c>
      <c r="Z1059" s="102">
        <v>27210</v>
      </c>
      <c r="AA1059" s="468">
        <f>(Table6[[#This Row],[Paired WTG Generation for loss calculation]]/24)*Table6[[#This Row],[Breakdown Time]]</f>
        <v>75.583333333333059</v>
      </c>
      <c r="AB1059" s="102"/>
      <c r="AC1059" s="35"/>
      <c r="AD1059" s="35"/>
    </row>
    <row r="1060" spans="1:30">
      <c r="A1060" s="102">
        <f t="shared" si="17"/>
        <v>1059</v>
      </c>
      <c r="B1060" s="468">
        <f>YEAR(Table6[[#This Row],[Date]])+IF(MONTH(Table6[[#This Row],[Date]])&gt;=4,1,0)</f>
        <v>2026</v>
      </c>
      <c r="C1060" s="102">
        <f>YEAR(Table6[[#This Row],[Date]])</f>
        <v>2025</v>
      </c>
      <c r="D1060" s="102" t="s">
        <v>1992</v>
      </c>
      <c r="E1060" s="469">
        <f>Table6[[#This Row],[Date]]-DAY(Table6[[#This Row],[Date]])+1</f>
        <v>45809</v>
      </c>
      <c r="F1060" s="470">
        <v>45813</v>
      </c>
      <c r="G1060" s="35" t="s">
        <v>75</v>
      </c>
      <c r="H1060" s="35" t="str">
        <f>IFERROR(_xlfn.XLOOKUP(Table6[[#This Row],[Affected WTG]],'Basic Data'!$A:$A,'Basic Data'!$B:$B),"")</f>
        <v>TQGXIIPL</v>
      </c>
      <c r="I1060" s="35" t="str">
        <f>IFERROR(_xlfn.XLOOKUP(Table6[[#This Row],[Affected WTG]],'Basic Data'!$A:$A,'Basic Data'!$C:$C),"")</f>
        <v>GEDA</v>
      </c>
      <c r="J1060" s="471">
        <f>IFERROR(_xlfn.XLOOKUP(Table6[[#This Row],[Affected WTG]],'Basic Data'!$A:$A,'Basic Data'!$E:$E),"")</f>
        <v>3.846153846153845E-2</v>
      </c>
      <c r="K1060" s="102">
        <v>175</v>
      </c>
      <c r="L1060" s="35" t="str">
        <f>IFERROR(_xlfn.XLOOKUP(Table6[[#This Row],[Error Code]],'Basic Data'!$AA:$AA,'Basic Data'!$AB:$AB),"Incorrect Error Code")</f>
        <v>SLC error</v>
      </c>
      <c r="M1060" s="35" t="s">
        <v>291</v>
      </c>
      <c r="N1060" s="475"/>
      <c r="O1060" s="476">
        <v>0.46111111111111114</v>
      </c>
      <c r="P1060" s="476">
        <v>0.46111111111111114</v>
      </c>
      <c r="Q1060" s="477">
        <v>0.47083333333333333</v>
      </c>
      <c r="R1060" s="472">
        <f>IF(Table6[[#This Row],[Work Start TimeStamp]]="","",(Table6[[#This Row],[Work Start TimeStamp]]-Table6[[#This Row],[Fault Start TimeStamp]])*24)</f>
        <v>0</v>
      </c>
      <c r="S1060" s="472">
        <f>(Table6[[#This Row],[Fault Clearance time]]-Table6[[#This Row],[Work Start TimeStamp]])*24</f>
        <v>0.2333333333333325</v>
      </c>
      <c r="T1060" s="472">
        <f>(Table6[[#This Row],[Fault Clearance time]]-Table6[[#This Row],[Fault Start TimeStamp]])*24</f>
        <v>0.2333333333333325</v>
      </c>
      <c r="U1060" s="35" t="s">
        <v>1924</v>
      </c>
      <c r="V1060" s="102" t="s">
        <v>293</v>
      </c>
      <c r="W1060" s="478">
        <f>IFERROR(Table6[[#This Row],[Breakdown Time]]*Table6[[#This Row],[Plant Equivalent Weightage]],"")</f>
        <v>8.974358974358939E-3</v>
      </c>
      <c r="X1060" s="473" t="s">
        <v>294</v>
      </c>
      <c r="Y1060" s="474" t="s">
        <v>78</v>
      </c>
      <c r="Z1060" s="102">
        <v>16515</v>
      </c>
      <c r="AA1060" s="468">
        <f>(Table6[[#This Row],[Paired WTG Generation for loss calculation]]/24)*Table6[[#This Row],[Breakdown Time]]</f>
        <v>160.56249999999943</v>
      </c>
      <c r="AB1060" s="102"/>
      <c r="AC1060" s="35"/>
      <c r="AD1060" s="35"/>
    </row>
    <row r="1061" spans="1:30">
      <c r="A1061" s="102">
        <f t="shared" si="17"/>
        <v>1060</v>
      </c>
      <c r="B1061" s="468">
        <f>YEAR(Table6[[#This Row],[Date]])+IF(MONTH(Table6[[#This Row],[Date]])&gt;=4,1,0)</f>
        <v>2026</v>
      </c>
      <c r="C1061" s="102">
        <f>YEAR(Table6[[#This Row],[Date]])</f>
        <v>2025</v>
      </c>
      <c r="D1061" s="102" t="s">
        <v>1992</v>
      </c>
      <c r="E1061" s="469">
        <f>Table6[[#This Row],[Date]]-DAY(Table6[[#This Row],[Date]])+1</f>
        <v>45809</v>
      </c>
      <c r="F1061" s="470">
        <v>45813</v>
      </c>
      <c r="G1061" s="35" t="s">
        <v>75</v>
      </c>
      <c r="H1061" s="35" t="str">
        <f>IFERROR(_xlfn.XLOOKUP(Table6[[#This Row],[Affected WTG]],'Basic Data'!$A:$A,'Basic Data'!$B:$B),"")</f>
        <v>TQGXIIPL</v>
      </c>
      <c r="I1061" s="35" t="str">
        <f>IFERROR(_xlfn.XLOOKUP(Table6[[#This Row],[Affected WTG]],'Basic Data'!$A:$A,'Basic Data'!$C:$C),"")</f>
        <v>GEDA</v>
      </c>
      <c r="J1061" s="471">
        <f>IFERROR(_xlfn.XLOOKUP(Table6[[#This Row],[Affected WTG]],'Basic Data'!$A:$A,'Basic Data'!$E:$E),"")</f>
        <v>3.846153846153845E-2</v>
      </c>
      <c r="K1061" s="102">
        <v>175</v>
      </c>
      <c r="L1061" s="35" t="str">
        <f>IFERROR(_xlfn.XLOOKUP(Table6[[#This Row],[Error Code]],'Basic Data'!$AA:$AA,'Basic Data'!$AB:$AB),"Incorrect Error Code")</f>
        <v>SLC error</v>
      </c>
      <c r="M1061" s="35" t="s">
        <v>291</v>
      </c>
      <c r="N1061" s="475"/>
      <c r="O1061" s="476">
        <v>0.48194444444444445</v>
      </c>
      <c r="P1061" s="476">
        <v>0.48194444444444445</v>
      </c>
      <c r="Q1061" s="477">
        <v>0.4861111111111111</v>
      </c>
      <c r="R1061" s="472">
        <f>IF(Table6[[#This Row],[Work Start TimeStamp]]="","",(Table6[[#This Row],[Work Start TimeStamp]]-Table6[[#This Row],[Fault Start TimeStamp]])*24)</f>
        <v>0</v>
      </c>
      <c r="S1061" s="472">
        <f>(Table6[[#This Row],[Fault Clearance time]]-Table6[[#This Row],[Work Start TimeStamp]])*24</f>
        <v>9.9999999999999645E-2</v>
      </c>
      <c r="T1061" s="472">
        <f>(Table6[[#This Row],[Fault Clearance time]]-Table6[[#This Row],[Fault Start TimeStamp]])*24</f>
        <v>9.9999999999999645E-2</v>
      </c>
      <c r="U1061" s="35" t="s">
        <v>1924</v>
      </c>
      <c r="V1061" s="102" t="s">
        <v>293</v>
      </c>
      <c r="W1061" s="478">
        <f>IFERROR(Table6[[#This Row],[Breakdown Time]]*Table6[[#This Row],[Plant Equivalent Weightage]],"")</f>
        <v>3.8461538461538312E-3</v>
      </c>
      <c r="X1061" s="473" t="s">
        <v>294</v>
      </c>
      <c r="Y1061" s="474" t="s">
        <v>78</v>
      </c>
      <c r="Z1061" s="102">
        <v>16515</v>
      </c>
      <c r="AA1061" s="468">
        <f>(Table6[[#This Row],[Paired WTG Generation for loss calculation]]/24)*Table6[[#This Row],[Breakdown Time]]</f>
        <v>68.812499999999758</v>
      </c>
      <c r="AB1061" s="102"/>
      <c r="AC1061" s="35"/>
      <c r="AD1061" s="35"/>
    </row>
    <row r="1062" spans="1:30">
      <c r="A1062" s="102">
        <f t="shared" si="17"/>
        <v>1061</v>
      </c>
      <c r="B1062" s="468">
        <f>YEAR(Table6[[#This Row],[Date]])+IF(MONTH(Table6[[#This Row],[Date]])&gt;=4,1,0)</f>
        <v>2026</v>
      </c>
      <c r="C1062" s="102">
        <f>YEAR(Table6[[#This Row],[Date]])</f>
        <v>2025</v>
      </c>
      <c r="D1062" s="102" t="s">
        <v>1992</v>
      </c>
      <c r="E1062" s="469">
        <f>Table6[[#This Row],[Date]]-DAY(Table6[[#This Row],[Date]])+1</f>
        <v>45809</v>
      </c>
      <c r="F1062" s="470">
        <v>45813</v>
      </c>
      <c r="G1062" s="35" t="s">
        <v>77</v>
      </c>
      <c r="H1062" s="35" t="str">
        <f>IFERROR(_xlfn.XLOOKUP(Table6[[#This Row],[Affected WTG]],'Basic Data'!$A:$A,'Basic Data'!$B:$B),"")</f>
        <v>TQGXIIPL</v>
      </c>
      <c r="I1062" s="35" t="str">
        <f>IFERROR(_xlfn.XLOOKUP(Table6[[#This Row],[Affected WTG]],'Basic Data'!$A:$A,'Basic Data'!$C:$C),"")</f>
        <v>GEDA</v>
      </c>
      <c r="J1062" s="471">
        <f>IFERROR(_xlfn.XLOOKUP(Table6[[#This Row],[Affected WTG]],'Basic Data'!$A:$A,'Basic Data'!$E:$E),"")</f>
        <v>3.846153846153845E-2</v>
      </c>
      <c r="K1062" s="102">
        <v>177</v>
      </c>
      <c r="L1062" s="35" t="str">
        <f>IFERROR(_xlfn.XLOOKUP(Table6[[#This Row],[Error Code]],'Basic Data'!$AA:$AA,'Basic Data'!$AB:$AB),"Incorrect Error Code")</f>
        <v>SLC MF blade regulation control</v>
      </c>
      <c r="M1062" s="35" t="s">
        <v>291</v>
      </c>
      <c r="N1062" s="475"/>
      <c r="O1062" s="476">
        <v>0.36944444444444446</v>
      </c>
      <c r="P1062" s="476">
        <v>0.36944444444444446</v>
      </c>
      <c r="Q1062" s="477">
        <v>0.38124999999999998</v>
      </c>
      <c r="R1062" s="472">
        <f>IF(Table6[[#This Row],[Work Start TimeStamp]]="","",(Table6[[#This Row],[Work Start TimeStamp]]-Table6[[#This Row],[Fault Start TimeStamp]])*24)</f>
        <v>0</v>
      </c>
      <c r="S1062" s="472">
        <f>(Table6[[#This Row],[Fault Clearance time]]-Table6[[#This Row],[Work Start TimeStamp]])*24</f>
        <v>0.28333333333333233</v>
      </c>
      <c r="T1062" s="472">
        <f>(Table6[[#This Row],[Fault Clearance time]]-Table6[[#This Row],[Fault Start TimeStamp]])*24</f>
        <v>0.28333333333333233</v>
      </c>
      <c r="U1062" s="35" t="s">
        <v>1924</v>
      </c>
      <c r="V1062" s="102" t="s">
        <v>293</v>
      </c>
      <c r="W1062" s="478">
        <f>IFERROR(Table6[[#This Row],[Breakdown Time]]*Table6[[#This Row],[Plant Equivalent Weightage]],"")</f>
        <v>1.0897435897435855E-2</v>
      </c>
      <c r="X1062" s="473" t="s">
        <v>294</v>
      </c>
      <c r="Y1062" s="474" t="s">
        <v>80</v>
      </c>
      <c r="Z1062" s="102">
        <v>12137</v>
      </c>
      <c r="AA1062" s="468">
        <f>(Table6[[#This Row],[Paired WTG Generation for loss calculation]]/24)*Table6[[#This Row],[Breakdown Time]]</f>
        <v>143.28402777777725</v>
      </c>
      <c r="AB1062" s="102"/>
      <c r="AC1062" s="35"/>
      <c r="AD1062" s="35"/>
    </row>
    <row r="1063" spans="1:30">
      <c r="A1063" s="102">
        <f t="shared" si="17"/>
        <v>1062</v>
      </c>
      <c r="B1063" s="468">
        <f>YEAR(Table6[[#This Row],[Date]])+IF(MONTH(Table6[[#This Row],[Date]])&gt;=4,1,0)</f>
        <v>2026</v>
      </c>
      <c r="C1063" s="102">
        <f>YEAR(Table6[[#This Row],[Date]])</f>
        <v>2025</v>
      </c>
      <c r="D1063" s="102" t="s">
        <v>1992</v>
      </c>
      <c r="E1063" s="469">
        <f>Table6[[#This Row],[Date]]-DAY(Table6[[#This Row],[Date]])+1</f>
        <v>45809</v>
      </c>
      <c r="F1063" s="470">
        <v>45813</v>
      </c>
      <c r="G1063" s="35" t="s">
        <v>77</v>
      </c>
      <c r="H1063" s="35" t="str">
        <f>IFERROR(_xlfn.XLOOKUP(Table6[[#This Row],[Affected WTG]],'Basic Data'!$A:$A,'Basic Data'!$B:$B),"")</f>
        <v>TQGXIIPL</v>
      </c>
      <c r="I1063" s="35" t="str">
        <f>IFERROR(_xlfn.XLOOKUP(Table6[[#This Row],[Affected WTG]],'Basic Data'!$A:$A,'Basic Data'!$C:$C),"")</f>
        <v>GEDA</v>
      </c>
      <c r="J1063" s="471">
        <f>IFERROR(_xlfn.XLOOKUP(Table6[[#This Row],[Affected WTG]],'Basic Data'!$A:$A,'Basic Data'!$E:$E),"")</f>
        <v>3.846153846153845E-2</v>
      </c>
      <c r="K1063" s="102">
        <v>588</v>
      </c>
      <c r="L1063" s="35" t="str">
        <f>IFERROR(_xlfn.XLOOKUP(Table6[[#This Row],[Error Code]],'Basic Data'!$AA:$AA,'Basic Data'!$AB:$AB),"Incorrect Error Code")</f>
        <v>Target &gt;&lt; act. coll. pitch angle</v>
      </c>
      <c r="M1063" s="35" t="s">
        <v>291</v>
      </c>
      <c r="N1063" s="475"/>
      <c r="O1063" s="476">
        <v>0.47569444444444442</v>
      </c>
      <c r="P1063" s="476">
        <v>0.47569444444444442</v>
      </c>
      <c r="Q1063" s="477">
        <v>0.48888888888888887</v>
      </c>
      <c r="R1063" s="472">
        <f>IF(Table6[[#This Row],[Work Start TimeStamp]]="","",(Table6[[#This Row],[Work Start TimeStamp]]-Table6[[#This Row],[Fault Start TimeStamp]])*24)</f>
        <v>0</v>
      </c>
      <c r="S1063" s="472">
        <f>(Table6[[#This Row],[Fault Clearance time]]-Table6[[#This Row],[Work Start TimeStamp]])*24</f>
        <v>0.31666666666666687</v>
      </c>
      <c r="T1063" s="472">
        <f>(Table6[[#This Row],[Fault Clearance time]]-Table6[[#This Row],[Fault Start TimeStamp]])*24</f>
        <v>0.31666666666666687</v>
      </c>
      <c r="U1063" s="35" t="s">
        <v>1924</v>
      </c>
      <c r="V1063" s="102" t="s">
        <v>293</v>
      </c>
      <c r="W1063" s="478">
        <f>IFERROR(Table6[[#This Row],[Breakdown Time]]*Table6[[#This Row],[Plant Equivalent Weightage]],"")</f>
        <v>1.2179487179487183E-2</v>
      </c>
      <c r="X1063" s="473" t="s">
        <v>294</v>
      </c>
      <c r="Y1063" s="474" t="s">
        <v>80</v>
      </c>
      <c r="Z1063" s="102">
        <v>12137</v>
      </c>
      <c r="AA1063" s="468">
        <f>(Table6[[#This Row],[Paired WTG Generation for loss calculation]]/24)*Table6[[#This Row],[Breakdown Time]]</f>
        <v>160.14097222222233</v>
      </c>
      <c r="AB1063" s="102"/>
      <c r="AC1063" s="35"/>
      <c r="AD1063" s="35"/>
    </row>
    <row r="1064" spans="1:30">
      <c r="A1064" s="102">
        <f t="shared" si="17"/>
        <v>1063</v>
      </c>
      <c r="B1064" s="468">
        <f>YEAR(Table6[[#This Row],[Date]])+IF(MONTH(Table6[[#This Row],[Date]])&gt;=4,1,0)</f>
        <v>2026</v>
      </c>
      <c r="C1064" s="102">
        <f>YEAR(Table6[[#This Row],[Date]])</f>
        <v>2025</v>
      </c>
      <c r="D1064" s="102" t="s">
        <v>1992</v>
      </c>
      <c r="E1064" s="469">
        <f>Table6[[#This Row],[Date]]-DAY(Table6[[#This Row],[Date]])+1</f>
        <v>45809</v>
      </c>
      <c r="F1064" s="470">
        <v>45813</v>
      </c>
      <c r="G1064" s="35" t="s">
        <v>77</v>
      </c>
      <c r="H1064" s="35" t="str">
        <f>IFERROR(_xlfn.XLOOKUP(Table6[[#This Row],[Affected WTG]],'Basic Data'!$A:$A,'Basic Data'!$B:$B),"")</f>
        <v>TQGXIIPL</v>
      </c>
      <c r="I1064" s="35" t="str">
        <f>IFERROR(_xlfn.XLOOKUP(Table6[[#This Row],[Affected WTG]],'Basic Data'!$A:$A,'Basic Data'!$C:$C),"")</f>
        <v>GEDA</v>
      </c>
      <c r="J1064" s="471">
        <f>IFERROR(_xlfn.XLOOKUP(Table6[[#This Row],[Affected WTG]],'Basic Data'!$A:$A,'Basic Data'!$E:$E),"")</f>
        <v>3.846153846153845E-2</v>
      </c>
      <c r="K1064" s="102">
        <v>588</v>
      </c>
      <c r="L1064" s="35" t="str">
        <f>IFERROR(_xlfn.XLOOKUP(Table6[[#This Row],[Error Code]],'Basic Data'!$AA:$AA,'Basic Data'!$AB:$AB),"Incorrect Error Code")</f>
        <v>Target &gt;&lt; act. coll. pitch angle</v>
      </c>
      <c r="M1064" s="35" t="s">
        <v>291</v>
      </c>
      <c r="N1064" s="475"/>
      <c r="O1064" s="476">
        <v>0.5131944444444444</v>
      </c>
      <c r="P1064" s="476">
        <v>0.5541666666666667</v>
      </c>
      <c r="Q1064" s="477">
        <v>0.70138888888888884</v>
      </c>
      <c r="R1064" s="472">
        <f>IF(Table6[[#This Row],[Work Start TimeStamp]]="","",(Table6[[#This Row],[Work Start TimeStamp]]-Table6[[#This Row],[Fault Start TimeStamp]])*24)</f>
        <v>0.98333333333333517</v>
      </c>
      <c r="S1064" s="472">
        <f>(Table6[[#This Row],[Fault Clearance time]]-Table6[[#This Row],[Work Start TimeStamp]])*24</f>
        <v>3.5333333333333314</v>
      </c>
      <c r="T1064" s="472">
        <f>(Table6[[#This Row],[Fault Clearance time]]-Table6[[#This Row],[Fault Start TimeStamp]])*24</f>
        <v>4.5166666666666666</v>
      </c>
      <c r="U1064" s="35" t="s">
        <v>1943</v>
      </c>
      <c r="V1064" s="102" t="s">
        <v>293</v>
      </c>
      <c r="W1064" s="478">
        <f>IFERROR(Table6[[#This Row],[Breakdown Time]]*Table6[[#This Row],[Plant Equivalent Weightage]],"")</f>
        <v>0.17371794871794866</v>
      </c>
      <c r="X1064" s="473" t="s">
        <v>294</v>
      </c>
      <c r="Y1064" s="474" t="s">
        <v>80</v>
      </c>
      <c r="Z1064" s="102">
        <v>12137</v>
      </c>
      <c r="AA1064" s="468">
        <f>(Table6[[#This Row],[Paired WTG Generation for loss calculation]]/24)*Table6[[#This Row],[Breakdown Time]]</f>
        <v>2284.1159722222219</v>
      </c>
      <c r="AB1064" s="102"/>
      <c r="AC1064" s="35"/>
      <c r="AD1064" s="35"/>
    </row>
    <row r="1065" spans="1:30">
      <c r="A1065" s="102">
        <f t="shared" si="17"/>
        <v>1064</v>
      </c>
      <c r="B1065" s="468">
        <f>YEAR(Table6[[#This Row],[Date]])+IF(MONTH(Table6[[#This Row],[Date]])&gt;=4,1,0)</f>
        <v>2026</v>
      </c>
      <c r="C1065" s="102">
        <f>YEAR(Table6[[#This Row],[Date]])</f>
        <v>2025</v>
      </c>
      <c r="D1065" s="102" t="s">
        <v>1992</v>
      </c>
      <c r="E1065" s="469">
        <f>Table6[[#This Row],[Date]]-DAY(Table6[[#This Row],[Date]])+1</f>
        <v>45809</v>
      </c>
      <c r="F1065" s="470">
        <v>45813</v>
      </c>
      <c r="G1065" s="35" t="s">
        <v>83</v>
      </c>
      <c r="H1065" s="35" t="str">
        <f>IFERROR(_xlfn.XLOOKUP(Table6[[#This Row],[Affected WTG]],'Basic Data'!$A:$A,'Basic Data'!$B:$B),"")</f>
        <v>TQGXIIPL</v>
      </c>
      <c r="I1065" s="35" t="str">
        <f>IFERROR(_xlfn.XLOOKUP(Table6[[#This Row],[Affected WTG]],'Basic Data'!$A:$A,'Basic Data'!$C:$C),"")</f>
        <v>GEDA</v>
      </c>
      <c r="J1065" s="471">
        <f>IFERROR(_xlfn.XLOOKUP(Table6[[#This Row],[Affected WTG]],'Basic Data'!$A:$A,'Basic Data'!$E:$E),"")</f>
        <v>3.846153846153845E-2</v>
      </c>
      <c r="K1065" s="102">
        <v>3271</v>
      </c>
      <c r="L1065" s="35" t="str">
        <f>IFERROR(_xlfn.XLOOKUP(Table6[[#This Row],[Error Code]],'Basic Data'!$AA:$AA,'Basic Data'!$AB:$AB),"Incorrect Error Code")</f>
        <v>Converter torque monitor level 1</v>
      </c>
      <c r="M1065" s="35" t="s">
        <v>292</v>
      </c>
      <c r="N1065" s="475"/>
      <c r="O1065" s="476">
        <v>0.83750000000000002</v>
      </c>
      <c r="P1065" s="476">
        <v>0.83750000000000002</v>
      </c>
      <c r="Q1065" s="477">
        <v>0.83819444444444446</v>
      </c>
      <c r="R1065" s="472">
        <f>IF(Table6[[#This Row],[Work Start TimeStamp]]="","",(Table6[[#This Row],[Work Start TimeStamp]]-Table6[[#This Row],[Fault Start TimeStamp]])*24)</f>
        <v>0</v>
      </c>
      <c r="S1065" s="472">
        <f>(Table6[[#This Row],[Fault Clearance time]]-Table6[[#This Row],[Work Start TimeStamp]])*24</f>
        <v>1.6666666666666607E-2</v>
      </c>
      <c r="T1065" s="472">
        <f>(Table6[[#This Row],[Fault Clearance time]]-Table6[[#This Row],[Fault Start TimeStamp]])*24</f>
        <v>1.6666666666666607E-2</v>
      </c>
      <c r="U1065" s="35" t="s">
        <v>336</v>
      </c>
      <c r="V1065" s="102" t="s">
        <v>293</v>
      </c>
      <c r="W1065" s="478">
        <f>IFERROR(Table6[[#This Row],[Breakdown Time]]*Table6[[#This Row],[Plant Equivalent Weightage]],"")</f>
        <v>6.4102564102563853E-4</v>
      </c>
      <c r="X1065" s="473" t="s">
        <v>294</v>
      </c>
      <c r="Y1065" s="474" t="s">
        <v>88</v>
      </c>
      <c r="Z1065" s="102">
        <v>13908</v>
      </c>
      <c r="AA1065" s="468">
        <f>(Table6[[#This Row],[Paired WTG Generation for loss calculation]]/24)*Table6[[#This Row],[Breakdown Time]]</f>
        <v>9.6583333333332995</v>
      </c>
      <c r="AB1065" s="102"/>
      <c r="AC1065" s="35"/>
      <c r="AD1065" s="35"/>
    </row>
    <row r="1066" spans="1:30">
      <c r="A1066" s="102">
        <f t="shared" si="17"/>
        <v>1065</v>
      </c>
      <c r="B1066" s="468">
        <f>YEAR(Table6[[#This Row],[Date]])+IF(MONTH(Table6[[#This Row],[Date]])&gt;=4,1,0)</f>
        <v>2026</v>
      </c>
      <c r="C1066" s="102">
        <f>YEAR(Table6[[#This Row],[Date]])</f>
        <v>2025</v>
      </c>
      <c r="D1066" s="102" t="s">
        <v>1992</v>
      </c>
      <c r="E1066" s="469">
        <f>Table6[[#This Row],[Date]]-DAY(Table6[[#This Row],[Date]])+1</f>
        <v>45809</v>
      </c>
      <c r="F1066" s="470">
        <v>45813</v>
      </c>
      <c r="G1066" s="35" t="s">
        <v>86</v>
      </c>
      <c r="H1066" s="35" t="str">
        <f>IFERROR(_xlfn.XLOOKUP(Table6[[#This Row],[Affected WTG]],'Basic Data'!$A:$A,'Basic Data'!$B:$B),"")</f>
        <v>TQGXIIPL</v>
      </c>
      <c r="I1066" s="35" t="str">
        <f>IFERROR(_xlfn.XLOOKUP(Table6[[#This Row],[Affected WTG]],'Basic Data'!$A:$A,'Basic Data'!$C:$C),"")</f>
        <v>GEDA</v>
      </c>
      <c r="J1066" s="471">
        <f>IFERROR(_xlfn.XLOOKUP(Table6[[#This Row],[Affected WTG]],'Basic Data'!$A:$A,'Basic Data'!$E:$E),"")</f>
        <v>3.846153846153845E-2</v>
      </c>
      <c r="K1066" s="102">
        <v>1070</v>
      </c>
      <c r="L1066" s="35" t="str">
        <f>IFERROR(_xlfn.XLOOKUP(Table6[[#This Row],[Error Code]],'Basic Data'!$AA:$AA,'Basic Data'!$AB:$AB),"Incorrect Error Code")</f>
        <v>Drive train monitor level 2</v>
      </c>
      <c r="M1066" s="35" t="s">
        <v>292</v>
      </c>
      <c r="N1066" s="475"/>
      <c r="O1066" s="476">
        <v>0.82847222222222228</v>
      </c>
      <c r="P1066" s="476">
        <v>0.82847222222222228</v>
      </c>
      <c r="Q1066" s="477">
        <v>0.82986111111111116</v>
      </c>
      <c r="R1066" s="472">
        <f>IF(Table6[[#This Row],[Work Start TimeStamp]]="","",(Table6[[#This Row],[Work Start TimeStamp]]-Table6[[#This Row],[Fault Start TimeStamp]])*24)</f>
        <v>0</v>
      </c>
      <c r="S1066" s="472">
        <f>(Table6[[#This Row],[Fault Clearance time]]-Table6[[#This Row],[Work Start TimeStamp]])*24</f>
        <v>3.3333333333333215E-2</v>
      </c>
      <c r="T1066" s="472">
        <f>(Table6[[#This Row],[Fault Clearance time]]-Table6[[#This Row],[Fault Start TimeStamp]])*24</f>
        <v>3.3333333333333215E-2</v>
      </c>
      <c r="U1066" s="35" t="s">
        <v>336</v>
      </c>
      <c r="V1066" s="102" t="s">
        <v>293</v>
      </c>
      <c r="W1066" s="478">
        <f>IFERROR(Table6[[#This Row],[Breakdown Time]]*Table6[[#This Row],[Plant Equivalent Weightage]],"")</f>
        <v>1.2820512820512771E-3</v>
      </c>
      <c r="X1066" s="473" t="s">
        <v>294</v>
      </c>
      <c r="Y1066" s="474" t="s">
        <v>84</v>
      </c>
      <c r="Z1066" s="102">
        <v>14184</v>
      </c>
      <c r="AA1066" s="468">
        <f>(Table6[[#This Row],[Paired WTG Generation for loss calculation]]/24)*Table6[[#This Row],[Breakdown Time]]</f>
        <v>19.699999999999932</v>
      </c>
      <c r="AB1066" s="102"/>
      <c r="AC1066" s="35"/>
      <c r="AD1066" s="35"/>
    </row>
    <row r="1067" spans="1:30">
      <c r="A1067" s="102">
        <f t="shared" si="17"/>
        <v>1066</v>
      </c>
      <c r="B1067" s="468">
        <f>YEAR(Table6[[#This Row],[Date]])+IF(MONTH(Table6[[#This Row],[Date]])&gt;=4,1,0)</f>
        <v>2026</v>
      </c>
      <c r="C1067" s="102">
        <f>YEAR(Table6[[#This Row],[Date]])</f>
        <v>2025</v>
      </c>
      <c r="D1067" s="102" t="s">
        <v>1992</v>
      </c>
      <c r="E1067" s="469">
        <f>Table6[[#This Row],[Date]]-DAY(Table6[[#This Row],[Date]])+1</f>
        <v>45809</v>
      </c>
      <c r="F1067" s="470">
        <v>45813</v>
      </c>
      <c r="G1067" s="35" t="s">
        <v>94</v>
      </c>
      <c r="H1067" s="35" t="str">
        <f>IFERROR(_xlfn.XLOOKUP(Table6[[#This Row],[Affected WTG]],'Basic Data'!$A:$A,'Basic Data'!$B:$B),"")</f>
        <v>TQGXIIPL</v>
      </c>
      <c r="I1067" s="35" t="str">
        <f>IFERROR(_xlfn.XLOOKUP(Table6[[#This Row],[Affected WTG]],'Basic Data'!$A:$A,'Basic Data'!$C:$C),"")</f>
        <v>GEDA</v>
      </c>
      <c r="J1067" s="471">
        <f>IFERROR(_xlfn.XLOOKUP(Table6[[#This Row],[Affected WTG]],'Basic Data'!$A:$A,'Basic Data'!$E:$E),"")</f>
        <v>3.846153846153845E-2</v>
      </c>
      <c r="K1067" s="102">
        <v>3110</v>
      </c>
      <c r="L1067" s="35" t="str">
        <f>IFERROR(_xlfn.XLOOKUP(Table6[[#This Row],[Error Code]],'Basic Data'!$AA:$AA,'Basic Data'!$AB:$AB),"Incorrect Error Code")</f>
        <v>Frequency converter error</v>
      </c>
      <c r="M1067" s="35" t="s">
        <v>292</v>
      </c>
      <c r="N1067" s="475"/>
      <c r="O1067" s="476">
        <v>0.7631944444444444</v>
      </c>
      <c r="P1067" s="476">
        <v>0.7631944444444444</v>
      </c>
      <c r="Q1067" s="477">
        <v>0.76388888888888884</v>
      </c>
      <c r="R1067" s="472">
        <f>IF(Table6[[#This Row],[Work Start TimeStamp]]="","",(Table6[[#This Row],[Work Start TimeStamp]]-Table6[[#This Row],[Fault Start TimeStamp]])*24)</f>
        <v>0</v>
      </c>
      <c r="S1067" s="472">
        <f>(Table6[[#This Row],[Fault Clearance time]]-Table6[[#This Row],[Work Start TimeStamp]])*24</f>
        <v>1.6666666666666607E-2</v>
      </c>
      <c r="T1067" s="472">
        <f>(Table6[[#This Row],[Fault Clearance time]]-Table6[[#This Row],[Fault Start TimeStamp]])*24</f>
        <v>1.6666666666666607E-2</v>
      </c>
      <c r="U1067" s="35" t="s">
        <v>336</v>
      </c>
      <c r="V1067" s="102" t="s">
        <v>293</v>
      </c>
      <c r="W1067" s="478">
        <f>IFERROR(Table6[[#This Row],[Breakdown Time]]*Table6[[#This Row],[Plant Equivalent Weightage]],"")</f>
        <v>6.4102564102563853E-4</v>
      </c>
      <c r="X1067" s="473" t="s">
        <v>294</v>
      </c>
      <c r="Y1067" s="474" t="s">
        <v>79</v>
      </c>
      <c r="Z1067" s="102">
        <v>16771</v>
      </c>
      <c r="AA1067" s="468">
        <f>(Table6[[#This Row],[Paired WTG Generation for loss calculation]]/24)*Table6[[#This Row],[Breakdown Time]]</f>
        <v>11.646527777777736</v>
      </c>
      <c r="AB1067" s="102"/>
      <c r="AC1067" s="35"/>
      <c r="AD1067" s="35"/>
    </row>
    <row r="1068" spans="1:30">
      <c r="A1068" s="102">
        <f t="shared" si="17"/>
        <v>1067</v>
      </c>
      <c r="B1068" s="468">
        <f>YEAR(Table6[[#This Row],[Date]])+IF(MONTH(Table6[[#This Row],[Date]])&gt;=4,1,0)</f>
        <v>2026</v>
      </c>
      <c r="C1068" s="102">
        <f>YEAR(Table6[[#This Row],[Date]])</f>
        <v>2025</v>
      </c>
      <c r="D1068" s="102" t="s">
        <v>1992</v>
      </c>
      <c r="E1068" s="469">
        <f>Table6[[#This Row],[Date]]-DAY(Table6[[#This Row],[Date]])+1</f>
        <v>45809</v>
      </c>
      <c r="F1068" s="470">
        <v>45813</v>
      </c>
      <c r="G1068" s="35" t="s">
        <v>95</v>
      </c>
      <c r="H1068" s="35" t="str">
        <f>IFERROR(_xlfn.XLOOKUP(Table6[[#This Row],[Affected WTG]],'Basic Data'!$A:$A,'Basic Data'!$B:$B),"")</f>
        <v>TQGXIIPL</v>
      </c>
      <c r="I1068" s="35" t="str">
        <f>IFERROR(_xlfn.XLOOKUP(Table6[[#This Row],[Affected WTG]],'Basic Data'!$A:$A,'Basic Data'!$C:$C),"")</f>
        <v>GEDA</v>
      </c>
      <c r="J1068" s="471">
        <f>IFERROR(_xlfn.XLOOKUP(Table6[[#This Row],[Affected WTG]],'Basic Data'!$A:$A,'Basic Data'!$E:$E),"")</f>
        <v>3.846153846153845E-2</v>
      </c>
      <c r="K1068" s="102">
        <v>3110</v>
      </c>
      <c r="L1068" s="35" t="str">
        <f>IFERROR(_xlfn.XLOOKUP(Table6[[#This Row],[Error Code]],'Basic Data'!$AA:$AA,'Basic Data'!$AB:$AB),"Incorrect Error Code")</f>
        <v>Frequency converter error</v>
      </c>
      <c r="M1068" s="35" t="s">
        <v>292</v>
      </c>
      <c r="N1068" s="475"/>
      <c r="O1068" s="476">
        <v>0.76666666666666672</v>
      </c>
      <c r="P1068" s="476">
        <v>0.76666666666666672</v>
      </c>
      <c r="Q1068" s="477">
        <v>0.77083333333333337</v>
      </c>
      <c r="R1068" s="472">
        <f>IF(Table6[[#This Row],[Work Start TimeStamp]]="","",(Table6[[#This Row],[Work Start TimeStamp]]-Table6[[#This Row],[Fault Start TimeStamp]])*24)</f>
        <v>0</v>
      </c>
      <c r="S1068" s="472">
        <f>(Table6[[#This Row],[Fault Clearance time]]-Table6[[#This Row],[Work Start TimeStamp]])*24</f>
        <v>9.9999999999999645E-2</v>
      </c>
      <c r="T1068" s="472">
        <f>(Table6[[#This Row],[Fault Clearance time]]-Table6[[#This Row],[Fault Start TimeStamp]])*24</f>
        <v>9.9999999999999645E-2</v>
      </c>
      <c r="U1068" s="35" t="s">
        <v>336</v>
      </c>
      <c r="V1068" s="102" t="s">
        <v>293</v>
      </c>
      <c r="W1068" s="478">
        <f>IFERROR(Table6[[#This Row],[Breakdown Time]]*Table6[[#This Row],[Plant Equivalent Weightage]],"")</f>
        <v>3.8461538461538312E-3</v>
      </c>
      <c r="X1068" s="473" t="s">
        <v>294</v>
      </c>
      <c r="Y1068" s="474" t="s">
        <v>79</v>
      </c>
      <c r="Z1068" s="102">
        <v>16771</v>
      </c>
      <c r="AA1068" s="468">
        <f>(Table6[[#This Row],[Paired WTG Generation for loss calculation]]/24)*Table6[[#This Row],[Breakdown Time]]</f>
        <v>69.879166666666421</v>
      </c>
      <c r="AB1068" s="102"/>
      <c r="AC1068" s="35"/>
      <c r="AD1068" s="35"/>
    </row>
    <row r="1069" spans="1:30">
      <c r="A1069" s="102">
        <f t="shared" si="17"/>
        <v>1068</v>
      </c>
      <c r="B1069" s="468">
        <f>YEAR(Table6[[#This Row],[Date]])+IF(MONTH(Table6[[#This Row],[Date]])&gt;=4,1,0)</f>
        <v>2026</v>
      </c>
      <c r="C1069" s="102">
        <f>YEAR(Table6[[#This Row],[Date]])</f>
        <v>2025</v>
      </c>
      <c r="D1069" s="102" t="s">
        <v>1992</v>
      </c>
      <c r="E1069" s="469">
        <f>Table6[[#This Row],[Date]]-DAY(Table6[[#This Row],[Date]])+1</f>
        <v>45809</v>
      </c>
      <c r="F1069" s="470">
        <v>45813</v>
      </c>
      <c r="G1069" s="35" t="s">
        <v>77</v>
      </c>
      <c r="H1069" s="35" t="str">
        <f>IFERROR(_xlfn.XLOOKUP(Table6[[#This Row],[Affected WTG]],'Basic Data'!$A:$A,'Basic Data'!$B:$B),"")</f>
        <v>TQGXIIPL</v>
      </c>
      <c r="I1069" s="35" t="str">
        <f>IFERROR(_xlfn.XLOOKUP(Table6[[#This Row],[Affected WTG]],'Basic Data'!$A:$A,'Basic Data'!$C:$C),"")</f>
        <v>GEDA</v>
      </c>
      <c r="J1069" s="471">
        <f>IFERROR(_xlfn.XLOOKUP(Table6[[#This Row],[Affected WTG]],'Basic Data'!$A:$A,'Basic Data'!$E:$E),"")</f>
        <v>3.846153846153845E-2</v>
      </c>
      <c r="K1069" s="102">
        <v>3110</v>
      </c>
      <c r="L1069" s="35" t="str">
        <f>IFERROR(_xlfn.XLOOKUP(Table6[[#This Row],[Error Code]],'Basic Data'!$AA:$AA,'Basic Data'!$AB:$AB),"Incorrect Error Code")</f>
        <v>Frequency converter error</v>
      </c>
      <c r="M1069" s="35" t="s">
        <v>292</v>
      </c>
      <c r="N1069" s="475"/>
      <c r="O1069" s="476">
        <v>0.74791666666666667</v>
      </c>
      <c r="P1069" s="476">
        <v>0.74791666666666667</v>
      </c>
      <c r="Q1069" s="477">
        <v>0.74930555555555556</v>
      </c>
      <c r="R1069" s="472">
        <f>IF(Table6[[#This Row],[Work Start TimeStamp]]="","",(Table6[[#This Row],[Work Start TimeStamp]]-Table6[[#This Row],[Fault Start TimeStamp]])*24)</f>
        <v>0</v>
      </c>
      <c r="S1069" s="472">
        <f>(Table6[[#This Row],[Fault Clearance time]]-Table6[[#This Row],[Work Start TimeStamp]])*24</f>
        <v>3.3333333333333215E-2</v>
      </c>
      <c r="T1069" s="472">
        <f>(Table6[[#This Row],[Fault Clearance time]]-Table6[[#This Row],[Fault Start TimeStamp]])*24</f>
        <v>3.3333333333333215E-2</v>
      </c>
      <c r="U1069" s="35" t="s">
        <v>336</v>
      </c>
      <c r="V1069" s="102" t="s">
        <v>293</v>
      </c>
      <c r="W1069" s="478">
        <f>IFERROR(Table6[[#This Row],[Breakdown Time]]*Table6[[#This Row],[Plant Equivalent Weightage]],"")</f>
        <v>1.2820512820512771E-3</v>
      </c>
      <c r="X1069" s="473" t="s">
        <v>294</v>
      </c>
      <c r="Y1069" s="474" t="s">
        <v>80</v>
      </c>
      <c r="Z1069" s="102">
        <v>12137</v>
      </c>
      <c r="AA1069" s="468">
        <f>(Table6[[#This Row],[Paired WTG Generation for loss calculation]]/24)*Table6[[#This Row],[Breakdown Time]]</f>
        <v>16.856944444444384</v>
      </c>
      <c r="AB1069" s="102"/>
      <c r="AC1069" s="35"/>
      <c r="AD1069" s="35"/>
    </row>
    <row r="1070" spans="1:30">
      <c r="A1070" s="102">
        <f t="shared" si="17"/>
        <v>1069</v>
      </c>
      <c r="B1070" s="468">
        <f>YEAR(Table6[[#This Row],[Date]])+IF(MONTH(Table6[[#This Row],[Date]])&gt;=4,1,0)</f>
        <v>2026</v>
      </c>
      <c r="C1070" s="102">
        <f>YEAR(Table6[[#This Row],[Date]])</f>
        <v>2025</v>
      </c>
      <c r="D1070" s="102" t="s">
        <v>1992</v>
      </c>
      <c r="E1070" s="469">
        <f>Table6[[#This Row],[Date]]-DAY(Table6[[#This Row],[Date]])+1</f>
        <v>45809</v>
      </c>
      <c r="F1070" s="470">
        <v>45814</v>
      </c>
      <c r="G1070" s="35" t="s">
        <v>74</v>
      </c>
      <c r="H1070" s="35" t="str">
        <f>IFERROR(_xlfn.XLOOKUP(Table6[[#This Row],[Affected WTG]],'Basic Data'!$A:$A,'Basic Data'!$B:$B),"")</f>
        <v>TQGXIIPL</v>
      </c>
      <c r="I1070" s="35" t="str">
        <f>IFERROR(_xlfn.XLOOKUP(Table6[[#This Row],[Affected WTG]],'Basic Data'!$A:$A,'Basic Data'!$C:$C),"")</f>
        <v>GEDA</v>
      </c>
      <c r="J1070" s="471">
        <f>IFERROR(_xlfn.XLOOKUP(Table6[[#This Row],[Affected WTG]],'Basic Data'!$A:$A,'Basic Data'!$E:$E),"")</f>
        <v>3.846153846153845E-2</v>
      </c>
      <c r="K1070" s="102">
        <v>4970</v>
      </c>
      <c r="L1070" s="35" t="str">
        <f>IFERROR(_xlfn.XLOOKUP(Table6[[#This Row],[Error Code]],'Basic Data'!$AA:$AA,'Basic Data'!$AB:$AB),"Incorrect Error Code")</f>
        <v>Tower oscillation XF</v>
      </c>
      <c r="M1070" s="35" t="s">
        <v>292</v>
      </c>
      <c r="N1070" s="475"/>
      <c r="O1070" s="476">
        <v>0.80625000000000002</v>
      </c>
      <c r="P1070" s="476">
        <v>0.80625000000000002</v>
      </c>
      <c r="Q1070" s="477">
        <v>0.81736111111111109</v>
      </c>
      <c r="R1070" s="472">
        <f>IF(Table6[[#This Row],[Work Start TimeStamp]]="","",(Table6[[#This Row],[Work Start TimeStamp]]-Table6[[#This Row],[Fault Start TimeStamp]])*24)</f>
        <v>0</v>
      </c>
      <c r="S1070" s="472">
        <f>(Table6[[#This Row],[Fault Clearance time]]-Table6[[#This Row],[Work Start TimeStamp]])*24</f>
        <v>0.26666666666666572</v>
      </c>
      <c r="T1070" s="472">
        <f>(Table6[[#This Row],[Fault Clearance time]]-Table6[[#This Row],[Fault Start TimeStamp]])*24</f>
        <v>0.26666666666666572</v>
      </c>
      <c r="U1070" s="35" t="s">
        <v>336</v>
      </c>
      <c r="V1070" s="102" t="s">
        <v>293</v>
      </c>
      <c r="W1070" s="478">
        <f>IFERROR(Table6[[#This Row],[Breakdown Time]]*Table6[[#This Row],[Plant Equivalent Weightage]],"")</f>
        <v>1.0256410256410217E-2</v>
      </c>
      <c r="X1070" s="473" t="s">
        <v>294</v>
      </c>
      <c r="Y1070" s="474" t="s">
        <v>99</v>
      </c>
      <c r="Z1070" s="102">
        <v>23651</v>
      </c>
      <c r="AA1070" s="468">
        <f>(Table6[[#This Row],[Paired WTG Generation for loss calculation]]/24)*Table6[[#This Row],[Breakdown Time]]</f>
        <v>262.78888888888798</v>
      </c>
      <c r="AB1070" s="102"/>
      <c r="AC1070" s="35"/>
      <c r="AD1070" s="35"/>
    </row>
    <row r="1071" spans="1:30">
      <c r="A1071" s="102">
        <f t="shared" si="17"/>
        <v>1070</v>
      </c>
      <c r="B1071" s="468">
        <f>YEAR(Table6[[#This Row],[Date]])+IF(MONTH(Table6[[#This Row],[Date]])&gt;=4,1,0)</f>
        <v>2026</v>
      </c>
      <c r="C1071" s="102">
        <f>YEAR(Table6[[#This Row],[Date]])</f>
        <v>2025</v>
      </c>
      <c r="D1071" s="102" t="s">
        <v>1992</v>
      </c>
      <c r="E1071" s="469">
        <f>Table6[[#This Row],[Date]]-DAY(Table6[[#This Row],[Date]])+1</f>
        <v>45809</v>
      </c>
      <c r="F1071" s="470">
        <v>45814</v>
      </c>
      <c r="G1071" s="35" t="s">
        <v>76</v>
      </c>
      <c r="H1071" s="35" t="str">
        <f>IFERROR(_xlfn.XLOOKUP(Table6[[#This Row],[Affected WTG]],'Basic Data'!$A:$A,'Basic Data'!$B:$B),"")</f>
        <v>TQGXIIPL</v>
      </c>
      <c r="I1071" s="35" t="str">
        <f>IFERROR(_xlfn.XLOOKUP(Table6[[#This Row],[Affected WTG]],'Basic Data'!$A:$A,'Basic Data'!$C:$C),"")</f>
        <v>GEDA</v>
      </c>
      <c r="J1071" s="471">
        <f>IFERROR(_xlfn.XLOOKUP(Table6[[#This Row],[Affected WTG]],'Basic Data'!$A:$A,'Basic Data'!$E:$E),"")</f>
        <v>3.846153846153845E-2</v>
      </c>
      <c r="K1071" s="102">
        <v>641</v>
      </c>
      <c r="L1071" s="35" t="str">
        <f>IFERROR(_xlfn.XLOOKUP(Table6[[#This Row],[Error Code]],'Basic Data'!$AA:$AA,'Basic Data'!$AB:$AB),"Incorrect Error Code")</f>
        <v>Sim.angle E enc. &lt;&gt; act.angle 1</v>
      </c>
      <c r="M1071" s="35" t="s">
        <v>291</v>
      </c>
      <c r="N1071" s="475"/>
      <c r="O1071" s="476">
        <v>0.49513888888888891</v>
      </c>
      <c r="P1071" s="476">
        <v>0.57638888888888884</v>
      </c>
      <c r="Q1071" s="477">
        <v>0.73750000000000004</v>
      </c>
      <c r="R1071" s="472">
        <f>IF(Table6[[#This Row],[Work Start TimeStamp]]="","",(Table6[[#This Row],[Work Start TimeStamp]]-Table6[[#This Row],[Fault Start TimeStamp]])*24)</f>
        <v>1.9499999999999984</v>
      </c>
      <c r="S1071" s="472">
        <f>(Table6[[#This Row],[Fault Clearance time]]-Table6[[#This Row],[Work Start TimeStamp]])*24</f>
        <v>3.8666666666666689</v>
      </c>
      <c r="T1071" s="472">
        <f>(Table6[[#This Row],[Fault Clearance time]]-Table6[[#This Row],[Fault Start TimeStamp]])*24</f>
        <v>5.8166666666666673</v>
      </c>
      <c r="U1071" s="35" t="s">
        <v>1944</v>
      </c>
      <c r="V1071" s="102" t="s">
        <v>293</v>
      </c>
      <c r="W1071" s="478">
        <f>IFERROR(Table6[[#This Row],[Breakdown Time]]*Table6[[#This Row],[Plant Equivalent Weightage]],"")</f>
        <v>0.22371794871794867</v>
      </c>
      <c r="X1071" s="473" t="s">
        <v>290</v>
      </c>
      <c r="Y1071" s="474" t="s">
        <v>82</v>
      </c>
      <c r="Z1071" s="102">
        <v>22922</v>
      </c>
      <c r="AA1071" s="468">
        <f>(Table6[[#This Row],[Paired WTG Generation for loss calculation]]/24)*Table6[[#This Row],[Breakdown Time]]</f>
        <v>5555.4013888888894</v>
      </c>
      <c r="AB1071" s="102"/>
      <c r="AC1071" s="35"/>
      <c r="AD1071" s="35"/>
    </row>
    <row r="1072" spans="1:30">
      <c r="A1072" s="102">
        <f t="shared" si="17"/>
        <v>1071</v>
      </c>
      <c r="B1072" s="468">
        <f>YEAR(Table6[[#This Row],[Date]])+IF(MONTH(Table6[[#This Row],[Date]])&gt;=4,1,0)</f>
        <v>2026</v>
      </c>
      <c r="C1072" s="102">
        <f>YEAR(Table6[[#This Row],[Date]])</f>
        <v>2025</v>
      </c>
      <c r="D1072" s="102" t="s">
        <v>1992</v>
      </c>
      <c r="E1072" s="469">
        <f>Table6[[#This Row],[Date]]-DAY(Table6[[#This Row],[Date]])+1</f>
        <v>45809</v>
      </c>
      <c r="F1072" s="470">
        <v>45814</v>
      </c>
      <c r="G1072" s="35" t="s">
        <v>77</v>
      </c>
      <c r="H1072" s="35" t="str">
        <f>IFERROR(_xlfn.XLOOKUP(Table6[[#This Row],[Affected WTG]],'Basic Data'!$A:$A,'Basic Data'!$B:$B),"")</f>
        <v>TQGXIIPL</v>
      </c>
      <c r="I1072" s="35" t="str">
        <f>IFERROR(_xlfn.XLOOKUP(Table6[[#This Row],[Affected WTG]],'Basic Data'!$A:$A,'Basic Data'!$C:$C),"")</f>
        <v>GEDA</v>
      </c>
      <c r="J1072" s="471">
        <f>IFERROR(_xlfn.XLOOKUP(Table6[[#This Row],[Affected WTG]],'Basic Data'!$A:$A,'Basic Data'!$E:$E),"")</f>
        <v>3.846153846153845E-2</v>
      </c>
      <c r="K1072" s="102">
        <v>6130</v>
      </c>
      <c r="L1072" s="35" t="str">
        <f>IFERROR(_xlfn.XLOOKUP(Table6[[#This Row],[Error Code]],'Basic Data'!$AA:$AA,'Basic Data'!$AB:$AB),"Incorrect Error Code")</f>
        <v>Yaw speed high</v>
      </c>
      <c r="M1072" s="35" t="s">
        <v>292</v>
      </c>
      <c r="N1072" s="475"/>
      <c r="O1072" s="476">
        <v>0.7944444444444444</v>
      </c>
      <c r="P1072" s="476">
        <v>0.7944444444444444</v>
      </c>
      <c r="Q1072" s="477">
        <v>0.79861111111111116</v>
      </c>
      <c r="R1072" s="472">
        <f>IF(Table6[[#This Row],[Work Start TimeStamp]]="","",(Table6[[#This Row],[Work Start TimeStamp]]-Table6[[#This Row],[Fault Start TimeStamp]])*24)</f>
        <v>0</v>
      </c>
      <c r="S1072" s="472">
        <f>(Table6[[#This Row],[Fault Clearance time]]-Table6[[#This Row],[Work Start TimeStamp]])*24</f>
        <v>0.10000000000000231</v>
      </c>
      <c r="T1072" s="472">
        <f>(Table6[[#This Row],[Fault Clearance time]]-Table6[[#This Row],[Fault Start TimeStamp]])*24</f>
        <v>0.10000000000000231</v>
      </c>
      <c r="U1072" s="35" t="s">
        <v>336</v>
      </c>
      <c r="V1072" s="102" t="s">
        <v>293</v>
      </c>
      <c r="W1072" s="478">
        <f>IFERROR(Table6[[#This Row],[Breakdown Time]]*Table6[[#This Row],[Plant Equivalent Weightage]],"")</f>
        <v>3.846153846153934E-3</v>
      </c>
      <c r="X1072" s="473" t="s">
        <v>294</v>
      </c>
      <c r="Y1072" s="474" t="s">
        <v>80</v>
      </c>
      <c r="Z1072" s="102">
        <v>24124</v>
      </c>
      <c r="AA1072" s="468">
        <f>(Table6[[#This Row],[Paired WTG Generation for loss calculation]]/24)*Table6[[#This Row],[Breakdown Time]]</f>
        <v>100.51666666666898</v>
      </c>
      <c r="AB1072" s="102"/>
      <c r="AC1072" s="35"/>
      <c r="AD1072" s="35"/>
    </row>
    <row r="1073" spans="1:30">
      <c r="A1073" s="102">
        <f t="shared" si="17"/>
        <v>1072</v>
      </c>
      <c r="B1073" s="468">
        <f>YEAR(Table6[[#This Row],[Date]])+IF(MONTH(Table6[[#This Row],[Date]])&gt;=4,1,0)</f>
        <v>2026</v>
      </c>
      <c r="C1073" s="102">
        <f>YEAR(Table6[[#This Row],[Date]])</f>
        <v>2025</v>
      </c>
      <c r="D1073" s="102" t="s">
        <v>1992</v>
      </c>
      <c r="E1073" s="469">
        <f>Table6[[#This Row],[Date]]-DAY(Table6[[#This Row],[Date]])+1</f>
        <v>45809</v>
      </c>
      <c r="F1073" s="470">
        <v>45814</v>
      </c>
      <c r="G1073" s="35" t="s">
        <v>78</v>
      </c>
      <c r="H1073" s="35" t="str">
        <f>IFERROR(_xlfn.XLOOKUP(Table6[[#This Row],[Affected WTG]],'Basic Data'!$A:$A,'Basic Data'!$B:$B),"")</f>
        <v>TQGXIIPL</v>
      </c>
      <c r="I1073" s="35" t="str">
        <f>IFERROR(_xlfn.XLOOKUP(Table6[[#This Row],[Affected WTG]],'Basic Data'!$A:$A,'Basic Data'!$C:$C),"")</f>
        <v>GEDA</v>
      </c>
      <c r="J1073" s="471">
        <f>IFERROR(_xlfn.XLOOKUP(Table6[[#This Row],[Affected WTG]],'Basic Data'!$A:$A,'Basic Data'!$E:$E),"")</f>
        <v>3.846153846153845E-2</v>
      </c>
      <c r="K1073" s="102">
        <v>4970</v>
      </c>
      <c r="L1073" s="35" t="str">
        <f>IFERROR(_xlfn.XLOOKUP(Table6[[#This Row],[Error Code]],'Basic Data'!$AA:$AA,'Basic Data'!$AB:$AB),"Incorrect Error Code")</f>
        <v>Tower oscillation XF</v>
      </c>
      <c r="M1073" s="35" t="s">
        <v>292</v>
      </c>
      <c r="N1073" s="475"/>
      <c r="O1073" s="476">
        <v>0.78055555555555556</v>
      </c>
      <c r="P1073" s="476">
        <v>0.78055555555555556</v>
      </c>
      <c r="Q1073" s="477">
        <v>0.79166666666666663</v>
      </c>
      <c r="R1073" s="472">
        <f>IF(Table6[[#This Row],[Work Start TimeStamp]]="","",(Table6[[#This Row],[Work Start TimeStamp]]-Table6[[#This Row],[Fault Start TimeStamp]])*24)</f>
        <v>0</v>
      </c>
      <c r="S1073" s="472">
        <f>(Table6[[#This Row],[Fault Clearance time]]-Table6[[#This Row],[Work Start TimeStamp]])*24</f>
        <v>0.26666666666666572</v>
      </c>
      <c r="T1073" s="472">
        <f>(Table6[[#This Row],[Fault Clearance time]]-Table6[[#This Row],[Fault Start TimeStamp]])*24</f>
        <v>0.26666666666666572</v>
      </c>
      <c r="U1073" s="35" t="s">
        <v>336</v>
      </c>
      <c r="V1073" s="102" t="s">
        <v>293</v>
      </c>
      <c r="W1073" s="478">
        <f>IFERROR(Table6[[#This Row],[Breakdown Time]]*Table6[[#This Row],[Plant Equivalent Weightage]],"")</f>
        <v>1.0256410256410217E-2</v>
      </c>
      <c r="X1073" s="473" t="s">
        <v>294</v>
      </c>
      <c r="Y1073" s="474" t="s">
        <v>75</v>
      </c>
      <c r="Z1073" s="102">
        <v>28011</v>
      </c>
      <c r="AA1073" s="468">
        <f>(Table6[[#This Row],[Paired WTG Generation for loss calculation]]/24)*Table6[[#This Row],[Breakdown Time]]</f>
        <v>311.23333333333221</v>
      </c>
      <c r="AB1073" s="102"/>
      <c r="AC1073" s="35"/>
      <c r="AD1073" s="35"/>
    </row>
    <row r="1074" spans="1:30">
      <c r="A1074" s="102">
        <f t="shared" si="17"/>
        <v>1073</v>
      </c>
      <c r="B1074" s="468">
        <f>YEAR(Table6[[#This Row],[Date]])+IF(MONTH(Table6[[#This Row],[Date]])&gt;=4,1,0)</f>
        <v>2026</v>
      </c>
      <c r="C1074" s="102">
        <f>YEAR(Table6[[#This Row],[Date]])</f>
        <v>2025</v>
      </c>
      <c r="D1074" s="102" t="s">
        <v>1992</v>
      </c>
      <c r="E1074" s="469">
        <f>Table6[[#This Row],[Date]]-DAY(Table6[[#This Row],[Date]])+1</f>
        <v>45809</v>
      </c>
      <c r="F1074" s="470">
        <v>45814</v>
      </c>
      <c r="G1074" s="35" t="s">
        <v>80</v>
      </c>
      <c r="H1074" s="35" t="str">
        <f>IFERROR(_xlfn.XLOOKUP(Table6[[#This Row],[Affected WTG]],'Basic Data'!$A:$A,'Basic Data'!$B:$B),"")</f>
        <v>TQGXIIPL</v>
      </c>
      <c r="I1074" s="35" t="str">
        <f>IFERROR(_xlfn.XLOOKUP(Table6[[#This Row],[Affected WTG]],'Basic Data'!$A:$A,'Basic Data'!$C:$C),"")</f>
        <v>GEDA</v>
      </c>
      <c r="J1074" s="471">
        <f>IFERROR(_xlfn.XLOOKUP(Table6[[#This Row],[Affected WTG]],'Basic Data'!$A:$A,'Basic Data'!$E:$E),"")</f>
        <v>3.846153846153845E-2</v>
      </c>
      <c r="K1074" s="102">
        <v>175</v>
      </c>
      <c r="L1074" s="35" t="str">
        <f>IFERROR(_xlfn.XLOOKUP(Table6[[#This Row],[Error Code]],'Basic Data'!$AA:$AA,'Basic Data'!$AB:$AB),"Incorrect Error Code")</f>
        <v>SLC error</v>
      </c>
      <c r="M1074" s="35" t="s">
        <v>291</v>
      </c>
      <c r="N1074" s="475"/>
      <c r="O1074" s="476">
        <v>0.5625</v>
      </c>
      <c r="P1074" s="476">
        <v>0.5625</v>
      </c>
      <c r="Q1074" s="477">
        <v>0.5854166666666667</v>
      </c>
      <c r="R1074" s="472">
        <f>IF(Table6[[#This Row],[Work Start TimeStamp]]="","",(Table6[[#This Row],[Work Start TimeStamp]]-Table6[[#This Row],[Fault Start TimeStamp]])*24)</f>
        <v>0</v>
      </c>
      <c r="S1074" s="472">
        <f>(Table6[[#This Row],[Fault Clearance time]]-Table6[[#This Row],[Work Start TimeStamp]])*24</f>
        <v>0.55000000000000071</v>
      </c>
      <c r="T1074" s="472">
        <f>(Table6[[#This Row],[Fault Clearance time]]-Table6[[#This Row],[Fault Start TimeStamp]])*24</f>
        <v>0.55000000000000071</v>
      </c>
      <c r="U1074" s="35" t="s">
        <v>1945</v>
      </c>
      <c r="V1074" s="102" t="s">
        <v>293</v>
      </c>
      <c r="W1074" s="478">
        <f>IFERROR(Table6[[#This Row],[Breakdown Time]]*Table6[[#This Row],[Plant Equivalent Weightage]],"")</f>
        <v>2.1153846153846176E-2</v>
      </c>
      <c r="X1074" s="473" t="s">
        <v>294</v>
      </c>
      <c r="Y1074" s="474" t="s">
        <v>77</v>
      </c>
      <c r="Z1074" s="102">
        <v>25991</v>
      </c>
      <c r="AA1074" s="468">
        <f>(Table6[[#This Row],[Paired WTG Generation for loss calculation]]/24)*Table6[[#This Row],[Breakdown Time]]</f>
        <v>595.6270833333341</v>
      </c>
      <c r="AB1074" s="102"/>
      <c r="AC1074" s="35"/>
      <c r="AD1074" s="35"/>
    </row>
    <row r="1075" spans="1:30">
      <c r="A1075" s="102">
        <f t="shared" si="17"/>
        <v>1074</v>
      </c>
      <c r="B1075" s="468">
        <f>YEAR(Table6[[#This Row],[Date]])+IF(MONTH(Table6[[#This Row],[Date]])&gt;=4,1,0)</f>
        <v>2026</v>
      </c>
      <c r="C1075" s="102">
        <f>YEAR(Table6[[#This Row],[Date]])</f>
        <v>2025</v>
      </c>
      <c r="D1075" s="102" t="s">
        <v>1992</v>
      </c>
      <c r="E1075" s="469">
        <f>Table6[[#This Row],[Date]]-DAY(Table6[[#This Row],[Date]])+1</f>
        <v>45809</v>
      </c>
      <c r="F1075" s="470">
        <v>45814</v>
      </c>
      <c r="G1075" s="35" t="s">
        <v>82</v>
      </c>
      <c r="H1075" s="35" t="str">
        <f>IFERROR(_xlfn.XLOOKUP(Table6[[#This Row],[Affected WTG]],'Basic Data'!$A:$A,'Basic Data'!$B:$B),"")</f>
        <v>TQGXIIPL</v>
      </c>
      <c r="I1075" s="35" t="str">
        <f>IFERROR(_xlfn.XLOOKUP(Table6[[#This Row],[Affected WTG]],'Basic Data'!$A:$A,'Basic Data'!$C:$C),"")</f>
        <v>GEDA</v>
      </c>
      <c r="J1075" s="471">
        <f>IFERROR(_xlfn.XLOOKUP(Table6[[#This Row],[Affected WTG]],'Basic Data'!$A:$A,'Basic Data'!$E:$E),"")</f>
        <v>3.846153846153845E-2</v>
      </c>
      <c r="K1075" s="102">
        <v>4540</v>
      </c>
      <c r="L1075" s="35" t="str">
        <f>IFERROR(_xlfn.XLOOKUP(Table6[[#This Row],[Error Code]],'Basic Data'!$AA:$AA,'Basic Data'!$AB:$AB),"Incorrect Error Code")</f>
        <v>Tower oscillation X level 2</v>
      </c>
      <c r="M1075" s="35" t="s">
        <v>292</v>
      </c>
      <c r="N1075" s="475"/>
      <c r="O1075" s="476">
        <v>0.80208333333333337</v>
      </c>
      <c r="P1075" s="476">
        <v>0.80208333333333337</v>
      </c>
      <c r="Q1075" s="477">
        <v>0.81319444444444444</v>
      </c>
      <c r="R1075" s="472">
        <f>IF(Table6[[#This Row],[Work Start TimeStamp]]="","",(Table6[[#This Row],[Work Start TimeStamp]]-Table6[[#This Row],[Fault Start TimeStamp]])*24)</f>
        <v>0</v>
      </c>
      <c r="S1075" s="472">
        <f>(Table6[[#This Row],[Fault Clearance time]]-Table6[[#This Row],[Work Start TimeStamp]])*24</f>
        <v>0.26666666666666572</v>
      </c>
      <c r="T1075" s="472">
        <f>(Table6[[#This Row],[Fault Clearance time]]-Table6[[#This Row],[Fault Start TimeStamp]])*24</f>
        <v>0.26666666666666572</v>
      </c>
      <c r="U1075" s="35" t="s">
        <v>336</v>
      </c>
      <c r="V1075" s="102" t="s">
        <v>293</v>
      </c>
      <c r="W1075" s="478">
        <f>IFERROR(Table6[[#This Row],[Breakdown Time]]*Table6[[#This Row],[Plant Equivalent Weightage]],"")</f>
        <v>1.0256410256410217E-2</v>
      </c>
      <c r="X1075" s="473" t="s">
        <v>294</v>
      </c>
      <c r="Y1075" s="474" t="s">
        <v>76</v>
      </c>
      <c r="Z1075" s="102">
        <v>21461</v>
      </c>
      <c r="AA1075" s="468">
        <f>(Table6[[#This Row],[Paired WTG Generation for loss calculation]]/24)*Table6[[#This Row],[Breakdown Time]]</f>
        <v>238.45555555555472</v>
      </c>
      <c r="AB1075" s="102"/>
      <c r="AC1075" s="35"/>
      <c r="AD1075" s="35"/>
    </row>
    <row r="1076" spans="1:30">
      <c r="A1076" s="102">
        <f t="shared" si="17"/>
        <v>1075</v>
      </c>
      <c r="B1076" s="468">
        <f>YEAR(Table6[[#This Row],[Date]])+IF(MONTH(Table6[[#This Row],[Date]])&gt;=4,1,0)</f>
        <v>2026</v>
      </c>
      <c r="C1076" s="102">
        <f>YEAR(Table6[[#This Row],[Date]])</f>
        <v>2025</v>
      </c>
      <c r="D1076" s="102" t="s">
        <v>1992</v>
      </c>
      <c r="E1076" s="469">
        <f>Table6[[#This Row],[Date]]-DAY(Table6[[#This Row],[Date]])+1</f>
        <v>45809</v>
      </c>
      <c r="F1076" s="470">
        <v>45814</v>
      </c>
      <c r="G1076" s="35" t="s">
        <v>86</v>
      </c>
      <c r="H1076" s="35" t="str">
        <f>IFERROR(_xlfn.XLOOKUP(Table6[[#This Row],[Affected WTG]],'Basic Data'!$A:$A,'Basic Data'!$B:$B),"")</f>
        <v>TQGXIIPL</v>
      </c>
      <c r="I1076" s="35" t="str">
        <f>IFERROR(_xlfn.XLOOKUP(Table6[[#This Row],[Affected WTG]],'Basic Data'!$A:$A,'Basic Data'!$C:$C),"")</f>
        <v>GEDA</v>
      </c>
      <c r="J1076" s="471">
        <f>IFERROR(_xlfn.XLOOKUP(Table6[[#This Row],[Affected WTG]],'Basic Data'!$A:$A,'Basic Data'!$E:$E),"")</f>
        <v>3.846153846153845E-2</v>
      </c>
      <c r="K1076" s="102">
        <v>687</v>
      </c>
      <c r="L1076" s="35" t="str">
        <f>IFERROR(_xlfn.XLOOKUP(Table6[[#This Row],[Error Code]],'Basic Data'!$AA:$AA,'Basic Data'!$AB:$AB),"Incorrect Error Code")</f>
        <v>Power failure pitch</v>
      </c>
      <c r="M1076" s="35" t="s">
        <v>291</v>
      </c>
      <c r="N1076" s="475"/>
      <c r="O1076" s="476">
        <v>0.69305555555555554</v>
      </c>
      <c r="P1076" s="476">
        <v>0.70833333333333337</v>
      </c>
      <c r="Q1076" s="477">
        <v>0.8125</v>
      </c>
      <c r="R1076" s="472">
        <f>IF(Table6[[#This Row],[Work Start TimeStamp]]="","",(Table6[[#This Row],[Work Start TimeStamp]]-Table6[[#This Row],[Fault Start TimeStamp]])*24)</f>
        <v>0.36666666666666803</v>
      </c>
      <c r="S1076" s="472">
        <f>(Table6[[#This Row],[Fault Clearance time]]-Table6[[#This Row],[Work Start TimeStamp]])*24</f>
        <v>2.4999999999999991</v>
      </c>
      <c r="T1076" s="472">
        <f>(Table6[[#This Row],[Fault Clearance time]]-Table6[[#This Row],[Fault Start TimeStamp]])*24</f>
        <v>2.8666666666666671</v>
      </c>
      <c r="U1076" s="35" t="s">
        <v>1946</v>
      </c>
      <c r="V1076" s="102" t="s">
        <v>293</v>
      </c>
      <c r="W1076" s="478">
        <f>IFERROR(Table6[[#This Row],[Breakdown Time]]*Table6[[#This Row],[Plant Equivalent Weightage]],"")</f>
        <v>0.11025641025641024</v>
      </c>
      <c r="X1076" s="473" t="s">
        <v>290</v>
      </c>
      <c r="Y1076" s="474" t="s">
        <v>84</v>
      </c>
      <c r="Z1076" s="102">
        <v>21231</v>
      </c>
      <c r="AA1076" s="468">
        <f>(Table6[[#This Row],[Paired WTG Generation for loss calculation]]/24)*Table6[[#This Row],[Breakdown Time]]</f>
        <v>2535.9250000000006</v>
      </c>
      <c r="AB1076" s="102"/>
      <c r="AC1076" s="35"/>
      <c r="AD1076" s="35"/>
    </row>
    <row r="1077" spans="1:30">
      <c r="A1077" s="102">
        <f t="shared" si="17"/>
        <v>1076</v>
      </c>
      <c r="B1077" s="468">
        <f>YEAR(Table6[[#This Row],[Date]])+IF(MONTH(Table6[[#This Row],[Date]])&gt;=4,1,0)</f>
        <v>2026</v>
      </c>
      <c r="C1077" s="102">
        <f>YEAR(Table6[[#This Row],[Date]])</f>
        <v>2025</v>
      </c>
      <c r="D1077" s="102" t="s">
        <v>1992</v>
      </c>
      <c r="E1077" s="469">
        <f>Table6[[#This Row],[Date]]-DAY(Table6[[#This Row],[Date]])+1</f>
        <v>45809</v>
      </c>
      <c r="F1077" s="470">
        <v>45814</v>
      </c>
      <c r="G1077" s="35" t="s">
        <v>90</v>
      </c>
      <c r="H1077" s="35" t="str">
        <f>IFERROR(_xlfn.XLOOKUP(Table6[[#This Row],[Affected WTG]],'Basic Data'!$A:$A,'Basic Data'!$B:$B),"")</f>
        <v>TQGXIIPL</v>
      </c>
      <c r="I1077" s="35" t="str">
        <f>IFERROR(_xlfn.XLOOKUP(Table6[[#This Row],[Affected WTG]],'Basic Data'!$A:$A,'Basic Data'!$C:$C),"")</f>
        <v>GEDA</v>
      </c>
      <c r="J1077" s="471">
        <f>IFERROR(_xlfn.XLOOKUP(Table6[[#This Row],[Affected WTG]],'Basic Data'!$A:$A,'Basic Data'!$E:$E),"")</f>
        <v>3.846153846153845E-2</v>
      </c>
      <c r="K1077" s="102">
        <v>4970</v>
      </c>
      <c r="L1077" s="35" t="str">
        <f>IFERROR(_xlfn.XLOOKUP(Table6[[#This Row],[Error Code]],'Basic Data'!$AA:$AA,'Basic Data'!$AB:$AB),"Incorrect Error Code")</f>
        <v>Tower oscillation XF</v>
      </c>
      <c r="M1077" s="35" t="s">
        <v>292</v>
      </c>
      <c r="N1077" s="475"/>
      <c r="O1077" s="476">
        <v>0.74791666666666667</v>
      </c>
      <c r="P1077" s="476">
        <v>0.74791666666666667</v>
      </c>
      <c r="Q1077" s="477">
        <v>0.75902777777777775</v>
      </c>
      <c r="R1077" s="472">
        <f>IF(Table6[[#This Row],[Work Start TimeStamp]]="","",(Table6[[#This Row],[Work Start TimeStamp]]-Table6[[#This Row],[Fault Start TimeStamp]])*24)</f>
        <v>0</v>
      </c>
      <c r="S1077" s="472">
        <f>(Table6[[#This Row],[Fault Clearance time]]-Table6[[#This Row],[Work Start TimeStamp]])*24</f>
        <v>0.26666666666666572</v>
      </c>
      <c r="T1077" s="472">
        <f>(Table6[[#This Row],[Fault Clearance time]]-Table6[[#This Row],[Fault Start TimeStamp]])*24</f>
        <v>0.26666666666666572</v>
      </c>
      <c r="U1077" s="35" t="s">
        <v>336</v>
      </c>
      <c r="V1077" s="102" t="s">
        <v>293</v>
      </c>
      <c r="W1077" s="478">
        <f>IFERROR(Table6[[#This Row],[Breakdown Time]]*Table6[[#This Row],[Plant Equivalent Weightage]],"")</f>
        <v>1.0256410256410217E-2</v>
      </c>
      <c r="X1077" s="473" t="s">
        <v>294</v>
      </c>
      <c r="Y1077" s="474" t="s">
        <v>95</v>
      </c>
      <c r="Z1077" s="102">
        <v>22267</v>
      </c>
      <c r="AA1077" s="468">
        <f>(Table6[[#This Row],[Paired WTG Generation for loss calculation]]/24)*Table6[[#This Row],[Breakdown Time]]</f>
        <v>247.41111111111022</v>
      </c>
      <c r="AB1077" s="102"/>
      <c r="AC1077" s="35"/>
      <c r="AD1077" s="35"/>
    </row>
    <row r="1078" spans="1:30">
      <c r="A1078" s="102">
        <f t="shared" si="17"/>
        <v>1077</v>
      </c>
      <c r="B1078" s="468">
        <f>YEAR(Table6[[#This Row],[Date]])+IF(MONTH(Table6[[#This Row],[Date]])&gt;=4,1,0)</f>
        <v>2026</v>
      </c>
      <c r="C1078" s="102">
        <f>YEAR(Table6[[#This Row],[Date]])</f>
        <v>2025</v>
      </c>
      <c r="D1078" s="102" t="s">
        <v>1992</v>
      </c>
      <c r="E1078" s="469">
        <f>Table6[[#This Row],[Date]]-DAY(Table6[[#This Row],[Date]])+1</f>
        <v>45809</v>
      </c>
      <c r="F1078" s="470">
        <v>45814</v>
      </c>
      <c r="G1078" s="35" t="s">
        <v>94</v>
      </c>
      <c r="H1078" s="35" t="str">
        <f>IFERROR(_xlfn.XLOOKUP(Table6[[#This Row],[Affected WTG]],'Basic Data'!$A:$A,'Basic Data'!$B:$B),"")</f>
        <v>TQGXIIPL</v>
      </c>
      <c r="I1078" s="35" t="str">
        <f>IFERROR(_xlfn.XLOOKUP(Table6[[#This Row],[Affected WTG]],'Basic Data'!$A:$A,'Basic Data'!$C:$C),"")</f>
        <v>GEDA</v>
      </c>
      <c r="J1078" s="471">
        <f>IFERROR(_xlfn.XLOOKUP(Table6[[#This Row],[Affected WTG]],'Basic Data'!$A:$A,'Basic Data'!$E:$E),"")</f>
        <v>3.846153846153845E-2</v>
      </c>
      <c r="K1078" s="102">
        <v>4540</v>
      </c>
      <c r="L1078" s="35" t="str">
        <f>IFERROR(_xlfn.XLOOKUP(Table6[[#This Row],[Error Code]],'Basic Data'!$AA:$AA,'Basic Data'!$AB:$AB),"Incorrect Error Code")</f>
        <v>Tower oscillation X level 2</v>
      </c>
      <c r="M1078" s="35" t="s">
        <v>291</v>
      </c>
      <c r="N1078" s="475"/>
      <c r="O1078" s="476">
        <v>0.76249999999999996</v>
      </c>
      <c r="P1078" s="476">
        <v>0.76249999999999996</v>
      </c>
      <c r="Q1078" s="477">
        <v>0.77152777777777781</v>
      </c>
      <c r="R1078" s="472">
        <f>IF(Table6[[#This Row],[Work Start TimeStamp]]="","",(Table6[[#This Row],[Work Start TimeStamp]]-Table6[[#This Row],[Fault Start TimeStamp]])*24)</f>
        <v>0</v>
      </c>
      <c r="S1078" s="472">
        <f>(Table6[[#This Row],[Fault Clearance time]]-Table6[[#This Row],[Work Start TimeStamp]])*24</f>
        <v>0.21666666666666856</v>
      </c>
      <c r="T1078" s="472">
        <f>(Table6[[#This Row],[Fault Clearance time]]-Table6[[#This Row],[Fault Start TimeStamp]])*24</f>
        <v>0.21666666666666856</v>
      </c>
      <c r="U1078" s="35" t="s">
        <v>1924</v>
      </c>
      <c r="V1078" s="102" t="s">
        <v>293</v>
      </c>
      <c r="W1078" s="478">
        <f>IFERROR(Table6[[#This Row],[Breakdown Time]]*Table6[[#This Row],[Plant Equivalent Weightage]],"")</f>
        <v>8.3333333333334043E-3</v>
      </c>
      <c r="X1078" s="473" t="s">
        <v>294</v>
      </c>
      <c r="Y1078" s="474" t="s">
        <v>79</v>
      </c>
      <c r="Z1078" s="102">
        <v>21010</v>
      </c>
      <c r="AA1078" s="468">
        <f>(Table6[[#This Row],[Paired WTG Generation for loss calculation]]/24)*Table6[[#This Row],[Breakdown Time]]</f>
        <v>189.67361111111276</v>
      </c>
      <c r="AB1078" s="102"/>
      <c r="AC1078" s="35"/>
      <c r="AD1078" s="35"/>
    </row>
    <row r="1079" spans="1:30">
      <c r="A1079" s="102">
        <f t="shared" si="17"/>
        <v>1078</v>
      </c>
      <c r="B1079" s="468">
        <f>YEAR(Table6[[#This Row],[Date]])+IF(MONTH(Table6[[#This Row],[Date]])&gt;=4,1,0)</f>
        <v>2026</v>
      </c>
      <c r="C1079" s="102">
        <f>YEAR(Table6[[#This Row],[Date]])</f>
        <v>2025</v>
      </c>
      <c r="D1079" s="102" t="s">
        <v>1992</v>
      </c>
      <c r="E1079" s="469">
        <f>Table6[[#This Row],[Date]]-DAY(Table6[[#This Row],[Date]])+1</f>
        <v>45809</v>
      </c>
      <c r="F1079" s="470">
        <v>45814</v>
      </c>
      <c r="G1079" s="35" t="s">
        <v>96</v>
      </c>
      <c r="H1079" s="35" t="str">
        <f>IFERROR(_xlfn.XLOOKUP(Table6[[#This Row],[Affected WTG]],'Basic Data'!$A:$A,'Basic Data'!$B:$B),"")</f>
        <v>TQGXIIPL</v>
      </c>
      <c r="I1079" s="35" t="str">
        <f>IFERROR(_xlfn.XLOOKUP(Table6[[#This Row],[Affected WTG]],'Basic Data'!$A:$A,'Basic Data'!$C:$C),"")</f>
        <v>GEDA</v>
      </c>
      <c r="J1079" s="471">
        <f>IFERROR(_xlfn.XLOOKUP(Table6[[#This Row],[Affected WTG]],'Basic Data'!$A:$A,'Basic Data'!$E:$E),"")</f>
        <v>3.846153846153845E-2</v>
      </c>
      <c r="K1079" s="102">
        <v>5700</v>
      </c>
      <c r="L1079" s="35" t="str">
        <f>IFERROR(_xlfn.XLOOKUP(Table6[[#This Row],[Error Code]],'Basic Data'!$AA:$AA,'Basic Data'!$AB:$AB),"Incorrect Error Code")</f>
        <v>Max. operation time hydraulic</v>
      </c>
      <c r="M1079" s="35" t="s">
        <v>291</v>
      </c>
      <c r="N1079" s="475"/>
      <c r="O1079" s="476">
        <v>0.51666666666666672</v>
      </c>
      <c r="P1079" s="476">
        <v>0.51666666666666672</v>
      </c>
      <c r="Q1079" s="477">
        <v>0.52430555555555558</v>
      </c>
      <c r="R1079" s="472">
        <f>IF(Table6[[#This Row],[Work Start TimeStamp]]="","",(Table6[[#This Row],[Work Start TimeStamp]]-Table6[[#This Row],[Fault Start TimeStamp]])*24)</f>
        <v>0</v>
      </c>
      <c r="S1079" s="472">
        <f>(Table6[[#This Row],[Fault Clearance time]]-Table6[[#This Row],[Work Start TimeStamp]])*24</f>
        <v>0.18333333333333268</v>
      </c>
      <c r="T1079" s="472">
        <f>(Table6[[#This Row],[Fault Clearance time]]-Table6[[#This Row],[Fault Start TimeStamp]])*24</f>
        <v>0.18333333333333268</v>
      </c>
      <c r="U1079" s="35" t="s">
        <v>1924</v>
      </c>
      <c r="V1079" s="102" t="s">
        <v>293</v>
      </c>
      <c r="W1079" s="478">
        <f>IFERROR(Table6[[#This Row],[Breakdown Time]]*Table6[[#This Row],[Plant Equivalent Weightage]],"")</f>
        <v>7.0512820512820245E-3</v>
      </c>
      <c r="X1079" s="473" t="s">
        <v>294</v>
      </c>
      <c r="Y1079" s="474" t="s">
        <v>84</v>
      </c>
      <c r="Z1079" s="102">
        <v>21231</v>
      </c>
      <c r="AA1079" s="468">
        <f>(Table6[[#This Row],[Paired WTG Generation for loss calculation]]/24)*Table6[[#This Row],[Breakdown Time]]</f>
        <v>162.18124999999944</v>
      </c>
      <c r="AB1079" s="102"/>
      <c r="AC1079" s="35"/>
      <c r="AD1079" s="35"/>
    </row>
    <row r="1080" spans="1:30">
      <c r="A1080" s="102">
        <f t="shared" si="17"/>
        <v>1079</v>
      </c>
      <c r="B1080" s="468">
        <f>YEAR(Table6[[#This Row],[Date]])+IF(MONTH(Table6[[#This Row],[Date]])&gt;=4,1,0)</f>
        <v>2026</v>
      </c>
      <c r="C1080" s="102">
        <f>YEAR(Table6[[#This Row],[Date]])</f>
        <v>2025</v>
      </c>
      <c r="D1080" s="102" t="s">
        <v>1992</v>
      </c>
      <c r="E1080" s="469">
        <f>Table6[[#This Row],[Date]]-DAY(Table6[[#This Row],[Date]])+1</f>
        <v>45809</v>
      </c>
      <c r="F1080" s="470">
        <v>45814</v>
      </c>
      <c r="G1080" s="35" t="s">
        <v>96</v>
      </c>
      <c r="H1080" s="35" t="str">
        <f>IFERROR(_xlfn.XLOOKUP(Table6[[#This Row],[Affected WTG]],'Basic Data'!$A:$A,'Basic Data'!$B:$B),"")</f>
        <v>TQGXIIPL</v>
      </c>
      <c r="I1080" s="35" t="str">
        <f>IFERROR(_xlfn.XLOOKUP(Table6[[#This Row],[Affected WTG]],'Basic Data'!$A:$A,'Basic Data'!$C:$C),"")</f>
        <v>GEDA</v>
      </c>
      <c r="J1080" s="471">
        <f>IFERROR(_xlfn.XLOOKUP(Table6[[#This Row],[Affected WTG]],'Basic Data'!$A:$A,'Basic Data'!$E:$E),"")</f>
        <v>3.846153846153845E-2</v>
      </c>
      <c r="K1080" s="102">
        <v>5700</v>
      </c>
      <c r="L1080" s="35" t="str">
        <f>IFERROR(_xlfn.XLOOKUP(Table6[[#This Row],[Error Code]],'Basic Data'!$AA:$AA,'Basic Data'!$AB:$AB),"Incorrect Error Code")</f>
        <v>Max. operation time hydraulic</v>
      </c>
      <c r="M1080" s="35" t="s">
        <v>291</v>
      </c>
      <c r="N1080" s="475"/>
      <c r="O1080" s="476">
        <v>0.57847222222222228</v>
      </c>
      <c r="P1080" s="476">
        <v>0.57847222222222228</v>
      </c>
      <c r="Q1080" s="477">
        <v>0.58611111111111114</v>
      </c>
      <c r="R1080" s="472">
        <f>IF(Table6[[#This Row],[Work Start TimeStamp]]="","",(Table6[[#This Row],[Work Start TimeStamp]]-Table6[[#This Row],[Fault Start TimeStamp]])*24)</f>
        <v>0</v>
      </c>
      <c r="S1080" s="472">
        <f>(Table6[[#This Row],[Fault Clearance time]]-Table6[[#This Row],[Work Start TimeStamp]])*24</f>
        <v>0.18333333333333268</v>
      </c>
      <c r="T1080" s="472">
        <f>(Table6[[#This Row],[Fault Clearance time]]-Table6[[#This Row],[Fault Start TimeStamp]])*24</f>
        <v>0.18333333333333268</v>
      </c>
      <c r="U1080" s="35" t="s">
        <v>1945</v>
      </c>
      <c r="V1080" s="102" t="s">
        <v>293</v>
      </c>
      <c r="W1080" s="478">
        <f>IFERROR(Table6[[#This Row],[Breakdown Time]]*Table6[[#This Row],[Plant Equivalent Weightage]],"")</f>
        <v>7.0512820512820245E-3</v>
      </c>
      <c r="X1080" s="473" t="s">
        <v>294</v>
      </c>
      <c r="Y1080" s="474" t="s">
        <v>84</v>
      </c>
      <c r="Z1080" s="102">
        <v>21231</v>
      </c>
      <c r="AA1080" s="468">
        <f>(Table6[[#This Row],[Paired WTG Generation for loss calculation]]/24)*Table6[[#This Row],[Breakdown Time]]</f>
        <v>162.18124999999944</v>
      </c>
      <c r="AB1080" s="102"/>
      <c r="AC1080" s="35"/>
      <c r="AD1080" s="35"/>
    </row>
    <row r="1081" spans="1:30">
      <c r="A1081" s="102">
        <f t="shared" si="17"/>
        <v>1080</v>
      </c>
      <c r="B1081" s="468">
        <f>YEAR(Table6[[#This Row],[Date]])+IF(MONTH(Table6[[#This Row],[Date]])&gt;=4,1,0)</f>
        <v>2026</v>
      </c>
      <c r="C1081" s="102">
        <f>YEAR(Table6[[#This Row],[Date]])</f>
        <v>2025</v>
      </c>
      <c r="D1081" s="102" t="s">
        <v>1992</v>
      </c>
      <c r="E1081" s="469">
        <f>Table6[[#This Row],[Date]]-DAY(Table6[[#This Row],[Date]])+1</f>
        <v>45809</v>
      </c>
      <c r="F1081" s="470">
        <v>45814</v>
      </c>
      <c r="G1081" s="35" t="s">
        <v>96</v>
      </c>
      <c r="H1081" s="35" t="str">
        <f>IFERROR(_xlfn.XLOOKUP(Table6[[#This Row],[Affected WTG]],'Basic Data'!$A:$A,'Basic Data'!$B:$B),"")</f>
        <v>TQGXIIPL</v>
      </c>
      <c r="I1081" s="35" t="str">
        <f>IFERROR(_xlfn.XLOOKUP(Table6[[#This Row],[Affected WTG]],'Basic Data'!$A:$A,'Basic Data'!$C:$C),"")</f>
        <v>GEDA</v>
      </c>
      <c r="J1081" s="471">
        <f>IFERROR(_xlfn.XLOOKUP(Table6[[#This Row],[Affected WTG]],'Basic Data'!$A:$A,'Basic Data'!$E:$E),"")</f>
        <v>3.846153846153845E-2</v>
      </c>
      <c r="K1081" s="102">
        <v>5700</v>
      </c>
      <c r="L1081" s="35" t="str">
        <f>IFERROR(_xlfn.XLOOKUP(Table6[[#This Row],[Error Code]],'Basic Data'!$AA:$AA,'Basic Data'!$AB:$AB),"Incorrect Error Code")</f>
        <v>Max. operation time hydraulic</v>
      </c>
      <c r="M1081" s="35" t="s">
        <v>291</v>
      </c>
      <c r="N1081" s="475"/>
      <c r="O1081" s="476">
        <v>0.74236111111111114</v>
      </c>
      <c r="P1081" s="476">
        <v>0.74236111111111114</v>
      </c>
      <c r="Q1081" s="477">
        <v>0.75486111111111109</v>
      </c>
      <c r="R1081" s="472">
        <f>IF(Table6[[#This Row],[Work Start TimeStamp]]="","",(Table6[[#This Row],[Work Start TimeStamp]]-Table6[[#This Row],[Fault Start TimeStamp]])*24)</f>
        <v>0</v>
      </c>
      <c r="S1081" s="472">
        <f>(Table6[[#This Row],[Fault Clearance time]]-Table6[[#This Row],[Work Start TimeStamp]])*24</f>
        <v>0.29999999999999893</v>
      </c>
      <c r="T1081" s="472">
        <f>(Table6[[#This Row],[Fault Clearance time]]-Table6[[#This Row],[Fault Start TimeStamp]])*24</f>
        <v>0.29999999999999893</v>
      </c>
      <c r="U1081" s="35" t="s">
        <v>1945</v>
      </c>
      <c r="V1081" s="102" t="s">
        <v>293</v>
      </c>
      <c r="W1081" s="478">
        <f>IFERROR(Table6[[#This Row],[Breakdown Time]]*Table6[[#This Row],[Plant Equivalent Weightage]],"")</f>
        <v>1.1538461538461494E-2</v>
      </c>
      <c r="X1081" s="473" t="s">
        <v>294</v>
      </c>
      <c r="Y1081" s="474" t="s">
        <v>84</v>
      </c>
      <c r="Z1081" s="102">
        <v>21231</v>
      </c>
      <c r="AA1081" s="468">
        <f>(Table6[[#This Row],[Paired WTG Generation for loss calculation]]/24)*Table6[[#This Row],[Breakdown Time]]</f>
        <v>265.38749999999908</v>
      </c>
      <c r="AB1081" s="102"/>
      <c r="AC1081" s="35"/>
      <c r="AD1081" s="35"/>
    </row>
    <row r="1082" spans="1:30">
      <c r="A1082" s="102">
        <f t="shared" si="17"/>
        <v>1081</v>
      </c>
      <c r="B1082" s="468">
        <f>YEAR(Table6[[#This Row],[Date]])+IF(MONTH(Table6[[#This Row],[Date]])&gt;=4,1,0)</f>
        <v>2026</v>
      </c>
      <c r="C1082" s="102">
        <f>YEAR(Table6[[#This Row],[Date]])</f>
        <v>2025</v>
      </c>
      <c r="D1082" s="102" t="s">
        <v>1992</v>
      </c>
      <c r="E1082" s="469">
        <f>Table6[[#This Row],[Date]]-DAY(Table6[[#This Row],[Date]])+1</f>
        <v>45809</v>
      </c>
      <c r="F1082" s="470">
        <v>45814</v>
      </c>
      <c r="G1082" s="35" t="s">
        <v>96</v>
      </c>
      <c r="H1082" s="35" t="str">
        <f>IFERROR(_xlfn.XLOOKUP(Table6[[#This Row],[Affected WTG]],'Basic Data'!$A:$A,'Basic Data'!$B:$B),"")</f>
        <v>TQGXIIPL</v>
      </c>
      <c r="I1082" s="35" t="str">
        <f>IFERROR(_xlfn.XLOOKUP(Table6[[#This Row],[Affected WTG]],'Basic Data'!$A:$A,'Basic Data'!$C:$C),"")</f>
        <v>GEDA</v>
      </c>
      <c r="J1082" s="471">
        <f>IFERROR(_xlfn.XLOOKUP(Table6[[#This Row],[Affected WTG]],'Basic Data'!$A:$A,'Basic Data'!$E:$E),"")</f>
        <v>3.846153846153845E-2</v>
      </c>
      <c r="K1082" s="102">
        <v>6300</v>
      </c>
      <c r="L1082" s="35" t="str">
        <f>IFERROR(_xlfn.XLOOKUP(Table6[[#This Row],[Error Code]],'Basic Data'!$AA:$AA,'Basic Data'!$AB:$AB),"Incorrect Error Code")</f>
        <v>Yaw error</v>
      </c>
      <c r="M1082" s="35" t="s">
        <v>291</v>
      </c>
      <c r="N1082" s="475"/>
      <c r="O1082" s="476">
        <v>0.78333333333333333</v>
      </c>
      <c r="P1082" s="476">
        <v>0.78333333333333333</v>
      </c>
      <c r="Q1082" s="477">
        <v>0.78472222222222221</v>
      </c>
      <c r="R1082" s="472">
        <f>IF(Table6[[#This Row],[Work Start TimeStamp]]="","",(Table6[[#This Row],[Work Start TimeStamp]]-Table6[[#This Row],[Fault Start TimeStamp]])*24)</f>
        <v>0</v>
      </c>
      <c r="S1082" s="472">
        <f>(Table6[[#This Row],[Fault Clearance time]]-Table6[[#This Row],[Work Start TimeStamp]])*24</f>
        <v>3.3333333333333215E-2</v>
      </c>
      <c r="T1082" s="472">
        <f>(Table6[[#This Row],[Fault Clearance time]]-Table6[[#This Row],[Fault Start TimeStamp]])*24</f>
        <v>3.3333333333333215E-2</v>
      </c>
      <c r="U1082" s="35" t="s">
        <v>1924</v>
      </c>
      <c r="V1082" s="102" t="s">
        <v>293</v>
      </c>
      <c r="W1082" s="478">
        <f>IFERROR(Table6[[#This Row],[Breakdown Time]]*Table6[[#This Row],[Plant Equivalent Weightage]],"")</f>
        <v>1.2820512820512771E-3</v>
      </c>
      <c r="X1082" s="473" t="s">
        <v>294</v>
      </c>
      <c r="Y1082" s="474" t="s">
        <v>84</v>
      </c>
      <c r="Z1082" s="102">
        <v>21231</v>
      </c>
      <c r="AA1082" s="468">
        <f>(Table6[[#This Row],[Paired WTG Generation for loss calculation]]/24)*Table6[[#This Row],[Breakdown Time]]</f>
        <v>29.487499999999894</v>
      </c>
      <c r="AB1082" s="102"/>
      <c r="AC1082" s="35"/>
      <c r="AD1082" s="35"/>
    </row>
    <row r="1083" spans="1:30">
      <c r="A1083" s="102">
        <f t="shared" si="17"/>
        <v>1082</v>
      </c>
      <c r="B1083" s="468">
        <f>YEAR(Table6[[#This Row],[Date]])+IF(MONTH(Table6[[#This Row],[Date]])&gt;=4,1,0)</f>
        <v>2026</v>
      </c>
      <c r="C1083" s="102">
        <f>YEAR(Table6[[#This Row],[Date]])</f>
        <v>2025</v>
      </c>
      <c r="D1083" s="102" t="s">
        <v>1992</v>
      </c>
      <c r="E1083" s="469">
        <f>Table6[[#This Row],[Date]]-DAY(Table6[[#This Row],[Date]])+1</f>
        <v>45809</v>
      </c>
      <c r="F1083" s="470">
        <v>45814</v>
      </c>
      <c r="G1083" s="35" t="s">
        <v>96</v>
      </c>
      <c r="H1083" s="35" t="str">
        <f>IFERROR(_xlfn.XLOOKUP(Table6[[#This Row],[Affected WTG]],'Basic Data'!$A:$A,'Basic Data'!$B:$B),"")</f>
        <v>TQGXIIPL</v>
      </c>
      <c r="I1083" s="35" t="str">
        <f>IFERROR(_xlfn.XLOOKUP(Table6[[#This Row],[Affected WTG]],'Basic Data'!$A:$A,'Basic Data'!$C:$C),"")</f>
        <v>GEDA</v>
      </c>
      <c r="J1083" s="471">
        <f>IFERROR(_xlfn.XLOOKUP(Table6[[#This Row],[Affected WTG]],'Basic Data'!$A:$A,'Basic Data'!$E:$E),"")</f>
        <v>3.846153846153845E-2</v>
      </c>
      <c r="K1083" s="102">
        <v>5700</v>
      </c>
      <c r="L1083" s="35" t="str">
        <f>IFERROR(_xlfn.XLOOKUP(Table6[[#This Row],[Error Code]],'Basic Data'!$AA:$AA,'Basic Data'!$AB:$AB),"Incorrect Error Code")</f>
        <v>Max. operation time hydraulic</v>
      </c>
      <c r="M1083" s="35" t="s">
        <v>291</v>
      </c>
      <c r="N1083" s="475"/>
      <c r="O1083" s="476">
        <v>0.97499999999999998</v>
      </c>
      <c r="P1083" s="476">
        <v>0.97499999999999998</v>
      </c>
      <c r="Q1083" s="477">
        <v>1</v>
      </c>
      <c r="R1083" s="472">
        <f>IF(Table6[[#This Row],[Work Start TimeStamp]]="","",(Table6[[#This Row],[Work Start TimeStamp]]-Table6[[#This Row],[Fault Start TimeStamp]])*24)</f>
        <v>0</v>
      </c>
      <c r="S1083" s="472">
        <f>(Table6[[#This Row],[Fault Clearance time]]-Table6[[#This Row],[Work Start TimeStamp]])*24</f>
        <v>0.60000000000000053</v>
      </c>
      <c r="T1083" s="472">
        <f>(Table6[[#This Row],[Fault Clearance time]]-Table6[[#This Row],[Fault Start TimeStamp]])*24</f>
        <v>0.60000000000000053</v>
      </c>
      <c r="U1083" s="35" t="s">
        <v>1947</v>
      </c>
      <c r="V1083" s="102" t="s">
        <v>293</v>
      </c>
      <c r="W1083" s="478">
        <f>IFERROR(Table6[[#This Row],[Breakdown Time]]*Table6[[#This Row],[Plant Equivalent Weightage]],"")</f>
        <v>2.3076923076923092E-2</v>
      </c>
      <c r="X1083" s="473" t="s">
        <v>290</v>
      </c>
      <c r="Y1083" s="474" t="s">
        <v>84</v>
      </c>
      <c r="Z1083" s="102">
        <v>21231</v>
      </c>
      <c r="AA1083" s="468">
        <f>(Table6[[#This Row],[Paired WTG Generation for loss calculation]]/24)*Table6[[#This Row],[Breakdown Time]]</f>
        <v>530.77500000000043</v>
      </c>
      <c r="AB1083" s="102"/>
      <c r="AC1083" s="35"/>
      <c r="AD1083" s="35"/>
    </row>
    <row r="1084" spans="1:30">
      <c r="A1084" s="102">
        <f t="shared" si="17"/>
        <v>1083</v>
      </c>
      <c r="B1084" s="468">
        <f>YEAR(Table6[[#This Row],[Date]])+IF(MONTH(Table6[[#This Row],[Date]])&gt;=4,1,0)</f>
        <v>2026</v>
      </c>
      <c r="C1084" s="102">
        <f>YEAR(Table6[[#This Row],[Date]])</f>
        <v>2025</v>
      </c>
      <c r="D1084" s="102" t="s">
        <v>1992</v>
      </c>
      <c r="E1084" s="469">
        <f>Table6[[#This Row],[Date]]-DAY(Table6[[#This Row],[Date]])+1</f>
        <v>45809</v>
      </c>
      <c r="F1084" s="470">
        <v>45815</v>
      </c>
      <c r="G1084" s="35" t="s">
        <v>74</v>
      </c>
      <c r="H1084" s="35" t="str">
        <f>IFERROR(_xlfn.XLOOKUP(Table6[[#This Row],[Affected WTG]],'Basic Data'!$A:$A,'Basic Data'!$B:$B),"")</f>
        <v>TQGXIIPL</v>
      </c>
      <c r="I1084" s="35" t="str">
        <f>IFERROR(_xlfn.XLOOKUP(Table6[[#This Row],[Affected WTG]],'Basic Data'!$A:$A,'Basic Data'!$C:$C),"")</f>
        <v>GEDA</v>
      </c>
      <c r="J1084" s="471">
        <f>IFERROR(_xlfn.XLOOKUP(Table6[[#This Row],[Affected WTG]],'Basic Data'!$A:$A,'Basic Data'!$E:$E),"")</f>
        <v>3.846153846153845E-2</v>
      </c>
      <c r="K1084" s="102">
        <v>6130</v>
      </c>
      <c r="L1084" s="35" t="str">
        <f>IFERROR(_xlfn.XLOOKUP(Table6[[#This Row],[Error Code]],'Basic Data'!$AA:$AA,'Basic Data'!$AB:$AB),"Incorrect Error Code")</f>
        <v>Yaw speed high</v>
      </c>
      <c r="M1084" s="35" t="s">
        <v>292</v>
      </c>
      <c r="N1084" s="475"/>
      <c r="O1084" s="476">
        <v>0.60624999999999996</v>
      </c>
      <c r="P1084" s="476">
        <v>0.60624999999999996</v>
      </c>
      <c r="Q1084" s="477">
        <v>0.61041666666666672</v>
      </c>
      <c r="R1084" s="472">
        <f>IF(Table6[[#This Row],[Work Start TimeStamp]]="","",(Table6[[#This Row],[Work Start TimeStamp]]-Table6[[#This Row],[Fault Start TimeStamp]])*24)</f>
        <v>0</v>
      </c>
      <c r="S1084" s="472">
        <f>(Table6[[#This Row],[Fault Clearance time]]-Table6[[#This Row],[Work Start TimeStamp]])*24</f>
        <v>0.10000000000000231</v>
      </c>
      <c r="T1084" s="472">
        <f>(Table6[[#This Row],[Fault Clearance time]]-Table6[[#This Row],[Fault Start TimeStamp]])*24</f>
        <v>0.10000000000000231</v>
      </c>
      <c r="U1084" s="35" t="s">
        <v>336</v>
      </c>
      <c r="V1084" s="102" t="s">
        <v>293</v>
      </c>
      <c r="W1084" s="478">
        <f>IFERROR(Table6[[#This Row],[Breakdown Time]]*Table6[[#This Row],[Plant Equivalent Weightage]],"")</f>
        <v>3.846153846153934E-3</v>
      </c>
      <c r="X1084" s="473" t="s">
        <v>294</v>
      </c>
      <c r="Y1084" s="474" t="s">
        <v>99</v>
      </c>
      <c r="Z1084" s="102">
        <v>36341</v>
      </c>
      <c r="AA1084" s="468">
        <f>(Table6[[#This Row],[Paired WTG Generation for loss calculation]]/24)*Table6[[#This Row],[Breakdown Time]]</f>
        <v>151.42083333333682</v>
      </c>
      <c r="AB1084" s="102"/>
      <c r="AC1084" s="35"/>
      <c r="AD1084" s="35"/>
    </row>
    <row r="1085" spans="1:30">
      <c r="A1085" s="102">
        <f t="shared" si="17"/>
        <v>1084</v>
      </c>
      <c r="B1085" s="468">
        <f>YEAR(Table6[[#This Row],[Date]])+IF(MONTH(Table6[[#This Row],[Date]])&gt;=4,1,0)</f>
        <v>2026</v>
      </c>
      <c r="C1085" s="102">
        <f>YEAR(Table6[[#This Row],[Date]])</f>
        <v>2025</v>
      </c>
      <c r="D1085" s="102" t="s">
        <v>1992</v>
      </c>
      <c r="E1085" s="469">
        <f>Table6[[#This Row],[Date]]-DAY(Table6[[#This Row],[Date]])+1</f>
        <v>45809</v>
      </c>
      <c r="F1085" s="470">
        <v>45815</v>
      </c>
      <c r="G1085" s="35" t="s">
        <v>77</v>
      </c>
      <c r="H1085" s="35" t="str">
        <f>IFERROR(_xlfn.XLOOKUP(Table6[[#This Row],[Affected WTG]],'Basic Data'!$A:$A,'Basic Data'!$B:$B),"")</f>
        <v>TQGXIIPL</v>
      </c>
      <c r="I1085" s="35" t="str">
        <f>IFERROR(_xlfn.XLOOKUP(Table6[[#This Row],[Affected WTG]],'Basic Data'!$A:$A,'Basic Data'!$C:$C),"")</f>
        <v>GEDA</v>
      </c>
      <c r="J1085" s="471">
        <f>IFERROR(_xlfn.XLOOKUP(Table6[[#This Row],[Affected WTG]],'Basic Data'!$A:$A,'Basic Data'!$E:$E),"")</f>
        <v>3.846153846153845E-2</v>
      </c>
      <c r="K1085" s="102">
        <v>55</v>
      </c>
      <c r="L1085" s="35" t="str">
        <f>IFERROR(_xlfn.XLOOKUP(Table6[[#This Row],[Error Code]],'Basic Data'!$AA:$AA,'Basic Data'!$AB:$AB),"Incorrect Error Code")</f>
        <v>WTG shut down</v>
      </c>
      <c r="M1085" s="35" t="s">
        <v>1956</v>
      </c>
      <c r="N1085" s="475"/>
      <c r="O1085" s="476">
        <v>0.43194444444444446</v>
      </c>
      <c r="P1085" s="476">
        <v>0.43194444444444446</v>
      </c>
      <c r="Q1085" s="477">
        <v>0.48194444444444445</v>
      </c>
      <c r="R1085" s="472">
        <f>IF(Table6[[#This Row],[Work Start TimeStamp]]="","",(Table6[[#This Row],[Work Start TimeStamp]]-Table6[[#This Row],[Fault Start TimeStamp]])*24)</f>
        <v>0</v>
      </c>
      <c r="S1085" s="472">
        <f>(Table6[[#This Row],[Fault Clearance time]]-Table6[[#This Row],[Work Start TimeStamp]])*24</f>
        <v>1.1999999999999997</v>
      </c>
      <c r="T1085" s="472">
        <f>(Table6[[#This Row],[Fault Clearance time]]-Table6[[#This Row],[Fault Start TimeStamp]])*24</f>
        <v>1.1999999999999997</v>
      </c>
      <c r="U1085" s="35" t="s">
        <v>1948</v>
      </c>
      <c r="V1085" s="102" t="s">
        <v>293</v>
      </c>
      <c r="W1085" s="478">
        <f>IFERROR(Table6[[#This Row],[Breakdown Time]]*Table6[[#This Row],[Plant Equivalent Weightage]],"")</f>
        <v>4.6153846153846129E-2</v>
      </c>
      <c r="X1085" s="473" t="s">
        <v>290</v>
      </c>
      <c r="Y1085" s="474" t="s">
        <v>80</v>
      </c>
      <c r="Z1085" s="102">
        <v>29552</v>
      </c>
      <c r="AA1085" s="468">
        <f>(Table6[[#This Row],[Paired WTG Generation for loss calculation]]/24)*Table6[[#This Row],[Breakdown Time]]</f>
        <v>1477.5999999999997</v>
      </c>
      <c r="AB1085" s="102"/>
      <c r="AC1085" s="35"/>
      <c r="AD1085" s="35"/>
    </row>
    <row r="1086" spans="1:30">
      <c r="A1086" s="102">
        <f t="shared" si="17"/>
        <v>1085</v>
      </c>
      <c r="B1086" s="468">
        <f>YEAR(Table6[[#This Row],[Date]])+IF(MONTH(Table6[[#This Row],[Date]])&gt;=4,1,0)</f>
        <v>2026</v>
      </c>
      <c r="C1086" s="102">
        <f>YEAR(Table6[[#This Row],[Date]])</f>
        <v>2025</v>
      </c>
      <c r="D1086" s="102" t="s">
        <v>1992</v>
      </c>
      <c r="E1086" s="469">
        <f>Table6[[#This Row],[Date]]-DAY(Table6[[#This Row],[Date]])+1</f>
        <v>45809</v>
      </c>
      <c r="F1086" s="470">
        <v>45815</v>
      </c>
      <c r="G1086" s="35" t="s">
        <v>77</v>
      </c>
      <c r="H1086" s="35" t="str">
        <f>IFERROR(_xlfn.XLOOKUP(Table6[[#This Row],[Affected WTG]],'Basic Data'!$A:$A,'Basic Data'!$B:$B),"")</f>
        <v>TQGXIIPL</v>
      </c>
      <c r="I1086" s="35" t="str">
        <f>IFERROR(_xlfn.XLOOKUP(Table6[[#This Row],[Affected WTG]],'Basic Data'!$A:$A,'Basic Data'!$C:$C),"")</f>
        <v>GEDA</v>
      </c>
      <c r="J1086" s="471">
        <f>IFERROR(_xlfn.XLOOKUP(Table6[[#This Row],[Affected WTG]],'Basic Data'!$A:$A,'Basic Data'!$E:$E),"")</f>
        <v>3.846153846153845E-2</v>
      </c>
      <c r="K1086" s="102">
        <v>55</v>
      </c>
      <c r="L1086" s="35" t="str">
        <f>IFERROR(_xlfn.XLOOKUP(Table6[[#This Row],[Error Code]],'Basic Data'!$AA:$AA,'Basic Data'!$AB:$AB),"Incorrect Error Code")</f>
        <v>WTG shut down</v>
      </c>
      <c r="M1086" s="35" t="s">
        <v>1956</v>
      </c>
      <c r="N1086" s="475"/>
      <c r="O1086" s="476">
        <v>0.51944444444444449</v>
      </c>
      <c r="P1086" s="476">
        <v>0.51944444444444449</v>
      </c>
      <c r="Q1086" s="477">
        <v>0.53541666666666665</v>
      </c>
      <c r="R1086" s="472">
        <f>IF(Table6[[#This Row],[Work Start TimeStamp]]="","",(Table6[[#This Row],[Work Start TimeStamp]]-Table6[[#This Row],[Fault Start TimeStamp]])*24)</f>
        <v>0</v>
      </c>
      <c r="S1086" s="472">
        <f>(Table6[[#This Row],[Fault Clearance time]]-Table6[[#This Row],[Work Start TimeStamp]])*24</f>
        <v>0.38333333333333197</v>
      </c>
      <c r="T1086" s="472">
        <f>(Table6[[#This Row],[Fault Clearance time]]-Table6[[#This Row],[Fault Start TimeStamp]])*24</f>
        <v>0.38333333333333197</v>
      </c>
      <c r="U1086" s="35" t="s">
        <v>1948</v>
      </c>
      <c r="V1086" s="102" t="s">
        <v>293</v>
      </c>
      <c r="W1086" s="478">
        <f>IFERROR(Table6[[#This Row],[Breakdown Time]]*Table6[[#This Row],[Plant Equivalent Weightage]],"")</f>
        <v>1.4743589743589686E-2</v>
      </c>
      <c r="X1086" s="473" t="s">
        <v>290</v>
      </c>
      <c r="Y1086" s="474" t="s">
        <v>80</v>
      </c>
      <c r="Z1086" s="102">
        <v>29552</v>
      </c>
      <c r="AA1086" s="468">
        <f>(Table6[[#This Row],[Paired WTG Generation for loss calculation]]/24)*Table6[[#This Row],[Breakdown Time]]</f>
        <v>472.01111111110941</v>
      </c>
      <c r="AB1086" s="102"/>
      <c r="AC1086" s="35"/>
      <c r="AD1086" s="35"/>
    </row>
    <row r="1087" spans="1:30">
      <c r="A1087" s="102">
        <f t="shared" si="17"/>
        <v>1086</v>
      </c>
      <c r="B1087" s="468">
        <f>YEAR(Table6[[#This Row],[Date]])+IF(MONTH(Table6[[#This Row],[Date]])&gt;=4,1,0)</f>
        <v>2026</v>
      </c>
      <c r="C1087" s="102">
        <f>YEAR(Table6[[#This Row],[Date]])</f>
        <v>2025</v>
      </c>
      <c r="D1087" s="102" t="s">
        <v>1992</v>
      </c>
      <c r="E1087" s="469">
        <f>Table6[[#This Row],[Date]]-DAY(Table6[[#This Row],[Date]])+1</f>
        <v>45809</v>
      </c>
      <c r="F1087" s="470">
        <v>45815</v>
      </c>
      <c r="G1087" s="35" t="s">
        <v>77</v>
      </c>
      <c r="H1087" s="35" t="str">
        <f>IFERROR(_xlfn.XLOOKUP(Table6[[#This Row],[Affected WTG]],'Basic Data'!$A:$A,'Basic Data'!$B:$B),"")</f>
        <v>TQGXIIPL</v>
      </c>
      <c r="I1087" s="35" t="str">
        <f>IFERROR(_xlfn.XLOOKUP(Table6[[#This Row],[Affected WTG]],'Basic Data'!$A:$A,'Basic Data'!$C:$C),"")</f>
        <v>GEDA</v>
      </c>
      <c r="J1087" s="471">
        <f>IFERROR(_xlfn.XLOOKUP(Table6[[#This Row],[Affected WTG]],'Basic Data'!$A:$A,'Basic Data'!$E:$E),"")</f>
        <v>3.846153846153845E-2</v>
      </c>
      <c r="K1087" s="102">
        <v>55</v>
      </c>
      <c r="L1087" s="35" t="str">
        <f>IFERROR(_xlfn.XLOOKUP(Table6[[#This Row],[Error Code]],'Basic Data'!$AA:$AA,'Basic Data'!$AB:$AB),"Incorrect Error Code")</f>
        <v>WTG shut down</v>
      </c>
      <c r="M1087" s="35" t="s">
        <v>1956</v>
      </c>
      <c r="N1087" s="475"/>
      <c r="O1087" s="476">
        <v>0.70277777777777772</v>
      </c>
      <c r="P1087" s="476">
        <v>0.70277777777777772</v>
      </c>
      <c r="Q1087" s="477">
        <v>0.71805555555555556</v>
      </c>
      <c r="R1087" s="472">
        <f>IF(Table6[[#This Row],[Work Start TimeStamp]]="","",(Table6[[#This Row],[Work Start TimeStamp]]-Table6[[#This Row],[Fault Start TimeStamp]])*24)</f>
        <v>0</v>
      </c>
      <c r="S1087" s="472">
        <f>(Table6[[#This Row],[Fault Clearance time]]-Table6[[#This Row],[Work Start TimeStamp]])*24</f>
        <v>0.36666666666666803</v>
      </c>
      <c r="T1087" s="472">
        <f>(Table6[[#This Row],[Fault Clearance time]]-Table6[[#This Row],[Fault Start TimeStamp]])*24</f>
        <v>0.36666666666666803</v>
      </c>
      <c r="U1087" s="35" t="s">
        <v>1948</v>
      </c>
      <c r="V1087" s="102" t="s">
        <v>293</v>
      </c>
      <c r="W1087" s="478">
        <f>IFERROR(Table6[[#This Row],[Breakdown Time]]*Table6[[#This Row],[Plant Equivalent Weightage]],"")</f>
        <v>1.4102564102564151E-2</v>
      </c>
      <c r="X1087" s="473" t="s">
        <v>290</v>
      </c>
      <c r="Y1087" s="474" t="s">
        <v>80</v>
      </c>
      <c r="Z1087" s="102">
        <v>29552</v>
      </c>
      <c r="AA1087" s="468">
        <f>(Table6[[#This Row],[Paired WTG Generation for loss calculation]]/24)*Table6[[#This Row],[Breakdown Time]]</f>
        <v>451.48888888889053</v>
      </c>
      <c r="AB1087" s="102"/>
      <c r="AC1087" s="35"/>
      <c r="AD1087" s="35"/>
    </row>
    <row r="1088" spans="1:30">
      <c r="A1088" s="102">
        <f t="shared" si="17"/>
        <v>1087</v>
      </c>
      <c r="B1088" s="468">
        <f>YEAR(Table6[[#This Row],[Date]])+IF(MONTH(Table6[[#This Row],[Date]])&gt;=4,1,0)</f>
        <v>2026</v>
      </c>
      <c r="C1088" s="102">
        <f>YEAR(Table6[[#This Row],[Date]])</f>
        <v>2025</v>
      </c>
      <c r="D1088" s="102" t="s">
        <v>1992</v>
      </c>
      <c r="E1088" s="469">
        <f>Table6[[#This Row],[Date]]-DAY(Table6[[#This Row],[Date]])+1</f>
        <v>45809</v>
      </c>
      <c r="F1088" s="470">
        <v>45815</v>
      </c>
      <c r="G1088" s="35" t="s">
        <v>78</v>
      </c>
      <c r="H1088" s="35" t="str">
        <f>IFERROR(_xlfn.XLOOKUP(Table6[[#This Row],[Affected WTG]],'Basic Data'!$A:$A,'Basic Data'!$B:$B),"")</f>
        <v>TQGXIIPL</v>
      </c>
      <c r="I1088" s="35" t="str">
        <f>IFERROR(_xlfn.XLOOKUP(Table6[[#This Row],[Affected WTG]],'Basic Data'!$A:$A,'Basic Data'!$C:$C),"")</f>
        <v>GEDA</v>
      </c>
      <c r="J1088" s="471">
        <f>IFERROR(_xlfn.XLOOKUP(Table6[[#This Row],[Affected WTG]],'Basic Data'!$A:$A,'Basic Data'!$E:$E),"")</f>
        <v>3.846153846153845E-2</v>
      </c>
      <c r="K1088" s="102">
        <v>6130</v>
      </c>
      <c r="L1088" s="35" t="str">
        <f>IFERROR(_xlfn.XLOOKUP(Table6[[#This Row],[Error Code]],'Basic Data'!$AA:$AA,'Basic Data'!$AB:$AB),"Incorrect Error Code")</f>
        <v>Yaw speed high</v>
      </c>
      <c r="M1088" s="35" t="s">
        <v>292</v>
      </c>
      <c r="N1088" s="475"/>
      <c r="O1088" s="476">
        <v>0.7416666666666667</v>
      </c>
      <c r="P1088" s="476">
        <v>0.7416666666666667</v>
      </c>
      <c r="Q1088" s="477">
        <v>0.74583333333333335</v>
      </c>
      <c r="R1088" s="472">
        <f>IF(Table6[[#This Row],[Work Start TimeStamp]]="","",(Table6[[#This Row],[Work Start TimeStamp]]-Table6[[#This Row],[Fault Start TimeStamp]])*24)</f>
        <v>0</v>
      </c>
      <c r="S1088" s="472">
        <f>(Table6[[#This Row],[Fault Clearance time]]-Table6[[#This Row],[Work Start TimeStamp]])*24</f>
        <v>9.9999999999999645E-2</v>
      </c>
      <c r="T1088" s="472">
        <f>(Table6[[#This Row],[Fault Clearance time]]-Table6[[#This Row],[Fault Start TimeStamp]])*24</f>
        <v>9.9999999999999645E-2</v>
      </c>
      <c r="U1088" s="35" t="s">
        <v>336</v>
      </c>
      <c r="V1088" s="102" t="s">
        <v>293</v>
      </c>
      <c r="W1088" s="478">
        <f>IFERROR(Table6[[#This Row],[Breakdown Time]]*Table6[[#This Row],[Plant Equivalent Weightage]],"")</f>
        <v>3.8461538461538312E-3</v>
      </c>
      <c r="X1088" s="473" t="s">
        <v>294</v>
      </c>
      <c r="Y1088" s="474" t="s">
        <v>75</v>
      </c>
      <c r="Z1088" s="102">
        <v>39249</v>
      </c>
      <c r="AA1088" s="468">
        <f>(Table6[[#This Row],[Paired WTG Generation for loss calculation]]/24)*Table6[[#This Row],[Breakdown Time]]</f>
        <v>163.53749999999943</v>
      </c>
      <c r="AB1088" s="102"/>
      <c r="AC1088" s="35"/>
      <c r="AD1088" s="35"/>
    </row>
    <row r="1089" spans="1:30">
      <c r="A1089" s="102">
        <f t="shared" si="17"/>
        <v>1088</v>
      </c>
      <c r="B1089" s="468">
        <f>YEAR(Table6[[#This Row],[Date]])+IF(MONTH(Table6[[#This Row],[Date]])&gt;=4,1,0)</f>
        <v>2026</v>
      </c>
      <c r="C1089" s="102">
        <f>YEAR(Table6[[#This Row],[Date]])</f>
        <v>2025</v>
      </c>
      <c r="D1089" s="102" t="s">
        <v>1992</v>
      </c>
      <c r="E1089" s="469">
        <f>Table6[[#This Row],[Date]]-DAY(Table6[[#This Row],[Date]])+1</f>
        <v>45809</v>
      </c>
      <c r="F1089" s="470">
        <v>45815</v>
      </c>
      <c r="G1089" s="35" t="s">
        <v>78</v>
      </c>
      <c r="H1089" s="35" t="str">
        <f>IFERROR(_xlfn.XLOOKUP(Table6[[#This Row],[Affected WTG]],'Basic Data'!$A:$A,'Basic Data'!$B:$B),"")</f>
        <v>TQGXIIPL</v>
      </c>
      <c r="I1089" s="35" t="str">
        <f>IFERROR(_xlfn.XLOOKUP(Table6[[#This Row],[Affected WTG]],'Basic Data'!$A:$A,'Basic Data'!$C:$C),"")</f>
        <v>GEDA</v>
      </c>
      <c r="J1089" s="471">
        <f>IFERROR(_xlfn.XLOOKUP(Table6[[#This Row],[Affected WTG]],'Basic Data'!$A:$A,'Basic Data'!$E:$E),"")</f>
        <v>3.846153846153845E-2</v>
      </c>
      <c r="K1089" s="102">
        <v>3000</v>
      </c>
      <c r="L1089" s="35" t="str">
        <f>IFERROR(_xlfn.XLOOKUP(Table6[[#This Row],[Error Code]],'Basic Data'!$AA:$AA,'Basic Data'!$AB:$AB),"Incorrect Error Code")</f>
        <v>Frequency converter not ready</v>
      </c>
      <c r="M1089" s="35" t="s">
        <v>291</v>
      </c>
      <c r="N1089" s="475"/>
      <c r="O1089" s="476">
        <v>0.91249999999999998</v>
      </c>
      <c r="P1089" s="476">
        <v>0.91249999999999998</v>
      </c>
      <c r="Q1089" s="477">
        <v>0.9194444444444444</v>
      </c>
      <c r="R1089" s="472">
        <f>IF(Table6[[#This Row],[Work Start TimeStamp]]="","",(Table6[[#This Row],[Work Start TimeStamp]]-Table6[[#This Row],[Fault Start TimeStamp]])*24)</f>
        <v>0</v>
      </c>
      <c r="S1089" s="472">
        <f>(Table6[[#This Row],[Fault Clearance time]]-Table6[[#This Row],[Work Start TimeStamp]])*24</f>
        <v>0.16666666666666607</v>
      </c>
      <c r="T1089" s="472">
        <f>(Table6[[#This Row],[Fault Clearance time]]-Table6[[#This Row],[Fault Start TimeStamp]])*24</f>
        <v>0.16666666666666607</v>
      </c>
      <c r="U1089" s="35" t="s">
        <v>1924</v>
      </c>
      <c r="V1089" s="102" t="s">
        <v>293</v>
      </c>
      <c r="W1089" s="478">
        <f>IFERROR(Table6[[#This Row],[Breakdown Time]]*Table6[[#This Row],[Plant Equivalent Weightage]],"")</f>
        <v>6.4102564102563857E-3</v>
      </c>
      <c r="X1089" s="473" t="s">
        <v>294</v>
      </c>
      <c r="Y1089" s="474" t="s">
        <v>75</v>
      </c>
      <c r="Z1089" s="102">
        <v>39249</v>
      </c>
      <c r="AA1089" s="468">
        <f>(Table6[[#This Row],[Paired WTG Generation for loss calculation]]/24)*Table6[[#This Row],[Breakdown Time]]</f>
        <v>272.56249999999903</v>
      </c>
      <c r="AB1089" s="102"/>
      <c r="AC1089" s="35"/>
      <c r="AD1089" s="35"/>
    </row>
    <row r="1090" spans="1:30">
      <c r="A1090" s="102">
        <f t="shared" si="17"/>
        <v>1089</v>
      </c>
      <c r="B1090" s="468">
        <f>YEAR(Table6[[#This Row],[Date]])+IF(MONTH(Table6[[#This Row],[Date]])&gt;=4,1,0)</f>
        <v>2026</v>
      </c>
      <c r="C1090" s="102">
        <f>YEAR(Table6[[#This Row],[Date]])</f>
        <v>2025</v>
      </c>
      <c r="D1090" s="102" t="s">
        <v>1992</v>
      </c>
      <c r="E1090" s="469">
        <f>Table6[[#This Row],[Date]]-DAY(Table6[[#This Row],[Date]])+1</f>
        <v>45809</v>
      </c>
      <c r="F1090" s="470">
        <v>45815</v>
      </c>
      <c r="G1090" s="35" t="s">
        <v>80</v>
      </c>
      <c r="H1090" s="35" t="str">
        <f>IFERROR(_xlfn.XLOOKUP(Table6[[#This Row],[Affected WTG]],'Basic Data'!$A:$A,'Basic Data'!$B:$B),"")</f>
        <v>TQGXIIPL</v>
      </c>
      <c r="I1090" s="35" t="str">
        <f>IFERROR(_xlfn.XLOOKUP(Table6[[#This Row],[Affected WTG]],'Basic Data'!$A:$A,'Basic Data'!$C:$C),"")</f>
        <v>GEDA</v>
      </c>
      <c r="J1090" s="471">
        <f>IFERROR(_xlfn.XLOOKUP(Table6[[#This Row],[Affected WTG]],'Basic Data'!$A:$A,'Basic Data'!$E:$E),"")</f>
        <v>3.846153846153845E-2</v>
      </c>
      <c r="K1090" s="102">
        <v>55</v>
      </c>
      <c r="L1090" s="35" t="str">
        <f>IFERROR(_xlfn.XLOOKUP(Table6[[#This Row],[Error Code]],'Basic Data'!$AA:$AA,'Basic Data'!$AB:$AB),"Incorrect Error Code")</f>
        <v>WTG shut down</v>
      </c>
      <c r="M1090" s="35" t="s">
        <v>1956</v>
      </c>
      <c r="N1090" s="475"/>
      <c r="O1090" s="476">
        <v>0.43194444444444446</v>
      </c>
      <c r="P1090" s="476">
        <v>0.43194444444444446</v>
      </c>
      <c r="Q1090" s="477">
        <v>0.48194444444444445</v>
      </c>
      <c r="R1090" s="472">
        <f>IF(Table6[[#This Row],[Work Start TimeStamp]]="","",(Table6[[#This Row],[Work Start TimeStamp]]-Table6[[#This Row],[Fault Start TimeStamp]])*24)</f>
        <v>0</v>
      </c>
      <c r="S1090" s="472">
        <f>(Table6[[#This Row],[Fault Clearance time]]-Table6[[#This Row],[Work Start TimeStamp]])*24</f>
        <v>1.1999999999999997</v>
      </c>
      <c r="T1090" s="472">
        <f>(Table6[[#This Row],[Fault Clearance time]]-Table6[[#This Row],[Fault Start TimeStamp]])*24</f>
        <v>1.1999999999999997</v>
      </c>
      <c r="U1090" s="35" t="s">
        <v>1948</v>
      </c>
      <c r="V1090" s="102" t="s">
        <v>293</v>
      </c>
      <c r="W1090" s="478">
        <f>IFERROR(Table6[[#This Row],[Breakdown Time]]*Table6[[#This Row],[Plant Equivalent Weightage]],"")</f>
        <v>4.6153846153846129E-2</v>
      </c>
      <c r="X1090" s="473" t="s">
        <v>290</v>
      </c>
      <c r="Y1090" s="474" t="s">
        <v>77</v>
      </c>
      <c r="Z1090" s="102">
        <v>37281</v>
      </c>
      <c r="AA1090" s="468">
        <f>(Table6[[#This Row],[Paired WTG Generation for loss calculation]]/24)*Table6[[#This Row],[Breakdown Time]]</f>
        <v>1864.0499999999995</v>
      </c>
      <c r="AB1090" s="102"/>
      <c r="AC1090" s="35"/>
      <c r="AD1090" s="35"/>
    </row>
    <row r="1091" spans="1:30">
      <c r="A1091" s="102">
        <f t="shared" si="17"/>
        <v>1090</v>
      </c>
      <c r="B1091" s="468">
        <f>YEAR(Table6[[#This Row],[Date]])+IF(MONTH(Table6[[#This Row],[Date]])&gt;=4,1,0)</f>
        <v>2026</v>
      </c>
      <c r="C1091" s="102">
        <f>YEAR(Table6[[#This Row],[Date]])</f>
        <v>2025</v>
      </c>
      <c r="D1091" s="102" t="s">
        <v>1992</v>
      </c>
      <c r="E1091" s="469">
        <f>Table6[[#This Row],[Date]]-DAY(Table6[[#This Row],[Date]])+1</f>
        <v>45809</v>
      </c>
      <c r="F1091" s="470">
        <v>45815</v>
      </c>
      <c r="G1091" s="35" t="s">
        <v>80</v>
      </c>
      <c r="H1091" s="35" t="str">
        <f>IFERROR(_xlfn.XLOOKUP(Table6[[#This Row],[Affected WTG]],'Basic Data'!$A:$A,'Basic Data'!$B:$B),"")</f>
        <v>TQGXIIPL</v>
      </c>
      <c r="I1091" s="35" t="str">
        <f>IFERROR(_xlfn.XLOOKUP(Table6[[#This Row],[Affected WTG]],'Basic Data'!$A:$A,'Basic Data'!$C:$C),"")</f>
        <v>GEDA</v>
      </c>
      <c r="J1091" s="471">
        <f>IFERROR(_xlfn.XLOOKUP(Table6[[#This Row],[Affected WTG]],'Basic Data'!$A:$A,'Basic Data'!$E:$E),"")</f>
        <v>3.846153846153845E-2</v>
      </c>
      <c r="K1091" s="102">
        <v>55</v>
      </c>
      <c r="L1091" s="35" t="str">
        <f>IFERROR(_xlfn.XLOOKUP(Table6[[#This Row],[Error Code]],'Basic Data'!$AA:$AA,'Basic Data'!$AB:$AB),"Incorrect Error Code")</f>
        <v>WTG shut down</v>
      </c>
      <c r="M1091" s="35" t="s">
        <v>1956</v>
      </c>
      <c r="N1091" s="475"/>
      <c r="O1091" s="476">
        <v>0.51944444444444449</v>
      </c>
      <c r="P1091" s="476">
        <v>0.51944444444444449</v>
      </c>
      <c r="Q1091" s="477">
        <v>0.71944444444444444</v>
      </c>
      <c r="R1091" s="472">
        <f>IF(Table6[[#This Row],[Work Start TimeStamp]]="","",(Table6[[#This Row],[Work Start TimeStamp]]-Table6[[#This Row],[Fault Start TimeStamp]])*24)</f>
        <v>0</v>
      </c>
      <c r="S1091" s="472">
        <f>(Table6[[#This Row],[Fault Clearance time]]-Table6[[#This Row],[Work Start TimeStamp]])*24</f>
        <v>4.7999999999999989</v>
      </c>
      <c r="T1091" s="472">
        <f>(Table6[[#This Row],[Fault Clearance time]]-Table6[[#This Row],[Fault Start TimeStamp]])*24</f>
        <v>4.7999999999999989</v>
      </c>
      <c r="U1091" s="35" t="s">
        <v>1948</v>
      </c>
      <c r="V1091" s="102" t="s">
        <v>293</v>
      </c>
      <c r="W1091" s="478">
        <f>IFERROR(Table6[[#This Row],[Breakdown Time]]*Table6[[#This Row],[Plant Equivalent Weightage]],"")</f>
        <v>0.18461538461538451</v>
      </c>
      <c r="X1091" s="473" t="s">
        <v>290</v>
      </c>
      <c r="Y1091" s="474" t="s">
        <v>77</v>
      </c>
      <c r="Z1091" s="102">
        <v>37281</v>
      </c>
      <c r="AA1091" s="468">
        <f>(Table6[[#This Row],[Paired WTG Generation for loss calculation]]/24)*Table6[[#This Row],[Breakdown Time]]</f>
        <v>7456.199999999998</v>
      </c>
      <c r="AB1091" s="102"/>
      <c r="AC1091" s="35"/>
      <c r="AD1091" s="35"/>
    </row>
    <row r="1092" spans="1:30">
      <c r="A1092" s="102">
        <f t="shared" si="17"/>
        <v>1091</v>
      </c>
      <c r="B1092" s="468">
        <f>YEAR(Table6[[#This Row],[Date]])+IF(MONTH(Table6[[#This Row],[Date]])&gt;=4,1,0)</f>
        <v>2026</v>
      </c>
      <c r="C1092" s="102">
        <f>YEAR(Table6[[#This Row],[Date]])</f>
        <v>2025</v>
      </c>
      <c r="D1092" s="102" t="s">
        <v>1992</v>
      </c>
      <c r="E1092" s="469">
        <f>Table6[[#This Row],[Date]]-DAY(Table6[[#This Row],[Date]])+1</f>
        <v>45809</v>
      </c>
      <c r="F1092" s="470">
        <v>45815</v>
      </c>
      <c r="G1092" s="35" t="s">
        <v>81</v>
      </c>
      <c r="H1092" s="35" t="str">
        <f>IFERROR(_xlfn.XLOOKUP(Table6[[#This Row],[Affected WTG]],'Basic Data'!$A:$A,'Basic Data'!$B:$B),"")</f>
        <v>TQGXIIPL</v>
      </c>
      <c r="I1092" s="35" t="str">
        <f>IFERROR(_xlfn.XLOOKUP(Table6[[#This Row],[Affected WTG]],'Basic Data'!$A:$A,'Basic Data'!$C:$C),"")</f>
        <v>GEDA</v>
      </c>
      <c r="J1092" s="471">
        <f>IFERROR(_xlfn.XLOOKUP(Table6[[#This Row],[Affected WTG]],'Basic Data'!$A:$A,'Basic Data'!$E:$E),"")</f>
        <v>3.846153846153845E-2</v>
      </c>
      <c r="K1092" s="102">
        <v>6130</v>
      </c>
      <c r="L1092" s="35" t="str">
        <f>IFERROR(_xlfn.XLOOKUP(Table6[[#This Row],[Error Code]],'Basic Data'!$AA:$AA,'Basic Data'!$AB:$AB),"Incorrect Error Code")</f>
        <v>Yaw speed high</v>
      </c>
      <c r="M1092" s="35" t="s">
        <v>292</v>
      </c>
      <c r="N1092" s="475"/>
      <c r="O1092" s="476">
        <v>0.57152777777777775</v>
      </c>
      <c r="P1092" s="476">
        <v>0.57152777777777775</v>
      </c>
      <c r="Q1092" s="477">
        <v>0.5756944444444444</v>
      </c>
      <c r="R1092" s="472">
        <f>IF(Table6[[#This Row],[Work Start TimeStamp]]="","",(Table6[[#This Row],[Work Start TimeStamp]]-Table6[[#This Row],[Fault Start TimeStamp]])*24)</f>
        <v>0</v>
      </c>
      <c r="S1092" s="472">
        <f>(Table6[[#This Row],[Fault Clearance time]]-Table6[[#This Row],[Work Start TimeStamp]])*24</f>
        <v>9.9999999999999645E-2</v>
      </c>
      <c r="T1092" s="472">
        <f>(Table6[[#This Row],[Fault Clearance time]]-Table6[[#This Row],[Fault Start TimeStamp]])*24</f>
        <v>9.9999999999999645E-2</v>
      </c>
      <c r="U1092" s="35" t="s">
        <v>336</v>
      </c>
      <c r="V1092" s="102" t="s">
        <v>293</v>
      </c>
      <c r="W1092" s="478">
        <f>IFERROR(Table6[[#This Row],[Breakdown Time]]*Table6[[#This Row],[Plant Equivalent Weightage]],"")</f>
        <v>3.8461538461538312E-3</v>
      </c>
      <c r="X1092" s="473" t="s">
        <v>294</v>
      </c>
      <c r="Y1092" s="474" t="s">
        <v>99</v>
      </c>
      <c r="Z1092" s="102">
        <v>36341</v>
      </c>
      <c r="AA1092" s="468">
        <f>(Table6[[#This Row],[Paired WTG Generation for loss calculation]]/24)*Table6[[#This Row],[Breakdown Time]]</f>
        <v>151.42083333333278</v>
      </c>
      <c r="AB1092" s="102"/>
      <c r="AC1092" s="35"/>
      <c r="AD1092" s="35"/>
    </row>
    <row r="1093" spans="1:30">
      <c r="A1093" s="102">
        <f t="shared" si="17"/>
        <v>1092</v>
      </c>
      <c r="B1093" s="468">
        <f>YEAR(Table6[[#This Row],[Date]])+IF(MONTH(Table6[[#This Row],[Date]])&gt;=4,1,0)</f>
        <v>2026</v>
      </c>
      <c r="C1093" s="102">
        <f>YEAR(Table6[[#This Row],[Date]])</f>
        <v>2025</v>
      </c>
      <c r="D1093" s="102" t="s">
        <v>1992</v>
      </c>
      <c r="E1093" s="469">
        <f>Table6[[#This Row],[Date]]-DAY(Table6[[#This Row],[Date]])+1</f>
        <v>45809</v>
      </c>
      <c r="F1093" s="470">
        <v>45815</v>
      </c>
      <c r="G1093" s="35" t="s">
        <v>81</v>
      </c>
      <c r="H1093" s="35" t="str">
        <f>IFERROR(_xlfn.XLOOKUP(Table6[[#This Row],[Affected WTG]],'Basic Data'!$A:$A,'Basic Data'!$B:$B),"")</f>
        <v>TQGXIIPL</v>
      </c>
      <c r="I1093" s="35" t="str">
        <f>IFERROR(_xlfn.XLOOKUP(Table6[[#This Row],[Affected WTG]],'Basic Data'!$A:$A,'Basic Data'!$C:$C),"")</f>
        <v>GEDA</v>
      </c>
      <c r="J1093" s="471">
        <f>IFERROR(_xlfn.XLOOKUP(Table6[[#This Row],[Affected WTG]],'Basic Data'!$A:$A,'Basic Data'!$E:$E),"")</f>
        <v>3.846153846153845E-2</v>
      </c>
      <c r="K1093" s="102">
        <v>53</v>
      </c>
      <c r="L1093" s="35" t="str">
        <f>IFERROR(_xlfn.XLOOKUP(Table6[[#This Row],[Error Code]],'Basic Data'!$AA:$AA,'Basic Data'!$AB:$AB),"Incorrect Error Code")</f>
        <v>Wind dir.dev. level 1</v>
      </c>
      <c r="M1093" s="35" t="s">
        <v>291</v>
      </c>
      <c r="N1093" s="475"/>
      <c r="O1093" s="476">
        <v>0.61250000000000004</v>
      </c>
      <c r="P1093" s="476">
        <v>0.61250000000000004</v>
      </c>
      <c r="Q1093" s="477">
        <v>0.61319444444444449</v>
      </c>
      <c r="R1093" s="472">
        <f>IF(Table6[[#This Row],[Work Start TimeStamp]]="","",(Table6[[#This Row],[Work Start TimeStamp]]-Table6[[#This Row],[Fault Start TimeStamp]])*24)</f>
        <v>0</v>
      </c>
      <c r="S1093" s="472">
        <f>(Table6[[#This Row],[Fault Clearance time]]-Table6[[#This Row],[Work Start TimeStamp]])*24</f>
        <v>1.6666666666666607E-2</v>
      </c>
      <c r="T1093" s="472">
        <f>(Table6[[#This Row],[Fault Clearance time]]-Table6[[#This Row],[Fault Start TimeStamp]])*24</f>
        <v>1.6666666666666607E-2</v>
      </c>
      <c r="U1093" s="35" t="s">
        <v>1924</v>
      </c>
      <c r="V1093" s="102" t="s">
        <v>293</v>
      </c>
      <c r="W1093" s="478">
        <f>IFERROR(Table6[[#This Row],[Breakdown Time]]*Table6[[#This Row],[Plant Equivalent Weightage]],"")</f>
        <v>6.4102564102563853E-4</v>
      </c>
      <c r="X1093" s="473" t="s">
        <v>294</v>
      </c>
      <c r="Y1093" s="474" t="s">
        <v>99</v>
      </c>
      <c r="Z1093" s="102">
        <v>36341</v>
      </c>
      <c r="AA1093" s="468">
        <f>(Table6[[#This Row],[Paired WTG Generation for loss calculation]]/24)*Table6[[#This Row],[Breakdown Time]]</f>
        <v>25.236805555555463</v>
      </c>
      <c r="AB1093" s="102"/>
      <c r="AC1093" s="35"/>
      <c r="AD1093" s="35"/>
    </row>
    <row r="1094" spans="1:30">
      <c r="A1094" s="102">
        <f t="shared" si="17"/>
        <v>1093</v>
      </c>
      <c r="B1094" s="468">
        <f>YEAR(Table6[[#This Row],[Date]])+IF(MONTH(Table6[[#This Row],[Date]])&gt;=4,1,0)</f>
        <v>2026</v>
      </c>
      <c r="C1094" s="102">
        <f>YEAR(Table6[[#This Row],[Date]])</f>
        <v>2025</v>
      </c>
      <c r="D1094" s="102" t="s">
        <v>1992</v>
      </c>
      <c r="E1094" s="469">
        <f>Table6[[#This Row],[Date]]-DAY(Table6[[#This Row],[Date]])+1</f>
        <v>45809</v>
      </c>
      <c r="F1094" s="470">
        <v>45815</v>
      </c>
      <c r="G1094" s="35" t="s">
        <v>81</v>
      </c>
      <c r="H1094" s="35" t="str">
        <f>IFERROR(_xlfn.XLOOKUP(Table6[[#This Row],[Affected WTG]],'Basic Data'!$A:$A,'Basic Data'!$B:$B),"")</f>
        <v>TQGXIIPL</v>
      </c>
      <c r="I1094" s="35" t="str">
        <f>IFERROR(_xlfn.XLOOKUP(Table6[[#This Row],[Affected WTG]],'Basic Data'!$A:$A,'Basic Data'!$C:$C),"")</f>
        <v>GEDA</v>
      </c>
      <c r="J1094" s="471">
        <f>IFERROR(_xlfn.XLOOKUP(Table6[[#This Row],[Affected WTG]],'Basic Data'!$A:$A,'Basic Data'!$E:$E),"")</f>
        <v>3.846153846153845E-2</v>
      </c>
      <c r="K1094" s="102">
        <v>6130</v>
      </c>
      <c r="L1094" s="35" t="str">
        <f>IFERROR(_xlfn.XLOOKUP(Table6[[#This Row],[Error Code]],'Basic Data'!$AA:$AA,'Basic Data'!$AB:$AB),"Incorrect Error Code")</f>
        <v>Yaw speed high</v>
      </c>
      <c r="M1094" s="35" t="s">
        <v>291</v>
      </c>
      <c r="N1094" s="475"/>
      <c r="O1094" s="476">
        <v>0.62222222222222223</v>
      </c>
      <c r="P1094" s="476">
        <v>0.62222222222222223</v>
      </c>
      <c r="Q1094" s="477">
        <v>0.62708333333333333</v>
      </c>
      <c r="R1094" s="472">
        <f>IF(Table6[[#This Row],[Work Start TimeStamp]]="","",(Table6[[#This Row],[Work Start TimeStamp]]-Table6[[#This Row],[Fault Start TimeStamp]])*24)</f>
        <v>0</v>
      </c>
      <c r="S1094" s="472">
        <f>(Table6[[#This Row],[Fault Clearance time]]-Table6[[#This Row],[Work Start TimeStamp]])*24</f>
        <v>0.11666666666666625</v>
      </c>
      <c r="T1094" s="472">
        <f>(Table6[[#This Row],[Fault Clearance time]]-Table6[[#This Row],[Fault Start TimeStamp]])*24</f>
        <v>0.11666666666666625</v>
      </c>
      <c r="U1094" s="35" t="s">
        <v>1924</v>
      </c>
      <c r="V1094" s="102" t="s">
        <v>293</v>
      </c>
      <c r="W1094" s="478">
        <f>IFERROR(Table6[[#This Row],[Breakdown Time]]*Table6[[#This Row],[Plant Equivalent Weightage]],"")</f>
        <v>4.4871794871794695E-3</v>
      </c>
      <c r="X1094" s="473" t="s">
        <v>294</v>
      </c>
      <c r="Y1094" s="474" t="s">
        <v>99</v>
      </c>
      <c r="Z1094" s="102">
        <v>36341</v>
      </c>
      <c r="AA1094" s="468">
        <f>(Table6[[#This Row],[Paired WTG Generation for loss calculation]]/24)*Table6[[#This Row],[Breakdown Time]]</f>
        <v>176.65763888888824</v>
      </c>
      <c r="AB1094" s="102"/>
      <c r="AC1094" s="35"/>
      <c r="AD1094" s="35"/>
    </row>
    <row r="1095" spans="1:30">
      <c r="A1095" s="102">
        <f t="shared" si="17"/>
        <v>1094</v>
      </c>
      <c r="B1095" s="468">
        <f>YEAR(Table6[[#This Row],[Date]])+IF(MONTH(Table6[[#This Row],[Date]])&gt;=4,1,0)</f>
        <v>2026</v>
      </c>
      <c r="C1095" s="102">
        <f>YEAR(Table6[[#This Row],[Date]])</f>
        <v>2025</v>
      </c>
      <c r="D1095" s="102" t="s">
        <v>1992</v>
      </c>
      <c r="E1095" s="469">
        <f>Table6[[#This Row],[Date]]-DAY(Table6[[#This Row],[Date]])+1</f>
        <v>45809</v>
      </c>
      <c r="F1095" s="470">
        <v>45815</v>
      </c>
      <c r="G1095" s="35" t="s">
        <v>84</v>
      </c>
      <c r="H1095" s="35" t="str">
        <f>IFERROR(_xlfn.XLOOKUP(Table6[[#This Row],[Affected WTG]],'Basic Data'!$A:$A,'Basic Data'!$B:$B),"")</f>
        <v>TQGXIIPL</v>
      </c>
      <c r="I1095" s="35" t="str">
        <f>IFERROR(_xlfn.XLOOKUP(Table6[[#This Row],[Affected WTG]],'Basic Data'!$A:$A,'Basic Data'!$C:$C),"")</f>
        <v>GEDA</v>
      </c>
      <c r="J1095" s="471">
        <f>IFERROR(_xlfn.XLOOKUP(Table6[[#This Row],[Affected WTG]],'Basic Data'!$A:$A,'Basic Data'!$E:$E),"")</f>
        <v>3.846153846153845E-2</v>
      </c>
      <c r="K1095" s="102">
        <v>6056</v>
      </c>
      <c r="L1095" s="35" t="str">
        <f>IFERROR(_xlfn.XLOOKUP(Table6[[#This Row],[Error Code]],'Basic Data'!$AA:$AA,'Basic Data'!$AB:$AB),"Incorrect Error Code")</f>
        <v>High yaw load</v>
      </c>
      <c r="M1095" s="35" t="s">
        <v>291</v>
      </c>
      <c r="N1095" s="475"/>
      <c r="O1095" s="476">
        <v>0.58402777777777781</v>
      </c>
      <c r="P1095" s="476">
        <v>0.58402777777777781</v>
      </c>
      <c r="Q1095" s="477">
        <v>0.58611111111111114</v>
      </c>
      <c r="R1095" s="472">
        <f>IF(Table6[[#This Row],[Work Start TimeStamp]]="","",(Table6[[#This Row],[Work Start TimeStamp]]-Table6[[#This Row],[Fault Start TimeStamp]])*24)</f>
        <v>0</v>
      </c>
      <c r="S1095" s="472">
        <f>(Table6[[#This Row],[Fault Clearance time]]-Table6[[#This Row],[Work Start TimeStamp]])*24</f>
        <v>4.9999999999999822E-2</v>
      </c>
      <c r="T1095" s="472">
        <f>(Table6[[#This Row],[Fault Clearance time]]-Table6[[#This Row],[Fault Start TimeStamp]])*24</f>
        <v>4.9999999999999822E-2</v>
      </c>
      <c r="U1095" s="35" t="s">
        <v>1924</v>
      </c>
      <c r="V1095" s="102" t="s">
        <v>293</v>
      </c>
      <c r="W1095" s="478">
        <f>IFERROR(Table6[[#This Row],[Breakdown Time]]*Table6[[#This Row],[Plant Equivalent Weightage]],"")</f>
        <v>1.9230769230769156E-3</v>
      </c>
      <c r="X1095" s="473" t="s">
        <v>294</v>
      </c>
      <c r="Y1095" s="474" t="s">
        <v>85</v>
      </c>
      <c r="Z1095" s="102">
        <v>32626</v>
      </c>
      <c r="AA1095" s="468">
        <f>(Table6[[#This Row],[Paired WTG Generation for loss calculation]]/24)*Table6[[#This Row],[Breakdown Time]]</f>
        <v>67.97083333333309</v>
      </c>
      <c r="AB1095" s="102"/>
      <c r="AC1095" s="35"/>
      <c r="AD1095" s="35"/>
    </row>
    <row r="1096" spans="1:30">
      <c r="A1096" s="102">
        <f t="shared" si="17"/>
        <v>1095</v>
      </c>
      <c r="B1096" s="468">
        <f>YEAR(Table6[[#This Row],[Date]])+IF(MONTH(Table6[[#This Row],[Date]])&gt;=4,1,0)</f>
        <v>2026</v>
      </c>
      <c r="C1096" s="102">
        <f>YEAR(Table6[[#This Row],[Date]])</f>
        <v>2025</v>
      </c>
      <c r="D1096" s="102" t="s">
        <v>1992</v>
      </c>
      <c r="E1096" s="469">
        <f>Table6[[#This Row],[Date]]-DAY(Table6[[#This Row],[Date]])+1</f>
        <v>45809</v>
      </c>
      <c r="F1096" s="470">
        <v>45815</v>
      </c>
      <c r="G1096" s="35" t="s">
        <v>87</v>
      </c>
      <c r="H1096" s="35" t="str">
        <f>IFERROR(_xlfn.XLOOKUP(Table6[[#This Row],[Affected WTG]],'Basic Data'!$A:$A,'Basic Data'!$B:$B),"")</f>
        <v>TQGXIIPL</v>
      </c>
      <c r="I1096" s="35" t="str">
        <f>IFERROR(_xlfn.XLOOKUP(Table6[[#This Row],[Affected WTG]],'Basic Data'!$A:$A,'Basic Data'!$C:$C),"")</f>
        <v>GEDA</v>
      </c>
      <c r="J1096" s="471">
        <f>IFERROR(_xlfn.XLOOKUP(Table6[[#This Row],[Affected WTG]],'Basic Data'!$A:$A,'Basic Data'!$E:$E),"")</f>
        <v>3.846153846153845E-2</v>
      </c>
      <c r="K1096" s="102">
        <v>6130</v>
      </c>
      <c r="L1096" s="35" t="str">
        <f>IFERROR(_xlfn.XLOOKUP(Table6[[#This Row],[Error Code]],'Basic Data'!$AA:$AA,'Basic Data'!$AB:$AB),"Incorrect Error Code")</f>
        <v>Yaw speed high</v>
      </c>
      <c r="M1096" s="35" t="s">
        <v>292</v>
      </c>
      <c r="N1096" s="475"/>
      <c r="O1096" s="476">
        <v>0.60486111111111107</v>
      </c>
      <c r="P1096" s="476">
        <v>0.60486111111111107</v>
      </c>
      <c r="Q1096" s="477">
        <v>0.60902777777777772</v>
      </c>
      <c r="R1096" s="472">
        <f>IF(Table6[[#This Row],[Work Start TimeStamp]]="","",(Table6[[#This Row],[Work Start TimeStamp]]-Table6[[#This Row],[Fault Start TimeStamp]])*24)</f>
        <v>0</v>
      </c>
      <c r="S1096" s="472">
        <f>(Table6[[#This Row],[Fault Clearance time]]-Table6[[#This Row],[Work Start TimeStamp]])*24</f>
        <v>9.9999999999999645E-2</v>
      </c>
      <c r="T1096" s="472">
        <f>(Table6[[#This Row],[Fault Clearance time]]-Table6[[#This Row],[Fault Start TimeStamp]])*24</f>
        <v>9.9999999999999645E-2</v>
      </c>
      <c r="U1096" s="35" t="s">
        <v>336</v>
      </c>
      <c r="V1096" s="102" t="s">
        <v>293</v>
      </c>
      <c r="W1096" s="478">
        <f>IFERROR(Table6[[#This Row],[Breakdown Time]]*Table6[[#This Row],[Plant Equivalent Weightage]],"")</f>
        <v>3.8461538461538312E-3</v>
      </c>
      <c r="X1096" s="473" t="s">
        <v>294</v>
      </c>
      <c r="Y1096" s="474" t="s">
        <v>85</v>
      </c>
      <c r="Z1096" s="102">
        <v>32626</v>
      </c>
      <c r="AA1096" s="468">
        <f>(Table6[[#This Row],[Paired WTG Generation for loss calculation]]/24)*Table6[[#This Row],[Breakdown Time]]</f>
        <v>135.94166666666618</v>
      </c>
      <c r="AB1096" s="102"/>
      <c r="AC1096" s="35"/>
      <c r="AD1096" s="35"/>
    </row>
    <row r="1097" spans="1:30">
      <c r="A1097" s="102">
        <f t="shared" si="17"/>
        <v>1096</v>
      </c>
      <c r="B1097" s="468">
        <f>YEAR(Table6[[#This Row],[Date]])+IF(MONTH(Table6[[#This Row],[Date]])&gt;=4,1,0)</f>
        <v>2026</v>
      </c>
      <c r="C1097" s="102">
        <f>YEAR(Table6[[#This Row],[Date]])</f>
        <v>2025</v>
      </c>
      <c r="D1097" s="102" t="s">
        <v>1992</v>
      </c>
      <c r="E1097" s="469">
        <f>Table6[[#This Row],[Date]]-DAY(Table6[[#This Row],[Date]])+1</f>
        <v>45809</v>
      </c>
      <c r="F1097" s="470">
        <v>45815</v>
      </c>
      <c r="G1097" s="35" t="s">
        <v>92</v>
      </c>
      <c r="H1097" s="35" t="str">
        <f>IFERROR(_xlfn.XLOOKUP(Table6[[#This Row],[Affected WTG]],'Basic Data'!$A:$A,'Basic Data'!$B:$B),"")</f>
        <v>TQGXIIPL</v>
      </c>
      <c r="I1097" s="35" t="str">
        <f>IFERROR(_xlfn.XLOOKUP(Table6[[#This Row],[Affected WTG]],'Basic Data'!$A:$A,'Basic Data'!$C:$C),"")</f>
        <v>GEDA</v>
      </c>
      <c r="J1097" s="471">
        <f>IFERROR(_xlfn.XLOOKUP(Table6[[#This Row],[Affected WTG]],'Basic Data'!$A:$A,'Basic Data'!$E:$E),"")</f>
        <v>3.846153846153845E-2</v>
      </c>
      <c r="K1097" s="102">
        <v>55</v>
      </c>
      <c r="L1097" s="35" t="str">
        <f>IFERROR(_xlfn.XLOOKUP(Table6[[#This Row],[Error Code]],'Basic Data'!$AA:$AA,'Basic Data'!$AB:$AB),"Incorrect Error Code")</f>
        <v>WTG shut down</v>
      </c>
      <c r="M1097" s="35" t="s">
        <v>1956</v>
      </c>
      <c r="N1097" s="475"/>
      <c r="O1097" s="476">
        <v>0.43194444444444446</v>
      </c>
      <c r="P1097" s="476">
        <v>0.43194444444444446</v>
      </c>
      <c r="Q1097" s="477">
        <v>0.48194444444444445</v>
      </c>
      <c r="R1097" s="472">
        <f>IF(Table6[[#This Row],[Work Start TimeStamp]]="","",(Table6[[#This Row],[Work Start TimeStamp]]-Table6[[#This Row],[Fault Start TimeStamp]])*24)</f>
        <v>0</v>
      </c>
      <c r="S1097" s="472">
        <f>(Table6[[#This Row],[Fault Clearance time]]-Table6[[#This Row],[Work Start TimeStamp]])*24</f>
        <v>1.1999999999999997</v>
      </c>
      <c r="T1097" s="472">
        <f>(Table6[[#This Row],[Fault Clearance time]]-Table6[[#This Row],[Fault Start TimeStamp]])*24</f>
        <v>1.1999999999999997</v>
      </c>
      <c r="U1097" s="35" t="s">
        <v>1948</v>
      </c>
      <c r="V1097" s="102" t="s">
        <v>293</v>
      </c>
      <c r="W1097" s="478">
        <f>IFERROR(Table6[[#This Row],[Breakdown Time]]*Table6[[#This Row],[Plant Equivalent Weightage]],"")</f>
        <v>4.6153846153846129E-2</v>
      </c>
      <c r="X1097" s="473" t="s">
        <v>290</v>
      </c>
      <c r="Y1097" s="474" t="s">
        <v>80</v>
      </c>
      <c r="Z1097" s="102">
        <v>29552</v>
      </c>
      <c r="AA1097" s="468">
        <f>(Table6[[#This Row],[Paired WTG Generation for loss calculation]]/24)*Table6[[#This Row],[Breakdown Time]]</f>
        <v>1477.5999999999997</v>
      </c>
      <c r="AB1097" s="102"/>
      <c r="AC1097" s="35"/>
      <c r="AD1097" s="35"/>
    </row>
    <row r="1098" spans="1:30">
      <c r="A1098" s="102">
        <f t="shared" si="17"/>
        <v>1097</v>
      </c>
      <c r="B1098" s="468">
        <f>YEAR(Table6[[#This Row],[Date]])+IF(MONTH(Table6[[#This Row],[Date]])&gt;=4,1,0)</f>
        <v>2026</v>
      </c>
      <c r="C1098" s="102">
        <f>YEAR(Table6[[#This Row],[Date]])</f>
        <v>2025</v>
      </c>
      <c r="D1098" s="102" t="s">
        <v>1992</v>
      </c>
      <c r="E1098" s="469">
        <f>Table6[[#This Row],[Date]]-DAY(Table6[[#This Row],[Date]])+1</f>
        <v>45809</v>
      </c>
      <c r="F1098" s="470">
        <v>45815</v>
      </c>
      <c r="G1098" s="35" t="s">
        <v>92</v>
      </c>
      <c r="H1098" s="35" t="str">
        <f>IFERROR(_xlfn.XLOOKUP(Table6[[#This Row],[Affected WTG]],'Basic Data'!$A:$A,'Basic Data'!$B:$B),"")</f>
        <v>TQGXIIPL</v>
      </c>
      <c r="I1098" s="35" t="str">
        <f>IFERROR(_xlfn.XLOOKUP(Table6[[#This Row],[Affected WTG]],'Basic Data'!$A:$A,'Basic Data'!$C:$C),"")</f>
        <v>GEDA</v>
      </c>
      <c r="J1098" s="471">
        <f>IFERROR(_xlfn.XLOOKUP(Table6[[#This Row],[Affected WTG]],'Basic Data'!$A:$A,'Basic Data'!$E:$E),"")</f>
        <v>3.846153846153845E-2</v>
      </c>
      <c r="K1098" s="102">
        <v>55</v>
      </c>
      <c r="L1098" s="35" t="str">
        <f>IFERROR(_xlfn.XLOOKUP(Table6[[#This Row],[Error Code]],'Basic Data'!$AA:$AA,'Basic Data'!$AB:$AB),"Incorrect Error Code")</f>
        <v>WTG shut down</v>
      </c>
      <c r="M1098" s="35" t="s">
        <v>1956</v>
      </c>
      <c r="N1098" s="475"/>
      <c r="O1098" s="476">
        <v>0.51944444444444449</v>
      </c>
      <c r="P1098" s="476">
        <v>0.51944444444444449</v>
      </c>
      <c r="Q1098" s="477">
        <v>0.53402777777777777</v>
      </c>
      <c r="R1098" s="472">
        <f>IF(Table6[[#This Row],[Work Start TimeStamp]]="","",(Table6[[#This Row],[Work Start TimeStamp]]-Table6[[#This Row],[Fault Start TimeStamp]])*24)</f>
        <v>0</v>
      </c>
      <c r="S1098" s="472">
        <f>(Table6[[#This Row],[Fault Clearance time]]-Table6[[#This Row],[Work Start TimeStamp]])*24</f>
        <v>0.34999999999999876</v>
      </c>
      <c r="T1098" s="472">
        <f>(Table6[[#This Row],[Fault Clearance time]]-Table6[[#This Row],[Fault Start TimeStamp]])*24</f>
        <v>0.34999999999999876</v>
      </c>
      <c r="U1098" s="35" t="s">
        <v>1948</v>
      </c>
      <c r="V1098" s="102" t="s">
        <v>293</v>
      </c>
      <c r="W1098" s="478">
        <f>IFERROR(Table6[[#This Row],[Breakdown Time]]*Table6[[#This Row],[Plant Equivalent Weightage]],"")</f>
        <v>1.346153846153841E-2</v>
      </c>
      <c r="X1098" s="473" t="s">
        <v>290</v>
      </c>
      <c r="Y1098" s="474" t="s">
        <v>80</v>
      </c>
      <c r="Z1098" s="102">
        <v>29552</v>
      </c>
      <c r="AA1098" s="468">
        <f>(Table6[[#This Row],[Paired WTG Generation for loss calculation]]/24)*Table6[[#This Row],[Breakdown Time]]</f>
        <v>430.96666666666511</v>
      </c>
      <c r="AB1098" s="102"/>
      <c r="AC1098" s="35"/>
      <c r="AD1098" s="35"/>
    </row>
    <row r="1099" spans="1:30">
      <c r="A1099" s="102">
        <f t="shared" si="17"/>
        <v>1098</v>
      </c>
      <c r="B1099" s="468">
        <f>YEAR(Table6[[#This Row],[Date]])+IF(MONTH(Table6[[#This Row],[Date]])&gt;=4,1,0)</f>
        <v>2026</v>
      </c>
      <c r="C1099" s="102">
        <f>YEAR(Table6[[#This Row],[Date]])</f>
        <v>2025</v>
      </c>
      <c r="D1099" s="102" t="s">
        <v>1992</v>
      </c>
      <c r="E1099" s="469">
        <f>Table6[[#This Row],[Date]]-DAY(Table6[[#This Row],[Date]])+1</f>
        <v>45809</v>
      </c>
      <c r="F1099" s="470">
        <v>45815</v>
      </c>
      <c r="G1099" s="35" t="s">
        <v>92</v>
      </c>
      <c r="H1099" s="35" t="str">
        <f>IFERROR(_xlfn.XLOOKUP(Table6[[#This Row],[Affected WTG]],'Basic Data'!$A:$A,'Basic Data'!$B:$B),"")</f>
        <v>TQGXIIPL</v>
      </c>
      <c r="I1099" s="35" t="str">
        <f>IFERROR(_xlfn.XLOOKUP(Table6[[#This Row],[Affected WTG]],'Basic Data'!$A:$A,'Basic Data'!$C:$C),"")</f>
        <v>GEDA</v>
      </c>
      <c r="J1099" s="471">
        <f>IFERROR(_xlfn.XLOOKUP(Table6[[#This Row],[Affected WTG]],'Basic Data'!$A:$A,'Basic Data'!$E:$E),"")</f>
        <v>3.846153846153845E-2</v>
      </c>
      <c r="K1099" s="102">
        <v>55</v>
      </c>
      <c r="L1099" s="35" t="str">
        <f>IFERROR(_xlfn.XLOOKUP(Table6[[#This Row],[Error Code]],'Basic Data'!$AA:$AA,'Basic Data'!$AB:$AB),"Incorrect Error Code")</f>
        <v>WTG shut down</v>
      </c>
      <c r="M1099" s="35" t="s">
        <v>1956</v>
      </c>
      <c r="N1099" s="475"/>
      <c r="O1099" s="476">
        <v>0.70277777777777772</v>
      </c>
      <c r="P1099" s="476">
        <v>0.70277777777777772</v>
      </c>
      <c r="Q1099" s="477">
        <v>0.71805555555555556</v>
      </c>
      <c r="R1099" s="472">
        <f>IF(Table6[[#This Row],[Work Start TimeStamp]]="","",(Table6[[#This Row],[Work Start TimeStamp]]-Table6[[#This Row],[Fault Start TimeStamp]])*24)</f>
        <v>0</v>
      </c>
      <c r="S1099" s="472">
        <f>(Table6[[#This Row],[Fault Clearance time]]-Table6[[#This Row],[Work Start TimeStamp]])*24</f>
        <v>0.36666666666666803</v>
      </c>
      <c r="T1099" s="472">
        <f>(Table6[[#This Row],[Fault Clearance time]]-Table6[[#This Row],[Fault Start TimeStamp]])*24</f>
        <v>0.36666666666666803</v>
      </c>
      <c r="U1099" s="35" t="s">
        <v>1948</v>
      </c>
      <c r="V1099" s="102" t="s">
        <v>293</v>
      </c>
      <c r="W1099" s="478">
        <f>IFERROR(Table6[[#This Row],[Breakdown Time]]*Table6[[#This Row],[Plant Equivalent Weightage]],"")</f>
        <v>1.4102564102564151E-2</v>
      </c>
      <c r="X1099" s="473" t="s">
        <v>290</v>
      </c>
      <c r="Y1099" s="474" t="s">
        <v>80</v>
      </c>
      <c r="Z1099" s="102">
        <v>29552</v>
      </c>
      <c r="AA1099" s="468">
        <f>(Table6[[#This Row],[Paired WTG Generation for loss calculation]]/24)*Table6[[#This Row],[Breakdown Time]]</f>
        <v>451.48888888889053</v>
      </c>
      <c r="AB1099" s="102"/>
      <c r="AC1099" s="35"/>
      <c r="AD1099" s="35"/>
    </row>
    <row r="1100" spans="1:30">
      <c r="A1100" s="102">
        <f t="shared" si="17"/>
        <v>1099</v>
      </c>
      <c r="B1100" s="468">
        <f>YEAR(Table6[[#This Row],[Date]])+IF(MONTH(Table6[[#This Row],[Date]])&gt;=4,1,0)</f>
        <v>2026</v>
      </c>
      <c r="C1100" s="102">
        <f>YEAR(Table6[[#This Row],[Date]])</f>
        <v>2025</v>
      </c>
      <c r="D1100" s="102" t="s">
        <v>1992</v>
      </c>
      <c r="E1100" s="469">
        <f>Table6[[#This Row],[Date]]-DAY(Table6[[#This Row],[Date]])+1</f>
        <v>45809</v>
      </c>
      <c r="F1100" s="470">
        <v>45815</v>
      </c>
      <c r="G1100" s="35" t="s">
        <v>92</v>
      </c>
      <c r="H1100" s="35" t="str">
        <f>IFERROR(_xlfn.XLOOKUP(Table6[[#This Row],[Affected WTG]],'Basic Data'!$A:$A,'Basic Data'!$B:$B),"")</f>
        <v>TQGXIIPL</v>
      </c>
      <c r="I1100" s="35" t="str">
        <f>IFERROR(_xlfn.XLOOKUP(Table6[[#This Row],[Affected WTG]],'Basic Data'!$A:$A,'Basic Data'!$C:$C),"")</f>
        <v>GEDA</v>
      </c>
      <c r="J1100" s="471">
        <f>IFERROR(_xlfn.XLOOKUP(Table6[[#This Row],[Affected WTG]],'Basic Data'!$A:$A,'Basic Data'!$E:$E),"")</f>
        <v>3.846153846153845E-2</v>
      </c>
      <c r="K1100" s="102">
        <v>4540</v>
      </c>
      <c r="L1100" s="35" t="str">
        <f>IFERROR(_xlfn.XLOOKUP(Table6[[#This Row],[Error Code]],'Basic Data'!$AA:$AA,'Basic Data'!$AB:$AB),"Incorrect Error Code")</f>
        <v>Tower oscillation X level 2</v>
      </c>
      <c r="M1100" s="35" t="s">
        <v>291</v>
      </c>
      <c r="N1100" s="475"/>
      <c r="O1100" s="476">
        <v>0.77708333333333335</v>
      </c>
      <c r="P1100" s="476">
        <v>0.77708333333333335</v>
      </c>
      <c r="Q1100" s="477">
        <v>0.78333333333333333</v>
      </c>
      <c r="R1100" s="472">
        <f>IF(Table6[[#This Row],[Work Start TimeStamp]]="","",(Table6[[#This Row],[Work Start TimeStamp]]-Table6[[#This Row],[Fault Start TimeStamp]])*24)</f>
        <v>0</v>
      </c>
      <c r="S1100" s="472">
        <f>(Table6[[#This Row],[Fault Clearance time]]-Table6[[#This Row],[Work Start TimeStamp]])*24</f>
        <v>0.14999999999999947</v>
      </c>
      <c r="T1100" s="472">
        <f>(Table6[[#This Row],[Fault Clearance time]]-Table6[[#This Row],[Fault Start TimeStamp]])*24</f>
        <v>0.14999999999999947</v>
      </c>
      <c r="U1100" s="35" t="s">
        <v>1924</v>
      </c>
      <c r="V1100" s="102" t="s">
        <v>293</v>
      </c>
      <c r="W1100" s="478">
        <f>IFERROR(Table6[[#This Row],[Breakdown Time]]*Table6[[#This Row],[Plant Equivalent Weightage]],"")</f>
        <v>5.769230769230747E-3</v>
      </c>
      <c r="X1100" s="473" t="s">
        <v>294</v>
      </c>
      <c r="Y1100" s="474" t="s">
        <v>80</v>
      </c>
      <c r="Z1100" s="102">
        <v>29552</v>
      </c>
      <c r="AA1100" s="468">
        <f>(Table6[[#This Row],[Paired WTG Generation for loss calculation]]/24)*Table6[[#This Row],[Breakdown Time]]</f>
        <v>184.69999999999933</v>
      </c>
      <c r="AB1100" s="102"/>
      <c r="AC1100" s="35"/>
      <c r="AD1100" s="35"/>
    </row>
    <row r="1101" spans="1:30">
      <c r="A1101" s="102">
        <f t="shared" si="17"/>
        <v>1100</v>
      </c>
      <c r="B1101" s="468">
        <f>YEAR(Table6[[#This Row],[Date]])+IF(MONTH(Table6[[#This Row],[Date]])&gt;=4,1,0)</f>
        <v>2026</v>
      </c>
      <c r="C1101" s="102">
        <f>YEAR(Table6[[#This Row],[Date]])</f>
        <v>2025</v>
      </c>
      <c r="D1101" s="102" t="s">
        <v>1992</v>
      </c>
      <c r="E1101" s="469">
        <f>Table6[[#This Row],[Date]]-DAY(Table6[[#This Row],[Date]])+1</f>
        <v>45809</v>
      </c>
      <c r="F1101" s="470">
        <v>45815</v>
      </c>
      <c r="G1101" s="35" t="s">
        <v>94</v>
      </c>
      <c r="H1101" s="35" t="str">
        <f>IFERROR(_xlfn.XLOOKUP(Table6[[#This Row],[Affected WTG]],'Basic Data'!$A:$A,'Basic Data'!$B:$B),"")</f>
        <v>TQGXIIPL</v>
      </c>
      <c r="I1101" s="35" t="str">
        <f>IFERROR(_xlfn.XLOOKUP(Table6[[#This Row],[Affected WTG]],'Basic Data'!$A:$A,'Basic Data'!$C:$C),"")</f>
        <v>GEDA</v>
      </c>
      <c r="J1101" s="471">
        <f>IFERROR(_xlfn.XLOOKUP(Table6[[#This Row],[Affected WTG]],'Basic Data'!$A:$A,'Basic Data'!$E:$E),"")</f>
        <v>3.846153846153845E-2</v>
      </c>
      <c r="K1101" s="102">
        <v>6130</v>
      </c>
      <c r="L1101" s="35" t="str">
        <f>IFERROR(_xlfn.XLOOKUP(Table6[[#This Row],[Error Code]],'Basic Data'!$AA:$AA,'Basic Data'!$AB:$AB),"Incorrect Error Code")</f>
        <v>Yaw speed high</v>
      </c>
      <c r="M1101" s="35" t="s">
        <v>292</v>
      </c>
      <c r="N1101" s="475"/>
      <c r="O1101" s="476">
        <v>0.61111111111111116</v>
      </c>
      <c r="P1101" s="476">
        <v>0.61111111111111116</v>
      </c>
      <c r="Q1101" s="477">
        <v>0.61527777777777781</v>
      </c>
      <c r="R1101" s="472">
        <f>IF(Table6[[#This Row],[Work Start TimeStamp]]="","",(Table6[[#This Row],[Work Start TimeStamp]]-Table6[[#This Row],[Fault Start TimeStamp]])*24)</f>
        <v>0</v>
      </c>
      <c r="S1101" s="472">
        <f>(Table6[[#This Row],[Fault Clearance time]]-Table6[[#This Row],[Work Start TimeStamp]])*24</f>
        <v>9.9999999999999645E-2</v>
      </c>
      <c r="T1101" s="472">
        <f>(Table6[[#This Row],[Fault Clearance time]]-Table6[[#This Row],[Fault Start TimeStamp]])*24</f>
        <v>9.9999999999999645E-2</v>
      </c>
      <c r="U1101" s="35" t="s">
        <v>336</v>
      </c>
      <c r="V1101" s="102" t="s">
        <v>293</v>
      </c>
      <c r="W1101" s="478">
        <f>IFERROR(Table6[[#This Row],[Breakdown Time]]*Table6[[#This Row],[Plant Equivalent Weightage]],"")</f>
        <v>3.8461538461538312E-3</v>
      </c>
      <c r="X1101" s="473" t="s">
        <v>294</v>
      </c>
      <c r="Y1101" s="474" t="s">
        <v>79</v>
      </c>
      <c r="Z1101" s="102">
        <v>35598</v>
      </c>
      <c r="AA1101" s="468">
        <f>(Table6[[#This Row],[Paired WTG Generation for loss calculation]]/24)*Table6[[#This Row],[Breakdown Time]]</f>
        <v>148.32499999999948</v>
      </c>
      <c r="AB1101" s="102"/>
      <c r="AC1101" s="35"/>
      <c r="AD1101" s="35"/>
    </row>
    <row r="1102" spans="1:30">
      <c r="A1102" s="102">
        <f t="shared" ref="A1102:A1165" si="18">A1101+1</f>
        <v>1101</v>
      </c>
      <c r="B1102" s="468">
        <f>YEAR(Table6[[#This Row],[Date]])+IF(MONTH(Table6[[#This Row],[Date]])&gt;=4,1,0)</f>
        <v>2026</v>
      </c>
      <c r="C1102" s="102">
        <f>YEAR(Table6[[#This Row],[Date]])</f>
        <v>2025</v>
      </c>
      <c r="D1102" s="102" t="s">
        <v>1992</v>
      </c>
      <c r="E1102" s="469">
        <f>Table6[[#This Row],[Date]]-DAY(Table6[[#This Row],[Date]])+1</f>
        <v>45809</v>
      </c>
      <c r="F1102" s="470">
        <v>45815</v>
      </c>
      <c r="G1102" s="35" t="s">
        <v>95</v>
      </c>
      <c r="H1102" s="35" t="str">
        <f>IFERROR(_xlfn.XLOOKUP(Table6[[#This Row],[Affected WTG]],'Basic Data'!$A:$A,'Basic Data'!$B:$B),"")</f>
        <v>TQGXIIPL</v>
      </c>
      <c r="I1102" s="35" t="str">
        <f>IFERROR(_xlfn.XLOOKUP(Table6[[#This Row],[Affected WTG]],'Basic Data'!$A:$A,'Basic Data'!$C:$C),"")</f>
        <v>GEDA</v>
      </c>
      <c r="J1102" s="471">
        <f>IFERROR(_xlfn.XLOOKUP(Table6[[#This Row],[Affected WTG]],'Basic Data'!$A:$A,'Basic Data'!$E:$E),"")</f>
        <v>3.846153846153845E-2</v>
      </c>
      <c r="K1102" s="102">
        <v>6130</v>
      </c>
      <c r="L1102" s="35" t="str">
        <f>IFERROR(_xlfn.XLOOKUP(Table6[[#This Row],[Error Code]],'Basic Data'!$AA:$AA,'Basic Data'!$AB:$AB),"Incorrect Error Code")</f>
        <v>Yaw speed high</v>
      </c>
      <c r="M1102" s="35" t="s">
        <v>292</v>
      </c>
      <c r="N1102" s="475"/>
      <c r="O1102" s="476">
        <v>0.60138888888888886</v>
      </c>
      <c r="P1102" s="476">
        <v>0.60138888888888886</v>
      </c>
      <c r="Q1102" s="477">
        <v>0.60555555555555551</v>
      </c>
      <c r="R1102" s="472">
        <f>IF(Table6[[#This Row],[Work Start TimeStamp]]="","",(Table6[[#This Row],[Work Start TimeStamp]]-Table6[[#This Row],[Fault Start TimeStamp]])*24)</f>
        <v>0</v>
      </c>
      <c r="S1102" s="472">
        <f>(Table6[[#This Row],[Fault Clearance time]]-Table6[[#This Row],[Work Start TimeStamp]])*24</f>
        <v>9.9999999999999645E-2</v>
      </c>
      <c r="T1102" s="472">
        <f>(Table6[[#This Row],[Fault Clearance time]]-Table6[[#This Row],[Fault Start TimeStamp]])*24</f>
        <v>9.9999999999999645E-2</v>
      </c>
      <c r="U1102" s="35" t="s">
        <v>336</v>
      </c>
      <c r="V1102" s="102" t="s">
        <v>293</v>
      </c>
      <c r="W1102" s="478">
        <f>IFERROR(Table6[[#This Row],[Breakdown Time]]*Table6[[#This Row],[Plant Equivalent Weightage]],"")</f>
        <v>3.8461538461538312E-3</v>
      </c>
      <c r="X1102" s="473" t="s">
        <v>294</v>
      </c>
      <c r="Y1102" s="474" t="s">
        <v>79</v>
      </c>
      <c r="Z1102" s="102">
        <v>35598</v>
      </c>
      <c r="AA1102" s="468">
        <f>(Table6[[#This Row],[Paired WTG Generation for loss calculation]]/24)*Table6[[#This Row],[Breakdown Time]]</f>
        <v>148.32499999999948</v>
      </c>
      <c r="AB1102" s="102"/>
      <c r="AC1102" s="35"/>
      <c r="AD1102" s="35"/>
    </row>
    <row r="1103" spans="1:30">
      <c r="A1103" s="102">
        <f t="shared" si="18"/>
        <v>1102</v>
      </c>
      <c r="B1103" s="468">
        <f>YEAR(Table6[[#This Row],[Date]])+IF(MONTH(Table6[[#This Row],[Date]])&gt;=4,1,0)</f>
        <v>2026</v>
      </c>
      <c r="C1103" s="102">
        <f>YEAR(Table6[[#This Row],[Date]])</f>
        <v>2025</v>
      </c>
      <c r="D1103" s="102" t="s">
        <v>1992</v>
      </c>
      <c r="E1103" s="469">
        <f>Table6[[#This Row],[Date]]-DAY(Table6[[#This Row],[Date]])+1</f>
        <v>45809</v>
      </c>
      <c r="F1103" s="470">
        <v>45815</v>
      </c>
      <c r="G1103" s="35" t="s">
        <v>96</v>
      </c>
      <c r="H1103" s="35" t="str">
        <f>IFERROR(_xlfn.XLOOKUP(Table6[[#This Row],[Affected WTG]],'Basic Data'!$A:$A,'Basic Data'!$B:$B),"")</f>
        <v>TQGXIIPL</v>
      </c>
      <c r="I1103" s="35" t="str">
        <f>IFERROR(_xlfn.XLOOKUP(Table6[[#This Row],[Affected WTG]],'Basic Data'!$A:$A,'Basic Data'!$C:$C),"")</f>
        <v>GEDA</v>
      </c>
      <c r="J1103" s="471">
        <f>IFERROR(_xlfn.XLOOKUP(Table6[[#This Row],[Affected WTG]],'Basic Data'!$A:$A,'Basic Data'!$E:$E),"")</f>
        <v>3.846153846153845E-2</v>
      </c>
      <c r="K1103" s="102">
        <v>5700</v>
      </c>
      <c r="L1103" s="35" t="str">
        <f>IFERROR(_xlfn.XLOOKUP(Table6[[#This Row],[Error Code]],'Basic Data'!$AA:$AA,'Basic Data'!$AB:$AB),"Incorrect Error Code")</f>
        <v>Max. operation time hydraulic</v>
      </c>
      <c r="M1103" s="35" t="s">
        <v>291</v>
      </c>
      <c r="N1103" s="475"/>
      <c r="O1103" s="476">
        <v>0</v>
      </c>
      <c r="P1103" s="476">
        <v>0</v>
      </c>
      <c r="Q1103" s="477">
        <v>1.3888888888888888E-2</v>
      </c>
      <c r="R1103" s="472">
        <f>IF(Table6[[#This Row],[Work Start TimeStamp]]="","",(Table6[[#This Row],[Work Start TimeStamp]]-Table6[[#This Row],[Fault Start TimeStamp]])*24)</f>
        <v>0</v>
      </c>
      <c r="S1103" s="472">
        <f>(Table6[[#This Row],[Fault Clearance time]]-Table6[[#This Row],[Work Start TimeStamp]])*24</f>
        <v>0.33333333333333331</v>
      </c>
      <c r="T1103" s="472">
        <f>(Table6[[#This Row],[Fault Clearance time]]-Table6[[#This Row],[Fault Start TimeStamp]])*24</f>
        <v>0.33333333333333331</v>
      </c>
      <c r="U1103" s="35" t="s">
        <v>1949</v>
      </c>
      <c r="V1103" s="102" t="s">
        <v>293</v>
      </c>
      <c r="W1103" s="478">
        <f>IFERROR(Table6[[#This Row],[Breakdown Time]]*Table6[[#This Row],[Plant Equivalent Weightage]],"")</f>
        <v>1.2820512820512817E-2</v>
      </c>
      <c r="X1103" s="473" t="s">
        <v>294</v>
      </c>
      <c r="Y1103" s="474" t="s">
        <v>84</v>
      </c>
      <c r="Z1103" s="102">
        <v>32412</v>
      </c>
      <c r="AA1103" s="468">
        <f>(Table6[[#This Row],[Paired WTG Generation for loss calculation]]/24)*Table6[[#This Row],[Breakdown Time]]</f>
        <v>450.16666666666663</v>
      </c>
      <c r="AB1103" s="102"/>
      <c r="AC1103" s="35"/>
      <c r="AD1103" s="35"/>
    </row>
    <row r="1104" spans="1:30">
      <c r="A1104" s="102">
        <f t="shared" si="18"/>
        <v>1103</v>
      </c>
      <c r="B1104" s="468">
        <f>YEAR(Table6[[#This Row],[Date]])+IF(MONTH(Table6[[#This Row],[Date]])&gt;=4,1,0)</f>
        <v>2026</v>
      </c>
      <c r="C1104" s="102">
        <f>YEAR(Table6[[#This Row],[Date]])</f>
        <v>2025</v>
      </c>
      <c r="D1104" s="102" t="s">
        <v>1992</v>
      </c>
      <c r="E1104" s="469">
        <f>Table6[[#This Row],[Date]]-DAY(Table6[[#This Row],[Date]])+1</f>
        <v>45809</v>
      </c>
      <c r="F1104" s="470">
        <v>45815</v>
      </c>
      <c r="G1104" s="35" t="s">
        <v>98</v>
      </c>
      <c r="H1104" s="35" t="str">
        <f>IFERROR(_xlfn.XLOOKUP(Table6[[#This Row],[Affected WTG]],'Basic Data'!$A:$A,'Basic Data'!$B:$B),"")</f>
        <v>TQGXIIPL</v>
      </c>
      <c r="I1104" s="35" t="str">
        <f>IFERROR(_xlfn.XLOOKUP(Table6[[#This Row],[Affected WTG]],'Basic Data'!$A:$A,'Basic Data'!$C:$C),"")</f>
        <v>GEDA</v>
      </c>
      <c r="J1104" s="471">
        <f>IFERROR(_xlfn.XLOOKUP(Table6[[#This Row],[Affected WTG]],'Basic Data'!$A:$A,'Basic Data'!$E:$E),"")</f>
        <v>3.846153846153845E-2</v>
      </c>
      <c r="K1104" s="102">
        <v>4540</v>
      </c>
      <c r="L1104" s="35" t="str">
        <f>IFERROR(_xlfn.XLOOKUP(Table6[[#This Row],[Error Code]],'Basic Data'!$AA:$AA,'Basic Data'!$AB:$AB),"Incorrect Error Code")</f>
        <v>Tower oscillation X level 2</v>
      </c>
      <c r="M1104" s="35" t="s">
        <v>292</v>
      </c>
      <c r="N1104" s="475"/>
      <c r="O1104" s="476">
        <v>0.77152777777777781</v>
      </c>
      <c r="P1104" s="476">
        <v>0.77152777777777781</v>
      </c>
      <c r="Q1104" s="477">
        <v>0.78194444444444444</v>
      </c>
      <c r="R1104" s="472">
        <f>IF(Table6[[#This Row],[Work Start TimeStamp]]="","",(Table6[[#This Row],[Work Start TimeStamp]]-Table6[[#This Row],[Fault Start TimeStamp]])*24)</f>
        <v>0</v>
      </c>
      <c r="S1104" s="472">
        <f>(Table6[[#This Row],[Fault Clearance time]]-Table6[[#This Row],[Work Start TimeStamp]])*24</f>
        <v>0.24999999999999911</v>
      </c>
      <c r="T1104" s="472">
        <f>(Table6[[#This Row],[Fault Clearance time]]-Table6[[#This Row],[Fault Start TimeStamp]])*24</f>
        <v>0.24999999999999911</v>
      </c>
      <c r="U1104" s="35" t="s">
        <v>336</v>
      </c>
      <c r="V1104" s="102" t="s">
        <v>293</v>
      </c>
      <c r="W1104" s="478">
        <f>IFERROR(Table6[[#This Row],[Breakdown Time]]*Table6[[#This Row],[Plant Equivalent Weightage]],"")</f>
        <v>9.6153846153845778E-3</v>
      </c>
      <c r="X1104" s="473" t="s">
        <v>294</v>
      </c>
      <c r="Y1104" s="474" t="s">
        <v>74</v>
      </c>
      <c r="Z1104" s="102">
        <v>36444</v>
      </c>
      <c r="AA1104" s="468">
        <f>(Table6[[#This Row],[Paired WTG Generation for loss calculation]]/24)*Table6[[#This Row],[Breakdown Time]]</f>
        <v>379.62499999999864</v>
      </c>
      <c r="AB1104" s="102"/>
      <c r="AC1104" s="35"/>
      <c r="AD1104" s="35"/>
    </row>
    <row r="1105" spans="1:30">
      <c r="A1105" s="102">
        <f t="shared" si="18"/>
        <v>1104</v>
      </c>
      <c r="B1105" s="468">
        <f>YEAR(Table6[[#This Row],[Date]])+IF(MONTH(Table6[[#This Row],[Date]])&gt;=4,1,0)</f>
        <v>2026</v>
      </c>
      <c r="C1105" s="102">
        <f>YEAR(Table6[[#This Row],[Date]])</f>
        <v>2025</v>
      </c>
      <c r="D1105" s="102" t="s">
        <v>1992</v>
      </c>
      <c r="E1105" s="469">
        <f>Table6[[#This Row],[Date]]-DAY(Table6[[#This Row],[Date]])+1</f>
        <v>45809</v>
      </c>
      <c r="F1105" s="470">
        <v>45816</v>
      </c>
      <c r="G1105" s="35" t="s">
        <v>77</v>
      </c>
      <c r="H1105" s="35" t="str">
        <f>IFERROR(_xlfn.XLOOKUP(Table6[[#This Row],[Affected WTG]],'Basic Data'!$A:$A,'Basic Data'!$B:$B),"")</f>
        <v>TQGXIIPL</v>
      </c>
      <c r="I1105" s="35" t="str">
        <f>IFERROR(_xlfn.XLOOKUP(Table6[[#This Row],[Affected WTG]],'Basic Data'!$A:$A,'Basic Data'!$C:$C),"")</f>
        <v>GEDA</v>
      </c>
      <c r="J1105" s="471">
        <f>IFERROR(_xlfn.XLOOKUP(Table6[[#This Row],[Affected WTG]],'Basic Data'!$A:$A,'Basic Data'!$E:$E),"")</f>
        <v>3.846153846153845E-2</v>
      </c>
      <c r="K1105" s="102">
        <v>6130</v>
      </c>
      <c r="L1105" s="35" t="str">
        <f>IFERROR(_xlfn.XLOOKUP(Table6[[#This Row],[Error Code]],'Basic Data'!$AA:$AA,'Basic Data'!$AB:$AB),"Incorrect Error Code")</f>
        <v>Yaw speed high</v>
      </c>
      <c r="M1105" s="35" t="s">
        <v>292</v>
      </c>
      <c r="N1105" s="475"/>
      <c r="O1105" s="476">
        <v>0.33611111111111114</v>
      </c>
      <c r="P1105" s="476">
        <v>0.33611111111111114</v>
      </c>
      <c r="Q1105" s="477">
        <v>0.34027777777777779</v>
      </c>
      <c r="R1105" s="472">
        <f>IF(Table6[[#This Row],[Work Start TimeStamp]]="","",(Table6[[#This Row],[Work Start TimeStamp]]-Table6[[#This Row],[Fault Start TimeStamp]])*24)</f>
        <v>0</v>
      </c>
      <c r="S1105" s="472">
        <f>(Table6[[#This Row],[Fault Clearance time]]-Table6[[#This Row],[Work Start TimeStamp]])*24</f>
        <v>9.9999999999999645E-2</v>
      </c>
      <c r="T1105" s="472">
        <f>(Table6[[#This Row],[Fault Clearance time]]-Table6[[#This Row],[Fault Start TimeStamp]])*24</f>
        <v>9.9999999999999645E-2</v>
      </c>
      <c r="U1105" s="35" t="s">
        <v>336</v>
      </c>
      <c r="V1105" s="102" t="s">
        <v>293</v>
      </c>
      <c r="W1105" s="478">
        <f>IFERROR(Table6[[#This Row],[Breakdown Time]]*Table6[[#This Row],[Plant Equivalent Weightage]],"")</f>
        <v>3.8461538461538312E-3</v>
      </c>
      <c r="X1105" s="473" t="s">
        <v>294</v>
      </c>
      <c r="Y1105" s="474" t="s">
        <v>80</v>
      </c>
      <c r="Z1105" s="102">
        <v>27380</v>
      </c>
      <c r="AA1105" s="468">
        <f>(Table6[[#This Row],[Paired WTG Generation for loss calculation]]/24)*Table6[[#This Row],[Breakdown Time]]</f>
        <v>114.08333333333292</v>
      </c>
      <c r="AB1105" s="102"/>
      <c r="AC1105" s="35"/>
      <c r="AD1105" s="35"/>
    </row>
    <row r="1106" spans="1:30">
      <c r="A1106" s="102">
        <f t="shared" si="18"/>
        <v>1105</v>
      </c>
      <c r="B1106" s="468">
        <f>YEAR(Table6[[#This Row],[Date]])+IF(MONTH(Table6[[#This Row],[Date]])&gt;=4,1,0)</f>
        <v>2026</v>
      </c>
      <c r="C1106" s="102">
        <f>YEAR(Table6[[#This Row],[Date]])</f>
        <v>2025</v>
      </c>
      <c r="D1106" s="102" t="s">
        <v>1992</v>
      </c>
      <c r="E1106" s="469">
        <f>Table6[[#This Row],[Date]]-DAY(Table6[[#This Row],[Date]])+1</f>
        <v>45809</v>
      </c>
      <c r="F1106" s="470">
        <v>45816</v>
      </c>
      <c r="G1106" s="35" t="s">
        <v>77</v>
      </c>
      <c r="H1106" s="35" t="str">
        <f>IFERROR(_xlfn.XLOOKUP(Table6[[#This Row],[Affected WTG]],'Basic Data'!$A:$A,'Basic Data'!$B:$B),"")</f>
        <v>TQGXIIPL</v>
      </c>
      <c r="I1106" s="35" t="str">
        <f>IFERROR(_xlfn.XLOOKUP(Table6[[#This Row],[Affected WTG]],'Basic Data'!$A:$A,'Basic Data'!$C:$C),"")</f>
        <v>GEDA</v>
      </c>
      <c r="J1106" s="471">
        <f>IFERROR(_xlfn.XLOOKUP(Table6[[#This Row],[Affected WTG]],'Basic Data'!$A:$A,'Basic Data'!$E:$E),"")</f>
        <v>3.846153846153845E-2</v>
      </c>
      <c r="K1106" s="102">
        <v>55</v>
      </c>
      <c r="L1106" s="35" t="str">
        <f>IFERROR(_xlfn.XLOOKUP(Table6[[#This Row],[Error Code]],'Basic Data'!$AA:$AA,'Basic Data'!$AB:$AB),"Incorrect Error Code")</f>
        <v>WTG shut down</v>
      </c>
      <c r="M1106" s="35" t="s">
        <v>1956</v>
      </c>
      <c r="N1106" s="475"/>
      <c r="O1106" s="476">
        <v>0.37222222222222223</v>
      </c>
      <c r="P1106" s="476">
        <v>0.37222222222222223</v>
      </c>
      <c r="Q1106" s="477">
        <v>0.44236111111111109</v>
      </c>
      <c r="R1106" s="472">
        <f>IF(Table6[[#This Row],[Work Start TimeStamp]]="","",(Table6[[#This Row],[Work Start TimeStamp]]-Table6[[#This Row],[Fault Start TimeStamp]])*24)</f>
        <v>0</v>
      </c>
      <c r="S1106" s="472">
        <f>(Table6[[#This Row],[Fault Clearance time]]-Table6[[#This Row],[Work Start TimeStamp]])*24</f>
        <v>1.6833333333333327</v>
      </c>
      <c r="T1106" s="472">
        <f>(Table6[[#This Row],[Fault Clearance time]]-Table6[[#This Row],[Fault Start TimeStamp]])*24</f>
        <v>1.6833333333333327</v>
      </c>
      <c r="U1106" s="35" t="s">
        <v>1948</v>
      </c>
      <c r="V1106" s="102" t="s">
        <v>293</v>
      </c>
      <c r="W1106" s="478">
        <f>IFERROR(Table6[[#This Row],[Breakdown Time]]*Table6[[#This Row],[Plant Equivalent Weightage]],"")</f>
        <v>6.4743589743589694E-2</v>
      </c>
      <c r="X1106" s="473" t="s">
        <v>290</v>
      </c>
      <c r="Y1106" s="474" t="s">
        <v>80</v>
      </c>
      <c r="Z1106" s="102">
        <v>27380</v>
      </c>
      <c r="AA1106" s="468">
        <f>(Table6[[#This Row],[Paired WTG Generation for loss calculation]]/24)*Table6[[#This Row],[Breakdown Time]]</f>
        <v>1920.4027777777769</v>
      </c>
      <c r="AB1106" s="102"/>
      <c r="AC1106" s="35"/>
      <c r="AD1106" s="35"/>
    </row>
    <row r="1107" spans="1:30">
      <c r="A1107" s="102">
        <f t="shared" si="18"/>
        <v>1106</v>
      </c>
      <c r="B1107" s="468">
        <f>YEAR(Table6[[#This Row],[Date]])+IF(MONTH(Table6[[#This Row],[Date]])&gt;=4,1,0)</f>
        <v>2026</v>
      </c>
      <c r="C1107" s="102">
        <f>YEAR(Table6[[#This Row],[Date]])</f>
        <v>2025</v>
      </c>
      <c r="D1107" s="102" t="s">
        <v>1992</v>
      </c>
      <c r="E1107" s="469">
        <f>Table6[[#This Row],[Date]]-DAY(Table6[[#This Row],[Date]])+1</f>
        <v>45809</v>
      </c>
      <c r="F1107" s="470">
        <v>45816</v>
      </c>
      <c r="G1107" s="35" t="s">
        <v>77</v>
      </c>
      <c r="H1107" s="35" t="str">
        <f>IFERROR(_xlfn.XLOOKUP(Table6[[#This Row],[Affected WTG]],'Basic Data'!$A:$A,'Basic Data'!$B:$B),"")</f>
        <v>TQGXIIPL</v>
      </c>
      <c r="I1107" s="35" t="str">
        <f>IFERROR(_xlfn.XLOOKUP(Table6[[#This Row],[Affected WTG]],'Basic Data'!$A:$A,'Basic Data'!$C:$C),"")</f>
        <v>GEDA</v>
      </c>
      <c r="J1107" s="471">
        <f>IFERROR(_xlfn.XLOOKUP(Table6[[#This Row],[Affected WTG]],'Basic Data'!$A:$A,'Basic Data'!$E:$E),"")</f>
        <v>3.846153846153845E-2</v>
      </c>
      <c r="K1107" s="102">
        <v>55</v>
      </c>
      <c r="L1107" s="35" t="str">
        <f>IFERROR(_xlfn.XLOOKUP(Table6[[#This Row],[Error Code]],'Basic Data'!$AA:$AA,'Basic Data'!$AB:$AB),"Incorrect Error Code")</f>
        <v>WTG shut down</v>
      </c>
      <c r="M1107" s="35" t="s">
        <v>1956</v>
      </c>
      <c r="N1107" s="475"/>
      <c r="O1107" s="476">
        <v>0.76736111111111116</v>
      </c>
      <c r="P1107" s="476">
        <v>0.76736111111111116</v>
      </c>
      <c r="Q1107" s="477">
        <v>0.7895833333333333</v>
      </c>
      <c r="R1107" s="472">
        <f>IF(Table6[[#This Row],[Work Start TimeStamp]]="","",(Table6[[#This Row],[Work Start TimeStamp]]-Table6[[#This Row],[Fault Start TimeStamp]])*24)</f>
        <v>0</v>
      </c>
      <c r="S1107" s="472">
        <f>(Table6[[#This Row],[Fault Clearance time]]-Table6[[#This Row],[Work Start TimeStamp]])*24</f>
        <v>0.53333333333333144</v>
      </c>
      <c r="T1107" s="472">
        <f>(Table6[[#This Row],[Fault Clearance time]]-Table6[[#This Row],[Fault Start TimeStamp]])*24</f>
        <v>0.53333333333333144</v>
      </c>
      <c r="U1107" s="35" t="s">
        <v>1948</v>
      </c>
      <c r="V1107" s="102" t="s">
        <v>293</v>
      </c>
      <c r="W1107" s="478">
        <f>IFERROR(Table6[[#This Row],[Breakdown Time]]*Table6[[#This Row],[Plant Equivalent Weightage]],"")</f>
        <v>2.0512820512820433E-2</v>
      </c>
      <c r="X1107" s="473" t="s">
        <v>290</v>
      </c>
      <c r="Y1107" s="474" t="s">
        <v>80</v>
      </c>
      <c r="Z1107" s="102">
        <v>27380</v>
      </c>
      <c r="AA1107" s="468">
        <f>(Table6[[#This Row],[Paired WTG Generation for loss calculation]]/24)*Table6[[#This Row],[Breakdown Time]]</f>
        <v>608.4444444444423</v>
      </c>
      <c r="AB1107" s="102"/>
      <c r="AC1107" s="35"/>
      <c r="AD1107" s="35"/>
    </row>
    <row r="1108" spans="1:30">
      <c r="A1108" s="102">
        <f t="shared" si="18"/>
        <v>1107</v>
      </c>
      <c r="B1108" s="468">
        <f>YEAR(Table6[[#This Row],[Date]])+IF(MONTH(Table6[[#This Row],[Date]])&gt;=4,1,0)</f>
        <v>2026</v>
      </c>
      <c r="C1108" s="102">
        <f>YEAR(Table6[[#This Row],[Date]])</f>
        <v>2025</v>
      </c>
      <c r="D1108" s="102" t="s">
        <v>1992</v>
      </c>
      <c r="E1108" s="469">
        <f>Table6[[#This Row],[Date]]-DAY(Table6[[#This Row],[Date]])+1</f>
        <v>45809</v>
      </c>
      <c r="F1108" s="470">
        <v>45816</v>
      </c>
      <c r="G1108" s="35" t="s">
        <v>77</v>
      </c>
      <c r="H1108" s="35" t="str">
        <f>IFERROR(_xlfn.XLOOKUP(Table6[[#This Row],[Affected WTG]],'Basic Data'!$A:$A,'Basic Data'!$B:$B),"")</f>
        <v>TQGXIIPL</v>
      </c>
      <c r="I1108" s="35" t="str">
        <f>IFERROR(_xlfn.XLOOKUP(Table6[[#This Row],[Affected WTG]],'Basic Data'!$A:$A,'Basic Data'!$C:$C),"")</f>
        <v>GEDA</v>
      </c>
      <c r="J1108" s="471">
        <f>IFERROR(_xlfn.XLOOKUP(Table6[[#This Row],[Affected WTG]],'Basic Data'!$A:$A,'Basic Data'!$E:$E),"")</f>
        <v>3.846153846153845E-2</v>
      </c>
      <c r="K1108" s="102">
        <v>6130</v>
      </c>
      <c r="L1108" s="35" t="str">
        <f>IFERROR(_xlfn.XLOOKUP(Table6[[#This Row],[Error Code]],'Basic Data'!$AA:$AA,'Basic Data'!$AB:$AB),"Incorrect Error Code")</f>
        <v>Yaw speed high</v>
      </c>
      <c r="M1108" s="35" t="s">
        <v>291</v>
      </c>
      <c r="N1108" s="475"/>
      <c r="O1108" s="476">
        <v>0.93472222222222223</v>
      </c>
      <c r="P1108" s="476">
        <v>0.93472222222222223</v>
      </c>
      <c r="Q1108" s="477">
        <v>0.97222222222222221</v>
      </c>
      <c r="R1108" s="472">
        <f>IF(Table6[[#This Row],[Work Start TimeStamp]]="","",(Table6[[#This Row],[Work Start TimeStamp]]-Table6[[#This Row],[Fault Start TimeStamp]])*24)</f>
        <v>0</v>
      </c>
      <c r="S1108" s="472">
        <f>(Table6[[#This Row],[Fault Clearance time]]-Table6[[#This Row],[Work Start TimeStamp]])*24</f>
        <v>0.89999999999999947</v>
      </c>
      <c r="T1108" s="472">
        <f>(Table6[[#This Row],[Fault Clearance time]]-Table6[[#This Row],[Fault Start TimeStamp]])*24</f>
        <v>0.89999999999999947</v>
      </c>
      <c r="U1108" s="35" t="s">
        <v>1924</v>
      </c>
      <c r="V1108" s="102" t="s">
        <v>293</v>
      </c>
      <c r="W1108" s="478">
        <f>IFERROR(Table6[[#This Row],[Breakdown Time]]*Table6[[#This Row],[Plant Equivalent Weightage]],"")</f>
        <v>3.4615384615384583E-2</v>
      </c>
      <c r="X1108" s="473" t="s">
        <v>294</v>
      </c>
      <c r="Y1108" s="474" t="s">
        <v>80</v>
      </c>
      <c r="Z1108" s="102">
        <v>27380</v>
      </c>
      <c r="AA1108" s="468">
        <f>(Table6[[#This Row],[Paired WTG Generation for loss calculation]]/24)*Table6[[#This Row],[Breakdown Time]]</f>
        <v>1026.7499999999993</v>
      </c>
      <c r="AB1108" s="102"/>
      <c r="AC1108" s="35"/>
      <c r="AD1108" s="35"/>
    </row>
    <row r="1109" spans="1:30">
      <c r="A1109" s="102">
        <f t="shared" si="18"/>
        <v>1108</v>
      </c>
      <c r="B1109" s="468">
        <f>YEAR(Table6[[#This Row],[Date]])+IF(MONTH(Table6[[#This Row],[Date]])&gt;=4,1,0)</f>
        <v>2026</v>
      </c>
      <c r="C1109" s="102">
        <f>YEAR(Table6[[#This Row],[Date]])</f>
        <v>2025</v>
      </c>
      <c r="D1109" s="102" t="s">
        <v>1992</v>
      </c>
      <c r="E1109" s="469">
        <f>Table6[[#This Row],[Date]]-DAY(Table6[[#This Row],[Date]])+1</f>
        <v>45809</v>
      </c>
      <c r="F1109" s="470">
        <v>45816</v>
      </c>
      <c r="G1109" s="35" t="s">
        <v>79</v>
      </c>
      <c r="H1109" s="35" t="str">
        <f>IFERROR(_xlfn.XLOOKUP(Table6[[#This Row],[Affected WTG]],'Basic Data'!$A:$A,'Basic Data'!$B:$B),"")</f>
        <v>TQGXIIPL</v>
      </c>
      <c r="I1109" s="35" t="str">
        <f>IFERROR(_xlfn.XLOOKUP(Table6[[#This Row],[Affected WTG]],'Basic Data'!$A:$A,'Basic Data'!$C:$C),"")</f>
        <v>GEDA</v>
      </c>
      <c r="J1109" s="471">
        <f>IFERROR(_xlfn.XLOOKUP(Table6[[#This Row],[Affected WTG]],'Basic Data'!$A:$A,'Basic Data'!$E:$E),"")</f>
        <v>3.846153846153845E-2</v>
      </c>
      <c r="K1109" s="102">
        <v>700</v>
      </c>
      <c r="L1109" s="35" t="str">
        <f>IFERROR(_xlfn.XLOOKUP(Table6[[#This Row],[Error Code]],'Basic Data'!$AA:$AA,'Basic Data'!$AB:$AB),"Incorrect Error Code")</f>
        <v>Batt. undervoltage/overvoltage</v>
      </c>
      <c r="M1109" s="35" t="s">
        <v>291</v>
      </c>
      <c r="N1109" s="475"/>
      <c r="O1109" s="476">
        <v>0.51527777777777772</v>
      </c>
      <c r="P1109" s="476">
        <v>0.51527777777777772</v>
      </c>
      <c r="Q1109" s="477">
        <v>0.51736111111111116</v>
      </c>
      <c r="R1109" s="472">
        <f>IF(Table6[[#This Row],[Work Start TimeStamp]]="","",(Table6[[#This Row],[Work Start TimeStamp]]-Table6[[#This Row],[Fault Start TimeStamp]])*24)</f>
        <v>0</v>
      </c>
      <c r="S1109" s="472">
        <f>(Table6[[#This Row],[Fault Clearance time]]-Table6[[#This Row],[Work Start TimeStamp]])*24</f>
        <v>5.0000000000002487E-2</v>
      </c>
      <c r="T1109" s="472">
        <f>(Table6[[#This Row],[Fault Clearance time]]-Table6[[#This Row],[Fault Start TimeStamp]])*24</f>
        <v>5.0000000000002487E-2</v>
      </c>
      <c r="U1109" s="35" t="s">
        <v>1924</v>
      </c>
      <c r="V1109" s="102" t="s">
        <v>293</v>
      </c>
      <c r="W1109" s="478">
        <f>IFERROR(Table6[[#This Row],[Breakdown Time]]*Table6[[#This Row],[Plant Equivalent Weightage]],"")</f>
        <v>1.9230769230770182E-3</v>
      </c>
      <c r="X1109" s="473" t="s">
        <v>294</v>
      </c>
      <c r="Y1109" s="474" t="s">
        <v>94</v>
      </c>
      <c r="Z1109" s="102">
        <v>29442</v>
      </c>
      <c r="AA1109" s="468">
        <f>(Table6[[#This Row],[Paired WTG Generation for loss calculation]]/24)*Table6[[#This Row],[Breakdown Time]]</f>
        <v>61.337500000003054</v>
      </c>
      <c r="AB1109" s="102"/>
      <c r="AC1109" s="35"/>
      <c r="AD1109" s="35"/>
    </row>
    <row r="1110" spans="1:30">
      <c r="A1110" s="102">
        <f t="shared" si="18"/>
        <v>1109</v>
      </c>
      <c r="B1110" s="468">
        <f>YEAR(Table6[[#This Row],[Date]])+IF(MONTH(Table6[[#This Row],[Date]])&gt;=4,1,0)</f>
        <v>2026</v>
      </c>
      <c r="C1110" s="102">
        <f>YEAR(Table6[[#This Row],[Date]])</f>
        <v>2025</v>
      </c>
      <c r="D1110" s="102" t="s">
        <v>1992</v>
      </c>
      <c r="E1110" s="469">
        <f>Table6[[#This Row],[Date]]-DAY(Table6[[#This Row],[Date]])+1</f>
        <v>45809</v>
      </c>
      <c r="F1110" s="470">
        <v>45816</v>
      </c>
      <c r="G1110" s="35" t="s">
        <v>80</v>
      </c>
      <c r="H1110" s="35" t="str">
        <f>IFERROR(_xlfn.XLOOKUP(Table6[[#This Row],[Affected WTG]],'Basic Data'!$A:$A,'Basic Data'!$B:$B),"")</f>
        <v>TQGXIIPL</v>
      </c>
      <c r="I1110" s="35" t="str">
        <f>IFERROR(_xlfn.XLOOKUP(Table6[[#This Row],[Affected WTG]],'Basic Data'!$A:$A,'Basic Data'!$C:$C),"")</f>
        <v>GEDA</v>
      </c>
      <c r="J1110" s="471">
        <f>IFERROR(_xlfn.XLOOKUP(Table6[[#This Row],[Affected WTG]],'Basic Data'!$A:$A,'Basic Data'!$E:$E),"")</f>
        <v>3.846153846153845E-2</v>
      </c>
      <c r="K1110" s="102">
        <v>55</v>
      </c>
      <c r="L1110" s="35" t="str">
        <f>IFERROR(_xlfn.XLOOKUP(Table6[[#This Row],[Error Code]],'Basic Data'!$AA:$AA,'Basic Data'!$AB:$AB),"Incorrect Error Code")</f>
        <v>WTG shut down</v>
      </c>
      <c r="M1110" s="35" t="s">
        <v>1956</v>
      </c>
      <c r="N1110" s="475"/>
      <c r="O1110" s="476">
        <v>0.37152777777777779</v>
      </c>
      <c r="P1110" s="476">
        <v>0.37152777777777779</v>
      </c>
      <c r="Q1110" s="477">
        <v>0.78888888888888886</v>
      </c>
      <c r="R1110" s="472">
        <f>IF(Table6[[#This Row],[Work Start TimeStamp]]="","",(Table6[[#This Row],[Work Start TimeStamp]]-Table6[[#This Row],[Fault Start TimeStamp]])*24)</f>
        <v>0</v>
      </c>
      <c r="S1110" s="472">
        <f>(Table6[[#This Row],[Fault Clearance time]]-Table6[[#This Row],[Work Start TimeStamp]])*24</f>
        <v>10.016666666666666</v>
      </c>
      <c r="T1110" s="472">
        <f>(Table6[[#This Row],[Fault Clearance time]]-Table6[[#This Row],[Fault Start TimeStamp]])*24</f>
        <v>10.016666666666666</v>
      </c>
      <c r="U1110" s="35" t="s">
        <v>1948</v>
      </c>
      <c r="V1110" s="102" t="s">
        <v>293</v>
      </c>
      <c r="W1110" s="478">
        <f>IFERROR(Table6[[#This Row],[Breakdown Time]]*Table6[[#This Row],[Plant Equivalent Weightage]],"")</f>
        <v>0.38525641025641011</v>
      </c>
      <c r="X1110" s="473" t="s">
        <v>290</v>
      </c>
      <c r="Y1110" s="474" t="s">
        <v>77</v>
      </c>
      <c r="Z1110" s="102">
        <v>31181</v>
      </c>
      <c r="AA1110" s="468">
        <f>(Table6[[#This Row],[Paired WTG Generation for loss calculation]]/24)*Table6[[#This Row],[Breakdown Time]]</f>
        <v>13013.736805555554</v>
      </c>
      <c r="AB1110" s="102"/>
      <c r="AC1110" s="35"/>
      <c r="AD1110" s="35"/>
    </row>
    <row r="1111" spans="1:30">
      <c r="A1111" s="102">
        <f t="shared" si="18"/>
        <v>1110</v>
      </c>
      <c r="B1111" s="468">
        <f>YEAR(Table6[[#This Row],[Date]])+IF(MONTH(Table6[[#This Row],[Date]])&gt;=4,1,0)</f>
        <v>2026</v>
      </c>
      <c r="C1111" s="102">
        <f>YEAR(Table6[[#This Row],[Date]])</f>
        <v>2025</v>
      </c>
      <c r="D1111" s="102" t="s">
        <v>1992</v>
      </c>
      <c r="E1111" s="469">
        <f>Table6[[#This Row],[Date]]-DAY(Table6[[#This Row],[Date]])+1</f>
        <v>45809</v>
      </c>
      <c r="F1111" s="470">
        <v>45816</v>
      </c>
      <c r="G1111" s="35" t="s">
        <v>81</v>
      </c>
      <c r="H1111" s="35" t="str">
        <f>IFERROR(_xlfn.XLOOKUP(Table6[[#This Row],[Affected WTG]],'Basic Data'!$A:$A,'Basic Data'!$B:$B),"")</f>
        <v>TQGXIIPL</v>
      </c>
      <c r="I1111" s="35" t="str">
        <f>IFERROR(_xlfn.XLOOKUP(Table6[[#This Row],[Affected WTG]],'Basic Data'!$A:$A,'Basic Data'!$C:$C),"")</f>
        <v>GEDA</v>
      </c>
      <c r="J1111" s="471">
        <f>IFERROR(_xlfn.XLOOKUP(Table6[[#This Row],[Affected WTG]],'Basic Data'!$A:$A,'Basic Data'!$E:$E),"")</f>
        <v>3.846153846153845E-2</v>
      </c>
      <c r="K1111" s="102">
        <v>175</v>
      </c>
      <c r="L1111" s="35" t="str">
        <f>IFERROR(_xlfn.XLOOKUP(Table6[[#This Row],[Error Code]],'Basic Data'!$AA:$AA,'Basic Data'!$AB:$AB),"Incorrect Error Code")</f>
        <v>SLC error</v>
      </c>
      <c r="M1111" s="35" t="s">
        <v>291</v>
      </c>
      <c r="N1111" s="475"/>
      <c r="O1111" s="476">
        <v>0.48194444444444445</v>
      </c>
      <c r="P1111" s="476">
        <v>0.48194444444444445</v>
      </c>
      <c r="Q1111" s="477">
        <v>0.49791666666666667</v>
      </c>
      <c r="R1111" s="472">
        <f>IF(Table6[[#This Row],[Work Start TimeStamp]]="","",(Table6[[#This Row],[Work Start TimeStamp]]-Table6[[#This Row],[Fault Start TimeStamp]])*24)</f>
        <v>0</v>
      </c>
      <c r="S1111" s="472">
        <f>(Table6[[#This Row],[Fault Clearance time]]-Table6[[#This Row],[Work Start TimeStamp]])*24</f>
        <v>0.3833333333333333</v>
      </c>
      <c r="T1111" s="472">
        <f>(Table6[[#This Row],[Fault Clearance time]]-Table6[[#This Row],[Fault Start TimeStamp]])*24</f>
        <v>0.3833333333333333</v>
      </c>
      <c r="U1111" s="35" t="s">
        <v>1924</v>
      </c>
      <c r="V1111" s="102" t="s">
        <v>293</v>
      </c>
      <c r="W1111" s="478">
        <f>IFERROR(Table6[[#This Row],[Breakdown Time]]*Table6[[#This Row],[Plant Equivalent Weightage]],"")</f>
        <v>1.4743589743589738E-2</v>
      </c>
      <c r="X1111" s="473" t="s">
        <v>294</v>
      </c>
      <c r="Y1111" s="474" t="s">
        <v>99</v>
      </c>
      <c r="Z1111" s="102">
        <v>31644</v>
      </c>
      <c r="AA1111" s="468">
        <f>(Table6[[#This Row],[Paired WTG Generation for loss calculation]]/24)*Table6[[#This Row],[Breakdown Time]]</f>
        <v>505.42499999999995</v>
      </c>
      <c r="AB1111" s="102"/>
      <c r="AC1111" s="35"/>
      <c r="AD1111" s="35"/>
    </row>
    <row r="1112" spans="1:30">
      <c r="A1112" s="102">
        <f t="shared" si="18"/>
        <v>1111</v>
      </c>
      <c r="B1112" s="468">
        <f>YEAR(Table6[[#This Row],[Date]])+IF(MONTH(Table6[[#This Row],[Date]])&gt;=4,1,0)</f>
        <v>2026</v>
      </c>
      <c r="C1112" s="102">
        <f>YEAR(Table6[[#This Row],[Date]])</f>
        <v>2025</v>
      </c>
      <c r="D1112" s="102" t="s">
        <v>1992</v>
      </c>
      <c r="E1112" s="469">
        <f>Table6[[#This Row],[Date]]-DAY(Table6[[#This Row],[Date]])+1</f>
        <v>45809</v>
      </c>
      <c r="F1112" s="470">
        <v>45816</v>
      </c>
      <c r="G1112" s="35" t="s">
        <v>83</v>
      </c>
      <c r="H1112" s="35" t="str">
        <f>IFERROR(_xlfn.XLOOKUP(Table6[[#This Row],[Affected WTG]],'Basic Data'!$A:$A,'Basic Data'!$B:$B),"")</f>
        <v>TQGXIIPL</v>
      </c>
      <c r="I1112" s="35" t="str">
        <f>IFERROR(_xlfn.XLOOKUP(Table6[[#This Row],[Affected WTG]],'Basic Data'!$A:$A,'Basic Data'!$C:$C),"")</f>
        <v>GEDA</v>
      </c>
      <c r="J1112" s="471">
        <f>IFERROR(_xlfn.XLOOKUP(Table6[[#This Row],[Affected WTG]],'Basic Data'!$A:$A,'Basic Data'!$E:$E),"")</f>
        <v>3.846153846153845E-2</v>
      </c>
      <c r="K1112" s="102">
        <v>3110</v>
      </c>
      <c r="L1112" s="35" t="str">
        <f>IFERROR(_xlfn.XLOOKUP(Table6[[#This Row],[Error Code]],'Basic Data'!$AA:$AA,'Basic Data'!$AB:$AB),"Incorrect Error Code")</f>
        <v>Frequency converter error</v>
      </c>
      <c r="M1112" s="35" t="s">
        <v>291</v>
      </c>
      <c r="N1112" s="475"/>
      <c r="O1112" s="476">
        <v>0.84305555555555556</v>
      </c>
      <c r="P1112" s="476">
        <v>0.84305555555555556</v>
      </c>
      <c r="Q1112" s="477">
        <v>0.84722222222222221</v>
      </c>
      <c r="R1112" s="472">
        <f>IF(Table6[[#This Row],[Work Start TimeStamp]]="","",(Table6[[#This Row],[Work Start TimeStamp]]-Table6[[#This Row],[Fault Start TimeStamp]])*24)</f>
        <v>0</v>
      </c>
      <c r="S1112" s="472">
        <f>(Table6[[#This Row],[Fault Clearance time]]-Table6[[#This Row],[Work Start TimeStamp]])*24</f>
        <v>9.9999999999999645E-2</v>
      </c>
      <c r="T1112" s="472">
        <f>(Table6[[#This Row],[Fault Clearance time]]-Table6[[#This Row],[Fault Start TimeStamp]])*24</f>
        <v>9.9999999999999645E-2</v>
      </c>
      <c r="U1112" s="35" t="s">
        <v>1924</v>
      </c>
      <c r="V1112" s="102" t="s">
        <v>293</v>
      </c>
      <c r="W1112" s="478">
        <f>IFERROR(Table6[[#This Row],[Breakdown Time]]*Table6[[#This Row],[Plant Equivalent Weightage]],"")</f>
        <v>3.8461538461538312E-3</v>
      </c>
      <c r="X1112" s="473" t="s">
        <v>294</v>
      </c>
      <c r="Y1112" s="474" t="s">
        <v>88</v>
      </c>
      <c r="Z1112" s="102">
        <v>29849</v>
      </c>
      <c r="AA1112" s="468">
        <f>(Table6[[#This Row],[Paired WTG Generation for loss calculation]]/24)*Table6[[#This Row],[Breakdown Time]]</f>
        <v>124.37083333333288</v>
      </c>
      <c r="AB1112" s="102"/>
      <c r="AC1112" s="35"/>
      <c r="AD1112" s="35"/>
    </row>
    <row r="1113" spans="1:30">
      <c r="A1113" s="102">
        <f t="shared" si="18"/>
        <v>1112</v>
      </c>
      <c r="B1113" s="468">
        <f>YEAR(Table6[[#This Row],[Date]])+IF(MONTH(Table6[[#This Row],[Date]])&gt;=4,1,0)</f>
        <v>2026</v>
      </c>
      <c r="C1113" s="102">
        <f>YEAR(Table6[[#This Row],[Date]])</f>
        <v>2025</v>
      </c>
      <c r="D1113" s="102" t="s">
        <v>1992</v>
      </c>
      <c r="E1113" s="469">
        <f>Table6[[#This Row],[Date]]-DAY(Table6[[#This Row],[Date]])+1</f>
        <v>45809</v>
      </c>
      <c r="F1113" s="470">
        <v>45816</v>
      </c>
      <c r="G1113" s="35" t="s">
        <v>83</v>
      </c>
      <c r="H1113" s="35" t="str">
        <f>IFERROR(_xlfn.XLOOKUP(Table6[[#This Row],[Affected WTG]],'Basic Data'!$A:$A,'Basic Data'!$B:$B),"")</f>
        <v>TQGXIIPL</v>
      </c>
      <c r="I1113" s="35" t="str">
        <f>IFERROR(_xlfn.XLOOKUP(Table6[[#This Row],[Affected WTG]],'Basic Data'!$A:$A,'Basic Data'!$C:$C),"")</f>
        <v>GEDA</v>
      </c>
      <c r="J1113" s="471">
        <f>IFERROR(_xlfn.XLOOKUP(Table6[[#This Row],[Affected WTG]],'Basic Data'!$A:$A,'Basic Data'!$E:$E),"")</f>
        <v>3.846153846153845E-2</v>
      </c>
      <c r="K1113" s="102">
        <v>3110</v>
      </c>
      <c r="L1113" s="35" t="str">
        <f>IFERROR(_xlfn.XLOOKUP(Table6[[#This Row],[Error Code]],'Basic Data'!$AA:$AA,'Basic Data'!$AB:$AB),"Incorrect Error Code")</f>
        <v>Frequency converter error</v>
      </c>
      <c r="M1113" s="35" t="s">
        <v>291</v>
      </c>
      <c r="N1113" s="475"/>
      <c r="O1113" s="476">
        <v>0.86736111111111114</v>
      </c>
      <c r="P1113" s="476">
        <v>0.86736111111111114</v>
      </c>
      <c r="Q1113" s="477">
        <v>0.89583333333333337</v>
      </c>
      <c r="R1113" s="472">
        <f>IF(Table6[[#This Row],[Work Start TimeStamp]]="","",(Table6[[#This Row],[Work Start TimeStamp]]-Table6[[#This Row],[Fault Start TimeStamp]])*24)</f>
        <v>0</v>
      </c>
      <c r="S1113" s="472">
        <f>(Table6[[#This Row],[Fault Clearance time]]-Table6[[#This Row],[Work Start TimeStamp]])*24</f>
        <v>0.68333333333333357</v>
      </c>
      <c r="T1113" s="472">
        <f>(Table6[[#This Row],[Fault Clearance time]]-Table6[[#This Row],[Fault Start TimeStamp]])*24</f>
        <v>0.68333333333333357</v>
      </c>
      <c r="U1113" s="35" t="s">
        <v>1950</v>
      </c>
      <c r="V1113" s="102" t="s">
        <v>293</v>
      </c>
      <c r="W1113" s="478">
        <f>IFERROR(Table6[[#This Row],[Breakdown Time]]*Table6[[#This Row],[Plant Equivalent Weightage]],"")</f>
        <v>2.6282051282051282E-2</v>
      </c>
      <c r="X1113" s="473" t="s">
        <v>294</v>
      </c>
      <c r="Y1113" s="474" t="s">
        <v>88</v>
      </c>
      <c r="Z1113" s="102">
        <v>29849</v>
      </c>
      <c r="AA1113" s="468">
        <f>(Table6[[#This Row],[Paired WTG Generation for loss calculation]]/24)*Table6[[#This Row],[Breakdown Time]]</f>
        <v>849.86736111111134</v>
      </c>
      <c r="AB1113" s="102"/>
      <c r="AC1113" s="35"/>
      <c r="AD1113" s="35"/>
    </row>
    <row r="1114" spans="1:30">
      <c r="A1114" s="102">
        <f t="shared" si="18"/>
        <v>1113</v>
      </c>
      <c r="B1114" s="468">
        <f>YEAR(Table6[[#This Row],[Date]])+IF(MONTH(Table6[[#This Row],[Date]])&gt;=4,1,0)</f>
        <v>2026</v>
      </c>
      <c r="C1114" s="102">
        <f>YEAR(Table6[[#This Row],[Date]])</f>
        <v>2025</v>
      </c>
      <c r="D1114" s="102" t="s">
        <v>1992</v>
      </c>
      <c r="E1114" s="469">
        <f>Table6[[#This Row],[Date]]-DAY(Table6[[#This Row],[Date]])+1</f>
        <v>45809</v>
      </c>
      <c r="F1114" s="470">
        <v>45816</v>
      </c>
      <c r="G1114" s="35" t="s">
        <v>83</v>
      </c>
      <c r="H1114" s="35" t="str">
        <f>IFERROR(_xlfn.XLOOKUP(Table6[[#This Row],[Affected WTG]],'Basic Data'!$A:$A,'Basic Data'!$B:$B),"")</f>
        <v>TQGXIIPL</v>
      </c>
      <c r="I1114" s="35" t="str">
        <f>IFERROR(_xlfn.XLOOKUP(Table6[[#This Row],[Affected WTG]],'Basic Data'!$A:$A,'Basic Data'!$C:$C),"")</f>
        <v>GEDA</v>
      </c>
      <c r="J1114" s="471">
        <f>IFERROR(_xlfn.XLOOKUP(Table6[[#This Row],[Affected WTG]],'Basic Data'!$A:$A,'Basic Data'!$E:$E),"")</f>
        <v>3.846153846153845E-2</v>
      </c>
      <c r="K1114" s="102">
        <v>3110</v>
      </c>
      <c r="L1114" s="35" t="str">
        <f>IFERROR(_xlfn.XLOOKUP(Table6[[#This Row],[Error Code]],'Basic Data'!$AA:$AA,'Basic Data'!$AB:$AB),"Incorrect Error Code")</f>
        <v>Frequency converter error</v>
      </c>
      <c r="M1114" s="35" t="s">
        <v>291</v>
      </c>
      <c r="N1114" s="475"/>
      <c r="O1114" s="476">
        <v>0.90277777777777779</v>
      </c>
      <c r="P1114" s="476">
        <v>0.93055555555555558</v>
      </c>
      <c r="Q1114" s="477">
        <v>0.96736111111111112</v>
      </c>
      <c r="R1114" s="472">
        <f>IF(Table6[[#This Row],[Work Start TimeStamp]]="","",(Table6[[#This Row],[Work Start TimeStamp]]-Table6[[#This Row],[Fault Start TimeStamp]])*24)</f>
        <v>0.66666666666666696</v>
      </c>
      <c r="S1114" s="472">
        <f>(Table6[[#This Row],[Fault Clearance time]]-Table6[[#This Row],[Work Start TimeStamp]])*24</f>
        <v>0.88333333333333286</v>
      </c>
      <c r="T1114" s="472">
        <f>(Table6[[#This Row],[Fault Clearance time]]-Table6[[#This Row],[Fault Start TimeStamp]])*24</f>
        <v>1.5499999999999998</v>
      </c>
      <c r="U1114" s="35" t="s">
        <v>1951</v>
      </c>
      <c r="V1114" s="102" t="s">
        <v>293</v>
      </c>
      <c r="W1114" s="478">
        <f>IFERROR(Table6[[#This Row],[Breakdown Time]]*Table6[[#This Row],[Plant Equivalent Weightage]],"")</f>
        <v>5.9615384615384591E-2</v>
      </c>
      <c r="X1114" s="473" t="s">
        <v>290</v>
      </c>
      <c r="Y1114" s="474" t="s">
        <v>88</v>
      </c>
      <c r="Z1114" s="102">
        <v>29849</v>
      </c>
      <c r="AA1114" s="468">
        <f>(Table6[[#This Row],[Paired WTG Generation for loss calculation]]/24)*Table6[[#This Row],[Breakdown Time]]</f>
        <v>1927.7479166666662</v>
      </c>
      <c r="AB1114" s="102"/>
      <c r="AC1114" s="35"/>
      <c r="AD1114" s="35"/>
    </row>
    <row r="1115" spans="1:30">
      <c r="A1115" s="102">
        <f t="shared" si="18"/>
        <v>1114</v>
      </c>
      <c r="B1115" s="468">
        <f>YEAR(Table6[[#This Row],[Date]])+IF(MONTH(Table6[[#This Row],[Date]])&gt;=4,1,0)</f>
        <v>2026</v>
      </c>
      <c r="C1115" s="102">
        <f>YEAR(Table6[[#This Row],[Date]])</f>
        <v>2025</v>
      </c>
      <c r="D1115" s="102" t="s">
        <v>1992</v>
      </c>
      <c r="E1115" s="469">
        <f>Table6[[#This Row],[Date]]-DAY(Table6[[#This Row],[Date]])+1</f>
        <v>45809</v>
      </c>
      <c r="F1115" s="470">
        <v>45816</v>
      </c>
      <c r="G1115" s="35" t="s">
        <v>89</v>
      </c>
      <c r="H1115" s="35" t="str">
        <f>IFERROR(_xlfn.XLOOKUP(Table6[[#This Row],[Affected WTG]],'Basic Data'!$A:$A,'Basic Data'!$B:$B),"")</f>
        <v>TQGXIIPL</v>
      </c>
      <c r="I1115" s="35" t="str">
        <f>IFERROR(_xlfn.XLOOKUP(Table6[[#This Row],[Affected WTG]],'Basic Data'!$A:$A,'Basic Data'!$C:$C),"")</f>
        <v>GEDA</v>
      </c>
      <c r="J1115" s="471">
        <f>IFERROR(_xlfn.XLOOKUP(Table6[[#This Row],[Affected WTG]],'Basic Data'!$A:$A,'Basic Data'!$E:$E),"")</f>
        <v>3.846153846153845E-2</v>
      </c>
      <c r="K1115" s="102">
        <v>558</v>
      </c>
      <c r="L1115" s="35" t="str">
        <f>IFERROR(_xlfn.XLOOKUP(Table6[[#This Row],[Error Code]],'Basic Data'!$AA:$AA,'Basic Data'!$AB:$AB),"Incorrect Error Code")</f>
        <v>Pitch deviation Pitch Back</v>
      </c>
      <c r="M1115" s="35" t="s">
        <v>295</v>
      </c>
      <c r="N1115" s="475"/>
      <c r="O1115" s="476">
        <v>0.42986111111111114</v>
      </c>
      <c r="P1115" s="476">
        <v>0.45833333333333331</v>
      </c>
      <c r="Q1115" s="477">
        <v>0.7104166666666667</v>
      </c>
      <c r="R1115" s="472">
        <f>IF(Table6[[#This Row],[Work Start TimeStamp]]="","",(Table6[[#This Row],[Work Start TimeStamp]]-Table6[[#This Row],[Fault Start TimeStamp]])*24)</f>
        <v>0.68333333333333224</v>
      </c>
      <c r="S1115" s="472">
        <f>(Table6[[#This Row],[Fault Clearance time]]-Table6[[#This Row],[Work Start TimeStamp]])*24</f>
        <v>6.0500000000000007</v>
      </c>
      <c r="T1115" s="472">
        <f>(Table6[[#This Row],[Fault Clearance time]]-Table6[[#This Row],[Fault Start TimeStamp]])*24</f>
        <v>6.7333333333333334</v>
      </c>
      <c r="U1115" s="35" t="s">
        <v>1952</v>
      </c>
      <c r="V1115" s="102" t="s">
        <v>293</v>
      </c>
      <c r="W1115" s="478">
        <f>IFERROR(Table6[[#This Row],[Breakdown Time]]*Table6[[#This Row],[Plant Equivalent Weightage]],"")</f>
        <v>0.25897435897435889</v>
      </c>
      <c r="X1115" s="473" t="s">
        <v>290</v>
      </c>
      <c r="Y1115" s="474" t="s">
        <v>94</v>
      </c>
      <c r="Z1115" s="102">
        <v>29442</v>
      </c>
      <c r="AA1115" s="468">
        <f>(Table6[[#This Row],[Paired WTG Generation for loss calculation]]/24)*Table6[[#This Row],[Breakdown Time]]</f>
        <v>8260.1166666666668</v>
      </c>
      <c r="AB1115" s="102"/>
      <c r="AC1115" s="35"/>
      <c r="AD1115" s="35"/>
    </row>
    <row r="1116" spans="1:30">
      <c r="A1116" s="102">
        <f t="shared" si="18"/>
        <v>1115</v>
      </c>
      <c r="B1116" s="468">
        <f>YEAR(Table6[[#This Row],[Date]])+IF(MONTH(Table6[[#This Row],[Date]])&gt;=4,1,0)</f>
        <v>2026</v>
      </c>
      <c r="C1116" s="102">
        <f>YEAR(Table6[[#This Row],[Date]])</f>
        <v>2025</v>
      </c>
      <c r="D1116" s="102" t="s">
        <v>1992</v>
      </c>
      <c r="E1116" s="469">
        <f>Table6[[#This Row],[Date]]-DAY(Table6[[#This Row],[Date]])+1</f>
        <v>45809</v>
      </c>
      <c r="F1116" s="470">
        <v>45816</v>
      </c>
      <c r="G1116" s="35" t="s">
        <v>92</v>
      </c>
      <c r="H1116" s="35" t="str">
        <f>IFERROR(_xlfn.XLOOKUP(Table6[[#This Row],[Affected WTG]],'Basic Data'!$A:$A,'Basic Data'!$B:$B),"")</f>
        <v>TQGXIIPL</v>
      </c>
      <c r="I1116" s="35" t="str">
        <f>IFERROR(_xlfn.XLOOKUP(Table6[[#This Row],[Affected WTG]],'Basic Data'!$A:$A,'Basic Data'!$C:$C),"")</f>
        <v>GEDA</v>
      </c>
      <c r="J1116" s="471">
        <f>IFERROR(_xlfn.XLOOKUP(Table6[[#This Row],[Affected WTG]],'Basic Data'!$A:$A,'Basic Data'!$E:$E),"")</f>
        <v>3.846153846153845E-2</v>
      </c>
      <c r="K1116" s="102">
        <v>55</v>
      </c>
      <c r="L1116" s="35" t="str">
        <f>IFERROR(_xlfn.XLOOKUP(Table6[[#This Row],[Error Code]],'Basic Data'!$AA:$AA,'Basic Data'!$AB:$AB),"Incorrect Error Code")</f>
        <v>WTG shut down</v>
      </c>
      <c r="M1116" s="35" t="s">
        <v>1956</v>
      </c>
      <c r="N1116" s="475"/>
      <c r="O1116" s="476">
        <v>0.37152777777777779</v>
      </c>
      <c r="P1116" s="476">
        <v>0.37152777777777779</v>
      </c>
      <c r="Q1116" s="477">
        <v>0.43333333333333335</v>
      </c>
      <c r="R1116" s="472">
        <f>IF(Table6[[#This Row],[Work Start TimeStamp]]="","",(Table6[[#This Row],[Work Start TimeStamp]]-Table6[[#This Row],[Fault Start TimeStamp]])*24)</f>
        <v>0</v>
      </c>
      <c r="S1116" s="472">
        <f>(Table6[[#This Row],[Fault Clearance time]]-Table6[[#This Row],[Work Start TimeStamp]])*24</f>
        <v>1.4833333333333334</v>
      </c>
      <c r="T1116" s="472">
        <f>(Table6[[#This Row],[Fault Clearance time]]-Table6[[#This Row],[Fault Start TimeStamp]])*24</f>
        <v>1.4833333333333334</v>
      </c>
      <c r="U1116" s="35" t="s">
        <v>1948</v>
      </c>
      <c r="V1116" s="102" t="s">
        <v>293</v>
      </c>
      <c r="W1116" s="478">
        <f>IFERROR(Table6[[#This Row],[Breakdown Time]]*Table6[[#This Row],[Plant Equivalent Weightage]],"")</f>
        <v>5.7051282051282036E-2</v>
      </c>
      <c r="X1116" s="473" t="s">
        <v>290</v>
      </c>
      <c r="Y1116" s="474" t="s">
        <v>80</v>
      </c>
      <c r="Z1116" s="102">
        <v>27380</v>
      </c>
      <c r="AA1116" s="468">
        <f>(Table6[[#This Row],[Paired WTG Generation for loss calculation]]/24)*Table6[[#This Row],[Breakdown Time]]</f>
        <v>1692.2361111111111</v>
      </c>
      <c r="AB1116" s="102"/>
      <c r="AC1116" s="35"/>
      <c r="AD1116" s="35"/>
    </row>
    <row r="1117" spans="1:30">
      <c r="A1117" s="102">
        <f t="shared" si="18"/>
        <v>1116</v>
      </c>
      <c r="B1117" s="468">
        <f>YEAR(Table6[[#This Row],[Date]])+IF(MONTH(Table6[[#This Row],[Date]])&gt;=4,1,0)</f>
        <v>2026</v>
      </c>
      <c r="C1117" s="102">
        <f>YEAR(Table6[[#This Row],[Date]])</f>
        <v>2025</v>
      </c>
      <c r="D1117" s="102" t="s">
        <v>1992</v>
      </c>
      <c r="E1117" s="469">
        <f>Table6[[#This Row],[Date]]-DAY(Table6[[#This Row],[Date]])+1</f>
        <v>45809</v>
      </c>
      <c r="F1117" s="470">
        <v>45816</v>
      </c>
      <c r="G1117" s="35" t="s">
        <v>92</v>
      </c>
      <c r="H1117" s="35" t="str">
        <f>IFERROR(_xlfn.XLOOKUP(Table6[[#This Row],[Affected WTG]],'Basic Data'!$A:$A,'Basic Data'!$B:$B),"")</f>
        <v>TQGXIIPL</v>
      </c>
      <c r="I1117" s="35" t="str">
        <f>IFERROR(_xlfn.XLOOKUP(Table6[[#This Row],[Affected WTG]],'Basic Data'!$A:$A,'Basic Data'!$C:$C),"")</f>
        <v>GEDA</v>
      </c>
      <c r="J1117" s="471">
        <f>IFERROR(_xlfn.XLOOKUP(Table6[[#This Row],[Affected WTG]],'Basic Data'!$A:$A,'Basic Data'!$E:$E),"")</f>
        <v>3.846153846153845E-2</v>
      </c>
      <c r="K1117" s="102">
        <v>55</v>
      </c>
      <c r="L1117" s="35" t="str">
        <f>IFERROR(_xlfn.XLOOKUP(Table6[[#This Row],[Error Code]],'Basic Data'!$AA:$AA,'Basic Data'!$AB:$AB),"Incorrect Error Code")</f>
        <v>WTG shut down</v>
      </c>
      <c r="M1117" s="35" t="s">
        <v>1956</v>
      </c>
      <c r="N1117" s="475"/>
      <c r="O1117" s="476">
        <v>0.76597222222222228</v>
      </c>
      <c r="P1117" s="476">
        <v>0.76597222222222228</v>
      </c>
      <c r="Q1117" s="477">
        <v>0.78819444444444442</v>
      </c>
      <c r="R1117" s="472">
        <f>IF(Table6[[#This Row],[Work Start TimeStamp]]="","",(Table6[[#This Row],[Work Start TimeStamp]]-Table6[[#This Row],[Fault Start TimeStamp]])*24)</f>
        <v>0</v>
      </c>
      <c r="S1117" s="472">
        <f>(Table6[[#This Row],[Fault Clearance time]]-Table6[[#This Row],[Work Start TimeStamp]])*24</f>
        <v>0.53333333333333144</v>
      </c>
      <c r="T1117" s="472">
        <f>(Table6[[#This Row],[Fault Clearance time]]-Table6[[#This Row],[Fault Start TimeStamp]])*24</f>
        <v>0.53333333333333144</v>
      </c>
      <c r="U1117" s="35" t="s">
        <v>1948</v>
      </c>
      <c r="V1117" s="102" t="s">
        <v>293</v>
      </c>
      <c r="W1117" s="478">
        <f>IFERROR(Table6[[#This Row],[Breakdown Time]]*Table6[[#This Row],[Plant Equivalent Weightage]],"")</f>
        <v>2.0512820512820433E-2</v>
      </c>
      <c r="X1117" s="473" t="s">
        <v>290</v>
      </c>
      <c r="Y1117" s="474" t="s">
        <v>80</v>
      </c>
      <c r="Z1117" s="102">
        <v>27380</v>
      </c>
      <c r="AA1117" s="468">
        <f>(Table6[[#This Row],[Paired WTG Generation for loss calculation]]/24)*Table6[[#This Row],[Breakdown Time]]</f>
        <v>608.4444444444423</v>
      </c>
      <c r="AB1117" s="102"/>
      <c r="AC1117" s="35"/>
      <c r="AD1117" s="35"/>
    </row>
    <row r="1118" spans="1:30">
      <c r="A1118" s="102">
        <f t="shared" si="18"/>
        <v>1117</v>
      </c>
      <c r="B1118" s="468">
        <f>YEAR(Table6[[#This Row],[Date]])+IF(MONTH(Table6[[#This Row],[Date]])&gt;=4,1,0)</f>
        <v>2026</v>
      </c>
      <c r="C1118" s="102">
        <f>YEAR(Table6[[#This Row],[Date]])</f>
        <v>2025</v>
      </c>
      <c r="D1118" s="102" t="s">
        <v>1992</v>
      </c>
      <c r="E1118" s="469">
        <f>Table6[[#This Row],[Date]]-DAY(Table6[[#This Row],[Date]])+1</f>
        <v>45809</v>
      </c>
      <c r="F1118" s="470">
        <v>45816</v>
      </c>
      <c r="G1118" s="35" t="s">
        <v>97</v>
      </c>
      <c r="H1118" s="35" t="str">
        <f>IFERROR(_xlfn.XLOOKUP(Table6[[#This Row],[Affected WTG]],'Basic Data'!$A:$A,'Basic Data'!$B:$B),"")</f>
        <v>TQGXIIPL</v>
      </c>
      <c r="I1118" s="35" t="str">
        <f>IFERROR(_xlfn.XLOOKUP(Table6[[#This Row],[Affected WTG]],'Basic Data'!$A:$A,'Basic Data'!$C:$C),"")</f>
        <v>GEDA</v>
      </c>
      <c r="J1118" s="471">
        <f>IFERROR(_xlfn.XLOOKUP(Table6[[#This Row],[Affected WTG]],'Basic Data'!$A:$A,'Basic Data'!$E:$E),"")</f>
        <v>3.846153846153845E-2</v>
      </c>
      <c r="K1118" s="102">
        <v>700</v>
      </c>
      <c r="L1118" s="35" t="str">
        <f>IFERROR(_xlfn.XLOOKUP(Table6[[#This Row],[Error Code]],'Basic Data'!$AA:$AA,'Basic Data'!$AB:$AB),"Incorrect Error Code")</f>
        <v>Batt. undervoltage/overvoltage</v>
      </c>
      <c r="M1118" s="35" t="s">
        <v>291</v>
      </c>
      <c r="N1118" s="475"/>
      <c r="O1118" s="476">
        <v>0.43888888888888888</v>
      </c>
      <c r="P1118" s="476">
        <v>0.43888888888888888</v>
      </c>
      <c r="Q1118" s="477">
        <v>0.44722222222222224</v>
      </c>
      <c r="R1118" s="472">
        <f>IF(Table6[[#This Row],[Work Start TimeStamp]]="","",(Table6[[#This Row],[Work Start TimeStamp]]-Table6[[#This Row],[Fault Start TimeStamp]])*24)</f>
        <v>0</v>
      </c>
      <c r="S1118" s="472">
        <f>(Table6[[#This Row],[Fault Clearance time]]-Table6[[#This Row],[Work Start TimeStamp]])*24</f>
        <v>0.20000000000000062</v>
      </c>
      <c r="T1118" s="472">
        <f>(Table6[[#This Row],[Fault Clearance time]]-Table6[[#This Row],[Fault Start TimeStamp]])*24</f>
        <v>0.20000000000000062</v>
      </c>
      <c r="U1118" s="35" t="s">
        <v>1924</v>
      </c>
      <c r="V1118" s="102" t="s">
        <v>293</v>
      </c>
      <c r="W1118" s="478">
        <f>IFERROR(Table6[[#This Row],[Breakdown Time]]*Table6[[#This Row],[Plant Equivalent Weightage]],"")</f>
        <v>7.6923076923077136E-3</v>
      </c>
      <c r="X1118" s="473" t="s">
        <v>294</v>
      </c>
      <c r="Y1118" s="474" t="s">
        <v>93</v>
      </c>
      <c r="Z1118" s="102">
        <v>31913</v>
      </c>
      <c r="AA1118" s="468">
        <f>(Table6[[#This Row],[Paired WTG Generation for loss calculation]]/24)*Table6[[#This Row],[Breakdown Time]]</f>
        <v>265.94166666666746</v>
      </c>
      <c r="AB1118" s="102"/>
      <c r="AC1118" s="35"/>
      <c r="AD1118" s="35"/>
    </row>
    <row r="1119" spans="1:30">
      <c r="A1119" s="102">
        <f t="shared" si="18"/>
        <v>1118</v>
      </c>
      <c r="B1119" s="468">
        <f>YEAR(Table6[[#This Row],[Date]])+IF(MONTH(Table6[[#This Row],[Date]])&gt;=4,1,0)</f>
        <v>2026</v>
      </c>
      <c r="C1119" s="102">
        <f>YEAR(Table6[[#This Row],[Date]])</f>
        <v>2025</v>
      </c>
      <c r="D1119" s="102" t="s">
        <v>1992</v>
      </c>
      <c r="E1119" s="469">
        <f>Table6[[#This Row],[Date]]-DAY(Table6[[#This Row],[Date]])+1</f>
        <v>45809</v>
      </c>
      <c r="F1119" s="470">
        <v>45817</v>
      </c>
      <c r="G1119" s="35" t="s">
        <v>84</v>
      </c>
      <c r="H1119" s="35" t="str">
        <f>IFERROR(_xlfn.XLOOKUP(Table6[[#This Row],[Affected WTG]],'Basic Data'!$A:$A,'Basic Data'!$B:$B),"")</f>
        <v>TQGXIIPL</v>
      </c>
      <c r="I1119" s="35" t="str">
        <f>IFERROR(_xlfn.XLOOKUP(Table6[[#This Row],[Affected WTG]],'Basic Data'!$A:$A,'Basic Data'!$C:$C),"")</f>
        <v>GEDA</v>
      </c>
      <c r="J1119" s="471">
        <f>IFERROR(_xlfn.XLOOKUP(Table6[[#This Row],[Affected WTG]],'Basic Data'!$A:$A,'Basic Data'!$E:$E),"")</f>
        <v>3.846153846153845E-2</v>
      </c>
      <c r="K1119" s="102">
        <v>6130</v>
      </c>
      <c r="L1119" s="35" t="str">
        <f>IFERROR(_xlfn.XLOOKUP(Table6[[#This Row],[Error Code]],'Basic Data'!$AA:$AA,'Basic Data'!$AB:$AB),"Incorrect Error Code")</f>
        <v>Yaw speed high</v>
      </c>
      <c r="M1119" s="35" t="s">
        <v>292</v>
      </c>
      <c r="N1119" s="475"/>
      <c r="O1119" s="476">
        <v>0.60347222222222219</v>
      </c>
      <c r="P1119" s="476">
        <v>0.60347222222222219</v>
      </c>
      <c r="Q1119" s="477">
        <v>0.60763888888888884</v>
      </c>
      <c r="R1119" s="472">
        <f>IF(Table6[[#This Row],[Work Start TimeStamp]]="","",(Table6[[#This Row],[Work Start TimeStamp]]-Table6[[#This Row],[Fault Start TimeStamp]])*24)</f>
        <v>0</v>
      </c>
      <c r="S1119" s="472">
        <f>(Table6[[#This Row],[Fault Clearance time]]-Table6[[#This Row],[Work Start TimeStamp]])*24</f>
        <v>9.9999999999999645E-2</v>
      </c>
      <c r="T1119" s="472">
        <f>(Table6[[#This Row],[Fault Clearance time]]-Table6[[#This Row],[Fault Start TimeStamp]])*24</f>
        <v>9.9999999999999645E-2</v>
      </c>
      <c r="U1119" s="35" t="s">
        <v>336</v>
      </c>
      <c r="V1119" s="102" t="s">
        <v>293</v>
      </c>
      <c r="W1119" s="478">
        <f>IFERROR(Table6[[#This Row],[Breakdown Time]]*Table6[[#This Row],[Plant Equivalent Weightage]],"")</f>
        <v>3.8461538461538312E-3</v>
      </c>
      <c r="X1119" s="473" t="s">
        <v>294</v>
      </c>
      <c r="Y1119" s="474" t="s">
        <v>85</v>
      </c>
      <c r="Z1119" s="102">
        <v>36462</v>
      </c>
      <c r="AA1119" s="468">
        <f>(Table6[[#This Row],[Paired WTG Generation for loss calculation]]/24)*Table6[[#This Row],[Breakdown Time]]</f>
        <v>151.92499999999947</v>
      </c>
      <c r="AB1119" s="102"/>
      <c r="AC1119" s="35"/>
      <c r="AD1119" s="35"/>
    </row>
    <row r="1120" spans="1:30">
      <c r="A1120" s="102">
        <f t="shared" si="18"/>
        <v>1119</v>
      </c>
      <c r="B1120" s="468">
        <f>YEAR(Table6[[#This Row],[Date]])+IF(MONTH(Table6[[#This Row],[Date]])&gt;=4,1,0)</f>
        <v>2026</v>
      </c>
      <c r="C1120" s="102">
        <f>YEAR(Table6[[#This Row],[Date]])</f>
        <v>2025</v>
      </c>
      <c r="D1120" s="102" t="s">
        <v>1992</v>
      </c>
      <c r="E1120" s="469">
        <f>Table6[[#This Row],[Date]]-DAY(Table6[[#This Row],[Date]])+1</f>
        <v>45809</v>
      </c>
      <c r="F1120" s="470">
        <v>45817</v>
      </c>
      <c r="G1120" s="35" t="s">
        <v>86</v>
      </c>
      <c r="H1120" s="35" t="str">
        <f>IFERROR(_xlfn.XLOOKUP(Table6[[#This Row],[Affected WTG]],'Basic Data'!$A:$A,'Basic Data'!$B:$B),"")</f>
        <v>TQGXIIPL</v>
      </c>
      <c r="I1120" s="35" t="str">
        <f>IFERROR(_xlfn.XLOOKUP(Table6[[#This Row],[Affected WTG]],'Basic Data'!$A:$A,'Basic Data'!$C:$C),"")</f>
        <v>GEDA</v>
      </c>
      <c r="J1120" s="471">
        <f>IFERROR(_xlfn.XLOOKUP(Table6[[#This Row],[Affected WTG]],'Basic Data'!$A:$A,'Basic Data'!$E:$E),"")</f>
        <v>3.846153846153845E-2</v>
      </c>
      <c r="K1120" s="102">
        <v>6130</v>
      </c>
      <c r="L1120" s="35" t="str">
        <f>IFERROR(_xlfn.XLOOKUP(Table6[[#This Row],[Error Code]],'Basic Data'!$AA:$AA,'Basic Data'!$AB:$AB),"Incorrect Error Code")</f>
        <v>Yaw speed high</v>
      </c>
      <c r="M1120" s="35" t="s">
        <v>292</v>
      </c>
      <c r="N1120" s="475"/>
      <c r="O1120" s="476">
        <v>0.6</v>
      </c>
      <c r="P1120" s="476">
        <v>0.6</v>
      </c>
      <c r="Q1120" s="477">
        <v>0.60416666666666663</v>
      </c>
      <c r="R1120" s="472">
        <f>IF(Table6[[#This Row],[Work Start TimeStamp]]="","",(Table6[[#This Row],[Work Start TimeStamp]]-Table6[[#This Row],[Fault Start TimeStamp]])*24)</f>
        <v>0</v>
      </c>
      <c r="S1120" s="472">
        <f>(Table6[[#This Row],[Fault Clearance time]]-Table6[[#This Row],[Work Start TimeStamp]])*24</f>
        <v>9.9999999999999645E-2</v>
      </c>
      <c r="T1120" s="472">
        <f>(Table6[[#This Row],[Fault Clearance time]]-Table6[[#This Row],[Fault Start TimeStamp]])*24</f>
        <v>9.9999999999999645E-2</v>
      </c>
      <c r="U1120" s="35" t="s">
        <v>336</v>
      </c>
      <c r="V1120" s="102" t="s">
        <v>293</v>
      </c>
      <c r="W1120" s="478">
        <f>IFERROR(Table6[[#This Row],[Breakdown Time]]*Table6[[#This Row],[Plant Equivalent Weightage]],"")</f>
        <v>3.8461538461538312E-3</v>
      </c>
      <c r="X1120" s="473" t="s">
        <v>294</v>
      </c>
      <c r="Y1120" s="474" t="s">
        <v>84</v>
      </c>
      <c r="Z1120" s="102">
        <v>35565</v>
      </c>
      <c r="AA1120" s="468">
        <f>(Table6[[#This Row],[Paired WTG Generation for loss calculation]]/24)*Table6[[#This Row],[Breakdown Time]]</f>
        <v>148.18749999999946</v>
      </c>
      <c r="AB1120" s="102"/>
      <c r="AC1120" s="35"/>
      <c r="AD1120" s="35"/>
    </row>
    <row r="1121" spans="1:30">
      <c r="A1121" s="102">
        <f t="shared" si="18"/>
        <v>1120</v>
      </c>
      <c r="B1121" s="468">
        <f>YEAR(Table6[[#This Row],[Date]])+IF(MONTH(Table6[[#This Row],[Date]])&gt;=4,1,0)</f>
        <v>2026</v>
      </c>
      <c r="C1121" s="102">
        <f>YEAR(Table6[[#This Row],[Date]])</f>
        <v>2025</v>
      </c>
      <c r="D1121" s="102" t="s">
        <v>1992</v>
      </c>
      <c r="E1121" s="469">
        <f>Table6[[#This Row],[Date]]-DAY(Table6[[#This Row],[Date]])+1</f>
        <v>45809</v>
      </c>
      <c r="F1121" s="470">
        <v>45817</v>
      </c>
      <c r="G1121" s="35" t="s">
        <v>87</v>
      </c>
      <c r="H1121" s="35" t="str">
        <f>IFERROR(_xlfn.XLOOKUP(Table6[[#This Row],[Affected WTG]],'Basic Data'!$A:$A,'Basic Data'!$B:$B),"")</f>
        <v>TQGXIIPL</v>
      </c>
      <c r="I1121" s="35" t="str">
        <f>IFERROR(_xlfn.XLOOKUP(Table6[[#This Row],[Affected WTG]],'Basic Data'!$A:$A,'Basic Data'!$C:$C),"")</f>
        <v>GEDA</v>
      </c>
      <c r="J1121" s="471">
        <f>IFERROR(_xlfn.XLOOKUP(Table6[[#This Row],[Affected WTG]],'Basic Data'!$A:$A,'Basic Data'!$E:$E),"")</f>
        <v>3.846153846153845E-2</v>
      </c>
      <c r="K1121" s="102">
        <v>4970</v>
      </c>
      <c r="L1121" s="35" t="str">
        <f>IFERROR(_xlfn.XLOOKUP(Table6[[#This Row],[Error Code]],'Basic Data'!$AA:$AA,'Basic Data'!$AB:$AB),"Incorrect Error Code")</f>
        <v>Tower oscillation XF</v>
      </c>
      <c r="M1121" s="35" t="s">
        <v>292</v>
      </c>
      <c r="N1121" s="475"/>
      <c r="O1121" s="476">
        <v>0.62777777777777777</v>
      </c>
      <c r="P1121" s="476">
        <v>0.62777777777777777</v>
      </c>
      <c r="Q1121" s="477">
        <v>0.63888888888888884</v>
      </c>
      <c r="R1121" s="472">
        <f>IF(Table6[[#This Row],[Work Start TimeStamp]]="","",(Table6[[#This Row],[Work Start TimeStamp]]-Table6[[#This Row],[Fault Start TimeStamp]])*24)</f>
        <v>0</v>
      </c>
      <c r="S1121" s="472">
        <f>(Table6[[#This Row],[Fault Clearance time]]-Table6[[#This Row],[Work Start TimeStamp]])*24</f>
        <v>0.26666666666666572</v>
      </c>
      <c r="T1121" s="472">
        <f>(Table6[[#This Row],[Fault Clearance time]]-Table6[[#This Row],[Fault Start TimeStamp]])*24</f>
        <v>0.26666666666666572</v>
      </c>
      <c r="U1121" s="35" t="s">
        <v>336</v>
      </c>
      <c r="V1121" s="102" t="s">
        <v>293</v>
      </c>
      <c r="W1121" s="478">
        <f>IFERROR(Table6[[#This Row],[Breakdown Time]]*Table6[[#This Row],[Plant Equivalent Weightage]],"")</f>
        <v>1.0256410256410217E-2</v>
      </c>
      <c r="X1121" s="473" t="s">
        <v>294</v>
      </c>
      <c r="Y1121" s="474" t="s">
        <v>85</v>
      </c>
      <c r="Z1121" s="102">
        <v>36462</v>
      </c>
      <c r="AA1121" s="468">
        <f>(Table6[[#This Row],[Paired WTG Generation for loss calculation]]/24)*Table6[[#This Row],[Breakdown Time]]</f>
        <v>405.1333333333319</v>
      </c>
      <c r="AB1121" s="102"/>
      <c r="AC1121" s="35"/>
      <c r="AD1121" s="35"/>
    </row>
    <row r="1122" spans="1:30">
      <c r="A1122" s="102">
        <f t="shared" si="18"/>
        <v>1121</v>
      </c>
      <c r="B1122" s="468">
        <f>YEAR(Table6[[#This Row],[Date]])+IF(MONTH(Table6[[#This Row],[Date]])&gt;=4,1,0)</f>
        <v>2026</v>
      </c>
      <c r="C1122" s="102">
        <f>YEAR(Table6[[#This Row],[Date]])</f>
        <v>2025</v>
      </c>
      <c r="D1122" s="102" t="s">
        <v>1992</v>
      </c>
      <c r="E1122" s="469">
        <f>Table6[[#This Row],[Date]]-DAY(Table6[[#This Row],[Date]])+1</f>
        <v>45809</v>
      </c>
      <c r="F1122" s="470">
        <v>45817</v>
      </c>
      <c r="G1122" s="35" t="s">
        <v>91</v>
      </c>
      <c r="H1122" s="35" t="str">
        <f>IFERROR(_xlfn.XLOOKUP(Table6[[#This Row],[Affected WTG]],'Basic Data'!$A:$A,'Basic Data'!$B:$B),"")</f>
        <v>TQGXIIPL</v>
      </c>
      <c r="I1122" s="35" t="str">
        <f>IFERROR(_xlfn.XLOOKUP(Table6[[#This Row],[Affected WTG]],'Basic Data'!$A:$A,'Basic Data'!$C:$C),"")</f>
        <v>GEDA</v>
      </c>
      <c r="J1122" s="471">
        <f>IFERROR(_xlfn.XLOOKUP(Table6[[#This Row],[Affected WTG]],'Basic Data'!$A:$A,'Basic Data'!$E:$E),"")</f>
        <v>3.846153846153845E-2</v>
      </c>
      <c r="K1122" s="102">
        <v>6130</v>
      </c>
      <c r="L1122" s="35" t="str">
        <f>IFERROR(_xlfn.XLOOKUP(Table6[[#This Row],[Error Code]],'Basic Data'!$AA:$AA,'Basic Data'!$AB:$AB),"Incorrect Error Code")</f>
        <v>Yaw speed high</v>
      </c>
      <c r="M1122" s="35" t="s">
        <v>292</v>
      </c>
      <c r="N1122" s="475"/>
      <c r="O1122" s="476">
        <v>0.49513888888888891</v>
      </c>
      <c r="P1122" s="476">
        <v>0.49513888888888891</v>
      </c>
      <c r="Q1122" s="477">
        <v>0.49930555555555556</v>
      </c>
      <c r="R1122" s="472">
        <f>IF(Table6[[#This Row],[Work Start TimeStamp]]="","",(Table6[[#This Row],[Work Start TimeStamp]]-Table6[[#This Row],[Fault Start TimeStamp]])*24)</f>
        <v>0</v>
      </c>
      <c r="S1122" s="472">
        <f>(Table6[[#This Row],[Fault Clearance time]]-Table6[[#This Row],[Work Start TimeStamp]])*24</f>
        <v>9.9999999999999645E-2</v>
      </c>
      <c r="T1122" s="472">
        <f>(Table6[[#This Row],[Fault Clearance time]]-Table6[[#This Row],[Fault Start TimeStamp]])*24</f>
        <v>9.9999999999999645E-2</v>
      </c>
      <c r="U1122" s="35" t="s">
        <v>336</v>
      </c>
      <c r="V1122" s="102" t="s">
        <v>293</v>
      </c>
      <c r="W1122" s="478">
        <f>IFERROR(Table6[[#This Row],[Breakdown Time]]*Table6[[#This Row],[Plant Equivalent Weightage]],"")</f>
        <v>3.8461538461538312E-3</v>
      </c>
      <c r="X1122" s="473" t="s">
        <v>294</v>
      </c>
      <c r="Y1122" s="474" t="s">
        <v>79</v>
      </c>
      <c r="Z1122" s="102">
        <v>40911</v>
      </c>
      <c r="AA1122" s="468">
        <f>(Table6[[#This Row],[Paired WTG Generation for loss calculation]]/24)*Table6[[#This Row],[Breakdown Time]]</f>
        <v>170.46249999999938</v>
      </c>
      <c r="AB1122" s="102"/>
      <c r="AC1122" s="35"/>
      <c r="AD1122" s="35"/>
    </row>
    <row r="1123" spans="1:30">
      <c r="A1123" s="102">
        <f t="shared" si="18"/>
        <v>1122</v>
      </c>
      <c r="B1123" s="468">
        <f>YEAR(Table6[[#This Row],[Date]])+IF(MONTH(Table6[[#This Row],[Date]])&gt;=4,1,0)</f>
        <v>2026</v>
      </c>
      <c r="C1123" s="102">
        <f>YEAR(Table6[[#This Row],[Date]])</f>
        <v>2025</v>
      </c>
      <c r="D1123" s="102" t="s">
        <v>1992</v>
      </c>
      <c r="E1123" s="469">
        <f>Table6[[#This Row],[Date]]-DAY(Table6[[#This Row],[Date]])+1</f>
        <v>45809</v>
      </c>
      <c r="F1123" s="470">
        <v>45817</v>
      </c>
      <c r="G1123" s="35" t="s">
        <v>99</v>
      </c>
      <c r="H1123" s="35" t="str">
        <f>IFERROR(_xlfn.XLOOKUP(Table6[[#This Row],[Affected WTG]],'Basic Data'!$A:$A,'Basic Data'!$B:$B),"")</f>
        <v>TQGXIIPL</v>
      </c>
      <c r="I1123" s="35" t="str">
        <f>IFERROR(_xlfn.XLOOKUP(Table6[[#This Row],[Affected WTG]],'Basic Data'!$A:$A,'Basic Data'!$C:$C),"")</f>
        <v>GEDA</v>
      </c>
      <c r="J1123" s="471">
        <f>IFERROR(_xlfn.XLOOKUP(Table6[[#This Row],[Affected WTG]],'Basic Data'!$A:$A,'Basic Data'!$E:$E),"")</f>
        <v>3.846153846153845E-2</v>
      </c>
      <c r="K1123" s="102">
        <v>5510</v>
      </c>
      <c r="L1123" s="35" t="str">
        <f>IFERROR(_xlfn.XLOOKUP(Table6[[#This Row],[Error Code]],'Basic Data'!$AA:$AA,'Basic Data'!$AB:$AB),"Incorrect Error Code")</f>
        <v>Low hydraulic pressure</v>
      </c>
      <c r="M1123" s="35" t="s">
        <v>291</v>
      </c>
      <c r="N1123" s="475"/>
      <c r="O1123" s="476">
        <v>0.40555555555555556</v>
      </c>
      <c r="P1123" s="476">
        <v>0.40555555555555556</v>
      </c>
      <c r="Q1123" s="477">
        <v>0.40902777777777777</v>
      </c>
      <c r="R1123" s="472">
        <f>IF(Table6[[#This Row],[Work Start TimeStamp]]="","",(Table6[[#This Row],[Work Start TimeStamp]]-Table6[[#This Row],[Fault Start TimeStamp]])*24)</f>
        <v>0</v>
      </c>
      <c r="S1123" s="472">
        <f>(Table6[[#This Row],[Fault Clearance time]]-Table6[[#This Row],[Work Start TimeStamp]])*24</f>
        <v>8.3333333333333037E-2</v>
      </c>
      <c r="T1123" s="472">
        <f>(Table6[[#This Row],[Fault Clearance time]]-Table6[[#This Row],[Fault Start TimeStamp]])*24</f>
        <v>8.3333333333333037E-2</v>
      </c>
      <c r="U1123" s="35" t="s">
        <v>1924</v>
      </c>
      <c r="V1123" s="102" t="s">
        <v>293</v>
      </c>
      <c r="W1123" s="478">
        <f>IFERROR(Table6[[#This Row],[Breakdown Time]]*Table6[[#This Row],[Plant Equivalent Weightage]],"")</f>
        <v>3.2051282051281929E-3</v>
      </c>
      <c r="X1123" s="473" t="s">
        <v>294</v>
      </c>
      <c r="Y1123" s="474" t="s">
        <v>74</v>
      </c>
      <c r="Z1123" s="102">
        <v>38655</v>
      </c>
      <c r="AA1123" s="468">
        <f>(Table6[[#This Row],[Paired WTG Generation for loss calculation]]/24)*Table6[[#This Row],[Breakdown Time]]</f>
        <v>134.21874999999952</v>
      </c>
      <c r="AB1123" s="102"/>
      <c r="AC1123" s="35"/>
      <c r="AD1123" s="35"/>
    </row>
    <row r="1124" spans="1:30">
      <c r="A1124" s="102">
        <f t="shared" si="18"/>
        <v>1123</v>
      </c>
      <c r="B1124" s="468">
        <f>YEAR(Table6[[#This Row],[Date]])+IF(MONTH(Table6[[#This Row],[Date]])&gt;=4,1,0)</f>
        <v>2026</v>
      </c>
      <c r="C1124" s="102">
        <f>YEAR(Table6[[#This Row],[Date]])</f>
        <v>2025</v>
      </c>
      <c r="D1124" s="102" t="s">
        <v>1992</v>
      </c>
      <c r="E1124" s="469">
        <f>Table6[[#This Row],[Date]]-DAY(Table6[[#This Row],[Date]])+1</f>
        <v>45809</v>
      </c>
      <c r="F1124" s="470">
        <v>45818</v>
      </c>
      <c r="G1124" s="35" t="s">
        <v>74</v>
      </c>
      <c r="H1124" s="35" t="str">
        <f>IFERROR(_xlfn.XLOOKUP(Table6[[#This Row],[Affected WTG]],'Basic Data'!$A:$A,'Basic Data'!$B:$B),"")</f>
        <v>TQGXIIPL</v>
      </c>
      <c r="I1124" s="35" t="str">
        <f>IFERROR(_xlfn.XLOOKUP(Table6[[#This Row],[Affected WTG]],'Basic Data'!$A:$A,'Basic Data'!$C:$C),"")</f>
        <v>GEDA</v>
      </c>
      <c r="J1124" s="471">
        <f>IFERROR(_xlfn.XLOOKUP(Table6[[#This Row],[Affected WTG]],'Basic Data'!$A:$A,'Basic Data'!$E:$E),"")</f>
        <v>3.846153846153845E-2</v>
      </c>
      <c r="K1124" s="102">
        <v>643</v>
      </c>
      <c r="L1124" s="35" t="str">
        <f>IFERROR(_xlfn.XLOOKUP(Table6[[#This Row],[Error Code]],'Basic Data'!$AA:$AA,'Basic Data'!$AB:$AB),"Incorrect Error Code")</f>
        <v>Sim.angle E enc. &lt;&gt; act.angle 3</v>
      </c>
      <c r="M1124" s="35" t="s">
        <v>291</v>
      </c>
      <c r="N1124" s="475"/>
      <c r="O1124" s="476">
        <v>0.33333333333333331</v>
      </c>
      <c r="P1124" s="476">
        <v>0.33333333333333331</v>
      </c>
      <c r="Q1124" s="477">
        <v>0.33750000000000002</v>
      </c>
      <c r="R1124" s="472">
        <f>IF(Table6[[#This Row],[Work Start TimeStamp]]="","",(Table6[[#This Row],[Work Start TimeStamp]]-Table6[[#This Row],[Fault Start TimeStamp]])*24)</f>
        <v>0</v>
      </c>
      <c r="S1124" s="472">
        <f>(Table6[[#This Row],[Fault Clearance time]]-Table6[[#This Row],[Work Start TimeStamp]])*24</f>
        <v>0.10000000000000098</v>
      </c>
      <c r="T1124" s="472">
        <f>(Table6[[#This Row],[Fault Clearance time]]-Table6[[#This Row],[Fault Start TimeStamp]])*24</f>
        <v>0.10000000000000098</v>
      </c>
      <c r="U1124" s="35" t="s">
        <v>1924</v>
      </c>
      <c r="V1124" s="102" t="s">
        <v>293</v>
      </c>
      <c r="W1124" s="478">
        <f>IFERROR(Table6[[#This Row],[Breakdown Time]]*Table6[[#This Row],[Plant Equivalent Weightage]],"")</f>
        <v>3.8461538461538824E-3</v>
      </c>
      <c r="X1124" s="473" t="s">
        <v>294</v>
      </c>
      <c r="Y1124" s="474" t="s">
        <v>99</v>
      </c>
      <c r="Z1124" s="102">
        <v>40326</v>
      </c>
      <c r="AA1124" s="468">
        <f>(Table6[[#This Row],[Paired WTG Generation for loss calculation]]/24)*Table6[[#This Row],[Breakdown Time]]</f>
        <v>168.02500000000165</v>
      </c>
      <c r="AB1124" s="102"/>
      <c r="AC1124" s="35"/>
      <c r="AD1124" s="35"/>
    </row>
    <row r="1125" spans="1:30">
      <c r="A1125" s="102">
        <f t="shared" si="18"/>
        <v>1124</v>
      </c>
      <c r="B1125" s="468">
        <f>YEAR(Table6[[#This Row],[Date]])+IF(MONTH(Table6[[#This Row],[Date]])&gt;=4,1,0)</f>
        <v>2026</v>
      </c>
      <c r="C1125" s="102">
        <f>YEAR(Table6[[#This Row],[Date]])</f>
        <v>2025</v>
      </c>
      <c r="D1125" s="102" t="s">
        <v>1992</v>
      </c>
      <c r="E1125" s="469">
        <f>Table6[[#This Row],[Date]]-DAY(Table6[[#This Row],[Date]])+1</f>
        <v>45809</v>
      </c>
      <c r="F1125" s="470">
        <v>45818</v>
      </c>
      <c r="G1125" s="35" t="s">
        <v>74</v>
      </c>
      <c r="H1125" s="35" t="str">
        <f>IFERROR(_xlfn.XLOOKUP(Table6[[#This Row],[Affected WTG]],'Basic Data'!$A:$A,'Basic Data'!$B:$B),"")</f>
        <v>TQGXIIPL</v>
      </c>
      <c r="I1125" s="35" t="str">
        <f>IFERROR(_xlfn.XLOOKUP(Table6[[#This Row],[Affected WTG]],'Basic Data'!$A:$A,'Basic Data'!$C:$C),"")</f>
        <v>GEDA</v>
      </c>
      <c r="J1125" s="471">
        <f>IFERROR(_xlfn.XLOOKUP(Table6[[#This Row],[Affected WTG]],'Basic Data'!$A:$A,'Basic Data'!$E:$E),"")</f>
        <v>3.846153846153845E-2</v>
      </c>
      <c r="K1125" s="102">
        <v>643</v>
      </c>
      <c r="L1125" s="35" t="str">
        <f>IFERROR(_xlfn.XLOOKUP(Table6[[#This Row],[Error Code]],'Basic Data'!$AA:$AA,'Basic Data'!$AB:$AB),"Incorrect Error Code")</f>
        <v>Sim.angle E enc. &lt;&gt; act.angle 3</v>
      </c>
      <c r="M1125" s="35" t="s">
        <v>291</v>
      </c>
      <c r="N1125" s="475"/>
      <c r="O1125" s="476">
        <v>0.84652777777777777</v>
      </c>
      <c r="P1125" s="476">
        <v>0.90972222222222221</v>
      </c>
      <c r="Q1125" s="477">
        <v>1</v>
      </c>
      <c r="R1125" s="472">
        <f>IF(Table6[[#This Row],[Work Start TimeStamp]]="","",(Table6[[#This Row],[Work Start TimeStamp]]-Table6[[#This Row],[Fault Start TimeStamp]])*24)</f>
        <v>1.5166666666666666</v>
      </c>
      <c r="S1125" s="472">
        <f>(Table6[[#This Row],[Fault Clearance time]]-Table6[[#This Row],[Work Start TimeStamp]])*24</f>
        <v>2.166666666666667</v>
      </c>
      <c r="T1125" s="472">
        <f>(Table6[[#This Row],[Fault Clearance time]]-Table6[[#This Row],[Fault Start TimeStamp]])*24</f>
        <v>3.6833333333333336</v>
      </c>
      <c r="U1125" s="35" t="s">
        <v>1953</v>
      </c>
      <c r="V1125" s="102" t="s">
        <v>293</v>
      </c>
      <c r="W1125" s="478">
        <f>IFERROR(Table6[[#This Row],[Breakdown Time]]*Table6[[#This Row],[Plant Equivalent Weightage]],"")</f>
        <v>0.14166666666666664</v>
      </c>
      <c r="X1125" s="473" t="s">
        <v>290</v>
      </c>
      <c r="Y1125" s="474" t="s">
        <v>99</v>
      </c>
      <c r="Z1125" s="102">
        <v>40326</v>
      </c>
      <c r="AA1125" s="468">
        <f>(Table6[[#This Row],[Paired WTG Generation for loss calculation]]/24)*Table6[[#This Row],[Breakdown Time]]</f>
        <v>6188.9208333333336</v>
      </c>
      <c r="AB1125" s="102"/>
      <c r="AC1125" s="35"/>
      <c r="AD1125" s="35"/>
    </row>
    <row r="1126" spans="1:30">
      <c r="A1126" s="102">
        <f t="shared" si="18"/>
        <v>1125</v>
      </c>
      <c r="B1126" s="468">
        <f>YEAR(Table6[[#This Row],[Date]])+IF(MONTH(Table6[[#This Row],[Date]])&gt;=4,1,0)</f>
        <v>2026</v>
      </c>
      <c r="C1126" s="102">
        <f>YEAR(Table6[[#This Row],[Date]])</f>
        <v>2025</v>
      </c>
      <c r="D1126" s="102" t="s">
        <v>1992</v>
      </c>
      <c r="E1126" s="469">
        <f>Table6[[#This Row],[Date]]-DAY(Table6[[#This Row],[Date]])+1</f>
        <v>45809</v>
      </c>
      <c r="F1126" s="470">
        <v>45818</v>
      </c>
      <c r="G1126" s="35" t="s">
        <v>77</v>
      </c>
      <c r="H1126" s="35" t="str">
        <f>IFERROR(_xlfn.XLOOKUP(Table6[[#This Row],[Affected WTG]],'Basic Data'!$A:$A,'Basic Data'!$B:$B),"")</f>
        <v>TQGXIIPL</v>
      </c>
      <c r="I1126" s="35" t="str">
        <f>IFERROR(_xlfn.XLOOKUP(Table6[[#This Row],[Affected WTG]],'Basic Data'!$A:$A,'Basic Data'!$C:$C),"")</f>
        <v>GEDA</v>
      </c>
      <c r="J1126" s="471">
        <f>IFERROR(_xlfn.XLOOKUP(Table6[[#This Row],[Affected WTG]],'Basic Data'!$A:$A,'Basic Data'!$E:$E),"")</f>
        <v>3.846153846153845E-2</v>
      </c>
      <c r="K1126" s="102">
        <v>6130</v>
      </c>
      <c r="L1126" s="35" t="str">
        <f>IFERROR(_xlfn.XLOOKUP(Table6[[#This Row],[Error Code]],'Basic Data'!$AA:$AA,'Basic Data'!$AB:$AB),"Incorrect Error Code")</f>
        <v>Yaw speed high</v>
      </c>
      <c r="M1126" s="35" t="s">
        <v>292</v>
      </c>
      <c r="N1126" s="475"/>
      <c r="O1126" s="476">
        <v>0.39444444444444443</v>
      </c>
      <c r="P1126" s="476">
        <v>0.39444444444444443</v>
      </c>
      <c r="Q1126" s="477">
        <v>0.39861111111111114</v>
      </c>
      <c r="R1126" s="472">
        <f>IF(Table6[[#This Row],[Work Start TimeStamp]]="","",(Table6[[#This Row],[Work Start TimeStamp]]-Table6[[#This Row],[Fault Start TimeStamp]])*24)</f>
        <v>0</v>
      </c>
      <c r="S1126" s="472">
        <f>(Table6[[#This Row],[Fault Clearance time]]-Table6[[#This Row],[Work Start TimeStamp]])*24</f>
        <v>0.10000000000000098</v>
      </c>
      <c r="T1126" s="472">
        <f>(Table6[[#This Row],[Fault Clearance time]]-Table6[[#This Row],[Fault Start TimeStamp]])*24</f>
        <v>0.10000000000000098</v>
      </c>
      <c r="U1126" s="35" t="s">
        <v>336</v>
      </c>
      <c r="V1126" s="102" t="s">
        <v>293</v>
      </c>
      <c r="W1126" s="478">
        <f>IFERROR(Table6[[#This Row],[Breakdown Time]]*Table6[[#This Row],[Plant Equivalent Weightage]],"")</f>
        <v>3.8461538461538824E-3</v>
      </c>
      <c r="X1126" s="473" t="s">
        <v>294</v>
      </c>
      <c r="Y1126" s="474" t="s">
        <v>80</v>
      </c>
      <c r="Z1126" s="102">
        <v>44939</v>
      </c>
      <c r="AA1126" s="468">
        <f>(Table6[[#This Row],[Paired WTG Generation for loss calculation]]/24)*Table6[[#This Row],[Breakdown Time]]</f>
        <v>187.24583333333516</v>
      </c>
      <c r="AB1126" s="102"/>
      <c r="AC1126" s="35"/>
      <c r="AD1126" s="35"/>
    </row>
    <row r="1127" spans="1:30">
      <c r="A1127" s="102">
        <f t="shared" si="18"/>
        <v>1126</v>
      </c>
      <c r="B1127" s="468">
        <f>YEAR(Table6[[#This Row],[Date]])+IF(MONTH(Table6[[#This Row],[Date]])&gt;=4,1,0)</f>
        <v>2026</v>
      </c>
      <c r="C1127" s="102">
        <f>YEAR(Table6[[#This Row],[Date]])</f>
        <v>2025</v>
      </c>
      <c r="D1127" s="102" t="s">
        <v>1992</v>
      </c>
      <c r="E1127" s="469">
        <f>Table6[[#This Row],[Date]]-DAY(Table6[[#This Row],[Date]])+1</f>
        <v>45809</v>
      </c>
      <c r="F1127" s="470">
        <v>45818</v>
      </c>
      <c r="G1127" s="35" t="s">
        <v>77</v>
      </c>
      <c r="H1127" s="35" t="str">
        <f>IFERROR(_xlfn.XLOOKUP(Table6[[#This Row],[Affected WTG]],'Basic Data'!$A:$A,'Basic Data'!$B:$B),"")</f>
        <v>TQGXIIPL</v>
      </c>
      <c r="I1127" s="35" t="str">
        <f>IFERROR(_xlfn.XLOOKUP(Table6[[#This Row],[Affected WTG]],'Basic Data'!$A:$A,'Basic Data'!$C:$C),"")</f>
        <v>GEDA</v>
      </c>
      <c r="J1127" s="471">
        <f>IFERROR(_xlfn.XLOOKUP(Table6[[#This Row],[Affected WTG]],'Basic Data'!$A:$A,'Basic Data'!$E:$E),"")</f>
        <v>3.846153846153845E-2</v>
      </c>
      <c r="K1127" s="102">
        <v>55</v>
      </c>
      <c r="L1127" s="35" t="str">
        <f>IFERROR(_xlfn.XLOOKUP(Table6[[#This Row],[Error Code]],'Basic Data'!$AA:$AA,'Basic Data'!$AB:$AB),"Incorrect Error Code")</f>
        <v>WTG shut down</v>
      </c>
      <c r="M1127" s="35" t="s">
        <v>1956</v>
      </c>
      <c r="N1127" s="475"/>
      <c r="O1127" s="476">
        <v>0.43680555555555556</v>
      </c>
      <c r="P1127" s="476">
        <v>0.43680555555555556</v>
      </c>
      <c r="Q1127" s="477">
        <v>0.4777777777777778</v>
      </c>
      <c r="R1127" s="472">
        <f>IF(Table6[[#This Row],[Work Start TimeStamp]]="","",(Table6[[#This Row],[Work Start TimeStamp]]-Table6[[#This Row],[Fault Start TimeStamp]])*24)</f>
        <v>0</v>
      </c>
      <c r="S1127" s="472">
        <f>(Table6[[#This Row],[Fault Clearance time]]-Table6[[#This Row],[Work Start TimeStamp]])*24</f>
        <v>0.98333333333333384</v>
      </c>
      <c r="T1127" s="472">
        <f>(Table6[[#This Row],[Fault Clearance time]]-Table6[[#This Row],[Fault Start TimeStamp]])*24</f>
        <v>0.98333333333333384</v>
      </c>
      <c r="U1127" s="35" t="s">
        <v>1954</v>
      </c>
      <c r="V1127" s="102" t="s">
        <v>293</v>
      </c>
      <c r="W1127" s="478">
        <f>IFERROR(Table6[[#This Row],[Breakdown Time]]*Table6[[#This Row],[Plant Equivalent Weightage]],"")</f>
        <v>3.7820512820512825E-2</v>
      </c>
      <c r="X1127" s="473" t="s">
        <v>290</v>
      </c>
      <c r="Y1127" s="474" t="s">
        <v>80</v>
      </c>
      <c r="Z1127" s="102">
        <v>44939</v>
      </c>
      <c r="AA1127" s="468">
        <f>(Table6[[#This Row],[Paired WTG Generation for loss calculation]]/24)*Table6[[#This Row],[Breakdown Time]]</f>
        <v>1841.2506944444453</v>
      </c>
      <c r="AB1127" s="102"/>
      <c r="AC1127" s="35"/>
      <c r="AD1127" s="35"/>
    </row>
    <row r="1128" spans="1:30">
      <c r="A1128" s="102">
        <f t="shared" si="18"/>
        <v>1127</v>
      </c>
      <c r="B1128" s="468">
        <f>YEAR(Table6[[#This Row],[Date]])+IF(MONTH(Table6[[#This Row],[Date]])&gt;=4,1,0)</f>
        <v>2026</v>
      </c>
      <c r="C1128" s="102">
        <f>YEAR(Table6[[#This Row],[Date]])</f>
        <v>2025</v>
      </c>
      <c r="D1128" s="102" t="s">
        <v>1992</v>
      </c>
      <c r="E1128" s="469">
        <f>Table6[[#This Row],[Date]]-DAY(Table6[[#This Row],[Date]])+1</f>
        <v>45809</v>
      </c>
      <c r="F1128" s="470">
        <v>45818</v>
      </c>
      <c r="G1128" s="35" t="s">
        <v>77</v>
      </c>
      <c r="H1128" s="35" t="str">
        <f>IFERROR(_xlfn.XLOOKUP(Table6[[#This Row],[Affected WTG]],'Basic Data'!$A:$A,'Basic Data'!$B:$B),"")</f>
        <v>TQGXIIPL</v>
      </c>
      <c r="I1128" s="35" t="str">
        <f>IFERROR(_xlfn.XLOOKUP(Table6[[#This Row],[Affected WTG]],'Basic Data'!$A:$A,'Basic Data'!$C:$C),"")</f>
        <v>GEDA</v>
      </c>
      <c r="J1128" s="471">
        <f>IFERROR(_xlfn.XLOOKUP(Table6[[#This Row],[Affected WTG]],'Basic Data'!$A:$A,'Basic Data'!$E:$E),"")</f>
        <v>3.846153846153845E-2</v>
      </c>
      <c r="K1128" s="102">
        <v>55</v>
      </c>
      <c r="L1128" s="35" t="str">
        <f>IFERROR(_xlfn.XLOOKUP(Table6[[#This Row],[Error Code]],'Basic Data'!$AA:$AA,'Basic Data'!$AB:$AB),"Incorrect Error Code")</f>
        <v>WTG shut down</v>
      </c>
      <c r="M1128" s="35" t="s">
        <v>1956</v>
      </c>
      <c r="N1128" s="475"/>
      <c r="O1128" s="476">
        <v>0.51249999999999996</v>
      </c>
      <c r="P1128" s="476">
        <v>0.51249999999999996</v>
      </c>
      <c r="Q1128" s="477">
        <v>0.52986111111111112</v>
      </c>
      <c r="R1128" s="472">
        <f>IF(Table6[[#This Row],[Work Start TimeStamp]]="","",(Table6[[#This Row],[Work Start TimeStamp]]-Table6[[#This Row],[Fault Start TimeStamp]])*24)</f>
        <v>0</v>
      </c>
      <c r="S1128" s="472">
        <f>(Table6[[#This Row],[Fault Clearance time]]-Table6[[#This Row],[Work Start TimeStamp]])*24</f>
        <v>0.41666666666666785</v>
      </c>
      <c r="T1128" s="472">
        <f>(Table6[[#This Row],[Fault Clearance time]]-Table6[[#This Row],[Fault Start TimeStamp]])*24</f>
        <v>0.41666666666666785</v>
      </c>
      <c r="U1128" s="35" t="s">
        <v>1954</v>
      </c>
      <c r="V1128" s="102" t="s">
        <v>293</v>
      </c>
      <c r="W1128" s="478">
        <f>IFERROR(Table6[[#This Row],[Breakdown Time]]*Table6[[#This Row],[Plant Equivalent Weightage]],"")</f>
        <v>1.6025641025641066E-2</v>
      </c>
      <c r="X1128" s="473" t="s">
        <v>290</v>
      </c>
      <c r="Y1128" s="474" t="s">
        <v>80</v>
      </c>
      <c r="Z1128" s="102">
        <v>44939</v>
      </c>
      <c r="AA1128" s="468">
        <f>(Table6[[#This Row],[Paired WTG Generation for loss calculation]]/24)*Table6[[#This Row],[Breakdown Time]]</f>
        <v>780.19097222222445</v>
      </c>
      <c r="AB1128" s="102"/>
      <c r="AC1128" s="35"/>
      <c r="AD1128" s="35"/>
    </row>
    <row r="1129" spans="1:30">
      <c r="A1129" s="102">
        <f t="shared" si="18"/>
        <v>1128</v>
      </c>
      <c r="B1129" s="468">
        <f>YEAR(Table6[[#This Row],[Date]])+IF(MONTH(Table6[[#This Row],[Date]])&gt;=4,1,0)</f>
        <v>2026</v>
      </c>
      <c r="C1129" s="102">
        <f>YEAR(Table6[[#This Row],[Date]])</f>
        <v>2025</v>
      </c>
      <c r="D1129" s="102" t="s">
        <v>1992</v>
      </c>
      <c r="E1129" s="469">
        <f>Table6[[#This Row],[Date]]-DAY(Table6[[#This Row],[Date]])+1</f>
        <v>45809</v>
      </c>
      <c r="F1129" s="470">
        <v>45818</v>
      </c>
      <c r="G1129" s="35" t="s">
        <v>77</v>
      </c>
      <c r="H1129" s="35" t="str">
        <f>IFERROR(_xlfn.XLOOKUP(Table6[[#This Row],[Affected WTG]],'Basic Data'!$A:$A,'Basic Data'!$B:$B),"")</f>
        <v>TQGXIIPL</v>
      </c>
      <c r="I1129" s="35" t="str">
        <f>IFERROR(_xlfn.XLOOKUP(Table6[[#This Row],[Affected WTG]],'Basic Data'!$A:$A,'Basic Data'!$C:$C),"")</f>
        <v>GEDA</v>
      </c>
      <c r="J1129" s="471">
        <f>IFERROR(_xlfn.XLOOKUP(Table6[[#This Row],[Affected WTG]],'Basic Data'!$A:$A,'Basic Data'!$E:$E),"")</f>
        <v>3.846153846153845E-2</v>
      </c>
      <c r="K1129" s="102">
        <v>6130</v>
      </c>
      <c r="L1129" s="35" t="str">
        <f>IFERROR(_xlfn.XLOOKUP(Table6[[#This Row],[Error Code]],'Basic Data'!$AA:$AA,'Basic Data'!$AB:$AB),"Incorrect Error Code")</f>
        <v>Yaw speed high</v>
      </c>
      <c r="M1129" s="35" t="s">
        <v>291</v>
      </c>
      <c r="N1129" s="475"/>
      <c r="O1129" s="476">
        <v>0.78888888888888886</v>
      </c>
      <c r="P1129" s="476">
        <v>0.78888888888888886</v>
      </c>
      <c r="Q1129" s="477">
        <v>0.79097222222222219</v>
      </c>
      <c r="R1129" s="472">
        <f>IF(Table6[[#This Row],[Work Start TimeStamp]]="","",(Table6[[#This Row],[Work Start TimeStamp]]-Table6[[#This Row],[Fault Start TimeStamp]])*24)</f>
        <v>0</v>
      </c>
      <c r="S1129" s="472">
        <f>(Table6[[#This Row],[Fault Clearance time]]-Table6[[#This Row],[Work Start TimeStamp]])*24</f>
        <v>4.9999999999999822E-2</v>
      </c>
      <c r="T1129" s="472">
        <f>(Table6[[#This Row],[Fault Clearance time]]-Table6[[#This Row],[Fault Start TimeStamp]])*24</f>
        <v>4.9999999999999822E-2</v>
      </c>
      <c r="U1129" s="35" t="s">
        <v>1924</v>
      </c>
      <c r="V1129" s="102" t="s">
        <v>293</v>
      </c>
      <c r="W1129" s="478">
        <f>IFERROR(Table6[[#This Row],[Breakdown Time]]*Table6[[#This Row],[Plant Equivalent Weightage]],"")</f>
        <v>1.9230769230769156E-3</v>
      </c>
      <c r="X1129" s="473" t="s">
        <v>294</v>
      </c>
      <c r="Y1129" s="474" t="s">
        <v>80</v>
      </c>
      <c r="Z1129" s="102">
        <v>44939</v>
      </c>
      <c r="AA1129" s="468">
        <f>(Table6[[#This Row],[Paired WTG Generation for loss calculation]]/24)*Table6[[#This Row],[Breakdown Time]]</f>
        <v>93.622916666666328</v>
      </c>
      <c r="AB1129" s="102"/>
      <c r="AC1129" s="35"/>
      <c r="AD1129" s="35"/>
    </row>
    <row r="1130" spans="1:30">
      <c r="A1130" s="102">
        <f t="shared" si="18"/>
        <v>1129</v>
      </c>
      <c r="B1130" s="468">
        <f>YEAR(Table6[[#This Row],[Date]])+IF(MONTH(Table6[[#This Row],[Date]])&gt;=4,1,0)</f>
        <v>2026</v>
      </c>
      <c r="C1130" s="102">
        <f>YEAR(Table6[[#This Row],[Date]])</f>
        <v>2025</v>
      </c>
      <c r="D1130" s="102" t="s">
        <v>1992</v>
      </c>
      <c r="E1130" s="469">
        <f>Table6[[#This Row],[Date]]-DAY(Table6[[#This Row],[Date]])+1</f>
        <v>45809</v>
      </c>
      <c r="F1130" s="470">
        <v>45818</v>
      </c>
      <c r="G1130" s="35" t="s">
        <v>78</v>
      </c>
      <c r="H1130" s="35" t="str">
        <f>IFERROR(_xlfn.XLOOKUP(Table6[[#This Row],[Affected WTG]],'Basic Data'!$A:$A,'Basic Data'!$B:$B),"")</f>
        <v>TQGXIIPL</v>
      </c>
      <c r="I1130" s="35" t="str">
        <f>IFERROR(_xlfn.XLOOKUP(Table6[[#This Row],[Affected WTG]],'Basic Data'!$A:$A,'Basic Data'!$C:$C),"")</f>
        <v>GEDA</v>
      </c>
      <c r="J1130" s="471">
        <f>IFERROR(_xlfn.XLOOKUP(Table6[[#This Row],[Affected WTG]],'Basic Data'!$A:$A,'Basic Data'!$E:$E),"")</f>
        <v>3.846153846153845E-2</v>
      </c>
      <c r="K1130" s="102">
        <v>4960</v>
      </c>
      <c r="L1130" s="35" t="str">
        <f>IFERROR(_xlfn.XLOOKUP(Table6[[#This Row],[Error Code]],'Basic Data'!$AA:$AA,'Basic Data'!$AB:$AB),"Incorrect Error Code")</f>
        <v>Tower oscillation YF</v>
      </c>
      <c r="M1130" s="35" t="s">
        <v>291</v>
      </c>
      <c r="N1130" s="475"/>
      <c r="O1130" s="476">
        <v>0.50347222222222221</v>
      </c>
      <c r="P1130" s="476">
        <v>0.50347222222222221</v>
      </c>
      <c r="Q1130" s="477">
        <v>0.50555555555555554</v>
      </c>
      <c r="R1130" s="472">
        <f>IF(Table6[[#This Row],[Work Start TimeStamp]]="","",(Table6[[#This Row],[Work Start TimeStamp]]-Table6[[#This Row],[Fault Start TimeStamp]])*24)</f>
        <v>0</v>
      </c>
      <c r="S1130" s="472">
        <f>(Table6[[#This Row],[Fault Clearance time]]-Table6[[#This Row],[Work Start TimeStamp]])*24</f>
        <v>4.9999999999999822E-2</v>
      </c>
      <c r="T1130" s="472">
        <f>(Table6[[#This Row],[Fault Clearance time]]-Table6[[#This Row],[Fault Start TimeStamp]])*24</f>
        <v>4.9999999999999822E-2</v>
      </c>
      <c r="U1130" s="35" t="s">
        <v>1924</v>
      </c>
      <c r="V1130" s="102" t="s">
        <v>293</v>
      </c>
      <c r="W1130" s="478">
        <f>IFERROR(Table6[[#This Row],[Breakdown Time]]*Table6[[#This Row],[Plant Equivalent Weightage]],"")</f>
        <v>1.9230769230769156E-3</v>
      </c>
      <c r="X1130" s="473" t="s">
        <v>294</v>
      </c>
      <c r="Y1130" s="474" t="s">
        <v>75</v>
      </c>
      <c r="Z1130" s="102">
        <v>48133</v>
      </c>
      <c r="AA1130" s="468">
        <f>(Table6[[#This Row],[Paired WTG Generation for loss calculation]]/24)*Table6[[#This Row],[Breakdown Time]]</f>
        <v>100.27708333333298</v>
      </c>
      <c r="AB1130" s="102"/>
      <c r="AC1130" s="35"/>
      <c r="AD1130" s="35"/>
    </row>
    <row r="1131" spans="1:30">
      <c r="A1131" s="102">
        <f t="shared" si="18"/>
        <v>1130</v>
      </c>
      <c r="B1131" s="468">
        <f>YEAR(Table6[[#This Row],[Date]])+IF(MONTH(Table6[[#This Row],[Date]])&gt;=4,1,0)</f>
        <v>2026</v>
      </c>
      <c r="C1131" s="102">
        <f>YEAR(Table6[[#This Row],[Date]])</f>
        <v>2025</v>
      </c>
      <c r="D1131" s="102" t="s">
        <v>1992</v>
      </c>
      <c r="E1131" s="469">
        <f>Table6[[#This Row],[Date]]-DAY(Table6[[#This Row],[Date]])+1</f>
        <v>45809</v>
      </c>
      <c r="F1131" s="470">
        <v>45818</v>
      </c>
      <c r="G1131" s="35" t="s">
        <v>78</v>
      </c>
      <c r="H1131" s="35" t="str">
        <f>IFERROR(_xlfn.XLOOKUP(Table6[[#This Row],[Affected WTG]],'Basic Data'!$A:$A,'Basic Data'!$B:$B),"")</f>
        <v>TQGXIIPL</v>
      </c>
      <c r="I1131" s="35" t="str">
        <f>IFERROR(_xlfn.XLOOKUP(Table6[[#This Row],[Affected WTG]],'Basic Data'!$A:$A,'Basic Data'!$C:$C),"")</f>
        <v>GEDA</v>
      </c>
      <c r="J1131" s="471">
        <f>IFERROR(_xlfn.XLOOKUP(Table6[[#This Row],[Affected WTG]],'Basic Data'!$A:$A,'Basic Data'!$E:$E),"")</f>
        <v>3.846153846153845E-2</v>
      </c>
      <c r="K1131" s="102">
        <v>6130</v>
      </c>
      <c r="L1131" s="35" t="str">
        <f>IFERROR(_xlfn.XLOOKUP(Table6[[#This Row],[Error Code]],'Basic Data'!$AA:$AA,'Basic Data'!$AB:$AB),"Incorrect Error Code")</f>
        <v>Yaw speed high</v>
      </c>
      <c r="M1131" s="35" t="s">
        <v>291</v>
      </c>
      <c r="N1131" s="475"/>
      <c r="O1131" s="476">
        <v>0.59791666666666665</v>
      </c>
      <c r="P1131" s="476">
        <v>0.59791666666666665</v>
      </c>
      <c r="Q1131" s="477">
        <v>0.59861111111111109</v>
      </c>
      <c r="R1131" s="472">
        <f>IF(Table6[[#This Row],[Work Start TimeStamp]]="","",(Table6[[#This Row],[Work Start TimeStamp]]-Table6[[#This Row],[Fault Start TimeStamp]])*24)</f>
        <v>0</v>
      </c>
      <c r="S1131" s="472">
        <f>(Table6[[#This Row],[Fault Clearance time]]-Table6[[#This Row],[Work Start TimeStamp]])*24</f>
        <v>1.6666666666666607E-2</v>
      </c>
      <c r="T1131" s="472">
        <f>(Table6[[#This Row],[Fault Clearance time]]-Table6[[#This Row],[Fault Start TimeStamp]])*24</f>
        <v>1.6666666666666607E-2</v>
      </c>
      <c r="U1131" s="35" t="s">
        <v>1924</v>
      </c>
      <c r="V1131" s="102" t="s">
        <v>293</v>
      </c>
      <c r="W1131" s="478">
        <f>IFERROR(Table6[[#This Row],[Breakdown Time]]*Table6[[#This Row],[Plant Equivalent Weightage]],"")</f>
        <v>6.4102564102563853E-4</v>
      </c>
      <c r="X1131" s="473" t="s">
        <v>294</v>
      </c>
      <c r="Y1131" s="474" t="s">
        <v>75</v>
      </c>
      <c r="Z1131" s="102">
        <v>48133</v>
      </c>
      <c r="AA1131" s="468">
        <f>(Table6[[#This Row],[Paired WTG Generation for loss calculation]]/24)*Table6[[#This Row],[Breakdown Time]]</f>
        <v>33.425694444444325</v>
      </c>
      <c r="AB1131" s="102"/>
      <c r="AC1131" s="35"/>
      <c r="AD1131" s="35"/>
    </row>
    <row r="1132" spans="1:30">
      <c r="A1132" s="102">
        <f t="shared" si="18"/>
        <v>1131</v>
      </c>
      <c r="B1132" s="468">
        <f>YEAR(Table6[[#This Row],[Date]])+IF(MONTH(Table6[[#This Row],[Date]])&gt;=4,1,0)</f>
        <v>2026</v>
      </c>
      <c r="C1132" s="102">
        <f>YEAR(Table6[[#This Row],[Date]])</f>
        <v>2025</v>
      </c>
      <c r="D1132" s="102" t="s">
        <v>1992</v>
      </c>
      <c r="E1132" s="469">
        <f>Table6[[#This Row],[Date]]-DAY(Table6[[#This Row],[Date]])+1</f>
        <v>45809</v>
      </c>
      <c r="F1132" s="470">
        <v>45818</v>
      </c>
      <c r="G1132" s="35" t="s">
        <v>79</v>
      </c>
      <c r="H1132" s="35" t="str">
        <f>IFERROR(_xlfn.XLOOKUP(Table6[[#This Row],[Affected WTG]],'Basic Data'!$A:$A,'Basic Data'!$B:$B),"")</f>
        <v>TQGXIIPL</v>
      </c>
      <c r="I1132" s="35" t="str">
        <f>IFERROR(_xlfn.XLOOKUP(Table6[[#This Row],[Affected WTG]],'Basic Data'!$A:$A,'Basic Data'!$C:$C),"")</f>
        <v>GEDA</v>
      </c>
      <c r="J1132" s="471">
        <f>IFERROR(_xlfn.XLOOKUP(Table6[[#This Row],[Affected WTG]],'Basic Data'!$A:$A,'Basic Data'!$E:$E),"")</f>
        <v>3.846153846153845E-2</v>
      </c>
      <c r="K1132" s="102">
        <v>6130</v>
      </c>
      <c r="L1132" s="35" t="str">
        <f>IFERROR(_xlfn.XLOOKUP(Table6[[#This Row],[Error Code]],'Basic Data'!$AA:$AA,'Basic Data'!$AB:$AB),"Incorrect Error Code")</f>
        <v>Yaw speed high</v>
      </c>
      <c r="M1132" s="35" t="s">
        <v>291</v>
      </c>
      <c r="N1132" s="475"/>
      <c r="O1132" s="476">
        <v>0.49652777777777779</v>
      </c>
      <c r="P1132" s="476">
        <v>0.49652777777777779</v>
      </c>
      <c r="Q1132" s="477">
        <v>0.49722222222222223</v>
      </c>
      <c r="R1132" s="472">
        <f>IF(Table6[[#This Row],[Work Start TimeStamp]]="","",(Table6[[#This Row],[Work Start TimeStamp]]-Table6[[#This Row],[Fault Start TimeStamp]])*24)</f>
        <v>0</v>
      </c>
      <c r="S1132" s="472">
        <f>(Table6[[#This Row],[Fault Clearance time]]-Table6[[#This Row],[Work Start TimeStamp]])*24</f>
        <v>1.6666666666666607E-2</v>
      </c>
      <c r="T1132" s="472">
        <f>(Table6[[#This Row],[Fault Clearance time]]-Table6[[#This Row],[Fault Start TimeStamp]])*24</f>
        <v>1.6666666666666607E-2</v>
      </c>
      <c r="U1132" s="35" t="s">
        <v>1924</v>
      </c>
      <c r="V1132" s="102" t="s">
        <v>293</v>
      </c>
      <c r="W1132" s="478">
        <f>IFERROR(Table6[[#This Row],[Breakdown Time]]*Table6[[#This Row],[Plant Equivalent Weightage]],"")</f>
        <v>6.4102564102563853E-4</v>
      </c>
      <c r="X1132" s="473" t="s">
        <v>294</v>
      </c>
      <c r="Y1132" s="474" t="s">
        <v>94</v>
      </c>
      <c r="Z1132" s="102">
        <v>39222</v>
      </c>
      <c r="AA1132" s="468">
        <f>(Table6[[#This Row],[Paired WTG Generation for loss calculation]]/24)*Table6[[#This Row],[Breakdown Time]]</f>
        <v>27.237499999999905</v>
      </c>
      <c r="AB1132" s="102"/>
      <c r="AC1132" s="35"/>
      <c r="AD1132" s="35"/>
    </row>
    <row r="1133" spans="1:30">
      <c r="A1133" s="102">
        <f t="shared" si="18"/>
        <v>1132</v>
      </c>
      <c r="B1133" s="468">
        <f>YEAR(Table6[[#This Row],[Date]])+IF(MONTH(Table6[[#This Row],[Date]])&gt;=4,1,0)</f>
        <v>2026</v>
      </c>
      <c r="C1133" s="102">
        <f>YEAR(Table6[[#This Row],[Date]])</f>
        <v>2025</v>
      </c>
      <c r="D1133" s="102" t="s">
        <v>1992</v>
      </c>
      <c r="E1133" s="469">
        <f>Table6[[#This Row],[Date]]-DAY(Table6[[#This Row],[Date]])+1</f>
        <v>45809</v>
      </c>
      <c r="F1133" s="470">
        <v>45818</v>
      </c>
      <c r="G1133" s="35" t="s">
        <v>80</v>
      </c>
      <c r="H1133" s="35" t="str">
        <f>IFERROR(_xlfn.XLOOKUP(Table6[[#This Row],[Affected WTG]],'Basic Data'!$A:$A,'Basic Data'!$B:$B),"")</f>
        <v>TQGXIIPL</v>
      </c>
      <c r="I1133" s="35" t="str">
        <f>IFERROR(_xlfn.XLOOKUP(Table6[[#This Row],[Affected WTG]],'Basic Data'!$A:$A,'Basic Data'!$C:$C),"")</f>
        <v>GEDA</v>
      </c>
      <c r="J1133" s="471">
        <f>IFERROR(_xlfn.XLOOKUP(Table6[[#This Row],[Affected WTG]],'Basic Data'!$A:$A,'Basic Data'!$E:$E),"")</f>
        <v>3.846153846153845E-2</v>
      </c>
      <c r="K1133" s="102">
        <v>55</v>
      </c>
      <c r="L1133" s="35" t="str">
        <f>IFERROR(_xlfn.XLOOKUP(Table6[[#This Row],[Error Code]],'Basic Data'!$AA:$AA,'Basic Data'!$AB:$AB),"Incorrect Error Code")</f>
        <v>WTG shut down</v>
      </c>
      <c r="M1133" s="35" t="s">
        <v>1956</v>
      </c>
      <c r="N1133" s="475"/>
      <c r="O1133" s="476">
        <v>0.43680555555555556</v>
      </c>
      <c r="P1133" s="476">
        <v>0.43680555555555556</v>
      </c>
      <c r="Q1133" s="477">
        <v>0.53055555555555556</v>
      </c>
      <c r="R1133" s="472">
        <f>IF(Table6[[#This Row],[Work Start TimeStamp]]="","",(Table6[[#This Row],[Work Start TimeStamp]]-Table6[[#This Row],[Fault Start TimeStamp]])*24)</f>
        <v>0</v>
      </c>
      <c r="S1133" s="472">
        <f>(Table6[[#This Row],[Fault Clearance time]]-Table6[[#This Row],[Work Start TimeStamp]])*24</f>
        <v>2.25</v>
      </c>
      <c r="T1133" s="472">
        <f>(Table6[[#This Row],[Fault Clearance time]]-Table6[[#This Row],[Fault Start TimeStamp]])*24</f>
        <v>2.25</v>
      </c>
      <c r="U1133" s="35" t="s">
        <v>1954</v>
      </c>
      <c r="V1133" s="102" t="s">
        <v>293</v>
      </c>
      <c r="W1133" s="478">
        <f>IFERROR(Table6[[#This Row],[Breakdown Time]]*Table6[[#This Row],[Plant Equivalent Weightage]],"")</f>
        <v>8.6538461538461509E-2</v>
      </c>
      <c r="X1133" s="473" t="s">
        <v>290</v>
      </c>
      <c r="Y1133" s="474" t="s">
        <v>77</v>
      </c>
      <c r="Z1133" s="102">
        <v>45191</v>
      </c>
      <c r="AA1133" s="468">
        <f>(Table6[[#This Row],[Paired WTG Generation for loss calculation]]/24)*Table6[[#This Row],[Breakdown Time]]</f>
        <v>4236.65625</v>
      </c>
      <c r="AB1133" s="102"/>
      <c r="AC1133" s="35"/>
      <c r="AD1133" s="35"/>
    </row>
    <row r="1134" spans="1:30">
      <c r="A1134" s="102">
        <f t="shared" si="18"/>
        <v>1133</v>
      </c>
      <c r="B1134" s="468">
        <f>YEAR(Table6[[#This Row],[Date]])+IF(MONTH(Table6[[#This Row],[Date]])&gt;=4,1,0)</f>
        <v>2026</v>
      </c>
      <c r="C1134" s="102">
        <f>YEAR(Table6[[#This Row],[Date]])</f>
        <v>2025</v>
      </c>
      <c r="D1134" s="102" t="s">
        <v>1992</v>
      </c>
      <c r="E1134" s="469">
        <f>Table6[[#This Row],[Date]]-DAY(Table6[[#This Row],[Date]])+1</f>
        <v>45809</v>
      </c>
      <c r="F1134" s="470">
        <v>45818</v>
      </c>
      <c r="G1134" s="35" t="s">
        <v>81</v>
      </c>
      <c r="H1134" s="35" t="str">
        <f>IFERROR(_xlfn.XLOOKUP(Table6[[#This Row],[Affected WTG]],'Basic Data'!$A:$A,'Basic Data'!$B:$B),"")</f>
        <v>TQGXIIPL</v>
      </c>
      <c r="I1134" s="35" t="str">
        <f>IFERROR(_xlfn.XLOOKUP(Table6[[#This Row],[Affected WTG]],'Basic Data'!$A:$A,'Basic Data'!$C:$C),"")</f>
        <v>GEDA</v>
      </c>
      <c r="J1134" s="471">
        <f>IFERROR(_xlfn.XLOOKUP(Table6[[#This Row],[Affected WTG]],'Basic Data'!$A:$A,'Basic Data'!$E:$E),"")</f>
        <v>3.846153846153845E-2</v>
      </c>
      <c r="K1134" s="102">
        <v>665</v>
      </c>
      <c r="L1134" s="35" t="str">
        <f>IFERROR(_xlfn.XLOOKUP(Table6[[#This Row],[Error Code]],'Basic Data'!$AA:$AA,'Basic Data'!$AB:$AB),"Incorrect Error Code")</f>
        <v>Pitch error</v>
      </c>
      <c r="M1134" s="35" t="s">
        <v>291</v>
      </c>
      <c r="N1134" s="475"/>
      <c r="O1134" s="476">
        <v>0.11458333333333333</v>
      </c>
      <c r="P1134" s="476">
        <v>0.11458333333333333</v>
      </c>
      <c r="Q1134" s="477">
        <v>0.11874999999999999</v>
      </c>
      <c r="R1134" s="472">
        <f>IF(Table6[[#This Row],[Work Start TimeStamp]]="","",(Table6[[#This Row],[Work Start TimeStamp]]-Table6[[#This Row],[Fault Start TimeStamp]])*24)</f>
        <v>0</v>
      </c>
      <c r="S1134" s="472">
        <f>(Table6[[#This Row],[Fault Clearance time]]-Table6[[#This Row],[Work Start TimeStamp]])*24</f>
        <v>9.9999999999999978E-2</v>
      </c>
      <c r="T1134" s="472">
        <f>(Table6[[#This Row],[Fault Clearance time]]-Table6[[#This Row],[Fault Start TimeStamp]])*24</f>
        <v>9.9999999999999978E-2</v>
      </c>
      <c r="U1134" s="35" t="s">
        <v>1924</v>
      </c>
      <c r="V1134" s="102" t="s">
        <v>293</v>
      </c>
      <c r="W1134" s="478">
        <f>IFERROR(Table6[[#This Row],[Breakdown Time]]*Table6[[#This Row],[Plant Equivalent Weightage]],"")</f>
        <v>3.8461538461538442E-3</v>
      </c>
      <c r="X1134" s="473" t="s">
        <v>294</v>
      </c>
      <c r="Y1134" s="474" t="s">
        <v>99</v>
      </c>
      <c r="Z1134" s="102">
        <v>40326</v>
      </c>
      <c r="AA1134" s="468">
        <f>(Table6[[#This Row],[Paired WTG Generation for loss calculation]]/24)*Table6[[#This Row],[Breakdown Time]]</f>
        <v>168.02499999999995</v>
      </c>
      <c r="AB1134" s="102"/>
      <c r="AC1134" s="35"/>
      <c r="AD1134" s="35"/>
    </row>
    <row r="1135" spans="1:30">
      <c r="A1135" s="102">
        <f t="shared" si="18"/>
        <v>1134</v>
      </c>
      <c r="B1135" s="468">
        <f>YEAR(Table6[[#This Row],[Date]])+IF(MONTH(Table6[[#This Row],[Date]])&gt;=4,1,0)</f>
        <v>2026</v>
      </c>
      <c r="C1135" s="102">
        <f>YEAR(Table6[[#This Row],[Date]])</f>
        <v>2025</v>
      </c>
      <c r="D1135" s="102" t="s">
        <v>1992</v>
      </c>
      <c r="E1135" s="469">
        <f>Table6[[#This Row],[Date]]-DAY(Table6[[#This Row],[Date]])+1</f>
        <v>45809</v>
      </c>
      <c r="F1135" s="470">
        <v>45818</v>
      </c>
      <c r="G1135" s="35" t="s">
        <v>81</v>
      </c>
      <c r="H1135" s="35" t="str">
        <f>IFERROR(_xlfn.XLOOKUP(Table6[[#This Row],[Affected WTG]],'Basic Data'!$A:$A,'Basic Data'!$B:$B),"")</f>
        <v>TQGXIIPL</v>
      </c>
      <c r="I1135" s="35" t="str">
        <f>IFERROR(_xlfn.XLOOKUP(Table6[[#This Row],[Affected WTG]],'Basic Data'!$A:$A,'Basic Data'!$C:$C),"")</f>
        <v>GEDA</v>
      </c>
      <c r="J1135" s="471">
        <f>IFERROR(_xlfn.XLOOKUP(Table6[[#This Row],[Affected WTG]],'Basic Data'!$A:$A,'Basic Data'!$E:$E),"")</f>
        <v>3.846153846153845E-2</v>
      </c>
      <c r="K1135" s="102">
        <v>641</v>
      </c>
      <c r="L1135" s="35" t="str">
        <f>IFERROR(_xlfn.XLOOKUP(Table6[[#This Row],[Error Code]],'Basic Data'!$AA:$AA,'Basic Data'!$AB:$AB),"Incorrect Error Code")</f>
        <v>Sim.angle E enc. &lt;&gt; act.angle 1</v>
      </c>
      <c r="M1135" s="35" t="s">
        <v>291</v>
      </c>
      <c r="N1135" s="475"/>
      <c r="O1135" s="476">
        <v>0.31944444444444442</v>
      </c>
      <c r="P1135" s="476">
        <v>0.31944444444444442</v>
      </c>
      <c r="Q1135" s="477">
        <v>0.3263888888888889</v>
      </c>
      <c r="R1135" s="472">
        <f>IF(Table6[[#This Row],[Work Start TimeStamp]]="","",(Table6[[#This Row],[Work Start TimeStamp]]-Table6[[#This Row],[Fault Start TimeStamp]])*24)</f>
        <v>0</v>
      </c>
      <c r="S1135" s="472">
        <f>(Table6[[#This Row],[Fault Clearance time]]-Table6[[#This Row],[Work Start TimeStamp]])*24</f>
        <v>0.16666666666666741</v>
      </c>
      <c r="T1135" s="472">
        <f>(Table6[[#This Row],[Fault Clearance time]]-Table6[[#This Row],[Fault Start TimeStamp]])*24</f>
        <v>0.16666666666666741</v>
      </c>
      <c r="U1135" s="35" t="s">
        <v>1924</v>
      </c>
      <c r="V1135" s="102" t="s">
        <v>293</v>
      </c>
      <c r="W1135" s="478">
        <f>IFERROR(Table6[[#This Row],[Breakdown Time]]*Table6[[#This Row],[Plant Equivalent Weightage]],"")</f>
        <v>6.4102564102564369E-3</v>
      </c>
      <c r="X1135" s="473" t="s">
        <v>294</v>
      </c>
      <c r="Y1135" s="474" t="s">
        <v>99</v>
      </c>
      <c r="Z1135" s="102">
        <v>40326</v>
      </c>
      <c r="AA1135" s="468">
        <f>(Table6[[#This Row],[Paired WTG Generation for loss calculation]]/24)*Table6[[#This Row],[Breakdown Time]]</f>
        <v>280.04166666666794</v>
      </c>
      <c r="AB1135" s="102"/>
      <c r="AC1135" s="35"/>
      <c r="AD1135" s="35"/>
    </row>
    <row r="1136" spans="1:30">
      <c r="A1136" s="102">
        <f t="shared" si="18"/>
        <v>1135</v>
      </c>
      <c r="B1136" s="468">
        <f>YEAR(Table6[[#This Row],[Date]])+IF(MONTH(Table6[[#This Row],[Date]])&gt;=4,1,0)</f>
        <v>2026</v>
      </c>
      <c r="C1136" s="102">
        <f>YEAR(Table6[[#This Row],[Date]])</f>
        <v>2025</v>
      </c>
      <c r="D1136" s="102" t="s">
        <v>1992</v>
      </c>
      <c r="E1136" s="469">
        <f>Table6[[#This Row],[Date]]-DAY(Table6[[#This Row],[Date]])+1</f>
        <v>45809</v>
      </c>
      <c r="F1136" s="470">
        <v>45818</v>
      </c>
      <c r="G1136" s="35" t="s">
        <v>83</v>
      </c>
      <c r="H1136" s="35" t="str">
        <f>IFERROR(_xlfn.XLOOKUP(Table6[[#This Row],[Affected WTG]],'Basic Data'!$A:$A,'Basic Data'!$B:$B),"")</f>
        <v>TQGXIIPL</v>
      </c>
      <c r="I1136" s="35" t="str">
        <f>IFERROR(_xlfn.XLOOKUP(Table6[[#This Row],[Affected WTG]],'Basic Data'!$A:$A,'Basic Data'!$C:$C),"")</f>
        <v>GEDA</v>
      </c>
      <c r="J1136" s="471">
        <f>IFERROR(_xlfn.XLOOKUP(Table6[[#This Row],[Affected WTG]],'Basic Data'!$A:$A,'Basic Data'!$E:$E),"")</f>
        <v>3.846153846153845E-2</v>
      </c>
      <c r="K1136" s="102">
        <v>3110</v>
      </c>
      <c r="L1136" s="35" t="str">
        <f>IFERROR(_xlfn.XLOOKUP(Table6[[#This Row],[Error Code]],'Basic Data'!$AA:$AA,'Basic Data'!$AB:$AB),"Incorrect Error Code")</f>
        <v>Frequency converter error</v>
      </c>
      <c r="M1136" s="35" t="s">
        <v>291</v>
      </c>
      <c r="N1136" s="475"/>
      <c r="O1136" s="476">
        <v>0.29305555555555557</v>
      </c>
      <c r="P1136" s="476">
        <v>0.29305555555555557</v>
      </c>
      <c r="Q1136" s="477">
        <v>0.3</v>
      </c>
      <c r="R1136" s="472">
        <f>IF(Table6[[#This Row],[Work Start TimeStamp]]="","",(Table6[[#This Row],[Work Start TimeStamp]]-Table6[[#This Row],[Fault Start TimeStamp]])*24)</f>
        <v>0</v>
      </c>
      <c r="S1136" s="472">
        <f>(Table6[[#This Row],[Fault Clearance time]]-Table6[[#This Row],[Work Start TimeStamp]])*24</f>
        <v>0.16666666666666607</v>
      </c>
      <c r="T1136" s="472">
        <f>(Table6[[#This Row],[Fault Clearance time]]-Table6[[#This Row],[Fault Start TimeStamp]])*24</f>
        <v>0.16666666666666607</v>
      </c>
      <c r="U1136" s="35" t="s">
        <v>1935</v>
      </c>
      <c r="V1136" s="102" t="s">
        <v>293</v>
      </c>
      <c r="W1136" s="478">
        <f>IFERROR(Table6[[#This Row],[Breakdown Time]]*Table6[[#This Row],[Plant Equivalent Weightage]],"")</f>
        <v>6.4102564102563857E-3</v>
      </c>
      <c r="X1136" s="473" t="s">
        <v>294</v>
      </c>
      <c r="Y1136" s="474" t="s">
        <v>88</v>
      </c>
      <c r="Z1136" s="102">
        <v>39946</v>
      </c>
      <c r="AA1136" s="468">
        <f>(Table6[[#This Row],[Paired WTG Generation for loss calculation]]/24)*Table6[[#This Row],[Breakdown Time]]</f>
        <v>277.40277777777681</v>
      </c>
      <c r="AB1136" s="102"/>
      <c r="AC1136" s="35"/>
      <c r="AD1136" s="35"/>
    </row>
    <row r="1137" spans="1:30">
      <c r="A1137" s="102">
        <f t="shared" si="18"/>
        <v>1136</v>
      </c>
      <c r="B1137" s="468">
        <f>YEAR(Table6[[#This Row],[Date]])+IF(MONTH(Table6[[#This Row],[Date]])&gt;=4,1,0)</f>
        <v>2026</v>
      </c>
      <c r="C1137" s="102">
        <f>YEAR(Table6[[#This Row],[Date]])</f>
        <v>2025</v>
      </c>
      <c r="D1137" s="102" t="s">
        <v>1992</v>
      </c>
      <c r="E1137" s="469">
        <f>Table6[[#This Row],[Date]]-DAY(Table6[[#This Row],[Date]])+1</f>
        <v>45809</v>
      </c>
      <c r="F1137" s="470">
        <v>45818</v>
      </c>
      <c r="G1137" s="35" t="s">
        <v>83</v>
      </c>
      <c r="H1137" s="35" t="str">
        <f>IFERROR(_xlfn.XLOOKUP(Table6[[#This Row],[Affected WTG]],'Basic Data'!$A:$A,'Basic Data'!$B:$B),"")</f>
        <v>TQGXIIPL</v>
      </c>
      <c r="I1137" s="35" t="str">
        <f>IFERROR(_xlfn.XLOOKUP(Table6[[#This Row],[Affected WTG]],'Basic Data'!$A:$A,'Basic Data'!$C:$C),"")</f>
        <v>GEDA</v>
      </c>
      <c r="J1137" s="471">
        <f>IFERROR(_xlfn.XLOOKUP(Table6[[#This Row],[Affected WTG]],'Basic Data'!$A:$A,'Basic Data'!$E:$E),"")</f>
        <v>3.846153846153845E-2</v>
      </c>
      <c r="K1137" s="102">
        <v>3395</v>
      </c>
      <c r="L1137" s="35" t="str">
        <f>IFERROR(_xlfn.XLOOKUP(Table6[[#This Row],[Error Code]],'Basic Data'!$AA:$AA,'Basic Data'!$AB:$AB),"Incorrect Error Code")</f>
        <v>Pump cooling sys. overload</v>
      </c>
      <c r="M1137" s="35" t="s">
        <v>291</v>
      </c>
      <c r="N1137" s="475"/>
      <c r="O1137" s="476">
        <v>0.30277777777777776</v>
      </c>
      <c r="P1137" s="476">
        <v>0.35416666666666669</v>
      </c>
      <c r="Q1137" s="477">
        <v>0.54027777777777775</v>
      </c>
      <c r="R1137" s="472">
        <f>IF(Table6[[#This Row],[Work Start TimeStamp]]="","",(Table6[[#This Row],[Work Start TimeStamp]]-Table6[[#This Row],[Fault Start TimeStamp]])*24)</f>
        <v>1.2333333333333343</v>
      </c>
      <c r="S1137" s="472">
        <f>(Table6[[#This Row],[Fault Clearance time]]-Table6[[#This Row],[Work Start TimeStamp]])*24</f>
        <v>4.466666666666665</v>
      </c>
      <c r="T1137" s="472">
        <f>(Table6[[#This Row],[Fault Clearance time]]-Table6[[#This Row],[Fault Start TimeStamp]])*24</f>
        <v>5.6999999999999993</v>
      </c>
      <c r="U1137" s="35" t="s">
        <v>1955</v>
      </c>
      <c r="V1137" s="102" t="s">
        <v>293</v>
      </c>
      <c r="W1137" s="478">
        <f>IFERROR(Table6[[#This Row],[Breakdown Time]]*Table6[[#This Row],[Plant Equivalent Weightage]],"")</f>
        <v>0.21923076923076915</v>
      </c>
      <c r="X1137" s="473" t="s">
        <v>290</v>
      </c>
      <c r="Y1137" s="474" t="s">
        <v>88</v>
      </c>
      <c r="Z1137" s="102">
        <v>39946</v>
      </c>
      <c r="AA1137" s="468">
        <f>(Table6[[#This Row],[Paired WTG Generation for loss calculation]]/24)*Table6[[#This Row],[Breakdown Time]]</f>
        <v>9487.1749999999993</v>
      </c>
      <c r="AB1137" s="102"/>
      <c r="AC1137" s="35"/>
      <c r="AD1137" s="35"/>
    </row>
    <row r="1138" spans="1:30">
      <c r="A1138" s="102">
        <f t="shared" si="18"/>
        <v>1137</v>
      </c>
      <c r="B1138" s="468">
        <f>YEAR(Table6[[#This Row],[Date]])+IF(MONTH(Table6[[#This Row],[Date]])&gt;=4,1,0)</f>
        <v>2026</v>
      </c>
      <c r="C1138" s="102">
        <f>YEAR(Table6[[#This Row],[Date]])</f>
        <v>2025</v>
      </c>
      <c r="D1138" s="102" t="s">
        <v>1992</v>
      </c>
      <c r="E1138" s="469">
        <f>Table6[[#This Row],[Date]]-DAY(Table6[[#This Row],[Date]])+1</f>
        <v>45809</v>
      </c>
      <c r="F1138" s="470">
        <v>45818</v>
      </c>
      <c r="G1138" s="35" t="s">
        <v>84</v>
      </c>
      <c r="H1138" s="35" t="str">
        <f>IFERROR(_xlfn.XLOOKUP(Table6[[#This Row],[Affected WTG]],'Basic Data'!$A:$A,'Basic Data'!$B:$B),"")</f>
        <v>TQGXIIPL</v>
      </c>
      <c r="I1138" s="35" t="str">
        <f>IFERROR(_xlfn.XLOOKUP(Table6[[#This Row],[Affected WTG]],'Basic Data'!$A:$A,'Basic Data'!$C:$C),"")</f>
        <v>GEDA</v>
      </c>
      <c r="J1138" s="471">
        <f>IFERROR(_xlfn.XLOOKUP(Table6[[#This Row],[Affected WTG]],'Basic Data'!$A:$A,'Basic Data'!$E:$E),"")</f>
        <v>3.846153846153845E-2</v>
      </c>
      <c r="K1138" s="102">
        <v>6130</v>
      </c>
      <c r="L1138" s="35" t="str">
        <f>IFERROR(_xlfn.XLOOKUP(Table6[[#This Row],[Error Code]],'Basic Data'!$AA:$AA,'Basic Data'!$AB:$AB),"Incorrect Error Code")</f>
        <v>Yaw speed high</v>
      </c>
      <c r="M1138" s="35" t="s">
        <v>291</v>
      </c>
      <c r="N1138" s="475"/>
      <c r="O1138" s="476">
        <v>0.46388888888888891</v>
      </c>
      <c r="P1138" s="476">
        <v>0.46388888888888891</v>
      </c>
      <c r="Q1138" s="477">
        <v>0.46597222222222223</v>
      </c>
      <c r="R1138" s="472">
        <f>IF(Table6[[#This Row],[Work Start TimeStamp]]="","",(Table6[[#This Row],[Work Start TimeStamp]]-Table6[[#This Row],[Fault Start TimeStamp]])*24)</f>
        <v>0</v>
      </c>
      <c r="S1138" s="472">
        <f>(Table6[[#This Row],[Fault Clearance time]]-Table6[[#This Row],[Work Start TimeStamp]])*24</f>
        <v>4.9999999999999822E-2</v>
      </c>
      <c r="T1138" s="472">
        <f>(Table6[[#This Row],[Fault Clearance time]]-Table6[[#This Row],[Fault Start TimeStamp]])*24</f>
        <v>4.9999999999999822E-2</v>
      </c>
      <c r="U1138" s="35" t="s">
        <v>1924</v>
      </c>
      <c r="V1138" s="102" t="s">
        <v>293</v>
      </c>
      <c r="W1138" s="478">
        <f>IFERROR(Table6[[#This Row],[Breakdown Time]]*Table6[[#This Row],[Plant Equivalent Weightage]],"")</f>
        <v>1.9230769230769156E-3</v>
      </c>
      <c r="X1138" s="473" t="s">
        <v>294</v>
      </c>
      <c r="Y1138" s="474" t="s">
        <v>85</v>
      </c>
      <c r="Z1138" s="102">
        <v>38012</v>
      </c>
      <c r="AA1138" s="468">
        <f>(Table6[[#This Row],[Paired WTG Generation for loss calculation]]/24)*Table6[[#This Row],[Breakdown Time]]</f>
        <v>79.191666666666379</v>
      </c>
      <c r="AB1138" s="102"/>
      <c r="AC1138" s="35"/>
      <c r="AD1138" s="35"/>
    </row>
    <row r="1139" spans="1:30">
      <c r="A1139" s="102">
        <f t="shared" si="18"/>
        <v>1138</v>
      </c>
      <c r="B1139" s="468">
        <f>YEAR(Table6[[#This Row],[Date]])+IF(MONTH(Table6[[#This Row],[Date]])&gt;=4,1,0)</f>
        <v>2026</v>
      </c>
      <c r="C1139" s="102">
        <f>YEAR(Table6[[#This Row],[Date]])</f>
        <v>2025</v>
      </c>
      <c r="D1139" s="102" t="s">
        <v>1992</v>
      </c>
      <c r="E1139" s="469">
        <f>Table6[[#This Row],[Date]]-DAY(Table6[[#This Row],[Date]])+1</f>
        <v>45809</v>
      </c>
      <c r="F1139" s="470">
        <v>45818</v>
      </c>
      <c r="G1139" s="35" t="s">
        <v>87</v>
      </c>
      <c r="H1139" s="35" t="str">
        <f>IFERROR(_xlfn.XLOOKUP(Table6[[#This Row],[Affected WTG]],'Basic Data'!$A:$A,'Basic Data'!$B:$B),"")</f>
        <v>TQGXIIPL</v>
      </c>
      <c r="I1139" s="35" t="str">
        <f>IFERROR(_xlfn.XLOOKUP(Table6[[#This Row],[Affected WTG]],'Basic Data'!$A:$A,'Basic Data'!$C:$C),"")</f>
        <v>GEDA</v>
      </c>
      <c r="J1139" s="471">
        <f>IFERROR(_xlfn.XLOOKUP(Table6[[#This Row],[Affected WTG]],'Basic Data'!$A:$A,'Basic Data'!$E:$E),"")</f>
        <v>3.846153846153845E-2</v>
      </c>
      <c r="K1139" s="102">
        <v>6130</v>
      </c>
      <c r="L1139" s="35" t="str">
        <f>IFERROR(_xlfn.XLOOKUP(Table6[[#This Row],[Error Code]],'Basic Data'!$AA:$AA,'Basic Data'!$AB:$AB),"Incorrect Error Code")</f>
        <v>Yaw speed high</v>
      </c>
      <c r="M1139" s="35" t="s">
        <v>291</v>
      </c>
      <c r="N1139" s="475"/>
      <c r="O1139" s="476">
        <v>0.66874999999999996</v>
      </c>
      <c r="P1139" s="476">
        <v>0.66874999999999996</v>
      </c>
      <c r="Q1139" s="477">
        <v>0.6694444444444444</v>
      </c>
      <c r="R1139" s="472">
        <f>IF(Table6[[#This Row],[Work Start TimeStamp]]="","",(Table6[[#This Row],[Work Start TimeStamp]]-Table6[[#This Row],[Fault Start TimeStamp]])*24)</f>
        <v>0</v>
      </c>
      <c r="S1139" s="472">
        <f>(Table6[[#This Row],[Fault Clearance time]]-Table6[[#This Row],[Work Start TimeStamp]])*24</f>
        <v>1.6666666666666607E-2</v>
      </c>
      <c r="T1139" s="472">
        <f>(Table6[[#This Row],[Fault Clearance time]]-Table6[[#This Row],[Fault Start TimeStamp]])*24</f>
        <v>1.6666666666666607E-2</v>
      </c>
      <c r="U1139" s="35" t="s">
        <v>1924</v>
      </c>
      <c r="V1139" s="102" t="s">
        <v>293</v>
      </c>
      <c r="W1139" s="478">
        <f>IFERROR(Table6[[#This Row],[Breakdown Time]]*Table6[[#This Row],[Plant Equivalent Weightage]],"")</f>
        <v>6.4102564102563853E-4</v>
      </c>
      <c r="X1139" s="473" t="s">
        <v>294</v>
      </c>
      <c r="Y1139" s="474" t="s">
        <v>85</v>
      </c>
      <c r="Z1139" s="102">
        <v>38012</v>
      </c>
      <c r="AA1139" s="468">
        <f>(Table6[[#This Row],[Paired WTG Generation for loss calculation]]/24)*Table6[[#This Row],[Breakdown Time]]</f>
        <v>26.397222222222126</v>
      </c>
      <c r="AB1139" s="102"/>
      <c r="AC1139" s="35"/>
      <c r="AD1139" s="35"/>
    </row>
    <row r="1140" spans="1:30">
      <c r="A1140" s="102">
        <f t="shared" si="18"/>
        <v>1139</v>
      </c>
      <c r="B1140" s="468">
        <f>YEAR(Table6[[#This Row],[Date]])+IF(MONTH(Table6[[#This Row],[Date]])&gt;=4,1,0)</f>
        <v>2026</v>
      </c>
      <c r="C1140" s="102">
        <f>YEAR(Table6[[#This Row],[Date]])</f>
        <v>2025</v>
      </c>
      <c r="D1140" s="102" t="s">
        <v>1992</v>
      </c>
      <c r="E1140" s="469">
        <f>Table6[[#This Row],[Date]]-DAY(Table6[[#This Row],[Date]])+1</f>
        <v>45809</v>
      </c>
      <c r="F1140" s="470">
        <v>45818</v>
      </c>
      <c r="G1140" s="35" t="s">
        <v>88</v>
      </c>
      <c r="H1140" s="35" t="str">
        <f>IFERROR(_xlfn.XLOOKUP(Table6[[#This Row],[Affected WTG]],'Basic Data'!$A:$A,'Basic Data'!$B:$B),"")</f>
        <v>TQGXIIPL</v>
      </c>
      <c r="I1140" s="35" t="str">
        <f>IFERROR(_xlfn.XLOOKUP(Table6[[#This Row],[Affected WTG]],'Basic Data'!$A:$A,'Basic Data'!$C:$C),"")</f>
        <v>GEDA</v>
      </c>
      <c r="J1140" s="471">
        <f>IFERROR(_xlfn.XLOOKUP(Table6[[#This Row],[Affected WTG]],'Basic Data'!$A:$A,'Basic Data'!$E:$E),"")</f>
        <v>3.846153846153845E-2</v>
      </c>
      <c r="K1140" s="102">
        <v>6130</v>
      </c>
      <c r="L1140" s="35" t="str">
        <f>IFERROR(_xlfn.XLOOKUP(Table6[[#This Row],[Error Code]],'Basic Data'!$AA:$AA,'Basic Data'!$AB:$AB),"Incorrect Error Code")</f>
        <v>Yaw speed high</v>
      </c>
      <c r="M1140" s="35" t="s">
        <v>292</v>
      </c>
      <c r="N1140" s="475"/>
      <c r="O1140" s="476">
        <v>0.55625000000000002</v>
      </c>
      <c r="P1140" s="476">
        <v>0.55625000000000002</v>
      </c>
      <c r="Q1140" s="477">
        <v>0.56041666666666667</v>
      </c>
      <c r="R1140" s="472">
        <f>IF(Table6[[#This Row],[Work Start TimeStamp]]="","",(Table6[[#This Row],[Work Start TimeStamp]]-Table6[[#This Row],[Fault Start TimeStamp]])*24)</f>
        <v>0</v>
      </c>
      <c r="S1140" s="472">
        <f>(Table6[[#This Row],[Fault Clearance time]]-Table6[[#This Row],[Work Start TimeStamp]])*24</f>
        <v>9.9999999999999645E-2</v>
      </c>
      <c r="T1140" s="472">
        <f>(Table6[[#This Row],[Fault Clearance time]]-Table6[[#This Row],[Fault Start TimeStamp]])*24</f>
        <v>9.9999999999999645E-2</v>
      </c>
      <c r="U1140" s="35" t="s">
        <v>336</v>
      </c>
      <c r="V1140" s="102" t="s">
        <v>293</v>
      </c>
      <c r="W1140" s="478">
        <f>IFERROR(Table6[[#This Row],[Breakdown Time]]*Table6[[#This Row],[Plant Equivalent Weightage]],"")</f>
        <v>3.8461538461538312E-3</v>
      </c>
      <c r="X1140" s="473" t="s">
        <v>294</v>
      </c>
      <c r="Y1140" s="474" t="s">
        <v>83</v>
      </c>
      <c r="Z1140" s="102">
        <v>24662</v>
      </c>
      <c r="AA1140" s="468">
        <f>(Table6[[#This Row],[Paired WTG Generation for loss calculation]]/24)*Table6[[#This Row],[Breakdown Time]]</f>
        <v>102.75833333333296</v>
      </c>
      <c r="AB1140" s="102"/>
      <c r="AC1140" s="35"/>
      <c r="AD1140" s="35"/>
    </row>
    <row r="1141" spans="1:30">
      <c r="A1141" s="102">
        <f t="shared" si="18"/>
        <v>1140</v>
      </c>
      <c r="B1141" s="468">
        <f>YEAR(Table6[[#This Row],[Date]])+IF(MONTH(Table6[[#This Row],[Date]])&gt;=4,1,0)</f>
        <v>2026</v>
      </c>
      <c r="C1141" s="102">
        <f>YEAR(Table6[[#This Row],[Date]])</f>
        <v>2025</v>
      </c>
      <c r="D1141" s="102" t="s">
        <v>1992</v>
      </c>
      <c r="E1141" s="469">
        <f>Table6[[#This Row],[Date]]-DAY(Table6[[#This Row],[Date]])+1</f>
        <v>45809</v>
      </c>
      <c r="F1141" s="470">
        <v>45818</v>
      </c>
      <c r="G1141" s="35" t="s">
        <v>90</v>
      </c>
      <c r="H1141" s="35" t="str">
        <f>IFERROR(_xlfn.XLOOKUP(Table6[[#This Row],[Affected WTG]],'Basic Data'!$A:$A,'Basic Data'!$B:$B),"")</f>
        <v>TQGXIIPL</v>
      </c>
      <c r="I1141" s="35" t="str">
        <f>IFERROR(_xlfn.XLOOKUP(Table6[[#This Row],[Affected WTG]],'Basic Data'!$A:$A,'Basic Data'!$C:$C),"")</f>
        <v>GEDA</v>
      </c>
      <c r="J1141" s="471">
        <f>IFERROR(_xlfn.XLOOKUP(Table6[[#This Row],[Affected WTG]],'Basic Data'!$A:$A,'Basic Data'!$E:$E),"")</f>
        <v>3.846153846153845E-2</v>
      </c>
      <c r="K1141" s="102">
        <v>4960</v>
      </c>
      <c r="L1141" s="35" t="str">
        <f>IFERROR(_xlfn.XLOOKUP(Table6[[#This Row],[Error Code]],'Basic Data'!$AA:$AA,'Basic Data'!$AB:$AB),"Incorrect Error Code")</f>
        <v>Tower oscillation YF</v>
      </c>
      <c r="M1141" s="35" t="s">
        <v>292</v>
      </c>
      <c r="N1141" s="475"/>
      <c r="O1141" s="476">
        <v>0.43819444444444444</v>
      </c>
      <c r="P1141" s="476">
        <v>0.43819444444444444</v>
      </c>
      <c r="Q1141" s="477">
        <v>0.44930555555555557</v>
      </c>
      <c r="R1141" s="472">
        <f>IF(Table6[[#This Row],[Work Start TimeStamp]]="","",(Table6[[#This Row],[Work Start TimeStamp]]-Table6[[#This Row],[Fault Start TimeStamp]])*24)</f>
        <v>0</v>
      </c>
      <c r="S1141" s="472">
        <f>(Table6[[#This Row],[Fault Clearance time]]-Table6[[#This Row],[Work Start TimeStamp]])*24</f>
        <v>0.26666666666666705</v>
      </c>
      <c r="T1141" s="472">
        <f>(Table6[[#This Row],[Fault Clearance time]]-Table6[[#This Row],[Fault Start TimeStamp]])*24</f>
        <v>0.26666666666666705</v>
      </c>
      <c r="U1141" s="35" t="s">
        <v>336</v>
      </c>
      <c r="V1141" s="102" t="s">
        <v>293</v>
      </c>
      <c r="W1141" s="478">
        <f>IFERROR(Table6[[#This Row],[Breakdown Time]]*Table6[[#This Row],[Plant Equivalent Weightage]],"")</f>
        <v>1.0256410256410269E-2</v>
      </c>
      <c r="X1141" s="473" t="s">
        <v>294</v>
      </c>
      <c r="Y1141" s="474" t="s">
        <v>95</v>
      </c>
      <c r="Z1141" s="102">
        <v>47621</v>
      </c>
      <c r="AA1141" s="468">
        <f>(Table6[[#This Row],[Paired WTG Generation for loss calculation]]/24)*Table6[[#This Row],[Breakdown Time]]</f>
        <v>529.12222222222294</v>
      </c>
      <c r="AB1141" s="102"/>
      <c r="AC1141" s="35"/>
      <c r="AD1141" s="35"/>
    </row>
    <row r="1142" spans="1:30">
      <c r="A1142" s="102">
        <f t="shared" si="18"/>
        <v>1141</v>
      </c>
      <c r="B1142" s="468">
        <f>YEAR(Table6[[#This Row],[Date]])+IF(MONTH(Table6[[#This Row],[Date]])&gt;=4,1,0)</f>
        <v>2026</v>
      </c>
      <c r="C1142" s="102">
        <f>YEAR(Table6[[#This Row],[Date]])</f>
        <v>2025</v>
      </c>
      <c r="D1142" s="102" t="s">
        <v>1992</v>
      </c>
      <c r="E1142" s="469">
        <f>Table6[[#This Row],[Date]]-DAY(Table6[[#This Row],[Date]])+1</f>
        <v>45809</v>
      </c>
      <c r="F1142" s="470">
        <v>45818</v>
      </c>
      <c r="G1142" s="35" t="s">
        <v>92</v>
      </c>
      <c r="H1142" s="35" t="str">
        <f>IFERROR(_xlfn.XLOOKUP(Table6[[#This Row],[Affected WTG]],'Basic Data'!$A:$A,'Basic Data'!$B:$B),"")</f>
        <v>TQGXIIPL</v>
      </c>
      <c r="I1142" s="35" t="str">
        <f>IFERROR(_xlfn.XLOOKUP(Table6[[#This Row],[Affected WTG]],'Basic Data'!$A:$A,'Basic Data'!$C:$C),"")</f>
        <v>GEDA</v>
      </c>
      <c r="J1142" s="471">
        <f>IFERROR(_xlfn.XLOOKUP(Table6[[#This Row],[Affected WTG]],'Basic Data'!$A:$A,'Basic Data'!$E:$E),"")</f>
        <v>3.846153846153845E-2</v>
      </c>
      <c r="K1142" s="102">
        <v>55</v>
      </c>
      <c r="L1142" s="35" t="str">
        <f>IFERROR(_xlfn.XLOOKUP(Table6[[#This Row],[Error Code]],'Basic Data'!$AA:$AA,'Basic Data'!$AB:$AB),"Incorrect Error Code")</f>
        <v>WTG shut down</v>
      </c>
      <c r="M1142" s="35" t="s">
        <v>1956</v>
      </c>
      <c r="N1142" s="475"/>
      <c r="O1142" s="476">
        <v>0.43680555555555556</v>
      </c>
      <c r="P1142" s="476">
        <v>0.43680555555555556</v>
      </c>
      <c r="Q1142" s="477">
        <v>0.46041666666666664</v>
      </c>
      <c r="R1142" s="472">
        <f>IF(Table6[[#This Row],[Work Start TimeStamp]]="","",(Table6[[#This Row],[Work Start TimeStamp]]-Table6[[#This Row],[Fault Start TimeStamp]])*24)</f>
        <v>0</v>
      </c>
      <c r="S1142" s="472">
        <f>(Table6[[#This Row],[Fault Clearance time]]-Table6[[#This Row],[Work Start TimeStamp]])*24</f>
        <v>0.56666666666666599</v>
      </c>
      <c r="T1142" s="472">
        <f>(Table6[[#This Row],[Fault Clearance time]]-Table6[[#This Row],[Fault Start TimeStamp]])*24</f>
        <v>0.56666666666666599</v>
      </c>
      <c r="U1142" s="35" t="s">
        <v>1954</v>
      </c>
      <c r="V1142" s="102" t="s">
        <v>293</v>
      </c>
      <c r="W1142" s="478">
        <f>IFERROR(Table6[[#This Row],[Breakdown Time]]*Table6[[#This Row],[Plant Equivalent Weightage]],"")</f>
        <v>2.1794871794871763E-2</v>
      </c>
      <c r="X1142" s="473" t="s">
        <v>290</v>
      </c>
      <c r="Y1142" s="474" t="s">
        <v>80</v>
      </c>
      <c r="Z1142" s="102">
        <v>44939</v>
      </c>
      <c r="AA1142" s="468">
        <f>(Table6[[#This Row],[Paired WTG Generation for loss calculation]]/24)*Table6[[#This Row],[Breakdown Time]]</f>
        <v>1061.0597222222209</v>
      </c>
      <c r="AB1142" s="102"/>
      <c r="AC1142" s="35"/>
      <c r="AD1142" s="35"/>
    </row>
    <row r="1143" spans="1:30">
      <c r="A1143" s="102">
        <f t="shared" si="18"/>
        <v>1142</v>
      </c>
      <c r="B1143" s="468">
        <f>YEAR(Table6[[#This Row],[Date]])+IF(MONTH(Table6[[#This Row],[Date]])&gt;=4,1,0)</f>
        <v>2026</v>
      </c>
      <c r="C1143" s="102">
        <f>YEAR(Table6[[#This Row],[Date]])</f>
        <v>2025</v>
      </c>
      <c r="D1143" s="102" t="s">
        <v>1992</v>
      </c>
      <c r="E1143" s="469">
        <f>Table6[[#This Row],[Date]]-DAY(Table6[[#This Row],[Date]])+1</f>
        <v>45809</v>
      </c>
      <c r="F1143" s="470">
        <v>45818</v>
      </c>
      <c r="G1143" s="35" t="s">
        <v>92</v>
      </c>
      <c r="H1143" s="35" t="str">
        <f>IFERROR(_xlfn.XLOOKUP(Table6[[#This Row],[Affected WTG]],'Basic Data'!$A:$A,'Basic Data'!$B:$B),"")</f>
        <v>TQGXIIPL</v>
      </c>
      <c r="I1143" s="35" t="str">
        <f>IFERROR(_xlfn.XLOOKUP(Table6[[#This Row],[Affected WTG]],'Basic Data'!$A:$A,'Basic Data'!$C:$C),"")</f>
        <v>GEDA</v>
      </c>
      <c r="J1143" s="471">
        <f>IFERROR(_xlfn.XLOOKUP(Table6[[#This Row],[Affected WTG]],'Basic Data'!$A:$A,'Basic Data'!$E:$E),"")</f>
        <v>3.846153846153845E-2</v>
      </c>
      <c r="K1143" s="102">
        <v>55</v>
      </c>
      <c r="L1143" s="35" t="str">
        <f>IFERROR(_xlfn.XLOOKUP(Table6[[#This Row],[Error Code]],'Basic Data'!$AA:$AA,'Basic Data'!$AB:$AB),"Incorrect Error Code")</f>
        <v>WTG shut down</v>
      </c>
      <c r="M1143" s="35" t="s">
        <v>1956</v>
      </c>
      <c r="N1143" s="475"/>
      <c r="O1143" s="476">
        <v>0.51249999999999996</v>
      </c>
      <c r="P1143" s="476">
        <v>0.51249999999999996</v>
      </c>
      <c r="Q1143" s="477">
        <v>0.52986111111111112</v>
      </c>
      <c r="R1143" s="472">
        <f>IF(Table6[[#This Row],[Work Start TimeStamp]]="","",(Table6[[#This Row],[Work Start TimeStamp]]-Table6[[#This Row],[Fault Start TimeStamp]])*24)</f>
        <v>0</v>
      </c>
      <c r="S1143" s="472">
        <f>(Table6[[#This Row],[Fault Clearance time]]-Table6[[#This Row],[Work Start TimeStamp]])*24</f>
        <v>0.41666666666666785</v>
      </c>
      <c r="T1143" s="472">
        <f>(Table6[[#This Row],[Fault Clearance time]]-Table6[[#This Row],[Fault Start TimeStamp]])*24</f>
        <v>0.41666666666666785</v>
      </c>
      <c r="U1143" s="35" t="s">
        <v>1954</v>
      </c>
      <c r="V1143" s="102" t="s">
        <v>293</v>
      </c>
      <c r="W1143" s="478">
        <f>IFERROR(Table6[[#This Row],[Breakdown Time]]*Table6[[#This Row],[Plant Equivalent Weightage]],"")</f>
        <v>1.6025641025641066E-2</v>
      </c>
      <c r="X1143" s="473" t="s">
        <v>290</v>
      </c>
      <c r="Y1143" s="474" t="s">
        <v>80</v>
      </c>
      <c r="Z1143" s="102">
        <v>44939</v>
      </c>
      <c r="AA1143" s="468">
        <f>(Table6[[#This Row],[Paired WTG Generation for loss calculation]]/24)*Table6[[#This Row],[Breakdown Time]]</f>
        <v>780.19097222222445</v>
      </c>
      <c r="AB1143" s="102"/>
      <c r="AC1143" s="35"/>
      <c r="AD1143" s="35"/>
    </row>
    <row r="1144" spans="1:30">
      <c r="A1144" s="102">
        <f t="shared" si="18"/>
        <v>1143</v>
      </c>
      <c r="B1144" s="468">
        <f>YEAR(Table6[[#This Row],[Date]])+IF(MONTH(Table6[[#This Row],[Date]])&gt;=4,1,0)</f>
        <v>2026</v>
      </c>
      <c r="C1144" s="102">
        <f>YEAR(Table6[[#This Row],[Date]])</f>
        <v>2025</v>
      </c>
      <c r="D1144" s="102" t="s">
        <v>1992</v>
      </c>
      <c r="E1144" s="469">
        <f>Table6[[#This Row],[Date]]-DAY(Table6[[#This Row],[Date]])+1</f>
        <v>45809</v>
      </c>
      <c r="F1144" s="470">
        <v>45818</v>
      </c>
      <c r="G1144" s="35" t="s">
        <v>97</v>
      </c>
      <c r="H1144" s="35" t="str">
        <f>IFERROR(_xlfn.XLOOKUP(Table6[[#This Row],[Affected WTG]],'Basic Data'!$A:$A,'Basic Data'!$B:$B),"")</f>
        <v>TQGXIIPL</v>
      </c>
      <c r="I1144" s="35" t="str">
        <f>IFERROR(_xlfn.XLOOKUP(Table6[[#This Row],[Affected WTG]],'Basic Data'!$A:$A,'Basic Data'!$C:$C),"")</f>
        <v>GEDA</v>
      </c>
      <c r="J1144" s="471">
        <f>IFERROR(_xlfn.XLOOKUP(Table6[[#This Row],[Affected WTG]],'Basic Data'!$A:$A,'Basic Data'!$E:$E),"")</f>
        <v>3.846153846153845E-2</v>
      </c>
      <c r="K1144" s="102">
        <v>6130</v>
      </c>
      <c r="L1144" s="35" t="str">
        <f>IFERROR(_xlfn.XLOOKUP(Table6[[#This Row],[Error Code]],'Basic Data'!$AA:$AA,'Basic Data'!$AB:$AB),"Incorrect Error Code")</f>
        <v>Yaw speed high</v>
      </c>
      <c r="M1144" s="35" t="s">
        <v>291</v>
      </c>
      <c r="N1144" s="475"/>
      <c r="O1144" s="476">
        <v>0.69861111111111107</v>
      </c>
      <c r="P1144" s="476">
        <v>0.69861111111111107</v>
      </c>
      <c r="Q1144" s="477">
        <v>0.70138888888888884</v>
      </c>
      <c r="R1144" s="472">
        <f>IF(Table6[[#This Row],[Work Start TimeStamp]]="","",(Table6[[#This Row],[Work Start TimeStamp]]-Table6[[#This Row],[Fault Start TimeStamp]])*24)</f>
        <v>0</v>
      </c>
      <c r="S1144" s="472">
        <f>(Table6[[#This Row],[Fault Clearance time]]-Table6[[#This Row],[Work Start TimeStamp]])*24</f>
        <v>6.666666666666643E-2</v>
      </c>
      <c r="T1144" s="472">
        <f>(Table6[[#This Row],[Fault Clearance time]]-Table6[[#This Row],[Fault Start TimeStamp]])*24</f>
        <v>6.666666666666643E-2</v>
      </c>
      <c r="U1144" s="35" t="s">
        <v>1924</v>
      </c>
      <c r="V1144" s="102" t="s">
        <v>293</v>
      </c>
      <c r="W1144" s="478">
        <f>IFERROR(Table6[[#This Row],[Breakdown Time]]*Table6[[#This Row],[Plant Equivalent Weightage]],"")</f>
        <v>2.5641025641025541E-3</v>
      </c>
      <c r="X1144" s="473" t="s">
        <v>294</v>
      </c>
      <c r="Y1144" s="474" t="s">
        <v>93</v>
      </c>
      <c r="Z1144" s="102">
        <v>41819</v>
      </c>
      <c r="AA1144" s="468">
        <f>(Table6[[#This Row],[Paired WTG Generation for loss calculation]]/24)*Table6[[#This Row],[Breakdown Time]]</f>
        <v>116.16388888888847</v>
      </c>
      <c r="AB1144" s="102"/>
      <c r="AC1144" s="35"/>
      <c r="AD1144" s="35"/>
    </row>
    <row r="1145" spans="1:30">
      <c r="A1145" s="102">
        <f t="shared" si="18"/>
        <v>1144</v>
      </c>
      <c r="B1145" s="468">
        <f>YEAR(Table6[[#This Row],[Date]])+IF(MONTH(Table6[[#This Row],[Date]])&gt;=4,1,0)</f>
        <v>2026</v>
      </c>
      <c r="C1145" s="102">
        <f>YEAR(Table6[[#This Row],[Date]])</f>
        <v>2025</v>
      </c>
      <c r="D1145" s="102" t="s">
        <v>1992</v>
      </c>
      <c r="E1145" s="469">
        <f>Table6[[#This Row],[Date]]-DAY(Table6[[#This Row],[Date]])+1</f>
        <v>45809</v>
      </c>
      <c r="F1145" s="470">
        <v>45818</v>
      </c>
      <c r="G1145" s="35" t="s">
        <v>98</v>
      </c>
      <c r="H1145" s="35" t="str">
        <f>IFERROR(_xlfn.XLOOKUP(Table6[[#This Row],[Affected WTG]],'Basic Data'!$A:$A,'Basic Data'!$B:$B),"")</f>
        <v>TQGXIIPL</v>
      </c>
      <c r="I1145" s="35" t="str">
        <f>IFERROR(_xlfn.XLOOKUP(Table6[[#This Row],[Affected WTG]],'Basic Data'!$A:$A,'Basic Data'!$C:$C),"")</f>
        <v>GEDA</v>
      </c>
      <c r="J1145" s="471">
        <f>IFERROR(_xlfn.XLOOKUP(Table6[[#This Row],[Affected WTG]],'Basic Data'!$A:$A,'Basic Data'!$E:$E),"")</f>
        <v>3.846153846153845E-2</v>
      </c>
      <c r="K1145" s="102">
        <v>4960</v>
      </c>
      <c r="L1145" s="35" t="str">
        <f>IFERROR(_xlfn.XLOOKUP(Table6[[#This Row],[Error Code]],'Basic Data'!$AA:$AA,'Basic Data'!$AB:$AB),"Incorrect Error Code")</f>
        <v>Tower oscillation YF</v>
      </c>
      <c r="M1145" s="35" t="s">
        <v>292</v>
      </c>
      <c r="N1145" s="475"/>
      <c r="O1145" s="476">
        <v>0.83263888888888893</v>
      </c>
      <c r="P1145" s="476">
        <v>0.83263888888888893</v>
      </c>
      <c r="Q1145" s="477">
        <v>0.84375</v>
      </c>
      <c r="R1145" s="472">
        <f>IF(Table6[[#This Row],[Work Start TimeStamp]]="","",(Table6[[#This Row],[Work Start TimeStamp]]-Table6[[#This Row],[Fault Start TimeStamp]])*24)</f>
        <v>0</v>
      </c>
      <c r="S1145" s="472">
        <f>(Table6[[#This Row],[Fault Clearance time]]-Table6[[#This Row],[Work Start TimeStamp]])*24</f>
        <v>0.26666666666666572</v>
      </c>
      <c r="T1145" s="472">
        <f>(Table6[[#This Row],[Fault Clearance time]]-Table6[[#This Row],[Fault Start TimeStamp]])*24</f>
        <v>0.26666666666666572</v>
      </c>
      <c r="U1145" s="35" t="s">
        <v>336</v>
      </c>
      <c r="V1145" s="102" t="s">
        <v>293</v>
      </c>
      <c r="W1145" s="478">
        <f>IFERROR(Table6[[#This Row],[Breakdown Time]]*Table6[[#This Row],[Plant Equivalent Weightage]],"")</f>
        <v>1.0256410256410217E-2</v>
      </c>
      <c r="X1145" s="473" t="s">
        <v>294</v>
      </c>
      <c r="Y1145" s="474" t="s">
        <v>74</v>
      </c>
      <c r="Z1145" s="102">
        <v>31902</v>
      </c>
      <c r="AA1145" s="468">
        <f>(Table6[[#This Row],[Paired WTG Generation for loss calculation]]/24)*Table6[[#This Row],[Breakdown Time]]</f>
        <v>354.46666666666539</v>
      </c>
      <c r="AB1145" s="102"/>
      <c r="AC1145" s="35"/>
      <c r="AD1145" s="35"/>
    </row>
    <row r="1146" spans="1:30">
      <c r="A1146" s="102">
        <f t="shared" si="18"/>
        <v>1145</v>
      </c>
      <c r="B1146" s="468">
        <f>YEAR(Table6[[#This Row],[Date]])+IF(MONTH(Table6[[#This Row],[Date]])&gt;=4,1,0)</f>
        <v>2026</v>
      </c>
      <c r="C1146" s="102">
        <f>YEAR(Table6[[#This Row],[Date]])</f>
        <v>2025</v>
      </c>
      <c r="D1146" s="102" t="s">
        <v>1992</v>
      </c>
      <c r="E1146" s="469">
        <f>Table6[[#This Row],[Date]]-DAY(Table6[[#This Row],[Date]])+1</f>
        <v>45809</v>
      </c>
      <c r="F1146" s="470">
        <v>45819</v>
      </c>
      <c r="G1146" s="35" t="s">
        <v>74</v>
      </c>
      <c r="H1146" s="35" t="str">
        <f>IFERROR(_xlfn.XLOOKUP(Table6[[#This Row],[Affected WTG]],'Basic Data'!$A:$A,'Basic Data'!$B:$B),"")</f>
        <v>TQGXIIPL</v>
      </c>
      <c r="I1146" s="35" t="str">
        <f>IFERROR(_xlfn.XLOOKUP(Table6[[#This Row],[Affected WTG]],'Basic Data'!$A:$A,'Basic Data'!$C:$C),"")</f>
        <v>GEDA</v>
      </c>
      <c r="J1146" s="471">
        <f>IFERROR(_xlfn.XLOOKUP(Table6[[#This Row],[Affected WTG]],'Basic Data'!$A:$A,'Basic Data'!$E:$E),"")</f>
        <v>3.846153846153845E-2</v>
      </c>
      <c r="K1146" s="102">
        <v>643</v>
      </c>
      <c r="L1146" s="35" t="str">
        <f>IFERROR(_xlfn.XLOOKUP(Table6[[#This Row],[Error Code]],'Basic Data'!$AA:$AA,'Basic Data'!$AB:$AB),"Incorrect Error Code")</f>
        <v>Sim.angle E enc. &lt;&gt; act.angle 3</v>
      </c>
      <c r="M1146" s="35" t="s">
        <v>295</v>
      </c>
      <c r="N1146" s="475"/>
      <c r="O1146" s="476">
        <v>0</v>
      </c>
      <c r="P1146" s="476">
        <v>0</v>
      </c>
      <c r="Q1146" s="477">
        <v>0.55069444444444449</v>
      </c>
      <c r="R1146" s="472">
        <f>IF(Table6[[#This Row],[Work Start TimeStamp]]="","",(Table6[[#This Row],[Work Start TimeStamp]]-Table6[[#This Row],[Fault Start TimeStamp]])*24)</f>
        <v>0</v>
      </c>
      <c r="S1146" s="472">
        <f>(Table6[[#This Row],[Fault Clearance time]]-Table6[[#This Row],[Work Start TimeStamp]])*24</f>
        <v>13.216666666666669</v>
      </c>
      <c r="T1146" s="472">
        <f>(Table6[[#This Row],[Fault Clearance time]]-Table6[[#This Row],[Fault Start TimeStamp]])*24</f>
        <v>13.216666666666669</v>
      </c>
      <c r="U1146" s="35" t="s">
        <v>1957</v>
      </c>
      <c r="V1146" s="102" t="s">
        <v>293</v>
      </c>
      <c r="W1146" s="478">
        <f>IFERROR(Table6[[#This Row],[Breakdown Time]]*Table6[[#This Row],[Plant Equivalent Weightage]],"")</f>
        <v>0.5083333333333333</v>
      </c>
      <c r="X1146" s="473" t="s">
        <v>290</v>
      </c>
      <c r="Y1146" s="474" t="s">
        <v>99</v>
      </c>
      <c r="Z1146" s="102">
        <v>31821</v>
      </c>
      <c r="AA1146" s="468">
        <f>(Table6[[#This Row],[Paired WTG Generation for loss calculation]]/24)*Table6[[#This Row],[Breakdown Time]]</f>
        <v>17523.647916666669</v>
      </c>
      <c r="AB1146" s="102"/>
      <c r="AC1146" s="35"/>
      <c r="AD1146" s="35"/>
    </row>
    <row r="1147" spans="1:30">
      <c r="A1147" s="102">
        <f t="shared" si="18"/>
        <v>1146</v>
      </c>
      <c r="B1147" s="468">
        <f>YEAR(Table6[[#This Row],[Date]])+IF(MONTH(Table6[[#This Row],[Date]])&gt;=4,1,0)</f>
        <v>2026</v>
      </c>
      <c r="C1147" s="102">
        <f>YEAR(Table6[[#This Row],[Date]])</f>
        <v>2025</v>
      </c>
      <c r="D1147" s="102" t="s">
        <v>1992</v>
      </c>
      <c r="E1147" s="469">
        <f>Table6[[#This Row],[Date]]-DAY(Table6[[#This Row],[Date]])+1</f>
        <v>45809</v>
      </c>
      <c r="F1147" s="470">
        <v>45819</v>
      </c>
      <c r="G1147" s="35" t="s">
        <v>74</v>
      </c>
      <c r="H1147" s="35" t="str">
        <f>IFERROR(_xlfn.XLOOKUP(Table6[[#This Row],[Affected WTG]],'Basic Data'!$A:$A,'Basic Data'!$B:$B),"")</f>
        <v>TQGXIIPL</v>
      </c>
      <c r="I1147" s="35" t="str">
        <f>IFERROR(_xlfn.XLOOKUP(Table6[[#This Row],[Affected WTG]],'Basic Data'!$A:$A,'Basic Data'!$C:$C),"")</f>
        <v>GEDA</v>
      </c>
      <c r="J1147" s="471">
        <f>IFERROR(_xlfn.XLOOKUP(Table6[[#This Row],[Affected WTG]],'Basic Data'!$A:$A,'Basic Data'!$E:$E),"")</f>
        <v>3.846153846153845E-2</v>
      </c>
      <c r="K1147" s="102">
        <v>55</v>
      </c>
      <c r="L1147" s="35" t="str">
        <f>IFERROR(_xlfn.XLOOKUP(Table6[[#This Row],[Error Code]],'Basic Data'!$AA:$AA,'Basic Data'!$AB:$AB),"Incorrect Error Code")</f>
        <v>WTG shut down</v>
      </c>
      <c r="M1147" s="35" t="s">
        <v>291</v>
      </c>
      <c r="N1147" s="475"/>
      <c r="O1147" s="476">
        <v>0.65555555555555556</v>
      </c>
      <c r="P1147" s="476">
        <v>0.65555555555555556</v>
      </c>
      <c r="Q1147" s="477">
        <v>0.65972222222222221</v>
      </c>
      <c r="R1147" s="472">
        <f>IF(Table6[[#This Row],[Work Start TimeStamp]]="","",(Table6[[#This Row],[Work Start TimeStamp]]-Table6[[#This Row],[Fault Start TimeStamp]])*24)</f>
        <v>0</v>
      </c>
      <c r="S1147" s="472">
        <f>(Table6[[#This Row],[Fault Clearance time]]-Table6[[#This Row],[Work Start TimeStamp]])*24</f>
        <v>9.9999999999999645E-2</v>
      </c>
      <c r="T1147" s="472">
        <f>(Table6[[#This Row],[Fault Clearance time]]-Table6[[#This Row],[Fault Start TimeStamp]])*24</f>
        <v>9.9999999999999645E-2</v>
      </c>
      <c r="U1147" s="35" t="s">
        <v>1958</v>
      </c>
      <c r="V1147" s="102" t="s">
        <v>293</v>
      </c>
      <c r="W1147" s="478">
        <f>IFERROR(Table6[[#This Row],[Breakdown Time]]*Table6[[#This Row],[Plant Equivalent Weightage]],"")</f>
        <v>3.8461538461538312E-3</v>
      </c>
      <c r="X1147" s="473" t="s">
        <v>290</v>
      </c>
      <c r="Y1147" s="474" t="s">
        <v>99</v>
      </c>
      <c r="Z1147" s="102">
        <v>31821</v>
      </c>
      <c r="AA1147" s="468">
        <f>(Table6[[#This Row],[Paired WTG Generation for loss calculation]]/24)*Table6[[#This Row],[Breakdown Time]]</f>
        <v>132.58749999999952</v>
      </c>
      <c r="AB1147" s="102"/>
      <c r="AC1147" s="35"/>
      <c r="AD1147" s="35"/>
    </row>
    <row r="1148" spans="1:30">
      <c r="A1148" s="102">
        <f t="shared" si="18"/>
        <v>1147</v>
      </c>
      <c r="B1148" s="468">
        <f>YEAR(Table6[[#This Row],[Date]])+IF(MONTH(Table6[[#This Row],[Date]])&gt;=4,1,0)</f>
        <v>2026</v>
      </c>
      <c r="C1148" s="102">
        <f>YEAR(Table6[[#This Row],[Date]])</f>
        <v>2025</v>
      </c>
      <c r="D1148" s="102" t="s">
        <v>1992</v>
      </c>
      <c r="E1148" s="469">
        <f>Table6[[#This Row],[Date]]-DAY(Table6[[#This Row],[Date]])+1</f>
        <v>45809</v>
      </c>
      <c r="F1148" s="470">
        <v>45819</v>
      </c>
      <c r="G1148" s="35" t="s">
        <v>75</v>
      </c>
      <c r="H1148" s="35" t="str">
        <f>IFERROR(_xlfn.XLOOKUP(Table6[[#This Row],[Affected WTG]],'Basic Data'!$A:$A,'Basic Data'!$B:$B),"")</f>
        <v>TQGXIIPL</v>
      </c>
      <c r="I1148" s="35" t="str">
        <f>IFERROR(_xlfn.XLOOKUP(Table6[[#This Row],[Affected WTG]],'Basic Data'!$A:$A,'Basic Data'!$C:$C),"")</f>
        <v>GEDA</v>
      </c>
      <c r="J1148" s="471">
        <f>IFERROR(_xlfn.XLOOKUP(Table6[[#This Row],[Affected WTG]],'Basic Data'!$A:$A,'Basic Data'!$E:$E),"")</f>
        <v>3.846153846153845E-2</v>
      </c>
      <c r="K1148" s="102">
        <v>55</v>
      </c>
      <c r="L1148" s="35" t="str">
        <f>IFERROR(_xlfn.XLOOKUP(Table6[[#This Row],[Error Code]],'Basic Data'!$AA:$AA,'Basic Data'!$AB:$AB),"Incorrect Error Code")</f>
        <v>WTG shut down</v>
      </c>
      <c r="M1148" s="35" t="s">
        <v>291</v>
      </c>
      <c r="N1148" s="475"/>
      <c r="O1148" s="476">
        <v>0.64166666666666672</v>
      </c>
      <c r="P1148" s="476">
        <v>0.64166666666666672</v>
      </c>
      <c r="Q1148" s="477">
        <v>0.65138888888888891</v>
      </c>
      <c r="R1148" s="472">
        <f>IF(Table6[[#This Row],[Work Start TimeStamp]]="","",(Table6[[#This Row],[Work Start TimeStamp]]-Table6[[#This Row],[Fault Start TimeStamp]])*24)</f>
        <v>0</v>
      </c>
      <c r="S1148" s="472">
        <f>(Table6[[#This Row],[Fault Clearance time]]-Table6[[#This Row],[Work Start TimeStamp]])*24</f>
        <v>0.2333333333333325</v>
      </c>
      <c r="T1148" s="472">
        <f>(Table6[[#This Row],[Fault Clearance time]]-Table6[[#This Row],[Fault Start TimeStamp]])*24</f>
        <v>0.2333333333333325</v>
      </c>
      <c r="U1148" s="35" t="s">
        <v>1958</v>
      </c>
      <c r="V1148" s="102" t="s">
        <v>293</v>
      </c>
      <c r="W1148" s="478">
        <f>IFERROR(Table6[[#This Row],[Breakdown Time]]*Table6[[#This Row],[Plant Equivalent Weightage]],"")</f>
        <v>8.974358974358939E-3</v>
      </c>
      <c r="X1148" s="473" t="s">
        <v>290</v>
      </c>
      <c r="Y1148" s="474" t="s">
        <v>78</v>
      </c>
      <c r="Z1148" s="102">
        <v>36794</v>
      </c>
      <c r="AA1148" s="468">
        <f>(Table6[[#This Row],[Paired WTG Generation for loss calculation]]/24)*Table6[[#This Row],[Breakdown Time]]</f>
        <v>357.71944444444318</v>
      </c>
      <c r="AB1148" s="102"/>
      <c r="AC1148" s="35"/>
      <c r="AD1148" s="35"/>
    </row>
    <row r="1149" spans="1:30">
      <c r="A1149" s="102">
        <f t="shared" si="18"/>
        <v>1148</v>
      </c>
      <c r="B1149" s="468">
        <f>YEAR(Table6[[#This Row],[Date]])+IF(MONTH(Table6[[#This Row],[Date]])&gt;=4,1,0)</f>
        <v>2026</v>
      </c>
      <c r="C1149" s="102">
        <f>YEAR(Table6[[#This Row],[Date]])</f>
        <v>2025</v>
      </c>
      <c r="D1149" s="102" t="s">
        <v>1992</v>
      </c>
      <c r="E1149" s="469">
        <f>Table6[[#This Row],[Date]]-DAY(Table6[[#This Row],[Date]])+1</f>
        <v>45809</v>
      </c>
      <c r="F1149" s="470">
        <v>45819</v>
      </c>
      <c r="G1149" s="35" t="s">
        <v>76</v>
      </c>
      <c r="H1149" s="35" t="str">
        <f>IFERROR(_xlfn.XLOOKUP(Table6[[#This Row],[Affected WTG]],'Basic Data'!$A:$A,'Basic Data'!$B:$B),"")</f>
        <v>TQGXIIPL</v>
      </c>
      <c r="I1149" s="35" t="str">
        <f>IFERROR(_xlfn.XLOOKUP(Table6[[#This Row],[Affected WTG]],'Basic Data'!$A:$A,'Basic Data'!$C:$C),"")</f>
        <v>GEDA</v>
      </c>
      <c r="J1149" s="471">
        <f>IFERROR(_xlfn.XLOOKUP(Table6[[#This Row],[Affected WTG]],'Basic Data'!$A:$A,'Basic Data'!$E:$E),"")</f>
        <v>3.846153846153845E-2</v>
      </c>
      <c r="K1149" s="102">
        <v>551</v>
      </c>
      <c r="L1149" s="35" t="str">
        <f>IFERROR(_xlfn.XLOOKUP(Table6[[#This Row],[Error Code]],'Basic Data'!$AA:$AA,'Basic Data'!$AB:$AB),"Incorrect Error Code")</f>
        <v>Pitch motor current too high</v>
      </c>
      <c r="M1149" s="35" t="s">
        <v>291</v>
      </c>
      <c r="N1149" s="475"/>
      <c r="O1149" s="476">
        <v>0.28194444444444444</v>
      </c>
      <c r="P1149" s="476">
        <v>0.28194444444444444</v>
      </c>
      <c r="Q1149" s="477">
        <v>0.28472222222222221</v>
      </c>
      <c r="R1149" s="472">
        <f>IF(Table6[[#This Row],[Work Start TimeStamp]]="","",(Table6[[#This Row],[Work Start TimeStamp]]-Table6[[#This Row],[Fault Start TimeStamp]])*24)</f>
        <v>0</v>
      </c>
      <c r="S1149" s="472">
        <f>(Table6[[#This Row],[Fault Clearance time]]-Table6[[#This Row],[Work Start TimeStamp]])*24</f>
        <v>6.666666666666643E-2</v>
      </c>
      <c r="T1149" s="472">
        <f>(Table6[[#This Row],[Fault Clearance time]]-Table6[[#This Row],[Fault Start TimeStamp]])*24</f>
        <v>6.666666666666643E-2</v>
      </c>
      <c r="U1149" s="35" t="s">
        <v>1959</v>
      </c>
      <c r="V1149" s="102" t="s">
        <v>293</v>
      </c>
      <c r="W1149" s="478">
        <f>IFERROR(Table6[[#This Row],[Breakdown Time]]*Table6[[#This Row],[Plant Equivalent Weightage]],"")</f>
        <v>2.5641025641025541E-3</v>
      </c>
      <c r="X1149" s="473" t="s">
        <v>294</v>
      </c>
      <c r="Y1149" s="474" t="s">
        <v>82</v>
      </c>
      <c r="Z1149" s="102">
        <v>31584</v>
      </c>
      <c r="AA1149" s="468">
        <f>(Table6[[#This Row],[Paired WTG Generation for loss calculation]]/24)*Table6[[#This Row],[Breakdown Time]]</f>
        <v>87.733333333333022</v>
      </c>
      <c r="AB1149" s="102"/>
      <c r="AC1149" s="35"/>
      <c r="AD1149" s="35"/>
    </row>
    <row r="1150" spans="1:30">
      <c r="A1150" s="102">
        <f t="shared" si="18"/>
        <v>1149</v>
      </c>
      <c r="B1150" s="468">
        <f>YEAR(Table6[[#This Row],[Date]])+IF(MONTH(Table6[[#This Row],[Date]])&gt;=4,1,0)</f>
        <v>2026</v>
      </c>
      <c r="C1150" s="102">
        <f>YEAR(Table6[[#This Row],[Date]])</f>
        <v>2025</v>
      </c>
      <c r="D1150" s="102" t="s">
        <v>1992</v>
      </c>
      <c r="E1150" s="469">
        <f>Table6[[#This Row],[Date]]-DAY(Table6[[#This Row],[Date]])+1</f>
        <v>45809</v>
      </c>
      <c r="F1150" s="470">
        <v>45819</v>
      </c>
      <c r="G1150" s="35" t="s">
        <v>78</v>
      </c>
      <c r="H1150" s="35" t="str">
        <f>IFERROR(_xlfn.XLOOKUP(Table6[[#This Row],[Affected WTG]],'Basic Data'!$A:$A,'Basic Data'!$B:$B),"")</f>
        <v>TQGXIIPL</v>
      </c>
      <c r="I1150" s="35" t="str">
        <f>IFERROR(_xlfn.XLOOKUP(Table6[[#This Row],[Affected WTG]],'Basic Data'!$A:$A,'Basic Data'!$C:$C),"")</f>
        <v>GEDA</v>
      </c>
      <c r="J1150" s="471">
        <f>IFERROR(_xlfn.XLOOKUP(Table6[[#This Row],[Affected WTG]],'Basic Data'!$A:$A,'Basic Data'!$E:$E),"")</f>
        <v>3.846153846153845E-2</v>
      </c>
      <c r="K1150" s="102">
        <v>6130</v>
      </c>
      <c r="L1150" s="35" t="str">
        <f>IFERROR(_xlfn.XLOOKUP(Table6[[#This Row],[Error Code]],'Basic Data'!$AA:$AA,'Basic Data'!$AB:$AB),"Incorrect Error Code")</f>
        <v>Yaw speed high</v>
      </c>
      <c r="M1150" s="35" t="s">
        <v>292</v>
      </c>
      <c r="N1150" s="475"/>
      <c r="O1150" s="476">
        <v>0.63263888888888886</v>
      </c>
      <c r="P1150" s="476">
        <v>0.63263888888888886</v>
      </c>
      <c r="Q1150" s="477">
        <v>0.63680555555555551</v>
      </c>
      <c r="R1150" s="472">
        <f>IF(Table6[[#This Row],[Work Start TimeStamp]]="","",(Table6[[#This Row],[Work Start TimeStamp]]-Table6[[#This Row],[Fault Start TimeStamp]])*24)</f>
        <v>0</v>
      </c>
      <c r="S1150" s="472">
        <f>(Table6[[#This Row],[Fault Clearance time]]-Table6[[#This Row],[Work Start TimeStamp]])*24</f>
        <v>9.9999999999999645E-2</v>
      </c>
      <c r="T1150" s="472">
        <f>(Table6[[#This Row],[Fault Clearance time]]-Table6[[#This Row],[Fault Start TimeStamp]])*24</f>
        <v>9.9999999999999645E-2</v>
      </c>
      <c r="U1150" s="35" t="s">
        <v>336</v>
      </c>
      <c r="V1150" s="102" t="s">
        <v>293</v>
      </c>
      <c r="W1150" s="478">
        <f>IFERROR(Table6[[#This Row],[Breakdown Time]]*Table6[[#This Row],[Plant Equivalent Weightage]],"")</f>
        <v>3.8461538461538312E-3</v>
      </c>
      <c r="X1150" s="473" t="s">
        <v>294</v>
      </c>
      <c r="Y1150" s="474" t="s">
        <v>75</v>
      </c>
      <c r="Z1150" s="102">
        <v>36977</v>
      </c>
      <c r="AA1150" s="468">
        <f>(Table6[[#This Row],[Paired WTG Generation for loss calculation]]/24)*Table6[[#This Row],[Breakdown Time]]</f>
        <v>154.07083333333279</v>
      </c>
      <c r="AB1150" s="102"/>
      <c r="AC1150" s="35"/>
      <c r="AD1150" s="35"/>
    </row>
    <row r="1151" spans="1:30">
      <c r="A1151" s="102">
        <f t="shared" si="18"/>
        <v>1150</v>
      </c>
      <c r="B1151" s="468">
        <f>YEAR(Table6[[#This Row],[Date]])+IF(MONTH(Table6[[#This Row],[Date]])&gt;=4,1,0)</f>
        <v>2026</v>
      </c>
      <c r="C1151" s="102">
        <f>YEAR(Table6[[#This Row],[Date]])</f>
        <v>2025</v>
      </c>
      <c r="D1151" s="102" t="s">
        <v>1992</v>
      </c>
      <c r="E1151" s="469">
        <f>Table6[[#This Row],[Date]]-DAY(Table6[[#This Row],[Date]])+1</f>
        <v>45809</v>
      </c>
      <c r="F1151" s="470">
        <v>45819</v>
      </c>
      <c r="G1151" s="35" t="s">
        <v>81</v>
      </c>
      <c r="H1151" s="35" t="str">
        <f>IFERROR(_xlfn.XLOOKUP(Table6[[#This Row],[Affected WTG]],'Basic Data'!$A:$A,'Basic Data'!$B:$B),"")</f>
        <v>TQGXIIPL</v>
      </c>
      <c r="I1151" s="35" t="str">
        <f>IFERROR(_xlfn.XLOOKUP(Table6[[#This Row],[Affected WTG]],'Basic Data'!$A:$A,'Basic Data'!$C:$C),"")</f>
        <v>GEDA</v>
      </c>
      <c r="J1151" s="471">
        <f>IFERROR(_xlfn.XLOOKUP(Table6[[#This Row],[Affected WTG]],'Basic Data'!$A:$A,'Basic Data'!$E:$E),"")</f>
        <v>3.846153846153845E-2</v>
      </c>
      <c r="K1151" s="102">
        <v>641</v>
      </c>
      <c r="L1151" s="35" t="str">
        <f>IFERROR(_xlfn.XLOOKUP(Table6[[#This Row],[Error Code]],'Basic Data'!$AA:$AA,'Basic Data'!$AB:$AB),"Incorrect Error Code")</f>
        <v>Sim.angle E enc. &lt;&gt; act.angle 1</v>
      </c>
      <c r="M1151" s="35" t="s">
        <v>291</v>
      </c>
      <c r="N1151" s="475"/>
      <c r="O1151" s="476">
        <v>0.12916666666666668</v>
      </c>
      <c r="P1151" s="476">
        <v>0.12916666666666668</v>
      </c>
      <c r="Q1151" s="477">
        <v>0.13819444444444445</v>
      </c>
      <c r="R1151" s="472">
        <f>IF(Table6[[#This Row],[Work Start TimeStamp]]="","",(Table6[[#This Row],[Work Start TimeStamp]]-Table6[[#This Row],[Fault Start TimeStamp]])*24)</f>
        <v>0</v>
      </c>
      <c r="S1151" s="472">
        <f>(Table6[[#This Row],[Fault Clearance time]]-Table6[[#This Row],[Work Start TimeStamp]])*24</f>
        <v>0.21666666666666656</v>
      </c>
      <c r="T1151" s="472">
        <f>(Table6[[#This Row],[Fault Clearance time]]-Table6[[#This Row],[Fault Start TimeStamp]])*24</f>
        <v>0.21666666666666656</v>
      </c>
      <c r="U1151" s="35" t="s">
        <v>1924</v>
      </c>
      <c r="V1151" s="102" t="s">
        <v>293</v>
      </c>
      <c r="W1151" s="478">
        <f>IFERROR(Table6[[#This Row],[Breakdown Time]]*Table6[[#This Row],[Plant Equivalent Weightage]],"")</f>
        <v>8.3333333333333263E-3</v>
      </c>
      <c r="X1151" s="473" t="s">
        <v>294</v>
      </c>
      <c r="Y1151" s="474" t="s">
        <v>99</v>
      </c>
      <c r="Z1151" s="102">
        <v>31821</v>
      </c>
      <c r="AA1151" s="468">
        <f>(Table6[[#This Row],[Paired WTG Generation for loss calculation]]/24)*Table6[[#This Row],[Breakdown Time]]</f>
        <v>287.2729166666665</v>
      </c>
      <c r="AB1151" s="102"/>
      <c r="AC1151" s="35"/>
      <c r="AD1151" s="35"/>
    </row>
    <row r="1152" spans="1:30">
      <c r="A1152" s="102">
        <f t="shared" si="18"/>
        <v>1151</v>
      </c>
      <c r="B1152" s="468">
        <f>YEAR(Table6[[#This Row],[Date]])+IF(MONTH(Table6[[#This Row],[Date]])&gt;=4,1,0)</f>
        <v>2026</v>
      </c>
      <c r="C1152" s="102">
        <f>YEAR(Table6[[#This Row],[Date]])</f>
        <v>2025</v>
      </c>
      <c r="D1152" s="102" t="s">
        <v>1992</v>
      </c>
      <c r="E1152" s="469">
        <f>Table6[[#This Row],[Date]]-DAY(Table6[[#This Row],[Date]])+1</f>
        <v>45809</v>
      </c>
      <c r="F1152" s="470">
        <v>45819</v>
      </c>
      <c r="G1152" s="35" t="s">
        <v>81</v>
      </c>
      <c r="H1152" s="35" t="str">
        <f>IFERROR(_xlfn.XLOOKUP(Table6[[#This Row],[Affected WTG]],'Basic Data'!$A:$A,'Basic Data'!$B:$B),"")</f>
        <v>TQGXIIPL</v>
      </c>
      <c r="I1152" s="35" t="str">
        <f>IFERROR(_xlfn.XLOOKUP(Table6[[#This Row],[Affected WTG]],'Basic Data'!$A:$A,'Basic Data'!$C:$C),"")</f>
        <v>GEDA</v>
      </c>
      <c r="J1152" s="471">
        <f>IFERROR(_xlfn.XLOOKUP(Table6[[#This Row],[Affected WTG]],'Basic Data'!$A:$A,'Basic Data'!$E:$E),"")</f>
        <v>3.846153846153845E-2</v>
      </c>
      <c r="K1152" s="102">
        <v>665</v>
      </c>
      <c r="L1152" s="35" t="str">
        <f>IFERROR(_xlfn.XLOOKUP(Table6[[#This Row],[Error Code]],'Basic Data'!$AA:$AA,'Basic Data'!$AB:$AB),"Incorrect Error Code")</f>
        <v>Pitch error</v>
      </c>
      <c r="M1152" s="35" t="s">
        <v>291</v>
      </c>
      <c r="N1152" s="475"/>
      <c r="O1152" s="476">
        <v>0.17083333333333334</v>
      </c>
      <c r="P1152" s="476">
        <v>0.17083333333333334</v>
      </c>
      <c r="Q1152" s="477">
        <v>0.18124999999999999</v>
      </c>
      <c r="R1152" s="472">
        <f>IF(Table6[[#This Row],[Work Start TimeStamp]]="","",(Table6[[#This Row],[Work Start TimeStamp]]-Table6[[#This Row],[Fault Start TimeStamp]])*24)</f>
        <v>0</v>
      </c>
      <c r="S1152" s="472">
        <f>(Table6[[#This Row],[Fault Clearance time]]-Table6[[#This Row],[Work Start TimeStamp]])*24</f>
        <v>0.24999999999999978</v>
      </c>
      <c r="T1152" s="472">
        <f>(Table6[[#This Row],[Fault Clearance time]]-Table6[[#This Row],[Fault Start TimeStamp]])*24</f>
        <v>0.24999999999999978</v>
      </c>
      <c r="U1152" s="35" t="s">
        <v>1924</v>
      </c>
      <c r="V1152" s="102" t="s">
        <v>293</v>
      </c>
      <c r="W1152" s="478">
        <f>IFERROR(Table6[[#This Row],[Breakdown Time]]*Table6[[#This Row],[Plant Equivalent Weightage]],"")</f>
        <v>9.6153846153846038E-3</v>
      </c>
      <c r="X1152" s="473" t="s">
        <v>294</v>
      </c>
      <c r="Y1152" s="474" t="s">
        <v>99</v>
      </c>
      <c r="Z1152" s="102">
        <v>31821</v>
      </c>
      <c r="AA1152" s="468">
        <f>(Table6[[#This Row],[Paired WTG Generation for loss calculation]]/24)*Table6[[#This Row],[Breakdown Time]]</f>
        <v>331.46874999999972</v>
      </c>
      <c r="AB1152" s="102"/>
      <c r="AC1152" s="35"/>
      <c r="AD1152" s="35"/>
    </row>
    <row r="1153" spans="1:30">
      <c r="A1153" s="102">
        <f t="shared" si="18"/>
        <v>1152</v>
      </c>
      <c r="B1153" s="468">
        <f>YEAR(Table6[[#This Row],[Date]])+IF(MONTH(Table6[[#This Row],[Date]])&gt;=4,1,0)</f>
        <v>2026</v>
      </c>
      <c r="C1153" s="102">
        <f>YEAR(Table6[[#This Row],[Date]])</f>
        <v>2025</v>
      </c>
      <c r="D1153" s="102" t="s">
        <v>1992</v>
      </c>
      <c r="E1153" s="469">
        <f>Table6[[#This Row],[Date]]-DAY(Table6[[#This Row],[Date]])+1</f>
        <v>45809</v>
      </c>
      <c r="F1153" s="470">
        <v>45819</v>
      </c>
      <c r="G1153" s="35" t="s">
        <v>84</v>
      </c>
      <c r="H1153" s="35" t="str">
        <f>IFERROR(_xlfn.XLOOKUP(Table6[[#This Row],[Affected WTG]],'Basic Data'!$A:$A,'Basic Data'!$B:$B),"")</f>
        <v>TQGXIIPL</v>
      </c>
      <c r="I1153" s="35" t="str">
        <f>IFERROR(_xlfn.XLOOKUP(Table6[[#This Row],[Affected WTG]],'Basic Data'!$A:$A,'Basic Data'!$C:$C),"")</f>
        <v>GEDA</v>
      </c>
      <c r="J1153" s="471">
        <f>IFERROR(_xlfn.XLOOKUP(Table6[[#This Row],[Affected WTG]],'Basic Data'!$A:$A,'Basic Data'!$E:$E),"")</f>
        <v>3.846153846153845E-2</v>
      </c>
      <c r="K1153" s="102">
        <v>55</v>
      </c>
      <c r="L1153" s="35" t="str">
        <f>IFERROR(_xlfn.XLOOKUP(Table6[[#This Row],[Error Code]],'Basic Data'!$AA:$AA,'Basic Data'!$AB:$AB),"Incorrect Error Code")</f>
        <v>WTG shut down</v>
      </c>
      <c r="M1153" s="35" t="s">
        <v>291</v>
      </c>
      <c r="N1153" s="475"/>
      <c r="O1153" s="476">
        <v>0.64027777777777772</v>
      </c>
      <c r="P1153" s="476">
        <v>0.64027777777777772</v>
      </c>
      <c r="Q1153" s="477">
        <v>0.64583333333333337</v>
      </c>
      <c r="R1153" s="472">
        <f>IF(Table6[[#This Row],[Work Start TimeStamp]]="","",(Table6[[#This Row],[Work Start TimeStamp]]-Table6[[#This Row],[Fault Start TimeStamp]])*24)</f>
        <v>0</v>
      </c>
      <c r="S1153" s="472">
        <f>(Table6[[#This Row],[Fault Clearance time]]-Table6[[#This Row],[Work Start TimeStamp]])*24</f>
        <v>0.13333333333333552</v>
      </c>
      <c r="T1153" s="472">
        <f>(Table6[[#This Row],[Fault Clearance time]]-Table6[[#This Row],[Fault Start TimeStamp]])*24</f>
        <v>0.13333333333333552</v>
      </c>
      <c r="U1153" s="35" t="s">
        <v>1958</v>
      </c>
      <c r="V1153" s="102" t="s">
        <v>293</v>
      </c>
      <c r="W1153" s="478">
        <f>IFERROR(Table6[[#This Row],[Breakdown Time]]*Table6[[#This Row],[Plant Equivalent Weightage]],"")</f>
        <v>5.1282051282052106E-3</v>
      </c>
      <c r="X1153" s="473" t="s">
        <v>290</v>
      </c>
      <c r="Y1153" s="474" t="s">
        <v>85</v>
      </c>
      <c r="Z1153" s="102">
        <v>29594</v>
      </c>
      <c r="AA1153" s="468">
        <f>(Table6[[#This Row],[Paired WTG Generation for loss calculation]]/24)*Table6[[#This Row],[Breakdown Time]]</f>
        <v>164.4111111111138</v>
      </c>
      <c r="AB1153" s="102"/>
      <c r="AC1153" s="35"/>
      <c r="AD1153" s="35"/>
    </row>
    <row r="1154" spans="1:30">
      <c r="A1154" s="102">
        <f t="shared" si="18"/>
        <v>1153</v>
      </c>
      <c r="B1154" s="468">
        <f>YEAR(Table6[[#This Row],[Date]])+IF(MONTH(Table6[[#This Row],[Date]])&gt;=4,1,0)</f>
        <v>2026</v>
      </c>
      <c r="C1154" s="102">
        <f>YEAR(Table6[[#This Row],[Date]])</f>
        <v>2025</v>
      </c>
      <c r="D1154" s="102" t="s">
        <v>1992</v>
      </c>
      <c r="E1154" s="469">
        <f>Table6[[#This Row],[Date]]-DAY(Table6[[#This Row],[Date]])+1</f>
        <v>45809</v>
      </c>
      <c r="F1154" s="470">
        <v>45819</v>
      </c>
      <c r="G1154" s="35" t="s">
        <v>86</v>
      </c>
      <c r="H1154" s="35" t="str">
        <f>IFERROR(_xlfn.XLOOKUP(Table6[[#This Row],[Affected WTG]],'Basic Data'!$A:$A,'Basic Data'!$B:$B),"")</f>
        <v>TQGXIIPL</v>
      </c>
      <c r="I1154" s="35" t="str">
        <f>IFERROR(_xlfn.XLOOKUP(Table6[[#This Row],[Affected WTG]],'Basic Data'!$A:$A,'Basic Data'!$C:$C),"")</f>
        <v>GEDA</v>
      </c>
      <c r="J1154" s="471">
        <f>IFERROR(_xlfn.XLOOKUP(Table6[[#This Row],[Affected WTG]],'Basic Data'!$A:$A,'Basic Data'!$E:$E),"")</f>
        <v>3.846153846153845E-2</v>
      </c>
      <c r="K1154" s="102">
        <v>6130</v>
      </c>
      <c r="L1154" s="35" t="str">
        <f>IFERROR(_xlfn.XLOOKUP(Table6[[#This Row],[Error Code]],'Basic Data'!$AA:$AA,'Basic Data'!$AB:$AB),"Incorrect Error Code")</f>
        <v>Yaw speed high</v>
      </c>
      <c r="M1154" s="35" t="s">
        <v>291</v>
      </c>
      <c r="N1154" s="475"/>
      <c r="O1154" s="476">
        <v>0.12083333333333333</v>
      </c>
      <c r="P1154" s="476">
        <v>0.12083333333333333</v>
      </c>
      <c r="Q1154" s="477">
        <v>0.12291666666666666</v>
      </c>
      <c r="R1154" s="472">
        <f>IF(Table6[[#This Row],[Work Start TimeStamp]]="","",(Table6[[#This Row],[Work Start TimeStamp]]-Table6[[#This Row],[Fault Start TimeStamp]])*24)</f>
        <v>0</v>
      </c>
      <c r="S1154" s="472">
        <f>(Table6[[#This Row],[Fault Clearance time]]-Table6[[#This Row],[Work Start TimeStamp]])*24</f>
        <v>4.9999999999999822E-2</v>
      </c>
      <c r="T1154" s="472">
        <f>(Table6[[#This Row],[Fault Clearance time]]-Table6[[#This Row],[Fault Start TimeStamp]])*24</f>
        <v>4.9999999999999822E-2</v>
      </c>
      <c r="U1154" s="35" t="s">
        <v>1924</v>
      </c>
      <c r="V1154" s="102" t="s">
        <v>293</v>
      </c>
      <c r="W1154" s="478">
        <f>IFERROR(Table6[[#This Row],[Breakdown Time]]*Table6[[#This Row],[Plant Equivalent Weightage]],"")</f>
        <v>1.9230769230769156E-3</v>
      </c>
      <c r="X1154" s="473" t="s">
        <v>294</v>
      </c>
      <c r="Y1154" s="474" t="s">
        <v>84</v>
      </c>
      <c r="Z1154" s="102">
        <v>30425</v>
      </c>
      <c r="AA1154" s="468">
        <f>(Table6[[#This Row],[Paired WTG Generation for loss calculation]]/24)*Table6[[#This Row],[Breakdown Time]]</f>
        <v>63.385416666666437</v>
      </c>
      <c r="AB1154" s="102"/>
      <c r="AC1154" s="35"/>
      <c r="AD1154" s="35"/>
    </row>
    <row r="1155" spans="1:30">
      <c r="A1155" s="102">
        <f t="shared" si="18"/>
        <v>1154</v>
      </c>
      <c r="B1155" s="468">
        <f>YEAR(Table6[[#This Row],[Date]])+IF(MONTH(Table6[[#This Row],[Date]])&gt;=4,1,0)</f>
        <v>2026</v>
      </c>
      <c r="C1155" s="102">
        <f>YEAR(Table6[[#This Row],[Date]])</f>
        <v>2025</v>
      </c>
      <c r="D1155" s="102" t="s">
        <v>1992</v>
      </c>
      <c r="E1155" s="469">
        <f>Table6[[#This Row],[Date]]-DAY(Table6[[#This Row],[Date]])+1</f>
        <v>45809</v>
      </c>
      <c r="F1155" s="470">
        <v>45819</v>
      </c>
      <c r="G1155" s="35" t="s">
        <v>86</v>
      </c>
      <c r="H1155" s="35" t="str">
        <f>IFERROR(_xlfn.XLOOKUP(Table6[[#This Row],[Affected WTG]],'Basic Data'!$A:$A,'Basic Data'!$B:$B),"")</f>
        <v>TQGXIIPL</v>
      </c>
      <c r="I1155" s="35" t="str">
        <f>IFERROR(_xlfn.XLOOKUP(Table6[[#This Row],[Affected WTG]],'Basic Data'!$A:$A,'Basic Data'!$C:$C),"")</f>
        <v>GEDA</v>
      </c>
      <c r="J1155" s="471">
        <f>IFERROR(_xlfn.XLOOKUP(Table6[[#This Row],[Affected WTG]],'Basic Data'!$A:$A,'Basic Data'!$E:$E),"")</f>
        <v>3.846153846153845E-2</v>
      </c>
      <c r="K1155" s="102">
        <v>55</v>
      </c>
      <c r="L1155" s="35" t="str">
        <f>IFERROR(_xlfn.XLOOKUP(Table6[[#This Row],[Error Code]],'Basic Data'!$AA:$AA,'Basic Data'!$AB:$AB),"Incorrect Error Code")</f>
        <v>WTG shut down</v>
      </c>
      <c r="M1155" s="35" t="s">
        <v>291</v>
      </c>
      <c r="N1155" s="475"/>
      <c r="O1155" s="476">
        <v>0.63749999999999996</v>
      </c>
      <c r="P1155" s="476">
        <v>0.63749999999999996</v>
      </c>
      <c r="Q1155" s="477">
        <v>0.64375000000000004</v>
      </c>
      <c r="R1155" s="472">
        <f>IF(Table6[[#This Row],[Work Start TimeStamp]]="","",(Table6[[#This Row],[Work Start TimeStamp]]-Table6[[#This Row],[Fault Start TimeStamp]])*24)</f>
        <v>0</v>
      </c>
      <c r="S1155" s="472">
        <f>(Table6[[#This Row],[Fault Clearance time]]-Table6[[#This Row],[Work Start TimeStamp]])*24</f>
        <v>0.15000000000000213</v>
      </c>
      <c r="T1155" s="472">
        <f>(Table6[[#This Row],[Fault Clearance time]]-Table6[[#This Row],[Fault Start TimeStamp]])*24</f>
        <v>0.15000000000000213</v>
      </c>
      <c r="U1155" s="35" t="s">
        <v>1958</v>
      </c>
      <c r="V1155" s="102" t="s">
        <v>293</v>
      </c>
      <c r="W1155" s="478">
        <f>IFERROR(Table6[[#This Row],[Breakdown Time]]*Table6[[#This Row],[Plant Equivalent Weightage]],"")</f>
        <v>5.7692307692308493E-3</v>
      </c>
      <c r="X1155" s="473" t="s">
        <v>290</v>
      </c>
      <c r="Y1155" s="474" t="s">
        <v>84</v>
      </c>
      <c r="Z1155" s="102">
        <v>30425</v>
      </c>
      <c r="AA1155" s="468">
        <f>(Table6[[#This Row],[Paired WTG Generation for loss calculation]]/24)*Table6[[#This Row],[Breakdown Time]]</f>
        <v>190.1562500000027</v>
      </c>
      <c r="AB1155" s="102"/>
      <c r="AC1155" s="35"/>
      <c r="AD1155" s="35"/>
    </row>
    <row r="1156" spans="1:30">
      <c r="A1156" s="102">
        <f t="shared" si="18"/>
        <v>1155</v>
      </c>
      <c r="B1156" s="468">
        <f>YEAR(Table6[[#This Row],[Date]])+IF(MONTH(Table6[[#This Row],[Date]])&gt;=4,1,0)</f>
        <v>2026</v>
      </c>
      <c r="C1156" s="102">
        <f>YEAR(Table6[[#This Row],[Date]])</f>
        <v>2025</v>
      </c>
      <c r="D1156" s="102" t="s">
        <v>1992</v>
      </c>
      <c r="E1156" s="469">
        <f>Table6[[#This Row],[Date]]-DAY(Table6[[#This Row],[Date]])+1</f>
        <v>45809</v>
      </c>
      <c r="F1156" s="470">
        <v>45819</v>
      </c>
      <c r="G1156" s="35" t="s">
        <v>90</v>
      </c>
      <c r="H1156" s="35" t="str">
        <f>IFERROR(_xlfn.XLOOKUP(Table6[[#This Row],[Affected WTG]],'Basic Data'!$A:$A,'Basic Data'!$B:$B),"")</f>
        <v>TQGXIIPL</v>
      </c>
      <c r="I1156" s="35" t="str">
        <f>IFERROR(_xlfn.XLOOKUP(Table6[[#This Row],[Affected WTG]],'Basic Data'!$A:$A,'Basic Data'!$C:$C),"")</f>
        <v>GEDA</v>
      </c>
      <c r="J1156" s="471">
        <f>IFERROR(_xlfn.XLOOKUP(Table6[[#This Row],[Affected WTG]],'Basic Data'!$A:$A,'Basic Data'!$E:$E),"")</f>
        <v>3.846153846153845E-2</v>
      </c>
      <c r="K1156" s="102">
        <v>55</v>
      </c>
      <c r="L1156" s="35" t="str">
        <f>IFERROR(_xlfn.XLOOKUP(Table6[[#This Row],[Error Code]],'Basic Data'!$AA:$AA,'Basic Data'!$AB:$AB),"Incorrect Error Code")</f>
        <v>WTG shut down</v>
      </c>
      <c r="M1156" s="35" t="s">
        <v>291</v>
      </c>
      <c r="N1156" s="475"/>
      <c r="O1156" s="476">
        <v>0.65277777777777779</v>
      </c>
      <c r="P1156" s="476">
        <v>0.65277777777777779</v>
      </c>
      <c r="Q1156" s="477">
        <v>0.65694444444444444</v>
      </c>
      <c r="R1156" s="472">
        <f>IF(Table6[[#This Row],[Work Start TimeStamp]]="","",(Table6[[#This Row],[Work Start TimeStamp]]-Table6[[#This Row],[Fault Start TimeStamp]])*24)</f>
        <v>0</v>
      </c>
      <c r="S1156" s="472">
        <f>(Table6[[#This Row],[Fault Clearance time]]-Table6[[#This Row],[Work Start TimeStamp]])*24</f>
        <v>9.9999999999999645E-2</v>
      </c>
      <c r="T1156" s="472">
        <f>(Table6[[#This Row],[Fault Clearance time]]-Table6[[#This Row],[Fault Start TimeStamp]])*24</f>
        <v>9.9999999999999645E-2</v>
      </c>
      <c r="U1156" s="35" t="s">
        <v>1958</v>
      </c>
      <c r="V1156" s="102" t="s">
        <v>293</v>
      </c>
      <c r="W1156" s="478">
        <f>IFERROR(Table6[[#This Row],[Breakdown Time]]*Table6[[#This Row],[Plant Equivalent Weightage]],"")</f>
        <v>3.8461538461538312E-3</v>
      </c>
      <c r="X1156" s="473" t="s">
        <v>290</v>
      </c>
      <c r="Y1156" s="474" t="s">
        <v>95</v>
      </c>
      <c r="Z1156" s="102">
        <v>42577</v>
      </c>
      <c r="AA1156" s="468">
        <f>(Table6[[#This Row],[Paired WTG Generation for loss calculation]]/24)*Table6[[#This Row],[Breakdown Time]]</f>
        <v>177.40416666666604</v>
      </c>
      <c r="AB1156" s="102"/>
      <c r="AC1156" s="35"/>
      <c r="AD1156" s="35"/>
    </row>
    <row r="1157" spans="1:30">
      <c r="A1157" s="102">
        <f t="shared" si="18"/>
        <v>1156</v>
      </c>
      <c r="B1157" s="468">
        <f>YEAR(Table6[[#This Row],[Date]])+IF(MONTH(Table6[[#This Row],[Date]])&gt;=4,1,0)</f>
        <v>2026</v>
      </c>
      <c r="C1157" s="102">
        <f>YEAR(Table6[[#This Row],[Date]])</f>
        <v>2025</v>
      </c>
      <c r="D1157" s="102" t="s">
        <v>1992</v>
      </c>
      <c r="E1157" s="469">
        <f>Table6[[#This Row],[Date]]-DAY(Table6[[#This Row],[Date]])+1</f>
        <v>45809</v>
      </c>
      <c r="F1157" s="470">
        <v>45819</v>
      </c>
      <c r="G1157" s="35" t="s">
        <v>97</v>
      </c>
      <c r="H1157" s="35" t="str">
        <f>IFERROR(_xlfn.XLOOKUP(Table6[[#This Row],[Affected WTG]],'Basic Data'!$A:$A,'Basic Data'!$B:$B),"")</f>
        <v>TQGXIIPL</v>
      </c>
      <c r="I1157" s="35" t="str">
        <f>IFERROR(_xlfn.XLOOKUP(Table6[[#This Row],[Affected WTG]],'Basic Data'!$A:$A,'Basic Data'!$C:$C),"")</f>
        <v>GEDA</v>
      </c>
      <c r="J1157" s="471">
        <f>IFERROR(_xlfn.XLOOKUP(Table6[[#This Row],[Affected WTG]],'Basic Data'!$A:$A,'Basic Data'!$E:$E),"")</f>
        <v>3.846153846153845E-2</v>
      </c>
      <c r="K1157" s="102">
        <v>6130</v>
      </c>
      <c r="L1157" s="35" t="str">
        <f>IFERROR(_xlfn.XLOOKUP(Table6[[#This Row],[Error Code]],'Basic Data'!$AA:$AA,'Basic Data'!$AB:$AB),"Incorrect Error Code")</f>
        <v>Yaw speed high</v>
      </c>
      <c r="M1157" s="35" t="s">
        <v>291</v>
      </c>
      <c r="N1157" s="475"/>
      <c r="O1157" s="476">
        <v>0.36875000000000002</v>
      </c>
      <c r="P1157" s="476">
        <v>0.36875000000000002</v>
      </c>
      <c r="Q1157" s="477">
        <v>0.37152777777777779</v>
      </c>
      <c r="R1157" s="472">
        <f>IF(Table6[[#This Row],[Work Start TimeStamp]]="","",(Table6[[#This Row],[Work Start TimeStamp]]-Table6[[#This Row],[Fault Start TimeStamp]])*24)</f>
        <v>0</v>
      </c>
      <c r="S1157" s="472">
        <f>(Table6[[#This Row],[Fault Clearance time]]-Table6[[#This Row],[Work Start TimeStamp]])*24</f>
        <v>6.666666666666643E-2</v>
      </c>
      <c r="T1157" s="472">
        <f>(Table6[[#This Row],[Fault Clearance time]]-Table6[[#This Row],[Fault Start TimeStamp]])*24</f>
        <v>6.666666666666643E-2</v>
      </c>
      <c r="U1157" s="35" t="s">
        <v>1924</v>
      </c>
      <c r="V1157" s="102" t="s">
        <v>293</v>
      </c>
      <c r="W1157" s="478">
        <f>IFERROR(Table6[[#This Row],[Breakdown Time]]*Table6[[#This Row],[Plant Equivalent Weightage]],"")</f>
        <v>2.5641025641025541E-3</v>
      </c>
      <c r="X1157" s="473" t="s">
        <v>294</v>
      </c>
      <c r="Y1157" s="474" t="s">
        <v>93</v>
      </c>
      <c r="Z1157" s="102">
        <v>36328</v>
      </c>
      <c r="AA1157" s="468">
        <f>(Table6[[#This Row],[Paired WTG Generation for loss calculation]]/24)*Table6[[#This Row],[Breakdown Time]]</f>
        <v>100.91111111111076</v>
      </c>
      <c r="AB1157" s="102"/>
      <c r="AC1157" s="35"/>
      <c r="AD1157" s="35"/>
    </row>
    <row r="1158" spans="1:30">
      <c r="A1158" s="102">
        <f t="shared" si="18"/>
        <v>1157</v>
      </c>
      <c r="B1158" s="468">
        <f>YEAR(Table6[[#This Row],[Date]])+IF(MONTH(Table6[[#This Row],[Date]])&gt;=4,1,0)</f>
        <v>2026</v>
      </c>
      <c r="C1158" s="102">
        <f>YEAR(Table6[[#This Row],[Date]])</f>
        <v>2025</v>
      </c>
      <c r="D1158" s="102" t="s">
        <v>1992</v>
      </c>
      <c r="E1158" s="469">
        <f>Table6[[#This Row],[Date]]-DAY(Table6[[#This Row],[Date]])+1</f>
        <v>45809</v>
      </c>
      <c r="F1158" s="470">
        <v>45819</v>
      </c>
      <c r="G1158" s="35" t="s">
        <v>98</v>
      </c>
      <c r="H1158" s="35" t="str">
        <f>IFERROR(_xlfn.XLOOKUP(Table6[[#This Row],[Affected WTG]],'Basic Data'!$A:$A,'Basic Data'!$B:$B),"")</f>
        <v>TQGXIIPL</v>
      </c>
      <c r="I1158" s="35" t="str">
        <f>IFERROR(_xlfn.XLOOKUP(Table6[[#This Row],[Affected WTG]],'Basic Data'!$A:$A,'Basic Data'!$C:$C),"")</f>
        <v>GEDA</v>
      </c>
      <c r="J1158" s="471">
        <f>IFERROR(_xlfn.XLOOKUP(Table6[[#This Row],[Affected WTG]],'Basic Data'!$A:$A,'Basic Data'!$E:$E),"")</f>
        <v>3.846153846153845E-2</v>
      </c>
      <c r="K1158" s="102">
        <v>550</v>
      </c>
      <c r="L1158" s="35" t="str">
        <f>IFERROR(_xlfn.XLOOKUP(Table6[[#This Row],[Error Code]],'Basic Data'!$AA:$AA,'Basic Data'!$AB:$AB),"Incorrect Error Code")</f>
        <v>Pitch current asymmetry</v>
      </c>
      <c r="M1158" s="35" t="s">
        <v>291</v>
      </c>
      <c r="N1158" s="475"/>
      <c r="O1158" s="476">
        <v>0.2638888888888889</v>
      </c>
      <c r="P1158" s="476">
        <v>0.2638888888888889</v>
      </c>
      <c r="Q1158" s="477">
        <v>0.2722222222222222</v>
      </c>
      <c r="R1158" s="472">
        <f>IF(Table6[[#This Row],[Work Start TimeStamp]]="","",(Table6[[#This Row],[Work Start TimeStamp]]-Table6[[#This Row],[Fault Start TimeStamp]])*24)</f>
        <v>0</v>
      </c>
      <c r="S1158" s="472">
        <f>(Table6[[#This Row],[Fault Clearance time]]-Table6[[#This Row],[Work Start TimeStamp]])*24</f>
        <v>0.19999999999999929</v>
      </c>
      <c r="T1158" s="472">
        <f>(Table6[[#This Row],[Fault Clearance time]]-Table6[[#This Row],[Fault Start TimeStamp]])*24</f>
        <v>0.19999999999999929</v>
      </c>
      <c r="U1158" s="35" t="s">
        <v>1924</v>
      </c>
      <c r="V1158" s="102" t="s">
        <v>293</v>
      </c>
      <c r="W1158" s="478">
        <f>IFERROR(Table6[[#This Row],[Breakdown Time]]*Table6[[#This Row],[Plant Equivalent Weightage]],"")</f>
        <v>7.6923076923076624E-3</v>
      </c>
      <c r="X1158" s="473" t="s">
        <v>294</v>
      </c>
      <c r="Y1158" s="474" t="s">
        <v>74</v>
      </c>
      <c r="Z1158" s="102">
        <v>9734</v>
      </c>
      <c r="AA1158" s="468">
        <f>(Table6[[#This Row],[Paired WTG Generation for loss calculation]]/24)*Table6[[#This Row],[Breakdown Time]]</f>
        <v>81.116666666666376</v>
      </c>
      <c r="AB1158" s="102"/>
      <c r="AC1158" s="35"/>
      <c r="AD1158" s="35"/>
    </row>
    <row r="1159" spans="1:30">
      <c r="A1159" s="102">
        <f t="shared" si="18"/>
        <v>1158</v>
      </c>
      <c r="B1159" s="468">
        <f>YEAR(Table6[[#This Row],[Date]])+IF(MONTH(Table6[[#This Row],[Date]])&gt;=4,1,0)</f>
        <v>2026</v>
      </c>
      <c r="C1159" s="102">
        <f>YEAR(Table6[[#This Row],[Date]])</f>
        <v>2025</v>
      </c>
      <c r="D1159" s="102" t="s">
        <v>1992</v>
      </c>
      <c r="E1159" s="469">
        <f>Table6[[#This Row],[Date]]-DAY(Table6[[#This Row],[Date]])+1</f>
        <v>45809</v>
      </c>
      <c r="F1159" s="470">
        <v>45819</v>
      </c>
      <c r="G1159" s="35" t="s">
        <v>99</v>
      </c>
      <c r="H1159" s="35" t="str">
        <f>IFERROR(_xlfn.XLOOKUP(Table6[[#This Row],[Affected WTG]],'Basic Data'!$A:$A,'Basic Data'!$B:$B),"")</f>
        <v>TQGXIIPL</v>
      </c>
      <c r="I1159" s="35" t="str">
        <f>IFERROR(_xlfn.XLOOKUP(Table6[[#This Row],[Affected WTG]],'Basic Data'!$A:$A,'Basic Data'!$C:$C),"")</f>
        <v>GEDA</v>
      </c>
      <c r="J1159" s="471">
        <f>IFERROR(_xlfn.XLOOKUP(Table6[[#This Row],[Affected WTG]],'Basic Data'!$A:$A,'Basic Data'!$E:$E),"")</f>
        <v>3.846153846153845E-2</v>
      </c>
      <c r="K1159" s="102">
        <v>55</v>
      </c>
      <c r="L1159" s="35" t="str">
        <f>IFERROR(_xlfn.XLOOKUP(Table6[[#This Row],[Error Code]],'Basic Data'!$AA:$AA,'Basic Data'!$AB:$AB),"Incorrect Error Code")</f>
        <v>WTG shut down</v>
      </c>
      <c r="M1159" s="35" t="s">
        <v>291</v>
      </c>
      <c r="N1159" s="475"/>
      <c r="O1159" s="476">
        <v>0.42986111111111114</v>
      </c>
      <c r="P1159" s="476">
        <v>0.42986111111111114</v>
      </c>
      <c r="Q1159" s="477">
        <v>0.43611111111111112</v>
      </c>
      <c r="R1159" s="472">
        <f>IF(Table6[[#This Row],[Work Start TimeStamp]]="","",(Table6[[#This Row],[Work Start TimeStamp]]-Table6[[#This Row],[Fault Start TimeStamp]])*24)</f>
        <v>0</v>
      </c>
      <c r="S1159" s="472">
        <f>(Table6[[#This Row],[Fault Clearance time]]-Table6[[#This Row],[Work Start TimeStamp]])*24</f>
        <v>0.14999999999999947</v>
      </c>
      <c r="T1159" s="472">
        <f>(Table6[[#This Row],[Fault Clearance time]]-Table6[[#This Row],[Fault Start TimeStamp]])*24</f>
        <v>0.14999999999999947</v>
      </c>
      <c r="U1159" s="35" t="s">
        <v>1958</v>
      </c>
      <c r="V1159" s="102" t="s">
        <v>293</v>
      </c>
      <c r="W1159" s="478">
        <f>IFERROR(Table6[[#This Row],[Breakdown Time]]*Table6[[#This Row],[Plant Equivalent Weightage]],"")</f>
        <v>5.769230769230747E-3</v>
      </c>
      <c r="X1159" s="473" t="s">
        <v>290</v>
      </c>
      <c r="Y1159" s="474" t="s">
        <v>74</v>
      </c>
      <c r="Z1159" s="102">
        <v>9734</v>
      </c>
      <c r="AA1159" s="468">
        <f>(Table6[[#This Row],[Paired WTG Generation for loss calculation]]/24)*Table6[[#This Row],[Breakdown Time]]</f>
        <v>60.837499999999778</v>
      </c>
      <c r="AB1159" s="102"/>
      <c r="AC1159" s="35"/>
      <c r="AD1159" s="35"/>
    </row>
    <row r="1160" spans="1:30">
      <c r="A1160" s="102">
        <f t="shared" si="18"/>
        <v>1159</v>
      </c>
      <c r="B1160" s="468">
        <f>YEAR(Table6[[#This Row],[Date]])+IF(MONTH(Table6[[#This Row],[Date]])&gt;=4,1,0)</f>
        <v>2026</v>
      </c>
      <c r="C1160" s="102">
        <f>YEAR(Table6[[#This Row],[Date]])</f>
        <v>2025</v>
      </c>
      <c r="D1160" s="102" t="s">
        <v>1992</v>
      </c>
      <c r="E1160" s="469">
        <f>Table6[[#This Row],[Date]]-DAY(Table6[[#This Row],[Date]])+1</f>
        <v>45809</v>
      </c>
      <c r="F1160" s="470">
        <v>45820</v>
      </c>
      <c r="G1160" s="35" t="s">
        <v>89</v>
      </c>
      <c r="H1160" s="35" t="str">
        <f>IFERROR(_xlfn.XLOOKUP(Table6[[#This Row],[Affected WTG]],'Basic Data'!$A:$A,'Basic Data'!$B:$B),"")</f>
        <v>TQGXIIPL</v>
      </c>
      <c r="I1160" s="35" t="str">
        <f>IFERROR(_xlfn.XLOOKUP(Table6[[#This Row],[Affected WTG]],'Basic Data'!$A:$A,'Basic Data'!$C:$C),"")</f>
        <v>GEDA</v>
      </c>
      <c r="J1160" s="471">
        <f>IFERROR(_xlfn.XLOOKUP(Table6[[#This Row],[Affected WTG]],'Basic Data'!$A:$A,'Basic Data'!$E:$E),"")</f>
        <v>3.846153846153845E-2</v>
      </c>
      <c r="K1160" s="102">
        <v>55</v>
      </c>
      <c r="L1160" s="35" t="str">
        <f>IFERROR(_xlfn.XLOOKUP(Table6[[#This Row],[Error Code]],'Basic Data'!$AA:$AA,'Basic Data'!$AB:$AB),"Incorrect Error Code")</f>
        <v>WTG shut down</v>
      </c>
      <c r="M1160" s="35" t="s">
        <v>291</v>
      </c>
      <c r="N1160" s="475"/>
      <c r="O1160" s="476">
        <v>0.57361111111111107</v>
      </c>
      <c r="P1160" s="476">
        <v>0.57361111111111107</v>
      </c>
      <c r="Q1160" s="477">
        <v>0.61527777777777781</v>
      </c>
      <c r="R1160" s="472">
        <f>IF(Table6[[#This Row],[Work Start TimeStamp]]="","",(Table6[[#This Row],[Work Start TimeStamp]]-Table6[[#This Row],[Fault Start TimeStamp]])*24)</f>
        <v>0</v>
      </c>
      <c r="S1160" s="472">
        <f>(Table6[[#This Row],[Fault Clearance time]]-Table6[[#This Row],[Work Start TimeStamp]])*24</f>
        <v>1.0000000000000018</v>
      </c>
      <c r="T1160" s="472">
        <f>(Table6[[#This Row],[Fault Clearance time]]-Table6[[#This Row],[Fault Start TimeStamp]])*24</f>
        <v>1.0000000000000018</v>
      </c>
      <c r="U1160" s="35" t="s">
        <v>1960</v>
      </c>
      <c r="V1160" s="102" t="s">
        <v>293</v>
      </c>
      <c r="W1160" s="478">
        <f>IFERROR(Table6[[#This Row],[Breakdown Time]]*Table6[[#This Row],[Plant Equivalent Weightage]],"")</f>
        <v>3.8461538461538519E-2</v>
      </c>
      <c r="X1160" s="473" t="s">
        <v>290</v>
      </c>
      <c r="Y1160" s="474" t="s">
        <v>94</v>
      </c>
      <c r="Z1160" s="102">
        <v>36826</v>
      </c>
      <c r="AA1160" s="468">
        <f>(Table6[[#This Row],[Paired WTG Generation for loss calculation]]/24)*Table6[[#This Row],[Breakdown Time]]</f>
        <v>1534.4166666666695</v>
      </c>
      <c r="AB1160" s="102"/>
      <c r="AC1160" s="35"/>
      <c r="AD1160" s="35"/>
    </row>
    <row r="1161" spans="1:30">
      <c r="A1161" s="102">
        <f t="shared" si="18"/>
        <v>1160</v>
      </c>
      <c r="B1161" s="468">
        <f>YEAR(Table6[[#This Row],[Date]])+IF(MONTH(Table6[[#This Row],[Date]])&gt;=4,1,0)</f>
        <v>2026</v>
      </c>
      <c r="C1161" s="102">
        <f>YEAR(Table6[[#This Row],[Date]])</f>
        <v>2025</v>
      </c>
      <c r="D1161" s="102" t="s">
        <v>1992</v>
      </c>
      <c r="E1161" s="469">
        <f>Table6[[#This Row],[Date]]-DAY(Table6[[#This Row],[Date]])+1</f>
        <v>45809</v>
      </c>
      <c r="F1161" s="470">
        <v>45820</v>
      </c>
      <c r="G1161" s="35" t="s">
        <v>90</v>
      </c>
      <c r="H1161" s="35" t="str">
        <f>IFERROR(_xlfn.XLOOKUP(Table6[[#This Row],[Affected WTG]],'Basic Data'!$A:$A,'Basic Data'!$B:$B),"")</f>
        <v>TQGXIIPL</v>
      </c>
      <c r="I1161" s="35" t="str">
        <f>IFERROR(_xlfn.XLOOKUP(Table6[[#This Row],[Affected WTG]],'Basic Data'!$A:$A,'Basic Data'!$C:$C),"")</f>
        <v>GEDA</v>
      </c>
      <c r="J1161" s="471">
        <f>IFERROR(_xlfn.XLOOKUP(Table6[[#This Row],[Affected WTG]],'Basic Data'!$A:$A,'Basic Data'!$E:$E),"")</f>
        <v>3.846153846153845E-2</v>
      </c>
      <c r="K1161" s="102">
        <v>3000</v>
      </c>
      <c r="L1161" s="35" t="str">
        <f>IFERROR(_xlfn.XLOOKUP(Table6[[#This Row],[Error Code]],'Basic Data'!$AA:$AA,'Basic Data'!$AB:$AB),"Incorrect Error Code")</f>
        <v>Frequency converter not ready</v>
      </c>
      <c r="M1161" s="35" t="s">
        <v>291</v>
      </c>
      <c r="N1161" s="475"/>
      <c r="O1161" s="476">
        <v>9.375E-2</v>
      </c>
      <c r="P1161" s="476">
        <v>9.375E-2</v>
      </c>
      <c r="Q1161" s="477">
        <v>0.10347222222222222</v>
      </c>
      <c r="R1161" s="472">
        <f>IF(Table6[[#This Row],[Work Start TimeStamp]]="","",(Table6[[#This Row],[Work Start TimeStamp]]-Table6[[#This Row],[Fault Start TimeStamp]])*24)</f>
        <v>0</v>
      </c>
      <c r="S1161" s="472">
        <f>(Table6[[#This Row],[Fault Clearance time]]-Table6[[#This Row],[Work Start TimeStamp]])*24</f>
        <v>0.23333333333333317</v>
      </c>
      <c r="T1161" s="472">
        <f>(Table6[[#This Row],[Fault Clearance time]]-Table6[[#This Row],[Fault Start TimeStamp]])*24</f>
        <v>0.23333333333333317</v>
      </c>
      <c r="U1161" s="35" t="s">
        <v>1961</v>
      </c>
      <c r="V1161" s="102" t="s">
        <v>293</v>
      </c>
      <c r="W1161" s="478">
        <f>IFERROR(Table6[[#This Row],[Breakdown Time]]*Table6[[#This Row],[Plant Equivalent Weightage]],"")</f>
        <v>8.974358974358965E-3</v>
      </c>
      <c r="X1161" s="473" t="s">
        <v>294</v>
      </c>
      <c r="Y1161" s="474" t="s">
        <v>95</v>
      </c>
      <c r="Z1161" s="102">
        <v>38525</v>
      </c>
      <c r="AA1161" s="468">
        <f>(Table6[[#This Row],[Paired WTG Generation for loss calculation]]/24)*Table6[[#This Row],[Breakdown Time]]</f>
        <v>374.54861111111086</v>
      </c>
      <c r="AB1161" s="102"/>
      <c r="AC1161" s="35"/>
      <c r="AD1161" s="35"/>
    </row>
    <row r="1162" spans="1:30">
      <c r="A1162" s="102">
        <f t="shared" si="18"/>
        <v>1161</v>
      </c>
      <c r="B1162" s="468">
        <f>YEAR(Table6[[#This Row],[Date]])+IF(MONTH(Table6[[#This Row],[Date]])&gt;=4,1,0)</f>
        <v>2026</v>
      </c>
      <c r="C1162" s="102">
        <f>YEAR(Table6[[#This Row],[Date]])</f>
        <v>2025</v>
      </c>
      <c r="D1162" s="102" t="s">
        <v>1992</v>
      </c>
      <c r="E1162" s="469">
        <f>Table6[[#This Row],[Date]]-DAY(Table6[[#This Row],[Date]])+1</f>
        <v>45809</v>
      </c>
      <c r="F1162" s="470">
        <v>45820</v>
      </c>
      <c r="G1162" s="35" t="s">
        <v>96</v>
      </c>
      <c r="H1162" s="35" t="str">
        <f>IFERROR(_xlfn.XLOOKUP(Table6[[#This Row],[Affected WTG]],'Basic Data'!$A:$A,'Basic Data'!$B:$B),"")</f>
        <v>TQGXIIPL</v>
      </c>
      <c r="I1162" s="35" t="str">
        <f>IFERROR(_xlfn.XLOOKUP(Table6[[#This Row],[Affected WTG]],'Basic Data'!$A:$A,'Basic Data'!$C:$C),"")</f>
        <v>GEDA</v>
      </c>
      <c r="J1162" s="471">
        <f>IFERROR(_xlfn.XLOOKUP(Table6[[#This Row],[Affected WTG]],'Basic Data'!$A:$A,'Basic Data'!$E:$E),"")</f>
        <v>3.846153846153845E-2</v>
      </c>
      <c r="K1162" s="102">
        <v>72</v>
      </c>
      <c r="L1162" s="35" t="str">
        <f>IFERROR(_xlfn.XLOOKUP(Table6[[#This Row],[Error Code]],'Basic Data'!$AA:$AA,'Basic Data'!$AB:$AB),"Incorrect Error Code")</f>
        <v>Outdoor temperature high</v>
      </c>
      <c r="M1162" s="35" t="s">
        <v>291</v>
      </c>
      <c r="N1162" s="475"/>
      <c r="O1162" s="476">
        <v>0.6791666666666667</v>
      </c>
      <c r="P1162" s="476">
        <v>0.6791666666666667</v>
      </c>
      <c r="Q1162" s="477">
        <v>0.6875</v>
      </c>
      <c r="R1162" s="472">
        <f>IF(Table6[[#This Row],[Work Start TimeStamp]]="","",(Table6[[#This Row],[Work Start TimeStamp]]-Table6[[#This Row],[Fault Start TimeStamp]])*24)</f>
        <v>0</v>
      </c>
      <c r="S1162" s="472">
        <f>(Table6[[#This Row],[Fault Clearance time]]-Table6[[#This Row],[Work Start TimeStamp]])*24</f>
        <v>0.19999999999999929</v>
      </c>
      <c r="T1162" s="472">
        <f>(Table6[[#This Row],[Fault Clearance time]]-Table6[[#This Row],[Fault Start TimeStamp]])*24</f>
        <v>0.19999999999999929</v>
      </c>
      <c r="U1162" s="35" t="s">
        <v>1924</v>
      </c>
      <c r="V1162" s="102" t="s">
        <v>293</v>
      </c>
      <c r="W1162" s="478">
        <f>IFERROR(Table6[[#This Row],[Breakdown Time]]*Table6[[#This Row],[Plant Equivalent Weightage]],"")</f>
        <v>7.6923076923076624E-3</v>
      </c>
      <c r="X1162" s="473" t="s">
        <v>294</v>
      </c>
      <c r="Y1162" s="474" t="s">
        <v>84</v>
      </c>
      <c r="Z1162" s="102">
        <v>35464</v>
      </c>
      <c r="AA1162" s="468">
        <f>(Table6[[#This Row],[Paired WTG Generation for loss calculation]]/24)*Table6[[#This Row],[Breakdown Time]]</f>
        <v>295.53333333333228</v>
      </c>
      <c r="AB1162" s="102"/>
      <c r="AC1162" s="35"/>
      <c r="AD1162" s="35"/>
    </row>
    <row r="1163" spans="1:30">
      <c r="A1163" s="102">
        <f t="shared" si="18"/>
        <v>1162</v>
      </c>
      <c r="B1163" s="468">
        <f>YEAR(Table6[[#This Row],[Date]])+IF(MONTH(Table6[[#This Row],[Date]])&gt;=4,1,0)</f>
        <v>2026</v>
      </c>
      <c r="C1163" s="102">
        <f>YEAR(Table6[[#This Row],[Date]])</f>
        <v>2025</v>
      </c>
      <c r="D1163" s="102" t="s">
        <v>1992</v>
      </c>
      <c r="E1163" s="469">
        <f>Table6[[#This Row],[Date]]-DAY(Table6[[#This Row],[Date]])+1</f>
        <v>45809</v>
      </c>
      <c r="F1163" s="470">
        <v>45820</v>
      </c>
      <c r="G1163" s="35" t="s">
        <v>92</v>
      </c>
      <c r="H1163" s="35" t="str">
        <f>IFERROR(_xlfn.XLOOKUP(Table6[[#This Row],[Affected WTG]],'Basic Data'!$A:$A,'Basic Data'!$B:$B),"")</f>
        <v>TQGXIIPL</v>
      </c>
      <c r="I1163" s="35" t="str">
        <f>IFERROR(_xlfn.XLOOKUP(Table6[[#This Row],[Affected WTG]],'Basic Data'!$A:$A,'Basic Data'!$C:$C),"")</f>
        <v>GEDA</v>
      </c>
      <c r="J1163" s="471">
        <f>IFERROR(_xlfn.XLOOKUP(Table6[[#This Row],[Affected WTG]],'Basic Data'!$A:$A,'Basic Data'!$E:$E),"")</f>
        <v>3.846153846153845E-2</v>
      </c>
      <c r="K1163" s="102">
        <v>6601</v>
      </c>
      <c r="L1163" s="35" t="str">
        <f>IFERROR(_xlfn.XLOOKUP(Table6[[#This Row],[Error Code]],'Basic Data'!$AA:$AA,'Basic Data'!$AB:$AB),"Incorrect Error Code")</f>
        <v>Wind.dir. diff. level 1</v>
      </c>
      <c r="M1163" s="35" t="s">
        <v>291</v>
      </c>
      <c r="N1163" s="475"/>
      <c r="O1163" s="476">
        <v>0.75069444444444444</v>
      </c>
      <c r="P1163" s="476">
        <v>0.75069444444444444</v>
      </c>
      <c r="Q1163" s="477">
        <v>0.75277777777777777</v>
      </c>
      <c r="R1163" s="472">
        <f>IF(Table6[[#This Row],[Work Start TimeStamp]]="","",(Table6[[#This Row],[Work Start TimeStamp]]-Table6[[#This Row],[Fault Start TimeStamp]])*24)</f>
        <v>0</v>
      </c>
      <c r="S1163" s="472">
        <f>(Table6[[#This Row],[Fault Clearance time]]-Table6[[#This Row],[Work Start TimeStamp]])*24</f>
        <v>4.9999999999999822E-2</v>
      </c>
      <c r="T1163" s="472">
        <f>(Table6[[#This Row],[Fault Clearance time]]-Table6[[#This Row],[Fault Start TimeStamp]])*24</f>
        <v>4.9999999999999822E-2</v>
      </c>
      <c r="U1163" s="35" t="s">
        <v>1924</v>
      </c>
      <c r="V1163" s="102" t="s">
        <v>293</v>
      </c>
      <c r="W1163" s="478">
        <f>IFERROR(Table6[[#This Row],[Breakdown Time]]*Table6[[#This Row],[Plant Equivalent Weightage]],"")</f>
        <v>1.9230769230769156E-3</v>
      </c>
      <c r="X1163" s="473" t="s">
        <v>294</v>
      </c>
      <c r="Y1163" s="474" t="s">
        <v>79</v>
      </c>
      <c r="Z1163" s="102">
        <v>38942</v>
      </c>
      <c r="AA1163" s="468">
        <f>(Table6[[#This Row],[Paired WTG Generation for loss calculation]]/24)*Table6[[#This Row],[Breakdown Time]]</f>
        <v>81.129166666666379</v>
      </c>
      <c r="AB1163" s="102"/>
      <c r="AC1163" s="35"/>
      <c r="AD1163" s="35"/>
    </row>
    <row r="1164" spans="1:30">
      <c r="A1164" s="102">
        <f t="shared" si="18"/>
        <v>1163</v>
      </c>
      <c r="B1164" s="468">
        <f>YEAR(Table6[[#This Row],[Date]])+IF(MONTH(Table6[[#This Row],[Date]])&gt;=4,1,0)</f>
        <v>2026</v>
      </c>
      <c r="C1164" s="102">
        <f>YEAR(Table6[[#This Row],[Date]])</f>
        <v>2025</v>
      </c>
      <c r="D1164" s="102" t="s">
        <v>1992</v>
      </c>
      <c r="E1164" s="469">
        <f>Table6[[#This Row],[Date]]-DAY(Table6[[#This Row],[Date]])+1</f>
        <v>45809</v>
      </c>
      <c r="F1164" s="470">
        <v>45821</v>
      </c>
      <c r="G1164" s="35" t="s">
        <v>74</v>
      </c>
      <c r="H1164" s="35" t="str">
        <f>IFERROR(_xlfn.XLOOKUP(Table6[[#This Row],[Affected WTG]],'Basic Data'!$A:$A,'Basic Data'!$B:$B),"")</f>
        <v>TQGXIIPL</v>
      </c>
      <c r="I1164" s="35" t="str">
        <f>IFERROR(_xlfn.XLOOKUP(Table6[[#This Row],[Affected WTG]],'Basic Data'!$A:$A,'Basic Data'!$C:$C),"")</f>
        <v>GEDA</v>
      </c>
      <c r="J1164" s="471">
        <f>IFERROR(_xlfn.XLOOKUP(Table6[[#This Row],[Affected WTG]],'Basic Data'!$A:$A,'Basic Data'!$E:$E),"")</f>
        <v>3.846153846153845E-2</v>
      </c>
      <c r="K1164" s="102">
        <v>6130</v>
      </c>
      <c r="L1164" s="35" t="str">
        <f>IFERROR(_xlfn.XLOOKUP(Table6[[#This Row],[Error Code]],'Basic Data'!$AA:$AA,'Basic Data'!$AB:$AB),"Incorrect Error Code")</f>
        <v>Yaw speed high</v>
      </c>
      <c r="M1164" s="35" t="s">
        <v>292</v>
      </c>
      <c r="N1164" s="475"/>
      <c r="O1164" s="476">
        <v>0.52708333333333335</v>
      </c>
      <c r="P1164" s="476">
        <v>0.52708333333333335</v>
      </c>
      <c r="Q1164" s="477">
        <v>0.53125</v>
      </c>
      <c r="R1164" s="472">
        <f>IF(Table6[[#This Row],[Work Start TimeStamp]]="","",(Table6[[#This Row],[Work Start TimeStamp]]-Table6[[#This Row],[Fault Start TimeStamp]])*24)</f>
        <v>0</v>
      </c>
      <c r="S1164" s="472">
        <f>(Table6[[#This Row],[Fault Clearance time]]-Table6[[#This Row],[Work Start TimeStamp]])*24</f>
        <v>9.9999999999999645E-2</v>
      </c>
      <c r="T1164" s="472">
        <f>(Table6[[#This Row],[Fault Clearance time]]-Table6[[#This Row],[Fault Start TimeStamp]])*24</f>
        <v>9.9999999999999645E-2</v>
      </c>
      <c r="U1164" s="35" t="s">
        <v>336</v>
      </c>
      <c r="V1164" s="102" t="s">
        <v>293</v>
      </c>
      <c r="W1164" s="478">
        <f>IFERROR(Table6[[#This Row],[Breakdown Time]]*Table6[[#This Row],[Plant Equivalent Weightage]],"")</f>
        <v>3.8461538461538312E-3</v>
      </c>
      <c r="X1164" s="473" t="s">
        <v>294</v>
      </c>
      <c r="Y1164" s="474" t="s">
        <v>99</v>
      </c>
      <c r="Z1164" s="102">
        <v>35207</v>
      </c>
      <c r="AA1164" s="468">
        <f>(Table6[[#This Row],[Paired WTG Generation for loss calculation]]/24)*Table6[[#This Row],[Breakdown Time]]</f>
        <v>146.69583333333281</v>
      </c>
      <c r="AB1164" s="102"/>
      <c r="AC1164" s="35"/>
      <c r="AD1164" s="35"/>
    </row>
    <row r="1165" spans="1:30">
      <c r="A1165" s="102">
        <f t="shared" si="18"/>
        <v>1164</v>
      </c>
      <c r="B1165" s="468">
        <f>YEAR(Table6[[#This Row],[Date]])+IF(MONTH(Table6[[#This Row],[Date]])&gt;=4,1,0)</f>
        <v>2026</v>
      </c>
      <c r="C1165" s="102">
        <f>YEAR(Table6[[#This Row],[Date]])</f>
        <v>2025</v>
      </c>
      <c r="D1165" s="102" t="s">
        <v>1992</v>
      </c>
      <c r="E1165" s="469">
        <f>Table6[[#This Row],[Date]]-DAY(Table6[[#This Row],[Date]])+1</f>
        <v>45809</v>
      </c>
      <c r="F1165" s="470">
        <v>45821</v>
      </c>
      <c r="G1165" s="35" t="s">
        <v>74</v>
      </c>
      <c r="H1165" s="35" t="str">
        <f>IFERROR(_xlfn.XLOOKUP(Table6[[#This Row],[Affected WTG]],'Basic Data'!$A:$A,'Basic Data'!$B:$B),"")</f>
        <v>TQGXIIPL</v>
      </c>
      <c r="I1165" s="35" t="str">
        <f>IFERROR(_xlfn.XLOOKUP(Table6[[#This Row],[Affected WTG]],'Basic Data'!$A:$A,'Basic Data'!$C:$C),"")</f>
        <v>GEDA</v>
      </c>
      <c r="J1165" s="471">
        <f>IFERROR(_xlfn.XLOOKUP(Table6[[#This Row],[Affected WTG]],'Basic Data'!$A:$A,'Basic Data'!$E:$E),"")</f>
        <v>3.846153846153845E-2</v>
      </c>
      <c r="K1165" s="102">
        <v>650</v>
      </c>
      <c r="L1165" s="35" t="str">
        <f>IFERROR(_xlfn.XLOOKUP(Table6[[#This Row],[Error Code]],'Basic Data'!$AA:$AA,'Basic Data'!$AB:$AB),"Incorrect Error Code")</f>
        <v>Pitch controller communication error</v>
      </c>
      <c r="M1165" s="35" t="s">
        <v>291</v>
      </c>
      <c r="N1165" s="475"/>
      <c r="O1165" s="476">
        <v>0.53194444444444444</v>
      </c>
      <c r="P1165" s="476">
        <v>0.53194444444444444</v>
      </c>
      <c r="Q1165" s="477">
        <v>0.53402777777777777</v>
      </c>
      <c r="R1165" s="472">
        <f>IF(Table6[[#This Row],[Work Start TimeStamp]]="","",(Table6[[#This Row],[Work Start TimeStamp]]-Table6[[#This Row],[Fault Start TimeStamp]])*24)</f>
        <v>0</v>
      </c>
      <c r="S1165" s="472">
        <f>(Table6[[#This Row],[Fault Clearance time]]-Table6[[#This Row],[Work Start TimeStamp]])*24</f>
        <v>4.9999999999999822E-2</v>
      </c>
      <c r="T1165" s="472">
        <f>(Table6[[#This Row],[Fault Clearance time]]-Table6[[#This Row],[Fault Start TimeStamp]])*24</f>
        <v>4.9999999999999822E-2</v>
      </c>
      <c r="U1165" s="35" t="s">
        <v>1924</v>
      </c>
      <c r="V1165" s="102" t="s">
        <v>293</v>
      </c>
      <c r="W1165" s="478">
        <f>IFERROR(Table6[[#This Row],[Breakdown Time]]*Table6[[#This Row],[Plant Equivalent Weightage]],"")</f>
        <v>1.9230769230769156E-3</v>
      </c>
      <c r="X1165" s="473" t="s">
        <v>294</v>
      </c>
      <c r="Y1165" s="474" t="s">
        <v>99</v>
      </c>
      <c r="Z1165" s="102">
        <v>35207</v>
      </c>
      <c r="AA1165" s="468">
        <f>(Table6[[#This Row],[Paired WTG Generation for loss calculation]]/24)*Table6[[#This Row],[Breakdown Time]]</f>
        <v>73.347916666666407</v>
      </c>
      <c r="AB1165" s="102"/>
      <c r="AC1165" s="35"/>
      <c r="AD1165" s="35"/>
    </row>
    <row r="1166" spans="1:30">
      <c r="A1166" s="102">
        <f t="shared" ref="A1166:A1230" si="19">A1165+1</f>
        <v>1165</v>
      </c>
      <c r="B1166" s="468">
        <f>YEAR(Table6[[#This Row],[Date]])+IF(MONTH(Table6[[#This Row],[Date]])&gt;=4,1,0)</f>
        <v>2026</v>
      </c>
      <c r="C1166" s="102">
        <f>YEAR(Table6[[#This Row],[Date]])</f>
        <v>2025</v>
      </c>
      <c r="D1166" s="102" t="s">
        <v>1992</v>
      </c>
      <c r="E1166" s="469">
        <f>Table6[[#This Row],[Date]]-DAY(Table6[[#This Row],[Date]])+1</f>
        <v>45809</v>
      </c>
      <c r="F1166" s="470">
        <v>45821</v>
      </c>
      <c r="G1166" s="35" t="s">
        <v>76</v>
      </c>
      <c r="H1166" s="35" t="str">
        <f>IFERROR(_xlfn.XLOOKUP(Table6[[#This Row],[Affected WTG]],'Basic Data'!$A:$A,'Basic Data'!$B:$B),"")</f>
        <v>TQGXIIPL</v>
      </c>
      <c r="I1166" s="35" t="str">
        <f>IFERROR(_xlfn.XLOOKUP(Table6[[#This Row],[Affected WTG]],'Basic Data'!$A:$A,'Basic Data'!$C:$C),"")</f>
        <v>GEDA</v>
      </c>
      <c r="J1166" s="471">
        <f>IFERROR(_xlfn.XLOOKUP(Table6[[#This Row],[Affected WTG]],'Basic Data'!$A:$A,'Basic Data'!$E:$E),"")</f>
        <v>3.846153846153845E-2</v>
      </c>
      <c r="K1166" s="102">
        <v>4970</v>
      </c>
      <c r="L1166" s="35" t="str">
        <f>IFERROR(_xlfn.XLOOKUP(Table6[[#This Row],[Error Code]],'Basic Data'!$AA:$AA,'Basic Data'!$AB:$AB),"Incorrect Error Code")</f>
        <v>Tower oscillation XF</v>
      </c>
      <c r="M1166" s="35" t="s">
        <v>291</v>
      </c>
      <c r="N1166" s="475"/>
      <c r="O1166" s="476">
        <v>0.52569444444444446</v>
      </c>
      <c r="P1166" s="476">
        <v>0.52569444444444446</v>
      </c>
      <c r="Q1166" s="477">
        <v>0.53263888888888888</v>
      </c>
      <c r="R1166" s="472">
        <f>IF(Table6[[#This Row],[Work Start TimeStamp]]="","",(Table6[[#This Row],[Work Start TimeStamp]]-Table6[[#This Row],[Fault Start TimeStamp]])*24)</f>
        <v>0</v>
      </c>
      <c r="S1166" s="472">
        <f>(Table6[[#This Row],[Fault Clearance time]]-Table6[[#This Row],[Work Start TimeStamp]])*24</f>
        <v>0.16666666666666607</v>
      </c>
      <c r="T1166" s="472">
        <f>(Table6[[#This Row],[Fault Clearance time]]-Table6[[#This Row],[Fault Start TimeStamp]])*24</f>
        <v>0.16666666666666607</v>
      </c>
      <c r="U1166" s="35" t="s">
        <v>1924</v>
      </c>
      <c r="V1166" s="102" t="s">
        <v>293</v>
      </c>
      <c r="W1166" s="478">
        <f>IFERROR(Table6[[#This Row],[Breakdown Time]]*Table6[[#This Row],[Plant Equivalent Weightage]],"")</f>
        <v>6.4102564102563857E-3</v>
      </c>
      <c r="X1166" s="473" t="s">
        <v>294</v>
      </c>
      <c r="Y1166" s="474" t="s">
        <v>82</v>
      </c>
      <c r="Z1166" s="102">
        <v>33994</v>
      </c>
      <c r="AA1166" s="468">
        <f>(Table6[[#This Row],[Paired WTG Generation for loss calculation]]/24)*Table6[[#This Row],[Breakdown Time]]</f>
        <v>236.0694444444436</v>
      </c>
      <c r="AB1166" s="102"/>
      <c r="AC1166" s="35"/>
      <c r="AD1166" s="35"/>
    </row>
    <row r="1167" spans="1:30">
      <c r="A1167" s="102">
        <f t="shared" si="19"/>
        <v>1166</v>
      </c>
      <c r="B1167" s="468">
        <f>YEAR(Table6[[#This Row],[Date]])+IF(MONTH(Table6[[#This Row],[Date]])&gt;=4,1,0)</f>
        <v>2026</v>
      </c>
      <c r="C1167" s="102">
        <f>YEAR(Table6[[#This Row],[Date]])</f>
        <v>2025</v>
      </c>
      <c r="D1167" s="102" t="s">
        <v>1992</v>
      </c>
      <c r="E1167" s="469">
        <f>Table6[[#This Row],[Date]]-DAY(Table6[[#This Row],[Date]])+1</f>
        <v>45809</v>
      </c>
      <c r="F1167" s="470">
        <v>45821</v>
      </c>
      <c r="G1167" s="35" t="s">
        <v>76</v>
      </c>
      <c r="H1167" s="35" t="str">
        <f>IFERROR(_xlfn.XLOOKUP(Table6[[#This Row],[Affected WTG]],'Basic Data'!$A:$A,'Basic Data'!$B:$B),"")</f>
        <v>TQGXIIPL</v>
      </c>
      <c r="I1167" s="35" t="str">
        <f>IFERROR(_xlfn.XLOOKUP(Table6[[#This Row],[Affected WTG]],'Basic Data'!$A:$A,'Basic Data'!$C:$C),"")</f>
        <v>GEDA</v>
      </c>
      <c r="J1167" s="471">
        <f>IFERROR(_xlfn.XLOOKUP(Table6[[#This Row],[Affected WTG]],'Basic Data'!$A:$A,'Basic Data'!$E:$E),"")</f>
        <v>3.846153846153845E-2</v>
      </c>
      <c r="K1167" s="102">
        <v>55</v>
      </c>
      <c r="L1167" s="35" t="str">
        <f>IFERROR(_xlfn.XLOOKUP(Table6[[#This Row],[Error Code]],'Basic Data'!$AA:$AA,'Basic Data'!$AB:$AB),"Incorrect Error Code")</f>
        <v>WTG shut down</v>
      </c>
      <c r="M1167" s="35" t="s">
        <v>291</v>
      </c>
      <c r="N1167" s="475"/>
      <c r="O1167" s="476">
        <v>0.64583333333333337</v>
      </c>
      <c r="P1167" s="476">
        <v>0.64583333333333337</v>
      </c>
      <c r="Q1167" s="477">
        <v>0.80833333333333335</v>
      </c>
      <c r="R1167" s="472">
        <f>IF(Table6[[#This Row],[Work Start TimeStamp]]="","",(Table6[[#This Row],[Work Start TimeStamp]]-Table6[[#This Row],[Fault Start TimeStamp]])*24)</f>
        <v>0</v>
      </c>
      <c r="S1167" s="472">
        <f>(Table6[[#This Row],[Fault Clearance time]]-Table6[[#This Row],[Work Start TimeStamp]])*24</f>
        <v>3.8999999999999995</v>
      </c>
      <c r="T1167" s="472">
        <f>(Table6[[#This Row],[Fault Clearance time]]-Table6[[#This Row],[Fault Start TimeStamp]])*24</f>
        <v>3.8999999999999995</v>
      </c>
      <c r="U1167" s="35" t="s">
        <v>1962</v>
      </c>
      <c r="V1167" s="102" t="s">
        <v>293</v>
      </c>
      <c r="W1167" s="478">
        <f>IFERROR(Table6[[#This Row],[Breakdown Time]]*Table6[[#This Row],[Plant Equivalent Weightage]],"")</f>
        <v>0.14999999999999994</v>
      </c>
      <c r="X1167" s="473" t="s">
        <v>290</v>
      </c>
      <c r="Y1167" s="474" t="s">
        <v>82</v>
      </c>
      <c r="Z1167" s="102">
        <v>33994</v>
      </c>
      <c r="AA1167" s="468">
        <f>(Table6[[#This Row],[Paired WTG Generation for loss calculation]]/24)*Table6[[#This Row],[Breakdown Time]]</f>
        <v>5524.0249999999996</v>
      </c>
      <c r="AB1167" s="102"/>
      <c r="AC1167" s="35"/>
      <c r="AD1167" s="35"/>
    </row>
    <row r="1168" spans="1:30">
      <c r="A1168" s="102">
        <f t="shared" si="19"/>
        <v>1167</v>
      </c>
      <c r="B1168" s="468">
        <f>YEAR(Table6[[#This Row],[Date]])+IF(MONTH(Table6[[#This Row],[Date]])&gt;=4,1,0)</f>
        <v>2026</v>
      </c>
      <c r="C1168" s="102">
        <f>YEAR(Table6[[#This Row],[Date]])</f>
        <v>2025</v>
      </c>
      <c r="D1168" s="102" t="s">
        <v>1992</v>
      </c>
      <c r="E1168" s="469">
        <f>Table6[[#This Row],[Date]]-DAY(Table6[[#This Row],[Date]])+1</f>
        <v>45809</v>
      </c>
      <c r="F1168" s="470">
        <v>45821</v>
      </c>
      <c r="G1168" s="35" t="s">
        <v>77</v>
      </c>
      <c r="H1168" s="35" t="str">
        <f>IFERROR(_xlfn.XLOOKUP(Table6[[#This Row],[Affected WTG]],'Basic Data'!$A:$A,'Basic Data'!$B:$B),"")</f>
        <v>TQGXIIPL</v>
      </c>
      <c r="I1168" s="35" t="str">
        <f>IFERROR(_xlfn.XLOOKUP(Table6[[#This Row],[Affected WTG]],'Basic Data'!$A:$A,'Basic Data'!$C:$C),"")</f>
        <v>GEDA</v>
      </c>
      <c r="J1168" s="471">
        <f>IFERROR(_xlfn.XLOOKUP(Table6[[#This Row],[Affected WTG]],'Basic Data'!$A:$A,'Basic Data'!$E:$E),"")</f>
        <v>3.846153846153845E-2</v>
      </c>
      <c r="K1168" s="102">
        <v>6130</v>
      </c>
      <c r="L1168" s="35" t="str">
        <f>IFERROR(_xlfn.XLOOKUP(Table6[[#This Row],[Error Code]],'Basic Data'!$AA:$AA,'Basic Data'!$AB:$AB),"Incorrect Error Code")</f>
        <v>Yaw speed high</v>
      </c>
      <c r="M1168" s="35" t="s">
        <v>292</v>
      </c>
      <c r="N1168" s="475"/>
      <c r="O1168" s="476">
        <v>0.49027777777777776</v>
      </c>
      <c r="P1168" s="476">
        <v>0.49027777777777776</v>
      </c>
      <c r="Q1168" s="477">
        <v>0.49444444444444446</v>
      </c>
      <c r="R1168" s="472">
        <f>IF(Table6[[#This Row],[Work Start TimeStamp]]="","",(Table6[[#This Row],[Work Start TimeStamp]]-Table6[[#This Row],[Fault Start TimeStamp]])*24)</f>
        <v>0</v>
      </c>
      <c r="S1168" s="472">
        <f>(Table6[[#This Row],[Fault Clearance time]]-Table6[[#This Row],[Work Start TimeStamp]])*24</f>
        <v>0.10000000000000098</v>
      </c>
      <c r="T1168" s="472">
        <f>(Table6[[#This Row],[Fault Clearance time]]-Table6[[#This Row],[Fault Start TimeStamp]])*24</f>
        <v>0.10000000000000098</v>
      </c>
      <c r="U1168" s="35" t="s">
        <v>336</v>
      </c>
      <c r="V1168" s="102" t="s">
        <v>293</v>
      </c>
      <c r="W1168" s="478">
        <f>IFERROR(Table6[[#This Row],[Breakdown Time]]*Table6[[#This Row],[Plant Equivalent Weightage]],"")</f>
        <v>3.8461538461538824E-3</v>
      </c>
      <c r="X1168" s="473" t="s">
        <v>294</v>
      </c>
      <c r="Y1168" s="474" t="s">
        <v>80</v>
      </c>
      <c r="Z1168" s="102">
        <v>36104</v>
      </c>
      <c r="AA1168" s="468">
        <f>(Table6[[#This Row],[Paired WTG Generation for loss calculation]]/24)*Table6[[#This Row],[Breakdown Time]]</f>
        <v>150.43333333333479</v>
      </c>
      <c r="AB1168" s="102"/>
      <c r="AC1168" s="35"/>
      <c r="AD1168" s="35"/>
    </row>
    <row r="1169" spans="1:30">
      <c r="A1169" s="102">
        <f t="shared" si="19"/>
        <v>1168</v>
      </c>
      <c r="B1169" s="468">
        <f>YEAR(Table6[[#This Row],[Date]])+IF(MONTH(Table6[[#This Row],[Date]])&gt;=4,1,0)</f>
        <v>2026</v>
      </c>
      <c r="C1169" s="102">
        <f>YEAR(Table6[[#This Row],[Date]])</f>
        <v>2025</v>
      </c>
      <c r="D1169" s="102" t="s">
        <v>1992</v>
      </c>
      <c r="E1169" s="469">
        <f>Table6[[#This Row],[Date]]-DAY(Table6[[#This Row],[Date]])+1</f>
        <v>45809</v>
      </c>
      <c r="F1169" s="470">
        <v>45821</v>
      </c>
      <c r="G1169" s="35" t="s">
        <v>81</v>
      </c>
      <c r="H1169" s="35" t="str">
        <f>IFERROR(_xlfn.XLOOKUP(Table6[[#This Row],[Affected WTG]],'Basic Data'!$A:$A,'Basic Data'!$B:$B),"")</f>
        <v>TQGXIIPL</v>
      </c>
      <c r="I1169" s="35" t="str">
        <f>IFERROR(_xlfn.XLOOKUP(Table6[[#This Row],[Affected WTG]],'Basic Data'!$A:$A,'Basic Data'!$C:$C),"")</f>
        <v>GEDA</v>
      </c>
      <c r="J1169" s="471">
        <f>IFERROR(_xlfn.XLOOKUP(Table6[[#This Row],[Affected WTG]],'Basic Data'!$A:$A,'Basic Data'!$E:$E),"")</f>
        <v>3.846153846153845E-2</v>
      </c>
      <c r="K1169" s="102">
        <v>6605</v>
      </c>
      <c r="L1169" s="35" t="str">
        <f>IFERROR(_xlfn.XLOOKUP(Table6[[#This Row],[Error Code]],'Basic Data'!$AA:$AA,'Basic Data'!$AB:$AB),"Incorrect Error Code")</f>
        <v>Wind.dir. diff. level 2</v>
      </c>
      <c r="M1169" s="35" t="s">
        <v>291</v>
      </c>
      <c r="N1169" s="475"/>
      <c r="O1169" s="476">
        <v>0.50624999999999998</v>
      </c>
      <c r="P1169" s="476">
        <v>0.50624999999999998</v>
      </c>
      <c r="Q1169" s="477">
        <v>0.50763888888888886</v>
      </c>
      <c r="R1169" s="472">
        <f>IF(Table6[[#This Row],[Work Start TimeStamp]]="","",(Table6[[#This Row],[Work Start TimeStamp]]-Table6[[#This Row],[Fault Start TimeStamp]])*24)</f>
        <v>0</v>
      </c>
      <c r="S1169" s="472">
        <f>(Table6[[#This Row],[Fault Clearance time]]-Table6[[#This Row],[Work Start TimeStamp]])*24</f>
        <v>3.3333333333333215E-2</v>
      </c>
      <c r="T1169" s="472">
        <f>(Table6[[#This Row],[Fault Clearance time]]-Table6[[#This Row],[Fault Start TimeStamp]])*24</f>
        <v>3.3333333333333215E-2</v>
      </c>
      <c r="U1169" s="35" t="s">
        <v>1924</v>
      </c>
      <c r="V1169" s="102" t="s">
        <v>293</v>
      </c>
      <c r="W1169" s="478">
        <f>IFERROR(Table6[[#This Row],[Breakdown Time]]*Table6[[#This Row],[Plant Equivalent Weightage]],"")</f>
        <v>1.2820512820512771E-3</v>
      </c>
      <c r="X1169" s="473" t="s">
        <v>294</v>
      </c>
      <c r="Y1169" s="474" t="s">
        <v>99</v>
      </c>
      <c r="Z1169" s="102">
        <v>35207</v>
      </c>
      <c r="AA1169" s="468">
        <f>(Table6[[#This Row],[Paired WTG Generation for loss calculation]]/24)*Table6[[#This Row],[Breakdown Time]]</f>
        <v>48.898611111110938</v>
      </c>
      <c r="AB1169" s="102"/>
      <c r="AC1169" s="35"/>
      <c r="AD1169" s="35"/>
    </row>
    <row r="1170" spans="1:30">
      <c r="A1170" s="102">
        <f t="shared" si="19"/>
        <v>1169</v>
      </c>
      <c r="B1170" s="468">
        <f>YEAR(Table6[[#This Row],[Date]])+IF(MONTH(Table6[[#This Row],[Date]])&gt;=4,1,0)</f>
        <v>2026</v>
      </c>
      <c r="C1170" s="102">
        <f>YEAR(Table6[[#This Row],[Date]])</f>
        <v>2025</v>
      </c>
      <c r="D1170" s="102" t="s">
        <v>1992</v>
      </c>
      <c r="E1170" s="469">
        <f>Table6[[#This Row],[Date]]-DAY(Table6[[#This Row],[Date]])+1</f>
        <v>45809</v>
      </c>
      <c r="F1170" s="470">
        <v>45821</v>
      </c>
      <c r="G1170" s="35" t="s">
        <v>84</v>
      </c>
      <c r="H1170" s="35" t="str">
        <f>IFERROR(_xlfn.XLOOKUP(Table6[[#This Row],[Affected WTG]],'Basic Data'!$A:$A,'Basic Data'!$B:$B),"")</f>
        <v>TQGXIIPL</v>
      </c>
      <c r="I1170" s="35" t="str">
        <f>IFERROR(_xlfn.XLOOKUP(Table6[[#This Row],[Affected WTG]],'Basic Data'!$A:$A,'Basic Data'!$C:$C),"")</f>
        <v>GEDA</v>
      </c>
      <c r="J1170" s="471">
        <f>IFERROR(_xlfn.XLOOKUP(Table6[[#This Row],[Affected WTG]],'Basic Data'!$A:$A,'Basic Data'!$E:$E),"")</f>
        <v>3.846153846153845E-2</v>
      </c>
      <c r="K1170" s="102">
        <v>6130</v>
      </c>
      <c r="L1170" s="35" t="str">
        <f>IFERROR(_xlfn.XLOOKUP(Table6[[#This Row],[Error Code]],'Basic Data'!$AA:$AA,'Basic Data'!$AB:$AB),"Incorrect Error Code")</f>
        <v>Yaw speed high</v>
      </c>
      <c r="M1170" s="35" t="s">
        <v>291</v>
      </c>
      <c r="N1170" s="475"/>
      <c r="O1170" s="476">
        <v>0.63541666666666663</v>
      </c>
      <c r="P1170" s="476">
        <v>0.63541666666666663</v>
      </c>
      <c r="Q1170" s="477">
        <v>0.64027777777777772</v>
      </c>
      <c r="R1170" s="472">
        <f>IF(Table6[[#This Row],[Work Start TimeStamp]]="","",(Table6[[#This Row],[Work Start TimeStamp]]-Table6[[#This Row],[Fault Start TimeStamp]])*24)</f>
        <v>0</v>
      </c>
      <c r="S1170" s="472">
        <f>(Table6[[#This Row],[Fault Clearance time]]-Table6[[#This Row],[Work Start TimeStamp]])*24</f>
        <v>0.11666666666666625</v>
      </c>
      <c r="T1170" s="472">
        <f>(Table6[[#This Row],[Fault Clearance time]]-Table6[[#This Row],[Fault Start TimeStamp]])*24</f>
        <v>0.11666666666666625</v>
      </c>
      <c r="U1170" s="35" t="s">
        <v>1935</v>
      </c>
      <c r="V1170" s="102" t="s">
        <v>293</v>
      </c>
      <c r="W1170" s="478">
        <f>IFERROR(Table6[[#This Row],[Breakdown Time]]*Table6[[#This Row],[Plant Equivalent Weightage]],"")</f>
        <v>4.4871794871794695E-3</v>
      </c>
      <c r="X1170" s="473" t="s">
        <v>294</v>
      </c>
      <c r="Y1170" s="474" t="s">
        <v>85</v>
      </c>
      <c r="Z1170" s="102">
        <v>34595</v>
      </c>
      <c r="AA1170" s="468">
        <f>(Table6[[#This Row],[Paired WTG Generation for loss calculation]]/24)*Table6[[#This Row],[Breakdown Time]]</f>
        <v>168.17013888888829</v>
      </c>
      <c r="AB1170" s="102"/>
      <c r="AC1170" s="35"/>
      <c r="AD1170" s="35"/>
    </row>
    <row r="1171" spans="1:30">
      <c r="A1171" s="102">
        <f t="shared" si="19"/>
        <v>1170</v>
      </c>
      <c r="B1171" s="468">
        <f>YEAR(Table6[[#This Row],[Date]])+IF(MONTH(Table6[[#This Row],[Date]])&gt;=4,1,0)</f>
        <v>2026</v>
      </c>
      <c r="C1171" s="102">
        <f>YEAR(Table6[[#This Row],[Date]])</f>
        <v>2025</v>
      </c>
      <c r="D1171" s="102" t="s">
        <v>1992</v>
      </c>
      <c r="E1171" s="469">
        <f>Table6[[#This Row],[Date]]-DAY(Table6[[#This Row],[Date]])+1</f>
        <v>45809</v>
      </c>
      <c r="F1171" s="470">
        <v>45821</v>
      </c>
      <c r="G1171" s="35" t="s">
        <v>90</v>
      </c>
      <c r="H1171" s="35" t="str">
        <f>IFERROR(_xlfn.XLOOKUP(Table6[[#This Row],[Affected WTG]],'Basic Data'!$A:$A,'Basic Data'!$B:$B),"")</f>
        <v>TQGXIIPL</v>
      </c>
      <c r="I1171" s="35" t="str">
        <f>IFERROR(_xlfn.XLOOKUP(Table6[[#This Row],[Affected WTG]],'Basic Data'!$A:$A,'Basic Data'!$C:$C),"")</f>
        <v>GEDA</v>
      </c>
      <c r="J1171" s="471">
        <f>IFERROR(_xlfn.XLOOKUP(Table6[[#This Row],[Affected WTG]],'Basic Data'!$A:$A,'Basic Data'!$E:$E),"")</f>
        <v>3.846153846153845E-2</v>
      </c>
      <c r="K1171" s="102">
        <v>3000</v>
      </c>
      <c r="L1171" s="35" t="str">
        <f>IFERROR(_xlfn.XLOOKUP(Table6[[#This Row],[Error Code]],'Basic Data'!$AA:$AA,'Basic Data'!$AB:$AB),"Incorrect Error Code")</f>
        <v>Frequency converter not ready</v>
      </c>
      <c r="M1171" s="35" t="s">
        <v>291</v>
      </c>
      <c r="N1171" s="475"/>
      <c r="O1171" s="476">
        <v>9.166666666666666E-2</v>
      </c>
      <c r="P1171" s="476">
        <v>9.166666666666666E-2</v>
      </c>
      <c r="Q1171" s="477">
        <v>0.10208333333333333</v>
      </c>
      <c r="R1171" s="472">
        <f>IF(Table6[[#This Row],[Work Start TimeStamp]]="","",(Table6[[#This Row],[Work Start TimeStamp]]-Table6[[#This Row],[Fault Start TimeStamp]])*24)</f>
        <v>0</v>
      </c>
      <c r="S1171" s="472">
        <f>(Table6[[#This Row],[Fault Clearance time]]-Table6[[#This Row],[Work Start TimeStamp]])*24</f>
        <v>0.25000000000000011</v>
      </c>
      <c r="T1171" s="472">
        <f>(Table6[[#This Row],[Fault Clearance time]]-Table6[[#This Row],[Fault Start TimeStamp]])*24</f>
        <v>0.25000000000000011</v>
      </c>
      <c r="U1171" s="35" t="s">
        <v>1935</v>
      </c>
      <c r="V1171" s="102" t="s">
        <v>293</v>
      </c>
      <c r="W1171" s="478">
        <f>IFERROR(Table6[[#This Row],[Breakdown Time]]*Table6[[#This Row],[Plant Equivalent Weightage]],"")</f>
        <v>9.6153846153846159E-3</v>
      </c>
      <c r="X1171" s="473" t="s">
        <v>294</v>
      </c>
      <c r="Y1171" s="474" t="s">
        <v>95</v>
      </c>
      <c r="Z1171" s="102">
        <v>38130</v>
      </c>
      <c r="AA1171" s="468">
        <f>(Table6[[#This Row],[Paired WTG Generation for loss calculation]]/24)*Table6[[#This Row],[Breakdown Time]]</f>
        <v>397.18750000000017</v>
      </c>
      <c r="AB1171" s="102"/>
      <c r="AC1171" s="35"/>
      <c r="AD1171" s="35"/>
    </row>
    <row r="1172" spans="1:30">
      <c r="A1172" s="102">
        <f t="shared" si="19"/>
        <v>1171</v>
      </c>
      <c r="B1172" s="468">
        <f>YEAR(Table6[[#This Row],[Date]])+IF(MONTH(Table6[[#This Row],[Date]])&gt;=4,1,0)</f>
        <v>2026</v>
      </c>
      <c r="C1172" s="102">
        <f>YEAR(Table6[[#This Row],[Date]])</f>
        <v>2025</v>
      </c>
      <c r="D1172" s="102" t="s">
        <v>1992</v>
      </c>
      <c r="E1172" s="469">
        <f>Table6[[#This Row],[Date]]-DAY(Table6[[#This Row],[Date]])+1</f>
        <v>45809</v>
      </c>
      <c r="F1172" s="470">
        <v>45822</v>
      </c>
      <c r="G1172" s="35" t="s">
        <v>75</v>
      </c>
      <c r="H1172" s="35" t="str">
        <f>IFERROR(_xlfn.XLOOKUP(Table6[[#This Row],[Affected WTG]],'Basic Data'!$A:$A,'Basic Data'!$B:$B),"")</f>
        <v>TQGXIIPL</v>
      </c>
      <c r="I1172" s="35" t="str">
        <f>IFERROR(_xlfn.XLOOKUP(Table6[[#This Row],[Affected WTG]],'Basic Data'!$A:$A,'Basic Data'!$C:$C),"")</f>
        <v>GEDA</v>
      </c>
      <c r="J1172" s="471">
        <f>IFERROR(_xlfn.XLOOKUP(Table6[[#This Row],[Affected WTG]],'Basic Data'!$A:$A,'Basic Data'!$E:$E),"")</f>
        <v>3.846153846153845E-2</v>
      </c>
      <c r="K1172" s="102">
        <v>6130</v>
      </c>
      <c r="L1172" s="35" t="str">
        <f>IFERROR(_xlfn.XLOOKUP(Table6[[#This Row],[Error Code]],'Basic Data'!$AA:$AA,'Basic Data'!$AB:$AB),"Incorrect Error Code")</f>
        <v>Yaw speed high</v>
      </c>
      <c r="M1172" s="35" t="s">
        <v>291</v>
      </c>
      <c r="N1172" s="475"/>
      <c r="O1172" s="476">
        <v>0.72291666666666665</v>
      </c>
      <c r="P1172" s="476">
        <v>0.72291666666666665</v>
      </c>
      <c r="Q1172" s="477">
        <v>0.72499999999999998</v>
      </c>
      <c r="R1172" s="472">
        <f>IF(Table6[[#This Row],[Work Start TimeStamp]]="","",(Table6[[#This Row],[Work Start TimeStamp]]-Table6[[#This Row],[Fault Start TimeStamp]])*24)</f>
        <v>0</v>
      </c>
      <c r="S1172" s="472">
        <f>(Table6[[#This Row],[Fault Clearance time]]-Table6[[#This Row],[Work Start TimeStamp]])*24</f>
        <v>4.9999999999999822E-2</v>
      </c>
      <c r="T1172" s="472">
        <f>(Table6[[#This Row],[Fault Clearance time]]-Table6[[#This Row],[Fault Start TimeStamp]])*24</f>
        <v>4.9999999999999822E-2</v>
      </c>
      <c r="U1172" s="35" t="s">
        <v>1924</v>
      </c>
      <c r="V1172" s="102" t="s">
        <v>293</v>
      </c>
      <c r="W1172" s="478">
        <f>IFERROR(Table6[[#This Row],[Breakdown Time]]*Table6[[#This Row],[Plant Equivalent Weightage]],"")</f>
        <v>1.9230769230769156E-3</v>
      </c>
      <c r="X1172" s="473" t="s">
        <v>294</v>
      </c>
      <c r="Y1172" s="474" t="s">
        <v>78</v>
      </c>
      <c r="Z1172" s="102">
        <v>21920</v>
      </c>
      <c r="AA1172" s="468">
        <f>(Table6[[#This Row],[Paired WTG Generation for loss calculation]]/24)*Table6[[#This Row],[Breakdown Time]]</f>
        <v>45.666666666666508</v>
      </c>
      <c r="AB1172" s="102"/>
      <c r="AC1172" s="35"/>
      <c r="AD1172" s="35"/>
    </row>
    <row r="1173" spans="1:30">
      <c r="A1173" s="102">
        <f t="shared" si="19"/>
        <v>1172</v>
      </c>
      <c r="B1173" s="468">
        <f>YEAR(Table6[[#This Row],[Date]])+IF(MONTH(Table6[[#This Row],[Date]])&gt;=4,1,0)</f>
        <v>2026</v>
      </c>
      <c r="C1173" s="102">
        <f>YEAR(Table6[[#This Row],[Date]])</f>
        <v>2025</v>
      </c>
      <c r="D1173" s="102" t="s">
        <v>1992</v>
      </c>
      <c r="E1173" s="469">
        <f>Table6[[#This Row],[Date]]-DAY(Table6[[#This Row],[Date]])+1</f>
        <v>45809</v>
      </c>
      <c r="F1173" s="470">
        <v>45822</v>
      </c>
      <c r="G1173" s="35" t="s">
        <v>76</v>
      </c>
      <c r="H1173" s="35" t="str">
        <f>IFERROR(_xlfn.XLOOKUP(Table6[[#This Row],[Affected WTG]],'Basic Data'!$A:$A,'Basic Data'!$B:$B),"")</f>
        <v>TQGXIIPL</v>
      </c>
      <c r="I1173" s="35" t="str">
        <f>IFERROR(_xlfn.XLOOKUP(Table6[[#This Row],[Affected WTG]],'Basic Data'!$A:$A,'Basic Data'!$C:$C),"")</f>
        <v>GEDA</v>
      </c>
      <c r="J1173" s="471">
        <f>IFERROR(_xlfn.XLOOKUP(Table6[[#This Row],[Affected WTG]],'Basic Data'!$A:$A,'Basic Data'!$E:$E),"")</f>
        <v>3.846153846153845E-2</v>
      </c>
      <c r="K1173" s="102">
        <v>55</v>
      </c>
      <c r="L1173" s="35" t="str">
        <f>IFERROR(_xlfn.XLOOKUP(Table6[[#This Row],[Error Code]],'Basic Data'!$AA:$AA,'Basic Data'!$AB:$AB),"Incorrect Error Code")</f>
        <v>WTG shut down</v>
      </c>
      <c r="M1173" s="35" t="s">
        <v>291</v>
      </c>
      <c r="N1173" s="475"/>
      <c r="O1173" s="476">
        <v>0.69374999999999998</v>
      </c>
      <c r="P1173" s="476">
        <v>0.69374999999999998</v>
      </c>
      <c r="Q1173" s="477">
        <v>0.81944444444444442</v>
      </c>
      <c r="R1173" s="472">
        <f>IF(Table6[[#This Row],[Work Start TimeStamp]]="","",(Table6[[#This Row],[Work Start TimeStamp]]-Table6[[#This Row],[Fault Start TimeStamp]])*24)</f>
        <v>0</v>
      </c>
      <c r="S1173" s="472">
        <f>(Table6[[#This Row],[Fault Clearance time]]-Table6[[#This Row],[Work Start TimeStamp]])*24</f>
        <v>3.0166666666666666</v>
      </c>
      <c r="T1173" s="472">
        <f>(Table6[[#This Row],[Fault Clearance time]]-Table6[[#This Row],[Fault Start TimeStamp]])*24</f>
        <v>3.0166666666666666</v>
      </c>
      <c r="U1173" s="35" t="s">
        <v>1966</v>
      </c>
      <c r="V1173" s="102" t="s">
        <v>293</v>
      </c>
      <c r="W1173" s="478">
        <f>IFERROR(Table6[[#This Row],[Breakdown Time]]*Table6[[#This Row],[Plant Equivalent Weightage]],"")</f>
        <v>0.11602564102564099</v>
      </c>
      <c r="X1173" s="473" t="s">
        <v>290</v>
      </c>
      <c r="Y1173" s="474" t="s">
        <v>82</v>
      </c>
      <c r="Z1173" s="102">
        <v>17985</v>
      </c>
      <c r="AA1173" s="468">
        <f>(Table6[[#This Row],[Paired WTG Generation for loss calculation]]/24)*Table6[[#This Row],[Breakdown Time]]</f>
        <v>2260.6145833333335</v>
      </c>
      <c r="AB1173" s="102"/>
      <c r="AC1173" s="35"/>
      <c r="AD1173" s="35"/>
    </row>
    <row r="1174" spans="1:30">
      <c r="A1174" s="102">
        <f t="shared" si="19"/>
        <v>1173</v>
      </c>
      <c r="B1174" s="468">
        <f>YEAR(Table6[[#This Row],[Date]])+IF(MONTH(Table6[[#This Row],[Date]])&gt;=4,1,0)</f>
        <v>2026</v>
      </c>
      <c r="C1174" s="102">
        <f>YEAR(Table6[[#This Row],[Date]])</f>
        <v>2025</v>
      </c>
      <c r="D1174" s="102" t="s">
        <v>1992</v>
      </c>
      <c r="E1174" s="469">
        <f>Table6[[#This Row],[Date]]-DAY(Table6[[#This Row],[Date]])+1</f>
        <v>45809</v>
      </c>
      <c r="F1174" s="470">
        <v>45822</v>
      </c>
      <c r="G1174" s="35" t="s">
        <v>81</v>
      </c>
      <c r="H1174" s="35" t="str">
        <f>IFERROR(_xlfn.XLOOKUP(Table6[[#This Row],[Affected WTG]],'Basic Data'!$A:$A,'Basic Data'!$B:$B),"")</f>
        <v>TQGXIIPL</v>
      </c>
      <c r="I1174" s="35" t="str">
        <f>IFERROR(_xlfn.XLOOKUP(Table6[[#This Row],[Affected WTG]],'Basic Data'!$A:$A,'Basic Data'!$C:$C),"")</f>
        <v>GEDA</v>
      </c>
      <c r="J1174" s="471">
        <f>IFERROR(_xlfn.XLOOKUP(Table6[[#This Row],[Affected WTG]],'Basic Data'!$A:$A,'Basic Data'!$E:$E),"")</f>
        <v>3.846153846153845E-2</v>
      </c>
      <c r="K1174" s="102">
        <v>6130</v>
      </c>
      <c r="L1174" s="35" t="str">
        <f>IFERROR(_xlfn.XLOOKUP(Table6[[#This Row],[Error Code]],'Basic Data'!$AA:$AA,'Basic Data'!$AB:$AB),"Incorrect Error Code")</f>
        <v>Yaw speed high</v>
      </c>
      <c r="M1174" s="35" t="s">
        <v>292</v>
      </c>
      <c r="N1174" s="475"/>
      <c r="O1174" s="476">
        <v>0.97777777777777775</v>
      </c>
      <c r="P1174" s="476">
        <v>0.97777777777777775</v>
      </c>
      <c r="Q1174" s="477">
        <v>0.9819444444444444</v>
      </c>
      <c r="R1174" s="472">
        <f>IF(Table6[[#This Row],[Work Start TimeStamp]]="","",(Table6[[#This Row],[Work Start TimeStamp]]-Table6[[#This Row],[Fault Start TimeStamp]])*24)</f>
        <v>0</v>
      </c>
      <c r="S1174" s="472">
        <f>(Table6[[#This Row],[Fault Clearance time]]-Table6[[#This Row],[Work Start TimeStamp]])*24</f>
        <v>9.9999999999999645E-2</v>
      </c>
      <c r="T1174" s="472">
        <f>(Table6[[#This Row],[Fault Clearance time]]-Table6[[#This Row],[Fault Start TimeStamp]])*24</f>
        <v>9.9999999999999645E-2</v>
      </c>
      <c r="U1174" s="35" t="s">
        <v>336</v>
      </c>
      <c r="V1174" s="102" t="s">
        <v>293</v>
      </c>
      <c r="W1174" s="478">
        <f>IFERROR(Table6[[#This Row],[Breakdown Time]]*Table6[[#This Row],[Plant Equivalent Weightage]],"")</f>
        <v>3.8461538461538312E-3</v>
      </c>
      <c r="X1174" s="473" t="s">
        <v>294</v>
      </c>
      <c r="Y1174" s="474" t="s">
        <v>99</v>
      </c>
      <c r="Z1174" s="102">
        <v>14946</v>
      </c>
      <c r="AA1174" s="468">
        <f>(Table6[[#This Row],[Paired WTG Generation for loss calculation]]/24)*Table6[[#This Row],[Breakdown Time]]</f>
        <v>62.274999999999778</v>
      </c>
      <c r="AB1174" s="102"/>
      <c r="AC1174" s="35"/>
      <c r="AD1174" s="35"/>
    </row>
    <row r="1175" spans="1:30">
      <c r="A1175" s="102">
        <f t="shared" si="19"/>
        <v>1174</v>
      </c>
      <c r="B1175" s="468">
        <f>YEAR(Table6[[#This Row],[Date]])+IF(MONTH(Table6[[#This Row],[Date]])&gt;=4,1,0)</f>
        <v>2026</v>
      </c>
      <c r="C1175" s="102">
        <f>YEAR(Table6[[#This Row],[Date]])</f>
        <v>2025</v>
      </c>
      <c r="D1175" s="102" t="s">
        <v>1992</v>
      </c>
      <c r="E1175" s="469">
        <f>Table6[[#This Row],[Date]]-DAY(Table6[[#This Row],[Date]])+1</f>
        <v>45809</v>
      </c>
      <c r="F1175" s="470">
        <v>45822</v>
      </c>
      <c r="G1175" s="35" t="s">
        <v>88</v>
      </c>
      <c r="H1175" s="35" t="str">
        <f>IFERROR(_xlfn.XLOOKUP(Table6[[#This Row],[Affected WTG]],'Basic Data'!$A:$A,'Basic Data'!$B:$B),"")</f>
        <v>TQGXIIPL</v>
      </c>
      <c r="I1175" s="35" t="str">
        <f>IFERROR(_xlfn.XLOOKUP(Table6[[#This Row],[Affected WTG]],'Basic Data'!$A:$A,'Basic Data'!$C:$C),"")</f>
        <v>GEDA</v>
      </c>
      <c r="J1175" s="471">
        <f>IFERROR(_xlfn.XLOOKUP(Table6[[#This Row],[Affected WTG]],'Basic Data'!$A:$A,'Basic Data'!$E:$E),"")</f>
        <v>3.846153846153845E-2</v>
      </c>
      <c r="K1175" s="102">
        <v>55</v>
      </c>
      <c r="L1175" s="35" t="str">
        <f>IFERROR(_xlfn.XLOOKUP(Table6[[#This Row],[Error Code]],'Basic Data'!$AA:$AA,'Basic Data'!$AB:$AB),"Incorrect Error Code")</f>
        <v>WTG shut down</v>
      </c>
      <c r="M1175" s="35" t="s">
        <v>291</v>
      </c>
      <c r="N1175" s="475"/>
      <c r="O1175" s="476">
        <v>0.44374999999999998</v>
      </c>
      <c r="P1175" s="476">
        <v>0.44374999999999998</v>
      </c>
      <c r="Q1175" s="477">
        <v>0.76249999999999996</v>
      </c>
      <c r="R1175" s="472">
        <f>IF(Table6[[#This Row],[Work Start TimeStamp]]="","",(Table6[[#This Row],[Work Start TimeStamp]]-Table6[[#This Row],[Fault Start TimeStamp]])*24)</f>
        <v>0</v>
      </c>
      <c r="S1175" s="472">
        <f>(Table6[[#This Row],[Fault Clearance time]]-Table6[[#This Row],[Work Start TimeStamp]])*24</f>
        <v>7.6499999999999995</v>
      </c>
      <c r="T1175" s="472">
        <f>(Table6[[#This Row],[Fault Clearance time]]-Table6[[#This Row],[Fault Start TimeStamp]])*24</f>
        <v>7.6499999999999995</v>
      </c>
      <c r="U1175" s="35" t="s">
        <v>1967</v>
      </c>
      <c r="V1175" s="102" t="s">
        <v>293</v>
      </c>
      <c r="W1175" s="478">
        <f>IFERROR(Table6[[#This Row],[Breakdown Time]]*Table6[[#This Row],[Plant Equivalent Weightage]],"")</f>
        <v>0.29423076923076913</v>
      </c>
      <c r="X1175" s="473" t="s">
        <v>290</v>
      </c>
      <c r="Y1175" s="474" t="s">
        <v>83</v>
      </c>
      <c r="Z1175" s="102">
        <v>16628</v>
      </c>
      <c r="AA1175" s="468">
        <f>(Table6[[#This Row],[Paired WTG Generation for loss calculation]]/24)*Table6[[#This Row],[Breakdown Time]]</f>
        <v>5300.1750000000002</v>
      </c>
      <c r="AB1175" s="102"/>
      <c r="AC1175" s="35"/>
      <c r="AD1175" s="35"/>
    </row>
    <row r="1176" spans="1:30">
      <c r="A1176" s="102">
        <f t="shared" si="19"/>
        <v>1175</v>
      </c>
      <c r="B1176" s="468">
        <f>YEAR(Table6[[#This Row],[Date]])+IF(MONTH(Table6[[#This Row],[Date]])&gt;=4,1,0)</f>
        <v>2026</v>
      </c>
      <c r="C1176" s="102">
        <f>YEAR(Table6[[#This Row],[Date]])</f>
        <v>2025</v>
      </c>
      <c r="D1176" s="102" t="s">
        <v>1992</v>
      </c>
      <c r="E1176" s="469">
        <f>Table6[[#This Row],[Date]]-DAY(Table6[[#This Row],[Date]])+1</f>
        <v>45809</v>
      </c>
      <c r="F1176" s="470">
        <v>45822</v>
      </c>
      <c r="G1176" s="35" t="s">
        <v>90</v>
      </c>
      <c r="H1176" s="35" t="str">
        <f>IFERROR(_xlfn.XLOOKUP(Table6[[#This Row],[Affected WTG]],'Basic Data'!$A:$A,'Basic Data'!$B:$B),"")</f>
        <v>TQGXIIPL</v>
      </c>
      <c r="I1176" s="35" t="str">
        <f>IFERROR(_xlfn.XLOOKUP(Table6[[#This Row],[Affected WTG]],'Basic Data'!$A:$A,'Basic Data'!$C:$C),"")</f>
        <v>GEDA</v>
      </c>
      <c r="J1176" s="471">
        <f>IFERROR(_xlfn.XLOOKUP(Table6[[#This Row],[Affected WTG]],'Basic Data'!$A:$A,'Basic Data'!$E:$E),"")</f>
        <v>3.846153846153845E-2</v>
      </c>
      <c r="K1176" s="102">
        <v>3000</v>
      </c>
      <c r="L1176" s="35" t="str">
        <f>IFERROR(_xlfn.XLOOKUP(Table6[[#This Row],[Error Code]],'Basic Data'!$AA:$AA,'Basic Data'!$AB:$AB),"Incorrect Error Code")</f>
        <v>Frequency converter not ready</v>
      </c>
      <c r="M1176" s="35" t="s">
        <v>291</v>
      </c>
      <c r="N1176" s="475"/>
      <c r="O1176" s="476">
        <v>0.46111111111111114</v>
      </c>
      <c r="P1176" s="476">
        <v>0.46111111111111114</v>
      </c>
      <c r="Q1176" s="477">
        <v>0.46319444444444446</v>
      </c>
      <c r="R1176" s="472">
        <f>IF(Table6[[#This Row],[Work Start TimeStamp]]="","",(Table6[[#This Row],[Work Start TimeStamp]]-Table6[[#This Row],[Fault Start TimeStamp]])*24)</f>
        <v>0</v>
      </c>
      <c r="S1176" s="472">
        <f>(Table6[[#This Row],[Fault Clearance time]]-Table6[[#This Row],[Work Start TimeStamp]])*24</f>
        <v>4.9999999999999822E-2</v>
      </c>
      <c r="T1176" s="472">
        <f>(Table6[[#This Row],[Fault Clearance time]]-Table6[[#This Row],[Fault Start TimeStamp]])*24</f>
        <v>4.9999999999999822E-2</v>
      </c>
      <c r="U1176" s="35" t="s">
        <v>1924</v>
      </c>
      <c r="V1176" s="102" t="s">
        <v>293</v>
      </c>
      <c r="W1176" s="478">
        <f>IFERROR(Table6[[#This Row],[Breakdown Time]]*Table6[[#This Row],[Plant Equivalent Weightage]],"")</f>
        <v>1.9230769230769156E-3</v>
      </c>
      <c r="X1176" s="473" t="s">
        <v>294</v>
      </c>
      <c r="Y1176" s="474" t="s">
        <v>95</v>
      </c>
      <c r="Z1176" s="102">
        <v>18674</v>
      </c>
      <c r="AA1176" s="468">
        <f>(Table6[[#This Row],[Paired WTG Generation for loss calculation]]/24)*Table6[[#This Row],[Breakdown Time]]</f>
        <v>38.904166666666534</v>
      </c>
      <c r="AB1176" s="102"/>
      <c r="AC1176" s="35"/>
      <c r="AD1176" s="35"/>
    </row>
    <row r="1177" spans="1:30">
      <c r="A1177" s="102">
        <f t="shared" si="19"/>
        <v>1176</v>
      </c>
      <c r="B1177" s="468">
        <f>YEAR(Table6[[#This Row],[Date]])+IF(MONTH(Table6[[#This Row],[Date]])&gt;=4,1,0)</f>
        <v>2026</v>
      </c>
      <c r="C1177" s="102">
        <f>YEAR(Table6[[#This Row],[Date]])</f>
        <v>2025</v>
      </c>
      <c r="D1177" s="102" t="s">
        <v>1992</v>
      </c>
      <c r="E1177" s="469">
        <f>Table6[[#This Row],[Date]]-DAY(Table6[[#This Row],[Date]])+1</f>
        <v>45809</v>
      </c>
      <c r="F1177" s="470">
        <v>45822</v>
      </c>
      <c r="G1177" s="35" t="s">
        <v>93</v>
      </c>
      <c r="H1177" s="35" t="str">
        <f>IFERROR(_xlfn.XLOOKUP(Table6[[#This Row],[Affected WTG]],'Basic Data'!$A:$A,'Basic Data'!$B:$B),"")</f>
        <v>TQGXIIPL</v>
      </c>
      <c r="I1177" s="35" t="str">
        <f>IFERROR(_xlfn.XLOOKUP(Table6[[#This Row],[Affected WTG]],'Basic Data'!$A:$A,'Basic Data'!$C:$C),"")</f>
        <v>GEDA</v>
      </c>
      <c r="J1177" s="471">
        <f>IFERROR(_xlfn.XLOOKUP(Table6[[#This Row],[Affected WTG]],'Basic Data'!$A:$A,'Basic Data'!$E:$E),"")</f>
        <v>3.846153846153845E-2</v>
      </c>
      <c r="K1177" s="102">
        <v>643</v>
      </c>
      <c r="L1177" s="35" t="str">
        <f>IFERROR(_xlfn.XLOOKUP(Table6[[#This Row],[Error Code]],'Basic Data'!$AA:$AA,'Basic Data'!$AB:$AB),"Incorrect Error Code")</f>
        <v>Sim.angle E enc. &lt;&gt; act.angle 3</v>
      </c>
      <c r="M1177" s="35" t="s">
        <v>291</v>
      </c>
      <c r="N1177" s="475"/>
      <c r="O1177" s="476">
        <v>0.48194444444444445</v>
      </c>
      <c r="P1177" s="476">
        <v>0.48194444444444445</v>
      </c>
      <c r="Q1177" s="477">
        <v>0.48333333333333334</v>
      </c>
      <c r="R1177" s="472">
        <f>IF(Table6[[#This Row],[Work Start TimeStamp]]="","",(Table6[[#This Row],[Work Start TimeStamp]]-Table6[[#This Row],[Fault Start TimeStamp]])*24)</f>
        <v>0</v>
      </c>
      <c r="S1177" s="472">
        <f>(Table6[[#This Row],[Fault Clearance time]]-Table6[[#This Row],[Work Start TimeStamp]])*24</f>
        <v>3.3333333333333215E-2</v>
      </c>
      <c r="T1177" s="472">
        <f>(Table6[[#This Row],[Fault Clearance time]]-Table6[[#This Row],[Fault Start TimeStamp]])*24</f>
        <v>3.3333333333333215E-2</v>
      </c>
      <c r="U1177" s="35" t="s">
        <v>1924</v>
      </c>
      <c r="V1177" s="102" t="s">
        <v>293</v>
      </c>
      <c r="W1177" s="478">
        <f>IFERROR(Table6[[#This Row],[Breakdown Time]]*Table6[[#This Row],[Plant Equivalent Weightage]],"")</f>
        <v>1.2820512820512771E-3</v>
      </c>
      <c r="X1177" s="473" t="s">
        <v>294</v>
      </c>
      <c r="Y1177" s="474" t="s">
        <v>97</v>
      </c>
      <c r="Z1177" s="102">
        <v>16943</v>
      </c>
      <c r="AA1177" s="468">
        <f>(Table6[[#This Row],[Paired WTG Generation for loss calculation]]/24)*Table6[[#This Row],[Breakdown Time]]</f>
        <v>23.531944444444363</v>
      </c>
      <c r="AB1177" s="102"/>
      <c r="AC1177" s="35"/>
      <c r="AD1177" s="35"/>
    </row>
    <row r="1178" spans="1:30">
      <c r="A1178" s="102">
        <f t="shared" si="19"/>
        <v>1177</v>
      </c>
      <c r="B1178" s="468">
        <f>YEAR(Table6[[#This Row],[Date]])+IF(MONTH(Table6[[#This Row],[Date]])&gt;=4,1,0)</f>
        <v>2026</v>
      </c>
      <c r="C1178" s="102">
        <f>YEAR(Table6[[#This Row],[Date]])</f>
        <v>2025</v>
      </c>
      <c r="D1178" s="102" t="s">
        <v>1992</v>
      </c>
      <c r="E1178" s="469">
        <f>Table6[[#This Row],[Date]]-DAY(Table6[[#This Row],[Date]])+1</f>
        <v>45809</v>
      </c>
      <c r="F1178" s="470">
        <v>45822</v>
      </c>
      <c r="G1178" s="35" t="s">
        <v>93</v>
      </c>
      <c r="H1178" s="35" t="str">
        <f>IFERROR(_xlfn.XLOOKUP(Table6[[#This Row],[Affected WTG]],'Basic Data'!$A:$A,'Basic Data'!$B:$B),"")</f>
        <v>TQGXIIPL</v>
      </c>
      <c r="I1178" s="35" t="str">
        <f>IFERROR(_xlfn.XLOOKUP(Table6[[#This Row],[Affected WTG]],'Basic Data'!$A:$A,'Basic Data'!$C:$C),"")</f>
        <v>GEDA</v>
      </c>
      <c r="J1178" s="471">
        <f>IFERROR(_xlfn.XLOOKUP(Table6[[#This Row],[Affected WTG]],'Basic Data'!$A:$A,'Basic Data'!$E:$E),"")</f>
        <v>3.846153846153845E-2</v>
      </c>
      <c r="K1178" s="102">
        <v>178</v>
      </c>
      <c r="L1178" s="35" t="str">
        <f>IFERROR(_xlfn.XLOOKUP(Table6[[#This Row],[Error Code]],'Basic Data'!$AA:$AA,'Basic Data'!$AB:$AB),"Incorrect Error Code")</f>
        <v>SLC MF safe operation speed limit</v>
      </c>
      <c r="M1178" s="35" t="s">
        <v>291</v>
      </c>
      <c r="N1178" s="475"/>
      <c r="O1178" s="476">
        <v>0.84027777777777779</v>
      </c>
      <c r="P1178" s="476">
        <v>0.84027777777777779</v>
      </c>
      <c r="Q1178" s="477">
        <v>0.85277777777777775</v>
      </c>
      <c r="R1178" s="472">
        <f>IF(Table6[[#This Row],[Work Start TimeStamp]]="","",(Table6[[#This Row],[Work Start TimeStamp]]-Table6[[#This Row],[Fault Start TimeStamp]])*24)</f>
        <v>0</v>
      </c>
      <c r="S1178" s="472">
        <f>(Table6[[#This Row],[Fault Clearance time]]-Table6[[#This Row],[Work Start TimeStamp]])*24</f>
        <v>0.29999999999999893</v>
      </c>
      <c r="T1178" s="472">
        <f>(Table6[[#This Row],[Fault Clearance time]]-Table6[[#This Row],[Fault Start TimeStamp]])*24</f>
        <v>0.29999999999999893</v>
      </c>
      <c r="U1178" s="35" t="s">
        <v>1935</v>
      </c>
      <c r="V1178" s="102" t="s">
        <v>293</v>
      </c>
      <c r="W1178" s="478">
        <f>IFERROR(Table6[[#This Row],[Breakdown Time]]*Table6[[#This Row],[Plant Equivalent Weightage]],"")</f>
        <v>1.1538461538461494E-2</v>
      </c>
      <c r="X1178" s="473" t="s">
        <v>294</v>
      </c>
      <c r="Y1178" s="474" t="s">
        <v>97</v>
      </c>
      <c r="Z1178" s="102">
        <v>16943</v>
      </c>
      <c r="AA1178" s="468">
        <f>(Table6[[#This Row],[Paired WTG Generation for loss calculation]]/24)*Table6[[#This Row],[Breakdown Time]]</f>
        <v>211.78749999999926</v>
      </c>
      <c r="AB1178" s="102"/>
      <c r="AC1178" s="35"/>
      <c r="AD1178" s="35"/>
    </row>
    <row r="1179" spans="1:30">
      <c r="A1179" s="102">
        <f t="shared" si="19"/>
        <v>1178</v>
      </c>
      <c r="B1179" s="468">
        <f>YEAR(Table6[[#This Row],[Date]])+IF(MONTH(Table6[[#This Row],[Date]])&gt;=4,1,0)</f>
        <v>2026</v>
      </c>
      <c r="C1179" s="102">
        <f>YEAR(Table6[[#This Row],[Date]])</f>
        <v>2025</v>
      </c>
      <c r="D1179" s="102" t="s">
        <v>1992</v>
      </c>
      <c r="E1179" s="469">
        <f>Table6[[#This Row],[Date]]-DAY(Table6[[#This Row],[Date]])+1</f>
        <v>45809</v>
      </c>
      <c r="F1179" s="470">
        <v>45822</v>
      </c>
      <c r="G1179" s="35" t="s">
        <v>95</v>
      </c>
      <c r="H1179" s="35" t="str">
        <f>IFERROR(_xlfn.XLOOKUP(Table6[[#This Row],[Affected WTG]],'Basic Data'!$A:$A,'Basic Data'!$B:$B),"")</f>
        <v>TQGXIIPL</v>
      </c>
      <c r="I1179" s="35" t="str">
        <f>IFERROR(_xlfn.XLOOKUP(Table6[[#This Row],[Affected WTG]],'Basic Data'!$A:$A,'Basic Data'!$C:$C),"")</f>
        <v>GEDA</v>
      </c>
      <c r="J1179" s="471">
        <f>IFERROR(_xlfn.XLOOKUP(Table6[[#This Row],[Affected WTG]],'Basic Data'!$A:$A,'Basic Data'!$E:$E),"")</f>
        <v>3.846153846153845E-2</v>
      </c>
      <c r="K1179" s="102">
        <v>3500</v>
      </c>
      <c r="L1179" s="35" t="str">
        <f>IFERROR(_xlfn.XLOOKUP(Table6[[#This Row],[Error Code]],'Basic Data'!$AA:$AA,'Basic Data'!$AB:$AB),"Incorrect Error Code")</f>
        <v>Grid loss</v>
      </c>
      <c r="M1179" s="35" t="s">
        <v>298</v>
      </c>
      <c r="N1179" s="475"/>
      <c r="O1179" s="476">
        <v>0.80069444444444449</v>
      </c>
      <c r="P1179" s="476">
        <v>0.80069444444444449</v>
      </c>
      <c r="Q1179" s="477">
        <v>0.83263888888888893</v>
      </c>
      <c r="R1179" s="472">
        <f>IF(Table6[[#This Row],[Work Start TimeStamp]]="","",(Table6[[#This Row],[Work Start TimeStamp]]-Table6[[#This Row],[Fault Start TimeStamp]])*24)</f>
        <v>0</v>
      </c>
      <c r="S1179" s="472">
        <f>(Table6[[#This Row],[Fault Clearance time]]-Table6[[#This Row],[Work Start TimeStamp]])*24</f>
        <v>0.76666666666666661</v>
      </c>
      <c r="T1179" s="472">
        <f>(Table6[[#This Row],[Fault Clearance time]]-Table6[[#This Row],[Fault Start TimeStamp]])*24</f>
        <v>0.76666666666666661</v>
      </c>
      <c r="U1179" s="35" t="s">
        <v>1968</v>
      </c>
      <c r="V1179" s="102" t="s">
        <v>293</v>
      </c>
      <c r="W1179" s="478">
        <f>IFERROR(Table6[[#This Row],[Breakdown Time]]*Table6[[#This Row],[Plant Equivalent Weightage]],"")</f>
        <v>2.9487179487179476E-2</v>
      </c>
      <c r="X1179" s="473" t="s">
        <v>294</v>
      </c>
      <c r="Y1179" s="474" t="s">
        <v>79</v>
      </c>
      <c r="Z1179" s="102">
        <v>17769</v>
      </c>
      <c r="AA1179" s="468">
        <f>(Table6[[#This Row],[Paired WTG Generation for loss calculation]]/24)*Table6[[#This Row],[Breakdown Time]]</f>
        <v>567.62083333333328</v>
      </c>
      <c r="AB1179" s="102"/>
      <c r="AC1179" s="35"/>
      <c r="AD1179" s="35"/>
    </row>
    <row r="1180" spans="1:30">
      <c r="A1180" s="102">
        <f t="shared" si="19"/>
        <v>1179</v>
      </c>
      <c r="B1180" s="468">
        <f>YEAR(Table6[[#This Row],[Date]])+IF(MONTH(Table6[[#This Row],[Date]])&gt;=4,1,0)</f>
        <v>2026</v>
      </c>
      <c r="C1180" s="102">
        <f>YEAR(Table6[[#This Row],[Date]])</f>
        <v>2025</v>
      </c>
      <c r="D1180" s="102" t="s">
        <v>1992</v>
      </c>
      <c r="E1180" s="469">
        <f>Table6[[#This Row],[Date]]-DAY(Table6[[#This Row],[Date]])+1</f>
        <v>45809</v>
      </c>
      <c r="F1180" s="470">
        <v>45822</v>
      </c>
      <c r="G1180" s="35" t="s">
        <v>95</v>
      </c>
      <c r="H1180" s="35" t="str">
        <f>IFERROR(_xlfn.XLOOKUP(Table6[[#This Row],[Affected WTG]],'Basic Data'!$A:$A,'Basic Data'!$B:$B),"")</f>
        <v>TQGXIIPL</v>
      </c>
      <c r="I1180" s="35" t="str">
        <f>IFERROR(_xlfn.XLOOKUP(Table6[[#This Row],[Affected WTG]],'Basic Data'!$A:$A,'Basic Data'!$C:$C),"")</f>
        <v>GEDA</v>
      </c>
      <c r="J1180" s="471">
        <f>IFERROR(_xlfn.XLOOKUP(Table6[[#This Row],[Affected WTG]],'Basic Data'!$A:$A,'Basic Data'!$E:$E),"")</f>
        <v>3.846153846153845E-2</v>
      </c>
      <c r="K1180" s="102">
        <v>3500</v>
      </c>
      <c r="L1180" s="35" t="str">
        <f>IFERROR(_xlfn.XLOOKUP(Table6[[#This Row],[Error Code]],'Basic Data'!$AA:$AA,'Basic Data'!$AB:$AB),"Incorrect Error Code")</f>
        <v>Grid loss</v>
      </c>
      <c r="M1180" s="35" t="s">
        <v>298</v>
      </c>
      <c r="N1180" s="475"/>
      <c r="O1180" s="476">
        <v>0.84027777777777779</v>
      </c>
      <c r="P1180" s="476">
        <v>0.84027777777777779</v>
      </c>
      <c r="Q1180" s="477">
        <v>0.85763888888888884</v>
      </c>
      <c r="R1180" s="472">
        <f>IF(Table6[[#This Row],[Work Start TimeStamp]]="","",(Table6[[#This Row],[Work Start TimeStamp]]-Table6[[#This Row],[Fault Start TimeStamp]])*24)</f>
        <v>0</v>
      </c>
      <c r="S1180" s="472">
        <f>(Table6[[#This Row],[Fault Clearance time]]-Table6[[#This Row],[Work Start TimeStamp]])*24</f>
        <v>0.41666666666666519</v>
      </c>
      <c r="T1180" s="472">
        <f>(Table6[[#This Row],[Fault Clearance time]]-Table6[[#This Row],[Fault Start TimeStamp]])*24</f>
        <v>0.41666666666666519</v>
      </c>
      <c r="U1180" s="35" t="s">
        <v>1969</v>
      </c>
      <c r="V1180" s="102" t="s">
        <v>293</v>
      </c>
      <c r="W1180" s="478">
        <f>IFERROR(Table6[[#This Row],[Breakdown Time]]*Table6[[#This Row],[Plant Equivalent Weightage]],"")</f>
        <v>1.6025641025640965E-2</v>
      </c>
      <c r="X1180" s="473" t="s">
        <v>294</v>
      </c>
      <c r="Y1180" s="474" t="s">
        <v>79</v>
      </c>
      <c r="Z1180" s="102">
        <v>17769</v>
      </c>
      <c r="AA1180" s="468">
        <f>(Table6[[#This Row],[Paired WTG Generation for loss calculation]]/24)*Table6[[#This Row],[Breakdown Time]]</f>
        <v>308.48958333333223</v>
      </c>
      <c r="AB1180" s="102"/>
      <c r="AC1180" s="35"/>
      <c r="AD1180" s="35"/>
    </row>
    <row r="1181" spans="1:30">
      <c r="A1181" s="102">
        <f t="shared" si="19"/>
        <v>1180</v>
      </c>
      <c r="B1181" s="468">
        <f>YEAR(Table6[[#This Row],[Date]])+IF(MONTH(Table6[[#This Row],[Date]])&gt;=4,1,0)</f>
        <v>2026</v>
      </c>
      <c r="C1181" s="102">
        <f>YEAR(Table6[[#This Row],[Date]])</f>
        <v>2025</v>
      </c>
      <c r="D1181" s="102" t="s">
        <v>1992</v>
      </c>
      <c r="E1181" s="469">
        <f>Table6[[#This Row],[Date]]-DAY(Table6[[#This Row],[Date]])+1</f>
        <v>45809</v>
      </c>
      <c r="F1181" s="470">
        <v>45822</v>
      </c>
      <c r="G1181" s="35" t="s">
        <v>80</v>
      </c>
      <c r="H1181" s="35" t="str">
        <f>IFERROR(_xlfn.XLOOKUP(Table6[[#This Row],[Affected WTG]],'Basic Data'!$A:$A,'Basic Data'!$B:$B),"")</f>
        <v>TQGXIIPL</v>
      </c>
      <c r="I1181" s="35" t="str">
        <f>IFERROR(_xlfn.XLOOKUP(Table6[[#This Row],[Affected WTG]],'Basic Data'!$A:$A,'Basic Data'!$C:$C),"")</f>
        <v>GEDA</v>
      </c>
      <c r="J1181" s="471">
        <f>IFERROR(_xlfn.XLOOKUP(Table6[[#This Row],[Affected WTG]],'Basic Data'!$A:$A,'Basic Data'!$E:$E),"")</f>
        <v>3.846153846153845E-2</v>
      </c>
      <c r="K1181" s="102">
        <v>175</v>
      </c>
      <c r="L1181" s="35" t="str">
        <f>IFERROR(_xlfn.XLOOKUP(Table6[[#This Row],[Error Code]],'Basic Data'!$AA:$AA,'Basic Data'!$AB:$AB),"Incorrect Error Code")</f>
        <v>SLC error</v>
      </c>
      <c r="M1181" s="35" t="s">
        <v>291</v>
      </c>
      <c r="N1181" s="475"/>
      <c r="O1181" s="476">
        <v>0.91874999999999996</v>
      </c>
      <c r="P1181" s="476">
        <v>0.91874999999999996</v>
      </c>
      <c r="Q1181" s="477">
        <v>0.92222222222222228</v>
      </c>
      <c r="R1181" s="472">
        <f>IF(Table6[[#This Row],[Work Start TimeStamp]]="","",(Table6[[#This Row],[Work Start TimeStamp]]-Table6[[#This Row],[Fault Start TimeStamp]])*24)</f>
        <v>0</v>
      </c>
      <c r="S1181" s="472">
        <f>(Table6[[#This Row],[Fault Clearance time]]-Table6[[#This Row],[Work Start TimeStamp]])*24</f>
        <v>8.3333333333335702E-2</v>
      </c>
      <c r="T1181" s="472">
        <f>(Table6[[#This Row],[Fault Clearance time]]-Table6[[#This Row],[Fault Start TimeStamp]])*24</f>
        <v>8.3333333333335702E-2</v>
      </c>
      <c r="U1181" s="35" t="s">
        <v>1924</v>
      </c>
      <c r="V1181" s="102" t="s">
        <v>293</v>
      </c>
      <c r="W1181" s="478">
        <f>IFERROR(Table6[[#This Row],[Breakdown Time]]*Table6[[#This Row],[Plant Equivalent Weightage]],"")</f>
        <v>3.2051282051282952E-3</v>
      </c>
      <c r="X1181" s="473" t="s">
        <v>294</v>
      </c>
      <c r="Y1181" s="474" t="s">
        <v>77</v>
      </c>
      <c r="Z1181" s="102">
        <v>19604</v>
      </c>
      <c r="AA1181" s="468">
        <f>(Table6[[#This Row],[Paired WTG Generation for loss calculation]]/24)*Table6[[#This Row],[Breakdown Time]]</f>
        <v>68.069444444446376</v>
      </c>
      <c r="AB1181" s="102"/>
      <c r="AC1181" s="35"/>
      <c r="AD1181" s="35"/>
    </row>
    <row r="1182" spans="1:30">
      <c r="A1182" s="102">
        <f t="shared" si="19"/>
        <v>1181</v>
      </c>
      <c r="B1182" s="468">
        <f>YEAR(Table6[[#This Row],[Date]])+IF(MONTH(Table6[[#This Row],[Date]])&gt;=4,1,0)</f>
        <v>2026</v>
      </c>
      <c r="C1182" s="102">
        <f>YEAR(Table6[[#This Row],[Date]])</f>
        <v>2025</v>
      </c>
      <c r="D1182" s="102" t="s">
        <v>1992</v>
      </c>
      <c r="E1182" s="469">
        <f>Table6[[#This Row],[Date]]-DAY(Table6[[#This Row],[Date]])+1</f>
        <v>45809</v>
      </c>
      <c r="F1182" s="470">
        <v>45822</v>
      </c>
      <c r="G1182" s="35" t="s">
        <v>99</v>
      </c>
      <c r="H1182" s="35" t="str">
        <f>IFERROR(_xlfn.XLOOKUP(Table6[[#This Row],[Affected WTG]],'Basic Data'!$A:$A,'Basic Data'!$B:$B),"")</f>
        <v>TQGXIIPL</v>
      </c>
      <c r="I1182" s="35" t="str">
        <f>IFERROR(_xlfn.XLOOKUP(Table6[[#This Row],[Affected WTG]],'Basic Data'!$A:$A,'Basic Data'!$C:$C),"")</f>
        <v>GEDA</v>
      </c>
      <c r="J1182" s="471">
        <f>IFERROR(_xlfn.XLOOKUP(Table6[[#This Row],[Affected WTG]],'Basic Data'!$A:$A,'Basic Data'!$E:$E),"")</f>
        <v>3.846153846153845E-2</v>
      </c>
      <c r="K1182" s="102">
        <v>675</v>
      </c>
      <c r="L1182" s="35" t="str">
        <f>IFERROR(_xlfn.XLOOKUP(Table6[[#This Row],[Error Code]],'Basic Data'!$AA:$AA,'Basic Data'!$AB:$AB),"Incorrect Error Code")</f>
        <v>Pitch measuring system 1&gt;&lt;2</v>
      </c>
      <c r="M1182" s="35" t="s">
        <v>291</v>
      </c>
      <c r="N1182" s="475"/>
      <c r="O1182" s="476">
        <v>0.84027777777777779</v>
      </c>
      <c r="P1182" s="476">
        <v>0.84027777777777779</v>
      </c>
      <c r="Q1182" s="477">
        <v>0.85416666666666663</v>
      </c>
      <c r="R1182" s="472">
        <f>IF(Table6[[#This Row],[Work Start TimeStamp]]="","",(Table6[[#This Row],[Work Start TimeStamp]]-Table6[[#This Row],[Fault Start TimeStamp]])*24)</f>
        <v>0</v>
      </c>
      <c r="S1182" s="472">
        <f>(Table6[[#This Row],[Fault Clearance time]]-Table6[[#This Row],[Work Start TimeStamp]])*24</f>
        <v>0.33333333333333215</v>
      </c>
      <c r="T1182" s="472">
        <f>(Table6[[#This Row],[Fault Clearance time]]-Table6[[#This Row],[Fault Start TimeStamp]])*24</f>
        <v>0.33333333333333215</v>
      </c>
      <c r="U1182" s="35" t="s">
        <v>1935</v>
      </c>
      <c r="V1182" s="102" t="s">
        <v>293</v>
      </c>
      <c r="W1182" s="478">
        <f>IFERROR(Table6[[#This Row],[Breakdown Time]]*Table6[[#This Row],[Plant Equivalent Weightage]],"")</f>
        <v>1.2820512820512771E-2</v>
      </c>
      <c r="X1182" s="473" t="s">
        <v>294</v>
      </c>
      <c r="Y1182" s="474" t="s">
        <v>74</v>
      </c>
      <c r="Z1182" s="102">
        <v>19047</v>
      </c>
      <c r="AA1182" s="468">
        <f>(Table6[[#This Row],[Paired WTG Generation for loss calculation]]/24)*Table6[[#This Row],[Breakdown Time]]</f>
        <v>264.54166666666572</v>
      </c>
      <c r="AB1182" s="102"/>
      <c r="AC1182" s="35"/>
      <c r="AD1182" s="35"/>
    </row>
    <row r="1183" spans="1:30">
      <c r="A1183" s="102">
        <f t="shared" si="19"/>
        <v>1182</v>
      </c>
      <c r="B1183" s="468">
        <f>YEAR(Table6[[#This Row],[Date]])+IF(MONTH(Table6[[#This Row],[Date]])&gt;=4,1,0)</f>
        <v>2026</v>
      </c>
      <c r="C1183" s="102">
        <f>YEAR(Table6[[#This Row],[Date]])</f>
        <v>2025</v>
      </c>
      <c r="D1183" s="102" t="s">
        <v>1992</v>
      </c>
      <c r="E1183" s="469">
        <f>Table6[[#This Row],[Date]]-DAY(Table6[[#This Row],[Date]])+1</f>
        <v>45809</v>
      </c>
      <c r="F1183" s="470">
        <v>45822</v>
      </c>
      <c r="G1183" s="35" t="s">
        <v>99</v>
      </c>
      <c r="H1183" s="35" t="str">
        <f>IFERROR(_xlfn.XLOOKUP(Table6[[#This Row],[Affected WTG]],'Basic Data'!$A:$A,'Basic Data'!$B:$B),"")</f>
        <v>TQGXIIPL</v>
      </c>
      <c r="I1183" s="35" t="str">
        <f>IFERROR(_xlfn.XLOOKUP(Table6[[#This Row],[Affected WTG]],'Basic Data'!$A:$A,'Basic Data'!$C:$C),"")</f>
        <v>GEDA</v>
      </c>
      <c r="J1183" s="471">
        <f>IFERROR(_xlfn.XLOOKUP(Table6[[#This Row],[Affected WTG]],'Basic Data'!$A:$A,'Basic Data'!$E:$E),"")</f>
        <v>3.846153846153845E-2</v>
      </c>
      <c r="K1183" s="102">
        <v>5510</v>
      </c>
      <c r="L1183" s="35" t="str">
        <f>IFERROR(_xlfn.XLOOKUP(Table6[[#This Row],[Error Code]],'Basic Data'!$AA:$AA,'Basic Data'!$AB:$AB),"Incorrect Error Code")</f>
        <v>Low hydraulic pressure</v>
      </c>
      <c r="M1183" s="35" t="s">
        <v>291</v>
      </c>
      <c r="N1183" s="475"/>
      <c r="O1183" s="476">
        <v>0.85416666666666663</v>
      </c>
      <c r="P1183" s="476">
        <v>0.85416666666666663</v>
      </c>
      <c r="Q1183" s="477">
        <v>0.8618055555555556</v>
      </c>
      <c r="R1183" s="472">
        <f>IF(Table6[[#This Row],[Work Start TimeStamp]]="","",(Table6[[#This Row],[Work Start TimeStamp]]-Table6[[#This Row],[Fault Start TimeStamp]])*24)</f>
        <v>0</v>
      </c>
      <c r="S1183" s="472">
        <f>(Table6[[#This Row],[Fault Clearance time]]-Table6[[#This Row],[Work Start TimeStamp]])*24</f>
        <v>0.18333333333333535</v>
      </c>
      <c r="T1183" s="472">
        <f>(Table6[[#This Row],[Fault Clearance time]]-Table6[[#This Row],[Fault Start TimeStamp]])*24</f>
        <v>0.18333333333333535</v>
      </c>
      <c r="U1183" s="35" t="s">
        <v>1924</v>
      </c>
      <c r="V1183" s="102" t="s">
        <v>293</v>
      </c>
      <c r="W1183" s="478">
        <f>IFERROR(Table6[[#This Row],[Breakdown Time]]*Table6[[#This Row],[Plant Equivalent Weightage]],"")</f>
        <v>7.0512820512821268E-3</v>
      </c>
      <c r="X1183" s="473" t="s">
        <v>294</v>
      </c>
      <c r="Y1183" s="474" t="s">
        <v>74</v>
      </c>
      <c r="Z1183" s="102">
        <v>19047</v>
      </c>
      <c r="AA1183" s="468">
        <f>(Table6[[#This Row],[Paired WTG Generation for loss calculation]]/24)*Table6[[#This Row],[Breakdown Time]]</f>
        <v>145.49791666666826</v>
      </c>
      <c r="AB1183" s="102"/>
      <c r="AC1183" s="35"/>
      <c r="AD1183" s="35"/>
    </row>
    <row r="1184" spans="1:30">
      <c r="A1184" s="102">
        <f t="shared" si="19"/>
        <v>1183</v>
      </c>
      <c r="B1184" s="468">
        <f>YEAR(Table6[[#This Row],[Date]])+IF(MONTH(Table6[[#This Row],[Date]])&gt;=4,1,0)</f>
        <v>2026</v>
      </c>
      <c r="C1184" s="102">
        <f>YEAR(Table6[[#This Row],[Date]])</f>
        <v>2025</v>
      </c>
      <c r="D1184" s="102" t="s">
        <v>1992</v>
      </c>
      <c r="E1184" s="469">
        <f>Table6[[#This Row],[Date]]-DAY(Table6[[#This Row],[Date]])+1</f>
        <v>45809</v>
      </c>
      <c r="F1184" s="470">
        <v>45823</v>
      </c>
      <c r="G1184" s="35" t="s">
        <v>77</v>
      </c>
      <c r="H1184" s="35" t="str">
        <f>IFERROR(_xlfn.XLOOKUP(Table6[[#This Row],[Affected WTG]],'Basic Data'!$A:$A,'Basic Data'!$B:$B),"")</f>
        <v>TQGXIIPL</v>
      </c>
      <c r="I1184" s="35" t="str">
        <f>IFERROR(_xlfn.XLOOKUP(Table6[[#This Row],[Affected WTG]],'Basic Data'!$A:$A,'Basic Data'!$C:$C),"")</f>
        <v>GEDA</v>
      </c>
      <c r="J1184" s="471">
        <f>IFERROR(_xlfn.XLOOKUP(Table6[[#This Row],[Affected WTG]],'Basic Data'!$A:$A,'Basic Data'!$E:$E),"")</f>
        <v>3.846153846153845E-2</v>
      </c>
      <c r="K1184" s="102">
        <v>3110</v>
      </c>
      <c r="L1184" s="35" t="str">
        <f>IFERROR(_xlfn.XLOOKUP(Table6[[#This Row],[Error Code]],'Basic Data'!$AA:$AA,'Basic Data'!$AB:$AB),"Incorrect Error Code")</f>
        <v>Frequency converter error</v>
      </c>
      <c r="M1184" s="35" t="s">
        <v>291</v>
      </c>
      <c r="N1184" s="475"/>
      <c r="O1184" s="476">
        <v>0.47361111111111109</v>
      </c>
      <c r="P1184" s="476">
        <v>0.47361111111111109</v>
      </c>
      <c r="Q1184" s="477">
        <v>0.47499999999999998</v>
      </c>
      <c r="R1184" s="472">
        <f>IF(Table6[[#This Row],[Work Start TimeStamp]]="","",(Table6[[#This Row],[Work Start TimeStamp]]-Table6[[#This Row],[Fault Start TimeStamp]])*24)</f>
        <v>0</v>
      </c>
      <c r="S1184" s="472">
        <f>(Table6[[#This Row],[Fault Clearance time]]-Table6[[#This Row],[Work Start TimeStamp]])*24</f>
        <v>3.3333333333333215E-2</v>
      </c>
      <c r="T1184" s="472">
        <f>(Table6[[#This Row],[Fault Clearance time]]-Table6[[#This Row],[Fault Start TimeStamp]])*24</f>
        <v>3.3333333333333215E-2</v>
      </c>
      <c r="U1184" s="35" t="s">
        <v>1924</v>
      </c>
      <c r="V1184" s="102" t="s">
        <v>293</v>
      </c>
      <c r="W1184" s="478">
        <f>IFERROR(Table6[[#This Row],[Breakdown Time]]*Table6[[#This Row],[Plant Equivalent Weightage]],"")</f>
        <v>1.2820512820512771E-3</v>
      </c>
      <c r="X1184" s="473" t="s">
        <v>294</v>
      </c>
      <c r="Y1184" s="474" t="s">
        <v>80</v>
      </c>
      <c r="Z1184" s="102">
        <v>6199</v>
      </c>
      <c r="AA1184" s="468">
        <f>(Table6[[#This Row],[Paired WTG Generation for loss calculation]]/24)*Table6[[#This Row],[Breakdown Time]]</f>
        <v>8.6097222222221923</v>
      </c>
      <c r="AB1184" s="102"/>
      <c r="AC1184" s="35"/>
      <c r="AD1184" s="35"/>
    </row>
    <row r="1185" spans="1:30">
      <c r="A1185" s="102">
        <f t="shared" si="19"/>
        <v>1184</v>
      </c>
      <c r="B1185" s="468">
        <f>YEAR(Table6[[#This Row],[Date]])+IF(MONTH(Table6[[#This Row],[Date]])&gt;=4,1,0)</f>
        <v>2026</v>
      </c>
      <c r="C1185" s="102">
        <f>YEAR(Table6[[#This Row],[Date]])</f>
        <v>2025</v>
      </c>
      <c r="D1185" s="102" t="s">
        <v>1992</v>
      </c>
      <c r="E1185" s="469">
        <f>Table6[[#This Row],[Date]]-DAY(Table6[[#This Row],[Date]])+1</f>
        <v>45809</v>
      </c>
      <c r="F1185" s="470">
        <v>45823</v>
      </c>
      <c r="G1185" s="35" t="s">
        <v>77</v>
      </c>
      <c r="H1185" s="35" t="str">
        <f>IFERROR(_xlfn.XLOOKUP(Table6[[#This Row],[Affected WTG]],'Basic Data'!$A:$A,'Basic Data'!$B:$B),"")</f>
        <v>TQGXIIPL</v>
      </c>
      <c r="I1185" s="35" t="str">
        <f>IFERROR(_xlfn.XLOOKUP(Table6[[#This Row],[Affected WTG]],'Basic Data'!$A:$A,'Basic Data'!$C:$C),"")</f>
        <v>GEDA</v>
      </c>
      <c r="J1185" s="471">
        <f>IFERROR(_xlfn.XLOOKUP(Table6[[#This Row],[Affected WTG]],'Basic Data'!$A:$A,'Basic Data'!$E:$E),"")</f>
        <v>3.846153846153845E-2</v>
      </c>
      <c r="K1185" s="102">
        <v>3110</v>
      </c>
      <c r="L1185" s="35" t="str">
        <f>IFERROR(_xlfn.XLOOKUP(Table6[[#This Row],[Error Code]],'Basic Data'!$AA:$AA,'Basic Data'!$AB:$AB),"Incorrect Error Code")</f>
        <v>Frequency converter error</v>
      </c>
      <c r="M1185" s="35" t="s">
        <v>291</v>
      </c>
      <c r="N1185" s="475"/>
      <c r="O1185" s="476">
        <v>0.54513888888888884</v>
      </c>
      <c r="P1185" s="476">
        <v>0.54513888888888884</v>
      </c>
      <c r="Q1185" s="477">
        <v>0.54652777777777772</v>
      </c>
      <c r="R1185" s="472">
        <f>IF(Table6[[#This Row],[Work Start TimeStamp]]="","",(Table6[[#This Row],[Work Start TimeStamp]]-Table6[[#This Row],[Fault Start TimeStamp]])*24)</f>
        <v>0</v>
      </c>
      <c r="S1185" s="472">
        <f>(Table6[[#This Row],[Fault Clearance time]]-Table6[[#This Row],[Work Start TimeStamp]])*24</f>
        <v>3.3333333333333215E-2</v>
      </c>
      <c r="T1185" s="472">
        <f>(Table6[[#This Row],[Fault Clearance time]]-Table6[[#This Row],[Fault Start TimeStamp]])*24</f>
        <v>3.3333333333333215E-2</v>
      </c>
      <c r="U1185" s="35" t="s">
        <v>1924</v>
      </c>
      <c r="V1185" s="102" t="s">
        <v>293</v>
      </c>
      <c r="W1185" s="478">
        <f>IFERROR(Table6[[#This Row],[Breakdown Time]]*Table6[[#This Row],[Plant Equivalent Weightage]],"")</f>
        <v>1.2820512820512771E-3</v>
      </c>
      <c r="X1185" s="473" t="s">
        <v>294</v>
      </c>
      <c r="Y1185" s="474" t="s">
        <v>80</v>
      </c>
      <c r="Z1185" s="102">
        <v>6199</v>
      </c>
      <c r="AA1185" s="468">
        <f>(Table6[[#This Row],[Paired WTG Generation for loss calculation]]/24)*Table6[[#This Row],[Breakdown Time]]</f>
        <v>8.6097222222221923</v>
      </c>
      <c r="AB1185" s="102"/>
      <c r="AC1185" s="35"/>
      <c r="AD1185" s="35"/>
    </row>
    <row r="1186" spans="1:30">
      <c r="A1186" s="102">
        <f t="shared" si="19"/>
        <v>1185</v>
      </c>
      <c r="B1186" s="468">
        <f>YEAR(Table6[[#This Row],[Date]])+IF(MONTH(Table6[[#This Row],[Date]])&gt;=4,1,0)</f>
        <v>2026</v>
      </c>
      <c r="C1186" s="102">
        <f>YEAR(Table6[[#This Row],[Date]])</f>
        <v>2025</v>
      </c>
      <c r="D1186" s="102" t="s">
        <v>1992</v>
      </c>
      <c r="E1186" s="469">
        <f>Table6[[#This Row],[Date]]-DAY(Table6[[#This Row],[Date]])+1</f>
        <v>45809</v>
      </c>
      <c r="F1186" s="470">
        <v>45823</v>
      </c>
      <c r="G1186" s="35" t="s">
        <v>87</v>
      </c>
      <c r="H1186" s="35" t="str">
        <f>IFERROR(_xlfn.XLOOKUP(Table6[[#This Row],[Affected WTG]],'Basic Data'!$A:$A,'Basic Data'!$B:$B),"")</f>
        <v>TQGXIIPL</v>
      </c>
      <c r="I1186" s="35" t="str">
        <f>IFERROR(_xlfn.XLOOKUP(Table6[[#This Row],[Affected WTG]],'Basic Data'!$A:$A,'Basic Data'!$C:$C),"")</f>
        <v>GEDA</v>
      </c>
      <c r="J1186" s="471">
        <f>IFERROR(_xlfn.XLOOKUP(Table6[[#This Row],[Affected WTG]],'Basic Data'!$A:$A,'Basic Data'!$E:$E),"")</f>
        <v>3.846153846153845E-2</v>
      </c>
      <c r="K1186" s="102">
        <v>6130</v>
      </c>
      <c r="L1186" s="35" t="str">
        <f>IFERROR(_xlfn.XLOOKUP(Table6[[#This Row],[Error Code]],'Basic Data'!$AA:$AA,'Basic Data'!$AB:$AB),"Incorrect Error Code")</f>
        <v>Yaw speed high</v>
      </c>
      <c r="M1186" s="35" t="s">
        <v>292</v>
      </c>
      <c r="N1186" s="475"/>
      <c r="O1186" s="476">
        <v>0.78819444444444442</v>
      </c>
      <c r="P1186" s="476">
        <v>0.78819444444444442</v>
      </c>
      <c r="Q1186" s="477">
        <v>0.79236111111111107</v>
      </c>
      <c r="R1186" s="472">
        <f>IF(Table6[[#This Row],[Work Start TimeStamp]]="","",(Table6[[#This Row],[Work Start TimeStamp]]-Table6[[#This Row],[Fault Start TimeStamp]])*24)</f>
        <v>0</v>
      </c>
      <c r="S1186" s="472">
        <f>(Table6[[#This Row],[Fault Clearance time]]-Table6[[#This Row],[Work Start TimeStamp]])*24</f>
        <v>9.9999999999999645E-2</v>
      </c>
      <c r="T1186" s="472">
        <f>(Table6[[#This Row],[Fault Clearance time]]-Table6[[#This Row],[Fault Start TimeStamp]])*24</f>
        <v>9.9999999999999645E-2</v>
      </c>
      <c r="U1186" s="35" t="s">
        <v>336</v>
      </c>
      <c r="V1186" s="102" t="s">
        <v>293</v>
      </c>
      <c r="W1186" s="478">
        <f>IFERROR(Table6[[#This Row],[Breakdown Time]]*Table6[[#This Row],[Plant Equivalent Weightage]],"")</f>
        <v>3.8461538461538312E-3</v>
      </c>
      <c r="X1186" s="473" t="s">
        <v>294</v>
      </c>
      <c r="Y1186" s="474" t="s">
        <v>85</v>
      </c>
      <c r="Z1186" s="102">
        <v>6246</v>
      </c>
      <c r="AA1186" s="468">
        <f>(Table6[[#This Row],[Paired WTG Generation for loss calculation]]/24)*Table6[[#This Row],[Breakdown Time]]</f>
        <v>26.024999999999906</v>
      </c>
      <c r="AB1186" s="102"/>
      <c r="AC1186" s="35"/>
      <c r="AD1186" s="35"/>
    </row>
    <row r="1187" spans="1:30">
      <c r="A1187" s="102">
        <f t="shared" si="19"/>
        <v>1186</v>
      </c>
      <c r="B1187" s="468">
        <f>YEAR(Table6[[#This Row],[Date]])+IF(MONTH(Table6[[#This Row],[Date]])&gt;=4,1,0)</f>
        <v>2026</v>
      </c>
      <c r="C1187" s="102">
        <f>YEAR(Table6[[#This Row],[Date]])</f>
        <v>2025</v>
      </c>
      <c r="D1187" s="102" t="s">
        <v>1992</v>
      </c>
      <c r="E1187" s="469">
        <f>Table6[[#This Row],[Date]]-DAY(Table6[[#This Row],[Date]])+1</f>
        <v>45809</v>
      </c>
      <c r="F1187" s="470">
        <v>45823</v>
      </c>
      <c r="G1187" s="35" t="s">
        <v>94</v>
      </c>
      <c r="H1187" s="35" t="str">
        <f>IFERROR(_xlfn.XLOOKUP(Table6[[#This Row],[Affected WTG]],'Basic Data'!$A:$A,'Basic Data'!$B:$B),"")</f>
        <v>TQGXIIPL</v>
      </c>
      <c r="I1187" s="35" t="str">
        <f>IFERROR(_xlfn.XLOOKUP(Table6[[#This Row],[Affected WTG]],'Basic Data'!$A:$A,'Basic Data'!$C:$C),"")</f>
        <v>GEDA</v>
      </c>
      <c r="J1187" s="471">
        <f>IFERROR(_xlfn.XLOOKUP(Table6[[#This Row],[Affected WTG]],'Basic Data'!$A:$A,'Basic Data'!$E:$E),"")</f>
        <v>3.846153846153845E-2</v>
      </c>
      <c r="K1187" s="102">
        <v>3110</v>
      </c>
      <c r="L1187" s="35" t="str">
        <f>IFERROR(_xlfn.XLOOKUP(Table6[[#This Row],[Error Code]],'Basic Data'!$AA:$AA,'Basic Data'!$AB:$AB),"Incorrect Error Code")</f>
        <v>Frequency converter error</v>
      </c>
      <c r="M1187" s="35" t="s">
        <v>291</v>
      </c>
      <c r="N1187" s="475"/>
      <c r="O1187" s="476">
        <v>0.48819444444444443</v>
      </c>
      <c r="P1187" s="476">
        <v>0.48819444444444443</v>
      </c>
      <c r="Q1187" s="477">
        <v>0.48888888888888887</v>
      </c>
      <c r="R1187" s="472">
        <f>IF(Table6[[#This Row],[Work Start TimeStamp]]="","",(Table6[[#This Row],[Work Start TimeStamp]]-Table6[[#This Row],[Fault Start TimeStamp]])*24)</f>
        <v>0</v>
      </c>
      <c r="S1187" s="472">
        <f>(Table6[[#This Row],[Fault Clearance time]]-Table6[[#This Row],[Work Start TimeStamp]])*24</f>
        <v>1.6666666666666607E-2</v>
      </c>
      <c r="T1187" s="472">
        <f>(Table6[[#This Row],[Fault Clearance time]]-Table6[[#This Row],[Fault Start TimeStamp]])*24</f>
        <v>1.6666666666666607E-2</v>
      </c>
      <c r="U1187" s="35" t="s">
        <v>1924</v>
      </c>
      <c r="V1187" s="102" t="s">
        <v>293</v>
      </c>
      <c r="W1187" s="478">
        <f>IFERROR(Table6[[#This Row],[Breakdown Time]]*Table6[[#This Row],[Plant Equivalent Weightage]],"")</f>
        <v>6.4102564102563853E-4</v>
      </c>
      <c r="X1187" s="473" t="s">
        <v>294</v>
      </c>
      <c r="Y1187" s="474" t="s">
        <v>79</v>
      </c>
      <c r="Z1187" s="102">
        <v>6453</v>
      </c>
      <c r="AA1187" s="468">
        <f>(Table6[[#This Row],[Paired WTG Generation for loss calculation]]/24)*Table6[[#This Row],[Breakdown Time]]</f>
        <v>4.4812499999999842</v>
      </c>
      <c r="AB1187" s="102"/>
      <c r="AC1187" s="35"/>
      <c r="AD1187" s="35"/>
    </row>
    <row r="1188" spans="1:30">
      <c r="A1188" s="102">
        <f t="shared" si="19"/>
        <v>1187</v>
      </c>
      <c r="B1188" s="468">
        <f>YEAR(Table6[[#This Row],[Date]])+IF(MONTH(Table6[[#This Row],[Date]])&gt;=4,1,0)</f>
        <v>2026</v>
      </c>
      <c r="C1188" s="102">
        <f>YEAR(Table6[[#This Row],[Date]])</f>
        <v>2025</v>
      </c>
      <c r="D1188" s="102" t="s">
        <v>1992</v>
      </c>
      <c r="E1188" s="469">
        <f>Table6[[#This Row],[Date]]-DAY(Table6[[#This Row],[Date]])+1</f>
        <v>45809</v>
      </c>
      <c r="F1188" s="470">
        <v>45823</v>
      </c>
      <c r="G1188" s="35" t="s">
        <v>94</v>
      </c>
      <c r="H1188" s="35" t="str">
        <f>IFERROR(_xlfn.XLOOKUP(Table6[[#This Row],[Affected WTG]],'Basic Data'!$A:$A,'Basic Data'!$B:$B),"")</f>
        <v>TQGXIIPL</v>
      </c>
      <c r="I1188" s="35" t="str">
        <f>IFERROR(_xlfn.XLOOKUP(Table6[[#This Row],[Affected WTG]],'Basic Data'!$A:$A,'Basic Data'!$C:$C),"")</f>
        <v>GEDA</v>
      </c>
      <c r="J1188" s="471">
        <f>IFERROR(_xlfn.XLOOKUP(Table6[[#This Row],[Affected WTG]],'Basic Data'!$A:$A,'Basic Data'!$E:$E),"")</f>
        <v>3.846153846153845E-2</v>
      </c>
      <c r="K1188" s="102">
        <v>3110</v>
      </c>
      <c r="L1188" s="35" t="str">
        <f>IFERROR(_xlfn.XLOOKUP(Table6[[#This Row],[Error Code]],'Basic Data'!$AA:$AA,'Basic Data'!$AB:$AB),"Incorrect Error Code")</f>
        <v>Frequency converter error</v>
      </c>
      <c r="M1188" s="35" t="s">
        <v>291</v>
      </c>
      <c r="N1188" s="475"/>
      <c r="O1188" s="476">
        <v>0.55972222222222223</v>
      </c>
      <c r="P1188" s="476">
        <v>0.55972222222222223</v>
      </c>
      <c r="Q1188" s="477">
        <v>0.5625</v>
      </c>
      <c r="R1188" s="472">
        <f>IF(Table6[[#This Row],[Work Start TimeStamp]]="","",(Table6[[#This Row],[Work Start TimeStamp]]-Table6[[#This Row],[Fault Start TimeStamp]])*24)</f>
        <v>0</v>
      </c>
      <c r="S1188" s="472">
        <f>(Table6[[#This Row],[Fault Clearance time]]-Table6[[#This Row],[Work Start TimeStamp]])*24</f>
        <v>6.666666666666643E-2</v>
      </c>
      <c r="T1188" s="472">
        <f>(Table6[[#This Row],[Fault Clearance time]]-Table6[[#This Row],[Fault Start TimeStamp]])*24</f>
        <v>6.666666666666643E-2</v>
      </c>
      <c r="U1188" s="35" t="s">
        <v>1924</v>
      </c>
      <c r="V1188" s="102" t="s">
        <v>293</v>
      </c>
      <c r="W1188" s="478">
        <f>IFERROR(Table6[[#This Row],[Breakdown Time]]*Table6[[#This Row],[Plant Equivalent Weightage]],"")</f>
        <v>2.5641025641025541E-3</v>
      </c>
      <c r="X1188" s="473" t="s">
        <v>294</v>
      </c>
      <c r="Y1188" s="474" t="s">
        <v>79</v>
      </c>
      <c r="Z1188" s="102">
        <v>6453</v>
      </c>
      <c r="AA1188" s="468">
        <f>(Table6[[#This Row],[Paired WTG Generation for loss calculation]]/24)*Table6[[#This Row],[Breakdown Time]]</f>
        <v>17.924999999999937</v>
      </c>
      <c r="AB1188" s="102"/>
      <c r="AC1188" s="35"/>
      <c r="AD1188" s="35"/>
    </row>
    <row r="1189" spans="1:30">
      <c r="A1189" s="102">
        <f t="shared" si="19"/>
        <v>1188</v>
      </c>
      <c r="B1189" s="468">
        <f>YEAR(Table6[[#This Row],[Date]])+IF(MONTH(Table6[[#This Row],[Date]])&gt;=4,1,0)</f>
        <v>2026</v>
      </c>
      <c r="C1189" s="102">
        <f>YEAR(Table6[[#This Row],[Date]])</f>
        <v>2025</v>
      </c>
      <c r="D1189" s="102" t="s">
        <v>1992</v>
      </c>
      <c r="E1189" s="469">
        <f>Table6[[#This Row],[Date]]-DAY(Table6[[#This Row],[Date]])+1</f>
        <v>45809</v>
      </c>
      <c r="F1189" s="470">
        <v>45823</v>
      </c>
      <c r="G1189" s="35" t="s">
        <v>95</v>
      </c>
      <c r="H1189" s="35" t="str">
        <f>IFERROR(_xlfn.XLOOKUP(Table6[[#This Row],[Affected WTG]],'Basic Data'!$A:$A,'Basic Data'!$B:$B),"")</f>
        <v>TQGXIIPL</v>
      </c>
      <c r="I1189" s="35" t="str">
        <f>IFERROR(_xlfn.XLOOKUP(Table6[[#This Row],[Affected WTG]],'Basic Data'!$A:$A,'Basic Data'!$C:$C),"")</f>
        <v>GEDA</v>
      </c>
      <c r="J1189" s="471">
        <f>IFERROR(_xlfn.XLOOKUP(Table6[[#This Row],[Affected WTG]],'Basic Data'!$A:$A,'Basic Data'!$E:$E),"")</f>
        <v>3.846153846153845E-2</v>
      </c>
      <c r="K1189" s="102">
        <v>3110</v>
      </c>
      <c r="L1189" s="35" t="str">
        <f>IFERROR(_xlfn.XLOOKUP(Table6[[#This Row],[Error Code]],'Basic Data'!$AA:$AA,'Basic Data'!$AB:$AB),"Incorrect Error Code")</f>
        <v>Frequency converter error</v>
      </c>
      <c r="M1189" s="35" t="s">
        <v>291</v>
      </c>
      <c r="N1189" s="475"/>
      <c r="O1189" s="476">
        <v>0.49236111111111114</v>
      </c>
      <c r="P1189" s="476">
        <v>0.49236111111111114</v>
      </c>
      <c r="Q1189" s="477">
        <v>0.49305555555555558</v>
      </c>
      <c r="R1189" s="472">
        <f>IF(Table6[[#This Row],[Work Start TimeStamp]]="","",(Table6[[#This Row],[Work Start TimeStamp]]-Table6[[#This Row],[Fault Start TimeStamp]])*24)</f>
        <v>0</v>
      </c>
      <c r="S1189" s="472">
        <f>(Table6[[#This Row],[Fault Clearance time]]-Table6[[#This Row],[Work Start TimeStamp]])*24</f>
        <v>1.6666666666666607E-2</v>
      </c>
      <c r="T1189" s="472">
        <f>(Table6[[#This Row],[Fault Clearance time]]-Table6[[#This Row],[Fault Start TimeStamp]])*24</f>
        <v>1.6666666666666607E-2</v>
      </c>
      <c r="U1189" s="35" t="s">
        <v>1924</v>
      </c>
      <c r="V1189" s="102" t="s">
        <v>293</v>
      </c>
      <c r="W1189" s="478">
        <f>IFERROR(Table6[[#This Row],[Breakdown Time]]*Table6[[#This Row],[Plant Equivalent Weightage]],"")</f>
        <v>6.4102564102563853E-4</v>
      </c>
      <c r="X1189" s="473" t="s">
        <v>294</v>
      </c>
      <c r="Y1189" s="474" t="s">
        <v>79</v>
      </c>
      <c r="Z1189" s="102">
        <v>6453</v>
      </c>
      <c r="AA1189" s="468">
        <f>(Table6[[#This Row],[Paired WTG Generation for loss calculation]]/24)*Table6[[#This Row],[Breakdown Time]]</f>
        <v>4.4812499999999842</v>
      </c>
      <c r="AB1189" s="102"/>
      <c r="AC1189" s="35"/>
      <c r="AD1189" s="35"/>
    </row>
    <row r="1190" spans="1:30">
      <c r="A1190" s="102">
        <f t="shared" si="19"/>
        <v>1189</v>
      </c>
      <c r="B1190" s="468">
        <f>YEAR(Table6[[#This Row],[Date]])+IF(MONTH(Table6[[#This Row],[Date]])&gt;=4,1,0)</f>
        <v>2026</v>
      </c>
      <c r="C1190" s="102">
        <f>YEAR(Table6[[#This Row],[Date]])</f>
        <v>2025</v>
      </c>
      <c r="D1190" s="102" t="s">
        <v>1992</v>
      </c>
      <c r="E1190" s="469">
        <f>Table6[[#This Row],[Date]]-DAY(Table6[[#This Row],[Date]])+1</f>
        <v>45809</v>
      </c>
      <c r="F1190" s="470">
        <v>45823</v>
      </c>
      <c r="G1190" s="35" t="s">
        <v>95</v>
      </c>
      <c r="H1190" s="35" t="str">
        <f>IFERROR(_xlfn.XLOOKUP(Table6[[#This Row],[Affected WTG]],'Basic Data'!$A:$A,'Basic Data'!$B:$B),"")</f>
        <v>TQGXIIPL</v>
      </c>
      <c r="I1190" s="35" t="str">
        <f>IFERROR(_xlfn.XLOOKUP(Table6[[#This Row],[Affected WTG]],'Basic Data'!$A:$A,'Basic Data'!$C:$C),"")</f>
        <v>GEDA</v>
      </c>
      <c r="J1190" s="471">
        <f>IFERROR(_xlfn.XLOOKUP(Table6[[#This Row],[Affected WTG]],'Basic Data'!$A:$A,'Basic Data'!$E:$E),"")</f>
        <v>3.846153846153845E-2</v>
      </c>
      <c r="K1190" s="102">
        <v>3110</v>
      </c>
      <c r="L1190" s="35" t="str">
        <f>IFERROR(_xlfn.XLOOKUP(Table6[[#This Row],[Error Code]],'Basic Data'!$AA:$AA,'Basic Data'!$AB:$AB),"Incorrect Error Code")</f>
        <v>Frequency converter error</v>
      </c>
      <c r="M1190" s="35" t="s">
        <v>291</v>
      </c>
      <c r="N1190" s="475"/>
      <c r="O1190" s="476">
        <v>0.56388888888888888</v>
      </c>
      <c r="P1190" s="476">
        <v>0.56388888888888888</v>
      </c>
      <c r="Q1190" s="477">
        <v>0.56736111111111109</v>
      </c>
      <c r="R1190" s="472">
        <f>IF(Table6[[#This Row],[Work Start TimeStamp]]="","",(Table6[[#This Row],[Work Start TimeStamp]]-Table6[[#This Row],[Fault Start TimeStamp]])*24)</f>
        <v>0</v>
      </c>
      <c r="S1190" s="472">
        <f>(Table6[[#This Row],[Fault Clearance time]]-Table6[[#This Row],[Work Start TimeStamp]])*24</f>
        <v>8.3333333333333037E-2</v>
      </c>
      <c r="T1190" s="472">
        <f>(Table6[[#This Row],[Fault Clearance time]]-Table6[[#This Row],[Fault Start TimeStamp]])*24</f>
        <v>8.3333333333333037E-2</v>
      </c>
      <c r="U1190" s="35" t="s">
        <v>1924</v>
      </c>
      <c r="V1190" s="102" t="s">
        <v>293</v>
      </c>
      <c r="W1190" s="478">
        <f>IFERROR(Table6[[#This Row],[Breakdown Time]]*Table6[[#This Row],[Plant Equivalent Weightage]],"")</f>
        <v>3.2051282051281929E-3</v>
      </c>
      <c r="X1190" s="473" t="s">
        <v>294</v>
      </c>
      <c r="Y1190" s="474" t="s">
        <v>79</v>
      </c>
      <c r="Z1190" s="102">
        <v>6453</v>
      </c>
      <c r="AA1190" s="468">
        <f>(Table6[[#This Row],[Paired WTG Generation for loss calculation]]/24)*Table6[[#This Row],[Breakdown Time]]</f>
        <v>22.406249999999922</v>
      </c>
      <c r="AB1190" s="102"/>
      <c r="AC1190" s="35"/>
      <c r="AD1190" s="35"/>
    </row>
    <row r="1191" spans="1:30">
      <c r="A1191" s="102">
        <f t="shared" si="19"/>
        <v>1190</v>
      </c>
      <c r="B1191" s="468">
        <f>YEAR(Table6[[#This Row],[Date]])+IF(MONTH(Table6[[#This Row],[Date]])&gt;=4,1,0)</f>
        <v>2026</v>
      </c>
      <c r="C1191" s="102">
        <f>YEAR(Table6[[#This Row],[Date]])</f>
        <v>2025</v>
      </c>
      <c r="D1191" s="102" t="s">
        <v>1992</v>
      </c>
      <c r="E1191" s="469">
        <f>Table6[[#This Row],[Date]]-DAY(Table6[[#This Row],[Date]])+1</f>
        <v>45809</v>
      </c>
      <c r="F1191" s="470">
        <v>45823</v>
      </c>
      <c r="G1191" s="35" t="s">
        <v>95</v>
      </c>
      <c r="H1191" s="35" t="str">
        <f>IFERROR(_xlfn.XLOOKUP(Table6[[#This Row],[Affected WTG]],'Basic Data'!$A:$A,'Basic Data'!$B:$B),"")</f>
        <v>TQGXIIPL</v>
      </c>
      <c r="I1191" s="35" t="str">
        <f>IFERROR(_xlfn.XLOOKUP(Table6[[#This Row],[Affected WTG]],'Basic Data'!$A:$A,'Basic Data'!$C:$C),"")</f>
        <v>GEDA</v>
      </c>
      <c r="J1191" s="471">
        <f>IFERROR(_xlfn.XLOOKUP(Table6[[#This Row],[Affected WTG]],'Basic Data'!$A:$A,'Basic Data'!$E:$E),"")</f>
        <v>3.846153846153845E-2</v>
      </c>
      <c r="K1191" s="102">
        <v>58</v>
      </c>
      <c r="L1191" s="35" t="str">
        <f>IFERROR(_xlfn.XLOOKUP(Table6[[#This Row],[Error Code]],'Basic Data'!$AA:$AA,'Basic Data'!$AB:$AB),"Incorrect Error Code")</f>
        <v>Wind dir.dev. level 2</v>
      </c>
      <c r="M1191" s="35" t="s">
        <v>291</v>
      </c>
      <c r="N1191" s="475"/>
      <c r="O1191" s="476">
        <v>0.79583333333333328</v>
      </c>
      <c r="P1191" s="476">
        <v>0.79583333333333328</v>
      </c>
      <c r="Q1191" s="477">
        <v>0.79861111111111116</v>
      </c>
      <c r="R1191" s="472">
        <f>IF(Table6[[#This Row],[Work Start TimeStamp]]="","",(Table6[[#This Row],[Work Start TimeStamp]]-Table6[[#This Row],[Fault Start TimeStamp]])*24)</f>
        <v>0</v>
      </c>
      <c r="S1191" s="472">
        <f>(Table6[[#This Row],[Fault Clearance time]]-Table6[[#This Row],[Work Start TimeStamp]])*24</f>
        <v>6.6666666666669094E-2</v>
      </c>
      <c r="T1191" s="472">
        <f>(Table6[[#This Row],[Fault Clearance time]]-Table6[[#This Row],[Fault Start TimeStamp]])*24</f>
        <v>6.6666666666669094E-2</v>
      </c>
      <c r="U1191" s="35" t="s">
        <v>1924</v>
      </c>
      <c r="V1191" s="102" t="s">
        <v>293</v>
      </c>
      <c r="W1191" s="478">
        <f>IFERROR(Table6[[#This Row],[Breakdown Time]]*Table6[[#This Row],[Plant Equivalent Weightage]],"")</f>
        <v>2.5641025641026569E-3</v>
      </c>
      <c r="X1191" s="473" t="s">
        <v>294</v>
      </c>
      <c r="Y1191" s="474" t="s">
        <v>79</v>
      </c>
      <c r="Z1191" s="102">
        <v>6453</v>
      </c>
      <c r="AA1191" s="468">
        <f>(Table6[[#This Row],[Paired WTG Generation for loss calculation]]/24)*Table6[[#This Row],[Breakdown Time]]</f>
        <v>17.925000000000654</v>
      </c>
      <c r="AB1191" s="102"/>
      <c r="AC1191" s="35"/>
      <c r="AD1191" s="35"/>
    </row>
    <row r="1192" spans="1:30">
      <c r="A1192" s="102">
        <f t="shared" si="19"/>
        <v>1191</v>
      </c>
      <c r="B1192" s="468">
        <f>YEAR(Table6[[#This Row],[Date]])+IF(MONTH(Table6[[#This Row],[Date]])&gt;=4,1,0)</f>
        <v>2026</v>
      </c>
      <c r="C1192" s="102">
        <f>YEAR(Table6[[#This Row],[Date]])</f>
        <v>2025</v>
      </c>
      <c r="D1192" s="102" t="s">
        <v>1992</v>
      </c>
      <c r="E1192" s="469">
        <f>Table6[[#This Row],[Date]]-DAY(Table6[[#This Row],[Date]])+1</f>
        <v>45809</v>
      </c>
      <c r="F1192" s="470">
        <v>45824</v>
      </c>
      <c r="G1192" s="35" t="s">
        <v>77</v>
      </c>
      <c r="H1192" s="35" t="str">
        <f>IFERROR(_xlfn.XLOOKUP(Table6[[#This Row],[Affected WTG]],'Basic Data'!$A:$A,'Basic Data'!$B:$B),"")</f>
        <v>TQGXIIPL</v>
      </c>
      <c r="I1192" s="35" t="str">
        <f>IFERROR(_xlfn.XLOOKUP(Table6[[#This Row],[Affected WTG]],'Basic Data'!$A:$A,'Basic Data'!$C:$C),"")</f>
        <v>GEDA</v>
      </c>
      <c r="J1192" s="471">
        <f>IFERROR(_xlfn.XLOOKUP(Table6[[#This Row],[Affected WTG]],'Basic Data'!$A:$A,'Basic Data'!$E:$E),"")</f>
        <v>3.846153846153845E-2</v>
      </c>
      <c r="K1192" s="102">
        <v>152</v>
      </c>
      <c r="L1192" s="35" t="str">
        <f>IFERROR(_xlfn.XLOOKUP(Table6[[#This Row],[Error Code]],'Basic Data'!$AA:$AA,'Basic Data'!$AB:$AB),"Incorrect Error Code")</f>
        <v>SLC app. not in SAFE mode</v>
      </c>
      <c r="M1192" s="35" t="s">
        <v>1956</v>
      </c>
      <c r="N1192" s="475"/>
      <c r="O1192" s="476">
        <v>0.6</v>
      </c>
      <c r="P1192" s="476">
        <v>0.6</v>
      </c>
      <c r="Q1192" s="477">
        <v>0.62638888888888888</v>
      </c>
      <c r="R1192" s="472">
        <f>IF(Table6[[#This Row],[Work Start TimeStamp]]="","",(Table6[[#This Row],[Work Start TimeStamp]]-Table6[[#This Row],[Fault Start TimeStamp]])*24)</f>
        <v>0</v>
      </c>
      <c r="S1192" s="472">
        <f>(Table6[[#This Row],[Fault Clearance time]]-Table6[[#This Row],[Work Start TimeStamp]])*24</f>
        <v>0.63333333333333375</v>
      </c>
      <c r="T1192" s="472">
        <f>(Table6[[#This Row],[Fault Clearance time]]-Table6[[#This Row],[Fault Start TimeStamp]])*24</f>
        <v>0.63333333333333375</v>
      </c>
      <c r="U1192" s="35" t="s">
        <v>1970</v>
      </c>
      <c r="V1192" s="102" t="s">
        <v>293</v>
      </c>
      <c r="W1192" s="478">
        <f>IFERROR(Table6[[#This Row],[Breakdown Time]]*Table6[[#This Row],[Plant Equivalent Weightage]],"")</f>
        <v>2.4358974358974366E-2</v>
      </c>
      <c r="X1192" s="473" t="s">
        <v>294</v>
      </c>
      <c r="Y1192" s="474" t="s">
        <v>80</v>
      </c>
      <c r="Z1192" s="102">
        <v>35642</v>
      </c>
      <c r="AA1192" s="468">
        <f>(Table6[[#This Row],[Paired WTG Generation for loss calculation]]/24)*Table6[[#This Row],[Breakdown Time]]</f>
        <v>940.55277777777837</v>
      </c>
      <c r="AB1192" s="102"/>
      <c r="AC1192" s="35"/>
      <c r="AD1192" s="35"/>
    </row>
    <row r="1193" spans="1:30">
      <c r="A1193" s="102">
        <f t="shared" si="19"/>
        <v>1192</v>
      </c>
      <c r="B1193" s="468">
        <f>YEAR(Table6[[#This Row],[Date]])+IF(MONTH(Table6[[#This Row],[Date]])&gt;=4,1,0)</f>
        <v>2026</v>
      </c>
      <c r="C1193" s="102">
        <f>YEAR(Table6[[#This Row],[Date]])</f>
        <v>2025</v>
      </c>
      <c r="D1193" s="102" t="s">
        <v>1992</v>
      </c>
      <c r="E1193" s="469">
        <f>Table6[[#This Row],[Date]]-DAY(Table6[[#This Row],[Date]])+1</f>
        <v>45809</v>
      </c>
      <c r="F1193" s="470">
        <v>45824</v>
      </c>
      <c r="G1193" s="35" t="s">
        <v>78</v>
      </c>
      <c r="H1193" s="35" t="str">
        <f>IFERROR(_xlfn.XLOOKUP(Table6[[#This Row],[Affected WTG]],'Basic Data'!$A:$A,'Basic Data'!$B:$B),"")</f>
        <v>TQGXIIPL</v>
      </c>
      <c r="I1193" s="35" t="str">
        <f>IFERROR(_xlfn.XLOOKUP(Table6[[#This Row],[Affected WTG]],'Basic Data'!$A:$A,'Basic Data'!$C:$C),"")</f>
        <v>GEDA</v>
      </c>
      <c r="J1193" s="471">
        <f>IFERROR(_xlfn.XLOOKUP(Table6[[#This Row],[Affected WTG]],'Basic Data'!$A:$A,'Basic Data'!$E:$E),"")</f>
        <v>3.846153846153845E-2</v>
      </c>
      <c r="K1193" s="102">
        <v>3110</v>
      </c>
      <c r="L1193" s="35" t="str">
        <f>IFERROR(_xlfn.XLOOKUP(Table6[[#This Row],[Error Code]],'Basic Data'!$AA:$AA,'Basic Data'!$AB:$AB),"Incorrect Error Code")</f>
        <v>Frequency converter error</v>
      </c>
      <c r="M1193" s="35" t="s">
        <v>291</v>
      </c>
      <c r="N1193" s="475"/>
      <c r="O1193" s="476">
        <v>0.98611111111111116</v>
      </c>
      <c r="P1193" s="476">
        <v>0.98611111111111116</v>
      </c>
      <c r="Q1193" s="477">
        <v>0.9916666666666667</v>
      </c>
      <c r="R1193" s="472">
        <f>IF(Table6[[#This Row],[Work Start TimeStamp]]="","",(Table6[[#This Row],[Work Start TimeStamp]]-Table6[[#This Row],[Fault Start TimeStamp]])*24)</f>
        <v>0</v>
      </c>
      <c r="S1193" s="472">
        <f>(Table6[[#This Row],[Fault Clearance time]]-Table6[[#This Row],[Work Start TimeStamp]])*24</f>
        <v>0.13333333333333286</v>
      </c>
      <c r="T1193" s="472">
        <f>(Table6[[#This Row],[Fault Clearance time]]-Table6[[#This Row],[Fault Start TimeStamp]])*24</f>
        <v>0.13333333333333286</v>
      </c>
      <c r="U1193" s="35" t="s">
        <v>1924</v>
      </c>
      <c r="V1193" s="102" t="s">
        <v>293</v>
      </c>
      <c r="W1193" s="478">
        <f>IFERROR(Table6[[#This Row],[Breakdown Time]]*Table6[[#This Row],[Plant Equivalent Weightage]],"")</f>
        <v>5.1282051282051083E-3</v>
      </c>
      <c r="X1193" s="473" t="s">
        <v>294</v>
      </c>
      <c r="Y1193" s="474" t="s">
        <v>75</v>
      </c>
      <c r="Z1193" s="102">
        <v>42568</v>
      </c>
      <c r="AA1193" s="468">
        <f>(Table6[[#This Row],[Paired WTG Generation for loss calculation]]/24)*Table6[[#This Row],[Breakdown Time]]</f>
        <v>236.48888888888806</v>
      </c>
      <c r="AB1193" s="102"/>
      <c r="AC1193" s="35"/>
      <c r="AD1193" s="35"/>
    </row>
    <row r="1194" spans="1:30">
      <c r="A1194" s="102">
        <f t="shared" si="19"/>
        <v>1193</v>
      </c>
      <c r="B1194" s="468">
        <f>YEAR(Table6[[#This Row],[Date]])+IF(MONTH(Table6[[#This Row],[Date]])&gt;=4,1,0)</f>
        <v>2026</v>
      </c>
      <c r="C1194" s="102">
        <f>YEAR(Table6[[#This Row],[Date]])</f>
        <v>2025</v>
      </c>
      <c r="D1194" s="102" t="s">
        <v>1992</v>
      </c>
      <c r="E1194" s="469">
        <f>Table6[[#This Row],[Date]]-DAY(Table6[[#This Row],[Date]])+1</f>
        <v>45809</v>
      </c>
      <c r="F1194" s="470">
        <v>45824</v>
      </c>
      <c r="G1194" s="35" t="s">
        <v>79</v>
      </c>
      <c r="H1194" s="35" t="str">
        <f>IFERROR(_xlfn.XLOOKUP(Table6[[#This Row],[Affected WTG]],'Basic Data'!$A:$A,'Basic Data'!$B:$B),"")</f>
        <v>TQGXIIPL</v>
      </c>
      <c r="I1194" s="35" t="str">
        <f>IFERROR(_xlfn.XLOOKUP(Table6[[#This Row],[Affected WTG]],'Basic Data'!$A:$A,'Basic Data'!$C:$C),"")</f>
        <v>GEDA</v>
      </c>
      <c r="J1194" s="471">
        <f>IFERROR(_xlfn.XLOOKUP(Table6[[#This Row],[Affected WTG]],'Basic Data'!$A:$A,'Basic Data'!$E:$E),"")</f>
        <v>3.846153846153845E-2</v>
      </c>
      <c r="K1194" s="102">
        <v>58</v>
      </c>
      <c r="L1194" s="35" t="str">
        <f>IFERROR(_xlfn.XLOOKUP(Table6[[#This Row],[Error Code]],'Basic Data'!$AA:$AA,'Basic Data'!$AB:$AB),"Incorrect Error Code")</f>
        <v>Wind dir.dev. level 2</v>
      </c>
      <c r="M1194" s="35" t="s">
        <v>292</v>
      </c>
      <c r="N1194" s="475"/>
      <c r="O1194" s="476">
        <v>0.82291666666666663</v>
      </c>
      <c r="P1194" s="476">
        <v>0.82291666666666663</v>
      </c>
      <c r="Q1194" s="477">
        <v>0.82499999999999996</v>
      </c>
      <c r="R1194" s="472">
        <f>IF(Table6[[#This Row],[Work Start TimeStamp]]="","",(Table6[[#This Row],[Work Start TimeStamp]]-Table6[[#This Row],[Fault Start TimeStamp]])*24)</f>
        <v>0</v>
      </c>
      <c r="S1194" s="472">
        <f>(Table6[[#This Row],[Fault Clearance time]]-Table6[[#This Row],[Work Start TimeStamp]])*24</f>
        <v>4.9999999999999822E-2</v>
      </c>
      <c r="T1194" s="472">
        <f>(Table6[[#This Row],[Fault Clearance time]]-Table6[[#This Row],[Fault Start TimeStamp]])*24</f>
        <v>4.9999999999999822E-2</v>
      </c>
      <c r="U1194" s="35" t="s">
        <v>336</v>
      </c>
      <c r="V1194" s="102" t="s">
        <v>293</v>
      </c>
      <c r="W1194" s="478">
        <f>IFERROR(Table6[[#This Row],[Breakdown Time]]*Table6[[#This Row],[Plant Equivalent Weightage]],"")</f>
        <v>1.9230769230769156E-3</v>
      </c>
      <c r="X1194" s="473" t="s">
        <v>294</v>
      </c>
      <c r="Y1194" s="474" t="s">
        <v>94</v>
      </c>
      <c r="Z1194" s="102">
        <v>32444</v>
      </c>
      <c r="AA1194" s="468">
        <f>(Table6[[#This Row],[Paired WTG Generation for loss calculation]]/24)*Table6[[#This Row],[Breakdown Time]]</f>
        <v>67.591666666666427</v>
      </c>
      <c r="AB1194" s="102"/>
      <c r="AC1194" s="35"/>
      <c r="AD1194" s="35"/>
    </row>
    <row r="1195" spans="1:30">
      <c r="A1195" s="102">
        <f t="shared" si="19"/>
        <v>1194</v>
      </c>
      <c r="B1195" s="468">
        <f>YEAR(Table6[[#This Row],[Date]])+IF(MONTH(Table6[[#This Row],[Date]])&gt;=4,1,0)</f>
        <v>2026</v>
      </c>
      <c r="C1195" s="102">
        <f>YEAR(Table6[[#This Row],[Date]])</f>
        <v>2025</v>
      </c>
      <c r="D1195" s="102" t="s">
        <v>1992</v>
      </c>
      <c r="E1195" s="469">
        <f>Table6[[#This Row],[Date]]-DAY(Table6[[#This Row],[Date]])+1</f>
        <v>45809</v>
      </c>
      <c r="F1195" s="470">
        <v>45824</v>
      </c>
      <c r="G1195" s="35" t="s">
        <v>80</v>
      </c>
      <c r="H1195" s="35" t="str">
        <f>IFERROR(_xlfn.XLOOKUP(Table6[[#This Row],[Affected WTG]],'Basic Data'!$A:$A,'Basic Data'!$B:$B),"")</f>
        <v>TQGXIIPL</v>
      </c>
      <c r="I1195" s="35" t="str">
        <f>IFERROR(_xlfn.XLOOKUP(Table6[[#This Row],[Affected WTG]],'Basic Data'!$A:$A,'Basic Data'!$C:$C),"")</f>
        <v>GEDA</v>
      </c>
      <c r="J1195" s="471">
        <f>IFERROR(_xlfn.XLOOKUP(Table6[[#This Row],[Affected WTG]],'Basic Data'!$A:$A,'Basic Data'!$E:$E),"")</f>
        <v>3.846153846153845E-2</v>
      </c>
      <c r="K1195" s="102">
        <v>152</v>
      </c>
      <c r="L1195" s="35" t="str">
        <f>IFERROR(_xlfn.XLOOKUP(Table6[[#This Row],[Error Code]],'Basic Data'!$AA:$AA,'Basic Data'!$AB:$AB),"Incorrect Error Code")</f>
        <v>SLC app. not in SAFE mode</v>
      </c>
      <c r="M1195" s="35" t="s">
        <v>1956</v>
      </c>
      <c r="N1195" s="475"/>
      <c r="O1195" s="476">
        <v>0.6</v>
      </c>
      <c r="P1195" s="476">
        <v>0.6</v>
      </c>
      <c r="Q1195" s="477">
        <v>0.62916666666666665</v>
      </c>
      <c r="R1195" s="472">
        <f>IF(Table6[[#This Row],[Work Start TimeStamp]]="","",(Table6[[#This Row],[Work Start TimeStamp]]-Table6[[#This Row],[Fault Start TimeStamp]])*24)</f>
        <v>0</v>
      </c>
      <c r="S1195" s="472">
        <f>(Table6[[#This Row],[Fault Clearance time]]-Table6[[#This Row],[Work Start TimeStamp]])*24</f>
        <v>0.70000000000000018</v>
      </c>
      <c r="T1195" s="472">
        <f>(Table6[[#This Row],[Fault Clearance time]]-Table6[[#This Row],[Fault Start TimeStamp]])*24</f>
        <v>0.70000000000000018</v>
      </c>
      <c r="U1195" s="35" t="s">
        <v>1970</v>
      </c>
      <c r="V1195" s="102" t="s">
        <v>293</v>
      </c>
      <c r="W1195" s="478">
        <f>IFERROR(Table6[[#This Row],[Breakdown Time]]*Table6[[#This Row],[Plant Equivalent Weightage]],"")</f>
        <v>2.6923076923076921E-2</v>
      </c>
      <c r="X1195" s="473" t="s">
        <v>294</v>
      </c>
      <c r="Y1195" s="474" t="s">
        <v>77</v>
      </c>
      <c r="Z1195" s="102">
        <v>36994</v>
      </c>
      <c r="AA1195" s="468">
        <f>(Table6[[#This Row],[Paired WTG Generation for loss calculation]]/24)*Table6[[#This Row],[Breakdown Time]]</f>
        <v>1078.991666666667</v>
      </c>
      <c r="AB1195" s="102"/>
      <c r="AC1195" s="35"/>
      <c r="AD1195" s="35"/>
    </row>
    <row r="1196" spans="1:30">
      <c r="A1196" s="102">
        <f t="shared" si="19"/>
        <v>1195</v>
      </c>
      <c r="B1196" s="468">
        <f>YEAR(Table6[[#This Row],[Date]])+IF(MONTH(Table6[[#This Row],[Date]])&gt;=4,1,0)</f>
        <v>2026</v>
      </c>
      <c r="C1196" s="102">
        <f>YEAR(Table6[[#This Row],[Date]])</f>
        <v>2025</v>
      </c>
      <c r="D1196" s="102" t="s">
        <v>1992</v>
      </c>
      <c r="E1196" s="469">
        <f>Table6[[#This Row],[Date]]-DAY(Table6[[#This Row],[Date]])+1</f>
        <v>45809</v>
      </c>
      <c r="F1196" s="470">
        <v>45824</v>
      </c>
      <c r="G1196" s="35" t="s">
        <v>85</v>
      </c>
      <c r="H1196" s="35" t="str">
        <f>IFERROR(_xlfn.XLOOKUP(Table6[[#This Row],[Affected WTG]],'Basic Data'!$A:$A,'Basic Data'!$B:$B),"")</f>
        <v>TQGXIIPL</v>
      </c>
      <c r="I1196" s="35" t="str">
        <f>IFERROR(_xlfn.XLOOKUP(Table6[[#This Row],[Affected WTG]],'Basic Data'!$A:$A,'Basic Data'!$C:$C),"")</f>
        <v>GEDA</v>
      </c>
      <c r="J1196" s="471">
        <f>IFERROR(_xlfn.XLOOKUP(Table6[[#This Row],[Affected WTG]],'Basic Data'!$A:$A,'Basic Data'!$E:$E),"")</f>
        <v>3.846153846153845E-2</v>
      </c>
      <c r="K1196" s="102">
        <v>641</v>
      </c>
      <c r="L1196" s="35" t="str">
        <f>IFERROR(_xlfn.XLOOKUP(Table6[[#This Row],[Error Code]],'Basic Data'!$AA:$AA,'Basic Data'!$AB:$AB),"Incorrect Error Code")</f>
        <v>Sim.angle E enc. &lt;&gt; act.angle 1</v>
      </c>
      <c r="M1196" s="35" t="s">
        <v>295</v>
      </c>
      <c r="N1196" s="475"/>
      <c r="O1196" s="476">
        <v>0.42916666666666664</v>
      </c>
      <c r="P1196" s="476">
        <v>0.42916666666666664</v>
      </c>
      <c r="Q1196" s="477">
        <v>0.99998842592592596</v>
      </c>
      <c r="R1196" s="472">
        <f>IF(Table6[[#This Row],[Work Start TimeStamp]]="","",(Table6[[#This Row],[Work Start TimeStamp]]-Table6[[#This Row],[Fault Start TimeStamp]])*24)</f>
        <v>0</v>
      </c>
      <c r="S1196" s="472">
        <f>(Table6[[#This Row],[Fault Clearance time]]-Table6[[#This Row],[Work Start TimeStamp]])*24</f>
        <v>13.699722222222222</v>
      </c>
      <c r="T1196" s="472">
        <f>(Table6[[#This Row],[Fault Clearance time]]-Table6[[#This Row],[Fault Start TimeStamp]])*24</f>
        <v>13.699722222222222</v>
      </c>
      <c r="U1196" s="35" t="s">
        <v>1971</v>
      </c>
      <c r="V1196" s="102" t="s">
        <v>335</v>
      </c>
      <c r="W1196" s="478">
        <f>IFERROR(Table6[[#This Row],[Breakdown Time]]*Table6[[#This Row],[Plant Equivalent Weightage]],"")</f>
        <v>0.52691239316239302</v>
      </c>
      <c r="X1196" s="473" t="s">
        <v>290</v>
      </c>
      <c r="Y1196" s="474" t="s">
        <v>87</v>
      </c>
      <c r="Z1196" s="102">
        <v>41004</v>
      </c>
      <c r="AA1196" s="468">
        <f>(Table6[[#This Row],[Paired WTG Generation for loss calculation]]/24)*Table6[[#This Row],[Breakdown Time]]</f>
        <v>23405.975416666668</v>
      </c>
      <c r="AB1196" s="102"/>
      <c r="AC1196" s="35"/>
      <c r="AD1196" s="35"/>
    </row>
    <row r="1197" spans="1:30">
      <c r="A1197" s="102">
        <f t="shared" si="19"/>
        <v>1196</v>
      </c>
      <c r="B1197" s="468">
        <f>YEAR(Table6[[#This Row],[Date]])+IF(MONTH(Table6[[#This Row],[Date]])&gt;=4,1,0)</f>
        <v>2026</v>
      </c>
      <c r="C1197" s="102">
        <f>YEAR(Table6[[#This Row],[Date]])</f>
        <v>2025</v>
      </c>
      <c r="D1197" s="102" t="s">
        <v>1992</v>
      </c>
      <c r="E1197" s="469">
        <f>Table6[[#This Row],[Date]]-DAY(Table6[[#This Row],[Date]])+1</f>
        <v>45809</v>
      </c>
      <c r="F1197" s="470">
        <v>45824</v>
      </c>
      <c r="G1197" s="35" t="s">
        <v>87</v>
      </c>
      <c r="H1197" s="35" t="str">
        <f>IFERROR(_xlfn.XLOOKUP(Table6[[#This Row],[Affected WTG]],'Basic Data'!$A:$A,'Basic Data'!$B:$B),"")</f>
        <v>TQGXIIPL</v>
      </c>
      <c r="I1197" s="35" t="str">
        <f>IFERROR(_xlfn.XLOOKUP(Table6[[#This Row],[Affected WTG]],'Basic Data'!$A:$A,'Basic Data'!$C:$C),"")</f>
        <v>GEDA</v>
      </c>
      <c r="J1197" s="471">
        <f>IFERROR(_xlfn.XLOOKUP(Table6[[#This Row],[Affected WTG]],'Basic Data'!$A:$A,'Basic Data'!$E:$E),"")</f>
        <v>3.846153846153845E-2</v>
      </c>
      <c r="K1197" s="102">
        <v>175</v>
      </c>
      <c r="L1197" s="35" t="str">
        <f>IFERROR(_xlfn.XLOOKUP(Table6[[#This Row],[Error Code]],'Basic Data'!$AA:$AA,'Basic Data'!$AB:$AB),"Incorrect Error Code")</f>
        <v>SLC error</v>
      </c>
      <c r="M1197" s="35" t="s">
        <v>291</v>
      </c>
      <c r="N1197" s="475"/>
      <c r="O1197" s="476">
        <v>0.42638888888888887</v>
      </c>
      <c r="P1197" s="476">
        <v>0.42638888888888887</v>
      </c>
      <c r="Q1197" s="477">
        <v>0.43472222222222223</v>
      </c>
      <c r="R1197" s="472">
        <f>IF(Table6[[#This Row],[Work Start TimeStamp]]="","",(Table6[[#This Row],[Work Start TimeStamp]]-Table6[[#This Row],[Fault Start TimeStamp]])*24)</f>
        <v>0</v>
      </c>
      <c r="S1197" s="472">
        <f>(Table6[[#This Row],[Fault Clearance time]]-Table6[[#This Row],[Work Start TimeStamp]])*24</f>
        <v>0.20000000000000062</v>
      </c>
      <c r="T1197" s="472">
        <f>(Table6[[#This Row],[Fault Clearance time]]-Table6[[#This Row],[Fault Start TimeStamp]])*24</f>
        <v>0.20000000000000062</v>
      </c>
      <c r="U1197" s="35" t="s">
        <v>1924</v>
      </c>
      <c r="V1197" s="102" t="s">
        <v>293</v>
      </c>
      <c r="W1197" s="478">
        <f>IFERROR(Table6[[#This Row],[Breakdown Time]]*Table6[[#This Row],[Plant Equivalent Weightage]],"")</f>
        <v>7.6923076923077136E-3</v>
      </c>
      <c r="X1197" s="473" t="s">
        <v>294</v>
      </c>
      <c r="Y1197" s="474" t="s">
        <v>85</v>
      </c>
      <c r="Z1197" s="102">
        <v>9859</v>
      </c>
      <c r="AA1197" s="468">
        <f>(Table6[[#This Row],[Paired WTG Generation for loss calculation]]/24)*Table6[[#This Row],[Breakdown Time]]</f>
        <v>82.158333333333587</v>
      </c>
      <c r="AB1197" s="102"/>
      <c r="AC1197" s="35"/>
      <c r="AD1197" s="35"/>
    </row>
    <row r="1198" spans="1:30">
      <c r="A1198" s="102">
        <f t="shared" si="19"/>
        <v>1197</v>
      </c>
      <c r="B1198" s="468">
        <f>YEAR(Table6[[#This Row],[Date]])+IF(MONTH(Table6[[#This Row],[Date]])&gt;=4,1,0)</f>
        <v>2026</v>
      </c>
      <c r="C1198" s="102">
        <f>YEAR(Table6[[#This Row],[Date]])</f>
        <v>2025</v>
      </c>
      <c r="D1198" s="102" t="s">
        <v>1992</v>
      </c>
      <c r="E1198" s="469">
        <f>Table6[[#This Row],[Date]]-DAY(Table6[[#This Row],[Date]])+1</f>
        <v>45809</v>
      </c>
      <c r="F1198" s="470">
        <v>45824</v>
      </c>
      <c r="G1198" s="35" t="s">
        <v>90</v>
      </c>
      <c r="H1198" s="35" t="str">
        <f>IFERROR(_xlfn.XLOOKUP(Table6[[#This Row],[Affected WTG]],'Basic Data'!$A:$A,'Basic Data'!$B:$B),"")</f>
        <v>TQGXIIPL</v>
      </c>
      <c r="I1198" s="35" t="str">
        <f>IFERROR(_xlfn.XLOOKUP(Table6[[#This Row],[Affected WTG]],'Basic Data'!$A:$A,'Basic Data'!$C:$C),"")</f>
        <v>GEDA</v>
      </c>
      <c r="J1198" s="471">
        <f>IFERROR(_xlfn.XLOOKUP(Table6[[#This Row],[Affected WTG]],'Basic Data'!$A:$A,'Basic Data'!$E:$E),"")</f>
        <v>3.846153846153845E-2</v>
      </c>
      <c r="K1198" s="102">
        <v>4960</v>
      </c>
      <c r="L1198" s="35" t="str">
        <f>IFERROR(_xlfn.XLOOKUP(Table6[[#This Row],[Error Code]],'Basic Data'!$AA:$AA,'Basic Data'!$AB:$AB),"Incorrect Error Code")</f>
        <v>Tower oscillation YF</v>
      </c>
      <c r="M1198" s="35" t="s">
        <v>291</v>
      </c>
      <c r="N1198" s="475"/>
      <c r="O1198" s="476">
        <v>0.9770833333333333</v>
      </c>
      <c r="P1198" s="476">
        <v>0.9770833333333333</v>
      </c>
      <c r="Q1198" s="477">
        <v>0.98888888888888893</v>
      </c>
      <c r="R1198" s="472">
        <f>IF(Table6[[#This Row],[Work Start TimeStamp]]="","",(Table6[[#This Row],[Work Start TimeStamp]]-Table6[[#This Row],[Fault Start TimeStamp]])*24)</f>
        <v>0</v>
      </c>
      <c r="S1198" s="472">
        <f>(Table6[[#This Row],[Fault Clearance time]]-Table6[[#This Row],[Work Start TimeStamp]])*24</f>
        <v>0.28333333333333499</v>
      </c>
      <c r="T1198" s="472">
        <f>(Table6[[#This Row],[Fault Clearance time]]-Table6[[#This Row],[Fault Start TimeStamp]])*24</f>
        <v>0.28333333333333499</v>
      </c>
      <c r="U1198" s="35" t="s">
        <v>1924</v>
      </c>
      <c r="V1198" s="102" t="s">
        <v>293</v>
      </c>
      <c r="W1198" s="478">
        <f>IFERROR(Table6[[#This Row],[Breakdown Time]]*Table6[[#This Row],[Plant Equivalent Weightage]],"")</f>
        <v>1.0897435897435958E-2</v>
      </c>
      <c r="X1198" s="473" t="s">
        <v>294</v>
      </c>
      <c r="Y1198" s="474" t="s">
        <v>95</v>
      </c>
      <c r="Z1198" s="102">
        <v>35130</v>
      </c>
      <c r="AA1198" s="468">
        <f>(Table6[[#This Row],[Paired WTG Generation for loss calculation]]/24)*Table6[[#This Row],[Breakdown Time]]</f>
        <v>414.72916666666907</v>
      </c>
      <c r="AB1198" s="102"/>
      <c r="AC1198" s="35"/>
      <c r="AD1198" s="35"/>
    </row>
    <row r="1199" spans="1:30">
      <c r="A1199" s="102">
        <f t="shared" si="19"/>
        <v>1198</v>
      </c>
      <c r="B1199" s="468">
        <f>YEAR(Table6[[#This Row],[Date]])+IF(MONTH(Table6[[#This Row],[Date]])&gt;=4,1,0)</f>
        <v>2026</v>
      </c>
      <c r="C1199" s="102">
        <f>YEAR(Table6[[#This Row],[Date]])</f>
        <v>2025</v>
      </c>
      <c r="D1199" s="102" t="s">
        <v>1992</v>
      </c>
      <c r="E1199" s="469">
        <f>Table6[[#This Row],[Date]]-DAY(Table6[[#This Row],[Date]])+1</f>
        <v>45809</v>
      </c>
      <c r="F1199" s="470">
        <v>45824</v>
      </c>
      <c r="G1199" s="35" t="s">
        <v>93</v>
      </c>
      <c r="H1199" s="35" t="str">
        <f>IFERROR(_xlfn.XLOOKUP(Table6[[#This Row],[Affected WTG]],'Basic Data'!$A:$A,'Basic Data'!$B:$B),"")</f>
        <v>TQGXIIPL</v>
      </c>
      <c r="I1199" s="35" t="str">
        <f>IFERROR(_xlfn.XLOOKUP(Table6[[#This Row],[Affected WTG]],'Basic Data'!$A:$A,'Basic Data'!$C:$C),"")</f>
        <v>GEDA</v>
      </c>
      <c r="J1199" s="471">
        <f>IFERROR(_xlfn.XLOOKUP(Table6[[#This Row],[Affected WTG]],'Basic Data'!$A:$A,'Basic Data'!$E:$E),"")</f>
        <v>3.846153846153845E-2</v>
      </c>
      <c r="K1199" s="102">
        <v>643</v>
      </c>
      <c r="L1199" s="35" t="str">
        <f>IFERROR(_xlfn.XLOOKUP(Table6[[#This Row],[Error Code]],'Basic Data'!$AA:$AA,'Basic Data'!$AB:$AB),"Incorrect Error Code")</f>
        <v>Sim.angle E enc. &lt;&gt; act.angle 3</v>
      </c>
      <c r="M1199" s="35" t="s">
        <v>295</v>
      </c>
      <c r="N1199" s="475"/>
      <c r="O1199" s="476">
        <v>0.6</v>
      </c>
      <c r="P1199" s="476">
        <v>0.6</v>
      </c>
      <c r="Q1199" s="477">
        <v>0.67083333333333328</v>
      </c>
      <c r="R1199" s="472">
        <f>IF(Table6[[#This Row],[Work Start TimeStamp]]="","",(Table6[[#This Row],[Work Start TimeStamp]]-Table6[[#This Row],[Fault Start TimeStamp]])*24)</f>
        <v>0</v>
      </c>
      <c r="S1199" s="472">
        <f>(Table6[[#This Row],[Fault Clearance time]]-Table6[[#This Row],[Work Start TimeStamp]])*24</f>
        <v>1.6999999999999993</v>
      </c>
      <c r="T1199" s="472">
        <f>(Table6[[#This Row],[Fault Clearance time]]-Table6[[#This Row],[Fault Start TimeStamp]])*24</f>
        <v>1.6999999999999993</v>
      </c>
      <c r="U1199" s="35" t="s">
        <v>1972</v>
      </c>
      <c r="V1199" s="102" t="s">
        <v>293</v>
      </c>
      <c r="W1199" s="478">
        <f>IFERROR(Table6[[#This Row],[Breakdown Time]]*Table6[[#This Row],[Plant Equivalent Weightage]],"")</f>
        <v>6.5384615384615333E-2</v>
      </c>
      <c r="X1199" s="473" t="s">
        <v>294</v>
      </c>
      <c r="Y1199" s="474" t="s">
        <v>97</v>
      </c>
      <c r="Z1199" s="102">
        <v>35934</v>
      </c>
      <c r="AA1199" s="468">
        <f>(Table6[[#This Row],[Paired WTG Generation for loss calculation]]/24)*Table6[[#This Row],[Breakdown Time]]</f>
        <v>2545.3249999999989</v>
      </c>
      <c r="AB1199" s="102"/>
      <c r="AC1199" s="35"/>
      <c r="AD1199" s="35"/>
    </row>
    <row r="1200" spans="1:30">
      <c r="A1200" s="102">
        <f t="shared" si="19"/>
        <v>1199</v>
      </c>
      <c r="B1200" s="468">
        <f>YEAR(Table6[[#This Row],[Date]])+IF(MONTH(Table6[[#This Row],[Date]])&gt;=4,1,0)</f>
        <v>2026</v>
      </c>
      <c r="C1200" s="102">
        <f>YEAR(Table6[[#This Row],[Date]])</f>
        <v>2025</v>
      </c>
      <c r="D1200" s="102" t="s">
        <v>1992</v>
      </c>
      <c r="E1200" s="469">
        <f>Table6[[#This Row],[Date]]-DAY(Table6[[#This Row],[Date]])+1</f>
        <v>45809</v>
      </c>
      <c r="F1200" s="470">
        <v>45824</v>
      </c>
      <c r="G1200" s="35" t="s">
        <v>93</v>
      </c>
      <c r="H1200" s="35" t="str">
        <f>IFERROR(_xlfn.XLOOKUP(Table6[[#This Row],[Affected WTG]],'Basic Data'!$A:$A,'Basic Data'!$B:$B),"")</f>
        <v>TQGXIIPL</v>
      </c>
      <c r="I1200" s="35" t="str">
        <f>IFERROR(_xlfn.XLOOKUP(Table6[[#This Row],[Affected WTG]],'Basic Data'!$A:$A,'Basic Data'!$C:$C),"")</f>
        <v>GEDA</v>
      </c>
      <c r="J1200" s="471">
        <f>IFERROR(_xlfn.XLOOKUP(Table6[[#This Row],[Affected WTG]],'Basic Data'!$A:$A,'Basic Data'!$E:$E),"")</f>
        <v>3.846153846153845E-2</v>
      </c>
      <c r="K1200" s="102">
        <v>643</v>
      </c>
      <c r="L1200" s="35" t="str">
        <f>IFERROR(_xlfn.XLOOKUP(Table6[[#This Row],[Error Code]],'Basic Data'!$AA:$AA,'Basic Data'!$AB:$AB),"Incorrect Error Code")</f>
        <v>Sim.angle E enc. &lt;&gt; act.angle 3</v>
      </c>
      <c r="M1200" s="35" t="s">
        <v>291</v>
      </c>
      <c r="N1200" s="475"/>
      <c r="O1200" s="476">
        <v>0.67083333333333328</v>
      </c>
      <c r="P1200" s="476">
        <v>0.67083333333333328</v>
      </c>
      <c r="Q1200" s="477">
        <v>0.71597222222222223</v>
      </c>
      <c r="R1200" s="472">
        <f>IF(Table6[[#This Row],[Work Start TimeStamp]]="","",(Table6[[#This Row],[Work Start TimeStamp]]-Table6[[#This Row],[Fault Start TimeStamp]])*24)</f>
        <v>0</v>
      </c>
      <c r="S1200" s="472">
        <f>(Table6[[#This Row],[Fault Clearance time]]-Table6[[#This Row],[Work Start TimeStamp]])*24</f>
        <v>1.0833333333333348</v>
      </c>
      <c r="T1200" s="472">
        <f>(Table6[[#This Row],[Fault Clearance time]]-Table6[[#This Row],[Fault Start TimeStamp]])*24</f>
        <v>1.0833333333333348</v>
      </c>
      <c r="U1200" s="35" t="s">
        <v>1973</v>
      </c>
      <c r="V1200" s="102" t="s">
        <v>293</v>
      </c>
      <c r="W1200" s="478">
        <f>IFERROR(Table6[[#This Row],[Breakdown Time]]*Table6[[#This Row],[Plant Equivalent Weightage]],"")</f>
        <v>4.1666666666666713E-2</v>
      </c>
      <c r="X1200" s="473" t="s">
        <v>290</v>
      </c>
      <c r="Y1200" s="474" t="s">
        <v>97</v>
      </c>
      <c r="Z1200" s="102">
        <v>35934</v>
      </c>
      <c r="AA1200" s="468">
        <f>(Table6[[#This Row],[Paired WTG Generation for loss calculation]]/24)*Table6[[#This Row],[Breakdown Time]]</f>
        <v>1622.0208333333355</v>
      </c>
      <c r="AB1200" s="102"/>
      <c r="AC1200" s="35"/>
      <c r="AD1200" s="35"/>
    </row>
    <row r="1201" spans="1:30">
      <c r="A1201" s="102">
        <f t="shared" si="19"/>
        <v>1200</v>
      </c>
      <c r="B1201" s="468">
        <f>YEAR(Table6[[#This Row],[Date]])+IF(MONTH(Table6[[#This Row],[Date]])&gt;=4,1,0)</f>
        <v>2026</v>
      </c>
      <c r="C1201" s="102">
        <f>YEAR(Table6[[#This Row],[Date]])</f>
        <v>2025</v>
      </c>
      <c r="D1201" s="102" t="s">
        <v>1992</v>
      </c>
      <c r="E1201" s="469">
        <f>Table6[[#This Row],[Date]]-DAY(Table6[[#This Row],[Date]])+1</f>
        <v>45809</v>
      </c>
      <c r="F1201" s="470">
        <v>45824</v>
      </c>
      <c r="G1201" s="35" t="s">
        <v>96</v>
      </c>
      <c r="H1201" s="35" t="str">
        <f>IFERROR(_xlfn.XLOOKUP(Table6[[#This Row],[Affected WTG]],'Basic Data'!$A:$A,'Basic Data'!$B:$B),"")</f>
        <v>TQGXIIPL</v>
      </c>
      <c r="I1201" s="35" t="str">
        <f>IFERROR(_xlfn.XLOOKUP(Table6[[#This Row],[Affected WTG]],'Basic Data'!$A:$A,'Basic Data'!$C:$C),"")</f>
        <v>GEDA</v>
      </c>
      <c r="J1201" s="471">
        <f>IFERROR(_xlfn.XLOOKUP(Table6[[#This Row],[Affected WTG]],'Basic Data'!$A:$A,'Basic Data'!$E:$E),"")</f>
        <v>3.846153846153845E-2</v>
      </c>
      <c r="K1201" s="102">
        <v>6130</v>
      </c>
      <c r="L1201" s="35" t="str">
        <f>IFERROR(_xlfn.XLOOKUP(Table6[[#This Row],[Error Code]],'Basic Data'!$AA:$AA,'Basic Data'!$AB:$AB),"Incorrect Error Code")</f>
        <v>Yaw speed high</v>
      </c>
      <c r="M1201" s="35" t="s">
        <v>292</v>
      </c>
      <c r="N1201" s="475"/>
      <c r="O1201" s="476">
        <v>0.74861111111111112</v>
      </c>
      <c r="P1201" s="476">
        <v>0.74861111111111112</v>
      </c>
      <c r="Q1201" s="477">
        <v>0.75</v>
      </c>
      <c r="R1201" s="472">
        <f>IF(Table6[[#This Row],[Work Start TimeStamp]]="","",(Table6[[#This Row],[Work Start TimeStamp]]-Table6[[#This Row],[Fault Start TimeStamp]])*24)</f>
        <v>0</v>
      </c>
      <c r="S1201" s="472">
        <f>(Table6[[#This Row],[Fault Clearance time]]-Table6[[#This Row],[Work Start TimeStamp]])*24</f>
        <v>3.3333333333333215E-2</v>
      </c>
      <c r="T1201" s="472">
        <f>(Table6[[#This Row],[Fault Clearance time]]-Table6[[#This Row],[Fault Start TimeStamp]])*24</f>
        <v>3.3333333333333215E-2</v>
      </c>
      <c r="U1201" s="35" t="s">
        <v>336</v>
      </c>
      <c r="V1201" s="102" t="s">
        <v>293</v>
      </c>
      <c r="W1201" s="478">
        <f>IFERROR(Table6[[#This Row],[Breakdown Time]]*Table6[[#This Row],[Plant Equivalent Weightage]],"")</f>
        <v>1.2820512820512771E-3</v>
      </c>
      <c r="X1201" s="473" t="s">
        <v>294</v>
      </c>
      <c r="Y1201" s="474" t="s">
        <v>84</v>
      </c>
      <c r="Z1201" s="102">
        <v>39549</v>
      </c>
      <c r="AA1201" s="468">
        <f>(Table6[[#This Row],[Paired WTG Generation for loss calculation]]/24)*Table6[[#This Row],[Breakdown Time]]</f>
        <v>54.929166666666468</v>
      </c>
      <c r="AB1201" s="102"/>
      <c r="AC1201" s="35"/>
      <c r="AD1201" s="35"/>
    </row>
    <row r="1202" spans="1:30">
      <c r="A1202" s="102">
        <f t="shared" si="19"/>
        <v>1201</v>
      </c>
      <c r="B1202" s="468">
        <f>YEAR(Table6[[#This Row],[Date]])+IF(MONTH(Table6[[#This Row],[Date]])&gt;=4,1,0)</f>
        <v>2026</v>
      </c>
      <c r="C1202" s="102">
        <f>YEAR(Table6[[#This Row],[Date]])</f>
        <v>2025</v>
      </c>
      <c r="D1202" s="102" t="s">
        <v>1992</v>
      </c>
      <c r="E1202" s="469">
        <f>Table6[[#This Row],[Date]]-DAY(Table6[[#This Row],[Date]])+1</f>
        <v>45809</v>
      </c>
      <c r="F1202" s="470">
        <v>45824</v>
      </c>
      <c r="G1202" s="35" t="s">
        <v>96</v>
      </c>
      <c r="H1202" s="35" t="str">
        <f>IFERROR(_xlfn.XLOOKUP(Table6[[#This Row],[Affected WTG]],'Basic Data'!$A:$A,'Basic Data'!$B:$B),"")</f>
        <v>TQGXIIPL</v>
      </c>
      <c r="I1202" s="35" t="str">
        <f>IFERROR(_xlfn.XLOOKUP(Table6[[#This Row],[Affected WTG]],'Basic Data'!$A:$A,'Basic Data'!$C:$C),"")</f>
        <v>GEDA</v>
      </c>
      <c r="J1202" s="471">
        <f>IFERROR(_xlfn.XLOOKUP(Table6[[#This Row],[Affected WTG]],'Basic Data'!$A:$A,'Basic Data'!$E:$E),"")</f>
        <v>3.846153846153845E-2</v>
      </c>
      <c r="K1202" s="102">
        <v>4093</v>
      </c>
      <c r="L1202" s="35" t="str">
        <f>IFERROR(_xlfn.XLOOKUP(Table6[[#This Row],[Error Code]],'Basic Data'!$AA:$AA,'Basic Data'!$AB:$AB),"Incorrect Error Code")</f>
        <v>Rel. air hum. tower base inside too high (in operation)</v>
      </c>
      <c r="M1202" s="35" t="s">
        <v>292</v>
      </c>
      <c r="N1202" s="475"/>
      <c r="O1202" s="476">
        <v>0.9604166666666667</v>
      </c>
      <c r="P1202" s="476">
        <v>0.9604166666666667</v>
      </c>
      <c r="Q1202" s="477">
        <v>0.96250000000000002</v>
      </c>
      <c r="R1202" s="472">
        <f>IF(Table6[[#This Row],[Work Start TimeStamp]]="","",(Table6[[#This Row],[Work Start TimeStamp]]-Table6[[#This Row],[Fault Start TimeStamp]])*24)</f>
        <v>0</v>
      </c>
      <c r="S1202" s="472">
        <f>(Table6[[#This Row],[Fault Clearance time]]-Table6[[#This Row],[Work Start TimeStamp]])*24</f>
        <v>4.9999999999999822E-2</v>
      </c>
      <c r="T1202" s="472">
        <f>(Table6[[#This Row],[Fault Clearance time]]-Table6[[#This Row],[Fault Start TimeStamp]])*24</f>
        <v>4.9999999999999822E-2</v>
      </c>
      <c r="U1202" s="35" t="s">
        <v>336</v>
      </c>
      <c r="V1202" s="102" t="s">
        <v>293</v>
      </c>
      <c r="W1202" s="478">
        <f>IFERROR(Table6[[#This Row],[Breakdown Time]]*Table6[[#This Row],[Plant Equivalent Weightage]],"")</f>
        <v>1.9230769230769156E-3</v>
      </c>
      <c r="X1202" s="473" t="s">
        <v>294</v>
      </c>
      <c r="Y1202" s="474" t="s">
        <v>84</v>
      </c>
      <c r="Z1202" s="102">
        <v>39549</v>
      </c>
      <c r="AA1202" s="468">
        <f>(Table6[[#This Row],[Paired WTG Generation for loss calculation]]/24)*Table6[[#This Row],[Breakdown Time]]</f>
        <v>82.393749999999713</v>
      </c>
      <c r="AB1202" s="102"/>
      <c r="AC1202" s="35"/>
      <c r="AD1202" s="35"/>
    </row>
    <row r="1203" spans="1:30">
      <c r="A1203" s="102">
        <f t="shared" si="19"/>
        <v>1202</v>
      </c>
      <c r="B1203" s="468">
        <f>YEAR(Table6[[#This Row],[Date]])+IF(MONTH(Table6[[#This Row],[Date]])&gt;=4,1,0)</f>
        <v>2026</v>
      </c>
      <c r="C1203" s="102">
        <f>YEAR(Table6[[#This Row],[Date]])</f>
        <v>2025</v>
      </c>
      <c r="D1203" s="102" t="s">
        <v>1992</v>
      </c>
      <c r="E1203" s="469">
        <f>Table6[[#This Row],[Date]]-DAY(Table6[[#This Row],[Date]])+1</f>
        <v>45809</v>
      </c>
      <c r="F1203" s="470">
        <v>45824</v>
      </c>
      <c r="G1203" s="35" t="s">
        <v>99</v>
      </c>
      <c r="H1203" s="35" t="str">
        <f>IFERROR(_xlfn.XLOOKUP(Table6[[#This Row],[Affected WTG]],'Basic Data'!$A:$A,'Basic Data'!$B:$B),"")</f>
        <v>TQGXIIPL</v>
      </c>
      <c r="I1203" s="35" t="str">
        <f>IFERROR(_xlfn.XLOOKUP(Table6[[#This Row],[Affected WTG]],'Basic Data'!$A:$A,'Basic Data'!$C:$C),"")</f>
        <v>GEDA</v>
      </c>
      <c r="J1203" s="471">
        <f>IFERROR(_xlfn.XLOOKUP(Table6[[#This Row],[Affected WTG]],'Basic Data'!$A:$A,'Basic Data'!$E:$E),"")</f>
        <v>3.846153846153845E-2</v>
      </c>
      <c r="K1203" s="102">
        <v>675</v>
      </c>
      <c r="L1203" s="35" t="str">
        <f>IFERROR(_xlfn.XLOOKUP(Table6[[#This Row],[Error Code]],'Basic Data'!$AA:$AA,'Basic Data'!$AB:$AB),"Incorrect Error Code")</f>
        <v>Pitch measuring system 1&gt;&lt;2</v>
      </c>
      <c r="M1203" s="35" t="s">
        <v>291</v>
      </c>
      <c r="N1203" s="475"/>
      <c r="O1203" s="476">
        <v>0.33958333333333335</v>
      </c>
      <c r="P1203" s="476">
        <v>0.33958333333333335</v>
      </c>
      <c r="Q1203" s="477">
        <v>0.34930555555555554</v>
      </c>
      <c r="R1203" s="472">
        <f>IF(Table6[[#This Row],[Work Start TimeStamp]]="","",(Table6[[#This Row],[Work Start TimeStamp]]-Table6[[#This Row],[Fault Start TimeStamp]])*24)</f>
        <v>0</v>
      </c>
      <c r="S1203" s="472">
        <f>(Table6[[#This Row],[Fault Clearance time]]-Table6[[#This Row],[Work Start TimeStamp]])*24</f>
        <v>0.2333333333333325</v>
      </c>
      <c r="T1203" s="472">
        <f>(Table6[[#This Row],[Fault Clearance time]]-Table6[[#This Row],[Fault Start TimeStamp]])*24</f>
        <v>0.2333333333333325</v>
      </c>
      <c r="U1203" s="35" t="s">
        <v>1858</v>
      </c>
      <c r="V1203" s="102" t="s">
        <v>293</v>
      </c>
      <c r="W1203" s="478">
        <f>IFERROR(Table6[[#This Row],[Breakdown Time]]*Table6[[#This Row],[Plant Equivalent Weightage]],"")</f>
        <v>8.974358974358939E-3</v>
      </c>
      <c r="X1203" s="473" t="s">
        <v>294</v>
      </c>
      <c r="Y1203" s="474" t="s">
        <v>74</v>
      </c>
      <c r="Z1203" s="102">
        <v>39130</v>
      </c>
      <c r="AA1203" s="468">
        <f>(Table6[[#This Row],[Paired WTG Generation for loss calculation]]/24)*Table6[[#This Row],[Breakdown Time]]</f>
        <v>380.43055555555424</v>
      </c>
      <c r="AB1203" s="102"/>
      <c r="AC1203" s="35"/>
      <c r="AD1203" s="35"/>
    </row>
    <row r="1204" spans="1:30">
      <c r="A1204" s="102">
        <f t="shared" si="19"/>
        <v>1203</v>
      </c>
      <c r="B1204" s="468">
        <f>YEAR(Table6[[#This Row],[Date]])+IF(MONTH(Table6[[#This Row],[Date]])&gt;=4,1,0)</f>
        <v>2026</v>
      </c>
      <c r="C1204" s="102">
        <f>YEAR(Table6[[#This Row],[Date]])</f>
        <v>2025</v>
      </c>
      <c r="D1204" s="102" t="s">
        <v>1992</v>
      </c>
      <c r="E1204" s="469">
        <f>Table6[[#This Row],[Date]]-DAY(Table6[[#This Row],[Date]])+1</f>
        <v>45809</v>
      </c>
      <c r="F1204" s="470">
        <v>45825</v>
      </c>
      <c r="G1204" s="35" t="s">
        <v>74</v>
      </c>
      <c r="H1204" s="35" t="str">
        <f>IFERROR(_xlfn.XLOOKUP(Table6[[#This Row],[Affected WTG]],'Basic Data'!$A:$A,'Basic Data'!$B:$B),"")</f>
        <v>TQGXIIPL</v>
      </c>
      <c r="I1204" s="35" t="str">
        <f>IFERROR(_xlfn.XLOOKUP(Table6[[#This Row],[Affected WTG]],'Basic Data'!$A:$A,'Basic Data'!$C:$C),"")</f>
        <v>GEDA</v>
      </c>
      <c r="J1204" s="471">
        <f>IFERROR(_xlfn.XLOOKUP(Table6[[#This Row],[Affected WTG]],'Basic Data'!$A:$A,'Basic Data'!$E:$E),"")</f>
        <v>3.846153846153845E-2</v>
      </c>
      <c r="K1204" s="102">
        <v>3211</v>
      </c>
      <c r="L1204" s="35" t="str">
        <f>IFERROR(_xlfn.XLOOKUP(Table6[[#This Row],[Error Code]],'Basic Data'!$AA:$AA,'Basic Data'!$AB:$AB),"Incorrect Error Code")</f>
        <v>Conv. load shedding (CAN)</v>
      </c>
      <c r="M1204" s="35" t="s">
        <v>291</v>
      </c>
      <c r="N1204" s="475"/>
      <c r="O1204" s="476">
        <v>0.16944444444444445</v>
      </c>
      <c r="P1204" s="476">
        <v>0.16944444444444445</v>
      </c>
      <c r="Q1204" s="477">
        <v>0.17569444444444443</v>
      </c>
      <c r="R1204" s="472">
        <f>IF(Table6[[#This Row],[Work Start TimeStamp]]="","",(Table6[[#This Row],[Work Start TimeStamp]]-Table6[[#This Row],[Fault Start TimeStamp]])*24)</f>
        <v>0</v>
      </c>
      <c r="S1204" s="472">
        <f>(Table6[[#This Row],[Fault Clearance time]]-Table6[[#This Row],[Work Start TimeStamp]])*24</f>
        <v>0.14999999999999947</v>
      </c>
      <c r="T1204" s="472">
        <f>(Table6[[#This Row],[Fault Clearance time]]-Table6[[#This Row],[Fault Start TimeStamp]])*24</f>
        <v>0.14999999999999947</v>
      </c>
      <c r="U1204" s="35" t="s">
        <v>1924</v>
      </c>
      <c r="V1204" s="102" t="s">
        <v>293</v>
      </c>
      <c r="W1204" s="478">
        <f>IFERROR(Table6[[#This Row],[Breakdown Time]]*Table6[[#This Row],[Plant Equivalent Weightage]],"")</f>
        <v>5.769230769230747E-3</v>
      </c>
      <c r="X1204" s="473" t="s">
        <v>294</v>
      </c>
      <c r="Y1204" s="474" t="s">
        <v>99</v>
      </c>
      <c r="Z1204" s="102">
        <v>37582</v>
      </c>
      <c r="AA1204" s="468">
        <f>(Table6[[#This Row],[Paired WTG Generation for loss calculation]]/24)*Table6[[#This Row],[Breakdown Time]]</f>
        <v>234.88749999999916</v>
      </c>
      <c r="AB1204" s="102"/>
      <c r="AC1204" s="35"/>
      <c r="AD1204" s="35"/>
    </row>
    <row r="1205" spans="1:30">
      <c r="A1205" s="102">
        <f t="shared" si="19"/>
        <v>1204</v>
      </c>
      <c r="B1205" s="468">
        <f>YEAR(Table6[[#This Row],[Date]])+IF(MONTH(Table6[[#This Row],[Date]])&gt;=4,1,0)</f>
        <v>2026</v>
      </c>
      <c r="C1205" s="102">
        <f>YEAR(Table6[[#This Row],[Date]])</f>
        <v>2025</v>
      </c>
      <c r="D1205" s="102" t="s">
        <v>1992</v>
      </c>
      <c r="E1205" s="469">
        <f>Table6[[#This Row],[Date]]-DAY(Table6[[#This Row],[Date]])+1</f>
        <v>45809</v>
      </c>
      <c r="F1205" s="470">
        <v>45825</v>
      </c>
      <c r="G1205" s="35" t="s">
        <v>78</v>
      </c>
      <c r="H1205" s="35" t="str">
        <f>IFERROR(_xlfn.XLOOKUP(Table6[[#This Row],[Affected WTG]],'Basic Data'!$A:$A,'Basic Data'!$B:$B),"")</f>
        <v>TQGXIIPL</v>
      </c>
      <c r="I1205" s="35" t="str">
        <f>IFERROR(_xlfn.XLOOKUP(Table6[[#This Row],[Affected WTG]],'Basic Data'!$A:$A,'Basic Data'!$C:$C),"")</f>
        <v>GEDA</v>
      </c>
      <c r="J1205" s="471">
        <f>IFERROR(_xlfn.XLOOKUP(Table6[[#This Row],[Affected WTG]],'Basic Data'!$A:$A,'Basic Data'!$E:$E),"")</f>
        <v>3.846153846153845E-2</v>
      </c>
      <c r="K1205" s="102">
        <v>3211</v>
      </c>
      <c r="L1205" s="35" t="str">
        <f>IFERROR(_xlfn.XLOOKUP(Table6[[#This Row],[Error Code]],'Basic Data'!$AA:$AA,'Basic Data'!$AB:$AB),"Incorrect Error Code")</f>
        <v>Conv. load shedding (CAN)</v>
      </c>
      <c r="M1205" s="35" t="s">
        <v>291</v>
      </c>
      <c r="N1205" s="475"/>
      <c r="O1205" s="476">
        <v>3.125E-2</v>
      </c>
      <c r="P1205" s="476">
        <v>3.125E-2</v>
      </c>
      <c r="Q1205" s="477">
        <v>4.2361111111111113E-2</v>
      </c>
      <c r="R1205" s="472">
        <f>IF(Table6[[#This Row],[Work Start TimeStamp]]="","",(Table6[[#This Row],[Work Start TimeStamp]]-Table6[[#This Row],[Fault Start TimeStamp]])*24)</f>
        <v>0</v>
      </c>
      <c r="S1205" s="472">
        <f>(Table6[[#This Row],[Fault Clearance time]]-Table6[[#This Row],[Work Start TimeStamp]])*24</f>
        <v>0.26666666666666672</v>
      </c>
      <c r="T1205" s="472">
        <f>(Table6[[#This Row],[Fault Clearance time]]-Table6[[#This Row],[Fault Start TimeStamp]])*24</f>
        <v>0.26666666666666672</v>
      </c>
      <c r="U1205" s="35" t="s">
        <v>1924</v>
      </c>
      <c r="V1205" s="102" t="s">
        <v>293</v>
      </c>
      <c r="W1205" s="478">
        <f>IFERROR(Table6[[#This Row],[Breakdown Time]]*Table6[[#This Row],[Plant Equivalent Weightage]],"")</f>
        <v>1.0256410256410255E-2</v>
      </c>
      <c r="X1205" s="473" t="s">
        <v>294</v>
      </c>
      <c r="Y1205" s="474" t="s">
        <v>75</v>
      </c>
      <c r="Z1205" s="102">
        <v>42080</v>
      </c>
      <c r="AA1205" s="468">
        <f>(Table6[[#This Row],[Paired WTG Generation for loss calculation]]/24)*Table6[[#This Row],[Breakdown Time]]</f>
        <v>467.5555555555556</v>
      </c>
      <c r="AB1205" s="102"/>
      <c r="AC1205" s="35"/>
      <c r="AD1205" s="35"/>
    </row>
    <row r="1206" spans="1:30">
      <c r="A1206" s="102">
        <f t="shared" si="19"/>
        <v>1205</v>
      </c>
      <c r="B1206" s="468">
        <f>YEAR(Table6[[#This Row],[Date]])+IF(MONTH(Table6[[#This Row],[Date]])&gt;=4,1,0)</f>
        <v>2026</v>
      </c>
      <c r="C1206" s="102">
        <f>YEAR(Table6[[#This Row],[Date]])</f>
        <v>2025</v>
      </c>
      <c r="D1206" s="102" t="s">
        <v>1992</v>
      </c>
      <c r="E1206" s="469">
        <f>Table6[[#This Row],[Date]]-DAY(Table6[[#This Row],[Date]])+1</f>
        <v>45809</v>
      </c>
      <c r="F1206" s="470">
        <v>45825</v>
      </c>
      <c r="G1206" s="35" t="s">
        <v>78</v>
      </c>
      <c r="H1206" s="35" t="str">
        <f>IFERROR(_xlfn.XLOOKUP(Table6[[#This Row],[Affected WTG]],'Basic Data'!$A:$A,'Basic Data'!$B:$B),"")</f>
        <v>TQGXIIPL</v>
      </c>
      <c r="I1206" s="35" t="str">
        <f>IFERROR(_xlfn.XLOOKUP(Table6[[#This Row],[Affected WTG]],'Basic Data'!$A:$A,'Basic Data'!$C:$C),"")</f>
        <v>GEDA</v>
      </c>
      <c r="J1206" s="471">
        <f>IFERROR(_xlfn.XLOOKUP(Table6[[#This Row],[Affected WTG]],'Basic Data'!$A:$A,'Basic Data'!$E:$E),"")</f>
        <v>3.846153846153845E-2</v>
      </c>
      <c r="K1206" s="102">
        <v>3110</v>
      </c>
      <c r="L1206" s="35" t="str">
        <f>IFERROR(_xlfn.XLOOKUP(Table6[[#This Row],[Error Code]],'Basic Data'!$AA:$AA,'Basic Data'!$AB:$AB),"Incorrect Error Code")</f>
        <v>Frequency converter error</v>
      </c>
      <c r="M1206" s="35" t="s">
        <v>291</v>
      </c>
      <c r="N1206" s="475"/>
      <c r="O1206" s="476">
        <v>7.2916666666666671E-2</v>
      </c>
      <c r="P1206" s="476">
        <v>7.2916666666666671E-2</v>
      </c>
      <c r="Q1206" s="477">
        <v>8.1250000000000003E-2</v>
      </c>
      <c r="R1206" s="472">
        <f>IF(Table6[[#This Row],[Work Start TimeStamp]]="","",(Table6[[#This Row],[Work Start TimeStamp]]-Table6[[#This Row],[Fault Start TimeStamp]])*24)</f>
        <v>0</v>
      </c>
      <c r="S1206" s="472">
        <f>(Table6[[#This Row],[Fault Clearance time]]-Table6[[#This Row],[Work Start TimeStamp]])*24</f>
        <v>0.19999999999999996</v>
      </c>
      <c r="T1206" s="472">
        <f>(Table6[[#This Row],[Fault Clearance time]]-Table6[[#This Row],[Fault Start TimeStamp]])*24</f>
        <v>0.19999999999999996</v>
      </c>
      <c r="U1206" s="35" t="s">
        <v>1924</v>
      </c>
      <c r="V1206" s="102" t="s">
        <v>293</v>
      </c>
      <c r="W1206" s="478">
        <f>IFERROR(Table6[[#This Row],[Breakdown Time]]*Table6[[#This Row],[Plant Equivalent Weightage]],"")</f>
        <v>7.6923076923076884E-3</v>
      </c>
      <c r="X1206" s="473" t="s">
        <v>294</v>
      </c>
      <c r="Y1206" s="474" t="s">
        <v>75</v>
      </c>
      <c r="Z1206" s="102">
        <v>42080</v>
      </c>
      <c r="AA1206" s="468">
        <f>(Table6[[#This Row],[Paired WTG Generation for loss calculation]]/24)*Table6[[#This Row],[Breakdown Time]]</f>
        <v>350.66666666666657</v>
      </c>
      <c r="AB1206" s="102"/>
      <c r="AC1206" s="35"/>
      <c r="AD1206" s="35"/>
    </row>
    <row r="1207" spans="1:30">
      <c r="A1207" s="102">
        <f t="shared" si="19"/>
        <v>1206</v>
      </c>
      <c r="B1207" s="468">
        <f>YEAR(Table6[[#This Row],[Date]])+IF(MONTH(Table6[[#This Row],[Date]])&gt;=4,1,0)</f>
        <v>2026</v>
      </c>
      <c r="C1207" s="102">
        <f>YEAR(Table6[[#This Row],[Date]])</f>
        <v>2025</v>
      </c>
      <c r="D1207" s="102" t="s">
        <v>1992</v>
      </c>
      <c r="E1207" s="469">
        <f>Table6[[#This Row],[Date]]-DAY(Table6[[#This Row],[Date]])+1</f>
        <v>45809</v>
      </c>
      <c r="F1207" s="470">
        <v>45825</v>
      </c>
      <c r="G1207" s="35" t="s">
        <v>78</v>
      </c>
      <c r="H1207" s="35" t="str">
        <f>IFERROR(_xlfn.XLOOKUP(Table6[[#This Row],[Affected WTG]],'Basic Data'!$A:$A,'Basic Data'!$B:$B),"")</f>
        <v>TQGXIIPL</v>
      </c>
      <c r="I1207" s="35" t="str">
        <f>IFERROR(_xlfn.XLOOKUP(Table6[[#This Row],[Affected WTG]],'Basic Data'!$A:$A,'Basic Data'!$C:$C),"")</f>
        <v>GEDA</v>
      </c>
      <c r="J1207" s="471">
        <f>IFERROR(_xlfn.XLOOKUP(Table6[[#This Row],[Affected WTG]],'Basic Data'!$A:$A,'Basic Data'!$E:$E),"")</f>
        <v>3.846153846153845E-2</v>
      </c>
      <c r="K1207" s="102">
        <v>3211</v>
      </c>
      <c r="L1207" s="35" t="str">
        <f>IFERROR(_xlfn.XLOOKUP(Table6[[#This Row],[Error Code]],'Basic Data'!$AA:$AA,'Basic Data'!$AB:$AB),"Incorrect Error Code")</f>
        <v>Conv. load shedding (CAN)</v>
      </c>
      <c r="M1207" s="35" t="s">
        <v>291</v>
      </c>
      <c r="N1207" s="475"/>
      <c r="O1207" s="476">
        <v>0.19513888888888889</v>
      </c>
      <c r="P1207" s="476">
        <v>0.19513888888888889</v>
      </c>
      <c r="Q1207" s="477">
        <v>0.19791666666666666</v>
      </c>
      <c r="R1207" s="472">
        <f>IF(Table6[[#This Row],[Work Start TimeStamp]]="","",(Table6[[#This Row],[Work Start TimeStamp]]-Table6[[#This Row],[Fault Start TimeStamp]])*24)</f>
        <v>0</v>
      </c>
      <c r="S1207" s="472">
        <f>(Table6[[#This Row],[Fault Clearance time]]-Table6[[#This Row],[Work Start TimeStamp]])*24</f>
        <v>6.666666666666643E-2</v>
      </c>
      <c r="T1207" s="472">
        <f>(Table6[[#This Row],[Fault Clearance time]]-Table6[[#This Row],[Fault Start TimeStamp]])*24</f>
        <v>6.666666666666643E-2</v>
      </c>
      <c r="U1207" s="35" t="s">
        <v>1924</v>
      </c>
      <c r="V1207" s="102" t="s">
        <v>293</v>
      </c>
      <c r="W1207" s="478">
        <f>IFERROR(Table6[[#This Row],[Breakdown Time]]*Table6[[#This Row],[Plant Equivalent Weightage]],"")</f>
        <v>2.5641025641025541E-3</v>
      </c>
      <c r="X1207" s="473" t="s">
        <v>294</v>
      </c>
      <c r="Y1207" s="474" t="s">
        <v>75</v>
      </c>
      <c r="Z1207" s="102">
        <v>42080</v>
      </c>
      <c r="AA1207" s="468">
        <f>(Table6[[#This Row],[Paired WTG Generation for loss calculation]]/24)*Table6[[#This Row],[Breakdown Time]]</f>
        <v>116.88888888888847</v>
      </c>
      <c r="AB1207" s="102"/>
      <c r="AC1207" s="35"/>
      <c r="AD1207" s="35"/>
    </row>
    <row r="1208" spans="1:30">
      <c r="A1208" s="102">
        <f t="shared" si="19"/>
        <v>1207</v>
      </c>
      <c r="B1208" s="468">
        <f>YEAR(Table6[[#This Row],[Date]])+IF(MONTH(Table6[[#This Row],[Date]])&gt;=4,1,0)</f>
        <v>2026</v>
      </c>
      <c r="C1208" s="102">
        <f>YEAR(Table6[[#This Row],[Date]])</f>
        <v>2025</v>
      </c>
      <c r="D1208" s="102" t="s">
        <v>1992</v>
      </c>
      <c r="E1208" s="469">
        <f>Table6[[#This Row],[Date]]-DAY(Table6[[#This Row],[Date]])+1</f>
        <v>45809</v>
      </c>
      <c r="F1208" s="470">
        <v>45825</v>
      </c>
      <c r="G1208" s="35" t="s">
        <v>84</v>
      </c>
      <c r="H1208" s="35" t="str">
        <f>IFERROR(_xlfn.XLOOKUP(Table6[[#This Row],[Affected WTG]],'Basic Data'!$A:$A,'Basic Data'!$B:$B),"")</f>
        <v>TQGXIIPL</v>
      </c>
      <c r="I1208" s="35" t="str">
        <f>IFERROR(_xlfn.XLOOKUP(Table6[[#This Row],[Affected WTG]],'Basic Data'!$A:$A,'Basic Data'!$C:$C),"")</f>
        <v>GEDA</v>
      </c>
      <c r="J1208" s="471">
        <f>IFERROR(_xlfn.XLOOKUP(Table6[[#This Row],[Affected WTG]],'Basic Data'!$A:$A,'Basic Data'!$E:$E),"")</f>
        <v>3.846153846153845E-2</v>
      </c>
      <c r="K1208" s="102">
        <v>4540</v>
      </c>
      <c r="L1208" s="35" t="str">
        <f>IFERROR(_xlfn.XLOOKUP(Table6[[#This Row],[Error Code]],'Basic Data'!$AA:$AA,'Basic Data'!$AB:$AB),"Incorrect Error Code")</f>
        <v>Tower oscillation X level 2</v>
      </c>
      <c r="M1208" s="35" t="s">
        <v>291</v>
      </c>
      <c r="N1208" s="475"/>
      <c r="O1208" s="476">
        <v>0.12291666666666666</v>
      </c>
      <c r="P1208" s="476">
        <v>0.12291666666666666</v>
      </c>
      <c r="Q1208" s="477">
        <v>0.13402777777777777</v>
      </c>
      <c r="R1208" s="472">
        <f>IF(Table6[[#This Row],[Work Start TimeStamp]]="","",(Table6[[#This Row],[Work Start TimeStamp]]-Table6[[#This Row],[Fault Start TimeStamp]])*24)</f>
        <v>0</v>
      </c>
      <c r="S1208" s="472">
        <f>(Table6[[#This Row],[Fault Clearance time]]-Table6[[#This Row],[Work Start TimeStamp]])*24</f>
        <v>0.26666666666666672</v>
      </c>
      <c r="T1208" s="472">
        <f>(Table6[[#This Row],[Fault Clearance time]]-Table6[[#This Row],[Fault Start TimeStamp]])*24</f>
        <v>0.26666666666666672</v>
      </c>
      <c r="U1208" s="35" t="s">
        <v>1924</v>
      </c>
      <c r="V1208" s="102" t="s">
        <v>293</v>
      </c>
      <c r="W1208" s="478">
        <f>IFERROR(Table6[[#This Row],[Breakdown Time]]*Table6[[#This Row],[Plant Equivalent Weightage]],"")</f>
        <v>1.0256410256410255E-2</v>
      </c>
      <c r="X1208" s="473" t="s">
        <v>294</v>
      </c>
      <c r="Y1208" s="474" t="s">
        <v>86</v>
      </c>
      <c r="Z1208" s="102">
        <v>37389</v>
      </c>
      <c r="AA1208" s="468">
        <f>(Table6[[#This Row],[Paired WTG Generation for loss calculation]]/24)*Table6[[#This Row],[Breakdown Time]]</f>
        <v>415.43333333333339</v>
      </c>
      <c r="AB1208" s="102"/>
      <c r="AC1208" s="35"/>
      <c r="AD1208" s="35"/>
    </row>
    <row r="1209" spans="1:30">
      <c r="A1209" s="102">
        <f t="shared" si="19"/>
        <v>1208</v>
      </c>
      <c r="B1209" s="468">
        <f>YEAR(Table6[[#This Row],[Date]])+IF(MONTH(Table6[[#This Row],[Date]])&gt;=4,1,0)</f>
        <v>2026</v>
      </c>
      <c r="C1209" s="102">
        <f>YEAR(Table6[[#This Row],[Date]])</f>
        <v>2025</v>
      </c>
      <c r="D1209" s="102" t="s">
        <v>1992</v>
      </c>
      <c r="E1209" s="469">
        <f>Table6[[#This Row],[Date]]-DAY(Table6[[#This Row],[Date]])+1</f>
        <v>45809</v>
      </c>
      <c r="F1209" s="470">
        <v>45825</v>
      </c>
      <c r="G1209" s="35" t="s">
        <v>85</v>
      </c>
      <c r="H1209" s="35" t="str">
        <f>IFERROR(_xlfn.XLOOKUP(Table6[[#This Row],[Affected WTG]],'Basic Data'!$A:$A,'Basic Data'!$B:$B),"")</f>
        <v>TQGXIIPL</v>
      </c>
      <c r="I1209" s="35" t="str">
        <f>IFERROR(_xlfn.XLOOKUP(Table6[[#This Row],[Affected WTG]],'Basic Data'!$A:$A,'Basic Data'!$C:$C),"")</f>
        <v>GEDA</v>
      </c>
      <c r="J1209" s="471">
        <f>IFERROR(_xlfn.XLOOKUP(Table6[[#This Row],[Affected WTG]],'Basic Data'!$A:$A,'Basic Data'!$E:$E),"")</f>
        <v>3.846153846153845E-2</v>
      </c>
      <c r="K1209" s="102">
        <v>55</v>
      </c>
      <c r="L1209" s="35" t="str">
        <f>IFERROR(_xlfn.XLOOKUP(Table6[[#This Row],[Error Code]],'Basic Data'!$AA:$AA,'Basic Data'!$AB:$AB),"Incorrect Error Code")</f>
        <v>WTG shut down</v>
      </c>
      <c r="M1209" s="35" t="s">
        <v>295</v>
      </c>
      <c r="N1209" s="475"/>
      <c r="O1209" s="476">
        <v>0</v>
      </c>
      <c r="P1209" s="476">
        <v>0</v>
      </c>
      <c r="Q1209" s="477">
        <v>0.99998842592592596</v>
      </c>
      <c r="R1209" s="472">
        <f>IF(Table6[[#This Row],[Work Start TimeStamp]]="","",(Table6[[#This Row],[Work Start TimeStamp]]-Table6[[#This Row],[Fault Start TimeStamp]])*24)</f>
        <v>0</v>
      </c>
      <c r="S1209" s="472">
        <f>(Table6[[#This Row],[Fault Clearance time]]-Table6[[#This Row],[Work Start TimeStamp]])*24</f>
        <v>23.999722222222225</v>
      </c>
      <c r="T1209" s="472">
        <f>(Table6[[#This Row],[Fault Clearance time]]-Table6[[#This Row],[Fault Start TimeStamp]])*24</f>
        <v>23.999722222222225</v>
      </c>
      <c r="U1209" s="35" t="s">
        <v>1978</v>
      </c>
      <c r="V1209" s="102" t="s">
        <v>335</v>
      </c>
      <c r="W1209" s="478">
        <f>IFERROR(Table6[[#This Row],[Breakdown Time]]*Table6[[#This Row],[Plant Equivalent Weightage]],"")</f>
        <v>0.9230662393162391</v>
      </c>
      <c r="X1209" s="473" t="s">
        <v>290</v>
      </c>
      <c r="Y1209" s="474" t="s">
        <v>87</v>
      </c>
      <c r="Z1209" s="102">
        <v>38123</v>
      </c>
      <c r="AA1209" s="468">
        <f>(Table6[[#This Row],[Paired WTG Generation for loss calculation]]/24)*Table6[[#This Row],[Breakdown Time]]</f>
        <v>38122.558761574073</v>
      </c>
      <c r="AB1209" s="102"/>
      <c r="AC1209" s="35"/>
      <c r="AD1209" s="35"/>
    </row>
    <row r="1210" spans="1:30">
      <c r="A1210" s="102">
        <f t="shared" si="19"/>
        <v>1209</v>
      </c>
      <c r="B1210" s="468">
        <f>YEAR(Table6[[#This Row],[Date]])+IF(MONTH(Table6[[#This Row],[Date]])&gt;=4,1,0)</f>
        <v>2026</v>
      </c>
      <c r="C1210" s="102">
        <f>YEAR(Table6[[#This Row],[Date]])</f>
        <v>2025</v>
      </c>
      <c r="D1210" s="102" t="s">
        <v>1992</v>
      </c>
      <c r="E1210" s="469">
        <f>Table6[[#This Row],[Date]]-DAY(Table6[[#This Row],[Date]])+1</f>
        <v>45809</v>
      </c>
      <c r="F1210" s="470">
        <v>45825</v>
      </c>
      <c r="G1210" s="35" t="s">
        <v>90</v>
      </c>
      <c r="H1210" s="35" t="str">
        <f>IFERROR(_xlfn.XLOOKUP(Table6[[#This Row],[Affected WTG]],'Basic Data'!$A:$A,'Basic Data'!$B:$B),"")</f>
        <v>TQGXIIPL</v>
      </c>
      <c r="I1210" s="35" t="str">
        <f>IFERROR(_xlfn.XLOOKUP(Table6[[#This Row],[Affected WTG]],'Basic Data'!$A:$A,'Basic Data'!$C:$C),"")</f>
        <v>GEDA</v>
      </c>
      <c r="J1210" s="471">
        <f>IFERROR(_xlfn.XLOOKUP(Table6[[#This Row],[Affected WTG]],'Basic Data'!$A:$A,'Basic Data'!$E:$E),"")</f>
        <v>3.846153846153845E-2</v>
      </c>
      <c r="K1210" s="102">
        <v>3211</v>
      </c>
      <c r="L1210" s="35" t="str">
        <f>IFERROR(_xlfn.XLOOKUP(Table6[[#This Row],[Error Code]],'Basic Data'!$AA:$AA,'Basic Data'!$AB:$AB),"Incorrect Error Code")</f>
        <v>Conv. load shedding (CAN)</v>
      </c>
      <c r="M1210" s="35" t="s">
        <v>291</v>
      </c>
      <c r="N1210" s="475"/>
      <c r="O1210" s="476">
        <v>4.5138888888888888E-2</v>
      </c>
      <c r="P1210" s="476">
        <v>4.5138888888888888E-2</v>
      </c>
      <c r="Q1210" s="477">
        <v>5.6944444444444443E-2</v>
      </c>
      <c r="R1210" s="472">
        <f>IF(Table6[[#This Row],[Work Start TimeStamp]]="","",(Table6[[#This Row],[Work Start TimeStamp]]-Table6[[#This Row],[Fault Start TimeStamp]])*24)</f>
        <v>0</v>
      </c>
      <c r="S1210" s="472">
        <f>(Table6[[#This Row],[Fault Clearance time]]-Table6[[#This Row],[Work Start TimeStamp]])*24</f>
        <v>0.28333333333333333</v>
      </c>
      <c r="T1210" s="472">
        <f>(Table6[[#This Row],[Fault Clearance time]]-Table6[[#This Row],[Fault Start TimeStamp]])*24</f>
        <v>0.28333333333333333</v>
      </c>
      <c r="U1210" s="35" t="s">
        <v>1924</v>
      </c>
      <c r="V1210" s="102" t="s">
        <v>293</v>
      </c>
      <c r="W1210" s="478">
        <f>IFERROR(Table6[[#This Row],[Breakdown Time]]*Table6[[#This Row],[Plant Equivalent Weightage]],"")</f>
        <v>1.0897435897435893E-2</v>
      </c>
      <c r="X1210" s="473" t="s">
        <v>294</v>
      </c>
      <c r="Y1210" s="474" t="s">
        <v>95</v>
      </c>
      <c r="Z1210" s="102">
        <v>38185</v>
      </c>
      <c r="AA1210" s="468">
        <f>(Table6[[#This Row],[Paired WTG Generation for loss calculation]]/24)*Table6[[#This Row],[Breakdown Time]]</f>
        <v>450.79513888888891</v>
      </c>
      <c r="AB1210" s="102"/>
      <c r="AC1210" s="35"/>
      <c r="AD1210" s="35"/>
    </row>
    <row r="1211" spans="1:30">
      <c r="A1211" s="102">
        <f t="shared" si="19"/>
        <v>1210</v>
      </c>
      <c r="B1211" s="468">
        <f>YEAR(Table6[[#This Row],[Date]])+IF(MONTH(Table6[[#This Row],[Date]])&gt;=4,1,0)</f>
        <v>2026</v>
      </c>
      <c r="C1211" s="102">
        <f>YEAR(Table6[[#This Row],[Date]])</f>
        <v>2025</v>
      </c>
      <c r="D1211" s="102" t="s">
        <v>1992</v>
      </c>
      <c r="E1211" s="469">
        <f>Table6[[#This Row],[Date]]-DAY(Table6[[#This Row],[Date]])+1</f>
        <v>45809</v>
      </c>
      <c r="F1211" s="470">
        <v>45825</v>
      </c>
      <c r="G1211" s="35" t="s">
        <v>90</v>
      </c>
      <c r="H1211" s="35" t="str">
        <f>IFERROR(_xlfn.XLOOKUP(Table6[[#This Row],[Affected WTG]],'Basic Data'!$A:$A,'Basic Data'!$B:$B),"")</f>
        <v>TQGXIIPL</v>
      </c>
      <c r="I1211" s="35" t="str">
        <f>IFERROR(_xlfn.XLOOKUP(Table6[[#This Row],[Affected WTG]],'Basic Data'!$A:$A,'Basic Data'!$C:$C),"")</f>
        <v>GEDA</v>
      </c>
      <c r="J1211" s="471">
        <f>IFERROR(_xlfn.XLOOKUP(Table6[[#This Row],[Affected WTG]],'Basic Data'!$A:$A,'Basic Data'!$E:$E),"")</f>
        <v>3.846153846153845E-2</v>
      </c>
      <c r="K1211" s="102">
        <v>3110</v>
      </c>
      <c r="L1211" s="35" t="str">
        <f>IFERROR(_xlfn.XLOOKUP(Table6[[#This Row],[Error Code]],'Basic Data'!$AA:$AA,'Basic Data'!$AB:$AB),"Incorrect Error Code")</f>
        <v>Frequency converter error</v>
      </c>
      <c r="M1211" s="35" t="s">
        <v>291</v>
      </c>
      <c r="N1211" s="475"/>
      <c r="O1211" s="476">
        <v>0.1701388888888889</v>
      </c>
      <c r="P1211" s="476">
        <v>0.1701388888888889</v>
      </c>
      <c r="Q1211" s="477">
        <v>0.18124999999999999</v>
      </c>
      <c r="R1211" s="472">
        <f>IF(Table6[[#This Row],[Work Start TimeStamp]]="","",(Table6[[#This Row],[Work Start TimeStamp]]-Table6[[#This Row],[Fault Start TimeStamp]])*24)</f>
        <v>0</v>
      </c>
      <c r="S1211" s="472">
        <f>(Table6[[#This Row],[Fault Clearance time]]-Table6[[#This Row],[Work Start TimeStamp]])*24</f>
        <v>0.26666666666666639</v>
      </c>
      <c r="T1211" s="472">
        <f>(Table6[[#This Row],[Fault Clearance time]]-Table6[[#This Row],[Fault Start TimeStamp]])*24</f>
        <v>0.26666666666666639</v>
      </c>
      <c r="U1211" s="35" t="s">
        <v>1924</v>
      </c>
      <c r="V1211" s="102" t="s">
        <v>293</v>
      </c>
      <c r="W1211" s="478">
        <f>IFERROR(Table6[[#This Row],[Breakdown Time]]*Table6[[#This Row],[Plant Equivalent Weightage]],"")</f>
        <v>1.0256410256410243E-2</v>
      </c>
      <c r="X1211" s="473" t="s">
        <v>294</v>
      </c>
      <c r="Y1211" s="474" t="s">
        <v>95</v>
      </c>
      <c r="Z1211" s="102">
        <v>38185</v>
      </c>
      <c r="AA1211" s="468">
        <f>(Table6[[#This Row],[Paired WTG Generation for loss calculation]]/24)*Table6[[#This Row],[Breakdown Time]]</f>
        <v>424.27777777777737</v>
      </c>
      <c r="AB1211" s="102"/>
      <c r="AC1211" s="35"/>
      <c r="AD1211" s="35"/>
    </row>
    <row r="1212" spans="1:30">
      <c r="A1212" s="102">
        <f t="shared" si="19"/>
        <v>1211</v>
      </c>
      <c r="B1212" s="468">
        <f>YEAR(Table6[[#This Row],[Date]])+IF(MONTH(Table6[[#This Row],[Date]])&gt;=4,1,0)</f>
        <v>2026</v>
      </c>
      <c r="C1212" s="102">
        <f>YEAR(Table6[[#This Row],[Date]])</f>
        <v>2025</v>
      </c>
      <c r="D1212" s="102" t="s">
        <v>1992</v>
      </c>
      <c r="E1212" s="469">
        <f>Table6[[#This Row],[Date]]-DAY(Table6[[#This Row],[Date]])+1</f>
        <v>45809</v>
      </c>
      <c r="F1212" s="470">
        <v>45825</v>
      </c>
      <c r="G1212" s="35" t="s">
        <v>96</v>
      </c>
      <c r="H1212" s="35" t="str">
        <f>IFERROR(_xlfn.XLOOKUP(Table6[[#This Row],[Affected WTG]],'Basic Data'!$A:$A,'Basic Data'!$B:$B),"")</f>
        <v>TQGXIIPL</v>
      </c>
      <c r="I1212" s="35" t="str">
        <f>IFERROR(_xlfn.XLOOKUP(Table6[[#This Row],[Affected WTG]],'Basic Data'!$A:$A,'Basic Data'!$C:$C),"")</f>
        <v>GEDA</v>
      </c>
      <c r="J1212" s="471">
        <f>IFERROR(_xlfn.XLOOKUP(Table6[[#This Row],[Affected WTG]],'Basic Data'!$A:$A,'Basic Data'!$E:$E),"")</f>
        <v>3.846153846153845E-2</v>
      </c>
      <c r="K1212" s="102">
        <v>4093</v>
      </c>
      <c r="L1212" s="35" t="str">
        <f>IFERROR(_xlfn.XLOOKUP(Table6[[#This Row],[Error Code]],'Basic Data'!$AA:$AA,'Basic Data'!$AB:$AB),"Incorrect Error Code")</f>
        <v>Rel. air hum. tower base inside too high (in operation)</v>
      </c>
      <c r="M1212" s="35" t="s">
        <v>291</v>
      </c>
      <c r="N1212" s="475"/>
      <c r="O1212" s="476">
        <v>0.28819444444444442</v>
      </c>
      <c r="P1212" s="476">
        <v>0.28819444444444442</v>
      </c>
      <c r="Q1212" s="477">
        <v>0.29097222222222224</v>
      </c>
      <c r="R1212" s="472">
        <f>IF(Table6[[#This Row],[Work Start TimeStamp]]="","",(Table6[[#This Row],[Work Start TimeStamp]]-Table6[[#This Row],[Fault Start TimeStamp]])*24)</f>
        <v>0</v>
      </c>
      <c r="S1212" s="472">
        <f>(Table6[[#This Row],[Fault Clearance time]]-Table6[[#This Row],[Work Start TimeStamp]])*24</f>
        <v>6.6666666666667762E-2</v>
      </c>
      <c r="T1212" s="472">
        <f>(Table6[[#This Row],[Fault Clearance time]]-Table6[[#This Row],[Fault Start TimeStamp]])*24</f>
        <v>6.6666666666667762E-2</v>
      </c>
      <c r="U1212" s="35" t="s">
        <v>1924</v>
      </c>
      <c r="V1212" s="102" t="s">
        <v>293</v>
      </c>
      <c r="W1212" s="478">
        <f>IFERROR(Table6[[#This Row],[Breakdown Time]]*Table6[[#This Row],[Plant Equivalent Weightage]],"")</f>
        <v>2.5641025641026053E-3</v>
      </c>
      <c r="X1212" s="473" t="s">
        <v>294</v>
      </c>
      <c r="Y1212" s="474" t="s">
        <v>84</v>
      </c>
      <c r="Z1212" s="102">
        <v>36162</v>
      </c>
      <c r="AA1212" s="468">
        <f>(Table6[[#This Row],[Paired WTG Generation for loss calculation]]/24)*Table6[[#This Row],[Breakdown Time]]</f>
        <v>100.45000000000165</v>
      </c>
      <c r="AB1212" s="102"/>
      <c r="AC1212" s="35"/>
      <c r="AD1212" s="35"/>
    </row>
    <row r="1213" spans="1:30">
      <c r="A1213" s="102">
        <f t="shared" si="19"/>
        <v>1212</v>
      </c>
      <c r="B1213" s="468">
        <f>YEAR(Table6[[#This Row],[Date]])+IF(MONTH(Table6[[#This Row],[Date]])&gt;=4,1,0)</f>
        <v>2026</v>
      </c>
      <c r="C1213" s="102">
        <f>YEAR(Table6[[#This Row],[Date]])</f>
        <v>2025</v>
      </c>
      <c r="D1213" s="102" t="s">
        <v>1992</v>
      </c>
      <c r="E1213" s="469">
        <f>Table6[[#This Row],[Date]]-DAY(Table6[[#This Row],[Date]])+1</f>
        <v>45809</v>
      </c>
      <c r="F1213" s="470">
        <v>45825</v>
      </c>
      <c r="G1213" s="35" t="s">
        <v>98</v>
      </c>
      <c r="H1213" s="35" t="str">
        <f>IFERROR(_xlfn.XLOOKUP(Table6[[#This Row],[Affected WTG]],'Basic Data'!$A:$A,'Basic Data'!$B:$B),"")</f>
        <v>TQGXIIPL</v>
      </c>
      <c r="I1213" s="35" t="str">
        <f>IFERROR(_xlfn.XLOOKUP(Table6[[#This Row],[Affected WTG]],'Basic Data'!$A:$A,'Basic Data'!$C:$C),"")</f>
        <v>GEDA</v>
      </c>
      <c r="J1213" s="471">
        <f>IFERROR(_xlfn.XLOOKUP(Table6[[#This Row],[Affected WTG]],'Basic Data'!$A:$A,'Basic Data'!$E:$E),"")</f>
        <v>3.846153846153845E-2</v>
      </c>
      <c r="K1213" s="102">
        <v>3211</v>
      </c>
      <c r="L1213" s="35" t="str">
        <f>IFERROR(_xlfn.XLOOKUP(Table6[[#This Row],[Error Code]],'Basic Data'!$AA:$AA,'Basic Data'!$AB:$AB),"Incorrect Error Code")</f>
        <v>Conv. load shedding (CAN)</v>
      </c>
      <c r="M1213" s="35" t="s">
        <v>291</v>
      </c>
      <c r="N1213" s="475"/>
      <c r="O1213" s="476">
        <v>1.5277777777777777E-2</v>
      </c>
      <c r="P1213" s="476">
        <v>1.5277777777777777E-2</v>
      </c>
      <c r="Q1213" s="477">
        <v>2.9861111111111113E-2</v>
      </c>
      <c r="R1213" s="472">
        <f>IF(Table6[[#This Row],[Work Start TimeStamp]]="","",(Table6[[#This Row],[Work Start TimeStamp]]-Table6[[#This Row],[Fault Start TimeStamp]])*24)</f>
        <v>0</v>
      </c>
      <c r="S1213" s="472">
        <f>(Table6[[#This Row],[Fault Clearance time]]-Table6[[#This Row],[Work Start TimeStamp]])*24</f>
        <v>0.35000000000000003</v>
      </c>
      <c r="T1213" s="472">
        <f>(Table6[[#This Row],[Fault Clearance time]]-Table6[[#This Row],[Fault Start TimeStamp]])*24</f>
        <v>0.35000000000000003</v>
      </c>
      <c r="U1213" s="35" t="s">
        <v>1924</v>
      </c>
      <c r="V1213" s="102" t="s">
        <v>293</v>
      </c>
      <c r="W1213" s="478">
        <f>IFERROR(Table6[[#This Row],[Breakdown Time]]*Table6[[#This Row],[Plant Equivalent Weightage]],"")</f>
        <v>1.3461538461538459E-2</v>
      </c>
      <c r="X1213" s="473" t="s">
        <v>294</v>
      </c>
      <c r="Y1213" s="474" t="s">
        <v>74</v>
      </c>
      <c r="Z1213" s="102">
        <v>37729</v>
      </c>
      <c r="AA1213" s="468">
        <f>(Table6[[#This Row],[Paired WTG Generation for loss calculation]]/24)*Table6[[#This Row],[Breakdown Time]]</f>
        <v>550.21458333333339</v>
      </c>
      <c r="AB1213" s="102"/>
      <c r="AC1213" s="35"/>
      <c r="AD1213" s="35"/>
    </row>
    <row r="1214" spans="1:30">
      <c r="A1214" s="102">
        <f t="shared" si="19"/>
        <v>1213</v>
      </c>
      <c r="B1214" s="468">
        <f>YEAR(Table6[[#This Row],[Date]])+IF(MONTH(Table6[[#This Row],[Date]])&gt;=4,1,0)</f>
        <v>2026</v>
      </c>
      <c r="C1214" s="102">
        <f>YEAR(Table6[[#This Row],[Date]])</f>
        <v>2025</v>
      </c>
      <c r="D1214" s="102" t="s">
        <v>1992</v>
      </c>
      <c r="E1214" s="469">
        <f>Table6[[#This Row],[Date]]-DAY(Table6[[#This Row],[Date]])+1</f>
        <v>45809</v>
      </c>
      <c r="F1214" s="470">
        <v>45825</v>
      </c>
      <c r="G1214" s="35" t="s">
        <v>98</v>
      </c>
      <c r="H1214" s="35" t="str">
        <f>IFERROR(_xlfn.XLOOKUP(Table6[[#This Row],[Affected WTG]],'Basic Data'!$A:$A,'Basic Data'!$B:$B),"")</f>
        <v>TQGXIIPL</v>
      </c>
      <c r="I1214" s="35" t="str">
        <f>IFERROR(_xlfn.XLOOKUP(Table6[[#This Row],[Affected WTG]],'Basic Data'!$A:$A,'Basic Data'!$C:$C),"")</f>
        <v>GEDA</v>
      </c>
      <c r="J1214" s="471">
        <f>IFERROR(_xlfn.XLOOKUP(Table6[[#This Row],[Affected WTG]],'Basic Data'!$A:$A,'Basic Data'!$E:$E),"")</f>
        <v>3.846153846153845E-2</v>
      </c>
      <c r="K1214" s="102">
        <v>3211</v>
      </c>
      <c r="L1214" s="35" t="str">
        <f>IFERROR(_xlfn.XLOOKUP(Table6[[#This Row],[Error Code]],'Basic Data'!$AA:$AA,'Basic Data'!$AB:$AB),"Incorrect Error Code")</f>
        <v>Conv. load shedding (CAN)</v>
      </c>
      <c r="M1214" s="35" t="s">
        <v>291</v>
      </c>
      <c r="N1214" s="475"/>
      <c r="O1214" s="476">
        <v>8.8888888888888892E-2</v>
      </c>
      <c r="P1214" s="476">
        <v>8.8888888888888892E-2</v>
      </c>
      <c r="Q1214" s="477">
        <v>9.6527777777777782E-2</v>
      </c>
      <c r="R1214" s="472">
        <f>IF(Table6[[#This Row],[Work Start TimeStamp]]="","",(Table6[[#This Row],[Work Start TimeStamp]]-Table6[[#This Row],[Fault Start TimeStamp]])*24)</f>
        <v>0</v>
      </c>
      <c r="S1214" s="472">
        <f>(Table6[[#This Row],[Fault Clearance time]]-Table6[[#This Row],[Work Start TimeStamp]])*24</f>
        <v>0.18333333333333335</v>
      </c>
      <c r="T1214" s="472">
        <f>(Table6[[#This Row],[Fault Clearance time]]-Table6[[#This Row],[Fault Start TimeStamp]])*24</f>
        <v>0.18333333333333335</v>
      </c>
      <c r="U1214" s="35" t="s">
        <v>1924</v>
      </c>
      <c r="V1214" s="102" t="s">
        <v>293</v>
      </c>
      <c r="W1214" s="478">
        <f>IFERROR(Table6[[#This Row],[Breakdown Time]]*Table6[[#This Row],[Plant Equivalent Weightage]],"")</f>
        <v>7.0512820512820496E-3</v>
      </c>
      <c r="X1214" s="473" t="s">
        <v>294</v>
      </c>
      <c r="Y1214" s="474" t="s">
        <v>74</v>
      </c>
      <c r="Z1214" s="102">
        <v>37729</v>
      </c>
      <c r="AA1214" s="468">
        <f>(Table6[[#This Row],[Paired WTG Generation for loss calculation]]/24)*Table6[[#This Row],[Breakdown Time]]</f>
        <v>288.20763888888894</v>
      </c>
      <c r="AB1214" s="102"/>
      <c r="AC1214" s="35"/>
      <c r="AD1214" s="35"/>
    </row>
    <row r="1215" spans="1:30">
      <c r="A1215" s="102">
        <f t="shared" si="19"/>
        <v>1214</v>
      </c>
      <c r="B1215" s="468">
        <f>YEAR(Table6[[#This Row],[Date]])+IF(MONTH(Table6[[#This Row],[Date]])&gt;=4,1,0)</f>
        <v>2026</v>
      </c>
      <c r="C1215" s="102">
        <f>YEAR(Table6[[#This Row],[Date]])</f>
        <v>2025</v>
      </c>
      <c r="D1215" s="102" t="s">
        <v>1992</v>
      </c>
      <c r="E1215" s="469">
        <f>Table6[[#This Row],[Date]]-DAY(Table6[[#This Row],[Date]])+1</f>
        <v>45809</v>
      </c>
      <c r="F1215" s="470">
        <v>45826</v>
      </c>
      <c r="G1215" s="35" t="s">
        <v>76</v>
      </c>
      <c r="H1215" s="35" t="str">
        <f>IFERROR(_xlfn.XLOOKUP(Table6[[#This Row],[Affected WTG]],'Basic Data'!$A:$A,'Basic Data'!$B:$B),"")</f>
        <v>TQGXIIPL</v>
      </c>
      <c r="I1215" s="35" t="str">
        <f>IFERROR(_xlfn.XLOOKUP(Table6[[#This Row],[Affected WTG]],'Basic Data'!$A:$A,'Basic Data'!$C:$C),"")</f>
        <v>GEDA</v>
      </c>
      <c r="J1215" s="471">
        <f>IFERROR(_xlfn.XLOOKUP(Table6[[#This Row],[Affected WTG]],'Basic Data'!$A:$A,'Basic Data'!$E:$E),"")</f>
        <v>3.846153846153845E-2</v>
      </c>
      <c r="K1215" s="102">
        <v>520</v>
      </c>
      <c r="L1215" s="35" t="str">
        <f>IFERROR(_xlfn.XLOOKUP(Table6[[#This Row],[Error Code]],'Basic Data'!$AA:$AA,'Basic Data'!$AB:$AB),"Incorrect Error Code")</f>
        <v>Overload axis 1</v>
      </c>
      <c r="M1215" s="35" t="s">
        <v>291</v>
      </c>
      <c r="N1215" s="475"/>
      <c r="O1215" s="476">
        <v>3.8194444444444448E-2</v>
      </c>
      <c r="P1215" s="476">
        <v>3.8194444444444448E-2</v>
      </c>
      <c r="Q1215" s="477">
        <v>4.4444444444444446E-2</v>
      </c>
      <c r="R1215" s="472">
        <f>IF(Table6[[#This Row],[Work Start TimeStamp]]="","",(Table6[[#This Row],[Work Start TimeStamp]]-Table6[[#This Row],[Fault Start TimeStamp]])*24)</f>
        <v>0</v>
      </c>
      <c r="S1215" s="472">
        <f>(Table6[[#This Row],[Fault Clearance time]]-Table6[[#This Row],[Work Start TimeStamp]])*24</f>
        <v>0.14999999999999997</v>
      </c>
      <c r="T1215" s="472">
        <f>(Table6[[#This Row],[Fault Clearance time]]-Table6[[#This Row],[Fault Start TimeStamp]])*24</f>
        <v>0.14999999999999997</v>
      </c>
      <c r="U1215" s="35" t="s">
        <v>1924</v>
      </c>
      <c r="V1215" s="102" t="s">
        <v>293</v>
      </c>
      <c r="W1215" s="478">
        <f>IFERROR(Table6[[#This Row],[Breakdown Time]]*Table6[[#This Row],[Plant Equivalent Weightage]],"")</f>
        <v>5.7692307692307661E-3</v>
      </c>
      <c r="X1215" s="473" t="s">
        <v>294</v>
      </c>
      <c r="Y1215" s="474" t="s">
        <v>82</v>
      </c>
      <c r="Z1215" s="102">
        <v>43011</v>
      </c>
      <c r="AA1215" s="468">
        <f>(Table6[[#This Row],[Paired WTG Generation for loss calculation]]/24)*Table6[[#This Row],[Breakdown Time]]</f>
        <v>268.81874999999997</v>
      </c>
      <c r="AB1215" s="102"/>
      <c r="AC1215" s="35"/>
      <c r="AD1215" s="35"/>
    </row>
    <row r="1216" spans="1:30">
      <c r="A1216" s="102">
        <f t="shared" si="19"/>
        <v>1215</v>
      </c>
      <c r="B1216" s="468">
        <f>YEAR(Table6[[#This Row],[Date]])+IF(MONTH(Table6[[#This Row],[Date]])&gt;=4,1,0)</f>
        <v>2026</v>
      </c>
      <c r="C1216" s="102">
        <f>YEAR(Table6[[#This Row],[Date]])</f>
        <v>2025</v>
      </c>
      <c r="D1216" s="102" t="s">
        <v>1992</v>
      </c>
      <c r="E1216" s="469">
        <f>Table6[[#This Row],[Date]]-DAY(Table6[[#This Row],[Date]])+1</f>
        <v>45809</v>
      </c>
      <c r="F1216" s="470">
        <v>45826</v>
      </c>
      <c r="G1216" s="35" t="s">
        <v>81</v>
      </c>
      <c r="H1216" s="35" t="str">
        <f>IFERROR(_xlfn.XLOOKUP(Table6[[#This Row],[Affected WTG]],'Basic Data'!$A:$A,'Basic Data'!$B:$B),"")</f>
        <v>TQGXIIPL</v>
      </c>
      <c r="I1216" s="35" t="str">
        <f>IFERROR(_xlfn.XLOOKUP(Table6[[#This Row],[Affected WTG]],'Basic Data'!$A:$A,'Basic Data'!$C:$C),"")</f>
        <v>GEDA</v>
      </c>
      <c r="J1216" s="471">
        <f>IFERROR(_xlfn.XLOOKUP(Table6[[#This Row],[Affected WTG]],'Basic Data'!$A:$A,'Basic Data'!$E:$E),"")</f>
        <v>3.846153846153845E-2</v>
      </c>
      <c r="K1216" s="102">
        <v>641</v>
      </c>
      <c r="L1216" s="35" t="str">
        <f>IFERROR(_xlfn.XLOOKUP(Table6[[#This Row],[Error Code]],'Basic Data'!$AA:$AA,'Basic Data'!$AB:$AB),"Incorrect Error Code")</f>
        <v>Sim.angle E enc. &lt;&gt; act.angle 1</v>
      </c>
      <c r="M1216" s="35" t="s">
        <v>291</v>
      </c>
      <c r="N1216" s="475"/>
      <c r="O1216" s="476">
        <v>0.77708333333333335</v>
      </c>
      <c r="P1216" s="476">
        <v>0.77708333333333335</v>
      </c>
      <c r="Q1216" s="477">
        <v>0.81458333333333333</v>
      </c>
      <c r="R1216" s="472">
        <f>IF(Table6[[#This Row],[Work Start TimeStamp]]="","",(Table6[[#This Row],[Work Start TimeStamp]]-Table6[[#This Row],[Fault Start TimeStamp]])*24)</f>
        <v>0</v>
      </c>
      <c r="S1216" s="472">
        <f>(Table6[[#This Row],[Fault Clearance time]]-Table6[[#This Row],[Work Start TimeStamp]])*24</f>
        <v>0.89999999999999947</v>
      </c>
      <c r="T1216" s="472">
        <f>(Table6[[#This Row],[Fault Clearance time]]-Table6[[#This Row],[Fault Start TimeStamp]])*24</f>
        <v>0.89999999999999947</v>
      </c>
      <c r="U1216" s="35" t="s">
        <v>1979</v>
      </c>
      <c r="V1216" s="102" t="s">
        <v>293</v>
      </c>
      <c r="W1216" s="478">
        <f>IFERROR(Table6[[#This Row],[Breakdown Time]]*Table6[[#This Row],[Plant Equivalent Weightage]],"")</f>
        <v>3.4615384615384583E-2</v>
      </c>
      <c r="X1216" s="473" t="s">
        <v>294</v>
      </c>
      <c r="Y1216" s="474" t="s">
        <v>99</v>
      </c>
      <c r="Z1216" s="102">
        <v>46495</v>
      </c>
      <c r="AA1216" s="468">
        <f>(Table6[[#This Row],[Paired WTG Generation for loss calculation]]/24)*Table6[[#This Row],[Breakdown Time]]</f>
        <v>1743.5624999999991</v>
      </c>
      <c r="AB1216" s="102"/>
      <c r="AC1216" s="35"/>
      <c r="AD1216" s="35"/>
    </row>
    <row r="1217" spans="1:30">
      <c r="A1217" s="102">
        <f t="shared" si="19"/>
        <v>1216</v>
      </c>
      <c r="B1217" s="468">
        <f>YEAR(Table6[[#This Row],[Date]])+IF(MONTH(Table6[[#This Row],[Date]])&gt;=4,1,0)</f>
        <v>2026</v>
      </c>
      <c r="C1217" s="102">
        <f>YEAR(Table6[[#This Row],[Date]])</f>
        <v>2025</v>
      </c>
      <c r="D1217" s="102" t="s">
        <v>1992</v>
      </c>
      <c r="E1217" s="469">
        <f>Table6[[#This Row],[Date]]-DAY(Table6[[#This Row],[Date]])+1</f>
        <v>45809</v>
      </c>
      <c r="F1217" s="470">
        <v>45826</v>
      </c>
      <c r="G1217" s="35" t="s">
        <v>81</v>
      </c>
      <c r="H1217" s="35" t="str">
        <f>IFERROR(_xlfn.XLOOKUP(Table6[[#This Row],[Affected WTG]],'Basic Data'!$A:$A,'Basic Data'!$B:$B),"")</f>
        <v>TQGXIIPL</v>
      </c>
      <c r="I1217" s="35" t="str">
        <f>IFERROR(_xlfn.XLOOKUP(Table6[[#This Row],[Affected WTG]],'Basic Data'!$A:$A,'Basic Data'!$C:$C),"")</f>
        <v>GEDA</v>
      </c>
      <c r="J1217" s="471">
        <f>IFERROR(_xlfn.XLOOKUP(Table6[[#This Row],[Affected WTG]],'Basic Data'!$A:$A,'Basic Data'!$E:$E),"")</f>
        <v>3.846153846153845E-2</v>
      </c>
      <c r="K1217" s="102">
        <v>641</v>
      </c>
      <c r="L1217" s="35" t="str">
        <f>IFERROR(_xlfn.XLOOKUP(Table6[[#This Row],[Error Code]],'Basic Data'!$AA:$AA,'Basic Data'!$AB:$AB),"Incorrect Error Code")</f>
        <v>Sim.angle E enc. &lt;&gt; act.angle 1</v>
      </c>
      <c r="M1217" s="35" t="s">
        <v>291</v>
      </c>
      <c r="N1217" s="475"/>
      <c r="O1217" s="476">
        <v>0.87777777777777777</v>
      </c>
      <c r="P1217" s="476">
        <v>0.90972222222222221</v>
      </c>
      <c r="Q1217" s="477">
        <v>0.97777777777777775</v>
      </c>
      <c r="R1217" s="472">
        <f>IF(Table6[[#This Row],[Work Start TimeStamp]]="","",(Table6[[#This Row],[Work Start TimeStamp]]-Table6[[#This Row],[Fault Start TimeStamp]])*24)</f>
        <v>0.76666666666666661</v>
      </c>
      <c r="S1217" s="472">
        <f>(Table6[[#This Row],[Fault Clearance time]]-Table6[[#This Row],[Work Start TimeStamp]])*24</f>
        <v>1.6333333333333329</v>
      </c>
      <c r="T1217" s="472">
        <f>(Table6[[#This Row],[Fault Clearance time]]-Table6[[#This Row],[Fault Start TimeStamp]])*24</f>
        <v>2.3999999999999995</v>
      </c>
      <c r="U1217" s="35" t="s">
        <v>1980</v>
      </c>
      <c r="V1217" s="102" t="s">
        <v>293</v>
      </c>
      <c r="W1217" s="478">
        <f>IFERROR(Table6[[#This Row],[Breakdown Time]]*Table6[[#This Row],[Plant Equivalent Weightage]],"")</f>
        <v>9.2307692307692257E-2</v>
      </c>
      <c r="X1217" s="473" t="s">
        <v>290</v>
      </c>
      <c r="Y1217" s="474" t="s">
        <v>99</v>
      </c>
      <c r="Z1217" s="102">
        <v>46495</v>
      </c>
      <c r="AA1217" s="468">
        <f>(Table6[[#This Row],[Paired WTG Generation for loss calculation]]/24)*Table6[[#This Row],[Breakdown Time]]</f>
        <v>4649.4999999999991</v>
      </c>
      <c r="AB1217" s="102"/>
      <c r="AC1217" s="35"/>
      <c r="AD1217" s="35"/>
    </row>
    <row r="1218" spans="1:30">
      <c r="A1218" s="102">
        <f t="shared" si="19"/>
        <v>1217</v>
      </c>
      <c r="B1218" s="468">
        <f>YEAR(Table6[[#This Row],[Date]])+IF(MONTH(Table6[[#This Row],[Date]])&gt;=4,1,0)</f>
        <v>2026</v>
      </c>
      <c r="C1218" s="102">
        <f>YEAR(Table6[[#This Row],[Date]])</f>
        <v>2025</v>
      </c>
      <c r="D1218" s="102" t="s">
        <v>1992</v>
      </c>
      <c r="E1218" s="469">
        <f>Table6[[#This Row],[Date]]-DAY(Table6[[#This Row],[Date]])+1</f>
        <v>45809</v>
      </c>
      <c r="F1218" s="470">
        <v>45826</v>
      </c>
      <c r="G1218" s="35" t="s">
        <v>85</v>
      </c>
      <c r="H1218" s="35" t="str">
        <f>IFERROR(_xlfn.XLOOKUP(Table6[[#This Row],[Affected WTG]],'Basic Data'!$A:$A,'Basic Data'!$B:$B),"")</f>
        <v>TQGXIIPL</v>
      </c>
      <c r="I1218" s="35" t="str">
        <f>IFERROR(_xlfn.XLOOKUP(Table6[[#This Row],[Affected WTG]],'Basic Data'!$A:$A,'Basic Data'!$C:$C),"")</f>
        <v>GEDA</v>
      </c>
      <c r="J1218" s="471">
        <f>IFERROR(_xlfn.XLOOKUP(Table6[[#This Row],[Affected WTG]],'Basic Data'!$A:$A,'Basic Data'!$E:$E),"")</f>
        <v>3.846153846153845E-2</v>
      </c>
      <c r="K1218" s="102">
        <v>55</v>
      </c>
      <c r="L1218" s="35" t="str">
        <f>IFERROR(_xlfn.XLOOKUP(Table6[[#This Row],[Error Code]],'Basic Data'!$AA:$AA,'Basic Data'!$AB:$AB),"Incorrect Error Code")</f>
        <v>WTG shut down</v>
      </c>
      <c r="M1218" s="35" t="s">
        <v>295</v>
      </c>
      <c r="N1218" s="475"/>
      <c r="O1218" s="476">
        <v>0</v>
      </c>
      <c r="P1218" s="476">
        <v>0</v>
      </c>
      <c r="Q1218" s="477">
        <v>0.72222222222222221</v>
      </c>
      <c r="R1218" s="472">
        <f>IF(Table6[[#This Row],[Work Start TimeStamp]]="","",(Table6[[#This Row],[Work Start TimeStamp]]-Table6[[#This Row],[Fault Start TimeStamp]])*24)</f>
        <v>0</v>
      </c>
      <c r="S1218" s="472">
        <f>(Table6[[#This Row],[Fault Clearance time]]-Table6[[#This Row],[Work Start TimeStamp]])*24</f>
        <v>17.333333333333332</v>
      </c>
      <c r="T1218" s="472">
        <f>(Table6[[#This Row],[Fault Clearance time]]-Table6[[#This Row],[Fault Start TimeStamp]])*24</f>
        <v>17.333333333333332</v>
      </c>
      <c r="U1218" s="35" t="s">
        <v>2090</v>
      </c>
      <c r="V1218" s="102" t="s">
        <v>335</v>
      </c>
      <c r="W1218" s="478">
        <f>IFERROR(Table6[[#This Row],[Breakdown Time]]*Table6[[#This Row],[Plant Equivalent Weightage]],"")</f>
        <v>0.66666666666666641</v>
      </c>
      <c r="X1218" s="473" t="s">
        <v>523</v>
      </c>
      <c r="Y1218" s="474" t="s">
        <v>87</v>
      </c>
      <c r="Z1218" s="102">
        <v>45291</v>
      </c>
      <c r="AA1218" s="468">
        <f>(Table6[[#This Row],[Paired WTG Generation for loss calculation]]/24)*Table6[[#This Row],[Breakdown Time]]</f>
        <v>32710.166666666664</v>
      </c>
      <c r="AB1218" s="102"/>
      <c r="AC1218" s="35"/>
      <c r="AD1218" s="35"/>
    </row>
    <row r="1219" spans="1:30">
      <c r="A1219" s="102">
        <f t="shared" si="19"/>
        <v>1218</v>
      </c>
      <c r="B1219" s="468">
        <f>YEAR(Table6[[#This Row],[Date]])+IF(MONTH(Table6[[#This Row],[Date]])&gt;=4,1,0)</f>
        <v>2026</v>
      </c>
      <c r="C1219" s="102">
        <f>YEAR(Table6[[#This Row],[Date]])</f>
        <v>2025</v>
      </c>
      <c r="D1219" s="102" t="s">
        <v>1992</v>
      </c>
      <c r="E1219" s="469">
        <f>Table6[[#This Row],[Date]]-DAY(Table6[[#This Row],[Date]])+1</f>
        <v>45809</v>
      </c>
      <c r="F1219" s="470">
        <v>45826</v>
      </c>
      <c r="G1219" s="35" t="s">
        <v>85</v>
      </c>
      <c r="H1219" s="35" t="str">
        <f>IFERROR(_xlfn.XLOOKUP(Table6[[#This Row],[Affected WTG]],'Basic Data'!$A:$A,'Basic Data'!$B:$B),"")</f>
        <v>TQGXIIPL</v>
      </c>
      <c r="I1219" s="35" t="str">
        <f>IFERROR(_xlfn.XLOOKUP(Table6[[#This Row],[Affected WTG]],'Basic Data'!$A:$A,'Basic Data'!$C:$C),"")</f>
        <v>GEDA</v>
      </c>
      <c r="J1219" s="471">
        <f>IFERROR(_xlfn.XLOOKUP(Table6[[#This Row],[Affected WTG]],'Basic Data'!$A:$A,'Basic Data'!$E:$E),"")</f>
        <v>3.846153846153845E-2</v>
      </c>
      <c r="K1219" s="102">
        <v>55</v>
      </c>
      <c r="L1219" s="35" t="str">
        <f>IFERROR(_xlfn.XLOOKUP(Table6[[#This Row],[Error Code]],'Basic Data'!$AA:$AA,'Basic Data'!$AB:$AB),"Incorrect Error Code")</f>
        <v>WTG shut down</v>
      </c>
      <c r="M1219" s="35" t="s">
        <v>295</v>
      </c>
      <c r="N1219" s="475"/>
      <c r="O1219" s="476">
        <v>0.72222222222222221</v>
      </c>
      <c r="P1219" s="476">
        <v>0.72222222222222221</v>
      </c>
      <c r="Q1219" s="477">
        <v>0.99998842592592596</v>
      </c>
      <c r="R1219" s="472">
        <f>IF(Table6[[#This Row],[Work Start TimeStamp]]="","",(Table6[[#This Row],[Work Start TimeStamp]]-Table6[[#This Row],[Fault Start TimeStamp]])*24)</f>
        <v>0</v>
      </c>
      <c r="S1219" s="472">
        <f>(Table6[[#This Row],[Fault Clearance time]]-Table6[[#This Row],[Work Start TimeStamp]])*24</f>
        <v>6.66638888888889</v>
      </c>
      <c r="T1219" s="472">
        <f>(Table6[[#This Row],[Fault Clearance time]]-Table6[[#This Row],[Fault Start TimeStamp]])*24</f>
        <v>6.66638888888889</v>
      </c>
      <c r="U1219" s="35" t="s">
        <v>2090</v>
      </c>
      <c r="V1219" s="102" t="s">
        <v>335</v>
      </c>
      <c r="W1219" s="478">
        <f>IFERROR(Table6[[#This Row],[Breakdown Time]]*Table6[[#This Row],[Plant Equivalent Weightage]],"")</f>
        <v>0.25639957264957264</v>
      </c>
      <c r="X1219" s="473" t="s">
        <v>294</v>
      </c>
      <c r="Y1219" s="474" t="s">
        <v>87</v>
      </c>
      <c r="Z1219" s="102">
        <v>45291</v>
      </c>
      <c r="AA1219" s="468">
        <f>(Table6[[#This Row],[Paired WTG Generation for loss calculation]]/24)*Table6[[#This Row],[Breakdown Time]]</f>
        <v>12580.309131944447</v>
      </c>
      <c r="AB1219" s="102"/>
      <c r="AC1219" s="35"/>
      <c r="AD1219" s="35"/>
    </row>
    <row r="1220" spans="1:30">
      <c r="A1220" s="102">
        <f t="shared" si="19"/>
        <v>1219</v>
      </c>
      <c r="B1220" s="468">
        <f>YEAR(Table6[[#This Row],[Date]])+IF(MONTH(Table6[[#This Row],[Date]])&gt;=4,1,0)</f>
        <v>2026</v>
      </c>
      <c r="C1220" s="102">
        <f>YEAR(Table6[[#This Row],[Date]])</f>
        <v>2025</v>
      </c>
      <c r="D1220" s="102" t="s">
        <v>1992</v>
      </c>
      <c r="E1220" s="469">
        <f>Table6[[#This Row],[Date]]-DAY(Table6[[#This Row],[Date]])+1</f>
        <v>45809</v>
      </c>
      <c r="F1220" s="470">
        <v>45826</v>
      </c>
      <c r="G1220" s="35" t="s">
        <v>96</v>
      </c>
      <c r="H1220" s="35" t="str">
        <f>IFERROR(_xlfn.XLOOKUP(Table6[[#This Row],[Affected WTG]],'Basic Data'!$A:$A,'Basic Data'!$B:$B),"")</f>
        <v>TQGXIIPL</v>
      </c>
      <c r="I1220" s="35" t="str">
        <f>IFERROR(_xlfn.XLOOKUP(Table6[[#This Row],[Affected WTG]],'Basic Data'!$A:$A,'Basic Data'!$C:$C),"")</f>
        <v>GEDA</v>
      </c>
      <c r="J1220" s="471">
        <f>IFERROR(_xlfn.XLOOKUP(Table6[[#This Row],[Affected WTG]],'Basic Data'!$A:$A,'Basic Data'!$E:$E),"")</f>
        <v>3.846153846153845E-2</v>
      </c>
      <c r="K1220" s="102">
        <v>4093</v>
      </c>
      <c r="L1220" s="35" t="str">
        <f>IFERROR(_xlfn.XLOOKUP(Table6[[#This Row],[Error Code]],'Basic Data'!$AA:$AA,'Basic Data'!$AB:$AB),"Incorrect Error Code")</f>
        <v>Rel. air hum. tower base inside too high (in operation)</v>
      </c>
      <c r="M1220" s="35" t="s">
        <v>291</v>
      </c>
      <c r="N1220" s="475"/>
      <c r="O1220" s="476">
        <v>0.31597222222222221</v>
      </c>
      <c r="P1220" s="476">
        <v>0.31597222222222221</v>
      </c>
      <c r="Q1220" s="477">
        <v>0.31666666666666665</v>
      </c>
      <c r="R1220" s="472">
        <f>IF(Table6[[#This Row],[Work Start TimeStamp]]="","",(Table6[[#This Row],[Work Start TimeStamp]]-Table6[[#This Row],[Fault Start TimeStamp]])*24)</f>
        <v>0</v>
      </c>
      <c r="S1220" s="472">
        <f>(Table6[[#This Row],[Fault Clearance time]]-Table6[[#This Row],[Work Start TimeStamp]])*24</f>
        <v>1.6666666666666607E-2</v>
      </c>
      <c r="T1220" s="472">
        <f>(Table6[[#This Row],[Fault Clearance time]]-Table6[[#This Row],[Fault Start TimeStamp]])*24</f>
        <v>1.6666666666666607E-2</v>
      </c>
      <c r="U1220" s="35" t="s">
        <v>1924</v>
      </c>
      <c r="V1220" s="102" t="s">
        <v>293</v>
      </c>
      <c r="W1220" s="478">
        <f>IFERROR(Table6[[#This Row],[Breakdown Time]]*Table6[[#This Row],[Plant Equivalent Weightage]],"")</f>
        <v>6.4102564102563853E-4</v>
      </c>
      <c r="X1220" s="473" t="s">
        <v>294</v>
      </c>
      <c r="Y1220" s="474" t="s">
        <v>84</v>
      </c>
      <c r="Z1220" s="102">
        <v>44761</v>
      </c>
      <c r="AA1220" s="468">
        <f>(Table6[[#This Row],[Paired WTG Generation for loss calculation]]/24)*Table6[[#This Row],[Breakdown Time]]</f>
        <v>31.084027777777667</v>
      </c>
      <c r="AB1220" s="102"/>
      <c r="AC1220" s="35"/>
      <c r="AD1220" s="35"/>
    </row>
    <row r="1221" spans="1:30">
      <c r="A1221" s="102">
        <f t="shared" si="19"/>
        <v>1220</v>
      </c>
      <c r="B1221" s="468">
        <f>YEAR(Table6[[#This Row],[Date]])+IF(MONTH(Table6[[#This Row],[Date]])&gt;=4,1,0)</f>
        <v>2026</v>
      </c>
      <c r="C1221" s="102">
        <f>YEAR(Table6[[#This Row],[Date]])</f>
        <v>2025</v>
      </c>
      <c r="D1221" s="102" t="s">
        <v>1992</v>
      </c>
      <c r="E1221" s="469">
        <f>Table6[[#This Row],[Date]]-DAY(Table6[[#This Row],[Date]])+1</f>
        <v>45809</v>
      </c>
      <c r="F1221" s="470">
        <v>45827</v>
      </c>
      <c r="G1221" s="35" t="s">
        <v>74</v>
      </c>
      <c r="H1221" s="35" t="str">
        <f>IFERROR(_xlfn.XLOOKUP(Table6[[#This Row],[Affected WTG]],'Basic Data'!$A:$A,'Basic Data'!$B:$B),"")</f>
        <v>TQGXIIPL</v>
      </c>
      <c r="I1221" s="35" t="str">
        <f>IFERROR(_xlfn.XLOOKUP(Table6[[#This Row],[Affected WTG]],'Basic Data'!$A:$A,'Basic Data'!$C:$C),"")</f>
        <v>GEDA</v>
      </c>
      <c r="J1221" s="471">
        <f>IFERROR(_xlfn.XLOOKUP(Table6[[#This Row],[Affected WTG]],'Basic Data'!$A:$A,'Basic Data'!$E:$E),"")</f>
        <v>3.846153846153845E-2</v>
      </c>
      <c r="K1221" s="102">
        <v>6130</v>
      </c>
      <c r="L1221" s="35" t="str">
        <f>IFERROR(_xlfn.XLOOKUP(Table6[[#This Row],[Error Code]],'Basic Data'!$AA:$AA,'Basic Data'!$AB:$AB),"Incorrect Error Code")</f>
        <v>Yaw speed high</v>
      </c>
      <c r="M1221" s="35" t="s">
        <v>291</v>
      </c>
      <c r="N1221" s="475"/>
      <c r="O1221" s="476">
        <v>0.43472222222222223</v>
      </c>
      <c r="P1221" s="476">
        <v>0.43472222222222223</v>
      </c>
      <c r="Q1221" s="477">
        <v>0.43680555555555556</v>
      </c>
      <c r="R1221" s="472">
        <f>IF(Table6[[#This Row],[Work Start TimeStamp]]="","",(Table6[[#This Row],[Work Start TimeStamp]]-Table6[[#This Row],[Fault Start TimeStamp]])*24)</f>
        <v>0</v>
      </c>
      <c r="S1221" s="472">
        <f>(Table6[[#This Row],[Fault Clearance time]]-Table6[[#This Row],[Work Start TimeStamp]])*24</f>
        <v>4.9999999999999822E-2</v>
      </c>
      <c r="T1221" s="472">
        <f>(Table6[[#This Row],[Fault Clearance time]]-Table6[[#This Row],[Fault Start TimeStamp]])*24</f>
        <v>4.9999999999999822E-2</v>
      </c>
      <c r="U1221" s="35" t="s">
        <v>1924</v>
      </c>
      <c r="V1221" s="102" t="s">
        <v>293</v>
      </c>
      <c r="W1221" s="478">
        <f>IFERROR(Table6[[#This Row],[Breakdown Time]]*Table6[[#This Row],[Plant Equivalent Weightage]],"")</f>
        <v>1.9230769230769156E-3</v>
      </c>
      <c r="X1221" s="473" t="s">
        <v>294</v>
      </c>
      <c r="Y1221" s="474" t="s">
        <v>99</v>
      </c>
      <c r="Z1221" s="102">
        <v>61863</v>
      </c>
      <c r="AA1221" s="468">
        <f>(Table6[[#This Row],[Paired WTG Generation for loss calculation]]/24)*Table6[[#This Row],[Breakdown Time]]</f>
        <v>128.88124999999954</v>
      </c>
      <c r="AB1221" s="102"/>
      <c r="AC1221" s="35"/>
      <c r="AD1221" s="35"/>
    </row>
    <row r="1222" spans="1:30">
      <c r="A1222" s="102">
        <f t="shared" si="19"/>
        <v>1221</v>
      </c>
      <c r="B1222" s="468">
        <f>YEAR(Table6[[#This Row],[Date]])+IF(MONTH(Table6[[#This Row],[Date]])&gt;=4,1,0)</f>
        <v>2026</v>
      </c>
      <c r="C1222" s="102">
        <f>YEAR(Table6[[#This Row],[Date]])</f>
        <v>2025</v>
      </c>
      <c r="D1222" s="102" t="s">
        <v>1992</v>
      </c>
      <c r="E1222" s="469">
        <f>Table6[[#This Row],[Date]]-DAY(Table6[[#This Row],[Date]])+1</f>
        <v>45809</v>
      </c>
      <c r="F1222" s="470">
        <v>45827</v>
      </c>
      <c r="G1222" s="35" t="s">
        <v>78</v>
      </c>
      <c r="H1222" s="35" t="str">
        <f>IFERROR(_xlfn.XLOOKUP(Table6[[#This Row],[Affected WTG]],'Basic Data'!$A:$A,'Basic Data'!$B:$B),"")</f>
        <v>TQGXIIPL</v>
      </c>
      <c r="I1222" s="35" t="str">
        <f>IFERROR(_xlfn.XLOOKUP(Table6[[#This Row],[Affected WTG]],'Basic Data'!$A:$A,'Basic Data'!$C:$C),"")</f>
        <v>GEDA</v>
      </c>
      <c r="J1222" s="471">
        <f>IFERROR(_xlfn.XLOOKUP(Table6[[#This Row],[Affected WTG]],'Basic Data'!$A:$A,'Basic Data'!$E:$E),"")</f>
        <v>3.846153846153845E-2</v>
      </c>
      <c r="K1222" s="102">
        <v>3110</v>
      </c>
      <c r="L1222" s="35" t="str">
        <f>IFERROR(_xlfn.XLOOKUP(Table6[[#This Row],[Error Code]],'Basic Data'!$AA:$AA,'Basic Data'!$AB:$AB),"Incorrect Error Code")</f>
        <v>Frequency converter error</v>
      </c>
      <c r="M1222" s="35" t="s">
        <v>291</v>
      </c>
      <c r="N1222" s="475"/>
      <c r="O1222" s="476">
        <v>0.10972222222222222</v>
      </c>
      <c r="P1222" s="476">
        <v>0.10972222222222222</v>
      </c>
      <c r="Q1222" s="477">
        <v>0.11736111111111111</v>
      </c>
      <c r="R1222" s="472">
        <f>IF(Table6[[#This Row],[Work Start TimeStamp]]="","",(Table6[[#This Row],[Work Start TimeStamp]]-Table6[[#This Row],[Fault Start TimeStamp]])*24)</f>
        <v>0</v>
      </c>
      <c r="S1222" s="472">
        <f>(Table6[[#This Row],[Fault Clearance time]]-Table6[[#This Row],[Work Start TimeStamp]])*24</f>
        <v>0.18333333333333335</v>
      </c>
      <c r="T1222" s="472">
        <f>(Table6[[#This Row],[Fault Clearance time]]-Table6[[#This Row],[Fault Start TimeStamp]])*24</f>
        <v>0.18333333333333335</v>
      </c>
      <c r="U1222" s="35" t="s">
        <v>1981</v>
      </c>
      <c r="V1222" s="102" t="s">
        <v>293</v>
      </c>
      <c r="W1222" s="478">
        <f>IFERROR(Table6[[#This Row],[Breakdown Time]]*Table6[[#This Row],[Plant Equivalent Weightage]],"")</f>
        <v>7.0512820512820496E-3</v>
      </c>
      <c r="X1222" s="473" t="s">
        <v>294</v>
      </c>
      <c r="Y1222" s="474" t="s">
        <v>75</v>
      </c>
      <c r="Z1222" s="102">
        <v>61807</v>
      </c>
      <c r="AA1222" s="468">
        <f>(Table6[[#This Row],[Paired WTG Generation for loss calculation]]/24)*Table6[[#This Row],[Breakdown Time]]</f>
        <v>472.13680555555555</v>
      </c>
      <c r="AB1222" s="102"/>
      <c r="AC1222" s="35"/>
      <c r="AD1222" s="35"/>
    </row>
    <row r="1223" spans="1:30">
      <c r="A1223" s="102">
        <f t="shared" si="19"/>
        <v>1222</v>
      </c>
      <c r="B1223" s="468">
        <f>YEAR(Table6[[#This Row],[Date]])+IF(MONTH(Table6[[#This Row],[Date]])&gt;=4,1,0)</f>
        <v>2026</v>
      </c>
      <c r="C1223" s="102">
        <f>YEAR(Table6[[#This Row],[Date]])</f>
        <v>2025</v>
      </c>
      <c r="D1223" s="102" t="s">
        <v>1992</v>
      </c>
      <c r="E1223" s="469">
        <f>Table6[[#This Row],[Date]]-DAY(Table6[[#This Row],[Date]])+1</f>
        <v>45809</v>
      </c>
      <c r="F1223" s="470">
        <v>45827</v>
      </c>
      <c r="G1223" s="35" t="s">
        <v>78</v>
      </c>
      <c r="H1223" s="35" t="str">
        <f>IFERROR(_xlfn.XLOOKUP(Table6[[#This Row],[Affected WTG]],'Basic Data'!$A:$A,'Basic Data'!$B:$B),"")</f>
        <v>TQGXIIPL</v>
      </c>
      <c r="I1223" s="35" t="str">
        <f>IFERROR(_xlfn.XLOOKUP(Table6[[#This Row],[Affected WTG]],'Basic Data'!$A:$A,'Basic Data'!$C:$C),"")</f>
        <v>GEDA</v>
      </c>
      <c r="J1223" s="471">
        <f>IFERROR(_xlfn.XLOOKUP(Table6[[#This Row],[Affected WTG]],'Basic Data'!$A:$A,'Basic Data'!$E:$E),"")</f>
        <v>3.846153846153845E-2</v>
      </c>
      <c r="K1223" s="102">
        <v>3110</v>
      </c>
      <c r="L1223" s="35" t="str">
        <f>IFERROR(_xlfn.XLOOKUP(Table6[[#This Row],[Error Code]],'Basic Data'!$AA:$AA,'Basic Data'!$AB:$AB),"Incorrect Error Code")</f>
        <v>Frequency converter error</v>
      </c>
      <c r="M1223" s="35" t="s">
        <v>291</v>
      </c>
      <c r="N1223" s="475"/>
      <c r="O1223" s="476">
        <v>0.14930555555555555</v>
      </c>
      <c r="P1223" s="476">
        <v>0.14930555555555555</v>
      </c>
      <c r="Q1223" s="477">
        <v>0.15277777777777779</v>
      </c>
      <c r="R1223" s="472">
        <f>IF(Table6[[#This Row],[Work Start TimeStamp]]="","",(Table6[[#This Row],[Work Start TimeStamp]]-Table6[[#This Row],[Fault Start TimeStamp]])*24)</f>
        <v>0</v>
      </c>
      <c r="S1223" s="472">
        <f>(Table6[[#This Row],[Fault Clearance time]]-Table6[[#This Row],[Work Start TimeStamp]])*24</f>
        <v>8.3333333333333703E-2</v>
      </c>
      <c r="T1223" s="472">
        <f>(Table6[[#This Row],[Fault Clearance time]]-Table6[[#This Row],[Fault Start TimeStamp]])*24</f>
        <v>8.3333333333333703E-2</v>
      </c>
      <c r="U1223" s="35" t="s">
        <v>1982</v>
      </c>
      <c r="V1223" s="102" t="s">
        <v>293</v>
      </c>
      <c r="W1223" s="478">
        <f>IFERROR(Table6[[#This Row],[Breakdown Time]]*Table6[[#This Row],[Plant Equivalent Weightage]],"")</f>
        <v>3.2051282051282185E-3</v>
      </c>
      <c r="X1223" s="473" t="s">
        <v>294</v>
      </c>
      <c r="Y1223" s="474" t="s">
        <v>75</v>
      </c>
      <c r="Z1223" s="102">
        <v>61807</v>
      </c>
      <c r="AA1223" s="468">
        <f>(Table6[[#This Row],[Paired WTG Generation for loss calculation]]/24)*Table6[[#This Row],[Breakdown Time]]</f>
        <v>214.60763888888982</v>
      </c>
      <c r="AB1223" s="102"/>
      <c r="AC1223" s="35"/>
      <c r="AD1223" s="35"/>
    </row>
    <row r="1224" spans="1:30">
      <c r="A1224" s="102">
        <f t="shared" si="19"/>
        <v>1223</v>
      </c>
      <c r="B1224" s="468">
        <f>YEAR(Table6[[#This Row],[Date]])+IF(MONTH(Table6[[#This Row],[Date]])&gt;=4,1,0)</f>
        <v>2026</v>
      </c>
      <c r="C1224" s="102">
        <f>YEAR(Table6[[#This Row],[Date]])</f>
        <v>2025</v>
      </c>
      <c r="D1224" s="102" t="s">
        <v>1992</v>
      </c>
      <c r="E1224" s="469">
        <f>Table6[[#This Row],[Date]]-DAY(Table6[[#This Row],[Date]])+1</f>
        <v>45809</v>
      </c>
      <c r="F1224" s="470">
        <v>45827</v>
      </c>
      <c r="G1224" s="35" t="s">
        <v>78</v>
      </c>
      <c r="H1224" s="35" t="str">
        <f>IFERROR(_xlfn.XLOOKUP(Table6[[#This Row],[Affected WTG]],'Basic Data'!$A:$A,'Basic Data'!$B:$B),"")</f>
        <v>TQGXIIPL</v>
      </c>
      <c r="I1224" s="35" t="str">
        <f>IFERROR(_xlfn.XLOOKUP(Table6[[#This Row],[Affected WTG]],'Basic Data'!$A:$A,'Basic Data'!$C:$C),"")</f>
        <v>GEDA</v>
      </c>
      <c r="J1224" s="471">
        <f>IFERROR(_xlfn.XLOOKUP(Table6[[#This Row],[Affected WTG]],'Basic Data'!$A:$A,'Basic Data'!$E:$E),"")</f>
        <v>3.846153846153845E-2</v>
      </c>
      <c r="K1224" s="102">
        <v>3110</v>
      </c>
      <c r="L1224" s="35" t="str">
        <f>IFERROR(_xlfn.XLOOKUP(Table6[[#This Row],[Error Code]],'Basic Data'!$AA:$AA,'Basic Data'!$AB:$AB),"Incorrect Error Code")</f>
        <v>Frequency converter error</v>
      </c>
      <c r="M1224" s="35" t="s">
        <v>291</v>
      </c>
      <c r="N1224" s="475"/>
      <c r="O1224" s="476">
        <v>0.19722222222222222</v>
      </c>
      <c r="P1224" s="476">
        <v>0.19722222222222222</v>
      </c>
      <c r="Q1224" s="477">
        <v>0.2</v>
      </c>
      <c r="R1224" s="472">
        <f>IF(Table6[[#This Row],[Work Start TimeStamp]]="","",(Table6[[#This Row],[Work Start TimeStamp]]-Table6[[#This Row],[Fault Start TimeStamp]])*24)</f>
        <v>0</v>
      </c>
      <c r="S1224" s="472">
        <f>(Table6[[#This Row],[Fault Clearance time]]-Table6[[#This Row],[Work Start TimeStamp]])*24</f>
        <v>6.6666666666667096E-2</v>
      </c>
      <c r="T1224" s="472">
        <f>(Table6[[#This Row],[Fault Clearance time]]-Table6[[#This Row],[Fault Start TimeStamp]])*24</f>
        <v>6.6666666666667096E-2</v>
      </c>
      <c r="U1224" s="35" t="s">
        <v>1983</v>
      </c>
      <c r="V1224" s="102" t="s">
        <v>293</v>
      </c>
      <c r="W1224" s="478">
        <f>IFERROR(Table6[[#This Row],[Breakdown Time]]*Table6[[#This Row],[Plant Equivalent Weightage]],"")</f>
        <v>2.5641025641025797E-3</v>
      </c>
      <c r="X1224" s="473" t="s">
        <v>294</v>
      </c>
      <c r="Y1224" s="474" t="s">
        <v>75</v>
      </c>
      <c r="Z1224" s="102">
        <v>61807</v>
      </c>
      <c r="AA1224" s="468">
        <f>(Table6[[#This Row],[Paired WTG Generation for loss calculation]]/24)*Table6[[#This Row],[Breakdown Time]]</f>
        <v>171.68611111111221</v>
      </c>
      <c r="AB1224" s="102"/>
      <c r="AC1224" s="35"/>
      <c r="AD1224" s="35"/>
    </row>
    <row r="1225" spans="1:30">
      <c r="A1225" s="102">
        <f t="shared" si="19"/>
        <v>1224</v>
      </c>
      <c r="B1225" s="468">
        <f>YEAR(Table6[[#This Row],[Date]])+IF(MONTH(Table6[[#This Row],[Date]])&gt;=4,1,0)</f>
        <v>2026</v>
      </c>
      <c r="C1225" s="102">
        <f>YEAR(Table6[[#This Row],[Date]])</f>
        <v>2025</v>
      </c>
      <c r="D1225" s="102" t="s">
        <v>1992</v>
      </c>
      <c r="E1225" s="469">
        <f>Table6[[#This Row],[Date]]-DAY(Table6[[#This Row],[Date]])+1</f>
        <v>45809</v>
      </c>
      <c r="F1225" s="470">
        <v>45827</v>
      </c>
      <c r="G1225" s="35" t="s">
        <v>78</v>
      </c>
      <c r="H1225" s="35" t="str">
        <f>IFERROR(_xlfn.XLOOKUP(Table6[[#This Row],[Affected WTG]],'Basic Data'!$A:$A,'Basic Data'!$B:$B),"")</f>
        <v>TQGXIIPL</v>
      </c>
      <c r="I1225" s="35" t="str">
        <f>IFERROR(_xlfn.XLOOKUP(Table6[[#This Row],[Affected WTG]],'Basic Data'!$A:$A,'Basic Data'!$C:$C),"")</f>
        <v>GEDA</v>
      </c>
      <c r="J1225" s="471">
        <f>IFERROR(_xlfn.XLOOKUP(Table6[[#This Row],[Affected WTG]],'Basic Data'!$A:$A,'Basic Data'!$E:$E),"")</f>
        <v>3.846153846153845E-2</v>
      </c>
      <c r="K1225" s="102">
        <v>3110</v>
      </c>
      <c r="L1225" s="35" t="str">
        <f>IFERROR(_xlfn.XLOOKUP(Table6[[#This Row],[Error Code]],'Basic Data'!$AA:$AA,'Basic Data'!$AB:$AB),"Incorrect Error Code")</f>
        <v>Frequency converter error</v>
      </c>
      <c r="M1225" s="35" t="s">
        <v>291</v>
      </c>
      <c r="N1225" s="475"/>
      <c r="O1225" s="476">
        <v>0.25416666666666665</v>
      </c>
      <c r="P1225" s="476">
        <v>0.25416666666666665</v>
      </c>
      <c r="Q1225" s="477">
        <v>0.25763888888888886</v>
      </c>
      <c r="R1225" s="472">
        <f>IF(Table6[[#This Row],[Work Start TimeStamp]]="","",(Table6[[#This Row],[Work Start TimeStamp]]-Table6[[#This Row],[Fault Start TimeStamp]])*24)</f>
        <v>0</v>
      </c>
      <c r="S1225" s="472">
        <f>(Table6[[#This Row],[Fault Clearance time]]-Table6[[#This Row],[Work Start TimeStamp]])*24</f>
        <v>8.3333333333333037E-2</v>
      </c>
      <c r="T1225" s="472">
        <f>(Table6[[#This Row],[Fault Clearance time]]-Table6[[#This Row],[Fault Start TimeStamp]])*24</f>
        <v>8.3333333333333037E-2</v>
      </c>
      <c r="U1225" s="35" t="s">
        <v>1984</v>
      </c>
      <c r="V1225" s="102" t="s">
        <v>293</v>
      </c>
      <c r="W1225" s="478">
        <f>IFERROR(Table6[[#This Row],[Breakdown Time]]*Table6[[#This Row],[Plant Equivalent Weightage]],"")</f>
        <v>3.2051282051281929E-3</v>
      </c>
      <c r="X1225" s="473" t="s">
        <v>294</v>
      </c>
      <c r="Y1225" s="474" t="s">
        <v>75</v>
      </c>
      <c r="Z1225" s="102">
        <v>61807</v>
      </c>
      <c r="AA1225" s="468">
        <f>(Table6[[#This Row],[Paired WTG Generation for loss calculation]]/24)*Table6[[#This Row],[Breakdown Time]]</f>
        <v>214.60763888888812</v>
      </c>
      <c r="AB1225" s="102"/>
      <c r="AC1225" s="35"/>
      <c r="AD1225" s="35"/>
    </row>
    <row r="1226" spans="1:30">
      <c r="A1226" s="102">
        <f t="shared" si="19"/>
        <v>1225</v>
      </c>
      <c r="B1226" s="468">
        <f>YEAR(Table6[[#This Row],[Date]])+IF(MONTH(Table6[[#This Row],[Date]])&gt;=4,1,0)</f>
        <v>2026</v>
      </c>
      <c r="C1226" s="102">
        <f>YEAR(Table6[[#This Row],[Date]])</f>
        <v>2025</v>
      </c>
      <c r="D1226" s="102" t="s">
        <v>1992</v>
      </c>
      <c r="E1226" s="469">
        <f>Table6[[#This Row],[Date]]-DAY(Table6[[#This Row],[Date]])+1</f>
        <v>45809</v>
      </c>
      <c r="F1226" s="470">
        <v>45827</v>
      </c>
      <c r="G1226" s="35" t="s">
        <v>78</v>
      </c>
      <c r="H1226" s="35" t="str">
        <f>IFERROR(_xlfn.XLOOKUP(Table6[[#This Row],[Affected WTG]],'Basic Data'!$A:$A,'Basic Data'!$B:$B),"")</f>
        <v>TQGXIIPL</v>
      </c>
      <c r="I1226" s="35" t="str">
        <f>IFERROR(_xlfn.XLOOKUP(Table6[[#This Row],[Affected WTG]],'Basic Data'!$A:$A,'Basic Data'!$C:$C),"")</f>
        <v>GEDA</v>
      </c>
      <c r="J1226" s="471">
        <f>IFERROR(_xlfn.XLOOKUP(Table6[[#This Row],[Affected WTG]],'Basic Data'!$A:$A,'Basic Data'!$E:$E),"")</f>
        <v>3.846153846153845E-2</v>
      </c>
      <c r="K1226" s="102">
        <v>3110</v>
      </c>
      <c r="L1226" s="35" t="str">
        <f>IFERROR(_xlfn.XLOOKUP(Table6[[#This Row],[Error Code]],'Basic Data'!$AA:$AA,'Basic Data'!$AB:$AB),"Incorrect Error Code")</f>
        <v>Frequency converter error</v>
      </c>
      <c r="M1226" s="35" t="s">
        <v>291</v>
      </c>
      <c r="N1226" s="475"/>
      <c r="O1226" s="476">
        <v>0.56874999999999998</v>
      </c>
      <c r="P1226" s="476">
        <v>0.56874999999999998</v>
      </c>
      <c r="Q1226" s="477">
        <v>0.5708333333333333</v>
      </c>
      <c r="R1226" s="472">
        <f>IF(Table6[[#This Row],[Work Start TimeStamp]]="","",(Table6[[#This Row],[Work Start TimeStamp]]-Table6[[#This Row],[Fault Start TimeStamp]])*24)</f>
        <v>0</v>
      </c>
      <c r="S1226" s="472">
        <f>(Table6[[#This Row],[Fault Clearance time]]-Table6[[#This Row],[Work Start TimeStamp]])*24</f>
        <v>4.9999999999999822E-2</v>
      </c>
      <c r="T1226" s="472">
        <f>(Table6[[#This Row],[Fault Clearance time]]-Table6[[#This Row],[Fault Start TimeStamp]])*24</f>
        <v>4.9999999999999822E-2</v>
      </c>
      <c r="U1226" s="35" t="s">
        <v>1984</v>
      </c>
      <c r="V1226" s="102" t="s">
        <v>293</v>
      </c>
      <c r="W1226" s="478">
        <f>IFERROR(Table6[[#This Row],[Breakdown Time]]*Table6[[#This Row],[Plant Equivalent Weightage]],"")</f>
        <v>1.9230769230769156E-3</v>
      </c>
      <c r="X1226" s="473" t="s">
        <v>294</v>
      </c>
      <c r="Y1226" s="474" t="s">
        <v>75</v>
      </c>
      <c r="Z1226" s="102">
        <v>61807</v>
      </c>
      <c r="AA1226" s="468">
        <f>(Table6[[#This Row],[Paired WTG Generation for loss calculation]]/24)*Table6[[#This Row],[Breakdown Time]]</f>
        <v>128.76458333333287</v>
      </c>
      <c r="AB1226" s="102"/>
      <c r="AC1226" s="35"/>
      <c r="AD1226" s="35"/>
    </row>
    <row r="1227" spans="1:30">
      <c r="A1227" s="102">
        <f t="shared" si="19"/>
        <v>1226</v>
      </c>
      <c r="B1227" s="468">
        <f>YEAR(Table6[[#This Row],[Date]])+IF(MONTH(Table6[[#This Row],[Date]])&gt;=4,1,0)</f>
        <v>2026</v>
      </c>
      <c r="C1227" s="102">
        <f>YEAR(Table6[[#This Row],[Date]])</f>
        <v>2025</v>
      </c>
      <c r="D1227" s="102" t="s">
        <v>1992</v>
      </c>
      <c r="E1227" s="469">
        <f>Table6[[#This Row],[Date]]-DAY(Table6[[#This Row],[Date]])+1</f>
        <v>45809</v>
      </c>
      <c r="F1227" s="470">
        <v>45827</v>
      </c>
      <c r="G1227" s="35" t="s">
        <v>81</v>
      </c>
      <c r="H1227" s="35" t="str">
        <f>IFERROR(_xlfn.XLOOKUP(Table6[[#This Row],[Affected WTG]],'Basic Data'!$A:$A,'Basic Data'!$B:$B),"")</f>
        <v>TQGXIIPL</v>
      </c>
      <c r="I1227" s="35" t="str">
        <f>IFERROR(_xlfn.XLOOKUP(Table6[[#This Row],[Affected WTG]],'Basic Data'!$A:$A,'Basic Data'!$C:$C),"")</f>
        <v>GEDA</v>
      </c>
      <c r="J1227" s="471">
        <f>IFERROR(_xlfn.XLOOKUP(Table6[[#This Row],[Affected WTG]],'Basic Data'!$A:$A,'Basic Data'!$E:$E),"")</f>
        <v>3.846153846153845E-2</v>
      </c>
      <c r="K1227" s="102">
        <v>665</v>
      </c>
      <c r="L1227" s="35" t="str">
        <f>IFERROR(_xlfn.XLOOKUP(Table6[[#This Row],[Error Code]],'Basic Data'!$AA:$AA,'Basic Data'!$AB:$AB),"Incorrect Error Code")</f>
        <v>Pitch error</v>
      </c>
      <c r="M1227" s="35" t="s">
        <v>291</v>
      </c>
      <c r="N1227" s="475"/>
      <c r="O1227" s="476">
        <v>0.70208333333333328</v>
      </c>
      <c r="P1227" s="476">
        <v>0.70208333333333328</v>
      </c>
      <c r="Q1227" s="477">
        <v>0.70763888888888893</v>
      </c>
      <c r="R1227" s="472">
        <f>IF(Table6[[#This Row],[Work Start TimeStamp]]="","",(Table6[[#This Row],[Work Start TimeStamp]]-Table6[[#This Row],[Fault Start TimeStamp]])*24)</f>
        <v>0</v>
      </c>
      <c r="S1227" s="472">
        <f>(Table6[[#This Row],[Fault Clearance time]]-Table6[[#This Row],[Work Start TimeStamp]])*24</f>
        <v>0.13333333333333552</v>
      </c>
      <c r="T1227" s="472">
        <f>(Table6[[#This Row],[Fault Clearance time]]-Table6[[#This Row],[Fault Start TimeStamp]])*24</f>
        <v>0.13333333333333552</v>
      </c>
      <c r="U1227" s="35" t="s">
        <v>1924</v>
      </c>
      <c r="V1227" s="102" t="s">
        <v>293</v>
      </c>
      <c r="W1227" s="478">
        <f>IFERROR(Table6[[#This Row],[Breakdown Time]]*Table6[[#This Row],[Plant Equivalent Weightage]],"")</f>
        <v>5.1282051282052106E-3</v>
      </c>
      <c r="X1227" s="473" t="s">
        <v>294</v>
      </c>
      <c r="Y1227" s="474" t="s">
        <v>99</v>
      </c>
      <c r="Z1227" s="102">
        <v>61863</v>
      </c>
      <c r="AA1227" s="468">
        <f>(Table6[[#This Row],[Paired WTG Generation for loss calculation]]/24)*Table6[[#This Row],[Breakdown Time]]</f>
        <v>343.68333333333896</v>
      </c>
      <c r="AB1227" s="102"/>
      <c r="AC1227" s="35"/>
      <c r="AD1227" s="35"/>
    </row>
    <row r="1228" spans="1:30">
      <c r="A1228" s="102">
        <f t="shared" si="19"/>
        <v>1227</v>
      </c>
      <c r="B1228" s="468">
        <f>YEAR(Table6[[#This Row],[Date]])+IF(MONTH(Table6[[#This Row],[Date]])&gt;=4,1,0)</f>
        <v>2026</v>
      </c>
      <c r="C1228" s="102">
        <f>YEAR(Table6[[#This Row],[Date]])</f>
        <v>2025</v>
      </c>
      <c r="D1228" s="102" t="s">
        <v>1992</v>
      </c>
      <c r="E1228" s="469">
        <f>Table6[[#This Row],[Date]]-DAY(Table6[[#This Row],[Date]])+1</f>
        <v>45809</v>
      </c>
      <c r="F1228" s="470">
        <v>45827</v>
      </c>
      <c r="G1228" s="35" t="s">
        <v>81</v>
      </c>
      <c r="H1228" s="35" t="str">
        <f>IFERROR(_xlfn.XLOOKUP(Table6[[#This Row],[Affected WTG]],'Basic Data'!$A:$A,'Basic Data'!$B:$B),"")</f>
        <v>TQGXIIPL</v>
      </c>
      <c r="I1228" s="35" t="str">
        <f>IFERROR(_xlfn.XLOOKUP(Table6[[#This Row],[Affected WTG]],'Basic Data'!$A:$A,'Basic Data'!$C:$C),"")</f>
        <v>GEDA</v>
      </c>
      <c r="J1228" s="471">
        <f>IFERROR(_xlfn.XLOOKUP(Table6[[#This Row],[Affected WTG]],'Basic Data'!$A:$A,'Basic Data'!$E:$E),"")</f>
        <v>3.846153846153845E-2</v>
      </c>
      <c r="K1228" s="102">
        <v>665</v>
      </c>
      <c r="L1228" s="35" t="str">
        <f>IFERROR(_xlfn.XLOOKUP(Table6[[#This Row],[Error Code]],'Basic Data'!$AA:$AA,'Basic Data'!$AB:$AB),"Incorrect Error Code")</f>
        <v>Pitch error</v>
      </c>
      <c r="M1228" s="35" t="s">
        <v>291</v>
      </c>
      <c r="N1228" s="475"/>
      <c r="O1228" s="476">
        <v>0.88194444444444442</v>
      </c>
      <c r="P1228" s="476">
        <v>0.88194444444444442</v>
      </c>
      <c r="Q1228" s="477">
        <v>0.89236111111111116</v>
      </c>
      <c r="R1228" s="472">
        <f>IF(Table6[[#This Row],[Work Start TimeStamp]]="","",(Table6[[#This Row],[Work Start TimeStamp]]-Table6[[#This Row],[Fault Start TimeStamp]])*24)</f>
        <v>0</v>
      </c>
      <c r="S1228" s="472">
        <f>(Table6[[#This Row],[Fault Clearance time]]-Table6[[#This Row],[Work Start TimeStamp]])*24</f>
        <v>0.25000000000000178</v>
      </c>
      <c r="T1228" s="472">
        <f>(Table6[[#This Row],[Fault Clearance time]]-Table6[[#This Row],[Fault Start TimeStamp]])*24</f>
        <v>0.25000000000000178</v>
      </c>
      <c r="U1228" s="35" t="s">
        <v>1924</v>
      </c>
      <c r="V1228" s="102" t="s">
        <v>293</v>
      </c>
      <c r="W1228" s="478">
        <f>IFERROR(Table6[[#This Row],[Breakdown Time]]*Table6[[#This Row],[Plant Equivalent Weightage]],"")</f>
        <v>9.6153846153846801E-3</v>
      </c>
      <c r="X1228" s="473" t="s">
        <v>294</v>
      </c>
      <c r="Y1228" s="474" t="s">
        <v>99</v>
      </c>
      <c r="Z1228" s="102">
        <v>61863</v>
      </c>
      <c r="AA1228" s="468">
        <f>(Table6[[#This Row],[Paired WTG Generation for loss calculation]]/24)*Table6[[#This Row],[Breakdown Time]]</f>
        <v>644.40625000000455</v>
      </c>
      <c r="AB1228" s="102"/>
      <c r="AC1228" s="35"/>
      <c r="AD1228" s="35"/>
    </row>
    <row r="1229" spans="1:30">
      <c r="A1229" s="102">
        <f t="shared" si="19"/>
        <v>1228</v>
      </c>
      <c r="B1229" s="468">
        <f>YEAR(Table6[[#This Row],[Date]])+IF(MONTH(Table6[[#This Row],[Date]])&gt;=4,1,0)</f>
        <v>2026</v>
      </c>
      <c r="C1229" s="102">
        <f>YEAR(Table6[[#This Row],[Date]])</f>
        <v>2025</v>
      </c>
      <c r="D1229" s="102" t="s">
        <v>1992</v>
      </c>
      <c r="E1229" s="469">
        <f>Table6[[#This Row],[Date]]-DAY(Table6[[#This Row],[Date]])+1</f>
        <v>45809</v>
      </c>
      <c r="F1229" s="470">
        <v>45827</v>
      </c>
      <c r="G1229" s="35" t="s">
        <v>85</v>
      </c>
      <c r="H1229" s="35" t="str">
        <f>IFERROR(_xlfn.XLOOKUP(Table6[[#This Row],[Affected WTG]],'Basic Data'!$A:$A,'Basic Data'!$B:$B),"")</f>
        <v>TQGXIIPL</v>
      </c>
      <c r="I1229" s="35" t="str">
        <f>IFERROR(_xlfn.XLOOKUP(Table6[[#This Row],[Affected WTG]],'Basic Data'!$A:$A,'Basic Data'!$C:$C),"")</f>
        <v>GEDA</v>
      </c>
      <c r="J1229" s="471">
        <f>IFERROR(_xlfn.XLOOKUP(Table6[[#This Row],[Affected WTG]],'Basic Data'!$A:$A,'Basic Data'!$E:$E),"")</f>
        <v>3.846153846153845E-2</v>
      </c>
      <c r="K1229" s="102">
        <v>55</v>
      </c>
      <c r="L1229" s="35" t="str">
        <f>IFERROR(_xlfn.XLOOKUP(Table6[[#This Row],[Error Code]],'Basic Data'!$AA:$AA,'Basic Data'!$AB:$AB),"Incorrect Error Code")</f>
        <v>WTG shut down</v>
      </c>
      <c r="M1229" s="35" t="s">
        <v>295</v>
      </c>
      <c r="N1229" s="475"/>
      <c r="O1229" s="476">
        <v>0</v>
      </c>
      <c r="P1229" s="476">
        <v>0</v>
      </c>
      <c r="Q1229" s="477">
        <v>0.95833333333333337</v>
      </c>
      <c r="R1229" s="472">
        <f>IF(Table6[[#This Row],[Work Start TimeStamp]]="","",(Table6[[#This Row],[Work Start TimeStamp]]-Table6[[#This Row],[Fault Start TimeStamp]])*24)</f>
        <v>0</v>
      </c>
      <c r="S1229" s="472">
        <f>(Table6[[#This Row],[Fault Clearance time]]-Table6[[#This Row],[Work Start TimeStamp]])*24</f>
        <v>23</v>
      </c>
      <c r="T1229" s="472">
        <f>(Table6[[#This Row],[Fault Clearance time]]-Table6[[#This Row],[Fault Start TimeStamp]])*24</f>
        <v>23</v>
      </c>
      <c r="U1229" s="35" t="s">
        <v>2091</v>
      </c>
      <c r="V1229" s="102" t="s">
        <v>335</v>
      </c>
      <c r="W1229" s="478">
        <f>IFERROR(Table6[[#This Row],[Breakdown Time]]*Table6[[#This Row],[Plant Equivalent Weightage]],"")</f>
        <v>0.88461538461538436</v>
      </c>
      <c r="X1229" s="473" t="s">
        <v>523</v>
      </c>
      <c r="Y1229" s="474" t="s">
        <v>87</v>
      </c>
      <c r="Z1229" s="102">
        <v>62218</v>
      </c>
      <c r="AA1229" s="468">
        <f>(Table6[[#This Row],[Paired WTG Generation for loss calculation]]/24)*Table6[[#This Row],[Breakdown Time]]</f>
        <v>59625.583333333328</v>
      </c>
      <c r="AB1229" s="102"/>
      <c r="AC1229" s="35"/>
      <c r="AD1229" s="35"/>
    </row>
    <row r="1230" spans="1:30">
      <c r="A1230" s="102">
        <f t="shared" si="19"/>
        <v>1229</v>
      </c>
      <c r="B1230" s="468">
        <f>YEAR(Table6[[#This Row],[Date]])+IF(MONTH(Table6[[#This Row],[Date]])&gt;=4,1,0)</f>
        <v>2026</v>
      </c>
      <c r="C1230" s="102">
        <f>YEAR(Table6[[#This Row],[Date]])</f>
        <v>2025</v>
      </c>
      <c r="D1230" s="102" t="s">
        <v>1992</v>
      </c>
      <c r="E1230" s="469">
        <f>Table6[[#This Row],[Date]]-DAY(Table6[[#This Row],[Date]])+1</f>
        <v>45809</v>
      </c>
      <c r="F1230" s="470">
        <v>45827</v>
      </c>
      <c r="G1230" s="35" t="s">
        <v>85</v>
      </c>
      <c r="H1230" s="35" t="str">
        <f>IFERROR(_xlfn.XLOOKUP(Table6[[#This Row],[Affected WTG]],'Basic Data'!$A:$A,'Basic Data'!$B:$B),"")</f>
        <v>TQGXIIPL</v>
      </c>
      <c r="I1230" s="35" t="str">
        <f>IFERROR(_xlfn.XLOOKUP(Table6[[#This Row],[Affected WTG]],'Basic Data'!$A:$A,'Basic Data'!$C:$C),"")</f>
        <v>GEDA</v>
      </c>
      <c r="J1230" s="471">
        <f>IFERROR(_xlfn.XLOOKUP(Table6[[#This Row],[Affected WTG]],'Basic Data'!$A:$A,'Basic Data'!$E:$E),"")</f>
        <v>3.846153846153845E-2</v>
      </c>
      <c r="K1230" s="102">
        <v>55</v>
      </c>
      <c r="L1230" s="35" t="str">
        <f>IFERROR(_xlfn.XLOOKUP(Table6[[#This Row],[Error Code]],'Basic Data'!$AA:$AA,'Basic Data'!$AB:$AB),"Incorrect Error Code")</f>
        <v>WTG shut down</v>
      </c>
      <c r="M1230" s="35" t="s">
        <v>295</v>
      </c>
      <c r="N1230" s="475"/>
      <c r="O1230" s="476">
        <v>0.95833333333333337</v>
      </c>
      <c r="P1230" s="476">
        <v>0.95833333333333337</v>
      </c>
      <c r="Q1230" s="477">
        <v>0.99998842592592596</v>
      </c>
      <c r="R1230" s="472">
        <f>IF(Table6[[#This Row],[Work Start TimeStamp]]="","",(Table6[[#This Row],[Work Start TimeStamp]]-Table6[[#This Row],[Fault Start TimeStamp]])*24)</f>
        <v>0</v>
      </c>
      <c r="S1230" s="472">
        <f>(Table6[[#This Row],[Fault Clearance time]]-Table6[[#This Row],[Work Start TimeStamp]])*24</f>
        <v>0.99972222222222218</v>
      </c>
      <c r="T1230" s="472">
        <f>(Table6[[#This Row],[Fault Clearance time]]-Table6[[#This Row],[Fault Start TimeStamp]])*24</f>
        <v>0.99972222222222218</v>
      </c>
      <c r="U1230" s="35" t="s">
        <v>2091</v>
      </c>
      <c r="V1230" s="102" t="s">
        <v>335</v>
      </c>
      <c r="W1230" s="478">
        <f>IFERROR(Table6[[#This Row],[Breakdown Time]]*Table6[[#This Row],[Plant Equivalent Weightage]],"")</f>
        <v>3.8450854700854686E-2</v>
      </c>
      <c r="X1230" s="473" t="s">
        <v>294</v>
      </c>
      <c r="Y1230" s="474" t="s">
        <v>87</v>
      </c>
      <c r="Z1230" s="102">
        <v>62218</v>
      </c>
      <c r="AA1230" s="468">
        <f>(Table6[[#This Row],[Paired WTG Generation for loss calculation]]/24)*Table6[[#This Row],[Breakdown Time]]</f>
        <v>2591.6965509259257</v>
      </c>
      <c r="AB1230" s="102"/>
      <c r="AC1230" s="35"/>
      <c r="AD1230" s="35"/>
    </row>
    <row r="1231" spans="1:30">
      <c r="A1231" s="102">
        <f t="shared" ref="A1231:A1294" si="20">A1230+1</f>
        <v>1230</v>
      </c>
      <c r="B1231" s="468">
        <f>YEAR(Table6[[#This Row],[Date]])+IF(MONTH(Table6[[#This Row],[Date]])&gt;=4,1,0)</f>
        <v>2026</v>
      </c>
      <c r="C1231" s="102">
        <f>YEAR(Table6[[#This Row],[Date]])</f>
        <v>2025</v>
      </c>
      <c r="D1231" s="102" t="s">
        <v>1992</v>
      </c>
      <c r="E1231" s="469">
        <f>Table6[[#This Row],[Date]]-DAY(Table6[[#This Row],[Date]])+1</f>
        <v>45809</v>
      </c>
      <c r="F1231" s="470">
        <v>45827</v>
      </c>
      <c r="G1231" s="35" t="s">
        <v>90</v>
      </c>
      <c r="H1231" s="35" t="str">
        <f>IFERROR(_xlfn.XLOOKUP(Table6[[#This Row],[Affected WTG]],'Basic Data'!$A:$A,'Basic Data'!$B:$B),"")</f>
        <v>TQGXIIPL</v>
      </c>
      <c r="I1231" s="35" t="str">
        <f>IFERROR(_xlfn.XLOOKUP(Table6[[#This Row],[Affected WTG]],'Basic Data'!$A:$A,'Basic Data'!$C:$C),"")</f>
        <v>GEDA</v>
      </c>
      <c r="J1231" s="471">
        <f>IFERROR(_xlfn.XLOOKUP(Table6[[#This Row],[Affected WTG]],'Basic Data'!$A:$A,'Basic Data'!$E:$E),"")</f>
        <v>3.846153846153845E-2</v>
      </c>
      <c r="K1231" s="102">
        <v>3110</v>
      </c>
      <c r="L1231" s="35" t="str">
        <f>IFERROR(_xlfn.XLOOKUP(Table6[[#This Row],[Error Code]],'Basic Data'!$AA:$AA,'Basic Data'!$AB:$AB),"Incorrect Error Code")</f>
        <v>Frequency converter error</v>
      </c>
      <c r="M1231" s="35" t="s">
        <v>291</v>
      </c>
      <c r="N1231" s="475"/>
      <c r="O1231" s="476">
        <v>8.3333333333333332E-3</v>
      </c>
      <c r="P1231" s="476">
        <v>8.3333333333333332E-3</v>
      </c>
      <c r="Q1231" s="477">
        <v>1.5277777777777777E-2</v>
      </c>
      <c r="R1231" s="472">
        <f>IF(Table6[[#This Row],[Work Start TimeStamp]]="","",(Table6[[#This Row],[Work Start TimeStamp]]-Table6[[#This Row],[Fault Start TimeStamp]])*24)</f>
        <v>0</v>
      </c>
      <c r="S1231" s="472">
        <f>(Table6[[#This Row],[Fault Clearance time]]-Table6[[#This Row],[Work Start TimeStamp]])*24</f>
        <v>0.16666666666666666</v>
      </c>
      <c r="T1231" s="472">
        <f>(Table6[[#This Row],[Fault Clearance time]]-Table6[[#This Row],[Fault Start TimeStamp]])*24</f>
        <v>0.16666666666666666</v>
      </c>
      <c r="U1231" s="35" t="s">
        <v>1983</v>
      </c>
      <c r="V1231" s="102" t="s">
        <v>293</v>
      </c>
      <c r="W1231" s="478">
        <f>IFERROR(Table6[[#This Row],[Breakdown Time]]*Table6[[#This Row],[Plant Equivalent Weightage]],"")</f>
        <v>6.4102564102564083E-3</v>
      </c>
      <c r="X1231" s="473" t="s">
        <v>294</v>
      </c>
      <c r="Y1231" s="474" t="s">
        <v>95</v>
      </c>
      <c r="Z1231" s="102">
        <v>61067</v>
      </c>
      <c r="AA1231" s="468">
        <f>(Table6[[#This Row],[Paired WTG Generation for loss calculation]]/24)*Table6[[#This Row],[Breakdown Time]]</f>
        <v>424.07638888888891</v>
      </c>
      <c r="AB1231" s="102"/>
      <c r="AC1231" s="35"/>
      <c r="AD1231" s="35"/>
    </row>
    <row r="1232" spans="1:30">
      <c r="A1232" s="102">
        <f t="shared" si="20"/>
        <v>1231</v>
      </c>
      <c r="B1232" s="468">
        <f>YEAR(Table6[[#This Row],[Date]])+IF(MONTH(Table6[[#This Row],[Date]])&gt;=4,1,0)</f>
        <v>2026</v>
      </c>
      <c r="C1232" s="102">
        <f>YEAR(Table6[[#This Row],[Date]])</f>
        <v>2025</v>
      </c>
      <c r="D1232" s="102" t="s">
        <v>1992</v>
      </c>
      <c r="E1232" s="469">
        <f>Table6[[#This Row],[Date]]-DAY(Table6[[#This Row],[Date]])+1</f>
        <v>45809</v>
      </c>
      <c r="F1232" s="470">
        <v>45827</v>
      </c>
      <c r="G1232" s="35" t="s">
        <v>90</v>
      </c>
      <c r="H1232" s="35" t="str">
        <f>IFERROR(_xlfn.XLOOKUP(Table6[[#This Row],[Affected WTG]],'Basic Data'!$A:$A,'Basic Data'!$B:$B),"")</f>
        <v>TQGXIIPL</v>
      </c>
      <c r="I1232" s="35" t="str">
        <f>IFERROR(_xlfn.XLOOKUP(Table6[[#This Row],[Affected WTG]],'Basic Data'!$A:$A,'Basic Data'!$C:$C),"")</f>
        <v>GEDA</v>
      </c>
      <c r="J1232" s="471">
        <f>IFERROR(_xlfn.XLOOKUP(Table6[[#This Row],[Affected WTG]],'Basic Data'!$A:$A,'Basic Data'!$E:$E),"")</f>
        <v>3.846153846153845E-2</v>
      </c>
      <c r="K1232" s="102">
        <v>3110</v>
      </c>
      <c r="L1232" s="35" t="str">
        <f>IFERROR(_xlfn.XLOOKUP(Table6[[#This Row],[Error Code]],'Basic Data'!$AA:$AA,'Basic Data'!$AB:$AB),"Incorrect Error Code")</f>
        <v>Frequency converter error</v>
      </c>
      <c r="M1232" s="35" t="s">
        <v>291</v>
      </c>
      <c r="N1232" s="475"/>
      <c r="O1232" s="476">
        <v>0.10486111111111111</v>
      </c>
      <c r="P1232" s="476">
        <v>0.10486111111111111</v>
      </c>
      <c r="Q1232" s="477">
        <v>0.11874999999999999</v>
      </c>
      <c r="R1232" s="472">
        <f>IF(Table6[[#This Row],[Work Start TimeStamp]]="","",(Table6[[#This Row],[Work Start TimeStamp]]-Table6[[#This Row],[Fault Start TimeStamp]])*24)</f>
        <v>0</v>
      </c>
      <c r="S1232" s="472">
        <f>(Table6[[#This Row],[Fault Clearance time]]-Table6[[#This Row],[Work Start TimeStamp]])*24</f>
        <v>0.33333333333333315</v>
      </c>
      <c r="T1232" s="472">
        <f>(Table6[[#This Row],[Fault Clearance time]]-Table6[[#This Row],[Fault Start TimeStamp]])*24</f>
        <v>0.33333333333333315</v>
      </c>
      <c r="U1232" s="35" t="s">
        <v>1985</v>
      </c>
      <c r="V1232" s="102" t="s">
        <v>293</v>
      </c>
      <c r="W1232" s="478">
        <f>IFERROR(Table6[[#This Row],[Breakdown Time]]*Table6[[#This Row],[Plant Equivalent Weightage]],"")</f>
        <v>1.282051282051281E-2</v>
      </c>
      <c r="X1232" s="473" t="s">
        <v>294</v>
      </c>
      <c r="Y1232" s="474" t="s">
        <v>95</v>
      </c>
      <c r="Z1232" s="102">
        <v>61067</v>
      </c>
      <c r="AA1232" s="468">
        <f>(Table6[[#This Row],[Paired WTG Generation for loss calculation]]/24)*Table6[[#This Row],[Breakdown Time]]</f>
        <v>848.15277777777737</v>
      </c>
      <c r="AB1232" s="102"/>
      <c r="AC1232" s="35"/>
      <c r="AD1232" s="35"/>
    </row>
    <row r="1233" spans="1:30">
      <c r="A1233" s="102">
        <f t="shared" si="20"/>
        <v>1232</v>
      </c>
      <c r="B1233" s="468">
        <f>YEAR(Table6[[#This Row],[Date]])+IF(MONTH(Table6[[#This Row],[Date]])&gt;=4,1,0)</f>
        <v>2026</v>
      </c>
      <c r="C1233" s="102">
        <f>YEAR(Table6[[#This Row],[Date]])</f>
        <v>2025</v>
      </c>
      <c r="D1233" s="102" t="s">
        <v>1992</v>
      </c>
      <c r="E1233" s="469">
        <f>Table6[[#This Row],[Date]]-DAY(Table6[[#This Row],[Date]])+1</f>
        <v>45809</v>
      </c>
      <c r="F1233" s="470">
        <v>45827</v>
      </c>
      <c r="G1233" s="35" t="s">
        <v>90</v>
      </c>
      <c r="H1233" s="35" t="str">
        <f>IFERROR(_xlfn.XLOOKUP(Table6[[#This Row],[Affected WTG]],'Basic Data'!$A:$A,'Basic Data'!$B:$B),"")</f>
        <v>TQGXIIPL</v>
      </c>
      <c r="I1233" s="35" t="str">
        <f>IFERROR(_xlfn.XLOOKUP(Table6[[#This Row],[Affected WTG]],'Basic Data'!$A:$A,'Basic Data'!$C:$C),"")</f>
        <v>GEDA</v>
      </c>
      <c r="J1233" s="471">
        <f>IFERROR(_xlfn.XLOOKUP(Table6[[#This Row],[Affected WTG]],'Basic Data'!$A:$A,'Basic Data'!$E:$E),"")</f>
        <v>3.846153846153845E-2</v>
      </c>
      <c r="K1233" s="102">
        <v>3110</v>
      </c>
      <c r="L1233" s="35" t="str">
        <f>IFERROR(_xlfn.XLOOKUP(Table6[[#This Row],[Error Code]],'Basic Data'!$AA:$AA,'Basic Data'!$AB:$AB),"Incorrect Error Code")</f>
        <v>Frequency converter error</v>
      </c>
      <c r="M1233" s="35" t="s">
        <v>291</v>
      </c>
      <c r="N1233" s="475"/>
      <c r="O1233" s="476">
        <v>0.15555555555555556</v>
      </c>
      <c r="P1233" s="476">
        <v>0.15555555555555556</v>
      </c>
      <c r="Q1233" s="477">
        <v>0.15833333333333333</v>
      </c>
      <c r="R1233" s="472">
        <f>IF(Table6[[#This Row],[Work Start TimeStamp]]="","",(Table6[[#This Row],[Work Start TimeStamp]]-Table6[[#This Row],[Fault Start TimeStamp]])*24)</f>
        <v>0</v>
      </c>
      <c r="S1233" s="472">
        <f>(Table6[[#This Row],[Fault Clearance time]]-Table6[[#This Row],[Work Start TimeStamp]])*24</f>
        <v>6.666666666666643E-2</v>
      </c>
      <c r="T1233" s="472">
        <f>(Table6[[#This Row],[Fault Clearance time]]-Table6[[#This Row],[Fault Start TimeStamp]])*24</f>
        <v>6.666666666666643E-2</v>
      </c>
      <c r="U1233" s="35" t="s">
        <v>1985</v>
      </c>
      <c r="V1233" s="102" t="s">
        <v>293</v>
      </c>
      <c r="W1233" s="478">
        <f>IFERROR(Table6[[#This Row],[Breakdown Time]]*Table6[[#This Row],[Plant Equivalent Weightage]],"")</f>
        <v>2.5641025641025541E-3</v>
      </c>
      <c r="X1233" s="473" t="s">
        <v>294</v>
      </c>
      <c r="Y1233" s="474" t="s">
        <v>95</v>
      </c>
      <c r="Z1233" s="102">
        <v>61067</v>
      </c>
      <c r="AA1233" s="468">
        <f>(Table6[[#This Row],[Paired WTG Generation for loss calculation]]/24)*Table6[[#This Row],[Breakdown Time]]</f>
        <v>169.63055555555496</v>
      </c>
      <c r="AB1233" s="102"/>
      <c r="AC1233" s="35"/>
      <c r="AD1233" s="35"/>
    </row>
    <row r="1234" spans="1:30">
      <c r="A1234" s="102">
        <f t="shared" si="20"/>
        <v>1233</v>
      </c>
      <c r="B1234" s="468">
        <f>YEAR(Table6[[#This Row],[Date]])+IF(MONTH(Table6[[#This Row],[Date]])&gt;=4,1,0)</f>
        <v>2026</v>
      </c>
      <c r="C1234" s="102">
        <f>YEAR(Table6[[#This Row],[Date]])</f>
        <v>2025</v>
      </c>
      <c r="D1234" s="102" t="s">
        <v>1992</v>
      </c>
      <c r="E1234" s="469">
        <f>Table6[[#This Row],[Date]]-DAY(Table6[[#This Row],[Date]])+1</f>
        <v>45809</v>
      </c>
      <c r="F1234" s="470">
        <v>45827</v>
      </c>
      <c r="G1234" s="35" t="s">
        <v>90</v>
      </c>
      <c r="H1234" s="35" t="str">
        <f>IFERROR(_xlfn.XLOOKUP(Table6[[#This Row],[Affected WTG]],'Basic Data'!$A:$A,'Basic Data'!$B:$B),"")</f>
        <v>TQGXIIPL</v>
      </c>
      <c r="I1234" s="35" t="str">
        <f>IFERROR(_xlfn.XLOOKUP(Table6[[#This Row],[Affected WTG]],'Basic Data'!$A:$A,'Basic Data'!$C:$C),"")</f>
        <v>GEDA</v>
      </c>
      <c r="J1234" s="471">
        <f>IFERROR(_xlfn.XLOOKUP(Table6[[#This Row],[Affected WTG]],'Basic Data'!$A:$A,'Basic Data'!$E:$E),"")</f>
        <v>3.846153846153845E-2</v>
      </c>
      <c r="K1234" s="102">
        <v>3110</v>
      </c>
      <c r="L1234" s="35" t="str">
        <f>IFERROR(_xlfn.XLOOKUP(Table6[[#This Row],[Error Code]],'Basic Data'!$AA:$AA,'Basic Data'!$AB:$AB),"Incorrect Error Code")</f>
        <v>Frequency converter error</v>
      </c>
      <c r="M1234" s="35" t="s">
        <v>291</v>
      </c>
      <c r="N1234" s="475"/>
      <c r="O1234" s="476">
        <v>0.18263888888888888</v>
      </c>
      <c r="P1234" s="476">
        <v>0.18263888888888888</v>
      </c>
      <c r="Q1234" s="477">
        <v>0.18472222222222223</v>
      </c>
      <c r="R1234" s="472">
        <f>IF(Table6[[#This Row],[Work Start TimeStamp]]="","",(Table6[[#This Row],[Work Start TimeStamp]]-Table6[[#This Row],[Fault Start TimeStamp]])*24)</f>
        <v>0</v>
      </c>
      <c r="S1234" s="472">
        <f>(Table6[[#This Row],[Fault Clearance time]]-Table6[[#This Row],[Work Start TimeStamp]])*24</f>
        <v>5.0000000000000488E-2</v>
      </c>
      <c r="T1234" s="472">
        <f>(Table6[[#This Row],[Fault Clearance time]]-Table6[[#This Row],[Fault Start TimeStamp]])*24</f>
        <v>5.0000000000000488E-2</v>
      </c>
      <c r="U1234" s="35" t="s">
        <v>1986</v>
      </c>
      <c r="V1234" s="102" t="s">
        <v>293</v>
      </c>
      <c r="W1234" s="478">
        <f>IFERROR(Table6[[#This Row],[Breakdown Time]]*Table6[[#This Row],[Plant Equivalent Weightage]],"")</f>
        <v>1.9230769230769412E-3</v>
      </c>
      <c r="X1234" s="473" t="s">
        <v>294</v>
      </c>
      <c r="Y1234" s="474" t="s">
        <v>95</v>
      </c>
      <c r="Z1234" s="102">
        <v>61067</v>
      </c>
      <c r="AA1234" s="468">
        <f>(Table6[[#This Row],[Paired WTG Generation for loss calculation]]/24)*Table6[[#This Row],[Breakdown Time]]</f>
        <v>127.22291666666791</v>
      </c>
      <c r="AB1234" s="102"/>
      <c r="AC1234" s="35"/>
      <c r="AD1234" s="35"/>
    </row>
    <row r="1235" spans="1:30">
      <c r="A1235" s="102">
        <f t="shared" si="20"/>
        <v>1234</v>
      </c>
      <c r="B1235" s="468">
        <f>YEAR(Table6[[#This Row],[Date]])+IF(MONTH(Table6[[#This Row],[Date]])&gt;=4,1,0)</f>
        <v>2026</v>
      </c>
      <c r="C1235" s="102">
        <f>YEAR(Table6[[#This Row],[Date]])</f>
        <v>2025</v>
      </c>
      <c r="D1235" s="102" t="s">
        <v>1992</v>
      </c>
      <c r="E1235" s="469">
        <f>Table6[[#This Row],[Date]]-DAY(Table6[[#This Row],[Date]])+1</f>
        <v>45809</v>
      </c>
      <c r="F1235" s="470">
        <v>45827</v>
      </c>
      <c r="G1235" s="35" t="s">
        <v>90</v>
      </c>
      <c r="H1235" s="35" t="str">
        <f>IFERROR(_xlfn.XLOOKUP(Table6[[#This Row],[Affected WTG]],'Basic Data'!$A:$A,'Basic Data'!$B:$B),"")</f>
        <v>TQGXIIPL</v>
      </c>
      <c r="I1235" s="35" t="str">
        <f>IFERROR(_xlfn.XLOOKUP(Table6[[#This Row],[Affected WTG]],'Basic Data'!$A:$A,'Basic Data'!$C:$C),"")</f>
        <v>GEDA</v>
      </c>
      <c r="J1235" s="471">
        <f>IFERROR(_xlfn.XLOOKUP(Table6[[#This Row],[Affected WTG]],'Basic Data'!$A:$A,'Basic Data'!$E:$E),"")</f>
        <v>3.846153846153845E-2</v>
      </c>
      <c r="K1235" s="102">
        <v>3110</v>
      </c>
      <c r="L1235" s="35" t="str">
        <f>IFERROR(_xlfn.XLOOKUP(Table6[[#This Row],[Error Code]],'Basic Data'!$AA:$AA,'Basic Data'!$AB:$AB),"Incorrect Error Code")</f>
        <v>Frequency converter error</v>
      </c>
      <c r="M1235" s="35" t="s">
        <v>291</v>
      </c>
      <c r="N1235" s="475"/>
      <c r="O1235" s="476">
        <v>0.24236111111111111</v>
      </c>
      <c r="P1235" s="476">
        <v>0.24236111111111111</v>
      </c>
      <c r="Q1235" s="477">
        <v>0.24444444444444444</v>
      </c>
      <c r="R1235" s="472">
        <f>IF(Table6[[#This Row],[Work Start TimeStamp]]="","",(Table6[[#This Row],[Work Start TimeStamp]]-Table6[[#This Row],[Fault Start TimeStamp]])*24)</f>
        <v>0</v>
      </c>
      <c r="S1235" s="472">
        <f>(Table6[[#This Row],[Fault Clearance time]]-Table6[[#This Row],[Work Start TimeStamp]])*24</f>
        <v>4.9999999999999822E-2</v>
      </c>
      <c r="T1235" s="472">
        <f>(Table6[[#This Row],[Fault Clearance time]]-Table6[[#This Row],[Fault Start TimeStamp]])*24</f>
        <v>4.9999999999999822E-2</v>
      </c>
      <c r="U1235" s="35" t="s">
        <v>1982</v>
      </c>
      <c r="V1235" s="102" t="s">
        <v>293</v>
      </c>
      <c r="W1235" s="478">
        <f>IFERROR(Table6[[#This Row],[Breakdown Time]]*Table6[[#This Row],[Plant Equivalent Weightage]],"")</f>
        <v>1.9230769230769156E-3</v>
      </c>
      <c r="X1235" s="473" t="s">
        <v>294</v>
      </c>
      <c r="Y1235" s="474" t="s">
        <v>95</v>
      </c>
      <c r="Z1235" s="102">
        <v>61067</v>
      </c>
      <c r="AA1235" s="468">
        <f>(Table6[[#This Row],[Paired WTG Generation for loss calculation]]/24)*Table6[[#This Row],[Breakdown Time]]</f>
        <v>127.22291666666622</v>
      </c>
      <c r="AB1235" s="102"/>
      <c r="AC1235" s="35"/>
      <c r="AD1235" s="35"/>
    </row>
    <row r="1236" spans="1:30">
      <c r="A1236" s="102">
        <f t="shared" si="20"/>
        <v>1235</v>
      </c>
      <c r="B1236" s="468">
        <f>YEAR(Table6[[#This Row],[Date]])+IF(MONTH(Table6[[#This Row],[Date]])&gt;=4,1,0)</f>
        <v>2026</v>
      </c>
      <c r="C1236" s="102">
        <f>YEAR(Table6[[#This Row],[Date]])</f>
        <v>2025</v>
      </c>
      <c r="D1236" s="102" t="s">
        <v>1992</v>
      </c>
      <c r="E1236" s="469">
        <f>Table6[[#This Row],[Date]]-DAY(Table6[[#This Row],[Date]])+1</f>
        <v>45809</v>
      </c>
      <c r="F1236" s="470">
        <v>45827</v>
      </c>
      <c r="G1236" s="35" t="s">
        <v>90</v>
      </c>
      <c r="H1236" s="35" t="str">
        <f>IFERROR(_xlfn.XLOOKUP(Table6[[#This Row],[Affected WTG]],'Basic Data'!$A:$A,'Basic Data'!$B:$B),"")</f>
        <v>TQGXIIPL</v>
      </c>
      <c r="I1236" s="35" t="str">
        <f>IFERROR(_xlfn.XLOOKUP(Table6[[#This Row],[Affected WTG]],'Basic Data'!$A:$A,'Basic Data'!$C:$C),"")</f>
        <v>GEDA</v>
      </c>
      <c r="J1236" s="471">
        <f>IFERROR(_xlfn.XLOOKUP(Table6[[#This Row],[Affected WTG]],'Basic Data'!$A:$A,'Basic Data'!$E:$E),"")</f>
        <v>3.846153846153845E-2</v>
      </c>
      <c r="K1236" s="102">
        <v>3110</v>
      </c>
      <c r="L1236" s="35" t="str">
        <f>IFERROR(_xlfn.XLOOKUP(Table6[[#This Row],[Error Code]],'Basic Data'!$AA:$AA,'Basic Data'!$AB:$AB),"Incorrect Error Code")</f>
        <v>Frequency converter error</v>
      </c>
      <c r="M1236" s="35" t="s">
        <v>291</v>
      </c>
      <c r="N1236" s="475"/>
      <c r="O1236" s="476">
        <v>0.26527777777777778</v>
      </c>
      <c r="P1236" s="476">
        <v>0.26527777777777778</v>
      </c>
      <c r="Q1236" s="477">
        <v>0.2673611111111111</v>
      </c>
      <c r="R1236" s="472">
        <f>IF(Table6[[#This Row],[Work Start TimeStamp]]="","",(Table6[[#This Row],[Work Start TimeStamp]]-Table6[[#This Row],[Fault Start TimeStamp]])*24)</f>
        <v>0</v>
      </c>
      <c r="S1236" s="472">
        <f>(Table6[[#This Row],[Fault Clearance time]]-Table6[[#This Row],[Work Start TimeStamp]])*24</f>
        <v>4.9999999999999822E-2</v>
      </c>
      <c r="T1236" s="472">
        <f>(Table6[[#This Row],[Fault Clearance time]]-Table6[[#This Row],[Fault Start TimeStamp]])*24</f>
        <v>4.9999999999999822E-2</v>
      </c>
      <c r="U1236" s="35" t="s">
        <v>1983</v>
      </c>
      <c r="V1236" s="102" t="s">
        <v>293</v>
      </c>
      <c r="W1236" s="478">
        <f>IFERROR(Table6[[#This Row],[Breakdown Time]]*Table6[[#This Row],[Plant Equivalent Weightage]],"")</f>
        <v>1.9230769230769156E-3</v>
      </c>
      <c r="X1236" s="473" t="s">
        <v>294</v>
      </c>
      <c r="Y1236" s="474" t="s">
        <v>95</v>
      </c>
      <c r="Z1236" s="102">
        <v>61067</v>
      </c>
      <c r="AA1236" s="468">
        <f>(Table6[[#This Row],[Paired WTG Generation for loss calculation]]/24)*Table6[[#This Row],[Breakdown Time]]</f>
        <v>127.22291666666622</v>
      </c>
      <c r="AB1236" s="102"/>
      <c r="AC1236" s="35"/>
      <c r="AD1236" s="35"/>
    </row>
    <row r="1237" spans="1:30">
      <c r="A1237" s="102">
        <f t="shared" si="20"/>
        <v>1236</v>
      </c>
      <c r="B1237" s="468">
        <f>YEAR(Table6[[#This Row],[Date]])+IF(MONTH(Table6[[#This Row],[Date]])&gt;=4,1,0)</f>
        <v>2026</v>
      </c>
      <c r="C1237" s="102">
        <f>YEAR(Table6[[#This Row],[Date]])</f>
        <v>2025</v>
      </c>
      <c r="D1237" s="102" t="s">
        <v>1992</v>
      </c>
      <c r="E1237" s="469">
        <f>Table6[[#This Row],[Date]]-DAY(Table6[[#This Row],[Date]])+1</f>
        <v>45809</v>
      </c>
      <c r="F1237" s="470">
        <v>45827</v>
      </c>
      <c r="G1237" s="35" t="s">
        <v>90</v>
      </c>
      <c r="H1237" s="35" t="str">
        <f>IFERROR(_xlfn.XLOOKUP(Table6[[#This Row],[Affected WTG]],'Basic Data'!$A:$A,'Basic Data'!$B:$B),"")</f>
        <v>TQGXIIPL</v>
      </c>
      <c r="I1237" s="35" t="str">
        <f>IFERROR(_xlfn.XLOOKUP(Table6[[#This Row],[Affected WTG]],'Basic Data'!$A:$A,'Basic Data'!$C:$C),"")</f>
        <v>GEDA</v>
      </c>
      <c r="J1237" s="471">
        <f>IFERROR(_xlfn.XLOOKUP(Table6[[#This Row],[Affected WTG]],'Basic Data'!$A:$A,'Basic Data'!$E:$E),"")</f>
        <v>3.846153846153845E-2</v>
      </c>
      <c r="K1237" s="102">
        <v>3110</v>
      </c>
      <c r="L1237" s="35" t="str">
        <f>IFERROR(_xlfn.XLOOKUP(Table6[[#This Row],[Error Code]],'Basic Data'!$AA:$AA,'Basic Data'!$AB:$AB),"Incorrect Error Code")</f>
        <v>Frequency converter error</v>
      </c>
      <c r="M1237" s="35" t="s">
        <v>291</v>
      </c>
      <c r="N1237" s="475"/>
      <c r="O1237" s="476">
        <v>0.53611111111111109</v>
      </c>
      <c r="P1237" s="476">
        <v>0.53611111111111109</v>
      </c>
      <c r="Q1237" s="477">
        <v>0.53819444444444442</v>
      </c>
      <c r="R1237" s="472">
        <f>IF(Table6[[#This Row],[Work Start TimeStamp]]="","",(Table6[[#This Row],[Work Start TimeStamp]]-Table6[[#This Row],[Fault Start TimeStamp]])*24)</f>
        <v>0</v>
      </c>
      <c r="S1237" s="472">
        <f>(Table6[[#This Row],[Fault Clearance time]]-Table6[[#This Row],[Work Start TimeStamp]])*24</f>
        <v>4.9999999999999822E-2</v>
      </c>
      <c r="T1237" s="472">
        <f>(Table6[[#This Row],[Fault Clearance time]]-Table6[[#This Row],[Fault Start TimeStamp]])*24</f>
        <v>4.9999999999999822E-2</v>
      </c>
      <c r="U1237" s="35" t="s">
        <v>1986</v>
      </c>
      <c r="V1237" s="102" t="s">
        <v>293</v>
      </c>
      <c r="W1237" s="478">
        <f>IFERROR(Table6[[#This Row],[Breakdown Time]]*Table6[[#This Row],[Plant Equivalent Weightage]],"")</f>
        <v>1.9230769230769156E-3</v>
      </c>
      <c r="X1237" s="473" t="s">
        <v>294</v>
      </c>
      <c r="Y1237" s="474" t="s">
        <v>95</v>
      </c>
      <c r="Z1237" s="102">
        <v>61067</v>
      </c>
      <c r="AA1237" s="468">
        <f>(Table6[[#This Row],[Paired WTG Generation for loss calculation]]/24)*Table6[[#This Row],[Breakdown Time]]</f>
        <v>127.22291666666622</v>
      </c>
      <c r="AB1237" s="102"/>
      <c r="AC1237" s="35"/>
      <c r="AD1237" s="35"/>
    </row>
    <row r="1238" spans="1:30">
      <c r="A1238" s="102">
        <f t="shared" si="20"/>
        <v>1237</v>
      </c>
      <c r="B1238" s="468">
        <f>YEAR(Table6[[#This Row],[Date]])+IF(MONTH(Table6[[#This Row],[Date]])&gt;=4,1,0)</f>
        <v>2026</v>
      </c>
      <c r="C1238" s="102">
        <f>YEAR(Table6[[#This Row],[Date]])</f>
        <v>2025</v>
      </c>
      <c r="D1238" s="102" t="s">
        <v>1992</v>
      </c>
      <c r="E1238" s="469">
        <f>Table6[[#This Row],[Date]]-DAY(Table6[[#This Row],[Date]])+1</f>
        <v>45809</v>
      </c>
      <c r="F1238" s="470">
        <v>45827</v>
      </c>
      <c r="G1238" s="35" t="s">
        <v>90</v>
      </c>
      <c r="H1238" s="35" t="str">
        <f>IFERROR(_xlfn.XLOOKUP(Table6[[#This Row],[Affected WTG]],'Basic Data'!$A:$A,'Basic Data'!$B:$B),"")</f>
        <v>TQGXIIPL</v>
      </c>
      <c r="I1238" s="35" t="str">
        <f>IFERROR(_xlfn.XLOOKUP(Table6[[#This Row],[Affected WTG]],'Basic Data'!$A:$A,'Basic Data'!$C:$C),"")</f>
        <v>GEDA</v>
      </c>
      <c r="J1238" s="471">
        <f>IFERROR(_xlfn.XLOOKUP(Table6[[#This Row],[Affected WTG]],'Basic Data'!$A:$A,'Basic Data'!$E:$E),"")</f>
        <v>3.846153846153845E-2</v>
      </c>
      <c r="K1238" s="102">
        <v>3110</v>
      </c>
      <c r="L1238" s="35" t="str">
        <f>IFERROR(_xlfn.XLOOKUP(Table6[[#This Row],[Error Code]],'Basic Data'!$AA:$AA,'Basic Data'!$AB:$AB),"Incorrect Error Code")</f>
        <v>Frequency converter error</v>
      </c>
      <c r="M1238" s="35" t="s">
        <v>291</v>
      </c>
      <c r="N1238" s="475"/>
      <c r="O1238" s="476">
        <v>0.55625000000000002</v>
      </c>
      <c r="P1238" s="476">
        <v>0.55625000000000002</v>
      </c>
      <c r="Q1238" s="477">
        <v>0.55902777777777779</v>
      </c>
      <c r="R1238" s="472">
        <f>IF(Table6[[#This Row],[Work Start TimeStamp]]="","",(Table6[[#This Row],[Work Start TimeStamp]]-Table6[[#This Row],[Fault Start TimeStamp]])*24)</f>
        <v>0</v>
      </c>
      <c r="S1238" s="472">
        <f>(Table6[[#This Row],[Fault Clearance time]]-Table6[[#This Row],[Work Start TimeStamp]])*24</f>
        <v>6.666666666666643E-2</v>
      </c>
      <c r="T1238" s="472">
        <f>(Table6[[#This Row],[Fault Clearance time]]-Table6[[#This Row],[Fault Start TimeStamp]])*24</f>
        <v>6.666666666666643E-2</v>
      </c>
      <c r="U1238" s="35" t="s">
        <v>1987</v>
      </c>
      <c r="V1238" s="102" t="s">
        <v>293</v>
      </c>
      <c r="W1238" s="478">
        <f>IFERROR(Table6[[#This Row],[Breakdown Time]]*Table6[[#This Row],[Plant Equivalent Weightage]],"")</f>
        <v>2.5641025641025541E-3</v>
      </c>
      <c r="X1238" s="473" t="s">
        <v>294</v>
      </c>
      <c r="Y1238" s="474" t="s">
        <v>95</v>
      </c>
      <c r="Z1238" s="102">
        <v>61067</v>
      </c>
      <c r="AA1238" s="468">
        <f>(Table6[[#This Row],[Paired WTG Generation for loss calculation]]/24)*Table6[[#This Row],[Breakdown Time]]</f>
        <v>169.63055555555496</v>
      </c>
      <c r="AB1238" s="102"/>
      <c r="AC1238" s="35"/>
      <c r="AD1238" s="35"/>
    </row>
    <row r="1239" spans="1:30">
      <c r="A1239" s="102">
        <f t="shared" si="20"/>
        <v>1238</v>
      </c>
      <c r="B1239" s="468">
        <f>YEAR(Table6[[#This Row],[Date]])+IF(MONTH(Table6[[#This Row],[Date]])&gt;=4,1,0)</f>
        <v>2026</v>
      </c>
      <c r="C1239" s="102">
        <f>YEAR(Table6[[#This Row],[Date]])</f>
        <v>2025</v>
      </c>
      <c r="D1239" s="102" t="s">
        <v>1992</v>
      </c>
      <c r="E1239" s="469">
        <f>Table6[[#This Row],[Date]]-DAY(Table6[[#This Row],[Date]])+1</f>
        <v>45809</v>
      </c>
      <c r="F1239" s="470">
        <v>45827</v>
      </c>
      <c r="G1239" s="35" t="s">
        <v>90</v>
      </c>
      <c r="H1239" s="35" t="str">
        <f>IFERROR(_xlfn.XLOOKUP(Table6[[#This Row],[Affected WTG]],'Basic Data'!$A:$A,'Basic Data'!$B:$B),"")</f>
        <v>TQGXIIPL</v>
      </c>
      <c r="I1239" s="35" t="str">
        <f>IFERROR(_xlfn.XLOOKUP(Table6[[#This Row],[Affected WTG]],'Basic Data'!$A:$A,'Basic Data'!$C:$C),"")</f>
        <v>GEDA</v>
      </c>
      <c r="J1239" s="471">
        <f>IFERROR(_xlfn.XLOOKUP(Table6[[#This Row],[Affected WTG]],'Basic Data'!$A:$A,'Basic Data'!$E:$E),"")</f>
        <v>3.846153846153845E-2</v>
      </c>
      <c r="K1239" s="102">
        <v>3110</v>
      </c>
      <c r="L1239" s="35" t="str">
        <f>IFERROR(_xlfn.XLOOKUP(Table6[[#This Row],[Error Code]],'Basic Data'!$AA:$AA,'Basic Data'!$AB:$AB),"Incorrect Error Code")</f>
        <v>Frequency converter error</v>
      </c>
      <c r="M1239" s="35" t="s">
        <v>291</v>
      </c>
      <c r="N1239" s="475"/>
      <c r="O1239" s="476">
        <v>0.57986111111111116</v>
      </c>
      <c r="P1239" s="476">
        <v>0.57986111111111116</v>
      </c>
      <c r="Q1239" s="477">
        <v>0.58194444444444449</v>
      </c>
      <c r="R1239" s="472">
        <f>IF(Table6[[#This Row],[Work Start TimeStamp]]="","",(Table6[[#This Row],[Work Start TimeStamp]]-Table6[[#This Row],[Fault Start TimeStamp]])*24)</f>
        <v>0</v>
      </c>
      <c r="S1239" s="472">
        <f>(Table6[[#This Row],[Fault Clearance time]]-Table6[[#This Row],[Work Start TimeStamp]])*24</f>
        <v>4.9999999999999822E-2</v>
      </c>
      <c r="T1239" s="472">
        <f>(Table6[[#This Row],[Fault Clearance time]]-Table6[[#This Row],[Fault Start TimeStamp]])*24</f>
        <v>4.9999999999999822E-2</v>
      </c>
      <c r="U1239" s="35" t="s">
        <v>1986</v>
      </c>
      <c r="V1239" s="102" t="s">
        <v>293</v>
      </c>
      <c r="W1239" s="478">
        <f>IFERROR(Table6[[#This Row],[Breakdown Time]]*Table6[[#This Row],[Plant Equivalent Weightage]],"")</f>
        <v>1.9230769230769156E-3</v>
      </c>
      <c r="X1239" s="473" t="s">
        <v>294</v>
      </c>
      <c r="Y1239" s="474" t="s">
        <v>95</v>
      </c>
      <c r="Z1239" s="102">
        <v>61067</v>
      </c>
      <c r="AA1239" s="468">
        <f>(Table6[[#This Row],[Paired WTG Generation for loss calculation]]/24)*Table6[[#This Row],[Breakdown Time]]</f>
        <v>127.22291666666622</v>
      </c>
      <c r="AB1239" s="102"/>
      <c r="AC1239" s="35"/>
      <c r="AD1239" s="35"/>
    </row>
    <row r="1240" spans="1:30">
      <c r="A1240" s="102">
        <f t="shared" si="20"/>
        <v>1239</v>
      </c>
      <c r="B1240" s="468">
        <f>YEAR(Table6[[#This Row],[Date]])+IF(MONTH(Table6[[#This Row],[Date]])&gt;=4,1,0)</f>
        <v>2026</v>
      </c>
      <c r="C1240" s="102">
        <f>YEAR(Table6[[#This Row],[Date]])</f>
        <v>2025</v>
      </c>
      <c r="D1240" s="102" t="s">
        <v>1992</v>
      </c>
      <c r="E1240" s="469">
        <f>Table6[[#This Row],[Date]]-DAY(Table6[[#This Row],[Date]])+1</f>
        <v>45809</v>
      </c>
      <c r="F1240" s="470">
        <v>45827</v>
      </c>
      <c r="G1240" s="35" t="s">
        <v>93</v>
      </c>
      <c r="H1240" s="35" t="str">
        <f>IFERROR(_xlfn.XLOOKUP(Table6[[#This Row],[Affected WTG]],'Basic Data'!$A:$A,'Basic Data'!$B:$B),"")</f>
        <v>TQGXIIPL</v>
      </c>
      <c r="I1240" s="35" t="str">
        <f>IFERROR(_xlfn.XLOOKUP(Table6[[#This Row],[Affected WTG]],'Basic Data'!$A:$A,'Basic Data'!$C:$C),"")</f>
        <v>GEDA</v>
      </c>
      <c r="J1240" s="471">
        <f>IFERROR(_xlfn.XLOOKUP(Table6[[#This Row],[Affected WTG]],'Basic Data'!$A:$A,'Basic Data'!$E:$E),"")</f>
        <v>3.846153846153845E-2</v>
      </c>
      <c r="K1240" s="102">
        <v>6130</v>
      </c>
      <c r="L1240" s="35" t="str">
        <f>IFERROR(_xlfn.XLOOKUP(Table6[[#This Row],[Error Code]],'Basic Data'!$AA:$AA,'Basic Data'!$AB:$AB),"Incorrect Error Code")</f>
        <v>Yaw speed high</v>
      </c>
      <c r="M1240" s="35" t="s">
        <v>291</v>
      </c>
      <c r="N1240" s="475"/>
      <c r="O1240" s="476">
        <v>0.58888888888888891</v>
      </c>
      <c r="P1240" s="476">
        <v>0.58888888888888891</v>
      </c>
      <c r="Q1240" s="477">
        <v>0.59166666666666667</v>
      </c>
      <c r="R1240" s="472">
        <f>IF(Table6[[#This Row],[Work Start TimeStamp]]="","",(Table6[[#This Row],[Work Start TimeStamp]]-Table6[[#This Row],[Fault Start TimeStamp]])*24)</f>
        <v>0</v>
      </c>
      <c r="S1240" s="472">
        <f>(Table6[[#This Row],[Fault Clearance time]]-Table6[[#This Row],[Work Start TimeStamp]])*24</f>
        <v>6.666666666666643E-2</v>
      </c>
      <c r="T1240" s="472">
        <f>(Table6[[#This Row],[Fault Clearance time]]-Table6[[#This Row],[Fault Start TimeStamp]])*24</f>
        <v>6.666666666666643E-2</v>
      </c>
      <c r="U1240" s="35" t="s">
        <v>1924</v>
      </c>
      <c r="V1240" s="102" t="s">
        <v>293</v>
      </c>
      <c r="W1240" s="478">
        <f>IFERROR(Table6[[#This Row],[Breakdown Time]]*Table6[[#This Row],[Plant Equivalent Weightage]],"")</f>
        <v>2.5641025641025541E-3</v>
      </c>
      <c r="X1240" s="473" t="s">
        <v>294</v>
      </c>
      <c r="Y1240" s="474" t="s">
        <v>97</v>
      </c>
      <c r="Z1240" s="102">
        <v>63198</v>
      </c>
      <c r="AA1240" s="468">
        <f>(Table6[[#This Row],[Paired WTG Generation for loss calculation]]/24)*Table6[[#This Row],[Breakdown Time]]</f>
        <v>175.54999999999939</v>
      </c>
      <c r="AB1240" s="102"/>
      <c r="AC1240" s="35"/>
      <c r="AD1240" s="35"/>
    </row>
    <row r="1241" spans="1:30">
      <c r="A1241" s="102">
        <f t="shared" si="20"/>
        <v>1240</v>
      </c>
      <c r="B1241" s="468">
        <f>YEAR(Table6[[#This Row],[Date]])+IF(MONTH(Table6[[#This Row],[Date]])&gt;=4,1,0)</f>
        <v>2026</v>
      </c>
      <c r="C1241" s="102">
        <f>YEAR(Table6[[#This Row],[Date]])</f>
        <v>2025</v>
      </c>
      <c r="D1241" s="102" t="s">
        <v>1992</v>
      </c>
      <c r="E1241" s="469">
        <f>Table6[[#This Row],[Date]]-DAY(Table6[[#This Row],[Date]])+1</f>
        <v>45809</v>
      </c>
      <c r="F1241" s="470">
        <v>45827</v>
      </c>
      <c r="G1241" s="35" t="s">
        <v>98</v>
      </c>
      <c r="H1241" s="35" t="str">
        <f>IFERROR(_xlfn.XLOOKUP(Table6[[#This Row],[Affected WTG]],'Basic Data'!$A:$A,'Basic Data'!$B:$B),"")</f>
        <v>TQGXIIPL</v>
      </c>
      <c r="I1241" s="35" t="str">
        <f>IFERROR(_xlfn.XLOOKUP(Table6[[#This Row],[Affected WTG]],'Basic Data'!$A:$A,'Basic Data'!$C:$C),"")</f>
        <v>GEDA</v>
      </c>
      <c r="J1241" s="471">
        <f>IFERROR(_xlfn.XLOOKUP(Table6[[#This Row],[Affected WTG]],'Basic Data'!$A:$A,'Basic Data'!$E:$E),"")</f>
        <v>3.846153846153845E-2</v>
      </c>
      <c r="K1241" s="102">
        <v>3110</v>
      </c>
      <c r="L1241" s="35" t="str">
        <f>IFERROR(_xlfn.XLOOKUP(Table6[[#This Row],[Error Code]],'Basic Data'!$AA:$AA,'Basic Data'!$AB:$AB),"Incorrect Error Code")</f>
        <v>Frequency converter error</v>
      </c>
      <c r="M1241" s="35" t="s">
        <v>291</v>
      </c>
      <c r="N1241" s="475"/>
      <c r="O1241" s="476">
        <v>0.16458333333333333</v>
      </c>
      <c r="P1241" s="476">
        <v>0.16458333333333333</v>
      </c>
      <c r="Q1241" s="477">
        <v>0.16875000000000001</v>
      </c>
      <c r="R1241" s="472">
        <f>IF(Table6[[#This Row],[Work Start TimeStamp]]="","",(Table6[[#This Row],[Work Start TimeStamp]]-Table6[[#This Row],[Fault Start TimeStamp]])*24)</f>
        <v>0</v>
      </c>
      <c r="S1241" s="472">
        <f>(Table6[[#This Row],[Fault Clearance time]]-Table6[[#This Row],[Work Start TimeStamp]])*24</f>
        <v>0.10000000000000031</v>
      </c>
      <c r="T1241" s="472">
        <f>(Table6[[#This Row],[Fault Clearance time]]-Table6[[#This Row],[Fault Start TimeStamp]])*24</f>
        <v>0.10000000000000031</v>
      </c>
      <c r="U1241" s="35" t="s">
        <v>1924</v>
      </c>
      <c r="V1241" s="102" t="s">
        <v>293</v>
      </c>
      <c r="W1241" s="478">
        <f>IFERROR(Table6[[#This Row],[Breakdown Time]]*Table6[[#This Row],[Plant Equivalent Weightage]],"")</f>
        <v>3.8461538461538568E-3</v>
      </c>
      <c r="X1241" s="473" t="s">
        <v>294</v>
      </c>
      <c r="Y1241" s="474" t="s">
        <v>74</v>
      </c>
      <c r="Z1241" s="102">
        <v>60392</v>
      </c>
      <c r="AA1241" s="468">
        <f>(Table6[[#This Row],[Paired WTG Generation for loss calculation]]/24)*Table6[[#This Row],[Breakdown Time]]</f>
        <v>251.63333333333412</v>
      </c>
      <c r="AB1241" s="102"/>
      <c r="AC1241" s="35"/>
      <c r="AD1241" s="35"/>
    </row>
    <row r="1242" spans="1:30">
      <c r="A1242" s="102">
        <f t="shared" si="20"/>
        <v>1241</v>
      </c>
      <c r="B1242" s="468">
        <f>YEAR(Table6[[#This Row],[Date]])+IF(MONTH(Table6[[#This Row],[Date]])&gt;=4,1,0)</f>
        <v>2026</v>
      </c>
      <c r="C1242" s="102">
        <f>YEAR(Table6[[#This Row],[Date]])</f>
        <v>2025</v>
      </c>
      <c r="D1242" s="102" t="s">
        <v>1992</v>
      </c>
      <c r="E1242" s="469">
        <f>Table6[[#This Row],[Date]]-DAY(Table6[[#This Row],[Date]])+1</f>
        <v>45809</v>
      </c>
      <c r="F1242" s="470">
        <v>45828</v>
      </c>
      <c r="G1242" s="35" t="s">
        <v>75</v>
      </c>
      <c r="H1242" s="35" t="str">
        <f>IFERROR(_xlfn.XLOOKUP(Table6[[#This Row],[Affected WTG]],'Basic Data'!$A:$A,'Basic Data'!$B:$B),"")</f>
        <v>TQGXIIPL</v>
      </c>
      <c r="I1242" s="35" t="str">
        <f>IFERROR(_xlfn.XLOOKUP(Table6[[#This Row],[Affected WTG]],'Basic Data'!$A:$A,'Basic Data'!$C:$C),"")</f>
        <v>GEDA</v>
      </c>
      <c r="J1242" s="471">
        <f>IFERROR(_xlfn.XLOOKUP(Table6[[#This Row],[Affected WTG]],'Basic Data'!$A:$A,'Basic Data'!$E:$E),"")</f>
        <v>3.846153846153845E-2</v>
      </c>
      <c r="K1242" s="102">
        <v>4960</v>
      </c>
      <c r="L1242" s="35" t="str">
        <f>IFERROR(_xlfn.XLOOKUP(Table6[[#This Row],[Error Code]],'Basic Data'!$AA:$AA,'Basic Data'!$AB:$AB),"Incorrect Error Code")</f>
        <v>Tower oscillation YF</v>
      </c>
      <c r="M1242" s="35" t="s">
        <v>291</v>
      </c>
      <c r="N1242" s="475"/>
      <c r="O1242" s="476">
        <v>0.51249999999999996</v>
      </c>
      <c r="P1242" s="476">
        <v>0.51249999999999996</v>
      </c>
      <c r="Q1242" s="477">
        <v>0.51527777777777772</v>
      </c>
      <c r="R1242" s="472">
        <f>IF(Table6[[#This Row],[Work Start TimeStamp]]="","",(Table6[[#This Row],[Work Start TimeStamp]]-Table6[[#This Row],[Fault Start TimeStamp]])*24)</f>
        <v>0</v>
      </c>
      <c r="S1242" s="472">
        <f>(Table6[[#This Row],[Fault Clearance time]]-Table6[[#This Row],[Work Start TimeStamp]])*24</f>
        <v>6.666666666666643E-2</v>
      </c>
      <c r="T1242" s="472">
        <f>(Table6[[#This Row],[Fault Clearance time]]-Table6[[#This Row],[Fault Start TimeStamp]])*24</f>
        <v>6.666666666666643E-2</v>
      </c>
      <c r="U1242" s="35" t="s">
        <v>1924</v>
      </c>
      <c r="V1242" s="102" t="s">
        <v>293</v>
      </c>
      <c r="W1242" s="478">
        <f>IFERROR(Table6[[#This Row],[Breakdown Time]]*Table6[[#This Row],[Plant Equivalent Weightage]],"")</f>
        <v>2.5641025641025541E-3</v>
      </c>
      <c r="X1242" s="473" t="s">
        <v>294</v>
      </c>
      <c r="Y1242" s="474" t="s">
        <v>78</v>
      </c>
      <c r="Z1242" s="102">
        <v>54458</v>
      </c>
      <c r="AA1242" s="468">
        <f>(Table6[[#This Row],[Paired WTG Generation for loss calculation]]/24)*Table6[[#This Row],[Breakdown Time]]</f>
        <v>151.2722222222217</v>
      </c>
      <c r="AB1242" s="102"/>
      <c r="AC1242" s="35"/>
      <c r="AD1242" s="35"/>
    </row>
    <row r="1243" spans="1:30">
      <c r="A1243" s="102">
        <f t="shared" si="20"/>
        <v>1242</v>
      </c>
      <c r="B1243" s="468">
        <f>YEAR(Table6[[#This Row],[Date]])+IF(MONTH(Table6[[#This Row],[Date]])&gt;=4,1,0)</f>
        <v>2026</v>
      </c>
      <c r="C1243" s="102">
        <f>YEAR(Table6[[#This Row],[Date]])</f>
        <v>2025</v>
      </c>
      <c r="D1243" s="102" t="s">
        <v>1992</v>
      </c>
      <c r="E1243" s="469">
        <f>Table6[[#This Row],[Date]]-DAY(Table6[[#This Row],[Date]])+1</f>
        <v>45809</v>
      </c>
      <c r="F1243" s="470">
        <v>45828</v>
      </c>
      <c r="G1243" s="35" t="s">
        <v>76</v>
      </c>
      <c r="H1243" s="35" t="str">
        <f>IFERROR(_xlfn.XLOOKUP(Table6[[#This Row],[Affected WTG]],'Basic Data'!$A:$A,'Basic Data'!$B:$B),"")</f>
        <v>TQGXIIPL</v>
      </c>
      <c r="I1243" s="35" t="str">
        <f>IFERROR(_xlfn.XLOOKUP(Table6[[#This Row],[Affected WTG]],'Basic Data'!$A:$A,'Basic Data'!$C:$C),"")</f>
        <v>GEDA</v>
      </c>
      <c r="J1243" s="471">
        <f>IFERROR(_xlfn.XLOOKUP(Table6[[#This Row],[Affected WTG]],'Basic Data'!$A:$A,'Basic Data'!$E:$E),"")</f>
        <v>3.846153846153845E-2</v>
      </c>
      <c r="K1243" s="102">
        <v>520</v>
      </c>
      <c r="L1243" s="35" t="str">
        <f>IFERROR(_xlfn.XLOOKUP(Table6[[#This Row],[Error Code]],'Basic Data'!$AA:$AA,'Basic Data'!$AB:$AB),"Incorrect Error Code")</f>
        <v>Overload axis 1</v>
      </c>
      <c r="M1243" s="35" t="s">
        <v>291</v>
      </c>
      <c r="N1243" s="475"/>
      <c r="O1243" s="476">
        <v>0.12986111111111112</v>
      </c>
      <c r="P1243" s="476">
        <v>0.12986111111111112</v>
      </c>
      <c r="Q1243" s="477">
        <v>0.1423611111111111</v>
      </c>
      <c r="R1243" s="472">
        <f>IF(Table6[[#This Row],[Work Start TimeStamp]]="","",(Table6[[#This Row],[Work Start TimeStamp]]-Table6[[#This Row],[Fault Start TimeStamp]])*24)</f>
        <v>0</v>
      </c>
      <c r="S1243" s="472">
        <f>(Table6[[#This Row],[Fault Clearance time]]-Table6[[#This Row],[Work Start TimeStamp]])*24</f>
        <v>0.2999999999999996</v>
      </c>
      <c r="T1243" s="472">
        <f>(Table6[[#This Row],[Fault Clearance time]]-Table6[[#This Row],[Fault Start TimeStamp]])*24</f>
        <v>0.2999999999999996</v>
      </c>
      <c r="U1243" s="35" t="s">
        <v>1924</v>
      </c>
      <c r="V1243" s="102" t="s">
        <v>293</v>
      </c>
      <c r="W1243" s="478">
        <f>IFERROR(Table6[[#This Row],[Breakdown Time]]*Table6[[#This Row],[Plant Equivalent Weightage]],"")</f>
        <v>1.153846153846152E-2</v>
      </c>
      <c r="X1243" s="473" t="s">
        <v>294</v>
      </c>
      <c r="Y1243" s="474" t="s">
        <v>82</v>
      </c>
      <c r="Z1243" s="102">
        <v>55200</v>
      </c>
      <c r="AA1243" s="468">
        <f>(Table6[[#This Row],[Paired WTG Generation for loss calculation]]/24)*Table6[[#This Row],[Breakdown Time]]</f>
        <v>689.99999999999909</v>
      </c>
      <c r="AB1243" s="102"/>
      <c r="AC1243" s="35"/>
      <c r="AD1243" s="35"/>
    </row>
    <row r="1244" spans="1:30">
      <c r="A1244" s="102">
        <f t="shared" si="20"/>
        <v>1243</v>
      </c>
      <c r="B1244" s="468">
        <f>YEAR(Table6[[#This Row],[Date]])+IF(MONTH(Table6[[#This Row],[Date]])&gt;=4,1,0)</f>
        <v>2026</v>
      </c>
      <c r="C1244" s="102">
        <f>YEAR(Table6[[#This Row],[Date]])</f>
        <v>2025</v>
      </c>
      <c r="D1244" s="102" t="s">
        <v>1992</v>
      </c>
      <c r="E1244" s="469">
        <f>Table6[[#This Row],[Date]]-DAY(Table6[[#This Row],[Date]])+1</f>
        <v>45809</v>
      </c>
      <c r="F1244" s="470">
        <v>45828</v>
      </c>
      <c r="G1244" s="35" t="s">
        <v>77</v>
      </c>
      <c r="H1244" s="35" t="str">
        <f>IFERROR(_xlfn.XLOOKUP(Table6[[#This Row],[Affected WTG]],'Basic Data'!$A:$A,'Basic Data'!$B:$B),"")</f>
        <v>TQGXIIPL</v>
      </c>
      <c r="I1244" s="35" t="str">
        <f>IFERROR(_xlfn.XLOOKUP(Table6[[#This Row],[Affected WTG]],'Basic Data'!$A:$A,'Basic Data'!$C:$C),"")</f>
        <v>GEDA</v>
      </c>
      <c r="J1244" s="471">
        <f>IFERROR(_xlfn.XLOOKUP(Table6[[#This Row],[Affected WTG]],'Basic Data'!$A:$A,'Basic Data'!$E:$E),"")</f>
        <v>3.846153846153845E-2</v>
      </c>
      <c r="K1244" s="102">
        <v>6130</v>
      </c>
      <c r="L1244" s="35" t="str">
        <f>IFERROR(_xlfn.XLOOKUP(Table6[[#This Row],[Error Code]],'Basic Data'!$AA:$AA,'Basic Data'!$AB:$AB),"Incorrect Error Code")</f>
        <v>Yaw speed high</v>
      </c>
      <c r="M1244" s="35" t="s">
        <v>292</v>
      </c>
      <c r="N1244" s="475"/>
      <c r="O1244" s="476">
        <v>0.43958333333333333</v>
      </c>
      <c r="P1244" s="476">
        <v>0.43958333333333333</v>
      </c>
      <c r="Q1244" s="477">
        <v>0.44027777777777777</v>
      </c>
      <c r="R1244" s="472">
        <f>IF(Table6[[#This Row],[Work Start TimeStamp]]="","",(Table6[[#This Row],[Work Start TimeStamp]]-Table6[[#This Row],[Fault Start TimeStamp]])*24)</f>
        <v>0</v>
      </c>
      <c r="S1244" s="472">
        <f>(Table6[[#This Row],[Fault Clearance time]]-Table6[[#This Row],[Work Start TimeStamp]])*24</f>
        <v>1.6666666666666607E-2</v>
      </c>
      <c r="T1244" s="472">
        <f>(Table6[[#This Row],[Fault Clearance time]]-Table6[[#This Row],[Fault Start TimeStamp]])*24</f>
        <v>1.6666666666666607E-2</v>
      </c>
      <c r="U1244" s="35" t="s">
        <v>336</v>
      </c>
      <c r="V1244" s="102" t="s">
        <v>293</v>
      </c>
      <c r="W1244" s="478">
        <f>IFERROR(Table6[[#This Row],[Breakdown Time]]*Table6[[#This Row],[Plant Equivalent Weightage]],"")</f>
        <v>6.4102564102563853E-4</v>
      </c>
      <c r="X1244" s="473" t="s">
        <v>294</v>
      </c>
      <c r="Y1244" s="474" t="s">
        <v>80</v>
      </c>
      <c r="Z1244" s="102">
        <v>26899</v>
      </c>
      <c r="AA1244" s="468">
        <f>(Table6[[#This Row],[Paired WTG Generation for loss calculation]]/24)*Table6[[#This Row],[Breakdown Time]]</f>
        <v>18.679861111111045</v>
      </c>
      <c r="AB1244" s="102"/>
      <c r="AC1244" s="35"/>
      <c r="AD1244" s="35"/>
    </row>
    <row r="1245" spans="1:30">
      <c r="A1245" s="102">
        <f t="shared" si="20"/>
        <v>1244</v>
      </c>
      <c r="B1245" s="468">
        <f>YEAR(Table6[[#This Row],[Date]])+IF(MONTH(Table6[[#This Row],[Date]])&gt;=4,1,0)</f>
        <v>2026</v>
      </c>
      <c r="C1245" s="102">
        <f>YEAR(Table6[[#This Row],[Date]])</f>
        <v>2025</v>
      </c>
      <c r="D1245" s="102" t="s">
        <v>1992</v>
      </c>
      <c r="E1245" s="469">
        <f>Table6[[#This Row],[Date]]-DAY(Table6[[#This Row],[Date]])+1</f>
        <v>45809</v>
      </c>
      <c r="F1245" s="470">
        <v>45828</v>
      </c>
      <c r="G1245" s="35" t="s">
        <v>77</v>
      </c>
      <c r="H1245" s="35" t="str">
        <f>IFERROR(_xlfn.XLOOKUP(Table6[[#This Row],[Affected WTG]],'Basic Data'!$A:$A,'Basic Data'!$B:$B),"")</f>
        <v>TQGXIIPL</v>
      </c>
      <c r="I1245" s="35" t="str">
        <f>IFERROR(_xlfn.XLOOKUP(Table6[[#This Row],[Affected WTG]],'Basic Data'!$A:$A,'Basic Data'!$C:$C),"")</f>
        <v>GEDA</v>
      </c>
      <c r="J1245" s="471">
        <f>IFERROR(_xlfn.XLOOKUP(Table6[[#This Row],[Affected WTG]],'Basic Data'!$A:$A,'Basic Data'!$E:$E),"")</f>
        <v>3.846153846153845E-2</v>
      </c>
      <c r="K1245" s="102">
        <v>152</v>
      </c>
      <c r="L1245" s="35" t="str">
        <f>IFERROR(_xlfn.XLOOKUP(Table6[[#This Row],[Error Code]],'Basic Data'!$AA:$AA,'Basic Data'!$AB:$AB),"Incorrect Error Code")</f>
        <v>SLC app. not in SAFE mode</v>
      </c>
      <c r="M1245" s="35" t="s">
        <v>291</v>
      </c>
      <c r="N1245" s="475"/>
      <c r="O1245" s="476">
        <v>0.82638888888888884</v>
      </c>
      <c r="P1245" s="476">
        <v>0.82638888888888884</v>
      </c>
      <c r="Q1245" s="477">
        <v>0.85972222222222228</v>
      </c>
      <c r="R1245" s="472">
        <f>IF(Table6[[#This Row],[Work Start TimeStamp]]="","",(Table6[[#This Row],[Work Start TimeStamp]]-Table6[[#This Row],[Fault Start TimeStamp]])*24)</f>
        <v>0</v>
      </c>
      <c r="S1245" s="472">
        <f>(Table6[[#This Row],[Fault Clearance time]]-Table6[[#This Row],[Work Start TimeStamp]])*24</f>
        <v>0.80000000000000249</v>
      </c>
      <c r="T1245" s="472">
        <f>(Table6[[#This Row],[Fault Clearance time]]-Table6[[#This Row],[Fault Start TimeStamp]])*24</f>
        <v>0.80000000000000249</v>
      </c>
      <c r="U1245" s="35" t="s">
        <v>1997</v>
      </c>
      <c r="V1245" s="102" t="s">
        <v>293</v>
      </c>
      <c r="W1245" s="478">
        <f>IFERROR(Table6[[#This Row],[Breakdown Time]]*Table6[[#This Row],[Plant Equivalent Weightage]],"")</f>
        <v>3.0769230769230854E-2</v>
      </c>
      <c r="X1245" s="473" t="s">
        <v>294</v>
      </c>
      <c r="Y1245" s="474" t="s">
        <v>80</v>
      </c>
      <c r="Z1245" s="102">
        <v>26899</v>
      </c>
      <c r="AA1245" s="468">
        <f>(Table6[[#This Row],[Paired WTG Generation for loss calculation]]/24)*Table6[[#This Row],[Breakdown Time]]</f>
        <v>896.63333333333617</v>
      </c>
      <c r="AB1245" s="102"/>
      <c r="AC1245" s="35"/>
      <c r="AD1245" s="35"/>
    </row>
    <row r="1246" spans="1:30">
      <c r="A1246" s="102">
        <f t="shared" si="20"/>
        <v>1245</v>
      </c>
      <c r="B1246" s="468">
        <f>YEAR(Table6[[#This Row],[Date]])+IF(MONTH(Table6[[#This Row],[Date]])&gt;=4,1,0)</f>
        <v>2026</v>
      </c>
      <c r="C1246" s="102">
        <f>YEAR(Table6[[#This Row],[Date]])</f>
        <v>2025</v>
      </c>
      <c r="D1246" s="102" t="s">
        <v>1992</v>
      </c>
      <c r="E1246" s="469">
        <f>Table6[[#This Row],[Date]]-DAY(Table6[[#This Row],[Date]])+1</f>
        <v>45809</v>
      </c>
      <c r="F1246" s="470">
        <v>45828</v>
      </c>
      <c r="G1246" s="35" t="s">
        <v>77</v>
      </c>
      <c r="H1246" s="35" t="str">
        <f>IFERROR(_xlfn.XLOOKUP(Table6[[#This Row],[Affected WTG]],'Basic Data'!$A:$A,'Basic Data'!$B:$B),"")</f>
        <v>TQGXIIPL</v>
      </c>
      <c r="I1246" s="35" t="str">
        <f>IFERROR(_xlfn.XLOOKUP(Table6[[#This Row],[Affected WTG]],'Basic Data'!$A:$A,'Basic Data'!$C:$C),"")</f>
        <v>GEDA</v>
      </c>
      <c r="J1246" s="471">
        <f>IFERROR(_xlfn.XLOOKUP(Table6[[#This Row],[Affected WTG]],'Basic Data'!$A:$A,'Basic Data'!$E:$E),"")</f>
        <v>3.846153846153845E-2</v>
      </c>
      <c r="K1246" s="102">
        <v>6130</v>
      </c>
      <c r="L1246" s="35" t="str">
        <f>IFERROR(_xlfn.XLOOKUP(Table6[[#This Row],[Error Code]],'Basic Data'!$AA:$AA,'Basic Data'!$AB:$AB),"Incorrect Error Code")</f>
        <v>Yaw speed high</v>
      </c>
      <c r="M1246" s="35" t="s">
        <v>292</v>
      </c>
      <c r="N1246" s="475"/>
      <c r="O1246" s="476">
        <v>0.98611111111111116</v>
      </c>
      <c r="P1246" s="476">
        <v>0.98611111111111116</v>
      </c>
      <c r="Q1246" s="477">
        <v>0.99097222222222225</v>
      </c>
      <c r="R1246" s="472">
        <f>IF(Table6[[#This Row],[Work Start TimeStamp]]="","",(Table6[[#This Row],[Work Start TimeStamp]]-Table6[[#This Row],[Fault Start TimeStamp]])*24)</f>
        <v>0</v>
      </c>
      <c r="S1246" s="472">
        <f>(Table6[[#This Row],[Fault Clearance time]]-Table6[[#This Row],[Work Start TimeStamp]])*24</f>
        <v>0.11666666666666625</v>
      </c>
      <c r="T1246" s="472">
        <f>(Table6[[#This Row],[Fault Clearance time]]-Table6[[#This Row],[Fault Start TimeStamp]])*24</f>
        <v>0.11666666666666625</v>
      </c>
      <c r="U1246" s="35" t="s">
        <v>336</v>
      </c>
      <c r="V1246" s="102" t="s">
        <v>293</v>
      </c>
      <c r="W1246" s="478">
        <f>IFERROR(Table6[[#This Row],[Breakdown Time]]*Table6[[#This Row],[Plant Equivalent Weightage]],"")</f>
        <v>4.4871794871794695E-3</v>
      </c>
      <c r="X1246" s="473" t="s">
        <v>294</v>
      </c>
      <c r="Y1246" s="474" t="s">
        <v>80</v>
      </c>
      <c r="Z1246" s="102">
        <v>26899</v>
      </c>
      <c r="AA1246" s="468">
        <f>(Table6[[#This Row],[Paired WTG Generation for loss calculation]]/24)*Table6[[#This Row],[Breakdown Time]]</f>
        <v>130.75902777777733</v>
      </c>
      <c r="AB1246" s="102"/>
      <c r="AC1246" s="35"/>
      <c r="AD1246" s="35"/>
    </row>
    <row r="1247" spans="1:30">
      <c r="A1247" s="102">
        <f t="shared" si="20"/>
        <v>1246</v>
      </c>
      <c r="B1247" s="468">
        <f>YEAR(Table6[[#This Row],[Date]])+IF(MONTH(Table6[[#This Row],[Date]])&gt;=4,1,0)</f>
        <v>2026</v>
      </c>
      <c r="C1247" s="102">
        <f>YEAR(Table6[[#This Row],[Date]])</f>
        <v>2025</v>
      </c>
      <c r="D1247" s="102" t="s">
        <v>1992</v>
      </c>
      <c r="E1247" s="469">
        <f>Table6[[#This Row],[Date]]-DAY(Table6[[#This Row],[Date]])+1</f>
        <v>45809</v>
      </c>
      <c r="F1247" s="470">
        <v>45828</v>
      </c>
      <c r="G1247" s="35" t="s">
        <v>79</v>
      </c>
      <c r="H1247" s="35" t="str">
        <f>IFERROR(_xlfn.XLOOKUP(Table6[[#This Row],[Affected WTG]],'Basic Data'!$A:$A,'Basic Data'!$B:$B),"")</f>
        <v>TQGXIIPL</v>
      </c>
      <c r="I1247" s="35" t="str">
        <f>IFERROR(_xlfn.XLOOKUP(Table6[[#This Row],[Affected WTG]],'Basic Data'!$A:$A,'Basic Data'!$C:$C),"")</f>
        <v>GEDA</v>
      </c>
      <c r="J1247" s="471">
        <f>IFERROR(_xlfn.XLOOKUP(Table6[[#This Row],[Affected WTG]],'Basic Data'!$A:$A,'Basic Data'!$E:$E),"")</f>
        <v>3.846153846153845E-2</v>
      </c>
      <c r="K1247" s="102">
        <v>3000</v>
      </c>
      <c r="L1247" s="35" t="str">
        <f>IFERROR(_xlfn.XLOOKUP(Table6[[#This Row],[Error Code]],'Basic Data'!$AA:$AA,'Basic Data'!$AB:$AB),"Incorrect Error Code")</f>
        <v>Frequency converter not ready</v>
      </c>
      <c r="M1247" s="35" t="s">
        <v>291</v>
      </c>
      <c r="N1247" s="475"/>
      <c r="O1247" s="476">
        <v>0.82638888888888884</v>
      </c>
      <c r="P1247" s="476">
        <v>0.82638888888888884</v>
      </c>
      <c r="Q1247" s="477">
        <v>0.85833333333333328</v>
      </c>
      <c r="R1247" s="472">
        <f>IF(Table6[[#This Row],[Work Start TimeStamp]]="","",(Table6[[#This Row],[Work Start TimeStamp]]-Table6[[#This Row],[Fault Start TimeStamp]])*24)</f>
        <v>0</v>
      </c>
      <c r="S1247" s="472">
        <f>(Table6[[#This Row],[Fault Clearance time]]-Table6[[#This Row],[Work Start TimeStamp]])*24</f>
        <v>0.76666666666666661</v>
      </c>
      <c r="T1247" s="472">
        <f>(Table6[[#This Row],[Fault Clearance time]]-Table6[[#This Row],[Fault Start TimeStamp]])*24</f>
        <v>0.76666666666666661</v>
      </c>
      <c r="U1247" s="35" t="s">
        <v>1998</v>
      </c>
      <c r="V1247" s="102" t="s">
        <v>293</v>
      </c>
      <c r="W1247" s="478">
        <f>IFERROR(Table6[[#This Row],[Breakdown Time]]*Table6[[#This Row],[Plant Equivalent Weightage]],"")</f>
        <v>2.9487179487179476E-2</v>
      </c>
      <c r="X1247" s="473" t="s">
        <v>294</v>
      </c>
      <c r="Y1247" s="474" t="s">
        <v>94</v>
      </c>
      <c r="Z1247" s="102">
        <v>26386</v>
      </c>
      <c r="AA1247" s="468">
        <f>(Table6[[#This Row],[Paired WTG Generation for loss calculation]]/24)*Table6[[#This Row],[Breakdown Time]]</f>
        <v>842.88611111111106</v>
      </c>
      <c r="AB1247" s="102"/>
      <c r="AC1247" s="35"/>
      <c r="AD1247" s="35"/>
    </row>
    <row r="1248" spans="1:30">
      <c r="A1248" s="102">
        <f t="shared" si="20"/>
        <v>1247</v>
      </c>
      <c r="B1248" s="468">
        <f>YEAR(Table6[[#This Row],[Date]])+IF(MONTH(Table6[[#This Row],[Date]])&gt;=4,1,0)</f>
        <v>2026</v>
      </c>
      <c r="C1248" s="102">
        <f>YEAR(Table6[[#This Row],[Date]])</f>
        <v>2025</v>
      </c>
      <c r="D1248" s="102" t="s">
        <v>1992</v>
      </c>
      <c r="E1248" s="469">
        <f>Table6[[#This Row],[Date]]-DAY(Table6[[#This Row],[Date]])+1</f>
        <v>45809</v>
      </c>
      <c r="F1248" s="470">
        <v>45828</v>
      </c>
      <c r="G1248" s="35" t="s">
        <v>80</v>
      </c>
      <c r="H1248" s="35" t="str">
        <f>IFERROR(_xlfn.XLOOKUP(Table6[[#This Row],[Affected WTG]],'Basic Data'!$A:$A,'Basic Data'!$B:$B),"")</f>
        <v>TQGXIIPL</v>
      </c>
      <c r="I1248" s="35" t="str">
        <f>IFERROR(_xlfn.XLOOKUP(Table6[[#This Row],[Affected WTG]],'Basic Data'!$A:$A,'Basic Data'!$C:$C),"")</f>
        <v>GEDA</v>
      </c>
      <c r="J1248" s="471">
        <f>IFERROR(_xlfn.XLOOKUP(Table6[[#This Row],[Affected WTG]],'Basic Data'!$A:$A,'Basic Data'!$E:$E),"")</f>
        <v>3.846153846153845E-2</v>
      </c>
      <c r="K1248" s="102">
        <v>4540</v>
      </c>
      <c r="L1248" s="35" t="str">
        <f>IFERROR(_xlfn.XLOOKUP(Table6[[#This Row],[Error Code]],'Basic Data'!$AA:$AA,'Basic Data'!$AB:$AB),"Incorrect Error Code")</f>
        <v>Tower oscillation X level 2</v>
      </c>
      <c r="M1248" s="35" t="s">
        <v>291</v>
      </c>
      <c r="N1248" s="475"/>
      <c r="O1248" s="476">
        <v>0.50486111111111109</v>
      </c>
      <c r="P1248" s="476">
        <v>0.50486111111111109</v>
      </c>
      <c r="Q1248" s="477">
        <v>0.50902777777777775</v>
      </c>
      <c r="R1248" s="472">
        <f>IF(Table6[[#This Row],[Work Start TimeStamp]]="","",(Table6[[#This Row],[Work Start TimeStamp]]-Table6[[#This Row],[Fault Start TimeStamp]])*24)</f>
        <v>0</v>
      </c>
      <c r="S1248" s="472">
        <f>(Table6[[#This Row],[Fault Clearance time]]-Table6[[#This Row],[Work Start TimeStamp]])*24</f>
        <v>9.9999999999999645E-2</v>
      </c>
      <c r="T1248" s="472">
        <f>(Table6[[#This Row],[Fault Clearance time]]-Table6[[#This Row],[Fault Start TimeStamp]])*24</f>
        <v>9.9999999999999645E-2</v>
      </c>
      <c r="U1248" s="35" t="s">
        <v>1924</v>
      </c>
      <c r="V1248" s="102" t="s">
        <v>293</v>
      </c>
      <c r="W1248" s="478">
        <f>IFERROR(Table6[[#This Row],[Breakdown Time]]*Table6[[#This Row],[Plant Equivalent Weightage]],"")</f>
        <v>3.8461538461538312E-3</v>
      </c>
      <c r="X1248" s="473" t="s">
        <v>294</v>
      </c>
      <c r="Y1248" s="474" t="s">
        <v>77</v>
      </c>
      <c r="Z1248" s="102">
        <v>28462</v>
      </c>
      <c r="AA1248" s="468">
        <f>(Table6[[#This Row],[Paired WTG Generation for loss calculation]]/24)*Table6[[#This Row],[Breakdown Time]]</f>
        <v>118.59166666666626</v>
      </c>
      <c r="AB1248" s="102"/>
      <c r="AC1248" s="35"/>
      <c r="AD1248" s="35"/>
    </row>
    <row r="1249" spans="1:30">
      <c r="A1249" s="102">
        <f t="shared" si="20"/>
        <v>1248</v>
      </c>
      <c r="B1249" s="468">
        <f>YEAR(Table6[[#This Row],[Date]])+IF(MONTH(Table6[[#This Row],[Date]])&gt;=4,1,0)</f>
        <v>2026</v>
      </c>
      <c r="C1249" s="102">
        <f>YEAR(Table6[[#This Row],[Date]])</f>
        <v>2025</v>
      </c>
      <c r="D1249" s="102" t="s">
        <v>1992</v>
      </c>
      <c r="E1249" s="469">
        <f>Table6[[#This Row],[Date]]-DAY(Table6[[#This Row],[Date]])+1</f>
        <v>45809</v>
      </c>
      <c r="F1249" s="470">
        <v>45828</v>
      </c>
      <c r="G1249" s="35" t="s">
        <v>81</v>
      </c>
      <c r="H1249" s="35" t="str">
        <f>IFERROR(_xlfn.XLOOKUP(Table6[[#This Row],[Affected WTG]],'Basic Data'!$A:$A,'Basic Data'!$B:$B),"")</f>
        <v>TQGXIIPL</v>
      </c>
      <c r="I1249" s="35" t="str">
        <f>IFERROR(_xlfn.XLOOKUP(Table6[[#This Row],[Affected WTG]],'Basic Data'!$A:$A,'Basic Data'!$C:$C),"")</f>
        <v>GEDA</v>
      </c>
      <c r="J1249" s="471">
        <f>IFERROR(_xlfn.XLOOKUP(Table6[[#This Row],[Affected WTG]],'Basic Data'!$A:$A,'Basic Data'!$E:$E),"")</f>
        <v>3.846153846153845E-2</v>
      </c>
      <c r="K1249" s="102">
        <v>641</v>
      </c>
      <c r="L1249" s="35" t="str">
        <f>IFERROR(_xlfn.XLOOKUP(Table6[[#This Row],[Error Code]],'Basic Data'!$AA:$AA,'Basic Data'!$AB:$AB),"Incorrect Error Code")</f>
        <v>Sim.angle E enc. &lt;&gt; act.angle 1</v>
      </c>
      <c r="M1249" s="35" t="s">
        <v>291</v>
      </c>
      <c r="N1249" s="475"/>
      <c r="O1249" s="476">
        <v>3.6805555555555557E-2</v>
      </c>
      <c r="P1249" s="476">
        <v>3.6805555555555557E-2</v>
      </c>
      <c r="Q1249" s="477">
        <v>3.888888888888889E-2</v>
      </c>
      <c r="R1249" s="472">
        <f>IF(Table6[[#This Row],[Work Start TimeStamp]]="","",(Table6[[#This Row],[Work Start TimeStamp]]-Table6[[#This Row],[Fault Start TimeStamp]])*24)</f>
        <v>0</v>
      </c>
      <c r="S1249" s="472">
        <f>(Table6[[#This Row],[Fault Clearance time]]-Table6[[#This Row],[Work Start TimeStamp]])*24</f>
        <v>4.9999999999999989E-2</v>
      </c>
      <c r="T1249" s="472">
        <f>(Table6[[#This Row],[Fault Clearance time]]-Table6[[#This Row],[Fault Start TimeStamp]])*24</f>
        <v>4.9999999999999989E-2</v>
      </c>
      <c r="U1249" s="35" t="s">
        <v>1924</v>
      </c>
      <c r="V1249" s="102" t="s">
        <v>293</v>
      </c>
      <c r="W1249" s="478">
        <f>IFERROR(Table6[[#This Row],[Breakdown Time]]*Table6[[#This Row],[Plant Equivalent Weightage]],"")</f>
        <v>1.9230769230769221E-3</v>
      </c>
      <c r="X1249" s="473" t="s">
        <v>294</v>
      </c>
      <c r="Y1249" s="474" t="s">
        <v>99</v>
      </c>
      <c r="Z1249" s="102">
        <v>26295</v>
      </c>
      <c r="AA1249" s="468">
        <f>(Table6[[#This Row],[Paired WTG Generation for loss calculation]]/24)*Table6[[#This Row],[Breakdown Time]]</f>
        <v>54.781249999999986</v>
      </c>
      <c r="AB1249" s="102"/>
      <c r="AC1249" s="35"/>
      <c r="AD1249" s="35"/>
    </row>
    <row r="1250" spans="1:30">
      <c r="A1250" s="102">
        <f t="shared" si="20"/>
        <v>1249</v>
      </c>
      <c r="B1250" s="468">
        <f>YEAR(Table6[[#This Row],[Date]])+IF(MONTH(Table6[[#This Row],[Date]])&gt;=4,1,0)</f>
        <v>2026</v>
      </c>
      <c r="C1250" s="102">
        <f>YEAR(Table6[[#This Row],[Date]])</f>
        <v>2025</v>
      </c>
      <c r="D1250" s="102" t="s">
        <v>1992</v>
      </c>
      <c r="E1250" s="469">
        <f>Table6[[#This Row],[Date]]-DAY(Table6[[#This Row],[Date]])+1</f>
        <v>45809</v>
      </c>
      <c r="F1250" s="470">
        <v>45828</v>
      </c>
      <c r="G1250" s="35" t="s">
        <v>81</v>
      </c>
      <c r="H1250" s="35" t="str">
        <f>IFERROR(_xlfn.XLOOKUP(Table6[[#This Row],[Affected WTG]],'Basic Data'!$A:$A,'Basic Data'!$B:$B),"")</f>
        <v>TQGXIIPL</v>
      </c>
      <c r="I1250" s="35" t="str">
        <f>IFERROR(_xlfn.XLOOKUP(Table6[[#This Row],[Affected WTG]],'Basic Data'!$A:$A,'Basic Data'!$C:$C),"")</f>
        <v>GEDA</v>
      </c>
      <c r="J1250" s="471">
        <f>IFERROR(_xlfn.XLOOKUP(Table6[[#This Row],[Affected WTG]],'Basic Data'!$A:$A,'Basic Data'!$E:$E),"")</f>
        <v>3.846153846153845E-2</v>
      </c>
      <c r="K1250" s="102">
        <v>55</v>
      </c>
      <c r="L1250" s="35" t="str">
        <f>IFERROR(_xlfn.XLOOKUP(Table6[[#This Row],[Error Code]],'Basic Data'!$AA:$AA,'Basic Data'!$AB:$AB),"Incorrect Error Code")</f>
        <v>WTG shut down</v>
      </c>
      <c r="M1250" s="35" t="s">
        <v>291</v>
      </c>
      <c r="N1250" s="475"/>
      <c r="O1250" s="476">
        <v>0.1076388888888889</v>
      </c>
      <c r="P1250" s="476">
        <v>0.1076388888888889</v>
      </c>
      <c r="Q1250" s="477">
        <v>0.21458333333333332</v>
      </c>
      <c r="R1250" s="472">
        <f>IF(Table6[[#This Row],[Work Start TimeStamp]]="","",(Table6[[#This Row],[Work Start TimeStamp]]-Table6[[#This Row],[Fault Start TimeStamp]])*24)</f>
        <v>0</v>
      </c>
      <c r="S1250" s="472">
        <f>(Table6[[#This Row],[Fault Clearance time]]-Table6[[#This Row],[Work Start TimeStamp]])*24</f>
        <v>2.5666666666666664</v>
      </c>
      <c r="T1250" s="472">
        <f>(Table6[[#This Row],[Fault Clearance time]]-Table6[[#This Row],[Fault Start TimeStamp]])*24</f>
        <v>2.5666666666666664</v>
      </c>
      <c r="U1250" s="35" t="s">
        <v>1999</v>
      </c>
      <c r="V1250" s="102" t="s">
        <v>293</v>
      </c>
      <c r="W1250" s="478">
        <f>IFERROR(Table6[[#This Row],[Breakdown Time]]*Table6[[#This Row],[Plant Equivalent Weightage]],"")</f>
        <v>9.8717948717948673E-2</v>
      </c>
      <c r="X1250" s="473" t="s">
        <v>290</v>
      </c>
      <c r="Y1250" s="474" t="s">
        <v>99</v>
      </c>
      <c r="Z1250" s="102">
        <v>26295</v>
      </c>
      <c r="AA1250" s="468">
        <f>(Table6[[#This Row],[Paired WTG Generation for loss calculation]]/24)*Table6[[#This Row],[Breakdown Time]]</f>
        <v>2812.1041666666665</v>
      </c>
      <c r="AB1250" s="102"/>
      <c r="AC1250" s="35"/>
      <c r="AD1250" s="35"/>
    </row>
    <row r="1251" spans="1:30">
      <c r="A1251" s="102">
        <f t="shared" si="20"/>
        <v>1250</v>
      </c>
      <c r="B1251" s="468">
        <f>YEAR(Table6[[#This Row],[Date]])+IF(MONTH(Table6[[#This Row],[Date]])&gt;=4,1,0)</f>
        <v>2026</v>
      </c>
      <c r="C1251" s="102">
        <f>YEAR(Table6[[#This Row],[Date]])</f>
        <v>2025</v>
      </c>
      <c r="D1251" s="102" t="s">
        <v>1992</v>
      </c>
      <c r="E1251" s="469">
        <f>Table6[[#This Row],[Date]]-DAY(Table6[[#This Row],[Date]])+1</f>
        <v>45809</v>
      </c>
      <c r="F1251" s="470">
        <v>45828</v>
      </c>
      <c r="G1251" s="35" t="s">
        <v>81</v>
      </c>
      <c r="H1251" s="35" t="str">
        <f>IFERROR(_xlfn.XLOOKUP(Table6[[#This Row],[Affected WTG]],'Basic Data'!$A:$A,'Basic Data'!$B:$B),"")</f>
        <v>TQGXIIPL</v>
      </c>
      <c r="I1251" s="35" t="str">
        <f>IFERROR(_xlfn.XLOOKUP(Table6[[#This Row],[Affected WTG]],'Basic Data'!$A:$A,'Basic Data'!$C:$C),"")</f>
        <v>GEDA</v>
      </c>
      <c r="J1251" s="471">
        <f>IFERROR(_xlfn.XLOOKUP(Table6[[#This Row],[Affected WTG]],'Basic Data'!$A:$A,'Basic Data'!$E:$E),"")</f>
        <v>3.846153846153845E-2</v>
      </c>
      <c r="K1251" s="102">
        <v>641</v>
      </c>
      <c r="L1251" s="35" t="str">
        <f>IFERROR(_xlfn.XLOOKUP(Table6[[#This Row],[Error Code]],'Basic Data'!$AA:$AA,'Basic Data'!$AB:$AB),"Incorrect Error Code")</f>
        <v>Sim.angle E enc. &lt;&gt; act.angle 1</v>
      </c>
      <c r="M1251" s="35" t="s">
        <v>291</v>
      </c>
      <c r="N1251" s="475"/>
      <c r="O1251" s="476">
        <v>0.40416666666666667</v>
      </c>
      <c r="P1251" s="476">
        <v>0.40416666666666667</v>
      </c>
      <c r="Q1251" s="477">
        <v>0.40902777777777777</v>
      </c>
      <c r="R1251" s="472">
        <f>IF(Table6[[#This Row],[Work Start TimeStamp]]="","",(Table6[[#This Row],[Work Start TimeStamp]]-Table6[[#This Row],[Fault Start TimeStamp]])*24)</f>
        <v>0</v>
      </c>
      <c r="S1251" s="472">
        <f>(Table6[[#This Row],[Fault Clearance time]]-Table6[[#This Row],[Work Start TimeStamp]])*24</f>
        <v>0.11666666666666625</v>
      </c>
      <c r="T1251" s="472">
        <f>(Table6[[#This Row],[Fault Clearance time]]-Table6[[#This Row],[Fault Start TimeStamp]])*24</f>
        <v>0.11666666666666625</v>
      </c>
      <c r="U1251" s="35" t="s">
        <v>1924</v>
      </c>
      <c r="V1251" s="102" t="s">
        <v>293</v>
      </c>
      <c r="W1251" s="478">
        <f>IFERROR(Table6[[#This Row],[Breakdown Time]]*Table6[[#This Row],[Plant Equivalent Weightage]],"")</f>
        <v>4.4871794871794695E-3</v>
      </c>
      <c r="X1251" s="473" t="s">
        <v>294</v>
      </c>
      <c r="Y1251" s="474" t="s">
        <v>99</v>
      </c>
      <c r="Z1251" s="102">
        <v>26295</v>
      </c>
      <c r="AA1251" s="468">
        <f>(Table6[[#This Row],[Paired WTG Generation for loss calculation]]/24)*Table6[[#This Row],[Breakdown Time]]</f>
        <v>127.82291666666622</v>
      </c>
      <c r="AB1251" s="102"/>
      <c r="AC1251" s="35"/>
      <c r="AD1251" s="35"/>
    </row>
    <row r="1252" spans="1:30">
      <c r="A1252" s="102">
        <f t="shared" si="20"/>
        <v>1251</v>
      </c>
      <c r="B1252" s="468">
        <f>YEAR(Table6[[#This Row],[Date]])+IF(MONTH(Table6[[#This Row],[Date]])&gt;=4,1,0)</f>
        <v>2026</v>
      </c>
      <c r="C1252" s="102">
        <f>YEAR(Table6[[#This Row],[Date]])</f>
        <v>2025</v>
      </c>
      <c r="D1252" s="102" t="s">
        <v>1992</v>
      </c>
      <c r="E1252" s="469">
        <f>Table6[[#This Row],[Date]]-DAY(Table6[[#This Row],[Date]])+1</f>
        <v>45809</v>
      </c>
      <c r="F1252" s="470">
        <v>45828</v>
      </c>
      <c r="G1252" s="35" t="s">
        <v>81</v>
      </c>
      <c r="H1252" s="35" t="str">
        <f>IFERROR(_xlfn.XLOOKUP(Table6[[#This Row],[Affected WTG]],'Basic Data'!$A:$A,'Basic Data'!$B:$B),"")</f>
        <v>TQGXIIPL</v>
      </c>
      <c r="I1252" s="35" t="str">
        <f>IFERROR(_xlfn.XLOOKUP(Table6[[#This Row],[Affected WTG]],'Basic Data'!$A:$A,'Basic Data'!$C:$C),"")</f>
        <v>GEDA</v>
      </c>
      <c r="J1252" s="471">
        <f>IFERROR(_xlfn.XLOOKUP(Table6[[#This Row],[Affected WTG]],'Basic Data'!$A:$A,'Basic Data'!$E:$E),"")</f>
        <v>3.846153846153845E-2</v>
      </c>
      <c r="K1252" s="102">
        <v>665</v>
      </c>
      <c r="L1252" s="35" t="str">
        <f>IFERROR(_xlfn.XLOOKUP(Table6[[#This Row],[Error Code]],'Basic Data'!$AA:$AA,'Basic Data'!$AB:$AB),"Incorrect Error Code")</f>
        <v>Pitch error</v>
      </c>
      <c r="M1252" s="35" t="s">
        <v>291</v>
      </c>
      <c r="N1252" s="475"/>
      <c r="O1252" s="476">
        <v>0.93194444444444446</v>
      </c>
      <c r="P1252" s="476">
        <v>0.93194444444444446</v>
      </c>
      <c r="Q1252" s="477">
        <v>0.9375</v>
      </c>
      <c r="R1252" s="472">
        <f>IF(Table6[[#This Row],[Work Start TimeStamp]]="","",(Table6[[#This Row],[Work Start TimeStamp]]-Table6[[#This Row],[Fault Start TimeStamp]])*24)</f>
        <v>0</v>
      </c>
      <c r="S1252" s="472">
        <f>(Table6[[#This Row],[Fault Clearance time]]-Table6[[#This Row],[Work Start TimeStamp]])*24</f>
        <v>0.13333333333333286</v>
      </c>
      <c r="T1252" s="472">
        <f>(Table6[[#This Row],[Fault Clearance time]]-Table6[[#This Row],[Fault Start TimeStamp]])*24</f>
        <v>0.13333333333333286</v>
      </c>
      <c r="U1252" s="35" t="s">
        <v>1924</v>
      </c>
      <c r="V1252" s="102" t="s">
        <v>293</v>
      </c>
      <c r="W1252" s="478">
        <f>IFERROR(Table6[[#This Row],[Breakdown Time]]*Table6[[#This Row],[Plant Equivalent Weightage]],"")</f>
        <v>5.1282051282051083E-3</v>
      </c>
      <c r="X1252" s="473" t="s">
        <v>294</v>
      </c>
      <c r="Y1252" s="474" t="s">
        <v>99</v>
      </c>
      <c r="Z1252" s="102">
        <v>26295</v>
      </c>
      <c r="AA1252" s="468">
        <f>(Table6[[#This Row],[Paired WTG Generation for loss calculation]]/24)*Table6[[#This Row],[Breakdown Time]]</f>
        <v>146.0833333333328</v>
      </c>
      <c r="AB1252" s="102"/>
      <c r="AC1252" s="35"/>
      <c r="AD1252" s="35"/>
    </row>
    <row r="1253" spans="1:30">
      <c r="A1253" s="102">
        <f t="shared" si="20"/>
        <v>1252</v>
      </c>
      <c r="B1253" s="468">
        <f>YEAR(Table6[[#This Row],[Date]])+IF(MONTH(Table6[[#This Row],[Date]])&gt;=4,1,0)</f>
        <v>2026</v>
      </c>
      <c r="C1253" s="102">
        <f>YEAR(Table6[[#This Row],[Date]])</f>
        <v>2025</v>
      </c>
      <c r="D1253" s="102" t="s">
        <v>1992</v>
      </c>
      <c r="E1253" s="469">
        <f>Table6[[#This Row],[Date]]-DAY(Table6[[#This Row],[Date]])+1</f>
        <v>45809</v>
      </c>
      <c r="F1253" s="470">
        <v>45828</v>
      </c>
      <c r="G1253" s="35" t="s">
        <v>81</v>
      </c>
      <c r="H1253" s="35" t="str">
        <f>IFERROR(_xlfn.XLOOKUP(Table6[[#This Row],[Affected WTG]],'Basic Data'!$A:$A,'Basic Data'!$B:$B),"")</f>
        <v>TQGXIIPL</v>
      </c>
      <c r="I1253" s="35" t="str">
        <f>IFERROR(_xlfn.XLOOKUP(Table6[[#This Row],[Affected WTG]],'Basic Data'!$A:$A,'Basic Data'!$C:$C),"")</f>
        <v>GEDA</v>
      </c>
      <c r="J1253" s="471">
        <f>IFERROR(_xlfn.XLOOKUP(Table6[[#This Row],[Affected WTG]],'Basic Data'!$A:$A,'Basic Data'!$E:$E),"")</f>
        <v>3.846153846153845E-2</v>
      </c>
      <c r="K1253" s="102">
        <v>641</v>
      </c>
      <c r="L1253" s="35" t="str">
        <f>IFERROR(_xlfn.XLOOKUP(Table6[[#This Row],[Error Code]],'Basic Data'!$AA:$AA,'Basic Data'!$AB:$AB),"Incorrect Error Code")</f>
        <v>Sim.angle E enc. &lt;&gt; act.angle 1</v>
      </c>
      <c r="M1253" s="35" t="s">
        <v>291</v>
      </c>
      <c r="N1253" s="475"/>
      <c r="O1253" s="476">
        <v>0.96388888888888891</v>
      </c>
      <c r="P1253" s="476">
        <v>0.96388888888888891</v>
      </c>
      <c r="Q1253" s="477">
        <v>0.97013888888888888</v>
      </c>
      <c r="R1253" s="472">
        <f>IF(Table6[[#This Row],[Work Start TimeStamp]]="","",(Table6[[#This Row],[Work Start TimeStamp]]-Table6[[#This Row],[Fault Start TimeStamp]])*24)</f>
        <v>0</v>
      </c>
      <c r="S1253" s="472">
        <f>(Table6[[#This Row],[Fault Clearance time]]-Table6[[#This Row],[Work Start TimeStamp]])*24</f>
        <v>0.14999999999999947</v>
      </c>
      <c r="T1253" s="472">
        <f>(Table6[[#This Row],[Fault Clearance time]]-Table6[[#This Row],[Fault Start TimeStamp]])*24</f>
        <v>0.14999999999999947</v>
      </c>
      <c r="U1253" s="35" t="s">
        <v>1924</v>
      </c>
      <c r="V1253" s="102" t="s">
        <v>293</v>
      </c>
      <c r="W1253" s="478">
        <f>IFERROR(Table6[[#This Row],[Breakdown Time]]*Table6[[#This Row],[Plant Equivalent Weightage]],"")</f>
        <v>5.769230769230747E-3</v>
      </c>
      <c r="X1253" s="473" t="s">
        <v>294</v>
      </c>
      <c r="Y1253" s="474" t="s">
        <v>99</v>
      </c>
      <c r="Z1253" s="102">
        <v>26295</v>
      </c>
      <c r="AA1253" s="468">
        <f>(Table6[[#This Row],[Paired WTG Generation for loss calculation]]/24)*Table6[[#This Row],[Breakdown Time]]</f>
        <v>164.3437499999994</v>
      </c>
      <c r="AB1253" s="102"/>
      <c r="AC1253" s="35"/>
      <c r="AD1253" s="35"/>
    </row>
    <row r="1254" spans="1:30">
      <c r="A1254" s="102">
        <f t="shared" si="20"/>
        <v>1253</v>
      </c>
      <c r="B1254" s="468">
        <f>YEAR(Table6[[#This Row],[Date]])+IF(MONTH(Table6[[#This Row],[Date]])&gt;=4,1,0)</f>
        <v>2026</v>
      </c>
      <c r="C1254" s="102">
        <f>YEAR(Table6[[#This Row],[Date]])</f>
        <v>2025</v>
      </c>
      <c r="D1254" s="102" t="s">
        <v>1992</v>
      </c>
      <c r="E1254" s="469">
        <f>Table6[[#This Row],[Date]]-DAY(Table6[[#This Row],[Date]])+1</f>
        <v>45809</v>
      </c>
      <c r="F1254" s="470">
        <v>45828</v>
      </c>
      <c r="G1254" s="35" t="s">
        <v>83</v>
      </c>
      <c r="H1254" s="35" t="str">
        <f>IFERROR(_xlfn.XLOOKUP(Table6[[#This Row],[Affected WTG]],'Basic Data'!$A:$A,'Basic Data'!$B:$B),"")</f>
        <v>TQGXIIPL</v>
      </c>
      <c r="I1254" s="35" t="str">
        <f>IFERROR(_xlfn.XLOOKUP(Table6[[#This Row],[Affected WTG]],'Basic Data'!$A:$A,'Basic Data'!$C:$C),"")</f>
        <v>GEDA</v>
      </c>
      <c r="J1254" s="471">
        <f>IFERROR(_xlfn.XLOOKUP(Table6[[#This Row],[Affected WTG]],'Basic Data'!$A:$A,'Basic Data'!$E:$E),"")</f>
        <v>3.846153846153845E-2</v>
      </c>
      <c r="K1254" s="102">
        <v>1070</v>
      </c>
      <c r="L1254" s="35" t="str">
        <f>IFERROR(_xlfn.XLOOKUP(Table6[[#This Row],[Error Code]],'Basic Data'!$AA:$AA,'Basic Data'!$AB:$AB),"Incorrect Error Code")</f>
        <v>Drive train monitor level 2</v>
      </c>
      <c r="M1254" s="35" t="s">
        <v>292</v>
      </c>
      <c r="N1254" s="475"/>
      <c r="O1254" s="476">
        <v>0.6479166666666667</v>
      </c>
      <c r="P1254" s="476">
        <v>0.6479166666666667</v>
      </c>
      <c r="Q1254" s="477">
        <v>0.64861111111111114</v>
      </c>
      <c r="R1254" s="472">
        <f>IF(Table6[[#This Row],[Work Start TimeStamp]]="","",(Table6[[#This Row],[Work Start TimeStamp]]-Table6[[#This Row],[Fault Start TimeStamp]])*24)</f>
        <v>0</v>
      </c>
      <c r="S1254" s="472">
        <f>(Table6[[#This Row],[Fault Clearance time]]-Table6[[#This Row],[Work Start TimeStamp]])*24</f>
        <v>1.6666666666666607E-2</v>
      </c>
      <c r="T1254" s="472">
        <f>(Table6[[#This Row],[Fault Clearance time]]-Table6[[#This Row],[Fault Start TimeStamp]])*24</f>
        <v>1.6666666666666607E-2</v>
      </c>
      <c r="U1254" s="35" t="s">
        <v>336</v>
      </c>
      <c r="V1254" s="102" t="s">
        <v>293</v>
      </c>
      <c r="W1254" s="478">
        <f>IFERROR(Table6[[#This Row],[Breakdown Time]]*Table6[[#This Row],[Plant Equivalent Weightage]],"")</f>
        <v>6.4102564102563853E-4</v>
      </c>
      <c r="X1254" s="473" t="s">
        <v>294</v>
      </c>
      <c r="Y1254" s="474" t="s">
        <v>88</v>
      </c>
      <c r="Z1254" s="102">
        <v>48939</v>
      </c>
      <c r="AA1254" s="468">
        <f>(Table6[[#This Row],[Paired WTG Generation for loss calculation]]/24)*Table6[[#This Row],[Breakdown Time]]</f>
        <v>33.985416666666545</v>
      </c>
      <c r="AB1254" s="102"/>
      <c r="AC1254" s="35"/>
      <c r="AD1254" s="35"/>
    </row>
    <row r="1255" spans="1:30">
      <c r="A1255" s="102">
        <f t="shared" si="20"/>
        <v>1254</v>
      </c>
      <c r="B1255" s="468">
        <f>YEAR(Table6[[#This Row],[Date]])+IF(MONTH(Table6[[#This Row],[Date]])&gt;=4,1,0)</f>
        <v>2026</v>
      </c>
      <c r="C1255" s="102">
        <f>YEAR(Table6[[#This Row],[Date]])</f>
        <v>2025</v>
      </c>
      <c r="D1255" s="102" t="s">
        <v>1992</v>
      </c>
      <c r="E1255" s="469">
        <f>Table6[[#This Row],[Date]]-DAY(Table6[[#This Row],[Date]])+1</f>
        <v>45809</v>
      </c>
      <c r="F1255" s="470">
        <v>45828</v>
      </c>
      <c r="G1255" s="35" t="s">
        <v>85</v>
      </c>
      <c r="H1255" s="35" t="str">
        <f>IFERROR(_xlfn.XLOOKUP(Table6[[#This Row],[Affected WTG]],'Basic Data'!$A:$A,'Basic Data'!$B:$B),"")</f>
        <v>TQGXIIPL</v>
      </c>
      <c r="I1255" s="35" t="str">
        <f>IFERROR(_xlfn.XLOOKUP(Table6[[#This Row],[Affected WTG]],'Basic Data'!$A:$A,'Basic Data'!$C:$C),"")</f>
        <v>GEDA</v>
      </c>
      <c r="J1255" s="471">
        <f>IFERROR(_xlfn.XLOOKUP(Table6[[#This Row],[Affected WTG]],'Basic Data'!$A:$A,'Basic Data'!$E:$E),"")</f>
        <v>3.846153846153845E-2</v>
      </c>
      <c r="K1255" s="102">
        <v>55</v>
      </c>
      <c r="L1255" s="35" t="str">
        <f>IFERROR(_xlfn.XLOOKUP(Table6[[#This Row],[Error Code]],'Basic Data'!$AA:$AA,'Basic Data'!$AB:$AB),"Incorrect Error Code")</f>
        <v>WTG shut down</v>
      </c>
      <c r="M1255" s="35" t="s">
        <v>295</v>
      </c>
      <c r="N1255" s="475"/>
      <c r="O1255" s="476">
        <v>0</v>
      </c>
      <c r="P1255" s="476">
        <v>0</v>
      </c>
      <c r="Q1255" s="477">
        <v>0.5131944444444444</v>
      </c>
      <c r="R1255" s="472">
        <f>IF(Table6[[#This Row],[Work Start TimeStamp]]="","",(Table6[[#This Row],[Work Start TimeStamp]]-Table6[[#This Row],[Fault Start TimeStamp]])*24)</f>
        <v>0</v>
      </c>
      <c r="S1255" s="472">
        <f>(Table6[[#This Row],[Fault Clearance time]]-Table6[[#This Row],[Work Start TimeStamp]])*24</f>
        <v>12.316666666666666</v>
      </c>
      <c r="T1255" s="472">
        <f>(Table6[[#This Row],[Fault Clearance time]]-Table6[[#This Row],[Fault Start TimeStamp]])*24</f>
        <v>12.316666666666666</v>
      </c>
      <c r="U1255" s="35" t="s">
        <v>2091</v>
      </c>
      <c r="V1255" s="102" t="s">
        <v>335</v>
      </c>
      <c r="W1255" s="478">
        <f>IFERROR(Table6[[#This Row],[Breakdown Time]]*Table6[[#This Row],[Plant Equivalent Weightage]],"")</f>
        <v>0.47371794871794859</v>
      </c>
      <c r="X1255" s="473" t="s">
        <v>523</v>
      </c>
      <c r="Y1255" s="474" t="s">
        <v>87</v>
      </c>
      <c r="Z1255" s="102">
        <v>53088</v>
      </c>
      <c r="AA1255" s="468">
        <f>(Table6[[#This Row],[Paired WTG Generation for loss calculation]]/24)*Table6[[#This Row],[Breakdown Time]]</f>
        <v>27244.466666666667</v>
      </c>
      <c r="AB1255" s="102"/>
      <c r="AC1255" s="35"/>
      <c r="AD1255" s="35"/>
    </row>
    <row r="1256" spans="1:30">
      <c r="A1256" s="102">
        <f t="shared" si="20"/>
        <v>1255</v>
      </c>
      <c r="B1256" s="468">
        <f>YEAR(Table6[[#This Row],[Date]])+IF(MONTH(Table6[[#This Row],[Date]])&gt;=4,1,0)</f>
        <v>2026</v>
      </c>
      <c r="C1256" s="102">
        <f>YEAR(Table6[[#This Row],[Date]])</f>
        <v>2025</v>
      </c>
      <c r="D1256" s="102" t="s">
        <v>1992</v>
      </c>
      <c r="E1256" s="469">
        <f>Table6[[#This Row],[Date]]-DAY(Table6[[#This Row],[Date]])+1</f>
        <v>45809</v>
      </c>
      <c r="F1256" s="470">
        <v>45828</v>
      </c>
      <c r="G1256" s="35" t="s">
        <v>85</v>
      </c>
      <c r="H1256" s="35" t="str">
        <f>IFERROR(_xlfn.XLOOKUP(Table6[[#This Row],[Affected WTG]],'Basic Data'!$A:$A,'Basic Data'!$B:$B),"")</f>
        <v>TQGXIIPL</v>
      </c>
      <c r="I1256" s="35" t="str">
        <f>IFERROR(_xlfn.XLOOKUP(Table6[[#This Row],[Affected WTG]],'Basic Data'!$A:$A,'Basic Data'!$C:$C),"")</f>
        <v>GEDA</v>
      </c>
      <c r="J1256" s="471">
        <f>IFERROR(_xlfn.XLOOKUP(Table6[[#This Row],[Affected WTG]],'Basic Data'!$A:$A,'Basic Data'!$E:$E),"")</f>
        <v>3.846153846153845E-2</v>
      </c>
      <c r="K1256" s="102">
        <v>55</v>
      </c>
      <c r="L1256" s="35" t="str">
        <f>IFERROR(_xlfn.XLOOKUP(Table6[[#This Row],[Error Code]],'Basic Data'!$AA:$AA,'Basic Data'!$AB:$AB),"Incorrect Error Code")</f>
        <v>WTG shut down</v>
      </c>
      <c r="M1256" s="35" t="s">
        <v>295</v>
      </c>
      <c r="N1256" s="475"/>
      <c r="O1256" s="476">
        <v>0.82638888888888884</v>
      </c>
      <c r="P1256" s="476">
        <v>0.82638888888888884</v>
      </c>
      <c r="Q1256" s="477">
        <v>0.99998842592592596</v>
      </c>
      <c r="R1256" s="472">
        <f>IF(Table6[[#This Row],[Work Start TimeStamp]]="","",(Table6[[#This Row],[Work Start TimeStamp]]-Table6[[#This Row],[Fault Start TimeStamp]])*24)</f>
        <v>0</v>
      </c>
      <c r="S1256" s="472">
        <f>(Table6[[#This Row],[Fault Clearance time]]-Table6[[#This Row],[Work Start TimeStamp]])*24</f>
        <v>4.1663888888888909</v>
      </c>
      <c r="T1256" s="472">
        <f>(Table6[[#This Row],[Fault Clearance time]]-Table6[[#This Row],[Fault Start TimeStamp]])*24</f>
        <v>4.1663888888888909</v>
      </c>
      <c r="U1256" s="35" t="s">
        <v>2091</v>
      </c>
      <c r="V1256" s="102" t="s">
        <v>335</v>
      </c>
      <c r="W1256" s="478">
        <f>IFERROR(Table6[[#This Row],[Breakdown Time]]*Table6[[#This Row],[Plant Equivalent Weightage]],"")</f>
        <v>0.16024572649572652</v>
      </c>
      <c r="X1256" s="473" t="s">
        <v>294</v>
      </c>
      <c r="Y1256" s="474" t="s">
        <v>87</v>
      </c>
      <c r="Z1256" s="102">
        <v>53088</v>
      </c>
      <c r="AA1256" s="468">
        <f>(Table6[[#This Row],[Paired WTG Generation for loss calculation]]/24)*Table6[[#This Row],[Breakdown Time]]</f>
        <v>9216.0522222222262</v>
      </c>
      <c r="AB1256" s="102"/>
      <c r="AC1256" s="35"/>
      <c r="AD1256" s="35"/>
    </row>
    <row r="1257" spans="1:30">
      <c r="A1257" s="102">
        <f t="shared" si="20"/>
        <v>1256</v>
      </c>
      <c r="B1257" s="468">
        <f>YEAR(Table6[[#This Row],[Date]])+IF(MONTH(Table6[[#This Row],[Date]])&gt;=4,1,0)</f>
        <v>2026</v>
      </c>
      <c r="C1257" s="102">
        <f>YEAR(Table6[[#This Row],[Date]])</f>
        <v>2025</v>
      </c>
      <c r="D1257" s="102" t="s">
        <v>1992</v>
      </c>
      <c r="E1257" s="469">
        <f>Table6[[#This Row],[Date]]-DAY(Table6[[#This Row],[Date]])+1</f>
        <v>45809</v>
      </c>
      <c r="F1257" s="470">
        <v>45828</v>
      </c>
      <c r="G1257" s="35" t="s">
        <v>91</v>
      </c>
      <c r="H1257" s="35" t="str">
        <f>IFERROR(_xlfn.XLOOKUP(Table6[[#This Row],[Affected WTG]],'Basic Data'!$A:$A,'Basic Data'!$B:$B),"")</f>
        <v>TQGXIIPL</v>
      </c>
      <c r="I1257" s="35" t="str">
        <f>IFERROR(_xlfn.XLOOKUP(Table6[[#This Row],[Affected WTG]],'Basic Data'!$A:$A,'Basic Data'!$C:$C),"")</f>
        <v>GEDA</v>
      </c>
      <c r="J1257" s="471">
        <f>IFERROR(_xlfn.XLOOKUP(Table6[[#This Row],[Affected WTG]],'Basic Data'!$A:$A,'Basic Data'!$E:$E),"")</f>
        <v>3.846153846153845E-2</v>
      </c>
      <c r="K1257" s="102">
        <v>3000</v>
      </c>
      <c r="L1257" s="35" t="str">
        <f>IFERROR(_xlfn.XLOOKUP(Table6[[#This Row],[Error Code]],'Basic Data'!$AA:$AA,'Basic Data'!$AB:$AB),"Incorrect Error Code")</f>
        <v>Frequency converter not ready</v>
      </c>
      <c r="M1257" s="35" t="s">
        <v>291</v>
      </c>
      <c r="N1257" s="475"/>
      <c r="O1257" s="476">
        <v>0.82638888888888884</v>
      </c>
      <c r="P1257" s="476">
        <v>0.82638888888888884</v>
      </c>
      <c r="Q1257" s="477">
        <v>0.85624999999999996</v>
      </c>
      <c r="R1257" s="472">
        <f>IF(Table6[[#This Row],[Work Start TimeStamp]]="","",(Table6[[#This Row],[Work Start TimeStamp]]-Table6[[#This Row],[Fault Start TimeStamp]])*24)</f>
        <v>0</v>
      </c>
      <c r="S1257" s="472">
        <f>(Table6[[#This Row],[Fault Clearance time]]-Table6[[#This Row],[Work Start TimeStamp]])*24</f>
        <v>0.71666666666666679</v>
      </c>
      <c r="T1257" s="472">
        <f>(Table6[[#This Row],[Fault Clearance time]]-Table6[[#This Row],[Fault Start TimeStamp]])*24</f>
        <v>0.71666666666666679</v>
      </c>
      <c r="U1257" s="35" t="s">
        <v>1998</v>
      </c>
      <c r="V1257" s="102" t="s">
        <v>293</v>
      </c>
      <c r="W1257" s="478">
        <f>IFERROR(Table6[[#This Row],[Breakdown Time]]*Table6[[#This Row],[Plant Equivalent Weightage]],"")</f>
        <v>2.756410256410256E-2</v>
      </c>
      <c r="X1257" s="473" t="s">
        <v>294</v>
      </c>
      <c r="Y1257" s="474" t="s">
        <v>79</v>
      </c>
      <c r="Z1257" s="102">
        <v>25348</v>
      </c>
      <c r="AA1257" s="468">
        <f>(Table6[[#This Row],[Paired WTG Generation for loss calculation]]/24)*Table6[[#This Row],[Breakdown Time]]</f>
        <v>756.91944444444459</v>
      </c>
      <c r="AB1257" s="102"/>
      <c r="AC1257" s="35"/>
      <c r="AD1257" s="35"/>
    </row>
    <row r="1258" spans="1:30">
      <c r="A1258" s="102">
        <f t="shared" si="20"/>
        <v>1257</v>
      </c>
      <c r="B1258" s="468">
        <f>YEAR(Table6[[#This Row],[Date]])+IF(MONTH(Table6[[#This Row],[Date]])&gt;=4,1,0)</f>
        <v>2026</v>
      </c>
      <c r="C1258" s="102">
        <f>YEAR(Table6[[#This Row],[Date]])</f>
        <v>2025</v>
      </c>
      <c r="D1258" s="102" t="s">
        <v>1992</v>
      </c>
      <c r="E1258" s="469">
        <f>Table6[[#This Row],[Date]]-DAY(Table6[[#This Row],[Date]])+1</f>
        <v>45809</v>
      </c>
      <c r="F1258" s="470">
        <v>45828</v>
      </c>
      <c r="G1258" s="35" t="s">
        <v>92</v>
      </c>
      <c r="H1258" s="35" t="str">
        <f>IFERROR(_xlfn.XLOOKUP(Table6[[#This Row],[Affected WTG]],'Basic Data'!$A:$A,'Basic Data'!$B:$B),"")</f>
        <v>TQGXIIPL</v>
      </c>
      <c r="I1258" s="35" t="str">
        <f>IFERROR(_xlfn.XLOOKUP(Table6[[#This Row],[Affected WTG]],'Basic Data'!$A:$A,'Basic Data'!$C:$C),"")</f>
        <v>GEDA</v>
      </c>
      <c r="J1258" s="471">
        <f>IFERROR(_xlfn.XLOOKUP(Table6[[#This Row],[Affected WTG]],'Basic Data'!$A:$A,'Basic Data'!$E:$E),"")</f>
        <v>3.846153846153845E-2</v>
      </c>
      <c r="K1258" s="102">
        <v>665</v>
      </c>
      <c r="L1258" s="35" t="str">
        <f>IFERROR(_xlfn.XLOOKUP(Table6[[#This Row],[Error Code]],'Basic Data'!$AA:$AA,'Basic Data'!$AB:$AB),"Incorrect Error Code")</f>
        <v>Pitch error</v>
      </c>
      <c r="M1258" s="35" t="s">
        <v>291</v>
      </c>
      <c r="N1258" s="475"/>
      <c r="O1258" s="476">
        <v>0.82638888888888884</v>
      </c>
      <c r="P1258" s="476">
        <v>0.89166666666666672</v>
      </c>
      <c r="Q1258" s="477">
        <v>0.95416666666666672</v>
      </c>
      <c r="R1258" s="472">
        <f>IF(Table6[[#This Row],[Work Start TimeStamp]]="","",(Table6[[#This Row],[Work Start TimeStamp]]-Table6[[#This Row],[Fault Start TimeStamp]])*24)</f>
        <v>1.5666666666666691</v>
      </c>
      <c r="S1258" s="472">
        <f>(Table6[[#This Row],[Fault Clearance time]]-Table6[[#This Row],[Work Start TimeStamp]])*24</f>
        <v>1.5</v>
      </c>
      <c r="T1258" s="472">
        <f>(Table6[[#This Row],[Fault Clearance time]]-Table6[[#This Row],[Fault Start TimeStamp]])*24</f>
        <v>3.0666666666666691</v>
      </c>
      <c r="U1258" s="35" t="s">
        <v>2000</v>
      </c>
      <c r="V1258" s="102" t="s">
        <v>293</v>
      </c>
      <c r="W1258" s="478">
        <f>IFERROR(Table6[[#This Row],[Breakdown Time]]*Table6[[#This Row],[Plant Equivalent Weightage]],"")</f>
        <v>0.117948717948718</v>
      </c>
      <c r="X1258" s="473" t="s">
        <v>290</v>
      </c>
      <c r="Y1258" s="474" t="s">
        <v>80</v>
      </c>
      <c r="Z1258" s="102">
        <v>26899</v>
      </c>
      <c r="AA1258" s="468">
        <f>(Table6[[#This Row],[Paired WTG Generation for loss calculation]]/24)*Table6[[#This Row],[Breakdown Time]]</f>
        <v>3437.0944444444476</v>
      </c>
      <c r="AB1258" s="102"/>
      <c r="AC1258" s="35"/>
      <c r="AD1258" s="35"/>
    </row>
    <row r="1259" spans="1:30">
      <c r="A1259" s="102">
        <f t="shared" si="20"/>
        <v>1258</v>
      </c>
      <c r="B1259" s="468">
        <f>YEAR(Table6[[#This Row],[Date]])+IF(MONTH(Table6[[#This Row],[Date]])&gt;=4,1,0)</f>
        <v>2026</v>
      </c>
      <c r="C1259" s="102">
        <f>YEAR(Table6[[#This Row],[Date]])</f>
        <v>2025</v>
      </c>
      <c r="D1259" s="102" t="s">
        <v>1992</v>
      </c>
      <c r="E1259" s="469">
        <f>Table6[[#This Row],[Date]]-DAY(Table6[[#This Row],[Date]])+1</f>
        <v>45809</v>
      </c>
      <c r="F1259" s="470">
        <v>45828</v>
      </c>
      <c r="G1259" s="35" t="s">
        <v>94</v>
      </c>
      <c r="H1259" s="35" t="str">
        <f>IFERROR(_xlfn.XLOOKUP(Table6[[#This Row],[Affected WTG]],'Basic Data'!$A:$A,'Basic Data'!$B:$B),"")</f>
        <v>TQGXIIPL</v>
      </c>
      <c r="I1259" s="35" t="str">
        <f>IFERROR(_xlfn.XLOOKUP(Table6[[#This Row],[Affected WTG]],'Basic Data'!$A:$A,'Basic Data'!$C:$C),"")</f>
        <v>GEDA</v>
      </c>
      <c r="J1259" s="471">
        <f>IFERROR(_xlfn.XLOOKUP(Table6[[#This Row],[Affected WTG]],'Basic Data'!$A:$A,'Basic Data'!$E:$E),"")</f>
        <v>3.846153846153845E-2</v>
      </c>
      <c r="K1259" s="102">
        <v>3000</v>
      </c>
      <c r="L1259" s="35" t="str">
        <f>IFERROR(_xlfn.XLOOKUP(Table6[[#This Row],[Error Code]],'Basic Data'!$AA:$AA,'Basic Data'!$AB:$AB),"Incorrect Error Code")</f>
        <v>Frequency converter not ready</v>
      </c>
      <c r="M1259" s="35" t="s">
        <v>291</v>
      </c>
      <c r="N1259" s="475"/>
      <c r="O1259" s="476">
        <v>0.82638888888888884</v>
      </c>
      <c r="P1259" s="476">
        <v>0.82638888888888884</v>
      </c>
      <c r="Q1259" s="477">
        <v>0.88472222222222219</v>
      </c>
      <c r="R1259" s="472">
        <f>IF(Table6[[#This Row],[Work Start TimeStamp]]="","",(Table6[[#This Row],[Work Start TimeStamp]]-Table6[[#This Row],[Fault Start TimeStamp]])*24)</f>
        <v>0</v>
      </c>
      <c r="S1259" s="472">
        <f>(Table6[[#This Row],[Fault Clearance time]]-Table6[[#This Row],[Work Start TimeStamp]])*24</f>
        <v>1.4000000000000004</v>
      </c>
      <c r="T1259" s="472">
        <f>(Table6[[#This Row],[Fault Clearance time]]-Table6[[#This Row],[Fault Start TimeStamp]])*24</f>
        <v>1.4000000000000004</v>
      </c>
      <c r="U1259" s="35" t="s">
        <v>1998</v>
      </c>
      <c r="V1259" s="102" t="s">
        <v>293</v>
      </c>
      <c r="W1259" s="478">
        <f>IFERROR(Table6[[#This Row],[Breakdown Time]]*Table6[[#This Row],[Plant Equivalent Weightage]],"")</f>
        <v>5.3846153846153842E-2</v>
      </c>
      <c r="X1259" s="473" t="s">
        <v>294</v>
      </c>
      <c r="Y1259" s="474" t="s">
        <v>79</v>
      </c>
      <c r="Z1259" s="102">
        <v>25348</v>
      </c>
      <c r="AA1259" s="468">
        <f>(Table6[[#This Row],[Paired WTG Generation for loss calculation]]/24)*Table6[[#This Row],[Breakdown Time]]</f>
        <v>1478.6333333333339</v>
      </c>
      <c r="AB1259" s="102"/>
      <c r="AC1259" s="35"/>
      <c r="AD1259" s="35"/>
    </row>
    <row r="1260" spans="1:30">
      <c r="A1260" s="102">
        <f t="shared" si="20"/>
        <v>1259</v>
      </c>
      <c r="B1260" s="468">
        <f>YEAR(Table6[[#This Row],[Date]])+IF(MONTH(Table6[[#This Row],[Date]])&gt;=4,1,0)</f>
        <v>2026</v>
      </c>
      <c r="C1260" s="102">
        <f>YEAR(Table6[[#This Row],[Date]])</f>
        <v>2025</v>
      </c>
      <c r="D1260" s="102" t="s">
        <v>1992</v>
      </c>
      <c r="E1260" s="469">
        <f>Table6[[#This Row],[Date]]-DAY(Table6[[#This Row],[Date]])+1</f>
        <v>45809</v>
      </c>
      <c r="F1260" s="470">
        <v>45828</v>
      </c>
      <c r="G1260" s="35" t="s">
        <v>96</v>
      </c>
      <c r="H1260" s="35" t="str">
        <f>IFERROR(_xlfn.XLOOKUP(Table6[[#This Row],[Affected WTG]],'Basic Data'!$A:$A,'Basic Data'!$B:$B),"")</f>
        <v>TQGXIIPL</v>
      </c>
      <c r="I1260" s="35" t="str">
        <f>IFERROR(_xlfn.XLOOKUP(Table6[[#This Row],[Affected WTG]],'Basic Data'!$A:$A,'Basic Data'!$C:$C),"")</f>
        <v>GEDA</v>
      </c>
      <c r="J1260" s="471">
        <f>IFERROR(_xlfn.XLOOKUP(Table6[[#This Row],[Affected WTG]],'Basic Data'!$A:$A,'Basic Data'!$E:$E),"")</f>
        <v>3.846153846153845E-2</v>
      </c>
      <c r="K1260" s="102">
        <v>1732</v>
      </c>
      <c r="L1260" s="35" t="str">
        <f>IFERROR(_xlfn.XLOOKUP(Table6[[#This Row],[Error Code]],'Basic Data'!$AA:$AA,'Basic Data'!$AB:$AB),"Incorrect Error Code")</f>
        <v>Max. oil temperature gearbox input</v>
      </c>
      <c r="M1260" s="35" t="s">
        <v>291</v>
      </c>
      <c r="N1260" s="475"/>
      <c r="O1260" s="476">
        <v>5.8333333333333334E-2</v>
      </c>
      <c r="P1260" s="476">
        <v>5.8333333333333334E-2</v>
      </c>
      <c r="Q1260" s="477">
        <v>5.9722222222222225E-2</v>
      </c>
      <c r="R1260" s="472">
        <f>IF(Table6[[#This Row],[Work Start TimeStamp]]="","",(Table6[[#This Row],[Work Start TimeStamp]]-Table6[[#This Row],[Fault Start TimeStamp]])*24)</f>
        <v>0</v>
      </c>
      <c r="S1260" s="472">
        <f>(Table6[[#This Row],[Fault Clearance time]]-Table6[[#This Row],[Work Start TimeStamp]])*24</f>
        <v>3.3333333333333381E-2</v>
      </c>
      <c r="T1260" s="472">
        <f>(Table6[[#This Row],[Fault Clearance time]]-Table6[[#This Row],[Fault Start TimeStamp]])*24</f>
        <v>3.3333333333333381E-2</v>
      </c>
      <c r="U1260" s="35" t="s">
        <v>1924</v>
      </c>
      <c r="V1260" s="102" t="s">
        <v>293</v>
      </c>
      <c r="W1260" s="478">
        <f>IFERROR(Table6[[#This Row],[Breakdown Time]]*Table6[[#This Row],[Plant Equivalent Weightage]],"")</f>
        <v>1.2820512820512836E-3</v>
      </c>
      <c r="X1260" s="473" t="s">
        <v>294</v>
      </c>
      <c r="Y1260" s="474" t="s">
        <v>84</v>
      </c>
      <c r="Z1260" s="102">
        <v>52720</v>
      </c>
      <c r="AA1260" s="468">
        <f>(Table6[[#This Row],[Paired WTG Generation for loss calculation]]/24)*Table6[[#This Row],[Breakdown Time]]</f>
        <v>73.222222222222328</v>
      </c>
      <c r="AB1260" s="102"/>
      <c r="AC1260" s="35"/>
      <c r="AD1260" s="35"/>
    </row>
    <row r="1261" spans="1:30">
      <c r="A1261" s="102">
        <f t="shared" si="20"/>
        <v>1260</v>
      </c>
      <c r="B1261" s="468">
        <f>YEAR(Table6[[#This Row],[Date]])+IF(MONTH(Table6[[#This Row],[Date]])&gt;=4,1,0)</f>
        <v>2026</v>
      </c>
      <c r="C1261" s="102">
        <f>YEAR(Table6[[#This Row],[Date]])</f>
        <v>2025</v>
      </c>
      <c r="D1261" s="102" t="s">
        <v>1992</v>
      </c>
      <c r="E1261" s="469">
        <f>Table6[[#This Row],[Date]]-DAY(Table6[[#This Row],[Date]])+1</f>
        <v>45809</v>
      </c>
      <c r="F1261" s="470">
        <v>45828</v>
      </c>
      <c r="G1261" s="35" t="s">
        <v>96</v>
      </c>
      <c r="H1261" s="35" t="str">
        <f>IFERROR(_xlfn.XLOOKUP(Table6[[#This Row],[Affected WTG]],'Basic Data'!$A:$A,'Basic Data'!$B:$B),"")</f>
        <v>TQGXIIPL</v>
      </c>
      <c r="I1261" s="35" t="str">
        <f>IFERROR(_xlfn.XLOOKUP(Table6[[#This Row],[Affected WTG]],'Basic Data'!$A:$A,'Basic Data'!$C:$C),"")</f>
        <v>GEDA</v>
      </c>
      <c r="J1261" s="471">
        <f>IFERROR(_xlfn.XLOOKUP(Table6[[#This Row],[Affected WTG]],'Basic Data'!$A:$A,'Basic Data'!$E:$E),"")</f>
        <v>3.846153846153845E-2</v>
      </c>
      <c r="K1261" s="102">
        <v>1732</v>
      </c>
      <c r="L1261" s="35" t="str">
        <f>IFERROR(_xlfn.XLOOKUP(Table6[[#This Row],[Error Code]],'Basic Data'!$AA:$AA,'Basic Data'!$AB:$AB),"Incorrect Error Code")</f>
        <v>Max. oil temperature gearbox input</v>
      </c>
      <c r="M1261" s="35" t="s">
        <v>291</v>
      </c>
      <c r="N1261" s="475"/>
      <c r="O1261" s="476">
        <v>7.6388888888888895E-2</v>
      </c>
      <c r="P1261" s="476">
        <v>7.6388888888888895E-2</v>
      </c>
      <c r="Q1261" s="477">
        <v>8.611111111111111E-2</v>
      </c>
      <c r="R1261" s="472">
        <f>IF(Table6[[#This Row],[Work Start TimeStamp]]="","",(Table6[[#This Row],[Work Start TimeStamp]]-Table6[[#This Row],[Fault Start TimeStamp]])*24)</f>
        <v>0</v>
      </c>
      <c r="S1261" s="472">
        <f>(Table6[[#This Row],[Fault Clearance time]]-Table6[[#This Row],[Work Start TimeStamp]])*24</f>
        <v>0.23333333333333317</v>
      </c>
      <c r="T1261" s="472">
        <f>(Table6[[#This Row],[Fault Clearance time]]-Table6[[#This Row],[Fault Start TimeStamp]])*24</f>
        <v>0.23333333333333317</v>
      </c>
      <c r="U1261" s="35" t="s">
        <v>2001</v>
      </c>
      <c r="V1261" s="102" t="s">
        <v>293</v>
      </c>
      <c r="W1261" s="478">
        <f>IFERROR(Table6[[#This Row],[Breakdown Time]]*Table6[[#This Row],[Plant Equivalent Weightage]],"")</f>
        <v>8.974358974358965E-3</v>
      </c>
      <c r="X1261" s="473" t="s">
        <v>294</v>
      </c>
      <c r="Y1261" s="474" t="s">
        <v>84</v>
      </c>
      <c r="Z1261" s="102">
        <v>52720</v>
      </c>
      <c r="AA1261" s="468">
        <f>(Table6[[#This Row],[Paired WTG Generation for loss calculation]]/24)*Table6[[#This Row],[Breakdown Time]]</f>
        <v>512.5555555555552</v>
      </c>
      <c r="AB1261" s="102"/>
      <c r="AC1261" s="35"/>
      <c r="AD1261" s="35"/>
    </row>
    <row r="1262" spans="1:30">
      <c r="A1262" s="102">
        <f t="shared" si="20"/>
        <v>1261</v>
      </c>
      <c r="B1262" s="468">
        <f>YEAR(Table6[[#This Row],[Date]])+IF(MONTH(Table6[[#This Row],[Date]])&gt;=4,1,0)</f>
        <v>2026</v>
      </c>
      <c r="C1262" s="102">
        <f>YEAR(Table6[[#This Row],[Date]])</f>
        <v>2025</v>
      </c>
      <c r="D1262" s="102" t="s">
        <v>1992</v>
      </c>
      <c r="E1262" s="469">
        <f>Table6[[#This Row],[Date]]-DAY(Table6[[#This Row],[Date]])+1</f>
        <v>45809</v>
      </c>
      <c r="F1262" s="470">
        <v>45828</v>
      </c>
      <c r="G1262" s="35" t="s">
        <v>99</v>
      </c>
      <c r="H1262" s="35" t="str">
        <f>IFERROR(_xlfn.XLOOKUP(Table6[[#This Row],[Affected WTG]],'Basic Data'!$A:$A,'Basic Data'!$B:$B),"")</f>
        <v>TQGXIIPL</v>
      </c>
      <c r="I1262" s="35" t="str">
        <f>IFERROR(_xlfn.XLOOKUP(Table6[[#This Row],[Affected WTG]],'Basic Data'!$A:$A,'Basic Data'!$C:$C),"")</f>
        <v>GEDA</v>
      </c>
      <c r="J1262" s="471">
        <f>IFERROR(_xlfn.XLOOKUP(Table6[[#This Row],[Affected WTG]],'Basic Data'!$A:$A,'Basic Data'!$E:$E),"")</f>
        <v>3.846153846153845E-2</v>
      </c>
      <c r="K1262" s="102">
        <v>3000</v>
      </c>
      <c r="L1262" s="35" t="str">
        <f>IFERROR(_xlfn.XLOOKUP(Table6[[#This Row],[Error Code]],'Basic Data'!$AA:$AA,'Basic Data'!$AB:$AB),"Incorrect Error Code")</f>
        <v>Frequency converter not ready</v>
      </c>
      <c r="M1262" s="35" t="s">
        <v>291</v>
      </c>
      <c r="N1262" s="475"/>
      <c r="O1262" s="476">
        <v>0.87569444444444444</v>
      </c>
      <c r="P1262" s="476">
        <v>0.87569444444444444</v>
      </c>
      <c r="Q1262" s="477">
        <v>0.92222222222222228</v>
      </c>
      <c r="R1262" s="472">
        <f>IF(Table6[[#This Row],[Work Start TimeStamp]]="","",(Table6[[#This Row],[Work Start TimeStamp]]-Table6[[#This Row],[Fault Start TimeStamp]])*24)</f>
        <v>0</v>
      </c>
      <c r="S1262" s="472">
        <f>(Table6[[#This Row],[Fault Clearance time]]-Table6[[#This Row],[Work Start TimeStamp]])*24</f>
        <v>1.116666666666668</v>
      </c>
      <c r="T1262" s="472">
        <f>(Table6[[#This Row],[Fault Clearance time]]-Table6[[#This Row],[Fault Start TimeStamp]])*24</f>
        <v>1.116666666666668</v>
      </c>
      <c r="U1262" s="35" t="s">
        <v>1998</v>
      </c>
      <c r="V1262" s="102" t="s">
        <v>293</v>
      </c>
      <c r="W1262" s="478">
        <f>IFERROR(Table6[[#This Row],[Breakdown Time]]*Table6[[#This Row],[Plant Equivalent Weightage]],"")</f>
        <v>4.294871794871799E-2</v>
      </c>
      <c r="X1262" s="473" t="s">
        <v>294</v>
      </c>
      <c r="Y1262" s="474" t="s">
        <v>74</v>
      </c>
      <c r="Z1262" s="102">
        <v>53793</v>
      </c>
      <c r="AA1262" s="468">
        <f>(Table6[[#This Row],[Paired WTG Generation for loss calculation]]/24)*Table6[[#This Row],[Breakdown Time]]</f>
        <v>2502.8687500000033</v>
      </c>
      <c r="AB1262" s="102"/>
      <c r="AC1262" s="35"/>
      <c r="AD1262" s="35"/>
    </row>
    <row r="1263" spans="1:30">
      <c r="A1263" s="102">
        <f t="shared" si="20"/>
        <v>1262</v>
      </c>
      <c r="B1263" s="468">
        <f>YEAR(Table6[[#This Row],[Date]])+IF(MONTH(Table6[[#This Row],[Date]])&gt;=4,1,0)</f>
        <v>2026</v>
      </c>
      <c r="C1263" s="102">
        <f>YEAR(Table6[[#This Row],[Date]])</f>
        <v>2025</v>
      </c>
      <c r="D1263" s="102" t="s">
        <v>1992</v>
      </c>
      <c r="E1263" s="469">
        <f>Table6[[#This Row],[Date]]-DAY(Table6[[#This Row],[Date]])+1</f>
        <v>45809</v>
      </c>
      <c r="F1263" s="470">
        <v>45829</v>
      </c>
      <c r="G1263" s="35" t="s">
        <v>77</v>
      </c>
      <c r="H1263" s="35" t="str">
        <f>IFERROR(_xlfn.XLOOKUP(Table6[[#This Row],[Affected WTG]],'Basic Data'!$A:$A,'Basic Data'!$B:$B),"")</f>
        <v>TQGXIIPL</v>
      </c>
      <c r="I1263" s="35" t="str">
        <f>IFERROR(_xlfn.XLOOKUP(Table6[[#This Row],[Affected WTG]],'Basic Data'!$A:$A,'Basic Data'!$C:$C),"")</f>
        <v>GEDA</v>
      </c>
      <c r="J1263" s="471">
        <f>IFERROR(_xlfn.XLOOKUP(Table6[[#This Row],[Affected WTG]],'Basic Data'!$A:$A,'Basic Data'!$E:$E),"")</f>
        <v>3.846153846153845E-2</v>
      </c>
      <c r="K1263" s="102">
        <v>6130</v>
      </c>
      <c r="L1263" s="35" t="str">
        <f>IFERROR(_xlfn.XLOOKUP(Table6[[#This Row],[Error Code]],'Basic Data'!$AA:$AA,'Basic Data'!$AB:$AB),"Incorrect Error Code")</f>
        <v>Yaw speed high</v>
      </c>
      <c r="M1263" s="35" t="s">
        <v>292</v>
      </c>
      <c r="N1263" s="475"/>
      <c r="O1263" s="476">
        <v>0.20694444444444443</v>
      </c>
      <c r="P1263" s="476">
        <v>0.20694444444444443</v>
      </c>
      <c r="Q1263" s="477">
        <v>0.2076388888888889</v>
      </c>
      <c r="R1263" s="472">
        <f>IF(Table6[[#This Row],[Work Start TimeStamp]]="","",(Table6[[#This Row],[Work Start TimeStamp]]-Table6[[#This Row],[Fault Start TimeStamp]])*24)</f>
        <v>0</v>
      </c>
      <c r="S1263" s="472">
        <f>(Table6[[#This Row],[Fault Clearance time]]-Table6[[#This Row],[Work Start TimeStamp]])*24</f>
        <v>1.6666666666667274E-2</v>
      </c>
      <c r="T1263" s="472">
        <f>(Table6[[#This Row],[Fault Clearance time]]-Table6[[#This Row],[Fault Start TimeStamp]])*24</f>
        <v>1.6666666666667274E-2</v>
      </c>
      <c r="U1263" s="35" t="s">
        <v>336</v>
      </c>
      <c r="V1263" s="102" t="s">
        <v>293</v>
      </c>
      <c r="W1263" s="478">
        <f>IFERROR(Table6[[#This Row],[Breakdown Time]]*Table6[[#This Row],[Plant Equivalent Weightage]],"")</f>
        <v>6.4102564102566423E-4</v>
      </c>
      <c r="X1263" s="473" t="s">
        <v>294</v>
      </c>
      <c r="Y1263" s="474" t="s">
        <v>80</v>
      </c>
      <c r="Z1263" s="102">
        <v>48182</v>
      </c>
      <c r="AA1263" s="468">
        <f>(Table6[[#This Row],[Paired WTG Generation for loss calculation]]/24)*Table6[[#This Row],[Breakdown Time]]</f>
        <v>33.459722222223441</v>
      </c>
      <c r="AB1263" s="102"/>
      <c r="AC1263" s="35"/>
      <c r="AD1263" s="35"/>
    </row>
    <row r="1264" spans="1:30">
      <c r="A1264" s="102">
        <f t="shared" si="20"/>
        <v>1263</v>
      </c>
      <c r="B1264" s="468">
        <f>YEAR(Table6[[#This Row],[Date]])+IF(MONTH(Table6[[#This Row],[Date]])&gt;=4,1,0)</f>
        <v>2026</v>
      </c>
      <c r="C1264" s="102">
        <f>YEAR(Table6[[#This Row],[Date]])</f>
        <v>2025</v>
      </c>
      <c r="D1264" s="102" t="s">
        <v>1992</v>
      </c>
      <c r="E1264" s="469">
        <f>Table6[[#This Row],[Date]]-DAY(Table6[[#This Row],[Date]])+1</f>
        <v>45809</v>
      </c>
      <c r="F1264" s="470">
        <v>45829</v>
      </c>
      <c r="G1264" s="35" t="s">
        <v>77</v>
      </c>
      <c r="H1264" s="35" t="str">
        <f>IFERROR(_xlfn.XLOOKUP(Table6[[#This Row],[Affected WTG]],'Basic Data'!$A:$A,'Basic Data'!$B:$B),"")</f>
        <v>TQGXIIPL</v>
      </c>
      <c r="I1264" s="35" t="str">
        <f>IFERROR(_xlfn.XLOOKUP(Table6[[#This Row],[Affected WTG]],'Basic Data'!$A:$A,'Basic Data'!$C:$C),"")</f>
        <v>GEDA</v>
      </c>
      <c r="J1264" s="471">
        <f>IFERROR(_xlfn.XLOOKUP(Table6[[#This Row],[Affected WTG]],'Basic Data'!$A:$A,'Basic Data'!$E:$E),"")</f>
        <v>3.846153846153845E-2</v>
      </c>
      <c r="K1264" s="102">
        <v>6130</v>
      </c>
      <c r="L1264" s="35" t="str">
        <f>IFERROR(_xlfn.XLOOKUP(Table6[[#This Row],[Error Code]],'Basic Data'!$AA:$AA,'Basic Data'!$AB:$AB),"Incorrect Error Code")</f>
        <v>Yaw speed high</v>
      </c>
      <c r="M1264" s="35" t="s">
        <v>292</v>
      </c>
      <c r="N1264" s="475"/>
      <c r="O1264" s="476">
        <v>0.24097222222222223</v>
      </c>
      <c r="P1264" s="476">
        <v>0.24097222222222223</v>
      </c>
      <c r="Q1264" s="477">
        <v>0.24305555555555555</v>
      </c>
      <c r="R1264" s="472">
        <f>IF(Table6[[#This Row],[Work Start TimeStamp]]="","",(Table6[[#This Row],[Work Start TimeStamp]]-Table6[[#This Row],[Fault Start TimeStamp]])*24)</f>
        <v>0</v>
      </c>
      <c r="S1264" s="472">
        <f>(Table6[[#This Row],[Fault Clearance time]]-Table6[[#This Row],[Work Start TimeStamp]])*24</f>
        <v>4.9999999999999822E-2</v>
      </c>
      <c r="T1264" s="472">
        <f>(Table6[[#This Row],[Fault Clearance time]]-Table6[[#This Row],[Fault Start TimeStamp]])*24</f>
        <v>4.9999999999999822E-2</v>
      </c>
      <c r="U1264" s="35" t="s">
        <v>336</v>
      </c>
      <c r="V1264" s="102" t="s">
        <v>293</v>
      </c>
      <c r="W1264" s="478">
        <f>IFERROR(Table6[[#This Row],[Breakdown Time]]*Table6[[#This Row],[Plant Equivalent Weightage]],"")</f>
        <v>1.9230769230769156E-3</v>
      </c>
      <c r="X1264" s="473" t="s">
        <v>294</v>
      </c>
      <c r="Y1264" s="474" t="s">
        <v>80</v>
      </c>
      <c r="Z1264" s="102">
        <v>48182</v>
      </c>
      <c r="AA1264" s="468">
        <f>(Table6[[#This Row],[Paired WTG Generation for loss calculation]]/24)*Table6[[#This Row],[Breakdown Time]]</f>
        <v>100.37916666666631</v>
      </c>
      <c r="AB1264" s="102"/>
      <c r="AC1264" s="35"/>
      <c r="AD1264" s="35"/>
    </row>
    <row r="1265" spans="1:30">
      <c r="A1265" s="102">
        <f t="shared" si="20"/>
        <v>1264</v>
      </c>
      <c r="B1265" s="468">
        <f>YEAR(Table6[[#This Row],[Date]])+IF(MONTH(Table6[[#This Row],[Date]])&gt;=4,1,0)</f>
        <v>2026</v>
      </c>
      <c r="C1265" s="102">
        <f>YEAR(Table6[[#This Row],[Date]])</f>
        <v>2025</v>
      </c>
      <c r="D1265" s="102" t="s">
        <v>1992</v>
      </c>
      <c r="E1265" s="469">
        <f>Table6[[#This Row],[Date]]-DAY(Table6[[#This Row],[Date]])+1</f>
        <v>45809</v>
      </c>
      <c r="F1265" s="470">
        <v>45829</v>
      </c>
      <c r="G1265" s="35" t="s">
        <v>77</v>
      </c>
      <c r="H1265" s="35" t="str">
        <f>IFERROR(_xlfn.XLOOKUP(Table6[[#This Row],[Affected WTG]],'Basic Data'!$A:$A,'Basic Data'!$B:$B),"")</f>
        <v>TQGXIIPL</v>
      </c>
      <c r="I1265" s="35" t="str">
        <f>IFERROR(_xlfn.XLOOKUP(Table6[[#This Row],[Affected WTG]],'Basic Data'!$A:$A,'Basic Data'!$C:$C),"")</f>
        <v>GEDA</v>
      </c>
      <c r="J1265" s="471">
        <f>IFERROR(_xlfn.XLOOKUP(Table6[[#This Row],[Affected WTG]],'Basic Data'!$A:$A,'Basic Data'!$E:$E),"")</f>
        <v>3.846153846153845E-2</v>
      </c>
      <c r="K1265" s="102">
        <v>6130</v>
      </c>
      <c r="L1265" s="35" t="str">
        <f>IFERROR(_xlfn.XLOOKUP(Table6[[#This Row],[Error Code]],'Basic Data'!$AA:$AA,'Basic Data'!$AB:$AB),"Incorrect Error Code")</f>
        <v>Yaw speed high</v>
      </c>
      <c r="M1265" s="35" t="s">
        <v>292</v>
      </c>
      <c r="N1265" s="475"/>
      <c r="O1265" s="476">
        <v>0.49305555555555558</v>
      </c>
      <c r="P1265" s="476">
        <v>0.49305555555555558</v>
      </c>
      <c r="Q1265" s="477">
        <v>0.49444444444444446</v>
      </c>
      <c r="R1265" s="472">
        <f>IF(Table6[[#This Row],[Work Start TimeStamp]]="","",(Table6[[#This Row],[Work Start TimeStamp]]-Table6[[#This Row],[Fault Start TimeStamp]])*24)</f>
        <v>0</v>
      </c>
      <c r="S1265" s="472">
        <f>(Table6[[#This Row],[Fault Clearance time]]-Table6[[#This Row],[Work Start TimeStamp]])*24</f>
        <v>3.3333333333333215E-2</v>
      </c>
      <c r="T1265" s="472">
        <f>(Table6[[#This Row],[Fault Clearance time]]-Table6[[#This Row],[Fault Start TimeStamp]])*24</f>
        <v>3.3333333333333215E-2</v>
      </c>
      <c r="U1265" s="35" t="s">
        <v>336</v>
      </c>
      <c r="V1265" s="102" t="s">
        <v>293</v>
      </c>
      <c r="W1265" s="478">
        <f>IFERROR(Table6[[#This Row],[Breakdown Time]]*Table6[[#This Row],[Plant Equivalent Weightage]],"")</f>
        <v>1.2820512820512771E-3</v>
      </c>
      <c r="X1265" s="473" t="s">
        <v>294</v>
      </c>
      <c r="Y1265" s="474" t="s">
        <v>80</v>
      </c>
      <c r="Z1265" s="102">
        <v>48182</v>
      </c>
      <c r="AA1265" s="468">
        <f>(Table6[[#This Row],[Paired WTG Generation for loss calculation]]/24)*Table6[[#This Row],[Breakdown Time]]</f>
        <v>66.91944444444421</v>
      </c>
      <c r="AB1265" s="102"/>
      <c r="AC1265" s="35"/>
      <c r="AD1265" s="35"/>
    </row>
    <row r="1266" spans="1:30">
      <c r="A1266" s="102">
        <f t="shared" si="20"/>
        <v>1265</v>
      </c>
      <c r="B1266" s="468">
        <f>YEAR(Table6[[#This Row],[Date]])+IF(MONTH(Table6[[#This Row],[Date]])&gt;=4,1,0)</f>
        <v>2026</v>
      </c>
      <c r="C1266" s="102">
        <f>YEAR(Table6[[#This Row],[Date]])</f>
        <v>2025</v>
      </c>
      <c r="D1266" s="102" t="s">
        <v>1992</v>
      </c>
      <c r="E1266" s="469">
        <f>Table6[[#This Row],[Date]]-DAY(Table6[[#This Row],[Date]])+1</f>
        <v>45809</v>
      </c>
      <c r="F1266" s="470">
        <v>45829</v>
      </c>
      <c r="G1266" s="35" t="s">
        <v>77</v>
      </c>
      <c r="H1266" s="35" t="str">
        <f>IFERROR(_xlfn.XLOOKUP(Table6[[#This Row],[Affected WTG]],'Basic Data'!$A:$A,'Basic Data'!$B:$B),"")</f>
        <v>TQGXIIPL</v>
      </c>
      <c r="I1266" s="35" t="str">
        <f>IFERROR(_xlfn.XLOOKUP(Table6[[#This Row],[Affected WTG]],'Basic Data'!$A:$A,'Basic Data'!$C:$C),"")</f>
        <v>GEDA</v>
      </c>
      <c r="J1266" s="471">
        <f>IFERROR(_xlfn.XLOOKUP(Table6[[#This Row],[Affected WTG]],'Basic Data'!$A:$A,'Basic Data'!$E:$E),"")</f>
        <v>3.846153846153845E-2</v>
      </c>
      <c r="K1266" s="102">
        <v>6130</v>
      </c>
      <c r="L1266" s="35" t="str">
        <f>IFERROR(_xlfn.XLOOKUP(Table6[[#This Row],[Error Code]],'Basic Data'!$AA:$AA,'Basic Data'!$AB:$AB),"Incorrect Error Code")</f>
        <v>Yaw speed high</v>
      </c>
      <c r="M1266" s="35" t="s">
        <v>292</v>
      </c>
      <c r="N1266" s="475"/>
      <c r="O1266" s="476">
        <v>0.68819444444444444</v>
      </c>
      <c r="P1266" s="476">
        <v>0.68819444444444444</v>
      </c>
      <c r="Q1266" s="477">
        <v>0.68958333333333333</v>
      </c>
      <c r="R1266" s="472">
        <f>IF(Table6[[#This Row],[Work Start TimeStamp]]="","",(Table6[[#This Row],[Work Start TimeStamp]]-Table6[[#This Row],[Fault Start TimeStamp]])*24)</f>
        <v>0</v>
      </c>
      <c r="S1266" s="472">
        <f>(Table6[[#This Row],[Fault Clearance time]]-Table6[[#This Row],[Work Start TimeStamp]])*24</f>
        <v>3.3333333333333215E-2</v>
      </c>
      <c r="T1266" s="472">
        <f>(Table6[[#This Row],[Fault Clearance time]]-Table6[[#This Row],[Fault Start TimeStamp]])*24</f>
        <v>3.3333333333333215E-2</v>
      </c>
      <c r="U1266" s="35" t="s">
        <v>336</v>
      </c>
      <c r="V1266" s="102" t="s">
        <v>293</v>
      </c>
      <c r="W1266" s="478">
        <f>IFERROR(Table6[[#This Row],[Breakdown Time]]*Table6[[#This Row],[Plant Equivalent Weightage]],"")</f>
        <v>1.2820512820512771E-3</v>
      </c>
      <c r="X1266" s="473" t="s">
        <v>294</v>
      </c>
      <c r="Y1266" s="474" t="s">
        <v>80</v>
      </c>
      <c r="Z1266" s="102">
        <v>48182</v>
      </c>
      <c r="AA1266" s="468">
        <f>(Table6[[#This Row],[Paired WTG Generation for loss calculation]]/24)*Table6[[#This Row],[Breakdown Time]]</f>
        <v>66.91944444444421</v>
      </c>
      <c r="AB1266" s="102"/>
      <c r="AC1266" s="35"/>
      <c r="AD1266" s="35"/>
    </row>
    <row r="1267" spans="1:30">
      <c r="A1267" s="102">
        <f t="shared" si="20"/>
        <v>1266</v>
      </c>
      <c r="B1267" s="468">
        <f>YEAR(Table6[[#This Row],[Date]])+IF(MONTH(Table6[[#This Row],[Date]])&gt;=4,1,0)</f>
        <v>2026</v>
      </c>
      <c r="C1267" s="102">
        <f>YEAR(Table6[[#This Row],[Date]])</f>
        <v>2025</v>
      </c>
      <c r="D1267" s="102" t="s">
        <v>1992</v>
      </c>
      <c r="E1267" s="469">
        <f>Table6[[#This Row],[Date]]-DAY(Table6[[#This Row],[Date]])+1</f>
        <v>45809</v>
      </c>
      <c r="F1267" s="470">
        <v>45829</v>
      </c>
      <c r="G1267" s="35" t="s">
        <v>78</v>
      </c>
      <c r="H1267" s="35" t="str">
        <f>IFERROR(_xlfn.XLOOKUP(Table6[[#This Row],[Affected WTG]],'Basic Data'!$A:$A,'Basic Data'!$B:$B),"")</f>
        <v>TQGXIIPL</v>
      </c>
      <c r="I1267" s="35" t="str">
        <f>IFERROR(_xlfn.XLOOKUP(Table6[[#This Row],[Affected WTG]],'Basic Data'!$A:$A,'Basic Data'!$C:$C),"")</f>
        <v>GEDA</v>
      </c>
      <c r="J1267" s="471">
        <f>IFERROR(_xlfn.XLOOKUP(Table6[[#This Row],[Affected WTG]],'Basic Data'!$A:$A,'Basic Data'!$E:$E),"")</f>
        <v>3.846153846153845E-2</v>
      </c>
      <c r="K1267" s="102">
        <v>175</v>
      </c>
      <c r="L1267" s="35" t="str">
        <f>IFERROR(_xlfn.XLOOKUP(Table6[[#This Row],[Error Code]],'Basic Data'!$AA:$AA,'Basic Data'!$AB:$AB),"Incorrect Error Code")</f>
        <v>SLC error</v>
      </c>
      <c r="M1267" s="35" t="s">
        <v>291</v>
      </c>
      <c r="N1267" s="475"/>
      <c r="O1267" s="476">
        <v>0.5</v>
      </c>
      <c r="P1267" s="476">
        <v>0.5</v>
      </c>
      <c r="Q1267" s="477">
        <v>0.50138888888888888</v>
      </c>
      <c r="R1267" s="472">
        <f>IF(Table6[[#This Row],[Work Start TimeStamp]]="","",(Table6[[#This Row],[Work Start TimeStamp]]-Table6[[#This Row],[Fault Start TimeStamp]])*24)</f>
        <v>0</v>
      </c>
      <c r="S1267" s="472">
        <f>(Table6[[#This Row],[Fault Clearance time]]-Table6[[#This Row],[Work Start TimeStamp]])*24</f>
        <v>3.3333333333333215E-2</v>
      </c>
      <c r="T1267" s="472">
        <f>(Table6[[#This Row],[Fault Clearance time]]-Table6[[#This Row],[Fault Start TimeStamp]])*24</f>
        <v>3.3333333333333215E-2</v>
      </c>
      <c r="U1267" s="35" t="s">
        <v>1924</v>
      </c>
      <c r="V1267" s="102" t="s">
        <v>293</v>
      </c>
      <c r="W1267" s="478">
        <f>IFERROR(Table6[[#This Row],[Breakdown Time]]*Table6[[#This Row],[Plant Equivalent Weightage]],"")</f>
        <v>1.2820512820512771E-3</v>
      </c>
      <c r="X1267" s="473" t="s">
        <v>294</v>
      </c>
      <c r="Y1267" s="474" t="s">
        <v>75</v>
      </c>
      <c r="Z1267" s="102">
        <v>52214</v>
      </c>
      <c r="AA1267" s="468">
        <f>(Table6[[#This Row],[Paired WTG Generation for loss calculation]]/24)*Table6[[#This Row],[Breakdown Time]]</f>
        <v>72.51944444444419</v>
      </c>
      <c r="AB1267" s="102"/>
      <c r="AC1267" s="35"/>
      <c r="AD1267" s="35"/>
    </row>
    <row r="1268" spans="1:30">
      <c r="A1268" s="102">
        <f t="shared" si="20"/>
        <v>1267</v>
      </c>
      <c r="B1268" s="468">
        <f>YEAR(Table6[[#This Row],[Date]])+IF(MONTH(Table6[[#This Row],[Date]])&gt;=4,1,0)</f>
        <v>2026</v>
      </c>
      <c r="C1268" s="102">
        <f>YEAR(Table6[[#This Row],[Date]])</f>
        <v>2025</v>
      </c>
      <c r="D1268" s="102" t="s">
        <v>1992</v>
      </c>
      <c r="E1268" s="469">
        <f>Table6[[#This Row],[Date]]-DAY(Table6[[#This Row],[Date]])+1</f>
        <v>45809</v>
      </c>
      <c r="F1268" s="470">
        <v>45829</v>
      </c>
      <c r="G1268" s="35" t="s">
        <v>80</v>
      </c>
      <c r="H1268" s="35" t="str">
        <f>IFERROR(_xlfn.XLOOKUP(Table6[[#This Row],[Affected WTG]],'Basic Data'!$A:$A,'Basic Data'!$B:$B),"")</f>
        <v>TQGXIIPL</v>
      </c>
      <c r="I1268" s="35" t="str">
        <f>IFERROR(_xlfn.XLOOKUP(Table6[[#This Row],[Affected WTG]],'Basic Data'!$A:$A,'Basic Data'!$C:$C),"")</f>
        <v>GEDA</v>
      </c>
      <c r="J1268" s="471">
        <f>IFERROR(_xlfn.XLOOKUP(Table6[[#This Row],[Affected WTG]],'Basic Data'!$A:$A,'Basic Data'!$E:$E),"")</f>
        <v>3.846153846153845E-2</v>
      </c>
      <c r="K1268" s="102">
        <v>4970</v>
      </c>
      <c r="L1268" s="35" t="str">
        <f>IFERROR(_xlfn.XLOOKUP(Table6[[#This Row],[Error Code]],'Basic Data'!$AA:$AA,'Basic Data'!$AB:$AB),"Incorrect Error Code")</f>
        <v>Tower oscillation XF</v>
      </c>
      <c r="M1268" s="35" t="s">
        <v>291</v>
      </c>
      <c r="N1268" s="475"/>
      <c r="O1268" s="476">
        <v>0.24097222222222223</v>
      </c>
      <c r="P1268" s="476">
        <v>0.24097222222222223</v>
      </c>
      <c r="Q1268" s="477">
        <v>0.25208333333333333</v>
      </c>
      <c r="R1268" s="472">
        <f>IF(Table6[[#This Row],[Work Start TimeStamp]]="","",(Table6[[#This Row],[Work Start TimeStamp]]-Table6[[#This Row],[Fault Start TimeStamp]])*24)</f>
        <v>0</v>
      </c>
      <c r="S1268" s="472">
        <f>(Table6[[#This Row],[Fault Clearance time]]-Table6[[#This Row],[Work Start TimeStamp]])*24</f>
        <v>0.26666666666666639</v>
      </c>
      <c r="T1268" s="472">
        <f>(Table6[[#This Row],[Fault Clearance time]]-Table6[[#This Row],[Fault Start TimeStamp]])*24</f>
        <v>0.26666666666666639</v>
      </c>
      <c r="U1268" s="35" t="s">
        <v>1924</v>
      </c>
      <c r="V1268" s="102" t="s">
        <v>293</v>
      </c>
      <c r="W1268" s="478">
        <f>IFERROR(Table6[[#This Row],[Breakdown Time]]*Table6[[#This Row],[Plant Equivalent Weightage]],"")</f>
        <v>1.0256410256410243E-2</v>
      </c>
      <c r="X1268" s="473" t="s">
        <v>294</v>
      </c>
      <c r="Y1268" s="474" t="s">
        <v>77</v>
      </c>
      <c r="Z1268" s="102">
        <v>46630</v>
      </c>
      <c r="AA1268" s="468">
        <f>(Table6[[#This Row],[Paired WTG Generation for loss calculation]]/24)*Table6[[#This Row],[Breakdown Time]]</f>
        <v>518.11111111111063</v>
      </c>
      <c r="AB1268" s="102"/>
      <c r="AC1268" s="35"/>
      <c r="AD1268" s="35"/>
    </row>
    <row r="1269" spans="1:30">
      <c r="A1269" s="102">
        <f t="shared" si="20"/>
        <v>1268</v>
      </c>
      <c r="B1269" s="468">
        <f>YEAR(Table6[[#This Row],[Date]])+IF(MONTH(Table6[[#This Row],[Date]])&gt;=4,1,0)</f>
        <v>2026</v>
      </c>
      <c r="C1269" s="102">
        <f>YEAR(Table6[[#This Row],[Date]])</f>
        <v>2025</v>
      </c>
      <c r="D1269" s="102" t="s">
        <v>1992</v>
      </c>
      <c r="E1269" s="469">
        <f>Table6[[#This Row],[Date]]-DAY(Table6[[#This Row],[Date]])+1</f>
        <v>45809</v>
      </c>
      <c r="F1269" s="470">
        <v>45829</v>
      </c>
      <c r="G1269" s="35" t="s">
        <v>81</v>
      </c>
      <c r="H1269" s="35" t="str">
        <f>IFERROR(_xlfn.XLOOKUP(Table6[[#This Row],[Affected WTG]],'Basic Data'!$A:$A,'Basic Data'!$B:$B),"")</f>
        <v>TQGXIIPL</v>
      </c>
      <c r="I1269" s="35" t="str">
        <f>IFERROR(_xlfn.XLOOKUP(Table6[[#This Row],[Affected WTG]],'Basic Data'!$A:$A,'Basic Data'!$C:$C),"")</f>
        <v>GEDA</v>
      </c>
      <c r="J1269" s="471">
        <f>IFERROR(_xlfn.XLOOKUP(Table6[[#This Row],[Affected WTG]],'Basic Data'!$A:$A,'Basic Data'!$E:$E),"")</f>
        <v>3.846153846153845E-2</v>
      </c>
      <c r="K1269" s="102">
        <v>641</v>
      </c>
      <c r="L1269" s="35" t="str">
        <f>IFERROR(_xlfn.XLOOKUP(Table6[[#This Row],[Error Code]],'Basic Data'!$AA:$AA,'Basic Data'!$AB:$AB),"Incorrect Error Code")</f>
        <v>Sim.angle E enc. &lt;&gt; act.angle 1</v>
      </c>
      <c r="M1269" s="35" t="s">
        <v>291</v>
      </c>
      <c r="N1269" s="475"/>
      <c r="O1269" s="476">
        <v>0.98472222222222228</v>
      </c>
      <c r="P1269" s="476">
        <v>0.98472222222222228</v>
      </c>
      <c r="Q1269" s="477">
        <v>0.99097222222222225</v>
      </c>
      <c r="R1269" s="472">
        <f>IF(Table6[[#This Row],[Work Start TimeStamp]]="","",(Table6[[#This Row],[Work Start TimeStamp]]-Table6[[#This Row],[Fault Start TimeStamp]])*24)</f>
        <v>0</v>
      </c>
      <c r="S1269" s="472">
        <f>(Table6[[#This Row],[Fault Clearance time]]-Table6[[#This Row],[Work Start TimeStamp]])*24</f>
        <v>0.14999999999999947</v>
      </c>
      <c r="T1269" s="472">
        <f>(Table6[[#This Row],[Fault Clearance time]]-Table6[[#This Row],[Fault Start TimeStamp]])*24</f>
        <v>0.14999999999999947</v>
      </c>
      <c r="U1269" s="35" t="s">
        <v>1924</v>
      </c>
      <c r="V1269" s="102" t="s">
        <v>293</v>
      </c>
      <c r="W1269" s="478">
        <f>IFERROR(Table6[[#This Row],[Breakdown Time]]*Table6[[#This Row],[Plant Equivalent Weightage]],"")</f>
        <v>5.769230769230747E-3</v>
      </c>
      <c r="X1269" s="473" t="s">
        <v>294</v>
      </c>
      <c r="Y1269" s="474" t="s">
        <v>99</v>
      </c>
      <c r="Z1269" s="102">
        <v>52790</v>
      </c>
      <c r="AA1269" s="468">
        <f>(Table6[[#This Row],[Paired WTG Generation for loss calculation]]/24)*Table6[[#This Row],[Breakdown Time]]</f>
        <v>329.93749999999886</v>
      </c>
      <c r="AB1269" s="102"/>
      <c r="AC1269" s="35"/>
      <c r="AD1269" s="35"/>
    </row>
    <row r="1270" spans="1:30">
      <c r="A1270" s="102">
        <f t="shared" si="20"/>
        <v>1269</v>
      </c>
      <c r="B1270" s="468">
        <f>YEAR(Table6[[#This Row],[Date]])+IF(MONTH(Table6[[#This Row],[Date]])&gt;=4,1,0)</f>
        <v>2026</v>
      </c>
      <c r="C1270" s="102">
        <f>YEAR(Table6[[#This Row],[Date]])</f>
        <v>2025</v>
      </c>
      <c r="D1270" s="102" t="s">
        <v>1992</v>
      </c>
      <c r="E1270" s="469">
        <f>Table6[[#This Row],[Date]]-DAY(Table6[[#This Row],[Date]])+1</f>
        <v>45809</v>
      </c>
      <c r="F1270" s="470">
        <v>45829</v>
      </c>
      <c r="G1270" s="35" t="s">
        <v>82</v>
      </c>
      <c r="H1270" s="35" t="str">
        <f>IFERROR(_xlfn.XLOOKUP(Table6[[#This Row],[Affected WTG]],'Basic Data'!$A:$A,'Basic Data'!$B:$B),"")</f>
        <v>TQGXIIPL</v>
      </c>
      <c r="I1270" s="35" t="str">
        <f>IFERROR(_xlfn.XLOOKUP(Table6[[#This Row],[Affected WTG]],'Basic Data'!$A:$A,'Basic Data'!$C:$C),"")</f>
        <v>GEDA</v>
      </c>
      <c r="J1270" s="471">
        <f>IFERROR(_xlfn.XLOOKUP(Table6[[#This Row],[Affected WTG]],'Basic Data'!$A:$A,'Basic Data'!$E:$E),"")</f>
        <v>3.846153846153845E-2</v>
      </c>
      <c r="K1270" s="102">
        <v>4970</v>
      </c>
      <c r="L1270" s="35" t="str">
        <f>IFERROR(_xlfn.XLOOKUP(Table6[[#This Row],[Error Code]],'Basic Data'!$AA:$AA,'Basic Data'!$AB:$AB),"Incorrect Error Code")</f>
        <v>Tower oscillation XF</v>
      </c>
      <c r="M1270" s="35" t="s">
        <v>291</v>
      </c>
      <c r="N1270" s="475"/>
      <c r="O1270" s="476">
        <v>0.62569444444444444</v>
      </c>
      <c r="P1270" s="476">
        <v>0.62569444444444444</v>
      </c>
      <c r="Q1270" s="477">
        <v>0.62986111111111109</v>
      </c>
      <c r="R1270" s="472">
        <f>IF(Table6[[#This Row],[Work Start TimeStamp]]="","",(Table6[[#This Row],[Work Start TimeStamp]]-Table6[[#This Row],[Fault Start TimeStamp]])*24)</f>
        <v>0</v>
      </c>
      <c r="S1270" s="472">
        <f>(Table6[[#This Row],[Fault Clearance time]]-Table6[[#This Row],[Work Start TimeStamp]])*24</f>
        <v>9.9999999999999645E-2</v>
      </c>
      <c r="T1270" s="472">
        <f>(Table6[[#This Row],[Fault Clearance time]]-Table6[[#This Row],[Fault Start TimeStamp]])*24</f>
        <v>9.9999999999999645E-2</v>
      </c>
      <c r="U1270" s="35" t="s">
        <v>1924</v>
      </c>
      <c r="V1270" s="102" t="s">
        <v>293</v>
      </c>
      <c r="W1270" s="478">
        <f>IFERROR(Table6[[#This Row],[Breakdown Time]]*Table6[[#This Row],[Plant Equivalent Weightage]],"")</f>
        <v>3.8461538461538312E-3</v>
      </c>
      <c r="X1270" s="473" t="s">
        <v>294</v>
      </c>
      <c r="Y1270" s="474" t="s">
        <v>76</v>
      </c>
      <c r="Z1270" s="102">
        <v>49894</v>
      </c>
      <c r="AA1270" s="468">
        <f>(Table6[[#This Row],[Paired WTG Generation for loss calculation]]/24)*Table6[[#This Row],[Breakdown Time]]</f>
        <v>207.89166666666591</v>
      </c>
      <c r="AB1270" s="102"/>
      <c r="AC1270" s="35"/>
      <c r="AD1270" s="35"/>
    </row>
    <row r="1271" spans="1:30">
      <c r="A1271" s="102">
        <f t="shared" si="20"/>
        <v>1270</v>
      </c>
      <c r="B1271" s="468">
        <f>YEAR(Table6[[#This Row],[Date]])+IF(MONTH(Table6[[#This Row],[Date]])&gt;=4,1,0)</f>
        <v>2026</v>
      </c>
      <c r="C1271" s="102">
        <f>YEAR(Table6[[#This Row],[Date]])</f>
        <v>2025</v>
      </c>
      <c r="D1271" s="102" t="s">
        <v>1992</v>
      </c>
      <c r="E1271" s="469">
        <f>Table6[[#This Row],[Date]]-DAY(Table6[[#This Row],[Date]])+1</f>
        <v>45809</v>
      </c>
      <c r="F1271" s="470">
        <v>45829</v>
      </c>
      <c r="G1271" s="35" t="s">
        <v>84</v>
      </c>
      <c r="H1271" s="35" t="str">
        <f>IFERROR(_xlfn.XLOOKUP(Table6[[#This Row],[Affected WTG]],'Basic Data'!$A:$A,'Basic Data'!$B:$B),"")</f>
        <v>TQGXIIPL</v>
      </c>
      <c r="I1271" s="35" t="str">
        <f>IFERROR(_xlfn.XLOOKUP(Table6[[#This Row],[Affected WTG]],'Basic Data'!$A:$A,'Basic Data'!$C:$C),"")</f>
        <v>GEDA</v>
      </c>
      <c r="J1271" s="471">
        <f>IFERROR(_xlfn.XLOOKUP(Table6[[#This Row],[Affected WTG]],'Basic Data'!$A:$A,'Basic Data'!$E:$E),"")</f>
        <v>3.846153846153845E-2</v>
      </c>
      <c r="K1271" s="102">
        <v>4970</v>
      </c>
      <c r="L1271" s="35" t="str">
        <f>IFERROR(_xlfn.XLOOKUP(Table6[[#This Row],[Error Code]],'Basic Data'!$AA:$AA,'Basic Data'!$AB:$AB),"Incorrect Error Code")</f>
        <v>Tower oscillation XF</v>
      </c>
      <c r="M1271" s="35" t="s">
        <v>291</v>
      </c>
      <c r="N1271" s="475"/>
      <c r="O1271" s="476">
        <v>0.92708333333333337</v>
      </c>
      <c r="P1271" s="476">
        <v>0.92708333333333337</v>
      </c>
      <c r="Q1271" s="477">
        <v>0.93194444444444446</v>
      </c>
      <c r="R1271" s="472">
        <f>IF(Table6[[#This Row],[Work Start TimeStamp]]="","",(Table6[[#This Row],[Work Start TimeStamp]]-Table6[[#This Row],[Fault Start TimeStamp]])*24)</f>
        <v>0</v>
      </c>
      <c r="S1271" s="472">
        <f>(Table6[[#This Row],[Fault Clearance time]]-Table6[[#This Row],[Work Start TimeStamp]])*24</f>
        <v>0.11666666666666625</v>
      </c>
      <c r="T1271" s="472">
        <f>(Table6[[#This Row],[Fault Clearance time]]-Table6[[#This Row],[Fault Start TimeStamp]])*24</f>
        <v>0.11666666666666625</v>
      </c>
      <c r="U1271" s="35" t="s">
        <v>1924</v>
      </c>
      <c r="V1271" s="102" t="s">
        <v>293</v>
      </c>
      <c r="W1271" s="478">
        <f>IFERROR(Table6[[#This Row],[Breakdown Time]]*Table6[[#This Row],[Plant Equivalent Weightage]],"")</f>
        <v>4.4871794871794695E-3</v>
      </c>
      <c r="X1271" s="473" t="s">
        <v>294</v>
      </c>
      <c r="Y1271" s="474" t="s">
        <v>86</v>
      </c>
      <c r="Z1271" s="102">
        <v>49448</v>
      </c>
      <c r="AA1271" s="468">
        <f>(Table6[[#This Row],[Paired WTG Generation for loss calculation]]/24)*Table6[[#This Row],[Breakdown Time]]</f>
        <v>240.37222222222138</v>
      </c>
      <c r="AB1271" s="102"/>
      <c r="AC1271" s="35"/>
      <c r="AD1271" s="35"/>
    </row>
    <row r="1272" spans="1:30">
      <c r="A1272" s="102">
        <f t="shared" si="20"/>
        <v>1271</v>
      </c>
      <c r="B1272" s="468">
        <f>YEAR(Table6[[#This Row],[Date]])+IF(MONTH(Table6[[#This Row],[Date]])&gt;=4,1,0)</f>
        <v>2026</v>
      </c>
      <c r="C1272" s="102">
        <f>YEAR(Table6[[#This Row],[Date]])</f>
        <v>2025</v>
      </c>
      <c r="D1272" s="102" t="s">
        <v>1992</v>
      </c>
      <c r="E1272" s="469">
        <f>Table6[[#This Row],[Date]]-DAY(Table6[[#This Row],[Date]])+1</f>
        <v>45809</v>
      </c>
      <c r="F1272" s="470">
        <v>45829</v>
      </c>
      <c r="G1272" s="35" t="s">
        <v>85</v>
      </c>
      <c r="H1272" s="35" t="str">
        <f>IFERROR(_xlfn.XLOOKUP(Table6[[#This Row],[Affected WTG]],'Basic Data'!$A:$A,'Basic Data'!$B:$B),"")</f>
        <v>TQGXIIPL</v>
      </c>
      <c r="I1272" s="35" t="str">
        <f>IFERROR(_xlfn.XLOOKUP(Table6[[#This Row],[Affected WTG]],'Basic Data'!$A:$A,'Basic Data'!$C:$C),"")</f>
        <v>GEDA</v>
      </c>
      <c r="J1272" s="471">
        <f>IFERROR(_xlfn.XLOOKUP(Table6[[#This Row],[Affected WTG]],'Basic Data'!$A:$A,'Basic Data'!$E:$E),"")</f>
        <v>3.846153846153845E-2</v>
      </c>
      <c r="K1272" s="102">
        <v>55</v>
      </c>
      <c r="L1272" s="35" t="str">
        <f>IFERROR(_xlfn.XLOOKUP(Table6[[#This Row],[Error Code]],'Basic Data'!$AA:$AA,'Basic Data'!$AB:$AB),"Incorrect Error Code")</f>
        <v>WTG shut down</v>
      </c>
      <c r="M1272" s="35" t="s">
        <v>295</v>
      </c>
      <c r="N1272" s="475"/>
      <c r="O1272" s="476">
        <v>0</v>
      </c>
      <c r="P1272" s="476">
        <v>0</v>
      </c>
      <c r="Q1272" s="477">
        <v>0.63888888888888884</v>
      </c>
      <c r="R1272" s="472">
        <f>IF(Table6[[#This Row],[Work Start TimeStamp]]="","",(Table6[[#This Row],[Work Start TimeStamp]]-Table6[[#This Row],[Fault Start TimeStamp]])*24)</f>
        <v>0</v>
      </c>
      <c r="S1272" s="472">
        <f>(Table6[[#This Row],[Fault Clearance time]]-Table6[[#This Row],[Work Start TimeStamp]])*24</f>
        <v>15.333333333333332</v>
      </c>
      <c r="T1272" s="472">
        <f>(Table6[[#This Row],[Fault Clearance time]]-Table6[[#This Row],[Fault Start TimeStamp]])*24</f>
        <v>15.333333333333332</v>
      </c>
      <c r="U1272" s="35" t="s">
        <v>2091</v>
      </c>
      <c r="V1272" s="102" t="s">
        <v>335</v>
      </c>
      <c r="W1272" s="478">
        <f>IFERROR(Table6[[#This Row],[Breakdown Time]]*Table6[[#This Row],[Plant Equivalent Weightage]],"")</f>
        <v>0.58974358974358954</v>
      </c>
      <c r="X1272" s="473" t="s">
        <v>523</v>
      </c>
      <c r="Y1272" s="474" t="s">
        <v>87</v>
      </c>
      <c r="Z1272" s="102">
        <v>48944</v>
      </c>
      <c r="AA1272" s="468">
        <f>(Table6[[#This Row],[Paired WTG Generation for loss calculation]]/24)*Table6[[#This Row],[Breakdown Time]]</f>
        <v>31269.777777777774</v>
      </c>
      <c r="AB1272" s="102"/>
      <c r="AC1272" s="35"/>
      <c r="AD1272" s="35"/>
    </row>
    <row r="1273" spans="1:30">
      <c r="A1273" s="102">
        <f t="shared" si="20"/>
        <v>1272</v>
      </c>
      <c r="B1273" s="468">
        <f>YEAR(Table6[[#This Row],[Date]])+IF(MONTH(Table6[[#This Row],[Date]])&gt;=4,1,0)</f>
        <v>2026</v>
      </c>
      <c r="C1273" s="102">
        <f>YEAR(Table6[[#This Row],[Date]])</f>
        <v>2025</v>
      </c>
      <c r="D1273" s="102" t="s">
        <v>1992</v>
      </c>
      <c r="E1273" s="469">
        <f>Table6[[#This Row],[Date]]-DAY(Table6[[#This Row],[Date]])+1</f>
        <v>45809</v>
      </c>
      <c r="F1273" s="470">
        <v>45829</v>
      </c>
      <c r="G1273" s="35" t="s">
        <v>85</v>
      </c>
      <c r="H1273" s="35" t="str">
        <f>IFERROR(_xlfn.XLOOKUP(Table6[[#This Row],[Affected WTG]],'Basic Data'!$A:$A,'Basic Data'!$B:$B),"")</f>
        <v>TQGXIIPL</v>
      </c>
      <c r="I1273" s="35" t="str">
        <f>IFERROR(_xlfn.XLOOKUP(Table6[[#This Row],[Affected WTG]],'Basic Data'!$A:$A,'Basic Data'!$C:$C),"")</f>
        <v>GEDA</v>
      </c>
      <c r="J1273" s="471">
        <f>IFERROR(_xlfn.XLOOKUP(Table6[[#This Row],[Affected WTG]],'Basic Data'!$A:$A,'Basic Data'!$E:$E),"")</f>
        <v>3.846153846153845E-2</v>
      </c>
      <c r="K1273" s="102">
        <v>55</v>
      </c>
      <c r="L1273" s="35" t="str">
        <f>IFERROR(_xlfn.XLOOKUP(Table6[[#This Row],[Error Code]],'Basic Data'!$AA:$AA,'Basic Data'!$AB:$AB),"Incorrect Error Code")</f>
        <v>WTG shut down</v>
      </c>
      <c r="M1273" s="35" t="s">
        <v>295</v>
      </c>
      <c r="N1273" s="475"/>
      <c r="O1273" s="476">
        <v>0.63888888888888884</v>
      </c>
      <c r="P1273" s="476">
        <v>0.63888888888888884</v>
      </c>
      <c r="Q1273" s="477">
        <v>0.99998842592592596</v>
      </c>
      <c r="R1273" s="472">
        <f>IF(Table6[[#This Row],[Work Start TimeStamp]]="","",(Table6[[#This Row],[Work Start TimeStamp]]-Table6[[#This Row],[Fault Start TimeStamp]])*24)</f>
        <v>0</v>
      </c>
      <c r="S1273" s="472">
        <f>(Table6[[#This Row],[Fault Clearance time]]-Table6[[#This Row],[Work Start TimeStamp]])*24</f>
        <v>8.6663888888888909</v>
      </c>
      <c r="T1273" s="472">
        <f>(Table6[[#This Row],[Fault Clearance time]]-Table6[[#This Row],[Fault Start TimeStamp]])*24</f>
        <v>8.6663888888888909</v>
      </c>
      <c r="U1273" s="35" t="s">
        <v>2091</v>
      </c>
      <c r="V1273" s="102" t="s">
        <v>335</v>
      </c>
      <c r="W1273" s="478">
        <f>IFERROR(Table6[[#This Row],[Breakdown Time]]*Table6[[#This Row],[Plant Equivalent Weightage]],"")</f>
        <v>0.33332264957264957</v>
      </c>
      <c r="X1273" s="473" t="s">
        <v>294</v>
      </c>
      <c r="Y1273" s="474" t="s">
        <v>87</v>
      </c>
      <c r="Z1273" s="102">
        <v>48944</v>
      </c>
      <c r="AA1273" s="468">
        <f>(Table6[[#This Row],[Paired WTG Generation for loss calculation]]/24)*Table6[[#This Row],[Breakdown Time]]</f>
        <v>17673.655740740745</v>
      </c>
      <c r="AB1273" s="102"/>
      <c r="AC1273" s="35"/>
      <c r="AD1273" s="35"/>
    </row>
    <row r="1274" spans="1:30">
      <c r="A1274" s="102">
        <f t="shared" si="20"/>
        <v>1273</v>
      </c>
      <c r="B1274" s="468">
        <f>YEAR(Table6[[#This Row],[Date]])+IF(MONTH(Table6[[#This Row],[Date]])&gt;=4,1,0)</f>
        <v>2026</v>
      </c>
      <c r="C1274" s="102">
        <f>YEAR(Table6[[#This Row],[Date]])</f>
        <v>2025</v>
      </c>
      <c r="D1274" s="102" t="s">
        <v>1992</v>
      </c>
      <c r="E1274" s="469">
        <f>Table6[[#This Row],[Date]]-DAY(Table6[[#This Row],[Date]])+1</f>
        <v>45809</v>
      </c>
      <c r="F1274" s="470">
        <v>45829</v>
      </c>
      <c r="G1274" s="35" t="s">
        <v>88</v>
      </c>
      <c r="H1274" s="35" t="str">
        <f>IFERROR(_xlfn.XLOOKUP(Table6[[#This Row],[Affected WTG]],'Basic Data'!$A:$A,'Basic Data'!$B:$B),"")</f>
        <v>TQGXIIPL</v>
      </c>
      <c r="I1274" s="35" t="str">
        <f>IFERROR(_xlfn.XLOOKUP(Table6[[#This Row],[Affected WTG]],'Basic Data'!$A:$A,'Basic Data'!$C:$C),"")</f>
        <v>GEDA</v>
      </c>
      <c r="J1274" s="471">
        <f>IFERROR(_xlfn.XLOOKUP(Table6[[#This Row],[Affected WTG]],'Basic Data'!$A:$A,'Basic Data'!$E:$E),"")</f>
        <v>3.846153846153845E-2</v>
      </c>
      <c r="K1274" s="102">
        <v>55</v>
      </c>
      <c r="L1274" s="35" t="str">
        <f>IFERROR(_xlfn.XLOOKUP(Table6[[#This Row],[Error Code]],'Basic Data'!$AA:$AA,'Basic Data'!$AB:$AB),"Incorrect Error Code")</f>
        <v>WTG shut down</v>
      </c>
      <c r="M1274" s="35" t="s">
        <v>291</v>
      </c>
      <c r="N1274" s="475"/>
      <c r="O1274" s="476">
        <v>0.47916666666666669</v>
      </c>
      <c r="P1274" s="476">
        <v>0.47916666666666669</v>
      </c>
      <c r="Q1274" s="477">
        <v>0.5131944444444444</v>
      </c>
      <c r="R1274" s="472">
        <f>IF(Table6[[#This Row],[Work Start TimeStamp]]="","",(Table6[[#This Row],[Work Start TimeStamp]]-Table6[[#This Row],[Fault Start TimeStamp]])*24)</f>
        <v>0</v>
      </c>
      <c r="S1274" s="472">
        <f>(Table6[[#This Row],[Fault Clearance time]]-Table6[[#This Row],[Work Start TimeStamp]])*24</f>
        <v>0.8166666666666651</v>
      </c>
      <c r="T1274" s="472">
        <f>(Table6[[#This Row],[Fault Clearance time]]-Table6[[#This Row],[Fault Start TimeStamp]])*24</f>
        <v>0.8166666666666651</v>
      </c>
      <c r="U1274" s="35" t="s">
        <v>2002</v>
      </c>
      <c r="V1274" s="102" t="s">
        <v>293</v>
      </c>
      <c r="W1274" s="478">
        <f>IFERROR(Table6[[#This Row],[Breakdown Time]]*Table6[[#This Row],[Plant Equivalent Weightage]],"")</f>
        <v>3.141025641025634E-2</v>
      </c>
      <c r="X1274" s="473" t="s">
        <v>290</v>
      </c>
      <c r="Y1274" s="474" t="s">
        <v>83</v>
      </c>
      <c r="Z1274" s="102">
        <v>50278</v>
      </c>
      <c r="AA1274" s="468">
        <f>(Table6[[#This Row],[Paired WTG Generation for loss calculation]]/24)*Table6[[#This Row],[Breakdown Time]]</f>
        <v>1710.8486111111076</v>
      </c>
      <c r="AB1274" s="102"/>
      <c r="AC1274" s="35"/>
      <c r="AD1274" s="35"/>
    </row>
    <row r="1275" spans="1:30">
      <c r="A1275" s="102">
        <f t="shared" si="20"/>
        <v>1274</v>
      </c>
      <c r="B1275" s="468">
        <f>YEAR(Table6[[#This Row],[Date]])+IF(MONTH(Table6[[#This Row],[Date]])&gt;=4,1,0)</f>
        <v>2026</v>
      </c>
      <c r="C1275" s="102">
        <f>YEAR(Table6[[#This Row],[Date]])</f>
        <v>2025</v>
      </c>
      <c r="D1275" s="102" t="s">
        <v>1992</v>
      </c>
      <c r="E1275" s="469">
        <f>Table6[[#This Row],[Date]]-DAY(Table6[[#This Row],[Date]])+1</f>
        <v>45809</v>
      </c>
      <c r="F1275" s="470">
        <v>45829</v>
      </c>
      <c r="G1275" s="35" t="s">
        <v>93</v>
      </c>
      <c r="H1275" s="35" t="str">
        <f>IFERROR(_xlfn.XLOOKUP(Table6[[#This Row],[Affected WTG]],'Basic Data'!$A:$A,'Basic Data'!$B:$B),"")</f>
        <v>TQGXIIPL</v>
      </c>
      <c r="I1275" s="35" t="str">
        <f>IFERROR(_xlfn.XLOOKUP(Table6[[#This Row],[Affected WTG]],'Basic Data'!$A:$A,'Basic Data'!$C:$C),"")</f>
        <v>GEDA</v>
      </c>
      <c r="J1275" s="471">
        <f>IFERROR(_xlfn.XLOOKUP(Table6[[#This Row],[Affected WTG]],'Basic Data'!$A:$A,'Basic Data'!$E:$E),"")</f>
        <v>3.846153846153845E-2</v>
      </c>
      <c r="K1275" s="102">
        <v>55</v>
      </c>
      <c r="L1275" s="35" t="str">
        <f>IFERROR(_xlfn.XLOOKUP(Table6[[#This Row],[Error Code]],'Basic Data'!$AA:$AA,'Basic Data'!$AB:$AB),"Incorrect Error Code")</f>
        <v>WTG shut down</v>
      </c>
      <c r="M1275" s="35" t="s">
        <v>291</v>
      </c>
      <c r="N1275" s="475"/>
      <c r="O1275" s="476">
        <v>0.47638888888888886</v>
      </c>
      <c r="P1275" s="476">
        <v>0.47638888888888886</v>
      </c>
      <c r="Q1275" s="477">
        <v>0.51527777777777772</v>
      </c>
      <c r="R1275" s="472">
        <f>IF(Table6[[#This Row],[Work Start TimeStamp]]="","",(Table6[[#This Row],[Work Start TimeStamp]]-Table6[[#This Row],[Fault Start TimeStamp]])*24)</f>
        <v>0</v>
      </c>
      <c r="S1275" s="472">
        <f>(Table6[[#This Row],[Fault Clearance time]]-Table6[[#This Row],[Work Start TimeStamp]])*24</f>
        <v>0.93333333333333268</v>
      </c>
      <c r="T1275" s="472">
        <f>(Table6[[#This Row],[Fault Clearance time]]-Table6[[#This Row],[Fault Start TimeStamp]])*24</f>
        <v>0.93333333333333268</v>
      </c>
      <c r="U1275" s="35" t="s">
        <v>2002</v>
      </c>
      <c r="V1275" s="102" t="s">
        <v>293</v>
      </c>
      <c r="W1275" s="478">
        <f>IFERROR(Table6[[#This Row],[Breakdown Time]]*Table6[[#This Row],[Plant Equivalent Weightage]],"")</f>
        <v>3.589743589743586E-2</v>
      </c>
      <c r="X1275" s="473" t="s">
        <v>290</v>
      </c>
      <c r="Y1275" s="474" t="s">
        <v>97</v>
      </c>
      <c r="Z1275" s="102">
        <v>50597</v>
      </c>
      <c r="AA1275" s="468">
        <f>(Table6[[#This Row],[Paired WTG Generation for loss calculation]]/24)*Table6[[#This Row],[Breakdown Time]]</f>
        <v>1967.6611111111099</v>
      </c>
      <c r="AB1275" s="102"/>
      <c r="AC1275" s="35"/>
      <c r="AD1275" s="35"/>
    </row>
    <row r="1276" spans="1:30" ht="15" customHeight="1">
      <c r="A1276" s="102">
        <f t="shared" si="20"/>
        <v>1275</v>
      </c>
      <c r="B1276" s="468">
        <f>YEAR(Table6[[#This Row],[Date]])+IF(MONTH(Table6[[#This Row],[Date]])&gt;=4,1,0)</f>
        <v>2026</v>
      </c>
      <c r="C1276" s="102">
        <f>YEAR(Table6[[#This Row],[Date]])</f>
        <v>2025</v>
      </c>
      <c r="D1276" s="102" t="s">
        <v>1992</v>
      </c>
      <c r="E1276" s="469">
        <f>Table6[[#This Row],[Date]]-DAY(Table6[[#This Row],[Date]])+1</f>
        <v>45809</v>
      </c>
      <c r="F1276" s="470">
        <v>45829</v>
      </c>
      <c r="G1276" s="35" t="s">
        <v>96</v>
      </c>
      <c r="H1276" s="35" t="str">
        <f>IFERROR(_xlfn.XLOOKUP(Table6[[#This Row],[Affected WTG]],'Basic Data'!$A:$A,'Basic Data'!$B:$B),"")</f>
        <v>TQGXIIPL</v>
      </c>
      <c r="I1276" s="35" t="str">
        <f>IFERROR(_xlfn.XLOOKUP(Table6[[#This Row],[Affected WTG]],'Basic Data'!$A:$A,'Basic Data'!$C:$C),"")</f>
        <v>GEDA</v>
      </c>
      <c r="J1276" s="471">
        <f>IFERROR(_xlfn.XLOOKUP(Table6[[#This Row],[Affected WTG]],'Basic Data'!$A:$A,'Basic Data'!$E:$E),"")</f>
        <v>3.846153846153845E-2</v>
      </c>
      <c r="K1276" s="102">
        <v>55</v>
      </c>
      <c r="L1276" s="35" t="str">
        <f>IFERROR(_xlfn.XLOOKUP(Table6[[#This Row],[Error Code]],'Basic Data'!$AA:$AA,'Basic Data'!$AB:$AB),"Incorrect Error Code")</f>
        <v>WTG shut down</v>
      </c>
      <c r="M1276" s="35" t="s">
        <v>291</v>
      </c>
      <c r="N1276" s="475"/>
      <c r="O1276" s="476">
        <v>0.5444444444444444</v>
      </c>
      <c r="P1276" s="476">
        <v>0.5444444444444444</v>
      </c>
      <c r="Q1276" s="477">
        <v>0.56805555555555554</v>
      </c>
      <c r="R1276" s="472">
        <f>IF(Table6[[#This Row],[Work Start TimeStamp]]="","",(Table6[[#This Row],[Work Start TimeStamp]]-Table6[[#This Row],[Fault Start TimeStamp]])*24)</f>
        <v>0</v>
      </c>
      <c r="S1276" s="472">
        <f>(Table6[[#This Row],[Fault Clearance time]]-Table6[[#This Row],[Work Start TimeStamp]])*24</f>
        <v>0.56666666666666732</v>
      </c>
      <c r="T1276" s="472">
        <f>(Table6[[#This Row],[Fault Clearance time]]-Table6[[#This Row],[Fault Start TimeStamp]])*24</f>
        <v>0.56666666666666732</v>
      </c>
      <c r="U1276" s="35" t="s">
        <v>2002</v>
      </c>
      <c r="V1276" s="102" t="s">
        <v>293</v>
      </c>
      <c r="W1276" s="478">
        <f>IFERROR(Table6[[#This Row],[Breakdown Time]]*Table6[[#This Row],[Plant Equivalent Weightage]],"")</f>
        <v>2.1794871794871815E-2</v>
      </c>
      <c r="X1276" s="473" t="s">
        <v>290</v>
      </c>
      <c r="Y1276" s="474" t="s">
        <v>84</v>
      </c>
      <c r="Z1276" s="102">
        <v>47808</v>
      </c>
      <c r="AA1276" s="468">
        <f>(Table6[[#This Row],[Paired WTG Generation for loss calculation]]/24)*Table6[[#This Row],[Breakdown Time]]</f>
        <v>1128.8000000000013</v>
      </c>
      <c r="AB1276" s="102"/>
      <c r="AC1276" s="35"/>
      <c r="AD1276" s="35"/>
    </row>
    <row r="1277" spans="1:30">
      <c r="A1277" s="102">
        <f t="shared" si="20"/>
        <v>1276</v>
      </c>
      <c r="B1277" s="468">
        <f>YEAR(Table6[[#This Row],[Date]])+IF(MONTH(Table6[[#This Row],[Date]])&gt;=4,1,0)</f>
        <v>2026</v>
      </c>
      <c r="C1277" s="102">
        <f>YEAR(Table6[[#This Row],[Date]])</f>
        <v>2025</v>
      </c>
      <c r="D1277" s="102" t="s">
        <v>1992</v>
      </c>
      <c r="E1277" s="469">
        <f>Table6[[#This Row],[Date]]-DAY(Table6[[#This Row],[Date]])+1</f>
        <v>45809</v>
      </c>
      <c r="F1277" s="470">
        <v>45830</v>
      </c>
      <c r="G1277" s="35" t="s">
        <v>74</v>
      </c>
      <c r="H1277" s="35" t="str">
        <f>IFERROR(_xlfn.XLOOKUP(Table6[[#This Row],[Affected WTG]],'Basic Data'!$A:$A,'Basic Data'!$B:$B),"")</f>
        <v>TQGXIIPL</v>
      </c>
      <c r="I1277" s="35" t="str">
        <f>IFERROR(_xlfn.XLOOKUP(Table6[[#This Row],[Affected WTG]],'Basic Data'!$A:$A,'Basic Data'!$C:$C),"")</f>
        <v>GEDA</v>
      </c>
      <c r="J1277" s="471">
        <f>IFERROR(_xlfn.XLOOKUP(Table6[[#This Row],[Affected WTG]],'Basic Data'!$A:$A,'Basic Data'!$E:$E),"")</f>
        <v>3.846153846153845E-2</v>
      </c>
      <c r="K1277" s="102">
        <v>6130</v>
      </c>
      <c r="L1277" s="35" t="str">
        <f>IFERROR(_xlfn.XLOOKUP(Table6[[#This Row],[Error Code]],'Basic Data'!$AA:$AA,'Basic Data'!$AB:$AB),"Incorrect Error Code")</f>
        <v>Yaw speed high</v>
      </c>
      <c r="M1277" s="35" t="s">
        <v>291</v>
      </c>
      <c r="N1277" s="475"/>
      <c r="O1277" s="476">
        <v>0.24722222222222223</v>
      </c>
      <c r="P1277" s="476">
        <v>0.24722222222222223</v>
      </c>
      <c r="Q1277" s="477">
        <v>0.25138888888888888</v>
      </c>
      <c r="R1277" s="472">
        <f>IF(Table6[[#This Row],[Work Start TimeStamp]]="","",(Table6[[#This Row],[Work Start TimeStamp]]-Table6[[#This Row],[Fault Start TimeStamp]])*24)</f>
        <v>0</v>
      </c>
      <c r="S1277" s="472">
        <f>(Table6[[#This Row],[Fault Clearance time]]-Table6[[#This Row],[Work Start TimeStamp]])*24</f>
        <v>9.9999999999999645E-2</v>
      </c>
      <c r="T1277" s="472">
        <f>(Table6[[#This Row],[Fault Clearance time]]-Table6[[#This Row],[Fault Start TimeStamp]])*24</f>
        <v>9.9999999999999645E-2</v>
      </c>
      <c r="U1277" s="35" t="s">
        <v>1924</v>
      </c>
      <c r="V1277" s="102" t="s">
        <v>293</v>
      </c>
      <c r="W1277" s="478">
        <f>IFERROR(Table6[[#This Row],[Breakdown Time]]*Table6[[#This Row],[Plant Equivalent Weightage]],"")</f>
        <v>3.8461538461538312E-3</v>
      </c>
      <c r="X1277" s="473" t="s">
        <v>294</v>
      </c>
      <c r="Y1277" s="474" t="s">
        <v>99</v>
      </c>
      <c r="Z1277" s="102">
        <v>31309</v>
      </c>
      <c r="AA1277" s="468">
        <f>(Table6[[#This Row],[Paired WTG Generation for loss calculation]]/24)*Table6[[#This Row],[Breakdown Time]]</f>
        <v>130.4541666666662</v>
      </c>
      <c r="AB1277" s="102"/>
      <c r="AC1277" s="35"/>
      <c r="AD1277" s="35"/>
    </row>
    <row r="1278" spans="1:30">
      <c r="A1278" s="102">
        <f t="shared" si="20"/>
        <v>1277</v>
      </c>
      <c r="B1278" s="468">
        <f>YEAR(Table6[[#This Row],[Date]])+IF(MONTH(Table6[[#This Row],[Date]])&gt;=4,1,0)</f>
        <v>2026</v>
      </c>
      <c r="C1278" s="102">
        <f>YEAR(Table6[[#This Row],[Date]])</f>
        <v>2025</v>
      </c>
      <c r="D1278" s="102" t="s">
        <v>1992</v>
      </c>
      <c r="E1278" s="469">
        <f>Table6[[#This Row],[Date]]-DAY(Table6[[#This Row],[Date]])+1</f>
        <v>45809</v>
      </c>
      <c r="F1278" s="470">
        <v>45830</v>
      </c>
      <c r="G1278" s="35" t="s">
        <v>78</v>
      </c>
      <c r="H1278" s="35" t="str">
        <f>IFERROR(_xlfn.XLOOKUP(Table6[[#This Row],[Affected WTG]],'Basic Data'!$A:$A,'Basic Data'!$B:$B),"")</f>
        <v>TQGXIIPL</v>
      </c>
      <c r="I1278" s="35" t="str">
        <f>IFERROR(_xlfn.XLOOKUP(Table6[[#This Row],[Affected WTG]],'Basic Data'!$A:$A,'Basic Data'!$C:$C),"")</f>
        <v>GEDA</v>
      </c>
      <c r="J1278" s="471">
        <f>IFERROR(_xlfn.XLOOKUP(Table6[[#This Row],[Affected WTG]],'Basic Data'!$A:$A,'Basic Data'!$E:$E),"")</f>
        <v>3.846153846153845E-2</v>
      </c>
      <c r="K1278" s="102">
        <v>3000</v>
      </c>
      <c r="L1278" s="35" t="str">
        <f>IFERROR(_xlfn.XLOOKUP(Table6[[#This Row],[Error Code]],'Basic Data'!$AA:$AA,'Basic Data'!$AB:$AB),"Incorrect Error Code")</f>
        <v>Frequency converter not ready</v>
      </c>
      <c r="M1278" s="35" t="s">
        <v>291</v>
      </c>
      <c r="N1278" s="475"/>
      <c r="O1278" s="476">
        <v>0.31944444444444442</v>
      </c>
      <c r="P1278" s="476">
        <v>0.31944444444444442</v>
      </c>
      <c r="Q1278" s="477">
        <v>0.3215277777777778</v>
      </c>
      <c r="R1278" s="472">
        <f>IF(Table6[[#This Row],[Work Start TimeStamp]]="","",(Table6[[#This Row],[Work Start TimeStamp]]-Table6[[#This Row],[Fault Start TimeStamp]])*24)</f>
        <v>0</v>
      </c>
      <c r="S1278" s="472">
        <f>(Table6[[#This Row],[Fault Clearance time]]-Table6[[#This Row],[Work Start TimeStamp]])*24</f>
        <v>5.0000000000001155E-2</v>
      </c>
      <c r="T1278" s="472">
        <f>(Table6[[#This Row],[Fault Clearance time]]-Table6[[#This Row],[Fault Start TimeStamp]])*24</f>
        <v>5.0000000000001155E-2</v>
      </c>
      <c r="U1278" s="35" t="s">
        <v>1924</v>
      </c>
      <c r="V1278" s="102" t="s">
        <v>293</v>
      </c>
      <c r="W1278" s="478">
        <f>IFERROR(Table6[[#This Row],[Breakdown Time]]*Table6[[#This Row],[Plant Equivalent Weightage]],"")</f>
        <v>1.923076923076967E-3</v>
      </c>
      <c r="X1278" s="473" t="s">
        <v>294</v>
      </c>
      <c r="Y1278" s="474" t="s">
        <v>75</v>
      </c>
      <c r="Z1278" s="102">
        <v>32913</v>
      </c>
      <c r="AA1278" s="468">
        <f>(Table6[[#This Row],[Paired WTG Generation for loss calculation]]/24)*Table6[[#This Row],[Breakdown Time]]</f>
        <v>68.568750000001586</v>
      </c>
      <c r="AB1278" s="102"/>
      <c r="AC1278" s="35"/>
      <c r="AD1278" s="35"/>
    </row>
    <row r="1279" spans="1:30">
      <c r="A1279" s="102">
        <f t="shared" si="20"/>
        <v>1278</v>
      </c>
      <c r="B1279" s="468">
        <f>YEAR(Table6[[#This Row],[Date]])+IF(MONTH(Table6[[#This Row],[Date]])&gt;=4,1,0)</f>
        <v>2026</v>
      </c>
      <c r="C1279" s="102">
        <f>YEAR(Table6[[#This Row],[Date]])</f>
        <v>2025</v>
      </c>
      <c r="D1279" s="102" t="s">
        <v>1992</v>
      </c>
      <c r="E1279" s="469">
        <f>Table6[[#This Row],[Date]]-DAY(Table6[[#This Row],[Date]])+1</f>
        <v>45809</v>
      </c>
      <c r="F1279" s="470">
        <v>45830</v>
      </c>
      <c r="G1279" s="35" t="s">
        <v>85</v>
      </c>
      <c r="H1279" s="35" t="str">
        <f>IFERROR(_xlfn.XLOOKUP(Table6[[#This Row],[Affected WTG]],'Basic Data'!$A:$A,'Basic Data'!$B:$B),"")</f>
        <v>TQGXIIPL</v>
      </c>
      <c r="I1279" s="35" t="str">
        <f>IFERROR(_xlfn.XLOOKUP(Table6[[#This Row],[Affected WTG]],'Basic Data'!$A:$A,'Basic Data'!$C:$C),"")</f>
        <v>GEDA</v>
      </c>
      <c r="J1279" s="471">
        <f>IFERROR(_xlfn.XLOOKUP(Table6[[#This Row],[Affected WTG]],'Basic Data'!$A:$A,'Basic Data'!$E:$E),"")</f>
        <v>3.846153846153845E-2</v>
      </c>
      <c r="K1279" s="102">
        <v>55</v>
      </c>
      <c r="L1279" s="35" t="str">
        <f>IFERROR(_xlfn.XLOOKUP(Table6[[#This Row],[Error Code]],'Basic Data'!$AA:$AA,'Basic Data'!$AB:$AB),"Incorrect Error Code")</f>
        <v>WTG shut down</v>
      </c>
      <c r="M1279" s="35" t="s">
        <v>297</v>
      </c>
      <c r="N1279" s="475"/>
      <c r="O1279" s="476">
        <v>0</v>
      </c>
      <c r="P1279" s="476">
        <v>0</v>
      </c>
      <c r="Q1279" s="477">
        <v>0.33333333333333331</v>
      </c>
      <c r="R1279" s="472">
        <f>IF(Table6[[#This Row],[Work Start TimeStamp]]="","",(Table6[[#This Row],[Work Start TimeStamp]]-Table6[[#This Row],[Fault Start TimeStamp]])*24)</f>
        <v>0</v>
      </c>
      <c r="S1279" s="472">
        <f>(Table6[[#This Row],[Fault Clearance time]]-Table6[[#This Row],[Work Start TimeStamp]])*24</f>
        <v>8</v>
      </c>
      <c r="T1279" s="472">
        <f>(Table6[[#This Row],[Fault Clearance time]]-Table6[[#This Row],[Fault Start TimeStamp]])*24</f>
        <v>8</v>
      </c>
      <c r="U1279" s="35" t="s">
        <v>2091</v>
      </c>
      <c r="V1279" s="102" t="s">
        <v>335</v>
      </c>
      <c r="W1279" s="478">
        <f>IFERROR(Table6[[#This Row],[Breakdown Time]]*Table6[[#This Row],[Plant Equivalent Weightage]],"")</f>
        <v>0.3076923076923076</v>
      </c>
      <c r="X1279" s="473" t="s">
        <v>526</v>
      </c>
      <c r="Y1279" s="474" t="s">
        <v>87</v>
      </c>
      <c r="Z1279" s="102">
        <v>31473</v>
      </c>
      <c r="AA1279" s="468">
        <f>(Table6[[#This Row],[Paired WTG Generation for loss calculation]]/24)*Table6[[#This Row],[Breakdown Time]]</f>
        <v>10491</v>
      </c>
      <c r="AB1279" s="102"/>
      <c r="AC1279" s="35"/>
      <c r="AD1279" s="35"/>
    </row>
    <row r="1280" spans="1:30">
      <c r="A1280" s="102">
        <f t="shared" si="20"/>
        <v>1279</v>
      </c>
      <c r="B1280" s="468">
        <f>YEAR(Table6[[#This Row],[Date]])+IF(MONTH(Table6[[#This Row],[Date]])&gt;=4,1,0)</f>
        <v>2026</v>
      </c>
      <c r="C1280" s="102">
        <f>YEAR(Table6[[#This Row],[Date]])</f>
        <v>2025</v>
      </c>
      <c r="D1280" s="102" t="s">
        <v>1992</v>
      </c>
      <c r="E1280" s="469">
        <f>Table6[[#This Row],[Date]]-DAY(Table6[[#This Row],[Date]])+1</f>
        <v>45809</v>
      </c>
      <c r="F1280" s="470">
        <v>45830</v>
      </c>
      <c r="G1280" s="35" t="s">
        <v>85</v>
      </c>
      <c r="H1280" s="35" t="str">
        <f>IFERROR(_xlfn.XLOOKUP(Table6[[#This Row],[Affected WTG]],'Basic Data'!$A:$A,'Basic Data'!$B:$B),"")</f>
        <v>TQGXIIPL</v>
      </c>
      <c r="I1280" s="35" t="str">
        <f>IFERROR(_xlfn.XLOOKUP(Table6[[#This Row],[Affected WTG]],'Basic Data'!$A:$A,'Basic Data'!$C:$C),"")</f>
        <v>GEDA</v>
      </c>
      <c r="J1280" s="471">
        <f>IFERROR(_xlfn.XLOOKUP(Table6[[#This Row],[Affected WTG]],'Basic Data'!$A:$A,'Basic Data'!$E:$E),"")</f>
        <v>3.846153846153845E-2</v>
      </c>
      <c r="K1280" s="102">
        <v>55</v>
      </c>
      <c r="L1280" s="35" t="str">
        <f>IFERROR(_xlfn.XLOOKUP(Table6[[#This Row],[Error Code]],'Basic Data'!$AA:$AA,'Basic Data'!$AB:$AB),"Incorrect Error Code")</f>
        <v>WTG shut down</v>
      </c>
      <c r="M1280" s="35" t="s">
        <v>297</v>
      </c>
      <c r="N1280" s="475"/>
      <c r="O1280" s="476">
        <v>0.33333333333333331</v>
      </c>
      <c r="P1280" s="476">
        <v>0.33333333333333331</v>
      </c>
      <c r="Q1280" s="477">
        <v>0.99998842592592596</v>
      </c>
      <c r="R1280" s="472">
        <f>IF(Table6[[#This Row],[Work Start TimeStamp]]="","",(Table6[[#This Row],[Work Start TimeStamp]]-Table6[[#This Row],[Fault Start TimeStamp]])*24)</f>
        <v>0</v>
      </c>
      <c r="S1280" s="472">
        <f>(Table6[[#This Row],[Fault Clearance time]]-Table6[[#This Row],[Work Start TimeStamp]])*24</f>
        <v>15.999722222222225</v>
      </c>
      <c r="T1280" s="472">
        <f>(Table6[[#This Row],[Fault Clearance time]]-Table6[[#This Row],[Fault Start TimeStamp]])*24</f>
        <v>15.999722222222225</v>
      </c>
      <c r="U1280" s="35" t="s">
        <v>2091</v>
      </c>
      <c r="V1280" s="102" t="s">
        <v>335</v>
      </c>
      <c r="W1280" s="478">
        <f>IFERROR(Table6[[#This Row],[Breakdown Time]]*Table6[[#This Row],[Plant Equivalent Weightage]],"")</f>
        <v>0.6153739316239315</v>
      </c>
      <c r="X1280" s="473" t="s">
        <v>294</v>
      </c>
      <c r="Y1280" s="474" t="s">
        <v>87</v>
      </c>
      <c r="Z1280" s="102">
        <v>31473</v>
      </c>
      <c r="AA1280" s="468">
        <f>(Table6[[#This Row],[Paired WTG Generation for loss calculation]]/24)*Table6[[#This Row],[Breakdown Time]]</f>
        <v>20981.635729166672</v>
      </c>
      <c r="AB1280" s="102"/>
      <c r="AC1280" s="35"/>
      <c r="AD1280" s="35"/>
    </row>
    <row r="1281" spans="1:30">
      <c r="A1281" s="102">
        <f t="shared" si="20"/>
        <v>1280</v>
      </c>
      <c r="B1281" s="468">
        <f>YEAR(Table6[[#This Row],[Date]])+IF(MONTH(Table6[[#This Row],[Date]])&gt;=4,1,0)</f>
        <v>2026</v>
      </c>
      <c r="C1281" s="102">
        <f>YEAR(Table6[[#This Row],[Date]])</f>
        <v>2025</v>
      </c>
      <c r="D1281" s="102" t="s">
        <v>1992</v>
      </c>
      <c r="E1281" s="469">
        <f>Table6[[#This Row],[Date]]-DAY(Table6[[#This Row],[Date]])+1</f>
        <v>45809</v>
      </c>
      <c r="F1281" s="470">
        <v>45830</v>
      </c>
      <c r="G1281" s="35" t="s">
        <v>91</v>
      </c>
      <c r="H1281" s="35" t="str">
        <f>IFERROR(_xlfn.XLOOKUP(Table6[[#This Row],[Affected WTG]],'Basic Data'!$A:$A,'Basic Data'!$B:$B),"")</f>
        <v>TQGXIIPL</v>
      </c>
      <c r="I1281" s="35" t="str">
        <f>IFERROR(_xlfn.XLOOKUP(Table6[[#This Row],[Affected WTG]],'Basic Data'!$A:$A,'Basic Data'!$C:$C),"")</f>
        <v>GEDA</v>
      </c>
      <c r="J1281" s="471">
        <f>IFERROR(_xlfn.XLOOKUP(Table6[[#This Row],[Affected WTG]],'Basic Data'!$A:$A,'Basic Data'!$E:$E),"")</f>
        <v>3.846153846153845E-2</v>
      </c>
      <c r="K1281" s="102">
        <v>1316</v>
      </c>
      <c r="L1281" s="35" t="str">
        <f>IFERROR(_xlfn.XLOOKUP(Table6[[#This Row],[Error Code]],'Basic Data'!$AA:$AA,'Basic Data'!$AB:$AB),"Incorrect Error Code")</f>
        <v>Timeout fault rotor bear. lubr.</v>
      </c>
      <c r="M1281" s="35" t="s">
        <v>291</v>
      </c>
      <c r="N1281" s="475"/>
      <c r="O1281" s="476">
        <v>0.25972222222222224</v>
      </c>
      <c r="P1281" s="476">
        <v>0.25972222222222224</v>
      </c>
      <c r="Q1281" s="477">
        <v>0.27500000000000002</v>
      </c>
      <c r="R1281" s="472">
        <f>IF(Table6[[#This Row],[Work Start TimeStamp]]="","",(Table6[[#This Row],[Work Start TimeStamp]]-Table6[[#This Row],[Fault Start TimeStamp]])*24)</f>
        <v>0</v>
      </c>
      <c r="S1281" s="472">
        <f>(Table6[[#This Row],[Fault Clearance time]]-Table6[[#This Row],[Work Start TimeStamp]])*24</f>
        <v>0.3666666666666667</v>
      </c>
      <c r="T1281" s="472">
        <f>(Table6[[#This Row],[Fault Clearance time]]-Table6[[#This Row],[Fault Start TimeStamp]])*24</f>
        <v>0.3666666666666667</v>
      </c>
      <c r="U1281" s="35" t="s">
        <v>2003</v>
      </c>
      <c r="V1281" s="102" t="s">
        <v>293</v>
      </c>
      <c r="W1281" s="478">
        <f>IFERROR(Table6[[#This Row],[Breakdown Time]]*Table6[[#This Row],[Plant Equivalent Weightage]],"")</f>
        <v>1.4102564102564099E-2</v>
      </c>
      <c r="X1281" s="473" t="s">
        <v>294</v>
      </c>
      <c r="Y1281" s="474" t="s">
        <v>79</v>
      </c>
      <c r="Z1281" s="102">
        <v>28395</v>
      </c>
      <c r="AA1281" s="468">
        <f>(Table6[[#This Row],[Paired WTG Generation for loss calculation]]/24)*Table6[[#This Row],[Breakdown Time]]</f>
        <v>433.81250000000006</v>
      </c>
      <c r="AB1281" s="102"/>
      <c r="AC1281" s="35"/>
      <c r="AD1281" s="35"/>
    </row>
    <row r="1282" spans="1:30">
      <c r="A1282" s="102">
        <f t="shared" si="20"/>
        <v>1281</v>
      </c>
      <c r="B1282" s="468">
        <f>YEAR(Table6[[#This Row],[Date]])+IF(MONTH(Table6[[#This Row],[Date]])&gt;=4,1,0)</f>
        <v>2026</v>
      </c>
      <c r="C1282" s="102">
        <f>YEAR(Table6[[#This Row],[Date]])</f>
        <v>2025</v>
      </c>
      <c r="D1282" s="102" t="s">
        <v>1992</v>
      </c>
      <c r="E1282" s="469">
        <f>Table6[[#This Row],[Date]]-DAY(Table6[[#This Row],[Date]])+1</f>
        <v>45809</v>
      </c>
      <c r="F1282" s="470">
        <v>45830</v>
      </c>
      <c r="G1282" s="35" t="s">
        <v>91</v>
      </c>
      <c r="H1282" s="35" t="str">
        <f>IFERROR(_xlfn.XLOOKUP(Table6[[#This Row],[Affected WTG]],'Basic Data'!$A:$A,'Basic Data'!$B:$B),"")</f>
        <v>TQGXIIPL</v>
      </c>
      <c r="I1282" s="35" t="str">
        <f>IFERROR(_xlfn.XLOOKUP(Table6[[#This Row],[Affected WTG]],'Basic Data'!$A:$A,'Basic Data'!$C:$C),"")</f>
        <v>GEDA</v>
      </c>
      <c r="J1282" s="471">
        <f>IFERROR(_xlfn.XLOOKUP(Table6[[#This Row],[Affected WTG]],'Basic Data'!$A:$A,'Basic Data'!$E:$E),"")</f>
        <v>3.846153846153845E-2</v>
      </c>
      <c r="K1282" s="102">
        <v>1316</v>
      </c>
      <c r="L1282" s="35" t="str">
        <f>IFERROR(_xlfn.XLOOKUP(Table6[[#This Row],[Error Code]],'Basic Data'!$AA:$AA,'Basic Data'!$AB:$AB),"Incorrect Error Code")</f>
        <v>Timeout fault rotor bear. lubr.</v>
      </c>
      <c r="M1282" s="35" t="s">
        <v>291</v>
      </c>
      <c r="N1282" s="475"/>
      <c r="O1282" s="476">
        <v>0.8569444444444444</v>
      </c>
      <c r="P1282" s="476">
        <v>0.8569444444444444</v>
      </c>
      <c r="Q1282" s="477">
        <v>0.86319444444444449</v>
      </c>
      <c r="R1282" s="472">
        <f>IF(Table6[[#This Row],[Work Start TimeStamp]]="","",(Table6[[#This Row],[Work Start TimeStamp]]-Table6[[#This Row],[Fault Start TimeStamp]])*24)</f>
        <v>0</v>
      </c>
      <c r="S1282" s="472">
        <f>(Table6[[#This Row],[Fault Clearance time]]-Table6[[#This Row],[Work Start TimeStamp]])*24</f>
        <v>0.15000000000000213</v>
      </c>
      <c r="T1282" s="472">
        <f>(Table6[[#This Row],[Fault Clearance time]]-Table6[[#This Row],[Fault Start TimeStamp]])*24</f>
        <v>0.15000000000000213</v>
      </c>
      <c r="U1282" s="35" t="s">
        <v>2003</v>
      </c>
      <c r="V1282" s="102" t="s">
        <v>293</v>
      </c>
      <c r="W1282" s="478">
        <f>IFERROR(Table6[[#This Row],[Breakdown Time]]*Table6[[#This Row],[Plant Equivalent Weightage]],"")</f>
        <v>5.7692307692308493E-3</v>
      </c>
      <c r="X1282" s="473" t="s">
        <v>294</v>
      </c>
      <c r="Y1282" s="474" t="s">
        <v>79</v>
      </c>
      <c r="Z1282" s="102">
        <v>28395</v>
      </c>
      <c r="AA1282" s="468">
        <f>(Table6[[#This Row],[Paired WTG Generation for loss calculation]]/24)*Table6[[#This Row],[Breakdown Time]]</f>
        <v>177.46875000000253</v>
      </c>
      <c r="AB1282" s="102"/>
      <c r="AC1282" s="35"/>
      <c r="AD1282" s="35"/>
    </row>
    <row r="1283" spans="1:30">
      <c r="A1283" s="102">
        <f t="shared" si="20"/>
        <v>1282</v>
      </c>
      <c r="B1283" s="468">
        <f>YEAR(Table6[[#This Row],[Date]])+IF(MONTH(Table6[[#This Row],[Date]])&gt;=4,1,0)</f>
        <v>2026</v>
      </c>
      <c r="C1283" s="102">
        <f>YEAR(Table6[[#This Row],[Date]])</f>
        <v>2025</v>
      </c>
      <c r="D1283" s="102" t="s">
        <v>1992</v>
      </c>
      <c r="E1283" s="469">
        <f>Table6[[#This Row],[Date]]-DAY(Table6[[#This Row],[Date]])+1</f>
        <v>45809</v>
      </c>
      <c r="F1283" s="470">
        <v>45830</v>
      </c>
      <c r="G1283" s="35" t="s">
        <v>92</v>
      </c>
      <c r="H1283" s="35" t="str">
        <f>IFERROR(_xlfn.XLOOKUP(Table6[[#This Row],[Affected WTG]],'Basic Data'!$A:$A,'Basic Data'!$B:$B),"")</f>
        <v>TQGXIIPL</v>
      </c>
      <c r="I1283" s="35" t="str">
        <f>IFERROR(_xlfn.XLOOKUP(Table6[[#This Row],[Affected WTG]],'Basic Data'!$A:$A,'Basic Data'!$C:$C),"")</f>
        <v>GEDA</v>
      </c>
      <c r="J1283" s="471">
        <f>IFERROR(_xlfn.XLOOKUP(Table6[[#This Row],[Affected WTG]],'Basic Data'!$A:$A,'Basic Data'!$E:$E),"")</f>
        <v>3.846153846153845E-2</v>
      </c>
      <c r="K1283" s="102">
        <v>55</v>
      </c>
      <c r="L1283" s="35" t="str">
        <f>IFERROR(_xlfn.XLOOKUP(Table6[[#This Row],[Error Code]],'Basic Data'!$AA:$AA,'Basic Data'!$AB:$AB),"Incorrect Error Code")</f>
        <v>WTG shut down</v>
      </c>
      <c r="M1283" s="35" t="s">
        <v>291</v>
      </c>
      <c r="N1283" s="475"/>
      <c r="O1283" s="476">
        <v>0.76388888888888884</v>
      </c>
      <c r="P1283" s="476">
        <v>0.76388888888888884</v>
      </c>
      <c r="Q1283" s="477">
        <v>0.80277777777777781</v>
      </c>
      <c r="R1283" s="472">
        <f>IF(Table6[[#This Row],[Work Start TimeStamp]]="","",(Table6[[#This Row],[Work Start TimeStamp]]-Table6[[#This Row],[Fault Start TimeStamp]])*24)</f>
        <v>0</v>
      </c>
      <c r="S1283" s="472">
        <f>(Table6[[#This Row],[Fault Clearance time]]-Table6[[#This Row],[Work Start TimeStamp]])*24</f>
        <v>0.93333333333333535</v>
      </c>
      <c r="T1283" s="472">
        <f>(Table6[[#This Row],[Fault Clearance time]]-Table6[[#This Row],[Fault Start TimeStamp]])*24</f>
        <v>0.93333333333333535</v>
      </c>
      <c r="U1283" s="35" t="s">
        <v>2004</v>
      </c>
      <c r="V1283" s="102" t="s">
        <v>293</v>
      </c>
      <c r="W1283" s="478">
        <f>IFERROR(Table6[[#This Row],[Breakdown Time]]*Table6[[#This Row],[Plant Equivalent Weightage]],"")</f>
        <v>3.5897435897435964E-2</v>
      </c>
      <c r="X1283" s="473" t="s">
        <v>294</v>
      </c>
      <c r="Y1283" s="474" t="s">
        <v>80</v>
      </c>
      <c r="Z1283" s="102">
        <v>25670</v>
      </c>
      <c r="AA1283" s="468">
        <f>(Table6[[#This Row],[Paired WTG Generation for loss calculation]]/24)*Table6[[#This Row],[Breakdown Time]]</f>
        <v>998.27777777777987</v>
      </c>
      <c r="AB1283" s="102"/>
      <c r="AC1283" s="35"/>
      <c r="AD1283" s="35"/>
    </row>
    <row r="1284" spans="1:30">
      <c r="A1284" s="102">
        <f t="shared" si="20"/>
        <v>1283</v>
      </c>
      <c r="B1284" s="468">
        <f>YEAR(Table6[[#This Row],[Date]])+IF(MONTH(Table6[[#This Row],[Date]])&gt;=4,1,0)</f>
        <v>2026</v>
      </c>
      <c r="C1284" s="102">
        <f>YEAR(Table6[[#This Row],[Date]])</f>
        <v>2025</v>
      </c>
      <c r="D1284" s="102" t="s">
        <v>1992</v>
      </c>
      <c r="E1284" s="469">
        <f>Table6[[#This Row],[Date]]-DAY(Table6[[#This Row],[Date]])+1</f>
        <v>45809</v>
      </c>
      <c r="F1284" s="470">
        <v>45830</v>
      </c>
      <c r="G1284" s="35" t="s">
        <v>95</v>
      </c>
      <c r="H1284" s="35" t="str">
        <f>IFERROR(_xlfn.XLOOKUP(Table6[[#This Row],[Affected WTG]],'Basic Data'!$A:$A,'Basic Data'!$B:$B),"")</f>
        <v>TQGXIIPL</v>
      </c>
      <c r="I1284" s="35" t="str">
        <f>IFERROR(_xlfn.XLOOKUP(Table6[[#This Row],[Affected WTG]],'Basic Data'!$A:$A,'Basic Data'!$C:$C),"")</f>
        <v>GEDA</v>
      </c>
      <c r="J1284" s="471">
        <f>IFERROR(_xlfn.XLOOKUP(Table6[[#This Row],[Affected WTG]],'Basic Data'!$A:$A,'Basic Data'!$E:$E),"")</f>
        <v>3.846153846153845E-2</v>
      </c>
      <c r="K1284" s="102">
        <v>665</v>
      </c>
      <c r="L1284" s="35" t="str">
        <f>IFERROR(_xlfn.XLOOKUP(Table6[[#This Row],[Error Code]],'Basic Data'!$AA:$AA,'Basic Data'!$AB:$AB),"Incorrect Error Code")</f>
        <v>Pitch error</v>
      </c>
      <c r="M1284" s="35" t="s">
        <v>291</v>
      </c>
      <c r="N1284" s="475"/>
      <c r="O1284" s="476">
        <v>0.7583333333333333</v>
      </c>
      <c r="P1284" s="476">
        <v>0.7583333333333333</v>
      </c>
      <c r="Q1284" s="477">
        <v>0.76041666666666663</v>
      </c>
      <c r="R1284" s="472">
        <f>IF(Table6[[#This Row],[Work Start TimeStamp]]="","",(Table6[[#This Row],[Work Start TimeStamp]]-Table6[[#This Row],[Fault Start TimeStamp]])*24)</f>
        <v>0</v>
      </c>
      <c r="S1284" s="472">
        <f>(Table6[[#This Row],[Fault Clearance time]]-Table6[[#This Row],[Work Start TimeStamp]])*24</f>
        <v>4.9999999999999822E-2</v>
      </c>
      <c r="T1284" s="472">
        <f>(Table6[[#This Row],[Fault Clearance time]]-Table6[[#This Row],[Fault Start TimeStamp]])*24</f>
        <v>4.9999999999999822E-2</v>
      </c>
      <c r="U1284" s="35" t="s">
        <v>1924</v>
      </c>
      <c r="V1284" s="102" t="s">
        <v>293</v>
      </c>
      <c r="W1284" s="478">
        <f>IFERROR(Table6[[#This Row],[Breakdown Time]]*Table6[[#This Row],[Plant Equivalent Weightage]],"")</f>
        <v>1.9230769230769156E-3</v>
      </c>
      <c r="X1284" s="473" t="s">
        <v>294</v>
      </c>
      <c r="Y1284" s="474" t="s">
        <v>79</v>
      </c>
      <c r="Z1284" s="102">
        <v>28395</v>
      </c>
      <c r="AA1284" s="468">
        <f>(Table6[[#This Row],[Paired WTG Generation for loss calculation]]/24)*Table6[[#This Row],[Breakdown Time]]</f>
        <v>59.156249999999787</v>
      </c>
      <c r="AB1284" s="102"/>
      <c r="AC1284" s="35"/>
      <c r="AD1284" s="35"/>
    </row>
    <row r="1285" spans="1:30">
      <c r="A1285" s="102">
        <f t="shared" si="20"/>
        <v>1284</v>
      </c>
      <c r="B1285" s="468">
        <f>YEAR(Table6[[#This Row],[Date]])+IF(MONTH(Table6[[#This Row],[Date]])&gt;=4,1,0)</f>
        <v>2026</v>
      </c>
      <c r="C1285" s="102">
        <f>YEAR(Table6[[#This Row],[Date]])</f>
        <v>2025</v>
      </c>
      <c r="D1285" s="102" t="s">
        <v>1992</v>
      </c>
      <c r="E1285" s="469">
        <f>Table6[[#This Row],[Date]]-DAY(Table6[[#This Row],[Date]])+1</f>
        <v>45809</v>
      </c>
      <c r="F1285" s="470">
        <v>45831</v>
      </c>
      <c r="G1285" s="35" t="s">
        <v>78</v>
      </c>
      <c r="H1285" s="35" t="str">
        <f>IFERROR(_xlfn.XLOOKUP(Table6[[#This Row],[Affected WTG]],'Basic Data'!$A:$A,'Basic Data'!$B:$B),"")</f>
        <v>TQGXIIPL</v>
      </c>
      <c r="I1285" s="35" t="str">
        <f>IFERROR(_xlfn.XLOOKUP(Table6[[#This Row],[Affected WTG]],'Basic Data'!$A:$A,'Basic Data'!$C:$C),"")</f>
        <v>GEDA</v>
      </c>
      <c r="J1285" s="471">
        <f>IFERROR(_xlfn.XLOOKUP(Table6[[#This Row],[Affected WTG]],'Basic Data'!$A:$A,'Basic Data'!$E:$E),"")</f>
        <v>3.846153846153845E-2</v>
      </c>
      <c r="K1285" s="102">
        <v>175</v>
      </c>
      <c r="L1285" s="35" t="str">
        <f>IFERROR(_xlfn.XLOOKUP(Table6[[#This Row],[Error Code]],'Basic Data'!$AA:$AA,'Basic Data'!$AB:$AB),"Incorrect Error Code")</f>
        <v>SLC error</v>
      </c>
      <c r="M1285" s="35" t="s">
        <v>291</v>
      </c>
      <c r="N1285" s="475"/>
      <c r="O1285" s="476">
        <v>0.25</v>
      </c>
      <c r="P1285" s="476">
        <v>0.25</v>
      </c>
      <c r="Q1285" s="477">
        <v>0.27500000000000002</v>
      </c>
      <c r="R1285" s="472">
        <f>IF(Table6[[#This Row],[Work Start TimeStamp]]="","",(Table6[[#This Row],[Work Start TimeStamp]]-Table6[[#This Row],[Fault Start TimeStamp]])*24)</f>
        <v>0</v>
      </c>
      <c r="S1285" s="472">
        <f>(Table6[[#This Row],[Fault Clearance time]]-Table6[[#This Row],[Work Start TimeStamp]])*24</f>
        <v>0.60000000000000053</v>
      </c>
      <c r="T1285" s="472">
        <f>(Table6[[#This Row],[Fault Clearance time]]-Table6[[#This Row],[Fault Start TimeStamp]])*24</f>
        <v>0.60000000000000053</v>
      </c>
      <c r="U1285" s="35" t="s">
        <v>1979</v>
      </c>
      <c r="V1285" s="102" t="s">
        <v>293</v>
      </c>
      <c r="W1285" s="478">
        <f>IFERROR(Table6[[#This Row],[Breakdown Time]]*Table6[[#This Row],[Plant Equivalent Weightage]],"")</f>
        <v>2.3076923076923092E-2</v>
      </c>
      <c r="X1285" s="473" t="s">
        <v>294</v>
      </c>
      <c r="Y1285" s="474" t="s">
        <v>75</v>
      </c>
      <c r="Z1285" s="102">
        <v>36662</v>
      </c>
      <c r="AA1285" s="468">
        <f>(Table6[[#This Row],[Paired WTG Generation for loss calculation]]/24)*Table6[[#This Row],[Breakdown Time]]</f>
        <v>916.55000000000075</v>
      </c>
      <c r="AB1285" s="102"/>
      <c r="AC1285" s="35"/>
      <c r="AD1285" s="35"/>
    </row>
    <row r="1286" spans="1:30">
      <c r="A1286" s="102">
        <f t="shared" si="20"/>
        <v>1285</v>
      </c>
      <c r="B1286" s="468">
        <f>YEAR(Table6[[#This Row],[Date]])+IF(MONTH(Table6[[#This Row],[Date]])&gt;=4,1,0)</f>
        <v>2026</v>
      </c>
      <c r="C1286" s="102">
        <f>YEAR(Table6[[#This Row],[Date]])</f>
        <v>2025</v>
      </c>
      <c r="D1286" s="102" t="s">
        <v>1992</v>
      </c>
      <c r="E1286" s="469">
        <f>Table6[[#This Row],[Date]]-DAY(Table6[[#This Row],[Date]])+1</f>
        <v>45809</v>
      </c>
      <c r="F1286" s="470">
        <v>45831</v>
      </c>
      <c r="G1286" s="35" t="s">
        <v>78</v>
      </c>
      <c r="H1286" s="35" t="str">
        <f>IFERROR(_xlfn.XLOOKUP(Table6[[#This Row],[Affected WTG]],'Basic Data'!$A:$A,'Basic Data'!$B:$B),"")</f>
        <v>TQGXIIPL</v>
      </c>
      <c r="I1286" s="35" t="str">
        <f>IFERROR(_xlfn.XLOOKUP(Table6[[#This Row],[Affected WTG]],'Basic Data'!$A:$A,'Basic Data'!$C:$C),"")</f>
        <v>GEDA</v>
      </c>
      <c r="J1286" s="471">
        <f>IFERROR(_xlfn.XLOOKUP(Table6[[#This Row],[Affected WTG]],'Basic Data'!$A:$A,'Basic Data'!$E:$E),"")</f>
        <v>3.846153846153845E-2</v>
      </c>
      <c r="K1286" s="102">
        <v>3000</v>
      </c>
      <c r="L1286" s="35" t="str">
        <f>IFERROR(_xlfn.XLOOKUP(Table6[[#This Row],[Error Code]],'Basic Data'!$AA:$AA,'Basic Data'!$AB:$AB),"Incorrect Error Code")</f>
        <v>Frequency converter not ready</v>
      </c>
      <c r="M1286" s="35" t="s">
        <v>291</v>
      </c>
      <c r="N1286" s="475"/>
      <c r="O1286" s="476">
        <v>0.70347222222222228</v>
      </c>
      <c r="P1286" s="476">
        <v>0.70347222222222228</v>
      </c>
      <c r="Q1286" s="477">
        <v>0.70694444444444449</v>
      </c>
      <c r="R1286" s="472">
        <f>IF(Table6[[#This Row],[Work Start TimeStamp]]="","",(Table6[[#This Row],[Work Start TimeStamp]]-Table6[[#This Row],[Fault Start TimeStamp]])*24)</f>
        <v>0</v>
      </c>
      <c r="S1286" s="472">
        <f>(Table6[[#This Row],[Fault Clearance time]]-Table6[[#This Row],[Work Start TimeStamp]])*24</f>
        <v>8.3333333333333037E-2</v>
      </c>
      <c r="T1286" s="472">
        <f>(Table6[[#This Row],[Fault Clearance time]]-Table6[[#This Row],[Fault Start TimeStamp]])*24</f>
        <v>8.3333333333333037E-2</v>
      </c>
      <c r="U1286" s="35" t="s">
        <v>1924</v>
      </c>
      <c r="V1286" s="102" t="s">
        <v>293</v>
      </c>
      <c r="W1286" s="478">
        <f>IFERROR(Table6[[#This Row],[Breakdown Time]]*Table6[[#This Row],[Plant Equivalent Weightage]],"")</f>
        <v>3.2051282051281929E-3</v>
      </c>
      <c r="X1286" s="473" t="s">
        <v>294</v>
      </c>
      <c r="Y1286" s="474" t="s">
        <v>75</v>
      </c>
      <c r="Z1286" s="102">
        <v>36662</v>
      </c>
      <c r="AA1286" s="468">
        <f>(Table6[[#This Row],[Paired WTG Generation for loss calculation]]/24)*Table6[[#This Row],[Breakdown Time]]</f>
        <v>127.29861111111066</v>
      </c>
      <c r="AB1286" s="102"/>
      <c r="AC1286" s="35"/>
      <c r="AD1286" s="35"/>
    </row>
    <row r="1287" spans="1:30">
      <c r="A1287" s="102">
        <f t="shared" si="20"/>
        <v>1286</v>
      </c>
      <c r="B1287" s="468">
        <f>YEAR(Table6[[#This Row],[Date]])+IF(MONTH(Table6[[#This Row],[Date]])&gt;=4,1,0)</f>
        <v>2026</v>
      </c>
      <c r="C1287" s="102">
        <f>YEAR(Table6[[#This Row],[Date]])</f>
        <v>2025</v>
      </c>
      <c r="D1287" s="102" t="s">
        <v>1992</v>
      </c>
      <c r="E1287" s="469">
        <f>Table6[[#This Row],[Date]]-DAY(Table6[[#This Row],[Date]])+1</f>
        <v>45809</v>
      </c>
      <c r="F1287" s="470">
        <v>45831</v>
      </c>
      <c r="G1287" s="35" t="s">
        <v>81</v>
      </c>
      <c r="H1287" s="35" t="str">
        <f>IFERROR(_xlfn.XLOOKUP(Table6[[#This Row],[Affected WTG]],'Basic Data'!$A:$A,'Basic Data'!$B:$B),"")</f>
        <v>TQGXIIPL</v>
      </c>
      <c r="I1287" s="35" t="str">
        <f>IFERROR(_xlfn.XLOOKUP(Table6[[#This Row],[Affected WTG]],'Basic Data'!$A:$A,'Basic Data'!$C:$C),"")</f>
        <v>GEDA</v>
      </c>
      <c r="J1287" s="471">
        <f>IFERROR(_xlfn.XLOOKUP(Table6[[#This Row],[Affected WTG]],'Basic Data'!$A:$A,'Basic Data'!$E:$E),"")</f>
        <v>3.846153846153845E-2</v>
      </c>
      <c r="K1287" s="102">
        <v>665</v>
      </c>
      <c r="L1287" s="35" t="str">
        <f>IFERROR(_xlfn.XLOOKUP(Table6[[#This Row],[Error Code]],'Basic Data'!$AA:$AA,'Basic Data'!$AB:$AB),"Incorrect Error Code")</f>
        <v>Pitch error</v>
      </c>
      <c r="M1287" s="35" t="s">
        <v>291</v>
      </c>
      <c r="N1287" s="475"/>
      <c r="O1287" s="476">
        <v>0.72986111111111107</v>
      </c>
      <c r="P1287" s="476">
        <v>0.72986111111111107</v>
      </c>
      <c r="Q1287" s="477">
        <v>0.73333333333333328</v>
      </c>
      <c r="R1287" s="472">
        <f>IF(Table6[[#This Row],[Work Start TimeStamp]]="","",(Table6[[#This Row],[Work Start TimeStamp]]-Table6[[#This Row],[Fault Start TimeStamp]])*24)</f>
        <v>0</v>
      </c>
      <c r="S1287" s="472">
        <f>(Table6[[#This Row],[Fault Clearance time]]-Table6[[#This Row],[Work Start TimeStamp]])*24</f>
        <v>8.3333333333333037E-2</v>
      </c>
      <c r="T1287" s="472">
        <f>(Table6[[#This Row],[Fault Clearance time]]-Table6[[#This Row],[Fault Start TimeStamp]])*24</f>
        <v>8.3333333333333037E-2</v>
      </c>
      <c r="U1287" s="35" t="s">
        <v>1924</v>
      </c>
      <c r="V1287" s="102" t="s">
        <v>293</v>
      </c>
      <c r="W1287" s="478">
        <f>IFERROR(Table6[[#This Row],[Breakdown Time]]*Table6[[#This Row],[Plant Equivalent Weightage]],"")</f>
        <v>3.2051282051281929E-3</v>
      </c>
      <c r="X1287" s="473" t="s">
        <v>294</v>
      </c>
      <c r="Y1287" s="474" t="s">
        <v>99</v>
      </c>
      <c r="Z1287" s="102">
        <v>35736</v>
      </c>
      <c r="AA1287" s="468">
        <f>(Table6[[#This Row],[Paired WTG Generation for loss calculation]]/24)*Table6[[#This Row],[Breakdown Time]]</f>
        <v>124.08333333333289</v>
      </c>
      <c r="AB1287" s="102"/>
      <c r="AC1287" s="35"/>
      <c r="AD1287" s="35"/>
    </row>
    <row r="1288" spans="1:30">
      <c r="A1288" s="102">
        <f t="shared" si="20"/>
        <v>1287</v>
      </c>
      <c r="B1288" s="468">
        <f>YEAR(Table6[[#This Row],[Date]])+IF(MONTH(Table6[[#This Row],[Date]])&gt;=4,1,0)</f>
        <v>2026</v>
      </c>
      <c r="C1288" s="102">
        <f>YEAR(Table6[[#This Row],[Date]])</f>
        <v>2025</v>
      </c>
      <c r="D1288" s="102" t="s">
        <v>1992</v>
      </c>
      <c r="E1288" s="469">
        <f>Table6[[#This Row],[Date]]-DAY(Table6[[#This Row],[Date]])+1</f>
        <v>45809</v>
      </c>
      <c r="F1288" s="470">
        <v>45831</v>
      </c>
      <c r="G1288" s="35" t="s">
        <v>81</v>
      </c>
      <c r="H1288" s="35" t="str">
        <f>IFERROR(_xlfn.XLOOKUP(Table6[[#This Row],[Affected WTG]],'Basic Data'!$A:$A,'Basic Data'!$B:$B),"")</f>
        <v>TQGXIIPL</v>
      </c>
      <c r="I1288" s="35" t="str">
        <f>IFERROR(_xlfn.XLOOKUP(Table6[[#This Row],[Affected WTG]],'Basic Data'!$A:$A,'Basic Data'!$C:$C),"")</f>
        <v>GEDA</v>
      </c>
      <c r="J1288" s="471">
        <f>IFERROR(_xlfn.XLOOKUP(Table6[[#This Row],[Affected WTG]],'Basic Data'!$A:$A,'Basic Data'!$E:$E),"")</f>
        <v>3.846153846153845E-2</v>
      </c>
      <c r="K1288" s="102">
        <v>641</v>
      </c>
      <c r="L1288" s="35" t="str">
        <f>IFERROR(_xlfn.XLOOKUP(Table6[[#This Row],[Error Code]],'Basic Data'!$AA:$AA,'Basic Data'!$AB:$AB),"Incorrect Error Code")</f>
        <v>Sim.angle E enc. &lt;&gt; act.angle 1</v>
      </c>
      <c r="M1288" s="35" t="s">
        <v>291</v>
      </c>
      <c r="N1288" s="475"/>
      <c r="O1288" s="476">
        <v>0.77152777777777781</v>
      </c>
      <c r="P1288" s="476">
        <v>0.77152777777777781</v>
      </c>
      <c r="Q1288" s="477">
        <v>0.78055555555555556</v>
      </c>
      <c r="R1288" s="472">
        <f>IF(Table6[[#This Row],[Work Start TimeStamp]]="","",(Table6[[#This Row],[Work Start TimeStamp]]-Table6[[#This Row],[Fault Start TimeStamp]])*24)</f>
        <v>0</v>
      </c>
      <c r="S1288" s="472">
        <f>(Table6[[#This Row],[Fault Clearance time]]-Table6[[#This Row],[Work Start TimeStamp]])*24</f>
        <v>0.2166666666666659</v>
      </c>
      <c r="T1288" s="472">
        <f>(Table6[[#This Row],[Fault Clearance time]]-Table6[[#This Row],[Fault Start TimeStamp]])*24</f>
        <v>0.2166666666666659</v>
      </c>
      <c r="U1288" s="35" t="s">
        <v>1924</v>
      </c>
      <c r="V1288" s="102" t="s">
        <v>293</v>
      </c>
      <c r="W1288" s="478">
        <f>IFERROR(Table6[[#This Row],[Breakdown Time]]*Table6[[#This Row],[Plant Equivalent Weightage]],"")</f>
        <v>8.333333333333302E-3</v>
      </c>
      <c r="X1288" s="473" t="s">
        <v>294</v>
      </c>
      <c r="Y1288" s="474" t="s">
        <v>99</v>
      </c>
      <c r="Z1288" s="102">
        <v>35736</v>
      </c>
      <c r="AA1288" s="468">
        <f>(Table6[[#This Row],[Paired WTG Generation for loss calculation]]/24)*Table6[[#This Row],[Breakdown Time]]</f>
        <v>322.61666666666554</v>
      </c>
      <c r="AB1288" s="102"/>
      <c r="AC1288" s="35"/>
      <c r="AD1288" s="35"/>
    </row>
    <row r="1289" spans="1:30">
      <c r="A1289" s="102">
        <f t="shared" si="20"/>
        <v>1288</v>
      </c>
      <c r="B1289" s="468">
        <f>YEAR(Table6[[#This Row],[Date]])+IF(MONTH(Table6[[#This Row],[Date]])&gt;=4,1,0)</f>
        <v>2026</v>
      </c>
      <c r="C1289" s="102">
        <f>YEAR(Table6[[#This Row],[Date]])</f>
        <v>2025</v>
      </c>
      <c r="D1289" s="102" t="s">
        <v>1992</v>
      </c>
      <c r="E1289" s="469">
        <f>Table6[[#This Row],[Date]]-DAY(Table6[[#This Row],[Date]])+1</f>
        <v>45809</v>
      </c>
      <c r="F1289" s="470">
        <v>45831</v>
      </c>
      <c r="G1289" s="35" t="s">
        <v>85</v>
      </c>
      <c r="H1289" s="35" t="str">
        <f>IFERROR(_xlfn.XLOOKUP(Table6[[#This Row],[Affected WTG]],'Basic Data'!$A:$A,'Basic Data'!$B:$B),"")</f>
        <v>TQGXIIPL</v>
      </c>
      <c r="I1289" s="35" t="str">
        <f>IFERROR(_xlfn.XLOOKUP(Table6[[#This Row],[Affected WTG]],'Basic Data'!$A:$A,'Basic Data'!$C:$C),"")</f>
        <v>GEDA</v>
      </c>
      <c r="J1289" s="471">
        <f>IFERROR(_xlfn.XLOOKUP(Table6[[#This Row],[Affected WTG]],'Basic Data'!$A:$A,'Basic Data'!$E:$E),"")</f>
        <v>3.846153846153845E-2</v>
      </c>
      <c r="K1289" s="102">
        <v>55</v>
      </c>
      <c r="L1289" s="35" t="str">
        <f>IFERROR(_xlfn.XLOOKUP(Table6[[#This Row],[Error Code]],'Basic Data'!$AA:$AA,'Basic Data'!$AB:$AB),"Incorrect Error Code")</f>
        <v>WTG shut down</v>
      </c>
      <c r="M1289" s="35" t="s">
        <v>295</v>
      </c>
      <c r="N1289" s="475"/>
      <c r="O1289" s="476">
        <v>0</v>
      </c>
      <c r="P1289" s="476">
        <v>0</v>
      </c>
      <c r="Q1289" s="477">
        <v>0.61805555555555558</v>
      </c>
      <c r="R1289" s="472">
        <f>IF(Table6[[#This Row],[Work Start TimeStamp]]="","",(Table6[[#This Row],[Work Start TimeStamp]]-Table6[[#This Row],[Fault Start TimeStamp]])*24)</f>
        <v>0</v>
      </c>
      <c r="S1289" s="472">
        <f>(Table6[[#This Row],[Fault Clearance time]]-Table6[[#This Row],[Work Start TimeStamp]])*24</f>
        <v>14.833333333333334</v>
      </c>
      <c r="T1289" s="472">
        <f>(Table6[[#This Row],[Fault Clearance time]]-Table6[[#This Row],[Fault Start TimeStamp]])*24</f>
        <v>14.833333333333334</v>
      </c>
      <c r="U1289" s="35" t="s">
        <v>2091</v>
      </c>
      <c r="V1289" s="102" t="s">
        <v>289</v>
      </c>
      <c r="W1289" s="478">
        <f>IFERROR(Table6[[#This Row],[Breakdown Time]]*Table6[[#This Row],[Plant Equivalent Weightage]],"")</f>
        <v>0.57051282051282037</v>
      </c>
      <c r="X1289" s="473" t="s">
        <v>523</v>
      </c>
      <c r="Y1289" s="474" t="s">
        <v>87</v>
      </c>
      <c r="Z1289" s="102">
        <v>35000</v>
      </c>
      <c r="AA1289" s="468">
        <f>(Table6[[#This Row],[Paired WTG Generation for loss calculation]]/24)*Table6[[#This Row],[Breakdown Time]]</f>
        <v>21631.944444444445</v>
      </c>
      <c r="AB1289" s="102"/>
      <c r="AC1289" s="35"/>
      <c r="AD1289" s="35"/>
    </row>
    <row r="1290" spans="1:30">
      <c r="A1290" s="102">
        <f t="shared" si="20"/>
        <v>1289</v>
      </c>
      <c r="B1290" s="468">
        <f>YEAR(Table6[[#This Row],[Date]])+IF(MONTH(Table6[[#This Row],[Date]])&gt;=4,1,0)</f>
        <v>2026</v>
      </c>
      <c r="C1290" s="102">
        <f>YEAR(Table6[[#This Row],[Date]])</f>
        <v>2025</v>
      </c>
      <c r="D1290" s="102" t="s">
        <v>1992</v>
      </c>
      <c r="E1290" s="469">
        <f>Table6[[#This Row],[Date]]-DAY(Table6[[#This Row],[Date]])+1</f>
        <v>45809</v>
      </c>
      <c r="F1290" s="470">
        <v>45831</v>
      </c>
      <c r="G1290" s="35" t="s">
        <v>85</v>
      </c>
      <c r="H1290" s="35" t="str">
        <f>IFERROR(_xlfn.XLOOKUP(Table6[[#This Row],[Affected WTG]],'Basic Data'!$A:$A,'Basic Data'!$B:$B),"")</f>
        <v>TQGXIIPL</v>
      </c>
      <c r="I1290" s="35" t="str">
        <f>IFERROR(_xlfn.XLOOKUP(Table6[[#This Row],[Affected WTG]],'Basic Data'!$A:$A,'Basic Data'!$C:$C),"")</f>
        <v>GEDA</v>
      </c>
      <c r="J1290" s="471">
        <f>IFERROR(_xlfn.XLOOKUP(Table6[[#This Row],[Affected WTG]],'Basic Data'!$A:$A,'Basic Data'!$E:$E),"")</f>
        <v>3.846153846153845E-2</v>
      </c>
      <c r="K1290" s="102">
        <v>55</v>
      </c>
      <c r="L1290" s="35" t="str">
        <f>IFERROR(_xlfn.XLOOKUP(Table6[[#This Row],[Error Code]],'Basic Data'!$AA:$AA,'Basic Data'!$AB:$AB),"Incorrect Error Code")</f>
        <v>WTG shut down</v>
      </c>
      <c r="M1290" s="35" t="s">
        <v>295</v>
      </c>
      <c r="N1290" s="475"/>
      <c r="O1290" s="476">
        <v>0.61805555555555558</v>
      </c>
      <c r="P1290" s="476">
        <v>0.61805555555555558</v>
      </c>
      <c r="Q1290" s="477">
        <v>0.99998842592592596</v>
      </c>
      <c r="R1290" s="472">
        <f>IF(Table6[[#This Row],[Work Start TimeStamp]]="","",(Table6[[#This Row],[Work Start TimeStamp]]-Table6[[#This Row],[Fault Start TimeStamp]])*24)</f>
        <v>0</v>
      </c>
      <c r="S1290" s="472">
        <f>(Table6[[#This Row],[Fault Clearance time]]-Table6[[#This Row],[Work Start TimeStamp]])*24</f>
        <v>9.1663888888888891</v>
      </c>
      <c r="T1290" s="472">
        <f>(Table6[[#This Row],[Fault Clearance time]]-Table6[[#This Row],[Fault Start TimeStamp]])*24</f>
        <v>9.1663888888888891</v>
      </c>
      <c r="U1290" s="35" t="s">
        <v>2091</v>
      </c>
      <c r="V1290" s="102" t="s">
        <v>289</v>
      </c>
      <c r="W1290" s="478">
        <f>IFERROR(Table6[[#This Row],[Breakdown Time]]*Table6[[#This Row],[Plant Equivalent Weightage]],"")</f>
        <v>0.35255341880341873</v>
      </c>
      <c r="X1290" s="473" t="s">
        <v>294</v>
      </c>
      <c r="Y1290" s="474" t="s">
        <v>87</v>
      </c>
      <c r="Z1290" s="102">
        <v>35000</v>
      </c>
      <c r="AA1290" s="468">
        <f>(Table6[[#This Row],[Paired WTG Generation for loss calculation]]/24)*Table6[[#This Row],[Breakdown Time]]</f>
        <v>13367.650462962964</v>
      </c>
      <c r="AB1290" s="102"/>
      <c r="AC1290" s="35"/>
      <c r="AD1290" s="35"/>
    </row>
    <row r="1291" spans="1:30">
      <c r="A1291" s="102">
        <f t="shared" si="20"/>
        <v>1290</v>
      </c>
      <c r="B1291" s="468">
        <f>YEAR(Table6[[#This Row],[Date]])+IF(MONTH(Table6[[#This Row],[Date]])&gt;=4,1,0)</f>
        <v>2026</v>
      </c>
      <c r="C1291" s="102">
        <f>YEAR(Table6[[#This Row],[Date]])</f>
        <v>2025</v>
      </c>
      <c r="D1291" s="102" t="s">
        <v>1992</v>
      </c>
      <c r="E1291" s="469">
        <f>Table6[[#This Row],[Date]]-DAY(Table6[[#This Row],[Date]])+1</f>
        <v>45809</v>
      </c>
      <c r="F1291" s="470">
        <v>45831</v>
      </c>
      <c r="G1291" s="35" t="s">
        <v>87</v>
      </c>
      <c r="H1291" s="35" t="str">
        <f>IFERROR(_xlfn.XLOOKUP(Table6[[#This Row],[Affected WTG]],'Basic Data'!$A:$A,'Basic Data'!$B:$B),"")</f>
        <v>TQGXIIPL</v>
      </c>
      <c r="I1291" s="35" t="str">
        <f>IFERROR(_xlfn.XLOOKUP(Table6[[#This Row],[Affected WTG]],'Basic Data'!$A:$A,'Basic Data'!$C:$C),"")</f>
        <v>GEDA</v>
      </c>
      <c r="J1291" s="471">
        <f>IFERROR(_xlfn.XLOOKUP(Table6[[#This Row],[Affected WTG]],'Basic Data'!$A:$A,'Basic Data'!$E:$E),"")</f>
        <v>3.846153846153845E-2</v>
      </c>
      <c r="K1291" s="102">
        <v>175</v>
      </c>
      <c r="L1291" s="35" t="str">
        <f>IFERROR(_xlfn.XLOOKUP(Table6[[#This Row],[Error Code]],'Basic Data'!$AA:$AA,'Basic Data'!$AB:$AB),"Incorrect Error Code")</f>
        <v>SLC error</v>
      </c>
      <c r="M1291" s="35" t="s">
        <v>291</v>
      </c>
      <c r="N1291" s="475"/>
      <c r="O1291" s="476">
        <v>0.43125000000000002</v>
      </c>
      <c r="P1291" s="476">
        <v>0.43125000000000002</v>
      </c>
      <c r="Q1291" s="477">
        <v>0.43333333333333335</v>
      </c>
      <c r="R1291" s="472">
        <f>IF(Table6[[#This Row],[Work Start TimeStamp]]="","",(Table6[[#This Row],[Work Start TimeStamp]]-Table6[[#This Row],[Fault Start TimeStamp]])*24)</f>
        <v>0</v>
      </c>
      <c r="S1291" s="472">
        <f>(Table6[[#This Row],[Fault Clearance time]]-Table6[[#This Row],[Work Start TimeStamp]])*24</f>
        <v>4.9999999999999822E-2</v>
      </c>
      <c r="T1291" s="472">
        <f>(Table6[[#This Row],[Fault Clearance time]]-Table6[[#This Row],[Fault Start TimeStamp]])*24</f>
        <v>4.9999999999999822E-2</v>
      </c>
      <c r="U1291" s="35" t="s">
        <v>1924</v>
      </c>
      <c r="V1291" s="102" t="s">
        <v>293</v>
      </c>
      <c r="W1291" s="478">
        <f>IFERROR(Table6[[#This Row],[Breakdown Time]]*Table6[[#This Row],[Plant Equivalent Weightage]],"")</f>
        <v>1.9230769230769156E-3</v>
      </c>
      <c r="X1291" s="473" t="s">
        <v>294</v>
      </c>
      <c r="Y1291" s="474" t="s">
        <v>85</v>
      </c>
      <c r="Z1291" s="102">
        <v>0</v>
      </c>
      <c r="AA1291" s="468">
        <f>(Table6[[#This Row],[Paired WTG Generation for loss calculation]]/24)*Table6[[#This Row],[Breakdown Time]]</f>
        <v>0</v>
      </c>
      <c r="AB1291" s="102"/>
      <c r="AC1291" s="35"/>
      <c r="AD1291" s="35"/>
    </row>
    <row r="1292" spans="1:30">
      <c r="A1292" s="102">
        <f t="shared" si="20"/>
        <v>1291</v>
      </c>
      <c r="B1292" s="468">
        <f>YEAR(Table6[[#This Row],[Date]])+IF(MONTH(Table6[[#This Row],[Date]])&gt;=4,1,0)</f>
        <v>2026</v>
      </c>
      <c r="C1292" s="102">
        <f>YEAR(Table6[[#This Row],[Date]])</f>
        <v>2025</v>
      </c>
      <c r="D1292" s="102" t="s">
        <v>1992</v>
      </c>
      <c r="E1292" s="469">
        <f>Table6[[#This Row],[Date]]-DAY(Table6[[#This Row],[Date]])+1</f>
        <v>45809</v>
      </c>
      <c r="F1292" s="470">
        <v>45831</v>
      </c>
      <c r="G1292" s="35" t="s">
        <v>89</v>
      </c>
      <c r="H1292" s="35" t="str">
        <f>IFERROR(_xlfn.XLOOKUP(Table6[[#This Row],[Affected WTG]],'Basic Data'!$A:$A,'Basic Data'!$B:$B),"")</f>
        <v>TQGXIIPL</v>
      </c>
      <c r="I1292" s="35" t="str">
        <f>IFERROR(_xlfn.XLOOKUP(Table6[[#This Row],[Affected WTG]],'Basic Data'!$A:$A,'Basic Data'!$C:$C),"")</f>
        <v>GEDA</v>
      </c>
      <c r="J1292" s="471">
        <f>IFERROR(_xlfn.XLOOKUP(Table6[[#This Row],[Affected WTG]],'Basic Data'!$A:$A,'Basic Data'!$E:$E),"")</f>
        <v>3.846153846153845E-2</v>
      </c>
      <c r="K1292" s="102">
        <v>6605</v>
      </c>
      <c r="L1292" s="35" t="str">
        <f>IFERROR(_xlfn.XLOOKUP(Table6[[#This Row],[Error Code]],'Basic Data'!$AA:$AA,'Basic Data'!$AB:$AB),"Incorrect Error Code")</f>
        <v>Wind.dir. diff. level 2</v>
      </c>
      <c r="M1292" s="35" t="s">
        <v>291</v>
      </c>
      <c r="N1292" s="475"/>
      <c r="O1292" s="476">
        <v>0.74375000000000002</v>
      </c>
      <c r="P1292" s="476">
        <v>0.74375000000000002</v>
      </c>
      <c r="Q1292" s="477">
        <v>0.74583333333333335</v>
      </c>
      <c r="R1292" s="472">
        <f>IF(Table6[[#This Row],[Work Start TimeStamp]]="","",(Table6[[#This Row],[Work Start TimeStamp]]-Table6[[#This Row],[Fault Start TimeStamp]])*24)</f>
        <v>0</v>
      </c>
      <c r="S1292" s="472">
        <f>(Table6[[#This Row],[Fault Clearance time]]-Table6[[#This Row],[Work Start TimeStamp]])*24</f>
        <v>4.9999999999999822E-2</v>
      </c>
      <c r="T1292" s="472">
        <f>(Table6[[#This Row],[Fault Clearance time]]-Table6[[#This Row],[Fault Start TimeStamp]])*24</f>
        <v>4.9999999999999822E-2</v>
      </c>
      <c r="U1292" s="35" t="s">
        <v>1924</v>
      </c>
      <c r="V1292" s="102" t="s">
        <v>293</v>
      </c>
      <c r="W1292" s="478">
        <f>IFERROR(Table6[[#This Row],[Breakdown Time]]*Table6[[#This Row],[Plant Equivalent Weightage]],"")</f>
        <v>1.9230769230769156E-3</v>
      </c>
      <c r="X1292" s="473" t="s">
        <v>294</v>
      </c>
      <c r="Y1292" s="474" t="s">
        <v>94</v>
      </c>
      <c r="Z1292" s="102">
        <v>32231</v>
      </c>
      <c r="AA1292" s="468">
        <f>(Table6[[#This Row],[Paired WTG Generation for loss calculation]]/24)*Table6[[#This Row],[Breakdown Time]]</f>
        <v>67.147916666666418</v>
      </c>
      <c r="AB1292" s="102"/>
      <c r="AC1292" s="35"/>
      <c r="AD1292" s="35"/>
    </row>
    <row r="1293" spans="1:30">
      <c r="A1293" s="102">
        <f t="shared" si="20"/>
        <v>1292</v>
      </c>
      <c r="B1293" s="468">
        <f>YEAR(Table6[[#This Row],[Date]])+IF(MONTH(Table6[[#This Row],[Date]])&gt;=4,1,0)</f>
        <v>2026</v>
      </c>
      <c r="C1293" s="102">
        <f>YEAR(Table6[[#This Row],[Date]])</f>
        <v>2025</v>
      </c>
      <c r="D1293" s="102" t="s">
        <v>1992</v>
      </c>
      <c r="E1293" s="469">
        <f>Table6[[#This Row],[Date]]-DAY(Table6[[#This Row],[Date]])+1</f>
        <v>45809</v>
      </c>
      <c r="F1293" s="470">
        <v>45831</v>
      </c>
      <c r="G1293" s="35" t="s">
        <v>91</v>
      </c>
      <c r="H1293" s="35" t="str">
        <f>IFERROR(_xlfn.XLOOKUP(Table6[[#This Row],[Affected WTG]],'Basic Data'!$A:$A,'Basic Data'!$B:$B),"")</f>
        <v>TQGXIIPL</v>
      </c>
      <c r="I1293" s="35" t="str">
        <f>IFERROR(_xlfn.XLOOKUP(Table6[[#This Row],[Affected WTG]],'Basic Data'!$A:$A,'Basic Data'!$C:$C),"")</f>
        <v>GEDA</v>
      </c>
      <c r="J1293" s="471">
        <f>IFERROR(_xlfn.XLOOKUP(Table6[[#This Row],[Affected WTG]],'Basic Data'!$A:$A,'Basic Data'!$E:$E),"")</f>
        <v>3.846153846153845E-2</v>
      </c>
      <c r="K1293" s="102">
        <v>1316</v>
      </c>
      <c r="L1293" s="35" t="str">
        <f>IFERROR(_xlfn.XLOOKUP(Table6[[#This Row],[Error Code]],'Basic Data'!$AA:$AA,'Basic Data'!$AB:$AB),"Incorrect Error Code")</f>
        <v>Timeout fault rotor bear. lubr.</v>
      </c>
      <c r="M1293" s="35" t="s">
        <v>291</v>
      </c>
      <c r="N1293" s="475"/>
      <c r="O1293" s="476">
        <v>0.44583333333333336</v>
      </c>
      <c r="P1293" s="476">
        <v>0.44583333333333336</v>
      </c>
      <c r="Q1293" s="477">
        <v>0.44930555555555557</v>
      </c>
      <c r="R1293" s="472">
        <f>IF(Table6[[#This Row],[Work Start TimeStamp]]="","",(Table6[[#This Row],[Work Start TimeStamp]]-Table6[[#This Row],[Fault Start TimeStamp]])*24)</f>
        <v>0</v>
      </c>
      <c r="S1293" s="472">
        <f>(Table6[[#This Row],[Fault Clearance time]]-Table6[[#This Row],[Work Start TimeStamp]])*24</f>
        <v>8.3333333333333037E-2</v>
      </c>
      <c r="T1293" s="472">
        <f>(Table6[[#This Row],[Fault Clearance time]]-Table6[[#This Row],[Fault Start TimeStamp]])*24</f>
        <v>8.3333333333333037E-2</v>
      </c>
      <c r="U1293" s="35" t="s">
        <v>1924</v>
      </c>
      <c r="V1293" s="102" t="s">
        <v>293</v>
      </c>
      <c r="W1293" s="478">
        <f>IFERROR(Table6[[#This Row],[Breakdown Time]]*Table6[[#This Row],[Plant Equivalent Weightage]],"")</f>
        <v>3.2051282051281929E-3</v>
      </c>
      <c r="X1293" s="473" t="s">
        <v>294</v>
      </c>
      <c r="Y1293" s="474" t="s">
        <v>79</v>
      </c>
      <c r="Z1293" s="102">
        <v>32886</v>
      </c>
      <c r="AA1293" s="468">
        <f>(Table6[[#This Row],[Paired WTG Generation for loss calculation]]/24)*Table6[[#This Row],[Breakdown Time]]</f>
        <v>114.18749999999959</v>
      </c>
      <c r="AB1293" s="102"/>
      <c r="AC1293" s="35"/>
      <c r="AD1293" s="35"/>
    </row>
    <row r="1294" spans="1:30">
      <c r="A1294" s="102">
        <f t="shared" si="20"/>
        <v>1293</v>
      </c>
      <c r="B1294" s="468">
        <f>YEAR(Table6[[#This Row],[Date]])+IF(MONTH(Table6[[#This Row],[Date]])&gt;=4,1,0)</f>
        <v>2026</v>
      </c>
      <c r="C1294" s="102">
        <f>YEAR(Table6[[#This Row],[Date]])</f>
        <v>2025</v>
      </c>
      <c r="D1294" s="102" t="s">
        <v>1992</v>
      </c>
      <c r="E1294" s="469">
        <f>Table6[[#This Row],[Date]]-DAY(Table6[[#This Row],[Date]])+1</f>
        <v>45809</v>
      </c>
      <c r="F1294" s="470">
        <v>45831</v>
      </c>
      <c r="G1294" s="35" t="s">
        <v>92</v>
      </c>
      <c r="H1294" s="35" t="str">
        <f>IFERROR(_xlfn.XLOOKUP(Table6[[#This Row],[Affected WTG]],'Basic Data'!$A:$A,'Basic Data'!$B:$B),"")</f>
        <v>TQGXIIPL</v>
      </c>
      <c r="I1294" s="35" t="str">
        <f>IFERROR(_xlfn.XLOOKUP(Table6[[#This Row],[Affected WTG]],'Basic Data'!$A:$A,'Basic Data'!$C:$C),"")</f>
        <v>GEDA</v>
      </c>
      <c r="J1294" s="471">
        <f>IFERROR(_xlfn.XLOOKUP(Table6[[#This Row],[Affected WTG]],'Basic Data'!$A:$A,'Basic Data'!$E:$E),"")</f>
        <v>3.846153846153845E-2</v>
      </c>
      <c r="K1294" s="102">
        <v>55</v>
      </c>
      <c r="L1294" s="35" t="str">
        <f>IFERROR(_xlfn.XLOOKUP(Table6[[#This Row],[Error Code]],'Basic Data'!$AA:$AA,'Basic Data'!$AB:$AB),"Incorrect Error Code")</f>
        <v>WTG shut down</v>
      </c>
      <c r="M1294" s="35" t="s">
        <v>291</v>
      </c>
      <c r="N1294" s="475"/>
      <c r="O1294" s="476">
        <v>0.34652777777777777</v>
      </c>
      <c r="P1294" s="476">
        <v>0.34652777777777777</v>
      </c>
      <c r="Q1294" s="477">
        <v>0.3576388888888889</v>
      </c>
      <c r="R1294" s="472">
        <f>IF(Table6[[#This Row],[Work Start TimeStamp]]="","",(Table6[[#This Row],[Work Start TimeStamp]]-Table6[[#This Row],[Fault Start TimeStamp]])*24)</f>
        <v>0</v>
      </c>
      <c r="S1294" s="472">
        <f>(Table6[[#This Row],[Fault Clearance time]]-Table6[[#This Row],[Work Start TimeStamp]])*24</f>
        <v>0.26666666666666705</v>
      </c>
      <c r="T1294" s="472">
        <f>(Table6[[#This Row],[Fault Clearance time]]-Table6[[#This Row],[Fault Start TimeStamp]])*24</f>
        <v>0.26666666666666705</v>
      </c>
      <c r="U1294" s="35" t="s">
        <v>2004</v>
      </c>
      <c r="V1294" s="102" t="s">
        <v>293</v>
      </c>
      <c r="W1294" s="478">
        <f>IFERROR(Table6[[#This Row],[Breakdown Time]]*Table6[[#This Row],[Plant Equivalent Weightage]],"")</f>
        <v>1.0256410256410269E-2</v>
      </c>
      <c r="X1294" s="473" t="s">
        <v>290</v>
      </c>
      <c r="Y1294" s="474" t="s">
        <v>80</v>
      </c>
      <c r="Z1294" s="102">
        <v>30932</v>
      </c>
      <c r="AA1294" s="468">
        <f>(Table6[[#This Row],[Paired WTG Generation for loss calculation]]/24)*Table6[[#This Row],[Breakdown Time]]</f>
        <v>343.68888888888938</v>
      </c>
      <c r="AB1294" s="102"/>
      <c r="AC1294" s="35"/>
      <c r="AD1294" s="35"/>
    </row>
    <row r="1295" spans="1:30">
      <c r="A1295" s="102">
        <f t="shared" ref="A1295:A1358" si="21">A1294+1</f>
        <v>1294</v>
      </c>
      <c r="B1295" s="468">
        <f>YEAR(Table6[[#This Row],[Date]])+IF(MONTH(Table6[[#This Row],[Date]])&gt;=4,1,0)</f>
        <v>2026</v>
      </c>
      <c r="C1295" s="102">
        <f>YEAR(Table6[[#This Row],[Date]])</f>
        <v>2025</v>
      </c>
      <c r="D1295" s="102" t="s">
        <v>1992</v>
      </c>
      <c r="E1295" s="469">
        <f>Table6[[#This Row],[Date]]-DAY(Table6[[#This Row],[Date]])+1</f>
        <v>45809</v>
      </c>
      <c r="F1295" s="470">
        <v>45832</v>
      </c>
      <c r="G1295" s="35" t="s">
        <v>75</v>
      </c>
      <c r="H1295" s="35" t="str">
        <f>IFERROR(_xlfn.XLOOKUP(Table6[[#This Row],[Affected WTG]],'Basic Data'!$A:$A,'Basic Data'!$B:$B),"")</f>
        <v>TQGXIIPL</v>
      </c>
      <c r="I1295" s="35" t="str">
        <f>IFERROR(_xlfn.XLOOKUP(Table6[[#This Row],[Affected WTG]],'Basic Data'!$A:$A,'Basic Data'!$C:$C),"")</f>
        <v>GEDA</v>
      </c>
      <c r="J1295" s="471">
        <f>IFERROR(_xlfn.XLOOKUP(Table6[[#This Row],[Affected WTG]],'Basic Data'!$A:$A,'Basic Data'!$E:$E),"")</f>
        <v>3.846153846153845E-2</v>
      </c>
      <c r="K1295" s="102">
        <v>1070</v>
      </c>
      <c r="L1295" s="35" t="str">
        <f>IFERROR(_xlfn.XLOOKUP(Table6[[#This Row],[Error Code]],'Basic Data'!$AA:$AA,'Basic Data'!$AB:$AB),"Incorrect Error Code")</f>
        <v>Drive train monitor level 2</v>
      </c>
      <c r="M1295" s="35" t="s">
        <v>292</v>
      </c>
      <c r="N1295" s="475"/>
      <c r="O1295" s="476">
        <v>0.24583333333333332</v>
      </c>
      <c r="P1295" s="476">
        <v>0.24583333333333332</v>
      </c>
      <c r="Q1295" s="477">
        <v>0.24652777777777779</v>
      </c>
      <c r="R1295" s="472">
        <f>IF(Table6[[#This Row],[Work Start TimeStamp]]="","",(Table6[[#This Row],[Work Start TimeStamp]]-Table6[[#This Row],[Fault Start TimeStamp]])*24)</f>
        <v>0</v>
      </c>
      <c r="S1295" s="472">
        <f>(Table6[[#This Row],[Fault Clearance time]]-Table6[[#This Row],[Work Start TimeStamp]])*24</f>
        <v>1.6666666666667274E-2</v>
      </c>
      <c r="T1295" s="472">
        <f>(Table6[[#This Row],[Fault Clearance time]]-Table6[[#This Row],[Fault Start TimeStamp]])*24</f>
        <v>1.6666666666667274E-2</v>
      </c>
      <c r="U1295" s="35" t="s">
        <v>336</v>
      </c>
      <c r="V1295" s="102" t="s">
        <v>293</v>
      </c>
      <c r="W1295" s="478">
        <f>IFERROR(Table6[[#This Row],[Breakdown Time]]*Table6[[#This Row],[Plant Equivalent Weightage]],"")</f>
        <v>6.4102564102566423E-4</v>
      </c>
      <c r="X1295" s="473" t="s">
        <v>294</v>
      </c>
      <c r="Y1295" s="474" t="s">
        <v>78</v>
      </c>
      <c r="Z1295" s="102">
        <v>46848</v>
      </c>
      <c r="AA1295" s="468">
        <f>(Table6[[#This Row],[Paired WTG Generation for loss calculation]]/24)*Table6[[#This Row],[Breakdown Time]]</f>
        <v>32.533333333334518</v>
      </c>
      <c r="AB1295" s="102"/>
      <c r="AC1295" s="35"/>
      <c r="AD1295" s="35"/>
    </row>
    <row r="1296" spans="1:30">
      <c r="A1296" s="102">
        <f t="shared" si="21"/>
        <v>1295</v>
      </c>
      <c r="B1296" s="468">
        <f>YEAR(Table6[[#This Row],[Date]])+IF(MONTH(Table6[[#This Row],[Date]])&gt;=4,1,0)</f>
        <v>2026</v>
      </c>
      <c r="C1296" s="102">
        <f>YEAR(Table6[[#This Row],[Date]])</f>
        <v>2025</v>
      </c>
      <c r="D1296" s="102" t="s">
        <v>1992</v>
      </c>
      <c r="E1296" s="469">
        <f>Table6[[#This Row],[Date]]-DAY(Table6[[#This Row],[Date]])+1</f>
        <v>45809</v>
      </c>
      <c r="F1296" s="470">
        <v>45832</v>
      </c>
      <c r="G1296" s="35" t="s">
        <v>77</v>
      </c>
      <c r="H1296" s="35" t="str">
        <f>IFERROR(_xlfn.XLOOKUP(Table6[[#This Row],[Affected WTG]],'Basic Data'!$A:$A,'Basic Data'!$B:$B),"")</f>
        <v>TQGXIIPL</v>
      </c>
      <c r="I1296" s="35" t="str">
        <f>IFERROR(_xlfn.XLOOKUP(Table6[[#This Row],[Affected WTG]],'Basic Data'!$A:$A,'Basic Data'!$C:$C),"")</f>
        <v>GEDA</v>
      </c>
      <c r="J1296" s="471">
        <f>IFERROR(_xlfn.XLOOKUP(Table6[[#This Row],[Affected WTG]],'Basic Data'!$A:$A,'Basic Data'!$E:$E),"")</f>
        <v>3.846153846153845E-2</v>
      </c>
      <c r="K1296" s="102">
        <v>6130</v>
      </c>
      <c r="L1296" s="35" t="str">
        <f>IFERROR(_xlfn.XLOOKUP(Table6[[#This Row],[Error Code]],'Basic Data'!$AA:$AA,'Basic Data'!$AB:$AB),"Incorrect Error Code")</f>
        <v>Yaw speed high</v>
      </c>
      <c r="M1296" s="35" t="s">
        <v>292</v>
      </c>
      <c r="N1296" s="475"/>
      <c r="O1296" s="476">
        <v>7.2916666666666671E-2</v>
      </c>
      <c r="P1296" s="476">
        <v>7.2916666666666671E-2</v>
      </c>
      <c r="Q1296" s="477">
        <v>7.4305555555555555E-2</v>
      </c>
      <c r="R1296" s="472">
        <f>IF(Table6[[#This Row],[Work Start TimeStamp]]="","",(Table6[[#This Row],[Work Start TimeStamp]]-Table6[[#This Row],[Fault Start TimeStamp]])*24)</f>
        <v>0</v>
      </c>
      <c r="S1296" s="472">
        <f>(Table6[[#This Row],[Fault Clearance time]]-Table6[[#This Row],[Work Start TimeStamp]])*24</f>
        <v>3.3333333333333215E-2</v>
      </c>
      <c r="T1296" s="472">
        <f>(Table6[[#This Row],[Fault Clearance time]]-Table6[[#This Row],[Fault Start TimeStamp]])*24</f>
        <v>3.3333333333333215E-2</v>
      </c>
      <c r="U1296" s="35" t="s">
        <v>336</v>
      </c>
      <c r="V1296" s="102" t="s">
        <v>293</v>
      </c>
      <c r="W1296" s="478">
        <f>IFERROR(Table6[[#This Row],[Breakdown Time]]*Table6[[#This Row],[Plant Equivalent Weightage]],"")</f>
        <v>1.2820512820512771E-3</v>
      </c>
      <c r="X1296" s="473" t="s">
        <v>294</v>
      </c>
      <c r="Y1296" s="474" t="s">
        <v>80</v>
      </c>
      <c r="Z1296" s="102">
        <v>44567</v>
      </c>
      <c r="AA1296" s="468">
        <f>(Table6[[#This Row],[Paired WTG Generation for loss calculation]]/24)*Table6[[#This Row],[Breakdown Time]]</f>
        <v>61.898611111110888</v>
      </c>
      <c r="AB1296" s="102"/>
      <c r="AC1296" s="35"/>
      <c r="AD1296" s="35"/>
    </row>
    <row r="1297" spans="1:30">
      <c r="A1297" s="102">
        <f t="shared" si="21"/>
        <v>1296</v>
      </c>
      <c r="B1297" s="468">
        <f>YEAR(Table6[[#This Row],[Date]])+IF(MONTH(Table6[[#This Row],[Date]])&gt;=4,1,0)</f>
        <v>2026</v>
      </c>
      <c r="C1297" s="102">
        <f>YEAR(Table6[[#This Row],[Date]])</f>
        <v>2025</v>
      </c>
      <c r="D1297" s="102" t="s">
        <v>1992</v>
      </c>
      <c r="E1297" s="469">
        <f>Table6[[#This Row],[Date]]-DAY(Table6[[#This Row],[Date]])+1</f>
        <v>45809</v>
      </c>
      <c r="F1297" s="470">
        <v>45832</v>
      </c>
      <c r="G1297" s="35" t="s">
        <v>77</v>
      </c>
      <c r="H1297" s="35" t="str">
        <f>IFERROR(_xlfn.XLOOKUP(Table6[[#This Row],[Affected WTG]],'Basic Data'!$A:$A,'Basic Data'!$B:$B),"")</f>
        <v>TQGXIIPL</v>
      </c>
      <c r="I1297" s="35" t="str">
        <f>IFERROR(_xlfn.XLOOKUP(Table6[[#This Row],[Affected WTG]],'Basic Data'!$A:$A,'Basic Data'!$C:$C),"")</f>
        <v>GEDA</v>
      </c>
      <c r="J1297" s="471">
        <f>IFERROR(_xlfn.XLOOKUP(Table6[[#This Row],[Affected WTG]],'Basic Data'!$A:$A,'Basic Data'!$E:$E),"")</f>
        <v>3.846153846153845E-2</v>
      </c>
      <c r="K1297" s="102">
        <v>6130</v>
      </c>
      <c r="L1297" s="35" t="str">
        <f>IFERROR(_xlfn.XLOOKUP(Table6[[#This Row],[Error Code]],'Basic Data'!$AA:$AA,'Basic Data'!$AB:$AB),"Incorrect Error Code")</f>
        <v>Yaw speed high</v>
      </c>
      <c r="M1297" s="35" t="s">
        <v>292</v>
      </c>
      <c r="N1297" s="475"/>
      <c r="O1297" s="476">
        <v>0.11041666666666666</v>
      </c>
      <c r="P1297" s="476">
        <v>0.11041666666666666</v>
      </c>
      <c r="Q1297" s="477">
        <v>0.11180555555555556</v>
      </c>
      <c r="R1297" s="472">
        <f>IF(Table6[[#This Row],[Work Start TimeStamp]]="","",(Table6[[#This Row],[Work Start TimeStamp]]-Table6[[#This Row],[Fault Start TimeStamp]])*24)</f>
        <v>0</v>
      </c>
      <c r="S1297" s="472">
        <f>(Table6[[#This Row],[Fault Clearance time]]-Table6[[#This Row],[Work Start TimeStamp]])*24</f>
        <v>3.3333333333333548E-2</v>
      </c>
      <c r="T1297" s="472">
        <f>(Table6[[#This Row],[Fault Clearance time]]-Table6[[#This Row],[Fault Start TimeStamp]])*24</f>
        <v>3.3333333333333548E-2</v>
      </c>
      <c r="U1297" s="35" t="s">
        <v>336</v>
      </c>
      <c r="V1297" s="102" t="s">
        <v>293</v>
      </c>
      <c r="W1297" s="478">
        <f>IFERROR(Table6[[#This Row],[Breakdown Time]]*Table6[[#This Row],[Plant Equivalent Weightage]],"")</f>
        <v>1.2820512820512899E-3</v>
      </c>
      <c r="X1297" s="473" t="s">
        <v>294</v>
      </c>
      <c r="Y1297" s="474" t="s">
        <v>80</v>
      </c>
      <c r="Z1297" s="102">
        <v>44567</v>
      </c>
      <c r="AA1297" s="468">
        <f>(Table6[[#This Row],[Paired WTG Generation for loss calculation]]/24)*Table6[[#This Row],[Breakdown Time]]</f>
        <v>61.898611111111506</v>
      </c>
      <c r="AB1297" s="102"/>
      <c r="AC1297" s="35"/>
      <c r="AD1297" s="35"/>
    </row>
    <row r="1298" spans="1:30">
      <c r="A1298" s="102">
        <f t="shared" si="21"/>
        <v>1297</v>
      </c>
      <c r="B1298" s="468">
        <f>YEAR(Table6[[#This Row],[Date]])+IF(MONTH(Table6[[#This Row],[Date]])&gt;=4,1,0)</f>
        <v>2026</v>
      </c>
      <c r="C1298" s="102">
        <f>YEAR(Table6[[#This Row],[Date]])</f>
        <v>2025</v>
      </c>
      <c r="D1298" s="102" t="s">
        <v>1992</v>
      </c>
      <c r="E1298" s="469">
        <f>Table6[[#This Row],[Date]]-DAY(Table6[[#This Row],[Date]])+1</f>
        <v>45809</v>
      </c>
      <c r="F1298" s="470">
        <v>45832</v>
      </c>
      <c r="G1298" s="35" t="s">
        <v>77</v>
      </c>
      <c r="H1298" s="35" t="str">
        <f>IFERROR(_xlfn.XLOOKUP(Table6[[#This Row],[Affected WTG]],'Basic Data'!$A:$A,'Basic Data'!$B:$B),"")</f>
        <v>TQGXIIPL</v>
      </c>
      <c r="I1298" s="35" t="str">
        <f>IFERROR(_xlfn.XLOOKUP(Table6[[#This Row],[Affected WTG]],'Basic Data'!$A:$A,'Basic Data'!$C:$C),"")</f>
        <v>GEDA</v>
      </c>
      <c r="J1298" s="471">
        <f>IFERROR(_xlfn.XLOOKUP(Table6[[#This Row],[Affected WTG]],'Basic Data'!$A:$A,'Basic Data'!$E:$E),"")</f>
        <v>3.846153846153845E-2</v>
      </c>
      <c r="K1298" s="102">
        <v>4970</v>
      </c>
      <c r="L1298" s="35" t="str">
        <f>IFERROR(_xlfn.XLOOKUP(Table6[[#This Row],[Error Code]],'Basic Data'!$AA:$AA,'Basic Data'!$AB:$AB),"Incorrect Error Code")</f>
        <v>Tower oscillation XF</v>
      </c>
      <c r="M1298" s="35" t="s">
        <v>292</v>
      </c>
      <c r="N1298" s="475"/>
      <c r="O1298" s="476">
        <v>0.25208333333333333</v>
      </c>
      <c r="P1298" s="476">
        <v>0.25208333333333333</v>
      </c>
      <c r="Q1298" s="477">
        <v>0.25416666666666665</v>
      </c>
      <c r="R1298" s="472">
        <f>IF(Table6[[#This Row],[Work Start TimeStamp]]="","",(Table6[[#This Row],[Work Start TimeStamp]]-Table6[[#This Row],[Fault Start TimeStamp]])*24)</f>
        <v>0</v>
      </c>
      <c r="S1298" s="472">
        <f>(Table6[[#This Row],[Fault Clearance time]]-Table6[[#This Row],[Work Start TimeStamp]])*24</f>
        <v>4.9999999999999822E-2</v>
      </c>
      <c r="T1298" s="472">
        <f>(Table6[[#This Row],[Fault Clearance time]]-Table6[[#This Row],[Fault Start TimeStamp]])*24</f>
        <v>4.9999999999999822E-2</v>
      </c>
      <c r="U1298" s="35" t="s">
        <v>336</v>
      </c>
      <c r="V1298" s="102" t="s">
        <v>293</v>
      </c>
      <c r="W1298" s="478">
        <f>IFERROR(Table6[[#This Row],[Breakdown Time]]*Table6[[#This Row],[Plant Equivalent Weightage]],"")</f>
        <v>1.9230769230769156E-3</v>
      </c>
      <c r="X1298" s="473" t="s">
        <v>294</v>
      </c>
      <c r="Y1298" s="474" t="s">
        <v>80</v>
      </c>
      <c r="Z1298" s="102">
        <v>44567</v>
      </c>
      <c r="AA1298" s="468">
        <f>(Table6[[#This Row],[Paired WTG Generation for loss calculation]]/24)*Table6[[#This Row],[Breakdown Time]]</f>
        <v>92.847916666666336</v>
      </c>
      <c r="AB1298" s="102"/>
      <c r="AC1298" s="35"/>
      <c r="AD1298" s="35"/>
    </row>
    <row r="1299" spans="1:30">
      <c r="A1299" s="102">
        <f t="shared" si="21"/>
        <v>1298</v>
      </c>
      <c r="B1299" s="468">
        <f>YEAR(Table6[[#This Row],[Date]])+IF(MONTH(Table6[[#This Row],[Date]])&gt;=4,1,0)</f>
        <v>2026</v>
      </c>
      <c r="C1299" s="102">
        <f>YEAR(Table6[[#This Row],[Date]])</f>
        <v>2025</v>
      </c>
      <c r="D1299" s="102" t="s">
        <v>1992</v>
      </c>
      <c r="E1299" s="469">
        <f>Table6[[#This Row],[Date]]-DAY(Table6[[#This Row],[Date]])+1</f>
        <v>45809</v>
      </c>
      <c r="F1299" s="470">
        <v>45832</v>
      </c>
      <c r="G1299" s="35" t="s">
        <v>77</v>
      </c>
      <c r="H1299" s="35" t="str">
        <f>IFERROR(_xlfn.XLOOKUP(Table6[[#This Row],[Affected WTG]],'Basic Data'!$A:$A,'Basic Data'!$B:$B),"")</f>
        <v>TQGXIIPL</v>
      </c>
      <c r="I1299" s="35" t="str">
        <f>IFERROR(_xlfn.XLOOKUP(Table6[[#This Row],[Affected WTG]],'Basic Data'!$A:$A,'Basic Data'!$C:$C),"")</f>
        <v>GEDA</v>
      </c>
      <c r="J1299" s="471">
        <f>IFERROR(_xlfn.XLOOKUP(Table6[[#This Row],[Affected WTG]],'Basic Data'!$A:$A,'Basic Data'!$E:$E),"")</f>
        <v>3.846153846153845E-2</v>
      </c>
      <c r="K1299" s="102">
        <v>6130</v>
      </c>
      <c r="L1299" s="35" t="str">
        <f>IFERROR(_xlfn.XLOOKUP(Table6[[#This Row],[Error Code]],'Basic Data'!$AA:$AA,'Basic Data'!$AB:$AB),"Incorrect Error Code")</f>
        <v>Yaw speed high</v>
      </c>
      <c r="M1299" s="35" t="s">
        <v>292</v>
      </c>
      <c r="N1299" s="475"/>
      <c r="O1299" s="476">
        <v>0.31458333333333333</v>
      </c>
      <c r="P1299" s="476">
        <v>0.31458333333333333</v>
      </c>
      <c r="Q1299" s="477">
        <v>0.31527777777777777</v>
      </c>
      <c r="R1299" s="472">
        <f>IF(Table6[[#This Row],[Work Start TimeStamp]]="","",(Table6[[#This Row],[Work Start TimeStamp]]-Table6[[#This Row],[Fault Start TimeStamp]])*24)</f>
        <v>0</v>
      </c>
      <c r="S1299" s="472">
        <f>(Table6[[#This Row],[Fault Clearance time]]-Table6[[#This Row],[Work Start TimeStamp]])*24</f>
        <v>1.6666666666666607E-2</v>
      </c>
      <c r="T1299" s="472">
        <f>(Table6[[#This Row],[Fault Clearance time]]-Table6[[#This Row],[Fault Start TimeStamp]])*24</f>
        <v>1.6666666666666607E-2</v>
      </c>
      <c r="U1299" s="35" t="s">
        <v>336</v>
      </c>
      <c r="V1299" s="102" t="s">
        <v>293</v>
      </c>
      <c r="W1299" s="478">
        <f>IFERROR(Table6[[#This Row],[Breakdown Time]]*Table6[[#This Row],[Plant Equivalent Weightage]],"")</f>
        <v>6.4102564102563853E-4</v>
      </c>
      <c r="X1299" s="473" t="s">
        <v>294</v>
      </c>
      <c r="Y1299" s="474" t="s">
        <v>80</v>
      </c>
      <c r="Z1299" s="102">
        <v>44567</v>
      </c>
      <c r="AA1299" s="468">
        <f>(Table6[[#This Row],[Paired WTG Generation for loss calculation]]/24)*Table6[[#This Row],[Breakdown Time]]</f>
        <v>30.949305555555444</v>
      </c>
      <c r="AB1299" s="102"/>
      <c r="AC1299" s="35"/>
      <c r="AD1299" s="35"/>
    </row>
    <row r="1300" spans="1:30">
      <c r="A1300" s="102">
        <f t="shared" si="21"/>
        <v>1299</v>
      </c>
      <c r="B1300" s="468">
        <f>YEAR(Table6[[#This Row],[Date]])+IF(MONTH(Table6[[#This Row],[Date]])&gt;=4,1,0)</f>
        <v>2026</v>
      </c>
      <c r="C1300" s="102">
        <f>YEAR(Table6[[#This Row],[Date]])</f>
        <v>2025</v>
      </c>
      <c r="D1300" s="102" t="s">
        <v>1992</v>
      </c>
      <c r="E1300" s="469">
        <f>Table6[[#This Row],[Date]]-DAY(Table6[[#This Row],[Date]])+1</f>
        <v>45809</v>
      </c>
      <c r="F1300" s="470">
        <v>45832</v>
      </c>
      <c r="G1300" s="35" t="s">
        <v>78</v>
      </c>
      <c r="H1300" s="35" t="str">
        <f>IFERROR(_xlfn.XLOOKUP(Table6[[#This Row],[Affected WTG]],'Basic Data'!$A:$A,'Basic Data'!$B:$B),"")</f>
        <v>TQGXIIPL</v>
      </c>
      <c r="I1300" s="35" t="str">
        <f>IFERROR(_xlfn.XLOOKUP(Table6[[#This Row],[Affected WTG]],'Basic Data'!$A:$A,'Basic Data'!$C:$C),"")</f>
        <v>GEDA</v>
      </c>
      <c r="J1300" s="471">
        <f>IFERROR(_xlfn.XLOOKUP(Table6[[#This Row],[Affected WTG]],'Basic Data'!$A:$A,'Basic Data'!$E:$E),"")</f>
        <v>3.846153846153845E-2</v>
      </c>
      <c r="K1300" s="102">
        <v>3000</v>
      </c>
      <c r="L1300" s="35" t="str">
        <f>IFERROR(_xlfn.XLOOKUP(Table6[[#This Row],[Error Code]],'Basic Data'!$AA:$AA,'Basic Data'!$AB:$AB),"Incorrect Error Code")</f>
        <v>Frequency converter not ready</v>
      </c>
      <c r="M1300" s="35" t="s">
        <v>291</v>
      </c>
      <c r="N1300" s="475"/>
      <c r="O1300" s="476">
        <v>0.16041666666666668</v>
      </c>
      <c r="P1300" s="476">
        <v>0.16041666666666668</v>
      </c>
      <c r="Q1300" s="477">
        <v>0.1736111111111111</v>
      </c>
      <c r="R1300" s="472">
        <f>IF(Table6[[#This Row],[Work Start TimeStamp]]="","",(Table6[[#This Row],[Work Start TimeStamp]]-Table6[[#This Row],[Fault Start TimeStamp]])*24)</f>
        <v>0</v>
      </c>
      <c r="S1300" s="472">
        <f>(Table6[[#This Row],[Fault Clearance time]]-Table6[[#This Row],[Work Start TimeStamp]])*24</f>
        <v>0.31666666666666621</v>
      </c>
      <c r="T1300" s="472">
        <f>(Table6[[#This Row],[Fault Clearance time]]-Table6[[#This Row],[Fault Start TimeStamp]])*24</f>
        <v>0.31666666666666621</v>
      </c>
      <c r="U1300" s="35" t="s">
        <v>1924</v>
      </c>
      <c r="V1300" s="102" t="s">
        <v>293</v>
      </c>
      <c r="W1300" s="478">
        <f>IFERROR(Table6[[#This Row],[Breakdown Time]]*Table6[[#This Row],[Plant Equivalent Weightage]],"")</f>
        <v>1.2179487179487159E-2</v>
      </c>
      <c r="X1300" s="473" t="s">
        <v>290</v>
      </c>
      <c r="Y1300" s="474" t="s">
        <v>75</v>
      </c>
      <c r="Z1300" s="102">
        <v>46613</v>
      </c>
      <c r="AA1300" s="468">
        <f>(Table6[[#This Row],[Paired WTG Generation for loss calculation]]/24)*Table6[[#This Row],[Breakdown Time]]</f>
        <v>615.03263888888796</v>
      </c>
      <c r="AB1300" s="102"/>
      <c r="AC1300" s="35"/>
      <c r="AD1300" s="35"/>
    </row>
    <row r="1301" spans="1:30">
      <c r="A1301" s="102">
        <f t="shared" si="21"/>
        <v>1300</v>
      </c>
      <c r="B1301" s="468">
        <f>YEAR(Table6[[#This Row],[Date]])+IF(MONTH(Table6[[#This Row],[Date]])&gt;=4,1,0)</f>
        <v>2026</v>
      </c>
      <c r="C1301" s="102">
        <f>YEAR(Table6[[#This Row],[Date]])</f>
        <v>2025</v>
      </c>
      <c r="D1301" s="102" t="s">
        <v>1992</v>
      </c>
      <c r="E1301" s="469">
        <f>Table6[[#This Row],[Date]]-DAY(Table6[[#This Row],[Date]])+1</f>
        <v>45809</v>
      </c>
      <c r="F1301" s="470">
        <v>45832</v>
      </c>
      <c r="G1301" s="35" t="s">
        <v>81</v>
      </c>
      <c r="H1301" s="35" t="str">
        <f>IFERROR(_xlfn.XLOOKUP(Table6[[#This Row],[Affected WTG]],'Basic Data'!$A:$A,'Basic Data'!$B:$B),"")</f>
        <v>TQGXIIPL</v>
      </c>
      <c r="I1301" s="35" t="str">
        <f>IFERROR(_xlfn.XLOOKUP(Table6[[#This Row],[Affected WTG]],'Basic Data'!$A:$A,'Basic Data'!$C:$C),"")</f>
        <v>GEDA</v>
      </c>
      <c r="J1301" s="471">
        <f>IFERROR(_xlfn.XLOOKUP(Table6[[#This Row],[Affected WTG]],'Basic Data'!$A:$A,'Basic Data'!$E:$E),"")</f>
        <v>3.846153846153845E-2</v>
      </c>
      <c r="K1301" s="102">
        <v>665</v>
      </c>
      <c r="L1301" s="35" t="str">
        <f>IFERROR(_xlfn.XLOOKUP(Table6[[#This Row],[Error Code]],'Basic Data'!$AA:$AA,'Basic Data'!$AB:$AB),"Incorrect Error Code")</f>
        <v>Pitch error</v>
      </c>
      <c r="M1301" s="35" t="s">
        <v>292</v>
      </c>
      <c r="N1301" s="475"/>
      <c r="O1301" s="476">
        <v>2.0833333333333333E-3</v>
      </c>
      <c r="P1301" s="476">
        <v>2.0833333333333333E-3</v>
      </c>
      <c r="Q1301" s="477">
        <v>4.1666666666666666E-3</v>
      </c>
      <c r="R1301" s="472">
        <f>IF(Table6[[#This Row],[Work Start TimeStamp]]="","",(Table6[[#This Row],[Work Start TimeStamp]]-Table6[[#This Row],[Fault Start TimeStamp]])*24)</f>
        <v>0</v>
      </c>
      <c r="S1301" s="472">
        <f>(Table6[[#This Row],[Fault Clearance time]]-Table6[[#This Row],[Work Start TimeStamp]])*24</f>
        <v>0.05</v>
      </c>
      <c r="T1301" s="472">
        <f>(Table6[[#This Row],[Fault Clearance time]]-Table6[[#This Row],[Fault Start TimeStamp]])*24</f>
        <v>0.05</v>
      </c>
      <c r="U1301" s="35" t="s">
        <v>336</v>
      </c>
      <c r="V1301" s="102" t="s">
        <v>293</v>
      </c>
      <c r="W1301" s="478">
        <f>IFERROR(Table6[[#This Row],[Breakdown Time]]*Table6[[#This Row],[Plant Equivalent Weightage]],"")</f>
        <v>1.9230769230769225E-3</v>
      </c>
      <c r="X1301" s="473" t="s">
        <v>294</v>
      </c>
      <c r="Y1301" s="474" t="s">
        <v>99</v>
      </c>
      <c r="Z1301" s="102">
        <v>45247</v>
      </c>
      <c r="AA1301" s="468">
        <f>(Table6[[#This Row],[Paired WTG Generation for loss calculation]]/24)*Table6[[#This Row],[Breakdown Time]]</f>
        <v>94.264583333333348</v>
      </c>
      <c r="AB1301" s="102"/>
      <c r="AC1301" s="35"/>
      <c r="AD1301" s="35"/>
    </row>
    <row r="1302" spans="1:30">
      <c r="A1302" s="102">
        <f t="shared" si="21"/>
        <v>1301</v>
      </c>
      <c r="B1302" s="468">
        <f>YEAR(Table6[[#This Row],[Date]])+IF(MONTH(Table6[[#This Row],[Date]])&gt;=4,1,0)</f>
        <v>2026</v>
      </c>
      <c r="C1302" s="102">
        <f>YEAR(Table6[[#This Row],[Date]])</f>
        <v>2025</v>
      </c>
      <c r="D1302" s="102" t="s">
        <v>1992</v>
      </c>
      <c r="E1302" s="469">
        <f>Table6[[#This Row],[Date]]-DAY(Table6[[#This Row],[Date]])+1</f>
        <v>45809</v>
      </c>
      <c r="F1302" s="470">
        <v>45832</v>
      </c>
      <c r="G1302" s="35" t="s">
        <v>81</v>
      </c>
      <c r="H1302" s="35" t="str">
        <f>IFERROR(_xlfn.XLOOKUP(Table6[[#This Row],[Affected WTG]],'Basic Data'!$A:$A,'Basic Data'!$B:$B),"")</f>
        <v>TQGXIIPL</v>
      </c>
      <c r="I1302" s="35" t="str">
        <f>IFERROR(_xlfn.XLOOKUP(Table6[[#This Row],[Affected WTG]],'Basic Data'!$A:$A,'Basic Data'!$C:$C),"")</f>
        <v>GEDA</v>
      </c>
      <c r="J1302" s="471">
        <f>IFERROR(_xlfn.XLOOKUP(Table6[[#This Row],[Affected WTG]],'Basic Data'!$A:$A,'Basic Data'!$E:$E),"")</f>
        <v>3.846153846153845E-2</v>
      </c>
      <c r="K1302" s="102">
        <v>641</v>
      </c>
      <c r="L1302" s="35" t="str">
        <f>IFERROR(_xlfn.XLOOKUP(Table6[[#This Row],[Error Code]],'Basic Data'!$AA:$AA,'Basic Data'!$AB:$AB),"Incorrect Error Code")</f>
        <v>Sim.angle E enc. &lt;&gt; act.angle 1</v>
      </c>
      <c r="M1302" s="35" t="s">
        <v>292</v>
      </c>
      <c r="N1302" s="475"/>
      <c r="O1302" s="476">
        <v>2.7777777777777776E-2</v>
      </c>
      <c r="P1302" s="476">
        <v>2.7777777777777776E-2</v>
      </c>
      <c r="Q1302" s="477">
        <v>2.9166666666666667E-2</v>
      </c>
      <c r="R1302" s="472">
        <f>IF(Table6[[#This Row],[Work Start TimeStamp]]="","",(Table6[[#This Row],[Work Start TimeStamp]]-Table6[[#This Row],[Fault Start TimeStamp]])*24)</f>
        <v>0</v>
      </c>
      <c r="S1302" s="472">
        <f>(Table6[[#This Row],[Fault Clearance time]]-Table6[[#This Row],[Work Start TimeStamp]])*24</f>
        <v>3.3333333333333381E-2</v>
      </c>
      <c r="T1302" s="472">
        <f>(Table6[[#This Row],[Fault Clearance time]]-Table6[[#This Row],[Fault Start TimeStamp]])*24</f>
        <v>3.3333333333333381E-2</v>
      </c>
      <c r="U1302" s="35" t="s">
        <v>336</v>
      </c>
      <c r="V1302" s="102" t="s">
        <v>293</v>
      </c>
      <c r="W1302" s="478">
        <f>IFERROR(Table6[[#This Row],[Breakdown Time]]*Table6[[#This Row],[Plant Equivalent Weightage]],"")</f>
        <v>1.2820512820512836E-3</v>
      </c>
      <c r="X1302" s="473" t="s">
        <v>294</v>
      </c>
      <c r="Y1302" s="474" t="s">
        <v>99</v>
      </c>
      <c r="Z1302" s="102">
        <v>45247</v>
      </c>
      <c r="AA1302" s="468">
        <f>(Table6[[#This Row],[Paired WTG Generation for loss calculation]]/24)*Table6[[#This Row],[Breakdown Time]]</f>
        <v>62.843055555555651</v>
      </c>
      <c r="AB1302" s="102"/>
      <c r="AC1302" s="35"/>
      <c r="AD1302" s="35"/>
    </row>
    <row r="1303" spans="1:30">
      <c r="A1303" s="102">
        <f t="shared" si="21"/>
        <v>1302</v>
      </c>
      <c r="B1303" s="468">
        <f>YEAR(Table6[[#This Row],[Date]])+IF(MONTH(Table6[[#This Row],[Date]])&gt;=4,1,0)</f>
        <v>2026</v>
      </c>
      <c r="C1303" s="102">
        <f>YEAR(Table6[[#This Row],[Date]])</f>
        <v>2025</v>
      </c>
      <c r="D1303" s="102" t="s">
        <v>1992</v>
      </c>
      <c r="E1303" s="469">
        <f>Table6[[#This Row],[Date]]-DAY(Table6[[#This Row],[Date]])+1</f>
        <v>45809</v>
      </c>
      <c r="F1303" s="470">
        <v>45832</v>
      </c>
      <c r="G1303" s="35" t="s">
        <v>81</v>
      </c>
      <c r="H1303" s="35" t="str">
        <f>IFERROR(_xlfn.XLOOKUP(Table6[[#This Row],[Affected WTG]],'Basic Data'!$A:$A,'Basic Data'!$B:$B),"")</f>
        <v>TQGXIIPL</v>
      </c>
      <c r="I1303" s="35" t="str">
        <f>IFERROR(_xlfn.XLOOKUP(Table6[[#This Row],[Affected WTG]],'Basic Data'!$A:$A,'Basic Data'!$C:$C),"")</f>
        <v>GEDA</v>
      </c>
      <c r="J1303" s="471">
        <f>IFERROR(_xlfn.XLOOKUP(Table6[[#This Row],[Affected WTG]],'Basic Data'!$A:$A,'Basic Data'!$E:$E),"")</f>
        <v>3.846153846153845E-2</v>
      </c>
      <c r="K1303" s="102">
        <v>641</v>
      </c>
      <c r="L1303" s="35" t="str">
        <f>IFERROR(_xlfn.XLOOKUP(Table6[[#This Row],[Error Code]],'Basic Data'!$AA:$AA,'Basic Data'!$AB:$AB),"Incorrect Error Code")</f>
        <v>Sim.angle E enc. &lt;&gt; act.angle 1</v>
      </c>
      <c r="M1303" s="35" t="s">
        <v>291</v>
      </c>
      <c r="N1303" s="475"/>
      <c r="O1303" s="476">
        <v>0.05</v>
      </c>
      <c r="P1303" s="476">
        <v>0.05</v>
      </c>
      <c r="Q1303" s="477">
        <v>5.347222222222222E-2</v>
      </c>
      <c r="R1303" s="472">
        <f>IF(Table6[[#This Row],[Work Start TimeStamp]]="","",(Table6[[#This Row],[Work Start TimeStamp]]-Table6[[#This Row],[Fault Start TimeStamp]])*24)</f>
        <v>0</v>
      </c>
      <c r="S1303" s="472">
        <f>(Table6[[#This Row],[Fault Clearance time]]-Table6[[#This Row],[Work Start TimeStamp]])*24</f>
        <v>8.3333333333333204E-2</v>
      </c>
      <c r="T1303" s="472">
        <f>(Table6[[#This Row],[Fault Clearance time]]-Table6[[#This Row],[Fault Start TimeStamp]])*24</f>
        <v>8.3333333333333204E-2</v>
      </c>
      <c r="U1303" s="35" t="s">
        <v>1924</v>
      </c>
      <c r="V1303" s="102" t="s">
        <v>293</v>
      </c>
      <c r="W1303" s="478">
        <f>IFERROR(Table6[[#This Row],[Breakdown Time]]*Table6[[#This Row],[Plant Equivalent Weightage]],"")</f>
        <v>3.2051282051281994E-3</v>
      </c>
      <c r="X1303" s="473" t="s">
        <v>290</v>
      </c>
      <c r="Y1303" s="474" t="s">
        <v>99</v>
      </c>
      <c r="Z1303" s="102">
        <v>45247</v>
      </c>
      <c r="AA1303" s="468">
        <f>(Table6[[#This Row],[Paired WTG Generation for loss calculation]]/24)*Table6[[#This Row],[Breakdown Time]]</f>
        <v>157.10763888888866</v>
      </c>
      <c r="AB1303" s="102"/>
      <c r="AC1303" s="35"/>
      <c r="AD1303" s="35"/>
    </row>
    <row r="1304" spans="1:30">
      <c r="A1304" s="102">
        <f t="shared" si="21"/>
        <v>1303</v>
      </c>
      <c r="B1304" s="468">
        <f>YEAR(Table6[[#This Row],[Date]])+IF(MONTH(Table6[[#This Row],[Date]])&gt;=4,1,0)</f>
        <v>2026</v>
      </c>
      <c r="C1304" s="102">
        <f>YEAR(Table6[[#This Row],[Date]])</f>
        <v>2025</v>
      </c>
      <c r="D1304" s="102" t="s">
        <v>1992</v>
      </c>
      <c r="E1304" s="469">
        <f>Table6[[#This Row],[Date]]-DAY(Table6[[#This Row],[Date]])+1</f>
        <v>45809</v>
      </c>
      <c r="F1304" s="470">
        <v>45832</v>
      </c>
      <c r="G1304" s="35" t="s">
        <v>81</v>
      </c>
      <c r="H1304" s="35" t="str">
        <f>IFERROR(_xlfn.XLOOKUP(Table6[[#This Row],[Affected WTG]],'Basic Data'!$A:$A,'Basic Data'!$B:$B),"")</f>
        <v>TQGXIIPL</v>
      </c>
      <c r="I1304" s="35" t="str">
        <f>IFERROR(_xlfn.XLOOKUP(Table6[[#This Row],[Affected WTG]],'Basic Data'!$A:$A,'Basic Data'!$C:$C),"")</f>
        <v>GEDA</v>
      </c>
      <c r="J1304" s="471">
        <f>IFERROR(_xlfn.XLOOKUP(Table6[[#This Row],[Affected WTG]],'Basic Data'!$A:$A,'Basic Data'!$E:$E),"")</f>
        <v>3.846153846153845E-2</v>
      </c>
      <c r="K1304" s="102">
        <v>665</v>
      </c>
      <c r="L1304" s="35" t="str">
        <f>IFERROR(_xlfn.XLOOKUP(Table6[[#This Row],[Error Code]],'Basic Data'!$AA:$AA,'Basic Data'!$AB:$AB),"Incorrect Error Code")</f>
        <v>Pitch error</v>
      </c>
      <c r="M1304" s="35" t="s">
        <v>291</v>
      </c>
      <c r="N1304" s="475"/>
      <c r="O1304" s="476">
        <v>6.8750000000000006E-2</v>
      </c>
      <c r="P1304" s="476">
        <v>6.8750000000000006E-2</v>
      </c>
      <c r="Q1304" s="477">
        <v>7.2916666666666671E-2</v>
      </c>
      <c r="R1304" s="472">
        <f>IF(Table6[[#This Row],[Work Start TimeStamp]]="","",(Table6[[#This Row],[Work Start TimeStamp]]-Table6[[#This Row],[Fault Start TimeStamp]])*24)</f>
        <v>0</v>
      </c>
      <c r="S1304" s="472">
        <f>(Table6[[#This Row],[Fault Clearance time]]-Table6[[#This Row],[Work Start TimeStamp]])*24</f>
        <v>9.9999999999999978E-2</v>
      </c>
      <c r="T1304" s="472">
        <f>(Table6[[#This Row],[Fault Clearance time]]-Table6[[#This Row],[Fault Start TimeStamp]])*24</f>
        <v>9.9999999999999978E-2</v>
      </c>
      <c r="U1304" s="35" t="s">
        <v>1924</v>
      </c>
      <c r="V1304" s="102" t="s">
        <v>293</v>
      </c>
      <c r="W1304" s="478">
        <f>IFERROR(Table6[[#This Row],[Breakdown Time]]*Table6[[#This Row],[Plant Equivalent Weightage]],"")</f>
        <v>3.8461538461538442E-3</v>
      </c>
      <c r="X1304" s="473" t="s">
        <v>290</v>
      </c>
      <c r="Y1304" s="474" t="s">
        <v>99</v>
      </c>
      <c r="Z1304" s="102">
        <v>45247</v>
      </c>
      <c r="AA1304" s="468">
        <f>(Table6[[#This Row],[Paired WTG Generation for loss calculation]]/24)*Table6[[#This Row],[Breakdown Time]]</f>
        <v>188.52916666666664</v>
      </c>
      <c r="AB1304" s="102"/>
      <c r="AC1304" s="35"/>
      <c r="AD1304" s="35"/>
    </row>
    <row r="1305" spans="1:30">
      <c r="A1305" s="102">
        <f t="shared" si="21"/>
        <v>1304</v>
      </c>
      <c r="B1305" s="468">
        <f>YEAR(Table6[[#This Row],[Date]])+IF(MONTH(Table6[[#This Row],[Date]])&gt;=4,1,0)</f>
        <v>2026</v>
      </c>
      <c r="C1305" s="102">
        <f>YEAR(Table6[[#This Row],[Date]])</f>
        <v>2025</v>
      </c>
      <c r="D1305" s="102" t="s">
        <v>1992</v>
      </c>
      <c r="E1305" s="469">
        <f>Table6[[#This Row],[Date]]-DAY(Table6[[#This Row],[Date]])+1</f>
        <v>45809</v>
      </c>
      <c r="F1305" s="470">
        <v>45832</v>
      </c>
      <c r="G1305" s="35" t="s">
        <v>81</v>
      </c>
      <c r="H1305" s="35" t="str">
        <f>IFERROR(_xlfn.XLOOKUP(Table6[[#This Row],[Affected WTG]],'Basic Data'!$A:$A,'Basic Data'!$B:$B),"")</f>
        <v>TQGXIIPL</v>
      </c>
      <c r="I1305" s="35" t="str">
        <f>IFERROR(_xlfn.XLOOKUP(Table6[[#This Row],[Affected WTG]],'Basic Data'!$A:$A,'Basic Data'!$C:$C),"")</f>
        <v>GEDA</v>
      </c>
      <c r="J1305" s="471">
        <f>IFERROR(_xlfn.XLOOKUP(Table6[[#This Row],[Affected WTG]],'Basic Data'!$A:$A,'Basic Data'!$E:$E),"")</f>
        <v>3.846153846153845E-2</v>
      </c>
      <c r="K1305" s="102">
        <v>741</v>
      </c>
      <c r="L1305" s="35" t="str">
        <f>IFERROR(_xlfn.XLOOKUP(Table6[[#This Row],[Error Code]],'Basic Data'!$AA:$AA,'Basic Data'!$AB:$AB),"Incorrect Error Code")</f>
        <v>Battery drive trigger by HC</v>
      </c>
      <c r="M1305" s="35" t="s">
        <v>291</v>
      </c>
      <c r="N1305" s="475"/>
      <c r="O1305" s="476">
        <v>0.12777777777777777</v>
      </c>
      <c r="P1305" s="476">
        <v>0.12777777777777777</v>
      </c>
      <c r="Q1305" s="477">
        <v>0.13402777777777777</v>
      </c>
      <c r="R1305" s="472">
        <f>IF(Table6[[#This Row],[Work Start TimeStamp]]="","",(Table6[[#This Row],[Work Start TimeStamp]]-Table6[[#This Row],[Fault Start TimeStamp]])*24)</f>
        <v>0</v>
      </c>
      <c r="S1305" s="472">
        <f>(Table6[[#This Row],[Fault Clearance time]]-Table6[[#This Row],[Work Start TimeStamp]])*24</f>
        <v>0.15000000000000013</v>
      </c>
      <c r="T1305" s="472">
        <f>(Table6[[#This Row],[Fault Clearance time]]-Table6[[#This Row],[Fault Start TimeStamp]])*24</f>
        <v>0.15000000000000013</v>
      </c>
      <c r="U1305" s="35" t="s">
        <v>1924</v>
      </c>
      <c r="V1305" s="102" t="s">
        <v>293</v>
      </c>
      <c r="W1305" s="478">
        <f>IFERROR(Table6[[#This Row],[Breakdown Time]]*Table6[[#This Row],[Plant Equivalent Weightage]],"")</f>
        <v>5.769230769230773E-3</v>
      </c>
      <c r="X1305" s="473" t="s">
        <v>290</v>
      </c>
      <c r="Y1305" s="474" t="s">
        <v>99</v>
      </c>
      <c r="Z1305" s="102">
        <v>45247</v>
      </c>
      <c r="AA1305" s="468">
        <f>(Table6[[#This Row],[Paired WTG Generation for loss calculation]]/24)*Table6[[#This Row],[Breakdown Time]]</f>
        <v>282.79375000000027</v>
      </c>
      <c r="AB1305" s="102"/>
      <c r="AC1305" s="35"/>
      <c r="AD1305" s="35"/>
    </row>
    <row r="1306" spans="1:30">
      <c r="A1306" s="102">
        <f t="shared" si="21"/>
        <v>1305</v>
      </c>
      <c r="B1306" s="468">
        <f>YEAR(Table6[[#This Row],[Date]])+IF(MONTH(Table6[[#This Row],[Date]])&gt;=4,1,0)</f>
        <v>2026</v>
      </c>
      <c r="C1306" s="102">
        <f>YEAR(Table6[[#This Row],[Date]])</f>
        <v>2025</v>
      </c>
      <c r="D1306" s="102" t="s">
        <v>1992</v>
      </c>
      <c r="E1306" s="469">
        <f>Table6[[#This Row],[Date]]-DAY(Table6[[#This Row],[Date]])+1</f>
        <v>45809</v>
      </c>
      <c r="F1306" s="470">
        <v>45832</v>
      </c>
      <c r="G1306" s="35" t="s">
        <v>81</v>
      </c>
      <c r="H1306" s="35" t="str">
        <f>IFERROR(_xlfn.XLOOKUP(Table6[[#This Row],[Affected WTG]],'Basic Data'!$A:$A,'Basic Data'!$B:$B),"")</f>
        <v>TQGXIIPL</v>
      </c>
      <c r="I1306" s="35" t="str">
        <f>IFERROR(_xlfn.XLOOKUP(Table6[[#This Row],[Affected WTG]],'Basic Data'!$A:$A,'Basic Data'!$C:$C),"")</f>
        <v>GEDA</v>
      </c>
      <c r="J1306" s="471">
        <f>IFERROR(_xlfn.XLOOKUP(Table6[[#This Row],[Affected WTG]],'Basic Data'!$A:$A,'Basic Data'!$E:$E),"")</f>
        <v>3.846153846153845E-2</v>
      </c>
      <c r="K1306" s="102">
        <v>741</v>
      </c>
      <c r="L1306" s="35" t="str">
        <f>IFERROR(_xlfn.XLOOKUP(Table6[[#This Row],[Error Code]],'Basic Data'!$AA:$AA,'Basic Data'!$AB:$AB),"Incorrect Error Code")</f>
        <v>Battery drive trigger by HC</v>
      </c>
      <c r="M1306" s="35" t="s">
        <v>291</v>
      </c>
      <c r="N1306" s="475"/>
      <c r="O1306" s="476">
        <v>0.24027777777777778</v>
      </c>
      <c r="P1306" s="476">
        <v>0.24027777777777778</v>
      </c>
      <c r="Q1306" s="477">
        <v>0.25069444444444444</v>
      </c>
      <c r="R1306" s="472">
        <f>IF(Table6[[#This Row],[Work Start TimeStamp]]="","",(Table6[[#This Row],[Work Start TimeStamp]]-Table6[[#This Row],[Fault Start TimeStamp]])*24)</f>
        <v>0</v>
      </c>
      <c r="S1306" s="472">
        <f>(Table6[[#This Row],[Fault Clearance time]]-Table6[[#This Row],[Work Start TimeStamp]])*24</f>
        <v>0.24999999999999978</v>
      </c>
      <c r="T1306" s="472">
        <f>(Table6[[#This Row],[Fault Clearance time]]-Table6[[#This Row],[Fault Start TimeStamp]])*24</f>
        <v>0.24999999999999978</v>
      </c>
      <c r="U1306" s="35" t="s">
        <v>1924</v>
      </c>
      <c r="V1306" s="102" t="s">
        <v>293</v>
      </c>
      <c r="W1306" s="478">
        <f>IFERROR(Table6[[#This Row],[Breakdown Time]]*Table6[[#This Row],[Plant Equivalent Weightage]],"")</f>
        <v>9.6153846153846038E-3</v>
      </c>
      <c r="X1306" s="473" t="s">
        <v>290</v>
      </c>
      <c r="Y1306" s="474" t="s">
        <v>99</v>
      </c>
      <c r="Z1306" s="102">
        <v>45247</v>
      </c>
      <c r="AA1306" s="468">
        <f>(Table6[[#This Row],[Paired WTG Generation for loss calculation]]/24)*Table6[[#This Row],[Breakdown Time]]</f>
        <v>471.32291666666629</v>
      </c>
      <c r="AB1306" s="102"/>
      <c r="AC1306" s="35"/>
      <c r="AD1306" s="35"/>
    </row>
    <row r="1307" spans="1:30">
      <c r="A1307" s="102">
        <f t="shared" si="21"/>
        <v>1306</v>
      </c>
      <c r="B1307" s="468">
        <f>YEAR(Table6[[#This Row],[Date]])+IF(MONTH(Table6[[#This Row],[Date]])&gt;=4,1,0)</f>
        <v>2026</v>
      </c>
      <c r="C1307" s="102">
        <f>YEAR(Table6[[#This Row],[Date]])</f>
        <v>2025</v>
      </c>
      <c r="D1307" s="102" t="s">
        <v>1992</v>
      </c>
      <c r="E1307" s="469">
        <f>Table6[[#This Row],[Date]]-DAY(Table6[[#This Row],[Date]])+1</f>
        <v>45809</v>
      </c>
      <c r="F1307" s="470">
        <v>45832</v>
      </c>
      <c r="G1307" s="35" t="s">
        <v>81</v>
      </c>
      <c r="H1307" s="35" t="str">
        <f>IFERROR(_xlfn.XLOOKUP(Table6[[#This Row],[Affected WTG]],'Basic Data'!$A:$A,'Basic Data'!$B:$B),"")</f>
        <v>TQGXIIPL</v>
      </c>
      <c r="I1307" s="35" t="str">
        <f>IFERROR(_xlfn.XLOOKUP(Table6[[#This Row],[Affected WTG]],'Basic Data'!$A:$A,'Basic Data'!$C:$C),"")</f>
        <v>GEDA</v>
      </c>
      <c r="J1307" s="471">
        <f>IFERROR(_xlfn.XLOOKUP(Table6[[#This Row],[Affected WTG]],'Basic Data'!$A:$A,'Basic Data'!$E:$E),"")</f>
        <v>3.846153846153845E-2</v>
      </c>
      <c r="K1307" s="102">
        <v>741</v>
      </c>
      <c r="L1307" s="35" t="str">
        <f>IFERROR(_xlfn.XLOOKUP(Table6[[#This Row],[Error Code]],'Basic Data'!$AA:$AA,'Basic Data'!$AB:$AB),"Incorrect Error Code")</f>
        <v>Battery drive trigger by HC</v>
      </c>
      <c r="M1307" s="35" t="s">
        <v>291</v>
      </c>
      <c r="N1307" s="475"/>
      <c r="O1307" s="476">
        <v>0.34930555555555554</v>
      </c>
      <c r="P1307" s="476">
        <v>0.34930555555555554</v>
      </c>
      <c r="Q1307" s="477">
        <v>0.3576388888888889</v>
      </c>
      <c r="R1307" s="472">
        <f>IF(Table6[[#This Row],[Work Start TimeStamp]]="","",(Table6[[#This Row],[Work Start TimeStamp]]-Table6[[#This Row],[Fault Start TimeStamp]])*24)</f>
        <v>0</v>
      </c>
      <c r="S1307" s="472">
        <f>(Table6[[#This Row],[Fault Clearance time]]-Table6[[#This Row],[Work Start TimeStamp]])*24</f>
        <v>0.20000000000000062</v>
      </c>
      <c r="T1307" s="472">
        <f>(Table6[[#This Row],[Fault Clearance time]]-Table6[[#This Row],[Fault Start TimeStamp]])*24</f>
        <v>0.20000000000000062</v>
      </c>
      <c r="U1307" s="35" t="s">
        <v>1924</v>
      </c>
      <c r="V1307" s="102" t="s">
        <v>293</v>
      </c>
      <c r="W1307" s="478">
        <f>IFERROR(Table6[[#This Row],[Breakdown Time]]*Table6[[#This Row],[Plant Equivalent Weightage]],"")</f>
        <v>7.6923076923077136E-3</v>
      </c>
      <c r="X1307" s="473" t="s">
        <v>290</v>
      </c>
      <c r="Y1307" s="474" t="s">
        <v>99</v>
      </c>
      <c r="Z1307" s="102">
        <v>45247</v>
      </c>
      <c r="AA1307" s="468">
        <f>(Table6[[#This Row],[Paired WTG Generation for loss calculation]]/24)*Table6[[#This Row],[Breakdown Time]]</f>
        <v>377.05833333333453</v>
      </c>
      <c r="AB1307" s="102"/>
      <c r="AC1307" s="35"/>
      <c r="AD1307" s="35"/>
    </row>
    <row r="1308" spans="1:30">
      <c r="A1308" s="102">
        <f t="shared" si="21"/>
        <v>1307</v>
      </c>
      <c r="B1308" s="468">
        <f>YEAR(Table6[[#This Row],[Date]])+IF(MONTH(Table6[[#This Row],[Date]])&gt;=4,1,0)</f>
        <v>2026</v>
      </c>
      <c r="C1308" s="102">
        <f>YEAR(Table6[[#This Row],[Date]])</f>
        <v>2025</v>
      </c>
      <c r="D1308" s="102" t="s">
        <v>1992</v>
      </c>
      <c r="E1308" s="469">
        <f>Table6[[#This Row],[Date]]-DAY(Table6[[#This Row],[Date]])+1</f>
        <v>45809</v>
      </c>
      <c r="F1308" s="470">
        <v>45832</v>
      </c>
      <c r="G1308" s="35" t="s">
        <v>90</v>
      </c>
      <c r="H1308" s="35" t="str">
        <f>IFERROR(_xlfn.XLOOKUP(Table6[[#This Row],[Affected WTG]],'Basic Data'!$A:$A,'Basic Data'!$B:$B),"")</f>
        <v>TQGXIIPL</v>
      </c>
      <c r="I1308" s="35" t="str">
        <f>IFERROR(_xlfn.XLOOKUP(Table6[[#This Row],[Affected WTG]],'Basic Data'!$A:$A,'Basic Data'!$C:$C),"")</f>
        <v>GEDA</v>
      </c>
      <c r="J1308" s="471">
        <f>IFERROR(_xlfn.XLOOKUP(Table6[[#This Row],[Affected WTG]],'Basic Data'!$A:$A,'Basic Data'!$E:$E),"")</f>
        <v>3.846153846153845E-2</v>
      </c>
      <c r="K1308" s="102">
        <v>3000</v>
      </c>
      <c r="L1308" s="35" t="str">
        <f>IFERROR(_xlfn.XLOOKUP(Table6[[#This Row],[Error Code]],'Basic Data'!$AA:$AA,'Basic Data'!$AB:$AB),"Incorrect Error Code")</f>
        <v>Frequency converter not ready</v>
      </c>
      <c r="M1308" s="35" t="s">
        <v>291</v>
      </c>
      <c r="N1308" s="475"/>
      <c r="O1308" s="476">
        <v>0.26319444444444445</v>
      </c>
      <c r="P1308" s="476">
        <v>0.26319444444444445</v>
      </c>
      <c r="Q1308" s="477">
        <v>0.26874999999999999</v>
      </c>
      <c r="R1308" s="472">
        <f>IF(Table6[[#This Row],[Work Start TimeStamp]]="","",(Table6[[#This Row],[Work Start TimeStamp]]-Table6[[#This Row],[Fault Start TimeStamp]])*24)</f>
        <v>0</v>
      </c>
      <c r="S1308" s="472">
        <f>(Table6[[#This Row],[Fault Clearance time]]-Table6[[#This Row],[Work Start TimeStamp]])*24</f>
        <v>0.13333333333333286</v>
      </c>
      <c r="T1308" s="472">
        <f>(Table6[[#This Row],[Fault Clearance time]]-Table6[[#This Row],[Fault Start TimeStamp]])*24</f>
        <v>0.13333333333333286</v>
      </c>
      <c r="U1308" s="35" t="s">
        <v>1924</v>
      </c>
      <c r="V1308" s="102" t="s">
        <v>293</v>
      </c>
      <c r="W1308" s="478">
        <f>IFERROR(Table6[[#This Row],[Breakdown Time]]*Table6[[#This Row],[Plant Equivalent Weightage]],"")</f>
        <v>5.1282051282051083E-3</v>
      </c>
      <c r="X1308" s="473" t="s">
        <v>290</v>
      </c>
      <c r="Y1308" s="474" t="s">
        <v>95</v>
      </c>
      <c r="Z1308" s="102">
        <v>40585</v>
      </c>
      <c r="AA1308" s="468">
        <f>(Table6[[#This Row],[Paired WTG Generation for loss calculation]]/24)*Table6[[#This Row],[Breakdown Time]]</f>
        <v>225.47222222222143</v>
      </c>
      <c r="AB1308" s="102"/>
      <c r="AC1308" s="35"/>
      <c r="AD1308" s="35"/>
    </row>
    <row r="1309" spans="1:30">
      <c r="A1309" s="102">
        <f t="shared" si="21"/>
        <v>1308</v>
      </c>
      <c r="B1309" s="468">
        <f>YEAR(Table6[[#This Row],[Date]])+IF(MONTH(Table6[[#This Row],[Date]])&gt;=4,1,0)</f>
        <v>2026</v>
      </c>
      <c r="C1309" s="102">
        <f>YEAR(Table6[[#This Row],[Date]])</f>
        <v>2025</v>
      </c>
      <c r="D1309" s="102" t="s">
        <v>1992</v>
      </c>
      <c r="E1309" s="469">
        <f>Table6[[#This Row],[Date]]-DAY(Table6[[#This Row],[Date]])+1</f>
        <v>45809</v>
      </c>
      <c r="F1309" s="470">
        <v>45832</v>
      </c>
      <c r="G1309" s="35" t="s">
        <v>91</v>
      </c>
      <c r="H1309" s="35" t="str">
        <f>IFERROR(_xlfn.XLOOKUP(Table6[[#This Row],[Affected WTG]],'Basic Data'!$A:$A,'Basic Data'!$B:$B),"")</f>
        <v>TQGXIIPL</v>
      </c>
      <c r="I1309" s="35" t="str">
        <f>IFERROR(_xlfn.XLOOKUP(Table6[[#This Row],[Affected WTG]],'Basic Data'!$A:$A,'Basic Data'!$C:$C),"")</f>
        <v>GEDA</v>
      </c>
      <c r="J1309" s="471">
        <f>IFERROR(_xlfn.XLOOKUP(Table6[[#This Row],[Affected WTG]],'Basic Data'!$A:$A,'Basic Data'!$E:$E),"")</f>
        <v>3.846153846153845E-2</v>
      </c>
      <c r="K1309" s="102">
        <v>1316</v>
      </c>
      <c r="L1309" s="35" t="str">
        <f>IFERROR(_xlfn.XLOOKUP(Table6[[#This Row],[Error Code]],'Basic Data'!$AA:$AA,'Basic Data'!$AB:$AB),"Incorrect Error Code")</f>
        <v>Timeout fault rotor bear. lubr.</v>
      </c>
      <c r="M1309" s="35" t="s">
        <v>291</v>
      </c>
      <c r="N1309" s="475"/>
      <c r="O1309" s="476">
        <v>3.2638888888888891E-2</v>
      </c>
      <c r="P1309" s="476">
        <v>3.2638888888888891E-2</v>
      </c>
      <c r="Q1309" s="477">
        <v>3.7499999999999999E-2</v>
      </c>
      <c r="R1309" s="472">
        <f>IF(Table6[[#This Row],[Work Start TimeStamp]]="","",(Table6[[#This Row],[Work Start TimeStamp]]-Table6[[#This Row],[Fault Start TimeStamp]])*24)</f>
        <v>0</v>
      </c>
      <c r="S1309" s="472">
        <f>(Table6[[#This Row],[Fault Clearance time]]-Table6[[#This Row],[Work Start TimeStamp]])*24</f>
        <v>0.11666666666666659</v>
      </c>
      <c r="T1309" s="472">
        <f>(Table6[[#This Row],[Fault Clearance time]]-Table6[[#This Row],[Fault Start TimeStamp]])*24</f>
        <v>0.11666666666666659</v>
      </c>
      <c r="U1309" s="35" t="s">
        <v>1924</v>
      </c>
      <c r="V1309" s="102" t="s">
        <v>293</v>
      </c>
      <c r="W1309" s="478">
        <f>IFERROR(Table6[[#This Row],[Breakdown Time]]*Table6[[#This Row],[Plant Equivalent Weightage]],"")</f>
        <v>4.4871794871794825E-3</v>
      </c>
      <c r="X1309" s="473" t="s">
        <v>290</v>
      </c>
      <c r="Y1309" s="474" t="s">
        <v>79</v>
      </c>
      <c r="Z1309" s="102">
        <v>42185</v>
      </c>
      <c r="AA1309" s="468">
        <f>(Table6[[#This Row],[Paired WTG Generation for loss calculation]]/24)*Table6[[#This Row],[Breakdown Time]]</f>
        <v>205.06597222222206</v>
      </c>
      <c r="AB1309" s="102"/>
      <c r="AC1309" s="35"/>
      <c r="AD1309" s="35"/>
    </row>
    <row r="1310" spans="1:30">
      <c r="A1310" s="102">
        <f t="shared" si="21"/>
        <v>1309</v>
      </c>
      <c r="B1310" s="468">
        <f>YEAR(Table6[[#This Row],[Date]])+IF(MONTH(Table6[[#This Row],[Date]])&gt;=4,1,0)</f>
        <v>2026</v>
      </c>
      <c r="C1310" s="102">
        <f>YEAR(Table6[[#This Row],[Date]])</f>
        <v>2025</v>
      </c>
      <c r="D1310" s="102" t="s">
        <v>1992</v>
      </c>
      <c r="E1310" s="469">
        <f>Table6[[#This Row],[Date]]-DAY(Table6[[#This Row],[Date]])+1</f>
        <v>45809</v>
      </c>
      <c r="F1310" s="470">
        <v>45832</v>
      </c>
      <c r="G1310" s="35" t="s">
        <v>91</v>
      </c>
      <c r="H1310" s="35" t="str">
        <f>IFERROR(_xlfn.XLOOKUP(Table6[[#This Row],[Affected WTG]],'Basic Data'!$A:$A,'Basic Data'!$B:$B),"")</f>
        <v>TQGXIIPL</v>
      </c>
      <c r="I1310" s="35" t="str">
        <f>IFERROR(_xlfn.XLOOKUP(Table6[[#This Row],[Affected WTG]],'Basic Data'!$A:$A,'Basic Data'!$C:$C),"")</f>
        <v>GEDA</v>
      </c>
      <c r="J1310" s="471">
        <f>IFERROR(_xlfn.XLOOKUP(Table6[[#This Row],[Affected WTG]],'Basic Data'!$A:$A,'Basic Data'!$E:$E),"")</f>
        <v>3.846153846153845E-2</v>
      </c>
      <c r="K1310" s="102">
        <v>1316</v>
      </c>
      <c r="L1310" s="35" t="str">
        <f>IFERROR(_xlfn.XLOOKUP(Table6[[#This Row],[Error Code]],'Basic Data'!$AA:$AA,'Basic Data'!$AB:$AB),"Incorrect Error Code")</f>
        <v>Timeout fault rotor bear. lubr.</v>
      </c>
      <c r="M1310" s="35" t="s">
        <v>291</v>
      </c>
      <c r="N1310" s="475"/>
      <c r="O1310" s="476">
        <v>0.62222222222222223</v>
      </c>
      <c r="P1310" s="476">
        <v>0.62222222222222223</v>
      </c>
      <c r="Q1310" s="477">
        <v>0.62708333333333333</v>
      </c>
      <c r="R1310" s="472">
        <f>IF(Table6[[#This Row],[Work Start TimeStamp]]="","",(Table6[[#This Row],[Work Start TimeStamp]]-Table6[[#This Row],[Fault Start TimeStamp]])*24)</f>
        <v>0</v>
      </c>
      <c r="S1310" s="472">
        <f>(Table6[[#This Row],[Fault Clearance time]]-Table6[[#This Row],[Work Start TimeStamp]])*24</f>
        <v>0.11666666666666625</v>
      </c>
      <c r="T1310" s="472">
        <f>(Table6[[#This Row],[Fault Clearance time]]-Table6[[#This Row],[Fault Start TimeStamp]])*24</f>
        <v>0.11666666666666625</v>
      </c>
      <c r="U1310" s="35" t="s">
        <v>1924</v>
      </c>
      <c r="V1310" s="102" t="s">
        <v>293</v>
      </c>
      <c r="W1310" s="478">
        <f>IFERROR(Table6[[#This Row],[Breakdown Time]]*Table6[[#This Row],[Plant Equivalent Weightage]],"")</f>
        <v>4.4871794871794695E-3</v>
      </c>
      <c r="X1310" s="473" t="s">
        <v>290</v>
      </c>
      <c r="Y1310" s="474" t="s">
        <v>79</v>
      </c>
      <c r="Z1310" s="102">
        <v>42185</v>
      </c>
      <c r="AA1310" s="468">
        <f>(Table6[[#This Row],[Paired WTG Generation for loss calculation]]/24)*Table6[[#This Row],[Breakdown Time]]</f>
        <v>205.06597222222149</v>
      </c>
      <c r="AB1310" s="102"/>
      <c r="AC1310" s="35"/>
      <c r="AD1310" s="35"/>
    </row>
    <row r="1311" spans="1:30">
      <c r="A1311" s="102">
        <f t="shared" si="21"/>
        <v>1310</v>
      </c>
      <c r="B1311" s="468">
        <f>YEAR(Table6[[#This Row],[Date]])+IF(MONTH(Table6[[#This Row],[Date]])&gt;=4,1,0)</f>
        <v>2026</v>
      </c>
      <c r="C1311" s="102">
        <f>YEAR(Table6[[#This Row],[Date]])</f>
        <v>2025</v>
      </c>
      <c r="D1311" s="102" t="s">
        <v>1992</v>
      </c>
      <c r="E1311" s="469">
        <f>Table6[[#This Row],[Date]]-DAY(Table6[[#This Row],[Date]])+1</f>
        <v>45809</v>
      </c>
      <c r="F1311" s="470">
        <v>45832</v>
      </c>
      <c r="G1311" s="35" t="s">
        <v>93</v>
      </c>
      <c r="H1311" s="35" t="str">
        <f>IFERROR(_xlfn.XLOOKUP(Table6[[#This Row],[Affected WTG]],'Basic Data'!$A:$A,'Basic Data'!$B:$B),"")</f>
        <v>TQGXIIPL</v>
      </c>
      <c r="I1311" s="35" t="str">
        <f>IFERROR(_xlfn.XLOOKUP(Table6[[#This Row],[Affected WTG]],'Basic Data'!$A:$A,'Basic Data'!$C:$C),"")</f>
        <v>GEDA</v>
      </c>
      <c r="J1311" s="471">
        <f>IFERROR(_xlfn.XLOOKUP(Table6[[#This Row],[Affected WTG]],'Basic Data'!$A:$A,'Basic Data'!$E:$E),"")</f>
        <v>3.846153846153845E-2</v>
      </c>
      <c r="K1311" s="102">
        <v>6130</v>
      </c>
      <c r="L1311" s="35" t="str">
        <f>IFERROR(_xlfn.XLOOKUP(Table6[[#This Row],[Error Code]],'Basic Data'!$AA:$AA,'Basic Data'!$AB:$AB),"Incorrect Error Code")</f>
        <v>Yaw speed high</v>
      </c>
      <c r="M1311" s="35" t="s">
        <v>292</v>
      </c>
      <c r="N1311" s="475"/>
      <c r="O1311" s="476">
        <v>0.23680555555555555</v>
      </c>
      <c r="P1311" s="476">
        <v>0.23680555555555555</v>
      </c>
      <c r="Q1311" s="477">
        <v>0.23958333333333334</v>
      </c>
      <c r="R1311" s="472">
        <f>IF(Table6[[#This Row],[Work Start TimeStamp]]="","",(Table6[[#This Row],[Work Start TimeStamp]]-Table6[[#This Row],[Fault Start TimeStamp]])*24)</f>
        <v>0</v>
      </c>
      <c r="S1311" s="472">
        <f>(Table6[[#This Row],[Fault Clearance time]]-Table6[[#This Row],[Work Start TimeStamp]])*24</f>
        <v>6.6666666666667096E-2</v>
      </c>
      <c r="T1311" s="472">
        <f>(Table6[[#This Row],[Fault Clearance time]]-Table6[[#This Row],[Fault Start TimeStamp]])*24</f>
        <v>6.6666666666667096E-2</v>
      </c>
      <c r="U1311" s="35" t="s">
        <v>336</v>
      </c>
      <c r="V1311" s="102" t="s">
        <v>293</v>
      </c>
      <c r="W1311" s="478">
        <f>IFERROR(Table6[[#This Row],[Breakdown Time]]*Table6[[#This Row],[Plant Equivalent Weightage]],"")</f>
        <v>2.5641025641025797E-3</v>
      </c>
      <c r="X1311" s="473" t="s">
        <v>294</v>
      </c>
      <c r="Y1311" s="474" t="s">
        <v>97</v>
      </c>
      <c r="Z1311" s="102">
        <v>43964</v>
      </c>
      <c r="AA1311" s="468">
        <f>(Table6[[#This Row],[Paired WTG Generation for loss calculation]]/24)*Table6[[#This Row],[Breakdown Time]]</f>
        <v>122.122222222223</v>
      </c>
      <c r="AB1311" s="102"/>
      <c r="AC1311" s="35"/>
      <c r="AD1311" s="35"/>
    </row>
    <row r="1312" spans="1:30">
      <c r="A1312" s="102">
        <f t="shared" si="21"/>
        <v>1311</v>
      </c>
      <c r="B1312" s="468">
        <f>YEAR(Table6[[#This Row],[Date]])+IF(MONTH(Table6[[#This Row],[Date]])&gt;=4,1,0)</f>
        <v>2026</v>
      </c>
      <c r="C1312" s="102">
        <f>YEAR(Table6[[#This Row],[Date]])</f>
        <v>2025</v>
      </c>
      <c r="D1312" s="102" t="s">
        <v>1992</v>
      </c>
      <c r="E1312" s="469">
        <f>Table6[[#This Row],[Date]]-DAY(Table6[[#This Row],[Date]])+1</f>
        <v>45809</v>
      </c>
      <c r="F1312" s="470">
        <v>45832</v>
      </c>
      <c r="G1312" s="35" t="s">
        <v>95</v>
      </c>
      <c r="H1312" s="35" t="str">
        <f>IFERROR(_xlfn.XLOOKUP(Table6[[#This Row],[Affected WTG]],'Basic Data'!$A:$A,'Basic Data'!$B:$B),"")</f>
        <v>TQGXIIPL</v>
      </c>
      <c r="I1312" s="35" t="str">
        <f>IFERROR(_xlfn.XLOOKUP(Table6[[#This Row],[Affected WTG]],'Basic Data'!$A:$A,'Basic Data'!$C:$C),"")</f>
        <v>GEDA</v>
      </c>
      <c r="J1312" s="471">
        <f>IFERROR(_xlfn.XLOOKUP(Table6[[#This Row],[Affected WTG]],'Basic Data'!$A:$A,'Basic Data'!$E:$E),"")</f>
        <v>3.846153846153845E-2</v>
      </c>
      <c r="K1312" s="102">
        <v>4970</v>
      </c>
      <c r="L1312" s="35" t="str">
        <f>IFERROR(_xlfn.XLOOKUP(Table6[[#This Row],[Error Code]],'Basic Data'!$AA:$AA,'Basic Data'!$AB:$AB),"Incorrect Error Code")</f>
        <v>Tower oscillation XF</v>
      </c>
      <c r="M1312" s="35" t="s">
        <v>292</v>
      </c>
      <c r="N1312" s="475"/>
      <c r="O1312" s="476">
        <v>3.888888888888889E-2</v>
      </c>
      <c r="P1312" s="476">
        <v>3.888888888888889E-2</v>
      </c>
      <c r="Q1312" s="477">
        <v>4.1666666666666664E-2</v>
      </c>
      <c r="R1312" s="472">
        <f>IF(Table6[[#This Row],[Work Start TimeStamp]]="","",(Table6[[#This Row],[Work Start TimeStamp]]-Table6[[#This Row],[Fault Start TimeStamp]])*24)</f>
        <v>0</v>
      </c>
      <c r="S1312" s="472">
        <f>(Table6[[#This Row],[Fault Clearance time]]-Table6[[#This Row],[Work Start TimeStamp]])*24</f>
        <v>6.6666666666666596E-2</v>
      </c>
      <c r="T1312" s="472">
        <f>(Table6[[#This Row],[Fault Clearance time]]-Table6[[#This Row],[Fault Start TimeStamp]])*24</f>
        <v>6.6666666666666596E-2</v>
      </c>
      <c r="U1312" s="35" t="s">
        <v>336</v>
      </c>
      <c r="V1312" s="102" t="s">
        <v>293</v>
      </c>
      <c r="W1312" s="478">
        <f>IFERROR(Table6[[#This Row],[Breakdown Time]]*Table6[[#This Row],[Plant Equivalent Weightage]],"")</f>
        <v>2.5641025641025606E-3</v>
      </c>
      <c r="X1312" s="473" t="s">
        <v>294</v>
      </c>
      <c r="Y1312" s="474" t="s">
        <v>79</v>
      </c>
      <c r="Z1312" s="102">
        <v>42185</v>
      </c>
      <c r="AA1312" s="468">
        <f>(Table6[[#This Row],[Paired WTG Generation for loss calculation]]/24)*Table6[[#This Row],[Breakdown Time]]</f>
        <v>117.18055555555543</v>
      </c>
      <c r="AB1312" s="102"/>
      <c r="AC1312" s="35"/>
      <c r="AD1312" s="35"/>
    </row>
    <row r="1313" spans="1:30">
      <c r="A1313" s="102">
        <f t="shared" si="21"/>
        <v>1312</v>
      </c>
      <c r="B1313" s="468">
        <f>YEAR(Table6[[#This Row],[Date]])+IF(MONTH(Table6[[#This Row],[Date]])&gt;=4,1,0)</f>
        <v>2026</v>
      </c>
      <c r="C1313" s="102">
        <f>YEAR(Table6[[#This Row],[Date]])</f>
        <v>2025</v>
      </c>
      <c r="D1313" s="102" t="s">
        <v>1992</v>
      </c>
      <c r="E1313" s="469">
        <f>Table6[[#This Row],[Date]]-DAY(Table6[[#This Row],[Date]])+1</f>
        <v>45809</v>
      </c>
      <c r="F1313" s="470">
        <v>45832</v>
      </c>
      <c r="G1313" s="35" t="s">
        <v>95</v>
      </c>
      <c r="H1313" s="35" t="str">
        <f>IFERROR(_xlfn.XLOOKUP(Table6[[#This Row],[Affected WTG]],'Basic Data'!$A:$A,'Basic Data'!$B:$B),"")</f>
        <v>TQGXIIPL</v>
      </c>
      <c r="I1313" s="35" t="str">
        <f>IFERROR(_xlfn.XLOOKUP(Table6[[#This Row],[Affected WTG]],'Basic Data'!$A:$A,'Basic Data'!$C:$C),"")</f>
        <v>GEDA</v>
      </c>
      <c r="J1313" s="471">
        <f>IFERROR(_xlfn.XLOOKUP(Table6[[#This Row],[Affected WTG]],'Basic Data'!$A:$A,'Basic Data'!$E:$E),"")</f>
        <v>3.846153846153845E-2</v>
      </c>
      <c r="K1313" s="102">
        <v>6130</v>
      </c>
      <c r="L1313" s="35" t="str">
        <f>IFERROR(_xlfn.XLOOKUP(Table6[[#This Row],[Error Code]],'Basic Data'!$AA:$AA,'Basic Data'!$AB:$AB),"Incorrect Error Code")</f>
        <v>Yaw speed high</v>
      </c>
      <c r="M1313" s="35" t="s">
        <v>292</v>
      </c>
      <c r="N1313" s="475"/>
      <c r="O1313" s="476">
        <v>0.11180555555555556</v>
      </c>
      <c r="P1313" s="476">
        <v>0.11180555555555556</v>
      </c>
      <c r="Q1313" s="477">
        <v>0.11319444444444444</v>
      </c>
      <c r="R1313" s="472">
        <f>IF(Table6[[#This Row],[Work Start TimeStamp]]="","",(Table6[[#This Row],[Work Start TimeStamp]]-Table6[[#This Row],[Fault Start TimeStamp]])*24)</f>
        <v>0</v>
      </c>
      <c r="S1313" s="472">
        <f>(Table6[[#This Row],[Fault Clearance time]]-Table6[[#This Row],[Work Start TimeStamp]])*24</f>
        <v>3.3333333333333215E-2</v>
      </c>
      <c r="T1313" s="472">
        <f>(Table6[[#This Row],[Fault Clearance time]]-Table6[[#This Row],[Fault Start TimeStamp]])*24</f>
        <v>3.3333333333333215E-2</v>
      </c>
      <c r="U1313" s="35" t="s">
        <v>336</v>
      </c>
      <c r="V1313" s="102" t="s">
        <v>293</v>
      </c>
      <c r="W1313" s="478">
        <f>IFERROR(Table6[[#This Row],[Breakdown Time]]*Table6[[#This Row],[Plant Equivalent Weightage]],"")</f>
        <v>1.2820512820512771E-3</v>
      </c>
      <c r="X1313" s="473" t="s">
        <v>294</v>
      </c>
      <c r="Y1313" s="474" t="s">
        <v>79</v>
      </c>
      <c r="Z1313" s="102">
        <v>42185</v>
      </c>
      <c r="AA1313" s="468">
        <f>(Table6[[#This Row],[Paired WTG Generation for loss calculation]]/24)*Table6[[#This Row],[Breakdown Time]]</f>
        <v>58.590277777777565</v>
      </c>
      <c r="AB1313" s="102"/>
      <c r="AC1313" s="35"/>
      <c r="AD1313" s="35"/>
    </row>
    <row r="1314" spans="1:30">
      <c r="A1314" s="102">
        <f t="shared" si="21"/>
        <v>1313</v>
      </c>
      <c r="B1314" s="468">
        <f>YEAR(Table6[[#This Row],[Date]])+IF(MONTH(Table6[[#This Row],[Date]])&gt;=4,1,0)</f>
        <v>2026</v>
      </c>
      <c r="C1314" s="102">
        <f>YEAR(Table6[[#This Row],[Date]])</f>
        <v>2025</v>
      </c>
      <c r="D1314" s="102" t="s">
        <v>1992</v>
      </c>
      <c r="E1314" s="469">
        <f>Table6[[#This Row],[Date]]-DAY(Table6[[#This Row],[Date]])+1</f>
        <v>45809</v>
      </c>
      <c r="F1314" s="470">
        <v>45832</v>
      </c>
      <c r="G1314" s="35" t="s">
        <v>85</v>
      </c>
      <c r="H1314" s="35" t="str">
        <f>IFERROR(_xlfn.XLOOKUP(Table6[[#This Row],[Affected WTG]],'Basic Data'!$A:$A,'Basic Data'!$B:$B),"")</f>
        <v>TQGXIIPL</v>
      </c>
      <c r="I1314" s="35" t="str">
        <f>IFERROR(_xlfn.XLOOKUP(Table6[[#This Row],[Affected WTG]],'Basic Data'!$A:$A,'Basic Data'!$C:$C),"")</f>
        <v>GEDA</v>
      </c>
      <c r="J1314" s="471">
        <f>IFERROR(_xlfn.XLOOKUP(Table6[[#This Row],[Affected WTG]],'Basic Data'!$A:$A,'Basic Data'!$E:$E),"")</f>
        <v>3.846153846153845E-2</v>
      </c>
      <c r="K1314" s="102">
        <v>55</v>
      </c>
      <c r="L1314" s="35" t="str">
        <f>IFERROR(_xlfn.XLOOKUP(Table6[[#This Row],[Error Code]],'Basic Data'!$AA:$AA,'Basic Data'!$AB:$AB),"Incorrect Error Code")</f>
        <v>WTG shut down</v>
      </c>
      <c r="M1314" s="35" t="s">
        <v>295</v>
      </c>
      <c r="N1314" s="475"/>
      <c r="O1314" s="476">
        <v>0</v>
      </c>
      <c r="P1314" s="476">
        <v>0</v>
      </c>
      <c r="Q1314" s="477">
        <v>0.8125</v>
      </c>
      <c r="R1314" s="472">
        <f>IF(Table6[[#This Row],[Work Start TimeStamp]]="","",(Table6[[#This Row],[Work Start TimeStamp]]-Table6[[#This Row],[Fault Start TimeStamp]])*24)</f>
        <v>0</v>
      </c>
      <c r="S1314" s="472">
        <f>(Table6[[#This Row],[Fault Clearance time]]-Table6[[#This Row],[Work Start TimeStamp]])*24</f>
        <v>19.5</v>
      </c>
      <c r="T1314" s="472">
        <f>(Table6[[#This Row],[Fault Clearance time]]-Table6[[#This Row],[Fault Start TimeStamp]])*24</f>
        <v>19.5</v>
      </c>
      <c r="U1314" s="35" t="s">
        <v>2092</v>
      </c>
      <c r="V1314" s="102" t="s">
        <v>289</v>
      </c>
      <c r="W1314" s="478">
        <f>IFERROR(Table6[[#This Row],[Breakdown Time]]*Table6[[#This Row],[Plant Equivalent Weightage]],"")</f>
        <v>0.74999999999999978</v>
      </c>
      <c r="X1314" s="473" t="s">
        <v>523</v>
      </c>
      <c r="Y1314" s="474" t="s">
        <v>87</v>
      </c>
      <c r="Z1314" s="102">
        <v>43210</v>
      </c>
      <c r="AA1314" s="468">
        <f>(Table6[[#This Row],[Paired WTG Generation for loss calculation]]/24)*Table6[[#This Row],[Breakdown Time]]</f>
        <v>35108.125</v>
      </c>
      <c r="AB1314" s="102"/>
      <c r="AC1314" s="35"/>
      <c r="AD1314" s="35"/>
    </row>
    <row r="1315" spans="1:30">
      <c r="A1315" s="102">
        <f t="shared" si="21"/>
        <v>1314</v>
      </c>
      <c r="B1315" s="468">
        <f>YEAR(Table6[[#This Row],[Date]])+IF(MONTH(Table6[[#This Row],[Date]])&gt;=4,1,0)</f>
        <v>2026</v>
      </c>
      <c r="C1315" s="102">
        <f>YEAR(Table6[[#This Row],[Date]])</f>
        <v>2025</v>
      </c>
      <c r="D1315" s="102" t="s">
        <v>1992</v>
      </c>
      <c r="E1315" s="469">
        <f>Table6[[#This Row],[Date]]-DAY(Table6[[#This Row],[Date]])+1</f>
        <v>45809</v>
      </c>
      <c r="F1315" s="470">
        <v>45832</v>
      </c>
      <c r="G1315" s="35" t="s">
        <v>85</v>
      </c>
      <c r="H1315" s="35" t="str">
        <f>IFERROR(_xlfn.XLOOKUP(Table6[[#This Row],[Affected WTG]],'Basic Data'!$A:$A,'Basic Data'!$B:$B),"")</f>
        <v>TQGXIIPL</v>
      </c>
      <c r="I1315" s="35" t="str">
        <f>IFERROR(_xlfn.XLOOKUP(Table6[[#This Row],[Affected WTG]],'Basic Data'!$A:$A,'Basic Data'!$C:$C),"")</f>
        <v>GEDA</v>
      </c>
      <c r="J1315" s="471">
        <f>IFERROR(_xlfn.XLOOKUP(Table6[[#This Row],[Affected WTG]],'Basic Data'!$A:$A,'Basic Data'!$E:$E),"")</f>
        <v>3.846153846153845E-2</v>
      </c>
      <c r="K1315" s="102">
        <v>55</v>
      </c>
      <c r="L1315" s="35" t="str">
        <f>IFERROR(_xlfn.XLOOKUP(Table6[[#This Row],[Error Code]],'Basic Data'!$AA:$AA,'Basic Data'!$AB:$AB),"Incorrect Error Code")</f>
        <v>WTG shut down</v>
      </c>
      <c r="M1315" s="35" t="s">
        <v>295</v>
      </c>
      <c r="N1315" s="475"/>
      <c r="O1315" s="476">
        <v>0.8125</v>
      </c>
      <c r="P1315" s="476">
        <v>0.8125</v>
      </c>
      <c r="Q1315" s="477">
        <v>0.99998842592592596</v>
      </c>
      <c r="R1315" s="472">
        <f>IF(Table6[[#This Row],[Work Start TimeStamp]]="","",(Table6[[#This Row],[Work Start TimeStamp]]-Table6[[#This Row],[Fault Start TimeStamp]])*24)</f>
        <v>0</v>
      </c>
      <c r="S1315" s="472">
        <f>(Table6[[#This Row],[Fault Clearance time]]-Table6[[#This Row],[Work Start TimeStamp]])*24</f>
        <v>4.4997222222222231</v>
      </c>
      <c r="T1315" s="472">
        <f>(Table6[[#This Row],[Fault Clearance time]]-Table6[[#This Row],[Fault Start TimeStamp]])*24</f>
        <v>4.4997222222222231</v>
      </c>
      <c r="U1315" s="35" t="s">
        <v>2092</v>
      </c>
      <c r="V1315" s="102" t="s">
        <v>289</v>
      </c>
      <c r="W1315" s="478">
        <f>IFERROR(Table6[[#This Row],[Breakdown Time]]*Table6[[#This Row],[Plant Equivalent Weightage]],"")</f>
        <v>0.1730662393162393</v>
      </c>
      <c r="X1315" s="473" t="s">
        <v>294</v>
      </c>
      <c r="Y1315" s="474" t="s">
        <v>87</v>
      </c>
      <c r="Z1315" s="102">
        <v>43210</v>
      </c>
      <c r="AA1315" s="468">
        <f>(Table6[[#This Row],[Paired WTG Generation for loss calculation]]/24)*Table6[[#This Row],[Breakdown Time]]</f>
        <v>8101.3748842592613</v>
      </c>
      <c r="AB1315" s="102"/>
      <c r="AC1315" s="35"/>
      <c r="AD1315" s="35"/>
    </row>
    <row r="1316" spans="1:30">
      <c r="A1316" s="102">
        <f t="shared" si="21"/>
        <v>1315</v>
      </c>
      <c r="B1316" s="468">
        <f>YEAR(Table6[[#This Row],[Date]])+IF(MONTH(Table6[[#This Row],[Date]])&gt;=4,1,0)</f>
        <v>2026</v>
      </c>
      <c r="C1316" s="102">
        <f>YEAR(Table6[[#This Row],[Date]])</f>
        <v>2025</v>
      </c>
      <c r="D1316" s="102" t="s">
        <v>1992</v>
      </c>
      <c r="E1316" s="469">
        <f>Table6[[#This Row],[Date]]-DAY(Table6[[#This Row],[Date]])+1</f>
        <v>45809</v>
      </c>
      <c r="F1316" s="470">
        <v>45832</v>
      </c>
      <c r="G1316" s="35" t="s">
        <v>81</v>
      </c>
      <c r="H1316" s="35" t="str">
        <f>IFERROR(_xlfn.XLOOKUP(Table6[[#This Row],[Affected WTG]],'Basic Data'!$A:$A,'Basic Data'!$B:$B),"")</f>
        <v>TQGXIIPL</v>
      </c>
      <c r="I1316" s="35" t="str">
        <f>IFERROR(_xlfn.XLOOKUP(Table6[[#This Row],[Affected WTG]],'Basic Data'!$A:$A,'Basic Data'!$C:$C),"")</f>
        <v>GEDA</v>
      </c>
      <c r="J1316" s="471">
        <f>IFERROR(_xlfn.XLOOKUP(Table6[[#This Row],[Affected WTG]],'Basic Data'!$A:$A,'Basic Data'!$E:$E),"")</f>
        <v>3.846153846153845E-2</v>
      </c>
      <c r="K1316" s="102">
        <v>665</v>
      </c>
      <c r="L1316" s="35" t="str">
        <f>IFERROR(_xlfn.XLOOKUP(Table6[[#This Row],[Error Code]],'Basic Data'!$AA:$AA,'Basic Data'!$AB:$AB),"Incorrect Error Code")</f>
        <v>Pitch error</v>
      </c>
      <c r="M1316" s="35" t="s">
        <v>291</v>
      </c>
      <c r="N1316" s="475"/>
      <c r="O1316" s="476">
        <v>0.28125</v>
      </c>
      <c r="P1316" s="476">
        <v>0.28125</v>
      </c>
      <c r="Q1316" s="477">
        <v>0.34375</v>
      </c>
      <c r="R1316" s="472">
        <f>IF(Table6[[#This Row],[Work Start TimeStamp]]="","",(Table6[[#This Row],[Work Start TimeStamp]]-Table6[[#This Row],[Fault Start TimeStamp]])*24)</f>
        <v>0</v>
      </c>
      <c r="S1316" s="472">
        <f>(Table6[[#This Row],[Fault Clearance time]]-Table6[[#This Row],[Work Start TimeStamp]])*24</f>
        <v>1.5</v>
      </c>
      <c r="T1316" s="472">
        <f>(Table6[[#This Row],[Fault Clearance time]]-Table6[[#This Row],[Fault Start TimeStamp]])*24</f>
        <v>1.5</v>
      </c>
      <c r="U1316" s="35" t="s">
        <v>2005</v>
      </c>
      <c r="V1316" s="102" t="s">
        <v>293</v>
      </c>
      <c r="W1316" s="478">
        <f>IFERROR(Table6[[#This Row],[Breakdown Time]]*Table6[[#This Row],[Plant Equivalent Weightage]],"")</f>
        <v>5.7692307692307675E-2</v>
      </c>
      <c r="X1316" s="473" t="s">
        <v>290</v>
      </c>
      <c r="Y1316" s="474" t="s">
        <v>99</v>
      </c>
      <c r="Z1316" s="102">
        <v>45247</v>
      </c>
      <c r="AA1316" s="468">
        <f>(Table6[[#This Row],[Paired WTG Generation for loss calculation]]/24)*Table6[[#This Row],[Breakdown Time]]</f>
        <v>2827.9375</v>
      </c>
      <c r="AB1316" s="102"/>
      <c r="AC1316" s="35"/>
      <c r="AD1316" s="35"/>
    </row>
    <row r="1317" spans="1:30">
      <c r="A1317" s="102">
        <f t="shared" si="21"/>
        <v>1316</v>
      </c>
      <c r="B1317" s="468">
        <f>YEAR(Table6[[#This Row],[Date]])+IF(MONTH(Table6[[#This Row],[Date]])&gt;=4,1,0)</f>
        <v>2026</v>
      </c>
      <c r="C1317" s="102">
        <f>YEAR(Table6[[#This Row],[Date]])</f>
        <v>2025</v>
      </c>
      <c r="D1317" s="102" t="s">
        <v>1992</v>
      </c>
      <c r="E1317" s="469">
        <f>Table6[[#This Row],[Date]]-DAY(Table6[[#This Row],[Date]])+1</f>
        <v>45809</v>
      </c>
      <c r="F1317" s="470">
        <v>45833</v>
      </c>
      <c r="G1317" s="35" t="s">
        <v>74</v>
      </c>
      <c r="H1317" s="35" t="str">
        <f>IFERROR(_xlfn.XLOOKUP(Table6[[#This Row],[Affected WTG]],'Basic Data'!$A:$A,'Basic Data'!$B:$B),"")</f>
        <v>TQGXIIPL</v>
      </c>
      <c r="I1317" s="35" t="str">
        <f>IFERROR(_xlfn.XLOOKUP(Table6[[#This Row],[Affected WTG]],'Basic Data'!$A:$A,'Basic Data'!$C:$C),"")</f>
        <v>GEDA</v>
      </c>
      <c r="J1317" s="471">
        <f>IFERROR(_xlfn.XLOOKUP(Table6[[#This Row],[Affected WTG]],'Basic Data'!$A:$A,'Basic Data'!$E:$E),"")</f>
        <v>3.846153846153845E-2</v>
      </c>
      <c r="K1317" s="102">
        <v>175</v>
      </c>
      <c r="L1317" s="35" t="str">
        <f>IFERROR(_xlfn.XLOOKUP(Table6[[#This Row],[Error Code]],'Basic Data'!$AA:$AA,'Basic Data'!$AB:$AB),"Incorrect Error Code")</f>
        <v>SLC error</v>
      </c>
      <c r="M1317" s="35" t="s">
        <v>291</v>
      </c>
      <c r="N1317" s="475"/>
      <c r="O1317" s="476">
        <v>0.28611111111111109</v>
      </c>
      <c r="P1317" s="476">
        <v>0.28611111111111109</v>
      </c>
      <c r="Q1317" s="477">
        <v>0.28749999999999998</v>
      </c>
      <c r="R1317" s="472">
        <f>IF(Table6[[#This Row],[Work Start TimeStamp]]="","",(Table6[[#This Row],[Work Start TimeStamp]]-Table6[[#This Row],[Fault Start TimeStamp]])*24)</f>
        <v>0</v>
      </c>
      <c r="S1317" s="472">
        <f>(Table6[[#This Row],[Fault Clearance time]]-Table6[[#This Row],[Work Start TimeStamp]])*24</f>
        <v>3.3333333333333215E-2</v>
      </c>
      <c r="T1317" s="472">
        <f>(Table6[[#This Row],[Fault Clearance time]]-Table6[[#This Row],[Fault Start TimeStamp]])*24</f>
        <v>3.3333333333333215E-2</v>
      </c>
      <c r="U1317" s="35" t="s">
        <v>1924</v>
      </c>
      <c r="V1317" s="102" t="s">
        <v>293</v>
      </c>
      <c r="W1317" s="478">
        <f>IFERROR(Table6[[#This Row],[Breakdown Time]]*Table6[[#This Row],[Plant Equivalent Weightage]],"")</f>
        <v>1.2820512820512771E-3</v>
      </c>
      <c r="X1317" s="473" t="s">
        <v>290</v>
      </c>
      <c r="Y1317" s="474" t="s">
        <v>99</v>
      </c>
      <c r="Z1317" s="102">
        <v>9536</v>
      </c>
      <c r="AA1317" s="468">
        <f>(Table6[[#This Row],[Paired WTG Generation for loss calculation]]/24)*Table6[[#This Row],[Breakdown Time]]</f>
        <v>13.244444444444397</v>
      </c>
      <c r="AB1317" s="102"/>
      <c r="AC1317" s="35"/>
      <c r="AD1317" s="35"/>
    </row>
    <row r="1318" spans="1:30">
      <c r="A1318" s="102">
        <f t="shared" si="21"/>
        <v>1317</v>
      </c>
      <c r="B1318" s="468">
        <f>YEAR(Table6[[#This Row],[Date]])+IF(MONTH(Table6[[#This Row],[Date]])&gt;=4,1,0)</f>
        <v>2026</v>
      </c>
      <c r="C1318" s="102">
        <f>YEAR(Table6[[#This Row],[Date]])</f>
        <v>2025</v>
      </c>
      <c r="D1318" s="102" t="s">
        <v>1992</v>
      </c>
      <c r="E1318" s="469">
        <f>Table6[[#This Row],[Date]]-DAY(Table6[[#This Row],[Date]])+1</f>
        <v>45809</v>
      </c>
      <c r="F1318" s="470">
        <v>45833</v>
      </c>
      <c r="G1318" s="35" t="s">
        <v>75</v>
      </c>
      <c r="H1318" s="35" t="str">
        <f>IFERROR(_xlfn.XLOOKUP(Table6[[#This Row],[Affected WTG]],'Basic Data'!$A:$A,'Basic Data'!$B:$B),"")</f>
        <v>TQGXIIPL</v>
      </c>
      <c r="I1318" s="35" t="str">
        <f>IFERROR(_xlfn.XLOOKUP(Table6[[#This Row],[Affected WTG]],'Basic Data'!$A:$A,'Basic Data'!$C:$C),"")</f>
        <v>GEDA</v>
      </c>
      <c r="J1318" s="471">
        <f>IFERROR(_xlfn.XLOOKUP(Table6[[#This Row],[Affected WTG]],'Basic Data'!$A:$A,'Basic Data'!$E:$E),"")</f>
        <v>3.846153846153845E-2</v>
      </c>
      <c r="K1318" s="102">
        <v>55</v>
      </c>
      <c r="L1318" s="35" t="str">
        <f>IFERROR(_xlfn.XLOOKUP(Table6[[#This Row],[Error Code]],'Basic Data'!$AA:$AA,'Basic Data'!$AB:$AB),"Incorrect Error Code")</f>
        <v>WTG shut down</v>
      </c>
      <c r="M1318" s="35" t="s">
        <v>291</v>
      </c>
      <c r="N1318" s="475"/>
      <c r="O1318" s="476">
        <v>0.95694444444444449</v>
      </c>
      <c r="P1318" s="476">
        <v>0.95694444444444449</v>
      </c>
      <c r="Q1318" s="477">
        <v>1</v>
      </c>
      <c r="R1318" s="472">
        <f>IF(Table6[[#This Row],[Work Start TimeStamp]]="","",(Table6[[#This Row],[Work Start TimeStamp]]-Table6[[#This Row],[Fault Start TimeStamp]])*24)</f>
        <v>0</v>
      </c>
      <c r="S1318" s="472">
        <f>(Table6[[#This Row],[Fault Clearance time]]-Table6[[#This Row],[Work Start TimeStamp]])*24</f>
        <v>1.0333333333333323</v>
      </c>
      <c r="T1318" s="472">
        <f>(Table6[[#This Row],[Fault Clearance time]]-Table6[[#This Row],[Fault Start TimeStamp]])*24</f>
        <v>1.0333333333333323</v>
      </c>
      <c r="U1318" s="35" t="s">
        <v>2006</v>
      </c>
      <c r="V1318" s="102" t="s">
        <v>293</v>
      </c>
      <c r="W1318" s="478">
        <f>IFERROR(Table6[[#This Row],[Breakdown Time]]*Table6[[#This Row],[Plant Equivalent Weightage]],"")</f>
        <v>3.9743589743589693E-2</v>
      </c>
      <c r="X1318" s="473" t="s">
        <v>290</v>
      </c>
      <c r="Y1318" s="474" t="s">
        <v>78</v>
      </c>
      <c r="Z1318" s="102">
        <v>10550</v>
      </c>
      <c r="AA1318" s="468">
        <f>(Table6[[#This Row],[Paired WTG Generation for loss calculation]]/24)*Table6[[#This Row],[Breakdown Time]]</f>
        <v>454.23611111111063</v>
      </c>
      <c r="AB1318" s="102"/>
      <c r="AC1318" s="35"/>
      <c r="AD1318" s="35"/>
    </row>
    <row r="1319" spans="1:30">
      <c r="A1319" s="102">
        <f t="shared" si="21"/>
        <v>1318</v>
      </c>
      <c r="B1319" s="468">
        <f>YEAR(Table6[[#This Row],[Date]])+IF(MONTH(Table6[[#This Row],[Date]])&gt;=4,1,0)</f>
        <v>2026</v>
      </c>
      <c r="C1319" s="102">
        <f>YEAR(Table6[[#This Row],[Date]])</f>
        <v>2025</v>
      </c>
      <c r="D1319" s="102" t="s">
        <v>1992</v>
      </c>
      <c r="E1319" s="469">
        <f>Table6[[#This Row],[Date]]-DAY(Table6[[#This Row],[Date]])+1</f>
        <v>45809</v>
      </c>
      <c r="F1319" s="470">
        <v>45833</v>
      </c>
      <c r="G1319" s="35" t="s">
        <v>85</v>
      </c>
      <c r="H1319" s="35" t="str">
        <f>IFERROR(_xlfn.XLOOKUP(Table6[[#This Row],[Affected WTG]],'Basic Data'!$A:$A,'Basic Data'!$B:$B),"")</f>
        <v>TQGXIIPL</v>
      </c>
      <c r="I1319" s="35" t="str">
        <f>IFERROR(_xlfn.XLOOKUP(Table6[[#This Row],[Affected WTG]],'Basic Data'!$A:$A,'Basic Data'!$C:$C),"")</f>
        <v>GEDA</v>
      </c>
      <c r="J1319" s="471">
        <f>IFERROR(_xlfn.XLOOKUP(Table6[[#This Row],[Affected WTG]],'Basic Data'!$A:$A,'Basic Data'!$E:$E),"")</f>
        <v>3.846153846153845E-2</v>
      </c>
      <c r="K1319" s="102">
        <v>55</v>
      </c>
      <c r="L1319" s="35" t="str">
        <f>IFERROR(_xlfn.XLOOKUP(Table6[[#This Row],[Error Code]],'Basic Data'!$AA:$AA,'Basic Data'!$AB:$AB),"Incorrect Error Code")</f>
        <v>WTG shut down</v>
      </c>
      <c r="M1319" s="35" t="s">
        <v>295</v>
      </c>
      <c r="N1319" s="475"/>
      <c r="O1319" s="476">
        <v>0</v>
      </c>
      <c r="P1319" s="476">
        <v>0</v>
      </c>
      <c r="Q1319" s="477">
        <v>3.4722222222222224E-2</v>
      </c>
      <c r="R1319" s="472">
        <f>IF(Table6[[#This Row],[Work Start TimeStamp]]="","",(Table6[[#This Row],[Work Start TimeStamp]]-Table6[[#This Row],[Fault Start TimeStamp]])*24)</f>
        <v>0</v>
      </c>
      <c r="S1319" s="472">
        <f>(Table6[[#This Row],[Fault Clearance time]]-Table6[[#This Row],[Work Start TimeStamp]])*24</f>
        <v>0.83333333333333337</v>
      </c>
      <c r="T1319" s="472">
        <f>(Table6[[#This Row],[Fault Clearance time]]-Table6[[#This Row],[Fault Start TimeStamp]])*24</f>
        <v>0.83333333333333337</v>
      </c>
      <c r="U1319" s="531" t="s">
        <v>2092</v>
      </c>
      <c r="V1319" s="102" t="s">
        <v>289</v>
      </c>
      <c r="W1319" s="478">
        <f>IFERROR(Table6[[#This Row],[Breakdown Time]]*Table6[[#This Row],[Plant Equivalent Weightage]],"")</f>
        <v>3.2051282051282041E-2</v>
      </c>
      <c r="X1319" s="473" t="s">
        <v>523</v>
      </c>
      <c r="Y1319" s="474" t="s">
        <v>87</v>
      </c>
      <c r="Z1319" s="102">
        <v>8612</v>
      </c>
      <c r="AA1319" s="468">
        <f>(Table6[[#This Row],[Paired WTG Generation for loss calculation]]/24)*Table6[[#This Row],[Breakdown Time]]</f>
        <v>299.02777777777777</v>
      </c>
      <c r="AB1319" s="102"/>
      <c r="AC1319" s="35"/>
      <c r="AD1319" s="35"/>
    </row>
    <row r="1320" spans="1:30">
      <c r="A1320" s="102">
        <f t="shared" si="21"/>
        <v>1319</v>
      </c>
      <c r="B1320" s="468">
        <f>YEAR(Table6[[#This Row],[Date]])+IF(MONTH(Table6[[#This Row],[Date]])&gt;=4,1,0)</f>
        <v>2026</v>
      </c>
      <c r="C1320" s="102">
        <f>YEAR(Table6[[#This Row],[Date]])</f>
        <v>2025</v>
      </c>
      <c r="D1320" s="102" t="s">
        <v>1992</v>
      </c>
      <c r="E1320" s="469">
        <f>Table6[[#This Row],[Date]]-DAY(Table6[[#This Row],[Date]])+1</f>
        <v>45809</v>
      </c>
      <c r="F1320" s="470">
        <v>45833</v>
      </c>
      <c r="G1320" s="35" t="s">
        <v>85</v>
      </c>
      <c r="H1320" s="35" t="str">
        <f>IFERROR(_xlfn.XLOOKUP(Table6[[#This Row],[Affected WTG]],'Basic Data'!$A:$A,'Basic Data'!$B:$B),"")</f>
        <v>TQGXIIPL</v>
      </c>
      <c r="I1320" s="35" t="str">
        <f>IFERROR(_xlfn.XLOOKUP(Table6[[#This Row],[Affected WTG]],'Basic Data'!$A:$A,'Basic Data'!$C:$C),"")</f>
        <v>GEDA</v>
      </c>
      <c r="J1320" s="471">
        <f>IFERROR(_xlfn.XLOOKUP(Table6[[#This Row],[Affected WTG]],'Basic Data'!$A:$A,'Basic Data'!$E:$E),"")</f>
        <v>3.846153846153845E-2</v>
      </c>
      <c r="K1320" s="102">
        <v>55</v>
      </c>
      <c r="L1320" s="35" t="str">
        <f>IFERROR(_xlfn.XLOOKUP(Table6[[#This Row],[Error Code]],'Basic Data'!$AA:$AA,'Basic Data'!$AB:$AB),"Incorrect Error Code")</f>
        <v>WTG shut down</v>
      </c>
      <c r="M1320" s="35" t="s">
        <v>295</v>
      </c>
      <c r="N1320" s="475"/>
      <c r="O1320" s="476">
        <v>3.4722222222222224E-2</v>
      </c>
      <c r="P1320" s="476">
        <v>3.4722222222222224E-2</v>
      </c>
      <c r="Q1320" s="477">
        <v>0.99998842592592596</v>
      </c>
      <c r="R1320" s="472">
        <f>IF(Table6[[#This Row],[Work Start TimeStamp]]="","",(Table6[[#This Row],[Work Start TimeStamp]]-Table6[[#This Row],[Fault Start TimeStamp]])*24)</f>
        <v>0</v>
      </c>
      <c r="S1320" s="472">
        <f>(Table6[[#This Row],[Fault Clearance time]]-Table6[[#This Row],[Work Start TimeStamp]])*24</f>
        <v>23.166388888888889</v>
      </c>
      <c r="T1320" s="472">
        <f>(Table6[[#This Row],[Fault Clearance time]]-Table6[[#This Row],[Fault Start TimeStamp]])*24</f>
        <v>23.166388888888889</v>
      </c>
      <c r="U1320" s="531" t="s">
        <v>2092</v>
      </c>
      <c r="V1320" s="102" t="s">
        <v>289</v>
      </c>
      <c r="W1320" s="478">
        <f>IFERROR(Table6[[#This Row],[Breakdown Time]]*Table6[[#This Row],[Plant Equivalent Weightage]],"")</f>
        <v>0.89101495726495705</v>
      </c>
      <c r="X1320" s="473" t="s">
        <v>294</v>
      </c>
      <c r="Y1320" s="474" t="s">
        <v>87</v>
      </c>
      <c r="Z1320" s="102">
        <v>8612</v>
      </c>
      <c r="AA1320" s="468">
        <f>(Table6[[#This Row],[Paired WTG Generation for loss calculation]]/24)*Table6[[#This Row],[Breakdown Time]]</f>
        <v>8312.8725462962957</v>
      </c>
      <c r="AB1320" s="102"/>
      <c r="AC1320" s="35"/>
      <c r="AD1320" s="35"/>
    </row>
    <row r="1321" spans="1:30">
      <c r="A1321" s="102">
        <f t="shared" si="21"/>
        <v>1320</v>
      </c>
      <c r="B1321" s="468">
        <f>YEAR(Table6[[#This Row],[Date]])+IF(MONTH(Table6[[#This Row],[Date]])&gt;=4,1,0)</f>
        <v>2026</v>
      </c>
      <c r="C1321" s="102">
        <f>YEAR(Table6[[#This Row],[Date]])</f>
        <v>2025</v>
      </c>
      <c r="D1321" s="102" t="s">
        <v>1992</v>
      </c>
      <c r="E1321" s="469">
        <f>Table6[[#This Row],[Date]]-DAY(Table6[[#This Row],[Date]])+1</f>
        <v>45809</v>
      </c>
      <c r="F1321" s="470">
        <v>45833</v>
      </c>
      <c r="G1321" s="35" t="s">
        <v>86</v>
      </c>
      <c r="H1321" s="35" t="str">
        <f>IFERROR(_xlfn.XLOOKUP(Table6[[#This Row],[Affected WTG]],'Basic Data'!$A:$A,'Basic Data'!$B:$B),"")</f>
        <v>TQGXIIPL</v>
      </c>
      <c r="I1321" s="35" t="str">
        <f>IFERROR(_xlfn.XLOOKUP(Table6[[#This Row],[Affected WTG]],'Basic Data'!$A:$A,'Basic Data'!$C:$C),"")</f>
        <v>GEDA</v>
      </c>
      <c r="J1321" s="471">
        <f>IFERROR(_xlfn.XLOOKUP(Table6[[#This Row],[Affected WTG]],'Basic Data'!$A:$A,'Basic Data'!$E:$E),"")</f>
        <v>3.846153846153845E-2</v>
      </c>
      <c r="K1321" s="102">
        <v>55</v>
      </c>
      <c r="L1321" s="35" t="str">
        <f>IFERROR(_xlfn.XLOOKUP(Table6[[#This Row],[Error Code]],'Basic Data'!$AA:$AA,'Basic Data'!$AB:$AB),"Incorrect Error Code")</f>
        <v>WTG shut down</v>
      </c>
      <c r="M1321" s="35" t="s">
        <v>291</v>
      </c>
      <c r="N1321" s="475"/>
      <c r="O1321" s="476">
        <v>0.44166666666666665</v>
      </c>
      <c r="P1321" s="476">
        <v>0.44166666666666665</v>
      </c>
      <c r="Q1321" s="477">
        <v>0.4777777777777778</v>
      </c>
      <c r="R1321" s="472">
        <f>IF(Table6[[#This Row],[Work Start TimeStamp]]="","",(Table6[[#This Row],[Work Start TimeStamp]]-Table6[[#This Row],[Fault Start TimeStamp]])*24)</f>
        <v>0</v>
      </c>
      <c r="S1321" s="472">
        <f>(Table6[[#This Row],[Fault Clearance time]]-Table6[[#This Row],[Work Start TimeStamp]])*24</f>
        <v>0.86666666666666758</v>
      </c>
      <c r="T1321" s="472">
        <f>(Table6[[#This Row],[Fault Clearance time]]-Table6[[#This Row],[Fault Start TimeStamp]])*24</f>
        <v>0.86666666666666758</v>
      </c>
      <c r="U1321" s="35" t="s">
        <v>2007</v>
      </c>
      <c r="V1321" s="102" t="s">
        <v>293</v>
      </c>
      <c r="W1321" s="478">
        <f>IFERROR(Table6[[#This Row],[Breakdown Time]]*Table6[[#This Row],[Plant Equivalent Weightage]],"")</f>
        <v>3.3333333333333361E-2</v>
      </c>
      <c r="X1321" s="473" t="s">
        <v>290</v>
      </c>
      <c r="Y1321" s="474" t="s">
        <v>84</v>
      </c>
      <c r="Z1321" s="102">
        <v>10093</v>
      </c>
      <c r="AA1321" s="468">
        <f>(Table6[[#This Row],[Paired WTG Generation for loss calculation]]/24)*Table6[[#This Row],[Breakdown Time]]</f>
        <v>364.46944444444483</v>
      </c>
      <c r="AB1321" s="102"/>
      <c r="AC1321" s="35"/>
      <c r="AD1321" s="35"/>
    </row>
    <row r="1322" spans="1:30">
      <c r="A1322" s="102">
        <f t="shared" si="21"/>
        <v>1321</v>
      </c>
      <c r="B1322" s="468">
        <f>YEAR(Table6[[#This Row],[Date]])+IF(MONTH(Table6[[#This Row],[Date]])&gt;=4,1,0)</f>
        <v>2026</v>
      </c>
      <c r="C1322" s="102">
        <f>YEAR(Table6[[#This Row],[Date]])</f>
        <v>2025</v>
      </c>
      <c r="D1322" s="102" t="s">
        <v>1992</v>
      </c>
      <c r="E1322" s="469">
        <f>Table6[[#This Row],[Date]]-DAY(Table6[[#This Row],[Date]])+1</f>
        <v>45809</v>
      </c>
      <c r="F1322" s="470">
        <v>45833</v>
      </c>
      <c r="G1322" s="35" t="s">
        <v>90</v>
      </c>
      <c r="H1322" s="35" t="str">
        <f>IFERROR(_xlfn.XLOOKUP(Table6[[#This Row],[Affected WTG]],'Basic Data'!$A:$A,'Basic Data'!$B:$B),"")</f>
        <v>TQGXIIPL</v>
      </c>
      <c r="I1322" s="35" t="str">
        <f>IFERROR(_xlfn.XLOOKUP(Table6[[#This Row],[Affected WTG]],'Basic Data'!$A:$A,'Basic Data'!$C:$C),"")</f>
        <v>GEDA</v>
      </c>
      <c r="J1322" s="471">
        <f>IFERROR(_xlfn.XLOOKUP(Table6[[#This Row],[Affected WTG]],'Basic Data'!$A:$A,'Basic Data'!$E:$E),"")</f>
        <v>3.846153846153845E-2</v>
      </c>
      <c r="K1322" s="102">
        <v>550</v>
      </c>
      <c r="L1322" s="35" t="str">
        <f>IFERROR(_xlfn.XLOOKUP(Table6[[#This Row],[Error Code]],'Basic Data'!$AA:$AA,'Basic Data'!$AB:$AB),"Incorrect Error Code")</f>
        <v>Pitch current asymmetry</v>
      </c>
      <c r="M1322" s="35" t="s">
        <v>291</v>
      </c>
      <c r="N1322" s="475"/>
      <c r="O1322" s="476">
        <v>0.25486111111111109</v>
      </c>
      <c r="P1322" s="476">
        <v>0.25486111111111109</v>
      </c>
      <c r="Q1322" s="477">
        <v>0.2638888888888889</v>
      </c>
      <c r="R1322" s="472">
        <f>IF(Table6[[#This Row],[Work Start TimeStamp]]="","",(Table6[[#This Row],[Work Start TimeStamp]]-Table6[[#This Row],[Fault Start TimeStamp]])*24)</f>
        <v>0</v>
      </c>
      <c r="S1322" s="472">
        <f>(Table6[[#This Row],[Fault Clearance time]]-Table6[[#This Row],[Work Start TimeStamp]])*24</f>
        <v>0.21666666666666723</v>
      </c>
      <c r="T1322" s="472">
        <f>(Table6[[#This Row],[Fault Clearance time]]-Table6[[#This Row],[Fault Start TimeStamp]])*24</f>
        <v>0.21666666666666723</v>
      </c>
      <c r="U1322" s="35" t="s">
        <v>1924</v>
      </c>
      <c r="V1322" s="102" t="s">
        <v>293</v>
      </c>
      <c r="W1322" s="478">
        <f>IFERROR(Table6[[#This Row],[Breakdown Time]]*Table6[[#This Row],[Plant Equivalent Weightage]],"")</f>
        <v>8.3333333333333523E-3</v>
      </c>
      <c r="X1322" s="473" t="s">
        <v>290</v>
      </c>
      <c r="Y1322" s="474" t="s">
        <v>95</v>
      </c>
      <c r="Z1322" s="102">
        <v>14081</v>
      </c>
      <c r="AA1322" s="468">
        <f>(Table6[[#This Row],[Paired WTG Generation for loss calculation]]/24)*Table6[[#This Row],[Breakdown Time]]</f>
        <v>127.12013888888923</v>
      </c>
      <c r="AB1322" s="102"/>
      <c r="AC1322" s="35"/>
      <c r="AD1322" s="35"/>
    </row>
    <row r="1323" spans="1:30">
      <c r="A1323" s="102">
        <f t="shared" si="21"/>
        <v>1322</v>
      </c>
      <c r="B1323" s="468">
        <f>YEAR(Table6[[#This Row],[Date]])+IF(MONTH(Table6[[#This Row],[Date]])&gt;=4,1,0)</f>
        <v>2026</v>
      </c>
      <c r="C1323" s="102">
        <f>YEAR(Table6[[#This Row],[Date]])</f>
        <v>2025</v>
      </c>
      <c r="D1323" s="102" t="s">
        <v>1992</v>
      </c>
      <c r="E1323" s="469">
        <f>Table6[[#This Row],[Date]]-DAY(Table6[[#This Row],[Date]])+1</f>
        <v>45809</v>
      </c>
      <c r="F1323" s="470">
        <v>45833</v>
      </c>
      <c r="G1323" s="35" t="s">
        <v>91</v>
      </c>
      <c r="H1323" s="35" t="str">
        <f>IFERROR(_xlfn.XLOOKUP(Table6[[#This Row],[Affected WTG]],'Basic Data'!$A:$A,'Basic Data'!$B:$B),"")</f>
        <v>TQGXIIPL</v>
      </c>
      <c r="I1323" s="35" t="str">
        <f>IFERROR(_xlfn.XLOOKUP(Table6[[#This Row],[Affected WTG]],'Basic Data'!$A:$A,'Basic Data'!$C:$C),"")</f>
        <v>GEDA</v>
      </c>
      <c r="J1323" s="471">
        <f>IFERROR(_xlfn.XLOOKUP(Table6[[#This Row],[Affected WTG]],'Basic Data'!$A:$A,'Basic Data'!$E:$E),"")</f>
        <v>3.846153846153845E-2</v>
      </c>
      <c r="K1323" s="102">
        <v>55</v>
      </c>
      <c r="L1323" s="35" t="str">
        <f>IFERROR(_xlfn.XLOOKUP(Table6[[#This Row],[Error Code]],'Basic Data'!$AA:$AA,'Basic Data'!$AB:$AB),"Incorrect Error Code")</f>
        <v>WTG shut down</v>
      </c>
      <c r="M1323" s="35" t="s">
        <v>291</v>
      </c>
      <c r="N1323" s="475"/>
      <c r="O1323" s="476">
        <v>0.71111111111111114</v>
      </c>
      <c r="P1323" s="476">
        <v>0.71111111111111114</v>
      </c>
      <c r="Q1323" s="477">
        <v>0.76944444444444449</v>
      </c>
      <c r="R1323" s="472">
        <f>IF(Table6[[#This Row],[Work Start TimeStamp]]="","",(Table6[[#This Row],[Work Start TimeStamp]]-Table6[[#This Row],[Fault Start TimeStamp]])*24)</f>
        <v>0</v>
      </c>
      <c r="S1323" s="472">
        <f>(Table6[[#This Row],[Fault Clearance time]]-Table6[[#This Row],[Work Start TimeStamp]])*24</f>
        <v>1.4000000000000004</v>
      </c>
      <c r="T1323" s="472">
        <f>(Table6[[#This Row],[Fault Clearance time]]-Table6[[#This Row],[Fault Start TimeStamp]])*24</f>
        <v>1.4000000000000004</v>
      </c>
      <c r="U1323" s="35" t="s">
        <v>2008</v>
      </c>
      <c r="V1323" s="102" t="s">
        <v>293</v>
      </c>
      <c r="W1323" s="478">
        <f>IFERROR(Table6[[#This Row],[Breakdown Time]]*Table6[[#This Row],[Plant Equivalent Weightage]],"")</f>
        <v>5.3846153846153842E-2</v>
      </c>
      <c r="X1323" s="473" t="s">
        <v>290</v>
      </c>
      <c r="Y1323" s="474" t="s">
        <v>79</v>
      </c>
      <c r="Z1323" s="102">
        <v>13541</v>
      </c>
      <c r="AA1323" s="468">
        <f>(Table6[[#This Row],[Paired WTG Generation for loss calculation]]/24)*Table6[[#This Row],[Breakdown Time]]</f>
        <v>789.89166666666688</v>
      </c>
      <c r="AB1323" s="102"/>
      <c r="AC1323" s="35"/>
      <c r="AD1323" s="35"/>
    </row>
    <row r="1324" spans="1:30">
      <c r="A1324" s="102">
        <f t="shared" si="21"/>
        <v>1323</v>
      </c>
      <c r="B1324" s="468">
        <f>YEAR(Table6[[#This Row],[Date]])+IF(MONTH(Table6[[#This Row],[Date]])&gt;=4,1,0)</f>
        <v>2026</v>
      </c>
      <c r="C1324" s="102">
        <f>YEAR(Table6[[#This Row],[Date]])</f>
        <v>2025</v>
      </c>
      <c r="D1324" s="102" t="s">
        <v>1992</v>
      </c>
      <c r="E1324" s="469">
        <f>Table6[[#This Row],[Date]]-DAY(Table6[[#This Row],[Date]])+1</f>
        <v>45809</v>
      </c>
      <c r="F1324" s="470">
        <v>45834</v>
      </c>
      <c r="G1324" s="35" t="s">
        <v>75</v>
      </c>
      <c r="H1324" s="35" t="str">
        <f>IFERROR(_xlfn.XLOOKUP(Table6[[#This Row],[Affected WTG]],'Basic Data'!$A:$A,'Basic Data'!$B:$B),"")</f>
        <v>TQGXIIPL</v>
      </c>
      <c r="I1324" s="35" t="str">
        <f>IFERROR(_xlfn.XLOOKUP(Table6[[#This Row],[Affected WTG]],'Basic Data'!$A:$A,'Basic Data'!$C:$C),"")</f>
        <v>GEDA</v>
      </c>
      <c r="J1324" s="471">
        <f>IFERROR(_xlfn.XLOOKUP(Table6[[#This Row],[Affected WTG]],'Basic Data'!$A:$A,'Basic Data'!$E:$E),"")</f>
        <v>3.846153846153845E-2</v>
      </c>
      <c r="K1324" s="102">
        <v>55</v>
      </c>
      <c r="L1324" s="35" t="str">
        <f>IFERROR(_xlfn.XLOOKUP(Table6[[#This Row],[Error Code]],'Basic Data'!$AA:$AA,'Basic Data'!$AB:$AB),"Incorrect Error Code")</f>
        <v>WTG shut down</v>
      </c>
      <c r="M1324" s="35" t="s">
        <v>291</v>
      </c>
      <c r="N1324" s="475"/>
      <c r="O1324" s="476">
        <v>0</v>
      </c>
      <c r="P1324" s="476">
        <v>0</v>
      </c>
      <c r="Q1324" s="477">
        <v>2.5694444444444443E-2</v>
      </c>
      <c r="R1324" s="472">
        <f>IF(Table6[[#This Row],[Work Start TimeStamp]]="","",(Table6[[#This Row],[Work Start TimeStamp]]-Table6[[#This Row],[Fault Start TimeStamp]])*24)</f>
        <v>0</v>
      </c>
      <c r="S1324" s="472">
        <f>(Table6[[#This Row],[Fault Clearance time]]-Table6[[#This Row],[Work Start TimeStamp]])*24</f>
        <v>0.6166666666666667</v>
      </c>
      <c r="T1324" s="472">
        <f>(Table6[[#This Row],[Fault Clearance time]]-Table6[[#This Row],[Fault Start TimeStamp]])*24</f>
        <v>0.6166666666666667</v>
      </c>
      <c r="U1324" s="35" t="s">
        <v>2009</v>
      </c>
      <c r="V1324" s="102" t="s">
        <v>293</v>
      </c>
      <c r="W1324" s="478">
        <f>IFERROR(Table6[[#This Row],[Breakdown Time]]*Table6[[#This Row],[Plant Equivalent Weightage]],"")</f>
        <v>2.3717948717948713E-2</v>
      </c>
      <c r="X1324" s="473" t="s">
        <v>290</v>
      </c>
      <c r="Y1324" s="474" t="s">
        <v>78</v>
      </c>
      <c r="Z1324" s="102">
        <v>6206</v>
      </c>
      <c r="AA1324" s="468">
        <f>(Table6[[#This Row],[Paired WTG Generation for loss calculation]]/24)*Table6[[#This Row],[Breakdown Time]]</f>
        <v>159.45972222222221</v>
      </c>
      <c r="AB1324" s="102"/>
      <c r="AC1324" s="35"/>
      <c r="AD1324" s="35"/>
    </row>
    <row r="1325" spans="1:30">
      <c r="A1325" s="102">
        <f t="shared" si="21"/>
        <v>1324</v>
      </c>
      <c r="B1325" s="468">
        <f>YEAR(Table6[[#This Row],[Date]])+IF(MONTH(Table6[[#This Row],[Date]])&gt;=4,1,0)</f>
        <v>2026</v>
      </c>
      <c r="C1325" s="102">
        <f>YEAR(Table6[[#This Row],[Date]])</f>
        <v>2025</v>
      </c>
      <c r="D1325" s="102" t="s">
        <v>1992</v>
      </c>
      <c r="E1325" s="469">
        <f>Table6[[#This Row],[Date]]-DAY(Table6[[#This Row],[Date]])+1</f>
        <v>45809</v>
      </c>
      <c r="F1325" s="470">
        <v>45834</v>
      </c>
      <c r="G1325" s="35" t="s">
        <v>80</v>
      </c>
      <c r="H1325" s="35" t="str">
        <f>IFERROR(_xlfn.XLOOKUP(Table6[[#This Row],[Affected WTG]],'Basic Data'!$A:$A,'Basic Data'!$B:$B),"")</f>
        <v>TQGXIIPL</v>
      </c>
      <c r="I1325" s="35" t="str">
        <f>IFERROR(_xlfn.XLOOKUP(Table6[[#This Row],[Affected WTG]],'Basic Data'!$A:$A,'Basic Data'!$C:$C),"")</f>
        <v>GEDA</v>
      </c>
      <c r="J1325" s="471">
        <f>IFERROR(_xlfn.XLOOKUP(Table6[[#This Row],[Affected WTG]],'Basic Data'!$A:$A,'Basic Data'!$E:$E),"")</f>
        <v>3.846153846153845E-2</v>
      </c>
      <c r="K1325" s="102">
        <v>3110</v>
      </c>
      <c r="L1325" s="35" t="str">
        <f>IFERROR(_xlfn.XLOOKUP(Table6[[#This Row],[Error Code]],'Basic Data'!$AA:$AA,'Basic Data'!$AB:$AB),"Incorrect Error Code")</f>
        <v>Frequency converter error</v>
      </c>
      <c r="M1325" s="35" t="s">
        <v>292</v>
      </c>
      <c r="N1325" s="475"/>
      <c r="O1325" s="476">
        <v>0.30763888888888891</v>
      </c>
      <c r="P1325" s="476">
        <v>0.30763888888888891</v>
      </c>
      <c r="Q1325" s="477">
        <v>0.30833333333333335</v>
      </c>
      <c r="R1325" s="472">
        <f>IF(Table6[[#This Row],[Work Start TimeStamp]]="","",(Table6[[#This Row],[Work Start TimeStamp]]-Table6[[#This Row],[Fault Start TimeStamp]])*24)</f>
        <v>0</v>
      </c>
      <c r="S1325" s="472">
        <f>(Table6[[#This Row],[Fault Clearance time]]-Table6[[#This Row],[Work Start TimeStamp]])*24</f>
        <v>1.6666666666666607E-2</v>
      </c>
      <c r="T1325" s="472">
        <f>(Table6[[#This Row],[Fault Clearance time]]-Table6[[#This Row],[Fault Start TimeStamp]])*24</f>
        <v>1.6666666666666607E-2</v>
      </c>
      <c r="U1325" s="35" t="s">
        <v>336</v>
      </c>
      <c r="V1325" s="102" t="s">
        <v>293</v>
      </c>
      <c r="W1325" s="478">
        <f>IFERROR(Table6[[#This Row],[Breakdown Time]]*Table6[[#This Row],[Plant Equivalent Weightage]],"")</f>
        <v>6.4102564102563853E-4</v>
      </c>
      <c r="X1325" s="473" t="s">
        <v>294</v>
      </c>
      <c r="Y1325" s="474" t="s">
        <v>77</v>
      </c>
      <c r="Z1325" s="102">
        <v>6918</v>
      </c>
      <c r="AA1325" s="468">
        <f>(Table6[[#This Row],[Paired WTG Generation for loss calculation]]/24)*Table6[[#This Row],[Breakdown Time]]</f>
        <v>4.8041666666666494</v>
      </c>
      <c r="AB1325" s="102"/>
      <c r="AC1325" s="35"/>
      <c r="AD1325" s="35"/>
    </row>
    <row r="1326" spans="1:30">
      <c r="A1326" s="102">
        <f t="shared" si="21"/>
        <v>1325</v>
      </c>
      <c r="B1326" s="468">
        <f>YEAR(Table6[[#This Row],[Date]])+IF(MONTH(Table6[[#This Row],[Date]])&gt;=4,1,0)</f>
        <v>2026</v>
      </c>
      <c r="C1326" s="102">
        <f>YEAR(Table6[[#This Row],[Date]])</f>
        <v>2025</v>
      </c>
      <c r="D1326" s="102" t="s">
        <v>1992</v>
      </c>
      <c r="E1326" s="469">
        <f>Table6[[#This Row],[Date]]-DAY(Table6[[#This Row],[Date]])+1</f>
        <v>45809</v>
      </c>
      <c r="F1326" s="470">
        <v>45834</v>
      </c>
      <c r="G1326" s="35" t="s">
        <v>81</v>
      </c>
      <c r="H1326" s="35" t="str">
        <f>IFERROR(_xlfn.XLOOKUP(Table6[[#This Row],[Affected WTG]],'Basic Data'!$A:$A,'Basic Data'!$B:$B),"")</f>
        <v>TQGXIIPL</v>
      </c>
      <c r="I1326" s="35" t="str">
        <f>IFERROR(_xlfn.XLOOKUP(Table6[[#This Row],[Affected WTG]],'Basic Data'!$A:$A,'Basic Data'!$C:$C),"")</f>
        <v>GEDA</v>
      </c>
      <c r="J1326" s="471">
        <f>IFERROR(_xlfn.XLOOKUP(Table6[[#This Row],[Affected WTG]],'Basic Data'!$A:$A,'Basic Data'!$E:$E),"")</f>
        <v>3.846153846153845E-2</v>
      </c>
      <c r="K1326" s="102">
        <v>175</v>
      </c>
      <c r="L1326" s="35" t="str">
        <f>IFERROR(_xlfn.XLOOKUP(Table6[[#This Row],[Error Code]],'Basic Data'!$AA:$AA,'Basic Data'!$AB:$AB),"Incorrect Error Code")</f>
        <v>SLC error</v>
      </c>
      <c r="M1326" s="35" t="s">
        <v>291</v>
      </c>
      <c r="N1326" s="475"/>
      <c r="O1326" s="476">
        <v>0.29166666666666669</v>
      </c>
      <c r="P1326" s="476">
        <v>0.29166666666666669</v>
      </c>
      <c r="Q1326" s="477">
        <v>0.29722222222222222</v>
      </c>
      <c r="R1326" s="472">
        <f>IF(Table6[[#This Row],[Work Start TimeStamp]]="","",(Table6[[#This Row],[Work Start TimeStamp]]-Table6[[#This Row],[Fault Start TimeStamp]])*24)</f>
        <v>0</v>
      </c>
      <c r="S1326" s="472">
        <f>(Table6[[#This Row],[Fault Clearance time]]-Table6[[#This Row],[Work Start TimeStamp]])*24</f>
        <v>0.13333333333333286</v>
      </c>
      <c r="T1326" s="472">
        <f>(Table6[[#This Row],[Fault Clearance time]]-Table6[[#This Row],[Fault Start TimeStamp]])*24</f>
        <v>0.13333333333333286</v>
      </c>
      <c r="U1326" s="35" t="s">
        <v>1924</v>
      </c>
      <c r="V1326" s="102" t="s">
        <v>293</v>
      </c>
      <c r="W1326" s="478">
        <f>IFERROR(Table6[[#This Row],[Breakdown Time]]*Table6[[#This Row],[Plant Equivalent Weightage]],"")</f>
        <v>5.1282051282051083E-3</v>
      </c>
      <c r="X1326" s="473" t="s">
        <v>290</v>
      </c>
      <c r="Y1326" s="474" t="s">
        <v>99</v>
      </c>
      <c r="Z1326" s="102">
        <v>6401</v>
      </c>
      <c r="AA1326" s="468">
        <f>(Table6[[#This Row],[Paired WTG Generation for loss calculation]]/24)*Table6[[#This Row],[Breakdown Time]]</f>
        <v>35.561111111110982</v>
      </c>
      <c r="AB1326" s="102"/>
      <c r="AC1326" s="35"/>
      <c r="AD1326" s="35"/>
    </row>
    <row r="1327" spans="1:30">
      <c r="A1327" s="102">
        <f t="shared" si="21"/>
        <v>1326</v>
      </c>
      <c r="B1327" s="468">
        <f>YEAR(Table6[[#This Row],[Date]])+IF(MONTH(Table6[[#This Row],[Date]])&gt;=4,1,0)</f>
        <v>2026</v>
      </c>
      <c r="C1327" s="102">
        <f>YEAR(Table6[[#This Row],[Date]])</f>
        <v>2025</v>
      </c>
      <c r="D1327" s="102" t="s">
        <v>1992</v>
      </c>
      <c r="E1327" s="469">
        <f>Table6[[#This Row],[Date]]-DAY(Table6[[#This Row],[Date]])+1</f>
        <v>45809</v>
      </c>
      <c r="F1327" s="470">
        <v>45834</v>
      </c>
      <c r="G1327" s="35" t="s">
        <v>81</v>
      </c>
      <c r="H1327" s="35" t="str">
        <f>IFERROR(_xlfn.XLOOKUP(Table6[[#This Row],[Affected WTG]],'Basic Data'!$A:$A,'Basic Data'!$B:$B),"")</f>
        <v>TQGXIIPL</v>
      </c>
      <c r="I1327" s="35" t="str">
        <f>IFERROR(_xlfn.XLOOKUP(Table6[[#This Row],[Affected WTG]],'Basic Data'!$A:$A,'Basic Data'!$C:$C),"")</f>
        <v>GEDA</v>
      </c>
      <c r="J1327" s="471">
        <f>IFERROR(_xlfn.XLOOKUP(Table6[[#This Row],[Affected WTG]],'Basic Data'!$A:$A,'Basic Data'!$E:$E),"")</f>
        <v>3.846153846153845E-2</v>
      </c>
      <c r="K1327" s="102">
        <v>3110</v>
      </c>
      <c r="L1327" s="35" t="str">
        <f>IFERROR(_xlfn.XLOOKUP(Table6[[#This Row],[Error Code]],'Basic Data'!$AA:$AA,'Basic Data'!$AB:$AB),"Incorrect Error Code")</f>
        <v>Frequency converter error</v>
      </c>
      <c r="M1327" s="35" t="s">
        <v>291</v>
      </c>
      <c r="N1327" s="475"/>
      <c r="O1327" s="476">
        <v>0.47986111111111113</v>
      </c>
      <c r="P1327" s="476">
        <v>0.47986111111111113</v>
      </c>
      <c r="Q1327" s="477">
        <v>0.49027777777777776</v>
      </c>
      <c r="R1327" s="472">
        <f>IF(Table6[[#This Row],[Work Start TimeStamp]]="","",(Table6[[#This Row],[Work Start TimeStamp]]-Table6[[#This Row],[Fault Start TimeStamp]])*24)</f>
        <v>0</v>
      </c>
      <c r="S1327" s="472">
        <f>(Table6[[#This Row],[Fault Clearance time]]-Table6[[#This Row],[Work Start TimeStamp]])*24</f>
        <v>0.24999999999999911</v>
      </c>
      <c r="T1327" s="472">
        <f>(Table6[[#This Row],[Fault Clearance time]]-Table6[[#This Row],[Fault Start TimeStamp]])*24</f>
        <v>0.24999999999999911</v>
      </c>
      <c r="U1327" s="35" t="s">
        <v>1924</v>
      </c>
      <c r="V1327" s="102" t="s">
        <v>293</v>
      </c>
      <c r="W1327" s="478">
        <f>IFERROR(Table6[[#This Row],[Breakdown Time]]*Table6[[#This Row],[Plant Equivalent Weightage]],"")</f>
        <v>9.6153846153845778E-3</v>
      </c>
      <c r="X1327" s="473" t="s">
        <v>290</v>
      </c>
      <c r="Y1327" s="474" t="s">
        <v>99</v>
      </c>
      <c r="Z1327" s="102">
        <v>6401</v>
      </c>
      <c r="AA1327" s="468">
        <f>(Table6[[#This Row],[Paired WTG Generation for loss calculation]]/24)*Table6[[#This Row],[Breakdown Time]]</f>
        <v>66.677083333333087</v>
      </c>
      <c r="AB1327" s="102"/>
      <c r="AC1327" s="35"/>
      <c r="AD1327" s="35"/>
    </row>
    <row r="1328" spans="1:30">
      <c r="A1328" s="102">
        <f t="shared" si="21"/>
        <v>1327</v>
      </c>
      <c r="B1328" s="468">
        <f>YEAR(Table6[[#This Row],[Date]])+IF(MONTH(Table6[[#This Row],[Date]])&gt;=4,1,0)</f>
        <v>2026</v>
      </c>
      <c r="C1328" s="102">
        <f>YEAR(Table6[[#This Row],[Date]])</f>
        <v>2025</v>
      </c>
      <c r="D1328" s="102" t="s">
        <v>1992</v>
      </c>
      <c r="E1328" s="469">
        <f>Table6[[#This Row],[Date]]-DAY(Table6[[#This Row],[Date]])+1</f>
        <v>45809</v>
      </c>
      <c r="F1328" s="470">
        <v>45834</v>
      </c>
      <c r="G1328" s="35" t="s">
        <v>85</v>
      </c>
      <c r="H1328" s="35" t="str">
        <f>IFERROR(_xlfn.XLOOKUP(Table6[[#This Row],[Affected WTG]],'Basic Data'!$A:$A,'Basic Data'!$B:$B),"")</f>
        <v>TQGXIIPL</v>
      </c>
      <c r="I1328" s="35" t="str">
        <f>IFERROR(_xlfn.XLOOKUP(Table6[[#This Row],[Affected WTG]],'Basic Data'!$A:$A,'Basic Data'!$C:$C),"")</f>
        <v>GEDA</v>
      </c>
      <c r="J1328" s="471">
        <f>IFERROR(_xlfn.XLOOKUP(Table6[[#This Row],[Affected WTG]],'Basic Data'!$A:$A,'Basic Data'!$E:$E),"")</f>
        <v>3.846153846153845E-2</v>
      </c>
      <c r="K1328" s="102">
        <v>55</v>
      </c>
      <c r="L1328" s="35" t="str">
        <f>IFERROR(_xlfn.XLOOKUP(Table6[[#This Row],[Error Code]],'Basic Data'!$AA:$AA,'Basic Data'!$AB:$AB),"Incorrect Error Code")</f>
        <v>WTG shut down</v>
      </c>
      <c r="M1328" s="35" t="s">
        <v>295</v>
      </c>
      <c r="N1328" s="475"/>
      <c r="O1328" s="476">
        <v>0</v>
      </c>
      <c r="P1328" s="476">
        <v>0</v>
      </c>
      <c r="Q1328" s="477">
        <v>0.99998842592592596</v>
      </c>
      <c r="R1328" s="472">
        <f>IF(Table6[[#This Row],[Work Start TimeStamp]]="","",(Table6[[#This Row],[Work Start TimeStamp]]-Table6[[#This Row],[Fault Start TimeStamp]])*24)</f>
        <v>0</v>
      </c>
      <c r="S1328" s="472">
        <f>(Table6[[#This Row],[Fault Clearance time]]-Table6[[#This Row],[Work Start TimeStamp]])*24</f>
        <v>23.999722222222225</v>
      </c>
      <c r="T1328" s="472">
        <f>(Table6[[#This Row],[Fault Clearance time]]-Table6[[#This Row],[Fault Start TimeStamp]])*24</f>
        <v>23.999722222222225</v>
      </c>
      <c r="U1328" s="531" t="s">
        <v>2093</v>
      </c>
      <c r="V1328" s="102" t="s">
        <v>289</v>
      </c>
      <c r="W1328" s="478">
        <f>IFERROR(Table6[[#This Row],[Breakdown Time]]*Table6[[#This Row],[Plant Equivalent Weightage]],"")</f>
        <v>0.9230662393162391</v>
      </c>
      <c r="X1328" s="473" t="s">
        <v>523</v>
      </c>
      <c r="Y1328" s="474" t="s">
        <v>87</v>
      </c>
      <c r="Z1328" s="102">
        <v>6657</v>
      </c>
      <c r="AA1328" s="468">
        <f>(Table6[[#This Row],[Paired WTG Generation for loss calculation]]/24)*Table6[[#This Row],[Breakdown Time]]</f>
        <v>6656.9229513888895</v>
      </c>
      <c r="AB1328" s="102"/>
      <c r="AC1328" s="35"/>
      <c r="AD1328" s="35"/>
    </row>
    <row r="1329" spans="1:30">
      <c r="A1329" s="102">
        <f t="shared" si="21"/>
        <v>1328</v>
      </c>
      <c r="B1329" s="468">
        <f>YEAR(Table6[[#This Row],[Date]])+IF(MONTH(Table6[[#This Row],[Date]])&gt;=4,1,0)</f>
        <v>2026</v>
      </c>
      <c r="C1329" s="102">
        <f>YEAR(Table6[[#This Row],[Date]])</f>
        <v>2025</v>
      </c>
      <c r="D1329" s="102" t="s">
        <v>1992</v>
      </c>
      <c r="E1329" s="469">
        <f>Table6[[#This Row],[Date]]-DAY(Table6[[#This Row],[Date]])+1</f>
        <v>45809</v>
      </c>
      <c r="F1329" s="470">
        <v>45834</v>
      </c>
      <c r="G1329" s="35" t="s">
        <v>89</v>
      </c>
      <c r="H1329" s="35" t="str">
        <f>IFERROR(_xlfn.XLOOKUP(Table6[[#This Row],[Affected WTG]],'Basic Data'!$A:$A,'Basic Data'!$B:$B),"")</f>
        <v>TQGXIIPL</v>
      </c>
      <c r="I1329" s="35" t="str">
        <f>IFERROR(_xlfn.XLOOKUP(Table6[[#This Row],[Affected WTG]],'Basic Data'!$A:$A,'Basic Data'!$C:$C),"")</f>
        <v>GEDA</v>
      </c>
      <c r="J1329" s="471">
        <f>IFERROR(_xlfn.XLOOKUP(Table6[[#This Row],[Affected WTG]],'Basic Data'!$A:$A,'Basic Data'!$E:$E),"")</f>
        <v>3.846153846153845E-2</v>
      </c>
      <c r="K1329" s="102">
        <v>6505</v>
      </c>
      <c r="L1329" s="35" t="str">
        <f>IFERROR(_xlfn.XLOOKUP(Table6[[#This Row],[Error Code]],'Basic Data'!$AA:$AA,'Basic Data'!$AB:$AB),"Incorrect Error Code")</f>
        <v>Wind.sp. diff. level 2</v>
      </c>
      <c r="M1329" s="35" t="s">
        <v>291</v>
      </c>
      <c r="N1329" s="475"/>
      <c r="O1329" s="476">
        <v>0.57916666666666672</v>
      </c>
      <c r="P1329" s="476">
        <v>0.59375</v>
      </c>
      <c r="Q1329" s="477">
        <v>0.79583333333333328</v>
      </c>
      <c r="R1329" s="472">
        <f>IF(Table6[[#This Row],[Work Start TimeStamp]]="","",(Table6[[#This Row],[Work Start TimeStamp]]-Table6[[#This Row],[Fault Start TimeStamp]])*24)</f>
        <v>0.34999999999999876</v>
      </c>
      <c r="S1329" s="472">
        <f>(Table6[[#This Row],[Fault Clearance time]]-Table6[[#This Row],[Work Start TimeStamp]])*24</f>
        <v>4.8499999999999988</v>
      </c>
      <c r="T1329" s="472">
        <f>(Table6[[#This Row],[Fault Clearance time]]-Table6[[#This Row],[Fault Start TimeStamp]])*24</f>
        <v>5.1999999999999975</v>
      </c>
      <c r="U1329" s="35" t="s">
        <v>2010</v>
      </c>
      <c r="V1329" s="102" t="s">
        <v>293</v>
      </c>
      <c r="W1329" s="478">
        <f>IFERROR(Table6[[#This Row],[Breakdown Time]]*Table6[[#This Row],[Plant Equivalent Weightage]],"")</f>
        <v>0.19999999999999984</v>
      </c>
      <c r="X1329" s="473" t="s">
        <v>290</v>
      </c>
      <c r="Y1329" s="474" t="s">
        <v>94</v>
      </c>
      <c r="Z1329" s="102">
        <v>7106</v>
      </c>
      <c r="AA1329" s="468">
        <f>(Table6[[#This Row],[Paired WTG Generation for loss calculation]]/24)*Table6[[#This Row],[Breakdown Time]]</f>
        <v>1539.6333333333325</v>
      </c>
      <c r="AB1329" s="102"/>
      <c r="AC1329" s="35"/>
      <c r="AD1329" s="35"/>
    </row>
    <row r="1330" spans="1:30">
      <c r="A1330" s="102">
        <f t="shared" si="21"/>
        <v>1329</v>
      </c>
      <c r="B1330" s="468">
        <f>YEAR(Table6[[#This Row],[Date]])+IF(MONTH(Table6[[#This Row],[Date]])&gt;=4,1,0)</f>
        <v>2026</v>
      </c>
      <c r="C1330" s="102">
        <f>YEAR(Table6[[#This Row],[Date]])</f>
        <v>2025</v>
      </c>
      <c r="D1330" s="102" t="s">
        <v>1992</v>
      </c>
      <c r="E1330" s="469">
        <f>Table6[[#This Row],[Date]]-DAY(Table6[[#This Row],[Date]])+1</f>
        <v>45809</v>
      </c>
      <c r="F1330" s="470">
        <v>45834</v>
      </c>
      <c r="G1330" s="35" t="s">
        <v>95</v>
      </c>
      <c r="H1330" s="35" t="str">
        <f>IFERROR(_xlfn.XLOOKUP(Table6[[#This Row],[Affected WTG]],'Basic Data'!$A:$A,'Basic Data'!$B:$B),"")</f>
        <v>TQGXIIPL</v>
      </c>
      <c r="I1330" s="35" t="str">
        <f>IFERROR(_xlfn.XLOOKUP(Table6[[#This Row],[Affected WTG]],'Basic Data'!$A:$A,'Basic Data'!$C:$C),"")</f>
        <v>GEDA</v>
      </c>
      <c r="J1330" s="471">
        <f>IFERROR(_xlfn.XLOOKUP(Table6[[#This Row],[Affected WTG]],'Basic Data'!$A:$A,'Basic Data'!$E:$E),"")</f>
        <v>3.846153846153845E-2</v>
      </c>
      <c r="K1330" s="102">
        <v>3000</v>
      </c>
      <c r="L1330" s="35" t="str">
        <f>IFERROR(_xlfn.XLOOKUP(Table6[[#This Row],[Error Code]],'Basic Data'!$AA:$AA,'Basic Data'!$AB:$AB),"Incorrect Error Code")</f>
        <v>Frequency converter not ready</v>
      </c>
      <c r="M1330" s="35" t="s">
        <v>291</v>
      </c>
      <c r="N1330" s="475"/>
      <c r="O1330" s="476">
        <v>0.65416666666666667</v>
      </c>
      <c r="P1330" s="476">
        <v>0.65416666666666667</v>
      </c>
      <c r="Q1330" s="477">
        <v>0.65763888888888888</v>
      </c>
      <c r="R1330" s="472">
        <f>IF(Table6[[#This Row],[Work Start TimeStamp]]="","",(Table6[[#This Row],[Work Start TimeStamp]]-Table6[[#This Row],[Fault Start TimeStamp]])*24)</f>
        <v>0</v>
      </c>
      <c r="S1330" s="472">
        <f>(Table6[[#This Row],[Fault Clearance time]]-Table6[[#This Row],[Work Start TimeStamp]])*24</f>
        <v>8.3333333333333037E-2</v>
      </c>
      <c r="T1330" s="472">
        <f>(Table6[[#This Row],[Fault Clearance time]]-Table6[[#This Row],[Fault Start TimeStamp]])*24</f>
        <v>8.3333333333333037E-2</v>
      </c>
      <c r="U1330" s="35" t="s">
        <v>1924</v>
      </c>
      <c r="V1330" s="102" t="s">
        <v>293</v>
      </c>
      <c r="W1330" s="478">
        <f>IFERROR(Table6[[#This Row],[Breakdown Time]]*Table6[[#This Row],[Plant Equivalent Weightage]],"")</f>
        <v>3.2051282051281929E-3</v>
      </c>
      <c r="X1330" s="473" t="s">
        <v>290</v>
      </c>
      <c r="Y1330" s="474" t="s">
        <v>79</v>
      </c>
      <c r="Z1330" s="102">
        <v>7570</v>
      </c>
      <c r="AA1330" s="468">
        <f>(Table6[[#This Row],[Paired WTG Generation for loss calculation]]/24)*Table6[[#This Row],[Breakdown Time]]</f>
        <v>26.284722222222129</v>
      </c>
      <c r="AB1330" s="102"/>
      <c r="AC1330" s="35"/>
      <c r="AD1330" s="35"/>
    </row>
    <row r="1331" spans="1:30">
      <c r="A1331" s="102">
        <f t="shared" si="21"/>
        <v>1330</v>
      </c>
      <c r="B1331" s="468">
        <f>YEAR(Table6[[#This Row],[Date]])+IF(MONTH(Table6[[#This Row],[Date]])&gt;=4,1,0)</f>
        <v>2026</v>
      </c>
      <c r="C1331" s="102">
        <f>YEAR(Table6[[#This Row],[Date]])</f>
        <v>2025</v>
      </c>
      <c r="D1331" s="102" t="s">
        <v>1992</v>
      </c>
      <c r="E1331" s="469">
        <f>Table6[[#This Row],[Date]]-DAY(Table6[[#This Row],[Date]])+1</f>
        <v>45809</v>
      </c>
      <c r="F1331" s="470">
        <v>45834</v>
      </c>
      <c r="G1331" s="35" t="s">
        <v>95</v>
      </c>
      <c r="H1331" s="35" t="str">
        <f>IFERROR(_xlfn.XLOOKUP(Table6[[#This Row],[Affected WTG]],'Basic Data'!$A:$A,'Basic Data'!$B:$B),"")</f>
        <v>TQGXIIPL</v>
      </c>
      <c r="I1331" s="35" t="str">
        <f>IFERROR(_xlfn.XLOOKUP(Table6[[#This Row],[Affected WTG]],'Basic Data'!$A:$A,'Basic Data'!$C:$C),"")</f>
        <v>GEDA</v>
      </c>
      <c r="J1331" s="471">
        <f>IFERROR(_xlfn.XLOOKUP(Table6[[#This Row],[Affected WTG]],'Basic Data'!$A:$A,'Basic Data'!$E:$E),"")</f>
        <v>3.846153846153845E-2</v>
      </c>
      <c r="K1331" s="102">
        <v>55</v>
      </c>
      <c r="L1331" s="35" t="str">
        <f>IFERROR(_xlfn.XLOOKUP(Table6[[#This Row],[Error Code]],'Basic Data'!$AA:$AA,'Basic Data'!$AB:$AB),"Incorrect Error Code")</f>
        <v>WTG shut down</v>
      </c>
      <c r="M1331" s="35" t="s">
        <v>291</v>
      </c>
      <c r="N1331" s="475"/>
      <c r="O1331" s="476">
        <v>0.75416666666666665</v>
      </c>
      <c r="P1331" s="476">
        <v>0.75416666666666665</v>
      </c>
      <c r="Q1331" s="477">
        <v>0.81736111111111109</v>
      </c>
      <c r="R1331" s="472">
        <f>IF(Table6[[#This Row],[Work Start TimeStamp]]="","",(Table6[[#This Row],[Work Start TimeStamp]]-Table6[[#This Row],[Fault Start TimeStamp]])*24)</f>
        <v>0</v>
      </c>
      <c r="S1331" s="472">
        <f>(Table6[[#This Row],[Fault Clearance time]]-Table6[[#This Row],[Work Start TimeStamp]])*24</f>
        <v>1.5166666666666666</v>
      </c>
      <c r="T1331" s="472">
        <f>(Table6[[#This Row],[Fault Clearance time]]-Table6[[#This Row],[Fault Start TimeStamp]])*24</f>
        <v>1.5166666666666666</v>
      </c>
      <c r="U1331" s="35" t="s">
        <v>2011</v>
      </c>
      <c r="V1331" s="102" t="s">
        <v>293</v>
      </c>
      <c r="W1331" s="478">
        <f>IFERROR(Table6[[#This Row],[Breakdown Time]]*Table6[[#This Row],[Plant Equivalent Weightage]],"")</f>
        <v>5.8333333333333313E-2</v>
      </c>
      <c r="X1331" s="473" t="s">
        <v>290</v>
      </c>
      <c r="Y1331" s="474" t="s">
        <v>79</v>
      </c>
      <c r="Z1331" s="102">
        <v>7570</v>
      </c>
      <c r="AA1331" s="468">
        <f>(Table6[[#This Row],[Paired WTG Generation for loss calculation]]/24)*Table6[[#This Row],[Breakdown Time]]</f>
        <v>478.38194444444446</v>
      </c>
      <c r="AB1331" s="102"/>
      <c r="AC1331" s="35"/>
      <c r="AD1331" s="35"/>
    </row>
    <row r="1332" spans="1:30">
      <c r="A1332" s="102">
        <f t="shared" si="21"/>
        <v>1331</v>
      </c>
      <c r="B1332" s="468">
        <f>YEAR(Table6[[#This Row],[Date]])+IF(MONTH(Table6[[#This Row],[Date]])&gt;=4,1,0)</f>
        <v>2026</v>
      </c>
      <c r="C1332" s="102">
        <f>YEAR(Table6[[#This Row],[Date]])</f>
        <v>2025</v>
      </c>
      <c r="D1332" s="102" t="s">
        <v>1992</v>
      </c>
      <c r="E1332" s="469">
        <f>Table6[[#This Row],[Date]]-DAY(Table6[[#This Row],[Date]])+1</f>
        <v>45809</v>
      </c>
      <c r="F1332" s="470">
        <v>45834</v>
      </c>
      <c r="G1332" s="35" t="s">
        <v>96</v>
      </c>
      <c r="H1332" s="35" t="str">
        <f>IFERROR(_xlfn.XLOOKUP(Table6[[#This Row],[Affected WTG]],'Basic Data'!$A:$A,'Basic Data'!$B:$B),"")</f>
        <v>TQGXIIPL</v>
      </c>
      <c r="I1332" s="35" t="str">
        <f>IFERROR(_xlfn.XLOOKUP(Table6[[#This Row],[Affected WTG]],'Basic Data'!$A:$A,'Basic Data'!$C:$C),"")</f>
        <v>GEDA</v>
      </c>
      <c r="J1332" s="471">
        <f>IFERROR(_xlfn.XLOOKUP(Table6[[#This Row],[Affected WTG]],'Basic Data'!$A:$A,'Basic Data'!$E:$E),"")</f>
        <v>3.846153846153845E-2</v>
      </c>
      <c r="K1332" s="102">
        <v>55</v>
      </c>
      <c r="L1332" s="35" t="str">
        <f>IFERROR(_xlfn.XLOOKUP(Table6[[#This Row],[Error Code]],'Basic Data'!$AA:$AA,'Basic Data'!$AB:$AB),"Incorrect Error Code")</f>
        <v>WTG shut down</v>
      </c>
      <c r="M1332" s="35" t="s">
        <v>291</v>
      </c>
      <c r="N1332" s="475"/>
      <c r="O1332" s="476">
        <v>0.72083333333333333</v>
      </c>
      <c r="P1332" s="476">
        <v>0.72083333333333333</v>
      </c>
      <c r="Q1332" s="477">
        <v>0.72499999999999998</v>
      </c>
      <c r="R1332" s="472">
        <f>IF(Table6[[#This Row],[Work Start TimeStamp]]="","",(Table6[[#This Row],[Work Start TimeStamp]]-Table6[[#This Row],[Fault Start TimeStamp]])*24)</f>
        <v>0</v>
      </c>
      <c r="S1332" s="472">
        <f>(Table6[[#This Row],[Fault Clearance time]]-Table6[[#This Row],[Work Start TimeStamp]])*24</f>
        <v>9.9999999999999645E-2</v>
      </c>
      <c r="T1332" s="472">
        <f>(Table6[[#This Row],[Fault Clearance time]]-Table6[[#This Row],[Fault Start TimeStamp]])*24</f>
        <v>9.9999999999999645E-2</v>
      </c>
      <c r="U1332" s="35" t="s">
        <v>2012</v>
      </c>
      <c r="V1332" s="102" t="s">
        <v>293</v>
      </c>
      <c r="W1332" s="478">
        <f>IFERROR(Table6[[#This Row],[Breakdown Time]]*Table6[[#This Row],[Plant Equivalent Weightage]],"")</f>
        <v>3.8461538461538312E-3</v>
      </c>
      <c r="X1332" s="473" t="s">
        <v>290</v>
      </c>
      <c r="Y1332" s="474" t="s">
        <v>84</v>
      </c>
      <c r="Z1332" s="102">
        <v>6362</v>
      </c>
      <c r="AA1332" s="468">
        <f>(Table6[[#This Row],[Paired WTG Generation for loss calculation]]/24)*Table6[[#This Row],[Breakdown Time]]</f>
        <v>26.508333333333237</v>
      </c>
      <c r="AB1332" s="102"/>
      <c r="AC1332" s="35"/>
      <c r="AD1332" s="35"/>
    </row>
    <row r="1333" spans="1:30">
      <c r="A1333" s="102">
        <f t="shared" si="21"/>
        <v>1332</v>
      </c>
      <c r="B1333" s="468">
        <f>YEAR(Table6[[#This Row],[Date]])+IF(MONTH(Table6[[#This Row],[Date]])&gt;=4,1,0)</f>
        <v>2026</v>
      </c>
      <c r="C1333" s="102">
        <f>YEAR(Table6[[#This Row],[Date]])</f>
        <v>2025</v>
      </c>
      <c r="D1333" s="102" t="s">
        <v>1992</v>
      </c>
      <c r="E1333" s="469">
        <f>Table6[[#This Row],[Date]]-DAY(Table6[[#This Row],[Date]])+1</f>
        <v>45809</v>
      </c>
      <c r="F1333" s="470">
        <v>45835</v>
      </c>
      <c r="G1333" s="35" t="s">
        <v>75</v>
      </c>
      <c r="H1333" s="35" t="str">
        <f>IFERROR(_xlfn.XLOOKUP(Table6[[#This Row],[Affected WTG]],'Basic Data'!$A:$A,'Basic Data'!$B:$B),"")</f>
        <v>TQGXIIPL</v>
      </c>
      <c r="I1333" s="35" t="str">
        <f>IFERROR(_xlfn.XLOOKUP(Table6[[#This Row],[Affected WTG]],'Basic Data'!$A:$A,'Basic Data'!$C:$C),"")</f>
        <v>GEDA</v>
      </c>
      <c r="J1333" s="471">
        <f>IFERROR(_xlfn.XLOOKUP(Table6[[#This Row],[Affected WTG]],'Basic Data'!$A:$A,'Basic Data'!$E:$E),"")</f>
        <v>3.846153846153845E-2</v>
      </c>
      <c r="K1333" s="102">
        <v>175</v>
      </c>
      <c r="L1333" s="35" t="str">
        <f>IFERROR(_xlfn.XLOOKUP(Table6[[#This Row],[Error Code]],'Basic Data'!$AA:$AA,'Basic Data'!$AB:$AB),"Incorrect Error Code")</f>
        <v>SLC error</v>
      </c>
      <c r="M1333" s="35" t="s">
        <v>291</v>
      </c>
      <c r="N1333" s="475"/>
      <c r="O1333" s="476">
        <v>0.39166666666666666</v>
      </c>
      <c r="P1333" s="476">
        <v>0.39166666666666666</v>
      </c>
      <c r="Q1333" s="477">
        <v>0.39305555555555555</v>
      </c>
      <c r="R1333" s="472">
        <f>IF(Table6[[#This Row],[Work Start TimeStamp]]="","",(Table6[[#This Row],[Work Start TimeStamp]]-Table6[[#This Row],[Fault Start TimeStamp]])*24)</f>
        <v>0</v>
      </c>
      <c r="S1333" s="472">
        <f>(Table6[[#This Row],[Fault Clearance time]]-Table6[[#This Row],[Work Start TimeStamp]])*24</f>
        <v>3.3333333333333215E-2</v>
      </c>
      <c r="T1333" s="472">
        <f>(Table6[[#This Row],[Fault Clearance time]]-Table6[[#This Row],[Fault Start TimeStamp]])*24</f>
        <v>3.3333333333333215E-2</v>
      </c>
      <c r="U1333" s="35" t="s">
        <v>1924</v>
      </c>
      <c r="V1333" s="102" t="s">
        <v>293</v>
      </c>
      <c r="W1333" s="478">
        <f>IFERROR(Table6[[#This Row],[Breakdown Time]]*Table6[[#This Row],[Plant Equivalent Weightage]],"")</f>
        <v>1.2820512820512771E-3</v>
      </c>
      <c r="X1333" s="473" t="s">
        <v>290</v>
      </c>
      <c r="Y1333" s="474" t="s">
        <v>78</v>
      </c>
      <c r="Z1333" s="102">
        <v>28858</v>
      </c>
      <c r="AA1333" s="468">
        <f>(Table6[[#This Row],[Paired WTG Generation for loss calculation]]/24)*Table6[[#This Row],[Breakdown Time]]</f>
        <v>40.080555555555414</v>
      </c>
      <c r="AB1333" s="102"/>
      <c r="AC1333" s="35"/>
      <c r="AD1333" s="35"/>
    </row>
    <row r="1334" spans="1:30">
      <c r="A1334" s="102">
        <f t="shared" si="21"/>
        <v>1333</v>
      </c>
      <c r="B1334" s="468">
        <f>YEAR(Table6[[#This Row],[Date]])+IF(MONTH(Table6[[#This Row],[Date]])&gt;=4,1,0)</f>
        <v>2026</v>
      </c>
      <c r="C1334" s="102">
        <f>YEAR(Table6[[#This Row],[Date]])</f>
        <v>2025</v>
      </c>
      <c r="D1334" s="102" t="s">
        <v>1992</v>
      </c>
      <c r="E1334" s="469">
        <f>Table6[[#This Row],[Date]]-DAY(Table6[[#This Row],[Date]])+1</f>
        <v>45809</v>
      </c>
      <c r="F1334" s="470">
        <v>45835</v>
      </c>
      <c r="G1334" s="35" t="s">
        <v>76</v>
      </c>
      <c r="H1334" s="35" t="str">
        <f>IFERROR(_xlfn.XLOOKUP(Table6[[#This Row],[Affected WTG]],'Basic Data'!$A:$A,'Basic Data'!$B:$B),"")</f>
        <v>TQGXIIPL</v>
      </c>
      <c r="I1334" s="35" t="str">
        <f>IFERROR(_xlfn.XLOOKUP(Table6[[#This Row],[Affected WTG]],'Basic Data'!$A:$A,'Basic Data'!$C:$C),"")</f>
        <v>GEDA</v>
      </c>
      <c r="J1334" s="471">
        <f>IFERROR(_xlfn.XLOOKUP(Table6[[#This Row],[Affected WTG]],'Basic Data'!$A:$A,'Basic Data'!$E:$E),"")</f>
        <v>3.846153846153845E-2</v>
      </c>
      <c r="K1334" s="102">
        <v>641</v>
      </c>
      <c r="L1334" s="35" t="str">
        <f>IFERROR(_xlfn.XLOOKUP(Table6[[#This Row],[Error Code]],'Basic Data'!$AA:$AA,'Basic Data'!$AB:$AB),"Incorrect Error Code")</f>
        <v>Sim.angle E enc. &lt;&gt; act.angle 1</v>
      </c>
      <c r="M1334" s="35" t="s">
        <v>291</v>
      </c>
      <c r="N1334" s="475"/>
      <c r="O1334" s="476">
        <v>4.9305555555555554E-2</v>
      </c>
      <c r="P1334" s="476">
        <v>4.9305555555555554E-2</v>
      </c>
      <c r="Q1334" s="477">
        <v>5.0694444444444445E-2</v>
      </c>
      <c r="R1334" s="472">
        <f>IF(Table6[[#This Row],[Work Start TimeStamp]]="","",(Table6[[#This Row],[Work Start TimeStamp]]-Table6[[#This Row],[Fault Start TimeStamp]])*24)</f>
        <v>0</v>
      </c>
      <c r="S1334" s="472">
        <f>(Table6[[#This Row],[Fault Clearance time]]-Table6[[#This Row],[Work Start TimeStamp]])*24</f>
        <v>3.3333333333333381E-2</v>
      </c>
      <c r="T1334" s="472">
        <f>(Table6[[#This Row],[Fault Clearance time]]-Table6[[#This Row],[Fault Start TimeStamp]])*24</f>
        <v>3.3333333333333381E-2</v>
      </c>
      <c r="U1334" s="35" t="s">
        <v>1924</v>
      </c>
      <c r="V1334" s="102" t="s">
        <v>293</v>
      </c>
      <c r="W1334" s="478">
        <f>IFERROR(Table6[[#This Row],[Breakdown Time]]*Table6[[#This Row],[Plant Equivalent Weightage]],"")</f>
        <v>1.2820512820512836E-3</v>
      </c>
      <c r="X1334" s="473" t="s">
        <v>290</v>
      </c>
      <c r="Y1334" s="474" t="s">
        <v>82</v>
      </c>
      <c r="Z1334" s="102">
        <v>31282</v>
      </c>
      <c r="AA1334" s="468">
        <f>(Table6[[#This Row],[Paired WTG Generation for loss calculation]]/24)*Table6[[#This Row],[Breakdown Time]]</f>
        <v>43.447222222222287</v>
      </c>
      <c r="AB1334" s="102"/>
      <c r="AC1334" s="35"/>
      <c r="AD1334" s="35"/>
    </row>
    <row r="1335" spans="1:30">
      <c r="A1335" s="102">
        <f t="shared" si="21"/>
        <v>1334</v>
      </c>
      <c r="B1335" s="468">
        <f>YEAR(Table6[[#This Row],[Date]])+IF(MONTH(Table6[[#This Row],[Date]])&gt;=4,1,0)</f>
        <v>2026</v>
      </c>
      <c r="C1335" s="102">
        <f>YEAR(Table6[[#This Row],[Date]])</f>
        <v>2025</v>
      </c>
      <c r="D1335" s="102" t="s">
        <v>1992</v>
      </c>
      <c r="E1335" s="469">
        <f>Table6[[#This Row],[Date]]-DAY(Table6[[#This Row],[Date]])+1</f>
        <v>45809</v>
      </c>
      <c r="F1335" s="470">
        <v>45835</v>
      </c>
      <c r="G1335" s="35" t="s">
        <v>78</v>
      </c>
      <c r="H1335" s="35" t="str">
        <f>IFERROR(_xlfn.XLOOKUP(Table6[[#This Row],[Affected WTG]],'Basic Data'!$A:$A,'Basic Data'!$B:$B),"")</f>
        <v>TQGXIIPL</v>
      </c>
      <c r="I1335" s="35" t="str">
        <f>IFERROR(_xlfn.XLOOKUP(Table6[[#This Row],[Affected WTG]],'Basic Data'!$A:$A,'Basic Data'!$C:$C),"")</f>
        <v>GEDA</v>
      </c>
      <c r="J1335" s="471">
        <f>IFERROR(_xlfn.XLOOKUP(Table6[[#This Row],[Affected WTG]],'Basic Data'!$A:$A,'Basic Data'!$E:$E),"")</f>
        <v>3.846153846153845E-2</v>
      </c>
      <c r="K1335" s="102">
        <v>3110</v>
      </c>
      <c r="L1335" s="35" t="str">
        <f>IFERROR(_xlfn.XLOOKUP(Table6[[#This Row],[Error Code]],'Basic Data'!$AA:$AA,'Basic Data'!$AB:$AB),"Incorrect Error Code")</f>
        <v>Frequency converter error</v>
      </c>
      <c r="M1335" s="35" t="s">
        <v>291</v>
      </c>
      <c r="N1335" s="475"/>
      <c r="O1335" s="476">
        <v>0.99097222222222225</v>
      </c>
      <c r="P1335" s="476">
        <v>0.99097222222222225</v>
      </c>
      <c r="Q1335" s="477">
        <v>0.99305555555555558</v>
      </c>
      <c r="R1335" s="472">
        <f>IF(Table6[[#This Row],[Work Start TimeStamp]]="","",(Table6[[#This Row],[Work Start TimeStamp]]-Table6[[#This Row],[Fault Start TimeStamp]])*24)</f>
        <v>0</v>
      </c>
      <c r="S1335" s="472">
        <f>(Table6[[#This Row],[Fault Clearance time]]-Table6[[#This Row],[Work Start TimeStamp]])*24</f>
        <v>4.9999999999999822E-2</v>
      </c>
      <c r="T1335" s="472">
        <f>(Table6[[#This Row],[Fault Clearance time]]-Table6[[#This Row],[Fault Start TimeStamp]])*24</f>
        <v>4.9999999999999822E-2</v>
      </c>
      <c r="U1335" s="35" t="s">
        <v>1924</v>
      </c>
      <c r="V1335" s="102" t="s">
        <v>293</v>
      </c>
      <c r="W1335" s="478">
        <f>IFERROR(Table6[[#This Row],[Breakdown Time]]*Table6[[#This Row],[Plant Equivalent Weightage]],"")</f>
        <v>1.9230769230769156E-3</v>
      </c>
      <c r="X1335" s="473" t="s">
        <v>290</v>
      </c>
      <c r="Y1335" s="474" t="s">
        <v>75</v>
      </c>
      <c r="Z1335" s="102">
        <v>29694</v>
      </c>
      <c r="AA1335" s="468">
        <f>(Table6[[#This Row],[Paired WTG Generation for loss calculation]]/24)*Table6[[#This Row],[Breakdown Time]]</f>
        <v>61.862499999999777</v>
      </c>
      <c r="AB1335" s="102"/>
      <c r="AC1335" s="35"/>
      <c r="AD1335" s="35"/>
    </row>
    <row r="1336" spans="1:30">
      <c r="A1336" s="102">
        <f t="shared" si="21"/>
        <v>1335</v>
      </c>
      <c r="B1336" s="468">
        <f>YEAR(Table6[[#This Row],[Date]])+IF(MONTH(Table6[[#This Row],[Date]])&gt;=4,1,0)</f>
        <v>2026</v>
      </c>
      <c r="C1336" s="102">
        <f>YEAR(Table6[[#This Row],[Date]])</f>
        <v>2025</v>
      </c>
      <c r="D1336" s="102" t="s">
        <v>1992</v>
      </c>
      <c r="E1336" s="469">
        <f>Table6[[#This Row],[Date]]-DAY(Table6[[#This Row],[Date]])+1</f>
        <v>45809</v>
      </c>
      <c r="F1336" s="470">
        <v>45835</v>
      </c>
      <c r="G1336" s="35" t="s">
        <v>81</v>
      </c>
      <c r="H1336" s="35" t="str">
        <f>IFERROR(_xlfn.XLOOKUP(Table6[[#This Row],[Affected WTG]],'Basic Data'!$A:$A,'Basic Data'!$B:$B),"")</f>
        <v>TQGXIIPL</v>
      </c>
      <c r="I1336" s="35" t="str">
        <f>IFERROR(_xlfn.XLOOKUP(Table6[[#This Row],[Affected WTG]],'Basic Data'!$A:$A,'Basic Data'!$C:$C),"")</f>
        <v>GEDA</v>
      </c>
      <c r="J1336" s="471">
        <f>IFERROR(_xlfn.XLOOKUP(Table6[[#This Row],[Affected WTG]],'Basic Data'!$A:$A,'Basic Data'!$E:$E),"")</f>
        <v>3.846153846153845E-2</v>
      </c>
      <c r="K1336" s="102">
        <v>665</v>
      </c>
      <c r="L1336" s="35" t="str">
        <f>IFERROR(_xlfn.XLOOKUP(Table6[[#This Row],[Error Code]],'Basic Data'!$AA:$AA,'Basic Data'!$AB:$AB),"Incorrect Error Code")</f>
        <v>Pitch error</v>
      </c>
      <c r="M1336" s="35" t="s">
        <v>291</v>
      </c>
      <c r="N1336" s="475"/>
      <c r="O1336" s="476">
        <v>0.9145833333333333</v>
      </c>
      <c r="P1336" s="476">
        <v>0.9145833333333333</v>
      </c>
      <c r="Q1336" s="477">
        <v>0.91805555555555551</v>
      </c>
      <c r="R1336" s="472">
        <f>IF(Table6[[#This Row],[Work Start TimeStamp]]="","",(Table6[[#This Row],[Work Start TimeStamp]]-Table6[[#This Row],[Fault Start TimeStamp]])*24)</f>
        <v>0</v>
      </c>
      <c r="S1336" s="472">
        <f>(Table6[[#This Row],[Fault Clearance time]]-Table6[[#This Row],[Work Start TimeStamp]])*24</f>
        <v>8.3333333333333037E-2</v>
      </c>
      <c r="T1336" s="472">
        <f>(Table6[[#This Row],[Fault Clearance time]]-Table6[[#This Row],[Fault Start TimeStamp]])*24</f>
        <v>8.3333333333333037E-2</v>
      </c>
      <c r="U1336" s="35" t="s">
        <v>1924</v>
      </c>
      <c r="V1336" s="102" t="s">
        <v>293</v>
      </c>
      <c r="W1336" s="478">
        <f>IFERROR(Table6[[#This Row],[Breakdown Time]]*Table6[[#This Row],[Plant Equivalent Weightage]],"")</f>
        <v>3.2051282051281929E-3</v>
      </c>
      <c r="X1336" s="473" t="s">
        <v>290</v>
      </c>
      <c r="Y1336" s="474" t="s">
        <v>99</v>
      </c>
      <c r="Z1336" s="102">
        <v>31562</v>
      </c>
      <c r="AA1336" s="468">
        <f>(Table6[[#This Row],[Paired WTG Generation for loss calculation]]/24)*Table6[[#This Row],[Breakdown Time]]</f>
        <v>109.59027777777739</v>
      </c>
      <c r="AB1336" s="102"/>
      <c r="AC1336" s="35"/>
      <c r="AD1336" s="35"/>
    </row>
    <row r="1337" spans="1:30">
      <c r="A1337" s="102">
        <f t="shared" si="21"/>
        <v>1336</v>
      </c>
      <c r="B1337" s="468">
        <f>YEAR(Table6[[#This Row],[Date]])+IF(MONTH(Table6[[#This Row],[Date]])&gt;=4,1,0)</f>
        <v>2026</v>
      </c>
      <c r="C1337" s="102">
        <f>YEAR(Table6[[#This Row],[Date]])</f>
        <v>2025</v>
      </c>
      <c r="D1337" s="102" t="s">
        <v>1992</v>
      </c>
      <c r="E1337" s="469">
        <f>Table6[[#This Row],[Date]]-DAY(Table6[[#This Row],[Date]])+1</f>
        <v>45809</v>
      </c>
      <c r="F1337" s="470">
        <v>45835</v>
      </c>
      <c r="G1337" s="35" t="s">
        <v>85</v>
      </c>
      <c r="H1337" s="35" t="str">
        <f>IFERROR(_xlfn.XLOOKUP(Table6[[#This Row],[Affected WTG]],'Basic Data'!$A:$A,'Basic Data'!$B:$B),"")</f>
        <v>TQGXIIPL</v>
      </c>
      <c r="I1337" s="35" t="str">
        <f>IFERROR(_xlfn.XLOOKUP(Table6[[#This Row],[Affected WTG]],'Basic Data'!$A:$A,'Basic Data'!$C:$C),"")</f>
        <v>GEDA</v>
      </c>
      <c r="J1337" s="471">
        <f>IFERROR(_xlfn.XLOOKUP(Table6[[#This Row],[Affected WTG]],'Basic Data'!$A:$A,'Basic Data'!$E:$E),"")</f>
        <v>3.846153846153845E-2</v>
      </c>
      <c r="K1337" s="102">
        <v>55</v>
      </c>
      <c r="L1337" s="35" t="str">
        <f>IFERROR(_xlfn.XLOOKUP(Table6[[#This Row],[Error Code]],'Basic Data'!$AA:$AA,'Basic Data'!$AB:$AB),"Incorrect Error Code")</f>
        <v>WTG shut down</v>
      </c>
      <c r="M1337" s="35" t="s">
        <v>295</v>
      </c>
      <c r="N1337" s="475"/>
      <c r="O1337" s="476">
        <v>0</v>
      </c>
      <c r="P1337" s="476">
        <v>0</v>
      </c>
      <c r="Q1337" s="477">
        <v>0.40277777777777779</v>
      </c>
      <c r="R1337" s="472">
        <f>IF(Table6[[#This Row],[Work Start TimeStamp]]="","",(Table6[[#This Row],[Work Start TimeStamp]]-Table6[[#This Row],[Fault Start TimeStamp]])*24)</f>
        <v>0</v>
      </c>
      <c r="S1337" s="472">
        <f>(Table6[[#This Row],[Fault Clearance time]]-Table6[[#This Row],[Work Start TimeStamp]])*24</f>
        <v>9.6666666666666679</v>
      </c>
      <c r="T1337" s="472">
        <f>(Table6[[#This Row],[Fault Clearance time]]-Table6[[#This Row],[Fault Start TimeStamp]])*24</f>
        <v>9.6666666666666679</v>
      </c>
      <c r="U1337" s="35" t="s">
        <v>2094</v>
      </c>
      <c r="V1337" s="102" t="s">
        <v>289</v>
      </c>
      <c r="W1337" s="478">
        <f>IFERROR(Table6[[#This Row],[Breakdown Time]]*Table6[[#This Row],[Plant Equivalent Weightage]],"")</f>
        <v>0.37179487179487175</v>
      </c>
      <c r="X1337" s="473" t="s">
        <v>523</v>
      </c>
      <c r="Y1337" s="474" t="s">
        <v>87</v>
      </c>
      <c r="Z1337" s="102">
        <v>32706</v>
      </c>
      <c r="AA1337" s="468">
        <f>(Table6[[#This Row],[Paired WTG Generation for loss calculation]]/24)*Table6[[#This Row],[Breakdown Time]]</f>
        <v>13173.250000000002</v>
      </c>
      <c r="AB1337" s="102"/>
      <c r="AC1337" s="35"/>
      <c r="AD1337" s="35"/>
    </row>
    <row r="1338" spans="1:30">
      <c r="A1338" s="102">
        <f t="shared" si="21"/>
        <v>1337</v>
      </c>
      <c r="B1338" s="468">
        <f>YEAR(Table6[[#This Row],[Date]])+IF(MONTH(Table6[[#This Row],[Date]])&gt;=4,1,0)</f>
        <v>2026</v>
      </c>
      <c r="C1338" s="102">
        <f>YEAR(Table6[[#This Row],[Date]])</f>
        <v>2025</v>
      </c>
      <c r="D1338" s="102" t="s">
        <v>1992</v>
      </c>
      <c r="E1338" s="469">
        <f>Table6[[#This Row],[Date]]-DAY(Table6[[#This Row],[Date]])+1</f>
        <v>45809</v>
      </c>
      <c r="F1338" s="470">
        <v>45835</v>
      </c>
      <c r="G1338" s="35" t="s">
        <v>85</v>
      </c>
      <c r="H1338" s="35" t="str">
        <f>IFERROR(_xlfn.XLOOKUP(Table6[[#This Row],[Affected WTG]],'Basic Data'!$A:$A,'Basic Data'!$B:$B),"")</f>
        <v>TQGXIIPL</v>
      </c>
      <c r="I1338" s="35" t="str">
        <f>IFERROR(_xlfn.XLOOKUP(Table6[[#This Row],[Affected WTG]],'Basic Data'!$A:$A,'Basic Data'!$C:$C),"")</f>
        <v>GEDA</v>
      </c>
      <c r="J1338" s="471">
        <f>IFERROR(_xlfn.XLOOKUP(Table6[[#This Row],[Affected WTG]],'Basic Data'!$A:$A,'Basic Data'!$E:$E),"")</f>
        <v>3.846153846153845E-2</v>
      </c>
      <c r="K1338" s="102">
        <v>55</v>
      </c>
      <c r="L1338" s="35" t="str">
        <f>IFERROR(_xlfn.XLOOKUP(Table6[[#This Row],[Error Code]],'Basic Data'!$AA:$AA,'Basic Data'!$AB:$AB),"Incorrect Error Code")</f>
        <v>WTG shut down</v>
      </c>
      <c r="M1338" s="35" t="s">
        <v>295</v>
      </c>
      <c r="N1338" s="475"/>
      <c r="O1338" s="476">
        <v>0.40277777777777779</v>
      </c>
      <c r="P1338" s="476">
        <v>0.40277777777777779</v>
      </c>
      <c r="Q1338" s="477">
        <v>0.99998842592592596</v>
      </c>
      <c r="R1338" s="472">
        <f>IF(Table6[[#This Row],[Work Start TimeStamp]]="","",(Table6[[#This Row],[Work Start TimeStamp]]-Table6[[#This Row],[Fault Start TimeStamp]])*24)</f>
        <v>0</v>
      </c>
      <c r="S1338" s="472">
        <f>(Table6[[#This Row],[Fault Clearance time]]-Table6[[#This Row],[Work Start TimeStamp]])*24</f>
        <v>14.333055555555557</v>
      </c>
      <c r="T1338" s="472">
        <f>(Table6[[#This Row],[Fault Clearance time]]-Table6[[#This Row],[Fault Start TimeStamp]])*24</f>
        <v>14.333055555555557</v>
      </c>
      <c r="U1338" s="35" t="s">
        <v>2095</v>
      </c>
      <c r="V1338" s="102" t="s">
        <v>289</v>
      </c>
      <c r="W1338" s="478">
        <f>IFERROR(Table6[[#This Row],[Breakdown Time]]*Table6[[#This Row],[Plant Equivalent Weightage]],"")</f>
        <v>0.55127136752136741</v>
      </c>
      <c r="X1338" s="473" t="s">
        <v>294</v>
      </c>
      <c r="Y1338" s="474" t="s">
        <v>87</v>
      </c>
      <c r="Z1338" s="102">
        <v>32706</v>
      </c>
      <c r="AA1338" s="468">
        <f>(Table6[[#This Row],[Paired WTG Generation for loss calculation]]/24)*Table6[[#This Row],[Breakdown Time]]</f>
        <v>19532.371458333335</v>
      </c>
      <c r="AB1338" s="102"/>
      <c r="AC1338" s="35"/>
      <c r="AD1338" s="35"/>
    </row>
    <row r="1339" spans="1:30">
      <c r="A1339" s="102">
        <f t="shared" si="21"/>
        <v>1338</v>
      </c>
      <c r="B1339" s="468">
        <f>YEAR(Table6[[#This Row],[Date]])+IF(MONTH(Table6[[#This Row],[Date]])&gt;=4,1,0)</f>
        <v>2026</v>
      </c>
      <c r="C1339" s="102">
        <f>YEAR(Table6[[#This Row],[Date]])</f>
        <v>2025</v>
      </c>
      <c r="D1339" s="102" t="s">
        <v>1992</v>
      </c>
      <c r="E1339" s="469">
        <f>Table6[[#This Row],[Date]]-DAY(Table6[[#This Row],[Date]])+1</f>
        <v>45809</v>
      </c>
      <c r="F1339" s="470">
        <v>45835</v>
      </c>
      <c r="G1339" s="35" t="s">
        <v>86</v>
      </c>
      <c r="H1339" s="35" t="str">
        <f>IFERROR(_xlfn.XLOOKUP(Table6[[#This Row],[Affected WTG]],'Basic Data'!$A:$A,'Basic Data'!$B:$B),"")</f>
        <v>TQGXIIPL</v>
      </c>
      <c r="I1339" s="35" t="str">
        <f>IFERROR(_xlfn.XLOOKUP(Table6[[#This Row],[Affected WTG]],'Basic Data'!$A:$A,'Basic Data'!$C:$C),"")</f>
        <v>GEDA</v>
      </c>
      <c r="J1339" s="471">
        <f>IFERROR(_xlfn.XLOOKUP(Table6[[#This Row],[Affected WTG]],'Basic Data'!$A:$A,'Basic Data'!$E:$E),"")</f>
        <v>3.846153846153845E-2</v>
      </c>
      <c r="K1339" s="102">
        <v>55</v>
      </c>
      <c r="L1339" s="35" t="str">
        <f>IFERROR(_xlfn.XLOOKUP(Table6[[#This Row],[Error Code]],'Basic Data'!$AA:$AA,'Basic Data'!$AB:$AB),"Incorrect Error Code")</f>
        <v>WTG shut down</v>
      </c>
      <c r="M1339" s="35" t="s">
        <v>291</v>
      </c>
      <c r="N1339" s="475"/>
      <c r="O1339" s="476">
        <v>0.5854166666666667</v>
      </c>
      <c r="P1339" s="476">
        <v>0.5854166666666667</v>
      </c>
      <c r="Q1339" s="477">
        <v>0.76111111111111107</v>
      </c>
      <c r="R1339" s="472">
        <f>IF(Table6[[#This Row],[Work Start TimeStamp]]="","",(Table6[[#This Row],[Work Start TimeStamp]]-Table6[[#This Row],[Fault Start TimeStamp]])*24)</f>
        <v>0</v>
      </c>
      <c r="S1339" s="472">
        <f>(Table6[[#This Row],[Fault Clearance time]]-Table6[[#This Row],[Work Start TimeStamp]])*24</f>
        <v>4.216666666666665</v>
      </c>
      <c r="T1339" s="472">
        <f>(Table6[[#This Row],[Fault Clearance time]]-Table6[[#This Row],[Fault Start TimeStamp]])*24</f>
        <v>4.216666666666665</v>
      </c>
      <c r="U1339" s="35" t="s">
        <v>2013</v>
      </c>
      <c r="V1339" s="102" t="s">
        <v>293</v>
      </c>
      <c r="W1339" s="478">
        <f>IFERROR(Table6[[#This Row],[Breakdown Time]]*Table6[[#This Row],[Plant Equivalent Weightage]],"")</f>
        <v>0.16217948717948708</v>
      </c>
      <c r="X1339" s="473" t="s">
        <v>290</v>
      </c>
      <c r="Y1339" s="474" t="s">
        <v>84</v>
      </c>
      <c r="Z1339" s="102">
        <v>32970</v>
      </c>
      <c r="AA1339" s="468">
        <f>(Table6[[#This Row],[Paired WTG Generation for loss calculation]]/24)*Table6[[#This Row],[Breakdown Time]]</f>
        <v>5792.6458333333312</v>
      </c>
      <c r="AB1339" s="102"/>
      <c r="AC1339" s="35"/>
      <c r="AD1339" s="35"/>
    </row>
    <row r="1340" spans="1:30">
      <c r="A1340" s="102">
        <f t="shared" si="21"/>
        <v>1339</v>
      </c>
      <c r="B1340" s="468">
        <f>YEAR(Table6[[#This Row],[Date]])+IF(MONTH(Table6[[#This Row],[Date]])&gt;=4,1,0)</f>
        <v>2026</v>
      </c>
      <c r="C1340" s="102">
        <f>YEAR(Table6[[#This Row],[Date]])</f>
        <v>2025</v>
      </c>
      <c r="D1340" s="102" t="s">
        <v>1992</v>
      </c>
      <c r="E1340" s="469">
        <f>Table6[[#This Row],[Date]]-DAY(Table6[[#This Row],[Date]])+1</f>
        <v>45809</v>
      </c>
      <c r="F1340" s="470">
        <v>45835</v>
      </c>
      <c r="G1340" s="35" t="s">
        <v>86</v>
      </c>
      <c r="H1340" s="35" t="str">
        <f>IFERROR(_xlfn.XLOOKUP(Table6[[#This Row],[Affected WTG]],'Basic Data'!$A:$A,'Basic Data'!$B:$B),"")</f>
        <v>TQGXIIPL</v>
      </c>
      <c r="I1340" s="35" t="str">
        <f>IFERROR(_xlfn.XLOOKUP(Table6[[#This Row],[Affected WTG]],'Basic Data'!$A:$A,'Basic Data'!$C:$C),"")</f>
        <v>GEDA</v>
      </c>
      <c r="J1340" s="471">
        <f>IFERROR(_xlfn.XLOOKUP(Table6[[#This Row],[Affected WTG]],'Basic Data'!$A:$A,'Basic Data'!$E:$E),"")</f>
        <v>3.846153846153845E-2</v>
      </c>
      <c r="K1340" s="102">
        <v>175</v>
      </c>
      <c r="L1340" s="35" t="str">
        <f>IFERROR(_xlfn.XLOOKUP(Table6[[#This Row],[Error Code]],'Basic Data'!$AA:$AA,'Basic Data'!$AB:$AB),"Incorrect Error Code")</f>
        <v>SLC error</v>
      </c>
      <c r="M1340" s="35" t="s">
        <v>291</v>
      </c>
      <c r="N1340" s="475"/>
      <c r="O1340" s="476">
        <v>0.78472222222222221</v>
      </c>
      <c r="P1340" s="476">
        <v>0.78472222222222221</v>
      </c>
      <c r="Q1340" s="477">
        <v>0.78749999999999998</v>
      </c>
      <c r="R1340" s="472">
        <f>IF(Table6[[#This Row],[Work Start TimeStamp]]="","",(Table6[[#This Row],[Work Start TimeStamp]]-Table6[[#This Row],[Fault Start TimeStamp]])*24)</f>
        <v>0</v>
      </c>
      <c r="S1340" s="472">
        <f>(Table6[[#This Row],[Fault Clearance time]]-Table6[[#This Row],[Work Start TimeStamp]])*24</f>
        <v>6.666666666666643E-2</v>
      </c>
      <c r="T1340" s="472">
        <f>(Table6[[#This Row],[Fault Clearance time]]-Table6[[#This Row],[Fault Start TimeStamp]])*24</f>
        <v>6.666666666666643E-2</v>
      </c>
      <c r="U1340" s="35" t="s">
        <v>1924</v>
      </c>
      <c r="V1340" s="102" t="s">
        <v>293</v>
      </c>
      <c r="W1340" s="478">
        <f>IFERROR(Table6[[#This Row],[Breakdown Time]]*Table6[[#This Row],[Plant Equivalent Weightage]],"")</f>
        <v>2.5641025641025541E-3</v>
      </c>
      <c r="X1340" s="473" t="s">
        <v>290</v>
      </c>
      <c r="Y1340" s="474" t="s">
        <v>84</v>
      </c>
      <c r="Z1340" s="102">
        <v>32970</v>
      </c>
      <c r="AA1340" s="468">
        <f>(Table6[[#This Row],[Paired WTG Generation for loss calculation]]/24)*Table6[[#This Row],[Breakdown Time]]</f>
        <v>91.583333333333002</v>
      </c>
      <c r="AB1340" s="102"/>
      <c r="AC1340" s="35"/>
      <c r="AD1340" s="35"/>
    </row>
    <row r="1341" spans="1:30">
      <c r="A1341" s="102">
        <f t="shared" si="21"/>
        <v>1340</v>
      </c>
      <c r="B1341" s="468">
        <f>YEAR(Table6[[#This Row],[Date]])+IF(MONTH(Table6[[#This Row],[Date]])&gt;=4,1,0)</f>
        <v>2026</v>
      </c>
      <c r="C1341" s="102">
        <f>YEAR(Table6[[#This Row],[Date]])</f>
        <v>2025</v>
      </c>
      <c r="D1341" s="102" t="s">
        <v>1992</v>
      </c>
      <c r="E1341" s="469">
        <f>Table6[[#This Row],[Date]]-DAY(Table6[[#This Row],[Date]])+1</f>
        <v>45809</v>
      </c>
      <c r="F1341" s="470">
        <v>45835</v>
      </c>
      <c r="G1341" s="35" t="s">
        <v>90</v>
      </c>
      <c r="H1341" s="35" t="str">
        <f>IFERROR(_xlfn.XLOOKUP(Table6[[#This Row],[Affected WTG]],'Basic Data'!$A:$A,'Basic Data'!$B:$B),"")</f>
        <v>TQGXIIPL</v>
      </c>
      <c r="I1341" s="35" t="str">
        <f>IFERROR(_xlfn.XLOOKUP(Table6[[#This Row],[Affected WTG]],'Basic Data'!$A:$A,'Basic Data'!$C:$C),"")</f>
        <v>GEDA</v>
      </c>
      <c r="J1341" s="471">
        <f>IFERROR(_xlfn.XLOOKUP(Table6[[#This Row],[Affected WTG]],'Basic Data'!$A:$A,'Basic Data'!$E:$E),"")</f>
        <v>3.846153846153845E-2</v>
      </c>
      <c r="K1341" s="102">
        <v>4540</v>
      </c>
      <c r="L1341" s="35" t="str">
        <f>IFERROR(_xlfn.XLOOKUP(Table6[[#This Row],[Error Code]],'Basic Data'!$AA:$AA,'Basic Data'!$AB:$AB),"Incorrect Error Code")</f>
        <v>Tower oscillation X level 2</v>
      </c>
      <c r="M1341" s="35" t="s">
        <v>292</v>
      </c>
      <c r="N1341" s="475"/>
      <c r="O1341" s="476">
        <v>0.59375</v>
      </c>
      <c r="P1341" s="476">
        <v>0.59375</v>
      </c>
      <c r="Q1341" s="477">
        <v>0.59861111111111109</v>
      </c>
      <c r="R1341" s="472">
        <f>IF(Table6[[#This Row],[Work Start TimeStamp]]="","",(Table6[[#This Row],[Work Start TimeStamp]]-Table6[[#This Row],[Fault Start TimeStamp]])*24)</f>
        <v>0</v>
      </c>
      <c r="S1341" s="472">
        <f>(Table6[[#This Row],[Fault Clearance time]]-Table6[[#This Row],[Work Start TimeStamp]])*24</f>
        <v>0.11666666666666625</v>
      </c>
      <c r="T1341" s="472">
        <f>(Table6[[#This Row],[Fault Clearance time]]-Table6[[#This Row],[Fault Start TimeStamp]])*24</f>
        <v>0.11666666666666625</v>
      </c>
      <c r="U1341" s="35" t="s">
        <v>336</v>
      </c>
      <c r="V1341" s="102" t="s">
        <v>293</v>
      </c>
      <c r="W1341" s="478">
        <f>IFERROR(Table6[[#This Row],[Breakdown Time]]*Table6[[#This Row],[Plant Equivalent Weightage]],"")</f>
        <v>4.4871794871794695E-3</v>
      </c>
      <c r="X1341" s="473" t="s">
        <v>294</v>
      </c>
      <c r="Y1341" s="474" t="s">
        <v>95</v>
      </c>
      <c r="Z1341" s="102">
        <v>37800</v>
      </c>
      <c r="AA1341" s="468">
        <f>(Table6[[#This Row],[Paired WTG Generation for loss calculation]]/24)*Table6[[#This Row],[Breakdown Time]]</f>
        <v>183.74999999999935</v>
      </c>
      <c r="AB1341" s="102"/>
      <c r="AC1341" s="35"/>
      <c r="AD1341" s="35"/>
    </row>
    <row r="1342" spans="1:30">
      <c r="A1342" s="102">
        <f t="shared" si="21"/>
        <v>1341</v>
      </c>
      <c r="B1342" s="468">
        <f>YEAR(Table6[[#This Row],[Date]])+IF(MONTH(Table6[[#This Row],[Date]])&gt;=4,1,0)</f>
        <v>2026</v>
      </c>
      <c r="C1342" s="102">
        <f>YEAR(Table6[[#This Row],[Date]])</f>
        <v>2025</v>
      </c>
      <c r="D1342" s="102" t="s">
        <v>1992</v>
      </c>
      <c r="E1342" s="469">
        <f>Table6[[#This Row],[Date]]-DAY(Table6[[#This Row],[Date]])+1</f>
        <v>45809</v>
      </c>
      <c r="F1342" s="470">
        <v>45835</v>
      </c>
      <c r="G1342" s="35" t="s">
        <v>93</v>
      </c>
      <c r="H1342" s="35" t="str">
        <f>IFERROR(_xlfn.XLOOKUP(Table6[[#This Row],[Affected WTG]],'Basic Data'!$A:$A,'Basic Data'!$B:$B),"")</f>
        <v>TQGXIIPL</v>
      </c>
      <c r="I1342" s="35" t="str">
        <f>IFERROR(_xlfn.XLOOKUP(Table6[[#This Row],[Affected WTG]],'Basic Data'!$A:$A,'Basic Data'!$C:$C),"")</f>
        <v>GEDA</v>
      </c>
      <c r="J1342" s="471">
        <f>IFERROR(_xlfn.XLOOKUP(Table6[[#This Row],[Affected WTG]],'Basic Data'!$A:$A,'Basic Data'!$E:$E),"")</f>
        <v>3.846153846153845E-2</v>
      </c>
      <c r="K1342" s="102">
        <v>551</v>
      </c>
      <c r="L1342" s="35" t="str">
        <f>IFERROR(_xlfn.XLOOKUP(Table6[[#This Row],[Error Code]],'Basic Data'!$AA:$AA,'Basic Data'!$AB:$AB),"Incorrect Error Code")</f>
        <v>Pitch motor current too high</v>
      </c>
      <c r="M1342" s="35" t="s">
        <v>291</v>
      </c>
      <c r="N1342" s="475"/>
      <c r="O1342" s="476">
        <v>0.24861111111111112</v>
      </c>
      <c r="P1342" s="476">
        <v>0.24861111111111112</v>
      </c>
      <c r="Q1342" s="477">
        <v>0.26041666666666669</v>
      </c>
      <c r="R1342" s="472">
        <f>IF(Table6[[#This Row],[Work Start TimeStamp]]="","",(Table6[[#This Row],[Work Start TimeStamp]]-Table6[[#This Row],[Fault Start TimeStamp]])*24)</f>
        <v>0</v>
      </c>
      <c r="S1342" s="472">
        <f>(Table6[[#This Row],[Fault Clearance time]]-Table6[[#This Row],[Work Start TimeStamp]])*24</f>
        <v>0.28333333333333366</v>
      </c>
      <c r="T1342" s="472">
        <f>(Table6[[#This Row],[Fault Clearance time]]-Table6[[#This Row],[Fault Start TimeStamp]])*24</f>
        <v>0.28333333333333366</v>
      </c>
      <c r="U1342" s="35" t="s">
        <v>1924</v>
      </c>
      <c r="V1342" s="102" t="s">
        <v>293</v>
      </c>
      <c r="W1342" s="478">
        <f>IFERROR(Table6[[#This Row],[Breakdown Time]]*Table6[[#This Row],[Plant Equivalent Weightage]],"")</f>
        <v>1.0897435897435907E-2</v>
      </c>
      <c r="X1342" s="473" t="s">
        <v>290</v>
      </c>
      <c r="Y1342" s="474" t="s">
        <v>97</v>
      </c>
      <c r="Z1342" s="102">
        <v>32878</v>
      </c>
      <c r="AA1342" s="468">
        <f>(Table6[[#This Row],[Paired WTG Generation for loss calculation]]/24)*Table6[[#This Row],[Breakdown Time]]</f>
        <v>388.14305555555603</v>
      </c>
      <c r="AB1342" s="102"/>
      <c r="AC1342" s="35"/>
      <c r="AD1342" s="35"/>
    </row>
    <row r="1343" spans="1:30">
      <c r="A1343" s="102">
        <f t="shared" si="21"/>
        <v>1342</v>
      </c>
      <c r="B1343" s="468">
        <f>YEAR(Table6[[#This Row],[Date]])+IF(MONTH(Table6[[#This Row],[Date]])&gt;=4,1,0)</f>
        <v>2026</v>
      </c>
      <c r="C1343" s="102">
        <f>YEAR(Table6[[#This Row],[Date]])</f>
        <v>2025</v>
      </c>
      <c r="D1343" s="102" t="s">
        <v>1992</v>
      </c>
      <c r="E1343" s="469">
        <f>Table6[[#This Row],[Date]]-DAY(Table6[[#This Row],[Date]])+1</f>
        <v>45809</v>
      </c>
      <c r="F1343" s="470">
        <v>45835</v>
      </c>
      <c r="G1343" s="35" t="s">
        <v>94</v>
      </c>
      <c r="H1343" s="35" t="str">
        <f>IFERROR(_xlfn.XLOOKUP(Table6[[#This Row],[Affected WTG]],'Basic Data'!$A:$A,'Basic Data'!$B:$B),"")</f>
        <v>TQGXIIPL</v>
      </c>
      <c r="I1343" s="35" t="str">
        <f>IFERROR(_xlfn.XLOOKUP(Table6[[#This Row],[Affected WTG]],'Basic Data'!$A:$A,'Basic Data'!$C:$C),"")</f>
        <v>GEDA</v>
      </c>
      <c r="J1343" s="471">
        <f>IFERROR(_xlfn.XLOOKUP(Table6[[#This Row],[Affected WTG]],'Basic Data'!$A:$A,'Basic Data'!$E:$E),"")</f>
        <v>3.846153846153845E-2</v>
      </c>
      <c r="K1343" s="102">
        <v>4970</v>
      </c>
      <c r="L1343" s="35" t="str">
        <f>IFERROR(_xlfn.XLOOKUP(Table6[[#This Row],[Error Code]],'Basic Data'!$AA:$AA,'Basic Data'!$AB:$AB),"Incorrect Error Code")</f>
        <v>Tower oscillation XF</v>
      </c>
      <c r="M1343" s="35" t="s">
        <v>292</v>
      </c>
      <c r="N1343" s="475"/>
      <c r="O1343" s="476">
        <v>0.26111111111111113</v>
      </c>
      <c r="P1343" s="476">
        <v>0.26111111111111113</v>
      </c>
      <c r="Q1343" s="477">
        <v>0.2673611111111111</v>
      </c>
      <c r="R1343" s="472">
        <f>IF(Table6[[#This Row],[Work Start TimeStamp]]="","",(Table6[[#This Row],[Work Start TimeStamp]]-Table6[[#This Row],[Fault Start TimeStamp]])*24)</f>
        <v>0</v>
      </c>
      <c r="S1343" s="472">
        <f>(Table6[[#This Row],[Fault Clearance time]]-Table6[[#This Row],[Work Start TimeStamp]])*24</f>
        <v>0.14999999999999947</v>
      </c>
      <c r="T1343" s="472">
        <f>(Table6[[#This Row],[Fault Clearance time]]-Table6[[#This Row],[Fault Start TimeStamp]])*24</f>
        <v>0.14999999999999947</v>
      </c>
      <c r="U1343" s="35" t="s">
        <v>336</v>
      </c>
      <c r="V1343" s="102" t="s">
        <v>293</v>
      </c>
      <c r="W1343" s="478">
        <f>IFERROR(Table6[[#This Row],[Breakdown Time]]*Table6[[#This Row],[Plant Equivalent Weightage]],"")</f>
        <v>5.769230769230747E-3</v>
      </c>
      <c r="X1343" s="473" t="s">
        <v>294</v>
      </c>
      <c r="Y1343" s="474" t="s">
        <v>79</v>
      </c>
      <c r="Z1343" s="102">
        <v>35928</v>
      </c>
      <c r="AA1343" s="468">
        <f>(Table6[[#This Row],[Paired WTG Generation for loss calculation]]/24)*Table6[[#This Row],[Breakdown Time]]</f>
        <v>224.54999999999922</v>
      </c>
      <c r="AB1343" s="102"/>
      <c r="AC1343" s="35"/>
      <c r="AD1343" s="35"/>
    </row>
    <row r="1344" spans="1:30">
      <c r="A1344" s="102">
        <f t="shared" si="21"/>
        <v>1343</v>
      </c>
      <c r="B1344" s="468">
        <f>YEAR(Table6[[#This Row],[Date]])+IF(MONTH(Table6[[#This Row],[Date]])&gt;=4,1,0)</f>
        <v>2026</v>
      </c>
      <c r="C1344" s="102">
        <f>YEAR(Table6[[#This Row],[Date]])</f>
        <v>2025</v>
      </c>
      <c r="D1344" s="102" t="s">
        <v>1992</v>
      </c>
      <c r="E1344" s="469">
        <f>Table6[[#This Row],[Date]]-DAY(Table6[[#This Row],[Date]])+1</f>
        <v>45809</v>
      </c>
      <c r="F1344" s="470">
        <v>45835</v>
      </c>
      <c r="G1344" s="35" t="s">
        <v>96</v>
      </c>
      <c r="H1344" s="35" t="str">
        <f>IFERROR(_xlfn.XLOOKUP(Table6[[#This Row],[Affected WTG]],'Basic Data'!$A:$A,'Basic Data'!$B:$B),"")</f>
        <v>TQGXIIPL</v>
      </c>
      <c r="I1344" s="35" t="str">
        <f>IFERROR(_xlfn.XLOOKUP(Table6[[#This Row],[Affected WTG]],'Basic Data'!$A:$A,'Basic Data'!$C:$C),"")</f>
        <v>GEDA</v>
      </c>
      <c r="J1344" s="471">
        <f>IFERROR(_xlfn.XLOOKUP(Table6[[#This Row],[Affected WTG]],'Basic Data'!$A:$A,'Basic Data'!$E:$E),"")</f>
        <v>3.846153846153845E-2</v>
      </c>
      <c r="K1344" s="102">
        <v>4970</v>
      </c>
      <c r="L1344" s="35" t="str">
        <f>IFERROR(_xlfn.XLOOKUP(Table6[[#This Row],[Error Code]],'Basic Data'!$AA:$AA,'Basic Data'!$AB:$AB),"Incorrect Error Code")</f>
        <v>Tower oscillation XF</v>
      </c>
      <c r="M1344" s="35" t="s">
        <v>292</v>
      </c>
      <c r="N1344" s="475"/>
      <c r="O1344" s="476">
        <v>0.62847222222222221</v>
      </c>
      <c r="P1344" s="476">
        <v>0.62847222222222221</v>
      </c>
      <c r="Q1344" s="477">
        <v>0.63958333333333328</v>
      </c>
      <c r="R1344" s="472">
        <f>IF(Table6[[#This Row],[Work Start TimeStamp]]="","",(Table6[[#This Row],[Work Start TimeStamp]]-Table6[[#This Row],[Fault Start TimeStamp]])*24)</f>
        <v>0</v>
      </c>
      <c r="S1344" s="472">
        <f>(Table6[[#This Row],[Fault Clearance time]]-Table6[[#This Row],[Work Start TimeStamp]])*24</f>
        <v>0.26666666666666572</v>
      </c>
      <c r="T1344" s="472">
        <f>(Table6[[#This Row],[Fault Clearance time]]-Table6[[#This Row],[Fault Start TimeStamp]])*24</f>
        <v>0.26666666666666572</v>
      </c>
      <c r="U1344" s="35" t="s">
        <v>336</v>
      </c>
      <c r="V1344" s="102" t="s">
        <v>293</v>
      </c>
      <c r="W1344" s="478">
        <f>IFERROR(Table6[[#This Row],[Breakdown Time]]*Table6[[#This Row],[Plant Equivalent Weightage]],"")</f>
        <v>1.0256410256410217E-2</v>
      </c>
      <c r="X1344" s="473" t="s">
        <v>294</v>
      </c>
      <c r="Y1344" s="474" t="s">
        <v>84</v>
      </c>
      <c r="Z1344" s="102">
        <v>32970</v>
      </c>
      <c r="AA1344" s="468">
        <f>(Table6[[#This Row],[Paired WTG Generation for loss calculation]]/24)*Table6[[#This Row],[Breakdown Time]]</f>
        <v>366.33333333333201</v>
      </c>
      <c r="AB1344" s="102"/>
      <c r="AC1344" s="35"/>
      <c r="AD1344" s="35"/>
    </row>
    <row r="1345" spans="1:30">
      <c r="A1345" s="102">
        <f t="shared" si="21"/>
        <v>1344</v>
      </c>
      <c r="B1345" s="468">
        <f>YEAR(Table6[[#This Row],[Date]])+IF(MONTH(Table6[[#This Row],[Date]])&gt;=4,1,0)</f>
        <v>2026</v>
      </c>
      <c r="C1345" s="102">
        <f>YEAR(Table6[[#This Row],[Date]])</f>
        <v>2025</v>
      </c>
      <c r="D1345" s="102" t="s">
        <v>1992</v>
      </c>
      <c r="E1345" s="469">
        <f>Table6[[#This Row],[Date]]-DAY(Table6[[#This Row],[Date]])+1</f>
        <v>45809</v>
      </c>
      <c r="F1345" s="470">
        <v>45836</v>
      </c>
      <c r="G1345" s="35" t="s">
        <v>75</v>
      </c>
      <c r="H1345" s="35" t="str">
        <f>IFERROR(_xlfn.XLOOKUP(Table6[[#This Row],[Affected WTG]],'Basic Data'!$A:$A,'Basic Data'!$B:$B),"")</f>
        <v>TQGXIIPL</v>
      </c>
      <c r="I1345" s="35" t="str">
        <f>IFERROR(_xlfn.XLOOKUP(Table6[[#This Row],[Affected WTG]],'Basic Data'!$A:$A,'Basic Data'!$C:$C),"")</f>
        <v>GEDA</v>
      </c>
      <c r="J1345" s="471">
        <f>IFERROR(_xlfn.XLOOKUP(Table6[[#This Row],[Affected WTG]],'Basic Data'!$A:$A,'Basic Data'!$E:$E),"")</f>
        <v>3.846153846153845E-2</v>
      </c>
      <c r="K1345" s="102">
        <v>3211</v>
      </c>
      <c r="L1345" s="35" t="str">
        <f>IFERROR(_xlfn.XLOOKUP(Table6[[#This Row],[Error Code]],'Basic Data'!$AA:$AA,'Basic Data'!$AB:$AB),"Incorrect Error Code")</f>
        <v>Conv. load shedding (CAN)</v>
      </c>
      <c r="M1345" s="35" t="s">
        <v>291</v>
      </c>
      <c r="N1345" s="475"/>
      <c r="O1345" s="476">
        <v>0.34513888888888888</v>
      </c>
      <c r="P1345" s="476">
        <v>0.34513888888888888</v>
      </c>
      <c r="Q1345" s="477">
        <v>0.34652777777777777</v>
      </c>
      <c r="R1345" s="472">
        <f>IF(Table6[[#This Row],[Work Start TimeStamp]]="","",(Table6[[#This Row],[Work Start TimeStamp]]-Table6[[#This Row],[Fault Start TimeStamp]])*24)</f>
        <v>0</v>
      </c>
      <c r="S1345" s="472">
        <f>(Table6[[#This Row],[Fault Clearance time]]-Table6[[#This Row],[Work Start TimeStamp]])*24</f>
        <v>3.3333333333333215E-2</v>
      </c>
      <c r="T1345" s="472">
        <f>(Table6[[#This Row],[Fault Clearance time]]-Table6[[#This Row],[Fault Start TimeStamp]])*24</f>
        <v>3.3333333333333215E-2</v>
      </c>
      <c r="U1345" s="35" t="s">
        <v>1924</v>
      </c>
      <c r="V1345" s="102" t="s">
        <v>293</v>
      </c>
      <c r="W1345" s="478">
        <f>IFERROR(Table6[[#This Row],[Breakdown Time]]*Table6[[#This Row],[Plant Equivalent Weightage]],"")</f>
        <v>1.2820512820512771E-3</v>
      </c>
      <c r="X1345" s="473" t="s">
        <v>290</v>
      </c>
      <c r="Y1345" s="474" t="s">
        <v>78</v>
      </c>
      <c r="Z1345" s="102">
        <v>54703</v>
      </c>
      <c r="AA1345" s="468">
        <f>(Table6[[#This Row],[Paired WTG Generation for loss calculation]]/24)*Table6[[#This Row],[Breakdown Time]]</f>
        <v>75.976388888888607</v>
      </c>
      <c r="AB1345" s="102"/>
      <c r="AC1345" s="35"/>
      <c r="AD1345" s="35"/>
    </row>
    <row r="1346" spans="1:30">
      <c r="A1346" s="102">
        <f t="shared" si="21"/>
        <v>1345</v>
      </c>
      <c r="B1346" s="468">
        <f>YEAR(Table6[[#This Row],[Date]])+IF(MONTH(Table6[[#This Row],[Date]])&gt;=4,1,0)</f>
        <v>2026</v>
      </c>
      <c r="C1346" s="102">
        <f>YEAR(Table6[[#This Row],[Date]])</f>
        <v>2025</v>
      </c>
      <c r="D1346" s="102" t="s">
        <v>1992</v>
      </c>
      <c r="E1346" s="469">
        <f>Table6[[#This Row],[Date]]-DAY(Table6[[#This Row],[Date]])+1</f>
        <v>45809</v>
      </c>
      <c r="F1346" s="470">
        <v>45836</v>
      </c>
      <c r="G1346" s="35" t="s">
        <v>75</v>
      </c>
      <c r="H1346" s="35" t="str">
        <f>IFERROR(_xlfn.XLOOKUP(Table6[[#This Row],[Affected WTG]],'Basic Data'!$A:$A,'Basic Data'!$B:$B),"")</f>
        <v>TQGXIIPL</v>
      </c>
      <c r="I1346" s="35" t="str">
        <f>IFERROR(_xlfn.XLOOKUP(Table6[[#This Row],[Affected WTG]],'Basic Data'!$A:$A,'Basic Data'!$C:$C),"")</f>
        <v>GEDA</v>
      </c>
      <c r="J1346" s="471">
        <f>IFERROR(_xlfn.XLOOKUP(Table6[[#This Row],[Affected WTG]],'Basic Data'!$A:$A,'Basic Data'!$E:$E),"")</f>
        <v>3.846153846153845E-2</v>
      </c>
      <c r="K1346" s="102">
        <v>4970</v>
      </c>
      <c r="L1346" s="35" t="str">
        <f>IFERROR(_xlfn.XLOOKUP(Table6[[#This Row],[Error Code]],'Basic Data'!$AA:$AA,'Basic Data'!$AB:$AB),"Incorrect Error Code")</f>
        <v>Tower oscillation XF</v>
      </c>
      <c r="M1346" s="35" t="s">
        <v>292</v>
      </c>
      <c r="N1346" s="475"/>
      <c r="O1346" s="476">
        <v>0.58819444444444446</v>
      </c>
      <c r="P1346" s="476">
        <v>0.58819444444444446</v>
      </c>
      <c r="Q1346" s="477">
        <v>0.59305555555555556</v>
      </c>
      <c r="R1346" s="472">
        <f>IF(Table6[[#This Row],[Work Start TimeStamp]]="","",(Table6[[#This Row],[Work Start TimeStamp]]-Table6[[#This Row],[Fault Start TimeStamp]])*24)</f>
        <v>0</v>
      </c>
      <c r="S1346" s="472">
        <f>(Table6[[#This Row],[Fault Clearance time]]-Table6[[#This Row],[Work Start TimeStamp]])*24</f>
        <v>0.11666666666666625</v>
      </c>
      <c r="T1346" s="472">
        <f>(Table6[[#This Row],[Fault Clearance time]]-Table6[[#This Row],[Fault Start TimeStamp]])*24</f>
        <v>0.11666666666666625</v>
      </c>
      <c r="U1346" s="35" t="s">
        <v>336</v>
      </c>
      <c r="V1346" s="102" t="s">
        <v>293</v>
      </c>
      <c r="W1346" s="478">
        <f>IFERROR(Table6[[#This Row],[Breakdown Time]]*Table6[[#This Row],[Plant Equivalent Weightage]],"")</f>
        <v>4.4871794871794695E-3</v>
      </c>
      <c r="X1346" s="473" t="s">
        <v>294</v>
      </c>
      <c r="Y1346" s="474" t="s">
        <v>78</v>
      </c>
      <c r="Z1346" s="102">
        <v>54703</v>
      </c>
      <c r="AA1346" s="468">
        <f>(Table6[[#This Row],[Paired WTG Generation for loss calculation]]/24)*Table6[[#This Row],[Breakdown Time]]</f>
        <v>265.91736111111015</v>
      </c>
      <c r="AB1346" s="102"/>
      <c r="AC1346" s="35"/>
      <c r="AD1346" s="35"/>
    </row>
    <row r="1347" spans="1:30">
      <c r="A1347" s="102">
        <f t="shared" si="21"/>
        <v>1346</v>
      </c>
      <c r="B1347" s="468">
        <f>YEAR(Table6[[#This Row],[Date]])+IF(MONTH(Table6[[#This Row],[Date]])&gt;=4,1,0)</f>
        <v>2026</v>
      </c>
      <c r="C1347" s="102">
        <f>YEAR(Table6[[#This Row],[Date]])</f>
        <v>2025</v>
      </c>
      <c r="D1347" s="102" t="s">
        <v>1992</v>
      </c>
      <c r="E1347" s="469">
        <f>Table6[[#This Row],[Date]]-DAY(Table6[[#This Row],[Date]])+1</f>
        <v>45809</v>
      </c>
      <c r="F1347" s="470">
        <v>45836</v>
      </c>
      <c r="G1347" s="35" t="s">
        <v>81</v>
      </c>
      <c r="H1347" s="35" t="str">
        <f>IFERROR(_xlfn.XLOOKUP(Table6[[#This Row],[Affected WTG]],'Basic Data'!$A:$A,'Basic Data'!$B:$B),"")</f>
        <v>TQGXIIPL</v>
      </c>
      <c r="I1347" s="35" t="str">
        <f>IFERROR(_xlfn.XLOOKUP(Table6[[#This Row],[Affected WTG]],'Basic Data'!$A:$A,'Basic Data'!$C:$C),"")</f>
        <v>GEDA</v>
      </c>
      <c r="J1347" s="471">
        <f>IFERROR(_xlfn.XLOOKUP(Table6[[#This Row],[Affected WTG]],'Basic Data'!$A:$A,'Basic Data'!$E:$E),"")</f>
        <v>3.846153846153845E-2</v>
      </c>
      <c r="K1347" s="102">
        <v>741</v>
      </c>
      <c r="L1347" s="35" t="str">
        <f>IFERROR(_xlfn.XLOOKUP(Table6[[#This Row],[Error Code]],'Basic Data'!$AA:$AA,'Basic Data'!$AB:$AB),"Incorrect Error Code")</f>
        <v>Battery drive trigger by HC</v>
      </c>
      <c r="M1347" s="35" t="s">
        <v>291</v>
      </c>
      <c r="N1347" s="475"/>
      <c r="O1347" s="476">
        <v>0.32291666666666669</v>
      </c>
      <c r="P1347" s="476">
        <v>0.32291666666666669</v>
      </c>
      <c r="Q1347" s="477">
        <v>0.32500000000000001</v>
      </c>
      <c r="R1347" s="472">
        <f>IF(Table6[[#This Row],[Work Start TimeStamp]]="","",(Table6[[#This Row],[Work Start TimeStamp]]-Table6[[#This Row],[Fault Start TimeStamp]])*24)</f>
        <v>0</v>
      </c>
      <c r="S1347" s="472">
        <f>(Table6[[#This Row],[Fault Clearance time]]-Table6[[#This Row],[Work Start TimeStamp]])*24</f>
        <v>4.9999999999999822E-2</v>
      </c>
      <c r="T1347" s="472">
        <f>(Table6[[#This Row],[Fault Clearance time]]-Table6[[#This Row],[Fault Start TimeStamp]])*24</f>
        <v>4.9999999999999822E-2</v>
      </c>
      <c r="U1347" s="35" t="s">
        <v>1924</v>
      </c>
      <c r="V1347" s="102" t="s">
        <v>293</v>
      </c>
      <c r="W1347" s="478">
        <f>IFERROR(Table6[[#This Row],[Breakdown Time]]*Table6[[#This Row],[Plant Equivalent Weightage]],"")</f>
        <v>1.9230769230769156E-3</v>
      </c>
      <c r="X1347" s="473" t="s">
        <v>290</v>
      </c>
      <c r="Y1347" s="474" t="s">
        <v>99</v>
      </c>
      <c r="Z1347" s="102">
        <v>55344</v>
      </c>
      <c r="AA1347" s="468">
        <f>(Table6[[#This Row],[Paired WTG Generation for loss calculation]]/24)*Table6[[#This Row],[Breakdown Time]]</f>
        <v>115.29999999999959</v>
      </c>
      <c r="AB1347" s="102"/>
      <c r="AC1347" s="35"/>
      <c r="AD1347" s="35"/>
    </row>
    <row r="1348" spans="1:30">
      <c r="A1348" s="102">
        <f t="shared" si="21"/>
        <v>1347</v>
      </c>
      <c r="B1348" s="468">
        <f>YEAR(Table6[[#This Row],[Date]])+IF(MONTH(Table6[[#This Row],[Date]])&gt;=4,1,0)</f>
        <v>2026</v>
      </c>
      <c r="C1348" s="102">
        <f>YEAR(Table6[[#This Row],[Date]])</f>
        <v>2025</v>
      </c>
      <c r="D1348" s="102" t="s">
        <v>1992</v>
      </c>
      <c r="E1348" s="469">
        <f>Table6[[#This Row],[Date]]-DAY(Table6[[#This Row],[Date]])+1</f>
        <v>45809</v>
      </c>
      <c r="F1348" s="470">
        <v>45836</v>
      </c>
      <c r="G1348" s="35" t="s">
        <v>81</v>
      </c>
      <c r="H1348" s="35" t="str">
        <f>IFERROR(_xlfn.XLOOKUP(Table6[[#This Row],[Affected WTG]],'Basic Data'!$A:$A,'Basic Data'!$B:$B),"")</f>
        <v>TQGXIIPL</v>
      </c>
      <c r="I1348" s="35" t="str">
        <f>IFERROR(_xlfn.XLOOKUP(Table6[[#This Row],[Affected WTG]],'Basic Data'!$A:$A,'Basic Data'!$C:$C),"")</f>
        <v>GEDA</v>
      </c>
      <c r="J1348" s="471">
        <f>IFERROR(_xlfn.XLOOKUP(Table6[[#This Row],[Affected WTG]],'Basic Data'!$A:$A,'Basic Data'!$E:$E),"")</f>
        <v>3.846153846153845E-2</v>
      </c>
      <c r="K1348" s="102">
        <v>641</v>
      </c>
      <c r="L1348" s="35" t="str">
        <f>IFERROR(_xlfn.XLOOKUP(Table6[[#This Row],[Error Code]],'Basic Data'!$AA:$AA,'Basic Data'!$AB:$AB),"Incorrect Error Code")</f>
        <v>Sim.angle E enc. &lt;&gt; act.angle 1</v>
      </c>
      <c r="M1348" s="35" t="s">
        <v>291</v>
      </c>
      <c r="N1348" s="475"/>
      <c r="O1348" s="476">
        <v>0.34236111111111112</v>
      </c>
      <c r="P1348" s="476">
        <v>0.34236111111111112</v>
      </c>
      <c r="Q1348" s="477">
        <v>0.34652777777777777</v>
      </c>
      <c r="R1348" s="472">
        <f>IF(Table6[[#This Row],[Work Start TimeStamp]]="","",(Table6[[#This Row],[Work Start TimeStamp]]-Table6[[#This Row],[Fault Start TimeStamp]])*24)</f>
        <v>0</v>
      </c>
      <c r="S1348" s="472">
        <f>(Table6[[#This Row],[Fault Clearance time]]-Table6[[#This Row],[Work Start TimeStamp]])*24</f>
        <v>9.9999999999999645E-2</v>
      </c>
      <c r="T1348" s="472">
        <f>(Table6[[#This Row],[Fault Clearance time]]-Table6[[#This Row],[Fault Start TimeStamp]])*24</f>
        <v>9.9999999999999645E-2</v>
      </c>
      <c r="U1348" s="35" t="s">
        <v>1924</v>
      </c>
      <c r="V1348" s="102" t="s">
        <v>293</v>
      </c>
      <c r="W1348" s="478">
        <f>IFERROR(Table6[[#This Row],[Breakdown Time]]*Table6[[#This Row],[Plant Equivalent Weightage]],"")</f>
        <v>3.8461538461538312E-3</v>
      </c>
      <c r="X1348" s="473" t="s">
        <v>290</v>
      </c>
      <c r="Y1348" s="474" t="s">
        <v>99</v>
      </c>
      <c r="Z1348" s="102">
        <v>55344</v>
      </c>
      <c r="AA1348" s="468">
        <f>(Table6[[#This Row],[Paired WTG Generation for loss calculation]]/24)*Table6[[#This Row],[Breakdown Time]]</f>
        <v>230.59999999999917</v>
      </c>
      <c r="AB1348" s="102"/>
      <c r="AC1348" s="35"/>
      <c r="AD1348" s="35"/>
    </row>
    <row r="1349" spans="1:30">
      <c r="A1349" s="102">
        <f t="shared" si="21"/>
        <v>1348</v>
      </c>
      <c r="B1349" s="468">
        <f>YEAR(Table6[[#This Row],[Date]])+IF(MONTH(Table6[[#This Row],[Date]])&gt;=4,1,0)</f>
        <v>2026</v>
      </c>
      <c r="C1349" s="102">
        <f>YEAR(Table6[[#This Row],[Date]])</f>
        <v>2025</v>
      </c>
      <c r="D1349" s="102" t="s">
        <v>1992</v>
      </c>
      <c r="E1349" s="469">
        <f>Table6[[#This Row],[Date]]-DAY(Table6[[#This Row],[Date]])+1</f>
        <v>45809</v>
      </c>
      <c r="F1349" s="470">
        <v>45836</v>
      </c>
      <c r="G1349" s="35" t="s">
        <v>81</v>
      </c>
      <c r="H1349" s="35" t="str">
        <f>IFERROR(_xlfn.XLOOKUP(Table6[[#This Row],[Affected WTG]],'Basic Data'!$A:$A,'Basic Data'!$B:$B),"")</f>
        <v>TQGXIIPL</v>
      </c>
      <c r="I1349" s="35" t="str">
        <f>IFERROR(_xlfn.XLOOKUP(Table6[[#This Row],[Affected WTG]],'Basic Data'!$A:$A,'Basic Data'!$C:$C),"")</f>
        <v>GEDA</v>
      </c>
      <c r="J1349" s="471">
        <f>IFERROR(_xlfn.XLOOKUP(Table6[[#This Row],[Affected WTG]],'Basic Data'!$A:$A,'Basic Data'!$E:$E),"")</f>
        <v>3.846153846153845E-2</v>
      </c>
      <c r="K1349" s="102">
        <v>741</v>
      </c>
      <c r="L1349" s="35" t="str">
        <f>IFERROR(_xlfn.XLOOKUP(Table6[[#This Row],[Error Code]],'Basic Data'!$AA:$AA,'Basic Data'!$AB:$AB),"Incorrect Error Code")</f>
        <v>Battery drive trigger by HC</v>
      </c>
      <c r="M1349" s="35" t="s">
        <v>291</v>
      </c>
      <c r="N1349" s="475"/>
      <c r="O1349" s="476">
        <v>0.37222222222222223</v>
      </c>
      <c r="P1349" s="476">
        <v>0.37222222222222223</v>
      </c>
      <c r="Q1349" s="477">
        <v>0.3888888888888889</v>
      </c>
      <c r="R1349" s="472">
        <f>IF(Table6[[#This Row],[Work Start TimeStamp]]="","",(Table6[[#This Row],[Work Start TimeStamp]]-Table6[[#This Row],[Fault Start TimeStamp]])*24)</f>
        <v>0</v>
      </c>
      <c r="S1349" s="472">
        <f>(Table6[[#This Row],[Fault Clearance time]]-Table6[[#This Row],[Work Start TimeStamp]])*24</f>
        <v>0.39999999999999991</v>
      </c>
      <c r="T1349" s="472">
        <f>(Table6[[#This Row],[Fault Clearance time]]-Table6[[#This Row],[Fault Start TimeStamp]])*24</f>
        <v>0.39999999999999991</v>
      </c>
      <c r="U1349" s="35" t="s">
        <v>1924</v>
      </c>
      <c r="V1349" s="102" t="s">
        <v>293</v>
      </c>
      <c r="W1349" s="478">
        <f>IFERROR(Table6[[#This Row],[Breakdown Time]]*Table6[[#This Row],[Plant Equivalent Weightage]],"")</f>
        <v>1.5384615384615377E-2</v>
      </c>
      <c r="X1349" s="473" t="s">
        <v>290</v>
      </c>
      <c r="Y1349" s="474" t="s">
        <v>99</v>
      </c>
      <c r="Z1349" s="102">
        <v>55344</v>
      </c>
      <c r="AA1349" s="468">
        <f>(Table6[[#This Row],[Paired WTG Generation for loss calculation]]/24)*Table6[[#This Row],[Breakdown Time]]</f>
        <v>922.39999999999975</v>
      </c>
      <c r="AB1349" s="102"/>
      <c r="AC1349" s="35"/>
      <c r="AD1349" s="35"/>
    </row>
    <row r="1350" spans="1:30">
      <c r="A1350" s="102">
        <f t="shared" si="21"/>
        <v>1349</v>
      </c>
      <c r="B1350" s="468">
        <f>YEAR(Table6[[#This Row],[Date]])+IF(MONTH(Table6[[#This Row],[Date]])&gt;=4,1,0)</f>
        <v>2026</v>
      </c>
      <c r="C1350" s="102">
        <f>YEAR(Table6[[#This Row],[Date]])</f>
        <v>2025</v>
      </c>
      <c r="D1350" s="102" t="s">
        <v>1992</v>
      </c>
      <c r="E1350" s="469">
        <f>Table6[[#This Row],[Date]]-DAY(Table6[[#This Row],[Date]])+1</f>
        <v>45809</v>
      </c>
      <c r="F1350" s="470">
        <v>45836</v>
      </c>
      <c r="G1350" s="35" t="s">
        <v>81</v>
      </c>
      <c r="H1350" s="35" t="str">
        <f>IFERROR(_xlfn.XLOOKUP(Table6[[#This Row],[Affected WTG]],'Basic Data'!$A:$A,'Basic Data'!$B:$B),"")</f>
        <v>TQGXIIPL</v>
      </c>
      <c r="I1350" s="35" t="str">
        <f>IFERROR(_xlfn.XLOOKUP(Table6[[#This Row],[Affected WTG]],'Basic Data'!$A:$A,'Basic Data'!$C:$C),"")</f>
        <v>GEDA</v>
      </c>
      <c r="J1350" s="471">
        <f>IFERROR(_xlfn.XLOOKUP(Table6[[#This Row],[Affected WTG]],'Basic Data'!$A:$A,'Basic Data'!$E:$E),"")</f>
        <v>3.846153846153845E-2</v>
      </c>
      <c r="K1350" s="102">
        <v>665</v>
      </c>
      <c r="L1350" s="35" t="str">
        <f>IFERROR(_xlfn.XLOOKUP(Table6[[#This Row],[Error Code]],'Basic Data'!$AA:$AA,'Basic Data'!$AB:$AB),"Incorrect Error Code")</f>
        <v>Pitch error</v>
      </c>
      <c r="M1350" s="35" t="s">
        <v>291</v>
      </c>
      <c r="N1350" s="475"/>
      <c r="O1350" s="476">
        <v>0.40069444444444446</v>
      </c>
      <c r="P1350" s="476">
        <v>0.45555555555555555</v>
      </c>
      <c r="Q1350" s="477">
        <v>0.55347222222222225</v>
      </c>
      <c r="R1350" s="472">
        <f>IF(Table6[[#This Row],[Work Start TimeStamp]]="","",(Table6[[#This Row],[Work Start TimeStamp]]-Table6[[#This Row],[Fault Start TimeStamp]])*24)</f>
        <v>1.316666666666666</v>
      </c>
      <c r="S1350" s="472">
        <f>(Table6[[#This Row],[Fault Clearance time]]-Table6[[#This Row],[Work Start TimeStamp]])*24</f>
        <v>2.350000000000001</v>
      </c>
      <c r="T1350" s="472">
        <f>(Table6[[#This Row],[Fault Clearance time]]-Table6[[#This Row],[Fault Start TimeStamp]])*24</f>
        <v>3.666666666666667</v>
      </c>
      <c r="U1350" s="35" t="s">
        <v>2014</v>
      </c>
      <c r="V1350" s="102" t="s">
        <v>293</v>
      </c>
      <c r="W1350" s="478">
        <f>IFERROR(Table6[[#This Row],[Breakdown Time]]*Table6[[#This Row],[Plant Equivalent Weightage]],"")</f>
        <v>0.141025641025641</v>
      </c>
      <c r="X1350" s="473" t="s">
        <v>290</v>
      </c>
      <c r="Y1350" s="474" t="s">
        <v>99</v>
      </c>
      <c r="Z1350" s="102">
        <v>55344</v>
      </c>
      <c r="AA1350" s="468">
        <f>(Table6[[#This Row],[Paired WTG Generation for loss calculation]]/24)*Table6[[#This Row],[Breakdown Time]]</f>
        <v>8455.3333333333339</v>
      </c>
      <c r="AB1350" s="102"/>
      <c r="AC1350" s="35"/>
      <c r="AD1350" s="35"/>
    </row>
    <row r="1351" spans="1:30">
      <c r="A1351" s="102">
        <f t="shared" si="21"/>
        <v>1350</v>
      </c>
      <c r="B1351" s="468">
        <f>YEAR(Table6[[#This Row],[Date]])+IF(MONTH(Table6[[#This Row],[Date]])&gt;=4,1,0)</f>
        <v>2026</v>
      </c>
      <c r="C1351" s="102">
        <f>YEAR(Table6[[#This Row],[Date]])</f>
        <v>2025</v>
      </c>
      <c r="D1351" s="102" t="s">
        <v>1992</v>
      </c>
      <c r="E1351" s="469">
        <f>Table6[[#This Row],[Date]]-DAY(Table6[[#This Row],[Date]])+1</f>
        <v>45809</v>
      </c>
      <c r="F1351" s="470">
        <v>45836</v>
      </c>
      <c r="G1351" s="35" t="s">
        <v>81</v>
      </c>
      <c r="H1351" s="35" t="str">
        <f>IFERROR(_xlfn.XLOOKUP(Table6[[#This Row],[Affected WTG]],'Basic Data'!$A:$A,'Basic Data'!$B:$B),"")</f>
        <v>TQGXIIPL</v>
      </c>
      <c r="I1351" s="35" t="str">
        <f>IFERROR(_xlfn.XLOOKUP(Table6[[#This Row],[Affected WTG]],'Basic Data'!$A:$A,'Basic Data'!$C:$C),"")</f>
        <v>GEDA</v>
      </c>
      <c r="J1351" s="471">
        <f>IFERROR(_xlfn.XLOOKUP(Table6[[#This Row],[Affected WTG]],'Basic Data'!$A:$A,'Basic Data'!$E:$E),"")</f>
        <v>3.846153846153845E-2</v>
      </c>
      <c r="K1351" s="102">
        <v>741</v>
      </c>
      <c r="L1351" s="35" t="str">
        <f>IFERROR(_xlfn.XLOOKUP(Table6[[#This Row],[Error Code]],'Basic Data'!$AA:$AA,'Basic Data'!$AB:$AB),"Incorrect Error Code")</f>
        <v>Battery drive trigger by HC</v>
      </c>
      <c r="M1351" s="35" t="s">
        <v>291</v>
      </c>
      <c r="N1351" s="475"/>
      <c r="O1351" s="476">
        <v>0.83194444444444449</v>
      </c>
      <c r="P1351" s="476">
        <v>0.83194444444444449</v>
      </c>
      <c r="Q1351" s="477">
        <v>0.8354166666666667</v>
      </c>
      <c r="R1351" s="472">
        <f>IF(Table6[[#This Row],[Work Start TimeStamp]]="","",(Table6[[#This Row],[Work Start TimeStamp]]-Table6[[#This Row],[Fault Start TimeStamp]])*24)</f>
        <v>0</v>
      </c>
      <c r="S1351" s="472">
        <f>(Table6[[#This Row],[Fault Clearance time]]-Table6[[#This Row],[Work Start TimeStamp]])*24</f>
        <v>8.3333333333333037E-2</v>
      </c>
      <c r="T1351" s="472">
        <f>(Table6[[#This Row],[Fault Clearance time]]-Table6[[#This Row],[Fault Start TimeStamp]])*24</f>
        <v>8.3333333333333037E-2</v>
      </c>
      <c r="U1351" s="35" t="s">
        <v>1924</v>
      </c>
      <c r="V1351" s="102" t="s">
        <v>293</v>
      </c>
      <c r="W1351" s="478">
        <f>IFERROR(Table6[[#This Row],[Breakdown Time]]*Table6[[#This Row],[Plant Equivalent Weightage]],"")</f>
        <v>3.2051282051281929E-3</v>
      </c>
      <c r="X1351" s="473" t="s">
        <v>290</v>
      </c>
      <c r="Y1351" s="474" t="s">
        <v>99</v>
      </c>
      <c r="Z1351" s="102">
        <v>55344</v>
      </c>
      <c r="AA1351" s="468">
        <f>(Table6[[#This Row],[Paired WTG Generation for loss calculation]]/24)*Table6[[#This Row],[Breakdown Time]]</f>
        <v>192.16666666666598</v>
      </c>
      <c r="AB1351" s="102"/>
      <c r="AC1351" s="35"/>
      <c r="AD1351" s="35"/>
    </row>
    <row r="1352" spans="1:30">
      <c r="A1352" s="102">
        <f t="shared" si="21"/>
        <v>1351</v>
      </c>
      <c r="B1352" s="468">
        <f>YEAR(Table6[[#This Row],[Date]])+IF(MONTH(Table6[[#This Row],[Date]])&gt;=4,1,0)</f>
        <v>2026</v>
      </c>
      <c r="C1352" s="102">
        <f>YEAR(Table6[[#This Row],[Date]])</f>
        <v>2025</v>
      </c>
      <c r="D1352" s="102" t="s">
        <v>1992</v>
      </c>
      <c r="E1352" s="469">
        <f>Table6[[#This Row],[Date]]-DAY(Table6[[#This Row],[Date]])+1</f>
        <v>45809</v>
      </c>
      <c r="F1352" s="470">
        <v>45836</v>
      </c>
      <c r="G1352" s="35" t="s">
        <v>81</v>
      </c>
      <c r="H1352" s="35" t="str">
        <f>IFERROR(_xlfn.XLOOKUP(Table6[[#This Row],[Affected WTG]],'Basic Data'!$A:$A,'Basic Data'!$B:$B),"")</f>
        <v>TQGXIIPL</v>
      </c>
      <c r="I1352" s="35" t="str">
        <f>IFERROR(_xlfn.XLOOKUP(Table6[[#This Row],[Affected WTG]],'Basic Data'!$A:$A,'Basic Data'!$C:$C),"")</f>
        <v>GEDA</v>
      </c>
      <c r="J1352" s="471">
        <f>IFERROR(_xlfn.XLOOKUP(Table6[[#This Row],[Affected WTG]],'Basic Data'!$A:$A,'Basic Data'!$E:$E),"")</f>
        <v>3.846153846153845E-2</v>
      </c>
      <c r="K1352" s="102">
        <v>641</v>
      </c>
      <c r="L1352" s="35" t="str">
        <f>IFERROR(_xlfn.XLOOKUP(Table6[[#This Row],[Error Code]],'Basic Data'!$AA:$AA,'Basic Data'!$AB:$AB),"Incorrect Error Code")</f>
        <v>Sim.angle E enc. &lt;&gt; act.angle 1</v>
      </c>
      <c r="M1352" s="35" t="s">
        <v>291</v>
      </c>
      <c r="N1352" s="475"/>
      <c r="O1352" s="476">
        <v>0.85763888888888884</v>
      </c>
      <c r="P1352" s="476">
        <v>0.85763888888888884</v>
      </c>
      <c r="Q1352" s="477">
        <v>0.85833333333333328</v>
      </c>
      <c r="R1352" s="472">
        <f>IF(Table6[[#This Row],[Work Start TimeStamp]]="","",(Table6[[#This Row],[Work Start TimeStamp]]-Table6[[#This Row],[Fault Start TimeStamp]])*24)</f>
        <v>0</v>
      </c>
      <c r="S1352" s="472">
        <f>(Table6[[#This Row],[Fault Clearance time]]-Table6[[#This Row],[Work Start TimeStamp]])*24</f>
        <v>1.6666666666666607E-2</v>
      </c>
      <c r="T1352" s="472">
        <f>(Table6[[#This Row],[Fault Clearance time]]-Table6[[#This Row],[Fault Start TimeStamp]])*24</f>
        <v>1.6666666666666607E-2</v>
      </c>
      <c r="U1352" s="35" t="s">
        <v>1924</v>
      </c>
      <c r="V1352" s="102" t="s">
        <v>293</v>
      </c>
      <c r="W1352" s="478">
        <f>IFERROR(Table6[[#This Row],[Breakdown Time]]*Table6[[#This Row],[Plant Equivalent Weightage]],"")</f>
        <v>6.4102564102563853E-4</v>
      </c>
      <c r="X1352" s="473" t="s">
        <v>290</v>
      </c>
      <c r="Y1352" s="474" t="s">
        <v>99</v>
      </c>
      <c r="Z1352" s="102">
        <v>55344</v>
      </c>
      <c r="AA1352" s="468">
        <f>(Table6[[#This Row],[Paired WTG Generation for loss calculation]]/24)*Table6[[#This Row],[Breakdown Time]]</f>
        <v>38.433333333333195</v>
      </c>
      <c r="AB1352" s="102"/>
      <c r="AC1352" s="35"/>
      <c r="AD1352" s="35"/>
    </row>
    <row r="1353" spans="1:30">
      <c r="A1353" s="102">
        <f t="shared" si="21"/>
        <v>1352</v>
      </c>
      <c r="B1353" s="468">
        <f>YEAR(Table6[[#This Row],[Date]])+IF(MONTH(Table6[[#This Row],[Date]])&gt;=4,1,0)</f>
        <v>2026</v>
      </c>
      <c r="C1353" s="102">
        <f>YEAR(Table6[[#This Row],[Date]])</f>
        <v>2025</v>
      </c>
      <c r="D1353" s="102" t="s">
        <v>1992</v>
      </c>
      <c r="E1353" s="469">
        <f>Table6[[#This Row],[Date]]-DAY(Table6[[#This Row],[Date]])+1</f>
        <v>45809</v>
      </c>
      <c r="F1353" s="470">
        <v>45836</v>
      </c>
      <c r="G1353" s="35" t="s">
        <v>83</v>
      </c>
      <c r="H1353" s="35" t="str">
        <f>IFERROR(_xlfn.XLOOKUP(Table6[[#This Row],[Affected WTG]],'Basic Data'!$A:$A,'Basic Data'!$B:$B),"")</f>
        <v>TQGXIIPL</v>
      </c>
      <c r="I1353" s="35" t="str">
        <f>IFERROR(_xlfn.XLOOKUP(Table6[[#This Row],[Affected WTG]],'Basic Data'!$A:$A,'Basic Data'!$C:$C),"")</f>
        <v>GEDA</v>
      </c>
      <c r="J1353" s="471">
        <f>IFERROR(_xlfn.XLOOKUP(Table6[[#This Row],[Affected WTG]],'Basic Data'!$A:$A,'Basic Data'!$E:$E),"")</f>
        <v>3.846153846153845E-2</v>
      </c>
      <c r="K1353" s="102">
        <v>1070</v>
      </c>
      <c r="L1353" s="35" t="str">
        <f>IFERROR(_xlfn.XLOOKUP(Table6[[#This Row],[Error Code]],'Basic Data'!$AA:$AA,'Basic Data'!$AB:$AB),"Incorrect Error Code")</f>
        <v>Drive train monitor level 2</v>
      </c>
      <c r="M1353" s="35" t="s">
        <v>292</v>
      </c>
      <c r="N1353" s="475"/>
      <c r="O1353" s="476">
        <v>0.6</v>
      </c>
      <c r="P1353" s="476">
        <v>0.6</v>
      </c>
      <c r="Q1353" s="477">
        <v>0.60069444444444442</v>
      </c>
      <c r="R1353" s="472">
        <f>IF(Table6[[#This Row],[Work Start TimeStamp]]="","",(Table6[[#This Row],[Work Start TimeStamp]]-Table6[[#This Row],[Fault Start TimeStamp]])*24)</f>
        <v>0</v>
      </c>
      <c r="S1353" s="472">
        <f>(Table6[[#This Row],[Fault Clearance time]]-Table6[[#This Row],[Work Start TimeStamp]])*24</f>
        <v>1.6666666666666607E-2</v>
      </c>
      <c r="T1353" s="472">
        <f>(Table6[[#This Row],[Fault Clearance time]]-Table6[[#This Row],[Fault Start TimeStamp]])*24</f>
        <v>1.6666666666666607E-2</v>
      </c>
      <c r="U1353" s="35" t="s">
        <v>336</v>
      </c>
      <c r="V1353" s="102" t="s">
        <v>293</v>
      </c>
      <c r="W1353" s="478">
        <f>IFERROR(Table6[[#This Row],[Breakdown Time]]*Table6[[#This Row],[Plant Equivalent Weightage]],"")</f>
        <v>6.4102564102563853E-4</v>
      </c>
      <c r="X1353" s="473" t="s">
        <v>294</v>
      </c>
      <c r="Y1353" s="474" t="s">
        <v>88</v>
      </c>
      <c r="Z1353" s="102">
        <v>58053</v>
      </c>
      <c r="AA1353" s="468">
        <f>(Table6[[#This Row],[Paired WTG Generation for loss calculation]]/24)*Table6[[#This Row],[Breakdown Time]]</f>
        <v>40.314583333333189</v>
      </c>
      <c r="AB1353" s="102"/>
      <c r="AC1353" s="35"/>
      <c r="AD1353" s="35"/>
    </row>
    <row r="1354" spans="1:30">
      <c r="A1354" s="102">
        <f t="shared" si="21"/>
        <v>1353</v>
      </c>
      <c r="B1354" s="468">
        <f>YEAR(Table6[[#This Row],[Date]])+IF(MONTH(Table6[[#This Row],[Date]])&gt;=4,1,0)</f>
        <v>2026</v>
      </c>
      <c r="C1354" s="102">
        <f>YEAR(Table6[[#This Row],[Date]])</f>
        <v>2025</v>
      </c>
      <c r="D1354" s="102" t="s">
        <v>1992</v>
      </c>
      <c r="E1354" s="469">
        <f>Table6[[#This Row],[Date]]-DAY(Table6[[#This Row],[Date]])+1</f>
        <v>45809</v>
      </c>
      <c r="F1354" s="470">
        <v>45836</v>
      </c>
      <c r="G1354" s="35" t="s">
        <v>86</v>
      </c>
      <c r="H1354" s="35" t="str">
        <f>IFERROR(_xlfn.XLOOKUP(Table6[[#This Row],[Affected WTG]],'Basic Data'!$A:$A,'Basic Data'!$B:$B),"")</f>
        <v>TQGXIIPL</v>
      </c>
      <c r="I1354" s="35" t="str">
        <f>IFERROR(_xlfn.XLOOKUP(Table6[[#This Row],[Affected WTG]],'Basic Data'!$A:$A,'Basic Data'!$C:$C),"")</f>
        <v>GEDA</v>
      </c>
      <c r="J1354" s="471">
        <f>IFERROR(_xlfn.XLOOKUP(Table6[[#This Row],[Affected WTG]],'Basic Data'!$A:$A,'Basic Data'!$E:$E),"")</f>
        <v>3.846153846153845E-2</v>
      </c>
      <c r="K1354" s="102">
        <v>4540</v>
      </c>
      <c r="L1354" s="35" t="str">
        <f>IFERROR(_xlfn.XLOOKUP(Table6[[#This Row],[Error Code]],'Basic Data'!$AA:$AA,'Basic Data'!$AB:$AB),"Incorrect Error Code")</f>
        <v>Tower oscillation X level 2</v>
      </c>
      <c r="M1354" s="35" t="s">
        <v>292</v>
      </c>
      <c r="N1354" s="475"/>
      <c r="O1354" s="476">
        <v>0.82638888888888884</v>
      </c>
      <c r="P1354" s="476">
        <v>0.82638888888888884</v>
      </c>
      <c r="Q1354" s="477">
        <v>0.83333333333333337</v>
      </c>
      <c r="R1354" s="472">
        <f>IF(Table6[[#This Row],[Work Start TimeStamp]]="","",(Table6[[#This Row],[Work Start TimeStamp]]-Table6[[#This Row],[Fault Start TimeStamp]])*24)</f>
        <v>0</v>
      </c>
      <c r="S1354" s="472">
        <f>(Table6[[#This Row],[Fault Clearance time]]-Table6[[#This Row],[Work Start TimeStamp]])*24</f>
        <v>0.16666666666666874</v>
      </c>
      <c r="T1354" s="472">
        <f>(Table6[[#This Row],[Fault Clearance time]]-Table6[[#This Row],[Fault Start TimeStamp]])*24</f>
        <v>0.16666666666666874</v>
      </c>
      <c r="U1354" s="35" t="s">
        <v>336</v>
      </c>
      <c r="V1354" s="102" t="s">
        <v>293</v>
      </c>
      <c r="W1354" s="478">
        <f>IFERROR(Table6[[#This Row],[Breakdown Time]]*Table6[[#This Row],[Plant Equivalent Weightage]],"")</f>
        <v>6.4102564102564881E-3</v>
      </c>
      <c r="X1354" s="473" t="s">
        <v>294</v>
      </c>
      <c r="Y1354" s="474" t="s">
        <v>84</v>
      </c>
      <c r="Z1354" s="102">
        <v>56457</v>
      </c>
      <c r="AA1354" s="468">
        <f>(Table6[[#This Row],[Paired WTG Generation for loss calculation]]/24)*Table6[[#This Row],[Breakdown Time]]</f>
        <v>392.06250000000489</v>
      </c>
      <c r="AB1354" s="102"/>
      <c r="AC1354" s="35"/>
      <c r="AD1354" s="35"/>
    </row>
    <row r="1355" spans="1:30">
      <c r="A1355" s="102">
        <f t="shared" si="21"/>
        <v>1354</v>
      </c>
      <c r="B1355" s="468">
        <f>YEAR(Table6[[#This Row],[Date]])+IF(MONTH(Table6[[#This Row],[Date]])&gt;=4,1,0)</f>
        <v>2026</v>
      </c>
      <c r="C1355" s="102">
        <f>YEAR(Table6[[#This Row],[Date]])</f>
        <v>2025</v>
      </c>
      <c r="D1355" s="102" t="s">
        <v>1992</v>
      </c>
      <c r="E1355" s="469">
        <f>Table6[[#This Row],[Date]]-DAY(Table6[[#This Row],[Date]])+1</f>
        <v>45809</v>
      </c>
      <c r="F1355" s="470">
        <v>45836</v>
      </c>
      <c r="G1355" s="35" t="s">
        <v>85</v>
      </c>
      <c r="H1355" s="35" t="str">
        <f>IFERROR(_xlfn.XLOOKUP(Table6[[#This Row],[Affected WTG]],'Basic Data'!$A:$A,'Basic Data'!$B:$B),"")</f>
        <v>TQGXIIPL</v>
      </c>
      <c r="I1355" s="35" t="str">
        <f>IFERROR(_xlfn.XLOOKUP(Table6[[#This Row],[Affected WTG]],'Basic Data'!$A:$A,'Basic Data'!$C:$C),"")</f>
        <v>GEDA</v>
      </c>
      <c r="J1355" s="471">
        <f>IFERROR(_xlfn.XLOOKUP(Table6[[#This Row],[Affected WTG]],'Basic Data'!$A:$A,'Basic Data'!$E:$E),"")</f>
        <v>3.846153846153845E-2</v>
      </c>
      <c r="K1355" s="102">
        <v>55</v>
      </c>
      <c r="L1355" s="35" t="str">
        <f>IFERROR(_xlfn.XLOOKUP(Table6[[#This Row],[Error Code]],'Basic Data'!$AA:$AA,'Basic Data'!$AB:$AB),"Incorrect Error Code")</f>
        <v>WTG shut down</v>
      </c>
      <c r="M1355" s="35" t="s">
        <v>295</v>
      </c>
      <c r="N1355" s="475"/>
      <c r="O1355" s="476">
        <v>0</v>
      </c>
      <c r="P1355" s="476">
        <v>0</v>
      </c>
      <c r="Q1355" s="477">
        <v>0.46527777777777779</v>
      </c>
      <c r="R1355" s="472">
        <f>IF(Table6[[#This Row],[Work Start TimeStamp]]="","",(Table6[[#This Row],[Work Start TimeStamp]]-Table6[[#This Row],[Fault Start TimeStamp]])*24)</f>
        <v>0</v>
      </c>
      <c r="S1355" s="472">
        <f>(Table6[[#This Row],[Fault Clearance time]]-Table6[[#This Row],[Work Start TimeStamp]])*24</f>
        <v>11.166666666666668</v>
      </c>
      <c r="T1355" s="472">
        <f>(Table6[[#This Row],[Fault Clearance time]]-Table6[[#This Row],[Fault Start TimeStamp]])*24</f>
        <v>11.166666666666668</v>
      </c>
      <c r="U1355" s="35" t="s">
        <v>2095</v>
      </c>
      <c r="V1355" s="102" t="s">
        <v>289</v>
      </c>
      <c r="W1355" s="478">
        <f>IFERROR(Table6[[#This Row],[Breakdown Time]]*Table6[[#This Row],[Plant Equivalent Weightage]],"")</f>
        <v>0.4294871794871794</v>
      </c>
      <c r="X1355" s="473" t="s">
        <v>523</v>
      </c>
      <c r="Y1355" s="474" t="s">
        <v>87</v>
      </c>
      <c r="Z1355" s="102">
        <v>56319</v>
      </c>
      <c r="AA1355" s="468">
        <f>(Table6[[#This Row],[Paired WTG Generation for loss calculation]]/24)*Table6[[#This Row],[Breakdown Time]]</f>
        <v>26203.979166666668</v>
      </c>
      <c r="AB1355" s="102"/>
      <c r="AC1355" s="35"/>
      <c r="AD1355" s="35"/>
    </row>
    <row r="1356" spans="1:30">
      <c r="A1356" s="102">
        <f t="shared" si="21"/>
        <v>1355</v>
      </c>
      <c r="B1356" s="468">
        <f>YEAR(Table6[[#This Row],[Date]])+IF(MONTH(Table6[[#This Row],[Date]])&gt;=4,1,0)</f>
        <v>2026</v>
      </c>
      <c r="C1356" s="102">
        <f>YEAR(Table6[[#This Row],[Date]])</f>
        <v>2025</v>
      </c>
      <c r="D1356" s="102" t="s">
        <v>1992</v>
      </c>
      <c r="E1356" s="469">
        <f>Table6[[#This Row],[Date]]-DAY(Table6[[#This Row],[Date]])+1</f>
        <v>45809</v>
      </c>
      <c r="F1356" s="470">
        <v>45836</v>
      </c>
      <c r="G1356" s="35" t="s">
        <v>85</v>
      </c>
      <c r="H1356" s="35" t="str">
        <f>IFERROR(_xlfn.XLOOKUP(Table6[[#This Row],[Affected WTG]],'Basic Data'!$A:$A,'Basic Data'!$B:$B),"")</f>
        <v>TQGXIIPL</v>
      </c>
      <c r="I1356" s="35" t="str">
        <f>IFERROR(_xlfn.XLOOKUP(Table6[[#This Row],[Affected WTG]],'Basic Data'!$A:$A,'Basic Data'!$C:$C),"")</f>
        <v>GEDA</v>
      </c>
      <c r="J1356" s="471">
        <f>IFERROR(_xlfn.XLOOKUP(Table6[[#This Row],[Affected WTG]],'Basic Data'!$A:$A,'Basic Data'!$E:$E),"")</f>
        <v>3.846153846153845E-2</v>
      </c>
      <c r="K1356" s="102">
        <v>55</v>
      </c>
      <c r="L1356" s="35" t="str">
        <f>IFERROR(_xlfn.XLOOKUP(Table6[[#This Row],[Error Code]],'Basic Data'!$AA:$AA,'Basic Data'!$AB:$AB),"Incorrect Error Code")</f>
        <v>WTG shut down</v>
      </c>
      <c r="M1356" s="35" t="s">
        <v>295</v>
      </c>
      <c r="N1356" s="475"/>
      <c r="O1356" s="476">
        <v>0.46527777777777779</v>
      </c>
      <c r="P1356" s="476">
        <v>0.46527777777777779</v>
      </c>
      <c r="Q1356" s="477">
        <v>0.99998842592592596</v>
      </c>
      <c r="R1356" s="472">
        <f>IF(Table6[[#This Row],[Work Start TimeStamp]]="","",(Table6[[#This Row],[Work Start TimeStamp]]-Table6[[#This Row],[Fault Start TimeStamp]])*24)</f>
        <v>0</v>
      </c>
      <c r="S1356" s="472">
        <f>(Table6[[#This Row],[Fault Clearance time]]-Table6[[#This Row],[Work Start TimeStamp]])*24</f>
        <v>12.833055555555557</v>
      </c>
      <c r="T1356" s="472">
        <f>(Table6[[#This Row],[Fault Clearance time]]-Table6[[#This Row],[Fault Start TimeStamp]])*24</f>
        <v>12.833055555555557</v>
      </c>
      <c r="U1356" s="35" t="s">
        <v>2095</v>
      </c>
      <c r="V1356" s="102" t="s">
        <v>289</v>
      </c>
      <c r="W1356" s="478">
        <f>IFERROR(Table6[[#This Row],[Breakdown Time]]*Table6[[#This Row],[Plant Equivalent Weightage]],"")</f>
        <v>0.49357905982905975</v>
      </c>
      <c r="X1356" s="473" t="s">
        <v>294</v>
      </c>
      <c r="Y1356" s="474" t="s">
        <v>87</v>
      </c>
      <c r="Z1356" s="102">
        <v>56319</v>
      </c>
      <c r="AA1356" s="468">
        <f>(Table6[[#This Row],[Paired WTG Generation for loss calculation]]/24)*Table6[[#This Row],[Breakdown Time]]</f>
        <v>30114.368993055559</v>
      </c>
      <c r="AB1356" s="102"/>
      <c r="AC1356" s="35"/>
      <c r="AD1356" s="35"/>
    </row>
    <row r="1357" spans="1:30">
      <c r="A1357" s="102">
        <f t="shared" si="21"/>
        <v>1356</v>
      </c>
      <c r="B1357" s="468">
        <f>YEAR(Table6[[#This Row],[Date]])+IF(MONTH(Table6[[#This Row],[Date]])&gt;=4,1,0)</f>
        <v>2026</v>
      </c>
      <c r="C1357" s="102">
        <f>YEAR(Table6[[#This Row],[Date]])</f>
        <v>2025</v>
      </c>
      <c r="D1357" s="102" t="s">
        <v>1992</v>
      </c>
      <c r="E1357" s="469">
        <f>Table6[[#This Row],[Date]]-DAY(Table6[[#This Row],[Date]])+1</f>
        <v>45809</v>
      </c>
      <c r="F1357" s="470">
        <v>45836</v>
      </c>
      <c r="G1357" s="35" t="s">
        <v>89</v>
      </c>
      <c r="H1357" s="35" t="str">
        <f>IFERROR(_xlfn.XLOOKUP(Table6[[#This Row],[Affected WTG]],'Basic Data'!$A:$A,'Basic Data'!$B:$B),"")</f>
        <v>TQGXIIPL</v>
      </c>
      <c r="I1357" s="35" t="str">
        <f>IFERROR(_xlfn.XLOOKUP(Table6[[#This Row],[Affected WTG]],'Basic Data'!$A:$A,'Basic Data'!$C:$C),"")</f>
        <v>GEDA</v>
      </c>
      <c r="J1357" s="471">
        <f>IFERROR(_xlfn.XLOOKUP(Table6[[#This Row],[Affected WTG]],'Basic Data'!$A:$A,'Basic Data'!$E:$E),"")</f>
        <v>3.846153846153845E-2</v>
      </c>
      <c r="K1357" s="102">
        <v>4540</v>
      </c>
      <c r="L1357" s="35" t="str">
        <f>IFERROR(_xlfn.XLOOKUP(Table6[[#This Row],[Error Code]],'Basic Data'!$AA:$AA,'Basic Data'!$AB:$AB),"Incorrect Error Code")</f>
        <v>Tower oscillation X level 2</v>
      </c>
      <c r="M1357" s="35" t="s">
        <v>292</v>
      </c>
      <c r="N1357" s="475"/>
      <c r="O1357" s="476">
        <v>0.58819444444444446</v>
      </c>
      <c r="P1357" s="476">
        <v>0.58819444444444446</v>
      </c>
      <c r="Q1357" s="477">
        <v>0.59236111111111112</v>
      </c>
      <c r="R1357" s="472">
        <f>IF(Table6[[#This Row],[Work Start TimeStamp]]="","",(Table6[[#This Row],[Work Start TimeStamp]]-Table6[[#This Row],[Fault Start TimeStamp]])*24)</f>
        <v>0</v>
      </c>
      <c r="S1357" s="472">
        <f>(Table6[[#This Row],[Fault Clearance time]]-Table6[[#This Row],[Work Start TimeStamp]])*24</f>
        <v>9.9999999999999645E-2</v>
      </c>
      <c r="T1357" s="472">
        <f>(Table6[[#This Row],[Fault Clearance time]]-Table6[[#This Row],[Fault Start TimeStamp]])*24</f>
        <v>9.9999999999999645E-2</v>
      </c>
      <c r="U1357" s="35" t="s">
        <v>336</v>
      </c>
      <c r="V1357" s="102" t="s">
        <v>293</v>
      </c>
      <c r="W1357" s="478">
        <f>IFERROR(Table6[[#This Row],[Breakdown Time]]*Table6[[#This Row],[Plant Equivalent Weightage]],"")</f>
        <v>3.8461538461538312E-3</v>
      </c>
      <c r="X1357" s="473" t="s">
        <v>294</v>
      </c>
      <c r="Y1357" s="474" t="s">
        <v>94</v>
      </c>
      <c r="Z1357" s="102">
        <v>56225</v>
      </c>
      <c r="AA1357" s="468">
        <f>(Table6[[#This Row],[Paired WTG Generation for loss calculation]]/24)*Table6[[#This Row],[Breakdown Time]]</f>
        <v>234.27083333333252</v>
      </c>
      <c r="AB1357" s="102"/>
      <c r="AC1357" s="35"/>
      <c r="AD1357" s="35"/>
    </row>
    <row r="1358" spans="1:30">
      <c r="A1358" s="102">
        <f t="shared" si="21"/>
        <v>1357</v>
      </c>
      <c r="B1358" s="468">
        <f>YEAR(Table6[[#This Row],[Date]])+IF(MONTH(Table6[[#This Row],[Date]])&gt;=4,1,0)</f>
        <v>2026</v>
      </c>
      <c r="C1358" s="102">
        <f>YEAR(Table6[[#This Row],[Date]])</f>
        <v>2025</v>
      </c>
      <c r="D1358" s="102" t="s">
        <v>1992</v>
      </c>
      <c r="E1358" s="469">
        <f>Table6[[#This Row],[Date]]-DAY(Table6[[#This Row],[Date]])+1</f>
        <v>45809</v>
      </c>
      <c r="F1358" s="470">
        <v>45836</v>
      </c>
      <c r="G1358" s="35" t="s">
        <v>89</v>
      </c>
      <c r="H1358" s="35" t="str">
        <f>IFERROR(_xlfn.XLOOKUP(Table6[[#This Row],[Affected WTG]],'Basic Data'!$A:$A,'Basic Data'!$B:$B),"")</f>
        <v>TQGXIIPL</v>
      </c>
      <c r="I1358" s="35" t="str">
        <f>IFERROR(_xlfn.XLOOKUP(Table6[[#This Row],[Affected WTG]],'Basic Data'!$A:$A,'Basic Data'!$C:$C),"")</f>
        <v>GEDA</v>
      </c>
      <c r="J1358" s="471">
        <f>IFERROR(_xlfn.XLOOKUP(Table6[[#This Row],[Affected WTG]],'Basic Data'!$A:$A,'Basic Data'!$E:$E),"")</f>
        <v>3.846153846153845E-2</v>
      </c>
      <c r="K1358" s="102">
        <v>4970</v>
      </c>
      <c r="L1358" s="35" t="str">
        <f>IFERROR(_xlfn.XLOOKUP(Table6[[#This Row],[Error Code]],'Basic Data'!$AA:$AA,'Basic Data'!$AB:$AB),"Incorrect Error Code")</f>
        <v>Tower oscillation XF</v>
      </c>
      <c r="M1358" s="35" t="s">
        <v>292</v>
      </c>
      <c r="N1358" s="475"/>
      <c r="O1358" s="476">
        <v>0.62569444444444444</v>
      </c>
      <c r="P1358" s="476">
        <v>0.62569444444444444</v>
      </c>
      <c r="Q1358" s="477">
        <v>0.62986111111111109</v>
      </c>
      <c r="R1358" s="472">
        <f>IF(Table6[[#This Row],[Work Start TimeStamp]]="","",(Table6[[#This Row],[Work Start TimeStamp]]-Table6[[#This Row],[Fault Start TimeStamp]])*24)</f>
        <v>0</v>
      </c>
      <c r="S1358" s="472">
        <f>(Table6[[#This Row],[Fault Clearance time]]-Table6[[#This Row],[Work Start TimeStamp]])*24</f>
        <v>9.9999999999999645E-2</v>
      </c>
      <c r="T1358" s="472">
        <f>(Table6[[#This Row],[Fault Clearance time]]-Table6[[#This Row],[Fault Start TimeStamp]])*24</f>
        <v>9.9999999999999645E-2</v>
      </c>
      <c r="U1358" s="35" t="s">
        <v>336</v>
      </c>
      <c r="V1358" s="102" t="s">
        <v>293</v>
      </c>
      <c r="W1358" s="478">
        <f>IFERROR(Table6[[#This Row],[Breakdown Time]]*Table6[[#This Row],[Plant Equivalent Weightage]],"")</f>
        <v>3.8461538461538312E-3</v>
      </c>
      <c r="X1358" s="473" t="s">
        <v>294</v>
      </c>
      <c r="Y1358" s="474" t="s">
        <v>94</v>
      </c>
      <c r="Z1358" s="102">
        <v>56225</v>
      </c>
      <c r="AA1358" s="468">
        <f>(Table6[[#This Row],[Paired WTG Generation for loss calculation]]/24)*Table6[[#This Row],[Breakdown Time]]</f>
        <v>234.27083333333252</v>
      </c>
      <c r="AB1358" s="102"/>
      <c r="AC1358" s="35"/>
      <c r="AD1358" s="35"/>
    </row>
    <row r="1359" spans="1:30">
      <c r="A1359" s="102">
        <f t="shared" ref="A1359:A1422" si="22">A1358+1</f>
        <v>1358</v>
      </c>
      <c r="B1359" s="468">
        <f>YEAR(Table6[[#This Row],[Date]])+IF(MONTH(Table6[[#This Row],[Date]])&gt;=4,1,0)</f>
        <v>2026</v>
      </c>
      <c r="C1359" s="102">
        <f>YEAR(Table6[[#This Row],[Date]])</f>
        <v>2025</v>
      </c>
      <c r="D1359" s="102" t="s">
        <v>1992</v>
      </c>
      <c r="E1359" s="469">
        <f>Table6[[#This Row],[Date]]-DAY(Table6[[#This Row],[Date]])+1</f>
        <v>45809</v>
      </c>
      <c r="F1359" s="470">
        <v>45836</v>
      </c>
      <c r="G1359" s="35" t="s">
        <v>90</v>
      </c>
      <c r="H1359" s="35" t="str">
        <f>IFERROR(_xlfn.XLOOKUP(Table6[[#This Row],[Affected WTG]],'Basic Data'!$A:$A,'Basic Data'!$B:$B),"")</f>
        <v>TQGXIIPL</v>
      </c>
      <c r="I1359" s="35" t="str">
        <f>IFERROR(_xlfn.XLOOKUP(Table6[[#This Row],[Affected WTG]],'Basic Data'!$A:$A,'Basic Data'!$C:$C),"")</f>
        <v>GEDA</v>
      </c>
      <c r="J1359" s="471">
        <f>IFERROR(_xlfn.XLOOKUP(Table6[[#This Row],[Affected WTG]],'Basic Data'!$A:$A,'Basic Data'!$E:$E),"")</f>
        <v>3.846153846153845E-2</v>
      </c>
      <c r="K1359" s="102">
        <v>3211</v>
      </c>
      <c r="L1359" s="35" t="str">
        <f>IFERROR(_xlfn.XLOOKUP(Table6[[#This Row],[Error Code]],'Basic Data'!$AA:$AA,'Basic Data'!$AB:$AB),"Incorrect Error Code")</f>
        <v>Conv. load shedding (CAN)</v>
      </c>
      <c r="M1359" s="35" t="s">
        <v>291</v>
      </c>
      <c r="N1359" s="475"/>
      <c r="O1359" s="476">
        <v>0.55763888888888891</v>
      </c>
      <c r="P1359" s="476">
        <v>0.55763888888888891</v>
      </c>
      <c r="Q1359" s="477">
        <v>0.56041666666666667</v>
      </c>
      <c r="R1359" s="472">
        <f>IF(Table6[[#This Row],[Work Start TimeStamp]]="","",(Table6[[#This Row],[Work Start TimeStamp]]-Table6[[#This Row],[Fault Start TimeStamp]])*24)</f>
        <v>0</v>
      </c>
      <c r="S1359" s="472">
        <f>(Table6[[#This Row],[Fault Clearance time]]-Table6[[#This Row],[Work Start TimeStamp]])*24</f>
        <v>6.666666666666643E-2</v>
      </c>
      <c r="T1359" s="472">
        <f>(Table6[[#This Row],[Fault Clearance time]]-Table6[[#This Row],[Fault Start TimeStamp]])*24</f>
        <v>6.666666666666643E-2</v>
      </c>
      <c r="U1359" s="35" t="s">
        <v>1924</v>
      </c>
      <c r="V1359" s="102" t="s">
        <v>293</v>
      </c>
      <c r="W1359" s="478">
        <f>IFERROR(Table6[[#This Row],[Breakdown Time]]*Table6[[#This Row],[Plant Equivalent Weightage]],"")</f>
        <v>2.5641025641025541E-3</v>
      </c>
      <c r="X1359" s="473" t="s">
        <v>290</v>
      </c>
      <c r="Y1359" s="474" t="s">
        <v>95</v>
      </c>
      <c r="Z1359" s="102">
        <v>58011</v>
      </c>
      <c r="AA1359" s="468">
        <f>(Table6[[#This Row],[Paired WTG Generation for loss calculation]]/24)*Table6[[#This Row],[Breakdown Time]]</f>
        <v>161.14166666666608</v>
      </c>
      <c r="AB1359" s="102"/>
      <c r="AC1359" s="35"/>
      <c r="AD1359" s="35"/>
    </row>
    <row r="1360" spans="1:30">
      <c r="A1360" s="102">
        <f t="shared" si="22"/>
        <v>1359</v>
      </c>
      <c r="B1360" s="468">
        <f>YEAR(Table6[[#This Row],[Date]])+IF(MONTH(Table6[[#This Row],[Date]])&gt;=4,1,0)</f>
        <v>2026</v>
      </c>
      <c r="C1360" s="102">
        <f>YEAR(Table6[[#This Row],[Date]])</f>
        <v>2025</v>
      </c>
      <c r="D1360" s="102" t="s">
        <v>1992</v>
      </c>
      <c r="E1360" s="469">
        <f>Table6[[#This Row],[Date]]-DAY(Table6[[#This Row],[Date]])+1</f>
        <v>45809</v>
      </c>
      <c r="F1360" s="470">
        <v>45836</v>
      </c>
      <c r="G1360" s="35" t="s">
        <v>90</v>
      </c>
      <c r="H1360" s="35" t="str">
        <f>IFERROR(_xlfn.XLOOKUP(Table6[[#This Row],[Affected WTG]],'Basic Data'!$A:$A,'Basic Data'!$B:$B),"")</f>
        <v>TQGXIIPL</v>
      </c>
      <c r="I1360" s="35" t="str">
        <f>IFERROR(_xlfn.XLOOKUP(Table6[[#This Row],[Affected WTG]],'Basic Data'!$A:$A,'Basic Data'!$C:$C),"")</f>
        <v>GEDA</v>
      </c>
      <c r="J1360" s="471">
        <f>IFERROR(_xlfn.XLOOKUP(Table6[[#This Row],[Affected WTG]],'Basic Data'!$A:$A,'Basic Data'!$E:$E),"")</f>
        <v>3.846153846153845E-2</v>
      </c>
      <c r="K1360" s="102">
        <v>3000</v>
      </c>
      <c r="L1360" s="35" t="str">
        <f>IFERROR(_xlfn.XLOOKUP(Table6[[#This Row],[Error Code]],'Basic Data'!$AA:$AA,'Basic Data'!$AB:$AB),"Incorrect Error Code")</f>
        <v>Frequency converter not ready</v>
      </c>
      <c r="M1360" s="35" t="s">
        <v>291</v>
      </c>
      <c r="N1360" s="475"/>
      <c r="O1360" s="476">
        <v>0.84305555555555556</v>
      </c>
      <c r="P1360" s="476">
        <v>0.84305555555555556</v>
      </c>
      <c r="Q1360" s="477">
        <v>0.84444444444444444</v>
      </c>
      <c r="R1360" s="472">
        <f>IF(Table6[[#This Row],[Work Start TimeStamp]]="","",(Table6[[#This Row],[Work Start TimeStamp]]-Table6[[#This Row],[Fault Start TimeStamp]])*24)</f>
        <v>0</v>
      </c>
      <c r="S1360" s="472">
        <f>(Table6[[#This Row],[Fault Clearance time]]-Table6[[#This Row],[Work Start TimeStamp]])*24</f>
        <v>3.3333333333333215E-2</v>
      </c>
      <c r="T1360" s="472">
        <f>(Table6[[#This Row],[Fault Clearance time]]-Table6[[#This Row],[Fault Start TimeStamp]])*24</f>
        <v>3.3333333333333215E-2</v>
      </c>
      <c r="U1360" s="35" t="s">
        <v>1924</v>
      </c>
      <c r="V1360" s="102" t="s">
        <v>293</v>
      </c>
      <c r="W1360" s="478">
        <f>IFERROR(Table6[[#This Row],[Breakdown Time]]*Table6[[#This Row],[Plant Equivalent Weightage]],"")</f>
        <v>1.2820512820512771E-3</v>
      </c>
      <c r="X1360" s="473" t="s">
        <v>290</v>
      </c>
      <c r="Y1360" s="474" t="s">
        <v>95</v>
      </c>
      <c r="Z1360" s="102">
        <v>58011</v>
      </c>
      <c r="AA1360" s="468">
        <f>(Table6[[#This Row],[Paired WTG Generation for loss calculation]]/24)*Table6[[#This Row],[Breakdown Time]]</f>
        <v>80.570833333333042</v>
      </c>
      <c r="AB1360" s="102"/>
      <c r="AC1360" s="35"/>
      <c r="AD1360" s="35"/>
    </row>
    <row r="1361" spans="1:30">
      <c r="A1361" s="102">
        <f t="shared" si="22"/>
        <v>1360</v>
      </c>
      <c r="B1361" s="468">
        <f>YEAR(Table6[[#This Row],[Date]])+IF(MONTH(Table6[[#This Row],[Date]])&gt;=4,1,0)</f>
        <v>2026</v>
      </c>
      <c r="C1361" s="102">
        <f>YEAR(Table6[[#This Row],[Date]])</f>
        <v>2025</v>
      </c>
      <c r="D1361" s="102" t="s">
        <v>1992</v>
      </c>
      <c r="E1361" s="469">
        <f>Table6[[#This Row],[Date]]-DAY(Table6[[#This Row],[Date]])+1</f>
        <v>45809</v>
      </c>
      <c r="F1361" s="470">
        <v>45836</v>
      </c>
      <c r="G1361" s="35" t="s">
        <v>90</v>
      </c>
      <c r="H1361" s="35" t="str">
        <f>IFERROR(_xlfn.XLOOKUP(Table6[[#This Row],[Affected WTG]],'Basic Data'!$A:$A,'Basic Data'!$B:$B),"")</f>
        <v>TQGXIIPL</v>
      </c>
      <c r="I1361" s="35" t="str">
        <f>IFERROR(_xlfn.XLOOKUP(Table6[[#This Row],[Affected WTG]],'Basic Data'!$A:$A,'Basic Data'!$C:$C),"")</f>
        <v>GEDA</v>
      </c>
      <c r="J1361" s="471">
        <f>IFERROR(_xlfn.XLOOKUP(Table6[[#This Row],[Affected WTG]],'Basic Data'!$A:$A,'Basic Data'!$E:$E),"")</f>
        <v>3.846153846153845E-2</v>
      </c>
      <c r="K1361" s="102">
        <v>4970</v>
      </c>
      <c r="L1361" s="35" t="str">
        <f>IFERROR(_xlfn.XLOOKUP(Table6[[#This Row],[Error Code]],'Basic Data'!$AA:$AA,'Basic Data'!$AB:$AB),"Incorrect Error Code")</f>
        <v>Tower oscillation XF</v>
      </c>
      <c r="M1361" s="35" t="s">
        <v>292</v>
      </c>
      <c r="N1361" s="475"/>
      <c r="O1361" s="476">
        <v>0.75972222222222219</v>
      </c>
      <c r="P1361" s="476">
        <v>0.75972222222222219</v>
      </c>
      <c r="Q1361" s="477">
        <v>0.76180555555555551</v>
      </c>
      <c r="R1361" s="472">
        <f>IF(Table6[[#This Row],[Work Start TimeStamp]]="","",(Table6[[#This Row],[Work Start TimeStamp]]-Table6[[#This Row],[Fault Start TimeStamp]])*24)</f>
        <v>0</v>
      </c>
      <c r="S1361" s="472">
        <f>(Table6[[#This Row],[Fault Clearance time]]-Table6[[#This Row],[Work Start TimeStamp]])*24</f>
        <v>4.9999999999999822E-2</v>
      </c>
      <c r="T1361" s="472">
        <f>(Table6[[#This Row],[Fault Clearance time]]-Table6[[#This Row],[Fault Start TimeStamp]])*24</f>
        <v>4.9999999999999822E-2</v>
      </c>
      <c r="U1361" s="35" t="s">
        <v>336</v>
      </c>
      <c r="V1361" s="102" t="s">
        <v>293</v>
      </c>
      <c r="W1361" s="478">
        <f>IFERROR(Table6[[#This Row],[Breakdown Time]]*Table6[[#This Row],[Plant Equivalent Weightage]],"")</f>
        <v>1.9230769230769156E-3</v>
      </c>
      <c r="X1361" s="473" t="s">
        <v>294</v>
      </c>
      <c r="Y1361" s="474" t="s">
        <v>95</v>
      </c>
      <c r="Z1361" s="102">
        <v>58011</v>
      </c>
      <c r="AA1361" s="468">
        <f>(Table6[[#This Row],[Paired WTG Generation for loss calculation]]/24)*Table6[[#This Row],[Breakdown Time]]</f>
        <v>120.85624999999958</v>
      </c>
      <c r="AB1361" s="102"/>
      <c r="AC1361" s="35"/>
      <c r="AD1361" s="35"/>
    </row>
    <row r="1362" spans="1:30">
      <c r="A1362" s="102">
        <f t="shared" si="22"/>
        <v>1361</v>
      </c>
      <c r="B1362" s="468">
        <f>YEAR(Table6[[#This Row],[Date]])+IF(MONTH(Table6[[#This Row],[Date]])&gt;=4,1,0)</f>
        <v>2026</v>
      </c>
      <c r="C1362" s="102">
        <f>YEAR(Table6[[#This Row],[Date]])</f>
        <v>2025</v>
      </c>
      <c r="D1362" s="102" t="s">
        <v>1992</v>
      </c>
      <c r="E1362" s="469">
        <f>Table6[[#This Row],[Date]]-DAY(Table6[[#This Row],[Date]])+1</f>
        <v>45809</v>
      </c>
      <c r="F1362" s="470">
        <v>45836</v>
      </c>
      <c r="G1362" s="35" t="s">
        <v>90</v>
      </c>
      <c r="H1362" s="35" t="str">
        <f>IFERROR(_xlfn.XLOOKUP(Table6[[#This Row],[Affected WTG]],'Basic Data'!$A:$A,'Basic Data'!$B:$B),"")</f>
        <v>TQGXIIPL</v>
      </c>
      <c r="I1362" s="35" t="str">
        <f>IFERROR(_xlfn.XLOOKUP(Table6[[#This Row],[Affected WTG]],'Basic Data'!$A:$A,'Basic Data'!$C:$C),"")</f>
        <v>GEDA</v>
      </c>
      <c r="J1362" s="471">
        <f>IFERROR(_xlfn.XLOOKUP(Table6[[#This Row],[Affected WTG]],'Basic Data'!$A:$A,'Basic Data'!$E:$E),"")</f>
        <v>3.846153846153845E-2</v>
      </c>
      <c r="K1362" s="102">
        <v>3000</v>
      </c>
      <c r="L1362" s="35" t="str">
        <f>IFERROR(_xlfn.XLOOKUP(Table6[[#This Row],[Error Code]],'Basic Data'!$AA:$AA,'Basic Data'!$AB:$AB),"Incorrect Error Code")</f>
        <v>Frequency converter not ready</v>
      </c>
      <c r="M1362" s="35" t="s">
        <v>291</v>
      </c>
      <c r="N1362" s="475"/>
      <c r="O1362" s="476">
        <v>0.90972222222222221</v>
      </c>
      <c r="P1362" s="476">
        <v>0.90972222222222221</v>
      </c>
      <c r="Q1362" s="477">
        <v>0.91249999999999998</v>
      </c>
      <c r="R1362" s="472">
        <f>IF(Table6[[#This Row],[Work Start TimeStamp]]="","",(Table6[[#This Row],[Work Start TimeStamp]]-Table6[[#This Row],[Fault Start TimeStamp]])*24)</f>
        <v>0</v>
      </c>
      <c r="S1362" s="472">
        <f>(Table6[[#This Row],[Fault Clearance time]]-Table6[[#This Row],[Work Start TimeStamp]])*24</f>
        <v>6.666666666666643E-2</v>
      </c>
      <c r="T1362" s="472">
        <f>(Table6[[#This Row],[Fault Clearance time]]-Table6[[#This Row],[Fault Start TimeStamp]])*24</f>
        <v>6.666666666666643E-2</v>
      </c>
      <c r="U1362" s="35" t="s">
        <v>1924</v>
      </c>
      <c r="V1362" s="102" t="s">
        <v>293</v>
      </c>
      <c r="W1362" s="478">
        <f>IFERROR(Table6[[#This Row],[Breakdown Time]]*Table6[[#This Row],[Plant Equivalent Weightage]],"")</f>
        <v>2.5641025641025541E-3</v>
      </c>
      <c r="X1362" s="473" t="s">
        <v>290</v>
      </c>
      <c r="Y1362" s="474" t="s">
        <v>95</v>
      </c>
      <c r="Z1362" s="102">
        <v>58011</v>
      </c>
      <c r="AA1362" s="468">
        <f>(Table6[[#This Row],[Paired WTG Generation for loss calculation]]/24)*Table6[[#This Row],[Breakdown Time]]</f>
        <v>161.14166666666608</v>
      </c>
      <c r="AB1362" s="102"/>
      <c r="AC1362" s="35"/>
      <c r="AD1362" s="35"/>
    </row>
    <row r="1363" spans="1:30">
      <c r="A1363" s="102">
        <f t="shared" si="22"/>
        <v>1362</v>
      </c>
      <c r="B1363" s="468">
        <f>YEAR(Table6[[#This Row],[Date]])+IF(MONTH(Table6[[#This Row],[Date]])&gt;=4,1,0)</f>
        <v>2026</v>
      </c>
      <c r="C1363" s="102">
        <f>YEAR(Table6[[#This Row],[Date]])</f>
        <v>2025</v>
      </c>
      <c r="D1363" s="102" t="s">
        <v>1992</v>
      </c>
      <c r="E1363" s="469">
        <f>Table6[[#This Row],[Date]]-DAY(Table6[[#This Row],[Date]])+1</f>
        <v>45809</v>
      </c>
      <c r="F1363" s="470">
        <v>45836</v>
      </c>
      <c r="G1363" s="35" t="s">
        <v>90</v>
      </c>
      <c r="H1363" s="35" t="str">
        <f>IFERROR(_xlfn.XLOOKUP(Table6[[#This Row],[Affected WTG]],'Basic Data'!$A:$A,'Basic Data'!$B:$B),"")</f>
        <v>TQGXIIPL</v>
      </c>
      <c r="I1363" s="35" t="str">
        <f>IFERROR(_xlfn.XLOOKUP(Table6[[#This Row],[Affected WTG]],'Basic Data'!$A:$A,'Basic Data'!$C:$C),"")</f>
        <v>GEDA</v>
      </c>
      <c r="J1363" s="471">
        <f>IFERROR(_xlfn.XLOOKUP(Table6[[#This Row],[Affected WTG]],'Basic Data'!$A:$A,'Basic Data'!$E:$E),"")</f>
        <v>3.846153846153845E-2</v>
      </c>
      <c r="K1363" s="102">
        <v>3211</v>
      </c>
      <c r="L1363" s="35" t="str">
        <f>IFERROR(_xlfn.XLOOKUP(Table6[[#This Row],[Error Code]],'Basic Data'!$AA:$AA,'Basic Data'!$AB:$AB),"Incorrect Error Code")</f>
        <v>Conv. load shedding (CAN)</v>
      </c>
      <c r="M1363" s="35" t="s">
        <v>291</v>
      </c>
      <c r="N1363" s="475"/>
      <c r="O1363" s="476">
        <v>0.93541666666666667</v>
      </c>
      <c r="P1363" s="476">
        <v>0.93541666666666667</v>
      </c>
      <c r="Q1363" s="477">
        <v>0.93819444444444444</v>
      </c>
      <c r="R1363" s="472">
        <f>IF(Table6[[#This Row],[Work Start TimeStamp]]="","",(Table6[[#This Row],[Work Start TimeStamp]]-Table6[[#This Row],[Fault Start TimeStamp]])*24)</f>
        <v>0</v>
      </c>
      <c r="S1363" s="472">
        <f>(Table6[[#This Row],[Fault Clearance time]]-Table6[[#This Row],[Work Start TimeStamp]])*24</f>
        <v>6.666666666666643E-2</v>
      </c>
      <c r="T1363" s="472">
        <f>(Table6[[#This Row],[Fault Clearance time]]-Table6[[#This Row],[Fault Start TimeStamp]])*24</f>
        <v>6.666666666666643E-2</v>
      </c>
      <c r="U1363" s="35" t="s">
        <v>1924</v>
      </c>
      <c r="V1363" s="102" t="s">
        <v>293</v>
      </c>
      <c r="W1363" s="478">
        <f>IFERROR(Table6[[#This Row],[Breakdown Time]]*Table6[[#This Row],[Plant Equivalent Weightage]],"")</f>
        <v>2.5641025641025541E-3</v>
      </c>
      <c r="X1363" s="473" t="s">
        <v>290</v>
      </c>
      <c r="Y1363" s="474" t="s">
        <v>95</v>
      </c>
      <c r="Z1363" s="102">
        <v>58011</v>
      </c>
      <c r="AA1363" s="468">
        <f>(Table6[[#This Row],[Paired WTG Generation for loss calculation]]/24)*Table6[[#This Row],[Breakdown Time]]</f>
        <v>161.14166666666608</v>
      </c>
      <c r="AB1363" s="102"/>
      <c r="AC1363" s="35"/>
      <c r="AD1363" s="35"/>
    </row>
    <row r="1364" spans="1:30">
      <c r="A1364" s="102">
        <f t="shared" si="22"/>
        <v>1363</v>
      </c>
      <c r="B1364" s="468">
        <f>YEAR(Table6[[#This Row],[Date]])+IF(MONTH(Table6[[#This Row],[Date]])&gt;=4,1,0)</f>
        <v>2026</v>
      </c>
      <c r="C1364" s="102">
        <f>YEAR(Table6[[#This Row],[Date]])</f>
        <v>2025</v>
      </c>
      <c r="D1364" s="102" t="s">
        <v>1992</v>
      </c>
      <c r="E1364" s="469">
        <f>Table6[[#This Row],[Date]]-DAY(Table6[[#This Row],[Date]])+1</f>
        <v>45809</v>
      </c>
      <c r="F1364" s="470">
        <v>45836</v>
      </c>
      <c r="G1364" s="35" t="s">
        <v>91</v>
      </c>
      <c r="H1364" s="35" t="str">
        <f>IFERROR(_xlfn.XLOOKUP(Table6[[#This Row],[Affected WTG]],'Basic Data'!$A:$A,'Basic Data'!$B:$B),"")</f>
        <v>TQGXIIPL</v>
      </c>
      <c r="I1364" s="35" t="str">
        <f>IFERROR(_xlfn.XLOOKUP(Table6[[#This Row],[Affected WTG]],'Basic Data'!$A:$A,'Basic Data'!$C:$C),"")</f>
        <v>GEDA</v>
      </c>
      <c r="J1364" s="471">
        <f>IFERROR(_xlfn.XLOOKUP(Table6[[#This Row],[Affected WTG]],'Basic Data'!$A:$A,'Basic Data'!$E:$E),"")</f>
        <v>3.846153846153845E-2</v>
      </c>
      <c r="K1364" s="102">
        <v>4540</v>
      </c>
      <c r="L1364" s="35" t="str">
        <f>IFERROR(_xlfn.XLOOKUP(Table6[[#This Row],[Error Code]],'Basic Data'!$AA:$AA,'Basic Data'!$AB:$AB),"Incorrect Error Code")</f>
        <v>Tower oscillation X level 2</v>
      </c>
      <c r="M1364" s="35" t="s">
        <v>291</v>
      </c>
      <c r="N1364" s="475"/>
      <c r="O1364" s="476">
        <v>0.48472222222222222</v>
      </c>
      <c r="P1364" s="476">
        <v>0.48472222222222222</v>
      </c>
      <c r="Q1364" s="477">
        <v>0.48888888888888887</v>
      </c>
      <c r="R1364" s="472">
        <f>IF(Table6[[#This Row],[Work Start TimeStamp]]="","",(Table6[[#This Row],[Work Start TimeStamp]]-Table6[[#This Row],[Fault Start TimeStamp]])*24)</f>
        <v>0</v>
      </c>
      <c r="S1364" s="472">
        <f>(Table6[[#This Row],[Fault Clearance time]]-Table6[[#This Row],[Work Start TimeStamp]])*24</f>
        <v>9.9999999999999645E-2</v>
      </c>
      <c r="T1364" s="472">
        <f>(Table6[[#This Row],[Fault Clearance time]]-Table6[[#This Row],[Fault Start TimeStamp]])*24</f>
        <v>9.9999999999999645E-2</v>
      </c>
      <c r="U1364" s="35" t="s">
        <v>1924</v>
      </c>
      <c r="V1364" s="102" t="s">
        <v>293</v>
      </c>
      <c r="W1364" s="478">
        <f>IFERROR(Table6[[#This Row],[Breakdown Time]]*Table6[[#This Row],[Plant Equivalent Weightage]],"")</f>
        <v>3.8461538461538312E-3</v>
      </c>
      <c r="X1364" s="473" t="s">
        <v>290</v>
      </c>
      <c r="Y1364" s="474" t="s">
        <v>79</v>
      </c>
      <c r="Z1364" s="102">
        <v>58092</v>
      </c>
      <c r="AA1364" s="468">
        <f>(Table6[[#This Row],[Paired WTG Generation for loss calculation]]/24)*Table6[[#This Row],[Breakdown Time]]</f>
        <v>242.04999999999913</v>
      </c>
      <c r="AB1364" s="102"/>
      <c r="AC1364" s="35"/>
      <c r="AD1364" s="35"/>
    </row>
    <row r="1365" spans="1:30">
      <c r="A1365" s="102">
        <f t="shared" si="22"/>
        <v>1364</v>
      </c>
      <c r="B1365" s="468">
        <f>YEAR(Table6[[#This Row],[Date]])+IF(MONTH(Table6[[#This Row],[Date]])&gt;=4,1,0)</f>
        <v>2026</v>
      </c>
      <c r="C1365" s="102">
        <f>YEAR(Table6[[#This Row],[Date]])</f>
        <v>2025</v>
      </c>
      <c r="D1365" s="102" t="s">
        <v>1992</v>
      </c>
      <c r="E1365" s="469">
        <f>Table6[[#This Row],[Date]]-DAY(Table6[[#This Row],[Date]])+1</f>
        <v>45809</v>
      </c>
      <c r="F1365" s="470">
        <v>45836</v>
      </c>
      <c r="G1365" s="35" t="s">
        <v>93</v>
      </c>
      <c r="H1365" s="35" t="str">
        <f>IFERROR(_xlfn.XLOOKUP(Table6[[#This Row],[Affected WTG]],'Basic Data'!$A:$A,'Basic Data'!$B:$B),"")</f>
        <v>TQGXIIPL</v>
      </c>
      <c r="I1365" s="35" t="str">
        <f>IFERROR(_xlfn.XLOOKUP(Table6[[#This Row],[Affected WTG]],'Basic Data'!$A:$A,'Basic Data'!$C:$C),"")</f>
        <v>GEDA</v>
      </c>
      <c r="J1365" s="471">
        <f>IFERROR(_xlfn.XLOOKUP(Table6[[#This Row],[Affected WTG]],'Basic Data'!$A:$A,'Basic Data'!$E:$E),"")</f>
        <v>3.846153846153845E-2</v>
      </c>
      <c r="K1365" s="102">
        <v>6130</v>
      </c>
      <c r="L1365" s="35" t="str">
        <f>IFERROR(_xlfn.XLOOKUP(Table6[[#This Row],[Error Code]],'Basic Data'!$AA:$AA,'Basic Data'!$AB:$AB),"Incorrect Error Code")</f>
        <v>Yaw speed high</v>
      </c>
      <c r="M1365" s="35" t="s">
        <v>292</v>
      </c>
      <c r="N1365" s="475"/>
      <c r="O1365" s="476">
        <v>0.4861111111111111</v>
      </c>
      <c r="P1365" s="476">
        <v>0.4861111111111111</v>
      </c>
      <c r="Q1365" s="477">
        <v>0.49027777777777776</v>
      </c>
      <c r="R1365" s="472">
        <f>IF(Table6[[#This Row],[Work Start TimeStamp]]="","",(Table6[[#This Row],[Work Start TimeStamp]]-Table6[[#This Row],[Fault Start TimeStamp]])*24)</f>
        <v>0</v>
      </c>
      <c r="S1365" s="472">
        <f>(Table6[[#This Row],[Fault Clearance time]]-Table6[[#This Row],[Work Start TimeStamp]])*24</f>
        <v>9.9999999999999645E-2</v>
      </c>
      <c r="T1365" s="472">
        <f>(Table6[[#This Row],[Fault Clearance time]]-Table6[[#This Row],[Fault Start TimeStamp]])*24</f>
        <v>9.9999999999999645E-2</v>
      </c>
      <c r="U1365" s="35" t="s">
        <v>336</v>
      </c>
      <c r="V1365" s="102" t="s">
        <v>293</v>
      </c>
      <c r="W1365" s="478">
        <f>IFERROR(Table6[[#This Row],[Breakdown Time]]*Table6[[#This Row],[Plant Equivalent Weightage]],"")</f>
        <v>3.8461538461538312E-3</v>
      </c>
      <c r="X1365" s="473" t="s">
        <v>294</v>
      </c>
      <c r="Y1365" s="474" t="s">
        <v>97</v>
      </c>
      <c r="Z1365" s="102">
        <v>54860</v>
      </c>
      <c r="AA1365" s="468">
        <f>(Table6[[#This Row],[Paired WTG Generation for loss calculation]]/24)*Table6[[#This Row],[Breakdown Time]]</f>
        <v>228.58333333333255</v>
      </c>
      <c r="AB1365" s="102"/>
      <c r="AC1365" s="35"/>
      <c r="AD1365" s="35"/>
    </row>
    <row r="1366" spans="1:30">
      <c r="A1366" s="102">
        <f t="shared" si="22"/>
        <v>1365</v>
      </c>
      <c r="B1366" s="468">
        <f>YEAR(Table6[[#This Row],[Date]])+IF(MONTH(Table6[[#This Row],[Date]])&gt;=4,1,0)</f>
        <v>2026</v>
      </c>
      <c r="C1366" s="102">
        <f>YEAR(Table6[[#This Row],[Date]])</f>
        <v>2025</v>
      </c>
      <c r="D1366" s="102" t="s">
        <v>1992</v>
      </c>
      <c r="E1366" s="469">
        <f>Table6[[#This Row],[Date]]-DAY(Table6[[#This Row],[Date]])+1</f>
        <v>45809</v>
      </c>
      <c r="F1366" s="470">
        <v>45836</v>
      </c>
      <c r="G1366" s="35" t="s">
        <v>94</v>
      </c>
      <c r="H1366" s="35" t="str">
        <f>IFERROR(_xlfn.XLOOKUP(Table6[[#This Row],[Affected WTG]],'Basic Data'!$A:$A,'Basic Data'!$B:$B),"")</f>
        <v>TQGXIIPL</v>
      </c>
      <c r="I1366" s="35" t="str">
        <f>IFERROR(_xlfn.XLOOKUP(Table6[[#This Row],[Affected WTG]],'Basic Data'!$A:$A,'Basic Data'!$C:$C),"")</f>
        <v>GEDA</v>
      </c>
      <c r="J1366" s="471">
        <f>IFERROR(_xlfn.XLOOKUP(Table6[[#This Row],[Affected WTG]],'Basic Data'!$A:$A,'Basic Data'!$E:$E),"")</f>
        <v>3.846153846153845E-2</v>
      </c>
      <c r="K1366" s="102">
        <v>4970</v>
      </c>
      <c r="L1366" s="35" t="str">
        <f>IFERROR(_xlfn.XLOOKUP(Table6[[#This Row],[Error Code]],'Basic Data'!$AA:$AA,'Basic Data'!$AB:$AB),"Incorrect Error Code")</f>
        <v>Tower oscillation XF</v>
      </c>
      <c r="M1366" s="35" t="s">
        <v>292</v>
      </c>
      <c r="N1366" s="475"/>
      <c r="O1366" s="476">
        <v>0.4</v>
      </c>
      <c r="P1366" s="476">
        <v>0.4</v>
      </c>
      <c r="Q1366" s="477">
        <v>0.40902777777777777</v>
      </c>
      <c r="R1366" s="472">
        <f>IF(Table6[[#This Row],[Work Start TimeStamp]]="","",(Table6[[#This Row],[Work Start TimeStamp]]-Table6[[#This Row],[Fault Start TimeStamp]])*24)</f>
        <v>0</v>
      </c>
      <c r="S1366" s="472">
        <f>(Table6[[#This Row],[Fault Clearance time]]-Table6[[#This Row],[Work Start TimeStamp]])*24</f>
        <v>0.2166666666666659</v>
      </c>
      <c r="T1366" s="472">
        <f>(Table6[[#This Row],[Fault Clearance time]]-Table6[[#This Row],[Fault Start TimeStamp]])*24</f>
        <v>0.2166666666666659</v>
      </c>
      <c r="U1366" s="35" t="s">
        <v>336</v>
      </c>
      <c r="V1366" s="102" t="s">
        <v>293</v>
      </c>
      <c r="W1366" s="478">
        <f>IFERROR(Table6[[#This Row],[Breakdown Time]]*Table6[[#This Row],[Plant Equivalent Weightage]],"")</f>
        <v>8.333333333333302E-3</v>
      </c>
      <c r="X1366" s="473" t="s">
        <v>294</v>
      </c>
      <c r="Y1366" s="474" t="s">
        <v>79</v>
      </c>
      <c r="Z1366" s="102">
        <v>58092</v>
      </c>
      <c r="AA1366" s="468">
        <f>(Table6[[#This Row],[Paired WTG Generation for loss calculation]]/24)*Table6[[#This Row],[Breakdown Time]]</f>
        <v>524.44166666666479</v>
      </c>
      <c r="AB1366" s="102"/>
      <c r="AC1366" s="35"/>
      <c r="AD1366" s="35"/>
    </row>
    <row r="1367" spans="1:30">
      <c r="A1367" s="102">
        <f t="shared" si="22"/>
        <v>1366</v>
      </c>
      <c r="B1367" s="468">
        <f>YEAR(Table6[[#This Row],[Date]])+IF(MONTH(Table6[[#This Row],[Date]])&gt;=4,1,0)</f>
        <v>2026</v>
      </c>
      <c r="C1367" s="102">
        <f>YEAR(Table6[[#This Row],[Date]])</f>
        <v>2025</v>
      </c>
      <c r="D1367" s="102" t="s">
        <v>1992</v>
      </c>
      <c r="E1367" s="469">
        <f>Table6[[#This Row],[Date]]-DAY(Table6[[#This Row],[Date]])+1</f>
        <v>45809</v>
      </c>
      <c r="F1367" s="470">
        <v>45836</v>
      </c>
      <c r="G1367" s="35" t="s">
        <v>95</v>
      </c>
      <c r="H1367" s="35" t="str">
        <f>IFERROR(_xlfn.XLOOKUP(Table6[[#This Row],[Affected WTG]],'Basic Data'!$A:$A,'Basic Data'!$B:$B),"")</f>
        <v>TQGXIIPL</v>
      </c>
      <c r="I1367" s="35" t="str">
        <f>IFERROR(_xlfn.XLOOKUP(Table6[[#This Row],[Affected WTG]],'Basic Data'!$A:$A,'Basic Data'!$C:$C),"")</f>
        <v>GEDA</v>
      </c>
      <c r="J1367" s="471">
        <f>IFERROR(_xlfn.XLOOKUP(Table6[[#This Row],[Affected WTG]],'Basic Data'!$A:$A,'Basic Data'!$E:$E),"")</f>
        <v>3.846153846153845E-2</v>
      </c>
      <c r="K1367" s="102">
        <v>1070</v>
      </c>
      <c r="L1367" s="35" t="str">
        <f>IFERROR(_xlfn.XLOOKUP(Table6[[#This Row],[Error Code]],'Basic Data'!$AA:$AA,'Basic Data'!$AB:$AB),"Incorrect Error Code")</f>
        <v>Drive train monitor level 2</v>
      </c>
      <c r="M1367" s="35" t="s">
        <v>292</v>
      </c>
      <c r="N1367" s="475"/>
      <c r="O1367" s="476">
        <v>0.60833333333333328</v>
      </c>
      <c r="P1367" s="476">
        <v>0.60833333333333328</v>
      </c>
      <c r="Q1367" s="477">
        <v>0.60902777777777772</v>
      </c>
      <c r="R1367" s="472">
        <f>IF(Table6[[#This Row],[Work Start TimeStamp]]="","",(Table6[[#This Row],[Work Start TimeStamp]]-Table6[[#This Row],[Fault Start TimeStamp]])*24)</f>
        <v>0</v>
      </c>
      <c r="S1367" s="472">
        <f>(Table6[[#This Row],[Fault Clearance time]]-Table6[[#This Row],[Work Start TimeStamp]])*24</f>
        <v>1.6666666666666607E-2</v>
      </c>
      <c r="T1367" s="472">
        <f>(Table6[[#This Row],[Fault Clearance time]]-Table6[[#This Row],[Fault Start TimeStamp]])*24</f>
        <v>1.6666666666666607E-2</v>
      </c>
      <c r="U1367" s="35" t="s">
        <v>336</v>
      </c>
      <c r="V1367" s="102" t="s">
        <v>293</v>
      </c>
      <c r="W1367" s="478">
        <f>IFERROR(Table6[[#This Row],[Breakdown Time]]*Table6[[#This Row],[Plant Equivalent Weightage]],"")</f>
        <v>6.4102564102563853E-4</v>
      </c>
      <c r="X1367" s="473" t="s">
        <v>294</v>
      </c>
      <c r="Y1367" s="474" t="s">
        <v>79</v>
      </c>
      <c r="Z1367" s="102">
        <v>58092</v>
      </c>
      <c r="AA1367" s="468">
        <f>(Table6[[#This Row],[Paired WTG Generation for loss calculation]]/24)*Table6[[#This Row],[Breakdown Time]]</f>
        <v>40.341666666666526</v>
      </c>
      <c r="AB1367" s="102"/>
      <c r="AC1367" s="35"/>
      <c r="AD1367" s="35"/>
    </row>
    <row r="1368" spans="1:30">
      <c r="A1368" s="102">
        <f t="shared" si="22"/>
        <v>1367</v>
      </c>
      <c r="B1368" s="468">
        <f>YEAR(Table6[[#This Row],[Date]])+IF(MONTH(Table6[[#This Row],[Date]])&gt;=4,1,0)</f>
        <v>2026</v>
      </c>
      <c r="C1368" s="102">
        <f>YEAR(Table6[[#This Row],[Date]])</f>
        <v>2025</v>
      </c>
      <c r="D1368" s="102" t="s">
        <v>1992</v>
      </c>
      <c r="E1368" s="469">
        <f>Table6[[#This Row],[Date]]-DAY(Table6[[#This Row],[Date]])+1</f>
        <v>45809</v>
      </c>
      <c r="F1368" s="470">
        <v>45836</v>
      </c>
      <c r="G1368" s="35" t="s">
        <v>96</v>
      </c>
      <c r="H1368" s="35" t="str">
        <f>IFERROR(_xlfn.XLOOKUP(Table6[[#This Row],[Affected WTG]],'Basic Data'!$A:$A,'Basic Data'!$B:$B),"")</f>
        <v>TQGXIIPL</v>
      </c>
      <c r="I1368" s="35" t="str">
        <f>IFERROR(_xlfn.XLOOKUP(Table6[[#This Row],[Affected WTG]],'Basic Data'!$A:$A,'Basic Data'!$C:$C),"")</f>
        <v>GEDA</v>
      </c>
      <c r="J1368" s="471">
        <f>IFERROR(_xlfn.XLOOKUP(Table6[[#This Row],[Affected WTG]],'Basic Data'!$A:$A,'Basic Data'!$E:$E),"")</f>
        <v>3.846153846153845E-2</v>
      </c>
      <c r="K1368" s="102">
        <v>4540</v>
      </c>
      <c r="L1368" s="35" t="str">
        <f>IFERROR(_xlfn.XLOOKUP(Table6[[#This Row],[Error Code]],'Basic Data'!$AA:$AA,'Basic Data'!$AB:$AB),"Incorrect Error Code")</f>
        <v>Tower oscillation X level 2</v>
      </c>
      <c r="M1368" s="35" t="s">
        <v>292</v>
      </c>
      <c r="N1368" s="475"/>
      <c r="O1368" s="476">
        <v>0.66874999999999996</v>
      </c>
      <c r="P1368" s="476">
        <v>0.66874999999999996</v>
      </c>
      <c r="Q1368" s="477">
        <v>0.67291666666666672</v>
      </c>
      <c r="R1368" s="472">
        <f>IF(Table6[[#This Row],[Work Start TimeStamp]]="","",(Table6[[#This Row],[Work Start TimeStamp]]-Table6[[#This Row],[Fault Start TimeStamp]])*24)</f>
        <v>0</v>
      </c>
      <c r="S1368" s="472">
        <f>(Table6[[#This Row],[Fault Clearance time]]-Table6[[#This Row],[Work Start TimeStamp]])*24</f>
        <v>0.10000000000000231</v>
      </c>
      <c r="T1368" s="472">
        <f>(Table6[[#This Row],[Fault Clearance time]]-Table6[[#This Row],[Fault Start TimeStamp]])*24</f>
        <v>0.10000000000000231</v>
      </c>
      <c r="U1368" s="35" t="s">
        <v>336</v>
      </c>
      <c r="V1368" s="102" t="s">
        <v>293</v>
      </c>
      <c r="W1368" s="478">
        <f>IFERROR(Table6[[#This Row],[Breakdown Time]]*Table6[[#This Row],[Plant Equivalent Weightage]],"")</f>
        <v>3.846153846153934E-3</v>
      </c>
      <c r="X1368" s="473" t="s">
        <v>294</v>
      </c>
      <c r="Y1368" s="474" t="s">
        <v>84</v>
      </c>
      <c r="Z1368" s="102">
        <v>56457</v>
      </c>
      <c r="AA1368" s="468">
        <f>(Table6[[#This Row],[Paired WTG Generation for loss calculation]]/24)*Table6[[#This Row],[Breakdown Time]]</f>
        <v>235.23750000000544</v>
      </c>
      <c r="AB1368" s="102"/>
      <c r="AC1368" s="35"/>
      <c r="AD1368" s="35"/>
    </row>
    <row r="1369" spans="1:30">
      <c r="A1369" s="102">
        <f t="shared" si="22"/>
        <v>1368</v>
      </c>
      <c r="B1369" s="468">
        <f>YEAR(Table6[[#This Row],[Date]])+IF(MONTH(Table6[[#This Row],[Date]])&gt;=4,1,0)</f>
        <v>2026</v>
      </c>
      <c r="C1369" s="102">
        <f>YEAR(Table6[[#This Row],[Date]])</f>
        <v>2025</v>
      </c>
      <c r="D1369" s="102" t="s">
        <v>1992</v>
      </c>
      <c r="E1369" s="469">
        <f>Table6[[#This Row],[Date]]-DAY(Table6[[#This Row],[Date]])+1</f>
        <v>45809</v>
      </c>
      <c r="F1369" s="470">
        <v>45836</v>
      </c>
      <c r="G1369" s="35" t="s">
        <v>96</v>
      </c>
      <c r="H1369" s="35" t="str">
        <f>IFERROR(_xlfn.XLOOKUP(Table6[[#This Row],[Affected WTG]],'Basic Data'!$A:$A,'Basic Data'!$B:$B),"")</f>
        <v>TQGXIIPL</v>
      </c>
      <c r="I1369" s="35" t="str">
        <f>IFERROR(_xlfn.XLOOKUP(Table6[[#This Row],[Affected WTG]],'Basic Data'!$A:$A,'Basic Data'!$C:$C),"")</f>
        <v>GEDA</v>
      </c>
      <c r="J1369" s="471">
        <f>IFERROR(_xlfn.XLOOKUP(Table6[[#This Row],[Affected WTG]],'Basic Data'!$A:$A,'Basic Data'!$E:$E),"")</f>
        <v>3.846153846153845E-2</v>
      </c>
      <c r="K1369" s="102">
        <v>2520</v>
      </c>
      <c r="L1369" s="35" t="str">
        <f>IFERROR(_xlfn.XLOOKUP(Table6[[#This Row],[Error Code]],'Basic Data'!$AA:$AA,'Basic Data'!$AB:$AB),"Incorrect Error Code")</f>
        <v>Gen.speed analog&lt;&gt;gear.speed</v>
      </c>
      <c r="M1369" s="35" t="s">
        <v>291</v>
      </c>
      <c r="N1369" s="475"/>
      <c r="O1369" s="476">
        <v>0.83333333333333337</v>
      </c>
      <c r="P1369" s="476">
        <v>0.83333333333333337</v>
      </c>
      <c r="Q1369" s="477">
        <v>0.84097222222222223</v>
      </c>
      <c r="R1369" s="472">
        <f>IF(Table6[[#This Row],[Work Start TimeStamp]]="","",(Table6[[#This Row],[Work Start TimeStamp]]-Table6[[#This Row],[Fault Start TimeStamp]])*24)</f>
        <v>0</v>
      </c>
      <c r="S1369" s="472">
        <f>(Table6[[#This Row],[Fault Clearance time]]-Table6[[#This Row],[Work Start TimeStamp]])*24</f>
        <v>0.18333333333333268</v>
      </c>
      <c r="T1369" s="472">
        <f>(Table6[[#This Row],[Fault Clearance time]]-Table6[[#This Row],[Fault Start TimeStamp]])*24</f>
        <v>0.18333333333333268</v>
      </c>
      <c r="U1369" s="35" t="s">
        <v>1924</v>
      </c>
      <c r="V1369" s="102" t="s">
        <v>293</v>
      </c>
      <c r="W1369" s="478">
        <f>IFERROR(Table6[[#This Row],[Breakdown Time]]*Table6[[#This Row],[Plant Equivalent Weightage]],"")</f>
        <v>7.0512820512820245E-3</v>
      </c>
      <c r="X1369" s="473" t="s">
        <v>290</v>
      </c>
      <c r="Y1369" s="474" t="s">
        <v>84</v>
      </c>
      <c r="Z1369" s="102">
        <v>56457</v>
      </c>
      <c r="AA1369" s="468">
        <f>(Table6[[#This Row],[Paired WTG Generation for loss calculation]]/24)*Table6[[#This Row],[Breakdown Time]]</f>
        <v>431.26874999999848</v>
      </c>
      <c r="AB1369" s="102"/>
      <c r="AC1369" s="35"/>
      <c r="AD1369" s="35"/>
    </row>
    <row r="1370" spans="1:30">
      <c r="A1370" s="102">
        <f t="shared" si="22"/>
        <v>1369</v>
      </c>
      <c r="B1370" s="468">
        <f>YEAR(Table6[[#This Row],[Date]])+IF(MONTH(Table6[[#This Row],[Date]])&gt;=4,1,0)</f>
        <v>2026</v>
      </c>
      <c r="C1370" s="102">
        <f>YEAR(Table6[[#This Row],[Date]])</f>
        <v>2025</v>
      </c>
      <c r="D1370" s="102" t="s">
        <v>1992</v>
      </c>
      <c r="E1370" s="469">
        <f>Table6[[#This Row],[Date]]-DAY(Table6[[#This Row],[Date]])+1</f>
        <v>45809</v>
      </c>
      <c r="F1370" s="470">
        <v>45836</v>
      </c>
      <c r="G1370" s="35" t="s">
        <v>97</v>
      </c>
      <c r="H1370" s="35" t="str">
        <f>IFERROR(_xlfn.XLOOKUP(Table6[[#This Row],[Affected WTG]],'Basic Data'!$A:$A,'Basic Data'!$B:$B),"")</f>
        <v>TQGXIIPL</v>
      </c>
      <c r="I1370" s="35" t="str">
        <f>IFERROR(_xlfn.XLOOKUP(Table6[[#This Row],[Affected WTG]],'Basic Data'!$A:$A,'Basic Data'!$C:$C),"")</f>
        <v>GEDA</v>
      </c>
      <c r="J1370" s="471">
        <f>IFERROR(_xlfn.XLOOKUP(Table6[[#This Row],[Affected WTG]],'Basic Data'!$A:$A,'Basic Data'!$E:$E),"")</f>
        <v>3.846153846153845E-2</v>
      </c>
      <c r="K1370" s="102">
        <v>4540</v>
      </c>
      <c r="L1370" s="35" t="str">
        <f>IFERROR(_xlfn.XLOOKUP(Table6[[#This Row],[Error Code]],'Basic Data'!$AA:$AA,'Basic Data'!$AB:$AB),"Incorrect Error Code")</f>
        <v>Tower oscillation X level 2</v>
      </c>
      <c r="M1370" s="35" t="s">
        <v>292</v>
      </c>
      <c r="N1370" s="475"/>
      <c r="O1370" s="476">
        <v>0.58680555555555558</v>
      </c>
      <c r="P1370" s="476">
        <v>0.58680555555555558</v>
      </c>
      <c r="Q1370" s="477">
        <v>0.59236111111111112</v>
      </c>
      <c r="R1370" s="472">
        <f>IF(Table6[[#This Row],[Work Start TimeStamp]]="","",(Table6[[#This Row],[Work Start TimeStamp]]-Table6[[#This Row],[Fault Start TimeStamp]])*24)</f>
        <v>0</v>
      </c>
      <c r="S1370" s="472">
        <f>(Table6[[#This Row],[Fault Clearance time]]-Table6[[#This Row],[Work Start TimeStamp]])*24</f>
        <v>0.13333333333333286</v>
      </c>
      <c r="T1370" s="472">
        <f>(Table6[[#This Row],[Fault Clearance time]]-Table6[[#This Row],[Fault Start TimeStamp]])*24</f>
        <v>0.13333333333333286</v>
      </c>
      <c r="U1370" s="35" t="s">
        <v>336</v>
      </c>
      <c r="V1370" s="102" t="s">
        <v>293</v>
      </c>
      <c r="W1370" s="478">
        <f>IFERROR(Table6[[#This Row],[Breakdown Time]]*Table6[[#This Row],[Plant Equivalent Weightage]],"")</f>
        <v>5.1282051282051083E-3</v>
      </c>
      <c r="X1370" s="473" t="s">
        <v>294</v>
      </c>
      <c r="Y1370" s="474" t="s">
        <v>93</v>
      </c>
      <c r="Z1370" s="102">
        <v>52311</v>
      </c>
      <c r="AA1370" s="468">
        <f>(Table6[[#This Row],[Paired WTG Generation for loss calculation]]/24)*Table6[[#This Row],[Breakdown Time]]</f>
        <v>290.61666666666565</v>
      </c>
      <c r="AB1370" s="102"/>
      <c r="AC1370" s="35"/>
      <c r="AD1370" s="35"/>
    </row>
    <row r="1371" spans="1:30">
      <c r="A1371" s="102">
        <f t="shared" si="22"/>
        <v>1370</v>
      </c>
      <c r="B1371" s="468">
        <f>YEAR(Table6[[#This Row],[Date]])+IF(MONTH(Table6[[#This Row],[Date]])&gt;=4,1,0)</f>
        <v>2026</v>
      </c>
      <c r="C1371" s="102">
        <f>YEAR(Table6[[#This Row],[Date]])</f>
        <v>2025</v>
      </c>
      <c r="D1371" s="102" t="s">
        <v>1992</v>
      </c>
      <c r="E1371" s="469">
        <f>Table6[[#This Row],[Date]]-DAY(Table6[[#This Row],[Date]])+1</f>
        <v>45809</v>
      </c>
      <c r="F1371" s="470">
        <v>45836</v>
      </c>
      <c r="G1371" s="35" t="s">
        <v>77</v>
      </c>
      <c r="H1371" s="35" t="str">
        <f>IFERROR(_xlfn.XLOOKUP(Table6[[#This Row],[Affected WTG]],'Basic Data'!$A:$A,'Basic Data'!$B:$B),"")</f>
        <v>TQGXIIPL</v>
      </c>
      <c r="I1371" s="35" t="str">
        <f>IFERROR(_xlfn.XLOOKUP(Table6[[#This Row],[Affected WTG]],'Basic Data'!$A:$A,'Basic Data'!$C:$C),"")</f>
        <v>GEDA</v>
      </c>
      <c r="J1371" s="471">
        <f>IFERROR(_xlfn.XLOOKUP(Table6[[#This Row],[Affected WTG]],'Basic Data'!$A:$A,'Basic Data'!$E:$E),"")</f>
        <v>3.846153846153845E-2</v>
      </c>
      <c r="K1371" s="102">
        <v>6130</v>
      </c>
      <c r="L1371" s="35" t="str">
        <f>IFERROR(_xlfn.XLOOKUP(Table6[[#This Row],[Error Code]],'Basic Data'!$AA:$AA,'Basic Data'!$AB:$AB),"Incorrect Error Code")</f>
        <v>Yaw speed high</v>
      </c>
      <c r="M1371" s="35" t="s">
        <v>292</v>
      </c>
      <c r="N1371" s="475"/>
      <c r="O1371" s="476">
        <v>0.96527777777777779</v>
      </c>
      <c r="P1371" s="476">
        <v>0.96527777777777779</v>
      </c>
      <c r="Q1371" s="477">
        <v>0.96597222222222223</v>
      </c>
      <c r="R1371" s="472">
        <f>IF(Table6[[#This Row],[Work Start TimeStamp]]="","",(Table6[[#This Row],[Work Start TimeStamp]]-Table6[[#This Row],[Fault Start TimeStamp]])*24)</f>
        <v>0</v>
      </c>
      <c r="S1371" s="472">
        <f>(Table6[[#This Row],[Fault Clearance time]]-Table6[[#This Row],[Work Start TimeStamp]])*24</f>
        <v>1.6666666666666607E-2</v>
      </c>
      <c r="T1371" s="472">
        <f>(Table6[[#This Row],[Fault Clearance time]]-Table6[[#This Row],[Fault Start TimeStamp]])*24</f>
        <v>1.6666666666666607E-2</v>
      </c>
      <c r="U1371" s="35" t="s">
        <v>336</v>
      </c>
      <c r="V1371" s="102" t="s">
        <v>293</v>
      </c>
      <c r="W1371" s="478">
        <f>IFERROR(Table6[[#This Row],[Breakdown Time]]*Table6[[#This Row],[Plant Equivalent Weightage]],"")</f>
        <v>6.4102564102563853E-4</v>
      </c>
      <c r="X1371" s="473" t="s">
        <v>294</v>
      </c>
      <c r="Y1371" s="474" t="s">
        <v>80</v>
      </c>
      <c r="Z1371" s="102">
        <v>53572</v>
      </c>
      <c r="AA1371" s="468">
        <f>(Table6[[#This Row],[Paired WTG Generation for loss calculation]]/24)*Table6[[#This Row],[Breakdown Time]]</f>
        <v>37.202777777777641</v>
      </c>
      <c r="AB1371" s="102"/>
      <c r="AC1371" s="35"/>
      <c r="AD1371" s="35"/>
    </row>
    <row r="1372" spans="1:30">
      <c r="A1372" s="102">
        <f t="shared" si="22"/>
        <v>1371</v>
      </c>
      <c r="B1372" s="468">
        <f>YEAR(Table6[[#This Row],[Date]])+IF(MONTH(Table6[[#This Row],[Date]])&gt;=4,1,0)</f>
        <v>2026</v>
      </c>
      <c r="C1372" s="102">
        <f>YEAR(Table6[[#This Row],[Date]])</f>
        <v>2025</v>
      </c>
      <c r="D1372" s="102" t="s">
        <v>1992</v>
      </c>
      <c r="E1372" s="469">
        <f>Table6[[#This Row],[Date]]-DAY(Table6[[#This Row],[Date]])+1</f>
        <v>45809</v>
      </c>
      <c r="F1372" s="470">
        <v>45836</v>
      </c>
      <c r="G1372" s="35" t="s">
        <v>81</v>
      </c>
      <c r="H1372" s="35" t="str">
        <f>IFERROR(_xlfn.XLOOKUP(Table6[[#This Row],[Affected WTG]],'Basic Data'!$A:$A,'Basic Data'!$B:$B),"")</f>
        <v>TQGXIIPL</v>
      </c>
      <c r="I1372" s="35" t="str">
        <f>IFERROR(_xlfn.XLOOKUP(Table6[[#This Row],[Affected WTG]],'Basic Data'!$A:$A,'Basic Data'!$C:$C),"")</f>
        <v>GEDA</v>
      </c>
      <c r="J1372" s="471">
        <f>IFERROR(_xlfn.XLOOKUP(Table6[[#This Row],[Affected WTG]],'Basic Data'!$A:$A,'Basic Data'!$E:$E),"")</f>
        <v>3.846153846153845E-2</v>
      </c>
      <c r="K1372" s="102">
        <v>641</v>
      </c>
      <c r="L1372" s="35" t="str">
        <f>IFERROR(_xlfn.XLOOKUP(Table6[[#This Row],[Error Code]],'Basic Data'!$AA:$AA,'Basic Data'!$AB:$AB),"Incorrect Error Code")</f>
        <v>Sim.angle E enc. &lt;&gt; act.angle 1</v>
      </c>
      <c r="M1372" s="35" t="s">
        <v>291</v>
      </c>
      <c r="N1372" s="475"/>
      <c r="O1372" s="476">
        <v>0.98750000000000004</v>
      </c>
      <c r="P1372" s="476">
        <v>0.98750000000000004</v>
      </c>
      <c r="Q1372" s="477">
        <v>0.99097222222222225</v>
      </c>
      <c r="R1372" s="472">
        <f>IF(Table6[[#This Row],[Work Start TimeStamp]]="","",(Table6[[#This Row],[Work Start TimeStamp]]-Table6[[#This Row],[Fault Start TimeStamp]])*24)</f>
        <v>0</v>
      </c>
      <c r="S1372" s="472">
        <f>(Table6[[#This Row],[Fault Clearance time]]-Table6[[#This Row],[Work Start TimeStamp]])*24</f>
        <v>8.3333333333333037E-2</v>
      </c>
      <c r="T1372" s="472">
        <f>(Table6[[#This Row],[Fault Clearance time]]-Table6[[#This Row],[Fault Start TimeStamp]])*24</f>
        <v>8.3333333333333037E-2</v>
      </c>
      <c r="U1372" s="35" t="s">
        <v>1924</v>
      </c>
      <c r="V1372" s="102" t="s">
        <v>293</v>
      </c>
      <c r="W1372" s="478">
        <f>IFERROR(Table6[[#This Row],[Breakdown Time]]*Table6[[#This Row],[Plant Equivalent Weightage]],"")</f>
        <v>3.2051282051281929E-3</v>
      </c>
      <c r="X1372" s="473" t="s">
        <v>290</v>
      </c>
      <c r="Y1372" s="474" t="s">
        <v>99</v>
      </c>
      <c r="Z1372" s="102">
        <v>55344</v>
      </c>
      <c r="AA1372" s="468">
        <f>(Table6[[#This Row],[Paired WTG Generation for loss calculation]]/24)*Table6[[#This Row],[Breakdown Time]]</f>
        <v>192.16666666666598</v>
      </c>
      <c r="AB1372" s="102"/>
      <c r="AC1372" s="35"/>
      <c r="AD1372" s="35"/>
    </row>
    <row r="1373" spans="1:30">
      <c r="A1373" s="102">
        <f t="shared" si="22"/>
        <v>1372</v>
      </c>
      <c r="B1373" s="468">
        <f>YEAR(Table6[[#This Row],[Date]])+IF(MONTH(Table6[[#This Row],[Date]])&gt;=4,1,0)</f>
        <v>2026</v>
      </c>
      <c r="C1373" s="102">
        <f>YEAR(Table6[[#This Row],[Date]])</f>
        <v>2025</v>
      </c>
      <c r="D1373" s="102" t="s">
        <v>1992</v>
      </c>
      <c r="E1373" s="469">
        <f>Table6[[#This Row],[Date]]-DAY(Table6[[#This Row],[Date]])+1</f>
        <v>45809</v>
      </c>
      <c r="F1373" s="470">
        <v>45836</v>
      </c>
      <c r="G1373" s="35" t="s">
        <v>90</v>
      </c>
      <c r="H1373" s="35" t="str">
        <f>IFERROR(_xlfn.XLOOKUP(Table6[[#This Row],[Affected WTG]],'Basic Data'!$A:$A,'Basic Data'!$B:$B),"")</f>
        <v>TQGXIIPL</v>
      </c>
      <c r="I1373" s="35" t="str">
        <f>IFERROR(_xlfn.XLOOKUP(Table6[[#This Row],[Affected WTG]],'Basic Data'!$A:$A,'Basic Data'!$C:$C),"")</f>
        <v>GEDA</v>
      </c>
      <c r="J1373" s="471">
        <f>IFERROR(_xlfn.XLOOKUP(Table6[[#This Row],[Affected WTG]],'Basic Data'!$A:$A,'Basic Data'!$E:$E),"")</f>
        <v>3.846153846153845E-2</v>
      </c>
      <c r="K1373" s="102">
        <v>3000</v>
      </c>
      <c r="L1373" s="35" t="str">
        <f>IFERROR(_xlfn.XLOOKUP(Table6[[#This Row],[Error Code]],'Basic Data'!$AA:$AA,'Basic Data'!$AB:$AB),"Incorrect Error Code")</f>
        <v>Frequency converter not ready</v>
      </c>
      <c r="M1373" s="35" t="s">
        <v>291</v>
      </c>
      <c r="N1373" s="475"/>
      <c r="O1373" s="476">
        <v>0.98750000000000004</v>
      </c>
      <c r="P1373" s="476">
        <v>0.98750000000000004</v>
      </c>
      <c r="Q1373" s="477">
        <v>0.9916666666666667</v>
      </c>
      <c r="R1373" s="472">
        <f>IF(Table6[[#This Row],[Work Start TimeStamp]]="","",(Table6[[#This Row],[Work Start TimeStamp]]-Table6[[#This Row],[Fault Start TimeStamp]])*24)</f>
        <v>0</v>
      </c>
      <c r="S1373" s="472">
        <f>(Table6[[#This Row],[Fault Clearance time]]-Table6[[#This Row],[Work Start TimeStamp]])*24</f>
        <v>9.9999999999999645E-2</v>
      </c>
      <c r="T1373" s="472">
        <f>(Table6[[#This Row],[Fault Clearance time]]-Table6[[#This Row],[Fault Start TimeStamp]])*24</f>
        <v>9.9999999999999645E-2</v>
      </c>
      <c r="U1373" s="35" t="s">
        <v>1924</v>
      </c>
      <c r="V1373" s="102" t="s">
        <v>293</v>
      </c>
      <c r="W1373" s="478">
        <f>IFERROR(Table6[[#This Row],[Breakdown Time]]*Table6[[#This Row],[Plant Equivalent Weightage]],"")</f>
        <v>3.8461538461538312E-3</v>
      </c>
      <c r="X1373" s="473" t="s">
        <v>290</v>
      </c>
      <c r="Y1373" s="474" t="s">
        <v>95</v>
      </c>
      <c r="Z1373" s="102">
        <v>58011</v>
      </c>
      <c r="AA1373" s="468">
        <f>(Table6[[#This Row],[Paired WTG Generation for loss calculation]]/24)*Table6[[#This Row],[Breakdown Time]]</f>
        <v>241.71249999999915</v>
      </c>
      <c r="AB1373" s="102"/>
      <c r="AC1373" s="35"/>
      <c r="AD1373" s="35"/>
    </row>
    <row r="1374" spans="1:30">
      <c r="A1374" s="102">
        <f t="shared" si="22"/>
        <v>1373</v>
      </c>
      <c r="B1374" s="468">
        <f>YEAR(Table6[[#This Row],[Date]])+IF(MONTH(Table6[[#This Row],[Date]])&gt;=4,1,0)</f>
        <v>2026</v>
      </c>
      <c r="C1374" s="102">
        <f>YEAR(Table6[[#This Row],[Date]])</f>
        <v>2025</v>
      </c>
      <c r="D1374" s="102" t="s">
        <v>1992</v>
      </c>
      <c r="E1374" s="469">
        <f>Table6[[#This Row],[Date]]-DAY(Table6[[#This Row],[Date]])+1</f>
        <v>45809</v>
      </c>
      <c r="F1374" s="470">
        <v>45837</v>
      </c>
      <c r="G1374" s="35" t="s">
        <v>74</v>
      </c>
      <c r="H1374" s="35" t="str">
        <f>IFERROR(_xlfn.XLOOKUP(Table6[[#This Row],[Affected WTG]],'Basic Data'!$A:$A,'Basic Data'!$B:$B),"")</f>
        <v>TQGXIIPL</v>
      </c>
      <c r="I1374" s="35" t="str">
        <f>IFERROR(_xlfn.XLOOKUP(Table6[[#This Row],[Affected WTG]],'Basic Data'!$A:$A,'Basic Data'!$C:$C),"")</f>
        <v>GEDA</v>
      </c>
      <c r="J1374" s="471">
        <f>IFERROR(_xlfn.XLOOKUP(Table6[[#This Row],[Affected WTG]],'Basic Data'!$A:$A,'Basic Data'!$E:$E),"")</f>
        <v>3.846153846153845E-2</v>
      </c>
      <c r="K1374" s="102">
        <v>6130</v>
      </c>
      <c r="L1374" s="35" t="str">
        <f>IFERROR(_xlfn.XLOOKUP(Table6[[#This Row],[Error Code]],'Basic Data'!$AA:$AA,'Basic Data'!$AB:$AB),"Incorrect Error Code")</f>
        <v>Yaw speed high</v>
      </c>
      <c r="M1374" s="35" t="s">
        <v>291</v>
      </c>
      <c r="N1374" s="475"/>
      <c r="O1374" s="476">
        <v>0.42708333333333331</v>
      </c>
      <c r="P1374" s="476">
        <v>0.42708333333333331</v>
      </c>
      <c r="Q1374" s="477">
        <v>0.43125000000000002</v>
      </c>
      <c r="R1374" s="472">
        <f>IF(Table6[[#This Row],[Work Start TimeStamp]]="","",(Table6[[#This Row],[Work Start TimeStamp]]-Table6[[#This Row],[Fault Start TimeStamp]])*24)</f>
        <v>0</v>
      </c>
      <c r="S1374" s="472">
        <f>(Table6[[#This Row],[Fault Clearance time]]-Table6[[#This Row],[Work Start TimeStamp]])*24</f>
        <v>0.10000000000000098</v>
      </c>
      <c r="T1374" s="472">
        <f>(Table6[[#This Row],[Fault Clearance time]]-Table6[[#This Row],[Fault Start TimeStamp]])*24</f>
        <v>0.10000000000000098</v>
      </c>
      <c r="U1374" s="35" t="s">
        <v>336</v>
      </c>
      <c r="V1374" s="102" t="s">
        <v>293</v>
      </c>
      <c r="W1374" s="478">
        <f>IFERROR(Table6[[#This Row],[Breakdown Time]]*Table6[[#This Row],[Plant Equivalent Weightage]],"")</f>
        <v>3.8461538461538824E-3</v>
      </c>
      <c r="X1374" s="473" t="s">
        <v>294</v>
      </c>
      <c r="Y1374" s="474" t="s">
        <v>99</v>
      </c>
      <c r="Z1374" s="102">
        <v>55208</v>
      </c>
      <c r="AA1374" s="468">
        <f>(Table6[[#This Row],[Paired WTG Generation for loss calculation]]/24)*Table6[[#This Row],[Breakdown Time]]</f>
        <v>230.03333333333561</v>
      </c>
      <c r="AB1374" s="102"/>
      <c r="AC1374" s="35"/>
      <c r="AD1374" s="35"/>
    </row>
    <row r="1375" spans="1:30">
      <c r="A1375" s="102">
        <f t="shared" si="22"/>
        <v>1374</v>
      </c>
      <c r="B1375" s="468">
        <f>YEAR(Table6[[#This Row],[Date]])+IF(MONTH(Table6[[#This Row],[Date]])&gt;=4,1,0)</f>
        <v>2026</v>
      </c>
      <c r="C1375" s="102">
        <f>YEAR(Table6[[#This Row],[Date]])</f>
        <v>2025</v>
      </c>
      <c r="D1375" s="102" t="s">
        <v>1992</v>
      </c>
      <c r="E1375" s="469">
        <f>Table6[[#This Row],[Date]]-DAY(Table6[[#This Row],[Date]])+1</f>
        <v>45809</v>
      </c>
      <c r="F1375" s="470">
        <v>45837</v>
      </c>
      <c r="G1375" s="35" t="s">
        <v>76</v>
      </c>
      <c r="H1375" s="35" t="str">
        <f>IFERROR(_xlfn.XLOOKUP(Table6[[#This Row],[Affected WTG]],'Basic Data'!$A:$A,'Basic Data'!$B:$B),"")</f>
        <v>TQGXIIPL</v>
      </c>
      <c r="I1375" s="35" t="str">
        <f>IFERROR(_xlfn.XLOOKUP(Table6[[#This Row],[Affected WTG]],'Basic Data'!$A:$A,'Basic Data'!$C:$C),"")</f>
        <v>GEDA</v>
      </c>
      <c r="J1375" s="471">
        <f>IFERROR(_xlfn.XLOOKUP(Table6[[#This Row],[Affected WTG]],'Basic Data'!$A:$A,'Basic Data'!$E:$E),"")</f>
        <v>3.846153846153845E-2</v>
      </c>
      <c r="K1375" s="102">
        <v>4540</v>
      </c>
      <c r="L1375" s="35" t="str">
        <f>IFERROR(_xlfn.XLOOKUP(Table6[[#This Row],[Error Code]],'Basic Data'!$AA:$AA,'Basic Data'!$AB:$AB),"Incorrect Error Code")</f>
        <v>Tower oscillation X level 2</v>
      </c>
      <c r="M1375" s="35" t="s">
        <v>291</v>
      </c>
      <c r="N1375" s="475"/>
      <c r="O1375" s="476">
        <v>0.12222222222222222</v>
      </c>
      <c r="P1375" s="476">
        <v>0.12222222222222222</v>
      </c>
      <c r="Q1375" s="477">
        <v>0.125</v>
      </c>
      <c r="R1375" s="472">
        <f>IF(Table6[[#This Row],[Work Start TimeStamp]]="","",(Table6[[#This Row],[Work Start TimeStamp]]-Table6[[#This Row],[Fault Start TimeStamp]])*24)</f>
        <v>0</v>
      </c>
      <c r="S1375" s="472">
        <f>(Table6[[#This Row],[Fault Clearance time]]-Table6[[#This Row],[Work Start TimeStamp]])*24</f>
        <v>6.6666666666666763E-2</v>
      </c>
      <c r="T1375" s="472">
        <f>(Table6[[#This Row],[Fault Clearance time]]-Table6[[#This Row],[Fault Start TimeStamp]])*24</f>
        <v>6.6666666666666763E-2</v>
      </c>
      <c r="U1375" s="35" t="s">
        <v>336</v>
      </c>
      <c r="V1375" s="102" t="s">
        <v>293</v>
      </c>
      <c r="W1375" s="478">
        <f>IFERROR(Table6[[#This Row],[Breakdown Time]]*Table6[[#This Row],[Plant Equivalent Weightage]],"")</f>
        <v>2.5641025641025671E-3</v>
      </c>
      <c r="X1375" s="473" t="s">
        <v>294</v>
      </c>
      <c r="Y1375" s="474" t="s">
        <v>82</v>
      </c>
      <c r="Z1375" s="102">
        <v>45425</v>
      </c>
      <c r="AA1375" s="468">
        <f>(Table6[[#This Row],[Paired WTG Generation for loss calculation]]/24)*Table6[[#This Row],[Breakdown Time]]</f>
        <v>126.18055555555573</v>
      </c>
      <c r="AB1375" s="102"/>
      <c r="AC1375" s="35"/>
      <c r="AD1375" s="35"/>
    </row>
    <row r="1376" spans="1:30">
      <c r="A1376" s="102">
        <f t="shared" si="22"/>
        <v>1375</v>
      </c>
      <c r="B1376" s="468">
        <f>YEAR(Table6[[#This Row],[Date]])+IF(MONTH(Table6[[#This Row],[Date]])&gt;=4,1,0)</f>
        <v>2026</v>
      </c>
      <c r="C1376" s="102">
        <f>YEAR(Table6[[#This Row],[Date]])</f>
        <v>2025</v>
      </c>
      <c r="D1376" s="102" t="s">
        <v>1992</v>
      </c>
      <c r="E1376" s="469">
        <f>Table6[[#This Row],[Date]]-DAY(Table6[[#This Row],[Date]])+1</f>
        <v>45809</v>
      </c>
      <c r="F1376" s="470">
        <v>45837</v>
      </c>
      <c r="G1376" s="35" t="s">
        <v>78</v>
      </c>
      <c r="H1376" s="35" t="str">
        <f>IFERROR(_xlfn.XLOOKUP(Table6[[#This Row],[Affected WTG]],'Basic Data'!$A:$A,'Basic Data'!$B:$B),"")</f>
        <v>TQGXIIPL</v>
      </c>
      <c r="I1376" s="35" t="str">
        <f>IFERROR(_xlfn.XLOOKUP(Table6[[#This Row],[Affected WTG]],'Basic Data'!$A:$A,'Basic Data'!$C:$C),"")</f>
        <v>GEDA</v>
      </c>
      <c r="J1376" s="471">
        <f>IFERROR(_xlfn.XLOOKUP(Table6[[#This Row],[Affected WTG]],'Basic Data'!$A:$A,'Basic Data'!$E:$E),"")</f>
        <v>3.846153846153845E-2</v>
      </c>
      <c r="K1376" s="102">
        <v>3211</v>
      </c>
      <c r="L1376" s="35" t="str">
        <f>IFERROR(_xlfn.XLOOKUP(Table6[[#This Row],[Error Code]],'Basic Data'!$AA:$AA,'Basic Data'!$AB:$AB),"Incorrect Error Code")</f>
        <v>Conv. load shedding (CAN)</v>
      </c>
      <c r="M1376" s="35" t="s">
        <v>291</v>
      </c>
      <c r="N1376" s="475"/>
      <c r="O1376" s="476">
        <v>2.2916666666666665E-2</v>
      </c>
      <c r="P1376" s="476">
        <v>2.2916666666666665E-2</v>
      </c>
      <c r="Q1376" s="477">
        <v>2.4305555555555556E-2</v>
      </c>
      <c r="R1376" s="472">
        <f>IF(Table6[[#This Row],[Work Start TimeStamp]]="","",(Table6[[#This Row],[Work Start TimeStamp]]-Table6[[#This Row],[Fault Start TimeStamp]])*24)</f>
        <v>0</v>
      </c>
      <c r="S1376" s="472">
        <f>(Table6[[#This Row],[Fault Clearance time]]-Table6[[#This Row],[Work Start TimeStamp]])*24</f>
        <v>3.3333333333333381E-2</v>
      </c>
      <c r="T1376" s="472">
        <f>(Table6[[#This Row],[Fault Clearance time]]-Table6[[#This Row],[Fault Start TimeStamp]])*24</f>
        <v>3.3333333333333381E-2</v>
      </c>
      <c r="U1376" s="35" t="s">
        <v>1924</v>
      </c>
      <c r="V1376" s="102" t="s">
        <v>293</v>
      </c>
      <c r="W1376" s="478">
        <f>IFERROR(Table6[[#This Row],[Breakdown Time]]*Table6[[#This Row],[Plant Equivalent Weightage]],"")</f>
        <v>1.2820512820512836E-3</v>
      </c>
      <c r="X1376" s="473" t="s">
        <v>290</v>
      </c>
      <c r="Y1376" s="474" t="s">
        <v>75</v>
      </c>
      <c r="Z1376" s="102">
        <v>56261</v>
      </c>
      <c r="AA1376" s="468">
        <f>(Table6[[#This Row],[Paired WTG Generation for loss calculation]]/24)*Table6[[#This Row],[Breakdown Time]]</f>
        <v>78.140277777777897</v>
      </c>
      <c r="AB1376" s="102"/>
      <c r="AC1376" s="35"/>
      <c r="AD1376" s="35"/>
    </row>
    <row r="1377" spans="1:30">
      <c r="A1377" s="102">
        <f t="shared" si="22"/>
        <v>1376</v>
      </c>
      <c r="B1377" s="468">
        <f>YEAR(Table6[[#This Row],[Date]])+IF(MONTH(Table6[[#This Row],[Date]])&gt;=4,1,0)</f>
        <v>2026</v>
      </c>
      <c r="C1377" s="102">
        <f>YEAR(Table6[[#This Row],[Date]])</f>
        <v>2025</v>
      </c>
      <c r="D1377" s="102" t="s">
        <v>1992</v>
      </c>
      <c r="E1377" s="469">
        <f>Table6[[#This Row],[Date]]-DAY(Table6[[#This Row],[Date]])+1</f>
        <v>45809</v>
      </c>
      <c r="F1377" s="470">
        <v>45837</v>
      </c>
      <c r="G1377" s="35" t="s">
        <v>78</v>
      </c>
      <c r="H1377" s="35" t="str">
        <f>IFERROR(_xlfn.XLOOKUP(Table6[[#This Row],[Affected WTG]],'Basic Data'!$A:$A,'Basic Data'!$B:$B),"")</f>
        <v>TQGXIIPL</v>
      </c>
      <c r="I1377" s="35" t="str">
        <f>IFERROR(_xlfn.XLOOKUP(Table6[[#This Row],[Affected WTG]],'Basic Data'!$A:$A,'Basic Data'!$C:$C),"")</f>
        <v>GEDA</v>
      </c>
      <c r="J1377" s="471">
        <f>IFERROR(_xlfn.XLOOKUP(Table6[[#This Row],[Affected WTG]],'Basic Data'!$A:$A,'Basic Data'!$E:$E),"")</f>
        <v>3.846153846153845E-2</v>
      </c>
      <c r="K1377" s="102">
        <v>3211</v>
      </c>
      <c r="L1377" s="35" t="str">
        <f>IFERROR(_xlfn.XLOOKUP(Table6[[#This Row],[Error Code]],'Basic Data'!$AA:$AA,'Basic Data'!$AB:$AB),"Incorrect Error Code")</f>
        <v>Conv. load shedding (CAN)</v>
      </c>
      <c r="M1377" s="35" t="s">
        <v>291</v>
      </c>
      <c r="N1377" s="475"/>
      <c r="O1377" s="476">
        <v>0.13263888888888889</v>
      </c>
      <c r="P1377" s="476">
        <v>0.13263888888888889</v>
      </c>
      <c r="Q1377" s="477">
        <v>0.13402777777777777</v>
      </c>
      <c r="R1377" s="472">
        <f>IF(Table6[[#This Row],[Work Start TimeStamp]]="","",(Table6[[#This Row],[Work Start TimeStamp]]-Table6[[#This Row],[Fault Start TimeStamp]])*24)</f>
        <v>0</v>
      </c>
      <c r="S1377" s="472">
        <f>(Table6[[#This Row],[Fault Clearance time]]-Table6[[#This Row],[Work Start TimeStamp]])*24</f>
        <v>3.3333333333333215E-2</v>
      </c>
      <c r="T1377" s="472">
        <f>(Table6[[#This Row],[Fault Clearance time]]-Table6[[#This Row],[Fault Start TimeStamp]])*24</f>
        <v>3.3333333333333215E-2</v>
      </c>
      <c r="U1377" s="35" t="s">
        <v>1924</v>
      </c>
      <c r="V1377" s="102" t="s">
        <v>293</v>
      </c>
      <c r="W1377" s="478">
        <f>IFERROR(Table6[[#This Row],[Breakdown Time]]*Table6[[#This Row],[Plant Equivalent Weightage]],"")</f>
        <v>1.2820512820512771E-3</v>
      </c>
      <c r="X1377" s="473" t="s">
        <v>290</v>
      </c>
      <c r="Y1377" s="474" t="s">
        <v>75</v>
      </c>
      <c r="Z1377" s="102">
        <v>56261</v>
      </c>
      <c r="AA1377" s="468">
        <f>(Table6[[#This Row],[Paired WTG Generation for loss calculation]]/24)*Table6[[#This Row],[Breakdown Time]]</f>
        <v>78.140277777777499</v>
      </c>
      <c r="AB1377" s="102"/>
      <c r="AC1377" s="35"/>
      <c r="AD1377" s="35"/>
    </row>
    <row r="1378" spans="1:30">
      <c r="A1378" s="102">
        <f t="shared" si="22"/>
        <v>1377</v>
      </c>
      <c r="B1378" s="468">
        <f>YEAR(Table6[[#This Row],[Date]])+IF(MONTH(Table6[[#This Row],[Date]])&gt;=4,1,0)</f>
        <v>2026</v>
      </c>
      <c r="C1378" s="102">
        <f>YEAR(Table6[[#This Row],[Date]])</f>
        <v>2025</v>
      </c>
      <c r="D1378" s="102" t="s">
        <v>1992</v>
      </c>
      <c r="E1378" s="469">
        <f>Table6[[#This Row],[Date]]-DAY(Table6[[#This Row],[Date]])+1</f>
        <v>45809</v>
      </c>
      <c r="F1378" s="470">
        <v>45837</v>
      </c>
      <c r="G1378" s="35" t="s">
        <v>78</v>
      </c>
      <c r="H1378" s="35" t="str">
        <f>IFERROR(_xlfn.XLOOKUP(Table6[[#This Row],[Affected WTG]],'Basic Data'!$A:$A,'Basic Data'!$B:$B),"")</f>
        <v>TQGXIIPL</v>
      </c>
      <c r="I1378" s="35" t="str">
        <f>IFERROR(_xlfn.XLOOKUP(Table6[[#This Row],[Affected WTG]],'Basic Data'!$A:$A,'Basic Data'!$C:$C),"")</f>
        <v>GEDA</v>
      </c>
      <c r="J1378" s="471">
        <f>IFERROR(_xlfn.XLOOKUP(Table6[[#This Row],[Affected WTG]],'Basic Data'!$A:$A,'Basic Data'!$E:$E),"")</f>
        <v>3.846153846153845E-2</v>
      </c>
      <c r="K1378" s="102">
        <v>3211</v>
      </c>
      <c r="L1378" s="35" t="str">
        <f>IFERROR(_xlfn.XLOOKUP(Table6[[#This Row],[Error Code]],'Basic Data'!$AA:$AA,'Basic Data'!$AB:$AB),"Incorrect Error Code")</f>
        <v>Conv. load shedding (CAN)</v>
      </c>
      <c r="M1378" s="35" t="s">
        <v>291</v>
      </c>
      <c r="N1378" s="475"/>
      <c r="O1378" s="476">
        <v>0.19236111111111112</v>
      </c>
      <c r="P1378" s="476">
        <v>0.19236111111111112</v>
      </c>
      <c r="Q1378" s="477">
        <v>0.19444444444444445</v>
      </c>
      <c r="R1378" s="472">
        <f>IF(Table6[[#This Row],[Work Start TimeStamp]]="","",(Table6[[#This Row],[Work Start TimeStamp]]-Table6[[#This Row],[Fault Start TimeStamp]])*24)</f>
        <v>0</v>
      </c>
      <c r="S1378" s="472">
        <f>(Table6[[#This Row],[Fault Clearance time]]-Table6[[#This Row],[Work Start TimeStamp]])*24</f>
        <v>4.9999999999999822E-2</v>
      </c>
      <c r="T1378" s="472">
        <f>(Table6[[#This Row],[Fault Clearance time]]-Table6[[#This Row],[Fault Start TimeStamp]])*24</f>
        <v>4.9999999999999822E-2</v>
      </c>
      <c r="U1378" s="35" t="s">
        <v>1924</v>
      </c>
      <c r="V1378" s="102" t="s">
        <v>293</v>
      </c>
      <c r="W1378" s="478">
        <f>IFERROR(Table6[[#This Row],[Breakdown Time]]*Table6[[#This Row],[Plant Equivalent Weightage]],"")</f>
        <v>1.9230769230769156E-3</v>
      </c>
      <c r="X1378" s="473" t="s">
        <v>290</v>
      </c>
      <c r="Y1378" s="474" t="s">
        <v>75</v>
      </c>
      <c r="Z1378" s="102">
        <v>56261</v>
      </c>
      <c r="AA1378" s="468">
        <f>(Table6[[#This Row],[Paired WTG Generation for loss calculation]]/24)*Table6[[#This Row],[Breakdown Time]]</f>
        <v>117.21041666666626</v>
      </c>
      <c r="AB1378" s="102"/>
      <c r="AC1378" s="35"/>
      <c r="AD1378" s="35"/>
    </row>
    <row r="1379" spans="1:30">
      <c r="A1379" s="102">
        <f t="shared" si="22"/>
        <v>1378</v>
      </c>
      <c r="B1379" s="468">
        <f>YEAR(Table6[[#This Row],[Date]])+IF(MONTH(Table6[[#This Row],[Date]])&gt;=4,1,0)</f>
        <v>2026</v>
      </c>
      <c r="C1379" s="102">
        <f>YEAR(Table6[[#This Row],[Date]])</f>
        <v>2025</v>
      </c>
      <c r="D1379" s="102" t="s">
        <v>1992</v>
      </c>
      <c r="E1379" s="469">
        <f>Table6[[#This Row],[Date]]-DAY(Table6[[#This Row],[Date]])+1</f>
        <v>45809</v>
      </c>
      <c r="F1379" s="470">
        <v>45837</v>
      </c>
      <c r="G1379" s="35" t="s">
        <v>78</v>
      </c>
      <c r="H1379" s="35" t="str">
        <f>IFERROR(_xlfn.XLOOKUP(Table6[[#This Row],[Affected WTG]],'Basic Data'!$A:$A,'Basic Data'!$B:$B),"")</f>
        <v>TQGXIIPL</v>
      </c>
      <c r="I1379" s="35" t="str">
        <f>IFERROR(_xlfn.XLOOKUP(Table6[[#This Row],[Affected WTG]],'Basic Data'!$A:$A,'Basic Data'!$C:$C),"")</f>
        <v>GEDA</v>
      </c>
      <c r="J1379" s="471">
        <f>IFERROR(_xlfn.XLOOKUP(Table6[[#This Row],[Affected WTG]],'Basic Data'!$A:$A,'Basic Data'!$E:$E),"")</f>
        <v>3.846153846153845E-2</v>
      </c>
      <c r="K1379" s="102">
        <v>3211</v>
      </c>
      <c r="L1379" s="35" t="str">
        <f>IFERROR(_xlfn.XLOOKUP(Table6[[#This Row],[Error Code]],'Basic Data'!$AA:$AA,'Basic Data'!$AB:$AB),"Incorrect Error Code")</f>
        <v>Conv. load shedding (CAN)</v>
      </c>
      <c r="M1379" s="35" t="s">
        <v>291</v>
      </c>
      <c r="N1379" s="475"/>
      <c r="O1379" s="476">
        <v>0.83333333333333337</v>
      </c>
      <c r="P1379" s="476">
        <v>0.83333333333333337</v>
      </c>
      <c r="Q1379" s="477">
        <v>0.83888888888888891</v>
      </c>
      <c r="R1379" s="472">
        <f>IF(Table6[[#This Row],[Work Start TimeStamp]]="","",(Table6[[#This Row],[Work Start TimeStamp]]-Table6[[#This Row],[Fault Start TimeStamp]])*24)</f>
        <v>0</v>
      </c>
      <c r="S1379" s="472">
        <f>(Table6[[#This Row],[Fault Clearance time]]-Table6[[#This Row],[Work Start TimeStamp]])*24</f>
        <v>0.13333333333333286</v>
      </c>
      <c r="T1379" s="472">
        <f>(Table6[[#This Row],[Fault Clearance time]]-Table6[[#This Row],[Fault Start TimeStamp]])*24</f>
        <v>0.13333333333333286</v>
      </c>
      <c r="U1379" s="35" t="s">
        <v>1924</v>
      </c>
      <c r="V1379" s="102" t="s">
        <v>293</v>
      </c>
      <c r="W1379" s="478">
        <f>IFERROR(Table6[[#This Row],[Breakdown Time]]*Table6[[#This Row],[Plant Equivalent Weightage]],"")</f>
        <v>5.1282051282051083E-3</v>
      </c>
      <c r="X1379" s="473" t="s">
        <v>290</v>
      </c>
      <c r="Y1379" s="474" t="s">
        <v>75</v>
      </c>
      <c r="Z1379" s="102">
        <v>56261</v>
      </c>
      <c r="AA1379" s="468">
        <f>(Table6[[#This Row],[Paired WTG Generation for loss calculation]]/24)*Table6[[#This Row],[Breakdown Time]]</f>
        <v>312.56111111110999</v>
      </c>
      <c r="AB1379" s="102"/>
      <c r="AC1379" s="35"/>
      <c r="AD1379" s="35"/>
    </row>
    <row r="1380" spans="1:30">
      <c r="A1380" s="102">
        <f t="shared" si="22"/>
        <v>1379</v>
      </c>
      <c r="B1380" s="468">
        <f>YEAR(Table6[[#This Row],[Date]])+IF(MONTH(Table6[[#This Row],[Date]])&gt;=4,1,0)</f>
        <v>2026</v>
      </c>
      <c r="C1380" s="102">
        <f>YEAR(Table6[[#This Row],[Date]])</f>
        <v>2025</v>
      </c>
      <c r="D1380" s="102" t="s">
        <v>1992</v>
      </c>
      <c r="E1380" s="469">
        <f>Table6[[#This Row],[Date]]-DAY(Table6[[#This Row],[Date]])+1</f>
        <v>45809</v>
      </c>
      <c r="F1380" s="470">
        <v>45837</v>
      </c>
      <c r="G1380" s="35" t="s">
        <v>78</v>
      </c>
      <c r="H1380" s="35" t="str">
        <f>IFERROR(_xlfn.XLOOKUP(Table6[[#This Row],[Affected WTG]],'Basic Data'!$A:$A,'Basic Data'!$B:$B),"")</f>
        <v>TQGXIIPL</v>
      </c>
      <c r="I1380" s="35" t="str">
        <f>IFERROR(_xlfn.XLOOKUP(Table6[[#This Row],[Affected WTG]],'Basic Data'!$A:$A,'Basic Data'!$C:$C),"")</f>
        <v>GEDA</v>
      </c>
      <c r="J1380" s="471">
        <f>IFERROR(_xlfn.XLOOKUP(Table6[[#This Row],[Affected WTG]],'Basic Data'!$A:$A,'Basic Data'!$E:$E),"")</f>
        <v>3.846153846153845E-2</v>
      </c>
      <c r="K1380" s="102">
        <v>3211</v>
      </c>
      <c r="L1380" s="35" t="str">
        <f>IFERROR(_xlfn.XLOOKUP(Table6[[#This Row],[Error Code]],'Basic Data'!$AA:$AA,'Basic Data'!$AB:$AB),"Incorrect Error Code")</f>
        <v>Conv. load shedding (CAN)</v>
      </c>
      <c r="M1380" s="35" t="s">
        <v>291</v>
      </c>
      <c r="N1380" s="475"/>
      <c r="O1380" s="476">
        <v>0.86111111111111116</v>
      </c>
      <c r="P1380" s="476">
        <v>0.86111111111111116</v>
      </c>
      <c r="Q1380" s="477">
        <v>0.86250000000000004</v>
      </c>
      <c r="R1380" s="472">
        <f>IF(Table6[[#This Row],[Work Start TimeStamp]]="","",(Table6[[#This Row],[Work Start TimeStamp]]-Table6[[#This Row],[Fault Start TimeStamp]])*24)</f>
        <v>0</v>
      </c>
      <c r="S1380" s="472">
        <f>(Table6[[#This Row],[Fault Clearance time]]-Table6[[#This Row],[Work Start TimeStamp]])*24</f>
        <v>3.3333333333333215E-2</v>
      </c>
      <c r="T1380" s="472">
        <f>(Table6[[#This Row],[Fault Clearance time]]-Table6[[#This Row],[Fault Start TimeStamp]])*24</f>
        <v>3.3333333333333215E-2</v>
      </c>
      <c r="U1380" s="35" t="s">
        <v>1924</v>
      </c>
      <c r="V1380" s="102" t="s">
        <v>293</v>
      </c>
      <c r="W1380" s="478">
        <f>IFERROR(Table6[[#This Row],[Breakdown Time]]*Table6[[#This Row],[Plant Equivalent Weightage]],"")</f>
        <v>1.2820512820512771E-3</v>
      </c>
      <c r="X1380" s="473" t="s">
        <v>290</v>
      </c>
      <c r="Y1380" s="474" t="s">
        <v>75</v>
      </c>
      <c r="Z1380" s="102">
        <v>56261</v>
      </c>
      <c r="AA1380" s="468">
        <f>(Table6[[#This Row],[Paired WTG Generation for loss calculation]]/24)*Table6[[#This Row],[Breakdown Time]]</f>
        <v>78.140277777777499</v>
      </c>
      <c r="AB1380" s="102"/>
      <c r="AC1380" s="35"/>
      <c r="AD1380" s="35"/>
    </row>
    <row r="1381" spans="1:30">
      <c r="A1381" s="102">
        <f t="shared" si="22"/>
        <v>1380</v>
      </c>
      <c r="B1381" s="468">
        <f>YEAR(Table6[[#This Row],[Date]])+IF(MONTH(Table6[[#This Row],[Date]])&gt;=4,1,0)</f>
        <v>2026</v>
      </c>
      <c r="C1381" s="102">
        <f>YEAR(Table6[[#This Row],[Date]])</f>
        <v>2025</v>
      </c>
      <c r="D1381" s="102" t="s">
        <v>1992</v>
      </c>
      <c r="E1381" s="469">
        <f>Table6[[#This Row],[Date]]-DAY(Table6[[#This Row],[Date]])+1</f>
        <v>45809</v>
      </c>
      <c r="F1381" s="470">
        <v>45837</v>
      </c>
      <c r="G1381" s="35" t="s">
        <v>81</v>
      </c>
      <c r="H1381" s="35" t="str">
        <f>IFERROR(_xlfn.XLOOKUP(Table6[[#This Row],[Affected WTG]],'Basic Data'!$A:$A,'Basic Data'!$B:$B),"")</f>
        <v>TQGXIIPL</v>
      </c>
      <c r="I1381" s="35" t="str">
        <f>IFERROR(_xlfn.XLOOKUP(Table6[[#This Row],[Affected WTG]],'Basic Data'!$A:$A,'Basic Data'!$C:$C),"")</f>
        <v>GEDA</v>
      </c>
      <c r="J1381" s="471">
        <f>IFERROR(_xlfn.XLOOKUP(Table6[[#This Row],[Affected WTG]],'Basic Data'!$A:$A,'Basic Data'!$E:$E),"")</f>
        <v>3.846153846153845E-2</v>
      </c>
      <c r="K1381" s="102">
        <v>4540</v>
      </c>
      <c r="L1381" s="35" t="str">
        <f>IFERROR(_xlfn.XLOOKUP(Table6[[#This Row],[Error Code]],'Basic Data'!$AA:$AA,'Basic Data'!$AB:$AB),"Incorrect Error Code")</f>
        <v>Tower oscillation X level 2</v>
      </c>
      <c r="M1381" s="35" t="s">
        <v>291</v>
      </c>
      <c r="N1381" s="475"/>
      <c r="O1381" s="476">
        <v>6.5972222222222224E-2</v>
      </c>
      <c r="P1381" s="476">
        <v>6.5972222222222224E-2</v>
      </c>
      <c r="Q1381" s="477">
        <v>6.8750000000000006E-2</v>
      </c>
      <c r="R1381" s="472">
        <f>IF(Table6[[#This Row],[Work Start TimeStamp]]="","",(Table6[[#This Row],[Work Start TimeStamp]]-Table6[[#This Row],[Fault Start TimeStamp]])*24)</f>
        <v>0</v>
      </c>
      <c r="S1381" s="472">
        <f>(Table6[[#This Row],[Fault Clearance time]]-Table6[[#This Row],[Work Start TimeStamp]])*24</f>
        <v>6.6666666666666763E-2</v>
      </c>
      <c r="T1381" s="472">
        <f>(Table6[[#This Row],[Fault Clearance time]]-Table6[[#This Row],[Fault Start TimeStamp]])*24</f>
        <v>6.6666666666666763E-2</v>
      </c>
      <c r="U1381" s="35" t="s">
        <v>336</v>
      </c>
      <c r="V1381" s="102" t="s">
        <v>293</v>
      </c>
      <c r="W1381" s="478">
        <f>IFERROR(Table6[[#This Row],[Breakdown Time]]*Table6[[#This Row],[Plant Equivalent Weightage]],"")</f>
        <v>2.5641025641025671E-3</v>
      </c>
      <c r="X1381" s="473" t="s">
        <v>294</v>
      </c>
      <c r="Y1381" s="474" t="s">
        <v>99</v>
      </c>
      <c r="Z1381" s="102">
        <v>55208</v>
      </c>
      <c r="AA1381" s="468">
        <f>(Table6[[#This Row],[Paired WTG Generation for loss calculation]]/24)*Table6[[#This Row],[Breakdown Time]]</f>
        <v>153.35555555555578</v>
      </c>
      <c r="AB1381" s="102"/>
      <c r="AC1381" s="35"/>
      <c r="AD1381" s="35"/>
    </row>
    <row r="1382" spans="1:30">
      <c r="A1382" s="102">
        <f t="shared" si="22"/>
        <v>1381</v>
      </c>
      <c r="B1382" s="468">
        <f>YEAR(Table6[[#This Row],[Date]])+IF(MONTH(Table6[[#This Row],[Date]])&gt;=4,1,0)</f>
        <v>2026</v>
      </c>
      <c r="C1382" s="102">
        <f>YEAR(Table6[[#This Row],[Date]])</f>
        <v>2025</v>
      </c>
      <c r="D1382" s="102" t="s">
        <v>1992</v>
      </c>
      <c r="E1382" s="469">
        <f>Table6[[#This Row],[Date]]-DAY(Table6[[#This Row],[Date]])+1</f>
        <v>45809</v>
      </c>
      <c r="F1382" s="470">
        <v>45837</v>
      </c>
      <c r="G1382" s="35" t="s">
        <v>81</v>
      </c>
      <c r="H1382" s="35" t="str">
        <f>IFERROR(_xlfn.XLOOKUP(Table6[[#This Row],[Affected WTG]],'Basic Data'!$A:$A,'Basic Data'!$B:$B),"")</f>
        <v>TQGXIIPL</v>
      </c>
      <c r="I1382" s="35" t="str">
        <f>IFERROR(_xlfn.XLOOKUP(Table6[[#This Row],[Affected WTG]],'Basic Data'!$A:$A,'Basic Data'!$C:$C),"")</f>
        <v>GEDA</v>
      </c>
      <c r="J1382" s="471">
        <f>IFERROR(_xlfn.XLOOKUP(Table6[[#This Row],[Affected WTG]],'Basic Data'!$A:$A,'Basic Data'!$E:$E),"")</f>
        <v>3.846153846153845E-2</v>
      </c>
      <c r="K1382" s="102">
        <v>665</v>
      </c>
      <c r="L1382" s="35" t="str">
        <f>IFERROR(_xlfn.XLOOKUP(Table6[[#This Row],[Error Code]],'Basic Data'!$AA:$AA,'Basic Data'!$AB:$AB),"Incorrect Error Code")</f>
        <v>Pitch error</v>
      </c>
      <c r="M1382" s="35" t="s">
        <v>291</v>
      </c>
      <c r="N1382" s="475"/>
      <c r="O1382" s="476">
        <v>7.6388888888888895E-2</v>
      </c>
      <c r="P1382" s="476">
        <v>7.6388888888888895E-2</v>
      </c>
      <c r="Q1382" s="477">
        <v>7.7777777777777779E-2</v>
      </c>
      <c r="R1382" s="472">
        <f>IF(Table6[[#This Row],[Work Start TimeStamp]]="","",(Table6[[#This Row],[Work Start TimeStamp]]-Table6[[#This Row],[Fault Start TimeStamp]])*24)</f>
        <v>0</v>
      </c>
      <c r="S1382" s="472">
        <f>(Table6[[#This Row],[Fault Clearance time]]-Table6[[#This Row],[Work Start TimeStamp]])*24</f>
        <v>3.3333333333333215E-2</v>
      </c>
      <c r="T1382" s="472">
        <f>(Table6[[#This Row],[Fault Clearance time]]-Table6[[#This Row],[Fault Start TimeStamp]])*24</f>
        <v>3.3333333333333215E-2</v>
      </c>
      <c r="U1382" s="35" t="s">
        <v>1924</v>
      </c>
      <c r="V1382" s="102" t="s">
        <v>293</v>
      </c>
      <c r="W1382" s="478">
        <f>IFERROR(Table6[[#This Row],[Breakdown Time]]*Table6[[#This Row],[Plant Equivalent Weightage]],"")</f>
        <v>1.2820512820512771E-3</v>
      </c>
      <c r="X1382" s="473" t="s">
        <v>290</v>
      </c>
      <c r="Y1382" s="474" t="s">
        <v>99</v>
      </c>
      <c r="Z1382" s="102">
        <v>55208</v>
      </c>
      <c r="AA1382" s="468">
        <f>(Table6[[#This Row],[Paired WTG Generation for loss calculation]]/24)*Table6[[#This Row],[Breakdown Time]]</f>
        <v>76.677777777777507</v>
      </c>
      <c r="AB1382" s="102"/>
      <c r="AC1382" s="35"/>
      <c r="AD1382" s="35"/>
    </row>
    <row r="1383" spans="1:30">
      <c r="A1383" s="102">
        <f t="shared" si="22"/>
        <v>1382</v>
      </c>
      <c r="B1383" s="468">
        <f>YEAR(Table6[[#This Row],[Date]])+IF(MONTH(Table6[[#This Row],[Date]])&gt;=4,1,0)</f>
        <v>2026</v>
      </c>
      <c r="C1383" s="102">
        <f>YEAR(Table6[[#This Row],[Date]])</f>
        <v>2025</v>
      </c>
      <c r="D1383" s="102" t="s">
        <v>1992</v>
      </c>
      <c r="E1383" s="469">
        <f>Table6[[#This Row],[Date]]-DAY(Table6[[#This Row],[Date]])+1</f>
        <v>45809</v>
      </c>
      <c r="F1383" s="470">
        <v>45837</v>
      </c>
      <c r="G1383" s="35" t="s">
        <v>81</v>
      </c>
      <c r="H1383" s="35" t="str">
        <f>IFERROR(_xlfn.XLOOKUP(Table6[[#This Row],[Affected WTG]],'Basic Data'!$A:$A,'Basic Data'!$B:$B),"")</f>
        <v>TQGXIIPL</v>
      </c>
      <c r="I1383" s="35" t="str">
        <f>IFERROR(_xlfn.XLOOKUP(Table6[[#This Row],[Affected WTG]],'Basic Data'!$A:$A,'Basic Data'!$C:$C),"")</f>
        <v>GEDA</v>
      </c>
      <c r="J1383" s="471">
        <f>IFERROR(_xlfn.XLOOKUP(Table6[[#This Row],[Affected WTG]],'Basic Data'!$A:$A,'Basic Data'!$E:$E),"")</f>
        <v>3.846153846153845E-2</v>
      </c>
      <c r="K1383" s="102">
        <v>665</v>
      </c>
      <c r="L1383" s="35" t="str">
        <f>IFERROR(_xlfn.XLOOKUP(Table6[[#This Row],[Error Code]],'Basic Data'!$AA:$AA,'Basic Data'!$AB:$AB),"Incorrect Error Code")</f>
        <v>Pitch error</v>
      </c>
      <c r="M1383" s="35" t="s">
        <v>291</v>
      </c>
      <c r="N1383" s="475"/>
      <c r="O1383" s="476">
        <v>0.28472222222222221</v>
      </c>
      <c r="P1383" s="476">
        <v>0.28472222222222221</v>
      </c>
      <c r="Q1383" s="477">
        <v>0.28819444444444442</v>
      </c>
      <c r="R1383" s="472">
        <f>IF(Table6[[#This Row],[Work Start TimeStamp]]="","",(Table6[[#This Row],[Work Start TimeStamp]]-Table6[[#This Row],[Fault Start TimeStamp]])*24)</f>
        <v>0</v>
      </c>
      <c r="S1383" s="472">
        <f>(Table6[[#This Row],[Fault Clearance time]]-Table6[[#This Row],[Work Start TimeStamp]])*24</f>
        <v>8.3333333333333037E-2</v>
      </c>
      <c r="T1383" s="472">
        <f>(Table6[[#This Row],[Fault Clearance time]]-Table6[[#This Row],[Fault Start TimeStamp]])*24</f>
        <v>8.3333333333333037E-2</v>
      </c>
      <c r="U1383" s="35" t="s">
        <v>1924</v>
      </c>
      <c r="V1383" s="102" t="s">
        <v>293</v>
      </c>
      <c r="W1383" s="478">
        <f>IFERROR(Table6[[#This Row],[Breakdown Time]]*Table6[[#This Row],[Plant Equivalent Weightage]],"")</f>
        <v>3.2051282051281929E-3</v>
      </c>
      <c r="X1383" s="473" t="s">
        <v>290</v>
      </c>
      <c r="Y1383" s="474" t="s">
        <v>99</v>
      </c>
      <c r="Z1383" s="102">
        <v>55208</v>
      </c>
      <c r="AA1383" s="468">
        <f>(Table6[[#This Row],[Paired WTG Generation for loss calculation]]/24)*Table6[[#This Row],[Breakdown Time]]</f>
        <v>191.69444444444377</v>
      </c>
      <c r="AB1383" s="102"/>
      <c r="AC1383" s="35"/>
      <c r="AD1383" s="35"/>
    </row>
    <row r="1384" spans="1:30">
      <c r="A1384" s="102">
        <f t="shared" si="22"/>
        <v>1383</v>
      </c>
      <c r="B1384" s="468">
        <f>YEAR(Table6[[#This Row],[Date]])+IF(MONTH(Table6[[#This Row],[Date]])&gt;=4,1,0)</f>
        <v>2026</v>
      </c>
      <c r="C1384" s="102">
        <f>YEAR(Table6[[#This Row],[Date]])</f>
        <v>2025</v>
      </c>
      <c r="D1384" s="102" t="s">
        <v>1992</v>
      </c>
      <c r="E1384" s="469">
        <f>Table6[[#This Row],[Date]]-DAY(Table6[[#This Row],[Date]])+1</f>
        <v>45809</v>
      </c>
      <c r="F1384" s="470">
        <v>45837</v>
      </c>
      <c r="G1384" s="35" t="s">
        <v>81</v>
      </c>
      <c r="H1384" s="35" t="str">
        <f>IFERROR(_xlfn.XLOOKUP(Table6[[#This Row],[Affected WTG]],'Basic Data'!$A:$A,'Basic Data'!$B:$B),"")</f>
        <v>TQGXIIPL</v>
      </c>
      <c r="I1384" s="35" t="str">
        <f>IFERROR(_xlfn.XLOOKUP(Table6[[#This Row],[Affected WTG]],'Basic Data'!$A:$A,'Basic Data'!$C:$C),"")</f>
        <v>GEDA</v>
      </c>
      <c r="J1384" s="471">
        <f>IFERROR(_xlfn.XLOOKUP(Table6[[#This Row],[Affected WTG]],'Basic Data'!$A:$A,'Basic Data'!$E:$E),"")</f>
        <v>3.846153846153845E-2</v>
      </c>
      <c r="K1384" s="102">
        <v>665</v>
      </c>
      <c r="L1384" s="35" t="str">
        <f>IFERROR(_xlfn.XLOOKUP(Table6[[#This Row],[Error Code]],'Basic Data'!$AA:$AA,'Basic Data'!$AB:$AB),"Incorrect Error Code")</f>
        <v>Pitch error</v>
      </c>
      <c r="M1384" s="35" t="s">
        <v>291</v>
      </c>
      <c r="N1384" s="475"/>
      <c r="O1384" s="476">
        <v>0.3215277777777778</v>
      </c>
      <c r="P1384" s="476">
        <v>0.3215277777777778</v>
      </c>
      <c r="Q1384" s="477">
        <v>0.32500000000000001</v>
      </c>
      <c r="R1384" s="472">
        <f>IF(Table6[[#This Row],[Work Start TimeStamp]]="","",(Table6[[#This Row],[Work Start TimeStamp]]-Table6[[#This Row],[Fault Start TimeStamp]])*24)</f>
        <v>0</v>
      </c>
      <c r="S1384" s="472">
        <f>(Table6[[#This Row],[Fault Clearance time]]-Table6[[#This Row],[Work Start TimeStamp]])*24</f>
        <v>8.3333333333333037E-2</v>
      </c>
      <c r="T1384" s="472">
        <f>(Table6[[#This Row],[Fault Clearance time]]-Table6[[#This Row],[Fault Start TimeStamp]])*24</f>
        <v>8.3333333333333037E-2</v>
      </c>
      <c r="U1384" s="35" t="s">
        <v>1924</v>
      </c>
      <c r="V1384" s="102" t="s">
        <v>293</v>
      </c>
      <c r="W1384" s="478">
        <f>IFERROR(Table6[[#This Row],[Breakdown Time]]*Table6[[#This Row],[Plant Equivalent Weightage]],"")</f>
        <v>3.2051282051281929E-3</v>
      </c>
      <c r="X1384" s="473" t="s">
        <v>290</v>
      </c>
      <c r="Y1384" s="474" t="s">
        <v>99</v>
      </c>
      <c r="Z1384" s="102">
        <v>55208</v>
      </c>
      <c r="AA1384" s="468">
        <f>(Table6[[#This Row],[Paired WTG Generation for loss calculation]]/24)*Table6[[#This Row],[Breakdown Time]]</f>
        <v>191.69444444444377</v>
      </c>
      <c r="AB1384" s="102"/>
      <c r="AC1384" s="35"/>
      <c r="AD1384" s="35"/>
    </row>
    <row r="1385" spans="1:30">
      <c r="A1385" s="102">
        <f t="shared" si="22"/>
        <v>1384</v>
      </c>
      <c r="B1385" s="468">
        <f>YEAR(Table6[[#This Row],[Date]])+IF(MONTH(Table6[[#This Row],[Date]])&gt;=4,1,0)</f>
        <v>2026</v>
      </c>
      <c r="C1385" s="102">
        <f>YEAR(Table6[[#This Row],[Date]])</f>
        <v>2025</v>
      </c>
      <c r="D1385" s="102" t="s">
        <v>1992</v>
      </c>
      <c r="E1385" s="469">
        <f>Table6[[#This Row],[Date]]-DAY(Table6[[#This Row],[Date]])+1</f>
        <v>45809</v>
      </c>
      <c r="F1385" s="470">
        <v>45837</v>
      </c>
      <c r="G1385" s="35" t="s">
        <v>81</v>
      </c>
      <c r="H1385" s="35" t="str">
        <f>IFERROR(_xlfn.XLOOKUP(Table6[[#This Row],[Affected WTG]],'Basic Data'!$A:$A,'Basic Data'!$B:$B),"")</f>
        <v>TQGXIIPL</v>
      </c>
      <c r="I1385" s="35" t="str">
        <f>IFERROR(_xlfn.XLOOKUP(Table6[[#This Row],[Affected WTG]],'Basic Data'!$A:$A,'Basic Data'!$C:$C),"")</f>
        <v>GEDA</v>
      </c>
      <c r="J1385" s="471">
        <f>IFERROR(_xlfn.XLOOKUP(Table6[[#This Row],[Affected WTG]],'Basic Data'!$A:$A,'Basic Data'!$E:$E),"")</f>
        <v>3.846153846153845E-2</v>
      </c>
      <c r="K1385" s="102">
        <v>665</v>
      </c>
      <c r="L1385" s="35" t="str">
        <f>IFERROR(_xlfn.XLOOKUP(Table6[[#This Row],[Error Code]],'Basic Data'!$AA:$AA,'Basic Data'!$AB:$AB),"Incorrect Error Code")</f>
        <v>Pitch error</v>
      </c>
      <c r="M1385" s="35" t="s">
        <v>291</v>
      </c>
      <c r="N1385" s="475"/>
      <c r="O1385" s="476">
        <v>0.42638888888888887</v>
      </c>
      <c r="P1385" s="476">
        <v>0.42638888888888887</v>
      </c>
      <c r="Q1385" s="477">
        <v>0.4375</v>
      </c>
      <c r="R1385" s="472">
        <f>IF(Table6[[#This Row],[Work Start TimeStamp]]="","",(Table6[[#This Row],[Work Start TimeStamp]]-Table6[[#This Row],[Fault Start TimeStamp]])*24)</f>
        <v>0</v>
      </c>
      <c r="S1385" s="472">
        <f>(Table6[[#This Row],[Fault Clearance time]]-Table6[[#This Row],[Work Start TimeStamp]])*24</f>
        <v>0.26666666666666705</v>
      </c>
      <c r="T1385" s="472">
        <f>(Table6[[#This Row],[Fault Clearance time]]-Table6[[#This Row],[Fault Start TimeStamp]])*24</f>
        <v>0.26666666666666705</v>
      </c>
      <c r="U1385" s="35" t="s">
        <v>1924</v>
      </c>
      <c r="V1385" s="102" t="s">
        <v>293</v>
      </c>
      <c r="W1385" s="478">
        <f>IFERROR(Table6[[#This Row],[Breakdown Time]]*Table6[[#This Row],[Plant Equivalent Weightage]],"")</f>
        <v>1.0256410256410269E-2</v>
      </c>
      <c r="X1385" s="473" t="s">
        <v>290</v>
      </c>
      <c r="Y1385" s="474" t="s">
        <v>99</v>
      </c>
      <c r="Z1385" s="102">
        <v>55208</v>
      </c>
      <c r="AA1385" s="468">
        <f>(Table6[[#This Row],[Paired WTG Generation for loss calculation]]/24)*Table6[[#This Row],[Breakdown Time]]</f>
        <v>613.42222222222313</v>
      </c>
      <c r="AB1385" s="102"/>
      <c r="AC1385" s="35"/>
      <c r="AD1385" s="35"/>
    </row>
    <row r="1386" spans="1:30">
      <c r="A1386" s="102">
        <f t="shared" si="22"/>
        <v>1385</v>
      </c>
      <c r="B1386" s="468">
        <f>YEAR(Table6[[#This Row],[Date]])+IF(MONTH(Table6[[#This Row],[Date]])&gt;=4,1,0)</f>
        <v>2026</v>
      </c>
      <c r="C1386" s="102">
        <f>YEAR(Table6[[#This Row],[Date]])</f>
        <v>2025</v>
      </c>
      <c r="D1386" s="102" t="s">
        <v>1992</v>
      </c>
      <c r="E1386" s="469">
        <f>Table6[[#This Row],[Date]]-DAY(Table6[[#This Row],[Date]])+1</f>
        <v>45809</v>
      </c>
      <c r="F1386" s="470">
        <v>45837</v>
      </c>
      <c r="G1386" s="35" t="s">
        <v>81</v>
      </c>
      <c r="H1386" s="35" t="str">
        <f>IFERROR(_xlfn.XLOOKUP(Table6[[#This Row],[Affected WTG]],'Basic Data'!$A:$A,'Basic Data'!$B:$B),"")</f>
        <v>TQGXIIPL</v>
      </c>
      <c r="I1386" s="35" t="str">
        <f>IFERROR(_xlfn.XLOOKUP(Table6[[#This Row],[Affected WTG]],'Basic Data'!$A:$A,'Basic Data'!$C:$C),"")</f>
        <v>GEDA</v>
      </c>
      <c r="J1386" s="471">
        <f>IFERROR(_xlfn.XLOOKUP(Table6[[#This Row],[Affected WTG]],'Basic Data'!$A:$A,'Basic Data'!$E:$E),"")</f>
        <v>3.846153846153845E-2</v>
      </c>
      <c r="K1386" s="102">
        <v>665</v>
      </c>
      <c r="L1386" s="35" t="str">
        <f>IFERROR(_xlfn.XLOOKUP(Table6[[#This Row],[Error Code]],'Basic Data'!$AA:$AA,'Basic Data'!$AB:$AB),"Incorrect Error Code")</f>
        <v>Pitch error</v>
      </c>
      <c r="M1386" s="35" t="s">
        <v>291</v>
      </c>
      <c r="N1386" s="475"/>
      <c r="O1386" s="476">
        <v>0.49166666666666664</v>
      </c>
      <c r="P1386" s="476">
        <v>0.49166666666666664</v>
      </c>
      <c r="Q1386" s="477">
        <v>0.49861111111111112</v>
      </c>
      <c r="R1386" s="472">
        <f>IF(Table6[[#This Row],[Work Start TimeStamp]]="","",(Table6[[#This Row],[Work Start TimeStamp]]-Table6[[#This Row],[Fault Start TimeStamp]])*24)</f>
        <v>0</v>
      </c>
      <c r="S1386" s="472">
        <f>(Table6[[#This Row],[Fault Clearance time]]-Table6[[#This Row],[Work Start TimeStamp]])*24</f>
        <v>0.16666666666666741</v>
      </c>
      <c r="T1386" s="472">
        <f>(Table6[[#This Row],[Fault Clearance time]]-Table6[[#This Row],[Fault Start TimeStamp]])*24</f>
        <v>0.16666666666666741</v>
      </c>
      <c r="U1386" s="35" t="s">
        <v>1924</v>
      </c>
      <c r="V1386" s="102" t="s">
        <v>293</v>
      </c>
      <c r="W1386" s="478">
        <f>IFERROR(Table6[[#This Row],[Breakdown Time]]*Table6[[#This Row],[Plant Equivalent Weightage]],"")</f>
        <v>6.4102564102564369E-3</v>
      </c>
      <c r="X1386" s="473" t="s">
        <v>290</v>
      </c>
      <c r="Y1386" s="474" t="s">
        <v>99</v>
      </c>
      <c r="Z1386" s="102">
        <v>55208</v>
      </c>
      <c r="AA1386" s="468">
        <f>(Table6[[#This Row],[Paired WTG Generation for loss calculation]]/24)*Table6[[#This Row],[Breakdown Time]]</f>
        <v>383.38888888889062</v>
      </c>
      <c r="AB1386" s="102"/>
      <c r="AC1386" s="35"/>
      <c r="AD1386" s="35"/>
    </row>
    <row r="1387" spans="1:30">
      <c r="A1387" s="102">
        <f t="shared" si="22"/>
        <v>1386</v>
      </c>
      <c r="B1387" s="468">
        <f>YEAR(Table6[[#This Row],[Date]])+IF(MONTH(Table6[[#This Row],[Date]])&gt;=4,1,0)</f>
        <v>2026</v>
      </c>
      <c r="C1387" s="102">
        <f>YEAR(Table6[[#This Row],[Date]])</f>
        <v>2025</v>
      </c>
      <c r="D1387" s="102" t="s">
        <v>1992</v>
      </c>
      <c r="E1387" s="469">
        <f>Table6[[#This Row],[Date]]-DAY(Table6[[#This Row],[Date]])+1</f>
        <v>45809</v>
      </c>
      <c r="F1387" s="470">
        <v>45837</v>
      </c>
      <c r="G1387" s="35" t="s">
        <v>81</v>
      </c>
      <c r="H1387" s="35" t="str">
        <f>IFERROR(_xlfn.XLOOKUP(Table6[[#This Row],[Affected WTG]],'Basic Data'!$A:$A,'Basic Data'!$B:$B),"")</f>
        <v>TQGXIIPL</v>
      </c>
      <c r="I1387" s="35" t="str">
        <f>IFERROR(_xlfn.XLOOKUP(Table6[[#This Row],[Affected WTG]],'Basic Data'!$A:$A,'Basic Data'!$C:$C),"")</f>
        <v>GEDA</v>
      </c>
      <c r="J1387" s="471">
        <f>IFERROR(_xlfn.XLOOKUP(Table6[[#This Row],[Affected WTG]],'Basic Data'!$A:$A,'Basic Data'!$E:$E),"")</f>
        <v>3.846153846153845E-2</v>
      </c>
      <c r="K1387" s="102">
        <v>641</v>
      </c>
      <c r="L1387" s="35" t="str">
        <f>IFERROR(_xlfn.XLOOKUP(Table6[[#This Row],[Error Code]],'Basic Data'!$AA:$AA,'Basic Data'!$AB:$AB),"Incorrect Error Code")</f>
        <v>Sim.angle E enc. &lt;&gt; act.angle 1</v>
      </c>
      <c r="M1387" s="35" t="s">
        <v>291</v>
      </c>
      <c r="N1387" s="475"/>
      <c r="O1387" s="476">
        <v>0.58333333333333337</v>
      </c>
      <c r="P1387" s="476">
        <v>0.58333333333333337</v>
      </c>
      <c r="Q1387" s="477">
        <v>0.60069444444444442</v>
      </c>
      <c r="R1387" s="472">
        <f>IF(Table6[[#This Row],[Work Start TimeStamp]]="","",(Table6[[#This Row],[Work Start TimeStamp]]-Table6[[#This Row],[Fault Start TimeStamp]])*24)</f>
        <v>0</v>
      </c>
      <c r="S1387" s="472">
        <f>(Table6[[#This Row],[Fault Clearance time]]-Table6[[#This Row],[Work Start TimeStamp]])*24</f>
        <v>0.41666666666666519</v>
      </c>
      <c r="T1387" s="472">
        <f>(Table6[[#This Row],[Fault Clearance time]]-Table6[[#This Row],[Fault Start TimeStamp]])*24</f>
        <v>0.41666666666666519</v>
      </c>
      <c r="U1387" s="35" t="s">
        <v>1924</v>
      </c>
      <c r="V1387" s="102" t="s">
        <v>293</v>
      </c>
      <c r="W1387" s="478">
        <f>IFERROR(Table6[[#This Row],[Breakdown Time]]*Table6[[#This Row],[Plant Equivalent Weightage]],"")</f>
        <v>1.6025641025640965E-2</v>
      </c>
      <c r="X1387" s="473" t="s">
        <v>290</v>
      </c>
      <c r="Y1387" s="474" t="s">
        <v>99</v>
      </c>
      <c r="Z1387" s="102">
        <v>55208</v>
      </c>
      <c r="AA1387" s="468">
        <f>(Table6[[#This Row],[Paired WTG Generation for loss calculation]]/24)*Table6[[#This Row],[Breakdown Time]]</f>
        <v>958.47222222221887</v>
      </c>
      <c r="AB1387" s="102"/>
      <c r="AC1387" s="35"/>
      <c r="AD1387" s="35"/>
    </row>
    <row r="1388" spans="1:30">
      <c r="A1388" s="102">
        <f t="shared" si="22"/>
        <v>1387</v>
      </c>
      <c r="B1388" s="468">
        <f>YEAR(Table6[[#This Row],[Date]])+IF(MONTH(Table6[[#This Row],[Date]])&gt;=4,1,0)</f>
        <v>2026</v>
      </c>
      <c r="C1388" s="102">
        <f>YEAR(Table6[[#This Row],[Date]])</f>
        <v>2025</v>
      </c>
      <c r="D1388" s="102" t="s">
        <v>1992</v>
      </c>
      <c r="E1388" s="469">
        <f>Table6[[#This Row],[Date]]-DAY(Table6[[#This Row],[Date]])+1</f>
        <v>45809</v>
      </c>
      <c r="F1388" s="470">
        <v>45837</v>
      </c>
      <c r="G1388" s="35" t="s">
        <v>81</v>
      </c>
      <c r="H1388" s="35" t="str">
        <f>IFERROR(_xlfn.XLOOKUP(Table6[[#This Row],[Affected WTG]],'Basic Data'!$A:$A,'Basic Data'!$B:$B),"")</f>
        <v>TQGXIIPL</v>
      </c>
      <c r="I1388" s="35" t="str">
        <f>IFERROR(_xlfn.XLOOKUP(Table6[[#This Row],[Affected WTG]],'Basic Data'!$A:$A,'Basic Data'!$C:$C),"")</f>
        <v>GEDA</v>
      </c>
      <c r="J1388" s="471">
        <f>IFERROR(_xlfn.XLOOKUP(Table6[[#This Row],[Affected WTG]],'Basic Data'!$A:$A,'Basic Data'!$E:$E),"")</f>
        <v>3.846153846153845E-2</v>
      </c>
      <c r="K1388" s="102">
        <v>641</v>
      </c>
      <c r="L1388" s="35" t="str">
        <f>IFERROR(_xlfn.XLOOKUP(Table6[[#This Row],[Error Code]],'Basic Data'!$AA:$AA,'Basic Data'!$AB:$AB),"Incorrect Error Code")</f>
        <v>Sim.angle E enc. &lt;&gt; act.angle 1</v>
      </c>
      <c r="M1388" s="35" t="s">
        <v>291</v>
      </c>
      <c r="N1388" s="475"/>
      <c r="O1388" s="476">
        <v>0.78888888888888886</v>
      </c>
      <c r="P1388" s="476">
        <v>0.78888888888888886</v>
      </c>
      <c r="Q1388" s="477">
        <v>0.80208333333333337</v>
      </c>
      <c r="R1388" s="472">
        <f>IF(Table6[[#This Row],[Work Start TimeStamp]]="","",(Table6[[#This Row],[Work Start TimeStamp]]-Table6[[#This Row],[Fault Start TimeStamp]])*24)</f>
        <v>0</v>
      </c>
      <c r="S1388" s="472">
        <f>(Table6[[#This Row],[Fault Clearance time]]-Table6[[#This Row],[Work Start TimeStamp]])*24</f>
        <v>0.31666666666666821</v>
      </c>
      <c r="T1388" s="472">
        <f>(Table6[[#This Row],[Fault Clearance time]]-Table6[[#This Row],[Fault Start TimeStamp]])*24</f>
        <v>0.31666666666666821</v>
      </c>
      <c r="U1388" s="35" t="s">
        <v>1924</v>
      </c>
      <c r="V1388" s="102" t="s">
        <v>293</v>
      </c>
      <c r="W1388" s="478">
        <f>IFERROR(Table6[[#This Row],[Breakdown Time]]*Table6[[#This Row],[Plant Equivalent Weightage]],"")</f>
        <v>1.2179487179487235E-2</v>
      </c>
      <c r="X1388" s="473" t="s">
        <v>290</v>
      </c>
      <c r="Y1388" s="474" t="s">
        <v>99</v>
      </c>
      <c r="Z1388" s="102">
        <v>55208</v>
      </c>
      <c r="AA1388" s="468">
        <f>(Table6[[#This Row],[Paired WTG Generation for loss calculation]]/24)*Table6[[#This Row],[Breakdown Time]]</f>
        <v>728.43888888889251</v>
      </c>
      <c r="AB1388" s="102"/>
      <c r="AC1388" s="35"/>
      <c r="AD1388" s="35"/>
    </row>
    <row r="1389" spans="1:30">
      <c r="A1389" s="102">
        <f t="shared" si="22"/>
        <v>1388</v>
      </c>
      <c r="B1389" s="468">
        <f>YEAR(Table6[[#This Row],[Date]])+IF(MONTH(Table6[[#This Row],[Date]])&gt;=4,1,0)</f>
        <v>2026</v>
      </c>
      <c r="C1389" s="102">
        <f>YEAR(Table6[[#This Row],[Date]])</f>
        <v>2025</v>
      </c>
      <c r="D1389" s="102" t="s">
        <v>1992</v>
      </c>
      <c r="E1389" s="469">
        <f>Table6[[#This Row],[Date]]-DAY(Table6[[#This Row],[Date]])+1</f>
        <v>45809</v>
      </c>
      <c r="F1389" s="470">
        <v>45837</v>
      </c>
      <c r="G1389" s="35" t="s">
        <v>81</v>
      </c>
      <c r="H1389" s="35" t="str">
        <f>IFERROR(_xlfn.XLOOKUP(Table6[[#This Row],[Affected WTG]],'Basic Data'!$A:$A,'Basic Data'!$B:$B),"")</f>
        <v>TQGXIIPL</v>
      </c>
      <c r="I1389" s="35" t="str">
        <f>IFERROR(_xlfn.XLOOKUP(Table6[[#This Row],[Affected WTG]],'Basic Data'!$A:$A,'Basic Data'!$C:$C),"")</f>
        <v>GEDA</v>
      </c>
      <c r="J1389" s="471">
        <f>IFERROR(_xlfn.XLOOKUP(Table6[[#This Row],[Affected WTG]],'Basic Data'!$A:$A,'Basic Data'!$E:$E),"")</f>
        <v>3.846153846153845E-2</v>
      </c>
      <c r="K1389" s="102">
        <v>665</v>
      </c>
      <c r="L1389" s="35" t="str">
        <f>IFERROR(_xlfn.XLOOKUP(Table6[[#This Row],[Error Code]],'Basic Data'!$AA:$AA,'Basic Data'!$AB:$AB),"Incorrect Error Code")</f>
        <v>Pitch error</v>
      </c>
      <c r="M1389" s="35" t="s">
        <v>291</v>
      </c>
      <c r="N1389" s="475"/>
      <c r="O1389" s="476">
        <v>0.81597222222222221</v>
      </c>
      <c r="P1389" s="476">
        <v>0.81597222222222221</v>
      </c>
      <c r="Q1389" s="477">
        <v>0.82916666666666672</v>
      </c>
      <c r="R1389" s="472">
        <f>IF(Table6[[#This Row],[Work Start TimeStamp]]="","",(Table6[[#This Row],[Work Start TimeStamp]]-Table6[[#This Row],[Fault Start TimeStamp]])*24)</f>
        <v>0</v>
      </c>
      <c r="S1389" s="472">
        <f>(Table6[[#This Row],[Fault Clearance time]]-Table6[[#This Row],[Work Start TimeStamp]])*24</f>
        <v>0.31666666666666821</v>
      </c>
      <c r="T1389" s="472">
        <f>(Table6[[#This Row],[Fault Clearance time]]-Table6[[#This Row],[Fault Start TimeStamp]])*24</f>
        <v>0.31666666666666821</v>
      </c>
      <c r="U1389" s="35" t="s">
        <v>1924</v>
      </c>
      <c r="V1389" s="102" t="s">
        <v>293</v>
      </c>
      <c r="W1389" s="478">
        <f>IFERROR(Table6[[#This Row],[Breakdown Time]]*Table6[[#This Row],[Plant Equivalent Weightage]],"")</f>
        <v>1.2179487179487235E-2</v>
      </c>
      <c r="X1389" s="473" t="s">
        <v>290</v>
      </c>
      <c r="Y1389" s="474" t="s">
        <v>99</v>
      </c>
      <c r="Z1389" s="102">
        <v>55208</v>
      </c>
      <c r="AA1389" s="468">
        <f>(Table6[[#This Row],[Paired WTG Generation for loss calculation]]/24)*Table6[[#This Row],[Breakdown Time]]</f>
        <v>728.43888888889251</v>
      </c>
      <c r="AB1389" s="102"/>
      <c r="AC1389" s="35"/>
      <c r="AD1389" s="35"/>
    </row>
    <row r="1390" spans="1:30">
      <c r="A1390" s="102">
        <f t="shared" si="22"/>
        <v>1389</v>
      </c>
      <c r="B1390" s="468">
        <f>YEAR(Table6[[#This Row],[Date]])+IF(MONTH(Table6[[#This Row],[Date]])&gt;=4,1,0)</f>
        <v>2026</v>
      </c>
      <c r="C1390" s="102">
        <f>YEAR(Table6[[#This Row],[Date]])</f>
        <v>2025</v>
      </c>
      <c r="D1390" s="102" t="s">
        <v>1992</v>
      </c>
      <c r="E1390" s="469">
        <f>Table6[[#This Row],[Date]]-DAY(Table6[[#This Row],[Date]])+1</f>
        <v>45809</v>
      </c>
      <c r="F1390" s="470">
        <v>45837</v>
      </c>
      <c r="G1390" s="35" t="s">
        <v>82</v>
      </c>
      <c r="H1390" s="35" t="str">
        <f>IFERROR(_xlfn.XLOOKUP(Table6[[#This Row],[Affected WTG]],'Basic Data'!$A:$A,'Basic Data'!$B:$B),"")</f>
        <v>TQGXIIPL</v>
      </c>
      <c r="I1390" s="35" t="str">
        <f>IFERROR(_xlfn.XLOOKUP(Table6[[#This Row],[Affected WTG]],'Basic Data'!$A:$A,'Basic Data'!$C:$C),"")</f>
        <v>GEDA</v>
      </c>
      <c r="J1390" s="471">
        <f>IFERROR(_xlfn.XLOOKUP(Table6[[#This Row],[Affected WTG]],'Basic Data'!$A:$A,'Basic Data'!$E:$E),"")</f>
        <v>3.846153846153845E-2</v>
      </c>
      <c r="K1390" s="102">
        <v>4970</v>
      </c>
      <c r="L1390" s="35" t="str">
        <f>IFERROR(_xlfn.XLOOKUP(Table6[[#This Row],[Error Code]],'Basic Data'!$AA:$AA,'Basic Data'!$AB:$AB),"Incorrect Error Code")</f>
        <v>Tower oscillation XF</v>
      </c>
      <c r="M1390" s="35" t="s">
        <v>291</v>
      </c>
      <c r="N1390" s="475"/>
      <c r="O1390" s="476">
        <v>0.52430555555555558</v>
      </c>
      <c r="P1390" s="476">
        <v>0.52430555555555558</v>
      </c>
      <c r="Q1390" s="477">
        <v>0.53541666666666665</v>
      </c>
      <c r="R1390" s="472">
        <f>IF(Table6[[#This Row],[Work Start TimeStamp]]="","",(Table6[[#This Row],[Work Start TimeStamp]]-Table6[[#This Row],[Fault Start TimeStamp]])*24)</f>
        <v>0</v>
      </c>
      <c r="S1390" s="472">
        <f>(Table6[[#This Row],[Fault Clearance time]]-Table6[[#This Row],[Work Start TimeStamp]])*24</f>
        <v>0.26666666666666572</v>
      </c>
      <c r="T1390" s="472">
        <f>(Table6[[#This Row],[Fault Clearance time]]-Table6[[#This Row],[Fault Start TimeStamp]])*24</f>
        <v>0.26666666666666572</v>
      </c>
      <c r="U1390" s="35" t="s">
        <v>336</v>
      </c>
      <c r="V1390" s="102" t="s">
        <v>293</v>
      </c>
      <c r="W1390" s="478">
        <f>IFERROR(Table6[[#This Row],[Breakdown Time]]*Table6[[#This Row],[Plant Equivalent Weightage]],"")</f>
        <v>1.0256410256410217E-2</v>
      </c>
      <c r="X1390" s="473" t="s">
        <v>294</v>
      </c>
      <c r="Y1390" s="474" t="s">
        <v>76</v>
      </c>
      <c r="Z1390" s="102">
        <v>53336</v>
      </c>
      <c r="AA1390" s="468">
        <f>(Table6[[#This Row],[Paired WTG Generation for loss calculation]]/24)*Table6[[#This Row],[Breakdown Time]]</f>
        <v>592.6222222222201</v>
      </c>
      <c r="AB1390" s="102"/>
      <c r="AC1390" s="35"/>
      <c r="AD1390" s="35"/>
    </row>
    <row r="1391" spans="1:30">
      <c r="A1391" s="102">
        <f t="shared" si="22"/>
        <v>1390</v>
      </c>
      <c r="B1391" s="468">
        <f>YEAR(Table6[[#This Row],[Date]])+IF(MONTH(Table6[[#This Row],[Date]])&gt;=4,1,0)</f>
        <v>2026</v>
      </c>
      <c r="C1391" s="102">
        <f>YEAR(Table6[[#This Row],[Date]])</f>
        <v>2025</v>
      </c>
      <c r="D1391" s="102" t="s">
        <v>1992</v>
      </c>
      <c r="E1391" s="469">
        <f>Table6[[#This Row],[Date]]-DAY(Table6[[#This Row],[Date]])+1</f>
        <v>45809</v>
      </c>
      <c r="F1391" s="470">
        <v>45837</v>
      </c>
      <c r="G1391" s="35" t="s">
        <v>82</v>
      </c>
      <c r="H1391" s="35" t="str">
        <f>IFERROR(_xlfn.XLOOKUP(Table6[[#This Row],[Affected WTG]],'Basic Data'!$A:$A,'Basic Data'!$B:$B),"")</f>
        <v>TQGXIIPL</v>
      </c>
      <c r="I1391" s="35" t="str">
        <f>IFERROR(_xlfn.XLOOKUP(Table6[[#This Row],[Affected WTG]],'Basic Data'!$A:$A,'Basic Data'!$C:$C),"")</f>
        <v>GEDA</v>
      </c>
      <c r="J1391" s="471">
        <f>IFERROR(_xlfn.XLOOKUP(Table6[[#This Row],[Affected WTG]],'Basic Data'!$A:$A,'Basic Data'!$E:$E),"")</f>
        <v>3.846153846153845E-2</v>
      </c>
      <c r="K1391" s="102">
        <v>3110</v>
      </c>
      <c r="L1391" s="35" t="str">
        <f>IFERROR(_xlfn.XLOOKUP(Table6[[#This Row],[Error Code]],'Basic Data'!$AA:$AA,'Basic Data'!$AB:$AB),"Incorrect Error Code")</f>
        <v>Frequency converter error</v>
      </c>
      <c r="M1391" s="35" t="s">
        <v>291</v>
      </c>
      <c r="N1391" s="475"/>
      <c r="O1391" s="476">
        <v>0.53819444444444442</v>
      </c>
      <c r="P1391" s="476">
        <v>0.53819444444444442</v>
      </c>
      <c r="Q1391" s="477">
        <v>0.5395833333333333</v>
      </c>
      <c r="R1391" s="472">
        <f>IF(Table6[[#This Row],[Work Start TimeStamp]]="","",(Table6[[#This Row],[Work Start TimeStamp]]-Table6[[#This Row],[Fault Start TimeStamp]])*24)</f>
        <v>0</v>
      </c>
      <c r="S1391" s="472">
        <f>(Table6[[#This Row],[Fault Clearance time]]-Table6[[#This Row],[Work Start TimeStamp]])*24</f>
        <v>3.3333333333333215E-2</v>
      </c>
      <c r="T1391" s="472">
        <f>(Table6[[#This Row],[Fault Clearance time]]-Table6[[#This Row],[Fault Start TimeStamp]])*24</f>
        <v>3.3333333333333215E-2</v>
      </c>
      <c r="U1391" s="35" t="s">
        <v>1924</v>
      </c>
      <c r="V1391" s="102" t="s">
        <v>293</v>
      </c>
      <c r="W1391" s="478">
        <f>IFERROR(Table6[[#This Row],[Breakdown Time]]*Table6[[#This Row],[Plant Equivalent Weightage]],"")</f>
        <v>1.2820512820512771E-3</v>
      </c>
      <c r="X1391" s="473" t="s">
        <v>290</v>
      </c>
      <c r="Y1391" s="474" t="s">
        <v>76</v>
      </c>
      <c r="Z1391" s="102">
        <v>53336</v>
      </c>
      <c r="AA1391" s="468">
        <f>(Table6[[#This Row],[Paired WTG Generation for loss calculation]]/24)*Table6[[#This Row],[Breakdown Time]]</f>
        <v>74.077777777777513</v>
      </c>
      <c r="AB1391" s="102"/>
      <c r="AC1391" s="35"/>
      <c r="AD1391" s="35"/>
    </row>
    <row r="1392" spans="1:30">
      <c r="A1392" s="102">
        <f t="shared" si="22"/>
        <v>1391</v>
      </c>
      <c r="B1392" s="468">
        <f>YEAR(Table6[[#This Row],[Date]])+IF(MONTH(Table6[[#This Row],[Date]])&gt;=4,1,0)</f>
        <v>2026</v>
      </c>
      <c r="C1392" s="102">
        <f>YEAR(Table6[[#This Row],[Date]])</f>
        <v>2025</v>
      </c>
      <c r="D1392" s="102" t="s">
        <v>1992</v>
      </c>
      <c r="E1392" s="469">
        <f>Table6[[#This Row],[Date]]-DAY(Table6[[#This Row],[Date]])+1</f>
        <v>45809</v>
      </c>
      <c r="F1392" s="470">
        <v>45837</v>
      </c>
      <c r="G1392" s="35" t="s">
        <v>82</v>
      </c>
      <c r="H1392" s="35" t="str">
        <f>IFERROR(_xlfn.XLOOKUP(Table6[[#This Row],[Affected WTG]],'Basic Data'!$A:$A,'Basic Data'!$B:$B),"")</f>
        <v>TQGXIIPL</v>
      </c>
      <c r="I1392" s="35" t="str">
        <f>IFERROR(_xlfn.XLOOKUP(Table6[[#This Row],[Affected WTG]],'Basic Data'!$A:$A,'Basic Data'!$C:$C),"")</f>
        <v>GEDA</v>
      </c>
      <c r="J1392" s="471">
        <f>IFERROR(_xlfn.XLOOKUP(Table6[[#This Row],[Affected WTG]],'Basic Data'!$A:$A,'Basic Data'!$E:$E),"")</f>
        <v>3.846153846153845E-2</v>
      </c>
      <c r="K1392" s="102">
        <v>551</v>
      </c>
      <c r="L1392" s="35" t="str">
        <f>IFERROR(_xlfn.XLOOKUP(Table6[[#This Row],[Error Code]],'Basic Data'!$AA:$AA,'Basic Data'!$AB:$AB),"Incorrect Error Code")</f>
        <v>Pitch motor current too high</v>
      </c>
      <c r="M1392" s="35" t="s">
        <v>291</v>
      </c>
      <c r="N1392" s="475"/>
      <c r="O1392" s="476">
        <v>0.80486111111111114</v>
      </c>
      <c r="P1392" s="476">
        <v>0.80486111111111114</v>
      </c>
      <c r="Q1392" s="477">
        <v>0.81319444444444444</v>
      </c>
      <c r="R1392" s="472">
        <f>IF(Table6[[#This Row],[Work Start TimeStamp]]="","",(Table6[[#This Row],[Work Start TimeStamp]]-Table6[[#This Row],[Fault Start TimeStamp]])*24)</f>
        <v>0</v>
      </c>
      <c r="S1392" s="472">
        <f>(Table6[[#This Row],[Fault Clearance time]]-Table6[[#This Row],[Work Start TimeStamp]])*24</f>
        <v>0.19999999999999929</v>
      </c>
      <c r="T1392" s="472">
        <f>(Table6[[#This Row],[Fault Clearance time]]-Table6[[#This Row],[Fault Start TimeStamp]])*24</f>
        <v>0.19999999999999929</v>
      </c>
      <c r="U1392" s="35" t="s">
        <v>1924</v>
      </c>
      <c r="V1392" s="102" t="s">
        <v>293</v>
      </c>
      <c r="W1392" s="478">
        <f>IFERROR(Table6[[#This Row],[Breakdown Time]]*Table6[[#This Row],[Plant Equivalent Weightage]],"")</f>
        <v>7.6923076923076624E-3</v>
      </c>
      <c r="X1392" s="473" t="s">
        <v>290</v>
      </c>
      <c r="Y1392" s="474" t="s">
        <v>76</v>
      </c>
      <c r="Z1392" s="102">
        <v>53336</v>
      </c>
      <c r="AA1392" s="468">
        <f>(Table6[[#This Row],[Paired WTG Generation for loss calculation]]/24)*Table6[[#This Row],[Breakdown Time]]</f>
        <v>444.46666666666511</v>
      </c>
      <c r="AB1392" s="102"/>
      <c r="AC1392" s="35"/>
      <c r="AD1392" s="35"/>
    </row>
    <row r="1393" spans="1:30">
      <c r="A1393" s="102">
        <f t="shared" si="22"/>
        <v>1392</v>
      </c>
      <c r="B1393" s="468">
        <f>YEAR(Table6[[#This Row],[Date]])+IF(MONTH(Table6[[#This Row],[Date]])&gt;=4,1,0)</f>
        <v>2026</v>
      </c>
      <c r="C1393" s="102">
        <f>YEAR(Table6[[#This Row],[Date]])</f>
        <v>2025</v>
      </c>
      <c r="D1393" s="102" t="s">
        <v>1992</v>
      </c>
      <c r="E1393" s="469">
        <f>Table6[[#This Row],[Date]]-DAY(Table6[[#This Row],[Date]])+1</f>
        <v>45809</v>
      </c>
      <c r="F1393" s="470">
        <v>45837</v>
      </c>
      <c r="G1393" s="35" t="s">
        <v>82</v>
      </c>
      <c r="H1393" s="35" t="str">
        <f>IFERROR(_xlfn.XLOOKUP(Table6[[#This Row],[Affected WTG]],'Basic Data'!$A:$A,'Basic Data'!$B:$B),"")</f>
        <v>TQGXIIPL</v>
      </c>
      <c r="I1393" s="35" t="str">
        <f>IFERROR(_xlfn.XLOOKUP(Table6[[#This Row],[Affected WTG]],'Basic Data'!$A:$A,'Basic Data'!$C:$C),"")</f>
        <v>GEDA</v>
      </c>
      <c r="J1393" s="471">
        <f>IFERROR(_xlfn.XLOOKUP(Table6[[#This Row],[Affected WTG]],'Basic Data'!$A:$A,'Basic Data'!$E:$E),"")</f>
        <v>3.846153846153845E-2</v>
      </c>
      <c r="K1393" s="102">
        <v>551</v>
      </c>
      <c r="L1393" s="35" t="str">
        <f>IFERROR(_xlfn.XLOOKUP(Table6[[#This Row],[Error Code]],'Basic Data'!$AA:$AA,'Basic Data'!$AB:$AB),"Incorrect Error Code")</f>
        <v>Pitch motor current too high</v>
      </c>
      <c r="M1393" s="35" t="s">
        <v>291</v>
      </c>
      <c r="N1393" s="475"/>
      <c r="O1393" s="476">
        <v>0.875</v>
      </c>
      <c r="P1393" s="476">
        <v>0.91666666666666663</v>
      </c>
      <c r="Q1393" s="477">
        <v>0.99998842592592596</v>
      </c>
      <c r="R1393" s="472">
        <f>IF(Table6[[#This Row],[Work Start TimeStamp]]="","",(Table6[[#This Row],[Work Start TimeStamp]]-Table6[[#This Row],[Fault Start TimeStamp]])*24)</f>
        <v>0.99999999999999911</v>
      </c>
      <c r="S1393" s="472">
        <f>(Table6[[#This Row],[Fault Clearance time]]-Table6[[#This Row],[Work Start TimeStamp]])*24</f>
        <v>1.999722222222224</v>
      </c>
      <c r="T1393" s="472">
        <f>(Table6[[#This Row],[Fault Clearance time]]-Table6[[#This Row],[Fault Start TimeStamp]])*24</f>
        <v>2.9997222222222231</v>
      </c>
      <c r="U1393" s="35" t="s">
        <v>2015</v>
      </c>
      <c r="V1393" s="102" t="s">
        <v>289</v>
      </c>
      <c r="W1393" s="478">
        <f>IFERROR(Table6[[#This Row],[Breakdown Time]]*Table6[[#This Row],[Plant Equivalent Weightage]],"")</f>
        <v>0.11537393162393163</v>
      </c>
      <c r="X1393" s="473" t="s">
        <v>290</v>
      </c>
      <c r="Y1393" s="474" t="s">
        <v>76</v>
      </c>
      <c r="Z1393" s="102">
        <v>53336</v>
      </c>
      <c r="AA1393" s="468">
        <f>(Table6[[#This Row],[Paired WTG Generation for loss calculation]]/24)*Table6[[#This Row],[Breakdown Time]]</f>
        <v>6666.3826851851873</v>
      </c>
      <c r="AB1393" s="102"/>
      <c r="AC1393" s="35"/>
      <c r="AD1393" s="35"/>
    </row>
    <row r="1394" spans="1:30">
      <c r="A1394" s="102">
        <f t="shared" si="22"/>
        <v>1393</v>
      </c>
      <c r="B1394" s="468">
        <f>YEAR(Table6[[#This Row],[Date]])+IF(MONTH(Table6[[#This Row],[Date]])&gt;=4,1,0)</f>
        <v>2026</v>
      </c>
      <c r="C1394" s="102">
        <f>YEAR(Table6[[#This Row],[Date]])</f>
        <v>2025</v>
      </c>
      <c r="D1394" s="102" t="s">
        <v>1992</v>
      </c>
      <c r="E1394" s="469">
        <f>Table6[[#This Row],[Date]]-DAY(Table6[[#This Row],[Date]])+1</f>
        <v>45809</v>
      </c>
      <c r="F1394" s="470">
        <v>45837</v>
      </c>
      <c r="G1394" s="35" t="s">
        <v>83</v>
      </c>
      <c r="H1394" s="35" t="str">
        <f>IFERROR(_xlfn.XLOOKUP(Table6[[#This Row],[Affected WTG]],'Basic Data'!$A:$A,'Basic Data'!$B:$B),"")</f>
        <v>TQGXIIPL</v>
      </c>
      <c r="I1394" s="35" t="str">
        <f>IFERROR(_xlfn.XLOOKUP(Table6[[#This Row],[Affected WTG]],'Basic Data'!$A:$A,'Basic Data'!$C:$C),"")</f>
        <v>GEDA</v>
      </c>
      <c r="J1394" s="471">
        <f>IFERROR(_xlfn.XLOOKUP(Table6[[#This Row],[Affected WTG]],'Basic Data'!$A:$A,'Basic Data'!$E:$E),"")</f>
        <v>3.846153846153845E-2</v>
      </c>
      <c r="K1394" s="102">
        <v>3271</v>
      </c>
      <c r="L1394" s="35" t="str">
        <f>IFERROR(_xlfn.XLOOKUP(Table6[[#This Row],[Error Code]],'Basic Data'!$AA:$AA,'Basic Data'!$AB:$AB),"Incorrect Error Code")</f>
        <v>Converter torque monitor level 1</v>
      </c>
      <c r="M1394" s="35" t="s">
        <v>291</v>
      </c>
      <c r="N1394" s="475"/>
      <c r="O1394" s="476">
        <v>0.81388888888888888</v>
      </c>
      <c r="P1394" s="476">
        <v>0.81388888888888888</v>
      </c>
      <c r="Q1394" s="477">
        <v>0.81527777777777777</v>
      </c>
      <c r="R1394" s="472">
        <f>IF(Table6[[#This Row],[Work Start TimeStamp]]="","",(Table6[[#This Row],[Work Start TimeStamp]]-Table6[[#This Row],[Fault Start TimeStamp]])*24)</f>
        <v>0</v>
      </c>
      <c r="S1394" s="472">
        <f>(Table6[[#This Row],[Fault Clearance time]]-Table6[[#This Row],[Work Start TimeStamp]])*24</f>
        <v>3.3333333333333215E-2</v>
      </c>
      <c r="T1394" s="472">
        <f>(Table6[[#This Row],[Fault Clearance time]]-Table6[[#This Row],[Fault Start TimeStamp]])*24</f>
        <v>3.3333333333333215E-2</v>
      </c>
      <c r="U1394" s="35" t="s">
        <v>1924</v>
      </c>
      <c r="V1394" s="102" t="s">
        <v>293</v>
      </c>
      <c r="W1394" s="478">
        <f>IFERROR(Table6[[#This Row],[Breakdown Time]]*Table6[[#This Row],[Plant Equivalent Weightage]],"")</f>
        <v>1.2820512820512771E-3</v>
      </c>
      <c r="X1394" s="473" t="s">
        <v>290</v>
      </c>
      <c r="Y1394" s="474" t="s">
        <v>88</v>
      </c>
      <c r="Z1394" s="102">
        <v>56720</v>
      </c>
      <c r="AA1394" s="468">
        <f>(Table6[[#This Row],[Paired WTG Generation for loss calculation]]/24)*Table6[[#This Row],[Breakdown Time]]</f>
        <v>78.777777777777501</v>
      </c>
      <c r="AB1394" s="102"/>
      <c r="AC1394" s="35"/>
      <c r="AD1394" s="35"/>
    </row>
    <row r="1395" spans="1:30">
      <c r="A1395" s="102">
        <f t="shared" si="22"/>
        <v>1394</v>
      </c>
      <c r="B1395" s="468">
        <f>YEAR(Table6[[#This Row],[Date]])+IF(MONTH(Table6[[#This Row],[Date]])&gt;=4,1,0)</f>
        <v>2026</v>
      </c>
      <c r="C1395" s="102">
        <f>YEAR(Table6[[#This Row],[Date]])</f>
        <v>2025</v>
      </c>
      <c r="D1395" s="102" t="s">
        <v>1992</v>
      </c>
      <c r="E1395" s="469">
        <f>Table6[[#This Row],[Date]]-DAY(Table6[[#This Row],[Date]])+1</f>
        <v>45809</v>
      </c>
      <c r="F1395" s="470">
        <v>45837</v>
      </c>
      <c r="G1395" s="35" t="s">
        <v>85</v>
      </c>
      <c r="H1395" s="35" t="str">
        <f>IFERROR(_xlfn.XLOOKUP(Table6[[#This Row],[Affected WTG]],'Basic Data'!$A:$A,'Basic Data'!$B:$B),"")</f>
        <v>TQGXIIPL</v>
      </c>
      <c r="I1395" s="35" t="str">
        <f>IFERROR(_xlfn.XLOOKUP(Table6[[#This Row],[Affected WTG]],'Basic Data'!$A:$A,'Basic Data'!$C:$C),"")</f>
        <v>GEDA</v>
      </c>
      <c r="J1395" s="471">
        <f>IFERROR(_xlfn.XLOOKUP(Table6[[#This Row],[Affected WTG]],'Basic Data'!$A:$A,'Basic Data'!$E:$E),"")</f>
        <v>3.846153846153845E-2</v>
      </c>
      <c r="K1395" s="102">
        <v>55</v>
      </c>
      <c r="L1395" s="35" t="str">
        <f>IFERROR(_xlfn.XLOOKUP(Table6[[#This Row],[Error Code]],'Basic Data'!$AA:$AA,'Basic Data'!$AB:$AB),"Incorrect Error Code")</f>
        <v>WTG shut down</v>
      </c>
      <c r="M1395" s="35" t="s">
        <v>295</v>
      </c>
      <c r="N1395" s="475"/>
      <c r="O1395" s="476">
        <v>0</v>
      </c>
      <c r="P1395" s="476">
        <v>0</v>
      </c>
      <c r="Q1395" s="477">
        <v>0.90277777777777779</v>
      </c>
      <c r="R1395" s="472">
        <f>IF(Table6[[#This Row],[Work Start TimeStamp]]="","",(Table6[[#This Row],[Work Start TimeStamp]]-Table6[[#This Row],[Fault Start TimeStamp]])*24)</f>
        <v>0</v>
      </c>
      <c r="S1395" s="472">
        <f>(Table6[[#This Row],[Fault Clearance time]]-Table6[[#This Row],[Work Start TimeStamp]])*24</f>
        <v>21.666666666666668</v>
      </c>
      <c r="T1395" s="472">
        <f>(Table6[[#This Row],[Fault Clearance time]]-Table6[[#This Row],[Fault Start TimeStamp]])*24</f>
        <v>21.666666666666668</v>
      </c>
      <c r="U1395" s="35" t="s">
        <v>2095</v>
      </c>
      <c r="V1395" s="102" t="s">
        <v>289</v>
      </c>
      <c r="W1395" s="478">
        <f>IFERROR(Table6[[#This Row],[Breakdown Time]]*Table6[[#This Row],[Plant Equivalent Weightage]],"")</f>
        <v>0.83333333333333315</v>
      </c>
      <c r="X1395" s="473" t="s">
        <v>523</v>
      </c>
      <c r="Y1395" s="474" t="s">
        <v>87</v>
      </c>
      <c r="Z1395" s="102">
        <v>58023</v>
      </c>
      <c r="AA1395" s="468">
        <f>(Table6[[#This Row],[Paired WTG Generation for loss calculation]]/24)*Table6[[#This Row],[Breakdown Time]]</f>
        <v>52381.875</v>
      </c>
      <c r="AB1395" s="102"/>
      <c r="AC1395" s="35"/>
      <c r="AD1395" s="35"/>
    </row>
    <row r="1396" spans="1:30">
      <c r="A1396" s="102">
        <f t="shared" si="22"/>
        <v>1395</v>
      </c>
      <c r="B1396" s="468">
        <f>YEAR(Table6[[#This Row],[Date]])+IF(MONTH(Table6[[#This Row],[Date]])&gt;=4,1,0)</f>
        <v>2026</v>
      </c>
      <c r="C1396" s="102">
        <f>YEAR(Table6[[#This Row],[Date]])</f>
        <v>2025</v>
      </c>
      <c r="D1396" s="102" t="s">
        <v>1992</v>
      </c>
      <c r="E1396" s="469">
        <f>Table6[[#This Row],[Date]]-DAY(Table6[[#This Row],[Date]])+1</f>
        <v>45809</v>
      </c>
      <c r="F1396" s="470">
        <v>45837</v>
      </c>
      <c r="G1396" s="35" t="s">
        <v>85</v>
      </c>
      <c r="H1396" s="35" t="str">
        <f>IFERROR(_xlfn.XLOOKUP(Table6[[#This Row],[Affected WTG]],'Basic Data'!$A:$A,'Basic Data'!$B:$B),"")</f>
        <v>TQGXIIPL</v>
      </c>
      <c r="I1396" s="35" t="str">
        <f>IFERROR(_xlfn.XLOOKUP(Table6[[#This Row],[Affected WTG]],'Basic Data'!$A:$A,'Basic Data'!$C:$C),"")</f>
        <v>GEDA</v>
      </c>
      <c r="J1396" s="471">
        <f>IFERROR(_xlfn.XLOOKUP(Table6[[#This Row],[Affected WTG]],'Basic Data'!$A:$A,'Basic Data'!$E:$E),"")</f>
        <v>3.846153846153845E-2</v>
      </c>
      <c r="K1396" s="102">
        <v>55</v>
      </c>
      <c r="L1396" s="35" t="str">
        <f>IFERROR(_xlfn.XLOOKUP(Table6[[#This Row],[Error Code]],'Basic Data'!$AA:$AA,'Basic Data'!$AB:$AB),"Incorrect Error Code")</f>
        <v>WTG shut down</v>
      </c>
      <c r="M1396" s="35" t="s">
        <v>295</v>
      </c>
      <c r="N1396" s="475"/>
      <c r="O1396" s="476">
        <v>0.90277777777777779</v>
      </c>
      <c r="P1396" s="476">
        <v>0.90277777777777779</v>
      </c>
      <c r="Q1396" s="477">
        <v>0.99998842592592596</v>
      </c>
      <c r="R1396" s="472">
        <f>IF(Table6[[#This Row],[Work Start TimeStamp]]="","",(Table6[[#This Row],[Work Start TimeStamp]]-Table6[[#This Row],[Fault Start TimeStamp]])*24)</f>
        <v>0</v>
      </c>
      <c r="S1396" s="472">
        <f>(Table6[[#This Row],[Fault Clearance time]]-Table6[[#This Row],[Work Start TimeStamp]])*24</f>
        <v>2.3330555555555561</v>
      </c>
      <c r="T1396" s="472">
        <f>(Table6[[#This Row],[Fault Clearance time]]-Table6[[#This Row],[Fault Start TimeStamp]])*24</f>
        <v>2.3330555555555561</v>
      </c>
      <c r="U1396" s="35" t="s">
        <v>2095</v>
      </c>
      <c r="V1396" s="102" t="s">
        <v>289</v>
      </c>
      <c r="W1396" s="478">
        <f>IFERROR(Table6[[#This Row],[Breakdown Time]]*Table6[[#This Row],[Plant Equivalent Weightage]],"")</f>
        <v>8.9732905982905981E-2</v>
      </c>
      <c r="X1396" s="473" t="s">
        <v>294</v>
      </c>
      <c r="Y1396" s="474" t="s">
        <v>87</v>
      </c>
      <c r="Z1396" s="102">
        <v>58023</v>
      </c>
      <c r="AA1396" s="468">
        <f>(Table6[[#This Row],[Paired WTG Generation for loss calculation]]/24)*Table6[[#This Row],[Breakdown Time]]</f>
        <v>5640.4534375000012</v>
      </c>
      <c r="AB1396" s="102"/>
      <c r="AC1396" s="35"/>
      <c r="AD1396" s="35"/>
    </row>
    <row r="1397" spans="1:30">
      <c r="A1397" s="102">
        <f t="shared" si="22"/>
        <v>1396</v>
      </c>
      <c r="B1397" s="468">
        <f>YEAR(Table6[[#This Row],[Date]])+IF(MONTH(Table6[[#This Row],[Date]])&gt;=4,1,0)</f>
        <v>2026</v>
      </c>
      <c r="C1397" s="102">
        <f>YEAR(Table6[[#This Row],[Date]])</f>
        <v>2025</v>
      </c>
      <c r="D1397" s="102" t="s">
        <v>1992</v>
      </c>
      <c r="E1397" s="469">
        <f>Table6[[#This Row],[Date]]-DAY(Table6[[#This Row],[Date]])+1</f>
        <v>45809</v>
      </c>
      <c r="F1397" s="470">
        <v>45837</v>
      </c>
      <c r="G1397" s="35" t="s">
        <v>89</v>
      </c>
      <c r="H1397" s="35" t="str">
        <f>IFERROR(_xlfn.XLOOKUP(Table6[[#This Row],[Affected WTG]],'Basic Data'!$A:$A,'Basic Data'!$B:$B),"")</f>
        <v>TQGXIIPL</v>
      </c>
      <c r="I1397" s="35" t="str">
        <f>IFERROR(_xlfn.XLOOKUP(Table6[[#This Row],[Affected WTG]],'Basic Data'!$A:$A,'Basic Data'!$C:$C),"")</f>
        <v>GEDA</v>
      </c>
      <c r="J1397" s="471">
        <f>IFERROR(_xlfn.XLOOKUP(Table6[[#This Row],[Affected WTG]],'Basic Data'!$A:$A,'Basic Data'!$E:$E),"")</f>
        <v>3.846153846153845E-2</v>
      </c>
      <c r="K1397" s="102">
        <v>175</v>
      </c>
      <c r="L1397" s="35" t="str">
        <f>IFERROR(_xlfn.XLOOKUP(Table6[[#This Row],[Error Code]],'Basic Data'!$AA:$AA,'Basic Data'!$AB:$AB),"Incorrect Error Code")</f>
        <v>SLC error</v>
      </c>
      <c r="M1397" s="35" t="s">
        <v>291</v>
      </c>
      <c r="N1397" s="475"/>
      <c r="O1397" s="476">
        <v>4.1666666666666664E-2</v>
      </c>
      <c r="P1397" s="476">
        <v>4.1666666666666664E-2</v>
      </c>
      <c r="Q1397" s="477">
        <v>4.2361111111111113E-2</v>
      </c>
      <c r="R1397" s="472">
        <f>IF(Table6[[#This Row],[Work Start TimeStamp]]="","",(Table6[[#This Row],[Work Start TimeStamp]]-Table6[[#This Row],[Fault Start TimeStamp]])*24)</f>
        <v>0</v>
      </c>
      <c r="S1397" s="472">
        <f>(Table6[[#This Row],[Fault Clearance time]]-Table6[[#This Row],[Work Start TimeStamp]])*24</f>
        <v>1.6666666666666774E-2</v>
      </c>
      <c r="T1397" s="472">
        <f>(Table6[[#This Row],[Fault Clearance time]]-Table6[[#This Row],[Fault Start TimeStamp]])*24</f>
        <v>1.6666666666666774E-2</v>
      </c>
      <c r="U1397" s="35" t="s">
        <v>1924</v>
      </c>
      <c r="V1397" s="102" t="s">
        <v>293</v>
      </c>
      <c r="W1397" s="478">
        <f>IFERROR(Table6[[#This Row],[Breakdown Time]]*Table6[[#This Row],[Plant Equivalent Weightage]],"")</f>
        <v>6.4102564102564493E-4</v>
      </c>
      <c r="X1397" s="473" t="s">
        <v>290</v>
      </c>
      <c r="Y1397" s="474" t="s">
        <v>94</v>
      </c>
      <c r="Z1397" s="102">
        <v>62347</v>
      </c>
      <c r="AA1397" s="468">
        <f>(Table6[[#This Row],[Paired WTG Generation for loss calculation]]/24)*Table6[[#This Row],[Breakdown Time]]</f>
        <v>43.296527777778053</v>
      </c>
      <c r="AB1397" s="102"/>
      <c r="AC1397" s="35"/>
      <c r="AD1397" s="35"/>
    </row>
    <row r="1398" spans="1:30">
      <c r="A1398" s="102">
        <f t="shared" si="22"/>
        <v>1397</v>
      </c>
      <c r="B1398" s="468">
        <f>YEAR(Table6[[#This Row],[Date]])+IF(MONTH(Table6[[#This Row],[Date]])&gt;=4,1,0)</f>
        <v>2026</v>
      </c>
      <c r="C1398" s="102">
        <f>YEAR(Table6[[#This Row],[Date]])</f>
        <v>2025</v>
      </c>
      <c r="D1398" s="102" t="s">
        <v>1992</v>
      </c>
      <c r="E1398" s="469">
        <f>Table6[[#This Row],[Date]]-DAY(Table6[[#This Row],[Date]])+1</f>
        <v>45809</v>
      </c>
      <c r="F1398" s="470">
        <v>45837</v>
      </c>
      <c r="G1398" s="35" t="s">
        <v>90</v>
      </c>
      <c r="H1398" s="35" t="str">
        <f>IFERROR(_xlfn.XLOOKUP(Table6[[#This Row],[Affected WTG]],'Basic Data'!$A:$A,'Basic Data'!$B:$B),"")</f>
        <v>TQGXIIPL</v>
      </c>
      <c r="I1398" s="35" t="str">
        <f>IFERROR(_xlfn.XLOOKUP(Table6[[#This Row],[Affected WTG]],'Basic Data'!$A:$A,'Basic Data'!$C:$C),"")</f>
        <v>GEDA</v>
      </c>
      <c r="J1398" s="471">
        <f>IFERROR(_xlfn.XLOOKUP(Table6[[#This Row],[Affected WTG]],'Basic Data'!$A:$A,'Basic Data'!$E:$E),"")</f>
        <v>3.846153846153845E-2</v>
      </c>
      <c r="K1398" s="102">
        <v>3211</v>
      </c>
      <c r="L1398" s="35" t="str">
        <f>IFERROR(_xlfn.XLOOKUP(Table6[[#This Row],[Error Code]],'Basic Data'!$AA:$AA,'Basic Data'!$AB:$AB),"Incorrect Error Code")</f>
        <v>Conv. load shedding (CAN)</v>
      </c>
      <c r="M1398" s="35" t="s">
        <v>291</v>
      </c>
      <c r="N1398" s="475"/>
      <c r="O1398" s="476">
        <v>8.2638888888888887E-2</v>
      </c>
      <c r="P1398" s="476">
        <v>8.2638888888888887E-2</v>
      </c>
      <c r="Q1398" s="477">
        <v>8.4027777777777785E-2</v>
      </c>
      <c r="R1398" s="472">
        <f>IF(Table6[[#This Row],[Work Start TimeStamp]]="","",(Table6[[#This Row],[Work Start TimeStamp]]-Table6[[#This Row],[Fault Start TimeStamp]])*24)</f>
        <v>0</v>
      </c>
      <c r="S1398" s="472">
        <f>(Table6[[#This Row],[Fault Clearance time]]-Table6[[#This Row],[Work Start TimeStamp]])*24</f>
        <v>3.3333333333333548E-2</v>
      </c>
      <c r="T1398" s="472">
        <f>(Table6[[#This Row],[Fault Clearance time]]-Table6[[#This Row],[Fault Start TimeStamp]])*24</f>
        <v>3.3333333333333548E-2</v>
      </c>
      <c r="U1398" s="35" t="s">
        <v>1924</v>
      </c>
      <c r="V1398" s="102" t="s">
        <v>293</v>
      </c>
      <c r="W1398" s="478">
        <f>IFERROR(Table6[[#This Row],[Breakdown Time]]*Table6[[#This Row],[Plant Equivalent Weightage]],"")</f>
        <v>1.2820512820512899E-3</v>
      </c>
      <c r="X1398" s="473" t="s">
        <v>290</v>
      </c>
      <c r="Y1398" s="474" t="s">
        <v>95</v>
      </c>
      <c r="Z1398" s="102">
        <v>63422</v>
      </c>
      <c r="AA1398" s="468">
        <f>(Table6[[#This Row],[Paired WTG Generation for loss calculation]]/24)*Table6[[#This Row],[Breakdown Time]]</f>
        <v>88.086111111111677</v>
      </c>
      <c r="AB1398" s="102"/>
      <c r="AC1398" s="35"/>
      <c r="AD1398" s="35"/>
    </row>
    <row r="1399" spans="1:30">
      <c r="A1399" s="102">
        <f t="shared" si="22"/>
        <v>1398</v>
      </c>
      <c r="B1399" s="468">
        <f>YEAR(Table6[[#This Row],[Date]])+IF(MONTH(Table6[[#This Row],[Date]])&gt;=4,1,0)</f>
        <v>2026</v>
      </c>
      <c r="C1399" s="102">
        <f>YEAR(Table6[[#This Row],[Date]])</f>
        <v>2025</v>
      </c>
      <c r="D1399" s="102" t="s">
        <v>1992</v>
      </c>
      <c r="E1399" s="469">
        <f>Table6[[#This Row],[Date]]-DAY(Table6[[#This Row],[Date]])+1</f>
        <v>45809</v>
      </c>
      <c r="F1399" s="470">
        <v>45837</v>
      </c>
      <c r="G1399" s="35" t="s">
        <v>90</v>
      </c>
      <c r="H1399" s="35" t="str">
        <f>IFERROR(_xlfn.XLOOKUP(Table6[[#This Row],[Affected WTG]],'Basic Data'!$A:$A,'Basic Data'!$B:$B),"")</f>
        <v>TQGXIIPL</v>
      </c>
      <c r="I1399" s="35" t="str">
        <f>IFERROR(_xlfn.XLOOKUP(Table6[[#This Row],[Affected WTG]],'Basic Data'!$A:$A,'Basic Data'!$C:$C),"")</f>
        <v>GEDA</v>
      </c>
      <c r="J1399" s="471">
        <f>IFERROR(_xlfn.XLOOKUP(Table6[[#This Row],[Affected WTG]],'Basic Data'!$A:$A,'Basic Data'!$E:$E),"")</f>
        <v>3.846153846153845E-2</v>
      </c>
      <c r="K1399" s="102">
        <v>3211</v>
      </c>
      <c r="L1399" s="35" t="str">
        <f>IFERROR(_xlfn.XLOOKUP(Table6[[#This Row],[Error Code]],'Basic Data'!$AA:$AA,'Basic Data'!$AB:$AB),"Incorrect Error Code")</f>
        <v>Conv. load shedding (CAN)</v>
      </c>
      <c r="M1399" s="35" t="s">
        <v>291</v>
      </c>
      <c r="N1399" s="475"/>
      <c r="O1399" s="476">
        <v>0.10347222222222222</v>
      </c>
      <c r="P1399" s="476">
        <v>0.10347222222222222</v>
      </c>
      <c r="Q1399" s="477">
        <v>0.10555555555555556</v>
      </c>
      <c r="R1399" s="472">
        <f>IF(Table6[[#This Row],[Work Start TimeStamp]]="","",(Table6[[#This Row],[Work Start TimeStamp]]-Table6[[#This Row],[Fault Start TimeStamp]])*24)</f>
        <v>0</v>
      </c>
      <c r="S1399" s="472">
        <f>(Table6[[#This Row],[Fault Clearance time]]-Table6[[#This Row],[Work Start TimeStamp]])*24</f>
        <v>5.0000000000000155E-2</v>
      </c>
      <c r="T1399" s="472">
        <f>(Table6[[#This Row],[Fault Clearance time]]-Table6[[#This Row],[Fault Start TimeStamp]])*24</f>
        <v>5.0000000000000155E-2</v>
      </c>
      <c r="U1399" s="35" t="s">
        <v>1924</v>
      </c>
      <c r="V1399" s="102" t="s">
        <v>293</v>
      </c>
      <c r="W1399" s="478">
        <f>IFERROR(Table6[[#This Row],[Breakdown Time]]*Table6[[#This Row],[Plant Equivalent Weightage]],"")</f>
        <v>1.9230769230769284E-3</v>
      </c>
      <c r="X1399" s="473" t="s">
        <v>290</v>
      </c>
      <c r="Y1399" s="474" t="s">
        <v>95</v>
      </c>
      <c r="Z1399" s="102">
        <v>63422</v>
      </c>
      <c r="AA1399" s="468">
        <f>(Table6[[#This Row],[Paired WTG Generation for loss calculation]]/24)*Table6[[#This Row],[Breakdown Time]]</f>
        <v>132.12916666666709</v>
      </c>
      <c r="AB1399" s="102"/>
      <c r="AC1399" s="35"/>
      <c r="AD1399" s="35"/>
    </row>
    <row r="1400" spans="1:30">
      <c r="A1400" s="102">
        <f t="shared" si="22"/>
        <v>1399</v>
      </c>
      <c r="B1400" s="468">
        <f>YEAR(Table6[[#This Row],[Date]])+IF(MONTH(Table6[[#This Row],[Date]])&gt;=4,1,0)</f>
        <v>2026</v>
      </c>
      <c r="C1400" s="102">
        <f>YEAR(Table6[[#This Row],[Date]])</f>
        <v>2025</v>
      </c>
      <c r="D1400" s="102" t="s">
        <v>1992</v>
      </c>
      <c r="E1400" s="469">
        <f>Table6[[#This Row],[Date]]-DAY(Table6[[#This Row],[Date]])+1</f>
        <v>45809</v>
      </c>
      <c r="F1400" s="470">
        <v>45837</v>
      </c>
      <c r="G1400" s="35" t="s">
        <v>90</v>
      </c>
      <c r="H1400" s="35" t="str">
        <f>IFERROR(_xlfn.XLOOKUP(Table6[[#This Row],[Affected WTG]],'Basic Data'!$A:$A,'Basic Data'!$B:$B),"")</f>
        <v>TQGXIIPL</v>
      </c>
      <c r="I1400" s="35" t="str">
        <f>IFERROR(_xlfn.XLOOKUP(Table6[[#This Row],[Affected WTG]],'Basic Data'!$A:$A,'Basic Data'!$C:$C),"")</f>
        <v>GEDA</v>
      </c>
      <c r="J1400" s="471">
        <f>IFERROR(_xlfn.XLOOKUP(Table6[[#This Row],[Affected WTG]],'Basic Data'!$A:$A,'Basic Data'!$E:$E),"")</f>
        <v>3.846153846153845E-2</v>
      </c>
      <c r="K1400" s="102">
        <v>3211</v>
      </c>
      <c r="L1400" s="35" t="str">
        <f>IFERROR(_xlfn.XLOOKUP(Table6[[#This Row],[Error Code]],'Basic Data'!$AA:$AA,'Basic Data'!$AB:$AB),"Incorrect Error Code")</f>
        <v>Conv. load shedding (CAN)</v>
      </c>
      <c r="M1400" s="35" t="s">
        <v>291</v>
      </c>
      <c r="N1400" s="475"/>
      <c r="O1400" s="476">
        <v>0.22013888888888888</v>
      </c>
      <c r="P1400" s="476">
        <v>0.22013888888888888</v>
      </c>
      <c r="Q1400" s="477">
        <v>0.22152777777777777</v>
      </c>
      <c r="R1400" s="472">
        <f>IF(Table6[[#This Row],[Work Start TimeStamp]]="","",(Table6[[#This Row],[Work Start TimeStamp]]-Table6[[#This Row],[Fault Start TimeStamp]])*24)</f>
        <v>0</v>
      </c>
      <c r="S1400" s="472">
        <f>(Table6[[#This Row],[Fault Clearance time]]-Table6[[#This Row],[Work Start TimeStamp]])*24</f>
        <v>3.3333333333333215E-2</v>
      </c>
      <c r="T1400" s="472">
        <f>(Table6[[#This Row],[Fault Clearance time]]-Table6[[#This Row],[Fault Start TimeStamp]])*24</f>
        <v>3.3333333333333215E-2</v>
      </c>
      <c r="U1400" s="35" t="s">
        <v>1924</v>
      </c>
      <c r="V1400" s="102" t="s">
        <v>293</v>
      </c>
      <c r="W1400" s="478">
        <f>IFERROR(Table6[[#This Row],[Breakdown Time]]*Table6[[#This Row],[Plant Equivalent Weightage]],"")</f>
        <v>1.2820512820512771E-3</v>
      </c>
      <c r="X1400" s="473" t="s">
        <v>290</v>
      </c>
      <c r="Y1400" s="474" t="s">
        <v>95</v>
      </c>
      <c r="Z1400" s="102">
        <v>63422</v>
      </c>
      <c r="AA1400" s="468">
        <f>(Table6[[#This Row],[Paired WTG Generation for loss calculation]]/24)*Table6[[#This Row],[Breakdown Time]]</f>
        <v>88.08611111111081</v>
      </c>
      <c r="AB1400" s="102"/>
      <c r="AC1400" s="35"/>
      <c r="AD1400" s="35"/>
    </row>
    <row r="1401" spans="1:30">
      <c r="A1401" s="102">
        <f t="shared" si="22"/>
        <v>1400</v>
      </c>
      <c r="B1401" s="468">
        <f>YEAR(Table6[[#This Row],[Date]])+IF(MONTH(Table6[[#This Row],[Date]])&gt;=4,1,0)</f>
        <v>2026</v>
      </c>
      <c r="C1401" s="102">
        <f>YEAR(Table6[[#This Row],[Date]])</f>
        <v>2025</v>
      </c>
      <c r="D1401" s="102" t="s">
        <v>1992</v>
      </c>
      <c r="E1401" s="469">
        <f>Table6[[#This Row],[Date]]-DAY(Table6[[#This Row],[Date]])+1</f>
        <v>45809</v>
      </c>
      <c r="F1401" s="470">
        <v>45837</v>
      </c>
      <c r="G1401" s="35" t="s">
        <v>90</v>
      </c>
      <c r="H1401" s="35" t="str">
        <f>IFERROR(_xlfn.XLOOKUP(Table6[[#This Row],[Affected WTG]],'Basic Data'!$A:$A,'Basic Data'!$B:$B),"")</f>
        <v>TQGXIIPL</v>
      </c>
      <c r="I1401" s="35" t="str">
        <f>IFERROR(_xlfn.XLOOKUP(Table6[[#This Row],[Affected WTG]],'Basic Data'!$A:$A,'Basic Data'!$C:$C),"")</f>
        <v>GEDA</v>
      </c>
      <c r="J1401" s="471">
        <f>IFERROR(_xlfn.XLOOKUP(Table6[[#This Row],[Affected WTG]],'Basic Data'!$A:$A,'Basic Data'!$E:$E),"")</f>
        <v>3.846153846153845E-2</v>
      </c>
      <c r="K1401" s="102">
        <v>3211</v>
      </c>
      <c r="L1401" s="35" t="str">
        <f>IFERROR(_xlfn.XLOOKUP(Table6[[#This Row],[Error Code]],'Basic Data'!$AA:$AA,'Basic Data'!$AB:$AB),"Incorrect Error Code")</f>
        <v>Conv. load shedding (CAN)</v>
      </c>
      <c r="M1401" s="35" t="s">
        <v>291</v>
      </c>
      <c r="N1401" s="475"/>
      <c r="O1401" s="476">
        <v>0.24652777777777779</v>
      </c>
      <c r="P1401" s="476">
        <v>0.24652777777777779</v>
      </c>
      <c r="Q1401" s="477">
        <v>0.24930555555555556</v>
      </c>
      <c r="R1401" s="472">
        <f>IF(Table6[[#This Row],[Work Start TimeStamp]]="","",(Table6[[#This Row],[Work Start TimeStamp]]-Table6[[#This Row],[Fault Start TimeStamp]])*24)</f>
        <v>0</v>
      </c>
      <c r="S1401" s="472">
        <f>(Table6[[#This Row],[Fault Clearance time]]-Table6[[#This Row],[Work Start TimeStamp]])*24</f>
        <v>6.666666666666643E-2</v>
      </c>
      <c r="T1401" s="472">
        <f>(Table6[[#This Row],[Fault Clearance time]]-Table6[[#This Row],[Fault Start TimeStamp]])*24</f>
        <v>6.666666666666643E-2</v>
      </c>
      <c r="U1401" s="35" t="s">
        <v>1924</v>
      </c>
      <c r="V1401" s="102" t="s">
        <v>293</v>
      </c>
      <c r="W1401" s="478">
        <f>IFERROR(Table6[[#This Row],[Breakdown Time]]*Table6[[#This Row],[Plant Equivalent Weightage]],"")</f>
        <v>2.5641025641025541E-3</v>
      </c>
      <c r="X1401" s="473" t="s">
        <v>290</v>
      </c>
      <c r="Y1401" s="474" t="s">
        <v>95</v>
      </c>
      <c r="Z1401" s="102">
        <v>63422</v>
      </c>
      <c r="AA1401" s="468">
        <f>(Table6[[#This Row],[Paired WTG Generation for loss calculation]]/24)*Table6[[#This Row],[Breakdown Time]]</f>
        <v>176.17222222222162</v>
      </c>
      <c r="AB1401" s="102"/>
      <c r="AC1401" s="35"/>
      <c r="AD1401" s="35"/>
    </row>
    <row r="1402" spans="1:30">
      <c r="A1402" s="102">
        <f t="shared" si="22"/>
        <v>1401</v>
      </c>
      <c r="B1402" s="468">
        <f>YEAR(Table6[[#This Row],[Date]])+IF(MONTH(Table6[[#This Row],[Date]])&gt;=4,1,0)</f>
        <v>2026</v>
      </c>
      <c r="C1402" s="102">
        <f>YEAR(Table6[[#This Row],[Date]])</f>
        <v>2025</v>
      </c>
      <c r="D1402" s="102" t="s">
        <v>1992</v>
      </c>
      <c r="E1402" s="469">
        <f>Table6[[#This Row],[Date]]-DAY(Table6[[#This Row],[Date]])+1</f>
        <v>45809</v>
      </c>
      <c r="F1402" s="470">
        <v>45837</v>
      </c>
      <c r="G1402" s="35" t="s">
        <v>90</v>
      </c>
      <c r="H1402" s="35" t="str">
        <f>IFERROR(_xlfn.XLOOKUP(Table6[[#This Row],[Affected WTG]],'Basic Data'!$A:$A,'Basic Data'!$B:$B),"")</f>
        <v>TQGXIIPL</v>
      </c>
      <c r="I1402" s="35" t="str">
        <f>IFERROR(_xlfn.XLOOKUP(Table6[[#This Row],[Affected WTG]],'Basic Data'!$A:$A,'Basic Data'!$C:$C),"")</f>
        <v>GEDA</v>
      </c>
      <c r="J1402" s="471">
        <f>IFERROR(_xlfn.XLOOKUP(Table6[[#This Row],[Affected WTG]],'Basic Data'!$A:$A,'Basic Data'!$E:$E),"")</f>
        <v>3.846153846153845E-2</v>
      </c>
      <c r="K1402" s="102">
        <v>3211</v>
      </c>
      <c r="L1402" s="35" t="str">
        <f>IFERROR(_xlfn.XLOOKUP(Table6[[#This Row],[Error Code]],'Basic Data'!$AA:$AA,'Basic Data'!$AB:$AB),"Incorrect Error Code")</f>
        <v>Conv. load shedding (CAN)</v>
      </c>
      <c r="M1402" s="35" t="s">
        <v>291</v>
      </c>
      <c r="N1402" s="475"/>
      <c r="O1402" s="476">
        <v>0.26874999999999999</v>
      </c>
      <c r="P1402" s="476">
        <v>0.26874999999999999</v>
      </c>
      <c r="Q1402" s="477">
        <v>0.27152777777777776</v>
      </c>
      <c r="R1402" s="472">
        <f>IF(Table6[[#This Row],[Work Start TimeStamp]]="","",(Table6[[#This Row],[Work Start TimeStamp]]-Table6[[#This Row],[Fault Start TimeStamp]])*24)</f>
        <v>0</v>
      </c>
      <c r="S1402" s="472">
        <f>(Table6[[#This Row],[Fault Clearance time]]-Table6[[#This Row],[Work Start TimeStamp]])*24</f>
        <v>6.666666666666643E-2</v>
      </c>
      <c r="T1402" s="472">
        <f>(Table6[[#This Row],[Fault Clearance time]]-Table6[[#This Row],[Fault Start TimeStamp]])*24</f>
        <v>6.666666666666643E-2</v>
      </c>
      <c r="U1402" s="35" t="s">
        <v>1924</v>
      </c>
      <c r="V1402" s="102" t="s">
        <v>293</v>
      </c>
      <c r="W1402" s="478">
        <f>IFERROR(Table6[[#This Row],[Breakdown Time]]*Table6[[#This Row],[Plant Equivalent Weightage]],"")</f>
        <v>2.5641025641025541E-3</v>
      </c>
      <c r="X1402" s="473" t="s">
        <v>290</v>
      </c>
      <c r="Y1402" s="474" t="s">
        <v>95</v>
      </c>
      <c r="Z1402" s="102">
        <v>63422</v>
      </c>
      <c r="AA1402" s="468">
        <f>(Table6[[#This Row],[Paired WTG Generation for loss calculation]]/24)*Table6[[#This Row],[Breakdown Time]]</f>
        <v>176.17222222222162</v>
      </c>
      <c r="AB1402" s="102"/>
      <c r="AC1402" s="35"/>
      <c r="AD1402" s="35"/>
    </row>
    <row r="1403" spans="1:30">
      <c r="A1403" s="102">
        <f t="shared" si="22"/>
        <v>1402</v>
      </c>
      <c r="B1403" s="468">
        <f>YEAR(Table6[[#This Row],[Date]])+IF(MONTH(Table6[[#This Row],[Date]])&gt;=4,1,0)</f>
        <v>2026</v>
      </c>
      <c r="C1403" s="102">
        <f>YEAR(Table6[[#This Row],[Date]])</f>
        <v>2025</v>
      </c>
      <c r="D1403" s="102" t="s">
        <v>1992</v>
      </c>
      <c r="E1403" s="469">
        <f>Table6[[#This Row],[Date]]-DAY(Table6[[#This Row],[Date]])+1</f>
        <v>45809</v>
      </c>
      <c r="F1403" s="470">
        <v>45837</v>
      </c>
      <c r="G1403" s="35" t="s">
        <v>90</v>
      </c>
      <c r="H1403" s="35" t="str">
        <f>IFERROR(_xlfn.XLOOKUP(Table6[[#This Row],[Affected WTG]],'Basic Data'!$A:$A,'Basic Data'!$B:$B),"")</f>
        <v>TQGXIIPL</v>
      </c>
      <c r="I1403" s="35" t="str">
        <f>IFERROR(_xlfn.XLOOKUP(Table6[[#This Row],[Affected WTG]],'Basic Data'!$A:$A,'Basic Data'!$C:$C),"")</f>
        <v>GEDA</v>
      </c>
      <c r="J1403" s="471">
        <f>IFERROR(_xlfn.XLOOKUP(Table6[[#This Row],[Affected WTG]],'Basic Data'!$A:$A,'Basic Data'!$E:$E),"")</f>
        <v>3.846153846153845E-2</v>
      </c>
      <c r="K1403" s="102">
        <v>3211</v>
      </c>
      <c r="L1403" s="35" t="str">
        <f>IFERROR(_xlfn.XLOOKUP(Table6[[#This Row],[Error Code]],'Basic Data'!$AA:$AA,'Basic Data'!$AB:$AB),"Incorrect Error Code")</f>
        <v>Conv. load shedding (CAN)</v>
      </c>
      <c r="M1403" s="35" t="s">
        <v>291</v>
      </c>
      <c r="N1403" s="475"/>
      <c r="O1403" s="476">
        <v>0.84375</v>
      </c>
      <c r="P1403" s="476">
        <v>0.84375</v>
      </c>
      <c r="Q1403" s="477">
        <v>0.84930555555555554</v>
      </c>
      <c r="R1403" s="472">
        <f>IF(Table6[[#This Row],[Work Start TimeStamp]]="","",(Table6[[#This Row],[Work Start TimeStamp]]-Table6[[#This Row],[Fault Start TimeStamp]])*24)</f>
        <v>0</v>
      </c>
      <c r="S1403" s="472">
        <f>(Table6[[#This Row],[Fault Clearance time]]-Table6[[#This Row],[Work Start TimeStamp]])*24</f>
        <v>0.13333333333333286</v>
      </c>
      <c r="T1403" s="472">
        <f>(Table6[[#This Row],[Fault Clearance time]]-Table6[[#This Row],[Fault Start TimeStamp]])*24</f>
        <v>0.13333333333333286</v>
      </c>
      <c r="U1403" s="35" t="s">
        <v>1924</v>
      </c>
      <c r="V1403" s="102" t="s">
        <v>293</v>
      </c>
      <c r="W1403" s="478">
        <f>IFERROR(Table6[[#This Row],[Breakdown Time]]*Table6[[#This Row],[Plant Equivalent Weightage]],"")</f>
        <v>5.1282051282051083E-3</v>
      </c>
      <c r="X1403" s="473" t="s">
        <v>290</v>
      </c>
      <c r="Y1403" s="474" t="s">
        <v>95</v>
      </c>
      <c r="Z1403" s="102">
        <v>63422</v>
      </c>
      <c r="AA1403" s="468">
        <f>(Table6[[#This Row],[Paired WTG Generation for loss calculation]]/24)*Table6[[#This Row],[Breakdown Time]]</f>
        <v>352.34444444444324</v>
      </c>
      <c r="AB1403" s="102"/>
      <c r="AC1403" s="35"/>
      <c r="AD1403" s="35"/>
    </row>
    <row r="1404" spans="1:30">
      <c r="A1404" s="102">
        <f t="shared" si="22"/>
        <v>1403</v>
      </c>
      <c r="B1404" s="468">
        <f>YEAR(Table6[[#This Row],[Date]])+IF(MONTH(Table6[[#This Row],[Date]])&gt;=4,1,0)</f>
        <v>2026</v>
      </c>
      <c r="C1404" s="102">
        <f>YEAR(Table6[[#This Row],[Date]])</f>
        <v>2025</v>
      </c>
      <c r="D1404" s="102" t="s">
        <v>1992</v>
      </c>
      <c r="E1404" s="469">
        <f>Table6[[#This Row],[Date]]-DAY(Table6[[#This Row],[Date]])+1</f>
        <v>45809</v>
      </c>
      <c r="F1404" s="470">
        <v>45837</v>
      </c>
      <c r="G1404" s="35" t="s">
        <v>92</v>
      </c>
      <c r="H1404" s="35" t="str">
        <f>IFERROR(_xlfn.XLOOKUP(Table6[[#This Row],[Affected WTG]],'Basic Data'!$A:$A,'Basic Data'!$B:$B),"")</f>
        <v>TQGXIIPL</v>
      </c>
      <c r="I1404" s="35" t="str">
        <f>IFERROR(_xlfn.XLOOKUP(Table6[[#This Row],[Affected WTG]],'Basic Data'!$A:$A,'Basic Data'!$C:$C),"")</f>
        <v>GEDA</v>
      </c>
      <c r="J1404" s="471">
        <f>IFERROR(_xlfn.XLOOKUP(Table6[[#This Row],[Affected WTG]],'Basic Data'!$A:$A,'Basic Data'!$E:$E),"")</f>
        <v>3.846153846153845E-2</v>
      </c>
      <c r="K1404" s="102">
        <v>4540</v>
      </c>
      <c r="L1404" s="35" t="str">
        <f>IFERROR(_xlfn.XLOOKUP(Table6[[#This Row],[Error Code]],'Basic Data'!$AA:$AA,'Basic Data'!$AB:$AB),"Incorrect Error Code")</f>
        <v>Tower oscillation X level 2</v>
      </c>
      <c r="M1404" s="35" t="s">
        <v>291</v>
      </c>
      <c r="N1404" s="475"/>
      <c r="O1404" s="476">
        <v>0.52013888888888893</v>
      </c>
      <c r="P1404" s="476">
        <v>0.52013888888888893</v>
      </c>
      <c r="Q1404" s="477">
        <v>0.52569444444444446</v>
      </c>
      <c r="R1404" s="472">
        <f>IF(Table6[[#This Row],[Work Start TimeStamp]]="","",(Table6[[#This Row],[Work Start TimeStamp]]-Table6[[#This Row],[Fault Start TimeStamp]])*24)</f>
        <v>0</v>
      </c>
      <c r="S1404" s="472">
        <f>(Table6[[#This Row],[Fault Clearance time]]-Table6[[#This Row],[Work Start TimeStamp]])*24</f>
        <v>0.13333333333333286</v>
      </c>
      <c r="T1404" s="472">
        <f>(Table6[[#This Row],[Fault Clearance time]]-Table6[[#This Row],[Fault Start TimeStamp]])*24</f>
        <v>0.13333333333333286</v>
      </c>
      <c r="U1404" s="35" t="s">
        <v>1924</v>
      </c>
      <c r="V1404" s="102" t="s">
        <v>293</v>
      </c>
      <c r="W1404" s="478">
        <f>IFERROR(Table6[[#This Row],[Breakdown Time]]*Table6[[#This Row],[Plant Equivalent Weightage]],"")</f>
        <v>5.1282051282051083E-3</v>
      </c>
      <c r="X1404" s="473" t="s">
        <v>290</v>
      </c>
      <c r="Y1404" s="474" t="s">
        <v>80</v>
      </c>
      <c r="Z1404" s="102">
        <v>57606</v>
      </c>
      <c r="AA1404" s="468">
        <f>(Table6[[#This Row],[Paired WTG Generation for loss calculation]]/24)*Table6[[#This Row],[Breakdown Time]]</f>
        <v>320.03333333333222</v>
      </c>
      <c r="AB1404" s="102"/>
      <c r="AC1404" s="35"/>
      <c r="AD1404" s="35"/>
    </row>
    <row r="1405" spans="1:30">
      <c r="A1405" s="102">
        <f t="shared" si="22"/>
        <v>1404</v>
      </c>
      <c r="B1405" s="468">
        <f>YEAR(Table6[[#This Row],[Date]])+IF(MONTH(Table6[[#This Row],[Date]])&gt;=4,1,0)</f>
        <v>2026</v>
      </c>
      <c r="C1405" s="102">
        <f>YEAR(Table6[[#This Row],[Date]])</f>
        <v>2025</v>
      </c>
      <c r="D1405" s="102" t="s">
        <v>1992</v>
      </c>
      <c r="E1405" s="469">
        <f>Table6[[#This Row],[Date]]-DAY(Table6[[#This Row],[Date]])+1</f>
        <v>45809</v>
      </c>
      <c r="F1405" s="470">
        <v>45837</v>
      </c>
      <c r="G1405" s="35" t="s">
        <v>94</v>
      </c>
      <c r="H1405" s="35" t="str">
        <f>IFERROR(_xlfn.XLOOKUP(Table6[[#This Row],[Affected WTG]],'Basic Data'!$A:$A,'Basic Data'!$B:$B),"")</f>
        <v>TQGXIIPL</v>
      </c>
      <c r="I1405" s="35" t="str">
        <f>IFERROR(_xlfn.XLOOKUP(Table6[[#This Row],[Affected WTG]],'Basic Data'!$A:$A,'Basic Data'!$C:$C),"")</f>
        <v>GEDA</v>
      </c>
      <c r="J1405" s="471">
        <f>IFERROR(_xlfn.XLOOKUP(Table6[[#This Row],[Affected WTG]],'Basic Data'!$A:$A,'Basic Data'!$E:$E),"")</f>
        <v>3.846153846153845E-2</v>
      </c>
      <c r="K1405" s="102">
        <v>6130</v>
      </c>
      <c r="L1405" s="35" t="str">
        <f>IFERROR(_xlfn.XLOOKUP(Table6[[#This Row],[Error Code]],'Basic Data'!$AA:$AA,'Basic Data'!$AB:$AB),"Incorrect Error Code")</f>
        <v>Yaw speed high</v>
      </c>
      <c r="M1405" s="35" t="s">
        <v>291</v>
      </c>
      <c r="N1405" s="475"/>
      <c r="O1405" s="476">
        <v>0.88402777777777775</v>
      </c>
      <c r="P1405" s="476">
        <v>0.88402777777777775</v>
      </c>
      <c r="Q1405" s="477">
        <v>0.88472222222222219</v>
      </c>
      <c r="R1405" s="472">
        <f>IF(Table6[[#This Row],[Work Start TimeStamp]]="","",(Table6[[#This Row],[Work Start TimeStamp]]-Table6[[#This Row],[Fault Start TimeStamp]])*24)</f>
        <v>0</v>
      </c>
      <c r="S1405" s="472">
        <f>(Table6[[#This Row],[Fault Clearance time]]-Table6[[#This Row],[Work Start TimeStamp]])*24</f>
        <v>1.6666666666666607E-2</v>
      </c>
      <c r="T1405" s="472">
        <f>(Table6[[#This Row],[Fault Clearance time]]-Table6[[#This Row],[Fault Start TimeStamp]])*24</f>
        <v>1.6666666666666607E-2</v>
      </c>
      <c r="U1405" s="35" t="s">
        <v>336</v>
      </c>
      <c r="V1405" s="102" t="s">
        <v>293</v>
      </c>
      <c r="W1405" s="478">
        <f>IFERROR(Table6[[#This Row],[Breakdown Time]]*Table6[[#This Row],[Plant Equivalent Weightage]],"")</f>
        <v>6.4102564102563853E-4</v>
      </c>
      <c r="X1405" s="473" t="s">
        <v>294</v>
      </c>
      <c r="Y1405" s="474" t="s">
        <v>79</v>
      </c>
      <c r="Z1405" s="102">
        <v>62725</v>
      </c>
      <c r="AA1405" s="468">
        <f>(Table6[[#This Row],[Paired WTG Generation for loss calculation]]/24)*Table6[[#This Row],[Breakdown Time]]</f>
        <v>43.559027777777622</v>
      </c>
      <c r="AB1405" s="102"/>
      <c r="AC1405" s="35"/>
      <c r="AD1405" s="35"/>
    </row>
    <row r="1406" spans="1:30">
      <c r="A1406" s="102">
        <f t="shared" si="22"/>
        <v>1405</v>
      </c>
      <c r="B1406" s="468">
        <f>YEAR(Table6[[#This Row],[Date]])+IF(MONTH(Table6[[#This Row],[Date]])&gt;=4,1,0)</f>
        <v>2026</v>
      </c>
      <c r="C1406" s="102">
        <f>YEAR(Table6[[#This Row],[Date]])</f>
        <v>2025</v>
      </c>
      <c r="D1406" s="102" t="s">
        <v>1992</v>
      </c>
      <c r="E1406" s="469">
        <f>Table6[[#This Row],[Date]]-DAY(Table6[[#This Row],[Date]])+1</f>
        <v>45809</v>
      </c>
      <c r="F1406" s="470">
        <v>45837</v>
      </c>
      <c r="G1406" s="35" t="s">
        <v>96</v>
      </c>
      <c r="H1406" s="35" t="str">
        <f>IFERROR(_xlfn.XLOOKUP(Table6[[#This Row],[Affected WTG]],'Basic Data'!$A:$A,'Basic Data'!$B:$B),"")</f>
        <v>TQGXIIPL</v>
      </c>
      <c r="I1406" s="35" t="str">
        <f>IFERROR(_xlfn.XLOOKUP(Table6[[#This Row],[Affected WTG]],'Basic Data'!$A:$A,'Basic Data'!$C:$C),"")</f>
        <v>GEDA</v>
      </c>
      <c r="J1406" s="471">
        <f>IFERROR(_xlfn.XLOOKUP(Table6[[#This Row],[Affected WTG]],'Basic Data'!$A:$A,'Basic Data'!$E:$E),"")</f>
        <v>3.846153846153845E-2</v>
      </c>
      <c r="K1406" s="102">
        <v>1732</v>
      </c>
      <c r="L1406" s="35" t="str">
        <f>IFERROR(_xlfn.XLOOKUP(Table6[[#This Row],[Error Code]],'Basic Data'!$AA:$AA,'Basic Data'!$AB:$AB),"Incorrect Error Code")</f>
        <v>Max. oil temperature gearbox input</v>
      </c>
      <c r="M1406" s="35" t="s">
        <v>291</v>
      </c>
      <c r="N1406" s="475"/>
      <c r="O1406" s="476">
        <v>0.81805555555555554</v>
      </c>
      <c r="P1406" s="476">
        <v>0.81805555555555554</v>
      </c>
      <c r="Q1406" s="477">
        <v>0.82986111111111116</v>
      </c>
      <c r="R1406" s="472">
        <f>IF(Table6[[#This Row],[Work Start TimeStamp]]="","",(Table6[[#This Row],[Work Start TimeStamp]]-Table6[[#This Row],[Fault Start TimeStamp]])*24)</f>
        <v>0</v>
      </c>
      <c r="S1406" s="472">
        <f>(Table6[[#This Row],[Fault Clearance time]]-Table6[[#This Row],[Work Start TimeStamp]])*24</f>
        <v>0.28333333333333499</v>
      </c>
      <c r="T1406" s="472">
        <f>(Table6[[#This Row],[Fault Clearance time]]-Table6[[#This Row],[Fault Start TimeStamp]])*24</f>
        <v>0.28333333333333499</v>
      </c>
      <c r="U1406" s="35" t="s">
        <v>2016</v>
      </c>
      <c r="V1406" s="102" t="s">
        <v>293</v>
      </c>
      <c r="W1406" s="478">
        <f>IFERROR(Table6[[#This Row],[Breakdown Time]]*Table6[[#This Row],[Plant Equivalent Weightage]],"")</f>
        <v>1.0897435897435958E-2</v>
      </c>
      <c r="X1406" s="473" t="s">
        <v>290</v>
      </c>
      <c r="Y1406" s="474" t="s">
        <v>84</v>
      </c>
      <c r="Z1406" s="102">
        <v>57284</v>
      </c>
      <c r="AA1406" s="468">
        <f>(Table6[[#This Row],[Paired WTG Generation for loss calculation]]/24)*Table6[[#This Row],[Breakdown Time]]</f>
        <v>676.26944444444848</v>
      </c>
      <c r="AB1406" s="102"/>
      <c r="AC1406" s="35"/>
      <c r="AD1406" s="35"/>
    </row>
    <row r="1407" spans="1:30">
      <c r="A1407" s="102">
        <f t="shared" si="22"/>
        <v>1406</v>
      </c>
      <c r="B1407" s="468">
        <f>YEAR(Table6[[#This Row],[Date]])+IF(MONTH(Table6[[#This Row],[Date]])&gt;=4,1,0)</f>
        <v>2026</v>
      </c>
      <c r="C1407" s="102">
        <f>YEAR(Table6[[#This Row],[Date]])</f>
        <v>2025</v>
      </c>
      <c r="D1407" s="102" t="s">
        <v>1992</v>
      </c>
      <c r="E1407" s="469">
        <f>Table6[[#This Row],[Date]]-DAY(Table6[[#This Row],[Date]])+1</f>
        <v>45809</v>
      </c>
      <c r="F1407" s="470">
        <v>45838</v>
      </c>
      <c r="G1407" s="35" t="s">
        <v>78</v>
      </c>
      <c r="H1407" s="35" t="str">
        <f>IFERROR(_xlfn.XLOOKUP(Table6[[#This Row],[Affected WTG]],'Basic Data'!$A:$A,'Basic Data'!$B:$B),"")</f>
        <v>TQGXIIPL</v>
      </c>
      <c r="I1407" s="35" t="str">
        <f>IFERROR(_xlfn.XLOOKUP(Table6[[#This Row],[Affected WTG]],'Basic Data'!$A:$A,'Basic Data'!$C:$C),"")</f>
        <v>GEDA</v>
      </c>
      <c r="J1407" s="471">
        <f>IFERROR(_xlfn.XLOOKUP(Table6[[#This Row],[Affected WTG]],'Basic Data'!$A:$A,'Basic Data'!$E:$E),"")</f>
        <v>3.846153846153845E-2</v>
      </c>
      <c r="K1407" s="102">
        <v>3211</v>
      </c>
      <c r="L1407" s="35" t="str">
        <f>IFERROR(_xlfn.XLOOKUP(Table6[[#This Row],[Error Code]],'Basic Data'!$AA:$AA,'Basic Data'!$AB:$AB),"Incorrect Error Code")</f>
        <v>Conv. load shedding (CAN)</v>
      </c>
      <c r="M1407" s="35" t="s">
        <v>291</v>
      </c>
      <c r="N1407" s="475"/>
      <c r="O1407" s="476">
        <v>0.55069444444444449</v>
      </c>
      <c r="P1407" s="476">
        <v>0.55069444444444449</v>
      </c>
      <c r="Q1407" s="477">
        <v>0.55694444444444446</v>
      </c>
      <c r="R1407" s="472">
        <f>IF(Table6[[#This Row],[Work Start TimeStamp]]="","",(Table6[[#This Row],[Work Start TimeStamp]]-Table6[[#This Row],[Fault Start TimeStamp]])*24)</f>
        <v>0</v>
      </c>
      <c r="S1407" s="472">
        <f>(Table6[[#This Row],[Fault Clearance time]]-Table6[[#This Row],[Work Start TimeStamp]])*24</f>
        <v>0.14999999999999947</v>
      </c>
      <c r="T1407" s="472">
        <f>(Table6[[#This Row],[Fault Clearance time]]-Table6[[#This Row],[Fault Start TimeStamp]])*24</f>
        <v>0.14999999999999947</v>
      </c>
      <c r="U1407" s="35" t="s">
        <v>1924</v>
      </c>
      <c r="V1407" s="102" t="s">
        <v>293</v>
      </c>
      <c r="W1407" s="478">
        <f>IFERROR(Table6[[#This Row],[Breakdown Time]]*Table6[[#This Row],[Plant Equivalent Weightage]],"")</f>
        <v>5.769230769230747E-3</v>
      </c>
      <c r="X1407" s="473" t="s">
        <v>290</v>
      </c>
      <c r="Y1407" s="474" t="s">
        <v>75</v>
      </c>
      <c r="Z1407" s="102">
        <v>53878</v>
      </c>
      <c r="AA1407" s="468">
        <f>(Table6[[#This Row],[Paired WTG Generation for loss calculation]]/24)*Table6[[#This Row],[Breakdown Time]]</f>
        <v>336.73749999999876</v>
      </c>
      <c r="AB1407" s="102"/>
      <c r="AC1407" s="35"/>
      <c r="AD1407" s="35"/>
    </row>
    <row r="1408" spans="1:30">
      <c r="A1408" s="102">
        <f t="shared" si="22"/>
        <v>1407</v>
      </c>
      <c r="B1408" s="468">
        <f>YEAR(Table6[[#This Row],[Date]])+IF(MONTH(Table6[[#This Row],[Date]])&gt;=4,1,0)</f>
        <v>2026</v>
      </c>
      <c r="C1408" s="102">
        <f>YEAR(Table6[[#This Row],[Date]])</f>
        <v>2025</v>
      </c>
      <c r="D1408" s="102" t="s">
        <v>1992</v>
      </c>
      <c r="E1408" s="469">
        <f>Table6[[#This Row],[Date]]-DAY(Table6[[#This Row],[Date]])+1</f>
        <v>45809</v>
      </c>
      <c r="F1408" s="470">
        <v>45838</v>
      </c>
      <c r="G1408" s="35" t="s">
        <v>78</v>
      </c>
      <c r="H1408" s="35" t="str">
        <f>IFERROR(_xlfn.XLOOKUP(Table6[[#This Row],[Affected WTG]],'Basic Data'!$A:$A,'Basic Data'!$B:$B),"")</f>
        <v>TQGXIIPL</v>
      </c>
      <c r="I1408" s="35" t="str">
        <f>IFERROR(_xlfn.XLOOKUP(Table6[[#This Row],[Affected WTG]],'Basic Data'!$A:$A,'Basic Data'!$C:$C),"")</f>
        <v>GEDA</v>
      </c>
      <c r="J1408" s="471">
        <f>IFERROR(_xlfn.XLOOKUP(Table6[[#This Row],[Affected WTG]],'Basic Data'!$A:$A,'Basic Data'!$E:$E),"")</f>
        <v>3.846153846153845E-2</v>
      </c>
      <c r="K1408" s="102">
        <v>305</v>
      </c>
      <c r="L1408" s="35" t="str">
        <f>IFERROR(_xlfn.XLOOKUP(Table6[[#This Row],[Error Code]],'Basic Data'!$AA:$AA,'Basic Data'!$AB:$AB),"Incorrect Error Code")</f>
        <v>Brake control</v>
      </c>
      <c r="M1408" s="35" t="s">
        <v>292</v>
      </c>
      <c r="N1408" s="475"/>
      <c r="O1408" s="476">
        <v>0.55763888888888891</v>
      </c>
      <c r="P1408" s="476">
        <v>0.55763888888888891</v>
      </c>
      <c r="Q1408" s="477">
        <v>0.55833333333333335</v>
      </c>
      <c r="R1408" s="472">
        <f>IF(Table6[[#This Row],[Work Start TimeStamp]]="","",(Table6[[#This Row],[Work Start TimeStamp]]-Table6[[#This Row],[Fault Start TimeStamp]])*24)</f>
        <v>0</v>
      </c>
      <c r="S1408" s="472">
        <f>(Table6[[#This Row],[Fault Clearance time]]-Table6[[#This Row],[Work Start TimeStamp]])*24</f>
        <v>1.6666666666666607E-2</v>
      </c>
      <c r="T1408" s="472">
        <f>(Table6[[#This Row],[Fault Clearance time]]-Table6[[#This Row],[Fault Start TimeStamp]])*24</f>
        <v>1.6666666666666607E-2</v>
      </c>
      <c r="U1408" s="35" t="s">
        <v>336</v>
      </c>
      <c r="V1408" s="102" t="s">
        <v>293</v>
      </c>
      <c r="W1408" s="478">
        <f>IFERROR(Table6[[#This Row],[Breakdown Time]]*Table6[[#This Row],[Plant Equivalent Weightage]],"")</f>
        <v>6.4102564102563853E-4</v>
      </c>
      <c r="X1408" s="473" t="s">
        <v>294</v>
      </c>
      <c r="Y1408" s="474" t="s">
        <v>75</v>
      </c>
      <c r="Z1408" s="102">
        <v>53878</v>
      </c>
      <c r="AA1408" s="468">
        <f>(Table6[[#This Row],[Paired WTG Generation for loss calculation]]/24)*Table6[[#This Row],[Breakdown Time]]</f>
        <v>37.415277777777639</v>
      </c>
      <c r="AB1408" s="102"/>
      <c r="AC1408" s="35"/>
      <c r="AD1408" s="35"/>
    </row>
    <row r="1409" spans="1:30">
      <c r="A1409" s="102">
        <f t="shared" si="22"/>
        <v>1408</v>
      </c>
      <c r="B1409" s="468">
        <f>YEAR(Table6[[#This Row],[Date]])+IF(MONTH(Table6[[#This Row],[Date]])&gt;=4,1,0)</f>
        <v>2026</v>
      </c>
      <c r="C1409" s="102">
        <f>YEAR(Table6[[#This Row],[Date]])</f>
        <v>2025</v>
      </c>
      <c r="D1409" s="102" t="s">
        <v>1992</v>
      </c>
      <c r="E1409" s="469">
        <f>Table6[[#This Row],[Date]]-DAY(Table6[[#This Row],[Date]])+1</f>
        <v>45809</v>
      </c>
      <c r="F1409" s="470">
        <v>45838</v>
      </c>
      <c r="G1409" s="35" t="s">
        <v>78</v>
      </c>
      <c r="H1409" s="35" t="str">
        <f>IFERROR(_xlfn.XLOOKUP(Table6[[#This Row],[Affected WTG]],'Basic Data'!$A:$A,'Basic Data'!$B:$B),"")</f>
        <v>TQGXIIPL</v>
      </c>
      <c r="I1409" s="35" t="str">
        <f>IFERROR(_xlfn.XLOOKUP(Table6[[#This Row],[Affected WTG]],'Basic Data'!$A:$A,'Basic Data'!$C:$C),"")</f>
        <v>GEDA</v>
      </c>
      <c r="J1409" s="471">
        <f>IFERROR(_xlfn.XLOOKUP(Table6[[#This Row],[Affected WTG]],'Basic Data'!$A:$A,'Basic Data'!$E:$E),"")</f>
        <v>3.846153846153845E-2</v>
      </c>
      <c r="K1409" s="102">
        <v>6130</v>
      </c>
      <c r="L1409" s="35" t="str">
        <f>IFERROR(_xlfn.XLOOKUP(Table6[[#This Row],[Error Code]],'Basic Data'!$AA:$AA,'Basic Data'!$AB:$AB),"Incorrect Error Code")</f>
        <v>Yaw speed high</v>
      </c>
      <c r="M1409" s="35" t="s">
        <v>292</v>
      </c>
      <c r="N1409" s="475"/>
      <c r="O1409" s="476">
        <v>0.56458333333333333</v>
      </c>
      <c r="P1409" s="476">
        <v>0.56458333333333333</v>
      </c>
      <c r="Q1409" s="477">
        <v>0.56874999999999998</v>
      </c>
      <c r="R1409" s="472">
        <f>IF(Table6[[#This Row],[Work Start TimeStamp]]="","",(Table6[[#This Row],[Work Start TimeStamp]]-Table6[[#This Row],[Fault Start TimeStamp]])*24)</f>
        <v>0</v>
      </c>
      <c r="S1409" s="472">
        <f>(Table6[[#This Row],[Fault Clearance time]]-Table6[[#This Row],[Work Start TimeStamp]])*24</f>
        <v>9.9999999999999645E-2</v>
      </c>
      <c r="T1409" s="472">
        <f>(Table6[[#This Row],[Fault Clearance time]]-Table6[[#This Row],[Fault Start TimeStamp]])*24</f>
        <v>9.9999999999999645E-2</v>
      </c>
      <c r="U1409" s="35" t="s">
        <v>336</v>
      </c>
      <c r="V1409" s="102" t="s">
        <v>293</v>
      </c>
      <c r="W1409" s="478">
        <f>IFERROR(Table6[[#This Row],[Breakdown Time]]*Table6[[#This Row],[Plant Equivalent Weightage]],"")</f>
        <v>3.8461538461538312E-3</v>
      </c>
      <c r="X1409" s="473" t="s">
        <v>294</v>
      </c>
      <c r="Y1409" s="474" t="s">
        <v>75</v>
      </c>
      <c r="Z1409" s="102">
        <v>53878</v>
      </c>
      <c r="AA1409" s="468">
        <f>(Table6[[#This Row],[Paired WTG Generation for loss calculation]]/24)*Table6[[#This Row],[Breakdown Time]]</f>
        <v>224.49166666666585</v>
      </c>
      <c r="AB1409" s="102"/>
      <c r="AC1409" s="35"/>
      <c r="AD1409" s="35"/>
    </row>
    <row r="1410" spans="1:30">
      <c r="A1410" s="102">
        <f t="shared" si="22"/>
        <v>1409</v>
      </c>
      <c r="B1410" s="468">
        <f>YEAR(Table6[[#This Row],[Date]])+IF(MONTH(Table6[[#This Row],[Date]])&gt;=4,1,0)</f>
        <v>2026</v>
      </c>
      <c r="C1410" s="102">
        <f>YEAR(Table6[[#This Row],[Date]])</f>
        <v>2025</v>
      </c>
      <c r="D1410" s="102" t="s">
        <v>1992</v>
      </c>
      <c r="E1410" s="469">
        <f>Table6[[#This Row],[Date]]-DAY(Table6[[#This Row],[Date]])+1</f>
        <v>45809</v>
      </c>
      <c r="F1410" s="470">
        <v>45838</v>
      </c>
      <c r="G1410" s="35" t="s">
        <v>78</v>
      </c>
      <c r="H1410" s="35" t="str">
        <f>IFERROR(_xlfn.XLOOKUP(Table6[[#This Row],[Affected WTG]],'Basic Data'!$A:$A,'Basic Data'!$B:$B),"")</f>
        <v>TQGXIIPL</v>
      </c>
      <c r="I1410" s="35" t="str">
        <f>IFERROR(_xlfn.XLOOKUP(Table6[[#This Row],[Affected WTG]],'Basic Data'!$A:$A,'Basic Data'!$C:$C),"")</f>
        <v>GEDA</v>
      </c>
      <c r="J1410" s="471">
        <f>IFERROR(_xlfn.XLOOKUP(Table6[[#This Row],[Affected WTG]],'Basic Data'!$A:$A,'Basic Data'!$E:$E),"")</f>
        <v>3.846153846153845E-2</v>
      </c>
      <c r="K1410" s="102">
        <v>55</v>
      </c>
      <c r="L1410" s="35" t="str">
        <f>IFERROR(_xlfn.XLOOKUP(Table6[[#This Row],[Error Code]],'Basic Data'!$AA:$AA,'Basic Data'!$AB:$AB),"Incorrect Error Code")</f>
        <v>WTG shut down</v>
      </c>
      <c r="M1410" s="35" t="s">
        <v>1956</v>
      </c>
      <c r="N1410" s="475"/>
      <c r="O1410" s="476">
        <v>0.63472222222222219</v>
      </c>
      <c r="P1410" s="476">
        <v>0.63472222222222219</v>
      </c>
      <c r="Q1410" s="477">
        <v>0.64375000000000004</v>
      </c>
      <c r="R1410" s="472">
        <f>IF(Table6[[#This Row],[Work Start TimeStamp]]="","",(Table6[[#This Row],[Work Start TimeStamp]]-Table6[[#This Row],[Fault Start TimeStamp]])*24)</f>
        <v>0</v>
      </c>
      <c r="S1410" s="472">
        <f>(Table6[[#This Row],[Fault Clearance time]]-Table6[[#This Row],[Work Start TimeStamp]])*24</f>
        <v>0.21666666666666856</v>
      </c>
      <c r="T1410" s="472">
        <f>(Table6[[#This Row],[Fault Clearance time]]-Table6[[#This Row],[Fault Start TimeStamp]])*24</f>
        <v>0.21666666666666856</v>
      </c>
      <c r="U1410" s="35" t="s">
        <v>2017</v>
      </c>
      <c r="V1410" s="102" t="s">
        <v>293</v>
      </c>
      <c r="W1410" s="478">
        <f>IFERROR(Table6[[#This Row],[Breakdown Time]]*Table6[[#This Row],[Plant Equivalent Weightage]],"")</f>
        <v>8.3333333333334043E-3</v>
      </c>
      <c r="X1410" s="473" t="s">
        <v>290</v>
      </c>
      <c r="Y1410" s="474" t="s">
        <v>75</v>
      </c>
      <c r="Z1410" s="102">
        <v>53878</v>
      </c>
      <c r="AA1410" s="468">
        <f>(Table6[[#This Row],[Paired WTG Generation for loss calculation]]/24)*Table6[[#This Row],[Breakdown Time]]</f>
        <v>486.39861111111531</v>
      </c>
      <c r="AB1410" s="102"/>
      <c r="AC1410" s="35"/>
      <c r="AD1410" s="35"/>
    </row>
    <row r="1411" spans="1:30">
      <c r="A1411" s="102">
        <f t="shared" si="22"/>
        <v>1410</v>
      </c>
      <c r="B1411" s="468">
        <f>YEAR(Table6[[#This Row],[Date]])+IF(MONTH(Table6[[#This Row],[Date]])&gt;=4,1,0)</f>
        <v>2026</v>
      </c>
      <c r="C1411" s="102">
        <f>YEAR(Table6[[#This Row],[Date]])</f>
        <v>2025</v>
      </c>
      <c r="D1411" s="102" t="s">
        <v>1992</v>
      </c>
      <c r="E1411" s="469">
        <f>Table6[[#This Row],[Date]]-DAY(Table6[[#This Row],[Date]])+1</f>
        <v>45809</v>
      </c>
      <c r="F1411" s="470">
        <v>45838</v>
      </c>
      <c r="G1411" s="35" t="s">
        <v>78</v>
      </c>
      <c r="H1411" s="35" t="str">
        <f>IFERROR(_xlfn.XLOOKUP(Table6[[#This Row],[Affected WTG]],'Basic Data'!$A:$A,'Basic Data'!$B:$B),"")</f>
        <v>TQGXIIPL</v>
      </c>
      <c r="I1411" s="35" t="str">
        <f>IFERROR(_xlfn.XLOOKUP(Table6[[#This Row],[Affected WTG]],'Basic Data'!$A:$A,'Basic Data'!$C:$C),"")</f>
        <v>GEDA</v>
      </c>
      <c r="J1411" s="471">
        <f>IFERROR(_xlfn.XLOOKUP(Table6[[#This Row],[Affected WTG]],'Basic Data'!$A:$A,'Basic Data'!$E:$E),"")</f>
        <v>3.846153846153845E-2</v>
      </c>
      <c r="K1411" s="102">
        <v>3211</v>
      </c>
      <c r="L1411" s="35" t="str">
        <f>IFERROR(_xlfn.XLOOKUP(Table6[[#This Row],[Error Code]],'Basic Data'!$AA:$AA,'Basic Data'!$AB:$AB),"Incorrect Error Code")</f>
        <v>Conv. load shedding (CAN)</v>
      </c>
      <c r="M1411" s="35" t="s">
        <v>291</v>
      </c>
      <c r="N1411" s="475"/>
      <c r="O1411" s="476">
        <v>0.71388888888888891</v>
      </c>
      <c r="P1411" s="476">
        <v>0.71388888888888891</v>
      </c>
      <c r="Q1411" s="477">
        <v>0.72152777777777777</v>
      </c>
      <c r="R1411" s="472">
        <f>IF(Table6[[#This Row],[Work Start TimeStamp]]="","",(Table6[[#This Row],[Work Start TimeStamp]]-Table6[[#This Row],[Fault Start TimeStamp]])*24)</f>
        <v>0</v>
      </c>
      <c r="S1411" s="472">
        <f>(Table6[[#This Row],[Fault Clearance time]]-Table6[[#This Row],[Work Start TimeStamp]])*24</f>
        <v>0.18333333333333268</v>
      </c>
      <c r="T1411" s="472">
        <f>(Table6[[#This Row],[Fault Clearance time]]-Table6[[#This Row],[Fault Start TimeStamp]])*24</f>
        <v>0.18333333333333268</v>
      </c>
      <c r="U1411" s="35" t="s">
        <v>1924</v>
      </c>
      <c r="V1411" s="102" t="s">
        <v>293</v>
      </c>
      <c r="W1411" s="478">
        <f>IFERROR(Table6[[#This Row],[Breakdown Time]]*Table6[[#This Row],[Plant Equivalent Weightage]],"")</f>
        <v>7.0512820512820245E-3</v>
      </c>
      <c r="X1411" s="473" t="s">
        <v>290</v>
      </c>
      <c r="Y1411" s="474" t="s">
        <v>75</v>
      </c>
      <c r="Z1411" s="102">
        <v>53878</v>
      </c>
      <c r="AA1411" s="468">
        <f>(Table6[[#This Row],[Paired WTG Generation for loss calculation]]/24)*Table6[[#This Row],[Breakdown Time]]</f>
        <v>411.56805555555405</v>
      </c>
      <c r="AB1411" s="102"/>
      <c r="AC1411" s="35"/>
      <c r="AD1411" s="35"/>
    </row>
    <row r="1412" spans="1:30">
      <c r="A1412" s="102">
        <f t="shared" si="22"/>
        <v>1411</v>
      </c>
      <c r="B1412" s="468">
        <f>YEAR(Table6[[#This Row],[Date]])+IF(MONTH(Table6[[#This Row],[Date]])&gt;=4,1,0)</f>
        <v>2026</v>
      </c>
      <c r="C1412" s="102">
        <f>YEAR(Table6[[#This Row],[Date]])</f>
        <v>2025</v>
      </c>
      <c r="D1412" s="102" t="s">
        <v>1992</v>
      </c>
      <c r="E1412" s="469">
        <f>Table6[[#This Row],[Date]]-DAY(Table6[[#This Row],[Date]])+1</f>
        <v>45809</v>
      </c>
      <c r="F1412" s="470">
        <v>45838</v>
      </c>
      <c r="G1412" s="35" t="s">
        <v>81</v>
      </c>
      <c r="H1412" s="35" t="str">
        <f>IFERROR(_xlfn.XLOOKUP(Table6[[#This Row],[Affected WTG]],'Basic Data'!$A:$A,'Basic Data'!$B:$B),"")</f>
        <v>TQGXIIPL</v>
      </c>
      <c r="I1412" s="35" t="str">
        <f>IFERROR(_xlfn.XLOOKUP(Table6[[#This Row],[Affected WTG]],'Basic Data'!$A:$A,'Basic Data'!$C:$C),"")</f>
        <v>GEDA</v>
      </c>
      <c r="J1412" s="471">
        <f>IFERROR(_xlfn.XLOOKUP(Table6[[#This Row],[Affected WTG]],'Basic Data'!$A:$A,'Basic Data'!$E:$E),"")</f>
        <v>3.846153846153845E-2</v>
      </c>
      <c r="K1412" s="102">
        <v>741</v>
      </c>
      <c r="L1412" s="35" t="str">
        <f>IFERROR(_xlfn.XLOOKUP(Table6[[#This Row],[Error Code]],'Basic Data'!$AA:$AA,'Basic Data'!$AB:$AB),"Incorrect Error Code")</f>
        <v>Battery drive trigger by HC</v>
      </c>
      <c r="M1412" s="35" t="s">
        <v>291</v>
      </c>
      <c r="N1412" s="475"/>
      <c r="O1412" s="476">
        <v>5.6250000000000001E-2</v>
      </c>
      <c r="P1412" s="476">
        <v>5.6250000000000001E-2</v>
      </c>
      <c r="Q1412" s="477">
        <v>6.458333333333334E-2</v>
      </c>
      <c r="R1412" s="472">
        <f>IF(Table6[[#This Row],[Work Start TimeStamp]]="","",(Table6[[#This Row],[Work Start TimeStamp]]-Table6[[#This Row],[Fault Start TimeStamp]])*24)</f>
        <v>0</v>
      </c>
      <c r="S1412" s="472">
        <f>(Table6[[#This Row],[Fault Clearance time]]-Table6[[#This Row],[Work Start TimeStamp]])*24</f>
        <v>0.20000000000000012</v>
      </c>
      <c r="T1412" s="472">
        <f>(Table6[[#This Row],[Fault Clearance time]]-Table6[[#This Row],[Fault Start TimeStamp]])*24</f>
        <v>0.20000000000000012</v>
      </c>
      <c r="U1412" s="35" t="s">
        <v>1924</v>
      </c>
      <c r="V1412" s="102" t="s">
        <v>293</v>
      </c>
      <c r="W1412" s="478">
        <f>IFERROR(Table6[[#This Row],[Breakdown Time]]*Table6[[#This Row],[Plant Equivalent Weightage]],"")</f>
        <v>7.6923076923076945E-3</v>
      </c>
      <c r="X1412" s="473" t="s">
        <v>290</v>
      </c>
      <c r="Y1412" s="474" t="s">
        <v>99</v>
      </c>
      <c r="Z1412" s="102">
        <v>53074</v>
      </c>
      <c r="AA1412" s="468">
        <f>(Table6[[#This Row],[Paired WTG Generation for loss calculation]]/24)*Table6[[#This Row],[Breakdown Time]]</f>
        <v>442.28333333333359</v>
      </c>
      <c r="AB1412" s="102"/>
      <c r="AC1412" s="35"/>
      <c r="AD1412" s="35"/>
    </row>
    <row r="1413" spans="1:30">
      <c r="A1413" s="102">
        <f t="shared" si="22"/>
        <v>1412</v>
      </c>
      <c r="B1413" s="468">
        <f>YEAR(Table6[[#This Row],[Date]])+IF(MONTH(Table6[[#This Row],[Date]])&gt;=4,1,0)</f>
        <v>2026</v>
      </c>
      <c r="C1413" s="102">
        <f>YEAR(Table6[[#This Row],[Date]])</f>
        <v>2025</v>
      </c>
      <c r="D1413" s="102" t="s">
        <v>1992</v>
      </c>
      <c r="E1413" s="469">
        <f>Table6[[#This Row],[Date]]-DAY(Table6[[#This Row],[Date]])+1</f>
        <v>45809</v>
      </c>
      <c r="F1413" s="470">
        <v>45838</v>
      </c>
      <c r="G1413" s="35" t="s">
        <v>81</v>
      </c>
      <c r="H1413" s="35" t="str">
        <f>IFERROR(_xlfn.XLOOKUP(Table6[[#This Row],[Affected WTG]],'Basic Data'!$A:$A,'Basic Data'!$B:$B),"")</f>
        <v>TQGXIIPL</v>
      </c>
      <c r="I1413" s="35" t="str">
        <f>IFERROR(_xlfn.XLOOKUP(Table6[[#This Row],[Affected WTG]],'Basic Data'!$A:$A,'Basic Data'!$C:$C),"")</f>
        <v>GEDA</v>
      </c>
      <c r="J1413" s="471">
        <f>IFERROR(_xlfn.XLOOKUP(Table6[[#This Row],[Affected WTG]],'Basic Data'!$A:$A,'Basic Data'!$E:$E),"")</f>
        <v>3.846153846153845E-2</v>
      </c>
      <c r="K1413" s="102">
        <v>641</v>
      </c>
      <c r="L1413" s="35" t="str">
        <f>IFERROR(_xlfn.XLOOKUP(Table6[[#This Row],[Error Code]],'Basic Data'!$AA:$AA,'Basic Data'!$AB:$AB),"Incorrect Error Code")</f>
        <v>Sim.angle E enc. &lt;&gt; act.angle 1</v>
      </c>
      <c r="M1413" s="35" t="s">
        <v>291</v>
      </c>
      <c r="N1413" s="475"/>
      <c r="O1413" s="476">
        <v>0.19513888888888889</v>
      </c>
      <c r="P1413" s="476">
        <v>0.19513888888888889</v>
      </c>
      <c r="Q1413" s="477">
        <v>0.19583333333333333</v>
      </c>
      <c r="R1413" s="472">
        <f>IF(Table6[[#This Row],[Work Start TimeStamp]]="","",(Table6[[#This Row],[Work Start TimeStamp]]-Table6[[#This Row],[Fault Start TimeStamp]])*24)</f>
        <v>0</v>
      </c>
      <c r="S1413" s="472">
        <f>(Table6[[#This Row],[Fault Clearance time]]-Table6[[#This Row],[Work Start TimeStamp]])*24</f>
        <v>1.6666666666666607E-2</v>
      </c>
      <c r="T1413" s="472">
        <f>(Table6[[#This Row],[Fault Clearance time]]-Table6[[#This Row],[Fault Start TimeStamp]])*24</f>
        <v>1.6666666666666607E-2</v>
      </c>
      <c r="U1413" s="35" t="s">
        <v>1924</v>
      </c>
      <c r="V1413" s="102" t="s">
        <v>293</v>
      </c>
      <c r="W1413" s="478">
        <f>IFERROR(Table6[[#This Row],[Breakdown Time]]*Table6[[#This Row],[Plant Equivalent Weightage]],"")</f>
        <v>6.4102564102563853E-4</v>
      </c>
      <c r="X1413" s="473" t="s">
        <v>290</v>
      </c>
      <c r="Y1413" s="474" t="s">
        <v>99</v>
      </c>
      <c r="Z1413" s="102">
        <v>53074</v>
      </c>
      <c r="AA1413" s="468">
        <f>(Table6[[#This Row],[Paired WTG Generation for loss calculation]]/24)*Table6[[#This Row],[Breakdown Time]]</f>
        <v>36.856944444444309</v>
      </c>
      <c r="AB1413" s="102"/>
      <c r="AC1413" s="35"/>
      <c r="AD1413" s="35"/>
    </row>
    <row r="1414" spans="1:30">
      <c r="A1414" s="102">
        <f t="shared" si="22"/>
        <v>1413</v>
      </c>
      <c r="B1414" s="468">
        <f>YEAR(Table6[[#This Row],[Date]])+IF(MONTH(Table6[[#This Row],[Date]])&gt;=4,1,0)</f>
        <v>2026</v>
      </c>
      <c r="C1414" s="102">
        <f>YEAR(Table6[[#This Row],[Date]])</f>
        <v>2025</v>
      </c>
      <c r="D1414" s="102" t="s">
        <v>1992</v>
      </c>
      <c r="E1414" s="469">
        <f>Table6[[#This Row],[Date]]-DAY(Table6[[#This Row],[Date]])+1</f>
        <v>45809</v>
      </c>
      <c r="F1414" s="470">
        <v>45838</v>
      </c>
      <c r="G1414" s="35" t="s">
        <v>81</v>
      </c>
      <c r="H1414" s="35" t="str">
        <f>IFERROR(_xlfn.XLOOKUP(Table6[[#This Row],[Affected WTG]],'Basic Data'!$A:$A,'Basic Data'!$B:$B),"")</f>
        <v>TQGXIIPL</v>
      </c>
      <c r="I1414" s="35" t="str">
        <f>IFERROR(_xlfn.XLOOKUP(Table6[[#This Row],[Affected WTG]],'Basic Data'!$A:$A,'Basic Data'!$C:$C),"")</f>
        <v>GEDA</v>
      </c>
      <c r="J1414" s="471">
        <f>IFERROR(_xlfn.XLOOKUP(Table6[[#This Row],[Affected WTG]],'Basic Data'!$A:$A,'Basic Data'!$E:$E),"")</f>
        <v>3.846153846153845E-2</v>
      </c>
      <c r="K1414" s="102">
        <v>665</v>
      </c>
      <c r="L1414" s="35" t="str">
        <f>IFERROR(_xlfn.XLOOKUP(Table6[[#This Row],[Error Code]],'Basic Data'!$AA:$AA,'Basic Data'!$AB:$AB),"Incorrect Error Code")</f>
        <v>Pitch error</v>
      </c>
      <c r="M1414" s="35" t="s">
        <v>291</v>
      </c>
      <c r="N1414" s="475"/>
      <c r="O1414" s="476">
        <v>0.44722222222222224</v>
      </c>
      <c r="P1414" s="476">
        <v>0.44722222222222224</v>
      </c>
      <c r="Q1414" s="477">
        <v>0.46041666666666664</v>
      </c>
      <c r="R1414" s="472">
        <f>IF(Table6[[#This Row],[Work Start TimeStamp]]="","",(Table6[[#This Row],[Work Start TimeStamp]]-Table6[[#This Row],[Fault Start TimeStamp]])*24)</f>
        <v>0</v>
      </c>
      <c r="S1414" s="472">
        <f>(Table6[[#This Row],[Fault Clearance time]]-Table6[[#This Row],[Work Start TimeStamp]])*24</f>
        <v>0.31666666666666554</v>
      </c>
      <c r="T1414" s="472">
        <f>(Table6[[#This Row],[Fault Clearance time]]-Table6[[#This Row],[Fault Start TimeStamp]])*24</f>
        <v>0.31666666666666554</v>
      </c>
      <c r="U1414" s="35" t="s">
        <v>1924</v>
      </c>
      <c r="V1414" s="102" t="s">
        <v>293</v>
      </c>
      <c r="W1414" s="478">
        <f>IFERROR(Table6[[#This Row],[Breakdown Time]]*Table6[[#This Row],[Plant Equivalent Weightage]],"")</f>
        <v>1.2179487179487133E-2</v>
      </c>
      <c r="X1414" s="473" t="s">
        <v>290</v>
      </c>
      <c r="Y1414" s="474" t="s">
        <v>99</v>
      </c>
      <c r="Z1414" s="102">
        <v>53074</v>
      </c>
      <c r="AA1414" s="468">
        <f>(Table6[[#This Row],[Paired WTG Generation for loss calculation]]/24)*Table6[[#This Row],[Breakdown Time]]</f>
        <v>700.28194444444193</v>
      </c>
      <c r="AB1414" s="102"/>
      <c r="AC1414" s="35"/>
      <c r="AD1414" s="35"/>
    </row>
    <row r="1415" spans="1:30">
      <c r="A1415" s="102">
        <f t="shared" si="22"/>
        <v>1414</v>
      </c>
      <c r="B1415" s="468">
        <f>YEAR(Table6[[#This Row],[Date]])+IF(MONTH(Table6[[#This Row],[Date]])&gt;=4,1,0)</f>
        <v>2026</v>
      </c>
      <c r="C1415" s="102">
        <f>YEAR(Table6[[#This Row],[Date]])</f>
        <v>2025</v>
      </c>
      <c r="D1415" s="102" t="s">
        <v>1992</v>
      </c>
      <c r="E1415" s="469">
        <f>Table6[[#This Row],[Date]]-DAY(Table6[[#This Row],[Date]])+1</f>
        <v>45809</v>
      </c>
      <c r="F1415" s="470">
        <v>45838</v>
      </c>
      <c r="G1415" s="35" t="s">
        <v>81</v>
      </c>
      <c r="H1415" s="35" t="str">
        <f>IFERROR(_xlfn.XLOOKUP(Table6[[#This Row],[Affected WTG]],'Basic Data'!$A:$A,'Basic Data'!$B:$B),"")</f>
        <v>TQGXIIPL</v>
      </c>
      <c r="I1415" s="35" t="str">
        <f>IFERROR(_xlfn.XLOOKUP(Table6[[#This Row],[Affected WTG]],'Basic Data'!$A:$A,'Basic Data'!$C:$C),"")</f>
        <v>GEDA</v>
      </c>
      <c r="J1415" s="471">
        <f>IFERROR(_xlfn.XLOOKUP(Table6[[#This Row],[Affected WTG]],'Basic Data'!$A:$A,'Basic Data'!$E:$E),"")</f>
        <v>3.846153846153845E-2</v>
      </c>
      <c r="K1415" s="102">
        <v>665</v>
      </c>
      <c r="L1415" s="35" t="str">
        <f>IFERROR(_xlfn.XLOOKUP(Table6[[#This Row],[Error Code]],'Basic Data'!$AA:$AA,'Basic Data'!$AB:$AB),"Incorrect Error Code")</f>
        <v>Pitch error</v>
      </c>
      <c r="M1415" s="35" t="s">
        <v>291</v>
      </c>
      <c r="N1415" s="475"/>
      <c r="O1415" s="476">
        <v>0.46180555555555558</v>
      </c>
      <c r="P1415" s="476">
        <v>0.46180555555555558</v>
      </c>
      <c r="Q1415" s="477">
        <v>0.70416666666666672</v>
      </c>
      <c r="R1415" s="472">
        <f>IF(Table6[[#This Row],[Work Start TimeStamp]]="","",(Table6[[#This Row],[Work Start TimeStamp]]-Table6[[#This Row],[Fault Start TimeStamp]])*24)</f>
        <v>0</v>
      </c>
      <c r="S1415" s="472">
        <f>(Table6[[#This Row],[Fault Clearance time]]-Table6[[#This Row],[Work Start TimeStamp]])*24</f>
        <v>5.8166666666666673</v>
      </c>
      <c r="T1415" s="472">
        <f>(Table6[[#This Row],[Fault Clearance time]]-Table6[[#This Row],[Fault Start TimeStamp]])*24</f>
        <v>5.8166666666666673</v>
      </c>
      <c r="U1415" s="35" t="s">
        <v>2018</v>
      </c>
      <c r="V1415" s="102" t="s">
        <v>293</v>
      </c>
      <c r="W1415" s="478">
        <f>IFERROR(Table6[[#This Row],[Breakdown Time]]*Table6[[#This Row],[Plant Equivalent Weightage]],"")</f>
        <v>0.22371794871794867</v>
      </c>
      <c r="X1415" s="473" t="s">
        <v>290</v>
      </c>
      <c r="Y1415" s="474" t="s">
        <v>99</v>
      </c>
      <c r="Z1415" s="102">
        <v>53074</v>
      </c>
      <c r="AA1415" s="468">
        <f>(Table6[[#This Row],[Paired WTG Generation for loss calculation]]/24)*Table6[[#This Row],[Breakdown Time]]</f>
        <v>12863.073611111111</v>
      </c>
      <c r="AB1415" s="102"/>
      <c r="AC1415" s="35"/>
      <c r="AD1415" s="35"/>
    </row>
    <row r="1416" spans="1:30">
      <c r="A1416" s="102">
        <f t="shared" si="22"/>
        <v>1415</v>
      </c>
      <c r="B1416" s="468">
        <f>YEAR(Table6[[#This Row],[Date]])+IF(MONTH(Table6[[#This Row],[Date]])&gt;=4,1,0)</f>
        <v>2026</v>
      </c>
      <c r="C1416" s="102">
        <f>YEAR(Table6[[#This Row],[Date]])</f>
        <v>2025</v>
      </c>
      <c r="D1416" s="102" t="s">
        <v>1992</v>
      </c>
      <c r="E1416" s="469">
        <f>Table6[[#This Row],[Date]]-DAY(Table6[[#This Row],[Date]])+1</f>
        <v>45809</v>
      </c>
      <c r="F1416" s="470">
        <v>45838</v>
      </c>
      <c r="G1416" s="35" t="s">
        <v>81</v>
      </c>
      <c r="H1416" s="35" t="str">
        <f>IFERROR(_xlfn.XLOOKUP(Table6[[#This Row],[Affected WTG]],'Basic Data'!$A:$A,'Basic Data'!$B:$B),"")</f>
        <v>TQGXIIPL</v>
      </c>
      <c r="I1416" s="35" t="str">
        <f>IFERROR(_xlfn.XLOOKUP(Table6[[#This Row],[Affected WTG]],'Basic Data'!$A:$A,'Basic Data'!$C:$C),"")</f>
        <v>GEDA</v>
      </c>
      <c r="J1416" s="471">
        <f>IFERROR(_xlfn.XLOOKUP(Table6[[#This Row],[Affected WTG]],'Basic Data'!$A:$A,'Basic Data'!$E:$E),"")</f>
        <v>3.846153846153845E-2</v>
      </c>
      <c r="K1416" s="102">
        <v>152</v>
      </c>
      <c r="L1416" s="35" t="str">
        <f>IFERROR(_xlfn.XLOOKUP(Table6[[#This Row],[Error Code]],'Basic Data'!$AA:$AA,'Basic Data'!$AB:$AB),"Incorrect Error Code")</f>
        <v>SLC app. not in SAFE mode</v>
      </c>
      <c r="M1416" s="35" t="s">
        <v>291</v>
      </c>
      <c r="N1416" s="475"/>
      <c r="O1416" s="476">
        <v>0.71458333333333335</v>
      </c>
      <c r="P1416" s="476">
        <v>0.71458333333333335</v>
      </c>
      <c r="Q1416" s="477">
        <v>0.72152777777777777</v>
      </c>
      <c r="R1416" s="472">
        <f>IF(Table6[[#This Row],[Work Start TimeStamp]]="","",(Table6[[#This Row],[Work Start TimeStamp]]-Table6[[#This Row],[Fault Start TimeStamp]])*24)</f>
        <v>0</v>
      </c>
      <c r="S1416" s="472">
        <f>(Table6[[#This Row],[Fault Clearance time]]-Table6[[#This Row],[Work Start TimeStamp]])*24</f>
        <v>0.16666666666666607</v>
      </c>
      <c r="T1416" s="472">
        <f>(Table6[[#This Row],[Fault Clearance time]]-Table6[[#This Row],[Fault Start TimeStamp]])*24</f>
        <v>0.16666666666666607</v>
      </c>
      <c r="U1416" s="35" t="s">
        <v>1924</v>
      </c>
      <c r="V1416" s="102" t="s">
        <v>293</v>
      </c>
      <c r="W1416" s="478">
        <f>IFERROR(Table6[[#This Row],[Breakdown Time]]*Table6[[#This Row],[Plant Equivalent Weightage]],"")</f>
        <v>6.4102564102563857E-3</v>
      </c>
      <c r="X1416" s="473" t="s">
        <v>290</v>
      </c>
      <c r="Y1416" s="474" t="s">
        <v>99</v>
      </c>
      <c r="Z1416" s="102">
        <v>53074</v>
      </c>
      <c r="AA1416" s="468">
        <f>(Table6[[#This Row],[Paired WTG Generation for loss calculation]]/24)*Table6[[#This Row],[Breakdown Time]]</f>
        <v>368.56944444444309</v>
      </c>
      <c r="AB1416" s="102"/>
      <c r="AC1416" s="35"/>
      <c r="AD1416" s="35"/>
    </row>
    <row r="1417" spans="1:30">
      <c r="A1417" s="102">
        <f t="shared" si="22"/>
        <v>1416</v>
      </c>
      <c r="B1417" s="468">
        <f>YEAR(Table6[[#This Row],[Date]])+IF(MONTH(Table6[[#This Row],[Date]])&gt;=4,1,0)</f>
        <v>2026</v>
      </c>
      <c r="C1417" s="102">
        <f>YEAR(Table6[[#This Row],[Date]])</f>
        <v>2025</v>
      </c>
      <c r="D1417" s="102" t="s">
        <v>1992</v>
      </c>
      <c r="E1417" s="469">
        <f>Table6[[#This Row],[Date]]-DAY(Table6[[#This Row],[Date]])+1</f>
        <v>45809</v>
      </c>
      <c r="F1417" s="470">
        <v>45838</v>
      </c>
      <c r="G1417" s="35" t="s">
        <v>82</v>
      </c>
      <c r="H1417" s="35" t="str">
        <f>IFERROR(_xlfn.XLOOKUP(Table6[[#This Row],[Affected WTG]],'Basic Data'!$A:$A,'Basic Data'!$B:$B),"")</f>
        <v>TQGXIIPL</v>
      </c>
      <c r="I1417" s="35" t="str">
        <f>IFERROR(_xlfn.XLOOKUP(Table6[[#This Row],[Affected WTG]],'Basic Data'!$A:$A,'Basic Data'!$C:$C),"")</f>
        <v>GEDA</v>
      </c>
      <c r="J1417" s="471">
        <f>IFERROR(_xlfn.XLOOKUP(Table6[[#This Row],[Affected WTG]],'Basic Data'!$A:$A,'Basic Data'!$E:$E),"")</f>
        <v>3.846153846153845E-2</v>
      </c>
      <c r="K1417" s="102">
        <v>551</v>
      </c>
      <c r="L1417" s="35" t="str">
        <f>IFERROR(_xlfn.XLOOKUP(Table6[[#This Row],[Error Code]],'Basic Data'!$AA:$AA,'Basic Data'!$AB:$AB),"Incorrect Error Code")</f>
        <v>Pitch motor current too high</v>
      </c>
      <c r="M1417" s="35" t="s">
        <v>291</v>
      </c>
      <c r="N1417" s="475"/>
      <c r="O1417" s="476">
        <v>0</v>
      </c>
      <c r="P1417" s="476">
        <v>0</v>
      </c>
      <c r="Q1417" s="477">
        <v>0.10347222222222222</v>
      </c>
      <c r="R1417" s="472">
        <f>IF(Table6[[#This Row],[Work Start TimeStamp]]="","",(Table6[[#This Row],[Work Start TimeStamp]]-Table6[[#This Row],[Fault Start TimeStamp]])*24)</f>
        <v>0</v>
      </c>
      <c r="S1417" s="472">
        <f>(Table6[[#This Row],[Fault Clearance time]]-Table6[[#This Row],[Work Start TimeStamp]])*24</f>
        <v>2.4833333333333334</v>
      </c>
      <c r="T1417" s="472">
        <f>(Table6[[#This Row],[Fault Clearance time]]-Table6[[#This Row],[Fault Start TimeStamp]])*24</f>
        <v>2.4833333333333334</v>
      </c>
      <c r="U1417" s="35" t="s">
        <v>2019</v>
      </c>
      <c r="V1417" s="102" t="s">
        <v>293</v>
      </c>
      <c r="W1417" s="478">
        <f>IFERROR(Table6[[#This Row],[Breakdown Time]]*Table6[[#This Row],[Plant Equivalent Weightage]],"")</f>
        <v>9.5512820512820493E-2</v>
      </c>
      <c r="X1417" s="473" t="s">
        <v>290</v>
      </c>
      <c r="Y1417" s="474" t="s">
        <v>76</v>
      </c>
      <c r="Z1417" s="102">
        <v>52369</v>
      </c>
      <c r="AA1417" s="468">
        <f>(Table6[[#This Row],[Paired WTG Generation for loss calculation]]/24)*Table6[[#This Row],[Breakdown Time]]</f>
        <v>5418.7368055555553</v>
      </c>
      <c r="AB1417" s="102"/>
      <c r="AC1417" s="35"/>
      <c r="AD1417" s="35"/>
    </row>
    <row r="1418" spans="1:30">
      <c r="A1418" s="102">
        <f t="shared" si="22"/>
        <v>1417</v>
      </c>
      <c r="B1418" s="468">
        <f>YEAR(Table6[[#This Row],[Date]])+IF(MONTH(Table6[[#This Row],[Date]])&gt;=4,1,0)</f>
        <v>2026</v>
      </c>
      <c r="C1418" s="102">
        <f>YEAR(Table6[[#This Row],[Date]])</f>
        <v>2025</v>
      </c>
      <c r="D1418" s="102" t="s">
        <v>1992</v>
      </c>
      <c r="E1418" s="469">
        <f>Table6[[#This Row],[Date]]-DAY(Table6[[#This Row],[Date]])+1</f>
        <v>45809</v>
      </c>
      <c r="F1418" s="470">
        <v>45838</v>
      </c>
      <c r="G1418" s="35" t="s">
        <v>83</v>
      </c>
      <c r="H1418" s="35" t="str">
        <f>IFERROR(_xlfn.XLOOKUP(Table6[[#This Row],[Affected WTG]],'Basic Data'!$A:$A,'Basic Data'!$B:$B),"")</f>
        <v>TQGXIIPL</v>
      </c>
      <c r="I1418" s="35" t="str">
        <f>IFERROR(_xlfn.XLOOKUP(Table6[[#This Row],[Affected WTG]],'Basic Data'!$A:$A,'Basic Data'!$C:$C),"")</f>
        <v>GEDA</v>
      </c>
      <c r="J1418" s="471">
        <f>IFERROR(_xlfn.XLOOKUP(Table6[[#This Row],[Affected WTG]],'Basic Data'!$A:$A,'Basic Data'!$E:$E),"")</f>
        <v>3.846153846153845E-2</v>
      </c>
      <c r="K1418" s="102">
        <v>1070</v>
      </c>
      <c r="L1418" s="35" t="str">
        <f>IFERROR(_xlfn.XLOOKUP(Table6[[#This Row],[Error Code]],'Basic Data'!$AA:$AA,'Basic Data'!$AB:$AB),"Incorrect Error Code")</f>
        <v>Drive train monitor level 2</v>
      </c>
      <c r="M1418" s="35" t="s">
        <v>291</v>
      </c>
      <c r="N1418" s="475"/>
      <c r="O1418" s="476">
        <v>0.44027777777777777</v>
      </c>
      <c r="P1418" s="476">
        <v>0.44027777777777777</v>
      </c>
      <c r="Q1418" s="477">
        <v>0.45416666666666666</v>
      </c>
      <c r="R1418" s="472">
        <f>IF(Table6[[#This Row],[Work Start TimeStamp]]="","",(Table6[[#This Row],[Work Start TimeStamp]]-Table6[[#This Row],[Fault Start TimeStamp]])*24)</f>
        <v>0</v>
      </c>
      <c r="S1418" s="472">
        <f>(Table6[[#This Row],[Fault Clearance time]]-Table6[[#This Row],[Work Start TimeStamp]])*24</f>
        <v>0.33333333333333348</v>
      </c>
      <c r="T1418" s="472">
        <f>(Table6[[#This Row],[Fault Clearance time]]-Table6[[#This Row],[Fault Start TimeStamp]])*24</f>
        <v>0.33333333333333348</v>
      </c>
      <c r="U1418" s="35" t="s">
        <v>1924</v>
      </c>
      <c r="V1418" s="102" t="s">
        <v>293</v>
      </c>
      <c r="W1418" s="478">
        <f>IFERROR(Table6[[#This Row],[Breakdown Time]]*Table6[[#This Row],[Plant Equivalent Weightage]],"")</f>
        <v>1.2820512820512822E-2</v>
      </c>
      <c r="X1418" s="473" t="s">
        <v>290</v>
      </c>
      <c r="Y1418" s="474" t="s">
        <v>88</v>
      </c>
      <c r="Z1418" s="102">
        <v>51323</v>
      </c>
      <c r="AA1418" s="468">
        <f>(Table6[[#This Row],[Paired WTG Generation for loss calculation]]/24)*Table6[[#This Row],[Breakdown Time]]</f>
        <v>712.8194444444448</v>
      </c>
      <c r="AB1418" s="102"/>
      <c r="AC1418" s="35"/>
      <c r="AD1418" s="35"/>
    </row>
    <row r="1419" spans="1:30">
      <c r="A1419" s="102">
        <f t="shared" si="22"/>
        <v>1418</v>
      </c>
      <c r="B1419" s="468">
        <f>YEAR(Table6[[#This Row],[Date]])+IF(MONTH(Table6[[#This Row],[Date]])&gt;=4,1,0)</f>
        <v>2026</v>
      </c>
      <c r="C1419" s="102">
        <f>YEAR(Table6[[#This Row],[Date]])</f>
        <v>2025</v>
      </c>
      <c r="D1419" s="102" t="s">
        <v>1992</v>
      </c>
      <c r="E1419" s="469">
        <f>Table6[[#This Row],[Date]]-DAY(Table6[[#This Row],[Date]])+1</f>
        <v>45809</v>
      </c>
      <c r="F1419" s="470">
        <v>45838</v>
      </c>
      <c r="G1419" s="35" t="s">
        <v>83</v>
      </c>
      <c r="H1419" s="35" t="str">
        <f>IFERROR(_xlfn.XLOOKUP(Table6[[#This Row],[Affected WTG]],'Basic Data'!$A:$A,'Basic Data'!$B:$B),"")</f>
        <v>TQGXIIPL</v>
      </c>
      <c r="I1419" s="35" t="str">
        <f>IFERROR(_xlfn.XLOOKUP(Table6[[#This Row],[Affected WTG]],'Basic Data'!$A:$A,'Basic Data'!$C:$C),"")</f>
        <v>GEDA</v>
      </c>
      <c r="J1419" s="471">
        <f>IFERROR(_xlfn.XLOOKUP(Table6[[#This Row],[Affected WTG]],'Basic Data'!$A:$A,'Basic Data'!$E:$E),"")</f>
        <v>3.846153846153845E-2</v>
      </c>
      <c r="K1419" s="102">
        <v>1070</v>
      </c>
      <c r="L1419" s="35" t="str">
        <f>IFERROR(_xlfn.XLOOKUP(Table6[[#This Row],[Error Code]],'Basic Data'!$AA:$AA,'Basic Data'!$AB:$AB),"Incorrect Error Code")</f>
        <v>Drive train monitor level 2</v>
      </c>
      <c r="M1419" s="35" t="s">
        <v>291</v>
      </c>
      <c r="N1419" s="475"/>
      <c r="O1419" s="476">
        <v>0.68680555555555556</v>
      </c>
      <c r="P1419" s="476">
        <v>0.68680555555555556</v>
      </c>
      <c r="Q1419" s="477">
        <v>0.68819444444444444</v>
      </c>
      <c r="R1419" s="472">
        <f>IF(Table6[[#This Row],[Work Start TimeStamp]]="","",(Table6[[#This Row],[Work Start TimeStamp]]-Table6[[#This Row],[Fault Start TimeStamp]])*24)</f>
        <v>0</v>
      </c>
      <c r="S1419" s="472">
        <f>(Table6[[#This Row],[Fault Clearance time]]-Table6[[#This Row],[Work Start TimeStamp]])*24</f>
        <v>3.3333333333333215E-2</v>
      </c>
      <c r="T1419" s="472">
        <f>(Table6[[#This Row],[Fault Clearance time]]-Table6[[#This Row],[Fault Start TimeStamp]])*24</f>
        <v>3.3333333333333215E-2</v>
      </c>
      <c r="U1419" s="35" t="s">
        <v>1924</v>
      </c>
      <c r="V1419" s="102" t="s">
        <v>293</v>
      </c>
      <c r="W1419" s="478">
        <f>IFERROR(Table6[[#This Row],[Breakdown Time]]*Table6[[#This Row],[Plant Equivalent Weightage]],"")</f>
        <v>1.2820512820512771E-3</v>
      </c>
      <c r="X1419" s="473" t="s">
        <v>290</v>
      </c>
      <c r="Y1419" s="474" t="s">
        <v>88</v>
      </c>
      <c r="Z1419" s="102">
        <v>51323</v>
      </c>
      <c r="AA1419" s="468">
        <f>(Table6[[#This Row],[Paired WTG Generation for loss calculation]]/24)*Table6[[#This Row],[Breakdown Time]]</f>
        <v>71.281944444444193</v>
      </c>
      <c r="AB1419" s="102"/>
      <c r="AC1419" s="35"/>
      <c r="AD1419" s="35"/>
    </row>
    <row r="1420" spans="1:30">
      <c r="A1420" s="102">
        <f t="shared" si="22"/>
        <v>1419</v>
      </c>
      <c r="B1420" s="468">
        <f>YEAR(Table6[[#This Row],[Date]])+IF(MONTH(Table6[[#This Row],[Date]])&gt;=4,1,0)</f>
        <v>2026</v>
      </c>
      <c r="C1420" s="102">
        <f>YEAR(Table6[[#This Row],[Date]])</f>
        <v>2025</v>
      </c>
      <c r="D1420" s="102" t="s">
        <v>1992</v>
      </c>
      <c r="E1420" s="469">
        <f>Table6[[#This Row],[Date]]-DAY(Table6[[#This Row],[Date]])+1</f>
        <v>45809</v>
      </c>
      <c r="F1420" s="470">
        <v>45838</v>
      </c>
      <c r="G1420" s="35" t="s">
        <v>89</v>
      </c>
      <c r="H1420" s="35" t="str">
        <f>IFERROR(_xlfn.XLOOKUP(Table6[[#This Row],[Affected WTG]],'Basic Data'!$A:$A,'Basic Data'!$B:$B),"")</f>
        <v>TQGXIIPL</v>
      </c>
      <c r="I1420" s="35" t="str">
        <f>IFERROR(_xlfn.XLOOKUP(Table6[[#This Row],[Affected WTG]],'Basic Data'!$A:$A,'Basic Data'!$C:$C),"")</f>
        <v>GEDA</v>
      </c>
      <c r="J1420" s="471">
        <f>IFERROR(_xlfn.XLOOKUP(Table6[[#This Row],[Affected WTG]],'Basic Data'!$A:$A,'Basic Data'!$E:$E),"")</f>
        <v>3.846153846153845E-2</v>
      </c>
      <c r="K1420" s="102">
        <v>4970</v>
      </c>
      <c r="L1420" s="35" t="str">
        <f>IFERROR(_xlfn.XLOOKUP(Table6[[#This Row],[Error Code]],'Basic Data'!$AA:$AA,'Basic Data'!$AB:$AB),"Incorrect Error Code")</f>
        <v>Tower oscillation XF</v>
      </c>
      <c r="M1420" s="35" t="s">
        <v>292</v>
      </c>
      <c r="N1420" s="475"/>
      <c r="O1420" s="476">
        <v>0.84166666666666667</v>
      </c>
      <c r="P1420" s="476">
        <v>0.84166666666666667</v>
      </c>
      <c r="Q1420" s="477">
        <v>0.85277777777777775</v>
      </c>
      <c r="R1420" s="472">
        <f>IF(Table6[[#This Row],[Work Start TimeStamp]]="","",(Table6[[#This Row],[Work Start TimeStamp]]-Table6[[#This Row],[Fault Start TimeStamp]])*24)</f>
        <v>0</v>
      </c>
      <c r="S1420" s="472">
        <f>(Table6[[#This Row],[Fault Clearance time]]-Table6[[#This Row],[Work Start TimeStamp]])*24</f>
        <v>0.26666666666666572</v>
      </c>
      <c r="T1420" s="472">
        <f>(Table6[[#This Row],[Fault Clearance time]]-Table6[[#This Row],[Fault Start TimeStamp]])*24</f>
        <v>0.26666666666666572</v>
      </c>
      <c r="U1420" s="35" t="s">
        <v>336</v>
      </c>
      <c r="V1420" s="102" t="s">
        <v>293</v>
      </c>
      <c r="W1420" s="478">
        <f>IFERROR(Table6[[#This Row],[Breakdown Time]]*Table6[[#This Row],[Plant Equivalent Weightage]],"")</f>
        <v>1.0256410256410217E-2</v>
      </c>
      <c r="X1420" s="473" t="s">
        <v>294</v>
      </c>
      <c r="Y1420" s="474" t="s">
        <v>94</v>
      </c>
      <c r="Z1420" s="102">
        <v>59418</v>
      </c>
      <c r="AA1420" s="468">
        <f>(Table6[[#This Row],[Paired WTG Generation for loss calculation]]/24)*Table6[[#This Row],[Breakdown Time]]</f>
        <v>660.19999999999766</v>
      </c>
      <c r="AB1420" s="102"/>
      <c r="AC1420" s="35"/>
      <c r="AD1420" s="35"/>
    </row>
    <row r="1421" spans="1:30">
      <c r="A1421" s="102">
        <f t="shared" si="22"/>
        <v>1420</v>
      </c>
      <c r="B1421" s="468">
        <f>YEAR(Table6[[#This Row],[Date]])+IF(MONTH(Table6[[#This Row],[Date]])&gt;=4,1,0)</f>
        <v>2026</v>
      </c>
      <c r="C1421" s="102">
        <f>YEAR(Table6[[#This Row],[Date]])</f>
        <v>2025</v>
      </c>
      <c r="D1421" s="102" t="s">
        <v>1992</v>
      </c>
      <c r="E1421" s="469">
        <f>Table6[[#This Row],[Date]]-DAY(Table6[[#This Row],[Date]])+1</f>
        <v>45809</v>
      </c>
      <c r="F1421" s="470">
        <v>45838</v>
      </c>
      <c r="G1421" s="35" t="s">
        <v>89</v>
      </c>
      <c r="H1421" s="35" t="str">
        <f>IFERROR(_xlfn.XLOOKUP(Table6[[#This Row],[Affected WTG]],'Basic Data'!$A:$A,'Basic Data'!$B:$B),"")</f>
        <v>TQGXIIPL</v>
      </c>
      <c r="I1421" s="35" t="str">
        <f>IFERROR(_xlfn.XLOOKUP(Table6[[#This Row],[Affected WTG]],'Basic Data'!$A:$A,'Basic Data'!$C:$C),"")</f>
        <v>GEDA</v>
      </c>
      <c r="J1421" s="471">
        <f>IFERROR(_xlfn.XLOOKUP(Table6[[#This Row],[Affected WTG]],'Basic Data'!$A:$A,'Basic Data'!$E:$E),"")</f>
        <v>3.846153846153845E-2</v>
      </c>
      <c r="K1421" s="102">
        <v>4970</v>
      </c>
      <c r="L1421" s="35" t="str">
        <f>IFERROR(_xlfn.XLOOKUP(Table6[[#This Row],[Error Code]],'Basic Data'!$AA:$AA,'Basic Data'!$AB:$AB),"Incorrect Error Code")</f>
        <v>Tower oscillation XF</v>
      </c>
      <c r="M1421" s="35" t="s">
        <v>292</v>
      </c>
      <c r="N1421" s="475"/>
      <c r="O1421" s="476">
        <v>0.86458333333333337</v>
      </c>
      <c r="P1421" s="476">
        <v>0.86458333333333337</v>
      </c>
      <c r="Q1421" s="477">
        <v>0.87291666666666667</v>
      </c>
      <c r="R1421" s="472">
        <f>IF(Table6[[#This Row],[Work Start TimeStamp]]="","",(Table6[[#This Row],[Work Start TimeStamp]]-Table6[[#This Row],[Fault Start TimeStamp]])*24)</f>
        <v>0</v>
      </c>
      <c r="S1421" s="472">
        <f>(Table6[[#This Row],[Fault Clearance time]]-Table6[[#This Row],[Work Start TimeStamp]])*24</f>
        <v>0.19999999999999929</v>
      </c>
      <c r="T1421" s="472">
        <f>(Table6[[#This Row],[Fault Clearance time]]-Table6[[#This Row],[Fault Start TimeStamp]])*24</f>
        <v>0.19999999999999929</v>
      </c>
      <c r="U1421" s="35" t="s">
        <v>336</v>
      </c>
      <c r="V1421" s="102" t="s">
        <v>293</v>
      </c>
      <c r="W1421" s="478">
        <f>IFERROR(Table6[[#This Row],[Breakdown Time]]*Table6[[#This Row],[Plant Equivalent Weightage]],"")</f>
        <v>7.6923076923076624E-3</v>
      </c>
      <c r="X1421" s="473" t="s">
        <v>294</v>
      </c>
      <c r="Y1421" s="474" t="s">
        <v>94</v>
      </c>
      <c r="Z1421" s="102">
        <v>59418</v>
      </c>
      <c r="AA1421" s="468">
        <f>(Table6[[#This Row],[Paired WTG Generation for loss calculation]]/24)*Table6[[#This Row],[Breakdown Time]]</f>
        <v>495.14999999999822</v>
      </c>
      <c r="AB1421" s="102"/>
      <c r="AC1421" s="35"/>
      <c r="AD1421" s="35"/>
    </row>
    <row r="1422" spans="1:30">
      <c r="A1422" s="102">
        <f t="shared" si="22"/>
        <v>1421</v>
      </c>
      <c r="B1422" s="468">
        <f>YEAR(Table6[[#This Row],[Date]])+IF(MONTH(Table6[[#This Row],[Date]])&gt;=4,1,0)</f>
        <v>2026</v>
      </c>
      <c r="C1422" s="102">
        <f>YEAR(Table6[[#This Row],[Date]])</f>
        <v>2025</v>
      </c>
      <c r="D1422" s="102" t="s">
        <v>1992</v>
      </c>
      <c r="E1422" s="469">
        <f>Table6[[#This Row],[Date]]-DAY(Table6[[#This Row],[Date]])+1</f>
        <v>45809</v>
      </c>
      <c r="F1422" s="470">
        <v>45838</v>
      </c>
      <c r="G1422" s="35" t="s">
        <v>90</v>
      </c>
      <c r="H1422" s="35" t="str">
        <f>IFERROR(_xlfn.XLOOKUP(Table6[[#This Row],[Affected WTG]],'Basic Data'!$A:$A,'Basic Data'!$B:$B),"")</f>
        <v>TQGXIIPL</v>
      </c>
      <c r="I1422" s="35" t="str">
        <f>IFERROR(_xlfn.XLOOKUP(Table6[[#This Row],[Affected WTG]],'Basic Data'!$A:$A,'Basic Data'!$C:$C),"")</f>
        <v>GEDA</v>
      </c>
      <c r="J1422" s="471">
        <f>IFERROR(_xlfn.XLOOKUP(Table6[[#This Row],[Affected WTG]],'Basic Data'!$A:$A,'Basic Data'!$E:$E),"")</f>
        <v>3.846153846153845E-2</v>
      </c>
      <c r="K1422" s="102">
        <v>3211</v>
      </c>
      <c r="L1422" s="35" t="str">
        <f>IFERROR(_xlfn.XLOOKUP(Table6[[#This Row],[Error Code]],'Basic Data'!$AA:$AA,'Basic Data'!$AB:$AB),"Incorrect Error Code")</f>
        <v>Conv. load shedding (CAN)</v>
      </c>
      <c r="M1422" s="35" t="s">
        <v>291</v>
      </c>
      <c r="N1422" s="475"/>
      <c r="O1422" s="476">
        <v>3.9583333333333331E-2</v>
      </c>
      <c r="P1422" s="476">
        <v>3.9583333333333331E-2</v>
      </c>
      <c r="Q1422" s="477">
        <v>4.1666666666666664E-2</v>
      </c>
      <c r="R1422" s="472">
        <f>IF(Table6[[#This Row],[Work Start TimeStamp]]="","",(Table6[[#This Row],[Work Start TimeStamp]]-Table6[[#This Row],[Fault Start TimeStamp]])*24)</f>
        <v>0</v>
      </c>
      <c r="S1422" s="472">
        <f>(Table6[[#This Row],[Fault Clearance time]]-Table6[[#This Row],[Work Start TimeStamp]])*24</f>
        <v>4.9999999999999989E-2</v>
      </c>
      <c r="T1422" s="472">
        <f>(Table6[[#This Row],[Fault Clearance time]]-Table6[[#This Row],[Fault Start TimeStamp]])*24</f>
        <v>4.9999999999999989E-2</v>
      </c>
      <c r="U1422" s="35" t="s">
        <v>1924</v>
      </c>
      <c r="V1422" s="102" t="s">
        <v>293</v>
      </c>
      <c r="W1422" s="478">
        <f>IFERROR(Table6[[#This Row],[Breakdown Time]]*Table6[[#This Row],[Plant Equivalent Weightage]],"")</f>
        <v>1.9230769230769221E-3</v>
      </c>
      <c r="X1422" s="473" t="s">
        <v>290</v>
      </c>
      <c r="Y1422" s="474" t="s">
        <v>95</v>
      </c>
      <c r="Z1422" s="102">
        <v>58811</v>
      </c>
      <c r="AA1422" s="468">
        <f>(Table6[[#This Row],[Paired WTG Generation for loss calculation]]/24)*Table6[[#This Row],[Breakdown Time]]</f>
        <v>122.52291666666665</v>
      </c>
      <c r="AB1422" s="102"/>
      <c r="AC1422" s="35"/>
      <c r="AD1422" s="35"/>
    </row>
    <row r="1423" spans="1:30">
      <c r="A1423" s="102">
        <f t="shared" ref="A1423:A1486" si="23">A1422+1</f>
        <v>1422</v>
      </c>
      <c r="B1423" s="468">
        <f>YEAR(Table6[[#This Row],[Date]])+IF(MONTH(Table6[[#This Row],[Date]])&gt;=4,1,0)</f>
        <v>2026</v>
      </c>
      <c r="C1423" s="102">
        <f>YEAR(Table6[[#This Row],[Date]])</f>
        <v>2025</v>
      </c>
      <c r="D1423" s="102" t="s">
        <v>1992</v>
      </c>
      <c r="E1423" s="469">
        <f>Table6[[#This Row],[Date]]-DAY(Table6[[#This Row],[Date]])+1</f>
        <v>45809</v>
      </c>
      <c r="F1423" s="470">
        <v>45838</v>
      </c>
      <c r="G1423" s="35" t="s">
        <v>90</v>
      </c>
      <c r="H1423" s="35" t="str">
        <f>IFERROR(_xlfn.XLOOKUP(Table6[[#This Row],[Affected WTG]],'Basic Data'!$A:$A,'Basic Data'!$B:$B),"")</f>
        <v>TQGXIIPL</v>
      </c>
      <c r="I1423" s="35" t="str">
        <f>IFERROR(_xlfn.XLOOKUP(Table6[[#This Row],[Affected WTG]],'Basic Data'!$A:$A,'Basic Data'!$C:$C),"")</f>
        <v>GEDA</v>
      </c>
      <c r="J1423" s="471">
        <f>IFERROR(_xlfn.XLOOKUP(Table6[[#This Row],[Affected WTG]],'Basic Data'!$A:$A,'Basic Data'!$E:$E),"")</f>
        <v>3.846153846153845E-2</v>
      </c>
      <c r="K1423" s="102">
        <v>3211</v>
      </c>
      <c r="L1423" s="35" t="str">
        <f>IFERROR(_xlfn.XLOOKUP(Table6[[#This Row],[Error Code]],'Basic Data'!$AA:$AA,'Basic Data'!$AB:$AB),"Incorrect Error Code")</f>
        <v>Conv. load shedding (CAN)</v>
      </c>
      <c r="M1423" s="35" t="s">
        <v>291</v>
      </c>
      <c r="N1423" s="475"/>
      <c r="O1423" s="476">
        <v>0.19166666666666668</v>
      </c>
      <c r="P1423" s="476">
        <v>0.19166666666666668</v>
      </c>
      <c r="Q1423" s="477">
        <v>0.19444444444444445</v>
      </c>
      <c r="R1423" s="472">
        <f>IF(Table6[[#This Row],[Work Start TimeStamp]]="","",(Table6[[#This Row],[Work Start TimeStamp]]-Table6[[#This Row],[Fault Start TimeStamp]])*24)</f>
        <v>0</v>
      </c>
      <c r="S1423" s="472">
        <f>(Table6[[#This Row],[Fault Clearance time]]-Table6[[#This Row],[Work Start TimeStamp]])*24</f>
        <v>6.666666666666643E-2</v>
      </c>
      <c r="T1423" s="472">
        <f>(Table6[[#This Row],[Fault Clearance time]]-Table6[[#This Row],[Fault Start TimeStamp]])*24</f>
        <v>6.666666666666643E-2</v>
      </c>
      <c r="U1423" s="35" t="s">
        <v>1924</v>
      </c>
      <c r="V1423" s="102" t="s">
        <v>293</v>
      </c>
      <c r="W1423" s="478">
        <f>IFERROR(Table6[[#This Row],[Breakdown Time]]*Table6[[#This Row],[Plant Equivalent Weightage]],"")</f>
        <v>2.5641025641025541E-3</v>
      </c>
      <c r="X1423" s="473" t="s">
        <v>290</v>
      </c>
      <c r="Y1423" s="474" t="s">
        <v>95</v>
      </c>
      <c r="Z1423" s="102">
        <v>58811</v>
      </c>
      <c r="AA1423" s="468">
        <f>(Table6[[#This Row],[Paired WTG Generation for loss calculation]]/24)*Table6[[#This Row],[Breakdown Time]]</f>
        <v>163.36388888888831</v>
      </c>
      <c r="AB1423" s="102"/>
      <c r="AC1423" s="35"/>
      <c r="AD1423" s="35"/>
    </row>
    <row r="1424" spans="1:30">
      <c r="A1424" s="102">
        <f t="shared" si="23"/>
        <v>1423</v>
      </c>
      <c r="B1424" s="468">
        <f>YEAR(Table6[[#This Row],[Date]])+IF(MONTH(Table6[[#This Row],[Date]])&gt;=4,1,0)</f>
        <v>2026</v>
      </c>
      <c r="C1424" s="102">
        <f>YEAR(Table6[[#This Row],[Date]])</f>
        <v>2025</v>
      </c>
      <c r="D1424" s="102" t="s">
        <v>1992</v>
      </c>
      <c r="E1424" s="469">
        <f>Table6[[#This Row],[Date]]-DAY(Table6[[#This Row],[Date]])+1</f>
        <v>45809</v>
      </c>
      <c r="F1424" s="470">
        <v>45838</v>
      </c>
      <c r="G1424" s="35" t="s">
        <v>90</v>
      </c>
      <c r="H1424" s="35" t="str">
        <f>IFERROR(_xlfn.XLOOKUP(Table6[[#This Row],[Affected WTG]],'Basic Data'!$A:$A,'Basic Data'!$B:$B),"")</f>
        <v>TQGXIIPL</v>
      </c>
      <c r="I1424" s="35" t="str">
        <f>IFERROR(_xlfn.XLOOKUP(Table6[[#This Row],[Affected WTG]],'Basic Data'!$A:$A,'Basic Data'!$C:$C),"")</f>
        <v>GEDA</v>
      </c>
      <c r="J1424" s="471">
        <f>IFERROR(_xlfn.XLOOKUP(Table6[[#This Row],[Affected WTG]],'Basic Data'!$A:$A,'Basic Data'!$E:$E),"")</f>
        <v>3.846153846153845E-2</v>
      </c>
      <c r="K1424" s="102">
        <v>3211</v>
      </c>
      <c r="L1424" s="35" t="str">
        <f>IFERROR(_xlfn.XLOOKUP(Table6[[#This Row],[Error Code]],'Basic Data'!$AA:$AA,'Basic Data'!$AB:$AB),"Incorrect Error Code")</f>
        <v>Conv. load shedding (CAN)</v>
      </c>
      <c r="M1424" s="35" t="s">
        <v>291</v>
      </c>
      <c r="N1424" s="475"/>
      <c r="O1424" s="476">
        <v>0.21736111111111112</v>
      </c>
      <c r="P1424" s="476">
        <v>0.21736111111111112</v>
      </c>
      <c r="Q1424" s="477">
        <v>0.22569444444444445</v>
      </c>
      <c r="R1424" s="472">
        <f>IF(Table6[[#This Row],[Work Start TimeStamp]]="","",(Table6[[#This Row],[Work Start TimeStamp]]-Table6[[#This Row],[Fault Start TimeStamp]])*24)</f>
        <v>0</v>
      </c>
      <c r="S1424" s="472">
        <f>(Table6[[#This Row],[Fault Clearance time]]-Table6[[#This Row],[Work Start TimeStamp]])*24</f>
        <v>0.19999999999999996</v>
      </c>
      <c r="T1424" s="472">
        <f>(Table6[[#This Row],[Fault Clearance time]]-Table6[[#This Row],[Fault Start TimeStamp]])*24</f>
        <v>0.19999999999999996</v>
      </c>
      <c r="U1424" s="35" t="s">
        <v>1924</v>
      </c>
      <c r="V1424" s="102" t="s">
        <v>293</v>
      </c>
      <c r="W1424" s="478">
        <f>IFERROR(Table6[[#This Row],[Breakdown Time]]*Table6[[#This Row],[Plant Equivalent Weightage]],"")</f>
        <v>7.6923076923076884E-3</v>
      </c>
      <c r="X1424" s="473" t="s">
        <v>290</v>
      </c>
      <c r="Y1424" s="474" t="s">
        <v>95</v>
      </c>
      <c r="Z1424" s="102">
        <v>58811</v>
      </c>
      <c r="AA1424" s="468">
        <f>(Table6[[#This Row],[Paired WTG Generation for loss calculation]]/24)*Table6[[#This Row],[Breakdown Time]]</f>
        <v>490.09166666666658</v>
      </c>
      <c r="AB1424" s="102"/>
      <c r="AC1424" s="35"/>
      <c r="AD1424" s="35"/>
    </row>
    <row r="1425" spans="1:30">
      <c r="A1425" s="102">
        <f t="shared" si="23"/>
        <v>1424</v>
      </c>
      <c r="B1425" s="468">
        <f>YEAR(Table6[[#This Row],[Date]])+IF(MONTH(Table6[[#This Row],[Date]])&gt;=4,1,0)</f>
        <v>2026</v>
      </c>
      <c r="C1425" s="102">
        <f>YEAR(Table6[[#This Row],[Date]])</f>
        <v>2025</v>
      </c>
      <c r="D1425" s="102" t="s">
        <v>1992</v>
      </c>
      <c r="E1425" s="469">
        <f>Table6[[#This Row],[Date]]-DAY(Table6[[#This Row],[Date]])+1</f>
        <v>45809</v>
      </c>
      <c r="F1425" s="470">
        <v>45838</v>
      </c>
      <c r="G1425" s="35" t="s">
        <v>90</v>
      </c>
      <c r="H1425" s="35" t="str">
        <f>IFERROR(_xlfn.XLOOKUP(Table6[[#This Row],[Affected WTG]],'Basic Data'!$A:$A,'Basic Data'!$B:$B),"")</f>
        <v>TQGXIIPL</v>
      </c>
      <c r="I1425" s="35" t="str">
        <f>IFERROR(_xlfn.XLOOKUP(Table6[[#This Row],[Affected WTG]],'Basic Data'!$A:$A,'Basic Data'!$C:$C),"")</f>
        <v>GEDA</v>
      </c>
      <c r="J1425" s="471">
        <f>IFERROR(_xlfn.XLOOKUP(Table6[[#This Row],[Affected WTG]],'Basic Data'!$A:$A,'Basic Data'!$E:$E),"")</f>
        <v>3.846153846153845E-2</v>
      </c>
      <c r="K1425" s="102">
        <v>55</v>
      </c>
      <c r="L1425" s="35" t="str">
        <f>IFERROR(_xlfn.XLOOKUP(Table6[[#This Row],[Error Code]],'Basic Data'!$AA:$AA,'Basic Data'!$AB:$AB),"Incorrect Error Code")</f>
        <v>WTG shut down</v>
      </c>
      <c r="M1425" s="35" t="s">
        <v>1956</v>
      </c>
      <c r="N1425" s="475"/>
      <c r="O1425" s="476">
        <v>0.49444444444444446</v>
      </c>
      <c r="P1425" s="476">
        <v>0.49444444444444446</v>
      </c>
      <c r="Q1425" s="477">
        <v>0.50416666666666665</v>
      </c>
      <c r="R1425" s="472">
        <f>IF(Table6[[#This Row],[Work Start TimeStamp]]="","",(Table6[[#This Row],[Work Start TimeStamp]]-Table6[[#This Row],[Fault Start TimeStamp]])*24)</f>
        <v>0</v>
      </c>
      <c r="S1425" s="472">
        <f>(Table6[[#This Row],[Fault Clearance time]]-Table6[[#This Row],[Work Start TimeStamp]])*24</f>
        <v>0.2333333333333325</v>
      </c>
      <c r="T1425" s="472">
        <f>(Table6[[#This Row],[Fault Clearance time]]-Table6[[#This Row],[Fault Start TimeStamp]])*24</f>
        <v>0.2333333333333325</v>
      </c>
      <c r="U1425" s="35" t="s">
        <v>2017</v>
      </c>
      <c r="V1425" s="102" t="s">
        <v>293</v>
      </c>
      <c r="W1425" s="478">
        <f>IFERROR(Table6[[#This Row],[Breakdown Time]]*Table6[[#This Row],[Plant Equivalent Weightage]],"")</f>
        <v>8.974358974358939E-3</v>
      </c>
      <c r="X1425" s="473" t="s">
        <v>290</v>
      </c>
      <c r="Y1425" s="474" t="s">
        <v>95</v>
      </c>
      <c r="Z1425" s="102">
        <v>58811</v>
      </c>
      <c r="AA1425" s="468">
        <f>(Table6[[#This Row],[Paired WTG Generation for loss calculation]]/24)*Table6[[#This Row],[Breakdown Time]]</f>
        <v>571.77361111110906</v>
      </c>
      <c r="AB1425" s="102"/>
      <c r="AC1425" s="35"/>
      <c r="AD1425" s="35"/>
    </row>
    <row r="1426" spans="1:30">
      <c r="A1426" s="102">
        <f t="shared" si="23"/>
        <v>1425</v>
      </c>
      <c r="B1426" s="468">
        <f>YEAR(Table6[[#This Row],[Date]])+IF(MONTH(Table6[[#This Row],[Date]])&gt;=4,1,0)</f>
        <v>2026</v>
      </c>
      <c r="C1426" s="102">
        <f>YEAR(Table6[[#This Row],[Date]])</f>
        <v>2025</v>
      </c>
      <c r="D1426" s="102" t="s">
        <v>1992</v>
      </c>
      <c r="E1426" s="469">
        <f>Table6[[#This Row],[Date]]-DAY(Table6[[#This Row],[Date]])+1</f>
        <v>45809</v>
      </c>
      <c r="F1426" s="470">
        <v>45838</v>
      </c>
      <c r="G1426" s="35" t="s">
        <v>93</v>
      </c>
      <c r="H1426" s="35" t="str">
        <f>IFERROR(_xlfn.XLOOKUP(Table6[[#This Row],[Affected WTG]],'Basic Data'!$A:$A,'Basic Data'!$B:$B),"")</f>
        <v>TQGXIIPL</v>
      </c>
      <c r="I1426" s="35" t="str">
        <f>IFERROR(_xlfn.XLOOKUP(Table6[[#This Row],[Affected WTG]],'Basic Data'!$A:$A,'Basic Data'!$C:$C),"")</f>
        <v>GEDA</v>
      </c>
      <c r="J1426" s="471">
        <f>IFERROR(_xlfn.XLOOKUP(Table6[[#This Row],[Affected WTG]],'Basic Data'!$A:$A,'Basic Data'!$E:$E),"")</f>
        <v>3.846153846153845E-2</v>
      </c>
      <c r="K1426" s="102">
        <v>1070</v>
      </c>
      <c r="L1426" s="35" t="str">
        <f>IFERROR(_xlfn.XLOOKUP(Table6[[#This Row],[Error Code]],'Basic Data'!$AA:$AA,'Basic Data'!$AB:$AB),"Incorrect Error Code")</f>
        <v>Drive train monitor level 2</v>
      </c>
      <c r="M1426" s="35" t="s">
        <v>291</v>
      </c>
      <c r="N1426" s="475"/>
      <c r="O1426" s="476">
        <v>0.44097222222222221</v>
      </c>
      <c r="P1426" s="476">
        <v>0.44097222222222221</v>
      </c>
      <c r="Q1426" s="477">
        <v>0.44236111111111109</v>
      </c>
      <c r="R1426" s="472">
        <f>IF(Table6[[#This Row],[Work Start TimeStamp]]="","",(Table6[[#This Row],[Work Start TimeStamp]]-Table6[[#This Row],[Fault Start TimeStamp]])*24)</f>
        <v>0</v>
      </c>
      <c r="S1426" s="472">
        <f>(Table6[[#This Row],[Fault Clearance time]]-Table6[[#This Row],[Work Start TimeStamp]])*24</f>
        <v>3.3333333333333215E-2</v>
      </c>
      <c r="T1426" s="472">
        <f>(Table6[[#This Row],[Fault Clearance time]]-Table6[[#This Row],[Fault Start TimeStamp]])*24</f>
        <v>3.3333333333333215E-2</v>
      </c>
      <c r="U1426" s="35" t="s">
        <v>1924</v>
      </c>
      <c r="V1426" s="102" t="s">
        <v>293</v>
      </c>
      <c r="W1426" s="478">
        <f>IFERROR(Table6[[#This Row],[Breakdown Time]]*Table6[[#This Row],[Plant Equivalent Weightage]],"")</f>
        <v>1.2820512820512771E-3</v>
      </c>
      <c r="X1426" s="473" t="s">
        <v>290</v>
      </c>
      <c r="Y1426" s="474" t="s">
        <v>97</v>
      </c>
      <c r="Z1426" s="102">
        <v>55787</v>
      </c>
      <c r="AA1426" s="468">
        <f>(Table6[[#This Row],[Paired WTG Generation for loss calculation]]/24)*Table6[[#This Row],[Breakdown Time]]</f>
        <v>77.481944444444167</v>
      </c>
      <c r="AB1426" s="102"/>
      <c r="AC1426" s="35"/>
      <c r="AD1426" s="35"/>
    </row>
    <row r="1427" spans="1:30">
      <c r="A1427" s="102">
        <f t="shared" si="23"/>
        <v>1426</v>
      </c>
      <c r="B1427" s="468">
        <f>YEAR(Table6[[#This Row],[Date]])+IF(MONTH(Table6[[#This Row],[Date]])&gt;=4,1,0)</f>
        <v>2026</v>
      </c>
      <c r="C1427" s="102">
        <f>YEAR(Table6[[#This Row],[Date]])</f>
        <v>2025</v>
      </c>
      <c r="D1427" s="102" t="s">
        <v>1992</v>
      </c>
      <c r="E1427" s="469">
        <f>Table6[[#This Row],[Date]]-DAY(Table6[[#This Row],[Date]])+1</f>
        <v>45809</v>
      </c>
      <c r="F1427" s="470">
        <v>45838</v>
      </c>
      <c r="G1427" s="35" t="s">
        <v>97</v>
      </c>
      <c r="H1427" s="35" t="str">
        <f>IFERROR(_xlfn.XLOOKUP(Table6[[#This Row],[Affected WTG]],'Basic Data'!$A:$A,'Basic Data'!$B:$B),"")</f>
        <v>TQGXIIPL</v>
      </c>
      <c r="I1427" s="35" t="str">
        <f>IFERROR(_xlfn.XLOOKUP(Table6[[#This Row],[Affected WTG]],'Basic Data'!$A:$A,'Basic Data'!$C:$C),"")</f>
        <v>GEDA</v>
      </c>
      <c r="J1427" s="471">
        <f>IFERROR(_xlfn.XLOOKUP(Table6[[#This Row],[Affected WTG]],'Basic Data'!$A:$A,'Basic Data'!$E:$E),"")</f>
        <v>3.846153846153845E-2</v>
      </c>
      <c r="K1427" s="102">
        <v>1070</v>
      </c>
      <c r="L1427" s="35" t="str">
        <f>IFERROR(_xlfn.XLOOKUP(Table6[[#This Row],[Error Code]],'Basic Data'!$AA:$AA,'Basic Data'!$AB:$AB),"Incorrect Error Code")</f>
        <v>Drive train monitor level 2</v>
      </c>
      <c r="M1427" s="35" t="s">
        <v>291</v>
      </c>
      <c r="N1427" s="475"/>
      <c r="O1427" s="476">
        <v>0.44027777777777777</v>
      </c>
      <c r="P1427" s="476">
        <v>0.44027777777777777</v>
      </c>
      <c r="Q1427" s="477">
        <v>0.44166666666666665</v>
      </c>
      <c r="R1427" s="472">
        <f>IF(Table6[[#This Row],[Work Start TimeStamp]]="","",(Table6[[#This Row],[Work Start TimeStamp]]-Table6[[#This Row],[Fault Start TimeStamp]])*24)</f>
        <v>0</v>
      </c>
      <c r="S1427" s="472">
        <f>(Table6[[#This Row],[Fault Clearance time]]-Table6[[#This Row],[Work Start TimeStamp]])*24</f>
        <v>3.3333333333333215E-2</v>
      </c>
      <c r="T1427" s="472">
        <f>(Table6[[#This Row],[Fault Clearance time]]-Table6[[#This Row],[Fault Start TimeStamp]])*24</f>
        <v>3.3333333333333215E-2</v>
      </c>
      <c r="U1427" s="35" t="s">
        <v>1924</v>
      </c>
      <c r="V1427" s="102" t="s">
        <v>293</v>
      </c>
      <c r="W1427" s="478">
        <f>IFERROR(Table6[[#This Row],[Breakdown Time]]*Table6[[#This Row],[Plant Equivalent Weightage]],"")</f>
        <v>1.2820512820512771E-3</v>
      </c>
      <c r="X1427" s="473" t="s">
        <v>290</v>
      </c>
      <c r="Y1427" s="474" t="s">
        <v>93</v>
      </c>
      <c r="Z1427" s="102">
        <v>55431</v>
      </c>
      <c r="AA1427" s="468">
        <f>(Table6[[#This Row],[Paired WTG Generation for loss calculation]]/24)*Table6[[#This Row],[Breakdown Time]]</f>
        <v>76.987499999999727</v>
      </c>
      <c r="AB1427" s="102"/>
      <c r="AC1427" s="35"/>
      <c r="AD1427" s="35"/>
    </row>
    <row r="1428" spans="1:30">
      <c r="A1428" s="102">
        <f t="shared" si="23"/>
        <v>1427</v>
      </c>
      <c r="B1428" s="468">
        <f>YEAR(Table6[[#This Row],[Date]])+IF(MONTH(Table6[[#This Row],[Date]])&gt;=4,1,0)</f>
        <v>2026</v>
      </c>
      <c r="C1428" s="102">
        <f>YEAR(Table6[[#This Row],[Date]])</f>
        <v>2025</v>
      </c>
      <c r="D1428" s="102" t="s">
        <v>1992</v>
      </c>
      <c r="E1428" s="469">
        <f>Table6[[#This Row],[Date]]-DAY(Table6[[#This Row],[Date]])+1</f>
        <v>45809</v>
      </c>
      <c r="F1428" s="470">
        <v>45838</v>
      </c>
      <c r="G1428" s="35" t="s">
        <v>97</v>
      </c>
      <c r="H1428" s="35" t="str">
        <f>IFERROR(_xlfn.XLOOKUP(Table6[[#This Row],[Affected WTG]],'Basic Data'!$A:$A,'Basic Data'!$B:$B),"")</f>
        <v>TQGXIIPL</v>
      </c>
      <c r="I1428" s="35" t="str">
        <f>IFERROR(_xlfn.XLOOKUP(Table6[[#This Row],[Affected WTG]],'Basic Data'!$A:$A,'Basic Data'!$C:$C),"")</f>
        <v>GEDA</v>
      </c>
      <c r="J1428" s="471">
        <f>IFERROR(_xlfn.XLOOKUP(Table6[[#This Row],[Affected WTG]],'Basic Data'!$A:$A,'Basic Data'!$E:$E),"")</f>
        <v>3.846153846153845E-2</v>
      </c>
      <c r="K1428" s="102">
        <v>4540</v>
      </c>
      <c r="L1428" s="35" t="str">
        <f>IFERROR(_xlfn.XLOOKUP(Table6[[#This Row],[Error Code]],'Basic Data'!$AA:$AA,'Basic Data'!$AB:$AB),"Incorrect Error Code")</f>
        <v>Tower oscillation X level 2</v>
      </c>
      <c r="M1428" s="35" t="s">
        <v>292</v>
      </c>
      <c r="N1428" s="475"/>
      <c r="O1428" s="476">
        <v>0.57499999999999996</v>
      </c>
      <c r="P1428" s="476">
        <v>0.57499999999999996</v>
      </c>
      <c r="Q1428" s="477">
        <v>0.58402777777777781</v>
      </c>
      <c r="R1428" s="472">
        <f>IF(Table6[[#This Row],[Work Start TimeStamp]]="","",(Table6[[#This Row],[Work Start TimeStamp]]-Table6[[#This Row],[Fault Start TimeStamp]])*24)</f>
        <v>0</v>
      </c>
      <c r="S1428" s="472">
        <f>(Table6[[#This Row],[Fault Clearance time]]-Table6[[#This Row],[Work Start TimeStamp]])*24</f>
        <v>0.21666666666666856</v>
      </c>
      <c r="T1428" s="472">
        <f>(Table6[[#This Row],[Fault Clearance time]]-Table6[[#This Row],[Fault Start TimeStamp]])*24</f>
        <v>0.21666666666666856</v>
      </c>
      <c r="U1428" s="35" t="s">
        <v>336</v>
      </c>
      <c r="V1428" s="102" t="s">
        <v>293</v>
      </c>
      <c r="W1428" s="478">
        <f>IFERROR(Table6[[#This Row],[Breakdown Time]]*Table6[[#This Row],[Plant Equivalent Weightage]],"")</f>
        <v>8.3333333333334043E-3</v>
      </c>
      <c r="X1428" s="473" t="s">
        <v>294</v>
      </c>
      <c r="Y1428" s="474" t="s">
        <v>93</v>
      </c>
      <c r="Z1428" s="102">
        <v>55431</v>
      </c>
      <c r="AA1428" s="468">
        <f>(Table6[[#This Row],[Paired WTG Generation for loss calculation]]/24)*Table6[[#This Row],[Breakdown Time]]</f>
        <v>500.41875000000437</v>
      </c>
      <c r="AB1428" s="102"/>
      <c r="AC1428" s="35"/>
      <c r="AD1428" s="35"/>
    </row>
    <row r="1429" spans="1:30">
      <c r="A1429" s="102">
        <f t="shared" si="23"/>
        <v>1428</v>
      </c>
      <c r="B1429" s="468">
        <f>YEAR(Table6[[#This Row],[Date]])+IF(MONTH(Table6[[#This Row],[Date]])&gt;=4,1,0)</f>
        <v>2026</v>
      </c>
      <c r="C1429" s="102">
        <f>YEAR(Table6[[#This Row],[Date]])</f>
        <v>2025</v>
      </c>
      <c r="D1429" s="102" t="s">
        <v>1992</v>
      </c>
      <c r="E1429" s="469">
        <f>Table6[[#This Row],[Date]]-DAY(Table6[[#This Row],[Date]])+1</f>
        <v>45809</v>
      </c>
      <c r="F1429" s="470">
        <v>45838</v>
      </c>
      <c r="G1429" s="35" t="s">
        <v>85</v>
      </c>
      <c r="H1429" s="35" t="str">
        <f>IFERROR(_xlfn.XLOOKUP(Table6[[#This Row],[Affected WTG]],'Basic Data'!$A:$A,'Basic Data'!$B:$B),"")</f>
        <v>TQGXIIPL</v>
      </c>
      <c r="I1429" s="35" t="str">
        <f>IFERROR(_xlfn.XLOOKUP(Table6[[#This Row],[Affected WTG]],'Basic Data'!$A:$A,'Basic Data'!$C:$C),"")</f>
        <v>GEDA</v>
      </c>
      <c r="J1429" s="471">
        <f>IFERROR(_xlfn.XLOOKUP(Table6[[#This Row],[Affected WTG]],'Basic Data'!$A:$A,'Basic Data'!$E:$E),"")</f>
        <v>3.846153846153845E-2</v>
      </c>
      <c r="K1429" s="102">
        <v>55</v>
      </c>
      <c r="L1429" s="35" t="str">
        <f>IFERROR(_xlfn.XLOOKUP(Table6[[#This Row],[Error Code]],'Basic Data'!$AA:$AA,'Basic Data'!$AB:$AB),"Incorrect Error Code")</f>
        <v>WTG shut down</v>
      </c>
      <c r="M1429" s="35" t="s">
        <v>295</v>
      </c>
      <c r="N1429" s="475"/>
      <c r="O1429" s="476">
        <v>0</v>
      </c>
      <c r="P1429" s="476">
        <v>0</v>
      </c>
      <c r="Q1429" s="477">
        <v>0.97222222222222221</v>
      </c>
      <c r="R1429" s="472">
        <f>IF(Table6[[#This Row],[Work Start TimeStamp]]="","",(Table6[[#This Row],[Work Start TimeStamp]]-Table6[[#This Row],[Fault Start TimeStamp]])*24)</f>
        <v>0</v>
      </c>
      <c r="S1429" s="472">
        <f>(Table6[[#This Row],[Fault Clearance time]]-Table6[[#This Row],[Work Start TimeStamp]])*24</f>
        <v>23.333333333333332</v>
      </c>
      <c r="T1429" s="472">
        <f>(Table6[[#This Row],[Fault Clearance time]]-Table6[[#This Row],[Fault Start TimeStamp]])*24</f>
        <v>23.333333333333332</v>
      </c>
      <c r="U1429" s="35" t="s">
        <v>2096</v>
      </c>
      <c r="V1429" s="102" t="s">
        <v>293</v>
      </c>
      <c r="W1429" s="478">
        <f>IFERROR(Table6[[#This Row],[Breakdown Time]]*Table6[[#This Row],[Plant Equivalent Weightage]],"")</f>
        <v>0.89743589743589713</v>
      </c>
      <c r="X1429" s="473" t="s">
        <v>523</v>
      </c>
      <c r="Y1429" s="474" t="s">
        <v>87</v>
      </c>
      <c r="Z1429" s="102">
        <v>53754</v>
      </c>
      <c r="AA1429" s="468">
        <f>(Table6[[#This Row],[Paired WTG Generation for loss calculation]]/24)*Table6[[#This Row],[Breakdown Time]]</f>
        <v>52260.833333333328</v>
      </c>
      <c r="AB1429" s="102"/>
      <c r="AC1429" s="35"/>
      <c r="AD1429" s="35"/>
    </row>
    <row r="1430" spans="1:30">
      <c r="A1430" s="102">
        <f t="shared" si="23"/>
        <v>1429</v>
      </c>
      <c r="B1430" s="468">
        <f>YEAR(Table6[[#This Row],[Date]])+IF(MONTH(Table6[[#This Row],[Date]])&gt;=4,1,0)</f>
        <v>2026</v>
      </c>
      <c r="C1430" s="102">
        <f>YEAR(Table6[[#This Row],[Date]])</f>
        <v>2025</v>
      </c>
      <c r="D1430" s="102" t="s">
        <v>1992</v>
      </c>
      <c r="E1430" s="469">
        <f>Table6[[#This Row],[Date]]-DAY(Table6[[#This Row],[Date]])+1</f>
        <v>45809</v>
      </c>
      <c r="F1430" s="470">
        <v>45838</v>
      </c>
      <c r="G1430" s="35" t="s">
        <v>85</v>
      </c>
      <c r="H1430" s="35" t="str">
        <f>IFERROR(_xlfn.XLOOKUP(Table6[[#This Row],[Affected WTG]],'Basic Data'!$A:$A,'Basic Data'!$B:$B),"")</f>
        <v>TQGXIIPL</v>
      </c>
      <c r="I1430" s="35" t="str">
        <f>IFERROR(_xlfn.XLOOKUP(Table6[[#This Row],[Affected WTG]],'Basic Data'!$A:$A,'Basic Data'!$C:$C),"")</f>
        <v>GEDA</v>
      </c>
      <c r="J1430" s="471">
        <f>IFERROR(_xlfn.XLOOKUP(Table6[[#This Row],[Affected WTG]],'Basic Data'!$A:$A,'Basic Data'!$E:$E),"")</f>
        <v>3.846153846153845E-2</v>
      </c>
      <c r="K1430" s="102">
        <v>55</v>
      </c>
      <c r="L1430" s="35" t="str">
        <f>IFERROR(_xlfn.XLOOKUP(Table6[[#This Row],[Error Code]],'Basic Data'!$AA:$AA,'Basic Data'!$AB:$AB),"Incorrect Error Code")</f>
        <v>WTG shut down</v>
      </c>
      <c r="M1430" s="35" t="s">
        <v>295</v>
      </c>
      <c r="N1430" s="475"/>
      <c r="O1430" s="476">
        <v>0.97222222222222221</v>
      </c>
      <c r="P1430" s="476">
        <v>0.97222222222222221</v>
      </c>
      <c r="Q1430" s="477">
        <v>0.99998842592592596</v>
      </c>
      <c r="R1430" s="472">
        <f>IF(Table6[[#This Row],[Work Start TimeStamp]]="","",(Table6[[#This Row],[Work Start TimeStamp]]-Table6[[#This Row],[Fault Start TimeStamp]])*24)</f>
        <v>0</v>
      </c>
      <c r="S1430" s="472">
        <f>(Table6[[#This Row],[Fault Clearance time]]-Table6[[#This Row],[Work Start TimeStamp]])*24</f>
        <v>0.66638888888889003</v>
      </c>
      <c r="T1430" s="472">
        <f>(Table6[[#This Row],[Fault Clearance time]]-Table6[[#This Row],[Fault Start TimeStamp]])*24</f>
        <v>0.66638888888889003</v>
      </c>
      <c r="U1430" s="35" t="s">
        <v>2096</v>
      </c>
      <c r="V1430" s="102" t="s">
        <v>293</v>
      </c>
      <c r="W1430" s="478">
        <f>IFERROR(Table6[[#This Row],[Breakdown Time]]*Table6[[#This Row],[Plant Equivalent Weightage]],"")</f>
        <v>2.5630341880341915E-2</v>
      </c>
      <c r="X1430" s="473" t="s">
        <v>294</v>
      </c>
      <c r="Y1430" s="474" t="s">
        <v>87</v>
      </c>
      <c r="Z1430" s="102">
        <v>53754</v>
      </c>
      <c r="AA1430" s="468">
        <f>(Table6[[#This Row],[Paired WTG Generation for loss calculation]]/24)*Table6[[#This Row],[Breakdown Time]]</f>
        <v>1492.5445138888915</v>
      </c>
      <c r="AB1430" s="102"/>
      <c r="AC1430" s="35"/>
      <c r="AD1430" s="35"/>
    </row>
    <row r="1431" spans="1:30">
      <c r="A1431" s="102">
        <f t="shared" si="23"/>
        <v>1430</v>
      </c>
      <c r="B1431" s="468">
        <f>YEAR(Table6[[#This Row],[Date]])+IF(MONTH(Table6[[#This Row],[Date]])&gt;=4,1,0)</f>
        <v>2026</v>
      </c>
      <c r="C1431" s="102">
        <f>YEAR(Table6[[#This Row],[Date]])</f>
        <v>2025</v>
      </c>
      <c r="D1431" s="102" t="s">
        <v>1992</v>
      </c>
      <c r="E1431" s="469">
        <f>Table6[[#This Row],[Date]]-DAY(Table6[[#This Row],[Date]])+1</f>
        <v>45839</v>
      </c>
      <c r="F1431" s="470">
        <v>45839</v>
      </c>
      <c r="G1431" s="35" t="s">
        <v>75</v>
      </c>
      <c r="H1431" s="35" t="str">
        <f>IFERROR(_xlfn.XLOOKUP(Table6[[#This Row],[Affected WTG]],'Basic Data'!$A:$A,'Basic Data'!$B:$B),"")</f>
        <v>TQGXIIPL</v>
      </c>
      <c r="I1431" s="35" t="str">
        <f>IFERROR(_xlfn.XLOOKUP(Table6[[#This Row],[Affected WTG]],'Basic Data'!$A:$A,'Basic Data'!$C:$C),"")</f>
        <v>GEDA</v>
      </c>
      <c r="J1431" s="471">
        <f>IFERROR(_xlfn.XLOOKUP(Table6[[#This Row],[Affected WTG]],'Basic Data'!$A:$A,'Basic Data'!$E:$E),"")</f>
        <v>3.846153846153845E-2</v>
      </c>
      <c r="K1431" s="102">
        <v>650</v>
      </c>
      <c r="L1431" s="35" t="str">
        <f>IFERROR(_xlfn.XLOOKUP(Table6[[#This Row],[Error Code]],'Basic Data'!$AA:$AA,'Basic Data'!$AB:$AB),"Incorrect Error Code")</f>
        <v>Pitch controller communication error</v>
      </c>
      <c r="M1431" s="35" t="s">
        <v>291</v>
      </c>
      <c r="N1431" s="475"/>
      <c r="O1431" s="476">
        <v>0.55763888888888891</v>
      </c>
      <c r="P1431" s="476">
        <v>0.55763888888888891</v>
      </c>
      <c r="Q1431" s="477">
        <v>0.57013888888888886</v>
      </c>
      <c r="R1431" s="472">
        <f>IF(Table6[[#This Row],[Work Start TimeStamp]]="","",(Table6[[#This Row],[Work Start TimeStamp]]-Table6[[#This Row],[Fault Start TimeStamp]])*24)</f>
        <v>0</v>
      </c>
      <c r="S1431" s="472">
        <f>(Table6[[#This Row],[Fault Clearance time]]-Table6[[#This Row],[Work Start TimeStamp]])*24</f>
        <v>0.29999999999999893</v>
      </c>
      <c r="T1431" s="472">
        <f>(Table6[[#This Row],[Fault Clearance time]]-Table6[[#This Row],[Fault Start TimeStamp]])*24</f>
        <v>0.29999999999999893</v>
      </c>
      <c r="U1431" s="35" t="s">
        <v>372</v>
      </c>
      <c r="V1431" s="102" t="s">
        <v>293</v>
      </c>
      <c r="W1431" s="478">
        <f>IFERROR(Table6[[#This Row],[Breakdown Time]]*Table6[[#This Row],[Plant Equivalent Weightage]],"")</f>
        <v>1.1538461538461494E-2</v>
      </c>
      <c r="X1431" s="473" t="s">
        <v>290</v>
      </c>
      <c r="Y1431" s="474" t="s">
        <v>78</v>
      </c>
      <c r="Z1431" s="102">
        <v>37135</v>
      </c>
      <c r="AA1431" s="468">
        <f>(Table6[[#This Row],[Paired WTG Generation for loss calculation]]/24)*Table6[[#This Row],[Breakdown Time]]</f>
        <v>464.18749999999835</v>
      </c>
      <c r="AB1431" s="102"/>
      <c r="AC1431" s="35"/>
      <c r="AD1431" s="35"/>
    </row>
    <row r="1432" spans="1:30">
      <c r="A1432" s="102">
        <f t="shared" si="23"/>
        <v>1431</v>
      </c>
      <c r="B1432" s="468">
        <f>YEAR(Table6[[#This Row],[Date]])+IF(MONTH(Table6[[#This Row],[Date]])&gt;=4,1,0)</f>
        <v>2026</v>
      </c>
      <c r="C1432" s="102">
        <f>YEAR(Table6[[#This Row],[Date]])</f>
        <v>2025</v>
      </c>
      <c r="D1432" s="102" t="s">
        <v>1992</v>
      </c>
      <c r="E1432" s="469">
        <f>Table6[[#This Row],[Date]]-DAY(Table6[[#This Row],[Date]])+1</f>
        <v>45839</v>
      </c>
      <c r="F1432" s="470">
        <v>45839</v>
      </c>
      <c r="G1432" s="35" t="s">
        <v>75</v>
      </c>
      <c r="H1432" s="35" t="str">
        <f>IFERROR(_xlfn.XLOOKUP(Table6[[#This Row],[Affected WTG]],'Basic Data'!$A:$A,'Basic Data'!$B:$B),"")</f>
        <v>TQGXIIPL</v>
      </c>
      <c r="I1432" s="35" t="str">
        <f>IFERROR(_xlfn.XLOOKUP(Table6[[#This Row],[Affected WTG]],'Basic Data'!$A:$A,'Basic Data'!$C:$C),"")</f>
        <v>GEDA</v>
      </c>
      <c r="J1432" s="471">
        <f>IFERROR(_xlfn.XLOOKUP(Table6[[#This Row],[Affected WTG]],'Basic Data'!$A:$A,'Basic Data'!$E:$E),"")</f>
        <v>3.846153846153845E-2</v>
      </c>
      <c r="K1432" s="102">
        <v>3211</v>
      </c>
      <c r="L1432" s="35" t="str">
        <f>IFERROR(_xlfn.XLOOKUP(Table6[[#This Row],[Error Code]],'Basic Data'!$AA:$AA,'Basic Data'!$AB:$AB),"Incorrect Error Code")</f>
        <v>Conv. load shedding (CAN)</v>
      </c>
      <c r="M1432" s="35" t="s">
        <v>291</v>
      </c>
      <c r="N1432" s="475"/>
      <c r="O1432" s="476">
        <v>0.64861111111111114</v>
      </c>
      <c r="P1432" s="476">
        <v>0.64861111111111114</v>
      </c>
      <c r="Q1432" s="477">
        <v>0.65208333333333335</v>
      </c>
      <c r="R1432" s="472">
        <f>IF(Table6[[#This Row],[Work Start TimeStamp]]="","",(Table6[[#This Row],[Work Start TimeStamp]]-Table6[[#This Row],[Fault Start TimeStamp]])*24)</f>
        <v>0</v>
      </c>
      <c r="S1432" s="472">
        <f>(Table6[[#This Row],[Fault Clearance time]]-Table6[[#This Row],[Work Start TimeStamp]])*24</f>
        <v>8.3333333333333037E-2</v>
      </c>
      <c r="T1432" s="472">
        <f>(Table6[[#This Row],[Fault Clearance time]]-Table6[[#This Row],[Fault Start TimeStamp]])*24</f>
        <v>8.3333333333333037E-2</v>
      </c>
      <c r="U1432" s="35" t="s">
        <v>1924</v>
      </c>
      <c r="V1432" s="102" t="s">
        <v>293</v>
      </c>
      <c r="W1432" s="478">
        <f>IFERROR(Table6[[#This Row],[Breakdown Time]]*Table6[[#This Row],[Plant Equivalent Weightage]],"")</f>
        <v>3.2051282051281929E-3</v>
      </c>
      <c r="X1432" s="473" t="s">
        <v>290</v>
      </c>
      <c r="Y1432" s="474" t="s">
        <v>78</v>
      </c>
      <c r="Z1432" s="102">
        <v>37135</v>
      </c>
      <c r="AA1432" s="468">
        <f>(Table6[[#This Row],[Paired WTG Generation for loss calculation]]/24)*Table6[[#This Row],[Breakdown Time]]</f>
        <v>128.94097222222177</v>
      </c>
      <c r="AB1432" s="102"/>
      <c r="AC1432" s="35"/>
      <c r="AD1432" s="35"/>
    </row>
    <row r="1433" spans="1:30">
      <c r="A1433" s="102">
        <f t="shared" si="23"/>
        <v>1432</v>
      </c>
      <c r="B1433" s="468">
        <f>YEAR(Table6[[#This Row],[Date]])+IF(MONTH(Table6[[#This Row],[Date]])&gt;=4,1,0)</f>
        <v>2026</v>
      </c>
      <c r="C1433" s="102">
        <f>YEAR(Table6[[#This Row],[Date]])</f>
        <v>2025</v>
      </c>
      <c r="D1433" s="102" t="s">
        <v>1992</v>
      </c>
      <c r="E1433" s="469">
        <f>Table6[[#This Row],[Date]]-DAY(Table6[[#This Row],[Date]])+1</f>
        <v>45839</v>
      </c>
      <c r="F1433" s="470">
        <v>45839</v>
      </c>
      <c r="G1433" s="35" t="s">
        <v>76</v>
      </c>
      <c r="H1433" s="35" t="str">
        <f>IFERROR(_xlfn.XLOOKUP(Table6[[#This Row],[Affected WTG]],'Basic Data'!$A:$A,'Basic Data'!$B:$B),"")</f>
        <v>TQGXIIPL</v>
      </c>
      <c r="I1433" s="35" t="str">
        <f>IFERROR(_xlfn.XLOOKUP(Table6[[#This Row],[Affected WTG]],'Basic Data'!$A:$A,'Basic Data'!$C:$C),"")</f>
        <v>GEDA</v>
      </c>
      <c r="J1433" s="471">
        <f>IFERROR(_xlfn.XLOOKUP(Table6[[#This Row],[Affected WTG]],'Basic Data'!$A:$A,'Basic Data'!$E:$E),"")</f>
        <v>3.846153846153845E-2</v>
      </c>
      <c r="K1433" s="102">
        <v>641</v>
      </c>
      <c r="L1433" s="35" t="str">
        <f>IFERROR(_xlfn.XLOOKUP(Table6[[#This Row],[Error Code]],'Basic Data'!$AA:$AA,'Basic Data'!$AB:$AB),"Incorrect Error Code")</f>
        <v>Sim.angle E enc. &lt;&gt; act.angle 1</v>
      </c>
      <c r="M1433" s="35" t="s">
        <v>291</v>
      </c>
      <c r="N1433" s="475"/>
      <c r="O1433" s="476">
        <v>0.55763888888888891</v>
      </c>
      <c r="P1433" s="476">
        <v>0.63888888888888884</v>
      </c>
      <c r="Q1433" s="477">
        <v>0.74097222222222225</v>
      </c>
      <c r="R1433" s="472">
        <f>IF(Table6[[#This Row],[Work Start TimeStamp]]="","",(Table6[[#This Row],[Work Start TimeStamp]]-Table6[[#This Row],[Fault Start TimeStamp]])*24)</f>
        <v>1.9499999999999984</v>
      </c>
      <c r="S1433" s="472">
        <f>(Table6[[#This Row],[Fault Clearance time]]-Table6[[#This Row],[Work Start TimeStamp]])*24</f>
        <v>2.450000000000002</v>
      </c>
      <c r="T1433" s="472">
        <f>(Table6[[#This Row],[Fault Clearance time]]-Table6[[#This Row],[Fault Start TimeStamp]])*24</f>
        <v>4.4000000000000004</v>
      </c>
      <c r="U1433" s="35" t="s">
        <v>2020</v>
      </c>
      <c r="V1433" s="102" t="s">
        <v>293</v>
      </c>
      <c r="W1433" s="478">
        <f>IFERROR(Table6[[#This Row],[Breakdown Time]]*Table6[[#This Row],[Plant Equivalent Weightage]],"")</f>
        <v>0.16923076923076918</v>
      </c>
      <c r="X1433" s="473" t="s">
        <v>290</v>
      </c>
      <c r="Y1433" s="474" t="s">
        <v>82</v>
      </c>
      <c r="Z1433" s="102">
        <v>35286</v>
      </c>
      <c r="AA1433" s="468">
        <f>(Table6[[#This Row],[Paired WTG Generation for loss calculation]]/24)*Table6[[#This Row],[Breakdown Time]]</f>
        <v>6469.1</v>
      </c>
      <c r="AB1433" s="102"/>
      <c r="AC1433" s="35"/>
      <c r="AD1433" s="35"/>
    </row>
    <row r="1434" spans="1:30">
      <c r="A1434" s="102">
        <f t="shared" si="23"/>
        <v>1433</v>
      </c>
      <c r="B1434" s="468">
        <f>YEAR(Table6[[#This Row],[Date]])+IF(MONTH(Table6[[#This Row],[Date]])&gt;=4,1,0)</f>
        <v>2026</v>
      </c>
      <c r="C1434" s="102">
        <f>YEAR(Table6[[#This Row],[Date]])</f>
        <v>2025</v>
      </c>
      <c r="D1434" s="102" t="s">
        <v>1992</v>
      </c>
      <c r="E1434" s="469">
        <f>Table6[[#This Row],[Date]]-DAY(Table6[[#This Row],[Date]])+1</f>
        <v>45839</v>
      </c>
      <c r="F1434" s="470">
        <v>45839</v>
      </c>
      <c r="G1434" s="35" t="s">
        <v>77</v>
      </c>
      <c r="H1434" s="35" t="str">
        <f>IFERROR(_xlfn.XLOOKUP(Table6[[#This Row],[Affected WTG]],'Basic Data'!$A:$A,'Basic Data'!$B:$B),"")</f>
        <v>TQGXIIPL</v>
      </c>
      <c r="I1434" s="35" t="str">
        <f>IFERROR(_xlfn.XLOOKUP(Table6[[#This Row],[Affected WTG]],'Basic Data'!$A:$A,'Basic Data'!$C:$C),"")</f>
        <v>GEDA</v>
      </c>
      <c r="J1434" s="471">
        <f>IFERROR(_xlfn.XLOOKUP(Table6[[#This Row],[Affected WTG]],'Basic Data'!$A:$A,'Basic Data'!$E:$E),"")</f>
        <v>3.846153846153845E-2</v>
      </c>
      <c r="K1434" s="102">
        <v>6130</v>
      </c>
      <c r="L1434" s="35" t="str">
        <f>IFERROR(_xlfn.XLOOKUP(Table6[[#This Row],[Error Code]],'Basic Data'!$AA:$AA,'Basic Data'!$AB:$AB),"Incorrect Error Code")</f>
        <v>Yaw speed high</v>
      </c>
      <c r="M1434" s="35" t="s">
        <v>292</v>
      </c>
      <c r="N1434" s="475"/>
      <c r="O1434" s="476">
        <v>0.44791666666666669</v>
      </c>
      <c r="P1434" s="476">
        <v>0.44791666666666669</v>
      </c>
      <c r="Q1434" s="477">
        <v>0.45</v>
      </c>
      <c r="R1434" s="472">
        <f>IF(Table6[[#This Row],[Work Start TimeStamp]]="","",(Table6[[#This Row],[Work Start TimeStamp]]-Table6[[#This Row],[Fault Start TimeStamp]])*24)</f>
        <v>0</v>
      </c>
      <c r="S1434" s="472">
        <f>(Table6[[#This Row],[Fault Clearance time]]-Table6[[#This Row],[Work Start TimeStamp]])*24</f>
        <v>4.9999999999999822E-2</v>
      </c>
      <c r="T1434" s="472">
        <f>(Table6[[#This Row],[Fault Clearance time]]-Table6[[#This Row],[Fault Start TimeStamp]])*24</f>
        <v>4.9999999999999822E-2</v>
      </c>
      <c r="U1434" s="35" t="s">
        <v>336</v>
      </c>
      <c r="V1434" s="102" t="s">
        <v>293</v>
      </c>
      <c r="W1434" s="478">
        <f>IFERROR(Table6[[#This Row],[Breakdown Time]]*Table6[[#This Row],[Plant Equivalent Weightage]],"")</f>
        <v>1.9230769230769156E-3</v>
      </c>
      <c r="X1434" s="473" t="s">
        <v>294</v>
      </c>
      <c r="Y1434" s="474" t="s">
        <v>80</v>
      </c>
      <c r="Z1434" s="102">
        <v>30187</v>
      </c>
      <c r="AA1434" s="468">
        <f>(Table6[[#This Row],[Paired WTG Generation for loss calculation]]/24)*Table6[[#This Row],[Breakdown Time]]</f>
        <v>62.889583333333114</v>
      </c>
      <c r="AB1434" s="102"/>
      <c r="AC1434" s="35"/>
      <c r="AD1434" s="35"/>
    </row>
    <row r="1435" spans="1:30">
      <c r="A1435" s="102">
        <f t="shared" si="23"/>
        <v>1434</v>
      </c>
      <c r="B1435" s="468">
        <f>YEAR(Table6[[#This Row],[Date]])+IF(MONTH(Table6[[#This Row],[Date]])&gt;=4,1,0)</f>
        <v>2026</v>
      </c>
      <c r="C1435" s="102">
        <f>YEAR(Table6[[#This Row],[Date]])</f>
        <v>2025</v>
      </c>
      <c r="D1435" s="102" t="s">
        <v>1992</v>
      </c>
      <c r="E1435" s="469">
        <f>Table6[[#This Row],[Date]]-DAY(Table6[[#This Row],[Date]])+1</f>
        <v>45839</v>
      </c>
      <c r="F1435" s="470">
        <v>45839</v>
      </c>
      <c r="G1435" s="35" t="s">
        <v>78</v>
      </c>
      <c r="H1435" s="35" t="str">
        <f>IFERROR(_xlfn.XLOOKUP(Table6[[#This Row],[Affected WTG]],'Basic Data'!$A:$A,'Basic Data'!$B:$B),"")</f>
        <v>TQGXIIPL</v>
      </c>
      <c r="I1435" s="35" t="str">
        <f>IFERROR(_xlfn.XLOOKUP(Table6[[#This Row],[Affected WTG]],'Basic Data'!$A:$A,'Basic Data'!$C:$C),"")</f>
        <v>GEDA</v>
      </c>
      <c r="J1435" s="471">
        <f>IFERROR(_xlfn.XLOOKUP(Table6[[#This Row],[Affected WTG]],'Basic Data'!$A:$A,'Basic Data'!$E:$E),"")</f>
        <v>3.846153846153845E-2</v>
      </c>
      <c r="K1435" s="102">
        <v>3211</v>
      </c>
      <c r="L1435" s="35" t="str">
        <f>IFERROR(_xlfn.XLOOKUP(Table6[[#This Row],[Error Code]],'Basic Data'!$AA:$AA,'Basic Data'!$AB:$AB),"Incorrect Error Code")</f>
        <v>Conv. load shedding (CAN)</v>
      </c>
      <c r="M1435" s="35" t="s">
        <v>291</v>
      </c>
      <c r="N1435" s="475"/>
      <c r="O1435" s="476">
        <v>0.35555555555555557</v>
      </c>
      <c r="P1435" s="476">
        <v>0.35555555555555557</v>
      </c>
      <c r="Q1435" s="477">
        <v>0.3576388888888889</v>
      </c>
      <c r="R1435" s="472">
        <f>IF(Table6[[#This Row],[Work Start TimeStamp]]="","",(Table6[[#This Row],[Work Start TimeStamp]]-Table6[[#This Row],[Fault Start TimeStamp]])*24)</f>
        <v>0</v>
      </c>
      <c r="S1435" s="472">
        <f>(Table6[[#This Row],[Fault Clearance time]]-Table6[[#This Row],[Work Start TimeStamp]])*24</f>
        <v>4.9999999999999822E-2</v>
      </c>
      <c r="T1435" s="472">
        <f>(Table6[[#This Row],[Fault Clearance time]]-Table6[[#This Row],[Fault Start TimeStamp]])*24</f>
        <v>4.9999999999999822E-2</v>
      </c>
      <c r="U1435" s="35" t="s">
        <v>1924</v>
      </c>
      <c r="V1435" s="102" t="s">
        <v>293</v>
      </c>
      <c r="W1435" s="478">
        <f>IFERROR(Table6[[#This Row],[Breakdown Time]]*Table6[[#This Row],[Plant Equivalent Weightage]],"")</f>
        <v>1.9230769230769156E-3</v>
      </c>
      <c r="X1435" s="473" t="s">
        <v>290</v>
      </c>
      <c r="Y1435" s="474" t="s">
        <v>75</v>
      </c>
      <c r="Z1435" s="102">
        <v>35634</v>
      </c>
      <c r="AA1435" s="468">
        <f>(Table6[[#This Row],[Paired WTG Generation for loss calculation]]/24)*Table6[[#This Row],[Breakdown Time]]</f>
        <v>74.237499999999741</v>
      </c>
      <c r="AB1435" s="102"/>
      <c r="AC1435" s="35"/>
      <c r="AD1435" s="35"/>
    </row>
    <row r="1436" spans="1:30">
      <c r="A1436" s="102">
        <f t="shared" si="23"/>
        <v>1435</v>
      </c>
      <c r="B1436" s="468">
        <f>YEAR(Table6[[#This Row],[Date]])+IF(MONTH(Table6[[#This Row],[Date]])&gt;=4,1,0)</f>
        <v>2026</v>
      </c>
      <c r="C1436" s="102">
        <f>YEAR(Table6[[#This Row],[Date]])</f>
        <v>2025</v>
      </c>
      <c r="D1436" s="102" t="s">
        <v>1992</v>
      </c>
      <c r="E1436" s="469">
        <f>Table6[[#This Row],[Date]]-DAY(Table6[[#This Row],[Date]])+1</f>
        <v>45839</v>
      </c>
      <c r="F1436" s="470">
        <v>45839</v>
      </c>
      <c r="G1436" s="35" t="s">
        <v>79</v>
      </c>
      <c r="H1436" s="35" t="str">
        <f>IFERROR(_xlfn.XLOOKUP(Table6[[#This Row],[Affected WTG]],'Basic Data'!$A:$A,'Basic Data'!$B:$B),"")</f>
        <v>TQGXIIPL</v>
      </c>
      <c r="I1436" s="35" t="str">
        <f>IFERROR(_xlfn.XLOOKUP(Table6[[#This Row],[Affected WTG]],'Basic Data'!$A:$A,'Basic Data'!$C:$C),"")</f>
        <v>GEDA</v>
      </c>
      <c r="J1436" s="471">
        <f>IFERROR(_xlfn.XLOOKUP(Table6[[#This Row],[Affected WTG]],'Basic Data'!$A:$A,'Basic Data'!$E:$E),"")</f>
        <v>3.846153846153845E-2</v>
      </c>
      <c r="K1436" s="102">
        <v>700</v>
      </c>
      <c r="L1436" s="35" t="str">
        <f>IFERROR(_xlfn.XLOOKUP(Table6[[#This Row],[Error Code]],'Basic Data'!$AA:$AA,'Basic Data'!$AB:$AB),"Incorrect Error Code")</f>
        <v>Batt. undervoltage/overvoltage</v>
      </c>
      <c r="M1436" s="35" t="s">
        <v>291</v>
      </c>
      <c r="N1436" s="475"/>
      <c r="O1436" s="476">
        <v>0.35972222222222222</v>
      </c>
      <c r="P1436" s="476">
        <v>0.35972222222222222</v>
      </c>
      <c r="Q1436" s="477">
        <v>0.38680555555555557</v>
      </c>
      <c r="R1436" s="472">
        <f>IF(Table6[[#This Row],[Work Start TimeStamp]]="","",(Table6[[#This Row],[Work Start TimeStamp]]-Table6[[#This Row],[Fault Start TimeStamp]])*24)</f>
        <v>0</v>
      </c>
      <c r="S1436" s="472">
        <f>(Table6[[#This Row],[Fault Clearance time]]-Table6[[#This Row],[Work Start TimeStamp]])*24</f>
        <v>0.65000000000000036</v>
      </c>
      <c r="T1436" s="472">
        <f>(Table6[[#This Row],[Fault Clearance time]]-Table6[[#This Row],[Fault Start TimeStamp]])*24</f>
        <v>0.65000000000000036</v>
      </c>
      <c r="U1436" s="35" t="s">
        <v>1924</v>
      </c>
      <c r="V1436" s="102" t="s">
        <v>293</v>
      </c>
      <c r="W1436" s="478">
        <f>IFERROR(Table6[[#This Row],[Breakdown Time]]*Table6[[#This Row],[Plant Equivalent Weightage]],"")</f>
        <v>2.5000000000000005E-2</v>
      </c>
      <c r="X1436" s="473" t="s">
        <v>290</v>
      </c>
      <c r="Y1436" s="474" t="s">
        <v>94</v>
      </c>
      <c r="Z1436" s="102">
        <v>42013</v>
      </c>
      <c r="AA1436" s="468">
        <f>(Table6[[#This Row],[Paired WTG Generation for loss calculation]]/24)*Table6[[#This Row],[Breakdown Time]]</f>
        <v>1137.8520833333339</v>
      </c>
      <c r="AB1436" s="102"/>
      <c r="AC1436" s="35"/>
      <c r="AD1436" s="35"/>
    </row>
    <row r="1437" spans="1:30">
      <c r="A1437" s="102">
        <f t="shared" si="23"/>
        <v>1436</v>
      </c>
      <c r="B1437" s="468">
        <f>YEAR(Table6[[#This Row],[Date]])+IF(MONTH(Table6[[#This Row],[Date]])&gt;=4,1,0)</f>
        <v>2026</v>
      </c>
      <c r="C1437" s="102">
        <f>YEAR(Table6[[#This Row],[Date]])</f>
        <v>2025</v>
      </c>
      <c r="D1437" s="102" t="s">
        <v>1992</v>
      </c>
      <c r="E1437" s="469">
        <f>Table6[[#This Row],[Date]]-DAY(Table6[[#This Row],[Date]])+1</f>
        <v>45839</v>
      </c>
      <c r="F1437" s="470">
        <v>45839</v>
      </c>
      <c r="G1437" s="35" t="s">
        <v>84</v>
      </c>
      <c r="H1437" s="35" t="str">
        <f>IFERROR(_xlfn.XLOOKUP(Table6[[#This Row],[Affected WTG]],'Basic Data'!$A:$A,'Basic Data'!$B:$B),"")</f>
        <v>TQGXIIPL</v>
      </c>
      <c r="I1437" s="35" t="str">
        <f>IFERROR(_xlfn.XLOOKUP(Table6[[#This Row],[Affected WTG]],'Basic Data'!$A:$A,'Basic Data'!$C:$C),"")</f>
        <v>GEDA</v>
      </c>
      <c r="J1437" s="471">
        <f>IFERROR(_xlfn.XLOOKUP(Table6[[#This Row],[Affected WTG]],'Basic Data'!$A:$A,'Basic Data'!$E:$E),"")</f>
        <v>3.846153846153845E-2</v>
      </c>
      <c r="K1437" s="102">
        <v>665</v>
      </c>
      <c r="L1437" s="35" t="str">
        <f>IFERROR(_xlfn.XLOOKUP(Table6[[#This Row],[Error Code]],'Basic Data'!$AA:$AA,'Basic Data'!$AB:$AB),"Incorrect Error Code")</f>
        <v>Pitch error</v>
      </c>
      <c r="M1437" s="35" t="s">
        <v>291</v>
      </c>
      <c r="N1437" s="475"/>
      <c r="O1437" s="476">
        <v>0.35</v>
      </c>
      <c r="P1437" s="476">
        <v>0.35</v>
      </c>
      <c r="Q1437" s="477">
        <v>0.35347222222222224</v>
      </c>
      <c r="R1437" s="472">
        <f>IF(Table6[[#This Row],[Work Start TimeStamp]]="","",(Table6[[#This Row],[Work Start TimeStamp]]-Table6[[#This Row],[Fault Start TimeStamp]])*24)</f>
        <v>0</v>
      </c>
      <c r="S1437" s="472">
        <f>(Table6[[#This Row],[Fault Clearance time]]-Table6[[#This Row],[Work Start TimeStamp]])*24</f>
        <v>8.333333333333437E-2</v>
      </c>
      <c r="T1437" s="472">
        <f>(Table6[[#This Row],[Fault Clearance time]]-Table6[[#This Row],[Fault Start TimeStamp]])*24</f>
        <v>8.333333333333437E-2</v>
      </c>
      <c r="U1437" s="35" t="s">
        <v>1924</v>
      </c>
      <c r="V1437" s="102" t="s">
        <v>293</v>
      </c>
      <c r="W1437" s="478">
        <f>IFERROR(Table6[[#This Row],[Breakdown Time]]*Table6[[#This Row],[Plant Equivalent Weightage]],"")</f>
        <v>3.205128205128244E-3</v>
      </c>
      <c r="X1437" s="473" t="s">
        <v>290</v>
      </c>
      <c r="Y1437" s="474" t="s">
        <v>86</v>
      </c>
      <c r="Z1437" s="102">
        <v>31527</v>
      </c>
      <c r="AA1437" s="468">
        <f>(Table6[[#This Row],[Paired WTG Generation for loss calculation]]/24)*Table6[[#This Row],[Breakdown Time]]</f>
        <v>109.46875000000136</v>
      </c>
      <c r="AB1437" s="102"/>
      <c r="AC1437" s="35"/>
      <c r="AD1437" s="35"/>
    </row>
    <row r="1438" spans="1:30">
      <c r="A1438" s="102">
        <f t="shared" si="23"/>
        <v>1437</v>
      </c>
      <c r="B1438" s="468">
        <f>YEAR(Table6[[#This Row],[Date]])+IF(MONTH(Table6[[#This Row],[Date]])&gt;=4,1,0)</f>
        <v>2026</v>
      </c>
      <c r="C1438" s="102">
        <f>YEAR(Table6[[#This Row],[Date]])</f>
        <v>2025</v>
      </c>
      <c r="D1438" s="102" t="s">
        <v>1992</v>
      </c>
      <c r="E1438" s="469">
        <f>Table6[[#This Row],[Date]]-DAY(Table6[[#This Row],[Date]])+1</f>
        <v>45839</v>
      </c>
      <c r="F1438" s="470">
        <v>45839</v>
      </c>
      <c r="G1438" s="35" t="s">
        <v>85</v>
      </c>
      <c r="H1438" s="35" t="str">
        <f>IFERROR(_xlfn.XLOOKUP(Table6[[#This Row],[Affected WTG]],'Basic Data'!$A:$A,'Basic Data'!$B:$B),"")</f>
        <v>TQGXIIPL</v>
      </c>
      <c r="I1438" s="35" t="str">
        <f>IFERROR(_xlfn.XLOOKUP(Table6[[#This Row],[Affected WTG]],'Basic Data'!$A:$A,'Basic Data'!$C:$C),"")</f>
        <v>GEDA</v>
      </c>
      <c r="J1438" s="471">
        <f>IFERROR(_xlfn.XLOOKUP(Table6[[#This Row],[Affected WTG]],'Basic Data'!$A:$A,'Basic Data'!$E:$E),"")</f>
        <v>3.846153846153845E-2</v>
      </c>
      <c r="K1438" s="102">
        <v>55</v>
      </c>
      <c r="L1438" s="35" t="str">
        <f>IFERROR(_xlfn.XLOOKUP(Table6[[#This Row],[Error Code]],'Basic Data'!$AA:$AA,'Basic Data'!$AB:$AB),"Incorrect Error Code")</f>
        <v>WTG shut down</v>
      </c>
      <c r="M1438" s="35" t="s">
        <v>295</v>
      </c>
      <c r="N1438" s="475"/>
      <c r="O1438" s="476">
        <v>0</v>
      </c>
      <c r="P1438" s="476">
        <v>0</v>
      </c>
      <c r="Q1438" s="477">
        <v>0.54861111111111116</v>
      </c>
      <c r="R1438" s="472">
        <f>IF(Table6[[#This Row],[Work Start TimeStamp]]="","",(Table6[[#This Row],[Work Start TimeStamp]]-Table6[[#This Row],[Fault Start TimeStamp]])*24)</f>
        <v>0</v>
      </c>
      <c r="S1438" s="472">
        <f>(Table6[[#This Row],[Fault Clearance time]]-Table6[[#This Row],[Work Start TimeStamp]])*24</f>
        <v>13.166666666666668</v>
      </c>
      <c r="T1438" s="472">
        <f>(Table6[[#This Row],[Fault Clearance time]]-Table6[[#This Row],[Fault Start TimeStamp]])*24</f>
        <v>13.166666666666668</v>
      </c>
      <c r="U1438" s="35" t="s">
        <v>2097</v>
      </c>
      <c r="V1438" s="102" t="s">
        <v>289</v>
      </c>
      <c r="W1438" s="478">
        <f>IFERROR(Table6[[#This Row],[Breakdown Time]]*Table6[[#This Row],[Plant Equivalent Weightage]],"")</f>
        <v>0.50641025641025628</v>
      </c>
      <c r="X1438" s="473" t="s">
        <v>523</v>
      </c>
      <c r="Y1438" s="474" t="s">
        <v>87</v>
      </c>
      <c r="Z1438" s="102">
        <v>33961</v>
      </c>
      <c r="AA1438" s="468">
        <f>(Table6[[#This Row],[Paired WTG Generation for loss calculation]]/24)*Table6[[#This Row],[Breakdown Time]]</f>
        <v>18631.381944444449</v>
      </c>
      <c r="AB1438" s="102"/>
      <c r="AC1438" s="35"/>
      <c r="AD1438" s="35"/>
    </row>
    <row r="1439" spans="1:30">
      <c r="A1439" s="102">
        <f t="shared" si="23"/>
        <v>1438</v>
      </c>
      <c r="B1439" s="468">
        <f>YEAR(Table6[[#This Row],[Date]])+IF(MONTH(Table6[[#This Row],[Date]])&gt;=4,1,0)</f>
        <v>2026</v>
      </c>
      <c r="C1439" s="102">
        <f>YEAR(Table6[[#This Row],[Date]])</f>
        <v>2025</v>
      </c>
      <c r="D1439" s="102" t="s">
        <v>1992</v>
      </c>
      <c r="E1439" s="469">
        <f>Table6[[#This Row],[Date]]-DAY(Table6[[#This Row],[Date]])+1</f>
        <v>45839</v>
      </c>
      <c r="F1439" s="470">
        <v>45839</v>
      </c>
      <c r="G1439" s="35" t="s">
        <v>85</v>
      </c>
      <c r="H1439" s="35" t="str">
        <f>IFERROR(_xlfn.XLOOKUP(Table6[[#This Row],[Affected WTG]],'Basic Data'!$A:$A,'Basic Data'!$B:$B),"")</f>
        <v>TQGXIIPL</v>
      </c>
      <c r="I1439" s="35" t="str">
        <f>IFERROR(_xlfn.XLOOKUP(Table6[[#This Row],[Affected WTG]],'Basic Data'!$A:$A,'Basic Data'!$C:$C),"")</f>
        <v>GEDA</v>
      </c>
      <c r="J1439" s="471">
        <f>IFERROR(_xlfn.XLOOKUP(Table6[[#This Row],[Affected WTG]],'Basic Data'!$A:$A,'Basic Data'!$E:$E),"")</f>
        <v>3.846153846153845E-2</v>
      </c>
      <c r="K1439" s="102">
        <v>55</v>
      </c>
      <c r="L1439" s="35" t="str">
        <f>IFERROR(_xlfn.XLOOKUP(Table6[[#This Row],[Error Code]],'Basic Data'!$AA:$AA,'Basic Data'!$AB:$AB),"Incorrect Error Code")</f>
        <v>WTG shut down</v>
      </c>
      <c r="M1439" s="35" t="s">
        <v>295</v>
      </c>
      <c r="N1439" s="475"/>
      <c r="O1439" s="476">
        <v>0.55763888888888891</v>
      </c>
      <c r="P1439" s="476">
        <v>0.55763888888888891</v>
      </c>
      <c r="Q1439" s="477">
        <v>0.99998842592592596</v>
      </c>
      <c r="R1439" s="472">
        <f>IF(Table6[[#This Row],[Work Start TimeStamp]]="","",(Table6[[#This Row],[Work Start TimeStamp]]-Table6[[#This Row],[Fault Start TimeStamp]])*24)</f>
        <v>0</v>
      </c>
      <c r="S1439" s="472">
        <f>(Table6[[#This Row],[Fault Clearance time]]-Table6[[#This Row],[Work Start TimeStamp]])*24</f>
        <v>10.616388888888888</v>
      </c>
      <c r="T1439" s="472">
        <f>(Table6[[#This Row],[Fault Clearance time]]-Table6[[#This Row],[Fault Start TimeStamp]])*24</f>
        <v>10.616388888888888</v>
      </c>
      <c r="U1439" s="35" t="s">
        <v>2097</v>
      </c>
      <c r="V1439" s="102" t="s">
        <v>289</v>
      </c>
      <c r="W1439" s="478">
        <f>IFERROR(Table6[[#This Row],[Breakdown Time]]*Table6[[#This Row],[Plant Equivalent Weightage]],"")</f>
        <v>0.40832264957264941</v>
      </c>
      <c r="X1439" s="473" t="s">
        <v>294</v>
      </c>
      <c r="Y1439" s="474" t="s">
        <v>87</v>
      </c>
      <c r="Z1439" s="102">
        <v>33961</v>
      </c>
      <c r="AA1439" s="468">
        <f>(Table6[[#This Row],[Paired WTG Generation for loss calculation]]/24)*Table6[[#This Row],[Breakdown Time]]</f>
        <v>15022.632627314815</v>
      </c>
      <c r="AB1439" s="102"/>
      <c r="AC1439" s="35"/>
      <c r="AD1439" s="35"/>
    </row>
    <row r="1440" spans="1:30">
      <c r="A1440" s="102">
        <f t="shared" si="23"/>
        <v>1439</v>
      </c>
      <c r="B1440" s="468">
        <f>YEAR(Table6[[#This Row],[Date]])+IF(MONTH(Table6[[#This Row],[Date]])&gt;=4,1,0)</f>
        <v>2026</v>
      </c>
      <c r="C1440" s="102">
        <f>YEAR(Table6[[#This Row],[Date]])</f>
        <v>2025</v>
      </c>
      <c r="D1440" s="102" t="s">
        <v>1992</v>
      </c>
      <c r="E1440" s="469">
        <f>Table6[[#This Row],[Date]]-DAY(Table6[[#This Row],[Date]])+1</f>
        <v>45839</v>
      </c>
      <c r="F1440" s="470">
        <v>45839</v>
      </c>
      <c r="G1440" s="35" t="s">
        <v>87</v>
      </c>
      <c r="H1440" s="35" t="str">
        <f>IFERROR(_xlfn.XLOOKUP(Table6[[#This Row],[Affected WTG]],'Basic Data'!$A:$A,'Basic Data'!$B:$B),"")</f>
        <v>TQGXIIPL</v>
      </c>
      <c r="I1440" s="35" t="str">
        <f>IFERROR(_xlfn.XLOOKUP(Table6[[#This Row],[Affected WTG]],'Basic Data'!$A:$A,'Basic Data'!$C:$C),"")</f>
        <v>GEDA</v>
      </c>
      <c r="J1440" s="471">
        <f>IFERROR(_xlfn.XLOOKUP(Table6[[#This Row],[Affected WTG]],'Basic Data'!$A:$A,'Basic Data'!$E:$E),"")</f>
        <v>3.846153846153845E-2</v>
      </c>
      <c r="K1440" s="102">
        <v>175</v>
      </c>
      <c r="L1440" s="35" t="str">
        <f>IFERROR(_xlfn.XLOOKUP(Table6[[#This Row],[Error Code]],'Basic Data'!$AA:$AA,'Basic Data'!$AB:$AB),"Incorrect Error Code")</f>
        <v>SLC error</v>
      </c>
      <c r="M1440" s="35" t="s">
        <v>291</v>
      </c>
      <c r="N1440" s="475"/>
      <c r="O1440" s="476">
        <v>0.33402777777777776</v>
      </c>
      <c r="P1440" s="476">
        <v>0.33402777777777776</v>
      </c>
      <c r="Q1440" s="477">
        <v>0.37013888888888891</v>
      </c>
      <c r="R1440" s="472">
        <f>IF(Table6[[#This Row],[Work Start TimeStamp]]="","",(Table6[[#This Row],[Work Start TimeStamp]]-Table6[[#This Row],[Fault Start TimeStamp]])*24)</f>
        <v>0</v>
      </c>
      <c r="S1440" s="472">
        <f>(Table6[[#This Row],[Fault Clearance time]]-Table6[[#This Row],[Work Start TimeStamp]])*24</f>
        <v>0.86666666666666758</v>
      </c>
      <c r="T1440" s="472">
        <f>(Table6[[#This Row],[Fault Clearance time]]-Table6[[#This Row],[Fault Start TimeStamp]])*24</f>
        <v>0.86666666666666758</v>
      </c>
      <c r="U1440" s="35" t="s">
        <v>1924</v>
      </c>
      <c r="V1440" s="102" t="s">
        <v>293</v>
      </c>
      <c r="W1440" s="478">
        <f>IFERROR(Table6[[#This Row],[Breakdown Time]]*Table6[[#This Row],[Plant Equivalent Weightage]],"")</f>
        <v>3.3333333333333361E-2</v>
      </c>
      <c r="X1440" s="473" t="s">
        <v>290</v>
      </c>
      <c r="Y1440" s="474" t="s">
        <v>85</v>
      </c>
      <c r="Z1440" s="102">
        <v>0</v>
      </c>
      <c r="AA1440" s="468">
        <f>(Table6[[#This Row],[Paired WTG Generation for loss calculation]]/24)*Table6[[#This Row],[Breakdown Time]]</f>
        <v>0</v>
      </c>
      <c r="AB1440" s="102"/>
      <c r="AC1440" s="35"/>
      <c r="AD1440" s="35"/>
    </row>
    <row r="1441" spans="1:30">
      <c r="A1441" s="102">
        <f t="shared" si="23"/>
        <v>1440</v>
      </c>
      <c r="B1441" s="468">
        <f>YEAR(Table6[[#This Row],[Date]])+IF(MONTH(Table6[[#This Row],[Date]])&gt;=4,1,0)</f>
        <v>2026</v>
      </c>
      <c r="C1441" s="102">
        <f>YEAR(Table6[[#This Row],[Date]])</f>
        <v>2025</v>
      </c>
      <c r="D1441" s="102" t="s">
        <v>1992</v>
      </c>
      <c r="E1441" s="469">
        <f>Table6[[#This Row],[Date]]-DAY(Table6[[#This Row],[Date]])+1</f>
        <v>45839</v>
      </c>
      <c r="F1441" s="470">
        <v>45839</v>
      </c>
      <c r="G1441" s="35" t="s">
        <v>88</v>
      </c>
      <c r="H1441" s="35" t="str">
        <f>IFERROR(_xlfn.XLOOKUP(Table6[[#This Row],[Affected WTG]],'Basic Data'!$A:$A,'Basic Data'!$B:$B),"")</f>
        <v>TQGXIIPL</v>
      </c>
      <c r="I1441" s="35" t="str">
        <f>IFERROR(_xlfn.XLOOKUP(Table6[[#This Row],[Affected WTG]],'Basic Data'!$A:$A,'Basic Data'!$C:$C),"")</f>
        <v>GEDA</v>
      </c>
      <c r="J1441" s="471">
        <f>IFERROR(_xlfn.XLOOKUP(Table6[[#This Row],[Affected WTG]],'Basic Data'!$A:$A,'Basic Data'!$E:$E),"")</f>
        <v>3.846153846153845E-2</v>
      </c>
      <c r="K1441" s="102">
        <v>780</v>
      </c>
      <c r="L1441" s="35" t="str">
        <f>IFERROR(_xlfn.XLOOKUP(Table6[[#This Row],[Error Code]],'Basic Data'!$AA:$AA,'Basic Data'!$AB:$AB),"Incorrect Error Code")</f>
        <v>Error bridging start-up</v>
      </c>
      <c r="M1441" s="35" t="s">
        <v>291</v>
      </c>
      <c r="N1441" s="475"/>
      <c r="O1441" s="476">
        <v>0.27708333333333335</v>
      </c>
      <c r="P1441" s="476">
        <v>0.27708333333333335</v>
      </c>
      <c r="Q1441" s="477">
        <v>0.27777777777777779</v>
      </c>
      <c r="R1441" s="472">
        <f>IF(Table6[[#This Row],[Work Start TimeStamp]]="","",(Table6[[#This Row],[Work Start TimeStamp]]-Table6[[#This Row],[Fault Start TimeStamp]])*24)</f>
        <v>0</v>
      </c>
      <c r="S1441" s="472">
        <f>(Table6[[#This Row],[Fault Clearance time]]-Table6[[#This Row],[Work Start TimeStamp]])*24</f>
        <v>1.6666666666666607E-2</v>
      </c>
      <c r="T1441" s="472">
        <f>(Table6[[#This Row],[Fault Clearance time]]-Table6[[#This Row],[Fault Start TimeStamp]])*24</f>
        <v>1.6666666666666607E-2</v>
      </c>
      <c r="U1441" s="35" t="s">
        <v>1924</v>
      </c>
      <c r="V1441" s="102" t="s">
        <v>293</v>
      </c>
      <c r="W1441" s="478">
        <f>IFERROR(Table6[[#This Row],[Breakdown Time]]*Table6[[#This Row],[Plant Equivalent Weightage]],"")</f>
        <v>6.4102564102563853E-4</v>
      </c>
      <c r="X1441" s="473" t="s">
        <v>290</v>
      </c>
      <c r="Y1441" s="474" t="s">
        <v>83</v>
      </c>
      <c r="Z1441" s="102">
        <v>34711</v>
      </c>
      <c r="AA1441" s="468">
        <f>(Table6[[#This Row],[Paired WTG Generation for loss calculation]]/24)*Table6[[#This Row],[Breakdown Time]]</f>
        <v>24.104861111111028</v>
      </c>
      <c r="AB1441" s="102"/>
      <c r="AC1441" s="35"/>
      <c r="AD1441" s="35"/>
    </row>
    <row r="1442" spans="1:30">
      <c r="A1442" s="102">
        <f t="shared" si="23"/>
        <v>1441</v>
      </c>
      <c r="B1442" s="468">
        <f>YEAR(Table6[[#This Row],[Date]])+IF(MONTH(Table6[[#This Row],[Date]])&gt;=4,1,0)</f>
        <v>2026</v>
      </c>
      <c r="C1442" s="102">
        <f>YEAR(Table6[[#This Row],[Date]])</f>
        <v>2025</v>
      </c>
      <c r="D1442" s="102" t="s">
        <v>1992</v>
      </c>
      <c r="E1442" s="469">
        <f>Table6[[#This Row],[Date]]-DAY(Table6[[#This Row],[Date]])+1</f>
        <v>45839</v>
      </c>
      <c r="F1442" s="470">
        <v>45839</v>
      </c>
      <c r="G1442" s="35" t="s">
        <v>96</v>
      </c>
      <c r="H1442" s="35" t="str">
        <f>IFERROR(_xlfn.XLOOKUP(Table6[[#This Row],[Affected WTG]],'Basic Data'!$A:$A,'Basic Data'!$B:$B),"")</f>
        <v>TQGXIIPL</v>
      </c>
      <c r="I1442" s="35" t="str">
        <f>IFERROR(_xlfn.XLOOKUP(Table6[[#This Row],[Affected WTG]],'Basic Data'!$A:$A,'Basic Data'!$C:$C),"")</f>
        <v>GEDA</v>
      </c>
      <c r="J1442" s="471">
        <f>IFERROR(_xlfn.XLOOKUP(Table6[[#This Row],[Affected WTG]],'Basic Data'!$A:$A,'Basic Data'!$E:$E),"")</f>
        <v>3.846153846153845E-2</v>
      </c>
      <c r="K1442" s="102">
        <v>55</v>
      </c>
      <c r="L1442" s="35" t="str">
        <f>IFERROR(_xlfn.XLOOKUP(Table6[[#This Row],[Error Code]],'Basic Data'!$AA:$AA,'Basic Data'!$AB:$AB),"Incorrect Error Code")</f>
        <v>WTG shut down</v>
      </c>
      <c r="M1442" s="35" t="s">
        <v>291</v>
      </c>
      <c r="N1442" s="475"/>
      <c r="O1442" s="476">
        <v>0.48680555555555555</v>
      </c>
      <c r="P1442" s="476">
        <v>0.48680555555555555</v>
      </c>
      <c r="Q1442" s="477">
        <v>0.54861111111111116</v>
      </c>
      <c r="R1442" s="472">
        <f>IF(Table6[[#This Row],[Work Start TimeStamp]]="","",(Table6[[#This Row],[Work Start TimeStamp]]-Table6[[#This Row],[Fault Start TimeStamp]])*24)</f>
        <v>0</v>
      </c>
      <c r="S1442" s="472">
        <f>(Table6[[#This Row],[Fault Clearance time]]-Table6[[#This Row],[Work Start TimeStamp]])*24</f>
        <v>1.4833333333333347</v>
      </c>
      <c r="T1442" s="472">
        <f>(Table6[[#This Row],[Fault Clearance time]]-Table6[[#This Row],[Fault Start TimeStamp]])*24</f>
        <v>1.4833333333333347</v>
      </c>
      <c r="U1442" s="35" t="s">
        <v>2024</v>
      </c>
      <c r="V1442" s="102" t="s">
        <v>293</v>
      </c>
      <c r="W1442" s="478">
        <f>IFERROR(Table6[[#This Row],[Breakdown Time]]*Table6[[#This Row],[Plant Equivalent Weightage]],"")</f>
        <v>5.7051282051282085E-2</v>
      </c>
      <c r="X1442" s="473" t="s">
        <v>290</v>
      </c>
      <c r="Y1442" s="474" t="s">
        <v>84</v>
      </c>
      <c r="Z1442" s="102">
        <v>32474</v>
      </c>
      <c r="AA1442" s="468">
        <f>(Table6[[#This Row],[Paired WTG Generation for loss calculation]]/24)*Table6[[#This Row],[Breakdown Time]]</f>
        <v>2007.0736111111128</v>
      </c>
      <c r="AB1442" s="102"/>
      <c r="AC1442" s="35"/>
      <c r="AD1442" s="35"/>
    </row>
    <row r="1443" spans="1:30">
      <c r="A1443" s="102">
        <f t="shared" si="23"/>
        <v>1442</v>
      </c>
      <c r="B1443" s="468">
        <f>YEAR(Table6[[#This Row],[Date]])+IF(MONTH(Table6[[#This Row],[Date]])&gt;=4,1,0)</f>
        <v>2026</v>
      </c>
      <c r="C1443" s="102">
        <f>YEAR(Table6[[#This Row],[Date]])</f>
        <v>2025</v>
      </c>
      <c r="D1443" s="102" t="s">
        <v>1992</v>
      </c>
      <c r="E1443" s="469">
        <f>Table6[[#This Row],[Date]]-DAY(Table6[[#This Row],[Date]])+1</f>
        <v>45839</v>
      </c>
      <c r="F1443" s="470">
        <v>45839</v>
      </c>
      <c r="G1443" s="35" t="s">
        <v>99</v>
      </c>
      <c r="H1443" s="35" t="str">
        <f>IFERROR(_xlfn.XLOOKUP(Table6[[#This Row],[Affected WTG]],'Basic Data'!$A:$A,'Basic Data'!$B:$B),"")</f>
        <v>TQGXIIPL</v>
      </c>
      <c r="I1443" s="35" t="str">
        <f>IFERROR(_xlfn.XLOOKUP(Table6[[#This Row],[Affected WTG]],'Basic Data'!$A:$A,'Basic Data'!$C:$C),"")</f>
        <v>GEDA</v>
      </c>
      <c r="J1443" s="471">
        <f>IFERROR(_xlfn.XLOOKUP(Table6[[#This Row],[Affected WTG]],'Basic Data'!$A:$A,'Basic Data'!$E:$E),"")</f>
        <v>3.846153846153845E-2</v>
      </c>
      <c r="K1443" s="102">
        <v>700</v>
      </c>
      <c r="L1443" s="35" t="str">
        <f>IFERROR(_xlfn.XLOOKUP(Table6[[#This Row],[Error Code]],'Basic Data'!$AA:$AA,'Basic Data'!$AB:$AB),"Incorrect Error Code")</f>
        <v>Batt. undervoltage/overvoltage</v>
      </c>
      <c r="M1443" s="35" t="s">
        <v>291</v>
      </c>
      <c r="N1443" s="475"/>
      <c r="O1443" s="476">
        <v>0.31944444444444442</v>
      </c>
      <c r="P1443" s="476">
        <v>0.31944444444444442</v>
      </c>
      <c r="Q1443" s="477">
        <v>0.33194444444444443</v>
      </c>
      <c r="R1443" s="472">
        <f>IF(Table6[[#This Row],[Work Start TimeStamp]]="","",(Table6[[#This Row],[Work Start TimeStamp]]-Table6[[#This Row],[Fault Start TimeStamp]])*24)</f>
        <v>0</v>
      </c>
      <c r="S1443" s="472">
        <f>(Table6[[#This Row],[Fault Clearance time]]-Table6[[#This Row],[Work Start TimeStamp]])*24</f>
        <v>0.30000000000000027</v>
      </c>
      <c r="T1443" s="472">
        <f>(Table6[[#This Row],[Fault Clearance time]]-Table6[[#This Row],[Fault Start TimeStamp]])*24</f>
        <v>0.30000000000000027</v>
      </c>
      <c r="U1443" s="35" t="s">
        <v>1924</v>
      </c>
      <c r="V1443" s="102" t="s">
        <v>293</v>
      </c>
      <c r="W1443" s="478">
        <f>IFERROR(Table6[[#This Row],[Breakdown Time]]*Table6[[#This Row],[Plant Equivalent Weightage]],"")</f>
        <v>1.1538461538461546E-2</v>
      </c>
      <c r="X1443" s="473" t="s">
        <v>290</v>
      </c>
      <c r="Y1443" s="474" t="s">
        <v>74</v>
      </c>
      <c r="Z1443" s="102">
        <v>33007</v>
      </c>
      <c r="AA1443" s="468">
        <f>(Table6[[#This Row],[Paired WTG Generation for loss calculation]]/24)*Table6[[#This Row],[Breakdown Time]]</f>
        <v>412.58750000000038</v>
      </c>
      <c r="AB1443" s="102"/>
      <c r="AC1443" s="35"/>
      <c r="AD1443" s="35"/>
    </row>
    <row r="1444" spans="1:30">
      <c r="A1444" s="102">
        <f t="shared" si="23"/>
        <v>1443</v>
      </c>
      <c r="B1444" s="468">
        <f>YEAR(Table6[[#This Row],[Date]])+IF(MONTH(Table6[[#This Row],[Date]])&gt;=4,1,0)</f>
        <v>2026</v>
      </c>
      <c r="C1444" s="102">
        <f>YEAR(Table6[[#This Row],[Date]])</f>
        <v>2025</v>
      </c>
      <c r="D1444" s="102" t="s">
        <v>1992</v>
      </c>
      <c r="E1444" s="469">
        <f>Table6[[#This Row],[Date]]-DAY(Table6[[#This Row],[Date]])+1</f>
        <v>45839</v>
      </c>
      <c r="F1444" s="470">
        <v>45839</v>
      </c>
      <c r="G1444" s="35" t="s">
        <v>99</v>
      </c>
      <c r="H1444" s="35" t="str">
        <f>IFERROR(_xlfn.XLOOKUP(Table6[[#This Row],[Affected WTG]],'Basic Data'!$A:$A,'Basic Data'!$B:$B),"")</f>
        <v>TQGXIIPL</v>
      </c>
      <c r="I1444" s="35" t="str">
        <f>IFERROR(_xlfn.XLOOKUP(Table6[[#This Row],[Affected WTG]],'Basic Data'!$A:$A,'Basic Data'!$C:$C),"")</f>
        <v>GEDA</v>
      </c>
      <c r="J1444" s="471">
        <f>IFERROR(_xlfn.XLOOKUP(Table6[[#This Row],[Affected WTG]],'Basic Data'!$A:$A,'Basic Data'!$E:$E),"")</f>
        <v>3.846153846153845E-2</v>
      </c>
      <c r="K1444" s="102">
        <v>175</v>
      </c>
      <c r="L1444" s="35" t="str">
        <f>IFERROR(_xlfn.XLOOKUP(Table6[[#This Row],[Error Code]],'Basic Data'!$AA:$AA,'Basic Data'!$AB:$AB),"Incorrect Error Code")</f>
        <v>SLC error</v>
      </c>
      <c r="M1444" s="35" t="s">
        <v>291</v>
      </c>
      <c r="N1444" s="475"/>
      <c r="O1444" s="476">
        <v>0.33680555555555558</v>
      </c>
      <c r="P1444" s="476">
        <v>0.33680555555555558</v>
      </c>
      <c r="Q1444" s="477">
        <v>0.36875000000000002</v>
      </c>
      <c r="R1444" s="472">
        <f>IF(Table6[[#This Row],[Work Start TimeStamp]]="","",(Table6[[#This Row],[Work Start TimeStamp]]-Table6[[#This Row],[Fault Start TimeStamp]])*24)</f>
        <v>0</v>
      </c>
      <c r="S1444" s="472">
        <f>(Table6[[#This Row],[Fault Clearance time]]-Table6[[#This Row],[Work Start TimeStamp]])*24</f>
        <v>0.76666666666666661</v>
      </c>
      <c r="T1444" s="472">
        <f>(Table6[[#This Row],[Fault Clearance time]]-Table6[[#This Row],[Fault Start TimeStamp]])*24</f>
        <v>0.76666666666666661</v>
      </c>
      <c r="U1444" s="35" t="s">
        <v>1924</v>
      </c>
      <c r="V1444" s="102" t="s">
        <v>293</v>
      </c>
      <c r="W1444" s="478">
        <f>IFERROR(Table6[[#This Row],[Breakdown Time]]*Table6[[#This Row],[Plant Equivalent Weightage]],"")</f>
        <v>2.9487179487179476E-2</v>
      </c>
      <c r="X1444" s="473" t="s">
        <v>290</v>
      </c>
      <c r="Y1444" s="474" t="s">
        <v>74</v>
      </c>
      <c r="Z1444" s="102">
        <v>33007</v>
      </c>
      <c r="AA1444" s="468">
        <f>(Table6[[#This Row],[Paired WTG Generation for loss calculation]]/24)*Table6[[#This Row],[Breakdown Time]]</f>
        <v>1054.3902777777778</v>
      </c>
      <c r="AB1444" s="102"/>
      <c r="AC1444" s="35"/>
      <c r="AD1444" s="35"/>
    </row>
    <row r="1445" spans="1:30">
      <c r="A1445" s="102">
        <f t="shared" si="23"/>
        <v>1444</v>
      </c>
      <c r="B1445" s="468">
        <f>YEAR(Table6[[#This Row],[Date]])+IF(MONTH(Table6[[#This Row],[Date]])&gt;=4,1,0)</f>
        <v>2026</v>
      </c>
      <c r="C1445" s="102">
        <f>YEAR(Table6[[#This Row],[Date]])</f>
        <v>2025</v>
      </c>
      <c r="D1445" s="102" t="s">
        <v>1992</v>
      </c>
      <c r="E1445" s="469">
        <f>Table6[[#This Row],[Date]]-DAY(Table6[[#This Row],[Date]])+1</f>
        <v>45839</v>
      </c>
      <c r="F1445" s="470">
        <v>45839</v>
      </c>
      <c r="G1445" s="35" t="s">
        <v>96</v>
      </c>
      <c r="H1445" s="35" t="str">
        <f>IFERROR(_xlfn.XLOOKUP(Table6[[#This Row],[Affected WTG]],'Basic Data'!$A:$A,'Basic Data'!$B:$B),"")</f>
        <v>TQGXIIPL</v>
      </c>
      <c r="I1445" s="35" t="str">
        <f>IFERROR(_xlfn.XLOOKUP(Table6[[#This Row],[Affected WTG]],'Basic Data'!$A:$A,'Basic Data'!$C:$C),"")</f>
        <v>GEDA</v>
      </c>
      <c r="J1445" s="471">
        <f>IFERROR(_xlfn.XLOOKUP(Table6[[#This Row],[Affected WTG]],'Basic Data'!$A:$A,'Basic Data'!$E:$E),"")</f>
        <v>3.846153846153845E-2</v>
      </c>
      <c r="K1445" s="102">
        <v>55</v>
      </c>
      <c r="L1445" s="35" t="str">
        <f>IFERROR(_xlfn.XLOOKUP(Table6[[#This Row],[Error Code]],'Basic Data'!$AA:$AA,'Basic Data'!$AB:$AB),"Incorrect Error Code")</f>
        <v>WTG shut down</v>
      </c>
      <c r="M1445" s="35" t="s">
        <v>291</v>
      </c>
      <c r="N1445" s="475"/>
      <c r="O1445" s="476">
        <v>0.55763888888888891</v>
      </c>
      <c r="P1445" s="476">
        <v>0.55763888888888891</v>
      </c>
      <c r="Q1445" s="477">
        <v>0.56180555555555556</v>
      </c>
      <c r="R1445" s="472">
        <f>IF(Table6[[#This Row],[Work Start TimeStamp]]="","",(Table6[[#This Row],[Work Start TimeStamp]]-Table6[[#This Row],[Fault Start TimeStamp]])*24)</f>
        <v>0</v>
      </c>
      <c r="S1445" s="472">
        <f>(Table6[[#This Row],[Fault Clearance time]]-Table6[[#This Row],[Work Start TimeStamp]])*24</f>
        <v>9.9999999999999645E-2</v>
      </c>
      <c r="T1445" s="472">
        <f>(Table6[[#This Row],[Fault Clearance time]]-Table6[[#This Row],[Fault Start TimeStamp]])*24</f>
        <v>9.9999999999999645E-2</v>
      </c>
      <c r="U1445" s="35" t="s">
        <v>2021</v>
      </c>
      <c r="V1445" s="102" t="s">
        <v>293</v>
      </c>
      <c r="W1445" s="478">
        <f>IFERROR(Table6[[#This Row],[Breakdown Time]]*Table6[[#This Row],[Plant Equivalent Weightage]],"")</f>
        <v>3.8461538461538312E-3</v>
      </c>
      <c r="X1445" s="473" t="s">
        <v>290</v>
      </c>
      <c r="Y1445" s="474" t="s">
        <v>84</v>
      </c>
      <c r="Z1445" s="102">
        <v>32474</v>
      </c>
      <c r="AA1445" s="468">
        <f>(Table6[[#This Row],[Paired WTG Generation for loss calculation]]/24)*Table6[[#This Row],[Breakdown Time]]</f>
        <v>135.30833333333285</v>
      </c>
      <c r="AB1445" s="102"/>
      <c r="AC1445" s="35"/>
      <c r="AD1445" s="35"/>
    </row>
    <row r="1446" spans="1:30">
      <c r="A1446" s="102">
        <f t="shared" si="23"/>
        <v>1445</v>
      </c>
      <c r="B1446" s="468">
        <f>YEAR(Table6[[#This Row],[Date]])+IF(MONTH(Table6[[#This Row],[Date]])&gt;=4,1,0)</f>
        <v>2026</v>
      </c>
      <c r="C1446" s="102">
        <f>YEAR(Table6[[#This Row],[Date]])</f>
        <v>2025</v>
      </c>
      <c r="D1446" s="102" t="s">
        <v>1992</v>
      </c>
      <c r="E1446" s="469">
        <f>Table6[[#This Row],[Date]]-DAY(Table6[[#This Row],[Date]])+1</f>
        <v>45839</v>
      </c>
      <c r="F1446" s="470">
        <v>45840</v>
      </c>
      <c r="G1446" s="35" t="s">
        <v>77</v>
      </c>
      <c r="H1446" s="35" t="str">
        <f>IFERROR(_xlfn.XLOOKUP(Table6[[#This Row],[Affected WTG]],'Basic Data'!$A:$A,'Basic Data'!$B:$B),"")</f>
        <v>TQGXIIPL</v>
      </c>
      <c r="I1446" s="35" t="str">
        <f>IFERROR(_xlfn.XLOOKUP(Table6[[#This Row],[Affected WTG]],'Basic Data'!$A:$A,'Basic Data'!$C:$C),"")</f>
        <v>GEDA</v>
      </c>
      <c r="J1446" s="471">
        <f>IFERROR(_xlfn.XLOOKUP(Table6[[#This Row],[Affected WTG]],'Basic Data'!$A:$A,'Basic Data'!$E:$E),"")</f>
        <v>3.846153846153845E-2</v>
      </c>
      <c r="K1446" s="102">
        <v>6130</v>
      </c>
      <c r="L1446" s="35" t="str">
        <f>IFERROR(_xlfn.XLOOKUP(Table6[[#This Row],[Error Code]],'Basic Data'!$AA:$AA,'Basic Data'!$AB:$AB),"Incorrect Error Code")</f>
        <v>Yaw speed high</v>
      </c>
      <c r="M1446" s="35" t="s">
        <v>291</v>
      </c>
      <c r="N1446" s="475"/>
      <c r="O1446" s="476">
        <v>0.16458333333333333</v>
      </c>
      <c r="P1446" s="476">
        <v>0.16458333333333333</v>
      </c>
      <c r="Q1446" s="477">
        <v>0.17777777777777778</v>
      </c>
      <c r="R1446" s="472">
        <f>IF(Table6[[#This Row],[Work Start TimeStamp]]="","",(Table6[[#This Row],[Work Start TimeStamp]]-Table6[[#This Row],[Fault Start TimeStamp]])*24)</f>
        <v>0</v>
      </c>
      <c r="S1446" s="472">
        <f>(Table6[[#This Row],[Fault Clearance time]]-Table6[[#This Row],[Work Start TimeStamp]])*24</f>
        <v>0.31666666666666687</v>
      </c>
      <c r="T1446" s="472">
        <f>(Table6[[#This Row],[Fault Clearance time]]-Table6[[#This Row],[Fault Start TimeStamp]])*24</f>
        <v>0.31666666666666687</v>
      </c>
      <c r="U1446" s="35" t="s">
        <v>2030</v>
      </c>
      <c r="V1446" s="102" t="s">
        <v>293</v>
      </c>
      <c r="W1446" s="478">
        <f>IFERROR(Table6[[#This Row],[Breakdown Time]]*Table6[[#This Row],[Plant Equivalent Weightage]],"")</f>
        <v>1.2179487179487183E-2</v>
      </c>
      <c r="X1446" s="473" t="s">
        <v>290</v>
      </c>
      <c r="Y1446" s="474" t="s">
        <v>80</v>
      </c>
      <c r="Z1446" s="102">
        <v>29432</v>
      </c>
      <c r="AA1446" s="468">
        <f>(Table6[[#This Row],[Paired WTG Generation for loss calculation]]/24)*Table6[[#This Row],[Breakdown Time]]</f>
        <v>388.33888888888913</v>
      </c>
      <c r="AB1446" s="102"/>
      <c r="AC1446" s="35"/>
      <c r="AD1446" s="35"/>
    </row>
    <row r="1447" spans="1:30">
      <c r="A1447" s="102">
        <f t="shared" si="23"/>
        <v>1446</v>
      </c>
      <c r="B1447" s="468">
        <f>YEAR(Table6[[#This Row],[Date]])+IF(MONTH(Table6[[#This Row],[Date]])&gt;=4,1,0)</f>
        <v>2026</v>
      </c>
      <c r="C1447" s="102">
        <f>YEAR(Table6[[#This Row],[Date]])</f>
        <v>2025</v>
      </c>
      <c r="D1447" s="102" t="s">
        <v>1992</v>
      </c>
      <c r="E1447" s="469">
        <f>Table6[[#This Row],[Date]]-DAY(Table6[[#This Row],[Date]])+1</f>
        <v>45839</v>
      </c>
      <c r="F1447" s="470">
        <v>45840</v>
      </c>
      <c r="G1447" s="35" t="s">
        <v>78</v>
      </c>
      <c r="H1447" s="35" t="str">
        <f>IFERROR(_xlfn.XLOOKUP(Table6[[#This Row],[Affected WTG]],'Basic Data'!$A:$A,'Basic Data'!$B:$B),"")</f>
        <v>TQGXIIPL</v>
      </c>
      <c r="I1447" s="35" t="str">
        <f>IFERROR(_xlfn.XLOOKUP(Table6[[#This Row],[Affected WTG]],'Basic Data'!$A:$A,'Basic Data'!$C:$C),"")</f>
        <v>GEDA</v>
      </c>
      <c r="J1447" s="471">
        <f>IFERROR(_xlfn.XLOOKUP(Table6[[#This Row],[Affected WTG]],'Basic Data'!$A:$A,'Basic Data'!$E:$E),"")</f>
        <v>3.846153846153845E-2</v>
      </c>
      <c r="K1447" s="102">
        <v>3211</v>
      </c>
      <c r="L1447" s="35" t="str">
        <f>IFERROR(_xlfn.XLOOKUP(Table6[[#This Row],[Error Code]],'Basic Data'!$AA:$AA,'Basic Data'!$AB:$AB),"Incorrect Error Code")</f>
        <v>Conv. load shedding (CAN)</v>
      </c>
      <c r="M1447" s="35" t="s">
        <v>291</v>
      </c>
      <c r="N1447" s="475"/>
      <c r="O1447" s="476">
        <v>0.41041666666666665</v>
      </c>
      <c r="P1447" s="476">
        <v>0.41041666666666665</v>
      </c>
      <c r="Q1447" s="477">
        <v>0.41249999999999998</v>
      </c>
      <c r="R1447" s="472">
        <f>IF(Table6[[#This Row],[Work Start TimeStamp]]="","",(Table6[[#This Row],[Work Start TimeStamp]]-Table6[[#This Row],[Fault Start TimeStamp]])*24)</f>
        <v>0</v>
      </c>
      <c r="S1447" s="472">
        <f>(Table6[[#This Row],[Fault Clearance time]]-Table6[[#This Row],[Work Start TimeStamp]])*24</f>
        <v>4.9999999999999822E-2</v>
      </c>
      <c r="T1447" s="472">
        <f>(Table6[[#This Row],[Fault Clearance time]]-Table6[[#This Row],[Fault Start TimeStamp]])*24</f>
        <v>4.9999999999999822E-2</v>
      </c>
      <c r="U1447" s="35" t="s">
        <v>1924</v>
      </c>
      <c r="V1447" s="102" t="s">
        <v>293</v>
      </c>
      <c r="W1447" s="478">
        <f>IFERROR(Table6[[#This Row],[Breakdown Time]]*Table6[[#This Row],[Plant Equivalent Weightage]],"")</f>
        <v>1.9230769230769156E-3</v>
      </c>
      <c r="X1447" s="473" t="s">
        <v>290</v>
      </c>
      <c r="Y1447" s="474" t="s">
        <v>75</v>
      </c>
      <c r="Z1447" s="102">
        <v>35182</v>
      </c>
      <c r="AA1447" s="468">
        <f>(Table6[[#This Row],[Paired WTG Generation for loss calculation]]/24)*Table6[[#This Row],[Breakdown Time]]</f>
        <v>73.295833333333078</v>
      </c>
      <c r="AB1447" s="102"/>
      <c r="AC1447" s="35"/>
      <c r="AD1447" s="35"/>
    </row>
    <row r="1448" spans="1:30">
      <c r="A1448" s="102">
        <f t="shared" si="23"/>
        <v>1447</v>
      </c>
      <c r="B1448" s="468">
        <f>YEAR(Table6[[#This Row],[Date]])+IF(MONTH(Table6[[#This Row],[Date]])&gt;=4,1,0)</f>
        <v>2026</v>
      </c>
      <c r="C1448" s="102">
        <f>YEAR(Table6[[#This Row],[Date]])</f>
        <v>2025</v>
      </c>
      <c r="D1448" s="102" t="s">
        <v>1992</v>
      </c>
      <c r="E1448" s="469">
        <f>Table6[[#This Row],[Date]]-DAY(Table6[[#This Row],[Date]])+1</f>
        <v>45839</v>
      </c>
      <c r="F1448" s="470">
        <v>45840</v>
      </c>
      <c r="G1448" s="35" t="s">
        <v>79</v>
      </c>
      <c r="H1448" s="35" t="str">
        <f>IFERROR(_xlfn.XLOOKUP(Table6[[#This Row],[Affected WTG]],'Basic Data'!$A:$A,'Basic Data'!$B:$B),"")</f>
        <v>TQGXIIPL</v>
      </c>
      <c r="I1448" s="35" t="str">
        <f>IFERROR(_xlfn.XLOOKUP(Table6[[#This Row],[Affected WTG]],'Basic Data'!$A:$A,'Basic Data'!$C:$C),"")</f>
        <v>GEDA</v>
      </c>
      <c r="J1448" s="471">
        <f>IFERROR(_xlfn.XLOOKUP(Table6[[#This Row],[Affected WTG]],'Basic Data'!$A:$A,'Basic Data'!$E:$E),"")</f>
        <v>3.846153846153845E-2</v>
      </c>
      <c r="K1448" s="102">
        <v>178</v>
      </c>
      <c r="L1448" s="35" t="str">
        <f>IFERROR(_xlfn.XLOOKUP(Table6[[#This Row],[Error Code]],'Basic Data'!$AA:$AA,'Basic Data'!$AB:$AB),"Incorrect Error Code")</f>
        <v>SLC MF safe operation speed limit</v>
      </c>
      <c r="M1448" s="35" t="s">
        <v>291</v>
      </c>
      <c r="N1448" s="475"/>
      <c r="O1448" s="476">
        <v>0.75555555555555554</v>
      </c>
      <c r="P1448" s="476">
        <v>0.75555555555555554</v>
      </c>
      <c r="Q1448" s="477">
        <v>0.77222222222222225</v>
      </c>
      <c r="R1448" s="472">
        <f>IF(Table6[[#This Row],[Work Start TimeStamp]]="","",(Table6[[#This Row],[Work Start TimeStamp]]-Table6[[#This Row],[Fault Start TimeStamp]])*24)</f>
        <v>0</v>
      </c>
      <c r="S1448" s="472">
        <f>(Table6[[#This Row],[Fault Clearance time]]-Table6[[#This Row],[Work Start TimeStamp]])*24</f>
        <v>0.40000000000000124</v>
      </c>
      <c r="T1448" s="472">
        <f>(Table6[[#This Row],[Fault Clearance time]]-Table6[[#This Row],[Fault Start TimeStamp]])*24</f>
        <v>0.40000000000000124</v>
      </c>
      <c r="U1448" s="35" t="s">
        <v>2031</v>
      </c>
      <c r="V1448" s="102" t="s">
        <v>293</v>
      </c>
      <c r="W1448" s="478">
        <f>IFERROR(Table6[[#This Row],[Breakdown Time]]*Table6[[#This Row],[Plant Equivalent Weightage]],"")</f>
        <v>1.5384615384615427E-2</v>
      </c>
      <c r="X1448" s="473" t="s">
        <v>290</v>
      </c>
      <c r="Y1448" s="474" t="s">
        <v>94</v>
      </c>
      <c r="Z1448" s="102">
        <v>30365</v>
      </c>
      <c r="AA1448" s="468">
        <f>(Table6[[#This Row],[Paired WTG Generation for loss calculation]]/24)*Table6[[#This Row],[Breakdown Time]]</f>
        <v>506.08333333333485</v>
      </c>
      <c r="AB1448" s="102"/>
      <c r="AC1448" s="35"/>
      <c r="AD1448" s="35"/>
    </row>
    <row r="1449" spans="1:30">
      <c r="A1449" s="102">
        <f t="shared" si="23"/>
        <v>1448</v>
      </c>
      <c r="B1449" s="468">
        <f>YEAR(Table6[[#This Row],[Date]])+IF(MONTH(Table6[[#This Row],[Date]])&gt;=4,1,0)</f>
        <v>2026</v>
      </c>
      <c r="C1449" s="102">
        <f>YEAR(Table6[[#This Row],[Date]])</f>
        <v>2025</v>
      </c>
      <c r="D1449" s="102" t="s">
        <v>1992</v>
      </c>
      <c r="E1449" s="469">
        <f>Table6[[#This Row],[Date]]-DAY(Table6[[#This Row],[Date]])+1</f>
        <v>45839</v>
      </c>
      <c r="F1449" s="470">
        <v>45840</v>
      </c>
      <c r="G1449" s="35" t="s">
        <v>80</v>
      </c>
      <c r="H1449" s="35" t="str">
        <f>IFERROR(_xlfn.XLOOKUP(Table6[[#This Row],[Affected WTG]],'Basic Data'!$A:$A,'Basic Data'!$B:$B),"")</f>
        <v>TQGXIIPL</v>
      </c>
      <c r="I1449" s="35" t="str">
        <f>IFERROR(_xlfn.XLOOKUP(Table6[[#This Row],[Affected WTG]],'Basic Data'!$A:$A,'Basic Data'!$C:$C),"")</f>
        <v>GEDA</v>
      </c>
      <c r="J1449" s="471">
        <f>IFERROR(_xlfn.XLOOKUP(Table6[[#This Row],[Affected WTG]],'Basic Data'!$A:$A,'Basic Data'!$E:$E),"")</f>
        <v>3.846153846153845E-2</v>
      </c>
      <c r="K1449" s="102">
        <v>175</v>
      </c>
      <c r="L1449" s="35" t="str">
        <f>IFERROR(_xlfn.XLOOKUP(Table6[[#This Row],[Error Code]],'Basic Data'!$AA:$AA,'Basic Data'!$AB:$AB),"Incorrect Error Code")</f>
        <v>SLC error</v>
      </c>
      <c r="M1449" s="35" t="s">
        <v>291</v>
      </c>
      <c r="N1449" s="475"/>
      <c r="O1449" s="476">
        <v>0.75555555555555554</v>
      </c>
      <c r="P1449" s="476">
        <v>0.75555555555555554</v>
      </c>
      <c r="Q1449" s="477">
        <v>0.8</v>
      </c>
      <c r="R1449" s="472">
        <f>IF(Table6[[#This Row],[Work Start TimeStamp]]="","",(Table6[[#This Row],[Work Start TimeStamp]]-Table6[[#This Row],[Fault Start TimeStamp]])*24)</f>
        <v>0</v>
      </c>
      <c r="S1449" s="472">
        <f>(Table6[[#This Row],[Fault Clearance time]]-Table6[[#This Row],[Work Start TimeStamp]])*24</f>
        <v>1.0666666666666682</v>
      </c>
      <c r="T1449" s="472">
        <f>(Table6[[#This Row],[Fault Clearance time]]-Table6[[#This Row],[Fault Start TimeStamp]])*24</f>
        <v>1.0666666666666682</v>
      </c>
      <c r="U1449" s="35" t="s">
        <v>2030</v>
      </c>
      <c r="V1449" s="102" t="s">
        <v>293</v>
      </c>
      <c r="W1449" s="478">
        <f>IFERROR(Table6[[#This Row],[Breakdown Time]]*Table6[[#This Row],[Plant Equivalent Weightage]],"")</f>
        <v>4.1025641025641074E-2</v>
      </c>
      <c r="X1449" s="473" t="s">
        <v>290</v>
      </c>
      <c r="Y1449" s="474" t="s">
        <v>77</v>
      </c>
      <c r="Z1449" s="102">
        <v>30431</v>
      </c>
      <c r="AA1449" s="468">
        <f>(Table6[[#This Row],[Paired WTG Generation for loss calculation]]/24)*Table6[[#This Row],[Breakdown Time]]</f>
        <v>1352.4888888888909</v>
      </c>
      <c r="AB1449" s="102"/>
      <c r="AC1449" s="35"/>
      <c r="AD1449" s="35"/>
    </row>
    <row r="1450" spans="1:30">
      <c r="A1450" s="102">
        <f t="shared" si="23"/>
        <v>1449</v>
      </c>
      <c r="B1450" s="468">
        <f>YEAR(Table6[[#This Row],[Date]])+IF(MONTH(Table6[[#This Row],[Date]])&gt;=4,1,0)</f>
        <v>2026</v>
      </c>
      <c r="C1450" s="102">
        <f>YEAR(Table6[[#This Row],[Date]])</f>
        <v>2025</v>
      </c>
      <c r="D1450" s="102" t="s">
        <v>1992</v>
      </c>
      <c r="E1450" s="469">
        <f>Table6[[#This Row],[Date]]-DAY(Table6[[#This Row],[Date]])+1</f>
        <v>45839</v>
      </c>
      <c r="F1450" s="470">
        <v>45840</v>
      </c>
      <c r="G1450" s="35" t="s">
        <v>89</v>
      </c>
      <c r="H1450" s="35" t="str">
        <f>IFERROR(_xlfn.XLOOKUP(Table6[[#This Row],[Affected WTG]],'Basic Data'!$A:$A,'Basic Data'!$B:$B),"")</f>
        <v>TQGXIIPL</v>
      </c>
      <c r="I1450" s="35" t="str">
        <f>IFERROR(_xlfn.XLOOKUP(Table6[[#This Row],[Affected WTG]],'Basic Data'!$A:$A,'Basic Data'!$C:$C),"")</f>
        <v>GEDA</v>
      </c>
      <c r="J1450" s="471">
        <f>IFERROR(_xlfn.XLOOKUP(Table6[[#This Row],[Affected WTG]],'Basic Data'!$A:$A,'Basic Data'!$E:$E),"")</f>
        <v>3.846153846153845E-2</v>
      </c>
      <c r="K1450" s="102">
        <v>5510</v>
      </c>
      <c r="L1450" s="35" t="str">
        <f>IFERROR(_xlfn.XLOOKUP(Table6[[#This Row],[Error Code]],'Basic Data'!$AA:$AA,'Basic Data'!$AB:$AB),"Incorrect Error Code")</f>
        <v>Low hydraulic pressure</v>
      </c>
      <c r="M1450" s="35" t="s">
        <v>291</v>
      </c>
      <c r="N1450" s="475"/>
      <c r="O1450" s="476">
        <v>0.75694444444444442</v>
      </c>
      <c r="P1450" s="476">
        <v>0.75694444444444442</v>
      </c>
      <c r="Q1450" s="477">
        <v>0.75902777777777775</v>
      </c>
      <c r="R1450" s="472">
        <f>IF(Table6[[#This Row],[Work Start TimeStamp]]="","",(Table6[[#This Row],[Work Start TimeStamp]]-Table6[[#This Row],[Fault Start TimeStamp]])*24)</f>
        <v>0</v>
      </c>
      <c r="S1450" s="472">
        <f>(Table6[[#This Row],[Fault Clearance time]]-Table6[[#This Row],[Work Start TimeStamp]])*24</f>
        <v>4.9999999999999822E-2</v>
      </c>
      <c r="T1450" s="472">
        <f>(Table6[[#This Row],[Fault Clearance time]]-Table6[[#This Row],[Fault Start TimeStamp]])*24</f>
        <v>4.9999999999999822E-2</v>
      </c>
      <c r="U1450" s="35" t="s">
        <v>1924</v>
      </c>
      <c r="V1450" s="102" t="s">
        <v>293</v>
      </c>
      <c r="W1450" s="478">
        <f>IFERROR(Table6[[#This Row],[Breakdown Time]]*Table6[[#This Row],[Plant Equivalent Weightage]],"")</f>
        <v>1.9230769230769156E-3</v>
      </c>
      <c r="X1450" s="473" t="s">
        <v>290</v>
      </c>
      <c r="Y1450" s="474" t="s">
        <v>94</v>
      </c>
      <c r="Z1450" s="102">
        <v>30365</v>
      </c>
      <c r="AA1450" s="468">
        <f>(Table6[[#This Row],[Paired WTG Generation for loss calculation]]/24)*Table6[[#This Row],[Breakdown Time]]</f>
        <v>63.260416666666437</v>
      </c>
      <c r="AB1450" s="102"/>
      <c r="AC1450" s="35"/>
      <c r="AD1450" s="35"/>
    </row>
    <row r="1451" spans="1:30">
      <c r="A1451" s="102">
        <f t="shared" si="23"/>
        <v>1450</v>
      </c>
      <c r="B1451" s="468">
        <f>YEAR(Table6[[#This Row],[Date]])+IF(MONTH(Table6[[#This Row],[Date]])&gt;=4,1,0)</f>
        <v>2026</v>
      </c>
      <c r="C1451" s="102">
        <f>YEAR(Table6[[#This Row],[Date]])</f>
        <v>2025</v>
      </c>
      <c r="D1451" s="102" t="s">
        <v>1992</v>
      </c>
      <c r="E1451" s="469">
        <f>Table6[[#This Row],[Date]]-DAY(Table6[[#This Row],[Date]])+1</f>
        <v>45839</v>
      </c>
      <c r="F1451" s="470">
        <v>45840</v>
      </c>
      <c r="G1451" s="35" t="s">
        <v>94</v>
      </c>
      <c r="H1451" s="35" t="str">
        <f>IFERROR(_xlfn.XLOOKUP(Table6[[#This Row],[Affected WTG]],'Basic Data'!$A:$A,'Basic Data'!$B:$B),"")</f>
        <v>TQGXIIPL</v>
      </c>
      <c r="I1451" s="35" t="str">
        <f>IFERROR(_xlfn.XLOOKUP(Table6[[#This Row],[Affected WTG]],'Basic Data'!$A:$A,'Basic Data'!$C:$C),"")</f>
        <v>GEDA</v>
      </c>
      <c r="J1451" s="471">
        <f>IFERROR(_xlfn.XLOOKUP(Table6[[#This Row],[Affected WTG]],'Basic Data'!$A:$A,'Basic Data'!$E:$E),"")</f>
        <v>3.846153846153845E-2</v>
      </c>
      <c r="K1451" s="102">
        <v>3211</v>
      </c>
      <c r="L1451" s="35" t="str">
        <f>IFERROR(_xlfn.XLOOKUP(Table6[[#This Row],[Error Code]],'Basic Data'!$AA:$AA,'Basic Data'!$AB:$AB),"Incorrect Error Code")</f>
        <v>Conv. load shedding (CAN)</v>
      </c>
      <c r="M1451" s="35" t="s">
        <v>291</v>
      </c>
      <c r="N1451" s="475"/>
      <c r="O1451" s="476">
        <v>0.53055555555555556</v>
      </c>
      <c r="P1451" s="476">
        <v>0.53055555555555556</v>
      </c>
      <c r="Q1451" s="477">
        <v>0.53402777777777777</v>
      </c>
      <c r="R1451" s="472">
        <f>IF(Table6[[#This Row],[Work Start TimeStamp]]="","",(Table6[[#This Row],[Work Start TimeStamp]]-Table6[[#This Row],[Fault Start TimeStamp]])*24)</f>
        <v>0</v>
      </c>
      <c r="S1451" s="472">
        <f>(Table6[[#This Row],[Fault Clearance time]]-Table6[[#This Row],[Work Start TimeStamp]])*24</f>
        <v>8.3333333333333037E-2</v>
      </c>
      <c r="T1451" s="472">
        <f>(Table6[[#This Row],[Fault Clearance time]]-Table6[[#This Row],[Fault Start TimeStamp]])*24</f>
        <v>8.3333333333333037E-2</v>
      </c>
      <c r="U1451" s="35" t="s">
        <v>1924</v>
      </c>
      <c r="V1451" s="102" t="s">
        <v>293</v>
      </c>
      <c r="W1451" s="478">
        <f>IFERROR(Table6[[#This Row],[Breakdown Time]]*Table6[[#This Row],[Plant Equivalent Weightage]],"")</f>
        <v>3.2051282051281929E-3</v>
      </c>
      <c r="X1451" s="473" t="s">
        <v>290</v>
      </c>
      <c r="Y1451" s="474" t="s">
        <v>79</v>
      </c>
      <c r="Z1451" s="102">
        <v>29022</v>
      </c>
      <c r="AA1451" s="468">
        <f>(Table6[[#This Row],[Paired WTG Generation for loss calculation]]/24)*Table6[[#This Row],[Breakdown Time]]</f>
        <v>100.77083333333297</v>
      </c>
      <c r="AB1451" s="102"/>
      <c r="AC1451" s="35"/>
      <c r="AD1451" s="35"/>
    </row>
    <row r="1452" spans="1:30">
      <c r="A1452" s="102">
        <f t="shared" si="23"/>
        <v>1451</v>
      </c>
      <c r="B1452" s="468">
        <f>YEAR(Table6[[#This Row],[Date]])+IF(MONTH(Table6[[#This Row],[Date]])&gt;=4,1,0)</f>
        <v>2026</v>
      </c>
      <c r="C1452" s="102">
        <f>YEAR(Table6[[#This Row],[Date]])</f>
        <v>2025</v>
      </c>
      <c r="D1452" s="102" t="s">
        <v>1992</v>
      </c>
      <c r="E1452" s="469">
        <f>Table6[[#This Row],[Date]]-DAY(Table6[[#This Row],[Date]])+1</f>
        <v>45839</v>
      </c>
      <c r="F1452" s="470">
        <v>45840</v>
      </c>
      <c r="G1452" s="35" t="s">
        <v>98</v>
      </c>
      <c r="H1452" s="35" t="str">
        <f>IFERROR(_xlfn.XLOOKUP(Table6[[#This Row],[Affected WTG]],'Basic Data'!$A:$A,'Basic Data'!$B:$B),"")</f>
        <v>TQGXIIPL</v>
      </c>
      <c r="I1452" s="35" t="str">
        <f>IFERROR(_xlfn.XLOOKUP(Table6[[#This Row],[Affected WTG]],'Basic Data'!$A:$A,'Basic Data'!$C:$C),"")</f>
        <v>GEDA</v>
      </c>
      <c r="J1452" s="471">
        <f>IFERROR(_xlfn.XLOOKUP(Table6[[#This Row],[Affected WTG]],'Basic Data'!$A:$A,'Basic Data'!$E:$E),"")</f>
        <v>3.846153846153845E-2</v>
      </c>
      <c r="K1452" s="102">
        <v>551</v>
      </c>
      <c r="L1452" s="35" t="str">
        <f>IFERROR(_xlfn.XLOOKUP(Table6[[#This Row],[Error Code]],'Basic Data'!$AA:$AA,'Basic Data'!$AB:$AB),"Incorrect Error Code")</f>
        <v>Pitch motor current too high</v>
      </c>
      <c r="M1452" s="35" t="s">
        <v>291</v>
      </c>
      <c r="N1452" s="475"/>
      <c r="O1452" s="476">
        <v>0.83402777777777781</v>
      </c>
      <c r="P1452" s="476">
        <v>0.83402777777777781</v>
      </c>
      <c r="Q1452" s="477">
        <v>0.8354166666666667</v>
      </c>
      <c r="R1452" s="472">
        <f>IF(Table6[[#This Row],[Work Start TimeStamp]]="","",(Table6[[#This Row],[Work Start TimeStamp]]-Table6[[#This Row],[Fault Start TimeStamp]])*24)</f>
        <v>0</v>
      </c>
      <c r="S1452" s="472">
        <f>(Table6[[#This Row],[Fault Clearance time]]-Table6[[#This Row],[Work Start TimeStamp]])*24</f>
        <v>3.3333333333333215E-2</v>
      </c>
      <c r="T1452" s="472">
        <f>(Table6[[#This Row],[Fault Clearance time]]-Table6[[#This Row],[Fault Start TimeStamp]])*24</f>
        <v>3.3333333333333215E-2</v>
      </c>
      <c r="U1452" s="35" t="s">
        <v>1924</v>
      </c>
      <c r="V1452" s="102" t="s">
        <v>293</v>
      </c>
      <c r="W1452" s="478">
        <f>IFERROR(Table6[[#This Row],[Breakdown Time]]*Table6[[#This Row],[Plant Equivalent Weightage]],"")</f>
        <v>1.2820512820512771E-3</v>
      </c>
      <c r="X1452" s="473" t="s">
        <v>290</v>
      </c>
      <c r="Y1452" s="474" t="s">
        <v>74</v>
      </c>
      <c r="Z1452" s="102">
        <v>29644</v>
      </c>
      <c r="AA1452" s="468">
        <f>(Table6[[#This Row],[Paired WTG Generation for loss calculation]]/24)*Table6[[#This Row],[Breakdown Time]]</f>
        <v>41.172222222222075</v>
      </c>
      <c r="AB1452" s="102"/>
      <c r="AC1452" s="35"/>
      <c r="AD1452" s="35"/>
    </row>
    <row r="1453" spans="1:30">
      <c r="A1453" s="102">
        <f t="shared" si="23"/>
        <v>1452</v>
      </c>
      <c r="B1453" s="468">
        <f>YEAR(Table6[[#This Row],[Date]])+IF(MONTH(Table6[[#This Row],[Date]])&gt;=4,1,0)</f>
        <v>2026</v>
      </c>
      <c r="C1453" s="102">
        <f>YEAR(Table6[[#This Row],[Date]])</f>
        <v>2025</v>
      </c>
      <c r="D1453" s="102" t="s">
        <v>1992</v>
      </c>
      <c r="E1453" s="469">
        <f>Table6[[#This Row],[Date]]-DAY(Table6[[#This Row],[Date]])+1</f>
        <v>45839</v>
      </c>
      <c r="F1453" s="470">
        <v>45840</v>
      </c>
      <c r="G1453" s="35" t="s">
        <v>85</v>
      </c>
      <c r="H1453" s="35" t="str">
        <f>IFERROR(_xlfn.XLOOKUP(Table6[[#This Row],[Affected WTG]],'Basic Data'!$A:$A,'Basic Data'!$B:$B),"")</f>
        <v>TQGXIIPL</v>
      </c>
      <c r="I1453" s="35" t="str">
        <f>IFERROR(_xlfn.XLOOKUP(Table6[[#This Row],[Affected WTG]],'Basic Data'!$A:$A,'Basic Data'!$C:$C),"")</f>
        <v>GEDA</v>
      </c>
      <c r="J1453" s="471">
        <f>IFERROR(_xlfn.XLOOKUP(Table6[[#This Row],[Affected WTG]],'Basic Data'!$A:$A,'Basic Data'!$E:$E),"")</f>
        <v>3.846153846153845E-2</v>
      </c>
      <c r="K1453" s="102">
        <v>55</v>
      </c>
      <c r="L1453" s="35" t="str">
        <f>IFERROR(_xlfn.XLOOKUP(Table6[[#This Row],[Error Code]],'Basic Data'!$AA:$AA,'Basic Data'!$AB:$AB),"Incorrect Error Code")</f>
        <v>WTG shut down</v>
      </c>
      <c r="M1453" s="35" t="s">
        <v>295</v>
      </c>
      <c r="N1453" s="475"/>
      <c r="O1453" s="476">
        <v>0</v>
      </c>
      <c r="P1453" s="476">
        <v>0</v>
      </c>
      <c r="Q1453" s="477">
        <v>0.57638888888888884</v>
      </c>
      <c r="R1453" s="548">
        <f>IF(Table6[[#This Row],[Work Start TimeStamp]]="","",(Table6[[#This Row],[Work Start TimeStamp]]-Table6[[#This Row],[Fault Start TimeStamp]])*24)</f>
        <v>0</v>
      </c>
      <c r="S1453" s="548">
        <f>(Table6[[#This Row],[Fault Clearance time]]-Table6[[#This Row],[Work Start TimeStamp]])*24</f>
        <v>13.833333333333332</v>
      </c>
      <c r="T1453" s="548">
        <f>(Table6[[#This Row],[Fault Clearance time]]-Table6[[#This Row],[Fault Start TimeStamp]])*24</f>
        <v>13.833333333333332</v>
      </c>
      <c r="U1453" s="35" t="s">
        <v>2098</v>
      </c>
      <c r="V1453" s="102" t="s">
        <v>289</v>
      </c>
      <c r="W1453" s="549">
        <f>IFERROR(Table6[[#This Row],[Breakdown Time]]*Table6[[#This Row],[Plant Equivalent Weightage]],"")</f>
        <v>0.53205128205128183</v>
      </c>
      <c r="X1453" s="473" t="s">
        <v>523</v>
      </c>
      <c r="Y1453" s="474" t="s">
        <v>87</v>
      </c>
      <c r="Z1453" s="102">
        <v>32433</v>
      </c>
      <c r="AA1453" s="468">
        <f>(Table6[[#This Row],[Paired WTG Generation for loss calculation]]/24)*Table6[[#This Row],[Breakdown Time]]</f>
        <v>18694.020833333332</v>
      </c>
      <c r="AB1453" s="102"/>
      <c r="AC1453" s="35"/>
      <c r="AD1453" s="35"/>
    </row>
    <row r="1454" spans="1:30">
      <c r="A1454" s="102">
        <f t="shared" si="23"/>
        <v>1453</v>
      </c>
      <c r="B1454" s="468">
        <f>YEAR(Table6[[#This Row],[Date]])+IF(MONTH(Table6[[#This Row],[Date]])&gt;=4,1,0)</f>
        <v>2026</v>
      </c>
      <c r="C1454" s="102">
        <f>YEAR(Table6[[#This Row],[Date]])</f>
        <v>2025</v>
      </c>
      <c r="D1454" s="102" t="s">
        <v>1992</v>
      </c>
      <c r="E1454" s="469">
        <f>Table6[[#This Row],[Date]]-DAY(Table6[[#This Row],[Date]])+1</f>
        <v>45839</v>
      </c>
      <c r="F1454" s="470">
        <v>45840</v>
      </c>
      <c r="G1454" s="35" t="s">
        <v>85</v>
      </c>
      <c r="H1454" s="35" t="str">
        <f>IFERROR(_xlfn.XLOOKUP(Table6[[#This Row],[Affected WTG]],'Basic Data'!$A:$A,'Basic Data'!$B:$B),"")</f>
        <v>TQGXIIPL</v>
      </c>
      <c r="I1454" s="35" t="str">
        <f>IFERROR(_xlfn.XLOOKUP(Table6[[#This Row],[Affected WTG]],'Basic Data'!$A:$A,'Basic Data'!$C:$C),"")</f>
        <v>GEDA</v>
      </c>
      <c r="J1454" s="471">
        <f>IFERROR(_xlfn.XLOOKUP(Table6[[#This Row],[Affected WTG]],'Basic Data'!$A:$A,'Basic Data'!$E:$E),"")</f>
        <v>3.846153846153845E-2</v>
      </c>
      <c r="K1454" s="102">
        <v>55</v>
      </c>
      <c r="L1454" s="35" t="str">
        <f>IFERROR(_xlfn.XLOOKUP(Table6[[#This Row],[Error Code]],'Basic Data'!$AA:$AA,'Basic Data'!$AB:$AB),"Incorrect Error Code")</f>
        <v>WTG shut down</v>
      </c>
      <c r="M1454" s="35" t="s">
        <v>295</v>
      </c>
      <c r="N1454" s="475"/>
      <c r="O1454" s="476">
        <v>0.57638888888888884</v>
      </c>
      <c r="P1454" s="476">
        <v>0.57638888888888884</v>
      </c>
      <c r="Q1454" s="477">
        <v>0.99998842592592596</v>
      </c>
      <c r="R1454" s="472">
        <f>IF(Table6[[#This Row],[Work Start TimeStamp]]="","",(Table6[[#This Row],[Work Start TimeStamp]]-Table6[[#This Row],[Fault Start TimeStamp]])*24)</f>
        <v>0</v>
      </c>
      <c r="S1454" s="472">
        <f>(Table6[[#This Row],[Fault Clearance time]]-Table6[[#This Row],[Work Start TimeStamp]])*24</f>
        <v>10.166388888888891</v>
      </c>
      <c r="T1454" s="472">
        <f>(Table6[[#This Row],[Fault Clearance time]]-Table6[[#This Row],[Fault Start TimeStamp]])*24</f>
        <v>10.166388888888891</v>
      </c>
      <c r="U1454" s="35" t="s">
        <v>2098</v>
      </c>
      <c r="V1454" s="102" t="s">
        <v>289</v>
      </c>
      <c r="W1454" s="549">
        <f>IFERROR(Table6[[#This Row],[Breakdown Time]]*Table6[[#This Row],[Plant Equivalent Weightage]],"")</f>
        <v>0.39101495726495722</v>
      </c>
      <c r="X1454" s="473" t="s">
        <v>290</v>
      </c>
      <c r="Y1454" s="474" t="s">
        <v>87</v>
      </c>
      <c r="Z1454" s="102">
        <v>32433</v>
      </c>
      <c r="AA1454" s="468">
        <f>(Table6[[#This Row],[Paired WTG Generation for loss calculation]]/24)*Table6[[#This Row],[Breakdown Time]]</f>
        <v>13738.603784722225</v>
      </c>
      <c r="AB1454" s="102"/>
      <c r="AC1454" s="35"/>
      <c r="AD1454" s="35"/>
    </row>
    <row r="1455" spans="1:30">
      <c r="A1455" s="102">
        <f t="shared" si="23"/>
        <v>1454</v>
      </c>
      <c r="B1455" s="468">
        <f>YEAR(Table6[[#This Row],[Date]])+IF(MONTH(Table6[[#This Row],[Date]])&gt;=4,1,0)</f>
        <v>2026</v>
      </c>
      <c r="C1455" s="102">
        <f>YEAR(Table6[[#This Row],[Date]])</f>
        <v>2025</v>
      </c>
      <c r="D1455" s="102" t="s">
        <v>1992</v>
      </c>
      <c r="E1455" s="469">
        <f>Table6[[#This Row],[Date]]-DAY(Table6[[#This Row],[Date]])+1</f>
        <v>45839</v>
      </c>
      <c r="F1455" s="470">
        <v>45841</v>
      </c>
      <c r="G1455" s="35" t="s">
        <v>75</v>
      </c>
      <c r="H1455" s="35" t="str">
        <f>IFERROR(_xlfn.XLOOKUP(Table6[[#This Row],[Affected WTG]],'Basic Data'!$A:$A,'Basic Data'!$B:$B),"")</f>
        <v>TQGXIIPL</v>
      </c>
      <c r="I1455" s="35" t="str">
        <f>IFERROR(_xlfn.XLOOKUP(Table6[[#This Row],[Affected WTG]],'Basic Data'!$A:$A,'Basic Data'!$C:$C),"")</f>
        <v>GEDA</v>
      </c>
      <c r="J1455" s="471">
        <f>IFERROR(_xlfn.XLOOKUP(Table6[[#This Row],[Affected WTG]],'Basic Data'!$A:$A,'Basic Data'!$E:$E),"")</f>
        <v>3.846153846153845E-2</v>
      </c>
      <c r="K1455" s="102">
        <v>3211</v>
      </c>
      <c r="L1455" s="35" t="str">
        <f>IFERROR(_xlfn.XLOOKUP(Table6[[#This Row],[Error Code]],'Basic Data'!$AA:$AA,'Basic Data'!$AB:$AB),"Incorrect Error Code")</f>
        <v>Conv. load shedding (CAN)</v>
      </c>
      <c r="M1455" s="35" t="s">
        <v>291</v>
      </c>
      <c r="N1455" s="475"/>
      <c r="O1455" s="476">
        <v>0.75486111111111109</v>
      </c>
      <c r="P1455" s="476">
        <v>0.75486111111111109</v>
      </c>
      <c r="Q1455" s="477">
        <v>0.75972222222222219</v>
      </c>
      <c r="R1455" s="472">
        <f>IF(Table6[[#This Row],[Work Start TimeStamp]]="","",(Table6[[#This Row],[Work Start TimeStamp]]-Table6[[#This Row],[Fault Start TimeStamp]])*24)</f>
        <v>0</v>
      </c>
      <c r="S1455" s="472">
        <f>(Table6[[#This Row],[Fault Clearance time]]-Table6[[#This Row],[Work Start TimeStamp]])*24</f>
        <v>0.11666666666666625</v>
      </c>
      <c r="T1455" s="472">
        <f>(Table6[[#This Row],[Fault Clearance time]]-Table6[[#This Row],[Fault Start TimeStamp]])*24</f>
        <v>0.11666666666666625</v>
      </c>
      <c r="U1455" s="35" t="s">
        <v>2031</v>
      </c>
      <c r="V1455" s="102" t="s">
        <v>293</v>
      </c>
      <c r="W1455" s="549">
        <f>IFERROR(Table6[[#This Row],[Breakdown Time]]*Table6[[#This Row],[Plant Equivalent Weightage]],"")</f>
        <v>4.4871794871794695E-3</v>
      </c>
      <c r="X1455" s="473" t="s">
        <v>290</v>
      </c>
      <c r="Y1455" s="474" t="s">
        <v>78</v>
      </c>
      <c r="Z1455" s="102">
        <v>31756</v>
      </c>
      <c r="AA1455" s="468">
        <f>(Table6[[#This Row],[Paired WTG Generation for loss calculation]]/24)*Table6[[#This Row],[Breakdown Time]]</f>
        <v>154.3694444444439</v>
      </c>
      <c r="AB1455" s="102"/>
      <c r="AC1455" s="35"/>
      <c r="AD1455" s="35"/>
    </row>
    <row r="1456" spans="1:30">
      <c r="A1456" s="102">
        <f t="shared" si="23"/>
        <v>1455</v>
      </c>
      <c r="B1456" s="468">
        <f>YEAR(Table6[[#This Row],[Date]])+IF(MONTH(Table6[[#This Row],[Date]])&gt;=4,1,0)</f>
        <v>2026</v>
      </c>
      <c r="C1456" s="102">
        <f>YEAR(Table6[[#This Row],[Date]])</f>
        <v>2025</v>
      </c>
      <c r="D1456" s="102" t="s">
        <v>1992</v>
      </c>
      <c r="E1456" s="469">
        <f>Table6[[#This Row],[Date]]-DAY(Table6[[#This Row],[Date]])+1</f>
        <v>45839</v>
      </c>
      <c r="F1456" s="470">
        <v>45841</v>
      </c>
      <c r="G1456" s="35" t="s">
        <v>78</v>
      </c>
      <c r="H1456" s="35" t="str">
        <f>IFERROR(_xlfn.XLOOKUP(Table6[[#This Row],[Affected WTG]],'Basic Data'!$A:$A,'Basic Data'!$B:$B),"")</f>
        <v>TQGXIIPL</v>
      </c>
      <c r="I1456" s="35" t="str">
        <f>IFERROR(_xlfn.XLOOKUP(Table6[[#This Row],[Affected WTG]],'Basic Data'!$A:$A,'Basic Data'!$C:$C),"")</f>
        <v>GEDA</v>
      </c>
      <c r="J1456" s="471">
        <f>IFERROR(_xlfn.XLOOKUP(Table6[[#This Row],[Affected WTG]],'Basic Data'!$A:$A,'Basic Data'!$E:$E),"")</f>
        <v>3.846153846153845E-2</v>
      </c>
      <c r="K1456" s="102">
        <v>3211</v>
      </c>
      <c r="L1456" s="35" t="str">
        <f>IFERROR(_xlfn.XLOOKUP(Table6[[#This Row],[Error Code]],'Basic Data'!$AA:$AA,'Basic Data'!$AB:$AB),"Incorrect Error Code")</f>
        <v>Conv. load shedding (CAN)</v>
      </c>
      <c r="M1456" s="35" t="s">
        <v>292</v>
      </c>
      <c r="N1456" s="475"/>
      <c r="O1456" s="476">
        <v>0.73958333333333337</v>
      </c>
      <c r="P1456" s="476">
        <v>0.73958333333333337</v>
      </c>
      <c r="Q1456" s="477">
        <v>0.74097222222222225</v>
      </c>
      <c r="R1456" s="472">
        <f>IF(Table6[[#This Row],[Work Start TimeStamp]]="","",(Table6[[#This Row],[Work Start TimeStamp]]-Table6[[#This Row],[Fault Start TimeStamp]])*24)</f>
        <v>0</v>
      </c>
      <c r="S1456" s="472">
        <f>(Table6[[#This Row],[Fault Clearance time]]-Table6[[#This Row],[Work Start TimeStamp]])*24</f>
        <v>3.3333333333333215E-2</v>
      </c>
      <c r="T1456" s="472">
        <f>(Table6[[#This Row],[Fault Clearance time]]-Table6[[#This Row],[Fault Start TimeStamp]])*24</f>
        <v>3.3333333333333215E-2</v>
      </c>
      <c r="U1456" s="35" t="s">
        <v>336</v>
      </c>
      <c r="V1456" s="102" t="s">
        <v>293</v>
      </c>
      <c r="W1456" s="549">
        <f>IFERROR(Table6[[#This Row],[Breakdown Time]]*Table6[[#This Row],[Plant Equivalent Weightage]],"")</f>
        <v>1.2820512820512771E-3</v>
      </c>
      <c r="X1456" s="473" t="s">
        <v>290</v>
      </c>
      <c r="Y1456" s="474" t="s">
        <v>75</v>
      </c>
      <c r="Z1456" s="102">
        <v>31434</v>
      </c>
      <c r="AA1456" s="468">
        <f>(Table6[[#This Row],[Paired WTG Generation for loss calculation]]/24)*Table6[[#This Row],[Breakdown Time]]</f>
        <v>43.658333333333175</v>
      </c>
      <c r="AB1456" s="102"/>
      <c r="AC1456" s="35"/>
      <c r="AD1456" s="35"/>
    </row>
    <row r="1457" spans="1:30">
      <c r="A1457" s="102">
        <f t="shared" si="23"/>
        <v>1456</v>
      </c>
      <c r="B1457" s="468">
        <f>YEAR(Table6[[#This Row],[Date]])+IF(MONTH(Table6[[#This Row],[Date]])&gt;=4,1,0)</f>
        <v>2026</v>
      </c>
      <c r="C1457" s="102">
        <f>YEAR(Table6[[#This Row],[Date]])</f>
        <v>2025</v>
      </c>
      <c r="D1457" s="102" t="s">
        <v>1992</v>
      </c>
      <c r="E1457" s="469">
        <f>Table6[[#This Row],[Date]]-DAY(Table6[[#This Row],[Date]])+1</f>
        <v>45839</v>
      </c>
      <c r="F1457" s="470">
        <v>45841</v>
      </c>
      <c r="G1457" s="35" t="s">
        <v>85</v>
      </c>
      <c r="H1457" s="35" t="str">
        <f>IFERROR(_xlfn.XLOOKUP(Table6[[#This Row],[Affected WTG]],'Basic Data'!$A:$A,'Basic Data'!$B:$B),"")</f>
        <v>TQGXIIPL</v>
      </c>
      <c r="I1457" s="35" t="str">
        <f>IFERROR(_xlfn.XLOOKUP(Table6[[#This Row],[Affected WTG]],'Basic Data'!$A:$A,'Basic Data'!$C:$C),"")</f>
        <v>GEDA</v>
      </c>
      <c r="J1457" s="471">
        <f>IFERROR(_xlfn.XLOOKUP(Table6[[#This Row],[Affected WTG]],'Basic Data'!$A:$A,'Basic Data'!$E:$E),"")</f>
        <v>3.846153846153845E-2</v>
      </c>
      <c r="K1457" s="102">
        <v>55</v>
      </c>
      <c r="L1457" s="35" t="str">
        <f>IFERROR(_xlfn.XLOOKUP(Table6[[#This Row],[Error Code]],'Basic Data'!$AA:$AA,'Basic Data'!$AB:$AB),"Incorrect Error Code")</f>
        <v>WTG shut down</v>
      </c>
      <c r="M1457" s="35" t="s">
        <v>295</v>
      </c>
      <c r="N1457" s="475"/>
      <c r="O1457" s="476">
        <v>0</v>
      </c>
      <c r="P1457" s="476">
        <v>0</v>
      </c>
      <c r="Q1457" s="477">
        <v>0.54166666666666663</v>
      </c>
      <c r="R1457" s="472">
        <f>IF(Table6[[#This Row],[Work Start TimeStamp]]="","",(Table6[[#This Row],[Work Start TimeStamp]]-Table6[[#This Row],[Fault Start TimeStamp]])*24)</f>
        <v>0</v>
      </c>
      <c r="S1457" s="472">
        <f>(Table6[[#This Row],[Fault Clearance time]]-Table6[[#This Row],[Work Start TimeStamp]])*24</f>
        <v>13</v>
      </c>
      <c r="T1457" s="472">
        <f>(Table6[[#This Row],[Fault Clearance time]]-Table6[[#This Row],[Fault Start TimeStamp]])*24</f>
        <v>13</v>
      </c>
      <c r="U1457" s="35" t="s">
        <v>2098</v>
      </c>
      <c r="V1457" s="102" t="s">
        <v>289</v>
      </c>
      <c r="W1457" s="549">
        <f>IFERROR(Table6[[#This Row],[Breakdown Time]]*Table6[[#This Row],[Plant Equivalent Weightage]],"")</f>
        <v>0.49999999999999983</v>
      </c>
      <c r="X1457" s="473" t="s">
        <v>523</v>
      </c>
      <c r="Y1457" s="474" t="s">
        <v>87</v>
      </c>
      <c r="Z1457" s="102">
        <v>31450</v>
      </c>
      <c r="AA1457" s="468">
        <f>(Table6[[#This Row],[Paired WTG Generation for loss calculation]]/24)*Table6[[#This Row],[Breakdown Time]]</f>
        <v>17035.416666666668</v>
      </c>
      <c r="AB1457" s="102"/>
      <c r="AC1457" s="35"/>
      <c r="AD1457" s="35"/>
    </row>
    <row r="1458" spans="1:30">
      <c r="A1458" s="102">
        <f t="shared" si="23"/>
        <v>1457</v>
      </c>
      <c r="B1458" s="468">
        <f>YEAR(Table6[[#This Row],[Date]])+IF(MONTH(Table6[[#This Row],[Date]])&gt;=4,1,0)</f>
        <v>2026</v>
      </c>
      <c r="C1458" s="102">
        <f>YEAR(Table6[[#This Row],[Date]])</f>
        <v>2025</v>
      </c>
      <c r="D1458" s="102" t="s">
        <v>1992</v>
      </c>
      <c r="E1458" s="469">
        <f>Table6[[#This Row],[Date]]-DAY(Table6[[#This Row],[Date]])+1</f>
        <v>45839</v>
      </c>
      <c r="F1458" s="470">
        <v>45841</v>
      </c>
      <c r="G1458" s="35" t="s">
        <v>85</v>
      </c>
      <c r="H1458" s="35" t="str">
        <f>IFERROR(_xlfn.XLOOKUP(Table6[[#This Row],[Affected WTG]],'Basic Data'!$A:$A,'Basic Data'!$B:$B),"")</f>
        <v>TQGXIIPL</v>
      </c>
      <c r="I1458" s="35" t="str">
        <f>IFERROR(_xlfn.XLOOKUP(Table6[[#This Row],[Affected WTG]],'Basic Data'!$A:$A,'Basic Data'!$C:$C),"")</f>
        <v>GEDA</v>
      </c>
      <c r="J1458" s="471">
        <f>IFERROR(_xlfn.XLOOKUP(Table6[[#This Row],[Affected WTG]],'Basic Data'!$A:$A,'Basic Data'!$E:$E),"")</f>
        <v>3.846153846153845E-2</v>
      </c>
      <c r="K1458" s="102">
        <v>55</v>
      </c>
      <c r="L1458" s="35" t="str">
        <f>IFERROR(_xlfn.XLOOKUP(Table6[[#This Row],[Error Code]],'Basic Data'!$AA:$AA,'Basic Data'!$AB:$AB),"Incorrect Error Code")</f>
        <v>WTG shut down</v>
      </c>
      <c r="M1458" s="35" t="s">
        <v>295</v>
      </c>
      <c r="N1458" s="475"/>
      <c r="O1458" s="476">
        <v>0.54166666666666663</v>
      </c>
      <c r="P1458" s="476">
        <v>0.54166666666666663</v>
      </c>
      <c r="Q1458" s="477">
        <v>0.99998842592592596</v>
      </c>
      <c r="R1458" s="472">
        <f>IF(Table6[[#This Row],[Work Start TimeStamp]]="","",(Table6[[#This Row],[Work Start TimeStamp]]-Table6[[#This Row],[Fault Start TimeStamp]])*24)</f>
        <v>0</v>
      </c>
      <c r="S1458" s="472">
        <f>(Table6[[#This Row],[Fault Clearance time]]-Table6[[#This Row],[Work Start TimeStamp]])*24</f>
        <v>10.999722222222225</v>
      </c>
      <c r="T1458" s="472">
        <f>(Table6[[#This Row],[Fault Clearance time]]-Table6[[#This Row],[Fault Start TimeStamp]])*24</f>
        <v>10.999722222222225</v>
      </c>
      <c r="U1458" s="35" t="s">
        <v>2098</v>
      </c>
      <c r="V1458" s="102" t="s">
        <v>289</v>
      </c>
      <c r="W1458" s="549">
        <f>IFERROR(Table6[[#This Row],[Breakdown Time]]*Table6[[#This Row],[Plant Equivalent Weightage]],"")</f>
        <v>0.42306623931623927</v>
      </c>
      <c r="X1458" s="473" t="s">
        <v>294</v>
      </c>
      <c r="Y1458" s="474" t="s">
        <v>87</v>
      </c>
      <c r="Z1458" s="102">
        <v>31450</v>
      </c>
      <c r="AA1458" s="468">
        <f>(Table6[[#This Row],[Paired WTG Generation for loss calculation]]/24)*Table6[[#This Row],[Breakdown Time]]</f>
        <v>14414.219328703708</v>
      </c>
      <c r="AB1458" s="102"/>
      <c r="AC1458" s="35"/>
      <c r="AD1458" s="35"/>
    </row>
    <row r="1459" spans="1:30">
      <c r="A1459" s="102">
        <f t="shared" si="23"/>
        <v>1458</v>
      </c>
      <c r="B1459" s="468">
        <f>YEAR(Table6[[#This Row],[Date]])+IF(MONTH(Table6[[#This Row],[Date]])&gt;=4,1,0)</f>
        <v>2026</v>
      </c>
      <c r="C1459" s="102">
        <f>YEAR(Table6[[#This Row],[Date]])</f>
        <v>2025</v>
      </c>
      <c r="D1459" s="102" t="s">
        <v>1992</v>
      </c>
      <c r="E1459" s="469">
        <f>Table6[[#This Row],[Date]]-DAY(Table6[[#This Row],[Date]])+1</f>
        <v>45839</v>
      </c>
      <c r="F1459" s="470">
        <v>45842</v>
      </c>
      <c r="G1459" s="35" t="s">
        <v>85</v>
      </c>
      <c r="H1459" s="35" t="str">
        <f>IFERROR(_xlfn.XLOOKUP(Table6[[#This Row],[Affected WTG]],'Basic Data'!$A:$A,'Basic Data'!$B:$B),"")</f>
        <v>TQGXIIPL</v>
      </c>
      <c r="I1459" s="35" t="str">
        <f>IFERROR(_xlfn.XLOOKUP(Table6[[#This Row],[Affected WTG]],'Basic Data'!$A:$A,'Basic Data'!$C:$C),"")</f>
        <v>GEDA</v>
      </c>
      <c r="J1459" s="471">
        <f>IFERROR(_xlfn.XLOOKUP(Table6[[#This Row],[Affected WTG]],'Basic Data'!$A:$A,'Basic Data'!$E:$E),"")</f>
        <v>3.846153846153845E-2</v>
      </c>
      <c r="K1459" s="102">
        <v>55</v>
      </c>
      <c r="L1459" s="35" t="str">
        <f>IFERROR(_xlfn.XLOOKUP(Table6[[#This Row],[Error Code]],'Basic Data'!$AA:$AA,'Basic Data'!$AB:$AB),"Incorrect Error Code")</f>
        <v>WTG shut down</v>
      </c>
      <c r="M1459" s="35" t="s">
        <v>295</v>
      </c>
      <c r="N1459" s="475"/>
      <c r="O1459" s="476">
        <v>0</v>
      </c>
      <c r="P1459" s="476">
        <v>0</v>
      </c>
      <c r="Q1459" s="477">
        <v>0.15972222222222221</v>
      </c>
      <c r="R1459" s="472">
        <f>IF(Table6[[#This Row],[Work Start TimeStamp]]="","",(Table6[[#This Row],[Work Start TimeStamp]]-Table6[[#This Row],[Fault Start TimeStamp]])*24)</f>
        <v>0</v>
      </c>
      <c r="S1459" s="472">
        <f>(Table6[[#This Row],[Fault Clearance time]]-Table6[[#This Row],[Work Start TimeStamp]])*24</f>
        <v>3.833333333333333</v>
      </c>
      <c r="T1459" s="472">
        <f>(Table6[[#This Row],[Fault Clearance time]]-Table6[[#This Row],[Fault Start TimeStamp]])*24</f>
        <v>3.833333333333333</v>
      </c>
      <c r="U1459" s="35" t="s">
        <v>2099</v>
      </c>
      <c r="V1459" s="102" t="s">
        <v>289</v>
      </c>
      <c r="W1459" s="549">
        <f>IFERROR(Table6[[#This Row],[Breakdown Time]]*Table6[[#This Row],[Plant Equivalent Weightage]],"")</f>
        <v>0.14743589743589738</v>
      </c>
      <c r="X1459" s="473" t="s">
        <v>523</v>
      </c>
      <c r="Y1459" s="474" t="s">
        <v>87</v>
      </c>
      <c r="Z1459" s="102">
        <v>16553</v>
      </c>
      <c r="AA1459" s="468">
        <f>(Table6[[#This Row],[Paired WTG Generation for loss calculation]]/24)*Table6[[#This Row],[Breakdown Time]]</f>
        <v>2643.8819444444443</v>
      </c>
      <c r="AB1459" s="102"/>
      <c r="AC1459" s="35"/>
      <c r="AD1459" s="35"/>
    </row>
    <row r="1460" spans="1:30">
      <c r="A1460" s="102">
        <f t="shared" si="23"/>
        <v>1459</v>
      </c>
      <c r="B1460" s="468">
        <f>YEAR(Table6[[#This Row],[Date]])+IF(MONTH(Table6[[#This Row],[Date]])&gt;=4,1,0)</f>
        <v>2026</v>
      </c>
      <c r="C1460" s="102">
        <f>YEAR(Table6[[#This Row],[Date]])</f>
        <v>2025</v>
      </c>
      <c r="D1460" s="102" t="s">
        <v>1992</v>
      </c>
      <c r="E1460" s="469">
        <f>Table6[[#This Row],[Date]]-DAY(Table6[[#This Row],[Date]])+1</f>
        <v>45839</v>
      </c>
      <c r="F1460" s="470">
        <v>45842</v>
      </c>
      <c r="G1460" s="35" t="s">
        <v>85</v>
      </c>
      <c r="H1460" s="35" t="str">
        <f>IFERROR(_xlfn.XLOOKUP(Table6[[#This Row],[Affected WTG]],'Basic Data'!$A:$A,'Basic Data'!$B:$B),"")</f>
        <v>TQGXIIPL</v>
      </c>
      <c r="I1460" s="35" t="str">
        <f>IFERROR(_xlfn.XLOOKUP(Table6[[#This Row],[Affected WTG]],'Basic Data'!$A:$A,'Basic Data'!$C:$C),"")</f>
        <v>GEDA</v>
      </c>
      <c r="J1460" s="471">
        <f>IFERROR(_xlfn.XLOOKUP(Table6[[#This Row],[Affected WTG]],'Basic Data'!$A:$A,'Basic Data'!$E:$E),"")</f>
        <v>3.846153846153845E-2</v>
      </c>
      <c r="K1460" s="102">
        <v>55</v>
      </c>
      <c r="L1460" s="35" t="str">
        <f>IFERROR(_xlfn.XLOOKUP(Table6[[#This Row],[Error Code]],'Basic Data'!$AA:$AA,'Basic Data'!$AB:$AB),"Incorrect Error Code")</f>
        <v>WTG shut down</v>
      </c>
      <c r="M1460" s="35" t="s">
        <v>295</v>
      </c>
      <c r="N1460" s="475"/>
      <c r="O1460" s="476">
        <v>0.15972222222222221</v>
      </c>
      <c r="P1460" s="476">
        <v>0.15972222222222221</v>
      </c>
      <c r="Q1460" s="477">
        <v>0.99998842592592596</v>
      </c>
      <c r="R1460" s="472">
        <f>IF(Table6[[#This Row],[Work Start TimeStamp]]="","",(Table6[[#This Row],[Work Start TimeStamp]]-Table6[[#This Row],[Fault Start TimeStamp]])*24)</f>
        <v>0</v>
      </c>
      <c r="S1460" s="472">
        <f>(Table6[[#This Row],[Fault Clearance time]]-Table6[[#This Row],[Work Start TimeStamp]])*24</f>
        <v>20.166388888888889</v>
      </c>
      <c r="T1460" s="472">
        <f>(Table6[[#This Row],[Fault Clearance time]]-Table6[[#This Row],[Fault Start TimeStamp]])*24</f>
        <v>20.166388888888889</v>
      </c>
      <c r="U1460" s="35" t="s">
        <v>2099</v>
      </c>
      <c r="V1460" s="102" t="s">
        <v>289</v>
      </c>
      <c r="W1460" s="549">
        <f>IFERROR(Table6[[#This Row],[Breakdown Time]]*Table6[[#This Row],[Plant Equivalent Weightage]],"")</f>
        <v>0.77563034188034163</v>
      </c>
      <c r="X1460" s="473" t="s">
        <v>294</v>
      </c>
      <c r="Y1460" s="474" t="s">
        <v>87</v>
      </c>
      <c r="Z1460" s="102">
        <v>16553</v>
      </c>
      <c r="AA1460" s="468">
        <f>(Table6[[#This Row],[Paired WTG Generation for loss calculation]]/24)*Table6[[#This Row],[Breakdown Time]]</f>
        <v>13908.926469907408</v>
      </c>
      <c r="AB1460" s="102"/>
      <c r="AC1460" s="35"/>
      <c r="AD1460" s="35"/>
    </row>
    <row r="1461" spans="1:30">
      <c r="A1461" s="102">
        <f t="shared" si="23"/>
        <v>1460</v>
      </c>
      <c r="B1461" s="468">
        <f>YEAR(Table6[[#This Row],[Date]])+IF(MONTH(Table6[[#This Row],[Date]])&gt;=4,1,0)</f>
        <v>2026</v>
      </c>
      <c r="C1461" s="102">
        <f>YEAR(Table6[[#This Row],[Date]])</f>
        <v>2025</v>
      </c>
      <c r="D1461" s="102" t="s">
        <v>1992</v>
      </c>
      <c r="E1461" s="469">
        <f>Table6[[#This Row],[Date]]-DAY(Table6[[#This Row],[Date]])+1</f>
        <v>45839</v>
      </c>
      <c r="F1461" s="470">
        <v>45842</v>
      </c>
      <c r="G1461" s="35" t="s">
        <v>93</v>
      </c>
      <c r="H1461" s="35" t="str">
        <f>IFERROR(_xlfn.XLOOKUP(Table6[[#This Row],[Affected WTG]],'Basic Data'!$A:$A,'Basic Data'!$B:$B),"")</f>
        <v>TQGXIIPL</v>
      </c>
      <c r="I1461" s="35" t="str">
        <f>IFERROR(_xlfn.XLOOKUP(Table6[[#This Row],[Affected WTG]],'Basic Data'!$A:$A,'Basic Data'!$C:$C),"")</f>
        <v>GEDA</v>
      </c>
      <c r="J1461" s="471">
        <f>IFERROR(_xlfn.XLOOKUP(Table6[[#This Row],[Affected WTG]],'Basic Data'!$A:$A,'Basic Data'!$E:$E),"")</f>
        <v>3.846153846153845E-2</v>
      </c>
      <c r="K1461" s="102">
        <v>3000</v>
      </c>
      <c r="L1461" s="35" t="str">
        <f>IFERROR(_xlfn.XLOOKUP(Table6[[#This Row],[Error Code]],'Basic Data'!$AA:$AA,'Basic Data'!$AB:$AB),"Incorrect Error Code")</f>
        <v>Frequency converter not ready</v>
      </c>
      <c r="M1461" s="35" t="s">
        <v>295</v>
      </c>
      <c r="N1461" s="475"/>
      <c r="O1461" s="476">
        <v>0.44444444444444442</v>
      </c>
      <c r="P1461" s="476">
        <v>0.46875</v>
      </c>
      <c r="Q1461" s="477">
        <v>1</v>
      </c>
      <c r="R1461" s="472">
        <f>IF(Table6[[#This Row],[Work Start TimeStamp]]="","",(Table6[[#This Row],[Work Start TimeStamp]]-Table6[[#This Row],[Fault Start TimeStamp]])*24)</f>
        <v>0.58333333333333393</v>
      </c>
      <c r="S1461" s="472">
        <f>(Table6[[#This Row],[Fault Clearance time]]-Table6[[#This Row],[Work Start TimeStamp]])*24</f>
        <v>12.75</v>
      </c>
      <c r="T1461" s="472">
        <f>(Table6[[#This Row],[Fault Clearance time]]-Table6[[#This Row],[Fault Start TimeStamp]])*24</f>
        <v>13.333333333333334</v>
      </c>
      <c r="U1461" s="35" t="s">
        <v>2035</v>
      </c>
      <c r="V1461" s="102" t="s">
        <v>289</v>
      </c>
      <c r="W1461" s="549">
        <f>IFERROR(Table6[[#This Row],[Breakdown Time]]*Table6[[#This Row],[Plant Equivalent Weightage]],"")</f>
        <v>0.51282051282051266</v>
      </c>
      <c r="X1461" s="473" t="s">
        <v>290</v>
      </c>
      <c r="Y1461" s="474" t="s">
        <v>97</v>
      </c>
      <c r="Z1461" s="102">
        <v>18545</v>
      </c>
      <c r="AA1461" s="468">
        <f>(Table6[[#This Row],[Paired WTG Generation for loss calculation]]/24)*Table6[[#This Row],[Breakdown Time]]</f>
        <v>10302.777777777779</v>
      </c>
      <c r="AB1461" s="102"/>
      <c r="AC1461" s="35"/>
      <c r="AD1461" s="35"/>
    </row>
    <row r="1462" spans="1:30">
      <c r="A1462" s="102">
        <f t="shared" si="23"/>
        <v>1461</v>
      </c>
      <c r="B1462" s="468">
        <f>YEAR(Table6[[#This Row],[Date]])+IF(MONTH(Table6[[#This Row],[Date]])&gt;=4,1,0)</f>
        <v>2026</v>
      </c>
      <c r="C1462" s="102">
        <f>YEAR(Table6[[#This Row],[Date]])</f>
        <v>2025</v>
      </c>
      <c r="D1462" s="102" t="s">
        <v>1992</v>
      </c>
      <c r="E1462" s="469">
        <f>Table6[[#This Row],[Date]]-DAY(Table6[[#This Row],[Date]])+1</f>
        <v>45839</v>
      </c>
      <c r="F1462" s="470">
        <v>45843</v>
      </c>
      <c r="G1462" s="35" t="s">
        <v>76</v>
      </c>
      <c r="H1462" s="35" t="str">
        <f>IFERROR(_xlfn.XLOOKUP(Table6[[#This Row],[Affected WTG]],'Basic Data'!$A:$A,'Basic Data'!$B:$B),"")</f>
        <v>TQGXIIPL</v>
      </c>
      <c r="I1462" s="35" t="str">
        <f>IFERROR(_xlfn.XLOOKUP(Table6[[#This Row],[Affected WTG]],'Basic Data'!$A:$A,'Basic Data'!$C:$C),"")</f>
        <v>GEDA</v>
      </c>
      <c r="J1462" s="471">
        <f>IFERROR(_xlfn.XLOOKUP(Table6[[#This Row],[Affected WTG]],'Basic Data'!$A:$A,'Basic Data'!$E:$E),"")</f>
        <v>3.846153846153845E-2</v>
      </c>
      <c r="K1462" s="102">
        <v>5700</v>
      </c>
      <c r="L1462" s="35" t="str">
        <f>IFERROR(_xlfn.XLOOKUP(Table6[[#This Row],[Error Code]],'Basic Data'!$AA:$AA,'Basic Data'!$AB:$AB),"Incorrect Error Code")</f>
        <v>Max. operation time hydraulic</v>
      </c>
      <c r="M1462" s="35" t="s">
        <v>291</v>
      </c>
      <c r="N1462" s="475"/>
      <c r="O1462" s="476">
        <v>0.72777777777777775</v>
      </c>
      <c r="P1462" s="476">
        <v>0.72777777777777775</v>
      </c>
      <c r="Q1462" s="477">
        <v>0.75208333333333333</v>
      </c>
      <c r="R1462" s="472">
        <f>IF(Table6[[#This Row],[Work Start TimeStamp]]="","",(Table6[[#This Row],[Work Start TimeStamp]]-Table6[[#This Row],[Fault Start TimeStamp]])*24)</f>
        <v>0</v>
      </c>
      <c r="S1462" s="472">
        <f>(Table6[[#This Row],[Fault Clearance time]]-Table6[[#This Row],[Work Start TimeStamp]])*24</f>
        <v>0.58333333333333393</v>
      </c>
      <c r="T1462" s="472">
        <f>(Table6[[#This Row],[Fault Clearance time]]-Table6[[#This Row],[Fault Start TimeStamp]])*24</f>
        <v>0.58333333333333393</v>
      </c>
      <c r="U1462" s="35" t="s">
        <v>2036</v>
      </c>
      <c r="V1462" s="102" t="s">
        <v>289</v>
      </c>
      <c r="W1462" s="549">
        <f>IFERROR(Table6[[#This Row],[Breakdown Time]]*Table6[[#This Row],[Plant Equivalent Weightage]],"")</f>
        <v>2.2435897435897453E-2</v>
      </c>
      <c r="X1462" s="473" t="s">
        <v>290</v>
      </c>
      <c r="Y1462" s="474" t="s">
        <v>82</v>
      </c>
      <c r="Z1462" s="102">
        <v>22640</v>
      </c>
      <c r="AA1462" s="468">
        <f>(Table6[[#This Row],[Paired WTG Generation for loss calculation]]/24)*Table6[[#This Row],[Breakdown Time]]</f>
        <v>550.2777777777784</v>
      </c>
      <c r="AB1462" s="102"/>
      <c r="AC1462" s="35"/>
      <c r="AD1462" s="35"/>
    </row>
    <row r="1463" spans="1:30">
      <c r="A1463" s="102">
        <f t="shared" si="23"/>
        <v>1462</v>
      </c>
      <c r="B1463" s="468">
        <f>YEAR(Table6[[#This Row],[Date]])+IF(MONTH(Table6[[#This Row],[Date]])&gt;=4,1,0)</f>
        <v>2026</v>
      </c>
      <c r="C1463" s="102">
        <f>YEAR(Table6[[#This Row],[Date]])</f>
        <v>2025</v>
      </c>
      <c r="D1463" s="102" t="s">
        <v>1992</v>
      </c>
      <c r="E1463" s="469">
        <f>Table6[[#This Row],[Date]]-DAY(Table6[[#This Row],[Date]])+1</f>
        <v>45839</v>
      </c>
      <c r="F1463" s="470">
        <v>45843</v>
      </c>
      <c r="G1463" s="35" t="s">
        <v>76</v>
      </c>
      <c r="H1463" s="35" t="str">
        <f>IFERROR(_xlfn.XLOOKUP(Table6[[#This Row],[Affected WTG]],'Basic Data'!$A:$A,'Basic Data'!$B:$B),"")</f>
        <v>TQGXIIPL</v>
      </c>
      <c r="I1463" s="35" t="str">
        <f>IFERROR(_xlfn.XLOOKUP(Table6[[#This Row],[Affected WTG]],'Basic Data'!$A:$A,'Basic Data'!$C:$C),"")</f>
        <v>GEDA</v>
      </c>
      <c r="J1463" s="471">
        <f>IFERROR(_xlfn.XLOOKUP(Table6[[#This Row],[Affected WTG]],'Basic Data'!$A:$A,'Basic Data'!$E:$E),"")</f>
        <v>3.846153846153845E-2</v>
      </c>
      <c r="K1463" s="102">
        <v>5700</v>
      </c>
      <c r="L1463" s="35" t="str">
        <f>IFERROR(_xlfn.XLOOKUP(Table6[[#This Row],[Error Code]],'Basic Data'!$AA:$AA,'Basic Data'!$AB:$AB),"Incorrect Error Code")</f>
        <v>Max. operation time hydraulic</v>
      </c>
      <c r="M1463" s="35" t="s">
        <v>291</v>
      </c>
      <c r="N1463" s="475"/>
      <c r="O1463" s="476">
        <v>0.77083333333333337</v>
      </c>
      <c r="P1463" s="476">
        <v>0.84375</v>
      </c>
      <c r="Q1463" s="477">
        <v>0.99930555555555556</v>
      </c>
      <c r="R1463" s="472">
        <f>IF(Table6[[#This Row],[Work Start TimeStamp]]="","",(Table6[[#This Row],[Work Start TimeStamp]]-Table6[[#This Row],[Fault Start TimeStamp]])*24)</f>
        <v>1.7499999999999991</v>
      </c>
      <c r="S1463" s="472">
        <f>(Table6[[#This Row],[Fault Clearance time]]-Table6[[#This Row],[Work Start TimeStamp]])*24</f>
        <v>3.7333333333333334</v>
      </c>
      <c r="T1463" s="472">
        <f>(Table6[[#This Row],[Fault Clearance time]]-Table6[[#This Row],[Fault Start TimeStamp]])*24</f>
        <v>5.4833333333333325</v>
      </c>
      <c r="U1463" s="35" t="s">
        <v>2037</v>
      </c>
      <c r="V1463" s="102" t="s">
        <v>293</v>
      </c>
      <c r="W1463" s="549">
        <f>IFERROR(Table6[[#This Row],[Breakdown Time]]*Table6[[#This Row],[Plant Equivalent Weightage]],"")</f>
        <v>0.21089743589743581</v>
      </c>
      <c r="X1463" s="473" t="s">
        <v>290</v>
      </c>
      <c r="Y1463" s="474" t="s">
        <v>82</v>
      </c>
      <c r="Z1463" s="102">
        <v>22640</v>
      </c>
      <c r="AA1463" s="468">
        <f>(Table6[[#This Row],[Paired WTG Generation for loss calculation]]/24)*Table6[[#This Row],[Breakdown Time]]</f>
        <v>5172.6111111111104</v>
      </c>
      <c r="AB1463" s="102"/>
      <c r="AC1463" s="35"/>
      <c r="AD1463" s="35"/>
    </row>
    <row r="1464" spans="1:30">
      <c r="A1464" s="102">
        <f t="shared" si="23"/>
        <v>1463</v>
      </c>
      <c r="B1464" s="468">
        <f>YEAR(Table6[[#This Row],[Date]])+IF(MONTH(Table6[[#This Row],[Date]])&gt;=4,1,0)</f>
        <v>2026</v>
      </c>
      <c r="C1464" s="102">
        <f>YEAR(Table6[[#This Row],[Date]])</f>
        <v>2025</v>
      </c>
      <c r="D1464" s="102" t="s">
        <v>1992</v>
      </c>
      <c r="E1464" s="469">
        <f>Table6[[#This Row],[Date]]-DAY(Table6[[#This Row],[Date]])+1</f>
        <v>45839</v>
      </c>
      <c r="F1464" s="470">
        <v>45843</v>
      </c>
      <c r="G1464" s="35" t="s">
        <v>77</v>
      </c>
      <c r="H1464" s="35" t="str">
        <f>IFERROR(_xlfn.XLOOKUP(Table6[[#This Row],[Affected WTG]],'Basic Data'!$A:$A,'Basic Data'!$B:$B),"")</f>
        <v>TQGXIIPL</v>
      </c>
      <c r="I1464" s="35" t="str">
        <f>IFERROR(_xlfn.XLOOKUP(Table6[[#This Row],[Affected WTG]],'Basic Data'!$A:$A,'Basic Data'!$C:$C),"")</f>
        <v>GEDA</v>
      </c>
      <c r="J1464" s="471">
        <f>IFERROR(_xlfn.XLOOKUP(Table6[[#This Row],[Affected WTG]],'Basic Data'!$A:$A,'Basic Data'!$E:$E),"")</f>
        <v>3.846153846153845E-2</v>
      </c>
      <c r="K1464" s="102">
        <v>6130</v>
      </c>
      <c r="L1464" s="35" t="str">
        <f>IFERROR(_xlfn.XLOOKUP(Table6[[#This Row],[Error Code]],'Basic Data'!$AA:$AA,'Basic Data'!$AB:$AB),"Incorrect Error Code")</f>
        <v>Yaw speed high</v>
      </c>
      <c r="M1464" s="35" t="s">
        <v>291</v>
      </c>
      <c r="N1464" s="475"/>
      <c r="O1464" s="476">
        <v>0.5083333333333333</v>
      </c>
      <c r="P1464" s="476">
        <v>0.5083333333333333</v>
      </c>
      <c r="Q1464" s="477">
        <v>0.51041666666666663</v>
      </c>
      <c r="R1464" s="472">
        <f>IF(Table6[[#This Row],[Work Start TimeStamp]]="","",(Table6[[#This Row],[Work Start TimeStamp]]-Table6[[#This Row],[Fault Start TimeStamp]])*24)</f>
        <v>0</v>
      </c>
      <c r="S1464" s="472">
        <f>(Table6[[#This Row],[Fault Clearance time]]-Table6[[#This Row],[Work Start TimeStamp]])*24</f>
        <v>4.9999999999999822E-2</v>
      </c>
      <c r="T1464" s="472">
        <f>(Table6[[#This Row],[Fault Clearance time]]-Table6[[#This Row],[Fault Start TimeStamp]])*24</f>
        <v>4.9999999999999822E-2</v>
      </c>
      <c r="U1464" s="35" t="s">
        <v>1924</v>
      </c>
      <c r="V1464" s="102" t="s">
        <v>293</v>
      </c>
      <c r="W1464" s="549">
        <f>IFERROR(Table6[[#This Row],[Breakdown Time]]*Table6[[#This Row],[Plant Equivalent Weightage]],"")</f>
        <v>1.9230769230769156E-3</v>
      </c>
      <c r="X1464" s="473" t="s">
        <v>290</v>
      </c>
      <c r="Y1464" s="474" t="s">
        <v>80</v>
      </c>
      <c r="Z1464" s="102">
        <v>23229</v>
      </c>
      <c r="AA1464" s="468">
        <f>(Table6[[#This Row],[Paired WTG Generation for loss calculation]]/24)*Table6[[#This Row],[Breakdown Time]]</f>
        <v>48.393749999999827</v>
      </c>
      <c r="AB1464" s="102"/>
      <c r="AC1464" s="35"/>
      <c r="AD1464" s="35"/>
    </row>
    <row r="1465" spans="1:30">
      <c r="A1465" s="102">
        <f t="shared" si="23"/>
        <v>1464</v>
      </c>
      <c r="B1465" s="468">
        <f>YEAR(Table6[[#This Row],[Date]])+IF(MONTH(Table6[[#This Row],[Date]])&gt;=4,1,0)</f>
        <v>2026</v>
      </c>
      <c r="C1465" s="102">
        <f>YEAR(Table6[[#This Row],[Date]])</f>
        <v>2025</v>
      </c>
      <c r="D1465" s="102" t="s">
        <v>1992</v>
      </c>
      <c r="E1465" s="469">
        <f>Table6[[#This Row],[Date]]-DAY(Table6[[#This Row],[Date]])+1</f>
        <v>45839</v>
      </c>
      <c r="F1465" s="470">
        <v>45843</v>
      </c>
      <c r="G1465" s="35" t="s">
        <v>85</v>
      </c>
      <c r="H1465" s="35" t="str">
        <f>IFERROR(_xlfn.XLOOKUP(Table6[[#This Row],[Affected WTG]],'Basic Data'!$A:$A,'Basic Data'!$B:$B),"")</f>
        <v>TQGXIIPL</v>
      </c>
      <c r="I1465" s="35" t="str">
        <f>IFERROR(_xlfn.XLOOKUP(Table6[[#This Row],[Affected WTG]],'Basic Data'!$A:$A,'Basic Data'!$C:$C),"")</f>
        <v>GEDA</v>
      </c>
      <c r="J1465" s="471">
        <f>IFERROR(_xlfn.XLOOKUP(Table6[[#This Row],[Affected WTG]],'Basic Data'!$A:$A,'Basic Data'!$E:$E),"")</f>
        <v>3.846153846153845E-2</v>
      </c>
      <c r="K1465" s="102">
        <v>55</v>
      </c>
      <c r="L1465" s="35" t="str">
        <f>IFERROR(_xlfn.XLOOKUP(Table6[[#This Row],[Error Code]],'Basic Data'!$AA:$AA,'Basic Data'!$AB:$AB),"Incorrect Error Code")</f>
        <v>WTG shut down</v>
      </c>
      <c r="M1465" s="35" t="s">
        <v>295</v>
      </c>
      <c r="N1465" s="475"/>
      <c r="O1465" s="476">
        <v>0</v>
      </c>
      <c r="P1465" s="476">
        <v>0</v>
      </c>
      <c r="Q1465" s="477">
        <v>0.2638888888888889</v>
      </c>
      <c r="R1465" s="472">
        <f>IF(Table6[[#This Row],[Work Start TimeStamp]]="","",(Table6[[#This Row],[Work Start TimeStamp]]-Table6[[#This Row],[Fault Start TimeStamp]])*24)</f>
        <v>0</v>
      </c>
      <c r="S1465" s="472">
        <f>(Table6[[#This Row],[Fault Clearance time]]-Table6[[#This Row],[Work Start TimeStamp]])*24</f>
        <v>6.3333333333333339</v>
      </c>
      <c r="T1465" s="472">
        <f>(Table6[[#This Row],[Fault Clearance time]]-Table6[[#This Row],[Fault Start TimeStamp]])*24</f>
        <v>6.3333333333333339</v>
      </c>
      <c r="U1465" s="35" t="s">
        <v>2100</v>
      </c>
      <c r="V1465" s="102" t="s">
        <v>289</v>
      </c>
      <c r="W1465" s="549">
        <f>IFERROR(Table6[[#This Row],[Breakdown Time]]*Table6[[#This Row],[Plant Equivalent Weightage]],"")</f>
        <v>0.24358974358974353</v>
      </c>
      <c r="X1465" s="473" t="s">
        <v>523</v>
      </c>
      <c r="Y1465" s="474" t="s">
        <v>87</v>
      </c>
      <c r="Z1465" s="102">
        <v>23730</v>
      </c>
      <c r="AA1465" s="468">
        <f>(Table6[[#This Row],[Paired WTG Generation for loss calculation]]/24)*Table6[[#This Row],[Breakdown Time]]</f>
        <v>6262.0833333333339</v>
      </c>
      <c r="AB1465" s="102"/>
      <c r="AC1465" s="35"/>
      <c r="AD1465" s="35"/>
    </row>
    <row r="1466" spans="1:30">
      <c r="A1466" s="102">
        <f t="shared" si="23"/>
        <v>1465</v>
      </c>
      <c r="B1466" s="468">
        <f>YEAR(Table6[[#This Row],[Date]])+IF(MONTH(Table6[[#This Row],[Date]])&gt;=4,1,0)</f>
        <v>2026</v>
      </c>
      <c r="C1466" s="102">
        <f>YEAR(Table6[[#This Row],[Date]])</f>
        <v>2025</v>
      </c>
      <c r="D1466" s="102" t="s">
        <v>1992</v>
      </c>
      <c r="E1466" s="469">
        <f>Table6[[#This Row],[Date]]-DAY(Table6[[#This Row],[Date]])+1</f>
        <v>45839</v>
      </c>
      <c r="F1466" s="470">
        <v>45843</v>
      </c>
      <c r="G1466" s="35" t="s">
        <v>85</v>
      </c>
      <c r="H1466" s="35" t="str">
        <f>IFERROR(_xlfn.XLOOKUP(Table6[[#This Row],[Affected WTG]],'Basic Data'!$A:$A,'Basic Data'!$B:$B),"")</f>
        <v>TQGXIIPL</v>
      </c>
      <c r="I1466" s="35" t="str">
        <f>IFERROR(_xlfn.XLOOKUP(Table6[[#This Row],[Affected WTG]],'Basic Data'!$A:$A,'Basic Data'!$C:$C),"")</f>
        <v>GEDA</v>
      </c>
      <c r="J1466" s="471">
        <f>IFERROR(_xlfn.XLOOKUP(Table6[[#This Row],[Affected WTG]],'Basic Data'!$A:$A,'Basic Data'!$E:$E),"")</f>
        <v>3.846153846153845E-2</v>
      </c>
      <c r="K1466" s="102">
        <v>55</v>
      </c>
      <c r="L1466" s="35" t="str">
        <f>IFERROR(_xlfn.XLOOKUP(Table6[[#This Row],[Error Code]],'Basic Data'!$AA:$AA,'Basic Data'!$AB:$AB),"Incorrect Error Code")</f>
        <v>WTG shut down</v>
      </c>
      <c r="M1466" s="35" t="s">
        <v>295</v>
      </c>
      <c r="N1466" s="475"/>
      <c r="O1466" s="476">
        <v>0.2638888888888889</v>
      </c>
      <c r="P1466" s="476">
        <v>0.2638888888888889</v>
      </c>
      <c r="Q1466" s="477">
        <v>0.99998842592592596</v>
      </c>
      <c r="R1466" s="472">
        <f>IF(Table6[[#This Row],[Work Start TimeStamp]]="","",(Table6[[#This Row],[Work Start TimeStamp]]-Table6[[#This Row],[Fault Start TimeStamp]])*24)</f>
        <v>0</v>
      </c>
      <c r="S1466" s="472">
        <f>(Table6[[#This Row],[Fault Clearance time]]-Table6[[#This Row],[Work Start TimeStamp]])*24</f>
        <v>17.666388888888889</v>
      </c>
      <c r="T1466" s="472">
        <f>(Table6[[#This Row],[Fault Clearance time]]-Table6[[#This Row],[Fault Start TimeStamp]])*24</f>
        <v>17.666388888888889</v>
      </c>
      <c r="U1466" s="35" t="s">
        <v>2100</v>
      </c>
      <c r="V1466" s="102" t="s">
        <v>289</v>
      </c>
      <c r="W1466" s="549">
        <f>IFERROR(Table6[[#This Row],[Breakdown Time]]*Table6[[#This Row],[Plant Equivalent Weightage]],"")</f>
        <v>0.67947649572649549</v>
      </c>
      <c r="X1466" s="473" t="s">
        <v>294</v>
      </c>
      <c r="Y1466" s="474" t="s">
        <v>87</v>
      </c>
      <c r="Z1466" s="102">
        <v>23730</v>
      </c>
      <c r="AA1466" s="468">
        <f>(Table6[[#This Row],[Paired WTG Generation for loss calculation]]/24)*Table6[[#This Row],[Breakdown Time]]</f>
        <v>17467.64201388889</v>
      </c>
      <c r="AB1466" s="102"/>
      <c r="AC1466" s="35"/>
      <c r="AD1466" s="35"/>
    </row>
    <row r="1467" spans="1:30">
      <c r="A1467" s="102">
        <f t="shared" si="23"/>
        <v>1466</v>
      </c>
      <c r="B1467" s="468">
        <f>YEAR(Table6[[#This Row],[Date]])+IF(MONTH(Table6[[#This Row],[Date]])&gt;=4,1,0)</f>
        <v>2026</v>
      </c>
      <c r="C1467" s="102">
        <f>YEAR(Table6[[#This Row],[Date]])</f>
        <v>2025</v>
      </c>
      <c r="D1467" s="102" t="s">
        <v>1992</v>
      </c>
      <c r="E1467" s="469">
        <f>Table6[[#This Row],[Date]]-DAY(Table6[[#This Row],[Date]])+1</f>
        <v>45839</v>
      </c>
      <c r="F1467" s="470">
        <v>45843</v>
      </c>
      <c r="G1467" s="35" t="s">
        <v>86</v>
      </c>
      <c r="H1467" s="35" t="str">
        <f>IFERROR(_xlfn.XLOOKUP(Table6[[#This Row],[Affected WTG]],'Basic Data'!$A:$A,'Basic Data'!$B:$B),"")</f>
        <v>TQGXIIPL</v>
      </c>
      <c r="I1467" s="35" t="str">
        <f>IFERROR(_xlfn.XLOOKUP(Table6[[#This Row],[Affected WTG]],'Basic Data'!$A:$A,'Basic Data'!$C:$C),"")</f>
        <v>GEDA</v>
      </c>
      <c r="J1467" s="471">
        <f>IFERROR(_xlfn.XLOOKUP(Table6[[#This Row],[Affected WTG]],'Basic Data'!$A:$A,'Basic Data'!$E:$E),"")</f>
        <v>3.846153846153845E-2</v>
      </c>
      <c r="K1467" s="102">
        <v>6130</v>
      </c>
      <c r="L1467" s="35" t="str">
        <f>IFERROR(_xlfn.XLOOKUP(Table6[[#This Row],[Error Code]],'Basic Data'!$AA:$AA,'Basic Data'!$AB:$AB),"Incorrect Error Code")</f>
        <v>Yaw speed high</v>
      </c>
      <c r="M1467" s="35" t="s">
        <v>291</v>
      </c>
      <c r="N1467" s="475"/>
      <c r="O1467" s="476">
        <v>0.69791666666666663</v>
      </c>
      <c r="P1467" s="476">
        <v>0.69791666666666663</v>
      </c>
      <c r="Q1467" s="477">
        <v>0.7006944444444444</v>
      </c>
      <c r="R1467" s="472">
        <f>IF(Table6[[#This Row],[Work Start TimeStamp]]="","",(Table6[[#This Row],[Work Start TimeStamp]]-Table6[[#This Row],[Fault Start TimeStamp]])*24)</f>
        <v>0</v>
      </c>
      <c r="S1467" s="472">
        <f>(Table6[[#This Row],[Fault Clearance time]]-Table6[[#This Row],[Work Start TimeStamp]])*24</f>
        <v>6.666666666666643E-2</v>
      </c>
      <c r="T1467" s="472">
        <f>(Table6[[#This Row],[Fault Clearance time]]-Table6[[#This Row],[Fault Start TimeStamp]])*24</f>
        <v>6.666666666666643E-2</v>
      </c>
      <c r="U1467" s="35" t="s">
        <v>1924</v>
      </c>
      <c r="V1467" s="102" t="s">
        <v>293</v>
      </c>
      <c r="W1467" s="549">
        <f>IFERROR(Table6[[#This Row],[Breakdown Time]]*Table6[[#This Row],[Plant Equivalent Weightage]],"")</f>
        <v>2.5641025641025541E-3</v>
      </c>
      <c r="X1467" s="473" t="s">
        <v>290</v>
      </c>
      <c r="Y1467" s="474" t="s">
        <v>84</v>
      </c>
      <c r="Z1467" s="102">
        <v>22244</v>
      </c>
      <c r="AA1467" s="468">
        <f>(Table6[[#This Row],[Paired WTG Generation for loss calculation]]/24)*Table6[[#This Row],[Breakdown Time]]</f>
        <v>61.788888888888671</v>
      </c>
      <c r="AB1467" s="102"/>
      <c r="AC1467" s="35"/>
      <c r="AD1467" s="35"/>
    </row>
    <row r="1468" spans="1:30">
      <c r="A1468" s="102">
        <f t="shared" si="23"/>
        <v>1467</v>
      </c>
      <c r="B1468" s="468">
        <f>YEAR(Table6[[#This Row],[Date]])+IF(MONTH(Table6[[#This Row],[Date]])&gt;=4,1,0)</f>
        <v>2026</v>
      </c>
      <c r="C1468" s="102">
        <f>YEAR(Table6[[#This Row],[Date]])</f>
        <v>2025</v>
      </c>
      <c r="D1468" s="102" t="s">
        <v>1992</v>
      </c>
      <c r="E1468" s="469">
        <f>Table6[[#This Row],[Date]]-DAY(Table6[[#This Row],[Date]])+1</f>
        <v>45839</v>
      </c>
      <c r="F1468" s="470">
        <v>45843</v>
      </c>
      <c r="G1468" s="35" t="s">
        <v>87</v>
      </c>
      <c r="H1468" s="35" t="str">
        <f>IFERROR(_xlfn.XLOOKUP(Table6[[#This Row],[Affected WTG]],'Basic Data'!$A:$A,'Basic Data'!$B:$B),"")</f>
        <v>TQGXIIPL</v>
      </c>
      <c r="I1468" s="35" t="str">
        <f>IFERROR(_xlfn.XLOOKUP(Table6[[#This Row],[Affected WTG]],'Basic Data'!$A:$A,'Basic Data'!$C:$C),"")</f>
        <v>GEDA</v>
      </c>
      <c r="J1468" s="471">
        <f>IFERROR(_xlfn.XLOOKUP(Table6[[#This Row],[Affected WTG]],'Basic Data'!$A:$A,'Basic Data'!$E:$E),"")</f>
        <v>3.846153846153845E-2</v>
      </c>
      <c r="K1468" s="102">
        <v>3110</v>
      </c>
      <c r="L1468" s="35" t="str">
        <f>IFERROR(_xlfn.XLOOKUP(Table6[[#This Row],[Error Code]],'Basic Data'!$AA:$AA,'Basic Data'!$AB:$AB),"Incorrect Error Code")</f>
        <v>Frequency converter error</v>
      </c>
      <c r="M1468" s="35" t="s">
        <v>291</v>
      </c>
      <c r="N1468" s="475"/>
      <c r="O1468" s="476">
        <v>0.65347222222222223</v>
      </c>
      <c r="P1468" s="476">
        <v>0.65347222222222223</v>
      </c>
      <c r="Q1468" s="477">
        <v>0.65833333333333333</v>
      </c>
      <c r="R1468" s="472">
        <f>IF(Table6[[#This Row],[Work Start TimeStamp]]="","",(Table6[[#This Row],[Work Start TimeStamp]]-Table6[[#This Row],[Fault Start TimeStamp]])*24)</f>
        <v>0</v>
      </c>
      <c r="S1468" s="472">
        <f>(Table6[[#This Row],[Fault Clearance time]]-Table6[[#This Row],[Work Start TimeStamp]])*24</f>
        <v>0.11666666666666625</v>
      </c>
      <c r="T1468" s="472">
        <f>(Table6[[#This Row],[Fault Clearance time]]-Table6[[#This Row],[Fault Start TimeStamp]])*24</f>
        <v>0.11666666666666625</v>
      </c>
      <c r="U1468" s="35" t="s">
        <v>1924</v>
      </c>
      <c r="V1468" s="102" t="s">
        <v>293</v>
      </c>
      <c r="W1468" s="549">
        <f>IFERROR(Table6[[#This Row],[Breakdown Time]]*Table6[[#This Row],[Plant Equivalent Weightage]],"")</f>
        <v>4.4871794871794695E-3</v>
      </c>
      <c r="X1468" s="473" t="s">
        <v>290</v>
      </c>
      <c r="Y1468" s="474" t="s">
        <v>85</v>
      </c>
      <c r="Z1468" s="102">
        <v>0</v>
      </c>
      <c r="AA1468" s="468">
        <f>(Table6[[#This Row],[Paired WTG Generation for loss calculation]]/24)*Table6[[#This Row],[Breakdown Time]]</f>
        <v>0</v>
      </c>
      <c r="AB1468" s="102"/>
      <c r="AC1468" s="35"/>
      <c r="AD1468" s="35"/>
    </row>
    <row r="1469" spans="1:30">
      <c r="A1469" s="102">
        <f t="shared" si="23"/>
        <v>1468</v>
      </c>
      <c r="B1469" s="468">
        <f>YEAR(Table6[[#This Row],[Date]])+IF(MONTH(Table6[[#This Row],[Date]])&gt;=4,1,0)</f>
        <v>2026</v>
      </c>
      <c r="C1469" s="102">
        <f>YEAR(Table6[[#This Row],[Date]])</f>
        <v>2025</v>
      </c>
      <c r="D1469" s="102" t="s">
        <v>1992</v>
      </c>
      <c r="E1469" s="469">
        <f>Table6[[#This Row],[Date]]-DAY(Table6[[#This Row],[Date]])+1</f>
        <v>45839</v>
      </c>
      <c r="F1469" s="470">
        <v>45843</v>
      </c>
      <c r="G1469" s="35" t="s">
        <v>93</v>
      </c>
      <c r="H1469" s="35" t="str">
        <f>IFERROR(_xlfn.XLOOKUP(Table6[[#This Row],[Affected WTG]],'Basic Data'!$A:$A,'Basic Data'!$B:$B),"")</f>
        <v>TQGXIIPL</v>
      </c>
      <c r="I1469" s="35" t="str">
        <f>IFERROR(_xlfn.XLOOKUP(Table6[[#This Row],[Affected WTG]],'Basic Data'!$A:$A,'Basic Data'!$C:$C),"")</f>
        <v>GEDA</v>
      </c>
      <c r="J1469" s="471">
        <f>IFERROR(_xlfn.XLOOKUP(Table6[[#This Row],[Affected WTG]],'Basic Data'!$A:$A,'Basic Data'!$E:$E),"")</f>
        <v>3.846153846153845E-2</v>
      </c>
      <c r="K1469" s="102">
        <v>3000</v>
      </c>
      <c r="L1469" s="35" t="str">
        <f>IFERROR(_xlfn.XLOOKUP(Table6[[#This Row],[Error Code]],'Basic Data'!$AA:$AA,'Basic Data'!$AB:$AB),"Incorrect Error Code")</f>
        <v>Frequency converter not ready</v>
      </c>
      <c r="M1469" s="35" t="s">
        <v>295</v>
      </c>
      <c r="N1469" s="475"/>
      <c r="O1469" s="476">
        <v>0</v>
      </c>
      <c r="P1469" s="476">
        <v>0.36458333333333331</v>
      </c>
      <c r="Q1469" s="477">
        <v>0.99930555555555556</v>
      </c>
      <c r="R1469" s="472">
        <f>IF(Table6[[#This Row],[Work Start TimeStamp]]="","",(Table6[[#This Row],[Work Start TimeStamp]]-Table6[[#This Row],[Fault Start TimeStamp]])*24)</f>
        <v>8.75</v>
      </c>
      <c r="S1469" s="472">
        <f>(Table6[[#This Row],[Fault Clearance time]]-Table6[[#This Row],[Work Start TimeStamp]])*24</f>
        <v>15.233333333333333</v>
      </c>
      <c r="T1469" s="472">
        <f>(Table6[[#This Row],[Fault Clearance time]]-Table6[[#This Row],[Fault Start TimeStamp]])*24</f>
        <v>23.983333333333334</v>
      </c>
      <c r="U1469" s="35" t="s">
        <v>2038</v>
      </c>
      <c r="V1469" s="102" t="s">
        <v>289</v>
      </c>
      <c r="W1469" s="549">
        <f>IFERROR(Table6[[#This Row],[Breakdown Time]]*Table6[[#This Row],[Plant Equivalent Weightage]],"")</f>
        <v>0.92243589743589716</v>
      </c>
      <c r="X1469" s="473" t="s">
        <v>290</v>
      </c>
      <c r="Y1469" s="474" t="s">
        <v>97</v>
      </c>
      <c r="Z1469" s="102">
        <v>25208</v>
      </c>
      <c r="AA1469" s="468">
        <f>(Table6[[#This Row],[Paired WTG Generation for loss calculation]]/24)*Table6[[#This Row],[Breakdown Time]]</f>
        <v>25190.494444444445</v>
      </c>
      <c r="AB1469" s="102"/>
      <c r="AC1469" s="35"/>
      <c r="AD1469" s="35"/>
    </row>
    <row r="1470" spans="1:30">
      <c r="A1470" s="102">
        <f t="shared" si="23"/>
        <v>1469</v>
      </c>
      <c r="B1470" s="468">
        <f>YEAR(Table6[[#This Row],[Date]])+IF(MONTH(Table6[[#This Row],[Date]])&gt;=4,1,0)</f>
        <v>2026</v>
      </c>
      <c r="C1470" s="102">
        <f>YEAR(Table6[[#This Row],[Date]])</f>
        <v>2025</v>
      </c>
      <c r="D1470" s="102" t="s">
        <v>1992</v>
      </c>
      <c r="E1470" s="469">
        <f>Table6[[#This Row],[Date]]-DAY(Table6[[#This Row],[Date]])+1</f>
        <v>45839</v>
      </c>
      <c r="F1470" s="470">
        <v>45844</v>
      </c>
      <c r="G1470" s="35" t="s">
        <v>75</v>
      </c>
      <c r="H1470" s="35" t="str">
        <f>IFERROR(_xlfn.XLOOKUP(Table6[[#This Row],[Affected WTG]],'Basic Data'!$A:$A,'Basic Data'!$B:$B),"")</f>
        <v>TQGXIIPL</v>
      </c>
      <c r="I1470" s="35" t="str">
        <f>IFERROR(_xlfn.XLOOKUP(Table6[[#This Row],[Affected WTG]],'Basic Data'!$A:$A,'Basic Data'!$C:$C),"")</f>
        <v>GEDA</v>
      </c>
      <c r="J1470" s="471">
        <f>IFERROR(_xlfn.XLOOKUP(Table6[[#This Row],[Affected WTG]],'Basic Data'!$A:$A,'Basic Data'!$E:$E),"")</f>
        <v>3.846153846153845E-2</v>
      </c>
      <c r="K1470" s="102">
        <v>6130</v>
      </c>
      <c r="L1470" s="35" t="str">
        <f>IFERROR(_xlfn.XLOOKUP(Table6[[#This Row],[Error Code]],'Basic Data'!$AA:$AA,'Basic Data'!$AB:$AB),"Incorrect Error Code")</f>
        <v>Yaw speed high</v>
      </c>
      <c r="M1470" s="35" t="s">
        <v>291</v>
      </c>
      <c r="N1470" s="475"/>
      <c r="O1470" s="476">
        <v>0.41666666666666669</v>
      </c>
      <c r="P1470" s="476">
        <v>0.41666666666666669</v>
      </c>
      <c r="Q1470" s="477">
        <v>0.41875000000000001</v>
      </c>
      <c r="R1470" s="472">
        <f>IF(Table6[[#This Row],[Work Start TimeStamp]]="","",(Table6[[#This Row],[Work Start TimeStamp]]-Table6[[#This Row],[Fault Start TimeStamp]])*24)</f>
        <v>0</v>
      </c>
      <c r="S1470" s="472">
        <f>(Table6[[#This Row],[Fault Clearance time]]-Table6[[#This Row],[Work Start TimeStamp]])*24</f>
        <v>4.9999999999999822E-2</v>
      </c>
      <c r="T1470" s="472">
        <f>(Table6[[#This Row],[Fault Clearance time]]-Table6[[#This Row],[Fault Start TimeStamp]])*24</f>
        <v>4.9999999999999822E-2</v>
      </c>
      <c r="U1470" s="35" t="s">
        <v>1924</v>
      </c>
      <c r="V1470" s="102" t="s">
        <v>293</v>
      </c>
      <c r="W1470" s="549">
        <f>IFERROR(Table6[[#This Row],[Breakdown Time]]*Table6[[#This Row],[Plant Equivalent Weightage]],"")</f>
        <v>1.9230769230769156E-3</v>
      </c>
      <c r="X1470" s="473" t="s">
        <v>294</v>
      </c>
      <c r="Y1470" s="474" t="s">
        <v>78</v>
      </c>
      <c r="Z1470" s="102">
        <v>36829</v>
      </c>
      <c r="AA1470" s="468">
        <f>(Table6[[#This Row],[Paired WTG Generation for loss calculation]]/24)*Table6[[#This Row],[Breakdown Time]]</f>
        <v>76.72708333333307</v>
      </c>
      <c r="AB1470" s="102"/>
      <c r="AC1470" s="35"/>
      <c r="AD1470" s="35"/>
    </row>
    <row r="1471" spans="1:30">
      <c r="A1471" s="102">
        <f t="shared" si="23"/>
        <v>1470</v>
      </c>
      <c r="B1471" s="468">
        <f>YEAR(Table6[[#This Row],[Date]])+IF(MONTH(Table6[[#This Row],[Date]])&gt;=4,1,0)</f>
        <v>2026</v>
      </c>
      <c r="C1471" s="102">
        <f>YEAR(Table6[[#This Row],[Date]])</f>
        <v>2025</v>
      </c>
      <c r="D1471" s="102" t="s">
        <v>1992</v>
      </c>
      <c r="E1471" s="469">
        <f>Table6[[#This Row],[Date]]-DAY(Table6[[#This Row],[Date]])+1</f>
        <v>45839</v>
      </c>
      <c r="F1471" s="470">
        <v>45844</v>
      </c>
      <c r="G1471" s="35" t="s">
        <v>77</v>
      </c>
      <c r="H1471" s="35" t="str">
        <f>IFERROR(_xlfn.XLOOKUP(Table6[[#This Row],[Affected WTG]],'Basic Data'!$A:$A,'Basic Data'!$B:$B),"")</f>
        <v>TQGXIIPL</v>
      </c>
      <c r="I1471" s="35" t="str">
        <f>IFERROR(_xlfn.XLOOKUP(Table6[[#This Row],[Affected WTG]],'Basic Data'!$A:$A,'Basic Data'!$C:$C),"")</f>
        <v>GEDA</v>
      </c>
      <c r="J1471" s="471">
        <f>IFERROR(_xlfn.XLOOKUP(Table6[[#This Row],[Affected WTG]],'Basic Data'!$A:$A,'Basic Data'!$E:$E),"")</f>
        <v>3.846153846153845E-2</v>
      </c>
      <c r="K1471" s="102">
        <v>6130</v>
      </c>
      <c r="L1471" s="35" t="str">
        <f>IFERROR(_xlfn.XLOOKUP(Table6[[#This Row],[Error Code]],'Basic Data'!$AA:$AA,'Basic Data'!$AB:$AB),"Incorrect Error Code")</f>
        <v>Yaw speed high</v>
      </c>
      <c r="M1471" s="35" t="s">
        <v>291</v>
      </c>
      <c r="N1471" s="475"/>
      <c r="O1471" s="476">
        <v>0.52916666666666667</v>
      </c>
      <c r="P1471" s="476">
        <v>0.52916666666666667</v>
      </c>
      <c r="Q1471" s="477">
        <v>0.52986111111111112</v>
      </c>
      <c r="R1471" s="472">
        <f>IF(Table6[[#This Row],[Work Start TimeStamp]]="","",(Table6[[#This Row],[Work Start TimeStamp]]-Table6[[#This Row],[Fault Start TimeStamp]])*24)</f>
        <v>0</v>
      </c>
      <c r="S1471" s="472">
        <f>(Table6[[#This Row],[Fault Clearance time]]-Table6[[#This Row],[Work Start TimeStamp]])*24</f>
        <v>1.6666666666666607E-2</v>
      </c>
      <c r="T1471" s="472">
        <f>(Table6[[#This Row],[Fault Clearance time]]-Table6[[#This Row],[Fault Start TimeStamp]])*24</f>
        <v>1.6666666666666607E-2</v>
      </c>
      <c r="U1471" s="35" t="s">
        <v>1924</v>
      </c>
      <c r="V1471" s="102" t="s">
        <v>293</v>
      </c>
      <c r="W1471" s="549">
        <f>IFERROR(Table6[[#This Row],[Breakdown Time]]*Table6[[#This Row],[Plant Equivalent Weightage]],"")</f>
        <v>6.4102564102563853E-4</v>
      </c>
      <c r="X1471" s="473" t="s">
        <v>294</v>
      </c>
      <c r="Y1471" s="474" t="s">
        <v>80</v>
      </c>
      <c r="Z1471" s="102">
        <v>28614</v>
      </c>
      <c r="AA1471" s="468">
        <f>(Table6[[#This Row],[Paired WTG Generation for loss calculation]]/24)*Table6[[#This Row],[Breakdown Time]]</f>
        <v>19.870833333333263</v>
      </c>
      <c r="AB1471" s="102"/>
      <c r="AC1471" s="35"/>
      <c r="AD1471" s="35"/>
    </row>
    <row r="1472" spans="1:30">
      <c r="A1472" s="102">
        <f t="shared" si="23"/>
        <v>1471</v>
      </c>
      <c r="B1472" s="468">
        <f>YEAR(Table6[[#This Row],[Date]])+IF(MONTH(Table6[[#This Row],[Date]])&gt;=4,1,0)</f>
        <v>2026</v>
      </c>
      <c r="C1472" s="102">
        <f>YEAR(Table6[[#This Row],[Date]])</f>
        <v>2025</v>
      </c>
      <c r="D1472" s="102" t="s">
        <v>1992</v>
      </c>
      <c r="E1472" s="469">
        <f>Table6[[#This Row],[Date]]-DAY(Table6[[#This Row],[Date]])+1</f>
        <v>45839</v>
      </c>
      <c r="F1472" s="470">
        <v>45844</v>
      </c>
      <c r="G1472" s="35" t="s">
        <v>87</v>
      </c>
      <c r="H1472" s="35" t="str">
        <f>IFERROR(_xlfn.XLOOKUP(Table6[[#This Row],[Affected WTG]],'Basic Data'!$A:$A,'Basic Data'!$B:$B),"")</f>
        <v>TQGXIIPL</v>
      </c>
      <c r="I1472" s="35" t="str">
        <f>IFERROR(_xlfn.XLOOKUP(Table6[[#This Row],[Affected WTG]],'Basic Data'!$A:$A,'Basic Data'!$C:$C),"")</f>
        <v>GEDA</v>
      </c>
      <c r="J1472" s="471">
        <f>IFERROR(_xlfn.XLOOKUP(Table6[[#This Row],[Affected WTG]],'Basic Data'!$A:$A,'Basic Data'!$E:$E),"")</f>
        <v>3.846153846153845E-2</v>
      </c>
      <c r="K1472" s="102">
        <v>6130</v>
      </c>
      <c r="L1472" s="35" t="str">
        <f>IFERROR(_xlfn.XLOOKUP(Table6[[#This Row],[Error Code]],'Basic Data'!$AA:$AA,'Basic Data'!$AB:$AB),"Incorrect Error Code")</f>
        <v>Yaw speed high</v>
      </c>
      <c r="M1472" s="35" t="s">
        <v>292</v>
      </c>
      <c r="N1472" s="475"/>
      <c r="O1472" s="476">
        <v>0.3215277777777778</v>
      </c>
      <c r="P1472" s="476">
        <v>0.3215277777777778</v>
      </c>
      <c r="Q1472" s="477">
        <v>0.32569444444444445</v>
      </c>
      <c r="R1472" s="472">
        <f>IF(Table6[[#This Row],[Work Start TimeStamp]]="","",(Table6[[#This Row],[Work Start TimeStamp]]-Table6[[#This Row],[Fault Start TimeStamp]])*24)</f>
        <v>0</v>
      </c>
      <c r="S1472" s="472">
        <f>(Table6[[#This Row],[Fault Clearance time]]-Table6[[#This Row],[Work Start TimeStamp]])*24</f>
        <v>9.9999999999999645E-2</v>
      </c>
      <c r="T1472" s="472">
        <f>(Table6[[#This Row],[Fault Clearance time]]-Table6[[#This Row],[Fault Start TimeStamp]])*24</f>
        <v>9.9999999999999645E-2</v>
      </c>
      <c r="U1472" s="35" t="s">
        <v>336</v>
      </c>
      <c r="V1472" s="102" t="s">
        <v>293</v>
      </c>
      <c r="W1472" s="549">
        <f>IFERROR(Table6[[#This Row],[Breakdown Time]]*Table6[[#This Row],[Plant Equivalent Weightage]],"")</f>
        <v>3.8461538461538312E-3</v>
      </c>
      <c r="X1472" s="473" t="s">
        <v>294</v>
      </c>
      <c r="Y1472" s="474" t="s">
        <v>85</v>
      </c>
      <c r="Z1472" s="102">
        <v>0</v>
      </c>
      <c r="AA1472" s="468">
        <f>(Table6[[#This Row],[Paired WTG Generation for loss calculation]]/24)*Table6[[#This Row],[Breakdown Time]]</f>
        <v>0</v>
      </c>
      <c r="AB1472" s="102"/>
      <c r="AC1472" s="35"/>
      <c r="AD1472" s="35"/>
    </row>
    <row r="1473" spans="1:30">
      <c r="A1473" s="102">
        <f t="shared" si="23"/>
        <v>1472</v>
      </c>
      <c r="B1473" s="468">
        <f>YEAR(Table6[[#This Row],[Date]])+IF(MONTH(Table6[[#This Row],[Date]])&gt;=4,1,0)</f>
        <v>2026</v>
      </c>
      <c r="C1473" s="102">
        <f>YEAR(Table6[[#This Row],[Date]])</f>
        <v>2025</v>
      </c>
      <c r="D1473" s="102" t="s">
        <v>1992</v>
      </c>
      <c r="E1473" s="469">
        <f>Table6[[#This Row],[Date]]-DAY(Table6[[#This Row],[Date]])+1</f>
        <v>45839</v>
      </c>
      <c r="F1473" s="470">
        <v>45844</v>
      </c>
      <c r="G1473" s="35" t="s">
        <v>87</v>
      </c>
      <c r="H1473" s="35" t="str">
        <f>IFERROR(_xlfn.XLOOKUP(Table6[[#This Row],[Affected WTG]],'Basic Data'!$A:$A,'Basic Data'!$B:$B),"")</f>
        <v>TQGXIIPL</v>
      </c>
      <c r="I1473" s="35" t="str">
        <f>IFERROR(_xlfn.XLOOKUP(Table6[[#This Row],[Affected WTG]],'Basic Data'!$A:$A,'Basic Data'!$C:$C),"")</f>
        <v>GEDA</v>
      </c>
      <c r="J1473" s="471">
        <f>IFERROR(_xlfn.XLOOKUP(Table6[[#This Row],[Affected WTG]],'Basic Data'!$A:$A,'Basic Data'!$E:$E),"")</f>
        <v>3.846153846153845E-2</v>
      </c>
      <c r="K1473" s="102">
        <v>6130</v>
      </c>
      <c r="L1473" s="35" t="str">
        <f>IFERROR(_xlfn.XLOOKUP(Table6[[#This Row],[Error Code]],'Basic Data'!$AA:$AA,'Basic Data'!$AB:$AB),"Incorrect Error Code")</f>
        <v>Yaw speed high</v>
      </c>
      <c r="M1473" s="35" t="s">
        <v>291</v>
      </c>
      <c r="N1473" s="475"/>
      <c r="O1473" s="476">
        <v>0.35</v>
      </c>
      <c r="P1473" s="476">
        <v>0.35</v>
      </c>
      <c r="Q1473" s="477">
        <v>0.36041666666666666</v>
      </c>
      <c r="R1473" s="472">
        <f>IF(Table6[[#This Row],[Work Start TimeStamp]]="","",(Table6[[#This Row],[Work Start TimeStamp]]-Table6[[#This Row],[Fault Start TimeStamp]])*24)</f>
        <v>0</v>
      </c>
      <c r="S1473" s="472">
        <f>(Table6[[#This Row],[Fault Clearance time]]-Table6[[#This Row],[Work Start TimeStamp]])*24</f>
        <v>0.25000000000000044</v>
      </c>
      <c r="T1473" s="472">
        <f>(Table6[[#This Row],[Fault Clearance time]]-Table6[[#This Row],[Fault Start TimeStamp]])*24</f>
        <v>0.25000000000000044</v>
      </c>
      <c r="U1473" s="35" t="s">
        <v>2031</v>
      </c>
      <c r="V1473" s="102" t="s">
        <v>293</v>
      </c>
      <c r="W1473" s="549">
        <f>IFERROR(Table6[[#This Row],[Breakdown Time]]*Table6[[#This Row],[Plant Equivalent Weightage]],"")</f>
        <v>9.6153846153846298E-3</v>
      </c>
      <c r="X1473" s="473" t="s">
        <v>294</v>
      </c>
      <c r="Y1473" s="474" t="s">
        <v>85</v>
      </c>
      <c r="Z1473" s="102">
        <v>0</v>
      </c>
      <c r="AA1473" s="468">
        <f>(Table6[[#This Row],[Paired WTG Generation for loss calculation]]/24)*Table6[[#This Row],[Breakdown Time]]</f>
        <v>0</v>
      </c>
      <c r="AB1473" s="102"/>
      <c r="AC1473" s="35"/>
      <c r="AD1473" s="35"/>
    </row>
    <row r="1474" spans="1:30">
      <c r="A1474" s="102">
        <f t="shared" si="23"/>
        <v>1473</v>
      </c>
      <c r="B1474" s="468">
        <f>YEAR(Table6[[#This Row],[Date]])+IF(MONTH(Table6[[#This Row],[Date]])&gt;=4,1,0)</f>
        <v>2026</v>
      </c>
      <c r="C1474" s="102">
        <f>YEAR(Table6[[#This Row],[Date]])</f>
        <v>2025</v>
      </c>
      <c r="D1474" s="102" t="s">
        <v>1992</v>
      </c>
      <c r="E1474" s="469">
        <f>Table6[[#This Row],[Date]]-DAY(Table6[[#This Row],[Date]])+1</f>
        <v>45839</v>
      </c>
      <c r="F1474" s="470">
        <v>45844</v>
      </c>
      <c r="G1474" s="35" t="s">
        <v>85</v>
      </c>
      <c r="H1474" s="35" t="str">
        <f>IFERROR(_xlfn.XLOOKUP(Table6[[#This Row],[Affected WTG]],'Basic Data'!$A:$A,'Basic Data'!$B:$B),"")</f>
        <v>TQGXIIPL</v>
      </c>
      <c r="I1474" s="35" t="str">
        <f>IFERROR(_xlfn.XLOOKUP(Table6[[#This Row],[Affected WTG]],'Basic Data'!$A:$A,'Basic Data'!$C:$C),"")</f>
        <v>GEDA</v>
      </c>
      <c r="J1474" s="471">
        <f>IFERROR(_xlfn.XLOOKUP(Table6[[#This Row],[Affected WTG]],'Basic Data'!$A:$A,'Basic Data'!$E:$E),"")</f>
        <v>3.846153846153845E-2</v>
      </c>
      <c r="K1474" s="102">
        <v>55</v>
      </c>
      <c r="L1474" s="35" t="str">
        <f>IFERROR(_xlfn.XLOOKUP(Table6[[#This Row],[Error Code]],'Basic Data'!$AA:$AA,'Basic Data'!$AB:$AB),"Incorrect Error Code")</f>
        <v>WTG shut down</v>
      </c>
      <c r="M1474" s="35" t="s">
        <v>295</v>
      </c>
      <c r="N1474" s="475"/>
      <c r="O1474" s="476">
        <v>0</v>
      </c>
      <c r="P1474" s="476">
        <v>0</v>
      </c>
      <c r="Q1474" s="477">
        <v>0.64583333333333337</v>
      </c>
      <c r="R1474" s="472">
        <f>IF(Table6[[#This Row],[Work Start TimeStamp]]="","",(Table6[[#This Row],[Work Start TimeStamp]]-Table6[[#This Row],[Fault Start TimeStamp]])*24)</f>
        <v>0</v>
      </c>
      <c r="S1474" s="472">
        <f>(Table6[[#This Row],[Fault Clearance time]]-Table6[[#This Row],[Work Start TimeStamp]])*24</f>
        <v>15.5</v>
      </c>
      <c r="T1474" s="472">
        <f>(Table6[[#This Row],[Fault Clearance time]]-Table6[[#This Row],[Fault Start TimeStamp]])*24</f>
        <v>15.5</v>
      </c>
      <c r="U1474" s="35" t="s">
        <v>2101</v>
      </c>
      <c r="V1474" s="102" t="s">
        <v>289</v>
      </c>
      <c r="W1474" s="549">
        <f>IFERROR(Table6[[#This Row],[Breakdown Time]]*Table6[[#This Row],[Plant Equivalent Weightage]],"")</f>
        <v>0.59615384615384592</v>
      </c>
      <c r="X1474" s="473" t="s">
        <v>523</v>
      </c>
      <c r="Y1474" s="474" t="s">
        <v>87</v>
      </c>
      <c r="Z1474" s="102">
        <v>35152</v>
      </c>
      <c r="AA1474" s="468">
        <f>(Table6[[#This Row],[Paired WTG Generation for loss calculation]]/24)*Table6[[#This Row],[Breakdown Time]]</f>
        <v>22702.333333333336</v>
      </c>
      <c r="AB1474" s="102"/>
      <c r="AC1474" s="35"/>
      <c r="AD1474" s="35"/>
    </row>
    <row r="1475" spans="1:30">
      <c r="A1475" s="102">
        <f t="shared" si="23"/>
        <v>1474</v>
      </c>
      <c r="B1475" s="468">
        <f>YEAR(Table6[[#This Row],[Date]])+IF(MONTH(Table6[[#This Row],[Date]])&gt;=4,1,0)</f>
        <v>2026</v>
      </c>
      <c r="C1475" s="102">
        <f>YEAR(Table6[[#This Row],[Date]])</f>
        <v>2025</v>
      </c>
      <c r="D1475" s="102" t="s">
        <v>1992</v>
      </c>
      <c r="E1475" s="469">
        <f>Table6[[#This Row],[Date]]-DAY(Table6[[#This Row],[Date]])+1</f>
        <v>45839</v>
      </c>
      <c r="F1475" s="470">
        <v>45844</v>
      </c>
      <c r="G1475" s="35" t="s">
        <v>85</v>
      </c>
      <c r="H1475" s="35" t="str">
        <f>IFERROR(_xlfn.XLOOKUP(Table6[[#This Row],[Affected WTG]],'Basic Data'!$A:$A,'Basic Data'!$B:$B),"")</f>
        <v>TQGXIIPL</v>
      </c>
      <c r="I1475" s="35" t="str">
        <f>IFERROR(_xlfn.XLOOKUP(Table6[[#This Row],[Affected WTG]],'Basic Data'!$A:$A,'Basic Data'!$C:$C),"")</f>
        <v>GEDA</v>
      </c>
      <c r="J1475" s="471">
        <f>IFERROR(_xlfn.XLOOKUP(Table6[[#This Row],[Affected WTG]],'Basic Data'!$A:$A,'Basic Data'!$E:$E),"")</f>
        <v>3.846153846153845E-2</v>
      </c>
      <c r="K1475" s="102">
        <v>55</v>
      </c>
      <c r="L1475" s="35" t="str">
        <f>IFERROR(_xlfn.XLOOKUP(Table6[[#This Row],[Error Code]],'Basic Data'!$AA:$AA,'Basic Data'!$AB:$AB),"Incorrect Error Code")</f>
        <v>WTG shut down</v>
      </c>
      <c r="M1475" s="35" t="s">
        <v>295</v>
      </c>
      <c r="N1475" s="475"/>
      <c r="O1475" s="476">
        <v>0.64583333333333337</v>
      </c>
      <c r="P1475" s="476">
        <v>0.64583333333333337</v>
      </c>
      <c r="Q1475" s="477">
        <v>0.80694444444444446</v>
      </c>
      <c r="R1475" s="472">
        <f>IF(Table6[[#This Row],[Work Start TimeStamp]]="","",(Table6[[#This Row],[Work Start TimeStamp]]-Table6[[#This Row],[Fault Start TimeStamp]])*24)</f>
        <v>0</v>
      </c>
      <c r="S1475" s="472">
        <f>(Table6[[#This Row],[Fault Clearance time]]-Table6[[#This Row],[Work Start TimeStamp]])*24</f>
        <v>3.8666666666666663</v>
      </c>
      <c r="T1475" s="472">
        <f>(Table6[[#This Row],[Fault Clearance time]]-Table6[[#This Row],[Fault Start TimeStamp]])*24</f>
        <v>3.8666666666666663</v>
      </c>
      <c r="U1475" s="35" t="s">
        <v>2101</v>
      </c>
      <c r="V1475" s="102" t="s">
        <v>289</v>
      </c>
      <c r="W1475" s="549">
        <f>IFERROR(Table6[[#This Row],[Breakdown Time]]*Table6[[#This Row],[Plant Equivalent Weightage]],"")</f>
        <v>0.14871794871794866</v>
      </c>
      <c r="X1475" s="473" t="s">
        <v>294</v>
      </c>
      <c r="Y1475" s="474" t="s">
        <v>87</v>
      </c>
      <c r="Z1475" s="102">
        <v>35152</v>
      </c>
      <c r="AA1475" s="468">
        <f>(Table6[[#This Row],[Paired WTG Generation for loss calculation]]/24)*Table6[[#This Row],[Breakdown Time]]</f>
        <v>5663.3777777777777</v>
      </c>
      <c r="AB1475" s="102"/>
      <c r="AC1475" s="35"/>
      <c r="AD1475" s="35"/>
    </row>
    <row r="1476" spans="1:30">
      <c r="A1476" s="102">
        <f t="shared" si="23"/>
        <v>1475</v>
      </c>
      <c r="B1476" s="468">
        <f>YEAR(Table6[[#This Row],[Date]])+IF(MONTH(Table6[[#This Row],[Date]])&gt;=4,1,0)</f>
        <v>2026</v>
      </c>
      <c r="C1476" s="102">
        <f>YEAR(Table6[[#This Row],[Date]])</f>
        <v>2025</v>
      </c>
      <c r="D1476" s="102" t="s">
        <v>1992</v>
      </c>
      <c r="E1476" s="469">
        <f>Table6[[#This Row],[Date]]-DAY(Table6[[#This Row],[Date]])+1</f>
        <v>45839</v>
      </c>
      <c r="F1476" s="470">
        <v>45844</v>
      </c>
      <c r="G1476" s="35" t="s">
        <v>93</v>
      </c>
      <c r="H1476" s="35" t="str">
        <f>IFERROR(_xlfn.XLOOKUP(Table6[[#This Row],[Affected WTG]],'Basic Data'!$A:$A,'Basic Data'!$B:$B),"")</f>
        <v>TQGXIIPL</v>
      </c>
      <c r="I1476" s="35" t="str">
        <f>IFERROR(_xlfn.XLOOKUP(Table6[[#This Row],[Affected WTG]],'Basic Data'!$A:$A,'Basic Data'!$C:$C),"")</f>
        <v>GEDA</v>
      </c>
      <c r="J1476" s="471">
        <f>IFERROR(_xlfn.XLOOKUP(Table6[[#This Row],[Affected WTG]],'Basic Data'!$A:$A,'Basic Data'!$E:$E),"")</f>
        <v>3.846153846153845E-2</v>
      </c>
      <c r="K1476" s="102">
        <v>3000</v>
      </c>
      <c r="L1476" s="35" t="str">
        <f>IFERROR(_xlfn.XLOOKUP(Table6[[#This Row],[Error Code]],'Basic Data'!$AA:$AA,'Basic Data'!$AB:$AB),"Incorrect Error Code")</f>
        <v>Frequency converter not ready</v>
      </c>
      <c r="M1476" s="35" t="s">
        <v>295</v>
      </c>
      <c r="N1476" s="475"/>
      <c r="O1476" s="476">
        <v>0</v>
      </c>
      <c r="P1476" s="476">
        <v>0</v>
      </c>
      <c r="Q1476" s="477">
        <v>0.78472222222222221</v>
      </c>
      <c r="R1476" s="472">
        <f>IF(Table6[[#This Row],[Work Start TimeStamp]]="","",(Table6[[#This Row],[Work Start TimeStamp]]-Table6[[#This Row],[Fault Start TimeStamp]])*24)</f>
        <v>0</v>
      </c>
      <c r="S1476" s="472">
        <f>(Table6[[#This Row],[Fault Clearance time]]-Table6[[#This Row],[Work Start TimeStamp]])*24</f>
        <v>18.833333333333332</v>
      </c>
      <c r="T1476" s="472">
        <f>(Table6[[#This Row],[Fault Clearance time]]-Table6[[#This Row],[Fault Start TimeStamp]])*24</f>
        <v>18.833333333333332</v>
      </c>
      <c r="U1476" s="35" t="s">
        <v>2038</v>
      </c>
      <c r="V1476" s="102" t="s">
        <v>289</v>
      </c>
      <c r="W1476" s="549">
        <f>IFERROR(Table6[[#This Row],[Breakdown Time]]*Table6[[#This Row],[Plant Equivalent Weightage]],"")</f>
        <v>0.72435897435897412</v>
      </c>
      <c r="X1476" s="473" t="s">
        <v>290</v>
      </c>
      <c r="Y1476" s="474" t="s">
        <v>97</v>
      </c>
      <c r="Z1476" s="102">
        <v>37017</v>
      </c>
      <c r="AA1476" s="468">
        <f>(Table6[[#This Row],[Paired WTG Generation for loss calculation]]/24)*Table6[[#This Row],[Breakdown Time]]</f>
        <v>29048.062499999996</v>
      </c>
      <c r="AB1476" s="102"/>
      <c r="AC1476" s="35"/>
      <c r="AD1476" s="35"/>
    </row>
    <row r="1477" spans="1:30">
      <c r="A1477" s="102">
        <f t="shared" si="23"/>
        <v>1476</v>
      </c>
      <c r="B1477" s="468">
        <f>YEAR(Table6[[#This Row],[Date]])+IF(MONTH(Table6[[#This Row],[Date]])&gt;=4,1,0)</f>
        <v>2026</v>
      </c>
      <c r="C1477" s="102">
        <f>YEAR(Table6[[#This Row],[Date]])</f>
        <v>2025</v>
      </c>
      <c r="D1477" s="102" t="s">
        <v>1992</v>
      </c>
      <c r="E1477" s="469">
        <f>Table6[[#This Row],[Date]]-DAY(Table6[[#This Row],[Date]])+1</f>
        <v>45839</v>
      </c>
      <c r="F1477" s="470">
        <v>45844</v>
      </c>
      <c r="G1477" s="35" t="s">
        <v>93</v>
      </c>
      <c r="H1477" s="35" t="str">
        <f>IFERROR(_xlfn.XLOOKUP(Table6[[#This Row],[Affected WTG]],'Basic Data'!$A:$A,'Basic Data'!$B:$B),"")</f>
        <v>TQGXIIPL</v>
      </c>
      <c r="I1477" s="35" t="str">
        <f>IFERROR(_xlfn.XLOOKUP(Table6[[#This Row],[Affected WTG]],'Basic Data'!$A:$A,'Basic Data'!$C:$C),"")</f>
        <v>GEDA</v>
      </c>
      <c r="J1477" s="471">
        <f>IFERROR(_xlfn.XLOOKUP(Table6[[#This Row],[Affected WTG]],'Basic Data'!$A:$A,'Basic Data'!$E:$E),"")</f>
        <v>3.846153846153845E-2</v>
      </c>
      <c r="K1477" s="102">
        <v>3000</v>
      </c>
      <c r="L1477" s="35" t="str">
        <f>IFERROR(_xlfn.XLOOKUP(Table6[[#This Row],[Error Code]],'Basic Data'!$AA:$AA,'Basic Data'!$AB:$AB),"Incorrect Error Code")</f>
        <v>Frequency converter not ready</v>
      </c>
      <c r="M1477" s="35" t="s">
        <v>295</v>
      </c>
      <c r="N1477" s="475"/>
      <c r="O1477" s="476">
        <v>0.80625000000000002</v>
      </c>
      <c r="P1477" s="476">
        <v>0.80625000000000002</v>
      </c>
      <c r="Q1477" s="477">
        <v>0.99998842592592596</v>
      </c>
      <c r="R1477" s="472">
        <f>IF(Table6[[#This Row],[Work Start TimeStamp]]="","",(Table6[[#This Row],[Work Start TimeStamp]]-Table6[[#This Row],[Fault Start TimeStamp]])*24)</f>
        <v>0</v>
      </c>
      <c r="S1477" s="472">
        <f>(Table6[[#This Row],[Fault Clearance time]]-Table6[[#This Row],[Work Start TimeStamp]])*24</f>
        <v>4.6497222222222225</v>
      </c>
      <c r="T1477" s="472">
        <f>(Table6[[#This Row],[Fault Clearance time]]-Table6[[#This Row],[Fault Start TimeStamp]])*24</f>
        <v>4.6497222222222225</v>
      </c>
      <c r="U1477" s="35" t="s">
        <v>2039</v>
      </c>
      <c r="V1477" s="102" t="s">
        <v>289</v>
      </c>
      <c r="W1477" s="549">
        <f>IFERROR(Table6[[#This Row],[Breakdown Time]]*Table6[[#This Row],[Plant Equivalent Weightage]],"")</f>
        <v>0.17883547008547004</v>
      </c>
      <c r="X1477" s="473" t="s">
        <v>290</v>
      </c>
      <c r="Y1477" s="474" t="s">
        <v>97</v>
      </c>
      <c r="Z1477" s="102">
        <v>37017</v>
      </c>
      <c r="AA1477" s="468">
        <f>(Table6[[#This Row],[Paired WTG Generation for loss calculation]]/24)*Table6[[#This Row],[Breakdown Time]]</f>
        <v>7171.6153125000001</v>
      </c>
      <c r="AB1477" s="102"/>
      <c r="AC1477" s="35"/>
      <c r="AD1477" s="35"/>
    </row>
    <row r="1478" spans="1:30">
      <c r="A1478" s="102">
        <f t="shared" si="23"/>
        <v>1477</v>
      </c>
      <c r="B1478" s="468">
        <f>YEAR(Table6[[#This Row],[Date]])+IF(MONTH(Table6[[#This Row],[Date]])&gt;=4,1,0)</f>
        <v>2026</v>
      </c>
      <c r="C1478" s="102">
        <f>YEAR(Table6[[#This Row],[Date]])</f>
        <v>2025</v>
      </c>
      <c r="D1478" s="102" t="s">
        <v>1992</v>
      </c>
      <c r="E1478" s="469">
        <f>Table6[[#This Row],[Date]]-DAY(Table6[[#This Row],[Date]])+1</f>
        <v>45839</v>
      </c>
      <c r="F1478" s="470">
        <v>45844</v>
      </c>
      <c r="G1478" s="35" t="s">
        <v>95</v>
      </c>
      <c r="H1478" s="35" t="str">
        <f>IFERROR(_xlfn.XLOOKUP(Table6[[#This Row],[Affected WTG]],'Basic Data'!$A:$A,'Basic Data'!$B:$B),"")</f>
        <v>TQGXIIPL</v>
      </c>
      <c r="I1478" s="35" t="str">
        <f>IFERROR(_xlfn.XLOOKUP(Table6[[#This Row],[Affected WTG]],'Basic Data'!$A:$A,'Basic Data'!$C:$C),"")</f>
        <v>GEDA</v>
      </c>
      <c r="J1478" s="471">
        <f>IFERROR(_xlfn.XLOOKUP(Table6[[#This Row],[Affected WTG]],'Basic Data'!$A:$A,'Basic Data'!$E:$E),"")</f>
        <v>3.846153846153845E-2</v>
      </c>
      <c r="K1478" s="102">
        <v>4540</v>
      </c>
      <c r="L1478" s="35" t="str">
        <f>IFERROR(_xlfn.XLOOKUP(Table6[[#This Row],[Error Code]],'Basic Data'!$AA:$AA,'Basic Data'!$AB:$AB),"Incorrect Error Code")</f>
        <v>Tower oscillation X level 2</v>
      </c>
      <c r="M1478" s="35" t="s">
        <v>291</v>
      </c>
      <c r="N1478" s="475"/>
      <c r="O1478" s="476">
        <v>0.55347222222222225</v>
      </c>
      <c r="P1478" s="476">
        <v>0.55347222222222225</v>
      </c>
      <c r="Q1478" s="477">
        <v>0.55763888888888891</v>
      </c>
      <c r="R1478" s="472">
        <f>IF(Table6[[#This Row],[Work Start TimeStamp]]="","",(Table6[[#This Row],[Work Start TimeStamp]]-Table6[[#This Row],[Fault Start TimeStamp]])*24)</f>
        <v>0</v>
      </c>
      <c r="S1478" s="472">
        <f>(Table6[[#This Row],[Fault Clearance time]]-Table6[[#This Row],[Work Start TimeStamp]])*24</f>
        <v>9.9999999999999645E-2</v>
      </c>
      <c r="T1478" s="472">
        <f>(Table6[[#This Row],[Fault Clearance time]]-Table6[[#This Row],[Fault Start TimeStamp]])*24</f>
        <v>9.9999999999999645E-2</v>
      </c>
      <c r="U1478" s="35" t="s">
        <v>1924</v>
      </c>
      <c r="V1478" s="102" t="s">
        <v>293</v>
      </c>
      <c r="W1478" s="549">
        <f>IFERROR(Table6[[#This Row],[Breakdown Time]]*Table6[[#This Row],[Plant Equivalent Weightage]],"")</f>
        <v>3.8461538461538312E-3</v>
      </c>
      <c r="X1478" s="473" t="s">
        <v>294</v>
      </c>
      <c r="Y1478" s="474" t="s">
        <v>79</v>
      </c>
      <c r="Z1478" s="102">
        <v>31487</v>
      </c>
      <c r="AA1478" s="468">
        <f>(Table6[[#This Row],[Paired WTG Generation for loss calculation]]/24)*Table6[[#This Row],[Breakdown Time]]</f>
        <v>131.19583333333287</v>
      </c>
      <c r="AB1478" s="102"/>
      <c r="AC1478" s="35"/>
      <c r="AD1478" s="35"/>
    </row>
    <row r="1479" spans="1:30">
      <c r="A1479" s="102">
        <f t="shared" si="23"/>
        <v>1478</v>
      </c>
      <c r="B1479" s="468">
        <f>YEAR(Table6[[#This Row],[Date]])+IF(MONTH(Table6[[#This Row],[Date]])&gt;=4,1,0)</f>
        <v>2026</v>
      </c>
      <c r="C1479" s="102">
        <f>YEAR(Table6[[#This Row],[Date]])</f>
        <v>2025</v>
      </c>
      <c r="D1479" s="102" t="s">
        <v>1992</v>
      </c>
      <c r="E1479" s="469">
        <f>Table6[[#This Row],[Date]]-DAY(Table6[[#This Row],[Date]])+1</f>
        <v>45839</v>
      </c>
      <c r="F1479" s="470">
        <v>45844</v>
      </c>
      <c r="G1479" s="35" t="s">
        <v>95</v>
      </c>
      <c r="H1479" s="35" t="str">
        <f>IFERROR(_xlfn.XLOOKUP(Table6[[#This Row],[Affected WTG]],'Basic Data'!$A:$A,'Basic Data'!$B:$B),"")</f>
        <v>TQGXIIPL</v>
      </c>
      <c r="I1479" s="35" t="str">
        <f>IFERROR(_xlfn.XLOOKUP(Table6[[#This Row],[Affected WTG]],'Basic Data'!$A:$A,'Basic Data'!$C:$C),"")</f>
        <v>GEDA</v>
      </c>
      <c r="J1479" s="471">
        <f>IFERROR(_xlfn.XLOOKUP(Table6[[#This Row],[Affected WTG]],'Basic Data'!$A:$A,'Basic Data'!$E:$E),"")</f>
        <v>3.846153846153845E-2</v>
      </c>
      <c r="K1479" s="102">
        <v>6130</v>
      </c>
      <c r="L1479" s="35" t="str">
        <f>IFERROR(_xlfn.XLOOKUP(Table6[[#This Row],[Error Code]],'Basic Data'!$AA:$AA,'Basic Data'!$AB:$AB),"Incorrect Error Code")</f>
        <v>Yaw speed high</v>
      </c>
      <c r="M1479" s="35" t="s">
        <v>291</v>
      </c>
      <c r="N1479" s="475"/>
      <c r="O1479" s="476">
        <v>0.59097222222222223</v>
      </c>
      <c r="P1479" s="476">
        <v>0.59097222222222223</v>
      </c>
      <c r="Q1479" s="477">
        <v>0.59236111111111112</v>
      </c>
      <c r="R1479" s="472">
        <f>IF(Table6[[#This Row],[Work Start TimeStamp]]="","",(Table6[[#This Row],[Work Start TimeStamp]]-Table6[[#This Row],[Fault Start TimeStamp]])*24)</f>
        <v>0</v>
      </c>
      <c r="S1479" s="472">
        <f>(Table6[[#This Row],[Fault Clearance time]]-Table6[[#This Row],[Work Start TimeStamp]])*24</f>
        <v>3.3333333333333215E-2</v>
      </c>
      <c r="T1479" s="472">
        <f>(Table6[[#This Row],[Fault Clearance time]]-Table6[[#This Row],[Fault Start TimeStamp]])*24</f>
        <v>3.3333333333333215E-2</v>
      </c>
      <c r="U1479" s="35" t="s">
        <v>1924</v>
      </c>
      <c r="V1479" s="102" t="s">
        <v>293</v>
      </c>
      <c r="W1479" s="549">
        <f>IFERROR(Table6[[#This Row],[Breakdown Time]]*Table6[[#This Row],[Plant Equivalent Weightage]],"")</f>
        <v>1.2820512820512771E-3</v>
      </c>
      <c r="X1479" s="473" t="s">
        <v>294</v>
      </c>
      <c r="Y1479" s="474" t="s">
        <v>79</v>
      </c>
      <c r="Z1479" s="102">
        <v>31487</v>
      </c>
      <c r="AA1479" s="468">
        <f>(Table6[[#This Row],[Paired WTG Generation for loss calculation]]/24)*Table6[[#This Row],[Breakdown Time]]</f>
        <v>43.731944444444288</v>
      </c>
      <c r="AB1479" s="102"/>
      <c r="AC1479" s="35"/>
      <c r="AD1479" s="35"/>
    </row>
    <row r="1480" spans="1:30">
      <c r="A1480" s="102">
        <f t="shared" si="23"/>
        <v>1479</v>
      </c>
      <c r="B1480" s="468">
        <f>YEAR(Table6[[#This Row],[Date]])+IF(MONTH(Table6[[#This Row],[Date]])&gt;=4,1,0)</f>
        <v>2026</v>
      </c>
      <c r="C1480" s="102">
        <f>YEAR(Table6[[#This Row],[Date]])</f>
        <v>2025</v>
      </c>
      <c r="D1480" s="102" t="s">
        <v>1992</v>
      </c>
      <c r="E1480" s="469">
        <f>Table6[[#This Row],[Date]]-DAY(Table6[[#This Row],[Date]])+1</f>
        <v>45839</v>
      </c>
      <c r="F1480" s="470">
        <v>45844</v>
      </c>
      <c r="G1480" s="35" t="s">
        <v>96</v>
      </c>
      <c r="H1480" s="35" t="str">
        <f>IFERROR(_xlfn.XLOOKUP(Table6[[#This Row],[Affected WTG]],'Basic Data'!$A:$A,'Basic Data'!$B:$B),"")</f>
        <v>TQGXIIPL</v>
      </c>
      <c r="I1480" s="35" t="str">
        <f>IFERROR(_xlfn.XLOOKUP(Table6[[#This Row],[Affected WTG]],'Basic Data'!$A:$A,'Basic Data'!$C:$C),"")</f>
        <v>GEDA</v>
      </c>
      <c r="J1480" s="471">
        <f>IFERROR(_xlfn.XLOOKUP(Table6[[#This Row],[Affected WTG]],'Basic Data'!$A:$A,'Basic Data'!$E:$E),"")</f>
        <v>3.846153846153845E-2</v>
      </c>
      <c r="K1480" s="102">
        <v>4970</v>
      </c>
      <c r="L1480" s="35" t="str">
        <f>IFERROR(_xlfn.XLOOKUP(Table6[[#This Row],[Error Code]],'Basic Data'!$AA:$AA,'Basic Data'!$AB:$AB),"Incorrect Error Code")</f>
        <v>Tower oscillation XF</v>
      </c>
      <c r="M1480" s="35" t="s">
        <v>292</v>
      </c>
      <c r="N1480" s="475"/>
      <c r="O1480" s="476">
        <v>0.93125000000000002</v>
      </c>
      <c r="P1480" s="476">
        <v>0.93125000000000002</v>
      </c>
      <c r="Q1480" s="477">
        <v>0.94236111111111109</v>
      </c>
      <c r="R1480" s="472">
        <f>IF(Table6[[#This Row],[Work Start TimeStamp]]="","",(Table6[[#This Row],[Work Start TimeStamp]]-Table6[[#This Row],[Fault Start TimeStamp]])*24)</f>
        <v>0</v>
      </c>
      <c r="S1480" s="472">
        <f>(Table6[[#This Row],[Fault Clearance time]]-Table6[[#This Row],[Work Start TimeStamp]])*24</f>
        <v>0.26666666666666572</v>
      </c>
      <c r="T1480" s="472">
        <f>(Table6[[#This Row],[Fault Clearance time]]-Table6[[#This Row],[Fault Start TimeStamp]])*24</f>
        <v>0.26666666666666572</v>
      </c>
      <c r="U1480" s="35" t="s">
        <v>336</v>
      </c>
      <c r="V1480" s="102" t="s">
        <v>293</v>
      </c>
      <c r="W1480" s="549">
        <f>IFERROR(Table6[[#This Row],[Breakdown Time]]*Table6[[#This Row],[Plant Equivalent Weightage]],"")</f>
        <v>1.0256410256410217E-2</v>
      </c>
      <c r="X1480" s="473" t="s">
        <v>294</v>
      </c>
      <c r="Y1480" s="474" t="s">
        <v>84</v>
      </c>
      <c r="Z1480" s="102">
        <v>34101</v>
      </c>
      <c r="AA1480" s="468">
        <f>(Table6[[#This Row],[Paired WTG Generation for loss calculation]]/24)*Table6[[#This Row],[Breakdown Time]]</f>
        <v>378.89999999999867</v>
      </c>
      <c r="AB1480" s="102"/>
      <c r="AC1480" s="35"/>
      <c r="AD1480" s="35"/>
    </row>
    <row r="1481" spans="1:30">
      <c r="A1481" s="102">
        <f t="shared" si="23"/>
        <v>1480</v>
      </c>
      <c r="B1481" s="468">
        <f>YEAR(Table6[[#This Row],[Date]])+IF(MONTH(Table6[[#This Row],[Date]])&gt;=4,1,0)</f>
        <v>2026</v>
      </c>
      <c r="C1481" s="102">
        <f>YEAR(Table6[[#This Row],[Date]])</f>
        <v>2025</v>
      </c>
      <c r="D1481" s="102" t="s">
        <v>1992</v>
      </c>
      <c r="E1481" s="469">
        <f>Table6[[#This Row],[Date]]-DAY(Table6[[#This Row],[Date]])+1</f>
        <v>45839</v>
      </c>
      <c r="F1481" s="470">
        <v>45845</v>
      </c>
      <c r="G1481" s="35" t="s">
        <v>75</v>
      </c>
      <c r="H1481" s="35" t="str">
        <f>IFERROR(_xlfn.XLOOKUP(Table6[[#This Row],[Affected WTG]],'Basic Data'!$A:$A,'Basic Data'!$B:$B),"")</f>
        <v>TQGXIIPL</v>
      </c>
      <c r="I1481" s="35" t="str">
        <f>IFERROR(_xlfn.XLOOKUP(Table6[[#This Row],[Affected WTG]],'Basic Data'!$A:$A,'Basic Data'!$C:$C),"")</f>
        <v>GEDA</v>
      </c>
      <c r="J1481" s="471">
        <f>IFERROR(_xlfn.XLOOKUP(Table6[[#This Row],[Affected WTG]],'Basic Data'!$A:$A,'Basic Data'!$E:$E),"")</f>
        <v>3.846153846153845E-2</v>
      </c>
      <c r="K1481" s="102">
        <v>520</v>
      </c>
      <c r="L1481" s="35" t="str">
        <f>IFERROR(_xlfn.XLOOKUP(Table6[[#This Row],[Error Code]],'Basic Data'!$AA:$AA,'Basic Data'!$AB:$AB),"Incorrect Error Code")</f>
        <v>Overload axis 1</v>
      </c>
      <c r="M1481" s="35" t="s">
        <v>291</v>
      </c>
      <c r="N1481" s="475"/>
      <c r="O1481" s="476">
        <v>0.74305555555555558</v>
      </c>
      <c r="P1481" s="476">
        <v>0.74305555555555558</v>
      </c>
      <c r="Q1481" s="477">
        <v>0.75486111111111109</v>
      </c>
      <c r="R1481" s="472">
        <f>IF(Table6[[#This Row],[Work Start TimeStamp]]="","",(Table6[[#This Row],[Work Start TimeStamp]]-Table6[[#This Row],[Fault Start TimeStamp]])*24)</f>
        <v>0</v>
      </c>
      <c r="S1481" s="472">
        <f>(Table6[[#This Row],[Fault Clearance time]]-Table6[[#This Row],[Work Start TimeStamp]])*24</f>
        <v>0.28333333333333233</v>
      </c>
      <c r="T1481" s="472">
        <f>(Table6[[#This Row],[Fault Clearance time]]-Table6[[#This Row],[Fault Start TimeStamp]])*24</f>
        <v>0.28333333333333233</v>
      </c>
      <c r="U1481" s="35" t="s">
        <v>2031</v>
      </c>
      <c r="V1481" s="102" t="s">
        <v>293</v>
      </c>
      <c r="W1481" s="549">
        <f>IFERROR(Table6[[#This Row],[Breakdown Time]]*Table6[[#This Row],[Plant Equivalent Weightage]],"")</f>
        <v>1.0897435897435855E-2</v>
      </c>
      <c r="X1481" s="473" t="s">
        <v>294</v>
      </c>
      <c r="Y1481" s="474" t="s">
        <v>78</v>
      </c>
      <c r="Z1481" s="102">
        <v>33272</v>
      </c>
      <c r="AA1481" s="468">
        <f>(Table6[[#This Row],[Paired WTG Generation for loss calculation]]/24)*Table6[[#This Row],[Breakdown Time]]</f>
        <v>392.794444444443</v>
      </c>
      <c r="AB1481" s="102"/>
      <c r="AC1481" s="35"/>
      <c r="AD1481" s="35"/>
    </row>
    <row r="1482" spans="1:30">
      <c r="A1482" s="102">
        <f t="shared" si="23"/>
        <v>1481</v>
      </c>
      <c r="B1482" s="468">
        <f>YEAR(Table6[[#This Row],[Date]])+IF(MONTH(Table6[[#This Row],[Date]])&gt;=4,1,0)</f>
        <v>2026</v>
      </c>
      <c r="C1482" s="102">
        <f>YEAR(Table6[[#This Row],[Date]])</f>
        <v>2025</v>
      </c>
      <c r="D1482" s="102" t="s">
        <v>1992</v>
      </c>
      <c r="E1482" s="469">
        <f>Table6[[#This Row],[Date]]-DAY(Table6[[#This Row],[Date]])+1</f>
        <v>45839</v>
      </c>
      <c r="F1482" s="470">
        <v>45845</v>
      </c>
      <c r="G1482" s="35" t="s">
        <v>77</v>
      </c>
      <c r="H1482" s="35" t="str">
        <f>IFERROR(_xlfn.XLOOKUP(Table6[[#This Row],[Affected WTG]],'Basic Data'!$A:$A,'Basic Data'!$B:$B),"")</f>
        <v>TQGXIIPL</v>
      </c>
      <c r="I1482" s="35" t="str">
        <f>IFERROR(_xlfn.XLOOKUP(Table6[[#This Row],[Affected WTG]],'Basic Data'!$A:$A,'Basic Data'!$C:$C),"")</f>
        <v>GEDA</v>
      </c>
      <c r="J1482" s="471">
        <f>IFERROR(_xlfn.XLOOKUP(Table6[[#This Row],[Affected WTG]],'Basic Data'!$A:$A,'Basic Data'!$E:$E),"")</f>
        <v>3.846153846153845E-2</v>
      </c>
      <c r="K1482" s="102">
        <v>6130</v>
      </c>
      <c r="L1482" s="35" t="str">
        <f>IFERROR(_xlfn.XLOOKUP(Table6[[#This Row],[Error Code]],'Basic Data'!$AA:$AA,'Basic Data'!$AB:$AB),"Incorrect Error Code")</f>
        <v>Yaw speed high</v>
      </c>
      <c r="M1482" s="35" t="s">
        <v>292</v>
      </c>
      <c r="N1482" s="475"/>
      <c r="O1482" s="476">
        <v>3.4722222222222224E-2</v>
      </c>
      <c r="P1482" s="476">
        <v>3.4722222222222224E-2</v>
      </c>
      <c r="Q1482" s="477">
        <v>3.888888888888889E-2</v>
      </c>
      <c r="R1482" s="472">
        <f>IF(Table6[[#This Row],[Work Start TimeStamp]]="","",(Table6[[#This Row],[Work Start TimeStamp]]-Table6[[#This Row],[Fault Start TimeStamp]])*24)</f>
        <v>0</v>
      </c>
      <c r="S1482" s="472">
        <f>(Table6[[#This Row],[Fault Clearance time]]-Table6[[#This Row],[Work Start TimeStamp]])*24</f>
        <v>9.9999999999999978E-2</v>
      </c>
      <c r="T1482" s="472">
        <f>(Table6[[#This Row],[Fault Clearance time]]-Table6[[#This Row],[Fault Start TimeStamp]])*24</f>
        <v>9.9999999999999978E-2</v>
      </c>
      <c r="U1482" s="35" t="s">
        <v>336</v>
      </c>
      <c r="V1482" s="102" t="s">
        <v>293</v>
      </c>
      <c r="W1482" s="549">
        <f>IFERROR(Table6[[#This Row],[Breakdown Time]]*Table6[[#This Row],[Plant Equivalent Weightage]],"")</f>
        <v>3.8461538461538442E-3</v>
      </c>
      <c r="X1482" s="473" t="s">
        <v>294</v>
      </c>
      <c r="Y1482" s="474" t="s">
        <v>80</v>
      </c>
      <c r="Z1482" s="102">
        <v>32816</v>
      </c>
      <c r="AA1482" s="468">
        <f>(Table6[[#This Row],[Paired WTG Generation for loss calculation]]/24)*Table6[[#This Row],[Breakdown Time]]</f>
        <v>136.73333333333329</v>
      </c>
      <c r="AB1482" s="102"/>
      <c r="AC1482" s="35"/>
      <c r="AD1482" s="35"/>
    </row>
    <row r="1483" spans="1:30">
      <c r="A1483" s="102">
        <f t="shared" si="23"/>
        <v>1482</v>
      </c>
      <c r="B1483" s="468">
        <f>YEAR(Table6[[#This Row],[Date]])+IF(MONTH(Table6[[#This Row],[Date]])&gt;=4,1,0)</f>
        <v>2026</v>
      </c>
      <c r="C1483" s="102">
        <f>YEAR(Table6[[#This Row],[Date]])</f>
        <v>2025</v>
      </c>
      <c r="D1483" s="102" t="s">
        <v>1992</v>
      </c>
      <c r="E1483" s="469">
        <f>Table6[[#This Row],[Date]]-DAY(Table6[[#This Row],[Date]])+1</f>
        <v>45839</v>
      </c>
      <c r="F1483" s="470">
        <v>45845</v>
      </c>
      <c r="G1483" s="35" t="s">
        <v>80</v>
      </c>
      <c r="H1483" s="35" t="str">
        <f>IFERROR(_xlfn.XLOOKUP(Table6[[#This Row],[Affected WTG]],'Basic Data'!$A:$A,'Basic Data'!$B:$B),"")</f>
        <v>TQGXIIPL</v>
      </c>
      <c r="I1483" s="35" t="str">
        <f>IFERROR(_xlfn.XLOOKUP(Table6[[#This Row],[Affected WTG]],'Basic Data'!$A:$A,'Basic Data'!$C:$C),"")</f>
        <v>GEDA</v>
      </c>
      <c r="J1483" s="471">
        <f>IFERROR(_xlfn.XLOOKUP(Table6[[#This Row],[Affected WTG]],'Basic Data'!$A:$A,'Basic Data'!$E:$E),"")</f>
        <v>3.846153846153845E-2</v>
      </c>
      <c r="K1483" s="102">
        <v>4540</v>
      </c>
      <c r="L1483" s="35" t="str">
        <f>IFERROR(_xlfn.XLOOKUP(Table6[[#This Row],[Error Code]],'Basic Data'!$AA:$AA,'Basic Data'!$AB:$AB),"Incorrect Error Code")</f>
        <v>Tower oscillation X level 2</v>
      </c>
      <c r="M1483" s="35" t="s">
        <v>291</v>
      </c>
      <c r="N1483" s="475"/>
      <c r="O1483" s="476">
        <v>0.62430555555555556</v>
      </c>
      <c r="P1483" s="476">
        <v>0.62430555555555556</v>
      </c>
      <c r="Q1483" s="477">
        <v>0.62847222222222221</v>
      </c>
      <c r="R1483" s="472">
        <f>IF(Table6[[#This Row],[Work Start TimeStamp]]="","",(Table6[[#This Row],[Work Start TimeStamp]]-Table6[[#This Row],[Fault Start TimeStamp]])*24)</f>
        <v>0</v>
      </c>
      <c r="S1483" s="472">
        <f>(Table6[[#This Row],[Fault Clearance time]]-Table6[[#This Row],[Work Start TimeStamp]])*24</f>
        <v>9.9999999999999645E-2</v>
      </c>
      <c r="T1483" s="472">
        <f>(Table6[[#This Row],[Fault Clearance time]]-Table6[[#This Row],[Fault Start TimeStamp]])*24</f>
        <v>9.9999999999999645E-2</v>
      </c>
      <c r="U1483" s="35" t="s">
        <v>1924</v>
      </c>
      <c r="V1483" s="102" t="s">
        <v>293</v>
      </c>
      <c r="W1483" s="549">
        <f>IFERROR(Table6[[#This Row],[Breakdown Time]]*Table6[[#This Row],[Plant Equivalent Weightage]],"")</f>
        <v>3.8461538461538312E-3</v>
      </c>
      <c r="X1483" s="473" t="s">
        <v>294</v>
      </c>
      <c r="Y1483" s="474" t="s">
        <v>77</v>
      </c>
      <c r="Z1483" s="102">
        <v>33919</v>
      </c>
      <c r="AA1483" s="468">
        <f>(Table6[[#This Row],[Paired WTG Generation for loss calculation]]/24)*Table6[[#This Row],[Breakdown Time]]</f>
        <v>141.32916666666617</v>
      </c>
      <c r="AB1483" s="102"/>
      <c r="AC1483" s="35"/>
      <c r="AD1483" s="35"/>
    </row>
    <row r="1484" spans="1:30">
      <c r="A1484" s="102">
        <f t="shared" si="23"/>
        <v>1483</v>
      </c>
      <c r="B1484" s="468">
        <f>YEAR(Table6[[#This Row],[Date]])+IF(MONTH(Table6[[#This Row],[Date]])&gt;=4,1,0)</f>
        <v>2026</v>
      </c>
      <c r="C1484" s="102">
        <f>YEAR(Table6[[#This Row],[Date]])</f>
        <v>2025</v>
      </c>
      <c r="D1484" s="102" t="s">
        <v>1992</v>
      </c>
      <c r="E1484" s="469">
        <f>Table6[[#This Row],[Date]]-DAY(Table6[[#This Row],[Date]])+1</f>
        <v>45839</v>
      </c>
      <c r="F1484" s="470">
        <v>45845</v>
      </c>
      <c r="G1484" s="35" t="s">
        <v>80</v>
      </c>
      <c r="H1484" s="35" t="str">
        <f>IFERROR(_xlfn.XLOOKUP(Table6[[#This Row],[Affected WTG]],'Basic Data'!$A:$A,'Basic Data'!$B:$B),"")</f>
        <v>TQGXIIPL</v>
      </c>
      <c r="I1484" s="35" t="str">
        <f>IFERROR(_xlfn.XLOOKUP(Table6[[#This Row],[Affected WTG]],'Basic Data'!$A:$A,'Basic Data'!$C:$C),"")</f>
        <v>GEDA</v>
      </c>
      <c r="J1484" s="471">
        <f>IFERROR(_xlfn.XLOOKUP(Table6[[#This Row],[Affected WTG]],'Basic Data'!$A:$A,'Basic Data'!$E:$E),"")</f>
        <v>3.846153846153845E-2</v>
      </c>
      <c r="K1484" s="102">
        <v>175</v>
      </c>
      <c r="L1484" s="35" t="str">
        <f>IFERROR(_xlfn.XLOOKUP(Table6[[#This Row],[Error Code]],'Basic Data'!$AA:$AA,'Basic Data'!$AB:$AB),"Incorrect Error Code")</f>
        <v>SLC error</v>
      </c>
      <c r="M1484" s="35" t="s">
        <v>291</v>
      </c>
      <c r="N1484" s="475"/>
      <c r="O1484" s="476">
        <v>0.60902777777777772</v>
      </c>
      <c r="P1484" s="476">
        <v>0.60902777777777772</v>
      </c>
      <c r="Q1484" s="477">
        <v>0.6166666666666667</v>
      </c>
      <c r="R1484" s="472">
        <f>IF(Table6[[#This Row],[Work Start TimeStamp]]="","",(Table6[[#This Row],[Work Start TimeStamp]]-Table6[[#This Row],[Fault Start TimeStamp]])*24)</f>
        <v>0</v>
      </c>
      <c r="S1484" s="472">
        <f>(Table6[[#This Row],[Fault Clearance time]]-Table6[[#This Row],[Work Start TimeStamp]])*24</f>
        <v>0.18333333333333535</v>
      </c>
      <c r="T1484" s="472">
        <f>(Table6[[#This Row],[Fault Clearance time]]-Table6[[#This Row],[Fault Start TimeStamp]])*24</f>
        <v>0.18333333333333535</v>
      </c>
      <c r="U1484" s="35" t="s">
        <v>2031</v>
      </c>
      <c r="V1484" s="102" t="s">
        <v>293</v>
      </c>
      <c r="W1484" s="549">
        <f>IFERROR(Table6[[#This Row],[Breakdown Time]]*Table6[[#This Row],[Plant Equivalent Weightage]],"")</f>
        <v>7.0512820512821268E-3</v>
      </c>
      <c r="X1484" s="473" t="s">
        <v>294</v>
      </c>
      <c r="Y1484" s="474" t="s">
        <v>77</v>
      </c>
      <c r="Z1484" s="102">
        <v>33919</v>
      </c>
      <c r="AA1484" s="468">
        <f>(Table6[[#This Row],[Paired WTG Generation for loss calculation]]/24)*Table6[[#This Row],[Breakdown Time]]</f>
        <v>259.10347222222509</v>
      </c>
      <c r="AB1484" s="102"/>
      <c r="AC1484" s="35"/>
      <c r="AD1484" s="35"/>
    </row>
    <row r="1485" spans="1:30">
      <c r="A1485" s="102">
        <f t="shared" si="23"/>
        <v>1484</v>
      </c>
      <c r="B1485" s="468">
        <f>YEAR(Table6[[#This Row],[Date]])+IF(MONTH(Table6[[#This Row],[Date]])&gt;=4,1,0)</f>
        <v>2026</v>
      </c>
      <c r="C1485" s="102">
        <f>YEAR(Table6[[#This Row],[Date]])</f>
        <v>2025</v>
      </c>
      <c r="D1485" s="102" t="s">
        <v>1992</v>
      </c>
      <c r="E1485" s="469">
        <f>Table6[[#This Row],[Date]]-DAY(Table6[[#This Row],[Date]])+1</f>
        <v>45839</v>
      </c>
      <c r="F1485" s="470">
        <v>45845</v>
      </c>
      <c r="G1485" s="35" t="s">
        <v>82</v>
      </c>
      <c r="H1485" s="35" t="str">
        <f>IFERROR(_xlfn.XLOOKUP(Table6[[#This Row],[Affected WTG]],'Basic Data'!$A:$A,'Basic Data'!$B:$B),"")</f>
        <v>TQGXIIPL</v>
      </c>
      <c r="I1485" s="35" t="str">
        <f>IFERROR(_xlfn.XLOOKUP(Table6[[#This Row],[Affected WTG]],'Basic Data'!$A:$A,'Basic Data'!$C:$C),"")</f>
        <v>GEDA</v>
      </c>
      <c r="J1485" s="471">
        <f>IFERROR(_xlfn.XLOOKUP(Table6[[#This Row],[Affected WTG]],'Basic Data'!$A:$A,'Basic Data'!$E:$E),"")</f>
        <v>3.846153846153845E-2</v>
      </c>
      <c r="K1485" s="102">
        <v>650</v>
      </c>
      <c r="L1485" s="35" t="str">
        <f>IFERROR(_xlfn.XLOOKUP(Table6[[#This Row],[Error Code]],'Basic Data'!$AA:$AA,'Basic Data'!$AB:$AB),"Incorrect Error Code")</f>
        <v>Pitch controller communication error</v>
      </c>
      <c r="M1485" s="35" t="s">
        <v>291</v>
      </c>
      <c r="N1485" s="475"/>
      <c r="O1485" s="476">
        <v>0.7319444444444444</v>
      </c>
      <c r="P1485" s="476">
        <v>0.7319444444444444</v>
      </c>
      <c r="Q1485" s="477">
        <v>0.76249999999999996</v>
      </c>
      <c r="R1485" s="472">
        <f>IF(Table6[[#This Row],[Work Start TimeStamp]]="","",(Table6[[#This Row],[Work Start TimeStamp]]-Table6[[#This Row],[Fault Start TimeStamp]])*24)</f>
        <v>0</v>
      </c>
      <c r="S1485" s="472">
        <f>(Table6[[#This Row],[Fault Clearance time]]-Table6[[#This Row],[Work Start TimeStamp]])*24</f>
        <v>0.73333333333333339</v>
      </c>
      <c r="T1485" s="472">
        <f>(Table6[[#This Row],[Fault Clearance time]]-Table6[[#This Row],[Fault Start TimeStamp]])*24</f>
        <v>0.73333333333333339</v>
      </c>
      <c r="U1485" s="35" t="s">
        <v>2051</v>
      </c>
      <c r="V1485" s="102" t="s">
        <v>293</v>
      </c>
      <c r="W1485" s="549">
        <f>IFERROR(Table6[[#This Row],[Breakdown Time]]*Table6[[#This Row],[Plant Equivalent Weightage]],"")</f>
        <v>2.8205128205128199E-2</v>
      </c>
      <c r="X1485" s="473" t="s">
        <v>294</v>
      </c>
      <c r="Y1485" s="474" t="s">
        <v>76</v>
      </c>
      <c r="Z1485" s="102">
        <v>32768</v>
      </c>
      <c r="AA1485" s="468">
        <f>(Table6[[#This Row],[Paired WTG Generation for loss calculation]]/24)*Table6[[#This Row],[Breakdown Time]]</f>
        <v>1001.2444444444445</v>
      </c>
      <c r="AB1485" s="102"/>
      <c r="AC1485" s="35"/>
      <c r="AD1485" s="35"/>
    </row>
    <row r="1486" spans="1:30">
      <c r="A1486" s="102">
        <f t="shared" si="23"/>
        <v>1485</v>
      </c>
      <c r="B1486" s="468">
        <f>YEAR(Table6[[#This Row],[Date]])+IF(MONTH(Table6[[#This Row],[Date]])&gt;=4,1,0)</f>
        <v>2026</v>
      </c>
      <c r="C1486" s="102">
        <f>YEAR(Table6[[#This Row],[Date]])</f>
        <v>2025</v>
      </c>
      <c r="D1486" s="102" t="s">
        <v>1992</v>
      </c>
      <c r="E1486" s="469">
        <f>Table6[[#This Row],[Date]]-DAY(Table6[[#This Row],[Date]])+1</f>
        <v>45839</v>
      </c>
      <c r="F1486" s="470">
        <v>45845</v>
      </c>
      <c r="G1486" s="35" t="s">
        <v>84</v>
      </c>
      <c r="H1486" s="35" t="str">
        <f>IFERROR(_xlfn.XLOOKUP(Table6[[#This Row],[Affected WTG]],'Basic Data'!$A:$A,'Basic Data'!$B:$B),"")</f>
        <v>TQGXIIPL</v>
      </c>
      <c r="I1486" s="35" t="str">
        <f>IFERROR(_xlfn.XLOOKUP(Table6[[#This Row],[Affected WTG]],'Basic Data'!$A:$A,'Basic Data'!$C:$C),"")</f>
        <v>GEDA</v>
      </c>
      <c r="J1486" s="471">
        <f>IFERROR(_xlfn.XLOOKUP(Table6[[#This Row],[Affected WTG]],'Basic Data'!$A:$A,'Basic Data'!$E:$E),"")</f>
        <v>3.846153846153845E-2</v>
      </c>
      <c r="K1486" s="102">
        <v>650</v>
      </c>
      <c r="L1486" s="35" t="str">
        <f>IFERROR(_xlfn.XLOOKUP(Table6[[#This Row],[Error Code]],'Basic Data'!$AA:$AA,'Basic Data'!$AB:$AB),"Incorrect Error Code")</f>
        <v>Pitch controller communication error</v>
      </c>
      <c r="M1486" s="35" t="s">
        <v>295</v>
      </c>
      <c r="N1486" s="475"/>
      <c r="O1486" s="476">
        <v>0.7319444444444444</v>
      </c>
      <c r="P1486" s="476">
        <v>0.79166666666666663</v>
      </c>
      <c r="Q1486" s="477">
        <v>1</v>
      </c>
      <c r="R1486" s="472">
        <f>IF(Table6[[#This Row],[Work Start TimeStamp]]="","",(Table6[[#This Row],[Work Start TimeStamp]]-Table6[[#This Row],[Fault Start TimeStamp]])*24)</f>
        <v>1.4333333333333336</v>
      </c>
      <c r="S1486" s="472">
        <f>(Table6[[#This Row],[Fault Clearance time]]-Table6[[#This Row],[Work Start TimeStamp]])*24</f>
        <v>5.0000000000000009</v>
      </c>
      <c r="T1486" s="472">
        <f>(Table6[[#This Row],[Fault Clearance time]]-Table6[[#This Row],[Fault Start TimeStamp]])*24</f>
        <v>6.4333333333333345</v>
      </c>
      <c r="U1486" s="35" t="s">
        <v>2052</v>
      </c>
      <c r="V1486" s="102" t="s">
        <v>293</v>
      </c>
      <c r="W1486" s="549">
        <f>IFERROR(Table6[[#This Row],[Breakdown Time]]*Table6[[#This Row],[Plant Equivalent Weightage]],"")</f>
        <v>0.24743589743589742</v>
      </c>
      <c r="X1486" s="473" t="s">
        <v>290</v>
      </c>
      <c r="Y1486" s="474" t="s">
        <v>86</v>
      </c>
      <c r="Z1486" s="102">
        <v>36860</v>
      </c>
      <c r="AA1486" s="468">
        <f>(Table6[[#This Row],[Paired WTG Generation for loss calculation]]/24)*Table6[[#This Row],[Breakdown Time]]</f>
        <v>9880.5277777777792</v>
      </c>
      <c r="AB1486" s="102"/>
      <c r="AC1486" s="35"/>
      <c r="AD1486" s="35"/>
    </row>
    <row r="1487" spans="1:30">
      <c r="A1487" s="102">
        <f t="shared" ref="A1487:A1550" si="24">A1486+1</f>
        <v>1486</v>
      </c>
      <c r="B1487" s="468">
        <f>YEAR(Table6[[#This Row],[Date]])+IF(MONTH(Table6[[#This Row],[Date]])&gt;=4,1,0)</f>
        <v>2026</v>
      </c>
      <c r="C1487" s="102">
        <f>YEAR(Table6[[#This Row],[Date]])</f>
        <v>2025</v>
      </c>
      <c r="D1487" s="102" t="s">
        <v>1992</v>
      </c>
      <c r="E1487" s="469">
        <f>Table6[[#This Row],[Date]]-DAY(Table6[[#This Row],[Date]])+1</f>
        <v>45839</v>
      </c>
      <c r="F1487" s="470">
        <v>45845</v>
      </c>
      <c r="G1487" s="35" t="s">
        <v>85</v>
      </c>
      <c r="H1487" s="35" t="str">
        <f>IFERROR(_xlfn.XLOOKUP(Table6[[#This Row],[Affected WTG]],'Basic Data'!$A:$A,'Basic Data'!$B:$B),"")</f>
        <v>TQGXIIPL</v>
      </c>
      <c r="I1487" s="35" t="str">
        <f>IFERROR(_xlfn.XLOOKUP(Table6[[#This Row],[Affected WTG]],'Basic Data'!$A:$A,'Basic Data'!$C:$C),"")</f>
        <v>GEDA</v>
      </c>
      <c r="J1487" s="471">
        <f>IFERROR(_xlfn.XLOOKUP(Table6[[#This Row],[Affected WTG]],'Basic Data'!$A:$A,'Basic Data'!$E:$E),"")</f>
        <v>3.846153846153845E-2</v>
      </c>
      <c r="K1487" s="102">
        <v>55</v>
      </c>
      <c r="L1487" s="35" t="str">
        <f>IFERROR(_xlfn.XLOOKUP(Table6[[#This Row],[Error Code]],'Basic Data'!$AA:$AA,'Basic Data'!$AB:$AB),"Incorrect Error Code")</f>
        <v>WTG shut down</v>
      </c>
      <c r="M1487" s="35" t="s">
        <v>295</v>
      </c>
      <c r="N1487" s="475"/>
      <c r="O1487" s="476">
        <v>0</v>
      </c>
      <c r="P1487" s="476">
        <v>0</v>
      </c>
      <c r="Q1487" s="477">
        <v>0.67361111111111116</v>
      </c>
      <c r="R1487" s="472">
        <f>IF(Table6[[#This Row],[Work Start TimeStamp]]="","",(Table6[[#This Row],[Work Start TimeStamp]]-Table6[[#This Row],[Fault Start TimeStamp]])*24)</f>
        <v>0</v>
      </c>
      <c r="S1487" s="472">
        <f>(Table6[[#This Row],[Fault Clearance time]]-Table6[[#This Row],[Work Start TimeStamp]])*24</f>
        <v>16.166666666666668</v>
      </c>
      <c r="T1487" s="472">
        <f>(Table6[[#This Row],[Fault Clearance time]]-Table6[[#This Row],[Fault Start TimeStamp]])*24</f>
        <v>16.166666666666668</v>
      </c>
      <c r="U1487" s="35" t="s">
        <v>2102</v>
      </c>
      <c r="V1487" s="102" t="s">
        <v>293</v>
      </c>
      <c r="W1487" s="549">
        <f>IFERROR(Table6[[#This Row],[Breakdown Time]]*Table6[[#This Row],[Plant Equivalent Weightage]],"")</f>
        <v>0.6217948717948717</v>
      </c>
      <c r="X1487" s="473" t="s">
        <v>290</v>
      </c>
      <c r="Y1487" s="474" t="s">
        <v>87</v>
      </c>
      <c r="Z1487" s="102">
        <v>33429</v>
      </c>
      <c r="AA1487" s="468">
        <f>(Table6[[#This Row],[Paired WTG Generation for loss calculation]]/24)*Table6[[#This Row],[Breakdown Time]]</f>
        <v>22518.145833333336</v>
      </c>
      <c r="AB1487" s="102"/>
      <c r="AC1487" s="35"/>
      <c r="AD1487" s="35"/>
    </row>
    <row r="1488" spans="1:30">
      <c r="A1488" s="102">
        <f t="shared" si="24"/>
        <v>1487</v>
      </c>
      <c r="B1488" s="468">
        <f>YEAR(Table6[[#This Row],[Date]])+IF(MONTH(Table6[[#This Row],[Date]])&gt;=4,1,0)</f>
        <v>2026</v>
      </c>
      <c r="C1488" s="102">
        <f>YEAR(Table6[[#This Row],[Date]])</f>
        <v>2025</v>
      </c>
      <c r="D1488" s="102" t="s">
        <v>1992</v>
      </c>
      <c r="E1488" s="469">
        <f>Table6[[#This Row],[Date]]-DAY(Table6[[#This Row],[Date]])+1</f>
        <v>45839</v>
      </c>
      <c r="F1488" s="470">
        <v>45845</v>
      </c>
      <c r="G1488" s="35" t="s">
        <v>85</v>
      </c>
      <c r="H1488" s="35" t="str">
        <f>IFERROR(_xlfn.XLOOKUP(Table6[[#This Row],[Affected WTG]],'Basic Data'!$A:$A,'Basic Data'!$B:$B),"")</f>
        <v>TQGXIIPL</v>
      </c>
      <c r="I1488" s="35" t="str">
        <f>IFERROR(_xlfn.XLOOKUP(Table6[[#This Row],[Affected WTG]],'Basic Data'!$A:$A,'Basic Data'!$C:$C),"")</f>
        <v>GEDA</v>
      </c>
      <c r="J1488" s="471">
        <f>IFERROR(_xlfn.XLOOKUP(Table6[[#This Row],[Affected WTG]],'Basic Data'!$A:$A,'Basic Data'!$E:$E),"")</f>
        <v>3.846153846153845E-2</v>
      </c>
      <c r="K1488" s="102">
        <v>55</v>
      </c>
      <c r="L1488" s="35" t="str">
        <f>IFERROR(_xlfn.XLOOKUP(Table6[[#This Row],[Error Code]],'Basic Data'!$AA:$AA,'Basic Data'!$AB:$AB),"Incorrect Error Code")</f>
        <v>WTG shut down</v>
      </c>
      <c r="M1488" s="35" t="s">
        <v>295</v>
      </c>
      <c r="N1488" s="475"/>
      <c r="O1488" s="476">
        <v>0.67361111111111116</v>
      </c>
      <c r="P1488" s="476">
        <v>0.67361111111111116</v>
      </c>
      <c r="Q1488" s="477">
        <v>0.71319444444444446</v>
      </c>
      <c r="R1488" s="472">
        <f>IF(Table6[[#This Row],[Work Start TimeStamp]]="","",(Table6[[#This Row],[Work Start TimeStamp]]-Table6[[#This Row],[Fault Start TimeStamp]])*24)</f>
        <v>0</v>
      </c>
      <c r="S1488" s="472">
        <f>(Table6[[#This Row],[Fault Clearance time]]-Table6[[#This Row],[Work Start TimeStamp]])*24</f>
        <v>0.94999999999999929</v>
      </c>
      <c r="T1488" s="472">
        <f>(Table6[[#This Row],[Fault Clearance time]]-Table6[[#This Row],[Fault Start TimeStamp]])*24</f>
        <v>0.94999999999999929</v>
      </c>
      <c r="U1488" s="35" t="s">
        <v>2103</v>
      </c>
      <c r="V1488" s="102" t="s">
        <v>293</v>
      </c>
      <c r="W1488" s="549">
        <f>IFERROR(Table6[[#This Row],[Breakdown Time]]*Table6[[#This Row],[Plant Equivalent Weightage]],"")</f>
        <v>3.6538461538461499E-2</v>
      </c>
      <c r="X1488" s="473" t="s">
        <v>290</v>
      </c>
      <c r="Y1488" s="474" t="s">
        <v>87</v>
      </c>
      <c r="Z1488" s="102">
        <v>33429</v>
      </c>
      <c r="AA1488" s="468">
        <f>(Table6[[#This Row],[Paired WTG Generation for loss calculation]]/24)*Table6[[#This Row],[Breakdown Time]]</f>
        <v>1323.2312499999989</v>
      </c>
      <c r="AB1488" s="102"/>
      <c r="AC1488" s="35"/>
      <c r="AD1488" s="35"/>
    </row>
    <row r="1489" spans="1:30">
      <c r="A1489" s="102">
        <f t="shared" si="24"/>
        <v>1488</v>
      </c>
      <c r="B1489" s="468">
        <f>YEAR(Table6[[#This Row],[Date]])+IF(MONTH(Table6[[#This Row],[Date]])&gt;=4,1,0)</f>
        <v>2026</v>
      </c>
      <c r="C1489" s="102">
        <f>YEAR(Table6[[#This Row],[Date]])</f>
        <v>2025</v>
      </c>
      <c r="D1489" s="102" t="s">
        <v>1992</v>
      </c>
      <c r="E1489" s="469">
        <f>Table6[[#This Row],[Date]]-DAY(Table6[[#This Row],[Date]])+1</f>
        <v>45839</v>
      </c>
      <c r="F1489" s="470">
        <v>45845</v>
      </c>
      <c r="G1489" s="35" t="s">
        <v>85</v>
      </c>
      <c r="H1489" s="35" t="str">
        <f>IFERROR(_xlfn.XLOOKUP(Table6[[#This Row],[Affected WTG]],'Basic Data'!$A:$A,'Basic Data'!$B:$B),"")</f>
        <v>TQGXIIPL</v>
      </c>
      <c r="I1489" s="35" t="str">
        <f>IFERROR(_xlfn.XLOOKUP(Table6[[#This Row],[Affected WTG]],'Basic Data'!$A:$A,'Basic Data'!$C:$C),"")</f>
        <v>GEDA</v>
      </c>
      <c r="J1489" s="471">
        <f>IFERROR(_xlfn.XLOOKUP(Table6[[#This Row],[Affected WTG]],'Basic Data'!$A:$A,'Basic Data'!$E:$E),"")</f>
        <v>3.846153846153845E-2</v>
      </c>
      <c r="K1489" s="102">
        <v>55</v>
      </c>
      <c r="L1489" s="35" t="str">
        <f>IFERROR(_xlfn.XLOOKUP(Table6[[#This Row],[Error Code]],'Basic Data'!$AA:$AA,'Basic Data'!$AB:$AB),"Incorrect Error Code")</f>
        <v>WTG shut down</v>
      </c>
      <c r="M1489" s="35" t="s">
        <v>295</v>
      </c>
      <c r="N1489" s="475"/>
      <c r="O1489" s="476">
        <v>0.7319444444444444</v>
      </c>
      <c r="P1489" s="476">
        <v>0.7319444444444444</v>
      </c>
      <c r="Q1489" s="477">
        <v>0.80694444444444446</v>
      </c>
      <c r="R1489" s="472">
        <f>IF(Table6[[#This Row],[Work Start TimeStamp]]="","",(Table6[[#This Row],[Work Start TimeStamp]]-Table6[[#This Row],[Fault Start TimeStamp]])*24)</f>
        <v>0</v>
      </c>
      <c r="S1489" s="472">
        <f>(Table6[[#This Row],[Fault Clearance time]]-Table6[[#This Row],[Work Start TimeStamp]])*24</f>
        <v>1.8000000000000016</v>
      </c>
      <c r="T1489" s="472">
        <f>(Table6[[#This Row],[Fault Clearance time]]-Table6[[#This Row],[Fault Start TimeStamp]])*24</f>
        <v>1.8000000000000016</v>
      </c>
      <c r="U1489" s="35" t="s">
        <v>2102</v>
      </c>
      <c r="V1489" s="102" t="s">
        <v>293</v>
      </c>
      <c r="W1489" s="549">
        <f>IFERROR(Table6[[#This Row],[Breakdown Time]]*Table6[[#This Row],[Plant Equivalent Weightage]],"")</f>
        <v>6.9230769230769276E-2</v>
      </c>
      <c r="X1489" s="473" t="s">
        <v>290</v>
      </c>
      <c r="Y1489" s="474" t="s">
        <v>87</v>
      </c>
      <c r="Z1489" s="102">
        <v>33429</v>
      </c>
      <c r="AA1489" s="468">
        <f>(Table6[[#This Row],[Paired WTG Generation for loss calculation]]/24)*Table6[[#This Row],[Breakdown Time]]</f>
        <v>2507.175000000002</v>
      </c>
      <c r="AB1489" s="102"/>
      <c r="AC1489" s="35"/>
      <c r="AD1489" s="35"/>
    </row>
    <row r="1490" spans="1:30">
      <c r="A1490" s="102">
        <f t="shared" si="24"/>
        <v>1489</v>
      </c>
      <c r="B1490" s="468">
        <f>YEAR(Table6[[#This Row],[Date]])+IF(MONTH(Table6[[#This Row],[Date]])&gt;=4,1,0)</f>
        <v>2026</v>
      </c>
      <c r="C1490" s="102">
        <f>YEAR(Table6[[#This Row],[Date]])</f>
        <v>2025</v>
      </c>
      <c r="D1490" s="102" t="s">
        <v>1992</v>
      </c>
      <c r="E1490" s="469">
        <f>Table6[[#This Row],[Date]]-DAY(Table6[[#This Row],[Date]])+1</f>
        <v>45839</v>
      </c>
      <c r="F1490" s="470">
        <v>45845</v>
      </c>
      <c r="G1490" s="35" t="s">
        <v>87</v>
      </c>
      <c r="H1490" s="35" t="str">
        <f>IFERROR(_xlfn.XLOOKUP(Table6[[#This Row],[Affected WTG]],'Basic Data'!$A:$A,'Basic Data'!$B:$B),"")</f>
        <v>TQGXIIPL</v>
      </c>
      <c r="I1490" s="35" t="str">
        <f>IFERROR(_xlfn.XLOOKUP(Table6[[#This Row],[Affected WTG]],'Basic Data'!$A:$A,'Basic Data'!$C:$C),"")</f>
        <v>GEDA</v>
      </c>
      <c r="J1490" s="471">
        <f>IFERROR(_xlfn.XLOOKUP(Table6[[#This Row],[Affected WTG]],'Basic Data'!$A:$A,'Basic Data'!$E:$E),"")</f>
        <v>3.846153846153845E-2</v>
      </c>
      <c r="K1490" s="102">
        <v>6130</v>
      </c>
      <c r="L1490" s="35" t="str">
        <f>IFERROR(_xlfn.XLOOKUP(Table6[[#This Row],[Error Code]],'Basic Data'!$AA:$AA,'Basic Data'!$AB:$AB),"Incorrect Error Code")</f>
        <v>Yaw speed high</v>
      </c>
      <c r="M1490" s="35" t="s">
        <v>291</v>
      </c>
      <c r="N1490" s="475"/>
      <c r="O1490" s="476">
        <v>0.35</v>
      </c>
      <c r="P1490" s="476">
        <v>0.35</v>
      </c>
      <c r="Q1490" s="477">
        <v>0.35347222222222224</v>
      </c>
      <c r="R1490" s="472">
        <f>IF(Table6[[#This Row],[Work Start TimeStamp]]="","",(Table6[[#This Row],[Work Start TimeStamp]]-Table6[[#This Row],[Fault Start TimeStamp]])*24)</f>
        <v>0</v>
      </c>
      <c r="S1490" s="472">
        <f>(Table6[[#This Row],[Fault Clearance time]]-Table6[[#This Row],[Work Start TimeStamp]])*24</f>
        <v>8.333333333333437E-2</v>
      </c>
      <c r="T1490" s="472">
        <f>(Table6[[#This Row],[Fault Clearance time]]-Table6[[#This Row],[Fault Start TimeStamp]])*24</f>
        <v>8.333333333333437E-2</v>
      </c>
      <c r="U1490" s="35" t="s">
        <v>1924</v>
      </c>
      <c r="V1490" s="102" t="s">
        <v>293</v>
      </c>
      <c r="W1490" s="549">
        <f>IFERROR(Table6[[#This Row],[Breakdown Time]]*Table6[[#This Row],[Plant Equivalent Weightage]],"")</f>
        <v>3.205128205128244E-3</v>
      </c>
      <c r="X1490" s="473" t="s">
        <v>294</v>
      </c>
      <c r="Y1490" s="474" t="s">
        <v>85</v>
      </c>
      <c r="Z1490" s="102">
        <v>4654</v>
      </c>
      <c r="AA1490" s="468">
        <f>(Table6[[#This Row],[Paired WTG Generation for loss calculation]]/24)*Table6[[#This Row],[Breakdown Time]]</f>
        <v>16.159722222222424</v>
      </c>
      <c r="AB1490" s="102"/>
      <c r="AC1490" s="35"/>
      <c r="AD1490" s="35"/>
    </row>
    <row r="1491" spans="1:30">
      <c r="A1491" s="102">
        <f t="shared" si="24"/>
        <v>1490</v>
      </c>
      <c r="B1491" s="468">
        <f>YEAR(Table6[[#This Row],[Date]])+IF(MONTH(Table6[[#This Row],[Date]])&gt;=4,1,0)</f>
        <v>2026</v>
      </c>
      <c r="C1491" s="102">
        <f>YEAR(Table6[[#This Row],[Date]])</f>
        <v>2025</v>
      </c>
      <c r="D1491" s="102" t="s">
        <v>1992</v>
      </c>
      <c r="E1491" s="469">
        <f>Table6[[#This Row],[Date]]-DAY(Table6[[#This Row],[Date]])+1</f>
        <v>45839</v>
      </c>
      <c r="F1491" s="470">
        <v>45845</v>
      </c>
      <c r="G1491" s="35" t="s">
        <v>87</v>
      </c>
      <c r="H1491" s="35" t="str">
        <f>IFERROR(_xlfn.XLOOKUP(Table6[[#This Row],[Affected WTG]],'Basic Data'!$A:$A,'Basic Data'!$B:$B),"")</f>
        <v>TQGXIIPL</v>
      </c>
      <c r="I1491" s="35" t="str">
        <f>IFERROR(_xlfn.XLOOKUP(Table6[[#This Row],[Affected WTG]],'Basic Data'!$A:$A,'Basic Data'!$C:$C),"")</f>
        <v>GEDA</v>
      </c>
      <c r="J1491" s="471">
        <f>IFERROR(_xlfn.XLOOKUP(Table6[[#This Row],[Affected WTG]],'Basic Data'!$A:$A,'Basic Data'!$E:$E),"")</f>
        <v>3.846153846153845E-2</v>
      </c>
      <c r="K1491" s="102">
        <v>4540</v>
      </c>
      <c r="L1491" s="35" t="str">
        <f>IFERROR(_xlfn.XLOOKUP(Table6[[#This Row],[Error Code]],'Basic Data'!$AA:$AA,'Basic Data'!$AB:$AB),"Incorrect Error Code")</f>
        <v>Tower oscillation X level 2</v>
      </c>
      <c r="M1491" s="35" t="s">
        <v>291</v>
      </c>
      <c r="N1491" s="475"/>
      <c r="O1491" s="476">
        <v>0.6118055555555556</v>
      </c>
      <c r="P1491" s="476">
        <v>0.6118055555555556</v>
      </c>
      <c r="Q1491" s="477">
        <v>0.61736111111111114</v>
      </c>
      <c r="R1491" s="472">
        <f>IF(Table6[[#This Row],[Work Start TimeStamp]]="","",(Table6[[#This Row],[Work Start TimeStamp]]-Table6[[#This Row],[Fault Start TimeStamp]])*24)</f>
        <v>0</v>
      </c>
      <c r="S1491" s="472">
        <f>(Table6[[#This Row],[Fault Clearance time]]-Table6[[#This Row],[Work Start TimeStamp]])*24</f>
        <v>0.13333333333333286</v>
      </c>
      <c r="T1491" s="472">
        <f>(Table6[[#This Row],[Fault Clearance time]]-Table6[[#This Row],[Fault Start TimeStamp]])*24</f>
        <v>0.13333333333333286</v>
      </c>
      <c r="U1491" s="35" t="s">
        <v>1924</v>
      </c>
      <c r="V1491" s="102" t="s">
        <v>293</v>
      </c>
      <c r="W1491" s="549">
        <f>IFERROR(Table6[[#This Row],[Breakdown Time]]*Table6[[#This Row],[Plant Equivalent Weightage]],"")</f>
        <v>5.1282051282051083E-3</v>
      </c>
      <c r="X1491" s="473" t="s">
        <v>294</v>
      </c>
      <c r="Y1491" s="474" t="s">
        <v>85</v>
      </c>
      <c r="Z1491" s="102">
        <v>4654</v>
      </c>
      <c r="AA1491" s="468">
        <f>(Table6[[#This Row],[Paired WTG Generation for loss calculation]]/24)*Table6[[#This Row],[Breakdown Time]]</f>
        <v>25.855555555555462</v>
      </c>
      <c r="AB1491" s="102"/>
      <c r="AC1491" s="35"/>
      <c r="AD1491" s="35"/>
    </row>
    <row r="1492" spans="1:30">
      <c r="A1492" s="102">
        <f t="shared" si="24"/>
        <v>1491</v>
      </c>
      <c r="B1492" s="468">
        <f>YEAR(Table6[[#This Row],[Date]])+IF(MONTH(Table6[[#This Row],[Date]])&gt;=4,1,0)</f>
        <v>2026</v>
      </c>
      <c r="C1492" s="102">
        <f>YEAR(Table6[[#This Row],[Date]])</f>
        <v>2025</v>
      </c>
      <c r="D1492" s="102" t="s">
        <v>1992</v>
      </c>
      <c r="E1492" s="469">
        <f>Table6[[#This Row],[Date]]-DAY(Table6[[#This Row],[Date]])+1</f>
        <v>45839</v>
      </c>
      <c r="F1492" s="470">
        <v>45845</v>
      </c>
      <c r="G1492" s="35" t="s">
        <v>87</v>
      </c>
      <c r="H1492" s="35" t="str">
        <f>IFERROR(_xlfn.XLOOKUP(Table6[[#This Row],[Affected WTG]],'Basic Data'!$A:$A,'Basic Data'!$B:$B),"")</f>
        <v>TQGXIIPL</v>
      </c>
      <c r="I1492" s="35" t="str">
        <f>IFERROR(_xlfn.XLOOKUP(Table6[[#This Row],[Affected WTG]],'Basic Data'!$A:$A,'Basic Data'!$C:$C),"")</f>
        <v>GEDA</v>
      </c>
      <c r="J1492" s="471">
        <f>IFERROR(_xlfn.XLOOKUP(Table6[[#This Row],[Affected WTG]],'Basic Data'!$A:$A,'Basic Data'!$E:$E),"")</f>
        <v>3.846153846153845E-2</v>
      </c>
      <c r="K1492" s="102">
        <v>170</v>
      </c>
      <c r="L1492" s="35" t="str">
        <f>IFERROR(_xlfn.XLOOKUP(Table6[[#This Row],[Error Code]],'Basic Data'!$AA:$AA,'Basic Data'!$AB:$AB),"Incorrect Error Code")</f>
        <v>SLC MF brake request HC</v>
      </c>
      <c r="M1492" s="35" t="s">
        <v>291</v>
      </c>
      <c r="N1492" s="475"/>
      <c r="O1492" s="476">
        <v>0.7319444444444444</v>
      </c>
      <c r="P1492" s="476">
        <v>0.7319444444444444</v>
      </c>
      <c r="Q1492" s="477">
        <v>0.74444444444444446</v>
      </c>
      <c r="R1492" s="472">
        <f>IF(Table6[[#This Row],[Work Start TimeStamp]]="","",(Table6[[#This Row],[Work Start TimeStamp]]-Table6[[#This Row],[Fault Start TimeStamp]])*24)</f>
        <v>0</v>
      </c>
      <c r="S1492" s="472">
        <f>(Table6[[#This Row],[Fault Clearance time]]-Table6[[#This Row],[Work Start TimeStamp]])*24</f>
        <v>0.3000000000000016</v>
      </c>
      <c r="T1492" s="472">
        <f>(Table6[[#This Row],[Fault Clearance time]]-Table6[[#This Row],[Fault Start TimeStamp]])*24</f>
        <v>0.3000000000000016</v>
      </c>
      <c r="U1492" s="35" t="s">
        <v>2031</v>
      </c>
      <c r="V1492" s="102" t="s">
        <v>293</v>
      </c>
      <c r="W1492" s="549">
        <f>IFERROR(Table6[[#This Row],[Breakdown Time]]*Table6[[#This Row],[Plant Equivalent Weightage]],"")</f>
        <v>1.1538461538461596E-2</v>
      </c>
      <c r="X1492" s="473" t="s">
        <v>294</v>
      </c>
      <c r="Y1492" s="474" t="s">
        <v>85</v>
      </c>
      <c r="Z1492" s="102">
        <v>4654</v>
      </c>
      <c r="AA1492" s="468">
        <f>(Table6[[#This Row],[Paired WTG Generation for loss calculation]]/24)*Table6[[#This Row],[Breakdown Time]]</f>
        <v>58.17500000000031</v>
      </c>
      <c r="AB1492" s="102"/>
      <c r="AC1492" s="35"/>
      <c r="AD1492" s="35"/>
    </row>
    <row r="1493" spans="1:30">
      <c r="A1493" s="102">
        <f t="shared" si="24"/>
        <v>1492</v>
      </c>
      <c r="B1493" s="468">
        <f>YEAR(Table6[[#This Row],[Date]])+IF(MONTH(Table6[[#This Row],[Date]])&gt;=4,1,0)</f>
        <v>2026</v>
      </c>
      <c r="C1493" s="102">
        <f>YEAR(Table6[[#This Row],[Date]])</f>
        <v>2025</v>
      </c>
      <c r="D1493" s="102" t="s">
        <v>1992</v>
      </c>
      <c r="E1493" s="469">
        <f>Table6[[#This Row],[Date]]-DAY(Table6[[#This Row],[Date]])+1</f>
        <v>45839</v>
      </c>
      <c r="F1493" s="470">
        <v>45845</v>
      </c>
      <c r="G1493" s="35" t="s">
        <v>93</v>
      </c>
      <c r="H1493" s="35" t="str">
        <f>IFERROR(_xlfn.XLOOKUP(Table6[[#This Row],[Affected WTG]],'Basic Data'!$A:$A,'Basic Data'!$B:$B),"")</f>
        <v>TQGXIIPL</v>
      </c>
      <c r="I1493" s="35" t="str">
        <f>IFERROR(_xlfn.XLOOKUP(Table6[[#This Row],[Affected WTG]],'Basic Data'!$A:$A,'Basic Data'!$C:$C),"")</f>
        <v>GEDA</v>
      </c>
      <c r="J1493" s="471">
        <f>IFERROR(_xlfn.XLOOKUP(Table6[[#This Row],[Affected WTG]],'Basic Data'!$A:$A,'Basic Data'!$E:$E),"")</f>
        <v>3.846153846153845E-2</v>
      </c>
      <c r="K1493" s="102">
        <v>3000</v>
      </c>
      <c r="L1493" s="35" t="str">
        <f>IFERROR(_xlfn.XLOOKUP(Table6[[#This Row],[Error Code]],'Basic Data'!$AA:$AA,'Basic Data'!$AB:$AB),"Incorrect Error Code")</f>
        <v>Frequency converter not ready</v>
      </c>
      <c r="M1493" s="35" t="s">
        <v>295</v>
      </c>
      <c r="N1493" s="475"/>
      <c r="O1493" s="476">
        <v>0</v>
      </c>
      <c r="P1493" s="476">
        <v>0</v>
      </c>
      <c r="Q1493" s="477">
        <v>0.99930555555555556</v>
      </c>
      <c r="R1493" s="472">
        <f>IF(Table6[[#This Row],[Work Start TimeStamp]]="","",(Table6[[#This Row],[Work Start TimeStamp]]-Table6[[#This Row],[Fault Start TimeStamp]])*24)</f>
        <v>0</v>
      </c>
      <c r="S1493" s="472">
        <f>(Table6[[#This Row],[Fault Clearance time]]-Table6[[#This Row],[Work Start TimeStamp]])*24</f>
        <v>23.983333333333334</v>
      </c>
      <c r="T1493" s="472">
        <f>(Table6[[#This Row],[Fault Clearance time]]-Table6[[#This Row],[Fault Start TimeStamp]])*24</f>
        <v>23.983333333333334</v>
      </c>
      <c r="U1493" s="35" t="s">
        <v>2038</v>
      </c>
      <c r="V1493" s="102" t="s">
        <v>289</v>
      </c>
      <c r="W1493" s="549">
        <f>IFERROR(Table6[[#This Row],[Breakdown Time]]*Table6[[#This Row],[Plant Equivalent Weightage]],"")</f>
        <v>0.92243589743589716</v>
      </c>
      <c r="X1493" s="473" t="s">
        <v>290</v>
      </c>
      <c r="Y1493" s="474" t="s">
        <v>97</v>
      </c>
      <c r="Z1493" s="102">
        <v>38504</v>
      </c>
      <c r="AA1493" s="468">
        <f>(Table6[[#This Row],[Paired WTG Generation for loss calculation]]/24)*Table6[[#This Row],[Breakdown Time]]</f>
        <v>38477.261111111111</v>
      </c>
      <c r="AB1493" s="102"/>
      <c r="AC1493" s="35"/>
      <c r="AD1493" s="35"/>
    </row>
    <row r="1494" spans="1:30">
      <c r="A1494" s="102">
        <f t="shared" si="24"/>
        <v>1493</v>
      </c>
      <c r="B1494" s="468">
        <f>YEAR(Table6[[#This Row],[Date]])+IF(MONTH(Table6[[#This Row],[Date]])&gt;=4,1,0)</f>
        <v>2026</v>
      </c>
      <c r="C1494" s="102">
        <f>YEAR(Table6[[#This Row],[Date]])</f>
        <v>2025</v>
      </c>
      <c r="D1494" s="102" t="s">
        <v>1992</v>
      </c>
      <c r="E1494" s="469">
        <f>Table6[[#This Row],[Date]]-DAY(Table6[[#This Row],[Date]])+1</f>
        <v>45839</v>
      </c>
      <c r="F1494" s="470">
        <v>45846</v>
      </c>
      <c r="G1494" s="35" t="s">
        <v>78</v>
      </c>
      <c r="H1494" s="35" t="str">
        <f>IFERROR(_xlfn.XLOOKUP(Table6[[#This Row],[Affected WTG]],'Basic Data'!$A:$A,'Basic Data'!$B:$B),"")</f>
        <v>TQGXIIPL</v>
      </c>
      <c r="I1494" s="35" t="str">
        <f>IFERROR(_xlfn.XLOOKUP(Table6[[#This Row],[Affected WTG]],'Basic Data'!$A:$A,'Basic Data'!$C:$C),"")</f>
        <v>GEDA</v>
      </c>
      <c r="J1494" s="471">
        <f>IFERROR(_xlfn.XLOOKUP(Table6[[#This Row],[Affected WTG]],'Basic Data'!$A:$A,'Basic Data'!$E:$E),"")</f>
        <v>3.846153846153845E-2</v>
      </c>
      <c r="K1494" s="102">
        <v>6605</v>
      </c>
      <c r="L1494" s="35" t="str">
        <f>IFERROR(_xlfn.XLOOKUP(Table6[[#This Row],[Error Code]],'Basic Data'!$AA:$AA,'Basic Data'!$AB:$AB),"Incorrect Error Code")</f>
        <v>Wind.dir. diff. level 2</v>
      </c>
      <c r="M1494" s="35" t="s">
        <v>291</v>
      </c>
      <c r="N1494" s="475"/>
      <c r="O1494" s="476">
        <v>0.60347222222222219</v>
      </c>
      <c r="P1494" s="476">
        <v>0.60347222222222219</v>
      </c>
      <c r="Q1494" s="477">
        <v>0.60624999999999996</v>
      </c>
      <c r="R1494" s="472">
        <f>IF(Table6[[#This Row],[Work Start TimeStamp]]="","",(Table6[[#This Row],[Work Start TimeStamp]]-Table6[[#This Row],[Fault Start TimeStamp]])*24)</f>
        <v>0</v>
      </c>
      <c r="S1494" s="472">
        <f>(Table6[[#This Row],[Fault Clearance time]]-Table6[[#This Row],[Work Start TimeStamp]])*24</f>
        <v>6.666666666666643E-2</v>
      </c>
      <c r="T1494" s="472">
        <f>(Table6[[#This Row],[Fault Clearance time]]-Table6[[#This Row],[Fault Start TimeStamp]])*24</f>
        <v>6.666666666666643E-2</v>
      </c>
      <c r="U1494" s="35" t="s">
        <v>1924</v>
      </c>
      <c r="V1494" s="102" t="s">
        <v>293</v>
      </c>
      <c r="W1494" s="549">
        <f>IFERROR(Table6[[#This Row],[Breakdown Time]]*Table6[[#This Row],[Plant Equivalent Weightage]],"")</f>
        <v>2.5641025641025541E-3</v>
      </c>
      <c r="X1494" s="473" t="s">
        <v>294</v>
      </c>
      <c r="Y1494" s="474" t="s">
        <v>75</v>
      </c>
      <c r="Z1494" s="102">
        <v>25412</v>
      </c>
      <c r="AA1494" s="468">
        <f>(Table6[[#This Row],[Paired WTG Generation for loss calculation]]/24)*Table6[[#This Row],[Breakdown Time]]</f>
        <v>70.588888888888633</v>
      </c>
      <c r="AB1494" s="102"/>
      <c r="AC1494" s="35"/>
      <c r="AD1494" s="35"/>
    </row>
    <row r="1495" spans="1:30">
      <c r="A1495" s="102">
        <f t="shared" si="24"/>
        <v>1494</v>
      </c>
      <c r="B1495" s="468">
        <f>YEAR(Table6[[#This Row],[Date]])+IF(MONTH(Table6[[#This Row],[Date]])&gt;=4,1,0)</f>
        <v>2026</v>
      </c>
      <c r="C1495" s="102">
        <f>YEAR(Table6[[#This Row],[Date]])</f>
        <v>2025</v>
      </c>
      <c r="D1495" s="102" t="s">
        <v>1992</v>
      </c>
      <c r="E1495" s="469">
        <f>Table6[[#This Row],[Date]]-DAY(Table6[[#This Row],[Date]])+1</f>
        <v>45839</v>
      </c>
      <c r="F1495" s="470">
        <v>45846</v>
      </c>
      <c r="G1495" s="35" t="s">
        <v>78</v>
      </c>
      <c r="H1495" s="35" t="str">
        <f>IFERROR(_xlfn.XLOOKUP(Table6[[#This Row],[Affected WTG]],'Basic Data'!$A:$A,'Basic Data'!$B:$B),"")</f>
        <v>TQGXIIPL</v>
      </c>
      <c r="I1495" s="35" t="str">
        <f>IFERROR(_xlfn.XLOOKUP(Table6[[#This Row],[Affected WTG]],'Basic Data'!$A:$A,'Basic Data'!$C:$C),"")</f>
        <v>GEDA</v>
      </c>
      <c r="J1495" s="471">
        <f>IFERROR(_xlfn.XLOOKUP(Table6[[#This Row],[Affected WTG]],'Basic Data'!$A:$A,'Basic Data'!$E:$E),"")</f>
        <v>3.846153846153845E-2</v>
      </c>
      <c r="K1495" s="102">
        <v>6130</v>
      </c>
      <c r="L1495" s="35" t="str">
        <f>IFERROR(_xlfn.XLOOKUP(Table6[[#This Row],[Error Code]],'Basic Data'!$AA:$AA,'Basic Data'!$AB:$AB),"Incorrect Error Code")</f>
        <v>Yaw speed high</v>
      </c>
      <c r="M1495" s="35" t="s">
        <v>292</v>
      </c>
      <c r="N1495" s="475"/>
      <c r="O1495" s="476">
        <v>0.64930555555555558</v>
      </c>
      <c r="P1495" s="476">
        <v>0.64930555555555558</v>
      </c>
      <c r="Q1495" s="477">
        <v>0.65347222222222223</v>
      </c>
      <c r="R1495" s="472">
        <f>IF(Table6[[#This Row],[Work Start TimeStamp]]="","",(Table6[[#This Row],[Work Start TimeStamp]]-Table6[[#This Row],[Fault Start TimeStamp]])*24)</f>
        <v>0</v>
      </c>
      <c r="S1495" s="472">
        <f>(Table6[[#This Row],[Fault Clearance time]]-Table6[[#This Row],[Work Start TimeStamp]])*24</f>
        <v>9.9999999999999645E-2</v>
      </c>
      <c r="T1495" s="472">
        <f>(Table6[[#This Row],[Fault Clearance time]]-Table6[[#This Row],[Fault Start TimeStamp]])*24</f>
        <v>9.9999999999999645E-2</v>
      </c>
      <c r="U1495" s="35" t="s">
        <v>336</v>
      </c>
      <c r="V1495" s="102" t="s">
        <v>293</v>
      </c>
      <c r="W1495" s="549">
        <f>IFERROR(Table6[[#This Row],[Breakdown Time]]*Table6[[#This Row],[Plant Equivalent Weightage]],"")</f>
        <v>3.8461538461538312E-3</v>
      </c>
      <c r="X1495" s="473" t="s">
        <v>294</v>
      </c>
      <c r="Y1495" s="474" t="s">
        <v>75</v>
      </c>
      <c r="Z1495" s="102">
        <v>25412</v>
      </c>
      <c r="AA1495" s="468">
        <f>(Table6[[#This Row],[Paired WTG Generation for loss calculation]]/24)*Table6[[#This Row],[Breakdown Time]]</f>
        <v>105.88333333333296</v>
      </c>
      <c r="AB1495" s="102"/>
      <c r="AC1495" s="35"/>
      <c r="AD1495" s="35"/>
    </row>
    <row r="1496" spans="1:30">
      <c r="A1496" s="102">
        <f t="shared" si="24"/>
        <v>1495</v>
      </c>
      <c r="B1496" s="468">
        <f>YEAR(Table6[[#This Row],[Date]])+IF(MONTH(Table6[[#This Row],[Date]])&gt;=4,1,0)</f>
        <v>2026</v>
      </c>
      <c r="C1496" s="102">
        <f>YEAR(Table6[[#This Row],[Date]])</f>
        <v>2025</v>
      </c>
      <c r="D1496" s="102" t="s">
        <v>1992</v>
      </c>
      <c r="E1496" s="469">
        <f>Table6[[#This Row],[Date]]-DAY(Table6[[#This Row],[Date]])+1</f>
        <v>45839</v>
      </c>
      <c r="F1496" s="470">
        <v>45846</v>
      </c>
      <c r="G1496" s="35" t="s">
        <v>84</v>
      </c>
      <c r="H1496" s="35" t="str">
        <f>IFERROR(_xlfn.XLOOKUP(Table6[[#This Row],[Affected WTG]],'Basic Data'!$A:$A,'Basic Data'!$B:$B),"")</f>
        <v>TQGXIIPL</v>
      </c>
      <c r="I1496" s="35" t="str">
        <f>IFERROR(_xlfn.XLOOKUP(Table6[[#This Row],[Affected WTG]],'Basic Data'!$A:$A,'Basic Data'!$C:$C),"")</f>
        <v>GEDA</v>
      </c>
      <c r="J1496" s="471">
        <f>IFERROR(_xlfn.XLOOKUP(Table6[[#This Row],[Affected WTG]],'Basic Data'!$A:$A,'Basic Data'!$E:$E),"")</f>
        <v>3.846153846153845E-2</v>
      </c>
      <c r="K1496" s="102">
        <v>650</v>
      </c>
      <c r="L1496" s="35" t="str">
        <f>IFERROR(_xlfn.XLOOKUP(Table6[[#This Row],[Error Code]],'Basic Data'!$AA:$AA,'Basic Data'!$AB:$AB),"Incorrect Error Code")</f>
        <v>Pitch controller communication error</v>
      </c>
      <c r="M1496" s="35" t="s">
        <v>295</v>
      </c>
      <c r="N1496" s="475"/>
      <c r="O1496" s="476">
        <v>0</v>
      </c>
      <c r="P1496" s="476">
        <v>0</v>
      </c>
      <c r="Q1496" s="477">
        <v>0.16319444444444445</v>
      </c>
      <c r="R1496" s="472">
        <f>IF(Table6[[#This Row],[Work Start TimeStamp]]="","",(Table6[[#This Row],[Work Start TimeStamp]]-Table6[[#This Row],[Fault Start TimeStamp]])*24)</f>
        <v>0</v>
      </c>
      <c r="S1496" s="472">
        <f>(Table6[[#This Row],[Fault Clearance time]]-Table6[[#This Row],[Work Start TimeStamp]])*24</f>
        <v>3.916666666666667</v>
      </c>
      <c r="T1496" s="472">
        <f>(Table6[[#This Row],[Fault Clearance time]]-Table6[[#This Row],[Fault Start TimeStamp]])*24</f>
        <v>3.916666666666667</v>
      </c>
      <c r="U1496" s="35" t="s">
        <v>2054</v>
      </c>
      <c r="V1496" s="102" t="s">
        <v>293</v>
      </c>
      <c r="W1496" s="549">
        <f>IFERROR(Table6[[#This Row],[Breakdown Time]]*Table6[[#This Row],[Plant Equivalent Weightage]],"")</f>
        <v>0.15064102564102561</v>
      </c>
      <c r="X1496" s="473" t="s">
        <v>290</v>
      </c>
      <c r="Y1496" s="474" t="s">
        <v>86</v>
      </c>
      <c r="Z1496" s="102">
        <v>25805</v>
      </c>
      <c r="AA1496" s="468">
        <f>(Table6[[#This Row],[Paired WTG Generation for loss calculation]]/24)*Table6[[#This Row],[Breakdown Time]]</f>
        <v>4211.2326388888887</v>
      </c>
      <c r="AB1496" s="102"/>
      <c r="AC1496" s="35"/>
      <c r="AD1496" s="35"/>
    </row>
    <row r="1497" spans="1:30">
      <c r="A1497" s="102">
        <f t="shared" si="24"/>
        <v>1496</v>
      </c>
      <c r="B1497" s="468">
        <f>YEAR(Table6[[#This Row],[Date]])+IF(MONTH(Table6[[#This Row],[Date]])&gt;=4,1,0)</f>
        <v>2026</v>
      </c>
      <c r="C1497" s="102">
        <f>YEAR(Table6[[#This Row],[Date]])</f>
        <v>2025</v>
      </c>
      <c r="D1497" s="102" t="s">
        <v>1992</v>
      </c>
      <c r="E1497" s="469">
        <f>Table6[[#This Row],[Date]]-DAY(Table6[[#This Row],[Date]])+1</f>
        <v>45839</v>
      </c>
      <c r="F1497" s="470">
        <v>45846</v>
      </c>
      <c r="G1497" s="35" t="s">
        <v>85</v>
      </c>
      <c r="H1497" s="35" t="str">
        <f>IFERROR(_xlfn.XLOOKUP(Table6[[#This Row],[Affected WTG]],'Basic Data'!$A:$A,'Basic Data'!$B:$B),"")</f>
        <v>TQGXIIPL</v>
      </c>
      <c r="I1497" s="35" t="str">
        <f>IFERROR(_xlfn.XLOOKUP(Table6[[#This Row],[Affected WTG]],'Basic Data'!$A:$A,'Basic Data'!$C:$C),"")</f>
        <v>GEDA</v>
      </c>
      <c r="J1497" s="471">
        <f>IFERROR(_xlfn.XLOOKUP(Table6[[#This Row],[Affected WTG]],'Basic Data'!$A:$A,'Basic Data'!$E:$E),"")</f>
        <v>3.846153846153845E-2</v>
      </c>
      <c r="K1497" s="102">
        <v>6501</v>
      </c>
      <c r="L1497" s="35" t="str">
        <f>IFERROR(_xlfn.XLOOKUP(Table6[[#This Row],[Error Code]],'Basic Data'!$AA:$AA,'Basic Data'!$AB:$AB),"Incorrect Error Code")</f>
        <v>Wind.sp. diff. level 1</v>
      </c>
      <c r="M1497" s="35" t="s">
        <v>291</v>
      </c>
      <c r="N1497" s="475"/>
      <c r="O1497" s="476">
        <v>0.49236111111111114</v>
      </c>
      <c r="P1497" s="476">
        <v>0.49236111111111114</v>
      </c>
      <c r="Q1497" s="477">
        <v>0.50347222222222221</v>
      </c>
      <c r="R1497" s="472">
        <f>IF(Table6[[#This Row],[Work Start TimeStamp]]="","",(Table6[[#This Row],[Work Start TimeStamp]]-Table6[[#This Row],[Fault Start TimeStamp]])*24)</f>
        <v>0</v>
      </c>
      <c r="S1497" s="472">
        <f>(Table6[[#This Row],[Fault Clearance time]]-Table6[[#This Row],[Work Start TimeStamp]])*24</f>
        <v>0.26666666666666572</v>
      </c>
      <c r="T1497" s="472">
        <f>(Table6[[#This Row],[Fault Clearance time]]-Table6[[#This Row],[Fault Start TimeStamp]])*24</f>
        <v>0.26666666666666572</v>
      </c>
      <c r="U1497" s="35" t="s">
        <v>2031</v>
      </c>
      <c r="V1497" s="102" t="s">
        <v>293</v>
      </c>
      <c r="W1497" s="549">
        <f>IFERROR(Table6[[#This Row],[Breakdown Time]]*Table6[[#This Row],[Plant Equivalent Weightage]],"")</f>
        <v>1.0256410256410217E-2</v>
      </c>
      <c r="X1497" s="473" t="s">
        <v>294</v>
      </c>
      <c r="Y1497" s="474" t="s">
        <v>87</v>
      </c>
      <c r="Z1497" s="102">
        <v>22138</v>
      </c>
      <c r="AA1497" s="468">
        <f>(Table6[[#This Row],[Paired WTG Generation for loss calculation]]/24)*Table6[[#This Row],[Breakdown Time]]</f>
        <v>245.97777777777691</v>
      </c>
      <c r="AB1497" s="102"/>
      <c r="AC1497" s="35"/>
      <c r="AD1497" s="35"/>
    </row>
    <row r="1498" spans="1:30">
      <c r="A1498" s="102">
        <f t="shared" si="24"/>
        <v>1497</v>
      </c>
      <c r="B1498" s="468">
        <f>YEAR(Table6[[#This Row],[Date]])+IF(MONTH(Table6[[#This Row],[Date]])&gt;=4,1,0)</f>
        <v>2026</v>
      </c>
      <c r="C1498" s="102">
        <f>YEAR(Table6[[#This Row],[Date]])</f>
        <v>2025</v>
      </c>
      <c r="D1498" s="102" t="s">
        <v>1992</v>
      </c>
      <c r="E1498" s="469">
        <f>Table6[[#This Row],[Date]]-DAY(Table6[[#This Row],[Date]])+1</f>
        <v>45839</v>
      </c>
      <c r="F1498" s="470">
        <v>45846</v>
      </c>
      <c r="G1498" s="35" t="s">
        <v>89</v>
      </c>
      <c r="H1498" s="35" t="str">
        <f>IFERROR(_xlfn.XLOOKUP(Table6[[#This Row],[Affected WTG]],'Basic Data'!$A:$A,'Basic Data'!$B:$B),"")</f>
        <v>TQGXIIPL</v>
      </c>
      <c r="I1498" s="35" t="str">
        <f>IFERROR(_xlfn.XLOOKUP(Table6[[#This Row],[Affected WTG]],'Basic Data'!$A:$A,'Basic Data'!$C:$C),"")</f>
        <v>GEDA</v>
      </c>
      <c r="J1498" s="471">
        <f>IFERROR(_xlfn.XLOOKUP(Table6[[#This Row],[Affected WTG]],'Basic Data'!$A:$A,'Basic Data'!$E:$E),"")</f>
        <v>3.846153846153845E-2</v>
      </c>
      <c r="K1498" s="102">
        <v>7002</v>
      </c>
      <c r="L1498" s="35" t="str">
        <f>IFERROR(_xlfn.XLOOKUP(Table6[[#This Row],[Error Code]],'Basic Data'!$AA:$AA,'Basic Data'!$AB:$AB),"Incorrect Error Code")</f>
        <v>Task runtime failure 5ms</v>
      </c>
      <c r="M1498" s="35" t="s">
        <v>291</v>
      </c>
      <c r="N1498" s="475"/>
      <c r="O1498" s="476">
        <v>0.83333333333333337</v>
      </c>
      <c r="P1498" s="476">
        <v>0.83333333333333337</v>
      </c>
      <c r="Q1498" s="477">
        <v>0.8354166666666667</v>
      </c>
      <c r="R1498" s="472">
        <f>IF(Table6[[#This Row],[Work Start TimeStamp]]="","",(Table6[[#This Row],[Work Start TimeStamp]]-Table6[[#This Row],[Fault Start TimeStamp]])*24)</f>
        <v>0</v>
      </c>
      <c r="S1498" s="472">
        <f>(Table6[[#This Row],[Fault Clearance time]]-Table6[[#This Row],[Work Start TimeStamp]])*24</f>
        <v>4.9999999999999822E-2</v>
      </c>
      <c r="T1498" s="472">
        <f>(Table6[[#This Row],[Fault Clearance time]]-Table6[[#This Row],[Fault Start TimeStamp]])*24</f>
        <v>4.9999999999999822E-2</v>
      </c>
      <c r="U1498" s="35" t="s">
        <v>1924</v>
      </c>
      <c r="V1498" s="102" t="s">
        <v>293</v>
      </c>
      <c r="W1498" s="549">
        <f>IFERROR(Table6[[#This Row],[Breakdown Time]]*Table6[[#This Row],[Plant Equivalent Weightage]],"")</f>
        <v>1.9230769230769156E-3</v>
      </c>
      <c r="X1498" s="473" t="s">
        <v>294</v>
      </c>
      <c r="Y1498" s="474" t="s">
        <v>94</v>
      </c>
      <c r="Z1498" s="102">
        <v>28180</v>
      </c>
      <c r="AA1498" s="468">
        <f>(Table6[[#This Row],[Paired WTG Generation for loss calculation]]/24)*Table6[[#This Row],[Breakdown Time]]</f>
        <v>58.70833333333313</v>
      </c>
      <c r="AB1498" s="102"/>
      <c r="AC1498" s="35"/>
      <c r="AD1498" s="35"/>
    </row>
    <row r="1499" spans="1:30">
      <c r="A1499" s="102">
        <f t="shared" si="24"/>
        <v>1498</v>
      </c>
      <c r="B1499" s="468">
        <f>YEAR(Table6[[#This Row],[Date]])+IF(MONTH(Table6[[#This Row],[Date]])&gt;=4,1,0)</f>
        <v>2026</v>
      </c>
      <c r="C1499" s="102">
        <f>YEAR(Table6[[#This Row],[Date]])</f>
        <v>2025</v>
      </c>
      <c r="D1499" s="102" t="s">
        <v>1992</v>
      </c>
      <c r="E1499" s="469">
        <f>Table6[[#This Row],[Date]]-DAY(Table6[[#This Row],[Date]])+1</f>
        <v>45839</v>
      </c>
      <c r="F1499" s="470">
        <v>45846</v>
      </c>
      <c r="G1499" s="35" t="s">
        <v>91</v>
      </c>
      <c r="H1499" s="35" t="str">
        <f>IFERROR(_xlfn.XLOOKUP(Table6[[#This Row],[Affected WTG]],'Basic Data'!$A:$A,'Basic Data'!$B:$B),"")</f>
        <v>TQGXIIPL</v>
      </c>
      <c r="I1499" s="35" t="str">
        <f>IFERROR(_xlfn.XLOOKUP(Table6[[#This Row],[Affected WTG]],'Basic Data'!$A:$A,'Basic Data'!$C:$C),"")</f>
        <v>GEDA</v>
      </c>
      <c r="J1499" s="471">
        <f>IFERROR(_xlfn.XLOOKUP(Table6[[#This Row],[Affected WTG]],'Basic Data'!$A:$A,'Basic Data'!$E:$E),"")</f>
        <v>3.846153846153845E-2</v>
      </c>
      <c r="K1499" s="102">
        <v>55</v>
      </c>
      <c r="L1499" s="35" t="str">
        <f>IFERROR(_xlfn.XLOOKUP(Table6[[#This Row],[Error Code]],'Basic Data'!$AA:$AA,'Basic Data'!$AB:$AB),"Incorrect Error Code")</f>
        <v>WTG shut down</v>
      </c>
      <c r="M1499" s="35" t="s">
        <v>1956</v>
      </c>
      <c r="N1499" s="475"/>
      <c r="O1499" s="476">
        <v>0.59444444444444444</v>
      </c>
      <c r="P1499" s="476">
        <v>0.59444444444444444</v>
      </c>
      <c r="Q1499" s="477">
        <v>0.75</v>
      </c>
      <c r="R1499" s="472">
        <f>IF(Table6[[#This Row],[Work Start TimeStamp]]="","",(Table6[[#This Row],[Work Start TimeStamp]]-Table6[[#This Row],[Fault Start TimeStamp]])*24)</f>
        <v>0</v>
      </c>
      <c r="S1499" s="472">
        <f>(Table6[[#This Row],[Fault Clearance time]]-Table6[[#This Row],[Work Start TimeStamp]])*24</f>
        <v>3.7333333333333334</v>
      </c>
      <c r="T1499" s="472">
        <f>(Table6[[#This Row],[Fault Clearance time]]-Table6[[#This Row],[Fault Start TimeStamp]])*24</f>
        <v>3.7333333333333334</v>
      </c>
      <c r="U1499" s="35" t="s">
        <v>2055</v>
      </c>
      <c r="V1499" s="102" t="s">
        <v>293</v>
      </c>
      <c r="W1499" s="549">
        <f>IFERROR(Table6[[#This Row],[Breakdown Time]]*Table6[[#This Row],[Plant Equivalent Weightage]],"")</f>
        <v>0.14358974358974355</v>
      </c>
      <c r="X1499" s="473" t="s">
        <v>290</v>
      </c>
      <c r="Y1499" s="474" t="s">
        <v>79</v>
      </c>
      <c r="Z1499" s="102">
        <v>31743</v>
      </c>
      <c r="AA1499" s="468">
        <f>(Table6[[#This Row],[Paired WTG Generation for loss calculation]]/24)*Table6[[#This Row],[Breakdown Time]]</f>
        <v>4937.8</v>
      </c>
      <c r="AB1499" s="102"/>
      <c r="AC1499" s="35"/>
      <c r="AD1499" s="35"/>
    </row>
    <row r="1500" spans="1:30">
      <c r="A1500" s="102">
        <f t="shared" si="24"/>
        <v>1499</v>
      </c>
      <c r="B1500" s="468">
        <f>YEAR(Table6[[#This Row],[Date]])+IF(MONTH(Table6[[#This Row],[Date]])&gt;=4,1,0)</f>
        <v>2026</v>
      </c>
      <c r="C1500" s="102">
        <f>YEAR(Table6[[#This Row],[Date]])</f>
        <v>2025</v>
      </c>
      <c r="D1500" s="102" t="s">
        <v>1992</v>
      </c>
      <c r="E1500" s="469">
        <f>Table6[[#This Row],[Date]]-DAY(Table6[[#This Row],[Date]])+1</f>
        <v>45839</v>
      </c>
      <c r="F1500" s="470">
        <v>45846</v>
      </c>
      <c r="G1500" s="35" t="s">
        <v>91</v>
      </c>
      <c r="H1500" s="35" t="str">
        <f>IFERROR(_xlfn.XLOOKUP(Table6[[#This Row],[Affected WTG]],'Basic Data'!$A:$A,'Basic Data'!$B:$B),"")</f>
        <v>TQGXIIPL</v>
      </c>
      <c r="I1500" s="35" t="str">
        <f>IFERROR(_xlfn.XLOOKUP(Table6[[#This Row],[Affected WTG]],'Basic Data'!$A:$A,'Basic Data'!$C:$C),"")</f>
        <v>GEDA</v>
      </c>
      <c r="J1500" s="471">
        <f>IFERROR(_xlfn.XLOOKUP(Table6[[#This Row],[Affected WTG]],'Basic Data'!$A:$A,'Basic Data'!$E:$E),"")</f>
        <v>3.846153846153845E-2</v>
      </c>
      <c r="K1500" s="102">
        <v>55</v>
      </c>
      <c r="L1500" s="35" t="str">
        <f>IFERROR(_xlfn.XLOOKUP(Table6[[#This Row],[Error Code]],'Basic Data'!$AA:$AA,'Basic Data'!$AB:$AB),"Incorrect Error Code")</f>
        <v>WTG shut down</v>
      </c>
      <c r="M1500" s="35" t="s">
        <v>295</v>
      </c>
      <c r="N1500" s="475"/>
      <c r="O1500" s="476">
        <v>0.75</v>
      </c>
      <c r="P1500" s="476">
        <v>0.75</v>
      </c>
      <c r="Q1500" s="477">
        <v>0.97916666666666663</v>
      </c>
      <c r="R1500" s="472">
        <f>IF(Table6[[#This Row],[Work Start TimeStamp]]="","",(Table6[[#This Row],[Work Start TimeStamp]]-Table6[[#This Row],[Fault Start TimeStamp]])*24)</f>
        <v>0</v>
      </c>
      <c r="S1500" s="472">
        <f>(Table6[[#This Row],[Fault Clearance time]]-Table6[[#This Row],[Work Start TimeStamp]])*24</f>
        <v>5.4999999999999991</v>
      </c>
      <c r="T1500" s="472">
        <f>(Table6[[#This Row],[Fault Clearance time]]-Table6[[#This Row],[Fault Start TimeStamp]])*24</f>
        <v>5.4999999999999991</v>
      </c>
      <c r="U1500" s="35" t="s">
        <v>2055</v>
      </c>
      <c r="V1500" s="102" t="s">
        <v>293</v>
      </c>
      <c r="W1500" s="549">
        <f>IFERROR(Table6[[#This Row],[Breakdown Time]]*Table6[[#This Row],[Plant Equivalent Weightage]],"")</f>
        <v>0.21153846153846145</v>
      </c>
      <c r="X1500" s="473" t="s">
        <v>290</v>
      </c>
      <c r="Y1500" s="474" t="s">
        <v>79</v>
      </c>
      <c r="Z1500" s="102">
        <v>31743</v>
      </c>
      <c r="AA1500" s="468">
        <f>(Table6[[#This Row],[Paired WTG Generation for loss calculation]]/24)*Table6[[#This Row],[Breakdown Time]]</f>
        <v>7274.4374999999991</v>
      </c>
      <c r="AB1500" s="102"/>
      <c r="AC1500" s="35"/>
      <c r="AD1500" s="35"/>
    </row>
    <row r="1501" spans="1:30">
      <c r="A1501" s="102">
        <f t="shared" si="24"/>
        <v>1500</v>
      </c>
      <c r="B1501" s="468">
        <f>YEAR(Table6[[#This Row],[Date]])+IF(MONTH(Table6[[#This Row],[Date]])&gt;=4,1,0)</f>
        <v>2026</v>
      </c>
      <c r="C1501" s="102">
        <f>YEAR(Table6[[#This Row],[Date]])</f>
        <v>2025</v>
      </c>
      <c r="D1501" s="102" t="s">
        <v>1992</v>
      </c>
      <c r="E1501" s="469">
        <f>Table6[[#This Row],[Date]]-DAY(Table6[[#This Row],[Date]])+1</f>
        <v>45839</v>
      </c>
      <c r="F1501" s="470">
        <v>45846</v>
      </c>
      <c r="G1501" s="35" t="s">
        <v>93</v>
      </c>
      <c r="H1501" s="35" t="str">
        <f>IFERROR(_xlfn.XLOOKUP(Table6[[#This Row],[Affected WTG]],'Basic Data'!$A:$A,'Basic Data'!$B:$B),"")</f>
        <v>TQGXIIPL</v>
      </c>
      <c r="I1501" s="35" t="str">
        <f>IFERROR(_xlfn.XLOOKUP(Table6[[#This Row],[Affected WTG]],'Basic Data'!$A:$A,'Basic Data'!$C:$C),"")</f>
        <v>GEDA</v>
      </c>
      <c r="J1501" s="471">
        <f>IFERROR(_xlfn.XLOOKUP(Table6[[#This Row],[Affected WTG]],'Basic Data'!$A:$A,'Basic Data'!$E:$E),"")</f>
        <v>3.846153846153845E-2</v>
      </c>
      <c r="K1501" s="102">
        <v>3000</v>
      </c>
      <c r="L1501" s="35" t="str">
        <f>IFERROR(_xlfn.XLOOKUP(Table6[[#This Row],[Error Code]],'Basic Data'!$AA:$AA,'Basic Data'!$AB:$AB),"Incorrect Error Code")</f>
        <v>Frequency converter not ready</v>
      </c>
      <c r="M1501" s="35" t="s">
        <v>295</v>
      </c>
      <c r="N1501" s="475"/>
      <c r="O1501" s="476">
        <v>0</v>
      </c>
      <c r="P1501" s="476">
        <v>0.44513888888888886</v>
      </c>
      <c r="Q1501" s="477">
        <v>0.875</v>
      </c>
      <c r="R1501" s="472">
        <f>IF(Table6[[#This Row],[Work Start TimeStamp]]="","",(Table6[[#This Row],[Work Start TimeStamp]]-Table6[[#This Row],[Fault Start TimeStamp]])*24)</f>
        <v>10.683333333333334</v>
      </c>
      <c r="S1501" s="472">
        <f>(Table6[[#This Row],[Fault Clearance time]]-Table6[[#This Row],[Work Start TimeStamp]])*24</f>
        <v>10.316666666666666</v>
      </c>
      <c r="T1501" s="472">
        <f>(Table6[[#This Row],[Fault Clearance time]]-Table6[[#This Row],[Fault Start TimeStamp]])*24</f>
        <v>21</v>
      </c>
      <c r="U1501" s="35" t="s">
        <v>2056</v>
      </c>
      <c r="V1501" s="102" t="s">
        <v>293</v>
      </c>
      <c r="W1501" s="549">
        <f>IFERROR(Table6[[#This Row],[Breakdown Time]]*Table6[[#This Row],[Plant Equivalent Weightage]],"")</f>
        <v>0.80769230769230749</v>
      </c>
      <c r="X1501" s="473" t="s">
        <v>290</v>
      </c>
      <c r="Y1501" s="474" t="s">
        <v>97</v>
      </c>
      <c r="Z1501" s="102">
        <v>27774</v>
      </c>
      <c r="AA1501" s="468">
        <f>(Table6[[#This Row],[Paired WTG Generation for loss calculation]]/24)*Table6[[#This Row],[Breakdown Time]]</f>
        <v>24302.25</v>
      </c>
      <c r="AB1501" s="102"/>
      <c r="AC1501" s="35"/>
      <c r="AD1501" s="35"/>
    </row>
    <row r="1502" spans="1:30">
      <c r="A1502" s="102">
        <f t="shared" si="24"/>
        <v>1501</v>
      </c>
      <c r="B1502" s="468">
        <f>YEAR(Table6[[#This Row],[Date]])+IF(MONTH(Table6[[#This Row],[Date]])&gt;=4,1,0)</f>
        <v>2026</v>
      </c>
      <c r="C1502" s="102">
        <f>YEAR(Table6[[#This Row],[Date]])</f>
        <v>2025</v>
      </c>
      <c r="D1502" s="102" t="s">
        <v>1992</v>
      </c>
      <c r="E1502" s="469">
        <f>Table6[[#This Row],[Date]]-DAY(Table6[[#This Row],[Date]])+1</f>
        <v>45839</v>
      </c>
      <c r="F1502" s="470">
        <v>45846</v>
      </c>
      <c r="G1502" s="35" t="s">
        <v>93</v>
      </c>
      <c r="H1502" s="35" t="str">
        <f>IFERROR(_xlfn.XLOOKUP(Table6[[#This Row],[Affected WTG]],'Basic Data'!$A:$A,'Basic Data'!$B:$B),"")</f>
        <v>TQGXIIPL</v>
      </c>
      <c r="I1502" s="35" t="str">
        <f>IFERROR(_xlfn.XLOOKUP(Table6[[#This Row],[Affected WTG]],'Basic Data'!$A:$A,'Basic Data'!$C:$C),"")</f>
        <v>GEDA</v>
      </c>
      <c r="J1502" s="471">
        <f>IFERROR(_xlfn.XLOOKUP(Table6[[#This Row],[Affected WTG]],'Basic Data'!$A:$A,'Basic Data'!$E:$E),"")</f>
        <v>3.846153846153845E-2</v>
      </c>
      <c r="K1502" s="102">
        <v>3110</v>
      </c>
      <c r="L1502" s="35" t="str">
        <f>IFERROR(_xlfn.XLOOKUP(Table6[[#This Row],[Error Code]],'Basic Data'!$AA:$AA,'Basic Data'!$AB:$AB),"Incorrect Error Code")</f>
        <v>Frequency converter error</v>
      </c>
      <c r="M1502" s="35" t="s">
        <v>292</v>
      </c>
      <c r="N1502" s="475"/>
      <c r="O1502" s="476">
        <v>0.90625</v>
      </c>
      <c r="P1502" s="476">
        <v>0.90625</v>
      </c>
      <c r="Q1502" s="477">
        <v>0.90763888888888888</v>
      </c>
      <c r="R1502" s="472">
        <f>IF(Table6[[#This Row],[Work Start TimeStamp]]="","",(Table6[[#This Row],[Work Start TimeStamp]]-Table6[[#This Row],[Fault Start TimeStamp]])*24)</f>
        <v>0</v>
      </c>
      <c r="S1502" s="472">
        <f>(Table6[[#This Row],[Fault Clearance time]]-Table6[[#This Row],[Work Start TimeStamp]])*24</f>
        <v>3.3333333333333215E-2</v>
      </c>
      <c r="T1502" s="472">
        <f>(Table6[[#This Row],[Fault Clearance time]]-Table6[[#This Row],[Fault Start TimeStamp]])*24</f>
        <v>3.3333333333333215E-2</v>
      </c>
      <c r="U1502" s="35" t="s">
        <v>336</v>
      </c>
      <c r="V1502" s="102" t="s">
        <v>293</v>
      </c>
      <c r="W1502" s="549">
        <f>IFERROR(Table6[[#This Row],[Breakdown Time]]*Table6[[#This Row],[Plant Equivalent Weightage]],"")</f>
        <v>1.2820512820512771E-3</v>
      </c>
      <c r="X1502" s="473" t="s">
        <v>294</v>
      </c>
      <c r="Y1502" s="474" t="s">
        <v>97</v>
      </c>
      <c r="Z1502" s="102">
        <v>27774</v>
      </c>
      <c r="AA1502" s="468">
        <f>(Table6[[#This Row],[Paired WTG Generation for loss calculation]]/24)*Table6[[#This Row],[Breakdown Time]]</f>
        <v>38.574999999999861</v>
      </c>
      <c r="AB1502" s="102"/>
      <c r="AC1502" s="35"/>
      <c r="AD1502" s="35"/>
    </row>
    <row r="1503" spans="1:30">
      <c r="A1503" s="102">
        <f t="shared" si="24"/>
        <v>1502</v>
      </c>
      <c r="B1503" s="468">
        <f>YEAR(Table6[[#This Row],[Date]])+IF(MONTH(Table6[[#This Row],[Date]])&gt;=4,1,0)</f>
        <v>2026</v>
      </c>
      <c r="C1503" s="102">
        <f>YEAR(Table6[[#This Row],[Date]])</f>
        <v>2025</v>
      </c>
      <c r="D1503" s="102" t="s">
        <v>1992</v>
      </c>
      <c r="E1503" s="469">
        <f>Table6[[#This Row],[Date]]-DAY(Table6[[#This Row],[Date]])+1</f>
        <v>45839</v>
      </c>
      <c r="F1503" s="470">
        <v>45846</v>
      </c>
      <c r="G1503" s="35" t="s">
        <v>93</v>
      </c>
      <c r="H1503" s="35" t="str">
        <f>IFERROR(_xlfn.XLOOKUP(Table6[[#This Row],[Affected WTG]],'Basic Data'!$A:$A,'Basic Data'!$B:$B),"")</f>
        <v>TQGXIIPL</v>
      </c>
      <c r="I1503" s="35" t="str">
        <f>IFERROR(_xlfn.XLOOKUP(Table6[[#This Row],[Affected WTG]],'Basic Data'!$A:$A,'Basic Data'!$C:$C),"")</f>
        <v>GEDA</v>
      </c>
      <c r="J1503" s="471">
        <f>IFERROR(_xlfn.XLOOKUP(Table6[[#This Row],[Affected WTG]],'Basic Data'!$A:$A,'Basic Data'!$E:$E),"")</f>
        <v>3.846153846153845E-2</v>
      </c>
      <c r="K1503" s="102">
        <v>3110</v>
      </c>
      <c r="L1503" s="35" t="str">
        <f>IFERROR(_xlfn.XLOOKUP(Table6[[#This Row],[Error Code]],'Basic Data'!$AA:$AA,'Basic Data'!$AB:$AB),"Incorrect Error Code")</f>
        <v>Frequency converter error</v>
      </c>
      <c r="M1503" s="35" t="s">
        <v>291</v>
      </c>
      <c r="N1503" s="475"/>
      <c r="O1503" s="476">
        <v>0.9194444444444444</v>
      </c>
      <c r="P1503" s="476">
        <v>0.9194444444444444</v>
      </c>
      <c r="Q1503" s="477">
        <v>0.92361111111111116</v>
      </c>
      <c r="R1503" s="472">
        <f>IF(Table6[[#This Row],[Work Start TimeStamp]]="","",(Table6[[#This Row],[Work Start TimeStamp]]-Table6[[#This Row],[Fault Start TimeStamp]])*24)</f>
        <v>0</v>
      </c>
      <c r="S1503" s="472">
        <f>(Table6[[#This Row],[Fault Clearance time]]-Table6[[#This Row],[Work Start TimeStamp]])*24</f>
        <v>0.10000000000000231</v>
      </c>
      <c r="T1503" s="472">
        <f>(Table6[[#This Row],[Fault Clearance time]]-Table6[[#This Row],[Fault Start TimeStamp]])*24</f>
        <v>0.10000000000000231</v>
      </c>
      <c r="U1503" s="35" t="s">
        <v>1924</v>
      </c>
      <c r="V1503" s="102" t="s">
        <v>293</v>
      </c>
      <c r="W1503" s="549">
        <f>IFERROR(Table6[[#This Row],[Breakdown Time]]*Table6[[#This Row],[Plant Equivalent Weightage]],"")</f>
        <v>3.846153846153934E-3</v>
      </c>
      <c r="X1503" s="473" t="s">
        <v>294</v>
      </c>
      <c r="Y1503" s="474" t="s">
        <v>97</v>
      </c>
      <c r="Z1503" s="102">
        <v>27774</v>
      </c>
      <c r="AA1503" s="468">
        <f>(Table6[[#This Row],[Paired WTG Generation for loss calculation]]/24)*Table6[[#This Row],[Breakdown Time]]</f>
        <v>115.72500000000267</v>
      </c>
      <c r="AB1503" s="102"/>
      <c r="AC1503" s="35"/>
      <c r="AD1503" s="35"/>
    </row>
    <row r="1504" spans="1:30">
      <c r="A1504" s="102">
        <f t="shared" si="24"/>
        <v>1503</v>
      </c>
      <c r="B1504" s="468">
        <f>YEAR(Table6[[#This Row],[Date]])+IF(MONTH(Table6[[#This Row],[Date]])&gt;=4,1,0)</f>
        <v>2026</v>
      </c>
      <c r="C1504" s="102">
        <f>YEAR(Table6[[#This Row],[Date]])</f>
        <v>2025</v>
      </c>
      <c r="D1504" s="102" t="s">
        <v>1992</v>
      </c>
      <c r="E1504" s="469">
        <f>Table6[[#This Row],[Date]]-DAY(Table6[[#This Row],[Date]])+1</f>
        <v>45839</v>
      </c>
      <c r="F1504" s="470">
        <v>45847</v>
      </c>
      <c r="G1504" s="35" t="s">
        <v>78</v>
      </c>
      <c r="H1504" s="35" t="str">
        <f>IFERROR(_xlfn.XLOOKUP(Table6[[#This Row],[Affected WTG]],'Basic Data'!$A:$A,'Basic Data'!$B:$B),"")</f>
        <v>TQGXIIPL</v>
      </c>
      <c r="I1504" s="35" t="str">
        <f>IFERROR(_xlfn.XLOOKUP(Table6[[#This Row],[Affected WTG]],'Basic Data'!$A:$A,'Basic Data'!$C:$C),"")</f>
        <v>GEDA</v>
      </c>
      <c r="J1504" s="471">
        <f>IFERROR(_xlfn.XLOOKUP(Table6[[#This Row],[Affected WTG]],'Basic Data'!$A:$A,'Basic Data'!$E:$E),"")</f>
        <v>3.846153846153845E-2</v>
      </c>
      <c r="K1504" s="102">
        <v>6130</v>
      </c>
      <c r="L1504" s="35" t="str">
        <f>IFERROR(_xlfn.XLOOKUP(Table6[[#This Row],[Error Code]],'Basic Data'!$AA:$AA,'Basic Data'!$AB:$AB),"Incorrect Error Code")</f>
        <v>Yaw speed high</v>
      </c>
      <c r="M1504" s="35" t="s">
        <v>298</v>
      </c>
      <c r="N1504" s="475"/>
      <c r="O1504" s="476">
        <v>0.57986111111111116</v>
      </c>
      <c r="P1504" s="476">
        <v>0.57986111111111116</v>
      </c>
      <c r="Q1504" s="477">
        <v>0.6875</v>
      </c>
      <c r="R1504" s="472">
        <f>IF(Table6[[#This Row],[Work Start TimeStamp]]="","",(Table6[[#This Row],[Work Start TimeStamp]]-Table6[[#This Row],[Fault Start TimeStamp]])*24)</f>
        <v>0</v>
      </c>
      <c r="S1504" s="472">
        <f>(Table6[[#This Row],[Fault Clearance time]]-Table6[[#This Row],[Work Start TimeStamp]])*24</f>
        <v>2.5833333333333321</v>
      </c>
      <c r="T1504" s="472">
        <f>(Table6[[#This Row],[Fault Clearance time]]-Table6[[#This Row],[Fault Start TimeStamp]])*24</f>
        <v>2.5833333333333321</v>
      </c>
      <c r="U1504" s="35" t="s">
        <v>2030</v>
      </c>
      <c r="V1504" s="102" t="s">
        <v>293</v>
      </c>
      <c r="W1504" s="549">
        <f>IFERROR(Table6[[#This Row],[Breakdown Time]]*Table6[[#This Row],[Plant Equivalent Weightage]],"")</f>
        <v>9.9358974358974284E-2</v>
      </c>
      <c r="X1504" s="473" t="s">
        <v>294</v>
      </c>
      <c r="Y1504" s="474" t="s">
        <v>75</v>
      </c>
      <c r="Z1504" s="102">
        <v>28942</v>
      </c>
      <c r="AA1504" s="468">
        <f>(Table6[[#This Row],[Paired WTG Generation for loss calculation]]/24)*Table6[[#This Row],[Breakdown Time]]</f>
        <v>3115.2847222222208</v>
      </c>
      <c r="AB1504" s="102"/>
      <c r="AC1504" s="35"/>
      <c r="AD1504" s="35"/>
    </row>
    <row r="1505" spans="1:30">
      <c r="A1505" s="102">
        <f t="shared" si="24"/>
        <v>1504</v>
      </c>
      <c r="B1505" s="468">
        <f>YEAR(Table6[[#This Row],[Date]])+IF(MONTH(Table6[[#This Row],[Date]])&gt;=4,1,0)</f>
        <v>2026</v>
      </c>
      <c r="C1505" s="102">
        <f>YEAR(Table6[[#This Row],[Date]])</f>
        <v>2025</v>
      </c>
      <c r="D1505" s="102" t="s">
        <v>1992</v>
      </c>
      <c r="E1505" s="469">
        <f>Table6[[#This Row],[Date]]-DAY(Table6[[#This Row],[Date]])+1</f>
        <v>45839</v>
      </c>
      <c r="F1505" s="470">
        <v>45847</v>
      </c>
      <c r="G1505" s="35" t="s">
        <v>85</v>
      </c>
      <c r="H1505" s="35" t="str">
        <f>IFERROR(_xlfn.XLOOKUP(Table6[[#This Row],[Affected WTG]],'Basic Data'!$A:$A,'Basic Data'!$B:$B),"")</f>
        <v>TQGXIIPL</v>
      </c>
      <c r="I1505" s="35" t="str">
        <f>IFERROR(_xlfn.XLOOKUP(Table6[[#This Row],[Affected WTG]],'Basic Data'!$A:$A,'Basic Data'!$C:$C),"")</f>
        <v>GEDA</v>
      </c>
      <c r="J1505" s="471">
        <f>IFERROR(_xlfn.XLOOKUP(Table6[[#This Row],[Affected WTG]],'Basic Data'!$A:$A,'Basic Data'!$E:$E),"")</f>
        <v>3.846153846153845E-2</v>
      </c>
      <c r="K1505" s="102">
        <v>64</v>
      </c>
      <c r="L1505" s="35" t="str">
        <f>IFERROR(_xlfn.XLOOKUP(Table6[[#This Row],[Error Code]],'Basic Data'!$AA:$AA,'Basic Data'!$AB:$AB),"Incorrect Error Code")</f>
        <v>Max. wind speed</v>
      </c>
      <c r="M1505" s="35" t="s">
        <v>291</v>
      </c>
      <c r="N1505" s="475"/>
      <c r="O1505" s="476">
        <v>0.79513888888888884</v>
      </c>
      <c r="P1505" s="476">
        <v>0.79513888888888884</v>
      </c>
      <c r="Q1505" s="477">
        <v>0.80138888888888893</v>
      </c>
      <c r="R1505" s="472">
        <f>IF(Table6[[#This Row],[Work Start TimeStamp]]="","",(Table6[[#This Row],[Work Start TimeStamp]]-Table6[[#This Row],[Fault Start TimeStamp]])*24)</f>
        <v>0</v>
      </c>
      <c r="S1505" s="472">
        <f>(Table6[[#This Row],[Fault Clearance time]]-Table6[[#This Row],[Work Start TimeStamp]])*24</f>
        <v>0.15000000000000213</v>
      </c>
      <c r="T1505" s="472">
        <f>(Table6[[#This Row],[Fault Clearance time]]-Table6[[#This Row],[Fault Start TimeStamp]])*24</f>
        <v>0.15000000000000213</v>
      </c>
      <c r="U1505" s="35" t="s">
        <v>1924</v>
      </c>
      <c r="V1505" s="102" t="s">
        <v>293</v>
      </c>
      <c r="W1505" s="549">
        <f>IFERROR(Table6[[#This Row],[Breakdown Time]]*Table6[[#This Row],[Plant Equivalent Weightage]],"")</f>
        <v>5.7692307692308493E-3</v>
      </c>
      <c r="X1505" s="473" t="s">
        <v>294</v>
      </c>
      <c r="Y1505" s="474" t="s">
        <v>87</v>
      </c>
      <c r="Z1505" s="102">
        <v>31153</v>
      </c>
      <c r="AA1505" s="468">
        <f>(Table6[[#This Row],[Paired WTG Generation for loss calculation]]/24)*Table6[[#This Row],[Breakdown Time]]</f>
        <v>194.70625000000277</v>
      </c>
      <c r="AB1505" s="102"/>
      <c r="AC1505" s="35"/>
      <c r="AD1505" s="35"/>
    </row>
    <row r="1506" spans="1:30">
      <c r="A1506" s="102">
        <f t="shared" si="24"/>
        <v>1505</v>
      </c>
      <c r="B1506" s="468">
        <f>YEAR(Table6[[#This Row],[Date]])+IF(MONTH(Table6[[#This Row],[Date]])&gt;=4,1,0)</f>
        <v>2026</v>
      </c>
      <c r="C1506" s="102">
        <f>YEAR(Table6[[#This Row],[Date]])</f>
        <v>2025</v>
      </c>
      <c r="D1506" s="102" t="s">
        <v>1992</v>
      </c>
      <c r="E1506" s="469">
        <f>Table6[[#This Row],[Date]]-DAY(Table6[[#This Row],[Date]])+1</f>
        <v>45839</v>
      </c>
      <c r="F1506" s="470">
        <v>45847</v>
      </c>
      <c r="G1506" s="35" t="s">
        <v>85</v>
      </c>
      <c r="H1506" s="35" t="str">
        <f>IFERROR(_xlfn.XLOOKUP(Table6[[#This Row],[Affected WTG]],'Basic Data'!$A:$A,'Basic Data'!$B:$B),"")</f>
        <v>TQGXIIPL</v>
      </c>
      <c r="I1506" s="35" t="str">
        <f>IFERROR(_xlfn.XLOOKUP(Table6[[#This Row],[Affected WTG]],'Basic Data'!$A:$A,'Basic Data'!$C:$C),"")</f>
        <v>GEDA</v>
      </c>
      <c r="J1506" s="471">
        <f>IFERROR(_xlfn.XLOOKUP(Table6[[#This Row],[Affected WTG]],'Basic Data'!$A:$A,'Basic Data'!$E:$E),"")</f>
        <v>3.846153846153845E-2</v>
      </c>
      <c r="K1506" s="102">
        <v>55</v>
      </c>
      <c r="L1506" s="35" t="str">
        <f>IFERROR(_xlfn.XLOOKUP(Table6[[#This Row],[Error Code]],'Basic Data'!$AA:$AA,'Basic Data'!$AB:$AB),"Incorrect Error Code")</f>
        <v>WTG shut down</v>
      </c>
      <c r="M1506" s="35" t="s">
        <v>291</v>
      </c>
      <c r="N1506" s="475"/>
      <c r="O1506" s="476">
        <v>0.92777777777777781</v>
      </c>
      <c r="P1506" s="476">
        <v>0.92777777777777781</v>
      </c>
      <c r="Q1506" s="477">
        <v>1</v>
      </c>
      <c r="R1506" s="472">
        <f>IF(Table6[[#This Row],[Work Start TimeStamp]]="","",(Table6[[#This Row],[Work Start TimeStamp]]-Table6[[#This Row],[Fault Start TimeStamp]])*24)</f>
        <v>0</v>
      </c>
      <c r="S1506" s="472">
        <f>(Table6[[#This Row],[Fault Clearance time]]-Table6[[#This Row],[Work Start TimeStamp]])*24</f>
        <v>1.7333333333333325</v>
      </c>
      <c r="T1506" s="472">
        <f>(Table6[[#This Row],[Fault Clearance time]]-Table6[[#This Row],[Fault Start TimeStamp]])*24</f>
        <v>1.7333333333333325</v>
      </c>
      <c r="U1506" s="35" t="s">
        <v>2057</v>
      </c>
      <c r="V1506" s="102" t="s">
        <v>289</v>
      </c>
      <c r="W1506" s="549">
        <f>IFERROR(Table6[[#This Row],[Breakdown Time]]*Table6[[#This Row],[Plant Equivalent Weightage]],"")</f>
        <v>6.666666666666661E-2</v>
      </c>
      <c r="X1506" s="473" t="s">
        <v>290</v>
      </c>
      <c r="Y1506" s="474" t="s">
        <v>87</v>
      </c>
      <c r="Z1506" s="102">
        <v>31153</v>
      </c>
      <c r="AA1506" s="468">
        <f>(Table6[[#This Row],[Paired WTG Generation for loss calculation]]/24)*Table6[[#This Row],[Breakdown Time]]</f>
        <v>2249.938888888888</v>
      </c>
      <c r="AB1506" s="102"/>
      <c r="AC1506" s="35"/>
      <c r="AD1506" s="35"/>
    </row>
    <row r="1507" spans="1:30">
      <c r="A1507" s="102">
        <f t="shared" si="24"/>
        <v>1506</v>
      </c>
      <c r="B1507" s="468">
        <f>YEAR(Table6[[#This Row],[Date]])+IF(MONTH(Table6[[#This Row],[Date]])&gt;=4,1,0)</f>
        <v>2026</v>
      </c>
      <c r="C1507" s="102">
        <f>YEAR(Table6[[#This Row],[Date]])</f>
        <v>2025</v>
      </c>
      <c r="D1507" s="102" t="s">
        <v>1992</v>
      </c>
      <c r="E1507" s="469">
        <f>Table6[[#This Row],[Date]]-DAY(Table6[[#This Row],[Date]])+1</f>
        <v>45839</v>
      </c>
      <c r="F1507" s="470">
        <v>45847</v>
      </c>
      <c r="G1507" s="35" t="s">
        <v>91</v>
      </c>
      <c r="H1507" s="35" t="str">
        <f>IFERROR(_xlfn.XLOOKUP(Table6[[#This Row],[Affected WTG]],'Basic Data'!$A:$A,'Basic Data'!$B:$B),"")</f>
        <v>TQGXIIPL</v>
      </c>
      <c r="I1507" s="35" t="str">
        <f>IFERROR(_xlfn.XLOOKUP(Table6[[#This Row],[Affected WTG]],'Basic Data'!$A:$A,'Basic Data'!$C:$C),"")</f>
        <v>GEDA</v>
      </c>
      <c r="J1507" s="471">
        <f>IFERROR(_xlfn.XLOOKUP(Table6[[#This Row],[Affected WTG]],'Basic Data'!$A:$A,'Basic Data'!$E:$E),"")</f>
        <v>3.846153846153845E-2</v>
      </c>
      <c r="K1507" s="102">
        <v>55</v>
      </c>
      <c r="L1507" s="35" t="str">
        <f>IFERROR(_xlfn.XLOOKUP(Table6[[#This Row],[Error Code]],'Basic Data'!$AA:$AA,'Basic Data'!$AB:$AB),"Incorrect Error Code")</f>
        <v>WTG shut down</v>
      </c>
      <c r="M1507" s="35" t="s">
        <v>288</v>
      </c>
      <c r="N1507" s="475"/>
      <c r="O1507" s="476">
        <v>0.625</v>
      </c>
      <c r="P1507" s="476">
        <v>0.625</v>
      </c>
      <c r="Q1507" s="477">
        <v>0.64513888888888893</v>
      </c>
      <c r="R1507" s="472">
        <f>IF(Table6[[#This Row],[Work Start TimeStamp]]="","",(Table6[[#This Row],[Work Start TimeStamp]]-Table6[[#This Row],[Fault Start TimeStamp]])*24)</f>
        <v>0</v>
      </c>
      <c r="S1507" s="472">
        <f>(Table6[[#This Row],[Fault Clearance time]]-Table6[[#This Row],[Work Start TimeStamp]])*24</f>
        <v>0.48333333333333428</v>
      </c>
      <c r="T1507" s="472">
        <f>(Table6[[#This Row],[Fault Clearance time]]-Table6[[#This Row],[Fault Start TimeStamp]])*24</f>
        <v>0.48333333333333428</v>
      </c>
      <c r="U1507" s="35" t="s">
        <v>2055</v>
      </c>
      <c r="V1507" s="102" t="s">
        <v>293</v>
      </c>
      <c r="W1507" s="549">
        <f>IFERROR(Table6[[#This Row],[Breakdown Time]]*Table6[[#This Row],[Plant Equivalent Weightage]],"")</f>
        <v>1.8589743589743621E-2</v>
      </c>
      <c r="X1507" s="473" t="s">
        <v>290</v>
      </c>
      <c r="Y1507" s="474" t="s">
        <v>79</v>
      </c>
      <c r="Z1507" s="102">
        <v>32672</v>
      </c>
      <c r="AA1507" s="468">
        <f>(Table6[[#This Row],[Paired WTG Generation for loss calculation]]/24)*Table6[[#This Row],[Breakdown Time]]</f>
        <v>657.97777777777901</v>
      </c>
      <c r="AB1507" s="102"/>
      <c r="AC1507" s="35"/>
      <c r="AD1507" s="35"/>
    </row>
    <row r="1508" spans="1:30">
      <c r="A1508" s="102">
        <f t="shared" si="24"/>
        <v>1507</v>
      </c>
      <c r="B1508" s="468">
        <f>YEAR(Table6[[#This Row],[Date]])+IF(MONTH(Table6[[#This Row],[Date]])&gt;=4,1,0)</f>
        <v>2026</v>
      </c>
      <c r="C1508" s="102">
        <f>YEAR(Table6[[#This Row],[Date]])</f>
        <v>2025</v>
      </c>
      <c r="D1508" s="102" t="s">
        <v>1992</v>
      </c>
      <c r="E1508" s="469">
        <f>Table6[[#This Row],[Date]]-DAY(Table6[[#This Row],[Date]])+1</f>
        <v>45839</v>
      </c>
      <c r="F1508" s="470">
        <v>45847</v>
      </c>
      <c r="G1508" s="35" t="s">
        <v>93</v>
      </c>
      <c r="H1508" s="35" t="str">
        <f>IFERROR(_xlfn.XLOOKUP(Table6[[#This Row],[Affected WTG]],'Basic Data'!$A:$A,'Basic Data'!$B:$B),"")</f>
        <v>TQGXIIPL</v>
      </c>
      <c r="I1508" s="35" t="str">
        <f>IFERROR(_xlfn.XLOOKUP(Table6[[#This Row],[Affected WTG]],'Basic Data'!$A:$A,'Basic Data'!$C:$C),"")</f>
        <v>GEDA</v>
      </c>
      <c r="J1508" s="471">
        <f>IFERROR(_xlfn.XLOOKUP(Table6[[#This Row],[Affected WTG]],'Basic Data'!$A:$A,'Basic Data'!$E:$E),"")</f>
        <v>3.846153846153845E-2</v>
      </c>
      <c r="K1508" s="102">
        <v>3110</v>
      </c>
      <c r="L1508" s="35" t="str">
        <f>IFERROR(_xlfn.XLOOKUP(Table6[[#This Row],[Error Code]],'Basic Data'!$AA:$AA,'Basic Data'!$AB:$AB),"Incorrect Error Code")</f>
        <v>Frequency converter error</v>
      </c>
      <c r="M1508" s="35" t="s">
        <v>291</v>
      </c>
      <c r="N1508" s="475"/>
      <c r="O1508" s="476">
        <v>0.67083333333333328</v>
      </c>
      <c r="P1508" s="476">
        <v>0.67083333333333328</v>
      </c>
      <c r="Q1508" s="477">
        <v>0.68125000000000002</v>
      </c>
      <c r="R1508" s="472">
        <f>IF(Table6[[#This Row],[Work Start TimeStamp]]="","",(Table6[[#This Row],[Work Start TimeStamp]]-Table6[[#This Row],[Fault Start TimeStamp]])*24)</f>
        <v>0</v>
      </c>
      <c r="S1508" s="472">
        <f>(Table6[[#This Row],[Fault Clearance time]]-Table6[[#This Row],[Work Start TimeStamp]])*24</f>
        <v>0.25000000000000178</v>
      </c>
      <c r="T1508" s="472">
        <f>(Table6[[#This Row],[Fault Clearance time]]-Table6[[#This Row],[Fault Start TimeStamp]])*24</f>
        <v>0.25000000000000178</v>
      </c>
      <c r="U1508" s="35" t="s">
        <v>2031</v>
      </c>
      <c r="V1508" s="102" t="s">
        <v>293</v>
      </c>
      <c r="W1508" s="549">
        <f>IFERROR(Table6[[#This Row],[Breakdown Time]]*Table6[[#This Row],[Plant Equivalent Weightage]],"")</f>
        <v>9.6153846153846801E-3</v>
      </c>
      <c r="X1508" s="473" t="s">
        <v>294</v>
      </c>
      <c r="Y1508" s="474" t="s">
        <v>97</v>
      </c>
      <c r="Z1508" s="102">
        <v>33552</v>
      </c>
      <c r="AA1508" s="468">
        <f>(Table6[[#This Row],[Paired WTG Generation for loss calculation]]/24)*Table6[[#This Row],[Breakdown Time]]</f>
        <v>349.5000000000025</v>
      </c>
      <c r="AB1508" s="102"/>
      <c r="AC1508" s="35"/>
      <c r="AD1508" s="35"/>
    </row>
    <row r="1509" spans="1:30">
      <c r="A1509" s="102">
        <f t="shared" si="24"/>
        <v>1508</v>
      </c>
      <c r="B1509" s="468">
        <f>YEAR(Table6[[#This Row],[Date]])+IF(MONTH(Table6[[#This Row],[Date]])&gt;=4,1,0)</f>
        <v>2026</v>
      </c>
      <c r="C1509" s="102">
        <f>YEAR(Table6[[#This Row],[Date]])</f>
        <v>2025</v>
      </c>
      <c r="D1509" s="102" t="s">
        <v>1992</v>
      </c>
      <c r="E1509" s="469">
        <f>Table6[[#This Row],[Date]]-DAY(Table6[[#This Row],[Date]])+1</f>
        <v>45839</v>
      </c>
      <c r="F1509" s="470">
        <v>45847</v>
      </c>
      <c r="G1509" s="35" t="s">
        <v>94</v>
      </c>
      <c r="H1509" s="35" t="str">
        <f>IFERROR(_xlfn.XLOOKUP(Table6[[#This Row],[Affected WTG]],'Basic Data'!$A:$A,'Basic Data'!$B:$B),"")</f>
        <v>TQGXIIPL</v>
      </c>
      <c r="I1509" s="35" t="str">
        <f>IFERROR(_xlfn.XLOOKUP(Table6[[#This Row],[Affected WTG]],'Basic Data'!$A:$A,'Basic Data'!$C:$C),"")</f>
        <v>GEDA</v>
      </c>
      <c r="J1509" s="471">
        <f>IFERROR(_xlfn.XLOOKUP(Table6[[#This Row],[Affected WTG]],'Basic Data'!$A:$A,'Basic Data'!$E:$E),"")</f>
        <v>3.846153846153845E-2</v>
      </c>
      <c r="K1509" s="102">
        <v>6130</v>
      </c>
      <c r="L1509" s="35" t="str">
        <f>IFERROR(_xlfn.XLOOKUP(Table6[[#This Row],[Error Code]],'Basic Data'!$AA:$AA,'Basic Data'!$AB:$AB),"Incorrect Error Code")</f>
        <v>Yaw speed high</v>
      </c>
      <c r="M1509" s="35" t="s">
        <v>292</v>
      </c>
      <c r="N1509" s="475"/>
      <c r="O1509" s="476">
        <v>0.84722222222222221</v>
      </c>
      <c r="P1509" s="476">
        <v>0.84722222222222221</v>
      </c>
      <c r="Q1509" s="477">
        <v>0.85138888888888886</v>
      </c>
      <c r="R1509" s="472">
        <f>IF(Table6[[#This Row],[Work Start TimeStamp]]="","",(Table6[[#This Row],[Work Start TimeStamp]]-Table6[[#This Row],[Fault Start TimeStamp]])*24)</f>
        <v>0</v>
      </c>
      <c r="S1509" s="472">
        <f>(Table6[[#This Row],[Fault Clearance time]]-Table6[[#This Row],[Work Start TimeStamp]])*24</f>
        <v>9.9999999999999645E-2</v>
      </c>
      <c r="T1509" s="472">
        <f>(Table6[[#This Row],[Fault Clearance time]]-Table6[[#This Row],[Fault Start TimeStamp]])*24</f>
        <v>9.9999999999999645E-2</v>
      </c>
      <c r="U1509" s="35" t="s">
        <v>336</v>
      </c>
      <c r="V1509" s="102" t="s">
        <v>293</v>
      </c>
      <c r="W1509" s="549">
        <f>IFERROR(Table6[[#This Row],[Breakdown Time]]*Table6[[#This Row],[Plant Equivalent Weightage]],"")</f>
        <v>3.8461538461538312E-3</v>
      </c>
      <c r="X1509" s="473" t="s">
        <v>294</v>
      </c>
      <c r="Y1509" s="474" t="s">
        <v>79</v>
      </c>
      <c r="Z1509" s="102">
        <v>32672</v>
      </c>
      <c r="AA1509" s="468">
        <f>(Table6[[#This Row],[Paired WTG Generation for loss calculation]]/24)*Table6[[#This Row],[Breakdown Time]]</f>
        <v>136.13333333333284</v>
      </c>
      <c r="AB1509" s="102"/>
      <c r="AC1509" s="35"/>
      <c r="AD1509" s="35"/>
    </row>
    <row r="1510" spans="1:30">
      <c r="A1510" s="102">
        <f t="shared" si="24"/>
        <v>1509</v>
      </c>
      <c r="B1510" s="468">
        <f>YEAR(Table6[[#This Row],[Date]])+IF(MONTH(Table6[[#This Row],[Date]])&gt;=4,1,0)</f>
        <v>2026</v>
      </c>
      <c r="C1510" s="102">
        <f>YEAR(Table6[[#This Row],[Date]])</f>
        <v>2025</v>
      </c>
      <c r="D1510" s="102" t="s">
        <v>1992</v>
      </c>
      <c r="E1510" s="469">
        <f>Table6[[#This Row],[Date]]-DAY(Table6[[#This Row],[Date]])+1</f>
        <v>45839</v>
      </c>
      <c r="F1510" s="470">
        <v>45847</v>
      </c>
      <c r="G1510" s="35" t="s">
        <v>94</v>
      </c>
      <c r="H1510" s="35" t="str">
        <f>IFERROR(_xlfn.XLOOKUP(Table6[[#This Row],[Affected WTG]],'Basic Data'!$A:$A,'Basic Data'!$B:$B),"")</f>
        <v>TQGXIIPL</v>
      </c>
      <c r="I1510" s="35" t="str">
        <f>IFERROR(_xlfn.XLOOKUP(Table6[[#This Row],[Affected WTG]],'Basic Data'!$A:$A,'Basic Data'!$C:$C),"")</f>
        <v>GEDA</v>
      </c>
      <c r="J1510" s="471">
        <f>IFERROR(_xlfn.XLOOKUP(Table6[[#This Row],[Affected WTG]],'Basic Data'!$A:$A,'Basic Data'!$E:$E),"")</f>
        <v>3.846153846153845E-2</v>
      </c>
      <c r="K1510" s="102">
        <v>4970</v>
      </c>
      <c r="L1510" s="35" t="str">
        <f>IFERROR(_xlfn.XLOOKUP(Table6[[#This Row],[Error Code]],'Basic Data'!$AA:$AA,'Basic Data'!$AB:$AB),"Incorrect Error Code")</f>
        <v>Tower oscillation XF</v>
      </c>
      <c r="M1510" s="35" t="s">
        <v>291</v>
      </c>
      <c r="N1510" s="475"/>
      <c r="O1510" s="476">
        <v>0.98124999999999996</v>
      </c>
      <c r="P1510" s="476">
        <v>0.98124999999999996</v>
      </c>
      <c r="Q1510" s="477">
        <v>0.98888888888888893</v>
      </c>
      <c r="R1510" s="472">
        <f>IF(Table6[[#This Row],[Work Start TimeStamp]]="","",(Table6[[#This Row],[Work Start TimeStamp]]-Table6[[#This Row],[Fault Start TimeStamp]])*24)</f>
        <v>0</v>
      </c>
      <c r="S1510" s="472">
        <f>(Table6[[#This Row],[Fault Clearance time]]-Table6[[#This Row],[Work Start TimeStamp]])*24</f>
        <v>0.18333333333333535</v>
      </c>
      <c r="T1510" s="472">
        <f>(Table6[[#This Row],[Fault Clearance time]]-Table6[[#This Row],[Fault Start TimeStamp]])*24</f>
        <v>0.18333333333333535</v>
      </c>
      <c r="U1510" s="35" t="s">
        <v>1924</v>
      </c>
      <c r="V1510" s="102" t="s">
        <v>293</v>
      </c>
      <c r="W1510" s="549">
        <f>IFERROR(Table6[[#This Row],[Breakdown Time]]*Table6[[#This Row],[Plant Equivalent Weightage]],"")</f>
        <v>7.0512820512821268E-3</v>
      </c>
      <c r="X1510" s="473" t="s">
        <v>294</v>
      </c>
      <c r="Y1510" s="474" t="s">
        <v>79</v>
      </c>
      <c r="Z1510" s="102">
        <v>32672</v>
      </c>
      <c r="AA1510" s="468">
        <f>(Table6[[#This Row],[Paired WTG Generation for loss calculation]]/24)*Table6[[#This Row],[Breakdown Time]]</f>
        <v>249.57777777778051</v>
      </c>
      <c r="AB1510" s="102"/>
      <c r="AC1510" s="35"/>
      <c r="AD1510" s="35"/>
    </row>
    <row r="1511" spans="1:30">
      <c r="A1511" s="102">
        <f t="shared" si="24"/>
        <v>1510</v>
      </c>
      <c r="B1511" s="468">
        <f>YEAR(Table6[[#This Row],[Date]])+IF(MONTH(Table6[[#This Row],[Date]])&gt;=4,1,0)</f>
        <v>2026</v>
      </c>
      <c r="C1511" s="102">
        <f>YEAR(Table6[[#This Row],[Date]])</f>
        <v>2025</v>
      </c>
      <c r="D1511" s="102" t="s">
        <v>1992</v>
      </c>
      <c r="E1511" s="469">
        <f>Table6[[#This Row],[Date]]-DAY(Table6[[#This Row],[Date]])+1</f>
        <v>45839</v>
      </c>
      <c r="F1511" s="470">
        <v>45847</v>
      </c>
      <c r="G1511" s="35" t="s">
        <v>96</v>
      </c>
      <c r="H1511" s="35" t="str">
        <f>IFERROR(_xlfn.XLOOKUP(Table6[[#This Row],[Affected WTG]],'Basic Data'!$A:$A,'Basic Data'!$B:$B),"")</f>
        <v>TQGXIIPL</v>
      </c>
      <c r="I1511" s="35" t="str">
        <f>IFERROR(_xlfn.XLOOKUP(Table6[[#This Row],[Affected WTG]],'Basic Data'!$A:$A,'Basic Data'!$C:$C),"")</f>
        <v>GEDA</v>
      </c>
      <c r="J1511" s="471">
        <f>IFERROR(_xlfn.XLOOKUP(Table6[[#This Row],[Affected WTG]],'Basic Data'!$A:$A,'Basic Data'!$E:$E),"")</f>
        <v>3.846153846153845E-2</v>
      </c>
      <c r="K1511" s="102">
        <v>6130</v>
      </c>
      <c r="L1511" s="35" t="str">
        <f>IFERROR(_xlfn.XLOOKUP(Table6[[#This Row],[Error Code]],'Basic Data'!$AA:$AA,'Basic Data'!$AB:$AB),"Incorrect Error Code")</f>
        <v>Yaw speed high</v>
      </c>
      <c r="M1511" s="35" t="s">
        <v>292</v>
      </c>
      <c r="N1511" s="475"/>
      <c r="O1511" s="476">
        <v>0.79305555555555551</v>
      </c>
      <c r="P1511" s="476">
        <v>0.79305555555555551</v>
      </c>
      <c r="Q1511" s="477">
        <v>0.79722222222222228</v>
      </c>
      <c r="R1511" s="472">
        <f>IF(Table6[[#This Row],[Work Start TimeStamp]]="","",(Table6[[#This Row],[Work Start TimeStamp]]-Table6[[#This Row],[Fault Start TimeStamp]])*24)</f>
        <v>0</v>
      </c>
      <c r="S1511" s="472">
        <f>(Table6[[#This Row],[Fault Clearance time]]-Table6[[#This Row],[Work Start TimeStamp]])*24</f>
        <v>0.10000000000000231</v>
      </c>
      <c r="T1511" s="472">
        <f>(Table6[[#This Row],[Fault Clearance time]]-Table6[[#This Row],[Fault Start TimeStamp]])*24</f>
        <v>0.10000000000000231</v>
      </c>
      <c r="U1511" s="35" t="s">
        <v>336</v>
      </c>
      <c r="V1511" s="102" t="s">
        <v>293</v>
      </c>
      <c r="W1511" s="549">
        <f>IFERROR(Table6[[#This Row],[Breakdown Time]]*Table6[[#This Row],[Plant Equivalent Weightage]],"")</f>
        <v>3.846153846153934E-3</v>
      </c>
      <c r="X1511" s="473" t="s">
        <v>294</v>
      </c>
      <c r="Y1511" s="474" t="s">
        <v>84</v>
      </c>
      <c r="Z1511" s="102">
        <v>30700</v>
      </c>
      <c r="AA1511" s="468">
        <f>(Table6[[#This Row],[Paired WTG Generation for loss calculation]]/24)*Table6[[#This Row],[Breakdown Time]]</f>
        <v>127.91666666666963</v>
      </c>
      <c r="AB1511" s="102"/>
      <c r="AC1511" s="35"/>
      <c r="AD1511" s="35"/>
    </row>
    <row r="1512" spans="1:30">
      <c r="A1512" s="102">
        <f t="shared" si="24"/>
        <v>1511</v>
      </c>
      <c r="B1512" s="468">
        <f>YEAR(Table6[[#This Row],[Date]])+IF(MONTH(Table6[[#This Row],[Date]])&gt;=4,1,0)</f>
        <v>2026</v>
      </c>
      <c r="C1512" s="102">
        <f>YEAR(Table6[[#This Row],[Date]])</f>
        <v>2025</v>
      </c>
      <c r="D1512" s="102" t="s">
        <v>1992</v>
      </c>
      <c r="E1512" s="469">
        <f>Table6[[#This Row],[Date]]-DAY(Table6[[#This Row],[Date]])+1</f>
        <v>45839</v>
      </c>
      <c r="F1512" s="470">
        <v>45847</v>
      </c>
      <c r="G1512" s="35" t="s">
        <v>96</v>
      </c>
      <c r="H1512" s="35" t="str">
        <f>IFERROR(_xlfn.XLOOKUP(Table6[[#This Row],[Affected WTG]],'Basic Data'!$A:$A,'Basic Data'!$B:$B),"")</f>
        <v>TQGXIIPL</v>
      </c>
      <c r="I1512" s="35" t="str">
        <f>IFERROR(_xlfn.XLOOKUP(Table6[[#This Row],[Affected WTG]],'Basic Data'!$A:$A,'Basic Data'!$C:$C),"")</f>
        <v>GEDA</v>
      </c>
      <c r="J1512" s="471">
        <f>IFERROR(_xlfn.XLOOKUP(Table6[[#This Row],[Affected WTG]],'Basic Data'!$A:$A,'Basic Data'!$E:$E),"")</f>
        <v>3.846153846153845E-2</v>
      </c>
      <c r="K1512" s="102">
        <v>6130</v>
      </c>
      <c r="L1512" s="35" t="str">
        <f>IFERROR(_xlfn.XLOOKUP(Table6[[#This Row],[Error Code]],'Basic Data'!$AA:$AA,'Basic Data'!$AB:$AB),"Incorrect Error Code")</f>
        <v>Yaw speed high</v>
      </c>
      <c r="M1512" s="35" t="s">
        <v>291</v>
      </c>
      <c r="N1512" s="475"/>
      <c r="O1512" s="476">
        <v>0.8520833333333333</v>
      </c>
      <c r="P1512" s="476">
        <v>0.8520833333333333</v>
      </c>
      <c r="Q1512" s="477">
        <v>0.85763888888888884</v>
      </c>
      <c r="R1512" s="472">
        <f>IF(Table6[[#This Row],[Work Start TimeStamp]]="","",(Table6[[#This Row],[Work Start TimeStamp]]-Table6[[#This Row],[Fault Start TimeStamp]])*24)</f>
        <v>0</v>
      </c>
      <c r="S1512" s="472">
        <f>(Table6[[#This Row],[Fault Clearance time]]-Table6[[#This Row],[Work Start TimeStamp]])*24</f>
        <v>0.13333333333333286</v>
      </c>
      <c r="T1512" s="472">
        <f>(Table6[[#This Row],[Fault Clearance time]]-Table6[[#This Row],[Fault Start TimeStamp]])*24</f>
        <v>0.13333333333333286</v>
      </c>
      <c r="U1512" s="35" t="s">
        <v>1924</v>
      </c>
      <c r="V1512" s="102" t="s">
        <v>293</v>
      </c>
      <c r="W1512" s="549">
        <f>IFERROR(Table6[[#This Row],[Breakdown Time]]*Table6[[#This Row],[Plant Equivalent Weightage]],"")</f>
        <v>5.1282051282051083E-3</v>
      </c>
      <c r="X1512" s="473" t="s">
        <v>294</v>
      </c>
      <c r="Y1512" s="474" t="s">
        <v>84</v>
      </c>
      <c r="Z1512" s="102">
        <v>30700</v>
      </c>
      <c r="AA1512" s="468">
        <f>(Table6[[#This Row],[Paired WTG Generation for loss calculation]]/24)*Table6[[#This Row],[Breakdown Time]]</f>
        <v>170.55555555555495</v>
      </c>
      <c r="AB1512" s="102"/>
      <c r="AC1512" s="35"/>
      <c r="AD1512" s="35"/>
    </row>
    <row r="1513" spans="1:30">
      <c r="A1513" s="102">
        <f t="shared" si="24"/>
        <v>1512</v>
      </c>
      <c r="B1513" s="468">
        <f>YEAR(Table6[[#This Row],[Date]])+IF(MONTH(Table6[[#This Row],[Date]])&gt;=4,1,0)</f>
        <v>2026</v>
      </c>
      <c r="C1513" s="102">
        <f>YEAR(Table6[[#This Row],[Date]])</f>
        <v>2025</v>
      </c>
      <c r="D1513" s="102" t="s">
        <v>1992</v>
      </c>
      <c r="E1513" s="469">
        <f>Table6[[#This Row],[Date]]-DAY(Table6[[#This Row],[Date]])+1</f>
        <v>45839</v>
      </c>
      <c r="F1513" s="470">
        <v>45848</v>
      </c>
      <c r="G1513" s="35" t="s">
        <v>77</v>
      </c>
      <c r="H1513" s="35" t="str">
        <f>IFERROR(_xlfn.XLOOKUP(Table6[[#This Row],[Affected WTG]],'Basic Data'!$A:$A,'Basic Data'!$B:$B),"")</f>
        <v>TQGXIIPL</v>
      </c>
      <c r="I1513" s="35" t="str">
        <f>IFERROR(_xlfn.XLOOKUP(Table6[[#This Row],[Affected WTG]],'Basic Data'!$A:$A,'Basic Data'!$C:$C),"")</f>
        <v>GEDA</v>
      </c>
      <c r="J1513" s="471">
        <f>IFERROR(_xlfn.XLOOKUP(Table6[[#This Row],[Affected WTG]],'Basic Data'!$A:$A,'Basic Data'!$E:$E),"")</f>
        <v>3.846153846153845E-2</v>
      </c>
      <c r="K1513" s="102">
        <v>55</v>
      </c>
      <c r="L1513" s="35" t="str">
        <f>IFERROR(_xlfn.XLOOKUP(Table6[[#This Row],[Error Code]],'Basic Data'!$AA:$AA,'Basic Data'!$AB:$AB),"Incorrect Error Code")</f>
        <v>WTG shut down</v>
      </c>
      <c r="M1513" s="35" t="s">
        <v>291</v>
      </c>
      <c r="N1513" s="475"/>
      <c r="O1513" s="476">
        <v>0.47499999999999998</v>
      </c>
      <c r="P1513" s="476">
        <v>0.47499999999999998</v>
      </c>
      <c r="Q1513" s="477">
        <v>0.70972222222222225</v>
      </c>
      <c r="R1513" s="472">
        <f>IF(Table6[[#This Row],[Work Start TimeStamp]]="","",(Table6[[#This Row],[Work Start TimeStamp]]-Table6[[#This Row],[Fault Start TimeStamp]])*24)</f>
        <v>0</v>
      </c>
      <c r="S1513" s="472">
        <f>(Table6[[#This Row],[Fault Clearance time]]-Table6[[#This Row],[Work Start TimeStamp]])*24</f>
        <v>5.6333333333333346</v>
      </c>
      <c r="T1513" s="472">
        <f>(Table6[[#This Row],[Fault Clearance time]]-Table6[[#This Row],[Fault Start TimeStamp]])*24</f>
        <v>5.6333333333333346</v>
      </c>
      <c r="U1513" s="35" t="s">
        <v>2058</v>
      </c>
      <c r="V1513" s="102" t="s">
        <v>293</v>
      </c>
      <c r="W1513" s="549">
        <f>IFERROR(Table6[[#This Row],[Breakdown Time]]*Table6[[#This Row],[Plant Equivalent Weightage]],"")</f>
        <v>0.21666666666666665</v>
      </c>
      <c r="X1513" s="473" t="s">
        <v>290</v>
      </c>
      <c r="Y1513" s="474" t="s">
        <v>77</v>
      </c>
      <c r="Z1513" s="102">
        <v>14852</v>
      </c>
      <c r="AA1513" s="468">
        <f>(Table6[[#This Row],[Paired WTG Generation for loss calculation]]/24)*Table6[[#This Row],[Breakdown Time]]</f>
        <v>3486.0944444444453</v>
      </c>
      <c r="AB1513" s="102"/>
      <c r="AC1513" s="35"/>
      <c r="AD1513" s="35"/>
    </row>
    <row r="1514" spans="1:30">
      <c r="A1514" s="102">
        <f t="shared" si="24"/>
        <v>1513</v>
      </c>
      <c r="B1514" s="468">
        <f>YEAR(Table6[[#This Row],[Date]])+IF(MONTH(Table6[[#This Row],[Date]])&gt;=4,1,0)</f>
        <v>2026</v>
      </c>
      <c r="C1514" s="102">
        <f>YEAR(Table6[[#This Row],[Date]])</f>
        <v>2025</v>
      </c>
      <c r="D1514" s="102" t="s">
        <v>1992</v>
      </c>
      <c r="E1514" s="469">
        <f>Table6[[#This Row],[Date]]-DAY(Table6[[#This Row],[Date]])+1</f>
        <v>45839</v>
      </c>
      <c r="F1514" s="470">
        <v>45848</v>
      </c>
      <c r="G1514" s="35" t="s">
        <v>79</v>
      </c>
      <c r="H1514" s="35" t="str">
        <f>IFERROR(_xlfn.XLOOKUP(Table6[[#This Row],[Affected WTG]],'Basic Data'!$A:$A,'Basic Data'!$B:$B),"")</f>
        <v>TQGXIIPL</v>
      </c>
      <c r="I1514" s="35" t="str">
        <f>IFERROR(_xlfn.XLOOKUP(Table6[[#This Row],[Affected WTG]],'Basic Data'!$A:$A,'Basic Data'!$C:$C),"")</f>
        <v>GEDA</v>
      </c>
      <c r="J1514" s="471">
        <f>IFERROR(_xlfn.XLOOKUP(Table6[[#This Row],[Affected WTG]],'Basic Data'!$A:$A,'Basic Data'!$E:$E),"")</f>
        <v>3.846153846153845E-2</v>
      </c>
      <c r="K1514" s="102">
        <v>55</v>
      </c>
      <c r="L1514" s="35" t="str">
        <f>IFERROR(_xlfn.XLOOKUP(Table6[[#This Row],[Error Code]],'Basic Data'!$AA:$AA,'Basic Data'!$AB:$AB),"Incorrect Error Code")</f>
        <v>WTG shut down</v>
      </c>
      <c r="M1514" s="35" t="s">
        <v>295</v>
      </c>
      <c r="N1514" s="475"/>
      <c r="O1514" s="476">
        <v>0.625</v>
      </c>
      <c r="P1514" s="476">
        <v>0.625</v>
      </c>
      <c r="Q1514" s="477">
        <v>0.91319444444444442</v>
      </c>
      <c r="R1514" s="472">
        <f>IF(Table6[[#This Row],[Work Start TimeStamp]]="","",(Table6[[#This Row],[Work Start TimeStamp]]-Table6[[#This Row],[Fault Start TimeStamp]])*24)</f>
        <v>0</v>
      </c>
      <c r="S1514" s="472">
        <f>(Table6[[#This Row],[Fault Clearance time]]-Table6[[#This Row],[Work Start TimeStamp]])*24</f>
        <v>6.9166666666666661</v>
      </c>
      <c r="T1514" s="472">
        <f>(Table6[[#This Row],[Fault Clearance time]]-Table6[[#This Row],[Fault Start TimeStamp]])*24</f>
        <v>6.9166666666666661</v>
      </c>
      <c r="U1514" s="35" t="s">
        <v>2059</v>
      </c>
      <c r="V1514" s="102" t="s">
        <v>293</v>
      </c>
      <c r="W1514" s="549">
        <f>IFERROR(Table6[[#This Row],[Breakdown Time]]*Table6[[#This Row],[Plant Equivalent Weightage]],"")</f>
        <v>0.26602564102564091</v>
      </c>
      <c r="X1514" s="473" t="s">
        <v>290</v>
      </c>
      <c r="Y1514" s="474" t="s">
        <v>79</v>
      </c>
      <c r="Z1514" s="102">
        <v>19373</v>
      </c>
      <c r="AA1514" s="468">
        <f>(Table6[[#This Row],[Paired WTG Generation for loss calculation]]/24)*Table6[[#This Row],[Breakdown Time]]</f>
        <v>5583.1909722222217</v>
      </c>
      <c r="AB1514" s="102"/>
      <c r="AC1514" s="35"/>
      <c r="AD1514" s="35"/>
    </row>
    <row r="1515" spans="1:30">
      <c r="A1515" s="102">
        <f t="shared" si="24"/>
        <v>1514</v>
      </c>
      <c r="B1515" s="468">
        <f>YEAR(Table6[[#This Row],[Date]])+IF(MONTH(Table6[[#This Row],[Date]])&gt;=4,1,0)</f>
        <v>2026</v>
      </c>
      <c r="C1515" s="102">
        <f>YEAR(Table6[[#This Row],[Date]])</f>
        <v>2025</v>
      </c>
      <c r="D1515" s="102" t="s">
        <v>1992</v>
      </c>
      <c r="E1515" s="469">
        <f>Table6[[#This Row],[Date]]-DAY(Table6[[#This Row],[Date]])+1</f>
        <v>45839</v>
      </c>
      <c r="F1515" s="470">
        <v>45848</v>
      </c>
      <c r="G1515" s="35" t="s">
        <v>85</v>
      </c>
      <c r="H1515" s="35" t="str">
        <f>IFERROR(_xlfn.XLOOKUP(Table6[[#This Row],[Affected WTG]],'Basic Data'!$A:$A,'Basic Data'!$B:$B),"")</f>
        <v>TQGXIIPL</v>
      </c>
      <c r="I1515" s="35" t="str">
        <f>IFERROR(_xlfn.XLOOKUP(Table6[[#This Row],[Affected WTG]],'Basic Data'!$A:$A,'Basic Data'!$C:$C),"")</f>
        <v>GEDA</v>
      </c>
      <c r="J1515" s="471">
        <f>IFERROR(_xlfn.XLOOKUP(Table6[[#This Row],[Affected WTG]],'Basic Data'!$A:$A,'Basic Data'!$E:$E),"")</f>
        <v>3.846153846153845E-2</v>
      </c>
      <c r="K1515" s="102">
        <v>55</v>
      </c>
      <c r="L1515" s="35" t="str">
        <f>IFERROR(_xlfn.XLOOKUP(Table6[[#This Row],[Error Code]],'Basic Data'!$AA:$AA,'Basic Data'!$AB:$AB),"Incorrect Error Code")</f>
        <v>WTG shut down</v>
      </c>
      <c r="M1515" s="35" t="s">
        <v>291</v>
      </c>
      <c r="N1515" s="475"/>
      <c r="O1515" s="476">
        <v>0</v>
      </c>
      <c r="P1515" s="476">
        <v>0</v>
      </c>
      <c r="Q1515" s="477">
        <v>6.25E-2</v>
      </c>
      <c r="R1515" s="472">
        <f>IF(Table6[[#This Row],[Work Start TimeStamp]]="","",(Table6[[#This Row],[Work Start TimeStamp]]-Table6[[#This Row],[Fault Start TimeStamp]])*24)</f>
        <v>0</v>
      </c>
      <c r="S1515" s="472">
        <f>(Table6[[#This Row],[Fault Clearance time]]-Table6[[#This Row],[Work Start TimeStamp]])*24</f>
        <v>1.5</v>
      </c>
      <c r="T1515" s="472">
        <f>(Table6[[#This Row],[Fault Clearance time]]-Table6[[#This Row],[Fault Start TimeStamp]])*24</f>
        <v>1.5</v>
      </c>
      <c r="U1515" s="35" t="s">
        <v>2060</v>
      </c>
      <c r="V1515" s="102" t="s">
        <v>293</v>
      </c>
      <c r="W1515" s="549">
        <f>IFERROR(Table6[[#This Row],[Breakdown Time]]*Table6[[#This Row],[Plant Equivalent Weightage]],"")</f>
        <v>5.7692307692307675E-2</v>
      </c>
      <c r="X1515" s="473" t="s">
        <v>290</v>
      </c>
      <c r="Y1515" s="474" t="s">
        <v>85</v>
      </c>
      <c r="Z1515" s="102">
        <v>16323</v>
      </c>
      <c r="AA1515" s="468">
        <f>(Table6[[#This Row],[Paired WTG Generation for loss calculation]]/24)*Table6[[#This Row],[Breakdown Time]]</f>
        <v>1020.1875</v>
      </c>
      <c r="AB1515" s="102"/>
      <c r="AC1515" s="35"/>
      <c r="AD1515" s="35"/>
    </row>
    <row r="1516" spans="1:30">
      <c r="A1516" s="102">
        <f t="shared" si="24"/>
        <v>1515</v>
      </c>
      <c r="B1516" s="468">
        <f>YEAR(Table6[[#This Row],[Date]])+IF(MONTH(Table6[[#This Row],[Date]])&gt;=4,1,0)</f>
        <v>2026</v>
      </c>
      <c r="C1516" s="102">
        <f>YEAR(Table6[[#This Row],[Date]])</f>
        <v>2025</v>
      </c>
      <c r="D1516" s="102" t="s">
        <v>1992</v>
      </c>
      <c r="E1516" s="469">
        <f>Table6[[#This Row],[Date]]-DAY(Table6[[#This Row],[Date]])+1</f>
        <v>45839</v>
      </c>
      <c r="F1516" s="470">
        <v>45848</v>
      </c>
      <c r="G1516" s="35" t="s">
        <v>85</v>
      </c>
      <c r="H1516" s="35" t="str">
        <f>IFERROR(_xlfn.XLOOKUP(Table6[[#This Row],[Affected WTG]],'Basic Data'!$A:$A,'Basic Data'!$B:$B),"")</f>
        <v>TQGXIIPL</v>
      </c>
      <c r="I1516" s="35" t="str">
        <f>IFERROR(_xlfn.XLOOKUP(Table6[[#This Row],[Affected WTG]],'Basic Data'!$A:$A,'Basic Data'!$C:$C),"")</f>
        <v>GEDA</v>
      </c>
      <c r="J1516" s="471">
        <f>IFERROR(_xlfn.XLOOKUP(Table6[[#This Row],[Affected WTG]],'Basic Data'!$A:$A,'Basic Data'!$E:$E),"")</f>
        <v>3.846153846153845E-2</v>
      </c>
      <c r="K1516" s="102">
        <v>6605</v>
      </c>
      <c r="L1516" s="35" t="str">
        <f>IFERROR(_xlfn.XLOOKUP(Table6[[#This Row],[Error Code]],'Basic Data'!$AA:$AA,'Basic Data'!$AB:$AB),"Incorrect Error Code")</f>
        <v>Wind.dir. diff. level 2</v>
      </c>
      <c r="M1516" s="35" t="s">
        <v>291</v>
      </c>
      <c r="N1516" s="475"/>
      <c r="O1516" s="476">
        <v>0.22083333333333333</v>
      </c>
      <c r="P1516" s="476">
        <v>0.22083333333333333</v>
      </c>
      <c r="Q1516" s="477">
        <v>0.2298611111111111</v>
      </c>
      <c r="R1516" s="472">
        <f>IF(Table6[[#This Row],[Work Start TimeStamp]]="","",(Table6[[#This Row],[Work Start TimeStamp]]-Table6[[#This Row],[Fault Start TimeStamp]])*24)</f>
        <v>0</v>
      </c>
      <c r="S1516" s="472">
        <f>(Table6[[#This Row],[Fault Clearance time]]-Table6[[#This Row],[Work Start TimeStamp]])*24</f>
        <v>0.21666666666666656</v>
      </c>
      <c r="T1516" s="472">
        <f>(Table6[[#This Row],[Fault Clearance time]]-Table6[[#This Row],[Fault Start TimeStamp]])*24</f>
        <v>0.21666666666666656</v>
      </c>
      <c r="U1516" s="35" t="s">
        <v>2031</v>
      </c>
      <c r="V1516" s="102" t="s">
        <v>293</v>
      </c>
      <c r="W1516" s="549">
        <f>IFERROR(Table6[[#This Row],[Breakdown Time]]*Table6[[#This Row],[Plant Equivalent Weightage]],"")</f>
        <v>8.3333333333333263E-3</v>
      </c>
      <c r="X1516" s="473" t="s">
        <v>294</v>
      </c>
      <c r="Y1516" s="474" t="s">
        <v>85</v>
      </c>
      <c r="Z1516" s="102">
        <v>16323</v>
      </c>
      <c r="AA1516" s="468">
        <f>(Table6[[#This Row],[Paired WTG Generation for loss calculation]]/24)*Table6[[#This Row],[Breakdown Time]]</f>
        <v>147.36041666666659</v>
      </c>
      <c r="AB1516" s="102"/>
      <c r="AC1516" s="35"/>
      <c r="AD1516" s="35"/>
    </row>
    <row r="1517" spans="1:30">
      <c r="A1517" s="102">
        <f t="shared" si="24"/>
        <v>1516</v>
      </c>
      <c r="B1517" s="468">
        <f>YEAR(Table6[[#This Row],[Date]])+IF(MONTH(Table6[[#This Row],[Date]])&gt;=4,1,0)</f>
        <v>2026</v>
      </c>
      <c r="C1517" s="102">
        <f>YEAR(Table6[[#This Row],[Date]])</f>
        <v>2025</v>
      </c>
      <c r="D1517" s="102" t="s">
        <v>1992</v>
      </c>
      <c r="E1517" s="469">
        <f>Table6[[#This Row],[Date]]-DAY(Table6[[#This Row],[Date]])+1</f>
        <v>45839</v>
      </c>
      <c r="F1517" s="470">
        <v>45848</v>
      </c>
      <c r="G1517" s="35" t="s">
        <v>85</v>
      </c>
      <c r="H1517" s="35" t="str">
        <f>IFERROR(_xlfn.XLOOKUP(Table6[[#This Row],[Affected WTG]],'Basic Data'!$A:$A,'Basic Data'!$B:$B),"")</f>
        <v>TQGXIIPL</v>
      </c>
      <c r="I1517" s="35" t="str">
        <f>IFERROR(_xlfn.XLOOKUP(Table6[[#This Row],[Affected WTG]],'Basic Data'!$A:$A,'Basic Data'!$C:$C),"")</f>
        <v>GEDA</v>
      </c>
      <c r="J1517" s="471">
        <f>IFERROR(_xlfn.XLOOKUP(Table6[[#This Row],[Affected WTG]],'Basic Data'!$A:$A,'Basic Data'!$E:$E),"")</f>
        <v>3.846153846153845E-2</v>
      </c>
      <c r="K1517" s="102">
        <v>6605</v>
      </c>
      <c r="L1517" s="35" t="str">
        <f>IFERROR(_xlfn.XLOOKUP(Table6[[#This Row],[Error Code]],'Basic Data'!$AA:$AA,'Basic Data'!$AB:$AB),"Incorrect Error Code")</f>
        <v>Wind.dir. diff. level 2</v>
      </c>
      <c r="M1517" s="35" t="s">
        <v>291</v>
      </c>
      <c r="N1517" s="475"/>
      <c r="O1517" s="476">
        <v>0.38124999999999998</v>
      </c>
      <c r="P1517" s="476">
        <v>0.38124999999999998</v>
      </c>
      <c r="Q1517" s="477">
        <v>0.38680555555555557</v>
      </c>
      <c r="R1517" s="472">
        <f>IF(Table6[[#This Row],[Work Start TimeStamp]]="","",(Table6[[#This Row],[Work Start TimeStamp]]-Table6[[#This Row],[Fault Start TimeStamp]])*24)</f>
        <v>0</v>
      </c>
      <c r="S1517" s="472">
        <f>(Table6[[#This Row],[Fault Clearance time]]-Table6[[#This Row],[Work Start TimeStamp]])*24</f>
        <v>0.13333333333333419</v>
      </c>
      <c r="T1517" s="472">
        <f>(Table6[[#This Row],[Fault Clearance time]]-Table6[[#This Row],[Fault Start TimeStamp]])*24</f>
        <v>0.13333333333333419</v>
      </c>
      <c r="U1517" s="35" t="s">
        <v>1924</v>
      </c>
      <c r="V1517" s="102" t="s">
        <v>293</v>
      </c>
      <c r="W1517" s="549">
        <f>IFERROR(Table6[[#This Row],[Breakdown Time]]*Table6[[#This Row],[Plant Equivalent Weightage]],"")</f>
        <v>5.1282051282051594E-3</v>
      </c>
      <c r="X1517" s="473" t="s">
        <v>294</v>
      </c>
      <c r="Y1517" s="474" t="s">
        <v>85</v>
      </c>
      <c r="Z1517" s="102">
        <v>16323</v>
      </c>
      <c r="AA1517" s="468">
        <f>(Table6[[#This Row],[Paired WTG Generation for loss calculation]]/24)*Table6[[#This Row],[Breakdown Time]]</f>
        <v>90.68333333333392</v>
      </c>
      <c r="AB1517" s="102"/>
      <c r="AC1517" s="35"/>
      <c r="AD1517" s="35"/>
    </row>
    <row r="1518" spans="1:30">
      <c r="A1518" s="102">
        <f t="shared" si="24"/>
        <v>1517</v>
      </c>
      <c r="B1518" s="468">
        <f>YEAR(Table6[[#This Row],[Date]])+IF(MONTH(Table6[[#This Row],[Date]])&gt;=4,1,0)</f>
        <v>2026</v>
      </c>
      <c r="C1518" s="102">
        <f>YEAR(Table6[[#This Row],[Date]])</f>
        <v>2025</v>
      </c>
      <c r="D1518" s="102" t="s">
        <v>1992</v>
      </c>
      <c r="E1518" s="469">
        <f>Table6[[#This Row],[Date]]-DAY(Table6[[#This Row],[Date]])+1</f>
        <v>45839</v>
      </c>
      <c r="F1518" s="470">
        <v>45848</v>
      </c>
      <c r="G1518" s="35" t="s">
        <v>85</v>
      </c>
      <c r="H1518" s="35" t="str">
        <f>IFERROR(_xlfn.XLOOKUP(Table6[[#This Row],[Affected WTG]],'Basic Data'!$A:$A,'Basic Data'!$B:$B),"")</f>
        <v>TQGXIIPL</v>
      </c>
      <c r="I1518" s="35" t="str">
        <f>IFERROR(_xlfn.XLOOKUP(Table6[[#This Row],[Affected WTG]],'Basic Data'!$A:$A,'Basic Data'!$C:$C),"")</f>
        <v>GEDA</v>
      </c>
      <c r="J1518" s="471">
        <f>IFERROR(_xlfn.XLOOKUP(Table6[[#This Row],[Affected WTG]],'Basic Data'!$A:$A,'Basic Data'!$E:$E),"")</f>
        <v>3.846153846153845E-2</v>
      </c>
      <c r="K1518" s="102">
        <v>6605</v>
      </c>
      <c r="L1518" s="35" t="str">
        <f>IFERROR(_xlfn.XLOOKUP(Table6[[#This Row],[Error Code]],'Basic Data'!$AA:$AA,'Basic Data'!$AB:$AB),"Incorrect Error Code")</f>
        <v>Wind.dir. diff. level 2</v>
      </c>
      <c r="M1518" s="35" t="s">
        <v>291</v>
      </c>
      <c r="N1518" s="475"/>
      <c r="O1518" s="476">
        <v>0.71805555555555556</v>
      </c>
      <c r="P1518" s="476">
        <v>0.71805555555555556</v>
      </c>
      <c r="Q1518" s="477">
        <v>0.72152777777777777</v>
      </c>
      <c r="R1518" s="472">
        <f>IF(Table6[[#This Row],[Work Start TimeStamp]]="","",(Table6[[#This Row],[Work Start TimeStamp]]-Table6[[#This Row],[Fault Start TimeStamp]])*24)</f>
        <v>0</v>
      </c>
      <c r="S1518" s="472">
        <f>(Table6[[#This Row],[Fault Clearance time]]-Table6[[#This Row],[Work Start TimeStamp]])*24</f>
        <v>8.3333333333333037E-2</v>
      </c>
      <c r="T1518" s="472">
        <f>(Table6[[#This Row],[Fault Clearance time]]-Table6[[#This Row],[Fault Start TimeStamp]])*24</f>
        <v>8.3333333333333037E-2</v>
      </c>
      <c r="U1518" s="35" t="s">
        <v>1924</v>
      </c>
      <c r="V1518" s="102" t="s">
        <v>293</v>
      </c>
      <c r="W1518" s="549">
        <f>IFERROR(Table6[[#This Row],[Breakdown Time]]*Table6[[#This Row],[Plant Equivalent Weightage]],"")</f>
        <v>3.2051282051281929E-3</v>
      </c>
      <c r="X1518" s="473" t="s">
        <v>294</v>
      </c>
      <c r="Y1518" s="474" t="s">
        <v>85</v>
      </c>
      <c r="Z1518" s="102">
        <v>16323</v>
      </c>
      <c r="AA1518" s="468">
        <f>(Table6[[#This Row],[Paired WTG Generation for loss calculation]]/24)*Table6[[#This Row],[Breakdown Time]]</f>
        <v>56.67708333333313</v>
      </c>
      <c r="AB1518" s="102"/>
      <c r="AC1518" s="35"/>
      <c r="AD1518" s="35"/>
    </row>
    <row r="1519" spans="1:30">
      <c r="A1519" s="102">
        <f t="shared" si="24"/>
        <v>1518</v>
      </c>
      <c r="B1519" s="468">
        <f>YEAR(Table6[[#This Row],[Date]])+IF(MONTH(Table6[[#This Row],[Date]])&gt;=4,1,0)</f>
        <v>2026</v>
      </c>
      <c r="C1519" s="102">
        <f>YEAR(Table6[[#This Row],[Date]])</f>
        <v>2025</v>
      </c>
      <c r="D1519" s="102" t="s">
        <v>1992</v>
      </c>
      <c r="E1519" s="469">
        <f>Table6[[#This Row],[Date]]-DAY(Table6[[#This Row],[Date]])+1</f>
        <v>45839</v>
      </c>
      <c r="F1519" s="470">
        <v>45848</v>
      </c>
      <c r="G1519" s="35" t="s">
        <v>85</v>
      </c>
      <c r="H1519" s="35" t="str">
        <f>IFERROR(_xlfn.XLOOKUP(Table6[[#This Row],[Affected WTG]],'Basic Data'!$A:$A,'Basic Data'!$B:$B),"")</f>
        <v>TQGXIIPL</v>
      </c>
      <c r="I1519" s="35" t="str">
        <f>IFERROR(_xlfn.XLOOKUP(Table6[[#This Row],[Affected WTG]],'Basic Data'!$A:$A,'Basic Data'!$C:$C),"")</f>
        <v>GEDA</v>
      </c>
      <c r="J1519" s="471">
        <f>IFERROR(_xlfn.XLOOKUP(Table6[[#This Row],[Affected WTG]],'Basic Data'!$A:$A,'Basic Data'!$E:$E),"")</f>
        <v>3.846153846153845E-2</v>
      </c>
      <c r="K1519" s="102">
        <v>6605</v>
      </c>
      <c r="L1519" s="35" t="str">
        <f>IFERROR(_xlfn.XLOOKUP(Table6[[#This Row],[Error Code]],'Basic Data'!$AA:$AA,'Basic Data'!$AB:$AB),"Incorrect Error Code")</f>
        <v>Wind.dir. diff. level 2</v>
      </c>
      <c r="M1519" s="35" t="s">
        <v>291</v>
      </c>
      <c r="N1519" s="475"/>
      <c r="O1519" s="476">
        <v>0.96944444444444444</v>
      </c>
      <c r="P1519" s="476">
        <v>0.96944444444444444</v>
      </c>
      <c r="Q1519" s="477">
        <v>0.97638888888888886</v>
      </c>
      <c r="R1519" s="472">
        <f>IF(Table6[[#This Row],[Work Start TimeStamp]]="","",(Table6[[#This Row],[Work Start TimeStamp]]-Table6[[#This Row],[Fault Start TimeStamp]])*24)</f>
        <v>0</v>
      </c>
      <c r="S1519" s="472">
        <f>(Table6[[#This Row],[Fault Clearance time]]-Table6[[#This Row],[Work Start TimeStamp]])*24</f>
        <v>0.16666666666666607</v>
      </c>
      <c r="T1519" s="472">
        <f>(Table6[[#This Row],[Fault Clearance time]]-Table6[[#This Row],[Fault Start TimeStamp]])*24</f>
        <v>0.16666666666666607</v>
      </c>
      <c r="U1519" s="35" t="s">
        <v>2031</v>
      </c>
      <c r="V1519" s="102" t="s">
        <v>293</v>
      </c>
      <c r="W1519" s="549">
        <f>IFERROR(Table6[[#This Row],[Breakdown Time]]*Table6[[#This Row],[Plant Equivalent Weightage]],"")</f>
        <v>6.4102564102563857E-3</v>
      </c>
      <c r="X1519" s="473" t="s">
        <v>294</v>
      </c>
      <c r="Y1519" s="474" t="s">
        <v>85</v>
      </c>
      <c r="Z1519" s="102">
        <v>16323</v>
      </c>
      <c r="AA1519" s="468">
        <f>(Table6[[#This Row],[Paired WTG Generation for loss calculation]]/24)*Table6[[#This Row],[Breakdown Time]]</f>
        <v>113.35416666666626</v>
      </c>
      <c r="AB1519" s="102"/>
      <c r="AC1519" s="35"/>
      <c r="AD1519" s="35"/>
    </row>
    <row r="1520" spans="1:30">
      <c r="A1520" s="102">
        <f t="shared" si="24"/>
        <v>1519</v>
      </c>
      <c r="B1520" s="468">
        <f>YEAR(Table6[[#This Row],[Date]])+IF(MONTH(Table6[[#This Row],[Date]])&gt;=4,1,0)</f>
        <v>2026</v>
      </c>
      <c r="C1520" s="102">
        <f>YEAR(Table6[[#This Row],[Date]])</f>
        <v>2025</v>
      </c>
      <c r="D1520" s="102" t="s">
        <v>1992</v>
      </c>
      <c r="E1520" s="469">
        <f>Table6[[#This Row],[Date]]-DAY(Table6[[#This Row],[Date]])+1</f>
        <v>45839</v>
      </c>
      <c r="F1520" s="470">
        <v>45849</v>
      </c>
      <c r="G1520" s="35" t="s">
        <v>75</v>
      </c>
      <c r="H1520" s="35" t="str">
        <f>IFERROR(_xlfn.XLOOKUP(Table6[[#This Row],[Affected WTG]],'Basic Data'!$A:$A,'Basic Data'!$B:$B),"")</f>
        <v>TQGXIIPL</v>
      </c>
      <c r="I1520" s="35" t="str">
        <f>IFERROR(_xlfn.XLOOKUP(Table6[[#This Row],[Affected WTG]],'Basic Data'!$A:$A,'Basic Data'!$C:$C),"")</f>
        <v>GEDA</v>
      </c>
      <c r="J1520" s="471">
        <f>IFERROR(_xlfn.XLOOKUP(Table6[[#This Row],[Affected WTG]],'Basic Data'!$A:$A,'Basic Data'!$E:$E),"")</f>
        <v>3.846153846153845E-2</v>
      </c>
      <c r="K1520" s="102">
        <v>641</v>
      </c>
      <c r="L1520" s="35" t="str">
        <f>IFERROR(_xlfn.XLOOKUP(Table6[[#This Row],[Error Code]],'Basic Data'!$AA:$AA,'Basic Data'!$AB:$AB),"Incorrect Error Code")</f>
        <v>Sim.angle E enc. &lt;&gt; act.angle 1</v>
      </c>
      <c r="M1520" s="35" t="s">
        <v>291</v>
      </c>
      <c r="N1520" s="475"/>
      <c r="O1520" s="476">
        <v>0.37708333333333333</v>
      </c>
      <c r="P1520" s="476">
        <v>0.37708333333333333</v>
      </c>
      <c r="Q1520" s="477">
        <v>0.38680555555555557</v>
      </c>
      <c r="R1520" s="472">
        <f>IF(Table6[[#This Row],[Work Start TimeStamp]]="","",(Table6[[#This Row],[Work Start TimeStamp]]-Table6[[#This Row],[Fault Start TimeStamp]])*24)</f>
        <v>0</v>
      </c>
      <c r="S1520" s="472">
        <f>(Table6[[#This Row],[Fault Clearance time]]-Table6[[#This Row],[Work Start TimeStamp]])*24</f>
        <v>0.23333333333333384</v>
      </c>
      <c r="T1520" s="472">
        <f>(Table6[[#This Row],[Fault Clearance time]]-Table6[[#This Row],[Fault Start TimeStamp]])*24</f>
        <v>0.23333333333333384</v>
      </c>
      <c r="U1520" s="35" t="s">
        <v>2031</v>
      </c>
      <c r="V1520" s="102" t="s">
        <v>293</v>
      </c>
      <c r="W1520" s="549">
        <f>IFERROR(Table6[[#This Row],[Breakdown Time]]*Table6[[#This Row],[Plant Equivalent Weightage]],"")</f>
        <v>8.974358974358991E-3</v>
      </c>
      <c r="X1520" s="473" t="s">
        <v>294</v>
      </c>
      <c r="Y1520" s="474" t="s">
        <v>78</v>
      </c>
      <c r="Z1520" s="102">
        <v>21381</v>
      </c>
      <c r="AA1520" s="468">
        <f>(Table6[[#This Row],[Paired WTG Generation for loss calculation]]/24)*Table6[[#This Row],[Breakdown Time]]</f>
        <v>207.87083333333379</v>
      </c>
      <c r="AB1520" s="102"/>
      <c r="AC1520" s="35"/>
      <c r="AD1520" s="35"/>
    </row>
    <row r="1521" spans="1:30">
      <c r="A1521" s="102">
        <f t="shared" si="24"/>
        <v>1520</v>
      </c>
      <c r="B1521" s="468">
        <f>YEAR(Table6[[#This Row],[Date]])+IF(MONTH(Table6[[#This Row],[Date]])&gt;=4,1,0)</f>
        <v>2026</v>
      </c>
      <c r="C1521" s="102">
        <f>YEAR(Table6[[#This Row],[Date]])</f>
        <v>2025</v>
      </c>
      <c r="D1521" s="102" t="s">
        <v>1992</v>
      </c>
      <c r="E1521" s="469">
        <f>Table6[[#This Row],[Date]]-DAY(Table6[[#This Row],[Date]])+1</f>
        <v>45839</v>
      </c>
      <c r="F1521" s="470">
        <v>45849</v>
      </c>
      <c r="G1521" s="35" t="s">
        <v>80</v>
      </c>
      <c r="H1521" s="35" t="str">
        <f>IFERROR(_xlfn.XLOOKUP(Table6[[#This Row],[Affected WTG]],'Basic Data'!$A:$A,'Basic Data'!$B:$B),"")</f>
        <v>TQGXIIPL</v>
      </c>
      <c r="I1521" s="35" t="str">
        <f>IFERROR(_xlfn.XLOOKUP(Table6[[#This Row],[Affected WTG]],'Basic Data'!$A:$A,'Basic Data'!$C:$C),"")</f>
        <v>GEDA</v>
      </c>
      <c r="J1521" s="471">
        <f>IFERROR(_xlfn.XLOOKUP(Table6[[#This Row],[Affected WTG]],'Basic Data'!$A:$A,'Basic Data'!$E:$E),"")</f>
        <v>3.846153846153845E-2</v>
      </c>
      <c r="K1521" s="102">
        <v>55</v>
      </c>
      <c r="L1521" s="35" t="str">
        <f>IFERROR(_xlfn.XLOOKUP(Table6[[#This Row],[Error Code]],'Basic Data'!$AA:$AA,'Basic Data'!$AB:$AB),"Incorrect Error Code")</f>
        <v>WTG shut down</v>
      </c>
      <c r="M1521" s="35" t="s">
        <v>291</v>
      </c>
      <c r="N1521" s="475"/>
      <c r="O1521" s="476">
        <v>0.50277777777777777</v>
      </c>
      <c r="P1521" s="476">
        <v>0.50277777777777777</v>
      </c>
      <c r="Q1521" s="477">
        <v>0.67638888888888893</v>
      </c>
      <c r="R1521" s="472">
        <f>IF(Table6[[#This Row],[Work Start TimeStamp]]="","",(Table6[[#This Row],[Work Start TimeStamp]]-Table6[[#This Row],[Fault Start TimeStamp]])*24)</f>
        <v>0</v>
      </c>
      <c r="S1521" s="472">
        <f>(Table6[[#This Row],[Fault Clearance time]]-Table6[[#This Row],[Work Start TimeStamp]])*24</f>
        <v>4.1666666666666679</v>
      </c>
      <c r="T1521" s="472">
        <f>(Table6[[#This Row],[Fault Clearance time]]-Table6[[#This Row],[Fault Start TimeStamp]])*24</f>
        <v>4.1666666666666679</v>
      </c>
      <c r="U1521" s="35" t="s">
        <v>2061</v>
      </c>
      <c r="V1521" s="102" t="s">
        <v>293</v>
      </c>
      <c r="W1521" s="549">
        <f>IFERROR(Table6[[#This Row],[Breakdown Time]]*Table6[[#This Row],[Plant Equivalent Weightage]],"")</f>
        <v>0.16025641025641024</v>
      </c>
      <c r="X1521" s="473" t="s">
        <v>290</v>
      </c>
      <c r="Y1521" s="474" t="s">
        <v>77</v>
      </c>
      <c r="Z1521" s="102">
        <v>21640</v>
      </c>
      <c r="AA1521" s="468">
        <f>(Table6[[#This Row],[Paired WTG Generation for loss calculation]]/24)*Table6[[#This Row],[Breakdown Time]]</f>
        <v>3756.9444444444453</v>
      </c>
      <c r="AB1521" s="102"/>
      <c r="AC1521" s="35"/>
      <c r="AD1521" s="35"/>
    </row>
    <row r="1522" spans="1:30">
      <c r="A1522" s="102">
        <f t="shared" si="24"/>
        <v>1521</v>
      </c>
      <c r="B1522" s="468">
        <f>YEAR(Table6[[#This Row],[Date]])+IF(MONTH(Table6[[#This Row],[Date]])&gt;=4,1,0)</f>
        <v>2026</v>
      </c>
      <c r="C1522" s="102">
        <f>YEAR(Table6[[#This Row],[Date]])</f>
        <v>2025</v>
      </c>
      <c r="D1522" s="102" t="s">
        <v>1992</v>
      </c>
      <c r="E1522" s="469">
        <f>Table6[[#This Row],[Date]]-DAY(Table6[[#This Row],[Date]])+1</f>
        <v>45839</v>
      </c>
      <c r="F1522" s="470">
        <v>45849</v>
      </c>
      <c r="G1522" s="35" t="s">
        <v>81</v>
      </c>
      <c r="H1522" s="35" t="str">
        <f>IFERROR(_xlfn.XLOOKUP(Table6[[#This Row],[Affected WTG]],'Basic Data'!$A:$A,'Basic Data'!$B:$B),"")</f>
        <v>TQGXIIPL</v>
      </c>
      <c r="I1522" s="35" t="str">
        <f>IFERROR(_xlfn.XLOOKUP(Table6[[#This Row],[Affected WTG]],'Basic Data'!$A:$A,'Basic Data'!$C:$C),"")</f>
        <v>GEDA</v>
      </c>
      <c r="J1522" s="471">
        <f>IFERROR(_xlfn.XLOOKUP(Table6[[#This Row],[Affected WTG]],'Basic Data'!$A:$A,'Basic Data'!$E:$E),"")</f>
        <v>3.846153846153845E-2</v>
      </c>
      <c r="K1522" s="102">
        <v>55</v>
      </c>
      <c r="L1522" s="35" t="str">
        <f>IFERROR(_xlfn.XLOOKUP(Table6[[#This Row],[Error Code]],'Basic Data'!$AA:$AA,'Basic Data'!$AB:$AB),"Incorrect Error Code")</f>
        <v>WTG shut down</v>
      </c>
      <c r="M1522" s="35" t="s">
        <v>291</v>
      </c>
      <c r="N1522" s="475"/>
      <c r="O1522" s="476">
        <v>0.4861111111111111</v>
      </c>
      <c r="P1522" s="476">
        <v>0.4861111111111111</v>
      </c>
      <c r="Q1522" s="477">
        <v>0.61597222222222225</v>
      </c>
      <c r="R1522" s="472">
        <f>IF(Table6[[#This Row],[Work Start TimeStamp]]="","",(Table6[[#This Row],[Work Start TimeStamp]]-Table6[[#This Row],[Fault Start TimeStamp]])*24)</f>
        <v>0</v>
      </c>
      <c r="S1522" s="472">
        <f>(Table6[[#This Row],[Fault Clearance time]]-Table6[[#This Row],[Work Start TimeStamp]])*24</f>
        <v>3.1166666666666676</v>
      </c>
      <c r="T1522" s="472">
        <f>(Table6[[#This Row],[Fault Clearance time]]-Table6[[#This Row],[Fault Start TimeStamp]])*24</f>
        <v>3.1166666666666676</v>
      </c>
      <c r="U1522" s="35" t="s">
        <v>2061</v>
      </c>
      <c r="V1522" s="102" t="s">
        <v>293</v>
      </c>
      <c r="W1522" s="549">
        <f>IFERROR(Table6[[#This Row],[Breakdown Time]]*Table6[[#This Row],[Plant Equivalent Weightage]],"")</f>
        <v>0.11987179487179488</v>
      </c>
      <c r="X1522" s="473" t="s">
        <v>290</v>
      </c>
      <c r="Y1522" s="474" t="s">
        <v>99</v>
      </c>
      <c r="Z1522" s="102">
        <v>20720</v>
      </c>
      <c r="AA1522" s="468">
        <f>(Table6[[#This Row],[Paired WTG Generation for loss calculation]]/24)*Table6[[#This Row],[Breakdown Time]]</f>
        <v>2690.7222222222231</v>
      </c>
      <c r="AB1522" s="102"/>
      <c r="AC1522" s="35"/>
      <c r="AD1522" s="35"/>
    </row>
    <row r="1523" spans="1:30">
      <c r="A1523" s="102">
        <f t="shared" si="24"/>
        <v>1522</v>
      </c>
      <c r="B1523" s="468">
        <f>YEAR(Table6[[#This Row],[Date]])+IF(MONTH(Table6[[#This Row],[Date]])&gt;=4,1,0)</f>
        <v>2026</v>
      </c>
      <c r="C1523" s="102">
        <f>YEAR(Table6[[#This Row],[Date]])</f>
        <v>2025</v>
      </c>
      <c r="D1523" s="102" t="s">
        <v>1992</v>
      </c>
      <c r="E1523" s="469">
        <f>Table6[[#This Row],[Date]]-DAY(Table6[[#This Row],[Date]])+1</f>
        <v>45839</v>
      </c>
      <c r="F1523" s="470">
        <v>45849</v>
      </c>
      <c r="G1523" s="35" t="s">
        <v>78</v>
      </c>
      <c r="H1523" s="35" t="str">
        <f>IFERROR(_xlfn.XLOOKUP(Table6[[#This Row],[Affected WTG]],'Basic Data'!$A:$A,'Basic Data'!$B:$B),"")</f>
        <v>TQGXIIPL</v>
      </c>
      <c r="I1523" s="35" t="str">
        <f>IFERROR(_xlfn.XLOOKUP(Table6[[#This Row],[Affected WTG]],'Basic Data'!$A:$A,'Basic Data'!$C:$C),"")</f>
        <v>GEDA</v>
      </c>
      <c r="J1523" s="471">
        <f>IFERROR(_xlfn.XLOOKUP(Table6[[#This Row],[Affected WTG]],'Basic Data'!$A:$A,'Basic Data'!$E:$E),"")</f>
        <v>3.846153846153845E-2</v>
      </c>
      <c r="K1523" s="102">
        <v>3110</v>
      </c>
      <c r="L1523" s="35" t="str">
        <f>IFERROR(_xlfn.XLOOKUP(Table6[[#This Row],[Error Code]],'Basic Data'!$AA:$AA,'Basic Data'!$AB:$AB),"Incorrect Error Code")</f>
        <v>Frequency converter error</v>
      </c>
      <c r="M1523" s="35" t="s">
        <v>292</v>
      </c>
      <c r="N1523" s="475"/>
      <c r="O1523" s="476">
        <v>0.92708333333333337</v>
      </c>
      <c r="P1523" s="476">
        <v>0.92708333333333337</v>
      </c>
      <c r="Q1523" s="477">
        <v>0.92847222222222225</v>
      </c>
      <c r="R1523" s="472">
        <f>IF(Table6[[#This Row],[Work Start TimeStamp]]="","",(Table6[[#This Row],[Work Start TimeStamp]]-Table6[[#This Row],[Fault Start TimeStamp]])*24)</f>
        <v>0</v>
      </c>
      <c r="S1523" s="472">
        <f>(Table6[[#This Row],[Fault Clearance time]]-Table6[[#This Row],[Work Start TimeStamp]])*24</f>
        <v>3.3333333333333215E-2</v>
      </c>
      <c r="T1523" s="472">
        <f>(Table6[[#This Row],[Fault Clearance time]]-Table6[[#This Row],[Fault Start TimeStamp]])*24</f>
        <v>3.3333333333333215E-2</v>
      </c>
      <c r="U1523" s="35" t="s">
        <v>336</v>
      </c>
      <c r="V1523" s="102" t="s">
        <v>293</v>
      </c>
      <c r="W1523" s="549">
        <f>IFERROR(Table6[[#This Row],[Breakdown Time]]*Table6[[#This Row],[Plant Equivalent Weightage]],"")</f>
        <v>1.2820512820512771E-3</v>
      </c>
      <c r="X1523" s="473" t="s">
        <v>294</v>
      </c>
      <c r="Y1523" s="474" t="s">
        <v>75</v>
      </c>
      <c r="Z1523" s="102">
        <v>20440</v>
      </c>
      <c r="AA1523" s="468">
        <f>(Table6[[#This Row],[Paired WTG Generation for loss calculation]]/24)*Table6[[#This Row],[Breakdown Time]]</f>
        <v>28.388888888888786</v>
      </c>
      <c r="AB1523" s="102"/>
      <c r="AC1523" s="35"/>
      <c r="AD1523" s="35"/>
    </row>
    <row r="1524" spans="1:30">
      <c r="A1524" s="102">
        <f t="shared" si="24"/>
        <v>1523</v>
      </c>
      <c r="B1524" s="468">
        <f>YEAR(Table6[[#This Row],[Date]])+IF(MONTH(Table6[[#This Row],[Date]])&gt;=4,1,0)</f>
        <v>2026</v>
      </c>
      <c r="C1524" s="102">
        <f>YEAR(Table6[[#This Row],[Date]])</f>
        <v>2025</v>
      </c>
      <c r="D1524" s="102" t="s">
        <v>1992</v>
      </c>
      <c r="E1524" s="469">
        <f>Table6[[#This Row],[Date]]-DAY(Table6[[#This Row],[Date]])+1</f>
        <v>45839</v>
      </c>
      <c r="F1524" s="470">
        <v>45849</v>
      </c>
      <c r="G1524" s="35" t="s">
        <v>83</v>
      </c>
      <c r="H1524" s="35" t="str">
        <f>IFERROR(_xlfn.XLOOKUP(Table6[[#This Row],[Affected WTG]],'Basic Data'!$A:$A,'Basic Data'!$B:$B),"")</f>
        <v>TQGXIIPL</v>
      </c>
      <c r="I1524" s="35" t="str">
        <f>IFERROR(_xlfn.XLOOKUP(Table6[[#This Row],[Affected WTG]],'Basic Data'!$A:$A,'Basic Data'!$C:$C),"")</f>
        <v>GEDA</v>
      </c>
      <c r="J1524" s="471">
        <f>IFERROR(_xlfn.XLOOKUP(Table6[[#This Row],[Affected WTG]],'Basic Data'!$A:$A,'Basic Data'!$E:$E),"")</f>
        <v>3.846153846153845E-2</v>
      </c>
      <c r="K1524" s="102">
        <v>55</v>
      </c>
      <c r="L1524" s="35" t="str">
        <f>IFERROR(_xlfn.XLOOKUP(Table6[[#This Row],[Error Code]],'Basic Data'!$AA:$AA,'Basic Data'!$AB:$AB),"Incorrect Error Code")</f>
        <v>WTG shut down</v>
      </c>
      <c r="M1524" s="35" t="s">
        <v>291</v>
      </c>
      <c r="N1524" s="475"/>
      <c r="O1524" s="476">
        <v>0.5541666666666667</v>
      </c>
      <c r="P1524" s="476">
        <v>0.5541666666666667</v>
      </c>
      <c r="Q1524" s="477">
        <v>0.57777777777777772</v>
      </c>
      <c r="R1524" s="472">
        <f>IF(Table6[[#This Row],[Work Start TimeStamp]]="","",(Table6[[#This Row],[Work Start TimeStamp]]-Table6[[#This Row],[Fault Start TimeStamp]])*24)</f>
        <v>0</v>
      </c>
      <c r="S1524" s="472">
        <f>(Table6[[#This Row],[Fault Clearance time]]-Table6[[#This Row],[Work Start TimeStamp]])*24</f>
        <v>0.56666666666666465</v>
      </c>
      <c r="T1524" s="472">
        <f>(Table6[[#This Row],[Fault Clearance time]]-Table6[[#This Row],[Fault Start TimeStamp]])*24</f>
        <v>0.56666666666666465</v>
      </c>
      <c r="U1524" s="35" t="s">
        <v>2062</v>
      </c>
      <c r="V1524" s="102" t="s">
        <v>293</v>
      </c>
      <c r="W1524" s="549">
        <f>IFERROR(Table6[[#This Row],[Breakdown Time]]*Table6[[#This Row],[Plant Equivalent Weightage]],"")</f>
        <v>2.1794871794871711E-2</v>
      </c>
      <c r="X1524" s="473" t="s">
        <v>294</v>
      </c>
      <c r="Y1524" s="474" t="s">
        <v>88</v>
      </c>
      <c r="Z1524" s="102">
        <v>18652</v>
      </c>
      <c r="AA1524" s="468">
        <f>(Table6[[#This Row],[Paired WTG Generation for loss calculation]]/24)*Table6[[#This Row],[Breakdown Time]]</f>
        <v>440.39444444444285</v>
      </c>
      <c r="AB1524" s="102"/>
      <c r="AC1524" s="35"/>
      <c r="AD1524" s="35"/>
    </row>
    <row r="1525" spans="1:30">
      <c r="A1525" s="102">
        <f t="shared" si="24"/>
        <v>1524</v>
      </c>
      <c r="B1525" s="468">
        <f>YEAR(Table6[[#This Row],[Date]])+IF(MONTH(Table6[[#This Row],[Date]])&gt;=4,1,0)</f>
        <v>2026</v>
      </c>
      <c r="C1525" s="102">
        <f>YEAR(Table6[[#This Row],[Date]])</f>
        <v>2025</v>
      </c>
      <c r="D1525" s="102" t="s">
        <v>1992</v>
      </c>
      <c r="E1525" s="469">
        <f>Table6[[#This Row],[Date]]-DAY(Table6[[#This Row],[Date]])+1</f>
        <v>45839</v>
      </c>
      <c r="F1525" s="470">
        <v>45849</v>
      </c>
      <c r="G1525" s="35" t="s">
        <v>85</v>
      </c>
      <c r="H1525" s="35" t="str">
        <f>IFERROR(_xlfn.XLOOKUP(Table6[[#This Row],[Affected WTG]],'Basic Data'!$A:$A,'Basic Data'!$B:$B),"")</f>
        <v>TQGXIIPL</v>
      </c>
      <c r="I1525" s="35" t="str">
        <f>IFERROR(_xlfn.XLOOKUP(Table6[[#This Row],[Affected WTG]],'Basic Data'!$A:$A,'Basic Data'!$C:$C),"")</f>
        <v>GEDA</v>
      </c>
      <c r="J1525" s="471">
        <f>IFERROR(_xlfn.XLOOKUP(Table6[[#This Row],[Affected WTG]],'Basic Data'!$A:$A,'Basic Data'!$E:$E),"")</f>
        <v>3.846153846153845E-2</v>
      </c>
      <c r="K1525" s="102">
        <v>6605</v>
      </c>
      <c r="L1525" s="35" t="str">
        <f>IFERROR(_xlfn.XLOOKUP(Table6[[#This Row],[Error Code]],'Basic Data'!$AA:$AA,'Basic Data'!$AB:$AB),"Incorrect Error Code")</f>
        <v>Wind.dir. diff. level 2</v>
      </c>
      <c r="M1525" s="35" t="s">
        <v>291</v>
      </c>
      <c r="N1525" s="475"/>
      <c r="O1525" s="476">
        <v>0.29444444444444445</v>
      </c>
      <c r="P1525" s="476">
        <v>0.29444444444444445</v>
      </c>
      <c r="Q1525" s="477">
        <v>0.29583333333333334</v>
      </c>
      <c r="R1525" s="472">
        <f>IF(Table6[[#This Row],[Work Start TimeStamp]]="","",(Table6[[#This Row],[Work Start TimeStamp]]-Table6[[#This Row],[Fault Start TimeStamp]])*24)</f>
        <v>0</v>
      </c>
      <c r="S1525" s="472">
        <f>(Table6[[#This Row],[Fault Clearance time]]-Table6[[#This Row],[Work Start TimeStamp]])*24</f>
        <v>3.3333333333333215E-2</v>
      </c>
      <c r="T1525" s="472">
        <f>(Table6[[#This Row],[Fault Clearance time]]-Table6[[#This Row],[Fault Start TimeStamp]])*24</f>
        <v>3.3333333333333215E-2</v>
      </c>
      <c r="U1525" s="35" t="s">
        <v>1924</v>
      </c>
      <c r="V1525" s="102" t="s">
        <v>293</v>
      </c>
      <c r="W1525" s="549">
        <f>IFERROR(Table6[[#This Row],[Breakdown Time]]*Table6[[#This Row],[Plant Equivalent Weightage]],"")</f>
        <v>1.2820512820512771E-3</v>
      </c>
      <c r="X1525" s="473" t="s">
        <v>294</v>
      </c>
      <c r="Y1525" s="474" t="s">
        <v>87</v>
      </c>
      <c r="Z1525" s="102">
        <v>20451</v>
      </c>
      <c r="AA1525" s="468">
        <f>(Table6[[#This Row],[Paired WTG Generation for loss calculation]]/24)*Table6[[#This Row],[Breakdown Time]]</f>
        <v>28.404166666666566</v>
      </c>
      <c r="AB1525" s="102"/>
      <c r="AC1525" s="35"/>
      <c r="AD1525" s="35"/>
    </row>
    <row r="1526" spans="1:30">
      <c r="A1526" s="102">
        <f t="shared" si="24"/>
        <v>1525</v>
      </c>
      <c r="B1526" s="468">
        <f>YEAR(Table6[[#This Row],[Date]])+IF(MONTH(Table6[[#This Row],[Date]])&gt;=4,1,0)</f>
        <v>2026</v>
      </c>
      <c r="C1526" s="102">
        <f>YEAR(Table6[[#This Row],[Date]])</f>
        <v>2025</v>
      </c>
      <c r="D1526" s="102" t="s">
        <v>1992</v>
      </c>
      <c r="E1526" s="469">
        <f>Table6[[#This Row],[Date]]-DAY(Table6[[#This Row],[Date]])+1</f>
        <v>45839</v>
      </c>
      <c r="F1526" s="470">
        <v>45849</v>
      </c>
      <c r="G1526" s="35" t="s">
        <v>85</v>
      </c>
      <c r="H1526" s="35" t="str">
        <f>IFERROR(_xlfn.XLOOKUP(Table6[[#This Row],[Affected WTG]],'Basic Data'!$A:$A,'Basic Data'!$B:$B),"")</f>
        <v>TQGXIIPL</v>
      </c>
      <c r="I1526" s="35" t="str">
        <f>IFERROR(_xlfn.XLOOKUP(Table6[[#This Row],[Affected WTG]],'Basic Data'!$A:$A,'Basic Data'!$C:$C),"")</f>
        <v>GEDA</v>
      </c>
      <c r="J1526" s="471">
        <f>IFERROR(_xlfn.XLOOKUP(Table6[[#This Row],[Affected WTG]],'Basic Data'!$A:$A,'Basic Data'!$E:$E),"")</f>
        <v>3.846153846153845E-2</v>
      </c>
      <c r="K1526" s="102">
        <v>6605</v>
      </c>
      <c r="L1526" s="35" t="str">
        <f>IFERROR(_xlfn.XLOOKUP(Table6[[#This Row],[Error Code]],'Basic Data'!$AA:$AA,'Basic Data'!$AB:$AB),"Incorrect Error Code")</f>
        <v>Wind.dir. diff. level 2</v>
      </c>
      <c r="M1526" s="35" t="s">
        <v>291</v>
      </c>
      <c r="N1526" s="475"/>
      <c r="O1526" s="476">
        <v>0.38611111111111113</v>
      </c>
      <c r="P1526" s="476">
        <v>0.38611111111111113</v>
      </c>
      <c r="Q1526" s="477">
        <v>0.38750000000000001</v>
      </c>
      <c r="R1526" s="472">
        <f>IF(Table6[[#This Row],[Work Start TimeStamp]]="","",(Table6[[#This Row],[Work Start TimeStamp]]-Table6[[#This Row],[Fault Start TimeStamp]])*24)</f>
        <v>0</v>
      </c>
      <c r="S1526" s="472">
        <f>(Table6[[#This Row],[Fault Clearance time]]-Table6[[#This Row],[Work Start TimeStamp]])*24</f>
        <v>3.3333333333333215E-2</v>
      </c>
      <c r="T1526" s="472">
        <f>(Table6[[#This Row],[Fault Clearance time]]-Table6[[#This Row],[Fault Start TimeStamp]])*24</f>
        <v>3.3333333333333215E-2</v>
      </c>
      <c r="U1526" s="35" t="s">
        <v>1924</v>
      </c>
      <c r="V1526" s="102" t="s">
        <v>293</v>
      </c>
      <c r="W1526" s="549">
        <f>IFERROR(Table6[[#This Row],[Breakdown Time]]*Table6[[#This Row],[Plant Equivalent Weightage]],"")</f>
        <v>1.2820512820512771E-3</v>
      </c>
      <c r="X1526" s="473" t="s">
        <v>294</v>
      </c>
      <c r="Y1526" s="474" t="s">
        <v>87</v>
      </c>
      <c r="Z1526" s="102">
        <v>20451</v>
      </c>
      <c r="AA1526" s="468">
        <f>(Table6[[#This Row],[Paired WTG Generation for loss calculation]]/24)*Table6[[#This Row],[Breakdown Time]]</f>
        <v>28.404166666666566</v>
      </c>
      <c r="AB1526" s="102"/>
      <c r="AC1526" s="35"/>
      <c r="AD1526" s="35"/>
    </row>
    <row r="1527" spans="1:30">
      <c r="A1527" s="102">
        <f t="shared" si="24"/>
        <v>1526</v>
      </c>
      <c r="B1527" s="468">
        <f>YEAR(Table6[[#This Row],[Date]])+IF(MONTH(Table6[[#This Row],[Date]])&gt;=4,1,0)</f>
        <v>2026</v>
      </c>
      <c r="C1527" s="102">
        <f>YEAR(Table6[[#This Row],[Date]])</f>
        <v>2025</v>
      </c>
      <c r="D1527" s="102" t="s">
        <v>1992</v>
      </c>
      <c r="E1527" s="469">
        <f>Table6[[#This Row],[Date]]-DAY(Table6[[#This Row],[Date]])+1</f>
        <v>45839</v>
      </c>
      <c r="F1527" s="470">
        <v>45849</v>
      </c>
      <c r="G1527" s="35" t="s">
        <v>85</v>
      </c>
      <c r="H1527" s="35" t="str">
        <f>IFERROR(_xlfn.XLOOKUP(Table6[[#This Row],[Affected WTG]],'Basic Data'!$A:$A,'Basic Data'!$B:$B),"")</f>
        <v>TQGXIIPL</v>
      </c>
      <c r="I1527" s="35" t="str">
        <f>IFERROR(_xlfn.XLOOKUP(Table6[[#This Row],[Affected WTG]],'Basic Data'!$A:$A,'Basic Data'!$C:$C),"")</f>
        <v>GEDA</v>
      </c>
      <c r="J1527" s="471">
        <f>IFERROR(_xlfn.XLOOKUP(Table6[[#This Row],[Affected WTG]],'Basic Data'!$A:$A,'Basic Data'!$E:$E),"")</f>
        <v>3.846153846153845E-2</v>
      </c>
      <c r="K1527" s="102">
        <v>6605</v>
      </c>
      <c r="L1527" s="35" t="str">
        <f>IFERROR(_xlfn.XLOOKUP(Table6[[#This Row],[Error Code]],'Basic Data'!$AA:$AA,'Basic Data'!$AB:$AB),"Incorrect Error Code")</f>
        <v>Wind.dir. diff. level 2</v>
      </c>
      <c r="M1527" s="35" t="s">
        <v>291</v>
      </c>
      <c r="N1527" s="475"/>
      <c r="O1527" s="476">
        <v>0.62361111111111112</v>
      </c>
      <c r="P1527" s="476">
        <v>0.62361111111111112</v>
      </c>
      <c r="Q1527" s="477">
        <v>0.625</v>
      </c>
      <c r="R1527" s="472">
        <f>IF(Table6[[#This Row],[Work Start TimeStamp]]="","",(Table6[[#This Row],[Work Start TimeStamp]]-Table6[[#This Row],[Fault Start TimeStamp]])*24)</f>
        <v>0</v>
      </c>
      <c r="S1527" s="472">
        <f>(Table6[[#This Row],[Fault Clearance time]]-Table6[[#This Row],[Work Start TimeStamp]])*24</f>
        <v>3.3333333333333215E-2</v>
      </c>
      <c r="T1527" s="472">
        <f>(Table6[[#This Row],[Fault Clearance time]]-Table6[[#This Row],[Fault Start TimeStamp]])*24</f>
        <v>3.3333333333333215E-2</v>
      </c>
      <c r="U1527" s="35" t="s">
        <v>1924</v>
      </c>
      <c r="V1527" s="102" t="s">
        <v>293</v>
      </c>
      <c r="W1527" s="549">
        <f>IFERROR(Table6[[#This Row],[Breakdown Time]]*Table6[[#This Row],[Plant Equivalent Weightage]],"")</f>
        <v>1.2820512820512771E-3</v>
      </c>
      <c r="X1527" s="473" t="s">
        <v>294</v>
      </c>
      <c r="Y1527" s="474" t="s">
        <v>87</v>
      </c>
      <c r="Z1527" s="102">
        <v>20451</v>
      </c>
      <c r="AA1527" s="468">
        <f>(Table6[[#This Row],[Paired WTG Generation for loss calculation]]/24)*Table6[[#This Row],[Breakdown Time]]</f>
        <v>28.404166666666566</v>
      </c>
      <c r="AB1527" s="102"/>
      <c r="AC1527" s="35"/>
      <c r="AD1527" s="35"/>
    </row>
    <row r="1528" spans="1:30">
      <c r="A1528" s="102">
        <f t="shared" si="24"/>
        <v>1527</v>
      </c>
      <c r="B1528" s="468">
        <f>YEAR(Table6[[#This Row],[Date]])+IF(MONTH(Table6[[#This Row],[Date]])&gt;=4,1,0)</f>
        <v>2026</v>
      </c>
      <c r="C1528" s="102">
        <f>YEAR(Table6[[#This Row],[Date]])</f>
        <v>2025</v>
      </c>
      <c r="D1528" s="102" t="s">
        <v>1992</v>
      </c>
      <c r="E1528" s="469">
        <f>Table6[[#This Row],[Date]]-DAY(Table6[[#This Row],[Date]])+1</f>
        <v>45839</v>
      </c>
      <c r="F1528" s="470">
        <v>45849</v>
      </c>
      <c r="G1528" s="35" t="s">
        <v>85</v>
      </c>
      <c r="H1528" s="35" t="str">
        <f>IFERROR(_xlfn.XLOOKUP(Table6[[#This Row],[Affected WTG]],'Basic Data'!$A:$A,'Basic Data'!$B:$B),"")</f>
        <v>TQGXIIPL</v>
      </c>
      <c r="I1528" s="35" t="str">
        <f>IFERROR(_xlfn.XLOOKUP(Table6[[#This Row],[Affected WTG]],'Basic Data'!$A:$A,'Basic Data'!$C:$C),"")</f>
        <v>GEDA</v>
      </c>
      <c r="J1528" s="471">
        <f>IFERROR(_xlfn.XLOOKUP(Table6[[#This Row],[Affected WTG]],'Basic Data'!$A:$A,'Basic Data'!$E:$E),"")</f>
        <v>3.846153846153845E-2</v>
      </c>
      <c r="K1528" s="102">
        <v>6605</v>
      </c>
      <c r="L1528" s="35" t="str">
        <f>IFERROR(_xlfn.XLOOKUP(Table6[[#This Row],[Error Code]],'Basic Data'!$AA:$AA,'Basic Data'!$AB:$AB),"Incorrect Error Code")</f>
        <v>Wind.dir. diff. level 2</v>
      </c>
      <c r="M1528" s="35" t="s">
        <v>291</v>
      </c>
      <c r="N1528" s="475"/>
      <c r="O1528" s="476">
        <v>0.87916666666666665</v>
      </c>
      <c r="P1528" s="476">
        <v>0.87916666666666665</v>
      </c>
      <c r="Q1528" s="477">
        <v>0.88055555555555554</v>
      </c>
      <c r="R1528" s="472">
        <f>IF(Table6[[#This Row],[Work Start TimeStamp]]="","",(Table6[[#This Row],[Work Start TimeStamp]]-Table6[[#This Row],[Fault Start TimeStamp]])*24)</f>
        <v>0</v>
      </c>
      <c r="S1528" s="472">
        <f>(Table6[[#This Row],[Fault Clearance time]]-Table6[[#This Row],[Work Start TimeStamp]])*24</f>
        <v>3.3333333333333215E-2</v>
      </c>
      <c r="T1528" s="472">
        <f>(Table6[[#This Row],[Fault Clearance time]]-Table6[[#This Row],[Fault Start TimeStamp]])*24</f>
        <v>3.3333333333333215E-2</v>
      </c>
      <c r="U1528" s="35" t="s">
        <v>1924</v>
      </c>
      <c r="V1528" s="102" t="s">
        <v>293</v>
      </c>
      <c r="W1528" s="549">
        <f>IFERROR(Table6[[#This Row],[Breakdown Time]]*Table6[[#This Row],[Plant Equivalent Weightage]],"")</f>
        <v>1.2820512820512771E-3</v>
      </c>
      <c r="X1528" s="473" t="s">
        <v>294</v>
      </c>
      <c r="Y1528" s="474" t="s">
        <v>87</v>
      </c>
      <c r="Z1528" s="102">
        <v>20451</v>
      </c>
      <c r="AA1528" s="468">
        <f>(Table6[[#This Row],[Paired WTG Generation for loss calculation]]/24)*Table6[[#This Row],[Breakdown Time]]</f>
        <v>28.404166666666566</v>
      </c>
      <c r="AB1528" s="102"/>
      <c r="AC1528" s="35"/>
      <c r="AD1528" s="35"/>
    </row>
    <row r="1529" spans="1:30">
      <c r="A1529" s="102">
        <f t="shared" si="24"/>
        <v>1528</v>
      </c>
      <c r="B1529" s="468">
        <f>YEAR(Table6[[#This Row],[Date]])+IF(MONTH(Table6[[#This Row],[Date]])&gt;=4,1,0)</f>
        <v>2026</v>
      </c>
      <c r="C1529" s="102">
        <f>YEAR(Table6[[#This Row],[Date]])</f>
        <v>2025</v>
      </c>
      <c r="D1529" s="102" t="s">
        <v>1992</v>
      </c>
      <c r="E1529" s="469">
        <f>Table6[[#This Row],[Date]]-DAY(Table6[[#This Row],[Date]])+1</f>
        <v>45839</v>
      </c>
      <c r="F1529" s="470">
        <v>45850</v>
      </c>
      <c r="G1529" s="35" t="s">
        <v>74</v>
      </c>
      <c r="H1529" s="35" t="str">
        <f>IFERROR(_xlfn.XLOOKUP(Table6[[#This Row],[Affected WTG]],'Basic Data'!$A:$A,'Basic Data'!$B:$B),"")</f>
        <v>TQGXIIPL</v>
      </c>
      <c r="I1529" s="35" t="str">
        <f>IFERROR(_xlfn.XLOOKUP(Table6[[#This Row],[Affected WTG]],'Basic Data'!$A:$A,'Basic Data'!$C:$C),"")</f>
        <v>GEDA</v>
      </c>
      <c r="J1529" s="471">
        <f>IFERROR(_xlfn.XLOOKUP(Table6[[#This Row],[Affected WTG]],'Basic Data'!$A:$A,'Basic Data'!$E:$E),"")</f>
        <v>3.846153846153845E-2</v>
      </c>
      <c r="K1529" s="102">
        <v>6130</v>
      </c>
      <c r="L1529" s="35" t="str">
        <f>IFERROR(_xlfn.XLOOKUP(Table6[[#This Row],[Error Code]],'Basic Data'!$AA:$AA,'Basic Data'!$AB:$AB),"Incorrect Error Code")</f>
        <v>Yaw speed high</v>
      </c>
      <c r="M1529" s="35" t="s">
        <v>291</v>
      </c>
      <c r="N1529" s="475"/>
      <c r="O1529" s="476">
        <v>0.79722222222222228</v>
      </c>
      <c r="P1529" s="476">
        <v>0.79722222222222228</v>
      </c>
      <c r="Q1529" s="477">
        <v>0.79861111111111116</v>
      </c>
      <c r="R1529" s="472">
        <f>IF(Table6[[#This Row],[Work Start TimeStamp]]="","",(Table6[[#This Row],[Work Start TimeStamp]]-Table6[[#This Row],[Fault Start TimeStamp]])*24)</f>
        <v>0</v>
      </c>
      <c r="S1529" s="472">
        <f>(Table6[[#This Row],[Fault Clearance time]]-Table6[[#This Row],[Work Start TimeStamp]])*24</f>
        <v>3.3333333333333215E-2</v>
      </c>
      <c r="T1529" s="472">
        <f>(Table6[[#This Row],[Fault Clearance time]]-Table6[[#This Row],[Fault Start TimeStamp]])*24</f>
        <v>3.3333333333333215E-2</v>
      </c>
      <c r="U1529" s="35" t="s">
        <v>1924</v>
      </c>
      <c r="V1529" s="102" t="s">
        <v>293</v>
      </c>
      <c r="W1529" s="549">
        <f>IFERROR(Table6[[#This Row],[Breakdown Time]]*Table6[[#This Row],[Plant Equivalent Weightage]],"")</f>
        <v>1.2820512820512771E-3</v>
      </c>
      <c r="X1529" s="473" t="s">
        <v>294</v>
      </c>
      <c r="Y1529" s="474" t="s">
        <v>99</v>
      </c>
      <c r="Z1529" s="102">
        <v>16351</v>
      </c>
      <c r="AA1529" s="468">
        <f>(Table6[[#This Row],[Paired WTG Generation for loss calculation]]/24)*Table6[[#This Row],[Breakdown Time]]</f>
        <v>22.70972222222214</v>
      </c>
      <c r="AB1529" s="102"/>
      <c r="AC1529" s="35"/>
      <c r="AD1529" s="35"/>
    </row>
    <row r="1530" spans="1:30">
      <c r="A1530" s="102">
        <f t="shared" si="24"/>
        <v>1529</v>
      </c>
      <c r="B1530" s="468">
        <f>YEAR(Table6[[#This Row],[Date]])+IF(MONTH(Table6[[#This Row],[Date]])&gt;=4,1,0)</f>
        <v>2026</v>
      </c>
      <c r="C1530" s="102">
        <f>YEAR(Table6[[#This Row],[Date]])</f>
        <v>2025</v>
      </c>
      <c r="D1530" s="102" t="s">
        <v>1992</v>
      </c>
      <c r="E1530" s="469">
        <f>Table6[[#This Row],[Date]]-DAY(Table6[[#This Row],[Date]])+1</f>
        <v>45839</v>
      </c>
      <c r="F1530" s="470">
        <v>45850</v>
      </c>
      <c r="G1530" s="35" t="s">
        <v>77</v>
      </c>
      <c r="H1530" s="35" t="str">
        <f>IFERROR(_xlfn.XLOOKUP(Table6[[#This Row],[Affected WTG]],'Basic Data'!$A:$A,'Basic Data'!$B:$B),"")</f>
        <v>TQGXIIPL</v>
      </c>
      <c r="I1530" s="35" t="str">
        <f>IFERROR(_xlfn.XLOOKUP(Table6[[#This Row],[Affected WTG]],'Basic Data'!$A:$A,'Basic Data'!$C:$C),"")</f>
        <v>GEDA</v>
      </c>
      <c r="J1530" s="471">
        <f>IFERROR(_xlfn.XLOOKUP(Table6[[#This Row],[Affected WTG]],'Basic Data'!$A:$A,'Basic Data'!$E:$E),"")</f>
        <v>3.846153846153845E-2</v>
      </c>
      <c r="K1530" s="102">
        <v>6130</v>
      </c>
      <c r="L1530" s="35" t="str">
        <f>IFERROR(_xlfn.XLOOKUP(Table6[[#This Row],[Error Code]],'Basic Data'!$AA:$AA,'Basic Data'!$AB:$AB),"Incorrect Error Code")</f>
        <v>Yaw speed high</v>
      </c>
      <c r="M1530" s="35" t="s">
        <v>291</v>
      </c>
      <c r="N1530" s="475"/>
      <c r="O1530" s="476">
        <v>0.3972222222222222</v>
      </c>
      <c r="P1530" s="476">
        <v>0.3972222222222222</v>
      </c>
      <c r="Q1530" s="477">
        <v>0.39861111111111114</v>
      </c>
      <c r="R1530" s="472">
        <f>IF(Table6[[#This Row],[Work Start TimeStamp]]="","",(Table6[[#This Row],[Work Start TimeStamp]]-Table6[[#This Row],[Fault Start TimeStamp]])*24)</f>
        <v>0</v>
      </c>
      <c r="S1530" s="472">
        <f>(Table6[[#This Row],[Fault Clearance time]]-Table6[[#This Row],[Work Start TimeStamp]])*24</f>
        <v>3.3333333333334547E-2</v>
      </c>
      <c r="T1530" s="472">
        <f>(Table6[[#This Row],[Fault Clearance time]]-Table6[[#This Row],[Fault Start TimeStamp]])*24</f>
        <v>3.3333333333334547E-2</v>
      </c>
      <c r="U1530" s="35" t="s">
        <v>1924</v>
      </c>
      <c r="V1530" s="102" t="s">
        <v>293</v>
      </c>
      <c r="W1530" s="549">
        <f>IFERROR(Table6[[#This Row],[Breakdown Time]]*Table6[[#This Row],[Plant Equivalent Weightage]],"")</f>
        <v>1.2820512820513285E-3</v>
      </c>
      <c r="X1530" s="473" t="s">
        <v>294</v>
      </c>
      <c r="Y1530" s="474" t="s">
        <v>75</v>
      </c>
      <c r="Z1530" s="102">
        <v>19382</v>
      </c>
      <c r="AA1530" s="468">
        <f>(Table6[[#This Row],[Paired WTG Generation for loss calculation]]/24)*Table6[[#This Row],[Breakdown Time]]</f>
        <v>26.919444444445425</v>
      </c>
      <c r="AB1530" s="102"/>
      <c r="AC1530" s="35"/>
      <c r="AD1530" s="35"/>
    </row>
    <row r="1531" spans="1:30">
      <c r="A1531" s="102">
        <f t="shared" si="24"/>
        <v>1530</v>
      </c>
      <c r="B1531" s="468">
        <f>YEAR(Table6[[#This Row],[Date]])+IF(MONTH(Table6[[#This Row],[Date]])&gt;=4,1,0)</f>
        <v>2026</v>
      </c>
      <c r="C1531" s="102">
        <f>YEAR(Table6[[#This Row],[Date]])</f>
        <v>2025</v>
      </c>
      <c r="D1531" s="102" t="s">
        <v>1992</v>
      </c>
      <c r="E1531" s="469">
        <f>Table6[[#This Row],[Date]]-DAY(Table6[[#This Row],[Date]])+1</f>
        <v>45839</v>
      </c>
      <c r="F1531" s="470">
        <v>45850</v>
      </c>
      <c r="G1531" s="35" t="s">
        <v>78</v>
      </c>
      <c r="H1531" s="35" t="str">
        <f>IFERROR(_xlfn.XLOOKUP(Table6[[#This Row],[Affected WTG]],'Basic Data'!$A:$A,'Basic Data'!$B:$B),"")</f>
        <v>TQGXIIPL</v>
      </c>
      <c r="I1531" s="35" t="str">
        <f>IFERROR(_xlfn.XLOOKUP(Table6[[#This Row],[Affected WTG]],'Basic Data'!$A:$A,'Basic Data'!$C:$C),"")</f>
        <v>GEDA</v>
      </c>
      <c r="J1531" s="471">
        <f>IFERROR(_xlfn.XLOOKUP(Table6[[#This Row],[Affected WTG]],'Basic Data'!$A:$A,'Basic Data'!$E:$E),"")</f>
        <v>3.846153846153845E-2</v>
      </c>
      <c r="K1531" s="102">
        <v>6130</v>
      </c>
      <c r="L1531" s="35" t="str">
        <f>IFERROR(_xlfn.XLOOKUP(Table6[[#This Row],[Error Code]],'Basic Data'!$AA:$AA,'Basic Data'!$AB:$AB),"Incorrect Error Code")</f>
        <v>Yaw speed high</v>
      </c>
      <c r="M1531" s="35" t="s">
        <v>291</v>
      </c>
      <c r="N1531" s="475"/>
      <c r="O1531" s="476">
        <v>0.55277777777777781</v>
      </c>
      <c r="P1531" s="476">
        <v>0.55277777777777781</v>
      </c>
      <c r="Q1531" s="477">
        <v>0.55694444444444446</v>
      </c>
      <c r="R1531" s="472">
        <f>IF(Table6[[#This Row],[Work Start TimeStamp]]="","",(Table6[[#This Row],[Work Start TimeStamp]]-Table6[[#This Row],[Fault Start TimeStamp]])*24)</f>
        <v>0</v>
      </c>
      <c r="S1531" s="472">
        <f>(Table6[[#This Row],[Fault Clearance time]]-Table6[[#This Row],[Work Start TimeStamp]])*24</f>
        <v>9.9999999999999645E-2</v>
      </c>
      <c r="T1531" s="472">
        <f>(Table6[[#This Row],[Fault Clearance time]]-Table6[[#This Row],[Fault Start TimeStamp]])*24</f>
        <v>9.9999999999999645E-2</v>
      </c>
      <c r="U1531" s="35" t="s">
        <v>1924</v>
      </c>
      <c r="V1531" s="102" t="s">
        <v>293</v>
      </c>
      <c r="W1531" s="549">
        <f>IFERROR(Table6[[#This Row],[Breakdown Time]]*Table6[[#This Row],[Plant Equivalent Weightage]],"")</f>
        <v>3.8461538461538312E-3</v>
      </c>
      <c r="X1531" s="473" t="s">
        <v>294</v>
      </c>
      <c r="Y1531" s="474" t="s">
        <v>75</v>
      </c>
      <c r="Z1531" s="102">
        <v>19382</v>
      </c>
      <c r="AA1531" s="468">
        <f>(Table6[[#This Row],[Paired WTG Generation for loss calculation]]/24)*Table6[[#This Row],[Breakdown Time]]</f>
        <v>80.758333333333056</v>
      </c>
      <c r="AB1531" s="102"/>
      <c r="AC1531" s="35"/>
      <c r="AD1531" s="35"/>
    </row>
    <row r="1532" spans="1:30">
      <c r="A1532" s="102">
        <f t="shared" si="24"/>
        <v>1531</v>
      </c>
      <c r="B1532" s="468">
        <f>YEAR(Table6[[#This Row],[Date]])+IF(MONTH(Table6[[#This Row],[Date]])&gt;=4,1,0)</f>
        <v>2026</v>
      </c>
      <c r="C1532" s="102">
        <f>YEAR(Table6[[#This Row],[Date]])</f>
        <v>2025</v>
      </c>
      <c r="D1532" s="102" t="s">
        <v>1992</v>
      </c>
      <c r="E1532" s="469">
        <f>Table6[[#This Row],[Date]]-DAY(Table6[[#This Row],[Date]])+1</f>
        <v>45839</v>
      </c>
      <c r="F1532" s="470">
        <v>45850</v>
      </c>
      <c r="G1532" s="35" t="s">
        <v>82</v>
      </c>
      <c r="H1532" s="35" t="str">
        <f>IFERROR(_xlfn.XLOOKUP(Table6[[#This Row],[Affected WTG]],'Basic Data'!$A:$A,'Basic Data'!$B:$B),"")</f>
        <v>TQGXIIPL</v>
      </c>
      <c r="I1532" s="35" t="str">
        <f>IFERROR(_xlfn.XLOOKUP(Table6[[#This Row],[Affected WTG]],'Basic Data'!$A:$A,'Basic Data'!$C:$C),"")</f>
        <v>GEDA</v>
      </c>
      <c r="J1532" s="471">
        <f>IFERROR(_xlfn.XLOOKUP(Table6[[#This Row],[Affected WTG]],'Basic Data'!$A:$A,'Basic Data'!$E:$E),"")</f>
        <v>3.846153846153845E-2</v>
      </c>
      <c r="K1532" s="102">
        <v>4960</v>
      </c>
      <c r="L1532" s="35" t="str">
        <f>IFERROR(_xlfn.XLOOKUP(Table6[[#This Row],[Error Code]],'Basic Data'!$AA:$AA,'Basic Data'!$AB:$AB),"Incorrect Error Code")</f>
        <v>Tower oscillation YF</v>
      </c>
      <c r="M1532" s="35" t="s">
        <v>291</v>
      </c>
      <c r="N1532" s="475"/>
      <c r="O1532" s="476">
        <v>0.83958333333333335</v>
      </c>
      <c r="P1532" s="476">
        <v>0.83958333333333335</v>
      </c>
      <c r="Q1532" s="477">
        <v>0.84652777777777777</v>
      </c>
      <c r="R1532" s="472">
        <f>IF(Table6[[#This Row],[Work Start TimeStamp]]="","",(Table6[[#This Row],[Work Start TimeStamp]]-Table6[[#This Row],[Fault Start TimeStamp]])*24)</f>
        <v>0</v>
      </c>
      <c r="S1532" s="472">
        <f>(Table6[[#This Row],[Fault Clearance time]]-Table6[[#This Row],[Work Start TimeStamp]])*24</f>
        <v>0.16666666666666607</v>
      </c>
      <c r="T1532" s="472">
        <f>(Table6[[#This Row],[Fault Clearance time]]-Table6[[#This Row],[Fault Start TimeStamp]])*24</f>
        <v>0.16666666666666607</v>
      </c>
      <c r="U1532" s="35" t="s">
        <v>1924</v>
      </c>
      <c r="V1532" s="102" t="s">
        <v>293</v>
      </c>
      <c r="W1532" s="549">
        <f>IFERROR(Table6[[#This Row],[Breakdown Time]]*Table6[[#This Row],[Plant Equivalent Weightage]],"")</f>
        <v>6.4102564102563857E-3</v>
      </c>
      <c r="X1532" s="473" t="s">
        <v>294</v>
      </c>
      <c r="Y1532" s="474" t="s">
        <v>76</v>
      </c>
      <c r="Z1532" s="102">
        <v>19725</v>
      </c>
      <c r="AA1532" s="468">
        <f>(Table6[[#This Row],[Paired WTG Generation for loss calculation]]/24)*Table6[[#This Row],[Breakdown Time]]</f>
        <v>136.97916666666617</v>
      </c>
      <c r="AB1532" s="102"/>
      <c r="AC1532" s="35"/>
      <c r="AD1532" s="35"/>
    </row>
    <row r="1533" spans="1:30">
      <c r="A1533" s="102">
        <f t="shared" si="24"/>
        <v>1532</v>
      </c>
      <c r="B1533" s="468">
        <f>YEAR(Table6[[#This Row],[Date]])+IF(MONTH(Table6[[#This Row],[Date]])&gt;=4,1,0)</f>
        <v>2026</v>
      </c>
      <c r="C1533" s="102">
        <f>YEAR(Table6[[#This Row],[Date]])</f>
        <v>2025</v>
      </c>
      <c r="D1533" s="102" t="s">
        <v>1992</v>
      </c>
      <c r="E1533" s="469">
        <f>Table6[[#This Row],[Date]]-DAY(Table6[[#This Row],[Date]])+1</f>
        <v>45839</v>
      </c>
      <c r="F1533" s="470">
        <v>45850</v>
      </c>
      <c r="G1533" s="35" t="s">
        <v>85</v>
      </c>
      <c r="H1533" s="35" t="str">
        <f>IFERROR(_xlfn.XLOOKUP(Table6[[#This Row],[Affected WTG]],'Basic Data'!$A:$A,'Basic Data'!$B:$B),"")</f>
        <v>TQGXIIPL</v>
      </c>
      <c r="I1533" s="35" t="str">
        <f>IFERROR(_xlfn.XLOOKUP(Table6[[#This Row],[Affected WTG]],'Basic Data'!$A:$A,'Basic Data'!$C:$C),"")</f>
        <v>GEDA</v>
      </c>
      <c r="J1533" s="471">
        <f>IFERROR(_xlfn.XLOOKUP(Table6[[#This Row],[Affected WTG]],'Basic Data'!$A:$A,'Basic Data'!$E:$E),"")</f>
        <v>3.846153846153845E-2</v>
      </c>
      <c r="K1533" s="102">
        <v>6605</v>
      </c>
      <c r="L1533" s="35" t="str">
        <f>IFERROR(_xlfn.XLOOKUP(Table6[[#This Row],[Error Code]],'Basic Data'!$AA:$AA,'Basic Data'!$AB:$AB),"Incorrect Error Code")</f>
        <v>Wind.dir. diff. level 2</v>
      </c>
      <c r="M1533" s="35" t="s">
        <v>291</v>
      </c>
      <c r="N1533" s="475"/>
      <c r="O1533" s="476">
        <v>6.1111111111111109E-2</v>
      </c>
      <c r="P1533" s="476">
        <v>6.1111111111111109E-2</v>
      </c>
      <c r="Q1533" s="477">
        <v>6.805555555555555E-2</v>
      </c>
      <c r="R1533" s="472">
        <f>IF(Table6[[#This Row],[Work Start TimeStamp]]="","",(Table6[[#This Row],[Work Start TimeStamp]]-Table6[[#This Row],[Fault Start TimeStamp]])*24)</f>
        <v>0</v>
      </c>
      <c r="S1533" s="472">
        <f>(Table6[[#This Row],[Fault Clearance time]]-Table6[[#This Row],[Work Start TimeStamp]])*24</f>
        <v>0.16666666666666657</v>
      </c>
      <c r="T1533" s="472">
        <f>(Table6[[#This Row],[Fault Clearance time]]-Table6[[#This Row],[Fault Start TimeStamp]])*24</f>
        <v>0.16666666666666657</v>
      </c>
      <c r="U1533" s="35" t="s">
        <v>1924</v>
      </c>
      <c r="V1533" s="102" t="s">
        <v>293</v>
      </c>
      <c r="W1533" s="549">
        <f>IFERROR(Table6[[#This Row],[Breakdown Time]]*Table6[[#This Row],[Plant Equivalent Weightage]],"")</f>
        <v>6.4102564102564048E-3</v>
      </c>
      <c r="X1533" s="473" t="s">
        <v>294</v>
      </c>
      <c r="Y1533" s="474" t="s">
        <v>87</v>
      </c>
      <c r="Z1533" s="102">
        <v>20643</v>
      </c>
      <c r="AA1533" s="468">
        <f>(Table6[[#This Row],[Paired WTG Generation for loss calculation]]/24)*Table6[[#This Row],[Breakdown Time]]</f>
        <v>143.3541666666666</v>
      </c>
      <c r="AB1533" s="102"/>
      <c r="AC1533" s="35"/>
      <c r="AD1533" s="35"/>
    </row>
    <row r="1534" spans="1:30">
      <c r="A1534" s="102">
        <f t="shared" si="24"/>
        <v>1533</v>
      </c>
      <c r="B1534" s="468">
        <f>YEAR(Table6[[#This Row],[Date]])+IF(MONTH(Table6[[#This Row],[Date]])&gt;=4,1,0)</f>
        <v>2026</v>
      </c>
      <c r="C1534" s="102">
        <f>YEAR(Table6[[#This Row],[Date]])</f>
        <v>2025</v>
      </c>
      <c r="D1534" s="102" t="s">
        <v>1992</v>
      </c>
      <c r="E1534" s="469">
        <f>Table6[[#This Row],[Date]]-DAY(Table6[[#This Row],[Date]])+1</f>
        <v>45839</v>
      </c>
      <c r="F1534" s="470">
        <v>45850</v>
      </c>
      <c r="G1534" s="35" t="s">
        <v>85</v>
      </c>
      <c r="H1534" s="35" t="str">
        <f>IFERROR(_xlfn.XLOOKUP(Table6[[#This Row],[Affected WTG]],'Basic Data'!$A:$A,'Basic Data'!$B:$B),"")</f>
        <v>TQGXIIPL</v>
      </c>
      <c r="I1534" s="35" t="str">
        <f>IFERROR(_xlfn.XLOOKUP(Table6[[#This Row],[Affected WTG]],'Basic Data'!$A:$A,'Basic Data'!$C:$C),"")</f>
        <v>GEDA</v>
      </c>
      <c r="J1534" s="471">
        <f>IFERROR(_xlfn.XLOOKUP(Table6[[#This Row],[Affected WTG]],'Basic Data'!$A:$A,'Basic Data'!$E:$E),"")</f>
        <v>3.846153846153845E-2</v>
      </c>
      <c r="K1534" s="102">
        <v>6605</v>
      </c>
      <c r="L1534" s="35" t="str">
        <f>IFERROR(_xlfn.XLOOKUP(Table6[[#This Row],[Error Code]],'Basic Data'!$AA:$AA,'Basic Data'!$AB:$AB),"Incorrect Error Code")</f>
        <v>Wind.dir. diff. level 2</v>
      </c>
      <c r="M1534" s="35" t="s">
        <v>291</v>
      </c>
      <c r="N1534" s="475"/>
      <c r="O1534" s="476">
        <v>0.23819444444444443</v>
      </c>
      <c r="P1534" s="476">
        <v>0.23819444444444443</v>
      </c>
      <c r="Q1534" s="477">
        <v>0.24027777777777778</v>
      </c>
      <c r="R1534" s="472">
        <f>IF(Table6[[#This Row],[Work Start TimeStamp]]="","",(Table6[[#This Row],[Work Start TimeStamp]]-Table6[[#This Row],[Fault Start TimeStamp]])*24)</f>
        <v>0</v>
      </c>
      <c r="S1534" s="472">
        <f>(Table6[[#This Row],[Fault Clearance time]]-Table6[[#This Row],[Work Start TimeStamp]])*24</f>
        <v>5.0000000000000488E-2</v>
      </c>
      <c r="T1534" s="472">
        <f>(Table6[[#This Row],[Fault Clearance time]]-Table6[[#This Row],[Fault Start TimeStamp]])*24</f>
        <v>5.0000000000000488E-2</v>
      </c>
      <c r="U1534" s="35" t="s">
        <v>1924</v>
      </c>
      <c r="V1534" s="102" t="s">
        <v>293</v>
      </c>
      <c r="W1534" s="549">
        <f>IFERROR(Table6[[#This Row],[Breakdown Time]]*Table6[[#This Row],[Plant Equivalent Weightage]],"")</f>
        <v>1.9230769230769412E-3</v>
      </c>
      <c r="X1534" s="473" t="s">
        <v>294</v>
      </c>
      <c r="Y1534" s="474" t="s">
        <v>87</v>
      </c>
      <c r="Z1534" s="102">
        <v>20643</v>
      </c>
      <c r="AA1534" s="468">
        <f>(Table6[[#This Row],[Paired WTG Generation for loss calculation]]/24)*Table6[[#This Row],[Breakdown Time]]</f>
        <v>43.006250000000421</v>
      </c>
      <c r="AB1534" s="102"/>
      <c r="AC1534" s="35"/>
      <c r="AD1534" s="35"/>
    </row>
    <row r="1535" spans="1:30">
      <c r="A1535" s="102">
        <f t="shared" si="24"/>
        <v>1534</v>
      </c>
      <c r="B1535" s="468">
        <f>YEAR(Table6[[#This Row],[Date]])+IF(MONTH(Table6[[#This Row],[Date]])&gt;=4,1,0)</f>
        <v>2026</v>
      </c>
      <c r="C1535" s="102">
        <f>YEAR(Table6[[#This Row],[Date]])</f>
        <v>2025</v>
      </c>
      <c r="D1535" s="102" t="s">
        <v>1992</v>
      </c>
      <c r="E1535" s="469">
        <f>Table6[[#This Row],[Date]]-DAY(Table6[[#This Row],[Date]])+1</f>
        <v>45839</v>
      </c>
      <c r="F1535" s="470">
        <v>45850</v>
      </c>
      <c r="G1535" s="35" t="s">
        <v>85</v>
      </c>
      <c r="H1535" s="35" t="str">
        <f>IFERROR(_xlfn.XLOOKUP(Table6[[#This Row],[Affected WTG]],'Basic Data'!$A:$A,'Basic Data'!$B:$B),"")</f>
        <v>TQGXIIPL</v>
      </c>
      <c r="I1535" s="35" t="str">
        <f>IFERROR(_xlfn.XLOOKUP(Table6[[#This Row],[Affected WTG]],'Basic Data'!$A:$A,'Basic Data'!$C:$C),"")</f>
        <v>GEDA</v>
      </c>
      <c r="J1535" s="471">
        <f>IFERROR(_xlfn.XLOOKUP(Table6[[#This Row],[Affected WTG]],'Basic Data'!$A:$A,'Basic Data'!$E:$E),"")</f>
        <v>3.846153846153845E-2</v>
      </c>
      <c r="K1535" s="102">
        <v>6605</v>
      </c>
      <c r="L1535" s="35" t="str">
        <f>IFERROR(_xlfn.XLOOKUP(Table6[[#This Row],[Error Code]],'Basic Data'!$AA:$AA,'Basic Data'!$AB:$AB),"Incorrect Error Code")</f>
        <v>Wind.dir. diff. level 2</v>
      </c>
      <c r="M1535" s="35" t="s">
        <v>291</v>
      </c>
      <c r="N1535" s="475"/>
      <c r="O1535" s="476">
        <v>0.31180555555555556</v>
      </c>
      <c r="P1535" s="476">
        <v>0.31180555555555556</v>
      </c>
      <c r="Q1535" s="477">
        <v>0.31319444444444444</v>
      </c>
      <c r="R1535" s="472">
        <f>IF(Table6[[#This Row],[Work Start TimeStamp]]="","",(Table6[[#This Row],[Work Start TimeStamp]]-Table6[[#This Row],[Fault Start TimeStamp]])*24)</f>
        <v>0</v>
      </c>
      <c r="S1535" s="472">
        <f>(Table6[[#This Row],[Fault Clearance time]]-Table6[[#This Row],[Work Start TimeStamp]])*24</f>
        <v>3.3333333333333215E-2</v>
      </c>
      <c r="T1535" s="472">
        <f>(Table6[[#This Row],[Fault Clearance time]]-Table6[[#This Row],[Fault Start TimeStamp]])*24</f>
        <v>3.3333333333333215E-2</v>
      </c>
      <c r="U1535" s="35" t="s">
        <v>1924</v>
      </c>
      <c r="V1535" s="102" t="s">
        <v>293</v>
      </c>
      <c r="W1535" s="549">
        <f>IFERROR(Table6[[#This Row],[Breakdown Time]]*Table6[[#This Row],[Plant Equivalent Weightage]],"")</f>
        <v>1.2820512820512771E-3</v>
      </c>
      <c r="X1535" s="473" t="s">
        <v>294</v>
      </c>
      <c r="Y1535" s="474" t="s">
        <v>87</v>
      </c>
      <c r="Z1535" s="102">
        <v>20643</v>
      </c>
      <c r="AA1535" s="468">
        <f>(Table6[[#This Row],[Paired WTG Generation for loss calculation]]/24)*Table6[[#This Row],[Breakdown Time]]</f>
        <v>28.670833333333231</v>
      </c>
      <c r="AB1535" s="102"/>
      <c r="AC1535" s="35"/>
      <c r="AD1535" s="35"/>
    </row>
    <row r="1536" spans="1:30">
      <c r="A1536" s="102">
        <f t="shared" si="24"/>
        <v>1535</v>
      </c>
      <c r="B1536" s="468">
        <f>YEAR(Table6[[#This Row],[Date]])+IF(MONTH(Table6[[#This Row],[Date]])&gt;=4,1,0)</f>
        <v>2026</v>
      </c>
      <c r="C1536" s="102">
        <f>YEAR(Table6[[#This Row],[Date]])</f>
        <v>2025</v>
      </c>
      <c r="D1536" s="102" t="s">
        <v>1992</v>
      </c>
      <c r="E1536" s="469">
        <f>Table6[[#This Row],[Date]]-DAY(Table6[[#This Row],[Date]])+1</f>
        <v>45839</v>
      </c>
      <c r="F1536" s="470">
        <v>45850</v>
      </c>
      <c r="G1536" s="35" t="s">
        <v>85</v>
      </c>
      <c r="H1536" s="35" t="str">
        <f>IFERROR(_xlfn.XLOOKUP(Table6[[#This Row],[Affected WTG]],'Basic Data'!$A:$A,'Basic Data'!$B:$B),"")</f>
        <v>TQGXIIPL</v>
      </c>
      <c r="I1536" s="35" t="str">
        <f>IFERROR(_xlfn.XLOOKUP(Table6[[#This Row],[Affected WTG]],'Basic Data'!$A:$A,'Basic Data'!$C:$C),"")</f>
        <v>GEDA</v>
      </c>
      <c r="J1536" s="471">
        <f>IFERROR(_xlfn.XLOOKUP(Table6[[#This Row],[Affected WTG]],'Basic Data'!$A:$A,'Basic Data'!$E:$E),"")</f>
        <v>3.846153846153845E-2</v>
      </c>
      <c r="K1536" s="102">
        <v>6605</v>
      </c>
      <c r="L1536" s="35" t="str">
        <f>IFERROR(_xlfn.XLOOKUP(Table6[[#This Row],[Error Code]],'Basic Data'!$AA:$AA,'Basic Data'!$AB:$AB),"Incorrect Error Code")</f>
        <v>Wind.dir. diff. level 2</v>
      </c>
      <c r="M1536" s="35" t="s">
        <v>291</v>
      </c>
      <c r="N1536" s="475"/>
      <c r="O1536" s="476">
        <v>0.35625000000000001</v>
      </c>
      <c r="P1536" s="476">
        <v>0.35625000000000001</v>
      </c>
      <c r="Q1536" s="477">
        <v>0.36041666666666666</v>
      </c>
      <c r="R1536" s="472">
        <f>IF(Table6[[#This Row],[Work Start TimeStamp]]="","",(Table6[[#This Row],[Work Start TimeStamp]]-Table6[[#This Row],[Fault Start TimeStamp]])*24)</f>
        <v>0</v>
      </c>
      <c r="S1536" s="472">
        <f>(Table6[[#This Row],[Fault Clearance time]]-Table6[[#This Row],[Work Start TimeStamp]])*24</f>
        <v>9.9999999999999645E-2</v>
      </c>
      <c r="T1536" s="472">
        <f>(Table6[[#This Row],[Fault Clearance time]]-Table6[[#This Row],[Fault Start TimeStamp]])*24</f>
        <v>9.9999999999999645E-2</v>
      </c>
      <c r="U1536" s="35" t="s">
        <v>1924</v>
      </c>
      <c r="V1536" s="102" t="s">
        <v>293</v>
      </c>
      <c r="W1536" s="549">
        <f>IFERROR(Table6[[#This Row],[Breakdown Time]]*Table6[[#This Row],[Plant Equivalent Weightage]],"")</f>
        <v>3.8461538461538312E-3</v>
      </c>
      <c r="X1536" s="473" t="s">
        <v>294</v>
      </c>
      <c r="Y1536" s="474" t="s">
        <v>87</v>
      </c>
      <c r="Z1536" s="102">
        <v>20643</v>
      </c>
      <c r="AA1536" s="468">
        <f>(Table6[[#This Row],[Paired WTG Generation for loss calculation]]/24)*Table6[[#This Row],[Breakdown Time]]</f>
        <v>86.01249999999969</v>
      </c>
      <c r="AB1536" s="102"/>
      <c r="AC1536" s="35"/>
      <c r="AD1536" s="35"/>
    </row>
    <row r="1537" spans="1:30">
      <c r="A1537" s="102">
        <f t="shared" si="24"/>
        <v>1536</v>
      </c>
      <c r="B1537" s="468">
        <f>YEAR(Table6[[#This Row],[Date]])+IF(MONTH(Table6[[#This Row],[Date]])&gt;=4,1,0)</f>
        <v>2026</v>
      </c>
      <c r="C1537" s="102">
        <f>YEAR(Table6[[#This Row],[Date]])</f>
        <v>2025</v>
      </c>
      <c r="D1537" s="102" t="s">
        <v>1992</v>
      </c>
      <c r="E1537" s="469">
        <f>Table6[[#This Row],[Date]]-DAY(Table6[[#This Row],[Date]])+1</f>
        <v>45839</v>
      </c>
      <c r="F1537" s="470">
        <v>45850</v>
      </c>
      <c r="G1537" s="35" t="s">
        <v>85</v>
      </c>
      <c r="H1537" s="35" t="str">
        <f>IFERROR(_xlfn.XLOOKUP(Table6[[#This Row],[Affected WTG]],'Basic Data'!$A:$A,'Basic Data'!$B:$B),"")</f>
        <v>TQGXIIPL</v>
      </c>
      <c r="I1537" s="35" t="str">
        <f>IFERROR(_xlfn.XLOOKUP(Table6[[#This Row],[Affected WTG]],'Basic Data'!$A:$A,'Basic Data'!$C:$C),"")</f>
        <v>GEDA</v>
      </c>
      <c r="J1537" s="471">
        <f>IFERROR(_xlfn.XLOOKUP(Table6[[#This Row],[Affected WTG]],'Basic Data'!$A:$A,'Basic Data'!$E:$E),"")</f>
        <v>3.846153846153845E-2</v>
      </c>
      <c r="K1537" s="102">
        <v>6605</v>
      </c>
      <c r="L1537" s="35" t="str">
        <f>IFERROR(_xlfn.XLOOKUP(Table6[[#This Row],[Error Code]],'Basic Data'!$AA:$AA,'Basic Data'!$AB:$AB),"Incorrect Error Code")</f>
        <v>Wind.dir. diff. level 2</v>
      </c>
      <c r="M1537" s="35" t="s">
        <v>291</v>
      </c>
      <c r="N1537" s="475"/>
      <c r="O1537" s="476">
        <v>0.39305555555555555</v>
      </c>
      <c r="P1537" s="476">
        <v>0.39305555555555555</v>
      </c>
      <c r="Q1537" s="477">
        <v>0.39444444444444443</v>
      </c>
      <c r="R1537" s="472">
        <f>IF(Table6[[#This Row],[Work Start TimeStamp]]="","",(Table6[[#This Row],[Work Start TimeStamp]]-Table6[[#This Row],[Fault Start TimeStamp]])*24)</f>
        <v>0</v>
      </c>
      <c r="S1537" s="472">
        <f>(Table6[[#This Row],[Fault Clearance time]]-Table6[[#This Row],[Work Start TimeStamp]])*24</f>
        <v>3.3333333333333215E-2</v>
      </c>
      <c r="T1537" s="472">
        <f>(Table6[[#This Row],[Fault Clearance time]]-Table6[[#This Row],[Fault Start TimeStamp]])*24</f>
        <v>3.3333333333333215E-2</v>
      </c>
      <c r="U1537" s="35" t="s">
        <v>1924</v>
      </c>
      <c r="V1537" s="102" t="s">
        <v>293</v>
      </c>
      <c r="W1537" s="549">
        <f>IFERROR(Table6[[#This Row],[Breakdown Time]]*Table6[[#This Row],[Plant Equivalent Weightage]],"")</f>
        <v>1.2820512820512771E-3</v>
      </c>
      <c r="X1537" s="473" t="s">
        <v>294</v>
      </c>
      <c r="Y1537" s="474" t="s">
        <v>87</v>
      </c>
      <c r="Z1537" s="102">
        <v>20643</v>
      </c>
      <c r="AA1537" s="468">
        <f>(Table6[[#This Row],[Paired WTG Generation for loss calculation]]/24)*Table6[[#This Row],[Breakdown Time]]</f>
        <v>28.670833333333231</v>
      </c>
      <c r="AB1537" s="102"/>
      <c r="AC1537" s="35"/>
      <c r="AD1537" s="35"/>
    </row>
    <row r="1538" spans="1:30">
      <c r="A1538" s="102">
        <f t="shared" si="24"/>
        <v>1537</v>
      </c>
      <c r="B1538" s="468">
        <f>YEAR(Table6[[#This Row],[Date]])+IF(MONTH(Table6[[#This Row],[Date]])&gt;=4,1,0)</f>
        <v>2026</v>
      </c>
      <c r="C1538" s="102">
        <f>YEAR(Table6[[#This Row],[Date]])</f>
        <v>2025</v>
      </c>
      <c r="D1538" s="102" t="s">
        <v>1992</v>
      </c>
      <c r="E1538" s="469">
        <f>Table6[[#This Row],[Date]]-DAY(Table6[[#This Row],[Date]])+1</f>
        <v>45839</v>
      </c>
      <c r="F1538" s="470">
        <v>45850</v>
      </c>
      <c r="G1538" s="35" t="s">
        <v>85</v>
      </c>
      <c r="H1538" s="35" t="str">
        <f>IFERROR(_xlfn.XLOOKUP(Table6[[#This Row],[Affected WTG]],'Basic Data'!$A:$A,'Basic Data'!$B:$B),"")</f>
        <v>TQGXIIPL</v>
      </c>
      <c r="I1538" s="35" t="str">
        <f>IFERROR(_xlfn.XLOOKUP(Table6[[#This Row],[Affected WTG]],'Basic Data'!$A:$A,'Basic Data'!$C:$C),"")</f>
        <v>GEDA</v>
      </c>
      <c r="J1538" s="471">
        <f>IFERROR(_xlfn.XLOOKUP(Table6[[#This Row],[Affected WTG]],'Basic Data'!$A:$A,'Basic Data'!$E:$E),"")</f>
        <v>3.846153846153845E-2</v>
      </c>
      <c r="K1538" s="102">
        <v>6605</v>
      </c>
      <c r="L1538" s="35" t="str">
        <f>IFERROR(_xlfn.XLOOKUP(Table6[[#This Row],[Error Code]],'Basic Data'!$AA:$AA,'Basic Data'!$AB:$AB),"Incorrect Error Code")</f>
        <v>Wind.dir. diff. level 2</v>
      </c>
      <c r="M1538" s="35" t="s">
        <v>291</v>
      </c>
      <c r="N1538" s="475"/>
      <c r="O1538" s="476">
        <v>0.46041666666666664</v>
      </c>
      <c r="P1538" s="476">
        <v>0.46041666666666664</v>
      </c>
      <c r="Q1538" s="477">
        <v>0.46180555555555558</v>
      </c>
      <c r="R1538" s="472">
        <f>IF(Table6[[#This Row],[Work Start TimeStamp]]="","",(Table6[[#This Row],[Work Start TimeStamp]]-Table6[[#This Row],[Fault Start TimeStamp]])*24)</f>
        <v>0</v>
      </c>
      <c r="S1538" s="472">
        <f>(Table6[[#This Row],[Fault Clearance time]]-Table6[[#This Row],[Work Start TimeStamp]])*24</f>
        <v>3.3333333333334547E-2</v>
      </c>
      <c r="T1538" s="472">
        <f>(Table6[[#This Row],[Fault Clearance time]]-Table6[[#This Row],[Fault Start TimeStamp]])*24</f>
        <v>3.3333333333334547E-2</v>
      </c>
      <c r="U1538" s="35" t="s">
        <v>1924</v>
      </c>
      <c r="V1538" s="102" t="s">
        <v>293</v>
      </c>
      <c r="W1538" s="549">
        <f>IFERROR(Table6[[#This Row],[Breakdown Time]]*Table6[[#This Row],[Plant Equivalent Weightage]],"")</f>
        <v>1.2820512820513285E-3</v>
      </c>
      <c r="X1538" s="473" t="s">
        <v>294</v>
      </c>
      <c r="Y1538" s="474" t="s">
        <v>87</v>
      </c>
      <c r="Z1538" s="102">
        <v>20643</v>
      </c>
      <c r="AA1538" s="468">
        <f>(Table6[[#This Row],[Paired WTG Generation for loss calculation]]/24)*Table6[[#This Row],[Breakdown Time]]</f>
        <v>28.670833333334379</v>
      </c>
      <c r="AB1538" s="102"/>
      <c r="AC1538" s="35"/>
      <c r="AD1538" s="35"/>
    </row>
    <row r="1539" spans="1:30">
      <c r="A1539" s="102">
        <f t="shared" si="24"/>
        <v>1538</v>
      </c>
      <c r="B1539" s="468">
        <f>YEAR(Table6[[#This Row],[Date]])+IF(MONTH(Table6[[#This Row],[Date]])&gt;=4,1,0)</f>
        <v>2026</v>
      </c>
      <c r="C1539" s="102">
        <f>YEAR(Table6[[#This Row],[Date]])</f>
        <v>2025</v>
      </c>
      <c r="D1539" s="102" t="s">
        <v>1992</v>
      </c>
      <c r="E1539" s="469">
        <f>Table6[[#This Row],[Date]]-DAY(Table6[[#This Row],[Date]])+1</f>
        <v>45839</v>
      </c>
      <c r="F1539" s="470">
        <v>45850</v>
      </c>
      <c r="G1539" s="35" t="s">
        <v>85</v>
      </c>
      <c r="H1539" s="35" t="str">
        <f>IFERROR(_xlfn.XLOOKUP(Table6[[#This Row],[Affected WTG]],'Basic Data'!$A:$A,'Basic Data'!$B:$B),"")</f>
        <v>TQGXIIPL</v>
      </c>
      <c r="I1539" s="35" t="str">
        <f>IFERROR(_xlfn.XLOOKUP(Table6[[#This Row],[Affected WTG]],'Basic Data'!$A:$A,'Basic Data'!$C:$C),"")</f>
        <v>GEDA</v>
      </c>
      <c r="J1539" s="471">
        <f>IFERROR(_xlfn.XLOOKUP(Table6[[#This Row],[Affected WTG]],'Basic Data'!$A:$A,'Basic Data'!$E:$E),"")</f>
        <v>3.846153846153845E-2</v>
      </c>
      <c r="K1539" s="102">
        <v>6605</v>
      </c>
      <c r="L1539" s="35" t="str">
        <f>IFERROR(_xlfn.XLOOKUP(Table6[[#This Row],[Error Code]],'Basic Data'!$AA:$AA,'Basic Data'!$AB:$AB),"Incorrect Error Code")</f>
        <v>Wind.dir. diff. level 2</v>
      </c>
      <c r="M1539" s="35" t="s">
        <v>291</v>
      </c>
      <c r="N1539" s="475"/>
      <c r="O1539" s="476">
        <v>0.51527777777777772</v>
      </c>
      <c r="P1539" s="476">
        <v>0.51527777777777772</v>
      </c>
      <c r="Q1539" s="477">
        <v>0.51736111111111116</v>
      </c>
      <c r="R1539" s="472">
        <f>IF(Table6[[#This Row],[Work Start TimeStamp]]="","",(Table6[[#This Row],[Work Start TimeStamp]]-Table6[[#This Row],[Fault Start TimeStamp]])*24)</f>
        <v>0</v>
      </c>
      <c r="S1539" s="472">
        <f>(Table6[[#This Row],[Fault Clearance time]]-Table6[[#This Row],[Work Start TimeStamp]])*24</f>
        <v>5.0000000000002487E-2</v>
      </c>
      <c r="T1539" s="472">
        <f>(Table6[[#This Row],[Fault Clearance time]]-Table6[[#This Row],[Fault Start TimeStamp]])*24</f>
        <v>5.0000000000002487E-2</v>
      </c>
      <c r="U1539" s="35" t="s">
        <v>1924</v>
      </c>
      <c r="V1539" s="102" t="s">
        <v>293</v>
      </c>
      <c r="W1539" s="549">
        <f>IFERROR(Table6[[#This Row],[Breakdown Time]]*Table6[[#This Row],[Plant Equivalent Weightage]],"")</f>
        <v>1.9230769230770182E-3</v>
      </c>
      <c r="X1539" s="473" t="s">
        <v>294</v>
      </c>
      <c r="Y1539" s="474" t="s">
        <v>87</v>
      </c>
      <c r="Z1539" s="102">
        <v>20643</v>
      </c>
      <c r="AA1539" s="468">
        <f>(Table6[[#This Row],[Paired WTG Generation for loss calculation]]/24)*Table6[[#This Row],[Breakdown Time]]</f>
        <v>43.00625000000214</v>
      </c>
      <c r="AB1539" s="102"/>
      <c r="AC1539" s="35"/>
      <c r="AD1539" s="35"/>
    </row>
    <row r="1540" spans="1:30">
      <c r="A1540" s="102">
        <f t="shared" si="24"/>
        <v>1539</v>
      </c>
      <c r="B1540" s="468">
        <f>YEAR(Table6[[#This Row],[Date]])+IF(MONTH(Table6[[#This Row],[Date]])&gt;=4,1,0)</f>
        <v>2026</v>
      </c>
      <c r="C1540" s="102">
        <f>YEAR(Table6[[#This Row],[Date]])</f>
        <v>2025</v>
      </c>
      <c r="D1540" s="102" t="s">
        <v>1992</v>
      </c>
      <c r="E1540" s="469">
        <f>Table6[[#This Row],[Date]]-DAY(Table6[[#This Row],[Date]])+1</f>
        <v>45839</v>
      </c>
      <c r="F1540" s="470">
        <v>45850</v>
      </c>
      <c r="G1540" s="35" t="s">
        <v>85</v>
      </c>
      <c r="H1540" s="35" t="str">
        <f>IFERROR(_xlfn.XLOOKUP(Table6[[#This Row],[Affected WTG]],'Basic Data'!$A:$A,'Basic Data'!$B:$B),"")</f>
        <v>TQGXIIPL</v>
      </c>
      <c r="I1540" s="35" t="str">
        <f>IFERROR(_xlfn.XLOOKUP(Table6[[#This Row],[Affected WTG]],'Basic Data'!$A:$A,'Basic Data'!$C:$C),"")</f>
        <v>GEDA</v>
      </c>
      <c r="J1540" s="471">
        <f>IFERROR(_xlfn.XLOOKUP(Table6[[#This Row],[Affected WTG]],'Basic Data'!$A:$A,'Basic Data'!$E:$E),"")</f>
        <v>3.846153846153845E-2</v>
      </c>
      <c r="K1540" s="102">
        <v>6605</v>
      </c>
      <c r="L1540" s="35" t="str">
        <f>IFERROR(_xlfn.XLOOKUP(Table6[[#This Row],[Error Code]],'Basic Data'!$AA:$AA,'Basic Data'!$AB:$AB),"Incorrect Error Code")</f>
        <v>Wind.dir. diff. level 2</v>
      </c>
      <c r="M1540" s="35" t="s">
        <v>291</v>
      </c>
      <c r="N1540" s="475"/>
      <c r="O1540" s="476">
        <v>0.57986111111111116</v>
      </c>
      <c r="P1540" s="476">
        <v>0.57986111111111116</v>
      </c>
      <c r="Q1540" s="477">
        <v>0.58333333333333337</v>
      </c>
      <c r="R1540" s="472">
        <f>IF(Table6[[#This Row],[Work Start TimeStamp]]="","",(Table6[[#This Row],[Work Start TimeStamp]]-Table6[[#This Row],[Fault Start TimeStamp]])*24)</f>
        <v>0</v>
      </c>
      <c r="S1540" s="472">
        <f>(Table6[[#This Row],[Fault Clearance time]]-Table6[[#This Row],[Work Start TimeStamp]])*24</f>
        <v>8.3333333333333037E-2</v>
      </c>
      <c r="T1540" s="472">
        <f>(Table6[[#This Row],[Fault Clearance time]]-Table6[[#This Row],[Fault Start TimeStamp]])*24</f>
        <v>8.3333333333333037E-2</v>
      </c>
      <c r="U1540" s="35" t="s">
        <v>1924</v>
      </c>
      <c r="V1540" s="102" t="s">
        <v>293</v>
      </c>
      <c r="W1540" s="549">
        <f>IFERROR(Table6[[#This Row],[Breakdown Time]]*Table6[[#This Row],[Plant Equivalent Weightage]],"")</f>
        <v>3.2051282051281929E-3</v>
      </c>
      <c r="X1540" s="473" t="s">
        <v>294</v>
      </c>
      <c r="Y1540" s="474" t="s">
        <v>87</v>
      </c>
      <c r="Z1540" s="102">
        <v>20643</v>
      </c>
      <c r="AA1540" s="468">
        <f>(Table6[[#This Row],[Paired WTG Generation for loss calculation]]/24)*Table6[[#This Row],[Breakdown Time]]</f>
        <v>71.677083333333073</v>
      </c>
      <c r="AB1540" s="102"/>
      <c r="AC1540" s="35"/>
      <c r="AD1540" s="35"/>
    </row>
    <row r="1541" spans="1:30">
      <c r="A1541" s="102">
        <f t="shared" si="24"/>
        <v>1540</v>
      </c>
      <c r="B1541" s="468">
        <f>YEAR(Table6[[#This Row],[Date]])+IF(MONTH(Table6[[#This Row],[Date]])&gt;=4,1,0)</f>
        <v>2026</v>
      </c>
      <c r="C1541" s="102">
        <f>YEAR(Table6[[#This Row],[Date]])</f>
        <v>2025</v>
      </c>
      <c r="D1541" s="102" t="s">
        <v>1992</v>
      </c>
      <c r="E1541" s="469">
        <f>Table6[[#This Row],[Date]]-DAY(Table6[[#This Row],[Date]])+1</f>
        <v>45839</v>
      </c>
      <c r="F1541" s="470">
        <v>45850</v>
      </c>
      <c r="G1541" s="35" t="s">
        <v>88</v>
      </c>
      <c r="H1541" s="35" t="str">
        <f>IFERROR(_xlfn.XLOOKUP(Table6[[#This Row],[Affected WTG]],'Basic Data'!$A:$A,'Basic Data'!$B:$B),"")</f>
        <v>TQGXIIPL</v>
      </c>
      <c r="I1541" s="35" t="str">
        <f>IFERROR(_xlfn.XLOOKUP(Table6[[#This Row],[Affected WTG]],'Basic Data'!$A:$A,'Basic Data'!$C:$C),"")</f>
        <v>GEDA</v>
      </c>
      <c r="J1541" s="471">
        <f>IFERROR(_xlfn.XLOOKUP(Table6[[#This Row],[Affected WTG]],'Basic Data'!$A:$A,'Basic Data'!$E:$E),"")</f>
        <v>3.846153846153845E-2</v>
      </c>
      <c r="K1541" s="102">
        <v>88</v>
      </c>
      <c r="L1541" s="35" t="str">
        <f>IFERROR(_xlfn.XLOOKUP(Table6[[#This Row],[Error Code]],'Basic Data'!$AA:$AA,'Basic Data'!$AB:$AB),"Incorrect Error Code")</f>
        <v>Outs.temp. nacelle implaus.</v>
      </c>
      <c r="M1541" s="35" t="s">
        <v>291</v>
      </c>
      <c r="N1541" s="475"/>
      <c r="O1541" s="476">
        <v>0.62430555555555556</v>
      </c>
      <c r="P1541" s="476">
        <v>0.62430555555555556</v>
      </c>
      <c r="Q1541" s="477">
        <v>0.63263888888888886</v>
      </c>
      <c r="R1541" s="472">
        <f>IF(Table6[[#This Row],[Work Start TimeStamp]]="","",(Table6[[#This Row],[Work Start TimeStamp]]-Table6[[#This Row],[Fault Start TimeStamp]])*24)</f>
        <v>0</v>
      </c>
      <c r="S1541" s="472">
        <f>(Table6[[#This Row],[Fault Clearance time]]-Table6[[#This Row],[Work Start TimeStamp]])*24</f>
        <v>0.19999999999999929</v>
      </c>
      <c r="T1541" s="472">
        <f>(Table6[[#This Row],[Fault Clearance time]]-Table6[[#This Row],[Fault Start TimeStamp]])*24</f>
        <v>0.19999999999999929</v>
      </c>
      <c r="U1541" s="35" t="s">
        <v>1924</v>
      </c>
      <c r="V1541" s="102" t="s">
        <v>293</v>
      </c>
      <c r="W1541" s="549">
        <f>IFERROR(Table6[[#This Row],[Breakdown Time]]*Table6[[#This Row],[Plant Equivalent Weightage]],"")</f>
        <v>7.6923076923076624E-3</v>
      </c>
      <c r="X1541" s="473" t="s">
        <v>294</v>
      </c>
      <c r="Y1541" s="474" t="s">
        <v>83</v>
      </c>
      <c r="Z1541" s="102">
        <v>21459</v>
      </c>
      <c r="AA1541" s="468">
        <f>(Table6[[#This Row],[Paired WTG Generation for loss calculation]]/24)*Table6[[#This Row],[Breakdown Time]]</f>
        <v>178.82499999999936</v>
      </c>
      <c r="AB1541" s="102"/>
      <c r="AC1541" s="35"/>
      <c r="AD1541" s="35"/>
    </row>
    <row r="1542" spans="1:30">
      <c r="A1542" s="102">
        <f t="shared" si="24"/>
        <v>1541</v>
      </c>
      <c r="B1542" s="468">
        <f>YEAR(Table6[[#This Row],[Date]])+IF(MONTH(Table6[[#This Row],[Date]])&gt;=4,1,0)</f>
        <v>2026</v>
      </c>
      <c r="C1542" s="102">
        <f>YEAR(Table6[[#This Row],[Date]])</f>
        <v>2025</v>
      </c>
      <c r="D1542" s="102" t="s">
        <v>1992</v>
      </c>
      <c r="E1542" s="469">
        <f>Table6[[#This Row],[Date]]-DAY(Table6[[#This Row],[Date]])+1</f>
        <v>45839</v>
      </c>
      <c r="F1542" s="470">
        <v>45850</v>
      </c>
      <c r="G1542" s="35" t="s">
        <v>89</v>
      </c>
      <c r="H1542" s="35" t="str">
        <f>IFERROR(_xlfn.XLOOKUP(Table6[[#This Row],[Affected WTG]],'Basic Data'!$A:$A,'Basic Data'!$B:$B),"")</f>
        <v>TQGXIIPL</v>
      </c>
      <c r="I1542" s="35" t="str">
        <f>IFERROR(_xlfn.XLOOKUP(Table6[[#This Row],[Affected WTG]],'Basic Data'!$A:$A,'Basic Data'!$C:$C),"")</f>
        <v>GEDA</v>
      </c>
      <c r="J1542" s="471">
        <f>IFERROR(_xlfn.XLOOKUP(Table6[[#This Row],[Affected WTG]],'Basic Data'!$A:$A,'Basic Data'!$E:$E),"")</f>
        <v>3.846153846153845E-2</v>
      </c>
      <c r="K1542" s="102">
        <v>55</v>
      </c>
      <c r="L1542" s="35" t="str">
        <f>IFERROR(_xlfn.XLOOKUP(Table6[[#This Row],[Error Code]],'Basic Data'!$AA:$AA,'Basic Data'!$AB:$AB),"Incorrect Error Code")</f>
        <v>WTG shut down</v>
      </c>
      <c r="M1542" s="35" t="s">
        <v>291</v>
      </c>
      <c r="N1542" s="475"/>
      <c r="O1542" s="476">
        <v>0.45624999999999999</v>
      </c>
      <c r="P1542" s="476">
        <v>0.45624999999999999</v>
      </c>
      <c r="Q1542" s="477">
        <v>0.55972222222222223</v>
      </c>
      <c r="R1542" s="472">
        <f>IF(Table6[[#This Row],[Work Start TimeStamp]]="","",(Table6[[#This Row],[Work Start TimeStamp]]-Table6[[#This Row],[Fault Start TimeStamp]])*24)</f>
        <v>0</v>
      </c>
      <c r="S1542" s="472">
        <f>(Table6[[#This Row],[Fault Clearance time]]-Table6[[#This Row],[Work Start TimeStamp]])*24</f>
        <v>2.4833333333333338</v>
      </c>
      <c r="T1542" s="472">
        <f>(Table6[[#This Row],[Fault Clearance time]]-Table6[[#This Row],[Fault Start TimeStamp]])*24</f>
        <v>2.4833333333333338</v>
      </c>
      <c r="U1542" s="35" t="s">
        <v>2063</v>
      </c>
      <c r="V1542" s="102" t="s">
        <v>293</v>
      </c>
      <c r="W1542" s="549">
        <f>IFERROR(Table6[[#This Row],[Breakdown Time]]*Table6[[#This Row],[Plant Equivalent Weightage]],"")</f>
        <v>9.5512820512820507E-2</v>
      </c>
      <c r="X1542" s="473" t="s">
        <v>290</v>
      </c>
      <c r="Y1542" s="474" t="s">
        <v>94</v>
      </c>
      <c r="Z1542" s="102">
        <v>20519</v>
      </c>
      <c r="AA1542" s="468">
        <f>(Table6[[#This Row],[Paired WTG Generation for loss calculation]]/24)*Table6[[#This Row],[Breakdown Time]]</f>
        <v>2123.1465277777784</v>
      </c>
      <c r="AB1542" s="102"/>
      <c r="AC1542" s="35"/>
      <c r="AD1542" s="35"/>
    </row>
    <row r="1543" spans="1:30">
      <c r="A1543" s="102">
        <f t="shared" si="24"/>
        <v>1542</v>
      </c>
      <c r="B1543" s="468">
        <f>YEAR(Table6[[#This Row],[Date]])+IF(MONTH(Table6[[#This Row],[Date]])&gt;=4,1,0)</f>
        <v>2026</v>
      </c>
      <c r="C1543" s="102">
        <f>YEAR(Table6[[#This Row],[Date]])</f>
        <v>2025</v>
      </c>
      <c r="D1543" s="102" t="s">
        <v>1992</v>
      </c>
      <c r="E1543" s="469">
        <f>Table6[[#This Row],[Date]]-DAY(Table6[[#This Row],[Date]])+1</f>
        <v>45839</v>
      </c>
      <c r="F1543" s="470">
        <v>45850</v>
      </c>
      <c r="G1543" s="35" t="s">
        <v>91</v>
      </c>
      <c r="H1543" s="35" t="str">
        <f>IFERROR(_xlfn.XLOOKUP(Table6[[#This Row],[Affected WTG]],'Basic Data'!$A:$A,'Basic Data'!$B:$B),"")</f>
        <v>TQGXIIPL</v>
      </c>
      <c r="I1543" s="35" t="str">
        <f>IFERROR(_xlfn.XLOOKUP(Table6[[#This Row],[Affected WTG]],'Basic Data'!$A:$A,'Basic Data'!$C:$C),"")</f>
        <v>GEDA</v>
      </c>
      <c r="J1543" s="471">
        <f>IFERROR(_xlfn.XLOOKUP(Table6[[#This Row],[Affected WTG]],'Basic Data'!$A:$A,'Basic Data'!$E:$E),"")</f>
        <v>3.846153846153845E-2</v>
      </c>
      <c r="K1543" s="102">
        <v>55</v>
      </c>
      <c r="L1543" s="35" t="str">
        <f>IFERROR(_xlfn.XLOOKUP(Table6[[#This Row],[Error Code]],'Basic Data'!$AA:$AA,'Basic Data'!$AB:$AB),"Incorrect Error Code")</f>
        <v>WTG shut down</v>
      </c>
      <c r="M1543" s="35" t="s">
        <v>295</v>
      </c>
      <c r="N1543" s="475"/>
      <c r="O1543" s="476">
        <v>0.48194444444444445</v>
      </c>
      <c r="P1543" s="476">
        <v>0.48194444444444445</v>
      </c>
      <c r="Q1543" s="477">
        <v>0.84444444444444444</v>
      </c>
      <c r="R1543" s="472">
        <f>IF(Table6[[#This Row],[Work Start TimeStamp]]="","",(Table6[[#This Row],[Work Start TimeStamp]]-Table6[[#This Row],[Fault Start TimeStamp]])*24)</f>
        <v>0</v>
      </c>
      <c r="S1543" s="472">
        <f>(Table6[[#This Row],[Fault Clearance time]]-Table6[[#This Row],[Work Start TimeStamp]])*24</f>
        <v>8.6999999999999993</v>
      </c>
      <c r="T1543" s="472">
        <f>(Table6[[#This Row],[Fault Clearance time]]-Table6[[#This Row],[Fault Start TimeStamp]])*24</f>
        <v>8.6999999999999993</v>
      </c>
      <c r="U1543" s="35" t="s">
        <v>2064</v>
      </c>
      <c r="V1543" s="102" t="s">
        <v>293</v>
      </c>
      <c r="W1543" s="549">
        <f>IFERROR(Table6[[#This Row],[Breakdown Time]]*Table6[[#This Row],[Plant Equivalent Weightage]],"")</f>
        <v>0.33461538461538448</v>
      </c>
      <c r="X1543" s="473" t="s">
        <v>290</v>
      </c>
      <c r="Y1543" s="474" t="s">
        <v>79</v>
      </c>
      <c r="Z1543" s="102">
        <v>21452</v>
      </c>
      <c r="AA1543" s="468">
        <f>(Table6[[#This Row],[Paired WTG Generation for loss calculation]]/24)*Table6[[#This Row],[Breakdown Time]]</f>
        <v>7776.3499999999995</v>
      </c>
      <c r="AB1543" s="102"/>
      <c r="AC1543" s="35"/>
      <c r="AD1543" s="35"/>
    </row>
    <row r="1544" spans="1:30">
      <c r="A1544" s="102">
        <f t="shared" si="24"/>
        <v>1543</v>
      </c>
      <c r="B1544" s="468">
        <f>YEAR(Table6[[#This Row],[Date]])+IF(MONTH(Table6[[#This Row],[Date]])&gt;=4,1,0)</f>
        <v>2026</v>
      </c>
      <c r="C1544" s="102">
        <f>YEAR(Table6[[#This Row],[Date]])</f>
        <v>2025</v>
      </c>
      <c r="D1544" s="102" t="s">
        <v>1992</v>
      </c>
      <c r="E1544" s="469">
        <f>Table6[[#This Row],[Date]]-DAY(Table6[[#This Row],[Date]])+1</f>
        <v>45839</v>
      </c>
      <c r="F1544" s="470">
        <v>45851</v>
      </c>
      <c r="G1544" s="35" t="s">
        <v>75</v>
      </c>
      <c r="H1544" s="35" t="str">
        <f>IFERROR(_xlfn.XLOOKUP(Table6[[#This Row],[Affected WTG]],'Basic Data'!$A:$A,'Basic Data'!$B:$B),"")</f>
        <v>TQGXIIPL</v>
      </c>
      <c r="I1544" s="35" t="str">
        <f>IFERROR(_xlfn.XLOOKUP(Table6[[#This Row],[Affected WTG]],'Basic Data'!$A:$A,'Basic Data'!$C:$C),"")</f>
        <v>GEDA</v>
      </c>
      <c r="J1544" s="471">
        <f>IFERROR(_xlfn.XLOOKUP(Table6[[#This Row],[Affected WTG]],'Basic Data'!$A:$A,'Basic Data'!$E:$E),"")</f>
        <v>3.846153846153845E-2</v>
      </c>
      <c r="K1544" s="102">
        <v>3380</v>
      </c>
      <c r="L1544" s="35" t="str">
        <f>IFERROR(_xlfn.XLOOKUP(Table6[[#This Row],[Error Code]],'Basic Data'!$AA:$AA,'Basic Data'!$AB:$AB),"Incorrect Error Code")</f>
        <v>Coolant temp. high</v>
      </c>
      <c r="M1544" s="35" t="s">
        <v>291</v>
      </c>
      <c r="N1544" s="475"/>
      <c r="O1544" s="476">
        <v>0.26319444444444445</v>
      </c>
      <c r="P1544" s="476">
        <v>0.27638888888888891</v>
      </c>
      <c r="Q1544" s="477">
        <v>0.29305555555555557</v>
      </c>
      <c r="R1544" s="472">
        <f>IF(Table6[[#This Row],[Work Start TimeStamp]]="","",(Table6[[#This Row],[Work Start TimeStamp]]-Table6[[#This Row],[Fault Start TimeStamp]])*24)</f>
        <v>0.31666666666666687</v>
      </c>
      <c r="S1544" s="472">
        <f>(Table6[[#This Row],[Fault Clearance time]]-Table6[[#This Row],[Work Start TimeStamp]])*24</f>
        <v>0.39999999999999991</v>
      </c>
      <c r="T1544" s="472">
        <f>(Table6[[#This Row],[Fault Clearance time]]-Table6[[#This Row],[Fault Start TimeStamp]])*24</f>
        <v>0.71666666666666679</v>
      </c>
      <c r="U1544" s="35" t="s">
        <v>2067</v>
      </c>
      <c r="V1544" s="102" t="s">
        <v>293</v>
      </c>
      <c r="W1544" s="549">
        <f>IFERROR(Table6[[#This Row],[Breakdown Time]]*Table6[[#This Row],[Plant Equivalent Weightage]],"")</f>
        <v>2.756410256410256E-2</v>
      </c>
      <c r="X1544" s="473" t="s">
        <v>290</v>
      </c>
      <c r="Y1544" s="474" t="s">
        <v>78</v>
      </c>
      <c r="Z1544" s="102">
        <v>19845</v>
      </c>
      <c r="AA1544" s="468">
        <f>(Table6[[#This Row],[Paired WTG Generation for loss calculation]]/24)*Table6[[#This Row],[Breakdown Time]]</f>
        <v>592.59375000000011</v>
      </c>
      <c r="AB1544" s="102"/>
      <c r="AC1544" s="35"/>
      <c r="AD1544" s="35"/>
    </row>
    <row r="1545" spans="1:30">
      <c r="A1545" s="102">
        <f t="shared" si="24"/>
        <v>1544</v>
      </c>
      <c r="B1545" s="468">
        <f>YEAR(Table6[[#This Row],[Date]])+IF(MONTH(Table6[[#This Row],[Date]])&gt;=4,1,0)</f>
        <v>2026</v>
      </c>
      <c r="C1545" s="102">
        <f>YEAR(Table6[[#This Row],[Date]])</f>
        <v>2025</v>
      </c>
      <c r="D1545" s="102" t="s">
        <v>1992</v>
      </c>
      <c r="E1545" s="469">
        <f>Table6[[#This Row],[Date]]-DAY(Table6[[#This Row],[Date]])+1</f>
        <v>45839</v>
      </c>
      <c r="F1545" s="470">
        <v>45851</v>
      </c>
      <c r="G1545" s="35" t="s">
        <v>77</v>
      </c>
      <c r="H1545" s="35" t="str">
        <f>IFERROR(_xlfn.XLOOKUP(Table6[[#This Row],[Affected WTG]],'Basic Data'!$A:$A,'Basic Data'!$B:$B),"")</f>
        <v>TQGXIIPL</v>
      </c>
      <c r="I1545" s="35" t="str">
        <f>IFERROR(_xlfn.XLOOKUP(Table6[[#This Row],[Affected WTG]],'Basic Data'!$A:$A,'Basic Data'!$C:$C),"")</f>
        <v>GEDA</v>
      </c>
      <c r="J1545" s="471">
        <f>IFERROR(_xlfn.XLOOKUP(Table6[[#This Row],[Affected WTG]],'Basic Data'!$A:$A,'Basic Data'!$E:$E),"")</f>
        <v>3.846153846153845E-2</v>
      </c>
      <c r="K1545" s="102">
        <v>6130</v>
      </c>
      <c r="L1545" s="35" t="str">
        <f>IFERROR(_xlfn.XLOOKUP(Table6[[#This Row],[Error Code]],'Basic Data'!$AA:$AA,'Basic Data'!$AB:$AB),"Incorrect Error Code")</f>
        <v>Yaw speed high</v>
      </c>
      <c r="M1545" s="35" t="s">
        <v>291</v>
      </c>
      <c r="N1545" s="475"/>
      <c r="O1545" s="476">
        <v>0.83958333333333335</v>
      </c>
      <c r="P1545" s="476">
        <v>0.83958333333333335</v>
      </c>
      <c r="Q1545" s="477">
        <v>0.84166666666666667</v>
      </c>
      <c r="R1545" s="472">
        <f>IF(Table6[[#This Row],[Work Start TimeStamp]]="","",(Table6[[#This Row],[Work Start TimeStamp]]-Table6[[#This Row],[Fault Start TimeStamp]])*24)</f>
        <v>0</v>
      </c>
      <c r="S1545" s="472">
        <f>(Table6[[#This Row],[Fault Clearance time]]-Table6[[#This Row],[Work Start TimeStamp]])*24</f>
        <v>4.9999999999999822E-2</v>
      </c>
      <c r="T1545" s="472">
        <f>(Table6[[#This Row],[Fault Clearance time]]-Table6[[#This Row],[Fault Start TimeStamp]])*24</f>
        <v>4.9999999999999822E-2</v>
      </c>
      <c r="U1545" s="35" t="s">
        <v>1924</v>
      </c>
      <c r="V1545" s="102" t="s">
        <v>293</v>
      </c>
      <c r="W1545" s="549">
        <f>IFERROR(Table6[[#This Row],[Breakdown Time]]*Table6[[#This Row],[Plant Equivalent Weightage]],"")</f>
        <v>1.9230769230769156E-3</v>
      </c>
      <c r="X1545" s="473" t="s">
        <v>294</v>
      </c>
      <c r="Y1545" s="474" t="s">
        <v>80</v>
      </c>
      <c r="Z1545" s="102">
        <v>26035</v>
      </c>
      <c r="AA1545" s="468">
        <f>(Table6[[#This Row],[Paired WTG Generation for loss calculation]]/24)*Table6[[#This Row],[Breakdown Time]]</f>
        <v>54.239583333333144</v>
      </c>
      <c r="AB1545" s="102"/>
      <c r="AC1545" s="35"/>
      <c r="AD1545" s="35"/>
    </row>
    <row r="1546" spans="1:30">
      <c r="A1546" s="102">
        <f t="shared" si="24"/>
        <v>1545</v>
      </c>
      <c r="B1546" s="468">
        <f>YEAR(Table6[[#This Row],[Date]])+IF(MONTH(Table6[[#This Row],[Date]])&gt;=4,1,0)</f>
        <v>2026</v>
      </c>
      <c r="C1546" s="102">
        <f>YEAR(Table6[[#This Row],[Date]])</f>
        <v>2025</v>
      </c>
      <c r="D1546" s="102" t="s">
        <v>1992</v>
      </c>
      <c r="E1546" s="469">
        <f>Table6[[#This Row],[Date]]-DAY(Table6[[#This Row],[Date]])+1</f>
        <v>45839</v>
      </c>
      <c r="F1546" s="470">
        <v>45851</v>
      </c>
      <c r="G1546" s="35" t="s">
        <v>85</v>
      </c>
      <c r="H1546" s="35" t="str">
        <f>IFERROR(_xlfn.XLOOKUP(Table6[[#This Row],[Affected WTG]],'Basic Data'!$A:$A,'Basic Data'!$B:$B),"")</f>
        <v>TQGXIIPL</v>
      </c>
      <c r="I1546" s="35" t="str">
        <f>IFERROR(_xlfn.XLOOKUP(Table6[[#This Row],[Affected WTG]],'Basic Data'!$A:$A,'Basic Data'!$C:$C),"")</f>
        <v>GEDA</v>
      </c>
      <c r="J1546" s="471">
        <f>IFERROR(_xlfn.XLOOKUP(Table6[[#This Row],[Affected WTG]],'Basic Data'!$A:$A,'Basic Data'!$E:$E),"")</f>
        <v>3.846153846153845E-2</v>
      </c>
      <c r="K1546" s="102">
        <v>6605</v>
      </c>
      <c r="L1546" s="35" t="str">
        <f>IFERROR(_xlfn.XLOOKUP(Table6[[#This Row],[Error Code]],'Basic Data'!$AA:$AA,'Basic Data'!$AB:$AB),"Incorrect Error Code")</f>
        <v>Wind.dir. diff. level 2</v>
      </c>
      <c r="M1546" s="35" t="s">
        <v>291</v>
      </c>
      <c r="N1546" s="475"/>
      <c r="O1546" s="476">
        <v>0.25972222222222224</v>
      </c>
      <c r="P1546" s="476">
        <v>0.25972222222222224</v>
      </c>
      <c r="Q1546" s="477">
        <v>0.26250000000000001</v>
      </c>
      <c r="R1546" s="472">
        <f>IF(Table6[[#This Row],[Work Start TimeStamp]]="","",(Table6[[#This Row],[Work Start TimeStamp]]-Table6[[#This Row],[Fault Start TimeStamp]])*24)</f>
        <v>0</v>
      </c>
      <c r="S1546" s="472">
        <f>(Table6[[#This Row],[Fault Clearance time]]-Table6[[#This Row],[Work Start TimeStamp]])*24</f>
        <v>6.666666666666643E-2</v>
      </c>
      <c r="T1546" s="472">
        <f>(Table6[[#This Row],[Fault Clearance time]]-Table6[[#This Row],[Fault Start TimeStamp]])*24</f>
        <v>6.666666666666643E-2</v>
      </c>
      <c r="U1546" s="35" t="s">
        <v>1924</v>
      </c>
      <c r="V1546" s="102" t="s">
        <v>293</v>
      </c>
      <c r="W1546" s="549">
        <f>IFERROR(Table6[[#This Row],[Breakdown Time]]*Table6[[#This Row],[Plant Equivalent Weightage]],"")</f>
        <v>2.5641025641025541E-3</v>
      </c>
      <c r="X1546" s="473" t="s">
        <v>294</v>
      </c>
      <c r="Y1546" s="474" t="s">
        <v>87</v>
      </c>
      <c r="Z1546" s="102">
        <v>24027</v>
      </c>
      <c r="AA1546" s="468">
        <f>(Table6[[#This Row],[Paired WTG Generation for loss calculation]]/24)*Table6[[#This Row],[Breakdown Time]]</f>
        <v>66.741666666666433</v>
      </c>
      <c r="AB1546" s="102"/>
      <c r="AC1546" s="35"/>
      <c r="AD1546" s="35"/>
    </row>
    <row r="1547" spans="1:30">
      <c r="A1547" s="102">
        <f t="shared" si="24"/>
        <v>1546</v>
      </c>
      <c r="B1547" s="468">
        <f>YEAR(Table6[[#This Row],[Date]])+IF(MONTH(Table6[[#This Row],[Date]])&gt;=4,1,0)</f>
        <v>2026</v>
      </c>
      <c r="C1547" s="102">
        <f>YEAR(Table6[[#This Row],[Date]])</f>
        <v>2025</v>
      </c>
      <c r="D1547" s="102" t="s">
        <v>1992</v>
      </c>
      <c r="E1547" s="469">
        <f>Table6[[#This Row],[Date]]-DAY(Table6[[#This Row],[Date]])+1</f>
        <v>45839</v>
      </c>
      <c r="F1547" s="470">
        <v>45851</v>
      </c>
      <c r="G1547" s="35" t="s">
        <v>85</v>
      </c>
      <c r="H1547" s="35" t="str">
        <f>IFERROR(_xlfn.XLOOKUP(Table6[[#This Row],[Affected WTG]],'Basic Data'!$A:$A,'Basic Data'!$B:$B),"")</f>
        <v>TQGXIIPL</v>
      </c>
      <c r="I1547" s="35" t="str">
        <f>IFERROR(_xlfn.XLOOKUP(Table6[[#This Row],[Affected WTG]],'Basic Data'!$A:$A,'Basic Data'!$C:$C),"")</f>
        <v>GEDA</v>
      </c>
      <c r="J1547" s="471">
        <f>IFERROR(_xlfn.XLOOKUP(Table6[[#This Row],[Affected WTG]],'Basic Data'!$A:$A,'Basic Data'!$E:$E),"")</f>
        <v>3.846153846153845E-2</v>
      </c>
      <c r="K1547" s="102">
        <v>6605</v>
      </c>
      <c r="L1547" s="35" t="str">
        <f>IFERROR(_xlfn.XLOOKUP(Table6[[#This Row],[Error Code]],'Basic Data'!$AA:$AA,'Basic Data'!$AB:$AB),"Incorrect Error Code")</f>
        <v>Wind.dir. diff. level 2</v>
      </c>
      <c r="M1547" s="35" t="s">
        <v>291</v>
      </c>
      <c r="N1547" s="475"/>
      <c r="O1547" s="476">
        <v>0.29652777777777778</v>
      </c>
      <c r="P1547" s="476">
        <v>0.29652777777777778</v>
      </c>
      <c r="Q1547" s="477">
        <v>0.30625000000000002</v>
      </c>
      <c r="R1547" s="472">
        <f>IF(Table6[[#This Row],[Work Start TimeStamp]]="","",(Table6[[#This Row],[Work Start TimeStamp]]-Table6[[#This Row],[Fault Start TimeStamp]])*24)</f>
        <v>0</v>
      </c>
      <c r="S1547" s="472">
        <f>(Table6[[#This Row],[Fault Clearance time]]-Table6[[#This Row],[Work Start TimeStamp]])*24</f>
        <v>0.23333333333333384</v>
      </c>
      <c r="T1547" s="472">
        <f>(Table6[[#This Row],[Fault Clearance time]]-Table6[[#This Row],[Fault Start TimeStamp]])*24</f>
        <v>0.23333333333333384</v>
      </c>
      <c r="U1547" s="35" t="s">
        <v>1924</v>
      </c>
      <c r="V1547" s="102" t="s">
        <v>293</v>
      </c>
      <c r="W1547" s="549">
        <f>IFERROR(Table6[[#This Row],[Breakdown Time]]*Table6[[#This Row],[Plant Equivalent Weightage]],"")</f>
        <v>8.974358974358991E-3</v>
      </c>
      <c r="X1547" s="473" t="s">
        <v>294</v>
      </c>
      <c r="Y1547" s="474" t="s">
        <v>87</v>
      </c>
      <c r="Z1547" s="102">
        <v>24027</v>
      </c>
      <c r="AA1547" s="468">
        <f>(Table6[[#This Row],[Paired WTG Generation for loss calculation]]/24)*Table6[[#This Row],[Breakdown Time]]</f>
        <v>233.59583333333384</v>
      </c>
      <c r="AB1547" s="102"/>
      <c r="AC1547" s="35"/>
      <c r="AD1547" s="35"/>
    </row>
    <row r="1548" spans="1:30">
      <c r="A1548" s="102">
        <f t="shared" si="24"/>
        <v>1547</v>
      </c>
      <c r="B1548" s="468">
        <f>YEAR(Table6[[#This Row],[Date]])+IF(MONTH(Table6[[#This Row],[Date]])&gt;=4,1,0)</f>
        <v>2026</v>
      </c>
      <c r="C1548" s="102">
        <f>YEAR(Table6[[#This Row],[Date]])</f>
        <v>2025</v>
      </c>
      <c r="D1548" s="102" t="s">
        <v>1992</v>
      </c>
      <c r="E1548" s="469">
        <f>Table6[[#This Row],[Date]]-DAY(Table6[[#This Row],[Date]])+1</f>
        <v>45839</v>
      </c>
      <c r="F1548" s="470">
        <v>45851</v>
      </c>
      <c r="G1548" s="35" t="s">
        <v>85</v>
      </c>
      <c r="H1548" s="35" t="str">
        <f>IFERROR(_xlfn.XLOOKUP(Table6[[#This Row],[Affected WTG]],'Basic Data'!$A:$A,'Basic Data'!$B:$B),"")</f>
        <v>TQGXIIPL</v>
      </c>
      <c r="I1548" s="35" t="str">
        <f>IFERROR(_xlfn.XLOOKUP(Table6[[#This Row],[Affected WTG]],'Basic Data'!$A:$A,'Basic Data'!$C:$C),"")</f>
        <v>GEDA</v>
      </c>
      <c r="J1548" s="471">
        <f>IFERROR(_xlfn.XLOOKUP(Table6[[#This Row],[Affected WTG]],'Basic Data'!$A:$A,'Basic Data'!$E:$E),"")</f>
        <v>3.846153846153845E-2</v>
      </c>
      <c r="K1548" s="102">
        <v>6605</v>
      </c>
      <c r="L1548" s="35" t="str">
        <f>IFERROR(_xlfn.XLOOKUP(Table6[[#This Row],[Error Code]],'Basic Data'!$AA:$AA,'Basic Data'!$AB:$AB),"Incorrect Error Code")</f>
        <v>Wind.dir. diff. level 2</v>
      </c>
      <c r="M1548" s="35" t="s">
        <v>291</v>
      </c>
      <c r="N1548" s="475"/>
      <c r="O1548" s="476">
        <v>0.35416666666666669</v>
      </c>
      <c r="P1548" s="476">
        <v>0.35416666666666669</v>
      </c>
      <c r="Q1548" s="477">
        <v>0.3576388888888889</v>
      </c>
      <c r="R1548" s="472">
        <f>IF(Table6[[#This Row],[Work Start TimeStamp]]="","",(Table6[[#This Row],[Work Start TimeStamp]]-Table6[[#This Row],[Fault Start TimeStamp]])*24)</f>
        <v>0</v>
      </c>
      <c r="S1548" s="472">
        <f>(Table6[[#This Row],[Fault Clearance time]]-Table6[[#This Row],[Work Start TimeStamp]])*24</f>
        <v>8.3333333333333037E-2</v>
      </c>
      <c r="T1548" s="472">
        <f>(Table6[[#This Row],[Fault Clearance time]]-Table6[[#This Row],[Fault Start TimeStamp]])*24</f>
        <v>8.3333333333333037E-2</v>
      </c>
      <c r="U1548" s="35" t="s">
        <v>1924</v>
      </c>
      <c r="V1548" s="102" t="s">
        <v>293</v>
      </c>
      <c r="W1548" s="549">
        <f>IFERROR(Table6[[#This Row],[Breakdown Time]]*Table6[[#This Row],[Plant Equivalent Weightage]],"")</f>
        <v>3.2051282051281929E-3</v>
      </c>
      <c r="X1548" s="473" t="s">
        <v>294</v>
      </c>
      <c r="Y1548" s="474" t="s">
        <v>87</v>
      </c>
      <c r="Z1548" s="102">
        <v>24027</v>
      </c>
      <c r="AA1548" s="468">
        <f>(Table6[[#This Row],[Paired WTG Generation for loss calculation]]/24)*Table6[[#This Row],[Breakdown Time]]</f>
        <v>83.42708333333303</v>
      </c>
      <c r="AB1548" s="102"/>
      <c r="AC1548" s="35"/>
      <c r="AD1548" s="35"/>
    </row>
    <row r="1549" spans="1:30">
      <c r="A1549" s="102">
        <f t="shared" si="24"/>
        <v>1548</v>
      </c>
      <c r="B1549" s="468">
        <f>YEAR(Table6[[#This Row],[Date]])+IF(MONTH(Table6[[#This Row],[Date]])&gt;=4,1,0)</f>
        <v>2026</v>
      </c>
      <c r="C1549" s="102">
        <f>YEAR(Table6[[#This Row],[Date]])</f>
        <v>2025</v>
      </c>
      <c r="D1549" s="102" t="s">
        <v>1992</v>
      </c>
      <c r="E1549" s="469">
        <f>Table6[[#This Row],[Date]]-DAY(Table6[[#This Row],[Date]])+1</f>
        <v>45839</v>
      </c>
      <c r="F1549" s="470">
        <v>45851</v>
      </c>
      <c r="G1549" s="35" t="s">
        <v>85</v>
      </c>
      <c r="H1549" s="35" t="str">
        <f>IFERROR(_xlfn.XLOOKUP(Table6[[#This Row],[Affected WTG]],'Basic Data'!$A:$A,'Basic Data'!$B:$B),"")</f>
        <v>TQGXIIPL</v>
      </c>
      <c r="I1549" s="35" t="str">
        <f>IFERROR(_xlfn.XLOOKUP(Table6[[#This Row],[Affected WTG]],'Basic Data'!$A:$A,'Basic Data'!$C:$C),"")</f>
        <v>GEDA</v>
      </c>
      <c r="J1549" s="471">
        <f>IFERROR(_xlfn.XLOOKUP(Table6[[#This Row],[Affected WTG]],'Basic Data'!$A:$A,'Basic Data'!$E:$E),"")</f>
        <v>3.846153846153845E-2</v>
      </c>
      <c r="K1549" s="102">
        <v>6605</v>
      </c>
      <c r="L1549" s="35" t="str">
        <f>IFERROR(_xlfn.XLOOKUP(Table6[[#This Row],[Error Code]],'Basic Data'!$AA:$AA,'Basic Data'!$AB:$AB),"Incorrect Error Code")</f>
        <v>Wind.dir. diff. level 2</v>
      </c>
      <c r="M1549" s="35" t="s">
        <v>291</v>
      </c>
      <c r="N1549" s="475"/>
      <c r="O1549" s="476">
        <v>0.44097222222222221</v>
      </c>
      <c r="P1549" s="476">
        <v>0.44097222222222221</v>
      </c>
      <c r="Q1549" s="477">
        <v>0.44722222222222224</v>
      </c>
      <c r="R1549" s="472">
        <f>IF(Table6[[#This Row],[Work Start TimeStamp]]="","",(Table6[[#This Row],[Work Start TimeStamp]]-Table6[[#This Row],[Fault Start TimeStamp]])*24)</f>
        <v>0</v>
      </c>
      <c r="S1549" s="472">
        <f>(Table6[[#This Row],[Fault Clearance time]]-Table6[[#This Row],[Work Start TimeStamp]])*24</f>
        <v>0.1500000000000008</v>
      </c>
      <c r="T1549" s="472">
        <f>(Table6[[#This Row],[Fault Clearance time]]-Table6[[#This Row],[Fault Start TimeStamp]])*24</f>
        <v>0.1500000000000008</v>
      </c>
      <c r="U1549" s="35" t="s">
        <v>1924</v>
      </c>
      <c r="V1549" s="102" t="s">
        <v>293</v>
      </c>
      <c r="W1549" s="549">
        <f>IFERROR(Table6[[#This Row],[Breakdown Time]]*Table6[[#This Row],[Plant Equivalent Weightage]],"")</f>
        <v>5.7692307692307982E-3</v>
      </c>
      <c r="X1549" s="473" t="s">
        <v>294</v>
      </c>
      <c r="Y1549" s="474" t="s">
        <v>87</v>
      </c>
      <c r="Z1549" s="102">
        <v>24027</v>
      </c>
      <c r="AA1549" s="468">
        <f>(Table6[[#This Row],[Paired WTG Generation for loss calculation]]/24)*Table6[[#This Row],[Breakdown Time]]</f>
        <v>150.16875000000081</v>
      </c>
      <c r="AB1549" s="102"/>
      <c r="AC1549" s="35"/>
      <c r="AD1549" s="35"/>
    </row>
    <row r="1550" spans="1:30">
      <c r="A1550" s="102">
        <f t="shared" si="24"/>
        <v>1549</v>
      </c>
      <c r="B1550" s="468">
        <f>YEAR(Table6[[#This Row],[Date]])+IF(MONTH(Table6[[#This Row],[Date]])&gt;=4,1,0)</f>
        <v>2026</v>
      </c>
      <c r="C1550" s="102">
        <f>YEAR(Table6[[#This Row],[Date]])</f>
        <v>2025</v>
      </c>
      <c r="D1550" s="102" t="s">
        <v>1992</v>
      </c>
      <c r="E1550" s="469">
        <f>Table6[[#This Row],[Date]]-DAY(Table6[[#This Row],[Date]])+1</f>
        <v>45839</v>
      </c>
      <c r="F1550" s="470">
        <v>45851</v>
      </c>
      <c r="G1550" s="35" t="s">
        <v>85</v>
      </c>
      <c r="H1550" s="35" t="str">
        <f>IFERROR(_xlfn.XLOOKUP(Table6[[#This Row],[Affected WTG]],'Basic Data'!$A:$A,'Basic Data'!$B:$B),"")</f>
        <v>TQGXIIPL</v>
      </c>
      <c r="I1550" s="35" t="str">
        <f>IFERROR(_xlfn.XLOOKUP(Table6[[#This Row],[Affected WTG]],'Basic Data'!$A:$A,'Basic Data'!$C:$C),"")</f>
        <v>GEDA</v>
      </c>
      <c r="J1550" s="471">
        <f>IFERROR(_xlfn.XLOOKUP(Table6[[#This Row],[Affected WTG]],'Basic Data'!$A:$A,'Basic Data'!$E:$E),"")</f>
        <v>3.846153846153845E-2</v>
      </c>
      <c r="K1550" s="102">
        <v>6605</v>
      </c>
      <c r="L1550" s="35" t="str">
        <f>IFERROR(_xlfn.XLOOKUP(Table6[[#This Row],[Error Code]],'Basic Data'!$AA:$AA,'Basic Data'!$AB:$AB),"Incorrect Error Code")</f>
        <v>Wind.dir. diff. level 2</v>
      </c>
      <c r="M1550" s="35" t="s">
        <v>291</v>
      </c>
      <c r="N1550" s="475"/>
      <c r="O1550" s="476">
        <v>0.88680555555555551</v>
      </c>
      <c r="P1550" s="476">
        <v>0.88680555555555551</v>
      </c>
      <c r="Q1550" s="477">
        <v>0.88958333333333328</v>
      </c>
      <c r="R1550" s="472">
        <f>IF(Table6[[#This Row],[Work Start TimeStamp]]="","",(Table6[[#This Row],[Work Start TimeStamp]]-Table6[[#This Row],[Fault Start TimeStamp]])*24)</f>
        <v>0</v>
      </c>
      <c r="S1550" s="472">
        <f>(Table6[[#This Row],[Fault Clearance time]]-Table6[[#This Row],[Work Start TimeStamp]])*24</f>
        <v>6.666666666666643E-2</v>
      </c>
      <c r="T1550" s="472">
        <f>(Table6[[#This Row],[Fault Clearance time]]-Table6[[#This Row],[Fault Start TimeStamp]])*24</f>
        <v>6.666666666666643E-2</v>
      </c>
      <c r="U1550" s="35" t="s">
        <v>1924</v>
      </c>
      <c r="V1550" s="102" t="s">
        <v>293</v>
      </c>
      <c r="W1550" s="549">
        <f>IFERROR(Table6[[#This Row],[Breakdown Time]]*Table6[[#This Row],[Plant Equivalent Weightage]],"")</f>
        <v>2.5641025641025541E-3</v>
      </c>
      <c r="X1550" s="473" t="s">
        <v>294</v>
      </c>
      <c r="Y1550" s="474" t="s">
        <v>87</v>
      </c>
      <c r="Z1550" s="102">
        <v>24027</v>
      </c>
      <c r="AA1550" s="468">
        <f>(Table6[[#This Row],[Paired WTG Generation for loss calculation]]/24)*Table6[[#This Row],[Breakdown Time]]</f>
        <v>66.741666666666433</v>
      </c>
      <c r="AB1550" s="102"/>
      <c r="AC1550" s="35"/>
      <c r="AD1550" s="35"/>
    </row>
    <row r="1551" spans="1:30">
      <c r="A1551" s="102">
        <f t="shared" ref="A1551:A1606" si="25">A1550+1</f>
        <v>1550</v>
      </c>
      <c r="B1551" s="468">
        <f>YEAR(Table6[[#This Row],[Date]])+IF(MONTH(Table6[[#This Row],[Date]])&gt;=4,1,0)</f>
        <v>2026</v>
      </c>
      <c r="C1551" s="102">
        <f>YEAR(Table6[[#This Row],[Date]])</f>
        <v>2025</v>
      </c>
      <c r="D1551" s="102" t="s">
        <v>1992</v>
      </c>
      <c r="E1551" s="469">
        <f>Table6[[#This Row],[Date]]-DAY(Table6[[#This Row],[Date]])+1</f>
        <v>45839</v>
      </c>
      <c r="F1551" s="470">
        <v>45851</v>
      </c>
      <c r="G1551" s="35" t="s">
        <v>86</v>
      </c>
      <c r="H1551" s="35" t="str">
        <f>IFERROR(_xlfn.XLOOKUP(Table6[[#This Row],[Affected WTG]],'Basic Data'!$A:$A,'Basic Data'!$B:$B),"")</f>
        <v>TQGXIIPL</v>
      </c>
      <c r="I1551" s="35" t="str">
        <f>IFERROR(_xlfn.XLOOKUP(Table6[[#This Row],[Affected WTG]],'Basic Data'!$A:$A,'Basic Data'!$C:$C),"")</f>
        <v>GEDA</v>
      </c>
      <c r="J1551" s="471">
        <f>IFERROR(_xlfn.XLOOKUP(Table6[[#This Row],[Affected WTG]],'Basic Data'!$A:$A,'Basic Data'!$E:$E),"")</f>
        <v>3.846153846153845E-2</v>
      </c>
      <c r="K1551" s="102">
        <v>55</v>
      </c>
      <c r="L1551" s="35" t="str">
        <f>IFERROR(_xlfn.XLOOKUP(Table6[[#This Row],[Error Code]],'Basic Data'!$AA:$AA,'Basic Data'!$AB:$AB),"Incorrect Error Code")</f>
        <v>WTG shut down</v>
      </c>
      <c r="M1551" s="35" t="s">
        <v>291</v>
      </c>
      <c r="N1551" s="475"/>
      <c r="O1551" s="476">
        <v>0.4465277777777778</v>
      </c>
      <c r="P1551" s="476">
        <v>0.4465277777777778</v>
      </c>
      <c r="Q1551" s="477">
        <v>0.47708333333333336</v>
      </c>
      <c r="R1551" s="472">
        <f>IF(Table6[[#This Row],[Work Start TimeStamp]]="","",(Table6[[#This Row],[Work Start TimeStamp]]-Table6[[#This Row],[Fault Start TimeStamp]])*24)</f>
        <v>0</v>
      </c>
      <c r="S1551" s="472">
        <f>(Table6[[#This Row],[Fault Clearance time]]-Table6[[#This Row],[Work Start TimeStamp]])*24</f>
        <v>0.73333333333333339</v>
      </c>
      <c r="T1551" s="472">
        <f>(Table6[[#This Row],[Fault Clearance time]]-Table6[[#This Row],[Fault Start TimeStamp]])*24</f>
        <v>0.73333333333333339</v>
      </c>
      <c r="U1551" s="35" t="s">
        <v>2068</v>
      </c>
      <c r="V1551" s="102" t="s">
        <v>293</v>
      </c>
      <c r="W1551" s="549">
        <f>IFERROR(Table6[[#This Row],[Breakdown Time]]*Table6[[#This Row],[Plant Equivalent Weightage]],"")</f>
        <v>2.8205128205128199E-2</v>
      </c>
      <c r="X1551" s="473" t="s">
        <v>290</v>
      </c>
      <c r="Y1551" s="474" t="s">
        <v>84</v>
      </c>
      <c r="Z1551" s="102">
        <v>23082</v>
      </c>
      <c r="AA1551" s="468">
        <f>(Table6[[#This Row],[Paired WTG Generation for loss calculation]]/24)*Table6[[#This Row],[Breakdown Time]]</f>
        <v>705.28333333333342</v>
      </c>
      <c r="AB1551" s="102"/>
      <c r="AC1551" s="35"/>
      <c r="AD1551" s="35"/>
    </row>
    <row r="1552" spans="1:30">
      <c r="A1552" s="102">
        <f t="shared" si="25"/>
        <v>1551</v>
      </c>
      <c r="B1552" s="468">
        <f>YEAR(Table6[[#This Row],[Date]])+IF(MONTH(Table6[[#This Row],[Date]])&gt;=4,1,0)</f>
        <v>2026</v>
      </c>
      <c r="C1552" s="102">
        <f>YEAR(Table6[[#This Row],[Date]])</f>
        <v>2025</v>
      </c>
      <c r="D1552" s="102" t="s">
        <v>1992</v>
      </c>
      <c r="E1552" s="469">
        <f>Table6[[#This Row],[Date]]-DAY(Table6[[#This Row],[Date]])+1</f>
        <v>45839</v>
      </c>
      <c r="F1552" s="470">
        <v>45851</v>
      </c>
      <c r="G1552" s="35" t="s">
        <v>88</v>
      </c>
      <c r="H1552" s="35" t="str">
        <f>IFERROR(_xlfn.XLOOKUP(Table6[[#This Row],[Affected WTG]],'Basic Data'!$A:$A,'Basic Data'!$B:$B),"")</f>
        <v>TQGXIIPL</v>
      </c>
      <c r="I1552" s="35" t="str">
        <f>IFERROR(_xlfn.XLOOKUP(Table6[[#This Row],[Affected WTG]],'Basic Data'!$A:$A,'Basic Data'!$C:$C),"")</f>
        <v>GEDA</v>
      </c>
      <c r="J1552" s="471">
        <f>IFERROR(_xlfn.XLOOKUP(Table6[[#This Row],[Affected WTG]],'Basic Data'!$A:$A,'Basic Data'!$E:$E),"")</f>
        <v>3.846153846153845E-2</v>
      </c>
      <c r="K1552" s="102">
        <v>88</v>
      </c>
      <c r="L1552" s="35" t="str">
        <f>IFERROR(_xlfn.XLOOKUP(Table6[[#This Row],[Error Code]],'Basic Data'!$AA:$AA,'Basic Data'!$AB:$AB),"Incorrect Error Code")</f>
        <v>Outs.temp. nacelle implaus.</v>
      </c>
      <c r="M1552" s="35" t="s">
        <v>291</v>
      </c>
      <c r="N1552" s="475"/>
      <c r="O1552" s="476">
        <v>0.62777777777777777</v>
      </c>
      <c r="P1552" s="476">
        <v>0.62777777777777777</v>
      </c>
      <c r="Q1552" s="477">
        <v>0.63402777777777775</v>
      </c>
      <c r="R1552" s="472">
        <f>IF(Table6[[#This Row],[Work Start TimeStamp]]="","",(Table6[[#This Row],[Work Start TimeStamp]]-Table6[[#This Row],[Fault Start TimeStamp]])*24)</f>
        <v>0</v>
      </c>
      <c r="S1552" s="472">
        <f>(Table6[[#This Row],[Fault Clearance time]]-Table6[[#This Row],[Work Start TimeStamp]])*24</f>
        <v>0.14999999999999947</v>
      </c>
      <c r="T1552" s="472">
        <f>(Table6[[#This Row],[Fault Clearance time]]-Table6[[#This Row],[Fault Start TimeStamp]])*24</f>
        <v>0.14999999999999947</v>
      </c>
      <c r="U1552" s="35" t="s">
        <v>1924</v>
      </c>
      <c r="V1552" s="102" t="s">
        <v>293</v>
      </c>
      <c r="W1552" s="549">
        <f>IFERROR(Table6[[#This Row],[Breakdown Time]]*Table6[[#This Row],[Plant Equivalent Weightage]],"")</f>
        <v>5.769230769230747E-3</v>
      </c>
      <c r="X1552" s="473" t="s">
        <v>294</v>
      </c>
      <c r="Y1552" s="474" t="s">
        <v>83</v>
      </c>
      <c r="Z1552" s="102">
        <v>23848</v>
      </c>
      <c r="AA1552" s="468">
        <f>(Table6[[#This Row],[Paired WTG Generation for loss calculation]]/24)*Table6[[#This Row],[Breakdown Time]]</f>
        <v>149.04999999999947</v>
      </c>
      <c r="AB1552" s="102"/>
      <c r="AC1552" s="35"/>
      <c r="AD1552" s="35"/>
    </row>
    <row r="1553" spans="1:30">
      <c r="A1553" s="102">
        <f t="shared" si="25"/>
        <v>1552</v>
      </c>
      <c r="B1553" s="468">
        <f>YEAR(Table6[[#This Row],[Date]])+IF(MONTH(Table6[[#This Row],[Date]])&gt;=4,1,0)</f>
        <v>2026</v>
      </c>
      <c r="C1553" s="102">
        <f>YEAR(Table6[[#This Row],[Date]])</f>
        <v>2025</v>
      </c>
      <c r="D1553" s="102" t="s">
        <v>1992</v>
      </c>
      <c r="E1553" s="469">
        <f>Table6[[#This Row],[Date]]-DAY(Table6[[#This Row],[Date]])+1</f>
        <v>45839</v>
      </c>
      <c r="F1553" s="470">
        <v>45851</v>
      </c>
      <c r="G1553" s="35" t="s">
        <v>88</v>
      </c>
      <c r="H1553" s="35" t="str">
        <f>IFERROR(_xlfn.XLOOKUP(Table6[[#This Row],[Affected WTG]],'Basic Data'!$A:$A,'Basic Data'!$B:$B),"")</f>
        <v>TQGXIIPL</v>
      </c>
      <c r="I1553" s="35" t="str">
        <f>IFERROR(_xlfn.XLOOKUP(Table6[[#This Row],[Affected WTG]],'Basic Data'!$A:$A,'Basic Data'!$C:$C),"")</f>
        <v>GEDA</v>
      </c>
      <c r="J1553" s="471">
        <f>IFERROR(_xlfn.XLOOKUP(Table6[[#This Row],[Affected WTG]],'Basic Data'!$A:$A,'Basic Data'!$E:$E),"")</f>
        <v>3.846153846153845E-2</v>
      </c>
      <c r="K1553" s="102">
        <v>88</v>
      </c>
      <c r="L1553" s="35" t="str">
        <f>IFERROR(_xlfn.XLOOKUP(Table6[[#This Row],[Error Code]],'Basic Data'!$AA:$AA,'Basic Data'!$AB:$AB),"Incorrect Error Code")</f>
        <v>Outs.temp. nacelle implaus.</v>
      </c>
      <c r="M1553" s="35" t="s">
        <v>291</v>
      </c>
      <c r="N1553" s="475"/>
      <c r="O1553" s="476">
        <v>0.67708333333333337</v>
      </c>
      <c r="P1553" s="476">
        <v>0.67708333333333337</v>
      </c>
      <c r="Q1553" s="477">
        <v>0.73958333333333337</v>
      </c>
      <c r="R1553" s="472">
        <f>IF(Table6[[#This Row],[Work Start TimeStamp]]="","",(Table6[[#This Row],[Work Start TimeStamp]]-Table6[[#This Row],[Fault Start TimeStamp]])*24)</f>
        <v>0</v>
      </c>
      <c r="S1553" s="472">
        <f>(Table6[[#This Row],[Fault Clearance time]]-Table6[[#This Row],[Work Start TimeStamp]])*24</f>
        <v>1.5</v>
      </c>
      <c r="T1553" s="472">
        <f>(Table6[[#This Row],[Fault Clearance time]]-Table6[[#This Row],[Fault Start TimeStamp]])*24</f>
        <v>1.5</v>
      </c>
      <c r="U1553" s="35" t="s">
        <v>2069</v>
      </c>
      <c r="V1553" s="102" t="s">
        <v>293</v>
      </c>
      <c r="W1553" s="549">
        <f>IFERROR(Table6[[#This Row],[Breakdown Time]]*Table6[[#This Row],[Plant Equivalent Weightage]],"")</f>
        <v>5.7692307692307675E-2</v>
      </c>
      <c r="X1553" s="473" t="s">
        <v>290</v>
      </c>
      <c r="Y1553" s="474" t="s">
        <v>83</v>
      </c>
      <c r="Z1553" s="102">
        <v>23848</v>
      </c>
      <c r="AA1553" s="468">
        <f>(Table6[[#This Row],[Paired WTG Generation for loss calculation]]/24)*Table6[[#This Row],[Breakdown Time]]</f>
        <v>1490.5</v>
      </c>
      <c r="AB1553" s="102"/>
      <c r="AC1553" s="35"/>
      <c r="AD1553" s="35"/>
    </row>
    <row r="1554" spans="1:30">
      <c r="A1554" s="102">
        <f t="shared" si="25"/>
        <v>1553</v>
      </c>
      <c r="B1554" s="468">
        <f>YEAR(Table6[[#This Row],[Date]])+IF(MONTH(Table6[[#This Row],[Date]])&gt;=4,1,0)</f>
        <v>2026</v>
      </c>
      <c r="C1554" s="102">
        <f>YEAR(Table6[[#This Row],[Date]])</f>
        <v>2025</v>
      </c>
      <c r="D1554" s="102" t="s">
        <v>1992</v>
      </c>
      <c r="E1554" s="469">
        <f>Table6[[#This Row],[Date]]-DAY(Table6[[#This Row],[Date]])+1</f>
        <v>45839</v>
      </c>
      <c r="F1554" s="470">
        <v>45851</v>
      </c>
      <c r="G1554" s="35" t="s">
        <v>88</v>
      </c>
      <c r="H1554" s="35" t="str">
        <f>IFERROR(_xlfn.XLOOKUP(Table6[[#This Row],[Affected WTG]],'Basic Data'!$A:$A,'Basic Data'!$B:$B),"")</f>
        <v>TQGXIIPL</v>
      </c>
      <c r="I1554" s="35" t="str">
        <f>IFERROR(_xlfn.XLOOKUP(Table6[[#This Row],[Affected WTG]],'Basic Data'!$A:$A,'Basic Data'!$C:$C),"")</f>
        <v>GEDA</v>
      </c>
      <c r="J1554" s="471">
        <f>IFERROR(_xlfn.XLOOKUP(Table6[[#This Row],[Affected WTG]],'Basic Data'!$A:$A,'Basic Data'!$E:$E),"")</f>
        <v>3.846153846153845E-2</v>
      </c>
      <c r="K1554" s="102">
        <v>88</v>
      </c>
      <c r="L1554" s="35" t="str">
        <f>IFERROR(_xlfn.XLOOKUP(Table6[[#This Row],[Error Code]],'Basic Data'!$AA:$AA,'Basic Data'!$AB:$AB),"Incorrect Error Code")</f>
        <v>Outs.temp. nacelle implaus.</v>
      </c>
      <c r="M1554" s="35" t="s">
        <v>291</v>
      </c>
      <c r="N1554" s="475"/>
      <c r="O1554" s="476">
        <v>0.90833333333333333</v>
      </c>
      <c r="P1554" s="476">
        <v>0.9375</v>
      </c>
      <c r="Q1554" s="477">
        <v>0.99998842592592596</v>
      </c>
      <c r="R1554" s="472">
        <f>IF(Table6[[#This Row],[Work Start TimeStamp]]="","",(Table6[[#This Row],[Work Start TimeStamp]]-Table6[[#This Row],[Fault Start TimeStamp]])*24)</f>
        <v>0.70000000000000018</v>
      </c>
      <c r="S1554" s="472">
        <f>(Table6[[#This Row],[Fault Clearance time]]-Table6[[#This Row],[Work Start TimeStamp]])*24</f>
        <v>1.4997222222222231</v>
      </c>
      <c r="T1554" s="472">
        <f>(Table6[[#This Row],[Fault Clearance time]]-Table6[[#This Row],[Fault Start TimeStamp]])*24</f>
        <v>2.1997222222222232</v>
      </c>
      <c r="U1554" s="35" t="s">
        <v>2070</v>
      </c>
      <c r="V1554" s="102" t="s">
        <v>289</v>
      </c>
      <c r="W1554" s="549">
        <f>IFERROR(Table6[[#This Row],[Breakdown Time]]*Table6[[#This Row],[Plant Equivalent Weightage]],"")</f>
        <v>8.4604700854700871E-2</v>
      </c>
      <c r="X1554" s="473" t="s">
        <v>290</v>
      </c>
      <c r="Y1554" s="474" t="s">
        <v>83</v>
      </c>
      <c r="Z1554" s="102">
        <v>23848</v>
      </c>
      <c r="AA1554" s="468">
        <f>(Table6[[#This Row],[Paired WTG Generation for loss calculation]]/24)*Table6[[#This Row],[Breakdown Time]]</f>
        <v>2185.7906481481491</v>
      </c>
      <c r="AB1554" s="102"/>
      <c r="AC1554" s="35"/>
      <c r="AD1554" s="35"/>
    </row>
    <row r="1555" spans="1:30">
      <c r="A1555" s="102">
        <f t="shared" si="25"/>
        <v>1554</v>
      </c>
      <c r="B1555" s="468">
        <f>YEAR(Table6[[#This Row],[Date]])+IF(MONTH(Table6[[#This Row],[Date]])&gt;=4,1,0)</f>
        <v>2026</v>
      </c>
      <c r="C1555" s="102">
        <f>YEAR(Table6[[#This Row],[Date]])</f>
        <v>2025</v>
      </c>
      <c r="D1555" s="102" t="s">
        <v>1992</v>
      </c>
      <c r="E1555" s="469">
        <f>Table6[[#This Row],[Date]]-DAY(Table6[[#This Row],[Date]])+1</f>
        <v>45839</v>
      </c>
      <c r="F1555" s="470">
        <v>45852</v>
      </c>
      <c r="G1555" s="35" t="s">
        <v>79</v>
      </c>
      <c r="H1555" s="35" t="str">
        <f>IFERROR(_xlfn.XLOOKUP(Table6[[#This Row],[Affected WTG]],'Basic Data'!$A:$A,'Basic Data'!$B:$B),"")</f>
        <v>TQGXIIPL</v>
      </c>
      <c r="I1555" s="35" t="str">
        <f>IFERROR(_xlfn.XLOOKUP(Table6[[#This Row],[Affected WTG]],'Basic Data'!$A:$A,'Basic Data'!$C:$C),"")</f>
        <v>GEDA</v>
      </c>
      <c r="J1555" s="471">
        <f>IFERROR(_xlfn.XLOOKUP(Table6[[#This Row],[Affected WTG]],'Basic Data'!$A:$A,'Basic Data'!$E:$E),"")</f>
        <v>3.846153846153845E-2</v>
      </c>
      <c r="K1555" s="102">
        <v>700</v>
      </c>
      <c r="L1555" s="35" t="str">
        <f>IFERROR(_xlfn.XLOOKUP(Table6[[#This Row],[Error Code]],'Basic Data'!$AA:$AA,'Basic Data'!$AB:$AB),"Incorrect Error Code")</f>
        <v>Batt. undervoltage/overvoltage</v>
      </c>
      <c r="M1555" s="35" t="s">
        <v>291</v>
      </c>
      <c r="N1555" s="475"/>
      <c r="O1555" s="476">
        <v>0.44722222222222224</v>
      </c>
      <c r="P1555" s="476">
        <v>0.44722222222222224</v>
      </c>
      <c r="Q1555" s="477">
        <v>0.46041666666666664</v>
      </c>
      <c r="R1555" s="472">
        <f>IF(Table6[[#This Row],[Work Start TimeStamp]]="","",(Table6[[#This Row],[Work Start TimeStamp]]-Table6[[#This Row],[Fault Start TimeStamp]])*24)</f>
        <v>0</v>
      </c>
      <c r="S1555" s="472">
        <f>(Table6[[#This Row],[Fault Clearance time]]-Table6[[#This Row],[Work Start TimeStamp]])*24</f>
        <v>0.31666666666666554</v>
      </c>
      <c r="T1555" s="472">
        <f>(Table6[[#This Row],[Fault Clearance time]]-Table6[[#This Row],[Fault Start TimeStamp]])*24</f>
        <v>0.31666666666666554</v>
      </c>
      <c r="U1555" s="35" t="s">
        <v>1924</v>
      </c>
      <c r="V1555" s="102" t="s">
        <v>293</v>
      </c>
      <c r="W1555" s="549">
        <f>IFERROR(Table6[[#This Row],[Breakdown Time]]*Table6[[#This Row],[Plant Equivalent Weightage]],"")</f>
        <v>1.2179487179487133E-2</v>
      </c>
      <c r="X1555" s="473" t="s">
        <v>290</v>
      </c>
      <c r="Y1555" s="474" t="s">
        <v>94</v>
      </c>
      <c r="Z1555" s="102">
        <v>29550</v>
      </c>
      <c r="AA1555" s="468">
        <f>(Table6[[#This Row],[Paired WTG Generation for loss calculation]]/24)*Table6[[#This Row],[Breakdown Time]]</f>
        <v>389.89583333333195</v>
      </c>
      <c r="AB1555" s="102"/>
      <c r="AC1555" s="35"/>
      <c r="AD1555" s="35"/>
    </row>
    <row r="1556" spans="1:30">
      <c r="A1556" s="102">
        <f t="shared" si="25"/>
        <v>1555</v>
      </c>
      <c r="B1556" s="468">
        <f>YEAR(Table6[[#This Row],[Date]])+IF(MONTH(Table6[[#This Row],[Date]])&gt;=4,1,0)</f>
        <v>2026</v>
      </c>
      <c r="C1556" s="102">
        <f>YEAR(Table6[[#This Row],[Date]])</f>
        <v>2025</v>
      </c>
      <c r="D1556" s="102" t="s">
        <v>1992</v>
      </c>
      <c r="E1556" s="469">
        <f>Table6[[#This Row],[Date]]-DAY(Table6[[#This Row],[Date]])+1</f>
        <v>45839</v>
      </c>
      <c r="F1556" s="470">
        <v>45852</v>
      </c>
      <c r="G1556" s="35" t="s">
        <v>85</v>
      </c>
      <c r="H1556" s="35" t="str">
        <f>IFERROR(_xlfn.XLOOKUP(Table6[[#This Row],[Affected WTG]],'Basic Data'!$A:$A,'Basic Data'!$B:$B),"")</f>
        <v>TQGXIIPL</v>
      </c>
      <c r="I1556" s="35" t="str">
        <f>IFERROR(_xlfn.XLOOKUP(Table6[[#This Row],[Affected WTG]],'Basic Data'!$A:$A,'Basic Data'!$C:$C),"")</f>
        <v>GEDA</v>
      </c>
      <c r="J1556" s="471">
        <f>IFERROR(_xlfn.XLOOKUP(Table6[[#This Row],[Affected WTG]],'Basic Data'!$A:$A,'Basic Data'!$E:$E),"")</f>
        <v>3.846153846153845E-2</v>
      </c>
      <c r="K1556" s="102">
        <v>6605</v>
      </c>
      <c r="L1556" s="35" t="str">
        <f>IFERROR(_xlfn.XLOOKUP(Table6[[#This Row],[Error Code]],'Basic Data'!$AA:$AA,'Basic Data'!$AB:$AB),"Incorrect Error Code")</f>
        <v>Wind.dir. diff. level 2</v>
      </c>
      <c r="M1556" s="35" t="s">
        <v>291</v>
      </c>
      <c r="N1556" s="475"/>
      <c r="O1556" s="476">
        <v>0.32708333333333334</v>
      </c>
      <c r="P1556" s="476">
        <v>0.32708333333333334</v>
      </c>
      <c r="Q1556" s="477">
        <v>0.32916666666666666</v>
      </c>
      <c r="R1556" s="472">
        <f>IF(Table6[[#This Row],[Work Start TimeStamp]]="","",(Table6[[#This Row],[Work Start TimeStamp]]-Table6[[#This Row],[Fault Start TimeStamp]])*24)</f>
        <v>0</v>
      </c>
      <c r="S1556" s="472">
        <f>(Table6[[#This Row],[Fault Clearance time]]-Table6[[#This Row],[Work Start TimeStamp]])*24</f>
        <v>4.9999999999999822E-2</v>
      </c>
      <c r="T1556" s="472">
        <f>(Table6[[#This Row],[Fault Clearance time]]-Table6[[#This Row],[Fault Start TimeStamp]])*24</f>
        <v>4.9999999999999822E-2</v>
      </c>
      <c r="U1556" s="35" t="s">
        <v>1924</v>
      </c>
      <c r="V1556" s="102" t="s">
        <v>293</v>
      </c>
      <c r="W1556" s="549">
        <f>IFERROR(Table6[[#This Row],[Breakdown Time]]*Table6[[#This Row],[Plant Equivalent Weightage]],"")</f>
        <v>1.9230769230769156E-3</v>
      </c>
      <c r="X1556" s="473" t="s">
        <v>290</v>
      </c>
      <c r="Y1556" s="474" t="s">
        <v>87</v>
      </c>
      <c r="Z1556" s="102">
        <v>27081</v>
      </c>
      <c r="AA1556" s="468">
        <f>(Table6[[#This Row],[Paired WTG Generation for loss calculation]]/24)*Table6[[#This Row],[Breakdown Time]]</f>
        <v>56.418749999999797</v>
      </c>
      <c r="AB1556" s="102"/>
      <c r="AC1556" s="35"/>
      <c r="AD1556" s="35"/>
    </row>
    <row r="1557" spans="1:30">
      <c r="A1557" s="102">
        <f t="shared" si="25"/>
        <v>1556</v>
      </c>
      <c r="B1557" s="468">
        <f>YEAR(Table6[[#This Row],[Date]])+IF(MONTH(Table6[[#This Row],[Date]])&gt;=4,1,0)</f>
        <v>2026</v>
      </c>
      <c r="C1557" s="102">
        <f>YEAR(Table6[[#This Row],[Date]])</f>
        <v>2025</v>
      </c>
      <c r="D1557" s="102" t="s">
        <v>1992</v>
      </c>
      <c r="E1557" s="469">
        <f>Table6[[#This Row],[Date]]-DAY(Table6[[#This Row],[Date]])+1</f>
        <v>45839</v>
      </c>
      <c r="F1557" s="470">
        <v>45852</v>
      </c>
      <c r="G1557" s="35" t="s">
        <v>85</v>
      </c>
      <c r="H1557" s="35" t="str">
        <f>IFERROR(_xlfn.XLOOKUP(Table6[[#This Row],[Affected WTG]],'Basic Data'!$A:$A,'Basic Data'!$B:$B),"")</f>
        <v>TQGXIIPL</v>
      </c>
      <c r="I1557" s="35" t="str">
        <f>IFERROR(_xlfn.XLOOKUP(Table6[[#This Row],[Affected WTG]],'Basic Data'!$A:$A,'Basic Data'!$C:$C),"")</f>
        <v>GEDA</v>
      </c>
      <c r="J1557" s="471">
        <f>IFERROR(_xlfn.XLOOKUP(Table6[[#This Row],[Affected WTG]],'Basic Data'!$A:$A,'Basic Data'!$E:$E),"")</f>
        <v>3.846153846153845E-2</v>
      </c>
      <c r="K1557" s="102">
        <v>6605</v>
      </c>
      <c r="L1557" s="35" t="str">
        <f>IFERROR(_xlfn.XLOOKUP(Table6[[#This Row],[Error Code]],'Basic Data'!$AA:$AA,'Basic Data'!$AB:$AB),"Incorrect Error Code")</f>
        <v>Wind.dir. diff. level 2</v>
      </c>
      <c r="M1557" s="35" t="s">
        <v>291</v>
      </c>
      <c r="N1557" s="475"/>
      <c r="O1557" s="476">
        <v>0.38194444444444442</v>
      </c>
      <c r="P1557" s="476">
        <v>0.38194444444444442</v>
      </c>
      <c r="Q1557" s="477">
        <v>0.39027777777777778</v>
      </c>
      <c r="R1557" s="472">
        <f>IF(Table6[[#This Row],[Work Start TimeStamp]]="","",(Table6[[#This Row],[Work Start TimeStamp]]-Table6[[#This Row],[Fault Start TimeStamp]])*24)</f>
        <v>0</v>
      </c>
      <c r="S1557" s="472">
        <f>(Table6[[#This Row],[Fault Clearance time]]-Table6[[#This Row],[Work Start TimeStamp]])*24</f>
        <v>0.20000000000000062</v>
      </c>
      <c r="T1557" s="472">
        <f>(Table6[[#This Row],[Fault Clearance time]]-Table6[[#This Row],[Fault Start TimeStamp]])*24</f>
        <v>0.20000000000000062</v>
      </c>
      <c r="U1557" s="35" t="s">
        <v>1924</v>
      </c>
      <c r="V1557" s="102" t="s">
        <v>293</v>
      </c>
      <c r="W1557" s="549">
        <f>IFERROR(Table6[[#This Row],[Breakdown Time]]*Table6[[#This Row],[Plant Equivalent Weightage]],"")</f>
        <v>7.6923076923077136E-3</v>
      </c>
      <c r="X1557" s="473" t="s">
        <v>290</v>
      </c>
      <c r="Y1557" s="474" t="s">
        <v>87</v>
      </c>
      <c r="Z1557" s="102">
        <v>27081</v>
      </c>
      <c r="AA1557" s="468">
        <f>(Table6[[#This Row],[Paired WTG Generation for loss calculation]]/24)*Table6[[#This Row],[Breakdown Time]]</f>
        <v>225.67500000000069</v>
      </c>
      <c r="AB1557" s="102"/>
      <c r="AC1557" s="35"/>
      <c r="AD1557" s="35"/>
    </row>
    <row r="1558" spans="1:30">
      <c r="A1558" s="102">
        <f t="shared" si="25"/>
        <v>1557</v>
      </c>
      <c r="B1558" s="468">
        <f>YEAR(Table6[[#This Row],[Date]])+IF(MONTH(Table6[[#This Row],[Date]])&gt;=4,1,0)</f>
        <v>2026</v>
      </c>
      <c r="C1558" s="102">
        <f>YEAR(Table6[[#This Row],[Date]])</f>
        <v>2025</v>
      </c>
      <c r="D1558" s="102" t="s">
        <v>1992</v>
      </c>
      <c r="E1558" s="469">
        <f>Table6[[#This Row],[Date]]-DAY(Table6[[#This Row],[Date]])+1</f>
        <v>45839</v>
      </c>
      <c r="F1558" s="470">
        <v>45852</v>
      </c>
      <c r="G1558" s="35" t="s">
        <v>85</v>
      </c>
      <c r="H1558" s="35" t="str">
        <f>IFERROR(_xlfn.XLOOKUP(Table6[[#This Row],[Affected WTG]],'Basic Data'!$A:$A,'Basic Data'!$B:$B),"")</f>
        <v>TQGXIIPL</v>
      </c>
      <c r="I1558" s="35" t="str">
        <f>IFERROR(_xlfn.XLOOKUP(Table6[[#This Row],[Affected WTG]],'Basic Data'!$A:$A,'Basic Data'!$C:$C),"")</f>
        <v>GEDA</v>
      </c>
      <c r="J1558" s="471">
        <f>IFERROR(_xlfn.XLOOKUP(Table6[[#This Row],[Affected WTG]],'Basic Data'!$A:$A,'Basic Data'!$E:$E),"")</f>
        <v>3.846153846153845E-2</v>
      </c>
      <c r="K1558" s="102">
        <v>55</v>
      </c>
      <c r="L1558" s="35" t="str">
        <f>IFERROR(_xlfn.XLOOKUP(Table6[[#This Row],[Error Code]],'Basic Data'!$AA:$AA,'Basic Data'!$AB:$AB),"Incorrect Error Code")</f>
        <v>WTG shut down</v>
      </c>
      <c r="M1558" s="35" t="s">
        <v>291</v>
      </c>
      <c r="N1558" s="475"/>
      <c r="O1558" s="476">
        <v>0.4548611111111111</v>
      </c>
      <c r="P1558" s="476">
        <v>0.4548611111111111</v>
      </c>
      <c r="Q1558" s="477">
        <v>0.52986111111111112</v>
      </c>
      <c r="R1558" s="472">
        <f>IF(Table6[[#This Row],[Work Start TimeStamp]]="","",(Table6[[#This Row],[Work Start TimeStamp]]-Table6[[#This Row],[Fault Start TimeStamp]])*24)</f>
        <v>0</v>
      </c>
      <c r="S1558" s="472">
        <f>(Table6[[#This Row],[Fault Clearance time]]-Table6[[#This Row],[Work Start TimeStamp]])*24</f>
        <v>1.8000000000000003</v>
      </c>
      <c r="T1558" s="472">
        <f>(Table6[[#This Row],[Fault Clearance time]]-Table6[[#This Row],[Fault Start TimeStamp]])*24</f>
        <v>1.8000000000000003</v>
      </c>
      <c r="U1558" s="35" t="s">
        <v>2077</v>
      </c>
      <c r="V1558" s="102" t="s">
        <v>293</v>
      </c>
      <c r="W1558" s="549">
        <f>IFERROR(Table6[[#This Row],[Breakdown Time]]*Table6[[#This Row],[Plant Equivalent Weightage]],"")</f>
        <v>6.9230769230769221E-2</v>
      </c>
      <c r="X1558" s="473" t="s">
        <v>290</v>
      </c>
      <c r="Y1558" s="474" t="s">
        <v>87</v>
      </c>
      <c r="Z1558" s="102">
        <v>27081</v>
      </c>
      <c r="AA1558" s="468">
        <f>(Table6[[#This Row],[Paired WTG Generation for loss calculation]]/24)*Table6[[#This Row],[Breakdown Time]]</f>
        <v>2031.0750000000003</v>
      </c>
      <c r="AB1558" s="102"/>
      <c r="AC1558" s="35"/>
      <c r="AD1558" s="35"/>
    </row>
    <row r="1559" spans="1:30">
      <c r="A1559" s="102">
        <f t="shared" si="25"/>
        <v>1558</v>
      </c>
      <c r="B1559" s="468">
        <f>YEAR(Table6[[#This Row],[Date]])+IF(MONTH(Table6[[#This Row],[Date]])&gt;=4,1,0)</f>
        <v>2026</v>
      </c>
      <c r="C1559" s="102">
        <f>YEAR(Table6[[#This Row],[Date]])</f>
        <v>2025</v>
      </c>
      <c r="D1559" s="102" t="s">
        <v>1992</v>
      </c>
      <c r="E1559" s="469">
        <f>Table6[[#This Row],[Date]]-DAY(Table6[[#This Row],[Date]])+1</f>
        <v>45839</v>
      </c>
      <c r="F1559" s="470">
        <v>45852</v>
      </c>
      <c r="G1559" s="35" t="s">
        <v>88</v>
      </c>
      <c r="H1559" s="35" t="str">
        <f>IFERROR(_xlfn.XLOOKUP(Table6[[#This Row],[Affected WTG]],'Basic Data'!$A:$A,'Basic Data'!$B:$B),"")</f>
        <v>TQGXIIPL</v>
      </c>
      <c r="I1559" s="35" t="str">
        <f>IFERROR(_xlfn.XLOOKUP(Table6[[#This Row],[Affected WTG]],'Basic Data'!$A:$A,'Basic Data'!$C:$C),"")</f>
        <v>GEDA</v>
      </c>
      <c r="J1559" s="471">
        <f>IFERROR(_xlfn.XLOOKUP(Table6[[#This Row],[Affected WTG]],'Basic Data'!$A:$A,'Basic Data'!$E:$E),"")</f>
        <v>3.846153846153845E-2</v>
      </c>
      <c r="K1559" s="102">
        <v>88</v>
      </c>
      <c r="L1559" s="35" t="str">
        <f>IFERROR(_xlfn.XLOOKUP(Table6[[#This Row],[Error Code]],'Basic Data'!$AA:$AA,'Basic Data'!$AB:$AB),"Incorrect Error Code")</f>
        <v>Outs.temp. nacelle implaus.</v>
      </c>
      <c r="M1559" s="35" t="s">
        <v>291</v>
      </c>
      <c r="N1559" s="475"/>
      <c r="O1559" s="476">
        <v>0</v>
      </c>
      <c r="P1559" s="476">
        <v>0</v>
      </c>
      <c r="Q1559" s="477">
        <v>3.0555555555555555E-2</v>
      </c>
      <c r="R1559" s="472">
        <f>IF(Table6[[#This Row],[Work Start TimeStamp]]="","",(Table6[[#This Row],[Work Start TimeStamp]]-Table6[[#This Row],[Fault Start TimeStamp]])*24)</f>
        <v>0</v>
      </c>
      <c r="S1559" s="472">
        <f>(Table6[[#This Row],[Fault Clearance time]]-Table6[[#This Row],[Work Start TimeStamp]])*24</f>
        <v>0.73333333333333328</v>
      </c>
      <c r="T1559" s="472">
        <f>(Table6[[#This Row],[Fault Clearance time]]-Table6[[#This Row],[Fault Start TimeStamp]])*24</f>
        <v>0.73333333333333328</v>
      </c>
      <c r="U1559" s="35" t="s">
        <v>2078</v>
      </c>
      <c r="V1559" s="102" t="s">
        <v>293</v>
      </c>
      <c r="W1559" s="549">
        <f>IFERROR(Table6[[#This Row],[Breakdown Time]]*Table6[[#This Row],[Plant Equivalent Weightage]],"")</f>
        <v>2.8205128205128195E-2</v>
      </c>
      <c r="X1559" s="473" t="s">
        <v>290</v>
      </c>
      <c r="Y1559" s="474" t="s">
        <v>83</v>
      </c>
      <c r="Z1559" s="102">
        <v>29890</v>
      </c>
      <c r="AA1559" s="468">
        <f>(Table6[[#This Row],[Paired WTG Generation for loss calculation]]/24)*Table6[[#This Row],[Breakdown Time]]</f>
        <v>913.30555555555554</v>
      </c>
      <c r="AB1559" s="102"/>
      <c r="AC1559" s="35"/>
      <c r="AD1559" s="35"/>
    </row>
    <row r="1560" spans="1:30">
      <c r="A1560" s="102">
        <f t="shared" si="25"/>
        <v>1559</v>
      </c>
      <c r="B1560" s="468">
        <f>YEAR(Table6[[#This Row],[Date]])+IF(MONTH(Table6[[#This Row],[Date]])&gt;=4,1,0)</f>
        <v>2026</v>
      </c>
      <c r="C1560" s="102">
        <f>YEAR(Table6[[#This Row],[Date]])</f>
        <v>2025</v>
      </c>
      <c r="D1560" s="102" t="s">
        <v>1992</v>
      </c>
      <c r="E1560" s="469">
        <f>Table6[[#This Row],[Date]]-DAY(Table6[[#This Row],[Date]])+1</f>
        <v>45839</v>
      </c>
      <c r="F1560" s="470">
        <v>45852</v>
      </c>
      <c r="G1560" s="35" t="s">
        <v>91</v>
      </c>
      <c r="H1560" s="35" t="str">
        <f>IFERROR(_xlfn.XLOOKUP(Table6[[#This Row],[Affected WTG]],'Basic Data'!$A:$A,'Basic Data'!$B:$B),"")</f>
        <v>TQGXIIPL</v>
      </c>
      <c r="I1560" s="35" t="str">
        <f>IFERROR(_xlfn.XLOOKUP(Table6[[#This Row],[Affected WTG]],'Basic Data'!$A:$A,'Basic Data'!$C:$C),"")</f>
        <v>GEDA</v>
      </c>
      <c r="J1560" s="471">
        <f>IFERROR(_xlfn.XLOOKUP(Table6[[#This Row],[Affected WTG]],'Basic Data'!$A:$A,'Basic Data'!$E:$E),"")</f>
        <v>3.846153846153845E-2</v>
      </c>
      <c r="K1560" s="102">
        <v>55</v>
      </c>
      <c r="L1560" s="35" t="str">
        <f>IFERROR(_xlfn.XLOOKUP(Table6[[#This Row],[Error Code]],'Basic Data'!$AA:$AA,'Basic Data'!$AB:$AB),"Incorrect Error Code")</f>
        <v>WTG shut down</v>
      </c>
      <c r="M1560" s="35" t="s">
        <v>291</v>
      </c>
      <c r="N1560" s="475"/>
      <c r="O1560" s="476">
        <v>0.61736111111111114</v>
      </c>
      <c r="P1560" s="476">
        <v>0.61736111111111114</v>
      </c>
      <c r="Q1560" s="477">
        <v>0.69791666666666663</v>
      </c>
      <c r="R1560" s="472">
        <f>IF(Table6[[#This Row],[Work Start TimeStamp]]="","",(Table6[[#This Row],[Work Start TimeStamp]]-Table6[[#This Row],[Fault Start TimeStamp]])*24)</f>
        <v>0</v>
      </c>
      <c r="S1560" s="472">
        <f>(Table6[[#This Row],[Fault Clearance time]]-Table6[[#This Row],[Work Start TimeStamp]])*24</f>
        <v>1.9333333333333318</v>
      </c>
      <c r="T1560" s="472">
        <f>(Table6[[#This Row],[Fault Clearance time]]-Table6[[#This Row],[Fault Start TimeStamp]])*24</f>
        <v>1.9333333333333318</v>
      </c>
      <c r="U1560" s="35" t="s">
        <v>2079</v>
      </c>
      <c r="V1560" s="102" t="s">
        <v>293</v>
      </c>
      <c r="W1560" s="549">
        <f>IFERROR(Table6[[#This Row],[Breakdown Time]]*Table6[[#This Row],[Plant Equivalent Weightage]],"")</f>
        <v>7.4358974358974275E-2</v>
      </c>
      <c r="X1560" s="473" t="s">
        <v>290</v>
      </c>
      <c r="Y1560" s="474" t="s">
        <v>79</v>
      </c>
      <c r="Z1560" s="102">
        <v>33446</v>
      </c>
      <c r="AA1560" s="468">
        <f>(Table6[[#This Row],[Paired WTG Generation for loss calculation]]/24)*Table6[[#This Row],[Breakdown Time]]</f>
        <v>2694.2611111111087</v>
      </c>
      <c r="AB1560" s="102"/>
      <c r="AC1560" s="35"/>
      <c r="AD1560" s="35"/>
    </row>
    <row r="1561" spans="1:30">
      <c r="A1561" s="102">
        <f t="shared" si="25"/>
        <v>1560</v>
      </c>
      <c r="B1561" s="468">
        <f>YEAR(Table6[[#This Row],[Date]])+IF(MONTH(Table6[[#This Row],[Date]])&gt;=4,1,0)</f>
        <v>2026</v>
      </c>
      <c r="C1561" s="102">
        <f>YEAR(Table6[[#This Row],[Date]])</f>
        <v>2025</v>
      </c>
      <c r="D1561" s="102" t="s">
        <v>1992</v>
      </c>
      <c r="E1561" s="469">
        <f>Table6[[#This Row],[Date]]-DAY(Table6[[#This Row],[Date]])+1</f>
        <v>45839</v>
      </c>
      <c r="F1561" s="470">
        <v>45852</v>
      </c>
      <c r="G1561" s="35" t="s">
        <v>95</v>
      </c>
      <c r="H1561" s="35" t="str">
        <f>IFERROR(_xlfn.XLOOKUP(Table6[[#This Row],[Affected WTG]],'Basic Data'!$A:$A,'Basic Data'!$B:$B),"")</f>
        <v>TQGXIIPL</v>
      </c>
      <c r="I1561" s="35" t="str">
        <f>IFERROR(_xlfn.XLOOKUP(Table6[[#This Row],[Affected WTG]],'Basic Data'!$A:$A,'Basic Data'!$C:$C),"")</f>
        <v>GEDA</v>
      </c>
      <c r="J1561" s="471">
        <f>IFERROR(_xlfn.XLOOKUP(Table6[[#This Row],[Affected WTG]],'Basic Data'!$A:$A,'Basic Data'!$E:$E),"")</f>
        <v>3.846153846153845E-2</v>
      </c>
      <c r="K1561" s="102">
        <v>55</v>
      </c>
      <c r="L1561" s="35" t="str">
        <f>IFERROR(_xlfn.XLOOKUP(Table6[[#This Row],[Error Code]],'Basic Data'!$AA:$AA,'Basic Data'!$AB:$AB),"Incorrect Error Code")</f>
        <v>WTG shut down</v>
      </c>
      <c r="M1561" s="35" t="s">
        <v>291</v>
      </c>
      <c r="N1561" s="475"/>
      <c r="O1561" s="476">
        <v>0.50902777777777775</v>
      </c>
      <c r="P1561" s="476">
        <v>0.50902777777777775</v>
      </c>
      <c r="Q1561" s="477">
        <v>0.5625</v>
      </c>
      <c r="R1561" s="472">
        <f>IF(Table6[[#This Row],[Work Start TimeStamp]]="","",(Table6[[#This Row],[Work Start TimeStamp]]-Table6[[#This Row],[Fault Start TimeStamp]])*24)</f>
        <v>0</v>
      </c>
      <c r="S1561" s="472">
        <f>(Table6[[#This Row],[Fault Clearance time]]-Table6[[#This Row],[Work Start TimeStamp]])*24</f>
        <v>1.2833333333333341</v>
      </c>
      <c r="T1561" s="472">
        <f>(Table6[[#This Row],[Fault Clearance time]]-Table6[[#This Row],[Fault Start TimeStamp]])*24</f>
        <v>1.2833333333333341</v>
      </c>
      <c r="U1561" s="35" t="s">
        <v>2080</v>
      </c>
      <c r="V1561" s="102" t="s">
        <v>293</v>
      </c>
      <c r="W1561" s="549">
        <f>IFERROR(Table6[[#This Row],[Breakdown Time]]*Table6[[#This Row],[Plant Equivalent Weightage]],"")</f>
        <v>4.9358974358974371E-2</v>
      </c>
      <c r="X1561" s="473" t="s">
        <v>290</v>
      </c>
      <c r="Y1561" s="474" t="s">
        <v>79</v>
      </c>
      <c r="Z1561" s="102">
        <v>33446</v>
      </c>
      <c r="AA1561" s="468">
        <f>(Table6[[#This Row],[Paired WTG Generation for loss calculation]]/24)*Table6[[#This Row],[Breakdown Time]]</f>
        <v>1788.4319444444454</v>
      </c>
      <c r="AB1561" s="102"/>
      <c r="AC1561" s="35"/>
      <c r="AD1561" s="35"/>
    </row>
    <row r="1562" spans="1:30">
      <c r="A1562" s="102">
        <f t="shared" si="25"/>
        <v>1561</v>
      </c>
      <c r="B1562" s="468">
        <f>YEAR(Table6[[#This Row],[Date]])+IF(MONTH(Table6[[#This Row],[Date]])&gt;=4,1,0)</f>
        <v>2026</v>
      </c>
      <c r="C1562" s="102">
        <f>YEAR(Table6[[#This Row],[Date]])</f>
        <v>2025</v>
      </c>
      <c r="D1562" s="102" t="s">
        <v>1992</v>
      </c>
      <c r="E1562" s="469">
        <f>Table6[[#This Row],[Date]]-DAY(Table6[[#This Row],[Date]])+1</f>
        <v>45839</v>
      </c>
      <c r="F1562" s="470">
        <v>45853</v>
      </c>
      <c r="G1562" s="35" t="s">
        <v>85</v>
      </c>
      <c r="H1562" s="35" t="str">
        <f>IFERROR(_xlfn.XLOOKUP(Table6[[#This Row],[Affected WTG]],'Basic Data'!$A:$A,'Basic Data'!$B:$B),"")</f>
        <v>TQGXIIPL</v>
      </c>
      <c r="I1562" s="35" t="str">
        <f>IFERROR(_xlfn.XLOOKUP(Table6[[#This Row],[Affected WTG]],'Basic Data'!$A:$A,'Basic Data'!$C:$C),"")</f>
        <v>GEDA</v>
      </c>
      <c r="J1562" s="471">
        <f>IFERROR(_xlfn.XLOOKUP(Table6[[#This Row],[Affected WTG]],'Basic Data'!$A:$A,'Basic Data'!$E:$E),"")</f>
        <v>3.846153846153845E-2</v>
      </c>
      <c r="K1562" s="102">
        <v>55</v>
      </c>
      <c r="L1562" s="35" t="str">
        <f>IFERROR(_xlfn.XLOOKUP(Table6[[#This Row],[Error Code]],'Basic Data'!$AA:$AA,'Basic Data'!$AB:$AB),"Incorrect Error Code")</f>
        <v>WTG shut down</v>
      </c>
      <c r="M1562" s="35" t="s">
        <v>291</v>
      </c>
      <c r="N1562" s="475"/>
      <c r="O1562" s="476">
        <v>0.4909722222222222</v>
      </c>
      <c r="P1562" s="476">
        <v>0.4909722222222222</v>
      </c>
      <c r="Q1562" s="477">
        <v>0.51111111111111107</v>
      </c>
      <c r="R1562" s="472">
        <f>IF(Table6[[#This Row],[Work Start TimeStamp]]="","",(Table6[[#This Row],[Work Start TimeStamp]]-Table6[[#This Row],[Fault Start TimeStamp]])*24)</f>
        <v>0</v>
      </c>
      <c r="S1562" s="472">
        <f>(Table6[[#This Row],[Fault Clearance time]]-Table6[[#This Row],[Work Start TimeStamp]])*24</f>
        <v>0.48333333333333295</v>
      </c>
      <c r="T1562" s="472">
        <f>(Table6[[#This Row],[Fault Clearance time]]-Table6[[#This Row],[Fault Start TimeStamp]])*24</f>
        <v>0.48333333333333295</v>
      </c>
      <c r="U1562" s="35" t="s">
        <v>2081</v>
      </c>
      <c r="V1562" s="102" t="s">
        <v>293</v>
      </c>
      <c r="W1562" s="549">
        <f>IFERROR(Table6[[#This Row],[Breakdown Time]]*Table6[[#This Row],[Plant Equivalent Weightage]],"")</f>
        <v>1.8589743589743569E-2</v>
      </c>
      <c r="X1562" s="473" t="s">
        <v>290</v>
      </c>
      <c r="Y1562" s="474" t="s">
        <v>87</v>
      </c>
      <c r="Z1562" s="102">
        <v>27162</v>
      </c>
      <c r="AA1562" s="468">
        <f>(Table6[[#This Row],[Paired WTG Generation for loss calculation]]/24)*Table6[[#This Row],[Breakdown Time]]</f>
        <v>547.01249999999959</v>
      </c>
      <c r="AB1562" s="102"/>
      <c r="AC1562" s="35"/>
      <c r="AD1562" s="35"/>
    </row>
    <row r="1563" spans="1:30">
      <c r="A1563" s="102">
        <f t="shared" si="25"/>
        <v>1562</v>
      </c>
      <c r="B1563" s="468">
        <f>YEAR(Table6[[#This Row],[Date]])+IF(MONTH(Table6[[#This Row],[Date]])&gt;=4,1,0)</f>
        <v>2026</v>
      </c>
      <c r="C1563" s="102">
        <f>YEAR(Table6[[#This Row],[Date]])</f>
        <v>2025</v>
      </c>
      <c r="D1563" s="102" t="s">
        <v>1992</v>
      </c>
      <c r="E1563" s="469">
        <f>Table6[[#This Row],[Date]]-DAY(Table6[[#This Row],[Date]])+1</f>
        <v>45839</v>
      </c>
      <c r="F1563" s="470">
        <v>45853</v>
      </c>
      <c r="G1563" s="35" t="s">
        <v>85</v>
      </c>
      <c r="H1563" s="35" t="str">
        <f>IFERROR(_xlfn.XLOOKUP(Table6[[#This Row],[Affected WTG]],'Basic Data'!$A:$A,'Basic Data'!$B:$B),"")</f>
        <v>TQGXIIPL</v>
      </c>
      <c r="I1563" s="35" t="str">
        <f>IFERROR(_xlfn.XLOOKUP(Table6[[#This Row],[Affected WTG]],'Basic Data'!$A:$A,'Basic Data'!$C:$C),"")</f>
        <v>GEDA</v>
      </c>
      <c r="J1563" s="471">
        <f>IFERROR(_xlfn.XLOOKUP(Table6[[#This Row],[Affected WTG]],'Basic Data'!$A:$A,'Basic Data'!$E:$E),"")</f>
        <v>3.846153846153845E-2</v>
      </c>
      <c r="K1563" s="102">
        <v>55</v>
      </c>
      <c r="L1563" s="35" t="str">
        <f>IFERROR(_xlfn.XLOOKUP(Table6[[#This Row],[Error Code]],'Basic Data'!$AA:$AA,'Basic Data'!$AB:$AB),"Incorrect Error Code")</f>
        <v>WTG shut down</v>
      </c>
      <c r="M1563" s="35" t="s">
        <v>291</v>
      </c>
      <c r="N1563" s="475"/>
      <c r="O1563" s="476">
        <v>0.53055555555555556</v>
      </c>
      <c r="P1563" s="476">
        <v>0.53055555555555556</v>
      </c>
      <c r="Q1563" s="477">
        <v>0.61319444444444449</v>
      </c>
      <c r="R1563" s="472">
        <f>IF(Table6[[#This Row],[Work Start TimeStamp]]="","",(Table6[[#This Row],[Work Start TimeStamp]]-Table6[[#This Row],[Fault Start TimeStamp]])*24)</f>
        <v>0</v>
      </c>
      <c r="S1563" s="472">
        <f>(Table6[[#This Row],[Fault Clearance time]]-Table6[[#This Row],[Work Start TimeStamp]])*24</f>
        <v>1.9833333333333343</v>
      </c>
      <c r="T1563" s="472">
        <f>(Table6[[#This Row],[Fault Clearance time]]-Table6[[#This Row],[Fault Start TimeStamp]])*24</f>
        <v>1.9833333333333343</v>
      </c>
      <c r="U1563" s="35" t="s">
        <v>2082</v>
      </c>
      <c r="V1563" s="102" t="s">
        <v>293</v>
      </c>
      <c r="W1563" s="549">
        <f>IFERROR(Table6[[#This Row],[Breakdown Time]]*Table6[[#This Row],[Plant Equivalent Weightage]],"")</f>
        <v>7.6282051282051289E-2</v>
      </c>
      <c r="X1563" s="473" t="s">
        <v>290</v>
      </c>
      <c r="Y1563" s="474" t="s">
        <v>87</v>
      </c>
      <c r="Z1563" s="102">
        <v>27162</v>
      </c>
      <c r="AA1563" s="468">
        <f>(Table6[[#This Row],[Paired WTG Generation for loss calculation]]/24)*Table6[[#This Row],[Breakdown Time]]</f>
        <v>2244.6375000000012</v>
      </c>
      <c r="AB1563" s="102"/>
      <c r="AC1563" s="35"/>
      <c r="AD1563" s="35"/>
    </row>
    <row r="1564" spans="1:30">
      <c r="A1564" s="102">
        <f t="shared" si="25"/>
        <v>1563</v>
      </c>
      <c r="B1564" s="468">
        <f>YEAR(Table6[[#This Row],[Date]])+IF(MONTH(Table6[[#This Row],[Date]])&gt;=4,1,0)</f>
        <v>2026</v>
      </c>
      <c r="C1564" s="102">
        <f>YEAR(Table6[[#This Row],[Date]])</f>
        <v>2025</v>
      </c>
      <c r="D1564" s="102" t="s">
        <v>1992</v>
      </c>
      <c r="E1564" s="469">
        <f>Table6[[#This Row],[Date]]-DAY(Table6[[#This Row],[Date]])+1</f>
        <v>45839</v>
      </c>
      <c r="F1564" s="470">
        <v>45853</v>
      </c>
      <c r="G1564" s="35" t="s">
        <v>95</v>
      </c>
      <c r="H1564" s="35" t="str">
        <f>IFERROR(_xlfn.XLOOKUP(Table6[[#This Row],[Affected WTG]],'Basic Data'!$A:$A,'Basic Data'!$B:$B),"")</f>
        <v>TQGXIIPL</v>
      </c>
      <c r="I1564" s="35" t="str">
        <f>IFERROR(_xlfn.XLOOKUP(Table6[[#This Row],[Affected WTG]],'Basic Data'!$A:$A,'Basic Data'!$C:$C),"")</f>
        <v>GEDA</v>
      </c>
      <c r="J1564" s="471">
        <f>IFERROR(_xlfn.XLOOKUP(Table6[[#This Row],[Affected WTG]],'Basic Data'!$A:$A,'Basic Data'!$E:$E),"")</f>
        <v>3.846153846153845E-2</v>
      </c>
      <c r="K1564" s="102">
        <v>55</v>
      </c>
      <c r="L1564" s="35" t="str">
        <f>IFERROR(_xlfn.XLOOKUP(Table6[[#This Row],[Error Code]],'Basic Data'!$AA:$AA,'Basic Data'!$AB:$AB),"Incorrect Error Code")</f>
        <v>WTG shut down</v>
      </c>
      <c r="M1564" s="35" t="s">
        <v>291</v>
      </c>
      <c r="N1564" s="475"/>
      <c r="O1564" s="476">
        <v>0.51388888888888884</v>
      </c>
      <c r="P1564" s="476">
        <v>0.51388888888888884</v>
      </c>
      <c r="Q1564" s="477">
        <v>0.72083333333333333</v>
      </c>
      <c r="R1564" s="472">
        <f>IF(Table6[[#This Row],[Work Start TimeStamp]]="","",(Table6[[#This Row],[Work Start TimeStamp]]-Table6[[#This Row],[Fault Start TimeStamp]])*24)</f>
        <v>0</v>
      </c>
      <c r="S1564" s="472">
        <f>(Table6[[#This Row],[Fault Clearance time]]-Table6[[#This Row],[Work Start TimeStamp]])*24</f>
        <v>4.9666666666666677</v>
      </c>
      <c r="T1564" s="472">
        <f>(Table6[[#This Row],[Fault Clearance time]]-Table6[[#This Row],[Fault Start TimeStamp]])*24</f>
        <v>4.9666666666666677</v>
      </c>
      <c r="U1564" s="35" t="s">
        <v>2083</v>
      </c>
      <c r="V1564" s="102" t="s">
        <v>293</v>
      </c>
      <c r="W1564" s="549">
        <f>IFERROR(Table6[[#This Row],[Breakdown Time]]*Table6[[#This Row],[Plant Equivalent Weightage]],"")</f>
        <v>0.19102564102564101</v>
      </c>
      <c r="X1564" s="473" t="s">
        <v>290</v>
      </c>
      <c r="Y1564" s="474" t="s">
        <v>79</v>
      </c>
      <c r="Z1564" s="102">
        <v>30867</v>
      </c>
      <c r="AA1564" s="468">
        <f>(Table6[[#This Row],[Paired WTG Generation for loss calculation]]/24)*Table6[[#This Row],[Breakdown Time]]</f>
        <v>6387.7541666666675</v>
      </c>
      <c r="AB1564" s="102"/>
      <c r="AC1564" s="35"/>
      <c r="AD1564" s="35"/>
    </row>
    <row r="1565" spans="1:30">
      <c r="A1565" s="102">
        <f t="shared" si="25"/>
        <v>1564</v>
      </c>
      <c r="B1565" s="468">
        <f>YEAR(Table6[[#This Row],[Date]])+IF(MONTH(Table6[[#This Row],[Date]])&gt;=4,1,0)</f>
        <v>2026</v>
      </c>
      <c r="C1565" s="102">
        <f>YEAR(Table6[[#This Row],[Date]])</f>
        <v>2025</v>
      </c>
      <c r="D1565" s="102" t="s">
        <v>1992</v>
      </c>
      <c r="E1565" s="469">
        <f>Table6[[#This Row],[Date]]-DAY(Table6[[#This Row],[Date]])+1</f>
        <v>45839</v>
      </c>
      <c r="F1565" s="470">
        <v>45854</v>
      </c>
      <c r="G1565" s="35" t="s">
        <v>76</v>
      </c>
      <c r="H1565" s="35" t="str">
        <f>IFERROR(_xlfn.XLOOKUP(Table6[[#This Row],[Affected WTG]],'Basic Data'!$A:$A,'Basic Data'!$B:$B),"")</f>
        <v>TQGXIIPL</v>
      </c>
      <c r="I1565" s="35" t="str">
        <f>IFERROR(_xlfn.XLOOKUP(Table6[[#This Row],[Affected WTG]],'Basic Data'!$A:$A,'Basic Data'!$C:$C),"")</f>
        <v>GEDA</v>
      </c>
      <c r="J1565" s="471">
        <f>IFERROR(_xlfn.XLOOKUP(Table6[[#This Row],[Affected WTG]],'Basic Data'!$A:$A,'Basic Data'!$E:$E),"")</f>
        <v>3.846153846153845E-2</v>
      </c>
      <c r="K1565" s="102">
        <v>55</v>
      </c>
      <c r="L1565" s="35" t="str">
        <f>IFERROR(_xlfn.XLOOKUP(Table6[[#This Row],[Error Code]],'Basic Data'!$AA:$AA,'Basic Data'!$AB:$AB),"Incorrect Error Code")</f>
        <v>WTG shut down</v>
      </c>
      <c r="M1565" s="35" t="s">
        <v>291</v>
      </c>
      <c r="N1565" s="475"/>
      <c r="O1565" s="476">
        <v>0.46250000000000002</v>
      </c>
      <c r="P1565" s="476">
        <v>0.46250000000000002</v>
      </c>
      <c r="Q1565" s="477">
        <v>0.65763888888888888</v>
      </c>
      <c r="R1565" s="472">
        <f>IF(Table6[[#This Row],[Work Start TimeStamp]]="","",(Table6[[#This Row],[Work Start TimeStamp]]-Table6[[#This Row],[Fault Start TimeStamp]])*24)</f>
        <v>0</v>
      </c>
      <c r="S1565" s="472">
        <f>(Table6[[#This Row],[Fault Clearance time]]-Table6[[#This Row],[Work Start TimeStamp]])*24</f>
        <v>4.6833333333333327</v>
      </c>
      <c r="T1565" s="472">
        <f>(Table6[[#This Row],[Fault Clearance time]]-Table6[[#This Row],[Fault Start TimeStamp]])*24</f>
        <v>4.6833333333333327</v>
      </c>
      <c r="U1565" s="35" t="s">
        <v>2084</v>
      </c>
      <c r="V1565" s="102" t="s">
        <v>293</v>
      </c>
      <c r="W1565" s="549">
        <f>IFERROR(Table6[[#This Row],[Breakdown Time]]*Table6[[#This Row],[Plant Equivalent Weightage]],"")</f>
        <v>0.18012820512820504</v>
      </c>
      <c r="X1565" s="473" t="s">
        <v>290</v>
      </c>
      <c r="Y1565" s="474" t="s">
        <v>82</v>
      </c>
      <c r="Z1565" s="102">
        <v>21748</v>
      </c>
      <c r="AA1565" s="468">
        <f>(Table6[[#This Row],[Paired WTG Generation for loss calculation]]/24)*Table6[[#This Row],[Breakdown Time]]</f>
        <v>4243.8805555555546</v>
      </c>
      <c r="AB1565" s="102"/>
      <c r="AC1565" s="35"/>
      <c r="AD1565" s="35"/>
    </row>
    <row r="1566" spans="1:30">
      <c r="A1566" s="102">
        <f t="shared" si="25"/>
        <v>1565</v>
      </c>
      <c r="B1566" s="468">
        <f>YEAR(Table6[[#This Row],[Date]])+IF(MONTH(Table6[[#This Row],[Date]])&gt;=4,1,0)</f>
        <v>2026</v>
      </c>
      <c r="C1566" s="102">
        <f>YEAR(Table6[[#This Row],[Date]])</f>
        <v>2025</v>
      </c>
      <c r="D1566" s="102" t="s">
        <v>1992</v>
      </c>
      <c r="E1566" s="469">
        <f>Table6[[#This Row],[Date]]-DAY(Table6[[#This Row],[Date]])+1</f>
        <v>45839</v>
      </c>
      <c r="F1566" s="470">
        <v>45854</v>
      </c>
      <c r="G1566" s="35" t="s">
        <v>78</v>
      </c>
      <c r="H1566" s="35" t="str">
        <f>IFERROR(_xlfn.XLOOKUP(Table6[[#This Row],[Affected WTG]],'Basic Data'!$A:$A,'Basic Data'!$B:$B),"")</f>
        <v>TQGXIIPL</v>
      </c>
      <c r="I1566" s="35" t="str">
        <f>IFERROR(_xlfn.XLOOKUP(Table6[[#This Row],[Affected WTG]],'Basic Data'!$A:$A,'Basic Data'!$C:$C),"")</f>
        <v>GEDA</v>
      </c>
      <c r="J1566" s="471">
        <f>IFERROR(_xlfn.XLOOKUP(Table6[[#This Row],[Affected WTG]],'Basic Data'!$A:$A,'Basic Data'!$E:$E),"")</f>
        <v>3.846153846153845E-2</v>
      </c>
      <c r="K1566" s="102">
        <v>3211</v>
      </c>
      <c r="L1566" s="35" t="str">
        <f>IFERROR(_xlfn.XLOOKUP(Table6[[#This Row],[Error Code]],'Basic Data'!$AA:$AA,'Basic Data'!$AB:$AB),"Incorrect Error Code")</f>
        <v>Conv. load shedding (CAN)</v>
      </c>
      <c r="M1566" s="35" t="s">
        <v>291</v>
      </c>
      <c r="N1566" s="475"/>
      <c r="O1566" s="476">
        <v>0.48541666666666666</v>
      </c>
      <c r="P1566" s="476">
        <v>0.48541666666666666</v>
      </c>
      <c r="Q1566" s="477">
        <v>0.48749999999999999</v>
      </c>
      <c r="R1566" s="472">
        <f>IF(Table6[[#This Row],[Work Start TimeStamp]]="","",(Table6[[#This Row],[Work Start TimeStamp]]-Table6[[#This Row],[Fault Start TimeStamp]])*24)</f>
        <v>0</v>
      </c>
      <c r="S1566" s="472">
        <f>(Table6[[#This Row],[Fault Clearance time]]-Table6[[#This Row],[Work Start TimeStamp]])*24</f>
        <v>4.9999999999999822E-2</v>
      </c>
      <c r="T1566" s="472">
        <f>(Table6[[#This Row],[Fault Clearance time]]-Table6[[#This Row],[Fault Start TimeStamp]])*24</f>
        <v>4.9999999999999822E-2</v>
      </c>
      <c r="U1566" s="35" t="s">
        <v>1924</v>
      </c>
      <c r="V1566" s="102" t="s">
        <v>293</v>
      </c>
      <c r="W1566" s="549">
        <f>IFERROR(Table6[[#This Row],[Breakdown Time]]*Table6[[#This Row],[Plant Equivalent Weightage]],"")</f>
        <v>1.9230769230769156E-3</v>
      </c>
      <c r="X1566" s="473" t="s">
        <v>294</v>
      </c>
      <c r="Y1566" s="474" t="s">
        <v>75</v>
      </c>
      <c r="Z1566" s="102">
        <v>24523</v>
      </c>
      <c r="AA1566" s="468">
        <f>(Table6[[#This Row],[Paired WTG Generation for loss calculation]]/24)*Table6[[#This Row],[Breakdown Time]]</f>
        <v>51.089583333333152</v>
      </c>
      <c r="AB1566" s="102"/>
      <c r="AC1566" s="35"/>
      <c r="AD1566" s="35"/>
    </row>
    <row r="1567" spans="1:30">
      <c r="A1567" s="102">
        <f t="shared" si="25"/>
        <v>1566</v>
      </c>
      <c r="B1567" s="468">
        <f>YEAR(Table6[[#This Row],[Date]])+IF(MONTH(Table6[[#This Row],[Date]])&gt;=4,1,0)</f>
        <v>2026</v>
      </c>
      <c r="C1567" s="102">
        <f>YEAR(Table6[[#This Row],[Date]])</f>
        <v>2025</v>
      </c>
      <c r="D1567" s="102" t="s">
        <v>1992</v>
      </c>
      <c r="E1567" s="469">
        <f>Table6[[#This Row],[Date]]-DAY(Table6[[#This Row],[Date]])+1</f>
        <v>45839</v>
      </c>
      <c r="F1567" s="470">
        <v>45854</v>
      </c>
      <c r="G1567" s="35" t="s">
        <v>84</v>
      </c>
      <c r="H1567" s="35" t="str">
        <f>IFERROR(_xlfn.XLOOKUP(Table6[[#This Row],[Affected WTG]],'Basic Data'!$A:$A,'Basic Data'!$B:$B),"")</f>
        <v>TQGXIIPL</v>
      </c>
      <c r="I1567" s="35" t="str">
        <f>IFERROR(_xlfn.XLOOKUP(Table6[[#This Row],[Affected WTG]],'Basic Data'!$A:$A,'Basic Data'!$C:$C),"")</f>
        <v>GEDA</v>
      </c>
      <c r="J1567" s="471">
        <f>IFERROR(_xlfn.XLOOKUP(Table6[[#This Row],[Affected WTG]],'Basic Data'!$A:$A,'Basic Data'!$E:$E),"")</f>
        <v>3.846153846153845E-2</v>
      </c>
      <c r="K1567" s="102">
        <v>6130</v>
      </c>
      <c r="L1567" s="35" t="str">
        <f>IFERROR(_xlfn.XLOOKUP(Table6[[#This Row],[Error Code]],'Basic Data'!$AA:$AA,'Basic Data'!$AB:$AB),"Incorrect Error Code")</f>
        <v>Yaw speed high</v>
      </c>
      <c r="M1567" s="35" t="s">
        <v>291</v>
      </c>
      <c r="N1567" s="475"/>
      <c r="O1567" s="476">
        <v>0.56527777777777777</v>
      </c>
      <c r="P1567" s="476">
        <v>0.56527777777777777</v>
      </c>
      <c r="Q1567" s="477">
        <v>0.56666666666666665</v>
      </c>
      <c r="R1567" s="472">
        <f>IF(Table6[[#This Row],[Work Start TimeStamp]]="","",(Table6[[#This Row],[Work Start TimeStamp]]-Table6[[#This Row],[Fault Start TimeStamp]])*24)</f>
        <v>0</v>
      </c>
      <c r="S1567" s="472">
        <f>(Table6[[#This Row],[Fault Clearance time]]-Table6[[#This Row],[Work Start TimeStamp]])*24</f>
        <v>3.3333333333333215E-2</v>
      </c>
      <c r="T1567" s="472">
        <f>(Table6[[#This Row],[Fault Clearance time]]-Table6[[#This Row],[Fault Start TimeStamp]])*24</f>
        <v>3.3333333333333215E-2</v>
      </c>
      <c r="U1567" s="35" t="s">
        <v>1924</v>
      </c>
      <c r="V1567" s="102" t="s">
        <v>293</v>
      </c>
      <c r="W1567" s="549">
        <f>IFERROR(Table6[[#This Row],[Breakdown Time]]*Table6[[#This Row],[Plant Equivalent Weightage]],"")</f>
        <v>1.2820512820512771E-3</v>
      </c>
      <c r="X1567" s="473" t="s">
        <v>294</v>
      </c>
      <c r="Y1567" s="474" t="s">
        <v>86</v>
      </c>
      <c r="Z1567" s="102">
        <v>20377</v>
      </c>
      <c r="AA1567" s="468">
        <f>(Table6[[#This Row],[Paired WTG Generation for loss calculation]]/24)*Table6[[#This Row],[Breakdown Time]]</f>
        <v>28.301388888888788</v>
      </c>
      <c r="AB1567" s="102"/>
      <c r="AC1567" s="35"/>
      <c r="AD1567" s="35"/>
    </row>
    <row r="1568" spans="1:30">
      <c r="A1568" s="102">
        <f t="shared" si="25"/>
        <v>1567</v>
      </c>
      <c r="B1568" s="468">
        <f>YEAR(Table6[[#This Row],[Date]])+IF(MONTH(Table6[[#This Row],[Date]])&gt;=4,1,0)</f>
        <v>2026</v>
      </c>
      <c r="C1568" s="102">
        <f>YEAR(Table6[[#This Row],[Date]])</f>
        <v>2025</v>
      </c>
      <c r="D1568" s="102" t="s">
        <v>1992</v>
      </c>
      <c r="E1568" s="469">
        <f>Table6[[#This Row],[Date]]-DAY(Table6[[#This Row],[Date]])+1</f>
        <v>45839</v>
      </c>
      <c r="F1568" s="470">
        <v>45855</v>
      </c>
      <c r="G1568" s="35" t="s">
        <v>78</v>
      </c>
      <c r="H1568" s="35" t="str">
        <f>IFERROR(_xlfn.XLOOKUP(Table6[[#This Row],[Affected WTG]],'Basic Data'!$A:$A,'Basic Data'!$B:$B),"")</f>
        <v>TQGXIIPL</v>
      </c>
      <c r="I1568" s="35" t="str">
        <f>IFERROR(_xlfn.XLOOKUP(Table6[[#This Row],[Affected WTG]],'Basic Data'!$A:$A,'Basic Data'!$C:$C),"")</f>
        <v>GEDA</v>
      </c>
      <c r="J1568" s="471">
        <f>IFERROR(_xlfn.XLOOKUP(Table6[[#This Row],[Affected WTG]],'Basic Data'!$A:$A,'Basic Data'!$E:$E),"")</f>
        <v>3.846153846153845E-2</v>
      </c>
      <c r="K1568" s="102">
        <v>3211</v>
      </c>
      <c r="L1568" s="35" t="str">
        <f>IFERROR(_xlfn.XLOOKUP(Table6[[#This Row],[Error Code]],'Basic Data'!$AA:$AA,'Basic Data'!$AB:$AB),"Incorrect Error Code")</f>
        <v>Conv. load shedding (CAN)</v>
      </c>
      <c r="M1568" s="35" t="s">
        <v>291</v>
      </c>
      <c r="N1568" s="475"/>
      <c r="O1568" s="476">
        <v>0.44097222222222221</v>
      </c>
      <c r="P1568" s="476">
        <v>0.44097222222222221</v>
      </c>
      <c r="Q1568" s="477">
        <v>0.44305555555555554</v>
      </c>
      <c r="R1568" s="472">
        <f>IF(Table6[[#This Row],[Work Start TimeStamp]]="","",(Table6[[#This Row],[Work Start TimeStamp]]-Table6[[#This Row],[Fault Start TimeStamp]])*24)</f>
        <v>0</v>
      </c>
      <c r="S1568" s="472">
        <f>(Table6[[#This Row],[Fault Clearance time]]-Table6[[#This Row],[Work Start TimeStamp]])*24</f>
        <v>4.9999999999999822E-2</v>
      </c>
      <c r="T1568" s="472">
        <f>(Table6[[#This Row],[Fault Clearance time]]-Table6[[#This Row],[Fault Start TimeStamp]])*24</f>
        <v>4.9999999999999822E-2</v>
      </c>
      <c r="U1568" s="35" t="s">
        <v>1924</v>
      </c>
      <c r="V1568" s="102" t="s">
        <v>293</v>
      </c>
      <c r="W1568" s="549">
        <f>IFERROR(Table6[[#This Row],[Breakdown Time]]*Table6[[#This Row],[Plant Equivalent Weightage]],"")</f>
        <v>1.9230769230769156E-3</v>
      </c>
      <c r="X1568" s="473" t="s">
        <v>294</v>
      </c>
      <c r="Y1568" s="474" t="s">
        <v>75</v>
      </c>
      <c r="Z1568" s="102">
        <v>13664</v>
      </c>
      <c r="AA1568" s="468">
        <f>(Table6[[#This Row],[Paired WTG Generation for loss calculation]]/24)*Table6[[#This Row],[Breakdown Time]]</f>
        <v>28.466666666666569</v>
      </c>
      <c r="AB1568" s="102"/>
      <c r="AC1568" s="35"/>
      <c r="AD1568" s="35"/>
    </row>
    <row r="1569" spans="1:30">
      <c r="A1569" s="102">
        <f t="shared" si="25"/>
        <v>1568</v>
      </c>
      <c r="B1569" s="468">
        <f>YEAR(Table6[[#This Row],[Date]])+IF(MONTH(Table6[[#This Row],[Date]])&gt;=4,1,0)</f>
        <v>2026</v>
      </c>
      <c r="C1569" s="102">
        <f>YEAR(Table6[[#This Row],[Date]])</f>
        <v>2025</v>
      </c>
      <c r="D1569" s="102" t="s">
        <v>1992</v>
      </c>
      <c r="E1569" s="469">
        <f>Table6[[#This Row],[Date]]-DAY(Table6[[#This Row],[Date]])+1</f>
        <v>45839</v>
      </c>
      <c r="F1569" s="470">
        <v>45855</v>
      </c>
      <c r="G1569" s="35" t="s">
        <v>86</v>
      </c>
      <c r="H1569" s="35" t="str">
        <f>IFERROR(_xlfn.XLOOKUP(Table6[[#This Row],[Affected WTG]],'Basic Data'!$A:$A,'Basic Data'!$B:$B),"")</f>
        <v>TQGXIIPL</v>
      </c>
      <c r="I1569" s="35" t="str">
        <f>IFERROR(_xlfn.XLOOKUP(Table6[[#This Row],[Affected WTG]],'Basic Data'!$A:$A,'Basic Data'!$C:$C),"")</f>
        <v>GEDA</v>
      </c>
      <c r="J1569" s="471">
        <f>IFERROR(_xlfn.XLOOKUP(Table6[[#This Row],[Affected WTG]],'Basic Data'!$A:$A,'Basic Data'!$E:$E),"")</f>
        <v>3.846153846153845E-2</v>
      </c>
      <c r="K1569" s="102">
        <v>55</v>
      </c>
      <c r="L1569" s="35" t="str">
        <f>IFERROR(_xlfn.XLOOKUP(Table6[[#This Row],[Error Code]],'Basic Data'!$AA:$AA,'Basic Data'!$AB:$AB),"Incorrect Error Code")</f>
        <v>WTG shut down</v>
      </c>
      <c r="M1569" s="35" t="s">
        <v>291</v>
      </c>
      <c r="N1569" s="475"/>
      <c r="O1569" s="476">
        <v>0.47499999999999998</v>
      </c>
      <c r="P1569" s="476">
        <v>0.47499999999999998</v>
      </c>
      <c r="Q1569" s="477">
        <v>0.57986111111111116</v>
      </c>
      <c r="R1569" s="472">
        <f>IF(Table6[[#This Row],[Work Start TimeStamp]]="","",(Table6[[#This Row],[Work Start TimeStamp]]-Table6[[#This Row],[Fault Start TimeStamp]])*24)</f>
        <v>0</v>
      </c>
      <c r="S1569" s="472">
        <f>(Table6[[#This Row],[Fault Clearance time]]-Table6[[#This Row],[Work Start TimeStamp]])*24</f>
        <v>2.5166666666666684</v>
      </c>
      <c r="T1569" s="472">
        <f>(Table6[[#This Row],[Fault Clearance time]]-Table6[[#This Row],[Fault Start TimeStamp]])*24</f>
        <v>2.5166666666666684</v>
      </c>
      <c r="U1569" s="35" t="s">
        <v>2085</v>
      </c>
      <c r="V1569" s="102" t="s">
        <v>293</v>
      </c>
      <c r="W1569" s="549">
        <f>IFERROR(Table6[[#This Row],[Breakdown Time]]*Table6[[#This Row],[Plant Equivalent Weightage]],"")</f>
        <v>9.6794871794871826E-2</v>
      </c>
      <c r="X1569" s="473" t="s">
        <v>290</v>
      </c>
      <c r="Y1569" s="474" t="s">
        <v>84</v>
      </c>
      <c r="Z1569" s="102">
        <v>11605</v>
      </c>
      <c r="AA1569" s="468">
        <f>(Table6[[#This Row],[Paired WTG Generation for loss calculation]]/24)*Table6[[#This Row],[Breakdown Time]]</f>
        <v>1216.9131944444453</v>
      </c>
      <c r="AB1569" s="102"/>
      <c r="AC1569" s="35"/>
      <c r="AD1569" s="35"/>
    </row>
    <row r="1570" spans="1:30">
      <c r="A1570" s="102">
        <f t="shared" si="25"/>
        <v>1569</v>
      </c>
      <c r="B1570" s="468">
        <f>YEAR(Table6[[#This Row],[Date]])+IF(MONTH(Table6[[#This Row],[Date]])&gt;=4,1,0)</f>
        <v>2026</v>
      </c>
      <c r="C1570" s="102">
        <f>YEAR(Table6[[#This Row],[Date]])</f>
        <v>2025</v>
      </c>
      <c r="D1570" s="102" t="s">
        <v>1992</v>
      </c>
      <c r="E1570" s="469">
        <f>Table6[[#This Row],[Date]]-DAY(Table6[[#This Row],[Date]])+1</f>
        <v>45839</v>
      </c>
      <c r="F1570" s="470">
        <v>45855</v>
      </c>
      <c r="G1570" s="35" t="s">
        <v>88</v>
      </c>
      <c r="H1570" s="35" t="str">
        <f>IFERROR(_xlfn.XLOOKUP(Table6[[#This Row],[Affected WTG]],'Basic Data'!$A:$A,'Basic Data'!$B:$B),"")</f>
        <v>TQGXIIPL</v>
      </c>
      <c r="I1570" s="35" t="str">
        <f>IFERROR(_xlfn.XLOOKUP(Table6[[#This Row],[Affected WTG]],'Basic Data'!$A:$A,'Basic Data'!$C:$C),"")</f>
        <v>GEDA</v>
      </c>
      <c r="J1570" s="471">
        <f>IFERROR(_xlfn.XLOOKUP(Table6[[#This Row],[Affected WTG]],'Basic Data'!$A:$A,'Basic Data'!$E:$E),"")</f>
        <v>3.846153846153845E-2</v>
      </c>
      <c r="K1570" s="102">
        <v>3211</v>
      </c>
      <c r="L1570" s="35" t="str">
        <f>IFERROR(_xlfn.XLOOKUP(Table6[[#This Row],[Error Code]],'Basic Data'!$AA:$AA,'Basic Data'!$AB:$AB),"Incorrect Error Code")</f>
        <v>Conv. load shedding (CAN)</v>
      </c>
      <c r="M1570" s="35" t="s">
        <v>291</v>
      </c>
      <c r="N1570" s="475"/>
      <c r="O1570" s="476">
        <v>0.85833333333333328</v>
      </c>
      <c r="P1570" s="476">
        <v>0.88680555555555551</v>
      </c>
      <c r="Q1570" s="477">
        <v>0.9604166666666667</v>
      </c>
      <c r="R1570" s="472">
        <f>IF(Table6[[#This Row],[Work Start TimeStamp]]="","",(Table6[[#This Row],[Work Start TimeStamp]]-Table6[[#This Row],[Fault Start TimeStamp]])*24)</f>
        <v>0.68333333333333357</v>
      </c>
      <c r="S1570" s="472">
        <f>(Table6[[#This Row],[Fault Clearance time]]-Table6[[#This Row],[Work Start TimeStamp]])*24</f>
        <v>1.7666666666666684</v>
      </c>
      <c r="T1570" s="472">
        <f>(Table6[[#This Row],[Fault Clearance time]]-Table6[[#This Row],[Fault Start TimeStamp]])*24</f>
        <v>2.450000000000002</v>
      </c>
      <c r="U1570" s="35" t="s">
        <v>2086</v>
      </c>
      <c r="V1570" s="102" t="s">
        <v>293</v>
      </c>
      <c r="W1570" s="549">
        <f>IFERROR(Table6[[#This Row],[Breakdown Time]]*Table6[[#This Row],[Plant Equivalent Weightage]],"")</f>
        <v>9.4230769230769271E-2</v>
      </c>
      <c r="X1570" s="473" t="s">
        <v>290</v>
      </c>
      <c r="Y1570" s="474" t="s">
        <v>83</v>
      </c>
      <c r="Z1570" s="102">
        <v>13836</v>
      </c>
      <c r="AA1570" s="468">
        <f>(Table6[[#This Row],[Paired WTG Generation for loss calculation]]/24)*Table6[[#This Row],[Breakdown Time]]</f>
        <v>1412.4250000000011</v>
      </c>
      <c r="AB1570" s="102"/>
      <c r="AC1570" s="35"/>
      <c r="AD1570" s="35"/>
    </row>
    <row r="1571" spans="1:30">
      <c r="A1571" s="102">
        <f t="shared" si="25"/>
        <v>1570</v>
      </c>
      <c r="B1571" s="468">
        <f>YEAR(Table6[[#This Row],[Date]])+IF(MONTH(Table6[[#This Row],[Date]])&gt;=4,1,0)</f>
        <v>2026</v>
      </c>
      <c r="C1571" s="102">
        <f>YEAR(Table6[[#This Row],[Date]])</f>
        <v>2025</v>
      </c>
      <c r="D1571" s="102" t="s">
        <v>1992</v>
      </c>
      <c r="E1571" s="469">
        <f>Table6[[#This Row],[Date]]-DAY(Table6[[#This Row],[Date]])+1</f>
        <v>45839</v>
      </c>
      <c r="F1571" s="470">
        <v>45855</v>
      </c>
      <c r="G1571" s="35" t="s">
        <v>93</v>
      </c>
      <c r="H1571" s="35" t="str">
        <f>IFERROR(_xlfn.XLOOKUP(Table6[[#This Row],[Affected WTG]],'Basic Data'!$A:$A,'Basic Data'!$B:$B),"")</f>
        <v>TQGXIIPL</v>
      </c>
      <c r="I1571" s="35" t="str">
        <f>IFERROR(_xlfn.XLOOKUP(Table6[[#This Row],[Affected WTG]],'Basic Data'!$A:$A,'Basic Data'!$C:$C),"")</f>
        <v>GEDA</v>
      </c>
      <c r="J1571" s="471">
        <f>IFERROR(_xlfn.XLOOKUP(Table6[[#This Row],[Affected WTG]],'Basic Data'!$A:$A,'Basic Data'!$E:$E),"")</f>
        <v>3.846153846153845E-2</v>
      </c>
      <c r="K1571" s="102">
        <v>55</v>
      </c>
      <c r="L1571" s="35" t="str">
        <f>IFERROR(_xlfn.XLOOKUP(Table6[[#This Row],[Error Code]],'Basic Data'!$AA:$AA,'Basic Data'!$AB:$AB),"Incorrect Error Code")</f>
        <v>WTG shut down</v>
      </c>
      <c r="M1571" s="35" t="s">
        <v>291</v>
      </c>
      <c r="N1571" s="475"/>
      <c r="O1571" s="476">
        <v>0.48541666666666666</v>
      </c>
      <c r="P1571" s="476">
        <v>0.48541666666666666</v>
      </c>
      <c r="Q1571" s="477">
        <v>0.57361111111111107</v>
      </c>
      <c r="R1571" s="472">
        <f>IF(Table6[[#This Row],[Work Start TimeStamp]]="","",(Table6[[#This Row],[Work Start TimeStamp]]-Table6[[#This Row],[Fault Start TimeStamp]])*24)</f>
        <v>0</v>
      </c>
      <c r="S1571" s="472">
        <f>(Table6[[#This Row],[Fault Clearance time]]-Table6[[#This Row],[Work Start TimeStamp]])*24</f>
        <v>2.1166666666666658</v>
      </c>
      <c r="T1571" s="472">
        <f>(Table6[[#This Row],[Fault Clearance time]]-Table6[[#This Row],[Fault Start TimeStamp]])*24</f>
        <v>2.1166666666666658</v>
      </c>
      <c r="U1571" s="35" t="s">
        <v>2087</v>
      </c>
      <c r="V1571" s="102" t="s">
        <v>293</v>
      </c>
      <c r="W1571" s="549">
        <f>IFERROR(Table6[[#This Row],[Breakdown Time]]*Table6[[#This Row],[Plant Equivalent Weightage]],"")</f>
        <v>8.1410256410256357E-2</v>
      </c>
      <c r="X1571" s="473" t="s">
        <v>290</v>
      </c>
      <c r="Y1571" s="474" t="s">
        <v>97</v>
      </c>
      <c r="Z1571" s="102">
        <v>13633</v>
      </c>
      <c r="AA1571" s="468">
        <f>(Table6[[#This Row],[Paired WTG Generation for loss calculation]]/24)*Table6[[#This Row],[Breakdown Time]]</f>
        <v>1202.3548611111105</v>
      </c>
      <c r="AB1571" s="102"/>
      <c r="AC1571" s="35"/>
      <c r="AD1571" s="35"/>
    </row>
    <row r="1572" spans="1:30">
      <c r="A1572" s="102">
        <f t="shared" si="25"/>
        <v>1571</v>
      </c>
      <c r="B1572" s="468">
        <f>YEAR(Table6[[#This Row],[Date]])+IF(MONTH(Table6[[#This Row],[Date]])&gt;=4,1,0)</f>
        <v>2026</v>
      </c>
      <c r="C1572" s="102">
        <f>YEAR(Table6[[#This Row],[Date]])</f>
        <v>2025</v>
      </c>
      <c r="D1572" s="102" t="s">
        <v>1992</v>
      </c>
      <c r="E1572" s="469">
        <f>Table6[[#This Row],[Date]]-DAY(Table6[[#This Row],[Date]])+1</f>
        <v>45839</v>
      </c>
      <c r="F1572" s="470">
        <v>45856</v>
      </c>
      <c r="G1572" s="35" t="s">
        <v>82</v>
      </c>
      <c r="H1572" s="35" t="str">
        <f>IFERROR(_xlfn.XLOOKUP(Table6[[#This Row],[Affected WTG]],'Basic Data'!$A:$A,'Basic Data'!$B:$B),"")</f>
        <v>TQGXIIPL</v>
      </c>
      <c r="I1572" s="35" t="str">
        <f>IFERROR(_xlfn.XLOOKUP(Table6[[#This Row],[Affected WTG]],'Basic Data'!$A:$A,'Basic Data'!$C:$C),"")</f>
        <v>GEDA</v>
      </c>
      <c r="J1572" s="471">
        <f>IFERROR(_xlfn.XLOOKUP(Table6[[#This Row],[Affected WTG]],'Basic Data'!$A:$A,'Basic Data'!$E:$E),"")</f>
        <v>3.846153846153845E-2</v>
      </c>
      <c r="K1572" s="102">
        <v>55</v>
      </c>
      <c r="L1572" s="35" t="str">
        <f>IFERROR(_xlfn.XLOOKUP(Table6[[#This Row],[Error Code]],'Basic Data'!$AA:$AA,'Basic Data'!$AB:$AB),"Incorrect Error Code")</f>
        <v>WTG shut down</v>
      </c>
      <c r="M1572" s="35" t="s">
        <v>291</v>
      </c>
      <c r="N1572" s="475"/>
      <c r="O1572" s="476">
        <v>0.66041666666666665</v>
      </c>
      <c r="P1572" s="476">
        <v>0.66041666666666665</v>
      </c>
      <c r="Q1572" s="477">
        <v>0.71944444444444444</v>
      </c>
      <c r="R1572" s="472">
        <f>IF(Table6[[#This Row],[Work Start TimeStamp]]="","",(Table6[[#This Row],[Work Start TimeStamp]]-Table6[[#This Row],[Fault Start TimeStamp]])*24)</f>
        <v>0</v>
      </c>
      <c r="S1572" s="472">
        <f>(Table6[[#This Row],[Fault Clearance time]]-Table6[[#This Row],[Work Start TimeStamp]])*24</f>
        <v>1.416666666666667</v>
      </c>
      <c r="T1572" s="472">
        <f>(Table6[[#This Row],[Fault Clearance time]]-Table6[[#This Row],[Fault Start TimeStamp]])*24</f>
        <v>1.416666666666667</v>
      </c>
      <c r="U1572" s="35" t="s">
        <v>2088</v>
      </c>
      <c r="V1572" s="102" t="s">
        <v>293</v>
      </c>
      <c r="W1572" s="549">
        <f>IFERROR(Table6[[#This Row],[Breakdown Time]]*Table6[[#This Row],[Plant Equivalent Weightage]],"")</f>
        <v>5.4487179487179481E-2</v>
      </c>
      <c r="X1572" s="473" t="s">
        <v>290</v>
      </c>
      <c r="Y1572" s="474" t="s">
        <v>76</v>
      </c>
      <c r="Z1572" s="102">
        <v>19227</v>
      </c>
      <c r="AA1572" s="468">
        <f>(Table6[[#This Row],[Paired WTG Generation for loss calculation]]/24)*Table6[[#This Row],[Breakdown Time]]</f>
        <v>1134.9270833333335</v>
      </c>
      <c r="AB1572" s="102"/>
      <c r="AC1572" s="35"/>
      <c r="AD1572" s="35"/>
    </row>
    <row r="1573" spans="1:30">
      <c r="A1573" s="102">
        <f t="shared" si="25"/>
        <v>1572</v>
      </c>
      <c r="B1573" s="468">
        <f>YEAR(Table6[[#This Row],[Date]])+IF(MONTH(Table6[[#This Row],[Date]])&gt;=4,1,0)</f>
        <v>2026</v>
      </c>
      <c r="C1573" s="102">
        <f>YEAR(Table6[[#This Row],[Date]])</f>
        <v>2025</v>
      </c>
      <c r="D1573" s="102" t="s">
        <v>1992</v>
      </c>
      <c r="E1573" s="469">
        <f>Table6[[#This Row],[Date]]-DAY(Table6[[#This Row],[Date]])+1</f>
        <v>45839</v>
      </c>
      <c r="F1573" s="470">
        <v>45856</v>
      </c>
      <c r="G1573" s="35" t="s">
        <v>92</v>
      </c>
      <c r="H1573" s="35" t="str">
        <f>IFERROR(_xlfn.XLOOKUP(Table6[[#This Row],[Affected WTG]],'Basic Data'!$A:$A,'Basic Data'!$B:$B),"")</f>
        <v>TQGXIIPL</v>
      </c>
      <c r="I1573" s="35" t="str">
        <f>IFERROR(_xlfn.XLOOKUP(Table6[[#This Row],[Affected WTG]],'Basic Data'!$A:$A,'Basic Data'!$C:$C),"")</f>
        <v>GEDA</v>
      </c>
      <c r="J1573" s="471">
        <f>IFERROR(_xlfn.XLOOKUP(Table6[[#This Row],[Affected WTG]],'Basic Data'!$A:$A,'Basic Data'!$E:$E),"")</f>
        <v>3.846153846153845E-2</v>
      </c>
      <c r="K1573" s="102">
        <v>55</v>
      </c>
      <c r="L1573" s="35" t="str">
        <f>IFERROR(_xlfn.XLOOKUP(Table6[[#This Row],[Error Code]],'Basic Data'!$AA:$AA,'Basic Data'!$AB:$AB),"Incorrect Error Code")</f>
        <v>WTG shut down</v>
      </c>
      <c r="M1573" s="35" t="s">
        <v>291</v>
      </c>
      <c r="N1573" s="475"/>
      <c r="O1573" s="476">
        <v>0.49930555555555556</v>
      </c>
      <c r="P1573" s="476">
        <v>0.49930555555555556</v>
      </c>
      <c r="Q1573" s="477">
        <v>0.57152777777777775</v>
      </c>
      <c r="R1573" s="472">
        <f>IF(Table6[[#This Row],[Work Start TimeStamp]]="","",(Table6[[#This Row],[Work Start TimeStamp]]-Table6[[#This Row],[Fault Start TimeStamp]])*24)</f>
        <v>0</v>
      </c>
      <c r="S1573" s="472">
        <f>(Table6[[#This Row],[Fault Clearance time]]-Table6[[#This Row],[Work Start TimeStamp]])*24</f>
        <v>1.7333333333333325</v>
      </c>
      <c r="T1573" s="472">
        <f>(Table6[[#This Row],[Fault Clearance time]]-Table6[[#This Row],[Fault Start TimeStamp]])*24</f>
        <v>1.7333333333333325</v>
      </c>
      <c r="U1573" s="35" t="s">
        <v>2088</v>
      </c>
      <c r="V1573" s="102" t="s">
        <v>293</v>
      </c>
      <c r="W1573" s="549">
        <f>IFERROR(Table6[[#This Row],[Breakdown Time]]*Table6[[#This Row],[Plant Equivalent Weightage]],"")</f>
        <v>6.666666666666661E-2</v>
      </c>
      <c r="X1573" s="473" t="s">
        <v>290</v>
      </c>
      <c r="Y1573" s="474" t="s">
        <v>80</v>
      </c>
      <c r="Z1573" s="102">
        <v>18294</v>
      </c>
      <c r="AA1573" s="468">
        <f>(Table6[[#This Row],[Paired WTG Generation for loss calculation]]/24)*Table6[[#This Row],[Breakdown Time]]</f>
        <v>1321.2333333333327</v>
      </c>
      <c r="AB1573" s="102"/>
      <c r="AC1573" s="35"/>
      <c r="AD1573" s="35"/>
    </row>
    <row r="1574" spans="1:30">
      <c r="A1574" s="102">
        <f t="shared" si="25"/>
        <v>1573</v>
      </c>
      <c r="B1574" s="468">
        <f>YEAR(Table6[[#This Row],[Date]])+IF(MONTH(Table6[[#This Row],[Date]])&gt;=4,1,0)</f>
        <v>2026</v>
      </c>
      <c r="C1574" s="102">
        <f>YEAR(Table6[[#This Row],[Date]])</f>
        <v>2025</v>
      </c>
      <c r="D1574" s="102" t="s">
        <v>1992</v>
      </c>
      <c r="E1574" s="469">
        <f>Table6[[#This Row],[Date]]-DAY(Table6[[#This Row],[Date]])+1</f>
        <v>45839</v>
      </c>
      <c r="F1574" s="470">
        <v>45857</v>
      </c>
      <c r="G1574" s="35" t="s">
        <v>74</v>
      </c>
      <c r="H1574" s="35" t="str">
        <f>IFERROR(_xlfn.XLOOKUP(Table6[[#This Row],[Affected WTG]],'Basic Data'!$A:$A,'Basic Data'!$B:$B),"")</f>
        <v>TQGXIIPL</v>
      </c>
      <c r="I1574" s="35" t="str">
        <f>IFERROR(_xlfn.XLOOKUP(Table6[[#This Row],[Affected WTG]],'Basic Data'!$A:$A,'Basic Data'!$C:$C),"")</f>
        <v>GEDA</v>
      </c>
      <c r="J1574" s="471">
        <f>IFERROR(_xlfn.XLOOKUP(Table6[[#This Row],[Affected WTG]],'Basic Data'!$A:$A,'Basic Data'!$E:$E),"")</f>
        <v>3.846153846153845E-2</v>
      </c>
      <c r="K1574" s="102">
        <v>6130</v>
      </c>
      <c r="L1574" s="35" t="str">
        <f>IFERROR(_xlfn.XLOOKUP(Table6[[#This Row],[Error Code]],'Basic Data'!$AA:$AA,'Basic Data'!$AB:$AB),"Incorrect Error Code")</f>
        <v>Yaw speed high</v>
      </c>
      <c r="M1574" s="35" t="s">
        <v>291</v>
      </c>
      <c r="N1574" s="475"/>
      <c r="O1574" s="476">
        <v>0.6069444444444444</v>
      </c>
      <c r="P1574" s="476">
        <v>0.6069444444444444</v>
      </c>
      <c r="Q1574" s="477">
        <v>0.60902777777777772</v>
      </c>
      <c r="R1574" s="472">
        <f>IF(Table6[[#This Row],[Work Start TimeStamp]]="","",(Table6[[#This Row],[Work Start TimeStamp]]-Table6[[#This Row],[Fault Start TimeStamp]])*24)</f>
        <v>0</v>
      </c>
      <c r="S1574" s="472">
        <f>(Table6[[#This Row],[Fault Clearance time]]-Table6[[#This Row],[Work Start TimeStamp]])*24</f>
        <v>4.9999999999999822E-2</v>
      </c>
      <c r="T1574" s="472">
        <f>(Table6[[#This Row],[Fault Clearance time]]-Table6[[#This Row],[Fault Start TimeStamp]])*24</f>
        <v>4.9999999999999822E-2</v>
      </c>
      <c r="U1574" s="35" t="s">
        <v>1924</v>
      </c>
      <c r="V1574" s="102" t="s">
        <v>293</v>
      </c>
      <c r="W1574" s="549">
        <f>IFERROR(Table6[[#This Row],[Breakdown Time]]*Table6[[#This Row],[Plant Equivalent Weightage]],"")</f>
        <v>1.9230769230769156E-3</v>
      </c>
      <c r="X1574" s="473" t="s">
        <v>290</v>
      </c>
      <c r="Y1574" s="474" t="s">
        <v>99</v>
      </c>
      <c r="Z1574" s="102">
        <v>27719</v>
      </c>
      <c r="AA1574" s="468">
        <f>(Table6[[#This Row],[Paired WTG Generation for loss calculation]]/24)*Table6[[#This Row],[Breakdown Time]]</f>
        <v>57.747916666666455</v>
      </c>
      <c r="AB1574" s="102"/>
      <c r="AC1574" s="35"/>
      <c r="AD1574" s="35"/>
    </row>
    <row r="1575" spans="1:30">
      <c r="A1575" s="102">
        <f t="shared" si="25"/>
        <v>1574</v>
      </c>
      <c r="B1575" s="468">
        <f>YEAR(Table6[[#This Row],[Date]])+IF(MONTH(Table6[[#This Row],[Date]])&gt;=4,1,0)</f>
        <v>2026</v>
      </c>
      <c r="C1575" s="102">
        <f>YEAR(Table6[[#This Row],[Date]])</f>
        <v>2025</v>
      </c>
      <c r="D1575" s="102" t="s">
        <v>1992</v>
      </c>
      <c r="E1575" s="469">
        <f>Table6[[#This Row],[Date]]-DAY(Table6[[#This Row],[Date]])+1</f>
        <v>45839</v>
      </c>
      <c r="F1575" s="470">
        <v>45857</v>
      </c>
      <c r="G1575" s="35" t="s">
        <v>80</v>
      </c>
      <c r="H1575" s="35" t="str">
        <f>IFERROR(_xlfn.XLOOKUP(Table6[[#This Row],[Affected WTG]],'Basic Data'!$A:$A,'Basic Data'!$B:$B),"")</f>
        <v>TQGXIIPL</v>
      </c>
      <c r="I1575" s="35" t="str">
        <f>IFERROR(_xlfn.XLOOKUP(Table6[[#This Row],[Affected WTG]],'Basic Data'!$A:$A,'Basic Data'!$C:$C),"")</f>
        <v>GEDA</v>
      </c>
      <c r="J1575" s="471">
        <f>IFERROR(_xlfn.XLOOKUP(Table6[[#This Row],[Affected WTG]],'Basic Data'!$A:$A,'Basic Data'!$E:$E),"")</f>
        <v>3.846153846153845E-2</v>
      </c>
      <c r="K1575" s="102">
        <v>175</v>
      </c>
      <c r="L1575" s="35" t="str">
        <f>IFERROR(_xlfn.XLOOKUP(Table6[[#This Row],[Error Code]],'Basic Data'!$AA:$AA,'Basic Data'!$AB:$AB),"Incorrect Error Code")</f>
        <v>SLC error</v>
      </c>
      <c r="M1575" s="35" t="s">
        <v>291</v>
      </c>
      <c r="N1575" s="475"/>
      <c r="O1575" s="476">
        <v>0.35972222222222222</v>
      </c>
      <c r="P1575" s="476">
        <v>0.35972222222222222</v>
      </c>
      <c r="Q1575" s="477">
        <v>0.375</v>
      </c>
      <c r="R1575" s="472">
        <f>IF(Table6[[#This Row],[Work Start TimeStamp]]="","",(Table6[[#This Row],[Work Start TimeStamp]]-Table6[[#This Row],[Fault Start TimeStamp]])*24)</f>
        <v>0</v>
      </c>
      <c r="S1575" s="472">
        <f>(Table6[[#This Row],[Fault Clearance time]]-Table6[[#This Row],[Work Start TimeStamp]])*24</f>
        <v>0.3666666666666667</v>
      </c>
      <c r="T1575" s="472">
        <f>(Table6[[#This Row],[Fault Clearance time]]-Table6[[#This Row],[Fault Start TimeStamp]])*24</f>
        <v>0.3666666666666667</v>
      </c>
      <c r="U1575" s="35" t="s">
        <v>1924</v>
      </c>
      <c r="V1575" s="102" t="s">
        <v>293</v>
      </c>
      <c r="W1575" s="549">
        <f>IFERROR(Table6[[#This Row],[Breakdown Time]]*Table6[[#This Row],[Plant Equivalent Weightage]],"")</f>
        <v>1.4102564102564099E-2</v>
      </c>
      <c r="X1575" s="473" t="s">
        <v>290</v>
      </c>
      <c r="Y1575" s="474" t="s">
        <v>77</v>
      </c>
      <c r="Z1575" s="102">
        <v>28603</v>
      </c>
      <c r="AA1575" s="468">
        <f>(Table6[[#This Row],[Paired WTG Generation for loss calculation]]/24)*Table6[[#This Row],[Breakdown Time]]</f>
        <v>436.99027777777786</v>
      </c>
      <c r="AB1575" s="102"/>
      <c r="AC1575" s="35"/>
      <c r="AD1575" s="35"/>
    </row>
    <row r="1576" spans="1:30">
      <c r="A1576" s="102">
        <f t="shared" si="25"/>
        <v>1575</v>
      </c>
      <c r="B1576" s="468">
        <f>YEAR(Table6[[#This Row],[Date]])+IF(MONTH(Table6[[#This Row],[Date]])&gt;=4,1,0)</f>
        <v>2026</v>
      </c>
      <c r="C1576" s="102">
        <f>YEAR(Table6[[#This Row],[Date]])</f>
        <v>2025</v>
      </c>
      <c r="D1576" s="102" t="s">
        <v>1992</v>
      </c>
      <c r="E1576" s="469">
        <f>Table6[[#This Row],[Date]]-DAY(Table6[[#This Row],[Date]])+1</f>
        <v>45839</v>
      </c>
      <c r="F1576" s="470">
        <v>45857</v>
      </c>
      <c r="G1576" s="35" t="s">
        <v>83</v>
      </c>
      <c r="H1576" s="35" t="str">
        <f>IFERROR(_xlfn.XLOOKUP(Table6[[#This Row],[Affected WTG]],'Basic Data'!$A:$A,'Basic Data'!$B:$B),"")</f>
        <v>TQGXIIPL</v>
      </c>
      <c r="I1576" s="35" t="str">
        <f>IFERROR(_xlfn.XLOOKUP(Table6[[#This Row],[Affected WTG]],'Basic Data'!$A:$A,'Basic Data'!$C:$C),"")</f>
        <v>GEDA</v>
      </c>
      <c r="J1576" s="471">
        <f>IFERROR(_xlfn.XLOOKUP(Table6[[#This Row],[Affected WTG]],'Basic Data'!$A:$A,'Basic Data'!$E:$E),"")</f>
        <v>3.846153846153845E-2</v>
      </c>
      <c r="K1576" s="102">
        <v>6130</v>
      </c>
      <c r="L1576" s="35" t="str">
        <f>IFERROR(_xlfn.XLOOKUP(Table6[[#This Row],[Error Code]],'Basic Data'!$AA:$AA,'Basic Data'!$AB:$AB),"Incorrect Error Code")</f>
        <v>Yaw speed high</v>
      </c>
      <c r="M1576" s="35" t="s">
        <v>291</v>
      </c>
      <c r="N1576" s="475"/>
      <c r="O1576" s="476">
        <v>0.64236111111111116</v>
      </c>
      <c r="P1576" s="476">
        <v>0.64236111111111116</v>
      </c>
      <c r="Q1576" s="477">
        <v>0.64513888888888893</v>
      </c>
      <c r="R1576" s="472">
        <f>IF(Table6[[#This Row],[Work Start TimeStamp]]="","",(Table6[[#This Row],[Work Start TimeStamp]]-Table6[[#This Row],[Fault Start TimeStamp]])*24)</f>
        <v>0</v>
      </c>
      <c r="S1576" s="472">
        <f>(Table6[[#This Row],[Fault Clearance time]]-Table6[[#This Row],[Work Start TimeStamp]])*24</f>
        <v>6.666666666666643E-2</v>
      </c>
      <c r="T1576" s="472">
        <f>(Table6[[#This Row],[Fault Clearance time]]-Table6[[#This Row],[Fault Start TimeStamp]])*24</f>
        <v>6.666666666666643E-2</v>
      </c>
      <c r="U1576" s="35" t="s">
        <v>1924</v>
      </c>
      <c r="V1576" s="102" t="s">
        <v>293</v>
      </c>
      <c r="W1576" s="549">
        <f>IFERROR(Table6[[#This Row],[Breakdown Time]]*Table6[[#This Row],[Plant Equivalent Weightage]],"")</f>
        <v>2.5641025641025541E-3</v>
      </c>
      <c r="X1576" s="473" t="s">
        <v>290</v>
      </c>
      <c r="Y1576" s="474" t="s">
        <v>88</v>
      </c>
      <c r="Z1576" s="102">
        <v>24294</v>
      </c>
      <c r="AA1576" s="468">
        <f>(Table6[[#This Row],[Paired WTG Generation for loss calculation]]/24)*Table6[[#This Row],[Breakdown Time]]</f>
        <v>67.483333333333093</v>
      </c>
      <c r="AB1576" s="102"/>
      <c r="AC1576" s="35"/>
      <c r="AD1576" s="35"/>
    </row>
    <row r="1577" spans="1:30">
      <c r="A1577" s="102">
        <f t="shared" si="25"/>
        <v>1576</v>
      </c>
      <c r="B1577" s="468">
        <f>YEAR(Table6[[#This Row],[Date]])+IF(MONTH(Table6[[#This Row],[Date]])&gt;=4,1,0)</f>
        <v>2026</v>
      </c>
      <c r="C1577" s="102">
        <f>YEAR(Table6[[#This Row],[Date]])</f>
        <v>2025</v>
      </c>
      <c r="D1577" s="102" t="s">
        <v>1992</v>
      </c>
      <c r="E1577" s="469">
        <f>Table6[[#This Row],[Date]]-DAY(Table6[[#This Row],[Date]])+1</f>
        <v>45839</v>
      </c>
      <c r="F1577" s="470">
        <v>45857</v>
      </c>
      <c r="G1577" s="35" t="s">
        <v>88</v>
      </c>
      <c r="H1577" s="35" t="str">
        <f>IFERROR(_xlfn.XLOOKUP(Table6[[#This Row],[Affected WTG]],'Basic Data'!$A:$A,'Basic Data'!$B:$B),"")</f>
        <v>TQGXIIPL</v>
      </c>
      <c r="I1577" s="35" t="str">
        <f>IFERROR(_xlfn.XLOOKUP(Table6[[#This Row],[Affected WTG]],'Basic Data'!$A:$A,'Basic Data'!$C:$C),"")</f>
        <v>GEDA</v>
      </c>
      <c r="J1577" s="471">
        <f>IFERROR(_xlfn.XLOOKUP(Table6[[#This Row],[Affected WTG]],'Basic Data'!$A:$A,'Basic Data'!$E:$E),"")</f>
        <v>3.846153846153845E-2</v>
      </c>
      <c r="K1577" s="102">
        <v>55</v>
      </c>
      <c r="L1577" s="35" t="str">
        <f>IFERROR(_xlfn.XLOOKUP(Table6[[#This Row],[Error Code]],'Basic Data'!$AA:$AA,'Basic Data'!$AB:$AB),"Incorrect Error Code")</f>
        <v>WTG shut down</v>
      </c>
      <c r="M1577" s="35" t="s">
        <v>291</v>
      </c>
      <c r="N1577" s="475"/>
      <c r="O1577" s="476">
        <v>0.65833333333333333</v>
      </c>
      <c r="P1577" s="476">
        <v>0.65833333333333333</v>
      </c>
      <c r="Q1577" s="477">
        <v>0.70208333333333328</v>
      </c>
      <c r="R1577" s="472">
        <f>IF(Table6[[#This Row],[Work Start TimeStamp]]="","",(Table6[[#This Row],[Work Start TimeStamp]]-Table6[[#This Row],[Fault Start TimeStamp]])*24)</f>
        <v>0</v>
      </c>
      <c r="S1577" s="472">
        <f>(Table6[[#This Row],[Fault Clearance time]]-Table6[[#This Row],[Work Start TimeStamp]])*24</f>
        <v>1.0499999999999989</v>
      </c>
      <c r="T1577" s="472">
        <f>(Table6[[#This Row],[Fault Clearance time]]-Table6[[#This Row],[Fault Start TimeStamp]])*24</f>
        <v>1.0499999999999989</v>
      </c>
      <c r="U1577" s="35" t="s">
        <v>2104</v>
      </c>
      <c r="V1577" s="102" t="s">
        <v>293</v>
      </c>
      <c r="W1577" s="549">
        <f>IFERROR(Table6[[#This Row],[Breakdown Time]]*Table6[[#This Row],[Plant Equivalent Weightage]],"")</f>
        <v>4.0384615384615331E-2</v>
      </c>
      <c r="X1577" s="473" t="s">
        <v>290</v>
      </c>
      <c r="Y1577" s="474" t="s">
        <v>83</v>
      </c>
      <c r="Z1577" s="102">
        <v>25937</v>
      </c>
      <c r="AA1577" s="468">
        <f>(Table6[[#This Row],[Paired WTG Generation for loss calculation]]/24)*Table6[[#This Row],[Breakdown Time]]</f>
        <v>1134.7437499999987</v>
      </c>
      <c r="AB1577" s="102"/>
      <c r="AC1577" s="35"/>
      <c r="AD1577" s="35"/>
    </row>
    <row r="1578" spans="1:30">
      <c r="A1578" s="102">
        <f t="shared" si="25"/>
        <v>1577</v>
      </c>
      <c r="B1578" s="468">
        <f>YEAR(Table6[[#This Row],[Date]])+IF(MONTH(Table6[[#This Row],[Date]])&gt;=4,1,0)</f>
        <v>2026</v>
      </c>
      <c r="C1578" s="102">
        <f>YEAR(Table6[[#This Row],[Date]])</f>
        <v>2025</v>
      </c>
      <c r="D1578" s="102" t="s">
        <v>1992</v>
      </c>
      <c r="E1578" s="469">
        <f>Table6[[#This Row],[Date]]-DAY(Table6[[#This Row],[Date]])+1</f>
        <v>45839</v>
      </c>
      <c r="F1578" s="470">
        <v>45857</v>
      </c>
      <c r="G1578" s="35" t="s">
        <v>89</v>
      </c>
      <c r="H1578" s="35" t="str">
        <f>IFERROR(_xlfn.XLOOKUP(Table6[[#This Row],[Affected WTG]],'Basic Data'!$A:$A,'Basic Data'!$B:$B),"")</f>
        <v>TQGXIIPL</v>
      </c>
      <c r="I1578" s="35" t="str">
        <f>IFERROR(_xlfn.XLOOKUP(Table6[[#This Row],[Affected WTG]],'Basic Data'!$A:$A,'Basic Data'!$C:$C),"")</f>
        <v>GEDA</v>
      </c>
      <c r="J1578" s="471">
        <f>IFERROR(_xlfn.XLOOKUP(Table6[[#This Row],[Affected WTG]],'Basic Data'!$A:$A,'Basic Data'!$E:$E),"")</f>
        <v>3.846153846153845E-2</v>
      </c>
      <c r="K1578" s="102">
        <v>55</v>
      </c>
      <c r="L1578" s="35" t="str">
        <f>IFERROR(_xlfn.XLOOKUP(Table6[[#This Row],[Error Code]],'Basic Data'!$AA:$AA,'Basic Data'!$AB:$AB),"Incorrect Error Code")</f>
        <v>WTG shut down</v>
      </c>
      <c r="M1578" s="35" t="s">
        <v>291</v>
      </c>
      <c r="N1578" s="475"/>
      <c r="O1578" s="476">
        <v>0.49166666666666664</v>
      </c>
      <c r="P1578" s="476">
        <v>0.49166666666666664</v>
      </c>
      <c r="Q1578" s="477">
        <v>0.52777777777777779</v>
      </c>
      <c r="R1578" s="472">
        <f>IF(Table6[[#This Row],[Work Start TimeStamp]]="","",(Table6[[#This Row],[Work Start TimeStamp]]-Table6[[#This Row],[Fault Start TimeStamp]])*24)</f>
        <v>0</v>
      </c>
      <c r="S1578" s="472">
        <f>(Table6[[#This Row],[Fault Clearance time]]-Table6[[#This Row],[Work Start TimeStamp]])*24</f>
        <v>0.86666666666666758</v>
      </c>
      <c r="T1578" s="472">
        <f>(Table6[[#This Row],[Fault Clearance time]]-Table6[[#This Row],[Fault Start TimeStamp]])*24</f>
        <v>0.86666666666666758</v>
      </c>
      <c r="U1578" s="35" t="s">
        <v>2104</v>
      </c>
      <c r="V1578" s="102" t="s">
        <v>293</v>
      </c>
      <c r="W1578" s="549">
        <f>IFERROR(Table6[[#This Row],[Breakdown Time]]*Table6[[#This Row],[Plant Equivalent Weightage]],"")</f>
        <v>3.3333333333333361E-2</v>
      </c>
      <c r="X1578" s="473" t="s">
        <v>290</v>
      </c>
      <c r="Y1578" s="474" t="s">
        <v>94</v>
      </c>
      <c r="Z1578" s="102">
        <v>30391</v>
      </c>
      <c r="AA1578" s="468">
        <f>(Table6[[#This Row],[Paired WTG Generation for loss calculation]]/24)*Table6[[#This Row],[Breakdown Time]]</f>
        <v>1097.4527777777789</v>
      </c>
      <c r="AB1578" s="102"/>
      <c r="AC1578" s="35"/>
      <c r="AD1578" s="35"/>
    </row>
    <row r="1579" spans="1:30">
      <c r="A1579" s="102">
        <f t="shared" si="25"/>
        <v>1578</v>
      </c>
      <c r="B1579" s="468">
        <f>YEAR(Table6[[#This Row],[Date]])+IF(MONTH(Table6[[#This Row],[Date]])&gt;=4,1,0)</f>
        <v>2026</v>
      </c>
      <c r="C1579" s="102">
        <f>YEAR(Table6[[#This Row],[Date]])</f>
        <v>2025</v>
      </c>
      <c r="D1579" s="102" t="s">
        <v>1992</v>
      </c>
      <c r="E1579" s="469">
        <f>Table6[[#This Row],[Date]]-DAY(Table6[[#This Row],[Date]])+1</f>
        <v>45839</v>
      </c>
      <c r="F1579" s="470">
        <v>45858</v>
      </c>
      <c r="G1579" s="35" t="s">
        <v>74</v>
      </c>
      <c r="H1579" s="35" t="str">
        <f>IFERROR(_xlfn.XLOOKUP(Table6[[#This Row],[Affected WTG]],'Basic Data'!$A:$A,'Basic Data'!$B:$B),"")</f>
        <v>TQGXIIPL</v>
      </c>
      <c r="I1579" s="35" t="str">
        <f>IFERROR(_xlfn.XLOOKUP(Table6[[#This Row],[Affected WTG]],'Basic Data'!$A:$A,'Basic Data'!$C:$C),"")</f>
        <v>GEDA</v>
      </c>
      <c r="J1579" s="471">
        <f>IFERROR(_xlfn.XLOOKUP(Table6[[#This Row],[Affected WTG]],'Basic Data'!$A:$A,'Basic Data'!$E:$E),"")</f>
        <v>3.846153846153845E-2</v>
      </c>
      <c r="K1579" s="102">
        <v>175</v>
      </c>
      <c r="L1579" s="35" t="str">
        <f>IFERROR(_xlfn.XLOOKUP(Table6[[#This Row],[Error Code]],'Basic Data'!$AA:$AA,'Basic Data'!$AB:$AB),"Incorrect Error Code")</f>
        <v>SLC error</v>
      </c>
      <c r="M1579" s="35" t="s">
        <v>291</v>
      </c>
      <c r="N1579" s="475"/>
      <c r="O1579" s="476">
        <v>0.37291666666666667</v>
      </c>
      <c r="P1579" s="476">
        <v>0.37291666666666667</v>
      </c>
      <c r="Q1579" s="477">
        <v>0.37430555555555556</v>
      </c>
      <c r="R1579" s="472">
        <f>IF(Table6[[#This Row],[Work Start TimeStamp]]="","",(Table6[[#This Row],[Work Start TimeStamp]]-Table6[[#This Row],[Fault Start TimeStamp]])*24)</f>
        <v>0</v>
      </c>
      <c r="S1579" s="472">
        <f>(Table6[[#This Row],[Fault Clearance time]]-Table6[[#This Row],[Work Start TimeStamp]])*24</f>
        <v>3.3333333333333215E-2</v>
      </c>
      <c r="T1579" s="472">
        <f>(Table6[[#This Row],[Fault Clearance time]]-Table6[[#This Row],[Fault Start TimeStamp]])*24</f>
        <v>3.3333333333333215E-2</v>
      </c>
      <c r="U1579" s="35" t="s">
        <v>1924</v>
      </c>
      <c r="V1579" s="102" t="s">
        <v>293</v>
      </c>
      <c r="W1579" s="549">
        <f>IFERROR(Table6[[#This Row],[Breakdown Time]]*Table6[[#This Row],[Plant Equivalent Weightage]],"")</f>
        <v>1.2820512820512771E-3</v>
      </c>
      <c r="X1579" s="473" t="s">
        <v>294</v>
      </c>
      <c r="Y1579" s="474" t="s">
        <v>99</v>
      </c>
      <c r="Z1579" s="102">
        <v>18765</v>
      </c>
      <c r="AA1579" s="468">
        <f>(Table6[[#This Row],[Paired WTG Generation for loss calculation]]/24)*Table6[[#This Row],[Breakdown Time]]</f>
        <v>26.062499999999908</v>
      </c>
      <c r="AB1579" s="102"/>
      <c r="AC1579" s="35"/>
      <c r="AD1579" s="35"/>
    </row>
    <row r="1580" spans="1:30">
      <c r="A1580" s="102">
        <f t="shared" si="25"/>
        <v>1579</v>
      </c>
      <c r="B1580" s="468">
        <f>YEAR(Table6[[#This Row],[Date]])+IF(MONTH(Table6[[#This Row],[Date]])&gt;=4,1,0)</f>
        <v>2026</v>
      </c>
      <c r="C1580" s="102">
        <f>YEAR(Table6[[#This Row],[Date]])</f>
        <v>2025</v>
      </c>
      <c r="D1580" s="102" t="s">
        <v>1992</v>
      </c>
      <c r="E1580" s="469">
        <f>Table6[[#This Row],[Date]]-DAY(Table6[[#This Row],[Date]])+1</f>
        <v>45839</v>
      </c>
      <c r="F1580" s="470">
        <v>45858</v>
      </c>
      <c r="G1580" s="35" t="s">
        <v>75</v>
      </c>
      <c r="H1580" s="35" t="str">
        <f>IFERROR(_xlfn.XLOOKUP(Table6[[#This Row],[Affected WTG]],'Basic Data'!$A:$A,'Basic Data'!$B:$B),"")</f>
        <v>TQGXIIPL</v>
      </c>
      <c r="I1580" s="35" t="str">
        <f>IFERROR(_xlfn.XLOOKUP(Table6[[#This Row],[Affected WTG]],'Basic Data'!$A:$A,'Basic Data'!$C:$C),"")</f>
        <v>GEDA</v>
      </c>
      <c r="J1580" s="471">
        <f>IFERROR(_xlfn.XLOOKUP(Table6[[#This Row],[Affected WTG]],'Basic Data'!$A:$A,'Basic Data'!$E:$E),"")</f>
        <v>3.846153846153845E-2</v>
      </c>
      <c r="K1580" s="102">
        <v>175</v>
      </c>
      <c r="L1580" s="35" t="str">
        <f>IFERROR(_xlfn.XLOOKUP(Table6[[#This Row],[Error Code]],'Basic Data'!$AA:$AA,'Basic Data'!$AB:$AB),"Incorrect Error Code")</f>
        <v>SLC error</v>
      </c>
      <c r="M1580" s="35" t="s">
        <v>291</v>
      </c>
      <c r="N1580" s="475"/>
      <c r="O1580" s="476">
        <v>0.3923611111111111</v>
      </c>
      <c r="P1580" s="476">
        <v>0.3923611111111111</v>
      </c>
      <c r="Q1580" s="477">
        <v>0.39374999999999999</v>
      </c>
      <c r="R1580" s="472">
        <f>IF(Table6[[#This Row],[Work Start TimeStamp]]="","",(Table6[[#This Row],[Work Start TimeStamp]]-Table6[[#This Row],[Fault Start TimeStamp]])*24)</f>
        <v>0</v>
      </c>
      <c r="S1580" s="472">
        <f>(Table6[[#This Row],[Fault Clearance time]]-Table6[[#This Row],[Work Start TimeStamp]])*24</f>
        <v>3.3333333333333215E-2</v>
      </c>
      <c r="T1580" s="472">
        <f>(Table6[[#This Row],[Fault Clearance time]]-Table6[[#This Row],[Fault Start TimeStamp]])*24</f>
        <v>3.3333333333333215E-2</v>
      </c>
      <c r="U1580" s="35" t="s">
        <v>1924</v>
      </c>
      <c r="V1580" s="102" t="s">
        <v>293</v>
      </c>
      <c r="W1580" s="549">
        <f>IFERROR(Table6[[#This Row],[Breakdown Time]]*Table6[[#This Row],[Plant Equivalent Weightage]],"")</f>
        <v>1.2820512820512771E-3</v>
      </c>
      <c r="X1580" s="473" t="s">
        <v>294</v>
      </c>
      <c r="Y1580" s="474" t="s">
        <v>78</v>
      </c>
      <c r="Z1580" s="102">
        <v>19843</v>
      </c>
      <c r="AA1580" s="468">
        <f>(Table6[[#This Row],[Paired WTG Generation for loss calculation]]/24)*Table6[[#This Row],[Breakdown Time]]</f>
        <v>27.559722222222124</v>
      </c>
      <c r="AB1580" s="102"/>
      <c r="AC1580" s="35"/>
      <c r="AD1580" s="35"/>
    </row>
    <row r="1581" spans="1:30">
      <c r="A1581" s="102">
        <f t="shared" si="25"/>
        <v>1580</v>
      </c>
      <c r="B1581" s="468">
        <f>YEAR(Table6[[#This Row],[Date]])+IF(MONTH(Table6[[#This Row],[Date]])&gt;=4,1,0)</f>
        <v>2026</v>
      </c>
      <c r="C1581" s="102">
        <f>YEAR(Table6[[#This Row],[Date]])</f>
        <v>2025</v>
      </c>
      <c r="D1581" s="102" t="s">
        <v>1992</v>
      </c>
      <c r="E1581" s="469">
        <f>Table6[[#This Row],[Date]]-DAY(Table6[[#This Row],[Date]])+1</f>
        <v>45839</v>
      </c>
      <c r="F1581" s="470">
        <v>45858</v>
      </c>
      <c r="G1581" s="35" t="s">
        <v>78</v>
      </c>
      <c r="H1581" s="35" t="str">
        <f>IFERROR(_xlfn.XLOOKUP(Table6[[#This Row],[Affected WTG]],'Basic Data'!$A:$A,'Basic Data'!$B:$B),"")</f>
        <v>TQGXIIPL</v>
      </c>
      <c r="I1581" s="35" t="str">
        <f>IFERROR(_xlfn.XLOOKUP(Table6[[#This Row],[Affected WTG]],'Basic Data'!$A:$A,'Basic Data'!$C:$C),"")</f>
        <v>GEDA</v>
      </c>
      <c r="J1581" s="471">
        <f>IFERROR(_xlfn.XLOOKUP(Table6[[#This Row],[Affected WTG]],'Basic Data'!$A:$A,'Basic Data'!$E:$E),"")</f>
        <v>3.846153846153845E-2</v>
      </c>
      <c r="K1581" s="102">
        <v>3000</v>
      </c>
      <c r="L1581" s="35" t="str">
        <f>IFERROR(_xlfn.XLOOKUP(Table6[[#This Row],[Error Code]],'Basic Data'!$AA:$AA,'Basic Data'!$AB:$AB),"Incorrect Error Code")</f>
        <v>Frequency converter not ready</v>
      </c>
      <c r="M1581" s="35" t="s">
        <v>291</v>
      </c>
      <c r="N1581" s="475"/>
      <c r="O1581" s="476">
        <v>0.18819444444444444</v>
      </c>
      <c r="P1581" s="476">
        <v>0.18819444444444444</v>
      </c>
      <c r="Q1581" s="477">
        <v>0.19027777777777777</v>
      </c>
      <c r="R1581" s="472">
        <f>IF(Table6[[#This Row],[Work Start TimeStamp]]="","",(Table6[[#This Row],[Work Start TimeStamp]]-Table6[[#This Row],[Fault Start TimeStamp]])*24)</f>
        <v>0</v>
      </c>
      <c r="S1581" s="472">
        <f>(Table6[[#This Row],[Fault Clearance time]]-Table6[[#This Row],[Work Start TimeStamp]])*24</f>
        <v>4.9999999999999822E-2</v>
      </c>
      <c r="T1581" s="472">
        <f>(Table6[[#This Row],[Fault Clearance time]]-Table6[[#This Row],[Fault Start TimeStamp]])*24</f>
        <v>4.9999999999999822E-2</v>
      </c>
      <c r="U1581" s="35" t="s">
        <v>1924</v>
      </c>
      <c r="V1581" s="102" t="s">
        <v>293</v>
      </c>
      <c r="W1581" s="549">
        <f>IFERROR(Table6[[#This Row],[Breakdown Time]]*Table6[[#This Row],[Plant Equivalent Weightage]],"")</f>
        <v>1.9230769230769156E-3</v>
      </c>
      <c r="X1581" s="473" t="s">
        <v>294</v>
      </c>
      <c r="Y1581" s="474" t="s">
        <v>75</v>
      </c>
      <c r="Z1581" s="102">
        <v>21388</v>
      </c>
      <c r="AA1581" s="468">
        <f>(Table6[[#This Row],[Paired WTG Generation for loss calculation]]/24)*Table6[[#This Row],[Breakdown Time]]</f>
        <v>44.558333333333174</v>
      </c>
      <c r="AB1581" s="102"/>
      <c r="AC1581" s="35"/>
      <c r="AD1581" s="35"/>
    </row>
    <row r="1582" spans="1:30">
      <c r="A1582" s="102">
        <f t="shared" si="25"/>
        <v>1581</v>
      </c>
      <c r="B1582" s="468">
        <f>YEAR(Table6[[#This Row],[Date]])+IF(MONTH(Table6[[#This Row],[Date]])&gt;=4,1,0)</f>
        <v>2026</v>
      </c>
      <c r="C1582" s="102">
        <f>YEAR(Table6[[#This Row],[Date]])</f>
        <v>2025</v>
      </c>
      <c r="D1582" s="102" t="s">
        <v>1992</v>
      </c>
      <c r="E1582" s="469">
        <f>Table6[[#This Row],[Date]]-DAY(Table6[[#This Row],[Date]])+1</f>
        <v>45839</v>
      </c>
      <c r="F1582" s="470">
        <v>45858</v>
      </c>
      <c r="G1582" s="35" t="s">
        <v>78</v>
      </c>
      <c r="H1582" s="35" t="str">
        <f>IFERROR(_xlfn.XLOOKUP(Table6[[#This Row],[Affected WTG]],'Basic Data'!$A:$A,'Basic Data'!$B:$B),"")</f>
        <v>TQGXIIPL</v>
      </c>
      <c r="I1582" s="35" t="str">
        <f>IFERROR(_xlfn.XLOOKUP(Table6[[#This Row],[Affected WTG]],'Basic Data'!$A:$A,'Basic Data'!$C:$C),"")</f>
        <v>GEDA</v>
      </c>
      <c r="J1582" s="471">
        <f>IFERROR(_xlfn.XLOOKUP(Table6[[#This Row],[Affected WTG]],'Basic Data'!$A:$A,'Basic Data'!$E:$E),"")</f>
        <v>3.846153846153845E-2</v>
      </c>
      <c r="K1582" s="102">
        <v>6130</v>
      </c>
      <c r="L1582" s="35" t="str">
        <f>IFERROR(_xlfn.XLOOKUP(Table6[[#This Row],[Error Code]],'Basic Data'!$AA:$AA,'Basic Data'!$AB:$AB),"Incorrect Error Code")</f>
        <v>Yaw speed high</v>
      </c>
      <c r="M1582" s="35" t="s">
        <v>291</v>
      </c>
      <c r="N1582" s="475"/>
      <c r="O1582" s="476">
        <v>0.78888888888888886</v>
      </c>
      <c r="P1582" s="476">
        <v>0.78888888888888886</v>
      </c>
      <c r="Q1582" s="477">
        <v>0.79097222222222219</v>
      </c>
      <c r="R1582" s="472">
        <f>IF(Table6[[#This Row],[Work Start TimeStamp]]="","",(Table6[[#This Row],[Work Start TimeStamp]]-Table6[[#This Row],[Fault Start TimeStamp]])*24)</f>
        <v>0</v>
      </c>
      <c r="S1582" s="472">
        <f>(Table6[[#This Row],[Fault Clearance time]]-Table6[[#This Row],[Work Start TimeStamp]])*24</f>
        <v>4.9999999999999822E-2</v>
      </c>
      <c r="T1582" s="472">
        <f>(Table6[[#This Row],[Fault Clearance time]]-Table6[[#This Row],[Fault Start TimeStamp]])*24</f>
        <v>4.9999999999999822E-2</v>
      </c>
      <c r="U1582" s="35" t="s">
        <v>1924</v>
      </c>
      <c r="V1582" s="102" t="s">
        <v>293</v>
      </c>
      <c r="W1582" s="549">
        <f>IFERROR(Table6[[#This Row],[Breakdown Time]]*Table6[[#This Row],[Plant Equivalent Weightage]],"")</f>
        <v>1.9230769230769156E-3</v>
      </c>
      <c r="X1582" s="473" t="s">
        <v>294</v>
      </c>
      <c r="Y1582" s="474" t="s">
        <v>75</v>
      </c>
      <c r="Z1582" s="102">
        <v>21388</v>
      </c>
      <c r="AA1582" s="468">
        <f>(Table6[[#This Row],[Paired WTG Generation for loss calculation]]/24)*Table6[[#This Row],[Breakdown Time]]</f>
        <v>44.558333333333174</v>
      </c>
      <c r="AB1582" s="102"/>
      <c r="AC1582" s="35"/>
      <c r="AD1582" s="35"/>
    </row>
    <row r="1583" spans="1:30">
      <c r="A1583" s="102">
        <f t="shared" si="25"/>
        <v>1582</v>
      </c>
      <c r="B1583" s="468">
        <f>YEAR(Table6[[#This Row],[Date]])+IF(MONTH(Table6[[#This Row],[Date]])&gt;=4,1,0)</f>
        <v>2026</v>
      </c>
      <c r="C1583" s="102">
        <f>YEAR(Table6[[#This Row],[Date]])</f>
        <v>2025</v>
      </c>
      <c r="D1583" s="102" t="s">
        <v>1992</v>
      </c>
      <c r="E1583" s="469">
        <f>Table6[[#This Row],[Date]]-DAY(Table6[[#This Row],[Date]])+1</f>
        <v>45839</v>
      </c>
      <c r="F1583" s="470">
        <v>45858</v>
      </c>
      <c r="G1583" s="35" t="s">
        <v>83</v>
      </c>
      <c r="H1583" s="35" t="str">
        <f>IFERROR(_xlfn.XLOOKUP(Table6[[#This Row],[Affected WTG]],'Basic Data'!$A:$A,'Basic Data'!$B:$B),"")</f>
        <v>TQGXIIPL</v>
      </c>
      <c r="I1583" s="35" t="str">
        <f>IFERROR(_xlfn.XLOOKUP(Table6[[#This Row],[Affected WTG]],'Basic Data'!$A:$A,'Basic Data'!$C:$C),"")</f>
        <v>GEDA</v>
      </c>
      <c r="J1583" s="471">
        <f>IFERROR(_xlfn.XLOOKUP(Table6[[#This Row],[Affected WTG]],'Basic Data'!$A:$A,'Basic Data'!$E:$E),"")</f>
        <v>3.846153846153845E-2</v>
      </c>
      <c r="K1583" s="102">
        <v>665</v>
      </c>
      <c r="L1583" s="35" t="str">
        <f>IFERROR(_xlfn.XLOOKUP(Table6[[#This Row],[Error Code]],'Basic Data'!$AA:$AA,'Basic Data'!$AB:$AB),"Incorrect Error Code")</f>
        <v>Pitch error</v>
      </c>
      <c r="M1583" s="35" t="s">
        <v>291</v>
      </c>
      <c r="N1583" s="475"/>
      <c r="O1583" s="476">
        <v>0.2722222222222222</v>
      </c>
      <c r="P1583" s="476">
        <v>0.2722222222222222</v>
      </c>
      <c r="Q1583" s="477">
        <v>0.27361111111111114</v>
      </c>
      <c r="R1583" s="472">
        <f>IF(Table6[[#This Row],[Work Start TimeStamp]]="","",(Table6[[#This Row],[Work Start TimeStamp]]-Table6[[#This Row],[Fault Start TimeStamp]])*24)</f>
        <v>0</v>
      </c>
      <c r="S1583" s="472">
        <f>(Table6[[#This Row],[Fault Clearance time]]-Table6[[#This Row],[Work Start TimeStamp]])*24</f>
        <v>3.3333333333334547E-2</v>
      </c>
      <c r="T1583" s="472">
        <f>(Table6[[#This Row],[Fault Clearance time]]-Table6[[#This Row],[Fault Start TimeStamp]])*24</f>
        <v>3.3333333333334547E-2</v>
      </c>
      <c r="U1583" s="35" t="s">
        <v>1924</v>
      </c>
      <c r="V1583" s="102" t="s">
        <v>293</v>
      </c>
      <c r="W1583" s="549">
        <f>IFERROR(Table6[[#This Row],[Breakdown Time]]*Table6[[#This Row],[Plant Equivalent Weightage]],"")</f>
        <v>1.2820512820513285E-3</v>
      </c>
      <c r="X1583" s="473" t="s">
        <v>294</v>
      </c>
      <c r="Y1583" s="474" t="s">
        <v>88</v>
      </c>
      <c r="Z1583" s="102">
        <v>18975</v>
      </c>
      <c r="AA1583" s="468">
        <f>(Table6[[#This Row],[Paired WTG Generation for loss calculation]]/24)*Table6[[#This Row],[Breakdown Time]]</f>
        <v>26.354166666667627</v>
      </c>
      <c r="AB1583" s="102"/>
      <c r="AC1583" s="35"/>
      <c r="AD1583" s="35"/>
    </row>
    <row r="1584" spans="1:30">
      <c r="A1584" s="102">
        <f t="shared" si="25"/>
        <v>1583</v>
      </c>
      <c r="B1584" s="468">
        <f>YEAR(Table6[[#This Row],[Date]])+IF(MONTH(Table6[[#This Row],[Date]])&gt;=4,1,0)</f>
        <v>2026</v>
      </c>
      <c r="C1584" s="102">
        <f>YEAR(Table6[[#This Row],[Date]])</f>
        <v>2025</v>
      </c>
      <c r="D1584" s="102" t="s">
        <v>1992</v>
      </c>
      <c r="E1584" s="469">
        <f>Table6[[#This Row],[Date]]-DAY(Table6[[#This Row],[Date]])+1</f>
        <v>45839</v>
      </c>
      <c r="F1584" s="470">
        <v>45858</v>
      </c>
      <c r="G1584" s="35" t="s">
        <v>87</v>
      </c>
      <c r="H1584" s="35" t="str">
        <f>IFERROR(_xlfn.XLOOKUP(Table6[[#This Row],[Affected WTG]],'Basic Data'!$A:$A,'Basic Data'!$B:$B),"")</f>
        <v>TQGXIIPL</v>
      </c>
      <c r="I1584" s="35" t="str">
        <f>IFERROR(_xlfn.XLOOKUP(Table6[[#This Row],[Affected WTG]],'Basic Data'!$A:$A,'Basic Data'!$C:$C),"")</f>
        <v>GEDA</v>
      </c>
      <c r="J1584" s="471">
        <f>IFERROR(_xlfn.XLOOKUP(Table6[[#This Row],[Affected WTG]],'Basic Data'!$A:$A,'Basic Data'!$E:$E),"")</f>
        <v>3.846153846153845E-2</v>
      </c>
      <c r="K1584" s="102">
        <v>175</v>
      </c>
      <c r="L1584" s="35" t="str">
        <f>IFERROR(_xlfn.XLOOKUP(Table6[[#This Row],[Error Code]],'Basic Data'!$AA:$AA,'Basic Data'!$AB:$AB),"Incorrect Error Code")</f>
        <v>SLC error</v>
      </c>
      <c r="M1584" s="35" t="s">
        <v>291</v>
      </c>
      <c r="N1584" s="475"/>
      <c r="O1584" s="476">
        <v>0.27152777777777776</v>
      </c>
      <c r="P1584" s="476">
        <v>0.27152777777777776</v>
      </c>
      <c r="Q1584" s="477">
        <v>0.27291666666666664</v>
      </c>
      <c r="R1584" s="472">
        <f>IF(Table6[[#This Row],[Work Start TimeStamp]]="","",(Table6[[#This Row],[Work Start TimeStamp]]-Table6[[#This Row],[Fault Start TimeStamp]])*24)</f>
        <v>0</v>
      </c>
      <c r="S1584" s="472">
        <f>(Table6[[#This Row],[Fault Clearance time]]-Table6[[#This Row],[Work Start TimeStamp]])*24</f>
        <v>3.3333333333333215E-2</v>
      </c>
      <c r="T1584" s="472">
        <f>(Table6[[#This Row],[Fault Clearance time]]-Table6[[#This Row],[Fault Start TimeStamp]])*24</f>
        <v>3.3333333333333215E-2</v>
      </c>
      <c r="U1584" s="35" t="s">
        <v>1924</v>
      </c>
      <c r="V1584" s="102" t="s">
        <v>293</v>
      </c>
      <c r="W1584" s="549">
        <f>IFERROR(Table6[[#This Row],[Breakdown Time]]*Table6[[#This Row],[Plant Equivalent Weightage]],"")</f>
        <v>1.2820512820512771E-3</v>
      </c>
      <c r="X1584" s="473" t="s">
        <v>294</v>
      </c>
      <c r="Y1584" s="474" t="s">
        <v>85</v>
      </c>
      <c r="Z1584" s="102">
        <v>18654</v>
      </c>
      <c r="AA1584" s="468">
        <f>(Table6[[#This Row],[Paired WTG Generation for loss calculation]]/24)*Table6[[#This Row],[Breakdown Time]]</f>
        <v>25.908333333333243</v>
      </c>
      <c r="AB1584" s="102"/>
      <c r="AC1584" s="35"/>
      <c r="AD1584" s="35"/>
    </row>
    <row r="1585" spans="1:30">
      <c r="A1585" s="102">
        <f t="shared" si="25"/>
        <v>1584</v>
      </c>
      <c r="B1585" s="468">
        <f>YEAR(Table6[[#This Row],[Date]])+IF(MONTH(Table6[[#This Row],[Date]])&gt;=4,1,0)</f>
        <v>2026</v>
      </c>
      <c r="C1585" s="102">
        <f>YEAR(Table6[[#This Row],[Date]])</f>
        <v>2025</v>
      </c>
      <c r="D1585" s="102" t="s">
        <v>1992</v>
      </c>
      <c r="E1585" s="469">
        <f>Table6[[#This Row],[Date]]-DAY(Table6[[#This Row],[Date]])+1</f>
        <v>45839</v>
      </c>
      <c r="F1585" s="470">
        <v>45858</v>
      </c>
      <c r="G1585" s="35" t="s">
        <v>91</v>
      </c>
      <c r="H1585" s="35" t="str">
        <f>IFERROR(_xlfn.XLOOKUP(Table6[[#This Row],[Affected WTG]],'Basic Data'!$A:$A,'Basic Data'!$B:$B),"")</f>
        <v>TQGXIIPL</v>
      </c>
      <c r="I1585" s="35" t="str">
        <f>IFERROR(_xlfn.XLOOKUP(Table6[[#This Row],[Affected WTG]],'Basic Data'!$A:$A,'Basic Data'!$C:$C),"")</f>
        <v>GEDA</v>
      </c>
      <c r="J1585" s="471">
        <f>IFERROR(_xlfn.XLOOKUP(Table6[[#This Row],[Affected WTG]],'Basic Data'!$A:$A,'Basic Data'!$E:$E),"")</f>
        <v>3.846153846153845E-2</v>
      </c>
      <c r="K1585" s="102">
        <v>55</v>
      </c>
      <c r="L1585" s="35" t="str">
        <f>IFERROR(_xlfn.XLOOKUP(Table6[[#This Row],[Error Code]],'Basic Data'!$AA:$AA,'Basic Data'!$AB:$AB),"Incorrect Error Code")</f>
        <v>WTG shut down</v>
      </c>
      <c r="M1585" s="35" t="s">
        <v>1956</v>
      </c>
      <c r="N1585" s="475"/>
      <c r="O1585" s="476">
        <v>0.68055555555555558</v>
      </c>
      <c r="P1585" s="476">
        <v>0.68055555555555558</v>
      </c>
      <c r="Q1585" s="477">
        <v>0.75</v>
      </c>
      <c r="R1585" s="472">
        <f>IF(Table6[[#This Row],[Work Start TimeStamp]]="","",(Table6[[#This Row],[Work Start TimeStamp]]-Table6[[#This Row],[Fault Start TimeStamp]])*24)</f>
        <v>0</v>
      </c>
      <c r="S1585" s="472">
        <f>(Table6[[#This Row],[Fault Clearance time]]-Table6[[#This Row],[Work Start TimeStamp]])*24</f>
        <v>1.6666666666666661</v>
      </c>
      <c r="T1585" s="472">
        <f>(Table6[[#This Row],[Fault Clearance time]]-Table6[[#This Row],[Fault Start TimeStamp]])*24</f>
        <v>1.6666666666666661</v>
      </c>
      <c r="U1585" s="35" t="s">
        <v>2055</v>
      </c>
      <c r="V1585" s="102" t="s">
        <v>293</v>
      </c>
      <c r="W1585" s="549">
        <f>IFERROR(Table6[[#This Row],[Breakdown Time]]*Table6[[#This Row],[Plant Equivalent Weightage]],"")</f>
        <v>6.4102564102564055E-2</v>
      </c>
      <c r="X1585" s="473" t="s">
        <v>290</v>
      </c>
      <c r="Y1585" s="474" t="s">
        <v>79</v>
      </c>
      <c r="Z1585" s="102">
        <v>18615</v>
      </c>
      <c r="AA1585" s="468">
        <f>(Table6[[#This Row],[Paired WTG Generation for loss calculation]]/24)*Table6[[#This Row],[Breakdown Time]]</f>
        <v>1292.7083333333328</v>
      </c>
      <c r="AB1585" s="102"/>
      <c r="AC1585" s="35"/>
      <c r="AD1585" s="35"/>
    </row>
    <row r="1586" spans="1:30">
      <c r="A1586" s="102">
        <f t="shared" si="25"/>
        <v>1585</v>
      </c>
      <c r="B1586" s="468">
        <f>YEAR(Table6[[#This Row],[Date]])+IF(MONTH(Table6[[#This Row],[Date]])&gt;=4,1,0)</f>
        <v>2026</v>
      </c>
      <c r="C1586" s="102">
        <f>YEAR(Table6[[#This Row],[Date]])</f>
        <v>2025</v>
      </c>
      <c r="D1586" s="102" t="s">
        <v>1992</v>
      </c>
      <c r="E1586" s="469">
        <f>Table6[[#This Row],[Date]]-DAY(Table6[[#This Row],[Date]])+1</f>
        <v>45839</v>
      </c>
      <c r="F1586" s="470">
        <v>45858</v>
      </c>
      <c r="G1586" s="35" t="s">
        <v>96</v>
      </c>
      <c r="H1586" s="35" t="str">
        <f>IFERROR(_xlfn.XLOOKUP(Table6[[#This Row],[Affected WTG]],'Basic Data'!$A:$A,'Basic Data'!$B:$B),"")</f>
        <v>TQGXIIPL</v>
      </c>
      <c r="I1586" s="35" t="str">
        <f>IFERROR(_xlfn.XLOOKUP(Table6[[#This Row],[Affected WTG]],'Basic Data'!$A:$A,'Basic Data'!$C:$C),"")</f>
        <v>GEDA</v>
      </c>
      <c r="J1586" s="471">
        <f>IFERROR(_xlfn.XLOOKUP(Table6[[#This Row],[Affected WTG]],'Basic Data'!$A:$A,'Basic Data'!$E:$E),"")</f>
        <v>3.846153846153845E-2</v>
      </c>
      <c r="K1586" s="102">
        <v>7002</v>
      </c>
      <c r="L1586" s="35" t="str">
        <f>IFERROR(_xlfn.XLOOKUP(Table6[[#This Row],[Error Code]],'Basic Data'!$AA:$AA,'Basic Data'!$AB:$AB),"Incorrect Error Code")</f>
        <v>Task runtime failure 5ms</v>
      </c>
      <c r="M1586" s="35" t="s">
        <v>291</v>
      </c>
      <c r="N1586" s="475"/>
      <c r="O1586" s="476">
        <v>0.41666666666666669</v>
      </c>
      <c r="P1586" s="476">
        <v>0.41666666666666669</v>
      </c>
      <c r="Q1586" s="477">
        <v>0.42430555555555555</v>
      </c>
      <c r="R1586" s="472">
        <f>IF(Table6[[#This Row],[Work Start TimeStamp]]="","",(Table6[[#This Row],[Work Start TimeStamp]]-Table6[[#This Row],[Fault Start TimeStamp]])*24)</f>
        <v>0</v>
      </c>
      <c r="S1586" s="472">
        <f>(Table6[[#This Row],[Fault Clearance time]]-Table6[[#This Row],[Work Start TimeStamp]])*24</f>
        <v>0.18333333333333268</v>
      </c>
      <c r="T1586" s="472">
        <f>(Table6[[#This Row],[Fault Clearance time]]-Table6[[#This Row],[Fault Start TimeStamp]])*24</f>
        <v>0.18333333333333268</v>
      </c>
      <c r="U1586" s="35" t="s">
        <v>1924</v>
      </c>
      <c r="V1586" s="102" t="s">
        <v>293</v>
      </c>
      <c r="W1586" s="549">
        <f>IFERROR(Table6[[#This Row],[Breakdown Time]]*Table6[[#This Row],[Plant Equivalent Weightage]],"")</f>
        <v>7.0512820512820245E-3</v>
      </c>
      <c r="X1586" s="473" t="s">
        <v>294</v>
      </c>
      <c r="Y1586" s="474" t="s">
        <v>84</v>
      </c>
      <c r="Z1586" s="102">
        <v>17396</v>
      </c>
      <c r="AA1586" s="468">
        <f>(Table6[[#This Row],[Paired WTG Generation for loss calculation]]/24)*Table6[[#This Row],[Breakdown Time]]</f>
        <v>132.88611111111064</v>
      </c>
      <c r="AB1586" s="102"/>
      <c r="AC1586" s="35"/>
      <c r="AD1586" s="35"/>
    </row>
    <row r="1587" spans="1:30">
      <c r="A1587" s="102">
        <f t="shared" si="25"/>
        <v>1586</v>
      </c>
      <c r="B1587" s="468">
        <f>YEAR(Table6[[#This Row],[Date]])+IF(MONTH(Table6[[#This Row],[Date]])&gt;=4,1,0)</f>
        <v>2026</v>
      </c>
      <c r="C1587" s="102">
        <f>YEAR(Table6[[#This Row],[Date]])</f>
        <v>2025</v>
      </c>
      <c r="D1587" s="102" t="s">
        <v>1992</v>
      </c>
      <c r="E1587" s="469">
        <f>Table6[[#This Row],[Date]]-DAY(Table6[[#This Row],[Date]])+1</f>
        <v>45839</v>
      </c>
      <c r="F1587" s="470">
        <v>45858</v>
      </c>
      <c r="G1587" s="35" t="s">
        <v>97</v>
      </c>
      <c r="H1587" s="35" t="str">
        <f>IFERROR(_xlfn.XLOOKUP(Table6[[#This Row],[Affected WTG]],'Basic Data'!$A:$A,'Basic Data'!$B:$B),"")</f>
        <v>TQGXIIPL</v>
      </c>
      <c r="I1587" s="35" t="str">
        <f>IFERROR(_xlfn.XLOOKUP(Table6[[#This Row],[Affected WTG]],'Basic Data'!$A:$A,'Basic Data'!$C:$C),"")</f>
        <v>GEDA</v>
      </c>
      <c r="J1587" s="471">
        <f>IFERROR(_xlfn.XLOOKUP(Table6[[#This Row],[Affected WTG]],'Basic Data'!$A:$A,'Basic Data'!$E:$E),"")</f>
        <v>3.846153846153845E-2</v>
      </c>
      <c r="K1587" s="102">
        <v>55</v>
      </c>
      <c r="L1587" s="35" t="str">
        <f>IFERROR(_xlfn.XLOOKUP(Table6[[#This Row],[Error Code]],'Basic Data'!$AA:$AA,'Basic Data'!$AB:$AB),"Incorrect Error Code")</f>
        <v>WTG shut down</v>
      </c>
      <c r="M1587" s="35" t="s">
        <v>291</v>
      </c>
      <c r="N1587" s="475"/>
      <c r="O1587" s="476">
        <v>0.63055555555555554</v>
      </c>
      <c r="P1587" s="476">
        <v>0.63055555555555554</v>
      </c>
      <c r="Q1587" s="477">
        <v>0.6479166666666667</v>
      </c>
      <c r="R1587" s="472">
        <f>IF(Table6[[#This Row],[Work Start TimeStamp]]="","",(Table6[[#This Row],[Work Start TimeStamp]]-Table6[[#This Row],[Fault Start TimeStamp]])*24)</f>
        <v>0</v>
      </c>
      <c r="S1587" s="472">
        <f>(Table6[[#This Row],[Fault Clearance time]]-Table6[[#This Row],[Work Start TimeStamp]])*24</f>
        <v>0.41666666666666785</v>
      </c>
      <c r="T1587" s="472">
        <f>(Table6[[#This Row],[Fault Clearance time]]-Table6[[#This Row],[Fault Start TimeStamp]])*24</f>
        <v>0.41666666666666785</v>
      </c>
      <c r="U1587" s="35" t="s">
        <v>2105</v>
      </c>
      <c r="V1587" s="102" t="s">
        <v>293</v>
      </c>
      <c r="W1587" s="549">
        <f>IFERROR(Table6[[#This Row],[Breakdown Time]]*Table6[[#This Row],[Plant Equivalent Weightage]],"")</f>
        <v>1.6025641025641066E-2</v>
      </c>
      <c r="X1587" s="473" t="s">
        <v>290</v>
      </c>
      <c r="Y1587" s="474" t="s">
        <v>93</v>
      </c>
      <c r="Z1587" s="102">
        <v>16967</v>
      </c>
      <c r="AA1587" s="468">
        <f>(Table6[[#This Row],[Paired WTG Generation for loss calculation]]/24)*Table6[[#This Row],[Breakdown Time]]</f>
        <v>294.56597222222308</v>
      </c>
      <c r="AB1587" s="102"/>
      <c r="AC1587" s="35"/>
      <c r="AD1587" s="35"/>
    </row>
    <row r="1588" spans="1:30">
      <c r="A1588" s="102">
        <f t="shared" si="25"/>
        <v>1587</v>
      </c>
      <c r="B1588" s="468">
        <f>YEAR(Table6[[#This Row],[Date]])+IF(MONTH(Table6[[#This Row],[Date]])&gt;=4,1,0)</f>
        <v>2026</v>
      </c>
      <c r="C1588" s="102">
        <f>YEAR(Table6[[#This Row],[Date]])</f>
        <v>2025</v>
      </c>
      <c r="D1588" s="102" t="s">
        <v>1992</v>
      </c>
      <c r="E1588" s="469">
        <f>Table6[[#This Row],[Date]]-DAY(Table6[[#This Row],[Date]])+1</f>
        <v>45839</v>
      </c>
      <c r="F1588" s="470">
        <v>45858</v>
      </c>
      <c r="G1588" s="35" t="s">
        <v>99</v>
      </c>
      <c r="H1588" s="35" t="str">
        <f>IFERROR(_xlfn.XLOOKUP(Table6[[#This Row],[Affected WTG]],'Basic Data'!$A:$A,'Basic Data'!$B:$B),"")</f>
        <v>TQGXIIPL</v>
      </c>
      <c r="I1588" s="35" t="str">
        <f>IFERROR(_xlfn.XLOOKUP(Table6[[#This Row],[Affected WTG]],'Basic Data'!$A:$A,'Basic Data'!$C:$C),"")</f>
        <v>GEDA</v>
      </c>
      <c r="J1588" s="471">
        <f>IFERROR(_xlfn.XLOOKUP(Table6[[#This Row],[Affected WTG]],'Basic Data'!$A:$A,'Basic Data'!$E:$E),"")</f>
        <v>3.846153846153845E-2</v>
      </c>
      <c r="K1588" s="102">
        <v>6130</v>
      </c>
      <c r="L1588" s="35" t="str">
        <f>IFERROR(_xlfn.XLOOKUP(Table6[[#This Row],[Error Code]],'Basic Data'!$AA:$AA,'Basic Data'!$AB:$AB),"Incorrect Error Code")</f>
        <v>Yaw speed high</v>
      </c>
      <c r="M1588" s="35" t="s">
        <v>291</v>
      </c>
      <c r="N1588" s="475"/>
      <c r="O1588" s="476">
        <v>0.6381944444444444</v>
      </c>
      <c r="P1588" s="476">
        <v>0.6381944444444444</v>
      </c>
      <c r="Q1588" s="477">
        <v>0.64097222222222228</v>
      </c>
      <c r="R1588" s="472">
        <f>IF(Table6[[#This Row],[Work Start TimeStamp]]="","",(Table6[[#This Row],[Work Start TimeStamp]]-Table6[[#This Row],[Fault Start TimeStamp]])*24)</f>
        <v>0</v>
      </c>
      <c r="S1588" s="472">
        <f>(Table6[[#This Row],[Fault Clearance time]]-Table6[[#This Row],[Work Start TimeStamp]])*24</f>
        <v>6.6666666666669094E-2</v>
      </c>
      <c r="T1588" s="472">
        <f>(Table6[[#This Row],[Fault Clearance time]]-Table6[[#This Row],[Fault Start TimeStamp]])*24</f>
        <v>6.6666666666669094E-2</v>
      </c>
      <c r="U1588" s="35" t="s">
        <v>1924</v>
      </c>
      <c r="V1588" s="102" t="s">
        <v>293</v>
      </c>
      <c r="W1588" s="549">
        <f>IFERROR(Table6[[#This Row],[Breakdown Time]]*Table6[[#This Row],[Plant Equivalent Weightage]],"")</f>
        <v>2.5641025641026569E-3</v>
      </c>
      <c r="X1588" s="473" t="s">
        <v>294</v>
      </c>
      <c r="Y1588" s="474" t="s">
        <v>74</v>
      </c>
      <c r="Z1588" s="102">
        <v>18595</v>
      </c>
      <c r="AA1588" s="468">
        <f>(Table6[[#This Row],[Paired WTG Generation for loss calculation]]/24)*Table6[[#This Row],[Breakdown Time]]</f>
        <v>51.652777777779654</v>
      </c>
      <c r="AB1588" s="102"/>
      <c r="AC1588" s="35"/>
      <c r="AD1588" s="35"/>
    </row>
    <row r="1589" spans="1:30">
      <c r="A1589" s="102">
        <f t="shared" si="25"/>
        <v>1588</v>
      </c>
      <c r="B1589" s="468">
        <f>YEAR(Table6[[#This Row],[Date]])+IF(MONTH(Table6[[#This Row],[Date]])&gt;=4,1,0)</f>
        <v>2026</v>
      </c>
      <c r="C1589" s="102">
        <f>YEAR(Table6[[#This Row],[Date]])</f>
        <v>2025</v>
      </c>
      <c r="D1589" s="102" t="s">
        <v>1992</v>
      </c>
      <c r="E1589" s="469">
        <f>Table6[[#This Row],[Date]]-DAY(Table6[[#This Row],[Date]])+1</f>
        <v>45839</v>
      </c>
      <c r="F1589" s="470">
        <v>45859</v>
      </c>
      <c r="G1589" s="35" t="s">
        <v>75</v>
      </c>
      <c r="H1589" s="35" t="str">
        <f>IFERROR(_xlfn.XLOOKUP(Table6[[#This Row],[Affected WTG]],'Basic Data'!$A:$A,'Basic Data'!$B:$B),"")</f>
        <v>TQGXIIPL</v>
      </c>
      <c r="I1589" s="35" t="str">
        <f>IFERROR(_xlfn.XLOOKUP(Table6[[#This Row],[Affected WTG]],'Basic Data'!$A:$A,'Basic Data'!$C:$C),"")</f>
        <v>GEDA</v>
      </c>
      <c r="J1589" s="471">
        <f>IFERROR(_xlfn.XLOOKUP(Table6[[#This Row],[Affected WTG]],'Basic Data'!$A:$A,'Basic Data'!$E:$E),"")</f>
        <v>3.846153846153845E-2</v>
      </c>
      <c r="K1589" s="102">
        <v>6605</v>
      </c>
      <c r="L1589" s="35" t="str">
        <f>IFERROR(_xlfn.XLOOKUP(Table6[[#This Row],[Error Code]],'Basic Data'!$AA:$AA,'Basic Data'!$AB:$AB),"Incorrect Error Code")</f>
        <v>Wind.dir. diff. level 2</v>
      </c>
      <c r="M1589" s="35" t="s">
        <v>291</v>
      </c>
      <c r="N1589" s="475"/>
      <c r="O1589" s="476">
        <v>0.65347222222222223</v>
      </c>
      <c r="P1589" s="476">
        <v>0.65347222222222223</v>
      </c>
      <c r="Q1589" s="477">
        <v>0.65486111111111112</v>
      </c>
      <c r="R1589" s="472">
        <f>IF(Table6[[#This Row],[Work Start TimeStamp]]="","",(Table6[[#This Row],[Work Start TimeStamp]]-Table6[[#This Row],[Fault Start TimeStamp]])*24)</f>
        <v>0</v>
      </c>
      <c r="S1589" s="472">
        <f>(Table6[[#This Row],[Fault Clearance time]]-Table6[[#This Row],[Work Start TimeStamp]])*24</f>
        <v>3.3333333333333215E-2</v>
      </c>
      <c r="T1589" s="472">
        <f>(Table6[[#This Row],[Fault Clearance time]]-Table6[[#This Row],[Fault Start TimeStamp]])*24</f>
        <v>3.3333333333333215E-2</v>
      </c>
      <c r="U1589" s="35" t="s">
        <v>1924</v>
      </c>
      <c r="V1589" s="102" t="s">
        <v>293</v>
      </c>
      <c r="W1589" s="549">
        <f>IFERROR(Table6[[#This Row],[Breakdown Time]]*Table6[[#This Row],[Plant Equivalent Weightage]],"")</f>
        <v>1.2820512820512771E-3</v>
      </c>
      <c r="X1589" s="473" t="s">
        <v>294</v>
      </c>
      <c r="Y1589" s="474" t="s">
        <v>78</v>
      </c>
      <c r="Z1589" s="102">
        <v>12171</v>
      </c>
      <c r="AA1589" s="468">
        <f>(Table6[[#This Row],[Paired WTG Generation for loss calculation]]/24)*Table6[[#This Row],[Breakdown Time]]</f>
        <v>16.904166666666608</v>
      </c>
      <c r="AB1589" s="102"/>
      <c r="AC1589" s="35"/>
      <c r="AD1589" s="35"/>
    </row>
    <row r="1590" spans="1:30">
      <c r="A1590" s="102">
        <f t="shared" si="25"/>
        <v>1589</v>
      </c>
      <c r="B1590" s="468">
        <f>YEAR(Table6[[#This Row],[Date]])+IF(MONTH(Table6[[#This Row],[Date]])&gt;=4,1,0)</f>
        <v>2026</v>
      </c>
      <c r="C1590" s="102">
        <f>YEAR(Table6[[#This Row],[Date]])</f>
        <v>2025</v>
      </c>
      <c r="D1590" s="102" t="s">
        <v>1992</v>
      </c>
      <c r="E1590" s="469">
        <f>Table6[[#This Row],[Date]]-DAY(Table6[[#This Row],[Date]])+1</f>
        <v>45839</v>
      </c>
      <c r="F1590" s="470">
        <v>45859</v>
      </c>
      <c r="G1590" s="35" t="s">
        <v>79</v>
      </c>
      <c r="H1590" s="35" t="str">
        <f>IFERROR(_xlfn.XLOOKUP(Table6[[#This Row],[Affected WTG]],'Basic Data'!$A:$A,'Basic Data'!$B:$B),"")</f>
        <v>TQGXIIPL</v>
      </c>
      <c r="I1590" s="35" t="str">
        <f>IFERROR(_xlfn.XLOOKUP(Table6[[#This Row],[Affected WTG]],'Basic Data'!$A:$A,'Basic Data'!$C:$C),"")</f>
        <v>GEDA</v>
      </c>
      <c r="J1590" s="471">
        <f>IFERROR(_xlfn.XLOOKUP(Table6[[#This Row],[Affected WTG]],'Basic Data'!$A:$A,'Basic Data'!$E:$E),"")</f>
        <v>3.846153846153845E-2</v>
      </c>
      <c r="K1590" s="102">
        <v>700</v>
      </c>
      <c r="L1590" s="35" t="str">
        <f>IFERROR(_xlfn.XLOOKUP(Table6[[#This Row],[Error Code]],'Basic Data'!$AA:$AA,'Basic Data'!$AB:$AB),"Incorrect Error Code")</f>
        <v>Batt. undervoltage/overvoltage</v>
      </c>
      <c r="M1590" s="35" t="s">
        <v>291</v>
      </c>
      <c r="N1590" s="475"/>
      <c r="O1590" s="476">
        <v>0.46805555555555556</v>
      </c>
      <c r="P1590" s="476">
        <v>0.5</v>
      </c>
      <c r="Q1590" s="477">
        <v>0.54513888888888884</v>
      </c>
      <c r="R1590" s="472">
        <f>IF(Table6[[#This Row],[Work Start TimeStamp]]="","",(Table6[[#This Row],[Work Start TimeStamp]]-Table6[[#This Row],[Fault Start TimeStamp]])*24)</f>
        <v>0.76666666666666661</v>
      </c>
      <c r="S1590" s="472">
        <f>(Table6[[#This Row],[Fault Clearance time]]-Table6[[#This Row],[Work Start TimeStamp]])*24</f>
        <v>1.0833333333333321</v>
      </c>
      <c r="T1590" s="472">
        <f>(Table6[[#This Row],[Fault Clearance time]]-Table6[[#This Row],[Fault Start TimeStamp]])*24</f>
        <v>1.8499999999999988</v>
      </c>
      <c r="U1590" s="35" t="s">
        <v>2106</v>
      </c>
      <c r="V1590" s="102" t="s">
        <v>293</v>
      </c>
      <c r="W1590" s="549">
        <f>IFERROR(Table6[[#This Row],[Breakdown Time]]*Table6[[#This Row],[Plant Equivalent Weightage]],"")</f>
        <v>7.1153846153846081E-2</v>
      </c>
      <c r="X1590" s="473" t="s">
        <v>290</v>
      </c>
      <c r="Y1590" s="474" t="s">
        <v>94</v>
      </c>
      <c r="Z1590" s="102">
        <v>13352</v>
      </c>
      <c r="AA1590" s="468">
        <f>(Table6[[#This Row],[Paired WTG Generation for loss calculation]]/24)*Table6[[#This Row],[Breakdown Time]]</f>
        <v>1029.216666666666</v>
      </c>
      <c r="AB1590" s="102"/>
      <c r="AC1590" s="35"/>
      <c r="AD1590" s="35"/>
    </row>
    <row r="1591" spans="1:30">
      <c r="A1591" s="102">
        <f t="shared" si="25"/>
        <v>1590</v>
      </c>
      <c r="B1591" s="468">
        <f>YEAR(Table6[[#This Row],[Date]])+IF(MONTH(Table6[[#This Row],[Date]])&gt;=4,1,0)</f>
        <v>2026</v>
      </c>
      <c r="C1591" s="102">
        <f>YEAR(Table6[[#This Row],[Date]])</f>
        <v>2025</v>
      </c>
      <c r="D1591" s="102" t="s">
        <v>1992</v>
      </c>
      <c r="E1591" s="469">
        <f>Table6[[#This Row],[Date]]-DAY(Table6[[#This Row],[Date]])+1</f>
        <v>45839</v>
      </c>
      <c r="F1591" s="470">
        <v>45859</v>
      </c>
      <c r="G1591" s="35" t="s">
        <v>82</v>
      </c>
      <c r="H1591" s="35" t="str">
        <f>IFERROR(_xlfn.XLOOKUP(Table6[[#This Row],[Affected WTG]],'Basic Data'!$A:$A,'Basic Data'!$B:$B),"")</f>
        <v>TQGXIIPL</v>
      </c>
      <c r="I1591" s="35" t="str">
        <f>IFERROR(_xlfn.XLOOKUP(Table6[[#This Row],[Affected WTG]],'Basic Data'!$A:$A,'Basic Data'!$C:$C),"")</f>
        <v>GEDA</v>
      </c>
      <c r="J1591" s="471">
        <f>IFERROR(_xlfn.XLOOKUP(Table6[[#This Row],[Affected WTG]],'Basic Data'!$A:$A,'Basic Data'!$E:$E),"")</f>
        <v>3.846153846153845E-2</v>
      </c>
      <c r="K1591" s="102">
        <v>641</v>
      </c>
      <c r="L1591" s="35" t="str">
        <f>IFERROR(_xlfn.XLOOKUP(Table6[[#This Row],[Error Code]],'Basic Data'!$AA:$AA,'Basic Data'!$AB:$AB),"Incorrect Error Code")</f>
        <v>Sim.angle E enc. &lt;&gt; act.angle 1</v>
      </c>
      <c r="M1591" s="35" t="s">
        <v>291</v>
      </c>
      <c r="N1591" s="475"/>
      <c r="O1591" s="476">
        <v>0.76458333333333328</v>
      </c>
      <c r="P1591" s="476">
        <v>0.76458333333333328</v>
      </c>
      <c r="Q1591" s="477">
        <v>0.78680555555555554</v>
      </c>
      <c r="R1591" s="472">
        <f>IF(Table6[[#This Row],[Work Start TimeStamp]]="","",(Table6[[#This Row],[Work Start TimeStamp]]-Table6[[#This Row],[Fault Start TimeStamp]])*24)</f>
        <v>0</v>
      </c>
      <c r="S1591" s="472">
        <f>(Table6[[#This Row],[Fault Clearance time]]-Table6[[#This Row],[Work Start TimeStamp]])*24</f>
        <v>0.5333333333333341</v>
      </c>
      <c r="T1591" s="472">
        <f>(Table6[[#This Row],[Fault Clearance time]]-Table6[[#This Row],[Fault Start TimeStamp]])*24</f>
        <v>0.5333333333333341</v>
      </c>
      <c r="U1591" s="35" t="s">
        <v>2036</v>
      </c>
      <c r="V1591" s="102" t="s">
        <v>293</v>
      </c>
      <c r="W1591" s="549">
        <f>IFERROR(Table6[[#This Row],[Breakdown Time]]*Table6[[#This Row],[Plant Equivalent Weightage]],"")</f>
        <v>2.0512820512820537E-2</v>
      </c>
      <c r="X1591" s="473" t="s">
        <v>294</v>
      </c>
      <c r="Y1591" s="474" t="s">
        <v>76</v>
      </c>
      <c r="Z1591" s="102">
        <v>10892</v>
      </c>
      <c r="AA1591" s="468">
        <f>(Table6[[#This Row],[Paired WTG Generation for loss calculation]]/24)*Table6[[#This Row],[Breakdown Time]]</f>
        <v>242.04444444444479</v>
      </c>
      <c r="AB1591" s="102"/>
      <c r="AC1591" s="35"/>
      <c r="AD1591" s="35"/>
    </row>
    <row r="1592" spans="1:30">
      <c r="A1592" s="102">
        <f t="shared" si="25"/>
        <v>1591</v>
      </c>
      <c r="B1592" s="468">
        <f>YEAR(Table6[[#This Row],[Date]])+IF(MONTH(Table6[[#This Row],[Date]])&gt;=4,1,0)</f>
        <v>2026</v>
      </c>
      <c r="C1592" s="102">
        <f>YEAR(Table6[[#This Row],[Date]])</f>
        <v>2025</v>
      </c>
      <c r="D1592" s="102" t="s">
        <v>1992</v>
      </c>
      <c r="E1592" s="469">
        <f>Table6[[#This Row],[Date]]-DAY(Table6[[#This Row],[Date]])+1</f>
        <v>45839</v>
      </c>
      <c r="F1592" s="470">
        <v>45859</v>
      </c>
      <c r="G1592" s="35" t="s">
        <v>91</v>
      </c>
      <c r="H1592" s="35" t="str">
        <f>IFERROR(_xlfn.XLOOKUP(Table6[[#This Row],[Affected WTG]],'Basic Data'!$A:$A,'Basic Data'!$B:$B),"")</f>
        <v>TQGXIIPL</v>
      </c>
      <c r="I1592" s="35" t="str">
        <f>IFERROR(_xlfn.XLOOKUP(Table6[[#This Row],[Affected WTG]],'Basic Data'!$A:$A,'Basic Data'!$C:$C),"")</f>
        <v>GEDA</v>
      </c>
      <c r="J1592" s="471">
        <f>IFERROR(_xlfn.XLOOKUP(Table6[[#This Row],[Affected WTG]],'Basic Data'!$A:$A,'Basic Data'!$E:$E),"")</f>
        <v>3.846153846153845E-2</v>
      </c>
      <c r="K1592" s="102">
        <v>4093</v>
      </c>
      <c r="L1592" s="35" t="str">
        <f>IFERROR(_xlfn.XLOOKUP(Table6[[#This Row],[Error Code]],'Basic Data'!$AA:$AA,'Basic Data'!$AB:$AB),"Incorrect Error Code")</f>
        <v>Rel. air hum. tower base inside too high (in operation)</v>
      </c>
      <c r="M1592" s="35" t="s">
        <v>291</v>
      </c>
      <c r="N1592" s="475"/>
      <c r="O1592" s="476">
        <v>0.11527777777777778</v>
      </c>
      <c r="P1592" s="476">
        <v>0.11527777777777778</v>
      </c>
      <c r="Q1592" s="477">
        <v>0.11666666666666667</v>
      </c>
      <c r="R1592" s="472">
        <f>IF(Table6[[#This Row],[Work Start TimeStamp]]="","",(Table6[[#This Row],[Work Start TimeStamp]]-Table6[[#This Row],[Fault Start TimeStamp]])*24)</f>
        <v>0</v>
      </c>
      <c r="S1592" s="472">
        <f>(Table6[[#This Row],[Fault Clearance time]]-Table6[[#This Row],[Work Start TimeStamp]])*24</f>
        <v>3.3333333333333215E-2</v>
      </c>
      <c r="T1592" s="472">
        <f>(Table6[[#This Row],[Fault Clearance time]]-Table6[[#This Row],[Fault Start TimeStamp]])*24</f>
        <v>3.3333333333333215E-2</v>
      </c>
      <c r="U1592" s="35" t="s">
        <v>1924</v>
      </c>
      <c r="V1592" s="102" t="s">
        <v>293</v>
      </c>
      <c r="W1592" s="549">
        <f>IFERROR(Table6[[#This Row],[Breakdown Time]]*Table6[[#This Row],[Plant Equivalent Weightage]],"")</f>
        <v>1.2820512820512771E-3</v>
      </c>
      <c r="X1592" s="473" t="s">
        <v>294</v>
      </c>
      <c r="Y1592" s="474" t="s">
        <v>79</v>
      </c>
      <c r="Z1592" s="102">
        <v>13391</v>
      </c>
      <c r="AA1592" s="468">
        <f>(Table6[[#This Row],[Paired WTG Generation for loss calculation]]/24)*Table6[[#This Row],[Breakdown Time]]</f>
        <v>18.598611111111047</v>
      </c>
      <c r="AB1592" s="102"/>
      <c r="AC1592" s="35"/>
      <c r="AD1592" s="35"/>
    </row>
    <row r="1593" spans="1:30">
      <c r="A1593" s="102">
        <f t="shared" si="25"/>
        <v>1592</v>
      </c>
      <c r="B1593" s="468">
        <f>YEAR(Table6[[#This Row],[Date]])+IF(MONTH(Table6[[#This Row],[Date]])&gt;=4,1,0)</f>
        <v>2026</v>
      </c>
      <c r="C1593" s="102">
        <f>YEAR(Table6[[#This Row],[Date]])</f>
        <v>2025</v>
      </c>
      <c r="D1593" s="102" t="s">
        <v>1992</v>
      </c>
      <c r="E1593" s="469">
        <f>Table6[[#This Row],[Date]]-DAY(Table6[[#This Row],[Date]])+1</f>
        <v>45839</v>
      </c>
      <c r="F1593" s="470">
        <v>45859</v>
      </c>
      <c r="G1593" s="35" t="s">
        <v>95</v>
      </c>
      <c r="H1593" s="35" t="str">
        <f>IFERROR(_xlfn.XLOOKUP(Table6[[#This Row],[Affected WTG]],'Basic Data'!$A:$A,'Basic Data'!$B:$B),"")</f>
        <v>TQGXIIPL</v>
      </c>
      <c r="I1593" s="35" t="str">
        <f>IFERROR(_xlfn.XLOOKUP(Table6[[#This Row],[Affected WTG]],'Basic Data'!$A:$A,'Basic Data'!$C:$C),"")</f>
        <v>GEDA</v>
      </c>
      <c r="J1593" s="471">
        <f>IFERROR(_xlfn.XLOOKUP(Table6[[#This Row],[Affected WTG]],'Basic Data'!$A:$A,'Basic Data'!$E:$E),"")</f>
        <v>3.846153846153845E-2</v>
      </c>
      <c r="K1593" s="102">
        <v>4093</v>
      </c>
      <c r="L1593" s="35" t="str">
        <f>IFERROR(_xlfn.XLOOKUP(Table6[[#This Row],[Error Code]],'Basic Data'!$AA:$AA,'Basic Data'!$AB:$AB),"Incorrect Error Code")</f>
        <v>Rel. air hum. tower base inside too high (in operation)</v>
      </c>
      <c r="M1593" s="35" t="s">
        <v>291</v>
      </c>
      <c r="N1593" s="475"/>
      <c r="O1593" s="476">
        <v>0.12777777777777777</v>
      </c>
      <c r="P1593" s="476">
        <v>0.12777777777777777</v>
      </c>
      <c r="Q1593" s="477">
        <v>0.13263888888888889</v>
      </c>
      <c r="R1593" s="472">
        <f>IF(Table6[[#This Row],[Work Start TimeStamp]]="","",(Table6[[#This Row],[Work Start TimeStamp]]-Table6[[#This Row],[Fault Start TimeStamp]])*24)</f>
        <v>0</v>
      </c>
      <c r="S1593" s="472">
        <f>(Table6[[#This Row],[Fault Clearance time]]-Table6[[#This Row],[Work Start TimeStamp]])*24</f>
        <v>0.11666666666666692</v>
      </c>
      <c r="T1593" s="472">
        <f>(Table6[[#This Row],[Fault Clearance time]]-Table6[[#This Row],[Fault Start TimeStamp]])*24</f>
        <v>0.11666666666666692</v>
      </c>
      <c r="U1593" s="35" t="s">
        <v>1924</v>
      </c>
      <c r="V1593" s="102" t="s">
        <v>293</v>
      </c>
      <c r="W1593" s="549">
        <f>IFERROR(Table6[[#This Row],[Breakdown Time]]*Table6[[#This Row],[Plant Equivalent Weightage]],"")</f>
        <v>4.4871794871794955E-3</v>
      </c>
      <c r="X1593" s="473" t="s">
        <v>294</v>
      </c>
      <c r="Y1593" s="474" t="s">
        <v>319</v>
      </c>
      <c r="Z1593" s="102">
        <v>13391</v>
      </c>
      <c r="AA1593" s="468">
        <f>(Table6[[#This Row],[Paired WTG Generation for loss calculation]]/24)*Table6[[#This Row],[Breakdown Time]]</f>
        <v>65.095138888889039</v>
      </c>
      <c r="AB1593" s="102"/>
      <c r="AC1593" s="35"/>
      <c r="AD1593" s="35"/>
    </row>
    <row r="1594" spans="1:30">
      <c r="A1594" s="102">
        <f t="shared" si="25"/>
        <v>1593</v>
      </c>
      <c r="B1594" s="468">
        <f>YEAR(Table6[[#This Row],[Date]])+IF(MONTH(Table6[[#This Row],[Date]])&gt;=4,1,0)</f>
        <v>2026</v>
      </c>
      <c r="C1594" s="102">
        <f>YEAR(Table6[[#This Row],[Date]])</f>
        <v>2025</v>
      </c>
      <c r="D1594" s="102" t="s">
        <v>1992</v>
      </c>
      <c r="E1594" s="469">
        <f>Table6[[#This Row],[Date]]-DAY(Table6[[#This Row],[Date]])+1</f>
        <v>45839</v>
      </c>
      <c r="F1594" s="470">
        <v>45859</v>
      </c>
      <c r="G1594" s="35" t="s">
        <v>95</v>
      </c>
      <c r="H1594" s="35" t="str">
        <f>IFERROR(_xlfn.XLOOKUP(Table6[[#This Row],[Affected WTG]],'Basic Data'!$A:$A,'Basic Data'!$B:$B),"")</f>
        <v>TQGXIIPL</v>
      </c>
      <c r="I1594" s="35" t="str">
        <f>IFERROR(_xlfn.XLOOKUP(Table6[[#This Row],[Affected WTG]],'Basic Data'!$A:$A,'Basic Data'!$C:$C),"")</f>
        <v>GEDA</v>
      </c>
      <c r="J1594" s="471">
        <f>IFERROR(_xlfn.XLOOKUP(Table6[[#This Row],[Affected WTG]],'Basic Data'!$A:$A,'Basic Data'!$E:$E),"")</f>
        <v>3.846153846153845E-2</v>
      </c>
      <c r="K1594" s="102">
        <v>4093</v>
      </c>
      <c r="L1594" s="35" t="str">
        <f>IFERROR(_xlfn.XLOOKUP(Table6[[#This Row],[Error Code]],'Basic Data'!$AA:$AA,'Basic Data'!$AB:$AB),"Incorrect Error Code")</f>
        <v>Rel. air hum. tower base inside too high (in operation)</v>
      </c>
      <c r="M1594" s="35" t="s">
        <v>291</v>
      </c>
      <c r="N1594" s="475"/>
      <c r="O1594" s="476">
        <v>0.33194444444444443</v>
      </c>
      <c r="P1594" s="476">
        <v>0.33194444444444443</v>
      </c>
      <c r="Q1594" s="477">
        <v>0.33333333333333331</v>
      </c>
      <c r="R1594" s="472">
        <f>IF(Table6[[#This Row],[Work Start TimeStamp]]="","",(Table6[[#This Row],[Work Start TimeStamp]]-Table6[[#This Row],[Fault Start TimeStamp]])*24)</f>
        <v>0</v>
      </c>
      <c r="S1594" s="472">
        <f>(Table6[[#This Row],[Fault Clearance time]]-Table6[[#This Row],[Work Start TimeStamp]])*24</f>
        <v>3.3333333333333215E-2</v>
      </c>
      <c r="T1594" s="472">
        <f>(Table6[[#This Row],[Fault Clearance time]]-Table6[[#This Row],[Fault Start TimeStamp]])*24</f>
        <v>3.3333333333333215E-2</v>
      </c>
      <c r="U1594" s="35" t="s">
        <v>1924</v>
      </c>
      <c r="V1594" s="102" t="s">
        <v>293</v>
      </c>
      <c r="W1594" s="549">
        <f>IFERROR(Table6[[#This Row],[Breakdown Time]]*Table6[[#This Row],[Plant Equivalent Weightage]],"")</f>
        <v>1.2820512820512771E-3</v>
      </c>
      <c r="X1594" s="473" t="s">
        <v>294</v>
      </c>
      <c r="Y1594" s="474" t="s">
        <v>79</v>
      </c>
      <c r="Z1594" s="102">
        <v>13391</v>
      </c>
      <c r="AA1594" s="468">
        <f>(Table6[[#This Row],[Paired WTG Generation for loss calculation]]/24)*Table6[[#This Row],[Breakdown Time]]</f>
        <v>18.598611111111047</v>
      </c>
      <c r="AB1594" s="102"/>
      <c r="AC1594" s="35"/>
      <c r="AD1594" s="35"/>
    </row>
    <row r="1595" spans="1:30">
      <c r="A1595" s="102">
        <f t="shared" si="25"/>
        <v>1594</v>
      </c>
      <c r="B1595" s="468">
        <f>YEAR(Table6[[#This Row],[Date]])+IF(MONTH(Table6[[#This Row],[Date]])&gt;=4,1,0)</f>
        <v>2026</v>
      </c>
      <c r="C1595" s="102">
        <f>YEAR(Table6[[#This Row],[Date]])</f>
        <v>2025</v>
      </c>
      <c r="D1595" s="102" t="s">
        <v>1992</v>
      </c>
      <c r="E1595" s="469">
        <f>Table6[[#This Row],[Date]]-DAY(Table6[[#This Row],[Date]])+1</f>
        <v>45839</v>
      </c>
      <c r="F1595" s="470">
        <v>45859</v>
      </c>
      <c r="G1595" s="35" t="s">
        <v>96</v>
      </c>
      <c r="H1595" s="35" t="str">
        <f>IFERROR(_xlfn.XLOOKUP(Table6[[#This Row],[Affected WTG]],'Basic Data'!$A:$A,'Basic Data'!$B:$B),"")</f>
        <v>TQGXIIPL</v>
      </c>
      <c r="I1595" s="35" t="str">
        <f>IFERROR(_xlfn.XLOOKUP(Table6[[#This Row],[Affected WTG]],'Basic Data'!$A:$A,'Basic Data'!$C:$C),"")</f>
        <v>GEDA</v>
      </c>
      <c r="J1595" s="471">
        <f>IFERROR(_xlfn.XLOOKUP(Table6[[#This Row],[Affected WTG]],'Basic Data'!$A:$A,'Basic Data'!$E:$E),"")</f>
        <v>3.846153846153845E-2</v>
      </c>
      <c r="K1595" s="102">
        <v>55</v>
      </c>
      <c r="L1595" s="35" t="str">
        <f>IFERROR(_xlfn.XLOOKUP(Table6[[#This Row],[Error Code]],'Basic Data'!$AA:$AA,'Basic Data'!$AB:$AB),"Incorrect Error Code")</f>
        <v>WTG shut down</v>
      </c>
      <c r="M1595" s="35" t="s">
        <v>291</v>
      </c>
      <c r="N1595" s="475"/>
      <c r="O1595" s="476">
        <v>0.45347222222222222</v>
      </c>
      <c r="P1595" s="476">
        <v>0.45347222222222222</v>
      </c>
      <c r="Q1595" s="477">
        <v>0.55902777777777779</v>
      </c>
      <c r="R1595" s="472">
        <f>IF(Table6[[#This Row],[Work Start TimeStamp]]="","",(Table6[[#This Row],[Work Start TimeStamp]]-Table6[[#This Row],[Fault Start TimeStamp]])*24)</f>
        <v>0</v>
      </c>
      <c r="S1595" s="472">
        <f>(Table6[[#This Row],[Fault Clearance time]]-Table6[[#This Row],[Work Start TimeStamp]])*24</f>
        <v>2.5333333333333337</v>
      </c>
      <c r="T1595" s="472">
        <f>(Table6[[#This Row],[Fault Clearance time]]-Table6[[#This Row],[Fault Start TimeStamp]])*24</f>
        <v>2.5333333333333337</v>
      </c>
      <c r="U1595" s="35" t="s">
        <v>2107</v>
      </c>
      <c r="V1595" s="102" t="s">
        <v>293</v>
      </c>
      <c r="W1595" s="549">
        <f>IFERROR(Table6[[#This Row],[Breakdown Time]]*Table6[[#This Row],[Plant Equivalent Weightage]],"")</f>
        <v>9.7435897435897423E-2</v>
      </c>
      <c r="X1595" s="473" t="s">
        <v>290</v>
      </c>
      <c r="Y1595" s="474" t="s">
        <v>84</v>
      </c>
      <c r="Z1595" s="102">
        <v>10509</v>
      </c>
      <c r="AA1595" s="468">
        <f>(Table6[[#This Row],[Paired WTG Generation for loss calculation]]/24)*Table6[[#This Row],[Breakdown Time]]</f>
        <v>1109.2833333333335</v>
      </c>
      <c r="AB1595" s="102"/>
      <c r="AC1595" s="35"/>
      <c r="AD1595" s="35"/>
    </row>
    <row r="1596" spans="1:30">
      <c r="A1596" s="102">
        <f t="shared" si="25"/>
        <v>1595</v>
      </c>
      <c r="B1596" s="468">
        <f>YEAR(Table6[[#This Row],[Date]])+IF(MONTH(Table6[[#This Row],[Date]])&gt;=4,1,0)</f>
        <v>2026</v>
      </c>
      <c r="C1596" s="102">
        <f>YEAR(Table6[[#This Row],[Date]])</f>
        <v>2025</v>
      </c>
      <c r="D1596" s="102" t="s">
        <v>1992</v>
      </c>
      <c r="E1596" s="469">
        <f>Table6[[#This Row],[Date]]-DAY(Table6[[#This Row],[Date]])+1</f>
        <v>45839</v>
      </c>
      <c r="F1596" s="470">
        <v>45859</v>
      </c>
      <c r="G1596" s="35" t="s">
        <v>97</v>
      </c>
      <c r="H1596" s="35" t="str">
        <f>IFERROR(_xlfn.XLOOKUP(Table6[[#This Row],[Affected WTG]],'Basic Data'!$A:$A,'Basic Data'!$B:$B),"")</f>
        <v>TQGXIIPL</v>
      </c>
      <c r="I1596" s="35" t="str">
        <f>IFERROR(_xlfn.XLOOKUP(Table6[[#This Row],[Affected WTG]],'Basic Data'!$A:$A,'Basic Data'!$C:$C),"")</f>
        <v>GEDA</v>
      </c>
      <c r="J1596" s="471">
        <f>IFERROR(_xlfn.XLOOKUP(Table6[[#This Row],[Affected WTG]],'Basic Data'!$A:$A,'Basic Data'!$E:$E),"")</f>
        <v>3.846153846153845E-2</v>
      </c>
      <c r="K1596" s="102">
        <v>700</v>
      </c>
      <c r="L1596" s="35" t="str">
        <f>IFERROR(_xlfn.XLOOKUP(Table6[[#This Row],[Error Code]],'Basic Data'!$AA:$AA,'Basic Data'!$AB:$AB),"Incorrect Error Code")</f>
        <v>Batt. undervoltage/overvoltage</v>
      </c>
      <c r="M1596" s="35" t="s">
        <v>291</v>
      </c>
      <c r="N1596" s="475"/>
      <c r="O1596" s="476">
        <v>0.2986111111111111</v>
      </c>
      <c r="P1596" s="476">
        <v>0.2986111111111111</v>
      </c>
      <c r="Q1596" s="477">
        <v>0.31041666666666667</v>
      </c>
      <c r="R1596" s="472">
        <f>IF(Table6[[#This Row],[Work Start TimeStamp]]="","",(Table6[[#This Row],[Work Start TimeStamp]]-Table6[[#This Row],[Fault Start TimeStamp]])*24)</f>
        <v>0</v>
      </c>
      <c r="S1596" s="472">
        <f>(Table6[[#This Row],[Fault Clearance time]]-Table6[[#This Row],[Work Start TimeStamp]])*24</f>
        <v>0.28333333333333366</v>
      </c>
      <c r="T1596" s="472">
        <f>(Table6[[#This Row],[Fault Clearance time]]-Table6[[#This Row],[Fault Start TimeStamp]])*24</f>
        <v>0.28333333333333366</v>
      </c>
      <c r="U1596" s="35" t="s">
        <v>1924</v>
      </c>
      <c r="V1596" s="102" t="s">
        <v>293</v>
      </c>
      <c r="W1596" s="549">
        <f>IFERROR(Table6[[#This Row],[Breakdown Time]]*Table6[[#This Row],[Plant Equivalent Weightage]],"")</f>
        <v>1.0897435897435907E-2</v>
      </c>
      <c r="X1596" s="473" t="s">
        <v>294</v>
      </c>
      <c r="Y1596" s="474" t="s">
        <v>93</v>
      </c>
      <c r="Z1596" s="102">
        <v>10892</v>
      </c>
      <c r="AA1596" s="468">
        <f>(Table6[[#This Row],[Paired WTG Generation for loss calculation]]/24)*Table6[[#This Row],[Breakdown Time]]</f>
        <v>128.58611111111125</v>
      </c>
      <c r="AB1596" s="102"/>
      <c r="AC1596" s="35"/>
      <c r="AD1596" s="35"/>
    </row>
    <row r="1597" spans="1:30">
      <c r="A1597" s="102">
        <f t="shared" si="25"/>
        <v>1596</v>
      </c>
      <c r="B1597" s="468">
        <f>YEAR(Table6[[#This Row],[Date]])+IF(MONTH(Table6[[#This Row],[Date]])&gt;=4,1,0)</f>
        <v>2026</v>
      </c>
      <c r="C1597" s="102">
        <f>YEAR(Table6[[#This Row],[Date]])</f>
        <v>2025</v>
      </c>
      <c r="D1597" s="102" t="s">
        <v>1992</v>
      </c>
      <c r="E1597" s="469">
        <f>Table6[[#This Row],[Date]]-DAY(Table6[[#This Row],[Date]])+1</f>
        <v>45839</v>
      </c>
      <c r="F1597" s="470">
        <v>45859</v>
      </c>
      <c r="G1597" s="35" t="s">
        <v>99</v>
      </c>
      <c r="H1597" s="35" t="str">
        <f>IFERROR(_xlfn.XLOOKUP(Table6[[#This Row],[Affected WTG]],'Basic Data'!$A:$A,'Basic Data'!$B:$B),"")</f>
        <v>TQGXIIPL</v>
      </c>
      <c r="I1597" s="35" t="str">
        <f>IFERROR(_xlfn.XLOOKUP(Table6[[#This Row],[Affected WTG]],'Basic Data'!$A:$A,'Basic Data'!$C:$C),"")</f>
        <v>GEDA</v>
      </c>
      <c r="J1597" s="471">
        <f>IFERROR(_xlfn.XLOOKUP(Table6[[#This Row],[Affected WTG]],'Basic Data'!$A:$A,'Basic Data'!$E:$E),"")</f>
        <v>3.846153846153845E-2</v>
      </c>
      <c r="K1597" s="102">
        <v>700</v>
      </c>
      <c r="L1597" s="35" t="str">
        <f>IFERROR(_xlfn.XLOOKUP(Table6[[#This Row],[Error Code]],'Basic Data'!$AA:$AA,'Basic Data'!$AB:$AB),"Incorrect Error Code")</f>
        <v>Batt. undervoltage/overvoltage</v>
      </c>
      <c r="M1597" s="35" t="s">
        <v>291</v>
      </c>
      <c r="N1597" s="475"/>
      <c r="O1597" s="476">
        <v>0.3263888888888889</v>
      </c>
      <c r="P1597" s="476">
        <v>0.3263888888888889</v>
      </c>
      <c r="Q1597" s="477">
        <v>0.33333333333333331</v>
      </c>
      <c r="R1597" s="472">
        <f>IF(Table6[[#This Row],[Work Start TimeStamp]]="","",(Table6[[#This Row],[Work Start TimeStamp]]-Table6[[#This Row],[Fault Start TimeStamp]])*24)</f>
        <v>0</v>
      </c>
      <c r="S1597" s="472">
        <f>(Table6[[#This Row],[Fault Clearance time]]-Table6[[#This Row],[Work Start TimeStamp]])*24</f>
        <v>0.16666666666666607</v>
      </c>
      <c r="T1597" s="472">
        <f>(Table6[[#This Row],[Fault Clearance time]]-Table6[[#This Row],[Fault Start TimeStamp]])*24</f>
        <v>0.16666666666666607</v>
      </c>
      <c r="U1597" s="35" t="s">
        <v>1924</v>
      </c>
      <c r="V1597" s="102" t="s">
        <v>293</v>
      </c>
      <c r="W1597" s="549">
        <f>IFERROR(Table6[[#This Row],[Breakdown Time]]*Table6[[#This Row],[Plant Equivalent Weightage]],"")</f>
        <v>6.4102564102563857E-3</v>
      </c>
      <c r="X1597" s="473" t="s">
        <v>294</v>
      </c>
      <c r="Y1597" s="474" t="s">
        <v>74</v>
      </c>
      <c r="Z1597" s="102">
        <v>10341</v>
      </c>
      <c r="AA1597" s="468">
        <f>(Table6[[#This Row],[Paired WTG Generation for loss calculation]]/24)*Table6[[#This Row],[Breakdown Time]]</f>
        <v>71.812499999999744</v>
      </c>
      <c r="AB1597" s="102"/>
      <c r="AC1597" s="35"/>
      <c r="AD1597" s="35"/>
    </row>
    <row r="1598" spans="1:30">
      <c r="A1598" s="102">
        <f t="shared" si="25"/>
        <v>1597</v>
      </c>
      <c r="B1598" s="468">
        <f>YEAR(Table6[[#This Row],[Date]])+IF(MONTH(Table6[[#This Row],[Date]])&gt;=4,1,0)</f>
        <v>2026</v>
      </c>
      <c r="C1598" s="102">
        <f>YEAR(Table6[[#This Row],[Date]])</f>
        <v>2025</v>
      </c>
      <c r="D1598" s="102" t="s">
        <v>1992</v>
      </c>
      <c r="E1598" s="469">
        <f>Table6[[#This Row],[Date]]-DAY(Table6[[#This Row],[Date]])+1</f>
        <v>45839</v>
      </c>
      <c r="F1598" s="470">
        <v>45859</v>
      </c>
      <c r="G1598" s="35" t="s">
        <v>99</v>
      </c>
      <c r="H1598" s="35" t="str">
        <f>IFERROR(_xlfn.XLOOKUP(Table6[[#This Row],[Affected WTG]],'Basic Data'!$A:$A,'Basic Data'!$B:$B),"")</f>
        <v>TQGXIIPL</v>
      </c>
      <c r="I1598" s="35" t="str">
        <f>IFERROR(_xlfn.XLOOKUP(Table6[[#This Row],[Affected WTG]],'Basic Data'!$A:$A,'Basic Data'!$C:$C),"")</f>
        <v>GEDA</v>
      </c>
      <c r="J1598" s="471">
        <f>IFERROR(_xlfn.XLOOKUP(Table6[[#This Row],[Affected WTG]],'Basic Data'!$A:$A,'Basic Data'!$E:$E),"")</f>
        <v>3.846153846153845E-2</v>
      </c>
      <c r="K1598" s="102">
        <v>55</v>
      </c>
      <c r="L1598" s="35" t="str">
        <f>IFERROR(_xlfn.XLOOKUP(Table6[[#This Row],[Error Code]],'Basic Data'!$AA:$AA,'Basic Data'!$AB:$AB),"Incorrect Error Code")</f>
        <v>WTG shut down</v>
      </c>
      <c r="M1598" s="35" t="s">
        <v>291</v>
      </c>
      <c r="N1598" s="475"/>
      <c r="O1598" s="476">
        <v>0.4597222222222222</v>
      </c>
      <c r="P1598" s="476">
        <v>0.4597222222222222</v>
      </c>
      <c r="Q1598" s="477">
        <v>0.60416666666666663</v>
      </c>
      <c r="R1598" s="472">
        <f>IF(Table6[[#This Row],[Work Start TimeStamp]]="","",(Table6[[#This Row],[Work Start TimeStamp]]-Table6[[#This Row],[Fault Start TimeStamp]])*24)</f>
        <v>0</v>
      </c>
      <c r="S1598" s="472">
        <f>(Table6[[#This Row],[Fault Clearance time]]-Table6[[#This Row],[Work Start TimeStamp]])*24</f>
        <v>3.4666666666666663</v>
      </c>
      <c r="T1598" s="472">
        <f>(Table6[[#This Row],[Fault Clearance time]]-Table6[[#This Row],[Fault Start TimeStamp]])*24</f>
        <v>3.4666666666666663</v>
      </c>
      <c r="U1598" s="35" t="s">
        <v>2108</v>
      </c>
      <c r="V1598" s="102" t="s">
        <v>293</v>
      </c>
      <c r="W1598" s="549">
        <f>IFERROR(Table6[[#This Row],[Breakdown Time]]*Table6[[#This Row],[Plant Equivalent Weightage]],"")</f>
        <v>0.13333333333333328</v>
      </c>
      <c r="X1598" s="473" t="s">
        <v>290</v>
      </c>
      <c r="Y1598" s="474" t="s">
        <v>74</v>
      </c>
      <c r="Z1598" s="102">
        <v>10341</v>
      </c>
      <c r="AA1598" s="468">
        <f>(Table6[[#This Row],[Paired WTG Generation for loss calculation]]/24)*Table6[[#This Row],[Breakdown Time]]</f>
        <v>1493.6999999999998</v>
      </c>
      <c r="AB1598" s="102"/>
      <c r="AC1598" s="35"/>
      <c r="AD1598" s="35"/>
    </row>
    <row r="1599" spans="1:30">
      <c r="A1599" s="102">
        <f t="shared" si="25"/>
        <v>1598</v>
      </c>
      <c r="B1599" s="468">
        <f>YEAR(Table6[[#This Row],[Date]])+IF(MONTH(Table6[[#This Row],[Date]])&gt;=4,1,0)</f>
        <v>2026</v>
      </c>
      <c r="C1599" s="102">
        <f>YEAR(Table6[[#This Row],[Date]])</f>
        <v>2025</v>
      </c>
      <c r="D1599" s="102" t="s">
        <v>1992</v>
      </c>
      <c r="E1599" s="469">
        <f>Table6[[#This Row],[Date]]-DAY(Table6[[#This Row],[Date]])+1</f>
        <v>45839</v>
      </c>
      <c r="F1599" s="470">
        <v>45860</v>
      </c>
      <c r="G1599" s="35" t="s">
        <v>75</v>
      </c>
      <c r="H1599" s="35" t="str">
        <f>IFERROR(_xlfn.XLOOKUP(Table6[[#This Row],[Affected WTG]],'Basic Data'!$A:$A,'Basic Data'!$B:$B),"")</f>
        <v>TQGXIIPL</v>
      </c>
      <c r="I1599" s="35" t="str">
        <f>IFERROR(_xlfn.XLOOKUP(Table6[[#This Row],[Affected WTG]],'Basic Data'!$A:$A,'Basic Data'!$C:$C),"")</f>
        <v>GEDA</v>
      </c>
      <c r="J1599" s="471">
        <f>IFERROR(_xlfn.XLOOKUP(Table6[[#This Row],[Affected WTG]],'Basic Data'!$A:$A,'Basic Data'!$E:$E),"")</f>
        <v>3.846153846153845E-2</v>
      </c>
      <c r="K1599" s="102">
        <v>650</v>
      </c>
      <c r="L1599" s="35" t="str">
        <f>IFERROR(_xlfn.XLOOKUP(Table6[[#This Row],[Error Code]],'Basic Data'!$AA:$AA,'Basic Data'!$AB:$AB),"Incorrect Error Code")</f>
        <v>Pitch controller communication error</v>
      </c>
      <c r="M1599" s="35" t="s">
        <v>295</v>
      </c>
      <c r="N1599" s="475"/>
      <c r="O1599" s="476">
        <v>7.6388888888888886E-3</v>
      </c>
      <c r="P1599" s="476">
        <v>3.888888888888889E-2</v>
      </c>
      <c r="Q1599" s="477">
        <v>0.52083333333333337</v>
      </c>
      <c r="R1599" s="472">
        <f>IF(Table6[[#This Row],[Work Start TimeStamp]]="","",(Table6[[#This Row],[Work Start TimeStamp]]-Table6[[#This Row],[Fault Start TimeStamp]])*24)</f>
        <v>0.75</v>
      </c>
      <c r="S1599" s="472">
        <f>(Table6[[#This Row],[Fault Clearance time]]-Table6[[#This Row],[Work Start TimeStamp]])*24</f>
        <v>11.566666666666668</v>
      </c>
      <c r="T1599" s="472">
        <f>(Table6[[#This Row],[Fault Clearance time]]-Table6[[#This Row],[Fault Start TimeStamp]])*24</f>
        <v>12.316666666666668</v>
      </c>
      <c r="U1599" s="35" t="s">
        <v>2110</v>
      </c>
      <c r="V1599" s="102" t="s">
        <v>293</v>
      </c>
      <c r="W1599" s="549">
        <f>IFERROR(Table6[[#This Row],[Breakdown Time]]*Table6[[#This Row],[Plant Equivalent Weightage]],"")</f>
        <v>0.47371794871794864</v>
      </c>
      <c r="X1599" s="473" t="s">
        <v>290</v>
      </c>
      <c r="Y1599" s="474" t="s">
        <v>78</v>
      </c>
      <c r="Z1599" s="102">
        <v>23539</v>
      </c>
      <c r="AA1599" s="468">
        <f>(Table6[[#This Row],[Paired WTG Generation for loss calculation]]/24)*Table6[[#This Row],[Breakdown Time]]</f>
        <v>12080.084027777779</v>
      </c>
      <c r="AB1599" s="102"/>
      <c r="AC1599" s="35"/>
      <c r="AD1599" s="35"/>
    </row>
    <row r="1600" spans="1:30">
      <c r="A1600" s="102">
        <f t="shared" si="25"/>
        <v>1599</v>
      </c>
      <c r="B1600" s="468">
        <f>YEAR(Table6[[#This Row],[Date]])+IF(MONTH(Table6[[#This Row],[Date]])&gt;=4,1,0)</f>
        <v>2026</v>
      </c>
      <c r="C1600" s="102">
        <f>YEAR(Table6[[#This Row],[Date]])</f>
        <v>2025</v>
      </c>
      <c r="D1600" s="102" t="s">
        <v>1992</v>
      </c>
      <c r="E1600" s="469">
        <f>Table6[[#This Row],[Date]]-DAY(Table6[[#This Row],[Date]])+1</f>
        <v>45839</v>
      </c>
      <c r="F1600" s="470">
        <v>45860</v>
      </c>
      <c r="G1600" s="35" t="s">
        <v>83</v>
      </c>
      <c r="H1600" s="35" t="str">
        <f>IFERROR(_xlfn.XLOOKUP(Table6[[#This Row],[Affected WTG]],'Basic Data'!$A:$A,'Basic Data'!$B:$B),"")</f>
        <v>TQGXIIPL</v>
      </c>
      <c r="I1600" s="35" t="str">
        <f>IFERROR(_xlfn.XLOOKUP(Table6[[#This Row],[Affected WTG]],'Basic Data'!$A:$A,'Basic Data'!$C:$C),"")</f>
        <v>GEDA</v>
      </c>
      <c r="J1600" s="471">
        <f>IFERROR(_xlfn.XLOOKUP(Table6[[#This Row],[Affected WTG]],'Basic Data'!$A:$A,'Basic Data'!$E:$E),"")</f>
        <v>3.846153846153845E-2</v>
      </c>
      <c r="K1600" s="102">
        <v>656</v>
      </c>
      <c r="L1600" s="35" t="str">
        <f>IFERROR(_xlfn.XLOOKUP(Table6[[#This Row],[Error Code]],'Basic Data'!$AA:$AA,'Basic Data'!$AB:$AB),"Incorrect Error Code")</f>
        <v>Error pitch converter 1</v>
      </c>
      <c r="M1600" s="35" t="s">
        <v>291</v>
      </c>
      <c r="N1600" s="475"/>
      <c r="O1600" s="476">
        <v>0.2638888888888889</v>
      </c>
      <c r="P1600" s="476">
        <v>0.2638888888888889</v>
      </c>
      <c r="Q1600" s="477">
        <v>0.26527777777777778</v>
      </c>
      <c r="R1600" s="472">
        <f>IF(Table6[[#This Row],[Work Start TimeStamp]]="","",(Table6[[#This Row],[Work Start TimeStamp]]-Table6[[#This Row],[Fault Start TimeStamp]])*24)</f>
        <v>0</v>
      </c>
      <c r="S1600" s="472">
        <f>(Table6[[#This Row],[Fault Clearance time]]-Table6[[#This Row],[Work Start TimeStamp]])*24</f>
        <v>3.3333333333333215E-2</v>
      </c>
      <c r="T1600" s="472">
        <f>(Table6[[#This Row],[Fault Clearance time]]-Table6[[#This Row],[Fault Start TimeStamp]])*24</f>
        <v>3.3333333333333215E-2</v>
      </c>
      <c r="U1600" s="35" t="s">
        <v>1924</v>
      </c>
      <c r="V1600" s="102" t="s">
        <v>293</v>
      </c>
      <c r="W1600" s="549">
        <f>IFERROR(Table6[[#This Row],[Breakdown Time]]*Table6[[#This Row],[Plant Equivalent Weightage]],"")</f>
        <v>1.2820512820512771E-3</v>
      </c>
      <c r="X1600" s="473" t="s">
        <v>294</v>
      </c>
      <c r="Y1600" s="474" t="s">
        <v>88</v>
      </c>
      <c r="Z1600" s="102">
        <v>21066</v>
      </c>
      <c r="AA1600" s="468">
        <f>(Table6[[#This Row],[Paired WTG Generation for loss calculation]]/24)*Table6[[#This Row],[Breakdown Time]]</f>
        <v>29.25833333333323</v>
      </c>
      <c r="AB1600" s="102"/>
      <c r="AC1600" s="35"/>
      <c r="AD1600" s="35"/>
    </row>
    <row r="1601" spans="1:30">
      <c r="A1601" s="102">
        <f t="shared" si="25"/>
        <v>1600</v>
      </c>
      <c r="B1601" s="468">
        <f>YEAR(Table6[[#This Row],[Date]])+IF(MONTH(Table6[[#This Row],[Date]])&gt;=4,1,0)</f>
        <v>2026</v>
      </c>
      <c r="C1601" s="102">
        <f>YEAR(Table6[[#This Row],[Date]])</f>
        <v>2025</v>
      </c>
      <c r="D1601" s="102" t="s">
        <v>1992</v>
      </c>
      <c r="E1601" s="469">
        <f>Table6[[#This Row],[Date]]-DAY(Table6[[#This Row],[Date]])+1</f>
        <v>45839</v>
      </c>
      <c r="F1601" s="470">
        <v>45860</v>
      </c>
      <c r="G1601" s="35" t="s">
        <v>90</v>
      </c>
      <c r="H1601" s="35" t="str">
        <f>IFERROR(_xlfn.XLOOKUP(Table6[[#This Row],[Affected WTG]],'Basic Data'!$A:$A,'Basic Data'!$B:$B),"")</f>
        <v>TQGXIIPL</v>
      </c>
      <c r="I1601" s="35" t="str">
        <f>IFERROR(_xlfn.XLOOKUP(Table6[[#This Row],[Affected WTG]],'Basic Data'!$A:$A,'Basic Data'!$C:$C),"")</f>
        <v>GEDA</v>
      </c>
      <c r="J1601" s="471">
        <f>IFERROR(_xlfn.XLOOKUP(Table6[[#This Row],[Affected WTG]],'Basic Data'!$A:$A,'Basic Data'!$E:$E),"")</f>
        <v>3.846153846153845E-2</v>
      </c>
      <c r="K1601" s="102">
        <v>55</v>
      </c>
      <c r="L1601" s="35" t="str">
        <f>IFERROR(_xlfn.XLOOKUP(Table6[[#This Row],[Error Code]],'Basic Data'!$AA:$AA,'Basic Data'!$AB:$AB),"Incorrect Error Code")</f>
        <v>WTG shut down</v>
      </c>
      <c r="M1601" s="35" t="s">
        <v>291</v>
      </c>
      <c r="N1601" s="475"/>
      <c r="O1601" s="476">
        <v>0.87222222222222223</v>
      </c>
      <c r="P1601" s="476">
        <v>0.87222222222222223</v>
      </c>
      <c r="Q1601" s="477">
        <v>1</v>
      </c>
      <c r="R1601" s="472">
        <f>IF(Table6[[#This Row],[Work Start TimeStamp]]="","",(Table6[[#This Row],[Work Start TimeStamp]]-Table6[[#This Row],[Fault Start TimeStamp]])*24)</f>
        <v>0</v>
      </c>
      <c r="S1601" s="472">
        <f>(Table6[[#This Row],[Fault Clearance time]]-Table6[[#This Row],[Work Start TimeStamp]])*24</f>
        <v>3.0666666666666664</v>
      </c>
      <c r="T1601" s="472">
        <f>(Table6[[#This Row],[Fault Clearance time]]-Table6[[#This Row],[Fault Start TimeStamp]])*24</f>
        <v>3.0666666666666664</v>
      </c>
      <c r="U1601" s="35" t="s">
        <v>2111</v>
      </c>
      <c r="V1601" s="102" t="s">
        <v>293</v>
      </c>
      <c r="W1601" s="549">
        <f>IFERROR(Table6[[#This Row],[Breakdown Time]]*Table6[[#This Row],[Plant Equivalent Weightage]],"")</f>
        <v>0.1179487179487179</v>
      </c>
      <c r="X1601" s="473" t="s">
        <v>290</v>
      </c>
      <c r="Y1601" s="474" t="s">
        <v>95</v>
      </c>
      <c r="Z1601" s="102">
        <v>23902</v>
      </c>
      <c r="AA1601" s="468">
        <f>(Table6[[#This Row],[Paired WTG Generation for loss calculation]]/24)*Table6[[#This Row],[Breakdown Time]]</f>
        <v>3054.1444444444442</v>
      </c>
      <c r="AB1601" s="102"/>
      <c r="AC1601" s="35"/>
      <c r="AD1601" s="35"/>
    </row>
    <row r="1602" spans="1:30">
      <c r="A1602" s="102">
        <f t="shared" si="25"/>
        <v>1601</v>
      </c>
      <c r="B1602" s="468">
        <f>YEAR(Table6[[#This Row],[Date]])+IF(MONTH(Table6[[#This Row],[Date]])&gt;=4,1,0)</f>
        <v>2026</v>
      </c>
      <c r="C1602" s="102">
        <f>YEAR(Table6[[#This Row],[Date]])</f>
        <v>2025</v>
      </c>
      <c r="D1602" s="102" t="s">
        <v>1992</v>
      </c>
      <c r="E1602" s="469">
        <f>Table6[[#This Row],[Date]]-DAY(Table6[[#This Row],[Date]])+1</f>
        <v>45839</v>
      </c>
      <c r="F1602" s="470">
        <v>45861</v>
      </c>
      <c r="G1602" s="35" t="s">
        <v>77</v>
      </c>
      <c r="H1602" s="35" t="str">
        <f>IFERROR(_xlfn.XLOOKUP(Table6[[#This Row],[Affected WTG]],'Basic Data'!$A:$A,'Basic Data'!$B:$B),"")</f>
        <v>TQGXIIPL</v>
      </c>
      <c r="I1602" s="35" t="str">
        <f>IFERROR(_xlfn.XLOOKUP(Table6[[#This Row],[Affected WTG]],'Basic Data'!$A:$A,'Basic Data'!$C:$C),"")</f>
        <v>GEDA</v>
      </c>
      <c r="J1602" s="471">
        <f>IFERROR(_xlfn.XLOOKUP(Table6[[#This Row],[Affected WTG]],'Basic Data'!$A:$A,'Basic Data'!$E:$E),"")</f>
        <v>3.846153846153845E-2</v>
      </c>
      <c r="K1602" s="102">
        <v>6130</v>
      </c>
      <c r="L1602" s="35" t="str">
        <f>IFERROR(_xlfn.XLOOKUP(Table6[[#This Row],[Error Code]],'Basic Data'!$AA:$AA,'Basic Data'!$AB:$AB),"Incorrect Error Code")</f>
        <v>Yaw speed high</v>
      </c>
      <c r="M1602" s="35" t="s">
        <v>291</v>
      </c>
      <c r="N1602" s="475"/>
      <c r="O1602" s="476">
        <v>0.40902777777777777</v>
      </c>
      <c r="P1602" s="476">
        <v>0.40902777777777777</v>
      </c>
      <c r="Q1602" s="477">
        <v>0.41180555555555554</v>
      </c>
      <c r="R1602" s="472">
        <f>IF(Table6[[#This Row],[Work Start TimeStamp]]="","",(Table6[[#This Row],[Work Start TimeStamp]]-Table6[[#This Row],[Fault Start TimeStamp]])*24)</f>
        <v>0</v>
      </c>
      <c r="S1602" s="472">
        <f>(Table6[[#This Row],[Fault Clearance time]]-Table6[[#This Row],[Work Start TimeStamp]])*24</f>
        <v>6.666666666666643E-2</v>
      </c>
      <c r="T1602" s="472">
        <f>(Table6[[#This Row],[Fault Clearance time]]-Table6[[#This Row],[Fault Start TimeStamp]])*24</f>
        <v>6.666666666666643E-2</v>
      </c>
      <c r="U1602" s="35" t="s">
        <v>1924</v>
      </c>
      <c r="V1602" s="102" t="s">
        <v>293</v>
      </c>
      <c r="W1602" s="549">
        <f>IFERROR(Table6[[#This Row],[Breakdown Time]]*Table6[[#This Row],[Plant Equivalent Weightage]],"")</f>
        <v>2.5641025641025541E-3</v>
      </c>
      <c r="X1602" s="473" t="s">
        <v>294</v>
      </c>
      <c r="Y1602" s="474" t="s">
        <v>80</v>
      </c>
      <c r="Z1602" s="102">
        <v>35706</v>
      </c>
      <c r="AA1602" s="468">
        <f>(Table6[[#This Row],[Paired WTG Generation for loss calculation]]/24)*Table6[[#This Row],[Breakdown Time]]</f>
        <v>99.183333333332982</v>
      </c>
      <c r="AB1602" s="102"/>
      <c r="AC1602" s="35"/>
      <c r="AD1602" s="35"/>
    </row>
    <row r="1603" spans="1:30">
      <c r="A1603" s="102">
        <f t="shared" si="25"/>
        <v>1602</v>
      </c>
      <c r="B1603" s="468">
        <f>YEAR(Table6[[#This Row],[Date]])+IF(MONTH(Table6[[#This Row],[Date]])&gt;=4,1,0)</f>
        <v>2026</v>
      </c>
      <c r="C1603" s="102">
        <f>YEAR(Table6[[#This Row],[Date]])</f>
        <v>2025</v>
      </c>
      <c r="D1603" s="102" t="s">
        <v>1992</v>
      </c>
      <c r="E1603" s="469">
        <f>Table6[[#This Row],[Date]]-DAY(Table6[[#This Row],[Date]])+1</f>
        <v>45839</v>
      </c>
      <c r="F1603" s="470">
        <v>45861</v>
      </c>
      <c r="G1603" s="35" t="s">
        <v>77</v>
      </c>
      <c r="H1603" s="35" t="str">
        <f>IFERROR(_xlfn.XLOOKUP(Table6[[#This Row],[Affected WTG]],'Basic Data'!$A:$A,'Basic Data'!$B:$B),"")</f>
        <v>TQGXIIPL</v>
      </c>
      <c r="I1603" s="35" t="str">
        <f>IFERROR(_xlfn.XLOOKUP(Table6[[#This Row],[Affected WTG]],'Basic Data'!$A:$A,'Basic Data'!$C:$C),"")</f>
        <v>GEDA</v>
      </c>
      <c r="J1603" s="471">
        <f>IFERROR(_xlfn.XLOOKUP(Table6[[#This Row],[Affected WTG]],'Basic Data'!$A:$A,'Basic Data'!$E:$E),"")</f>
        <v>3.846153846153845E-2</v>
      </c>
      <c r="K1603" s="102">
        <v>6130</v>
      </c>
      <c r="L1603" s="35" t="str">
        <f>IFERROR(_xlfn.XLOOKUP(Table6[[#This Row],[Error Code]],'Basic Data'!$AA:$AA,'Basic Data'!$AB:$AB),"Incorrect Error Code")</f>
        <v>Yaw speed high</v>
      </c>
      <c r="M1603" s="35" t="s">
        <v>291</v>
      </c>
      <c r="N1603" s="475"/>
      <c r="O1603" s="476">
        <v>0.5083333333333333</v>
      </c>
      <c r="P1603" s="476">
        <v>0.5083333333333333</v>
      </c>
      <c r="Q1603" s="477">
        <v>0.50972222222222219</v>
      </c>
      <c r="R1603" s="472">
        <f>IF(Table6[[#This Row],[Work Start TimeStamp]]="","",(Table6[[#This Row],[Work Start TimeStamp]]-Table6[[#This Row],[Fault Start TimeStamp]])*24)</f>
        <v>0</v>
      </c>
      <c r="S1603" s="472">
        <f>(Table6[[#This Row],[Fault Clearance time]]-Table6[[#This Row],[Work Start TimeStamp]])*24</f>
        <v>3.3333333333333215E-2</v>
      </c>
      <c r="T1603" s="472">
        <f>(Table6[[#This Row],[Fault Clearance time]]-Table6[[#This Row],[Fault Start TimeStamp]])*24</f>
        <v>3.3333333333333215E-2</v>
      </c>
      <c r="U1603" s="35" t="s">
        <v>1924</v>
      </c>
      <c r="V1603" s="102" t="s">
        <v>293</v>
      </c>
      <c r="W1603" s="549">
        <f>IFERROR(Table6[[#This Row],[Breakdown Time]]*Table6[[#This Row],[Plant Equivalent Weightage]],"")</f>
        <v>1.2820512820512771E-3</v>
      </c>
      <c r="X1603" s="473" t="s">
        <v>294</v>
      </c>
      <c r="Y1603" s="474" t="s">
        <v>80</v>
      </c>
      <c r="Z1603" s="102">
        <v>35706</v>
      </c>
      <c r="AA1603" s="468">
        <f>(Table6[[#This Row],[Paired WTG Generation for loss calculation]]/24)*Table6[[#This Row],[Breakdown Time]]</f>
        <v>49.591666666666491</v>
      </c>
      <c r="AB1603" s="102"/>
      <c r="AC1603" s="35"/>
      <c r="AD1603" s="35"/>
    </row>
    <row r="1604" spans="1:30">
      <c r="A1604" s="102">
        <f t="shared" si="25"/>
        <v>1603</v>
      </c>
      <c r="B1604" s="468">
        <f>YEAR(Table6[[#This Row],[Date]])+IF(MONTH(Table6[[#This Row],[Date]])&gt;=4,1,0)</f>
        <v>2026</v>
      </c>
      <c r="C1604" s="102">
        <f>YEAR(Table6[[#This Row],[Date]])</f>
        <v>2025</v>
      </c>
      <c r="D1604" s="102" t="s">
        <v>1992</v>
      </c>
      <c r="E1604" s="469">
        <f>Table6[[#This Row],[Date]]-DAY(Table6[[#This Row],[Date]])+1</f>
        <v>45839</v>
      </c>
      <c r="F1604" s="470">
        <v>45861</v>
      </c>
      <c r="G1604" s="35" t="s">
        <v>81</v>
      </c>
      <c r="H1604" s="35" t="str">
        <f>IFERROR(_xlfn.XLOOKUP(Table6[[#This Row],[Affected WTG]],'Basic Data'!$A:$A,'Basic Data'!$B:$B),"")</f>
        <v>TQGXIIPL</v>
      </c>
      <c r="I1604" s="35" t="str">
        <f>IFERROR(_xlfn.XLOOKUP(Table6[[#This Row],[Affected WTG]],'Basic Data'!$A:$A,'Basic Data'!$C:$C),"")</f>
        <v>GEDA</v>
      </c>
      <c r="J1604" s="471">
        <f>IFERROR(_xlfn.XLOOKUP(Table6[[#This Row],[Affected WTG]],'Basic Data'!$A:$A,'Basic Data'!$E:$E),"")</f>
        <v>3.846153846153845E-2</v>
      </c>
      <c r="K1604" s="102">
        <v>6605</v>
      </c>
      <c r="L1604" s="35" t="str">
        <f>IFERROR(_xlfn.XLOOKUP(Table6[[#This Row],[Error Code]],'Basic Data'!$AA:$AA,'Basic Data'!$AB:$AB),"Incorrect Error Code")</f>
        <v>Wind.dir. diff. level 2</v>
      </c>
      <c r="M1604" s="35" t="s">
        <v>291</v>
      </c>
      <c r="N1604" s="475"/>
      <c r="O1604" s="476">
        <v>0.59652777777777777</v>
      </c>
      <c r="P1604" s="476">
        <v>0.59652777777777777</v>
      </c>
      <c r="Q1604" s="477">
        <v>0.59722222222222221</v>
      </c>
      <c r="R1604" s="472">
        <f>IF(Table6[[#This Row],[Work Start TimeStamp]]="","",(Table6[[#This Row],[Work Start TimeStamp]]-Table6[[#This Row],[Fault Start TimeStamp]])*24)</f>
        <v>0</v>
      </c>
      <c r="S1604" s="472">
        <f>(Table6[[#This Row],[Fault Clearance time]]-Table6[[#This Row],[Work Start TimeStamp]])*24</f>
        <v>1.6666666666666607E-2</v>
      </c>
      <c r="T1604" s="472">
        <f>(Table6[[#This Row],[Fault Clearance time]]-Table6[[#This Row],[Fault Start TimeStamp]])*24</f>
        <v>1.6666666666666607E-2</v>
      </c>
      <c r="U1604" s="35" t="s">
        <v>1924</v>
      </c>
      <c r="V1604" s="102" t="s">
        <v>293</v>
      </c>
      <c r="W1604" s="549">
        <f>IFERROR(Table6[[#This Row],[Breakdown Time]]*Table6[[#This Row],[Plant Equivalent Weightage]],"")</f>
        <v>6.4102564102563853E-4</v>
      </c>
      <c r="X1604" s="473" t="s">
        <v>294</v>
      </c>
      <c r="Y1604" s="474" t="s">
        <v>99</v>
      </c>
      <c r="Z1604" s="102">
        <v>37365</v>
      </c>
      <c r="AA1604" s="468">
        <f>(Table6[[#This Row],[Paired WTG Generation for loss calculation]]/24)*Table6[[#This Row],[Breakdown Time]]</f>
        <v>25.947916666666575</v>
      </c>
      <c r="AB1604" s="102"/>
      <c r="AC1604" s="35"/>
      <c r="AD1604" s="35"/>
    </row>
    <row r="1605" spans="1:30">
      <c r="A1605" s="102">
        <f t="shared" si="25"/>
        <v>1604</v>
      </c>
      <c r="B1605" s="468">
        <f>YEAR(Table6[[#This Row],[Date]])+IF(MONTH(Table6[[#This Row],[Date]])&gt;=4,1,0)</f>
        <v>2026</v>
      </c>
      <c r="C1605" s="102">
        <f>YEAR(Table6[[#This Row],[Date]])</f>
        <v>2025</v>
      </c>
      <c r="D1605" s="102" t="s">
        <v>1992</v>
      </c>
      <c r="E1605" s="469">
        <f>Table6[[#This Row],[Date]]-DAY(Table6[[#This Row],[Date]])+1</f>
        <v>45839</v>
      </c>
      <c r="F1605" s="470">
        <v>45861</v>
      </c>
      <c r="G1605" s="35" t="s">
        <v>90</v>
      </c>
      <c r="H1605" s="35" t="str">
        <f>IFERROR(_xlfn.XLOOKUP(Table6[[#This Row],[Affected WTG]],'Basic Data'!$A:$A,'Basic Data'!$B:$B),"")</f>
        <v>TQGXIIPL</v>
      </c>
      <c r="I1605" s="35" t="str">
        <f>IFERROR(_xlfn.XLOOKUP(Table6[[#This Row],[Affected WTG]],'Basic Data'!$A:$A,'Basic Data'!$C:$C),"")</f>
        <v>GEDA</v>
      </c>
      <c r="J1605" s="471">
        <f>IFERROR(_xlfn.XLOOKUP(Table6[[#This Row],[Affected WTG]],'Basic Data'!$A:$A,'Basic Data'!$E:$E),"")</f>
        <v>3.846153846153845E-2</v>
      </c>
      <c r="K1605" s="102">
        <v>55</v>
      </c>
      <c r="L1605" s="35" t="str">
        <f>IFERROR(_xlfn.XLOOKUP(Table6[[#This Row],[Error Code]],'Basic Data'!$AA:$AA,'Basic Data'!$AB:$AB),"Incorrect Error Code")</f>
        <v>WTG shut down</v>
      </c>
      <c r="M1605" s="35" t="s">
        <v>291</v>
      </c>
      <c r="N1605" s="475"/>
      <c r="O1605" s="476">
        <v>0</v>
      </c>
      <c r="P1605" s="476">
        <v>0</v>
      </c>
      <c r="Q1605" s="477">
        <v>2.0833333333333332E-2</v>
      </c>
      <c r="R1605" s="472">
        <f>IF(Table6[[#This Row],[Work Start TimeStamp]]="","",(Table6[[#This Row],[Work Start TimeStamp]]-Table6[[#This Row],[Fault Start TimeStamp]])*24)</f>
        <v>0</v>
      </c>
      <c r="S1605" s="472">
        <f>(Table6[[#This Row],[Fault Clearance time]]-Table6[[#This Row],[Work Start TimeStamp]])*24</f>
        <v>0.5</v>
      </c>
      <c r="T1605" s="472">
        <f>(Table6[[#This Row],[Fault Clearance time]]-Table6[[#This Row],[Fault Start TimeStamp]])*24</f>
        <v>0.5</v>
      </c>
      <c r="U1605" s="35" t="s">
        <v>2112</v>
      </c>
      <c r="V1605" s="102" t="s">
        <v>293</v>
      </c>
      <c r="W1605" s="549">
        <f>IFERROR(Table6[[#This Row],[Breakdown Time]]*Table6[[#This Row],[Plant Equivalent Weightage]],"")</f>
        <v>1.9230769230769225E-2</v>
      </c>
      <c r="X1605" s="473" t="s">
        <v>290</v>
      </c>
      <c r="Y1605" s="474" t="s">
        <v>95</v>
      </c>
      <c r="Z1605" s="102">
        <v>33354</v>
      </c>
      <c r="AA1605" s="468">
        <f>(Table6[[#This Row],[Paired WTG Generation for loss calculation]]/24)*Table6[[#This Row],[Breakdown Time]]</f>
        <v>694.875</v>
      </c>
      <c r="AB1605" s="102"/>
      <c r="AC1605" s="35"/>
      <c r="AD1605" s="35"/>
    </row>
    <row r="1606" spans="1:30">
      <c r="A1606" s="102">
        <f t="shared" si="25"/>
        <v>1605</v>
      </c>
      <c r="B1606" s="468">
        <f>YEAR(Table6[[#This Row],[Date]])+IF(MONTH(Table6[[#This Row],[Date]])&gt;=4,1,0)</f>
        <v>2026</v>
      </c>
      <c r="C1606" s="102">
        <f>YEAR(Table6[[#This Row],[Date]])</f>
        <v>2025</v>
      </c>
      <c r="D1606" s="102" t="s">
        <v>1992</v>
      </c>
      <c r="E1606" s="469">
        <f>Table6[[#This Row],[Date]]-DAY(Table6[[#This Row],[Date]])+1</f>
        <v>45839</v>
      </c>
      <c r="F1606" s="470">
        <v>45861</v>
      </c>
      <c r="G1606" s="35" t="s">
        <v>90</v>
      </c>
      <c r="H1606" s="35" t="str">
        <f>IFERROR(_xlfn.XLOOKUP(Table6[[#This Row],[Affected WTG]],'Basic Data'!$A:$A,'Basic Data'!$B:$B),"")</f>
        <v>TQGXIIPL</v>
      </c>
      <c r="I1606" s="35" t="str">
        <f>IFERROR(_xlfn.XLOOKUP(Table6[[#This Row],[Affected WTG]],'Basic Data'!$A:$A,'Basic Data'!$C:$C),"")</f>
        <v>GEDA</v>
      </c>
      <c r="J1606" s="471">
        <f>IFERROR(_xlfn.XLOOKUP(Table6[[#This Row],[Affected WTG]],'Basic Data'!$A:$A,'Basic Data'!$E:$E),"")</f>
        <v>3.846153846153845E-2</v>
      </c>
      <c r="K1606" s="102">
        <v>55</v>
      </c>
      <c r="L1606" s="35" t="str">
        <f>IFERROR(_xlfn.XLOOKUP(Table6[[#This Row],[Error Code]],'Basic Data'!$AA:$AA,'Basic Data'!$AB:$AB),"Incorrect Error Code")</f>
        <v>WTG shut down</v>
      </c>
      <c r="M1606" s="35" t="s">
        <v>291</v>
      </c>
      <c r="N1606" s="475"/>
      <c r="O1606" s="476">
        <v>3.8194444444444448E-2</v>
      </c>
      <c r="P1606" s="476">
        <v>3.8194444444444448E-2</v>
      </c>
      <c r="Q1606" s="477">
        <v>6.3888888888888884E-2</v>
      </c>
      <c r="R1606" s="472">
        <f>IF(Table6[[#This Row],[Work Start TimeStamp]]="","",(Table6[[#This Row],[Work Start TimeStamp]]-Table6[[#This Row],[Fault Start TimeStamp]])*24)</f>
        <v>0</v>
      </c>
      <c r="S1606" s="472">
        <f>(Table6[[#This Row],[Fault Clearance time]]-Table6[[#This Row],[Work Start TimeStamp]])*24</f>
        <v>0.61666666666666647</v>
      </c>
      <c r="T1606" s="472">
        <f>(Table6[[#This Row],[Fault Clearance time]]-Table6[[#This Row],[Fault Start TimeStamp]])*24</f>
        <v>0.61666666666666647</v>
      </c>
      <c r="U1606" s="35" t="s">
        <v>2113</v>
      </c>
      <c r="V1606" s="102" t="s">
        <v>293</v>
      </c>
      <c r="W1606" s="549">
        <f>IFERROR(Table6[[#This Row],[Breakdown Time]]*Table6[[#This Row],[Plant Equivalent Weightage]],"")</f>
        <v>2.3717948717948703E-2</v>
      </c>
      <c r="X1606" s="473" t="s">
        <v>290</v>
      </c>
      <c r="Y1606" s="474" t="s">
        <v>95</v>
      </c>
      <c r="Z1606" s="102">
        <v>33354</v>
      </c>
      <c r="AA1606" s="468">
        <f>(Table6[[#This Row],[Paired WTG Generation for loss calculation]]/24)*Table6[[#This Row],[Breakdown Time]]</f>
        <v>857.0124999999997</v>
      </c>
      <c r="AB1606" s="102"/>
      <c r="AC1606" s="35"/>
      <c r="AD1606" s="35"/>
    </row>
  </sheetData>
  <phoneticPr fontId="10" type="noConversion"/>
  <conditionalFormatting sqref="L1:L1606">
    <cfRule type="containsText" dxfId="4" priority="1" operator="containsText" text="Incorrect Error Code">
      <formula>NOT(ISERROR(SEARCH("Incorrect Error Code",L1)))</formula>
    </cfRule>
  </conditionalFormatting>
  <pageMargins left="0.7" right="0.7" top="0.75" bottom="0.75" header="0.3" footer="0.3"/>
  <ignoredErrors>
    <ignoredError sqref="Y1607:Y1048576 Y1593" listDataValidation="1"/>
  </ignoredErrors>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1F478FEB-6470-411A-B92B-AE8451620408}">
          <x14:formula1>
            <xm:f>'Basic Data'!$A$3:$A$28</xm:f>
          </x14:formula1>
          <xm:sqref>Y2:Y1048576 G2:G1048576</xm:sqref>
        </x14:dataValidation>
        <x14:dataValidation type="list" allowBlank="1" showInputMessage="1" showErrorMessage="1" xr:uid="{255AA422-CE27-4DB1-9BF7-FABAC8E5F47D}">
          <x14:formula1>
            <xm:f>'Basic Data'!$P$4:$P$8</xm:f>
          </x14:formula1>
          <xm:sqref>X2:X1048576</xm:sqref>
        </x14:dataValidation>
        <x14:dataValidation type="list" allowBlank="1" showInputMessage="1" showErrorMessage="1" xr:uid="{71CE46CE-9778-4836-9D9A-FD8F94F083FA}">
          <x14:formula1>
            <xm:f>'Basic Data'!$AA$2:$AA$911</xm:f>
          </x14:formula1>
          <xm:sqref>K2:K1048576</xm:sqref>
        </x14:dataValidation>
        <x14:dataValidation type="list" allowBlank="1" showInputMessage="1" showErrorMessage="1" xr:uid="{C6825EC2-8B4B-4E41-8C64-E0E3167ADEB4}">
          <x14:formula1>
            <xm:f>'Basic Data'!$U$3:$U$17</xm:f>
          </x14:formula1>
          <xm:sqref>M2:M1048576</xm:sqref>
        </x14:dataValidation>
        <x14:dataValidation type="list" allowBlank="1" showInputMessage="1" showErrorMessage="1" xr:uid="{6FAB91EA-BED8-46CE-9E40-ED2F0A6BF517}">
          <x14:formula1>
            <xm:f>'Basic Data'!$N$3:$N$4</xm:f>
          </x14:formula1>
          <xm:sqref>V2:V1048576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29029-82E4-4804-972F-00BED8231607}">
  <sheetPr>
    <tabColor rgb="FF92D050"/>
  </sheetPr>
  <dimension ref="A1:AA157"/>
  <sheetViews>
    <sheetView zoomScale="80" workbookViewId="0">
      <pane xSplit="6" ySplit="1" topLeftCell="G151" activePane="bottomRight" state="frozen"/>
      <selection pane="topRight" activeCell="G1" sqref="G1"/>
      <selection pane="bottomLeft" activeCell="A2" sqref="A2"/>
      <selection pane="bottomRight" activeCell="J159" sqref="J159"/>
    </sheetView>
  </sheetViews>
  <sheetFormatPr defaultRowHeight="14.5"/>
  <cols>
    <col min="2" max="3" width="12.453125" customWidth="1"/>
    <col min="4" max="4" width="13" customWidth="1"/>
    <col min="6" max="6" width="11.453125" customWidth="1"/>
    <col min="7" max="7" width="14.08984375" customWidth="1"/>
    <col min="9" max="9" width="9.54296875" customWidth="1"/>
    <col min="10" max="10" width="21.54296875" customWidth="1"/>
    <col min="11" max="11" width="50.54296875" customWidth="1"/>
    <col min="12" max="12" width="18" customWidth="1"/>
    <col min="13" max="13" width="18.453125" customWidth="1"/>
    <col min="14" max="14" width="16.54296875" customWidth="1"/>
    <col min="15" max="15" width="13.08984375" customWidth="1"/>
    <col min="16" max="16" width="13.54296875" customWidth="1"/>
    <col min="17" max="17" width="14.453125" customWidth="1"/>
    <col min="18" max="18" width="129.453125" style="494" customWidth="1"/>
    <col min="20" max="20" width="22.453125" customWidth="1"/>
    <col min="21" max="21" width="28.453125" customWidth="1"/>
    <col min="22" max="22" width="10" customWidth="1"/>
    <col min="23" max="23" width="12.54296875" customWidth="1"/>
    <col min="24" max="24" width="26" bestFit="1" customWidth="1"/>
    <col min="25" max="25" width="9.54296875" bestFit="1" customWidth="1"/>
    <col min="26" max="26" width="8.54296875" customWidth="1"/>
    <col min="27" max="27" width="11.54296875" customWidth="1"/>
  </cols>
  <sheetData>
    <row r="1" spans="1:27" s="102" customFormat="1" ht="49.5" customHeight="1" thickBot="1">
      <c r="A1" s="479" t="s">
        <v>7</v>
      </c>
      <c r="B1" s="480" t="s">
        <v>3</v>
      </c>
      <c r="C1" s="480" t="s">
        <v>129</v>
      </c>
      <c r="D1" s="480" t="s">
        <v>266</v>
      </c>
      <c r="E1" s="480" t="s">
        <v>169</v>
      </c>
      <c r="F1" s="481" t="s">
        <v>128</v>
      </c>
      <c r="G1" s="481" t="s">
        <v>443</v>
      </c>
      <c r="H1" s="481" t="s">
        <v>268</v>
      </c>
      <c r="I1" s="481" t="s">
        <v>501</v>
      </c>
      <c r="J1" s="481" t="s">
        <v>270</v>
      </c>
      <c r="K1" s="481" t="s">
        <v>273</v>
      </c>
      <c r="L1" s="481" t="s">
        <v>274</v>
      </c>
      <c r="M1" s="481" t="s">
        <v>275</v>
      </c>
      <c r="N1" s="481" t="s">
        <v>276</v>
      </c>
      <c r="O1" s="481" t="s">
        <v>277</v>
      </c>
      <c r="P1" s="481" t="s">
        <v>278</v>
      </c>
      <c r="Q1" s="481" t="s">
        <v>279</v>
      </c>
      <c r="R1" s="481" t="s">
        <v>280</v>
      </c>
      <c r="S1" s="481" t="s">
        <v>281</v>
      </c>
      <c r="T1" s="481" t="s">
        <v>282</v>
      </c>
      <c r="U1" s="481" t="s">
        <v>284</v>
      </c>
      <c r="V1" s="465" t="s">
        <v>2028</v>
      </c>
      <c r="W1" s="21" t="s">
        <v>2029</v>
      </c>
      <c r="X1" s="481" t="s">
        <v>1990</v>
      </c>
      <c r="Y1" s="481" t="s">
        <v>444</v>
      </c>
      <c r="Z1" s="481" t="s">
        <v>285</v>
      </c>
      <c r="AA1" s="481" t="s">
        <v>286</v>
      </c>
    </row>
    <row r="2" spans="1:27" ht="15" thickTop="1">
      <c r="A2" s="102">
        <v>1</v>
      </c>
      <c r="B2" s="102">
        <f>YEAR(Table10[[#This Row],[Date]])+IF(MONTH(Table10[[#This Row],[Date]])&gt;=4,1,0)</f>
        <v>2026</v>
      </c>
      <c r="C2" s="102">
        <f>YEAR(Table10[[#This Row],[Date]])</f>
        <v>2025</v>
      </c>
      <c r="D2" s="102" t="s">
        <v>446</v>
      </c>
      <c r="E2" s="469">
        <f>Table10[[#This Row],[Date]]-DAY(Table10[[#This Row],[Date]])+1</f>
        <v>45748</v>
      </c>
      <c r="F2" s="470">
        <v>45750</v>
      </c>
      <c r="G2" s="102" t="s">
        <v>83</v>
      </c>
      <c r="H2" s="102" t="str">
        <f>IFERROR(_xlfn.XLOOKUP(Table10[[#This Row],[Affected Feeder ]],'Basic Data'!$A$43:$A$70,'Basic Data'!$B$43:$B$70),"")</f>
        <v>TQGXIIPL</v>
      </c>
      <c r="I2" s="102" t="str">
        <f>IFERROR(_xlfn.XLOOKUP(Table10[[#This Row],[Affected Feeder ]],'Basic Data'!$A$43:$A$70,'Basic Data'!$C$43:$C$70),"")</f>
        <v>GEDA</v>
      </c>
      <c r="J2" s="482">
        <f>IFERROR(_xlfn.XLOOKUP(Table10[[#This Row],[Affected Feeder ]],'Basic Data'!$A$43:$A$70,'Basic Data'!$E$43:$E$70),"")</f>
        <v>3.846153846153845E-2</v>
      </c>
      <c r="K2" s="483" t="s">
        <v>470</v>
      </c>
      <c r="L2" s="484">
        <v>0.7416666666666667</v>
      </c>
      <c r="M2" s="484">
        <v>0.7416666666666667</v>
      </c>
      <c r="N2" s="484">
        <v>0.75624999999999998</v>
      </c>
      <c r="O2" s="101">
        <f>(Table10[[#This Row],[Work Start TimeStamp]]-Table10[[#This Row],[Fault Start TimeStamp]])*24</f>
        <v>0</v>
      </c>
      <c r="P2" s="101">
        <f>IF(Table10[[#This Row],[Work Start TimeStamp]]="","",(Table10[[#This Row],[Fault Clearance time]]-Table10[[#This Row],[Work Start TimeStamp]])*24)</f>
        <v>0.34999999999999876</v>
      </c>
      <c r="Q2" s="101">
        <f>(Table10[[#This Row],[Fault Clearance time]]-Table10[[#This Row],[Fault Start TimeStamp]])*24</f>
        <v>0.34999999999999876</v>
      </c>
      <c r="R2" s="483" t="s">
        <v>471</v>
      </c>
      <c r="S2" s="102" t="s">
        <v>293</v>
      </c>
      <c r="T2" s="485">
        <f>IFERROR(Table10[[#This Row],[Breakdown Time]]*Table10[[#This Row],[Plant Equivalent Weightage]],"")</f>
        <v>1.346153846153841E-2</v>
      </c>
      <c r="U2" s="102" t="s">
        <v>450</v>
      </c>
      <c r="V2" s="547">
        <f>IFERROR(_xlfn.XLOOKUP(Table10[[#This Row],[Date]],'Daily KPI'!$A:$A,'Daily KPI'!$M:$M),"")</f>
        <v>4.848190264908002</v>
      </c>
      <c r="W2" s="102">
        <v>362</v>
      </c>
      <c r="X2" s="102">
        <f>Table10[[#This Row],[WTG Loss]]*1*Table10[[#This Row],[Breakdown Time]]</f>
        <v>126.69999999999955</v>
      </c>
      <c r="Y2" s="102" t="s">
        <v>449</v>
      </c>
      <c r="Z2" s="102"/>
      <c r="AA2" s="102"/>
    </row>
    <row r="3" spans="1:27">
      <c r="A3" s="102">
        <f t="shared" ref="A3:A38" si="0">A2+1</f>
        <v>2</v>
      </c>
      <c r="B3" s="102">
        <f>YEAR(Table10[[#This Row],[Date]])+IF(MONTH(Table10[[#This Row],[Date]])&gt;=4,1,0)</f>
        <v>2026</v>
      </c>
      <c r="C3" s="102">
        <f>YEAR(Table10[[#This Row],[Date]])</f>
        <v>2025</v>
      </c>
      <c r="D3" s="102" t="s">
        <v>446</v>
      </c>
      <c r="E3" s="469">
        <f>Table10[[#This Row],[Date]]-DAY(Table10[[#This Row],[Date]])+1</f>
        <v>45748</v>
      </c>
      <c r="F3" s="470">
        <v>45752</v>
      </c>
      <c r="G3" s="102" t="s">
        <v>447</v>
      </c>
      <c r="H3" s="102" t="str">
        <f>IFERROR(_xlfn.XLOOKUP(Table10[[#This Row],[Affected Feeder ]],'Basic Data'!$A$43:$A$70,'Basic Data'!$B$43:$B$70),"")</f>
        <v>TQGXIIPL</v>
      </c>
      <c r="I3" s="102" t="str">
        <f>IFERROR(_xlfn.XLOOKUP(Table10[[#This Row],[Affected Feeder ]],'Basic Data'!$A$43:$A$70,'Basic Data'!$C$43:$C$70),"")</f>
        <v>GEDA</v>
      </c>
      <c r="J3" s="482">
        <f>IFERROR(_xlfn.XLOOKUP(Table10[[#This Row],[Affected Feeder ]],'Basic Data'!$A$43:$A$70,'Basic Data'!$E$43:$E$70),"")</f>
        <v>0.49999999999999978</v>
      </c>
      <c r="K3" s="483" t="s">
        <v>452</v>
      </c>
      <c r="L3" s="484">
        <v>0.32291666666666669</v>
      </c>
      <c r="M3" s="484">
        <v>0.32291666666666669</v>
      </c>
      <c r="N3" s="484">
        <v>0.34722222222222221</v>
      </c>
      <c r="O3" s="101">
        <f>(Table10[[#This Row],[Work Start TimeStamp]]-Table10[[#This Row],[Fault Start TimeStamp]])*24</f>
        <v>0</v>
      </c>
      <c r="P3" s="101">
        <f>IF(Table10[[#This Row],[Work Start TimeStamp]]="","",(Table10[[#This Row],[Fault Clearance time]]-Table10[[#This Row],[Work Start TimeStamp]])*24)</f>
        <v>0.58333333333333259</v>
      </c>
      <c r="Q3" s="101">
        <f>(Table10[[#This Row],[Fault Clearance time]]-Table10[[#This Row],[Fault Start TimeStamp]])*24</f>
        <v>0.58333333333333259</v>
      </c>
      <c r="R3" s="483" t="s">
        <v>472</v>
      </c>
      <c r="S3" s="102" t="s">
        <v>293</v>
      </c>
      <c r="T3" s="485">
        <f>IFERROR(Table10[[#This Row],[Breakdown Time]]*Table10[[#This Row],[Plant Equivalent Weightage]],"")</f>
        <v>0.29166666666666619</v>
      </c>
      <c r="U3" s="102" t="s">
        <v>450</v>
      </c>
      <c r="V3" s="547">
        <f>IFERROR(_xlfn.XLOOKUP(Table10[[#This Row],[Date]],'Daily KPI'!$A:$A,'Daily KPI'!$M:$M),"")</f>
        <v>4.3638956124082213</v>
      </c>
      <c r="W3" s="102">
        <v>274</v>
      </c>
      <c r="X3" s="102">
        <f>Table10[[#This Row],[WTG Loss]]*13*Table10[[#This Row],[Breakdown Time]]</f>
        <v>2077.8333333333308</v>
      </c>
      <c r="Y3" s="102" t="s">
        <v>449</v>
      </c>
      <c r="Z3" s="102"/>
      <c r="AA3" s="102"/>
    </row>
    <row r="4" spans="1:27">
      <c r="A4" s="102">
        <f t="shared" si="0"/>
        <v>3</v>
      </c>
      <c r="B4" s="102">
        <f>YEAR(Table10[[#This Row],[Date]])+IF(MONTH(Table10[[#This Row],[Date]])&gt;=4,1,0)</f>
        <v>2026</v>
      </c>
      <c r="C4" s="102">
        <f>YEAR(Table10[[#This Row],[Date]])</f>
        <v>2025</v>
      </c>
      <c r="D4" s="102" t="s">
        <v>446</v>
      </c>
      <c r="E4" s="469">
        <f>Table10[[#This Row],[Date]]-DAY(Table10[[#This Row],[Date]])+1</f>
        <v>45748</v>
      </c>
      <c r="F4" s="470">
        <v>45754</v>
      </c>
      <c r="G4" s="102" t="s">
        <v>447</v>
      </c>
      <c r="H4" s="102" t="str">
        <f>IFERROR(_xlfn.XLOOKUP(Table10[[#This Row],[Affected Feeder ]],'Basic Data'!$A$43:$A$70,'Basic Data'!$B$43:$B$70),"")</f>
        <v>TQGXIIPL</v>
      </c>
      <c r="I4" s="102" t="str">
        <f>IFERROR(_xlfn.XLOOKUP(Table10[[#This Row],[Affected Feeder ]],'Basic Data'!$A$43:$A$70,'Basic Data'!$C$43:$C$70),"")</f>
        <v>GEDA</v>
      </c>
      <c r="J4" s="482">
        <f>IFERROR(_xlfn.XLOOKUP(Table10[[#This Row],[Affected Feeder ]],'Basic Data'!$A$43:$A$70,'Basic Data'!$E$43:$E$70),"")</f>
        <v>0.49999999999999978</v>
      </c>
      <c r="K4" s="483" t="s">
        <v>452</v>
      </c>
      <c r="L4" s="484">
        <v>0.30902777777777779</v>
      </c>
      <c r="M4" s="484">
        <v>0.30902777777777779</v>
      </c>
      <c r="N4" s="484">
        <v>0.32500000000000001</v>
      </c>
      <c r="O4" s="101">
        <f>(Table10[[#This Row],[Work Start TimeStamp]]-Table10[[#This Row],[Fault Start TimeStamp]])*24</f>
        <v>0</v>
      </c>
      <c r="P4" s="101">
        <f>IF(Table10[[#This Row],[Work Start TimeStamp]]="","",(Table10[[#This Row],[Fault Clearance time]]-Table10[[#This Row],[Work Start TimeStamp]])*24)</f>
        <v>0.3833333333333333</v>
      </c>
      <c r="Q4" s="101">
        <f>(Table10[[#This Row],[Fault Clearance time]]-Table10[[#This Row],[Fault Start TimeStamp]])*24</f>
        <v>0.3833333333333333</v>
      </c>
      <c r="R4" s="483" t="s">
        <v>473</v>
      </c>
      <c r="S4" s="102" t="s">
        <v>293</v>
      </c>
      <c r="T4" s="485">
        <f>IFERROR(Table10[[#This Row],[Breakdown Time]]*Table10[[#This Row],[Plant Equivalent Weightage]],"")</f>
        <v>0.19166666666666657</v>
      </c>
      <c r="U4" s="102" t="s">
        <v>450</v>
      </c>
      <c r="V4" s="547">
        <f>IFERROR(_xlfn.XLOOKUP(Table10[[#This Row],[Date]],'Daily KPI'!$A:$A,'Daily KPI'!$M:$M),"")</f>
        <v>7.1744298151518429</v>
      </c>
      <c r="W4" s="102">
        <v>1276</v>
      </c>
      <c r="X4" s="102">
        <f>Table10[[#This Row],[WTG Loss]]*13*Table10[[#This Row],[Breakdown Time]]</f>
        <v>6358.7333333333327</v>
      </c>
      <c r="Y4" s="102" t="s">
        <v>449</v>
      </c>
      <c r="Z4" s="102"/>
      <c r="AA4" s="102"/>
    </row>
    <row r="5" spans="1:27">
      <c r="A5" s="102">
        <f t="shared" si="0"/>
        <v>4</v>
      </c>
      <c r="B5" s="102">
        <f>YEAR(Table10[[#This Row],[Date]])+IF(MONTH(Table10[[#This Row],[Date]])&gt;=4,1,0)</f>
        <v>2026</v>
      </c>
      <c r="C5" s="102">
        <f>YEAR(Table10[[#This Row],[Date]])</f>
        <v>2025</v>
      </c>
      <c r="D5" s="102" t="s">
        <v>446</v>
      </c>
      <c r="E5" s="469">
        <f>Table10[[#This Row],[Date]]-DAY(Table10[[#This Row],[Date]])+1</f>
        <v>45748</v>
      </c>
      <c r="F5" s="470">
        <v>45759</v>
      </c>
      <c r="G5" s="102" t="s">
        <v>447</v>
      </c>
      <c r="H5" s="102" t="str">
        <f>IFERROR(_xlfn.XLOOKUP(Table10[[#This Row],[Affected Feeder ]],'Basic Data'!$A$43:$A$70,'Basic Data'!$B$43:$B$70),"")</f>
        <v>TQGXIIPL</v>
      </c>
      <c r="I5" s="102" t="str">
        <f>IFERROR(_xlfn.XLOOKUP(Table10[[#This Row],[Affected Feeder ]],'Basic Data'!$A$43:$A$70,'Basic Data'!$C$43:$C$70),"")</f>
        <v>GEDA</v>
      </c>
      <c r="J5" s="482">
        <f>IFERROR(_xlfn.XLOOKUP(Table10[[#This Row],[Affected Feeder ]],'Basic Data'!$A$43:$A$70,'Basic Data'!$E$43:$E$70),"")</f>
        <v>0.49999999999999978</v>
      </c>
      <c r="K5" s="483" t="s">
        <v>455</v>
      </c>
      <c r="L5" s="484">
        <v>0.30555555555555558</v>
      </c>
      <c r="M5" s="484">
        <v>0.30555555555555558</v>
      </c>
      <c r="N5" s="484">
        <v>0.31388888888888888</v>
      </c>
      <c r="O5" s="101">
        <f>(Table10[[#This Row],[Work Start TimeStamp]]-Table10[[#This Row],[Fault Start TimeStamp]])*24</f>
        <v>0</v>
      </c>
      <c r="P5" s="101">
        <f>IF(Table10[[#This Row],[Work Start TimeStamp]]="","",(Table10[[#This Row],[Fault Clearance time]]-Table10[[#This Row],[Work Start TimeStamp]])*24)</f>
        <v>0.19999999999999929</v>
      </c>
      <c r="Q5" s="101">
        <f>(Table10[[#This Row],[Fault Clearance time]]-Table10[[#This Row],[Fault Start TimeStamp]])*24</f>
        <v>0.19999999999999929</v>
      </c>
      <c r="R5" s="483" t="s">
        <v>474</v>
      </c>
      <c r="S5" s="102" t="s">
        <v>293</v>
      </c>
      <c r="T5" s="485">
        <f>IFERROR(Table10[[#This Row],[Breakdown Time]]*Table10[[#This Row],[Plant Equivalent Weightage]],"")</f>
        <v>9.9999999999999603E-2</v>
      </c>
      <c r="U5" s="102" t="s">
        <v>450</v>
      </c>
      <c r="V5" s="547">
        <f>IFERROR(_xlfn.XLOOKUP(Table10[[#This Row],[Date]],'Daily KPI'!$A:$A,'Daily KPI'!$M:$M),"")</f>
        <v>4.983076923076923</v>
      </c>
      <c r="W5" s="102">
        <v>406</v>
      </c>
      <c r="X5" s="102">
        <f>Table10[[#This Row],[WTG Loss]]*13*Table10[[#This Row],[Breakdown Time]]</f>
        <v>1055.5999999999963</v>
      </c>
      <c r="Y5" s="102" t="s">
        <v>449</v>
      </c>
      <c r="Z5" s="102"/>
      <c r="AA5" s="102"/>
    </row>
    <row r="6" spans="1:27">
      <c r="A6" s="102">
        <f t="shared" si="0"/>
        <v>5</v>
      </c>
      <c r="B6" s="102">
        <f>YEAR(Table10[[#This Row],[Date]])+IF(MONTH(Table10[[#This Row],[Date]])&gt;=4,1,0)</f>
        <v>2026</v>
      </c>
      <c r="C6" s="102">
        <f>YEAR(Table10[[#This Row],[Date]])</f>
        <v>2025</v>
      </c>
      <c r="D6" s="102" t="s">
        <v>446</v>
      </c>
      <c r="E6" s="469">
        <f>Table10[[#This Row],[Date]]-DAY(Table10[[#This Row],[Date]])+1</f>
        <v>45748</v>
      </c>
      <c r="F6" s="470">
        <v>45759</v>
      </c>
      <c r="G6" s="102" t="s">
        <v>447</v>
      </c>
      <c r="H6" s="102" t="str">
        <f>IFERROR(_xlfn.XLOOKUP(Table10[[#This Row],[Affected Feeder ]],'Basic Data'!$A$43:$A$70,'Basic Data'!$B$43:$B$70),"")</f>
        <v>TQGXIIPL</v>
      </c>
      <c r="I6" s="102" t="str">
        <f>IFERROR(_xlfn.XLOOKUP(Table10[[#This Row],[Affected Feeder ]],'Basic Data'!$A$43:$A$70,'Basic Data'!$C$43:$C$70),"")</f>
        <v>GEDA</v>
      </c>
      <c r="J6" s="482">
        <f>IFERROR(_xlfn.XLOOKUP(Table10[[#This Row],[Affected Feeder ]],'Basic Data'!$A$43:$A$70,'Basic Data'!$E$43:$E$70),"")</f>
        <v>0.49999999999999978</v>
      </c>
      <c r="K6" s="483" t="s">
        <v>468</v>
      </c>
      <c r="L6" s="484">
        <v>0.5180555555555556</v>
      </c>
      <c r="M6" s="484">
        <v>0.5180555555555556</v>
      </c>
      <c r="N6" s="484">
        <v>1</v>
      </c>
      <c r="O6" s="101">
        <f>(Table10[[#This Row],[Work Start TimeStamp]]-Table10[[#This Row],[Fault Start TimeStamp]])*24</f>
        <v>0</v>
      </c>
      <c r="P6" s="101">
        <f>IF(Table10[[#This Row],[Work Start TimeStamp]]="","",(Table10[[#This Row],[Fault Clearance time]]-Table10[[#This Row],[Work Start TimeStamp]])*24)</f>
        <v>11.566666666666666</v>
      </c>
      <c r="Q6" s="101">
        <f>(Table10[[#This Row],[Fault Clearance time]]-Table10[[#This Row],[Fault Start TimeStamp]])*24</f>
        <v>11.566666666666666</v>
      </c>
      <c r="R6" s="483" t="s">
        <v>1752</v>
      </c>
      <c r="S6" s="102" t="s">
        <v>289</v>
      </c>
      <c r="T6" s="485">
        <f>IFERROR(Table10[[#This Row],[Breakdown Time]]*Table10[[#This Row],[Plant Equivalent Weightage]],"")</f>
        <v>5.7833333333333306</v>
      </c>
      <c r="U6" s="102" t="s">
        <v>450</v>
      </c>
      <c r="V6" s="547">
        <f>IFERROR(_xlfn.XLOOKUP(Table10[[#This Row],[Date]],'Daily KPI'!$A:$A,'Daily KPI'!$M:$M),"")</f>
        <v>4.983076923076923</v>
      </c>
      <c r="W6" s="102">
        <v>406</v>
      </c>
      <c r="X6" s="102">
        <f>Table10[[#This Row],[WTG Loss]]*13*Table10[[#This Row],[Breakdown Time]]</f>
        <v>61048.866666666669</v>
      </c>
      <c r="Y6" s="102" t="s">
        <v>449</v>
      </c>
      <c r="Z6" s="102"/>
      <c r="AA6" s="102"/>
    </row>
    <row r="7" spans="1:27">
      <c r="A7" s="102">
        <f t="shared" si="0"/>
        <v>6</v>
      </c>
      <c r="B7" s="102">
        <f>YEAR(Table10[[#This Row],[Date]])+IF(MONTH(Table10[[#This Row],[Date]])&gt;=4,1,0)</f>
        <v>2026</v>
      </c>
      <c r="C7" s="102">
        <f>YEAR(Table10[[#This Row],[Date]])</f>
        <v>2025</v>
      </c>
      <c r="D7" s="102" t="s">
        <v>446</v>
      </c>
      <c r="E7" s="469">
        <f>Table10[[#This Row],[Date]]-DAY(Table10[[#This Row],[Date]])+1</f>
        <v>45748</v>
      </c>
      <c r="F7" s="470">
        <v>45759</v>
      </c>
      <c r="G7" s="102" t="s">
        <v>451</v>
      </c>
      <c r="H7" s="102" t="str">
        <f>IFERROR(_xlfn.XLOOKUP(Table10[[#This Row],[Affected Feeder ]],'Basic Data'!$A$43:$A$70,'Basic Data'!$B$43:$B$70),"")</f>
        <v>TQGXIIPL</v>
      </c>
      <c r="I7" s="102" t="str">
        <f>IFERROR(_xlfn.XLOOKUP(Table10[[#This Row],[Affected Feeder ]],'Basic Data'!$A$43:$A$70,'Basic Data'!$C$43:$C$70),"")</f>
        <v>GEDA</v>
      </c>
      <c r="J7" s="482">
        <f>IFERROR(_xlfn.XLOOKUP(Table10[[#This Row],[Affected Feeder ]],'Basic Data'!$A$43:$A$70,'Basic Data'!$E$43:$E$70),"")</f>
        <v>0.49999999999999978</v>
      </c>
      <c r="K7" s="483" t="s">
        <v>469</v>
      </c>
      <c r="L7" s="484">
        <v>0.5180555555555556</v>
      </c>
      <c r="M7" s="484">
        <v>0.5180555555555556</v>
      </c>
      <c r="N7" s="484">
        <v>1</v>
      </c>
      <c r="O7" s="101">
        <f>(Table10[[#This Row],[Work Start TimeStamp]]-Table10[[#This Row],[Fault Start TimeStamp]])*24</f>
        <v>0</v>
      </c>
      <c r="P7" s="101">
        <f>IF(Table10[[#This Row],[Work Start TimeStamp]]="","",(Table10[[#This Row],[Fault Clearance time]]-Table10[[#This Row],[Work Start TimeStamp]])*24)</f>
        <v>11.566666666666666</v>
      </c>
      <c r="Q7" s="101">
        <f>(Table10[[#This Row],[Fault Clearance time]]-Table10[[#This Row],[Fault Start TimeStamp]])*24</f>
        <v>11.566666666666666</v>
      </c>
      <c r="R7" s="483" t="s">
        <v>1752</v>
      </c>
      <c r="S7" s="102" t="s">
        <v>289</v>
      </c>
      <c r="T7" s="485">
        <f>IFERROR(Table10[[#This Row],[Breakdown Time]]*Table10[[#This Row],[Plant Equivalent Weightage]],"")</f>
        <v>5.7833333333333306</v>
      </c>
      <c r="U7" s="102" t="s">
        <v>450</v>
      </c>
      <c r="V7" s="547">
        <f>IFERROR(_xlfn.XLOOKUP(Table10[[#This Row],[Date]],'Daily KPI'!$A:$A,'Daily KPI'!$M:$M),"")</f>
        <v>4.983076923076923</v>
      </c>
      <c r="W7" s="102">
        <v>406</v>
      </c>
      <c r="X7" s="102">
        <f>Table10[[#This Row],[WTG Loss]]*13*Table10[[#This Row],[Breakdown Time]]</f>
        <v>61048.866666666669</v>
      </c>
      <c r="Y7" s="102" t="s">
        <v>449</v>
      </c>
      <c r="Z7" s="102"/>
      <c r="AA7" s="102"/>
    </row>
    <row r="8" spans="1:27">
      <c r="A8" s="102">
        <f t="shared" si="0"/>
        <v>7</v>
      </c>
      <c r="B8" s="102">
        <f>YEAR(Table10[[#This Row],[Date]])+IF(MONTH(Table10[[#This Row],[Date]])&gt;=4,1,0)</f>
        <v>2026</v>
      </c>
      <c r="C8" s="102">
        <f>YEAR(Table10[[#This Row],[Date]])</f>
        <v>2025</v>
      </c>
      <c r="D8" s="102" t="s">
        <v>446</v>
      </c>
      <c r="E8" s="469">
        <f>Table10[[#This Row],[Date]]-DAY(Table10[[#This Row],[Date]])+1</f>
        <v>45748</v>
      </c>
      <c r="F8" s="470">
        <v>45760</v>
      </c>
      <c r="G8" s="102" t="s">
        <v>447</v>
      </c>
      <c r="H8" s="102" t="str">
        <f>IFERROR(_xlfn.XLOOKUP(Table10[[#This Row],[Affected Feeder ]],'Basic Data'!$A$43:$A$70,'Basic Data'!$B$43:$B$70),"")</f>
        <v>TQGXIIPL</v>
      </c>
      <c r="I8" s="102" t="str">
        <f>IFERROR(_xlfn.XLOOKUP(Table10[[#This Row],[Affected Feeder ]],'Basic Data'!$A$43:$A$70,'Basic Data'!$C$43:$C$70),"")</f>
        <v>GEDA</v>
      </c>
      <c r="J8" s="482">
        <f>IFERROR(_xlfn.XLOOKUP(Table10[[#This Row],[Affected Feeder ]],'Basic Data'!$A$43:$A$70,'Basic Data'!$E$43:$E$70),"")</f>
        <v>0.49999999999999978</v>
      </c>
      <c r="K8" s="483" t="s">
        <v>468</v>
      </c>
      <c r="L8" s="484">
        <v>0</v>
      </c>
      <c r="M8" s="484">
        <v>0</v>
      </c>
      <c r="N8" s="484">
        <v>0.29444444444444445</v>
      </c>
      <c r="O8" s="101">
        <f>(Table10[[#This Row],[Work Start TimeStamp]]-Table10[[#This Row],[Fault Start TimeStamp]])*24</f>
        <v>0</v>
      </c>
      <c r="P8" s="101">
        <f>IF(Table10[[#This Row],[Work Start TimeStamp]]="","",(Table10[[#This Row],[Fault Clearance time]]-Table10[[#This Row],[Work Start TimeStamp]])*24)</f>
        <v>7.0666666666666664</v>
      </c>
      <c r="Q8" s="101">
        <f>(Table10[[#This Row],[Fault Clearance time]]-Table10[[#This Row],[Fault Start TimeStamp]])*24</f>
        <v>7.0666666666666664</v>
      </c>
      <c r="R8" s="483" t="s">
        <v>1752</v>
      </c>
      <c r="S8" s="102" t="s">
        <v>293</v>
      </c>
      <c r="T8" s="485">
        <f>IFERROR(Table10[[#This Row],[Breakdown Time]]*Table10[[#This Row],[Plant Equivalent Weightage]],"")</f>
        <v>3.5333333333333314</v>
      </c>
      <c r="U8" s="102" t="s">
        <v>450</v>
      </c>
      <c r="V8" s="547">
        <f>IFERROR(_xlfn.XLOOKUP(Table10[[#This Row],[Date]],'Daily KPI'!$A:$A,'Daily KPI'!$M:$M),"")</f>
        <v>7.6407920586270697</v>
      </c>
      <c r="W8" s="102">
        <v>1490</v>
      </c>
      <c r="X8" s="102">
        <f>Table10[[#This Row],[WTG Loss]]*13*Table10[[#This Row],[Breakdown Time]]</f>
        <v>136881.33333333334</v>
      </c>
      <c r="Y8" s="102" t="s">
        <v>449</v>
      </c>
      <c r="Z8" s="102"/>
      <c r="AA8" s="102"/>
    </row>
    <row r="9" spans="1:27">
      <c r="A9" s="102">
        <f t="shared" si="0"/>
        <v>8</v>
      </c>
      <c r="B9" s="102">
        <f>YEAR(Table10[[#This Row],[Date]])+IF(MONTH(Table10[[#This Row],[Date]])&gt;=4,1,0)</f>
        <v>2026</v>
      </c>
      <c r="C9" s="102">
        <f>YEAR(Table10[[#This Row],[Date]])</f>
        <v>2025</v>
      </c>
      <c r="D9" s="102" t="s">
        <v>446</v>
      </c>
      <c r="E9" s="469">
        <f>Table10[[#This Row],[Date]]-DAY(Table10[[#This Row],[Date]])+1</f>
        <v>45748</v>
      </c>
      <c r="F9" s="470">
        <v>45760</v>
      </c>
      <c r="G9" s="102" t="s">
        <v>451</v>
      </c>
      <c r="H9" s="102" t="str">
        <f>IFERROR(_xlfn.XLOOKUP(Table10[[#This Row],[Affected Feeder ]],'Basic Data'!$A$43:$A$70,'Basic Data'!$B$43:$B$70),"")</f>
        <v>TQGXIIPL</v>
      </c>
      <c r="I9" s="102" t="str">
        <f>IFERROR(_xlfn.XLOOKUP(Table10[[#This Row],[Affected Feeder ]],'Basic Data'!$A$43:$A$70,'Basic Data'!$C$43:$C$70),"")</f>
        <v>GEDA</v>
      </c>
      <c r="J9" s="482">
        <f>IFERROR(_xlfn.XLOOKUP(Table10[[#This Row],[Affected Feeder ]],'Basic Data'!$A$43:$A$70,'Basic Data'!$E$43:$E$70),"")</f>
        <v>0.49999999999999978</v>
      </c>
      <c r="K9" s="483" t="s">
        <v>469</v>
      </c>
      <c r="L9" s="484">
        <v>0</v>
      </c>
      <c r="M9" s="484">
        <v>0</v>
      </c>
      <c r="N9" s="484">
        <v>0.29444444444444445</v>
      </c>
      <c r="O9" s="101">
        <f>(Table10[[#This Row],[Work Start TimeStamp]]-Table10[[#This Row],[Fault Start TimeStamp]])*24</f>
        <v>0</v>
      </c>
      <c r="P9" s="101">
        <f>IF(Table10[[#This Row],[Work Start TimeStamp]]="","",(Table10[[#This Row],[Fault Clearance time]]-Table10[[#This Row],[Work Start TimeStamp]])*24)</f>
        <v>7.0666666666666664</v>
      </c>
      <c r="Q9" s="101">
        <f>(Table10[[#This Row],[Fault Clearance time]]-Table10[[#This Row],[Fault Start TimeStamp]])*24</f>
        <v>7.0666666666666664</v>
      </c>
      <c r="R9" s="483" t="s">
        <v>1752</v>
      </c>
      <c r="S9" s="102" t="s">
        <v>293</v>
      </c>
      <c r="T9" s="485">
        <f>IFERROR(Table10[[#This Row],[Breakdown Time]]*Table10[[#This Row],[Plant Equivalent Weightage]],"")</f>
        <v>3.5333333333333314</v>
      </c>
      <c r="U9" s="102" t="s">
        <v>450</v>
      </c>
      <c r="V9" s="547">
        <f>IFERROR(_xlfn.XLOOKUP(Table10[[#This Row],[Date]],'Daily KPI'!$A:$A,'Daily KPI'!$M:$M),"")</f>
        <v>7.6407920586270697</v>
      </c>
      <c r="W9" s="102">
        <v>1490</v>
      </c>
      <c r="X9" s="102">
        <f>Table10[[#This Row],[WTG Loss]]*13*Table10[[#This Row],[Breakdown Time]]</f>
        <v>136881.33333333334</v>
      </c>
      <c r="Y9" s="102" t="s">
        <v>449</v>
      </c>
      <c r="Z9" s="102"/>
      <c r="AA9" s="102"/>
    </row>
    <row r="10" spans="1:27">
      <c r="A10" s="102">
        <f t="shared" si="0"/>
        <v>9</v>
      </c>
      <c r="B10" s="102">
        <f>YEAR(Table10[[#This Row],[Date]])+IF(MONTH(Table10[[#This Row],[Date]])&gt;=4,1,0)</f>
        <v>2026</v>
      </c>
      <c r="C10" s="102">
        <f>YEAR(Table10[[#This Row],[Date]])</f>
        <v>2025</v>
      </c>
      <c r="D10" s="102" t="s">
        <v>446</v>
      </c>
      <c r="E10" s="469">
        <f>Table10[[#This Row],[Date]]-DAY(Table10[[#This Row],[Date]])+1</f>
        <v>45748</v>
      </c>
      <c r="F10" s="470">
        <v>45763</v>
      </c>
      <c r="G10" s="102" t="s">
        <v>83</v>
      </c>
      <c r="H10" s="102" t="str">
        <f>IFERROR(_xlfn.XLOOKUP(Table10[[#This Row],[Affected Feeder ]],'Basic Data'!$A$43:$A$70,'Basic Data'!$B$43:$B$70),"")</f>
        <v>TQGXIIPL</v>
      </c>
      <c r="I10" s="102" t="str">
        <f>IFERROR(_xlfn.XLOOKUP(Table10[[#This Row],[Affected Feeder ]],'Basic Data'!$A$43:$A$70,'Basic Data'!$C$43:$C$70),"")</f>
        <v>GEDA</v>
      </c>
      <c r="J10" s="482">
        <f>IFERROR(_xlfn.XLOOKUP(Table10[[#This Row],[Affected Feeder ]],'Basic Data'!$A$43:$A$70,'Basic Data'!$E$43:$E$70),"")</f>
        <v>3.846153846153845E-2</v>
      </c>
      <c r="K10" s="483" t="s">
        <v>475</v>
      </c>
      <c r="L10" s="484">
        <v>0.38055555555555554</v>
      </c>
      <c r="M10" s="484">
        <v>0.38055555555555554</v>
      </c>
      <c r="N10" s="484">
        <v>0.39166666666666666</v>
      </c>
      <c r="O10" s="101">
        <f>(Table10[[#This Row],[Work Start TimeStamp]]-Table10[[#This Row],[Fault Start TimeStamp]])*24</f>
        <v>0</v>
      </c>
      <c r="P10" s="101">
        <f>IF(Table10[[#This Row],[Work Start TimeStamp]]="","",(Table10[[#This Row],[Fault Clearance time]]-Table10[[#This Row],[Work Start TimeStamp]])*24)</f>
        <v>0.26666666666666705</v>
      </c>
      <c r="Q10" s="101">
        <f>(Table10[[#This Row],[Fault Clearance time]]-Table10[[#This Row],[Fault Start TimeStamp]])*24</f>
        <v>0.26666666666666705</v>
      </c>
      <c r="R10" s="483" t="s">
        <v>476</v>
      </c>
      <c r="S10" s="102" t="s">
        <v>293</v>
      </c>
      <c r="T10" s="485">
        <f>IFERROR(Table10[[#This Row],[Breakdown Time]]*Table10[[#This Row],[Plant Equivalent Weightage]],"")</f>
        <v>1.0256410256410269E-2</v>
      </c>
      <c r="U10" s="102" t="s">
        <v>450</v>
      </c>
      <c r="V10" s="547">
        <f>IFERROR(_xlfn.XLOOKUP(Table10[[#This Row],[Date]],'Daily KPI'!$A:$A,'Daily KPI'!$M:$M),"")</f>
        <v>7.9018868801493038</v>
      </c>
      <c r="W10" s="102">
        <v>1650.5</v>
      </c>
      <c r="X10" s="102">
        <f>Table10[[#This Row],[WTG Loss]]*1*Table10[[#This Row],[Breakdown Time]]</f>
        <v>440.13333333333395</v>
      </c>
      <c r="Y10" s="102" t="s">
        <v>449</v>
      </c>
      <c r="Z10" s="102"/>
      <c r="AA10" s="102"/>
    </row>
    <row r="11" spans="1:27">
      <c r="A11" s="102">
        <f t="shared" si="0"/>
        <v>10</v>
      </c>
      <c r="B11" s="102">
        <f>YEAR(Table10[[#This Row],[Date]])+IF(MONTH(Table10[[#This Row],[Date]])&gt;=4,1,0)</f>
        <v>2026</v>
      </c>
      <c r="C11" s="102">
        <f>YEAR(Table10[[#This Row],[Date]])</f>
        <v>2025</v>
      </c>
      <c r="D11" s="102" t="s">
        <v>446</v>
      </c>
      <c r="E11" s="469">
        <f>Table10[[#This Row],[Date]]-DAY(Table10[[#This Row],[Date]])+1</f>
        <v>45748</v>
      </c>
      <c r="F11" s="470">
        <v>45768</v>
      </c>
      <c r="G11" s="102" t="s">
        <v>447</v>
      </c>
      <c r="H11" s="102" t="str">
        <f>IFERROR(_xlfn.XLOOKUP(Table10[[#This Row],[Affected Feeder ]],'Basic Data'!$A$43:$A$70,'Basic Data'!$B$43:$B$70),"")</f>
        <v>TQGXIIPL</v>
      </c>
      <c r="I11" s="102" t="str">
        <f>IFERROR(_xlfn.XLOOKUP(Table10[[#This Row],[Affected Feeder ]],'Basic Data'!$A$43:$A$70,'Basic Data'!$C$43:$C$70),"")</f>
        <v>GEDA</v>
      </c>
      <c r="J11" s="482">
        <f>IFERROR(_xlfn.XLOOKUP(Table10[[#This Row],[Affected Feeder ]],'Basic Data'!$A$43:$A$70,'Basic Data'!$E$43:$E$70),"")</f>
        <v>0.49999999999999978</v>
      </c>
      <c r="K11" s="483" t="s">
        <v>468</v>
      </c>
      <c r="L11" s="484">
        <v>0.37222222222222223</v>
      </c>
      <c r="M11" s="484">
        <v>0.37222222222222223</v>
      </c>
      <c r="N11" s="484">
        <v>0.39652777777777776</v>
      </c>
      <c r="O11" s="101">
        <f>(Table10[[#This Row],[Work Start TimeStamp]]-Table10[[#This Row],[Fault Start TimeStamp]])*24</f>
        <v>0</v>
      </c>
      <c r="P11" s="101">
        <f>IF(Table10[[#This Row],[Work Start TimeStamp]]="","",(Table10[[#This Row],[Fault Clearance time]]-Table10[[#This Row],[Work Start TimeStamp]])*24)</f>
        <v>0.58333333333333259</v>
      </c>
      <c r="Q11" s="101">
        <f>(Table10[[#This Row],[Fault Clearance time]]-Table10[[#This Row],[Fault Start TimeStamp]])*24</f>
        <v>0.58333333333333259</v>
      </c>
      <c r="R11" s="483" t="s">
        <v>1753</v>
      </c>
      <c r="S11" s="102" t="s">
        <v>293</v>
      </c>
      <c r="T11" s="485">
        <f>IFERROR(Table10[[#This Row],[Breakdown Time]]*Table10[[#This Row],[Plant Equivalent Weightage]],"")</f>
        <v>0.29166666666666619</v>
      </c>
      <c r="U11" s="102" t="s">
        <v>450</v>
      </c>
      <c r="V11" s="547">
        <f>IFERROR(_xlfn.XLOOKUP(Table10[[#This Row],[Date]],'Daily KPI'!$A:$A,'Daily KPI'!$M:$M),"")</f>
        <v>4.9753116044268859</v>
      </c>
      <c r="W11" s="102">
        <v>406</v>
      </c>
      <c r="X11" s="102">
        <f>Table10[[#This Row],[WTG Loss]]*6*Table10[[#This Row],[Breakdown Time]]</f>
        <v>1420.9999999999982</v>
      </c>
      <c r="Y11" s="102" t="s">
        <v>449</v>
      </c>
      <c r="Z11" s="102"/>
      <c r="AA11" s="102"/>
    </row>
    <row r="12" spans="1:27">
      <c r="A12" s="102">
        <f t="shared" si="0"/>
        <v>11</v>
      </c>
      <c r="B12" s="102">
        <f>YEAR(Table10[[#This Row],[Date]])+IF(MONTH(Table10[[#This Row],[Date]])&gt;=4,1,0)</f>
        <v>2026</v>
      </c>
      <c r="C12" s="102">
        <f>YEAR(Table10[[#This Row],[Date]])</f>
        <v>2025</v>
      </c>
      <c r="D12" s="102" t="s">
        <v>446</v>
      </c>
      <c r="E12" s="469">
        <f>Table10[[#This Row],[Date]]-DAY(Table10[[#This Row],[Date]])+1</f>
        <v>45748</v>
      </c>
      <c r="F12" s="470">
        <v>45768</v>
      </c>
      <c r="G12" s="102" t="s">
        <v>447</v>
      </c>
      <c r="H12" s="102" t="str">
        <f>IFERROR(_xlfn.XLOOKUP(Table10[[#This Row],[Affected Feeder ]],'Basic Data'!$A$43:$A$70,'Basic Data'!$B$43:$B$70),"")</f>
        <v>TQGXIIPL</v>
      </c>
      <c r="I12" s="102" t="str">
        <f>IFERROR(_xlfn.XLOOKUP(Table10[[#This Row],[Affected Feeder ]],'Basic Data'!$A$43:$A$70,'Basic Data'!$C$43:$C$70),"")</f>
        <v>GEDA</v>
      </c>
      <c r="J12" s="482">
        <f>IFERROR(_xlfn.XLOOKUP(Table10[[#This Row],[Affected Feeder ]],'Basic Data'!$A$43:$A$70,'Basic Data'!$E$43:$E$70),"")</f>
        <v>0.49999999999999978</v>
      </c>
      <c r="K12" s="483" t="s">
        <v>468</v>
      </c>
      <c r="L12" s="484">
        <v>0.78055555555555556</v>
      </c>
      <c r="M12" s="484">
        <v>0.78055555555555556</v>
      </c>
      <c r="N12" s="484">
        <v>0.79861111111111116</v>
      </c>
      <c r="O12" s="101">
        <f>(Table10[[#This Row],[Work Start TimeStamp]]-Table10[[#This Row],[Fault Start TimeStamp]])*24</f>
        <v>0</v>
      </c>
      <c r="P12" s="101">
        <f>IF(Table10[[#This Row],[Work Start TimeStamp]]="","",(Table10[[#This Row],[Fault Clearance time]]-Table10[[#This Row],[Work Start TimeStamp]])*24)</f>
        <v>0.43333333333333446</v>
      </c>
      <c r="Q12" s="101">
        <f>(Table10[[#This Row],[Fault Clearance time]]-Table10[[#This Row],[Fault Start TimeStamp]])*24</f>
        <v>0.43333333333333446</v>
      </c>
      <c r="R12" s="483" t="s">
        <v>1753</v>
      </c>
      <c r="S12" s="102" t="s">
        <v>293</v>
      </c>
      <c r="T12" s="485">
        <f>IFERROR(Table10[[#This Row],[Breakdown Time]]*Table10[[#This Row],[Plant Equivalent Weightage]],"")</f>
        <v>0.21666666666666715</v>
      </c>
      <c r="U12" s="102" t="s">
        <v>450</v>
      </c>
      <c r="V12" s="547">
        <f>IFERROR(_xlfn.XLOOKUP(Table10[[#This Row],[Date]],'Daily KPI'!$A:$A,'Daily KPI'!$M:$M),"")</f>
        <v>4.9753116044268859</v>
      </c>
      <c r="W12" s="102">
        <v>406</v>
      </c>
      <c r="X12" s="102">
        <f>Table10[[#This Row],[WTG Loss]]*6*Table10[[#This Row],[Breakdown Time]]</f>
        <v>1055.6000000000026</v>
      </c>
      <c r="Y12" s="102" t="s">
        <v>449</v>
      </c>
      <c r="Z12" s="102"/>
      <c r="AA12" s="102"/>
    </row>
    <row r="13" spans="1:27">
      <c r="A13" s="102">
        <f t="shared" si="0"/>
        <v>12</v>
      </c>
      <c r="B13" s="102">
        <f>YEAR(Table10[[#This Row],[Date]])+IF(MONTH(Table10[[#This Row],[Date]])&gt;=4,1,0)</f>
        <v>2026</v>
      </c>
      <c r="C13" s="102">
        <f>YEAR(Table10[[#This Row],[Date]])</f>
        <v>2025</v>
      </c>
      <c r="D13" s="102" t="s">
        <v>446</v>
      </c>
      <c r="E13" s="469">
        <f>Table10[[#This Row],[Date]]-DAY(Table10[[#This Row],[Date]])+1</f>
        <v>45748</v>
      </c>
      <c r="F13" s="470">
        <v>45768</v>
      </c>
      <c r="G13" s="102" t="s">
        <v>74</v>
      </c>
      <c r="H13" s="102" t="str">
        <f>IFERROR(_xlfn.XLOOKUP(Table10[[#This Row],[Affected Feeder ]],'Basic Data'!$A$43:$A$70,'Basic Data'!$B$43:$B$70),"")</f>
        <v>TQGXIIPL</v>
      </c>
      <c r="I13" s="102" t="str">
        <f>IFERROR(_xlfn.XLOOKUP(Table10[[#This Row],[Affected Feeder ]],'Basic Data'!$A$43:$A$70,'Basic Data'!$C$43:$C$70),"")</f>
        <v>GEDA</v>
      </c>
      <c r="J13" s="482">
        <f>IFERROR(_xlfn.XLOOKUP(Table10[[#This Row],[Affected Feeder ]],'Basic Data'!$A$43:$A$70,'Basic Data'!$E$43:$E$70),"")</f>
        <v>3.846153846153845E-2</v>
      </c>
      <c r="K13" s="483" t="s">
        <v>1703</v>
      </c>
      <c r="L13" s="484">
        <v>0.39652777777777776</v>
      </c>
      <c r="M13" s="484">
        <v>0.39652777777777776</v>
      </c>
      <c r="N13" s="484">
        <v>0.78055555555555556</v>
      </c>
      <c r="O13" s="101">
        <f>(Table10[[#This Row],[Work Start TimeStamp]]-Table10[[#This Row],[Fault Start TimeStamp]])*24</f>
        <v>0</v>
      </c>
      <c r="P13" s="101">
        <f>IF(Table10[[#This Row],[Work Start TimeStamp]]="","",(Table10[[#This Row],[Fault Clearance time]]-Table10[[#This Row],[Work Start TimeStamp]])*24)</f>
        <v>9.2166666666666668</v>
      </c>
      <c r="Q13" s="101">
        <f>(Table10[[#This Row],[Fault Clearance time]]-Table10[[#This Row],[Fault Start TimeStamp]])*24</f>
        <v>9.2166666666666668</v>
      </c>
      <c r="R13" s="483" t="s">
        <v>1753</v>
      </c>
      <c r="S13" s="102" t="s">
        <v>293</v>
      </c>
      <c r="T13" s="485">
        <f>IFERROR(Table10[[#This Row],[Breakdown Time]]*Table10[[#This Row],[Plant Equivalent Weightage]],"")</f>
        <v>0.35448717948717939</v>
      </c>
      <c r="U13" s="102" t="s">
        <v>450</v>
      </c>
      <c r="V13" s="547">
        <f>IFERROR(_xlfn.XLOOKUP(Table10[[#This Row],[Date]],'Daily KPI'!$A:$A,'Daily KPI'!$M:$M),"")</f>
        <v>4.9753116044268859</v>
      </c>
      <c r="W13" s="102">
        <v>406</v>
      </c>
      <c r="X13" s="102">
        <f>Table10[[#This Row],[WTG Loss]]*6*Table10[[#This Row],[Breakdown Time]]</f>
        <v>22451.8</v>
      </c>
      <c r="Y13" s="102" t="s">
        <v>449</v>
      </c>
      <c r="Z13" s="102"/>
      <c r="AA13" s="102"/>
    </row>
    <row r="14" spans="1:27">
      <c r="A14" s="102">
        <f t="shared" si="0"/>
        <v>13</v>
      </c>
      <c r="B14" s="102">
        <f>YEAR(Table10[[#This Row],[Date]])+IF(MONTH(Table10[[#This Row],[Date]])&gt;=4,1,0)</f>
        <v>2026</v>
      </c>
      <c r="C14" s="102">
        <f>YEAR(Table10[[#This Row],[Date]])</f>
        <v>2025</v>
      </c>
      <c r="D14" s="102" t="s">
        <v>446</v>
      </c>
      <c r="E14" s="469">
        <f>Table10[[#This Row],[Date]]-DAY(Table10[[#This Row],[Date]])+1</f>
        <v>45748</v>
      </c>
      <c r="F14" s="470">
        <v>45768</v>
      </c>
      <c r="G14" s="102" t="s">
        <v>75</v>
      </c>
      <c r="H14" s="102" t="str">
        <f>IFERROR(_xlfn.XLOOKUP(Table10[[#This Row],[Affected Feeder ]],'Basic Data'!$A$43:$A$70,'Basic Data'!$B$43:$B$70),"")</f>
        <v>TQGXIIPL</v>
      </c>
      <c r="I14" s="102" t="str">
        <f>IFERROR(_xlfn.XLOOKUP(Table10[[#This Row],[Affected Feeder ]],'Basic Data'!$A$43:$A$70,'Basic Data'!$C$43:$C$70),"")</f>
        <v>GEDA</v>
      </c>
      <c r="J14" s="482">
        <f>IFERROR(_xlfn.XLOOKUP(Table10[[#This Row],[Affected Feeder ]],'Basic Data'!$A$43:$A$70,'Basic Data'!$E$43:$E$70),"")</f>
        <v>3.846153846153845E-2</v>
      </c>
      <c r="K14" s="483" t="s">
        <v>1704</v>
      </c>
      <c r="L14" s="484">
        <v>0.39652777777777776</v>
      </c>
      <c r="M14" s="484">
        <v>0.39652777777777776</v>
      </c>
      <c r="N14" s="484">
        <v>0.78055555555555556</v>
      </c>
      <c r="O14" s="101">
        <f>(Table10[[#This Row],[Work Start TimeStamp]]-Table10[[#This Row],[Fault Start TimeStamp]])*24</f>
        <v>0</v>
      </c>
      <c r="P14" s="101">
        <f>IF(Table10[[#This Row],[Work Start TimeStamp]]="","",(Table10[[#This Row],[Fault Clearance time]]-Table10[[#This Row],[Work Start TimeStamp]])*24)</f>
        <v>9.2166666666666668</v>
      </c>
      <c r="Q14" s="101">
        <f>(Table10[[#This Row],[Fault Clearance time]]-Table10[[#This Row],[Fault Start TimeStamp]])*24</f>
        <v>9.2166666666666668</v>
      </c>
      <c r="R14" s="483" t="s">
        <v>1753</v>
      </c>
      <c r="S14" s="102" t="s">
        <v>293</v>
      </c>
      <c r="T14" s="485">
        <f>IFERROR(Table10[[#This Row],[Breakdown Time]]*Table10[[#This Row],[Plant Equivalent Weightage]],"")</f>
        <v>0.35448717948717939</v>
      </c>
      <c r="U14" s="102" t="s">
        <v>450</v>
      </c>
      <c r="V14" s="547">
        <f>IFERROR(_xlfn.XLOOKUP(Table10[[#This Row],[Date]],'Daily KPI'!$A:$A,'Daily KPI'!$M:$M),"")</f>
        <v>4.9753116044268859</v>
      </c>
      <c r="W14" s="102">
        <v>406</v>
      </c>
      <c r="X14" s="102">
        <f>Table10[[#This Row],[WTG Loss]]*6*Table10[[#This Row],[Breakdown Time]]</f>
        <v>22451.8</v>
      </c>
      <c r="Y14" s="102" t="s">
        <v>449</v>
      </c>
      <c r="Z14" s="102"/>
      <c r="AA14" s="102"/>
    </row>
    <row r="15" spans="1:27">
      <c r="A15" s="102">
        <f t="shared" si="0"/>
        <v>14</v>
      </c>
      <c r="B15" s="102">
        <f>YEAR(Table10[[#This Row],[Date]])+IF(MONTH(Table10[[#This Row],[Date]])&gt;=4,1,0)</f>
        <v>2026</v>
      </c>
      <c r="C15" s="102">
        <f>YEAR(Table10[[#This Row],[Date]])</f>
        <v>2025</v>
      </c>
      <c r="D15" s="102" t="s">
        <v>446</v>
      </c>
      <c r="E15" s="469">
        <f>Table10[[#This Row],[Date]]-DAY(Table10[[#This Row],[Date]])+1</f>
        <v>45748</v>
      </c>
      <c r="F15" s="470">
        <v>45768</v>
      </c>
      <c r="G15" s="102" t="s">
        <v>78</v>
      </c>
      <c r="H15" s="102" t="str">
        <f>IFERROR(_xlfn.XLOOKUP(Table10[[#This Row],[Affected Feeder ]],'Basic Data'!$A$43:$A$70,'Basic Data'!$B$43:$B$70),"")</f>
        <v>TQGXIIPL</v>
      </c>
      <c r="I15" s="102" t="str">
        <f>IFERROR(_xlfn.XLOOKUP(Table10[[#This Row],[Affected Feeder ]],'Basic Data'!$A$43:$A$70,'Basic Data'!$C$43:$C$70),"")</f>
        <v>GEDA</v>
      </c>
      <c r="J15" s="482">
        <f>IFERROR(_xlfn.XLOOKUP(Table10[[#This Row],[Affected Feeder ]],'Basic Data'!$A$43:$A$70,'Basic Data'!$E$43:$E$70),"")</f>
        <v>3.846153846153845E-2</v>
      </c>
      <c r="K15" s="483" t="s">
        <v>1705</v>
      </c>
      <c r="L15" s="484">
        <v>0.39652777777777776</v>
      </c>
      <c r="M15" s="484">
        <v>0.39652777777777776</v>
      </c>
      <c r="N15" s="484">
        <v>0.78055555555555556</v>
      </c>
      <c r="O15" s="101">
        <f>(Table10[[#This Row],[Work Start TimeStamp]]-Table10[[#This Row],[Fault Start TimeStamp]])*24</f>
        <v>0</v>
      </c>
      <c r="P15" s="101">
        <f>IF(Table10[[#This Row],[Work Start TimeStamp]]="","",(Table10[[#This Row],[Fault Clearance time]]-Table10[[#This Row],[Work Start TimeStamp]])*24)</f>
        <v>9.2166666666666668</v>
      </c>
      <c r="Q15" s="101">
        <f>(Table10[[#This Row],[Fault Clearance time]]-Table10[[#This Row],[Fault Start TimeStamp]])*24</f>
        <v>9.2166666666666668</v>
      </c>
      <c r="R15" s="483" t="s">
        <v>1753</v>
      </c>
      <c r="S15" s="102" t="s">
        <v>293</v>
      </c>
      <c r="T15" s="485">
        <f>IFERROR(Table10[[#This Row],[Breakdown Time]]*Table10[[#This Row],[Plant Equivalent Weightage]],"")</f>
        <v>0.35448717948717939</v>
      </c>
      <c r="U15" s="102" t="s">
        <v>450</v>
      </c>
      <c r="V15" s="547">
        <f>IFERROR(_xlfn.XLOOKUP(Table10[[#This Row],[Date]],'Daily KPI'!$A:$A,'Daily KPI'!$M:$M),"")</f>
        <v>4.9753116044268859</v>
      </c>
      <c r="W15" s="102">
        <v>406</v>
      </c>
      <c r="X15" s="102">
        <f>Table10[[#This Row],[WTG Loss]]*6*Table10[[#This Row],[Breakdown Time]]</f>
        <v>22451.8</v>
      </c>
      <c r="Y15" s="102" t="s">
        <v>449</v>
      </c>
      <c r="Z15" s="102"/>
      <c r="AA15" s="102"/>
    </row>
    <row r="16" spans="1:27">
      <c r="A16" s="102">
        <f t="shared" si="0"/>
        <v>15</v>
      </c>
      <c r="B16" s="102">
        <f>YEAR(Table10[[#This Row],[Date]])+IF(MONTH(Table10[[#This Row],[Date]])&gt;=4,1,0)</f>
        <v>2026</v>
      </c>
      <c r="C16" s="102">
        <f>YEAR(Table10[[#This Row],[Date]])</f>
        <v>2025</v>
      </c>
      <c r="D16" s="102" t="s">
        <v>446</v>
      </c>
      <c r="E16" s="469">
        <f>Table10[[#This Row],[Date]]-DAY(Table10[[#This Row],[Date]])+1</f>
        <v>45748</v>
      </c>
      <c r="F16" s="470">
        <v>45768</v>
      </c>
      <c r="G16" s="102" t="s">
        <v>81</v>
      </c>
      <c r="H16" s="102" t="str">
        <f>IFERROR(_xlfn.XLOOKUP(Table10[[#This Row],[Affected Feeder ]],'Basic Data'!$A$43:$A$70,'Basic Data'!$B$43:$B$70),"")</f>
        <v>TQGXIIPL</v>
      </c>
      <c r="I16" s="102" t="str">
        <f>IFERROR(_xlfn.XLOOKUP(Table10[[#This Row],[Affected Feeder ]],'Basic Data'!$A$43:$A$70,'Basic Data'!$C$43:$C$70),"")</f>
        <v>GEDA</v>
      </c>
      <c r="J16" s="482">
        <f>IFERROR(_xlfn.XLOOKUP(Table10[[#This Row],[Affected Feeder ]],'Basic Data'!$A$43:$A$70,'Basic Data'!$E$43:$E$70),"")</f>
        <v>3.846153846153845E-2</v>
      </c>
      <c r="K16" s="483" t="s">
        <v>1706</v>
      </c>
      <c r="L16" s="484">
        <v>0.39652777777777776</v>
      </c>
      <c r="M16" s="484">
        <v>0.39652777777777776</v>
      </c>
      <c r="N16" s="484">
        <v>0.78055555555555556</v>
      </c>
      <c r="O16" s="101">
        <f>(Table10[[#This Row],[Work Start TimeStamp]]-Table10[[#This Row],[Fault Start TimeStamp]])*24</f>
        <v>0</v>
      </c>
      <c r="P16" s="101">
        <f>IF(Table10[[#This Row],[Work Start TimeStamp]]="","",(Table10[[#This Row],[Fault Clearance time]]-Table10[[#This Row],[Work Start TimeStamp]])*24)</f>
        <v>9.2166666666666668</v>
      </c>
      <c r="Q16" s="101">
        <f>(Table10[[#This Row],[Fault Clearance time]]-Table10[[#This Row],[Fault Start TimeStamp]])*24</f>
        <v>9.2166666666666668</v>
      </c>
      <c r="R16" s="483" t="s">
        <v>1753</v>
      </c>
      <c r="S16" s="102" t="s">
        <v>293</v>
      </c>
      <c r="T16" s="485">
        <f>IFERROR(Table10[[#This Row],[Breakdown Time]]*Table10[[#This Row],[Plant Equivalent Weightage]],"")</f>
        <v>0.35448717948717939</v>
      </c>
      <c r="U16" s="102" t="s">
        <v>450</v>
      </c>
      <c r="V16" s="547">
        <f>IFERROR(_xlfn.XLOOKUP(Table10[[#This Row],[Date]],'Daily KPI'!$A:$A,'Daily KPI'!$M:$M),"")</f>
        <v>4.9753116044268859</v>
      </c>
      <c r="W16" s="102">
        <v>406</v>
      </c>
      <c r="X16" s="102">
        <f>Table10[[#This Row],[WTG Loss]]*6*Table10[[#This Row],[Breakdown Time]]</f>
        <v>22451.8</v>
      </c>
      <c r="Y16" s="102" t="s">
        <v>449</v>
      </c>
      <c r="Z16" s="102"/>
      <c r="AA16" s="102"/>
    </row>
    <row r="17" spans="1:27">
      <c r="A17" s="102">
        <f t="shared" si="0"/>
        <v>16</v>
      </c>
      <c r="B17" s="102">
        <f>YEAR(Table10[[#This Row],[Date]])+IF(MONTH(Table10[[#This Row],[Date]])&gt;=4,1,0)</f>
        <v>2026</v>
      </c>
      <c r="C17" s="102">
        <f>YEAR(Table10[[#This Row],[Date]])</f>
        <v>2025</v>
      </c>
      <c r="D17" s="102" t="s">
        <v>446</v>
      </c>
      <c r="E17" s="469">
        <f>Table10[[#This Row],[Date]]-DAY(Table10[[#This Row],[Date]])+1</f>
        <v>45748</v>
      </c>
      <c r="F17" s="470">
        <v>45768</v>
      </c>
      <c r="G17" s="102" t="s">
        <v>98</v>
      </c>
      <c r="H17" s="102" t="str">
        <f>IFERROR(_xlfn.XLOOKUP(Table10[[#This Row],[Affected Feeder ]],'Basic Data'!$A$43:$A$70,'Basic Data'!$B$43:$B$70),"")</f>
        <v>TQGXIIPL</v>
      </c>
      <c r="I17" s="102" t="str">
        <f>IFERROR(_xlfn.XLOOKUP(Table10[[#This Row],[Affected Feeder ]],'Basic Data'!$A$43:$A$70,'Basic Data'!$C$43:$C$70),"")</f>
        <v>GEDA</v>
      </c>
      <c r="J17" s="482">
        <f>IFERROR(_xlfn.XLOOKUP(Table10[[#This Row],[Affected Feeder ]],'Basic Data'!$A$43:$A$70,'Basic Data'!$E$43:$E$70),"")</f>
        <v>3.846153846153845E-2</v>
      </c>
      <c r="K17" s="483" t="s">
        <v>1707</v>
      </c>
      <c r="L17" s="484">
        <v>0.39652777777777776</v>
      </c>
      <c r="M17" s="484">
        <v>0.39652777777777776</v>
      </c>
      <c r="N17" s="484">
        <v>0.78055555555555556</v>
      </c>
      <c r="O17" s="101">
        <f>(Table10[[#This Row],[Work Start TimeStamp]]-Table10[[#This Row],[Fault Start TimeStamp]])*24</f>
        <v>0</v>
      </c>
      <c r="P17" s="101">
        <f>IF(Table10[[#This Row],[Work Start TimeStamp]]="","",(Table10[[#This Row],[Fault Clearance time]]-Table10[[#This Row],[Work Start TimeStamp]])*24)</f>
        <v>9.2166666666666668</v>
      </c>
      <c r="Q17" s="101">
        <f>(Table10[[#This Row],[Fault Clearance time]]-Table10[[#This Row],[Fault Start TimeStamp]])*24</f>
        <v>9.2166666666666668</v>
      </c>
      <c r="R17" s="483" t="s">
        <v>1753</v>
      </c>
      <c r="S17" s="102" t="s">
        <v>293</v>
      </c>
      <c r="T17" s="485">
        <f>IFERROR(Table10[[#This Row],[Breakdown Time]]*Table10[[#This Row],[Plant Equivalent Weightage]],"")</f>
        <v>0.35448717948717939</v>
      </c>
      <c r="U17" s="102" t="s">
        <v>450</v>
      </c>
      <c r="V17" s="547">
        <f>IFERROR(_xlfn.XLOOKUP(Table10[[#This Row],[Date]],'Daily KPI'!$A:$A,'Daily KPI'!$M:$M),"")</f>
        <v>4.9753116044268859</v>
      </c>
      <c r="W17" s="102">
        <v>406</v>
      </c>
      <c r="X17" s="102">
        <f>Table10[[#This Row],[WTG Loss]]*6*Table10[[#This Row],[Breakdown Time]]</f>
        <v>22451.8</v>
      </c>
      <c r="Y17" s="102" t="s">
        <v>449</v>
      </c>
      <c r="Z17" s="102"/>
      <c r="AA17" s="102"/>
    </row>
    <row r="18" spans="1:27">
      <c r="A18" s="102">
        <f t="shared" si="0"/>
        <v>17</v>
      </c>
      <c r="B18" s="102">
        <f>YEAR(Table10[[#This Row],[Date]])+IF(MONTH(Table10[[#This Row],[Date]])&gt;=4,1,0)</f>
        <v>2026</v>
      </c>
      <c r="C18" s="102">
        <f>YEAR(Table10[[#This Row],[Date]])</f>
        <v>2025</v>
      </c>
      <c r="D18" s="102" t="s">
        <v>446</v>
      </c>
      <c r="E18" s="469">
        <f>Table10[[#This Row],[Date]]-DAY(Table10[[#This Row],[Date]])+1</f>
        <v>45748</v>
      </c>
      <c r="F18" s="470">
        <v>45768</v>
      </c>
      <c r="G18" s="102" t="s">
        <v>99</v>
      </c>
      <c r="H18" s="102" t="str">
        <f>IFERROR(_xlfn.XLOOKUP(Table10[[#This Row],[Affected Feeder ]],'Basic Data'!$A$43:$A$70,'Basic Data'!$B$43:$B$70),"")</f>
        <v>TQGXIIPL</v>
      </c>
      <c r="I18" s="102" t="str">
        <f>IFERROR(_xlfn.XLOOKUP(Table10[[#This Row],[Affected Feeder ]],'Basic Data'!$A$43:$A$70,'Basic Data'!$C$43:$C$70),"")</f>
        <v>GEDA</v>
      </c>
      <c r="J18" s="482">
        <f>IFERROR(_xlfn.XLOOKUP(Table10[[#This Row],[Affected Feeder ]],'Basic Data'!$A$43:$A$70,'Basic Data'!$E$43:$E$70),"")</f>
        <v>3.846153846153845E-2</v>
      </c>
      <c r="K18" s="483" t="s">
        <v>1708</v>
      </c>
      <c r="L18" s="484">
        <v>0.39652777777777776</v>
      </c>
      <c r="M18" s="484">
        <v>0.39652777777777776</v>
      </c>
      <c r="N18" s="484">
        <v>0.78055555555555556</v>
      </c>
      <c r="O18" s="101">
        <f>(Table10[[#This Row],[Work Start TimeStamp]]-Table10[[#This Row],[Fault Start TimeStamp]])*24</f>
        <v>0</v>
      </c>
      <c r="P18" s="101">
        <f>IF(Table10[[#This Row],[Work Start TimeStamp]]="","",(Table10[[#This Row],[Fault Clearance time]]-Table10[[#This Row],[Work Start TimeStamp]])*24)</f>
        <v>9.2166666666666668</v>
      </c>
      <c r="Q18" s="101">
        <f>(Table10[[#This Row],[Fault Clearance time]]-Table10[[#This Row],[Fault Start TimeStamp]])*24</f>
        <v>9.2166666666666668</v>
      </c>
      <c r="R18" s="483" t="s">
        <v>1753</v>
      </c>
      <c r="S18" s="102" t="s">
        <v>293</v>
      </c>
      <c r="T18" s="485">
        <f>IFERROR(Table10[[#This Row],[Breakdown Time]]*Table10[[#This Row],[Plant Equivalent Weightage]],"")</f>
        <v>0.35448717948717939</v>
      </c>
      <c r="U18" s="102" t="s">
        <v>450</v>
      </c>
      <c r="V18" s="547">
        <f>IFERROR(_xlfn.XLOOKUP(Table10[[#This Row],[Date]],'Daily KPI'!$A:$A,'Daily KPI'!$M:$M),"")</f>
        <v>4.9753116044268859</v>
      </c>
      <c r="W18" s="102">
        <v>406</v>
      </c>
      <c r="X18" s="102">
        <f>Table10[[#This Row],[WTG Loss]]*3*Table10[[#This Row],[Breakdown Time]]</f>
        <v>11225.9</v>
      </c>
      <c r="Y18" s="102" t="s">
        <v>449</v>
      </c>
      <c r="Z18" s="102"/>
      <c r="AA18" s="102"/>
    </row>
    <row r="19" spans="1:27">
      <c r="A19" s="102">
        <f t="shared" si="0"/>
        <v>18</v>
      </c>
      <c r="B19" s="102">
        <f>YEAR(Table10[[#This Row],[Date]])+IF(MONTH(Table10[[#This Row],[Date]])&gt;=4,1,0)</f>
        <v>2026</v>
      </c>
      <c r="C19" s="102">
        <f>YEAR(Table10[[#This Row],[Date]])</f>
        <v>2025</v>
      </c>
      <c r="D19" s="102" t="s">
        <v>446</v>
      </c>
      <c r="E19" s="469">
        <f>Table10[[#This Row],[Date]]-DAY(Table10[[#This Row],[Date]])+1</f>
        <v>45748</v>
      </c>
      <c r="F19" s="470">
        <v>45769</v>
      </c>
      <c r="G19" s="102" t="s">
        <v>451</v>
      </c>
      <c r="H19" s="102" t="str">
        <f>IFERROR(_xlfn.XLOOKUP(Table10[[#This Row],[Affected Feeder ]],'Basic Data'!$A$43:$A$70,'Basic Data'!$B$43:$B$70),"")</f>
        <v>TQGXIIPL</v>
      </c>
      <c r="I19" s="102" t="str">
        <f>IFERROR(_xlfn.XLOOKUP(Table10[[#This Row],[Affected Feeder ]],'Basic Data'!$A$43:$A$70,'Basic Data'!$C$43:$C$70),"")</f>
        <v>GEDA</v>
      </c>
      <c r="J19" s="482">
        <f>IFERROR(_xlfn.XLOOKUP(Table10[[#This Row],[Affected Feeder ]],'Basic Data'!$A$43:$A$70,'Basic Data'!$E$43:$E$70),"")</f>
        <v>0.49999999999999978</v>
      </c>
      <c r="K19" s="483" t="s">
        <v>469</v>
      </c>
      <c r="L19" s="484">
        <v>0.6381944444444444</v>
      </c>
      <c r="M19" s="484">
        <v>0.6381944444444444</v>
      </c>
      <c r="N19" s="484">
        <v>0.65833333333333333</v>
      </c>
      <c r="O19" s="101">
        <f>(Table10[[#This Row],[Work Start TimeStamp]]-Table10[[#This Row],[Fault Start TimeStamp]])*24</f>
        <v>0</v>
      </c>
      <c r="P19" s="101">
        <f>IF(Table10[[#This Row],[Work Start TimeStamp]]="","",(Table10[[#This Row],[Fault Clearance time]]-Table10[[#This Row],[Work Start TimeStamp]])*24)</f>
        <v>0.48333333333333428</v>
      </c>
      <c r="Q19" s="101">
        <f>(Table10[[#This Row],[Fault Clearance time]]-Table10[[#This Row],[Fault Start TimeStamp]])*24</f>
        <v>0.48333333333333428</v>
      </c>
      <c r="R19" s="483" t="s">
        <v>1754</v>
      </c>
      <c r="S19" s="102" t="s">
        <v>293</v>
      </c>
      <c r="T19" s="485">
        <f>IFERROR(Table10[[#This Row],[Breakdown Time]]*Table10[[#This Row],[Plant Equivalent Weightage]],"")</f>
        <v>0.24166666666666703</v>
      </c>
      <c r="U19" s="102" t="s">
        <v>450</v>
      </c>
      <c r="V19" s="547">
        <f>IFERROR(_xlfn.XLOOKUP(Table10[[#This Row],[Date]],'Daily KPI'!$A:$A,'Daily KPI'!$M:$M),"")</f>
        <v>5.2119762384735528</v>
      </c>
      <c r="W19" s="102">
        <v>469.4</v>
      </c>
      <c r="X19" s="102">
        <f>Table10[[#This Row],[WTG Loss]]*3*Table10[[#This Row],[Breakdown Time]]</f>
        <v>680.63000000000125</v>
      </c>
      <c r="Y19" s="102" t="s">
        <v>449</v>
      </c>
      <c r="Z19" s="102"/>
      <c r="AA19" s="102"/>
    </row>
    <row r="20" spans="1:27">
      <c r="A20" s="102">
        <f t="shared" si="0"/>
        <v>19</v>
      </c>
      <c r="B20" s="102">
        <f>YEAR(Table10[[#This Row],[Date]])+IF(MONTH(Table10[[#This Row],[Date]])&gt;=4,1,0)</f>
        <v>2026</v>
      </c>
      <c r="C20" s="102">
        <f>YEAR(Table10[[#This Row],[Date]])</f>
        <v>2025</v>
      </c>
      <c r="D20" s="102" t="s">
        <v>446</v>
      </c>
      <c r="E20" s="469">
        <f>Table10[[#This Row],[Date]]-DAY(Table10[[#This Row],[Date]])+1</f>
        <v>45748</v>
      </c>
      <c r="F20" s="470">
        <v>45769</v>
      </c>
      <c r="G20" s="102" t="s">
        <v>77</v>
      </c>
      <c r="H20" s="102" t="str">
        <f>IFERROR(_xlfn.XLOOKUP(Table10[[#This Row],[Affected Feeder ]],'Basic Data'!$A$43:$A$70,'Basic Data'!$B$43:$B$70),"")</f>
        <v>TQGXIIPL</v>
      </c>
      <c r="I20" s="102" t="str">
        <f>IFERROR(_xlfn.XLOOKUP(Table10[[#This Row],[Affected Feeder ]],'Basic Data'!$A$43:$A$70,'Basic Data'!$C$43:$C$70),"")</f>
        <v>GEDA</v>
      </c>
      <c r="J20" s="482">
        <f>IFERROR(_xlfn.XLOOKUP(Table10[[#This Row],[Affected Feeder ]],'Basic Data'!$A$43:$A$70,'Basic Data'!$E$43:$E$70),"")</f>
        <v>3.846153846153845E-2</v>
      </c>
      <c r="K20" s="483" t="s">
        <v>1713</v>
      </c>
      <c r="L20" s="484">
        <v>0.52500000000000002</v>
      </c>
      <c r="M20" s="484">
        <v>0.52500000000000002</v>
      </c>
      <c r="N20" s="484">
        <v>0.6381944444444444</v>
      </c>
      <c r="O20" s="101">
        <f>(Table10[[#This Row],[Work Start TimeStamp]]-Table10[[#This Row],[Fault Start TimeStamp]])*24</f>
        <v>0</v>
      </c>
      <c r="P20" s="101">
        <f>IF(Table10[[#This Row],[Work Start TimeStamp]]="","",(Table10[[#This Row],[Fault Clearance time]]-Table10[[#This Row],[Work Start TimeStamp]])*24)</f>
        <v>2.716666666666665</v>
      </c>
      <c r="Q20" s="101">
        <f>(Table10[[#This Row],[Fault Clearance time]]-Table10[[#This Row],[Fault Start TimeStamp]])*24</f>
        <v>2.716666666666665</v>
      </c>
      <c r="R20" s="483" t="s">
        <v>1754</v>
      </c>
      <c r="S20" s="102" t="s">
        <v>293</v>
      </c>
      <c r="T20" s="485">
        <f>IFERROR(Table10[[#This Row],[Breakdown Time]]*Table10[[#This Row],[Plant Equivalent Weightage]],"")</f>
        <v>0.10448717948717939</v>
      </c>
      <c r="U20" s="102" t="s">
        <v>450</v>
      </c>
      <c r="V20" s="547">
        <f>IFERROR(_xlfn.XLOOKUP(Table10[[#This Row],[Date]],'Daily KPI'!$A:$A,'Daily KPI'!$M:$M),"")</f>
        <v>5.2119762384735528</v>
      </c>
      <c r="W20" s="102">
        <v>469.4</v>
      </c>
      <c r="X20" s="102">
        <f>Table10[[#This Row],[WTG Loss]]*3*Table10[[#This Row],[Breakdown Time]]</f>
        <v>3825.6099999999969</v>
      </c>
      <c r="Y20" s="102" t="s">
        <v>449</v>
      </c>
      <c r="Z20" s="102"/>
      <c r="AA20" s="102"/>
    </row>
    <row r="21" spans="1:27">
      <c r="A21" s="102">
        <f t="shared" si="0"/>
        <v>20</v>
      </c>
      <c r="B21" s="102">
        <f>YEAR(Table10[[#This Row],[Date]])+IF(MONTH(Table10[[#This Row],[Date]])&gt;=4,1,0)</f>
        <v>2026</v>
      </c>
      <c r="C21" s="102">
        <f>YEAR(Table10[[#This Row],[Date]])</f>
        <v>2025</v>
      </c>
      <c r="D21" s="102" t="s">
        <v>446</v>
      </c>
      <c r="E21" s="469">
        <f>Table10[[#This Row],[Date]]-DAY(Table10[[#This Row],[Date]])+1</f>
        <v>45748</v>
      </c>
      <c r="F21" s="470">
        <v>45769</v>
      </c>
      <c r="G21" s="102" t="s">
        <v>80</v>
      </c>
      <c r="H21" s="102" t="str">
        <f>IFERROR(_xlfn.XLOOKUP(Table10[[#This Row],[Affected Feeder ]],'Basic Data'!$A$43:$A$70,'Basic Data'!$B$43:$B$70),"")</f>
        <v>TQGXIIPL</v>
      </c>
      <c r="I21" s="102" t="str">
        <f>IFERROR(_xlfn.XLOOKUP(Table10[[#This Row],[Affected Feeder ]],'Basic Data'!$A$43:$A$70,'Basic Data'!$C$43:$C$70),"")</f>
        <v>GEDA</v>
      </c>
      <c r="J21" s="482">
        <f>IFERROR(_xlfn.XLOOKUP(Table10[[#This Row],[Affected Feeder ]],'Basic Data'!$A$43:$A$70,'Basic Data'!$E$43:$E$70),"")</f>
        <v>3.846153846153845E-2</v>
      </c>
      <c r="K21" s="483" t="s">
        <v>1714</v>
      </c>
      <c r="L21" s="484">
        <v>0.52500000000000002</v>
      </c>
      <c r="M21" s="484">
        <v>0.52500000000000002</v>
      </c>
      <c r="N21" s="484">
        <v>0.6381944444444444</v>
      </c>
      <c r="O21" s="101">
        <f>(Table10[[#This Row],[Work Start TimeStamp]]-Table10[[#This Row],[Fault Start TimeStamp]])*24</f>
        <v>0</v>
      </c>
      <c r="P21" s="101">
        <f>IF(Table10[[#This Row],[Work Start TimeStamp]]="","",(Table10[[#This Row],[Fault Clearance time]]-Table10[[#This Row],[Work Start TimeStamp]])*24)</f>
        <v>2.716666666666665</v>
      </c>
      <c r="Q21" s="101">
        <f>(Table10[[#This Row],[Fault Clearance time]]-Table10[[#This Row],[Fault Start TimeStamp]])*24</f>
        <v>2.716666666666665</v>
      </c>
      <c r="R21" s="483" t="s">
        <v>1754</v>
      </c>
      <c r="S21" s="102" t="s">
        <v>293</v>
      </c>
      <c r="T21" s="485">
        <f>IFERROR(Table10[[#This Row],[Breakdown Time]]*Table10[[#This Row],[Plant Equivalent Weightage]],"")</f>
        <v>0.10448717948717939</v>
      </c>
      <c r="U21" s="102" t="s">
        <v>450</v>
      </c>
      <c r="V21" s="547">
        <f>IFERROR(_xlfn.XLOOKUP(Table10[[#This Row],[Date]],'Daily KPI'!$A:$A,'Daily KPI'!$M:$M),"")</f>
        <v>5.2119762384735528</v>
      </c>
      <c r="W21" s="102">
        <v>469.4</v>
      </c>
      <c r="X21" s="102">
        <f>Table10[[#This Row],[WTG Loss]]*3*Table10[[#This Row],[Breakdown Time]]</f>
        <v>3825.6099999999969</v>
      </c>
      <c r="Y21" s="102" t="s">
        <v>449</v>
      </c>
      <c r="Z21" s="102"/>
      <c r="AA21" s="102"/>
    </row>
    <row r="22" spans="1:27">
      <c r="A22" s="102">
        <f t="shared" si="0"/>
        <v>21</v>
      </c>
      <c r="B22" s="102">
        <f>YEAR(Table10[[#This Row],[Date]])+IF(MONTH(Table10[[#This Row],[Date]])&gt;=4,1,0)</f>
        <v>2026</v>
      </c>
      <c r="C22" s="102">
        <f>YEAR(Table10[[#This Row],[Date]])</f>
        <v>2025</v>
      </c>
      <c r="D22" s="102" t="s">
        <v>446</v>
      </c>
      <c r="E22" s="469">
        <f>Table10[[#This Row],[Date]]-DAY(Table10[[#This Row],[Date]])+1</f>
        <v>45748</v>
      </c>
      <c r="F22" s="470">
        <v>45769</v>
      </c>
      <c r="G22" s="102" t="s">
        <v>92</v>
      </c>
      <c r="H22" s="102" t="str">
        <f>IFERROR(_xlfn.XLOOKUP(Table10[[#This Row],[Affected Feeder ]],'Basic Data'!$A$43:$A$70,'Basic Data'!$B$43:$B$70),"")</f>
        <v>TQGXIIPL</v>
      </c>
      <c r="I22" s="102" t="str">
        <f>IFERROR(_xlfn.XLOOKUP(Table10[[#This Row],[Affected Feeder ]],'Basic Data'!$A$43:$A$70,'Basic Data'!$C$43:$C$70),"")</f>
        <v>GEDA</v>
      </c>
      <c r="J22" s="482">
        <f>IFERROR(_xlfn.XLOOKUP(Table10[[#This Row],[Affected Feeder ]],'Basic Data'!$A$43:$A$70,'Basic Data'!$E$43:$E$70),"")</f>
        <v>3.846153846153845E-2</v>
      </c>
      <c r="K22" s="483" t="s">
        <v>1715</v>
      </c>
      <c r="L22" s="484">
        <v>0.52500000000000002</v>
      </c>
      <c r="M22" s="484">
        <v>0.52500000000000002</v>
      </c>
      <c r="N22" s="484">
        <v>0.6381944444444444</v>
      </c>
      <c r="O22" s="101">
        <f>(Table10[[#This Row],[Work Start TimeStamp]]-Table10[[#This Row],[Fault Start TimeStamp]])*24</f>
        <v>0</v>
      </c>
      <c r="P22" s="101">
        <f>IF(Table10[[#This Row],[Work Start TimeStamp]]="","",(Table10[[#This Row],[Fault Clearance time]]-Table10[[#This Row],[Work Start TimeStamp]])*24)</f>
        <v>2.716666666666665</v>
      </c>
      <c r="Q22" s="101">
        <f>(Table10[[#This Row],[Fault Clearance time]]-Table10[[#This Row],[Fault Start TimeStamp]])*24</f>
        <v>2.716666666666665</v>
      </c>
      <c r="R22" s="483" t="s">
        <v>1754</v>
      </c>
      <c r="S22" s="102" t="s">
        <v>293</v>
      </c>
      <c r="T22" s="485">
        <f>IFERROR(Table10[[#This Row],[Breakdown Time]]*Table10[[#This Row],[Plant Equivalent Weightage]],"")</f>
        <v>0.10448717948717939</v>
      </c>
      <c r="U22" s="102" t="s">
        <v>450</v>
      </c>
      <c r="V22" s="547">
        <f>IFERROR(_xlfn.XLOOKUP(Table10[[#This Row],[Date]],'Daily KPI'!$A:$A,'Daily KPI'!$M:$M),"")</f>
        <v>5.2119762384735528</v>
      </c>
      <c r="W22" s="102">
        <v>469.4</v>
      </c>
      <c r="X22" s="102">
        <f>Table10[[#This Row],[WTG Loss]]*3*Table10[[#This Row],[Breakdown Time]]</f>
        <v>3825.6099999999969</v>
      </c>
      <c r="Y22" s="102" t="s">
        <v>449</v>
      </c>
      <c r="Z22" s="102"/>
      <c r="AA22" s="102"/>
    </row>
    <row r="23" spans="1:27">
      <c r="A23" s="102">
        <f t="shared" si="0"/>
        <v>22</v>
      </c>
      <c r="B23" s="102">
        <f>YEAR(Table10[[#This Row],[Date]])+IF(MONTH(Table10[[#This Row],[Date]])&gt;=4,1,0)</f>
        <v>2026</v>
      </c>
      <c r="C23" s="102">
        <f>YEAR(Table10[[#This Row],[Date]])</f>
        <v>2025</v>
      </c>
      <c r="D23" s="102" t="s">
        <v>446</v>
      </c>
      <c r="E23" s="469">
        <f>Table10[[#This Row],[Date]]-DAY(Table10[[#This Row],[Date]])+1</f>
        <v>45748</v>
      </c>
      <c r="F23" s="470">
        <v>45775</v>
      </c>
      <c r="G23" s="102" t="s">
        <v>447</v>
      </c>
      <c r="H23" s="102" t="str">
        <f>IFERROR(_xlfn.XLOOKUP(Table10[[#This Row],[Affected Feeder ]],'Basic Data'!$A$43:$A$70,'Basic Data'!$B$43:$B$70),"")</f>
        <v>TQGXIIPL</v>
      </c>
      <c r="I23" s="102" t="str">
        <f>IFERROR(_xlfn.XLOOKUP(Table10[[#This Row],[Affected Feeder ]],'Basic Data'!$A$43:$A$70,'Basic Data'!$C$43:$C$70),"")</f>
        <v>GEDA</v>
      </c>
      <c r="J23" s="482">
        <f>IFERROR(_xlfn.XLOOKUP(Table10[[#This Row],[Affected Feeder ]],'Basic Data'!$A$43:$A$70,'Basic Data'!$E$43:$E$70),"")</f>
        <v>0.49999999999999978</v>
      </c>
      <c r="K23" s="483" t="s">
        <v>455</v>
      </c>
      <c r="L23" s="484">
        <v>0.7583333333333333</v>
      </c>
      <c r="M23" s="484">
        <v>0.7583333333333333</v>
      </c>
      <c r="N23" s="484">
        <v>0.76597222222222228</v>
      </c>
      <c r="O23" s="101">
        <f>(Table10[[#This Row],[Work Start TimeStamp]]-Table10[[#This Row],[Fault Start TimeStamp]])*24</f>
        <v>0</v>
      </c>
      <c r="P23" s="101">
        <f>IF(Table10[[#This Row],[Work Start TimeStamp]]="","",(Table10[[#This Row],[Fault Clearance time]]-Table10[[#This Row],[Work Start TimeStamp]])*24)</f>
        <v>0.18333333333333535</v>
      </c>
      <c r="Q23" s="101">
        <f>(Table10[[#This Row],[Fault Clearance time]]-Table10[[#This Row],[Fault Start TimeStamp]])*24</f>
        <v>0.18333333333333535</v>
      </c>
      <c r="R23" s="483" t="s">
        <v>474</v>
      </c>
      <c r="S23" s="102" t="s">
        <v>293</v>
      </c>
      <c r="T23" s="485">
        <f>IFERROR(Table10[[#This Row],[Breakdown Time]]*Table10[[#This Row],[Plant Equivalent Weightage]],"")</f>
        <v>9.1666666666667632E-2</v>
      </c>
      <c r="U23" s="102" t="s">
        <v>450</v>
      </c>
      <c r="V23" s="547">
        <f>IFERROR(_xlfn.XLOOKUP(Table10[[#This Row],[Date]],'Daily KPI'!$A:$A,'Daily KPI'!$M:$M),"")</f>
        <v>6.610001795649624</v>
      </c>
      <c r="W23" s="102">
        <v>990.6</v>
      </c>
      <c r="X23" s="102">
        <f>Table10[[#This Row],[WTG Loss]]*13*Table10[[#This Row],[Breakdown Time]]</f>
        <v>2360.9300000000262</v>
      </c>
      <c r="Y23" s="102" t="s">
        <v>449</v>
      </c>
      <c r="Z23" s="102"/>
      <c r="AA23" s="102"/>
    </row>
    <row r="24" spans="1:27">
      <c r="A24" s="102">
        <f t="shared" si="0"/>
        <v>23</v>
      </c>
      <c r="B24" s="102">
        <f>YEAR(Table10[[#This Row],[Date]])+IF(MONTH(Table10[[#This Row],[Date]])&gt;=4,1,0)</f>
        <v>2026</v>
      </c>
      <c r="C24" s="102">
        <f>YEAR(Table10[[#This Row],[Date]])</f>
        <v>2025</v>
      </c>
      <c r="D24" s="102" t="s">
        <v>446</v>
      </c>
      <c r="E24" s="469">
        <f>Table10[[#This Row],[Date]]-DAY(Table10[[#This Row],[Date]])+1</f>
        <v>45748</v>
      </c>
      <c r="F24" s="470">
        <v>45775</v>
      </c>
      <c r="G24" s="102" t="s">
        <v>87</v>
      </c>
      <c r="H24" s="102" t="str">
        <f>IFERROR(_xlfn.XLOOKUP(Table10[[#This Row],[Affected Feeder ]],'Basic Data'!$A$43:$A$70,'Basic Data'!$B$43:$B$70),"")</f>
        <v>TQGXIIPL</v>
      </c>
      <c r="I24" s="102" t="str">
        <f>IFERROR(_xlfn.XLOOKUP(Table10[[#This Row],[Affected Feeder ]],'Basic Data'!$A$43:$A$70,'Basic Data'!$C$43:$C$70),"")</f>
        <v>GEDA</v>
      </c>
      <c r="J24" s="482">
        <f>IFERROR(_xlfn.XLOOKUP(Table10[[#This Row],[Affected Feeder ]],'Basic Data'!$A$43:$A$70,'Basic Data'!$E$43:$E$70),"")</f>
        <v>3.846153846153845E-2</v>
      </c>
      <c r="K24" s="483" t="s">
        <v>1745</v>
      </c>
      <c r="L24" s="484">
        <v>0.6118055555555556</v>
      </c>
      <c r="M24" s="484">
        <v>0.6118055555555556</v>
      </c>
      <c r="N24" s="484">
        <v>0.65138888888888891</v>
      </c>
      <c r="O24" s="101">
        <f>(Table10[[#This Row],[Work Start TimeStamp]]-Table10[[#This Row],[Fault Start TimeStamp]])*24</f>
        <v>0</v>
      </c>
      <c r="P24" s="101">
        <f>IF(Table10[[#This Row],[Work Start TimeStamp]]="","",(Table10[[#This Row],[Fault Clearance time]]-Table10[[#This Row],[Work Start TimeStamp]])*24)</f>
        <v>0.94999999999999929</v>
      </c>
      <c r="Q24" s="101">
        <f>(Table10[[#This Row],[Fault Clearance time]]-Table10[[#This Row],[Fault Start TimeStamp]])*24</f>
        <v>0.94999999999999929</v>
      </c>
      <c r="R24" s="483" t="s">
        <v>1739</v>
      </c>
      <c r="S24" s="102" t="s">
        <v>293</v>
      </c>
      <c r="T24" s="485">
        <f>IFERROR(Table10[[#This Row],[Breakdown Time]]*Table10[[#This Row],[Plant Equivalent Weightage]],"")</f>
        <v>3.6538461538461499E-2</v>
      </c>
      <c r="U24" s="102" t="s">
        <v>450</v>
      </c>
      <c r="V24" s="547">
        <f>IFERROR(_xlfn.XLOOKUP(Table10[[#This Row],[Date]],'Daily KPI'!$A:$A,'Daily KPI'!$M:$M),"")</f>
        <v>6.610001795649624</v>
      </c>
      <c r="W24" s="102">
        <v>990.6</v>
      </c>
      <c r="X24" s="102">
        <f>Table10[[#This Row],[WTG Loss]]*1*Table10[[#This Row],[Breakdown Time]]</f>
        <v>941.06999999999937</v>
      </c>
      <c r="Y24" s="102" t="s">
        <v>449</v>
      </c>
      <c r="Z24" s="102"/>
      <c r="AA24" s="102"/>
    </row>
    <row r="25" spans="1:27">
      <c r="A25" s="102">
        <f t="shared" si="0"/>
        <v>24</v>
      </c>
      <c r="B25" s="102">
        <f>YEAR(Table10[[#This Row],[Date]])+IF(MONTH(Table10[[#This Row],[Date]])&gt;=4,1,0)</f>
        <v>2026</v>
      </c>
      <c r="C25" s="102">
        <f>YEAR(Table10[[#This Row],[Date]])</f>
        <v>2025</v>
      </c>
      <c r="D25" s="102" t="s">
        <v>446</v>
      </c>
      <c r="E25" s="469">
        <f>Table10[[#This Row],[Date]]-DAY(Table10[[#This Row],[Date]])+1</f>
        <v>45778</v>
      </c>
      <c r="F25" s="470">
        <v>45783</v>
      </c>
      <c r="G25" s="102" t="s">
        <v>451</v>
      </c>
      <c r="H25" s="102" t="str">
        <f>IFERROR(_xlfn.XLOOKUP(Table10[[#This Row],[Affected Feeder ]],'Basic Data'!$A$43:$A$70,'Basic Data'!$B$43:$B$70),"")</f>
        <v>TQGXIIPL</v>
      </c>
      <c r="I25" s="102" t="str">
        <f>IFERROR(_xlfn.XLOOKUP(Table10[[#This Row],[Affected Feeder ]],'Basic Data'!$A$43:$A$70,'Basic Data'!$C$43:$C$70),"")</f>
        <v>GEDA</v>
      </c>
      <c r="J25" s="482">
        <f>IFERROR(_xlfn.XLOOKUP(Table10[[#This Row],[Affected Feeder ]],'Basic Data'!$A$43:$A$70,'Basic Data'!$E$43:$E$70),"")</f>
        <v>0.49999999999999978</v>
      </c>
      <c r="K25" s="483" t="s">
        <v>1755</v>
      </c>
      <c r="L25" s="484">
        <v>9.7222222222222224E-3</v>
      </c>
      <c r="M25" s="484">
        <v>9.7222222222222224E-3</v>
      </c>
      <c r="N25" s="484">
        <v>3.1944444444444442E-2</v>
      </c>
      <c r="O25" s="101">
        <f>(Table10[[#This Row],[Work Start TimeStamp]]-Table10[[#This Row],[Fault Start TimeStamp]])*24</f>
        <v>0</v>
      </c>
      <c r="P25" s="101">
        <f>IF(Table10[[#This Row],[Work Start TimeStamp]]="","",(Table10[[#This Row],[Fault Clearance time]]-Table10[[#This Row],[Work Start TimeStamp]])*24)</f>
        <v>0.53333333333333321</v>
      </c>
      <c r="Q25" s="101">
        <f>(Table10[[#This Row],[Fault Clearance time]]-Table10[[#This Row],[Fault Start TimeStamp]])*24</f>
        <v>0.53333333333333321</v>
      </c>
      <c r="R25" s="483" t="s">
        <v>1757</v>
      </c>
      <c r="S25" s="102" t="s">
        <v>293</v>
      </c>
      <c r="T25" s="485">
        <f>IFERROR(Table10[[#This Row],[Breakdown Time]]*Table10[[#This Row],[Plant Equivalent Weightage]],"")</f>
        <v>0.2666666666666665</v>
      </c>
      <c r="U25" s="102" t="s">
        <v>450</v>
      </c>
      <c r="V25" s="547">
        <f>IFERROR(_xlfn.XLOOKUP(Table10[[#This Row],[Date]],'Daily KPI'!$A:$A,'Daily KPI'!$M:$M),"")</f>
        <v>6.8863246513857428</v>
      </c>
      <c r="W25" s="102">
        <v>1124.4000000000001</v>
      </c>
      <c r="X25" s="102">
        <f>Table10[[#This Row],[WTG Loss]]*13*Table10[[#This Row],[Breakdown Time]]</f>
        <v>7795.8399999999983</v>
      </c>
      <c r="Y25" s="102" t="s">
        <v>449</v>
      </c>
      <c r="Z25" s="102"/>
      <c r="AA25" s="102"/>
    </row>
    <row r="26" spans="1:27">
      <c r="A26" s="102">
        <f t="shared" si="0"/>
        <v>25</v>
      </c>
      <c r="B26" s="102">
        <f>YEAR(Table10[[#This Row],[Date]])+IF(MONTH(Table10[[#This Row],[Date]])&gt;=4,1,0)</f>
        <v>2026</v>
      </c>
      <c r="C26" s="102">
        <f>YEAR(Table10[[#This Row],[Date]])</f>
        <v>2025</v>
      </c>
      <c r="D26" s="102" t="s">
        <v>446</v>
      </c>
      <c r="E26" s="469">
        <f>Table10[[#This Row],[Date]]-DAY(Table10[[#This Row],[Date]])+1</f>
        <v>45778</v>
      </c>
      <c r="F26" s="470">
        <v>45783</v>
      </c>
      <c r="G26" s="102" t="s">
        <v>451</v>
      </c>
      <c r="H26" s="102" t="str">
        <f>IFERROR(_xlfn.XLOOKUP(Table10[[#This Row],[Affected Feeder ]],'Basic Data'!$A$43:$A$70,'Basic Data'!$B$43:$B$70),"")</f>
        <v>TQGXIIPL</v>
      </c>
      <c r="I26" s="102" t="str">
        <f>IFERROR(_xlfn.XLOOKUP(Table10[[#This Row],[Affected Feeder ]],'Basic Data'!$A$43:$A$70,'Basic Data'!$C$43:$C$70),"")</f>
        <v>GEDA</v>
      </c>
      <c r="J26" s="482">
        <f>IFERROR(_xlfn.XLOOKUP(Table10[[#This Row],[Affected Feeder ]],'Basic Data'!$A$43:$A$70,'Basic Data'!$E$43:$E$70),"")</f>
        <v>0.49999999999999978</v>
      </c>
      <c r="K26" s="483" t="s">
        <v>1755</v>
      </c>
      <c r="L26" s="484">
        <v>0.64722222222222225</v>
      </c>
      <c r="M26" s="484">
        <v>0.64722222222222225</v>
      </c>
      <c r="N26" s="484">
        <v>0.74305555555555558</v>
      </c>
      <c r="O26" s="101">
        <f>(Table10[[#This Row],[Work Start TimeStamp]]-Table10[[#This Row],[Fault Start TimeStamp]])*24</f>
        <v>0</v>
      </c>
      <c r="P26" s="101">
        <f>IF(Table10[[#This Row],[Work Start TimeStamp]]="","",(Table10[[#This Row],[Fault Clearance time]]-Table10[[#This Row],[Work Start TimeStamp]])*24)</f>
        <v>2.2999999999999998</v>
      </c>
      <c r="Q26" s="101">
        <f>(Table10[[#This Row],[Fault Clearance time]]-Table10[[#This Row],[Fault Start TimeStamp]])*24</f>
        <v>2.2999999999999998</v>
      </c>
      <c r="R26" s="483" t="s">
        <v>1757</v>
      </c>
      <c r="S26" s="102" t="s">
        <v>293</v>
      </c>
      <c r="T26" s="485">
        <f>IFERROR(Table10[[#This Row],[Breakdown Time]]*Table10[[#This Row],[Plant Equivalent Weightage]],"")</f>
        <v>1.1499999999999995</v>
      </c>
      <c r="U26" s="102" t="s">
        <v>450</v>
      </c>
      <c r="V26" s="547">
        <f>IFERROR(_xlfn.XLOOKUP(Table10[[#This Row],[Date]],'Daily KPI'!$A:$A,'Daily KPI'!$M:$M),"")</f>
        <v>6.8863246513857428</v>
      </c>
      <c r="W26" s="102">
        <v>1124.4000000000001</v>
      </c>
      <c r="X26" s="102">
        <f>Table10[[#This Row],[WTG Loss]]*13*Table10[[#This Row],[Breakdown Time]]</f>
        <v>33619.56</v>
      </c>
      <c r="Y26" s="102" t="s">
        <v>449</v>
      </c>
      <c r="Z26" s="102"/>
      <c r="AA26" s="102"/>
    </row>
    <row r="27" spans="1:27">
      <c r="A27" s="102">
        <f t="shared" si="0"/>
        <v>26</v>
      </c>
      <c r="B27" s="102">
        <f>YEAR(Table10[[#This Row],[Date]])+IF(MONTH(Table10[[#This Row],[Date]])&gt;=4,1,0)</f>
        <v>2026</v>
      </c>
      <c r="C27" s="102">
        <f>YEAR(Table10[[#This Row],[Date]])</f>
        <v>2025</v>
      </c>
      <c r="D27" s="102" t="s">
        <v>446</v>
      </c>
      <c r="E27" s="469">
        <f>Table10[[#This Row],[Date]]-DAY(Table10[[#This Row],[Date]])+1</f>
        <v>45778</v>
      </c>
      <c r="F27" s="470">
        <v>45783</v>
      </c>
      <c r="G27" s="102" t="s">
        <v>447</v>
      </c>
      <c r="H27" s="102" t="str">
        <f>IFERROR(_xlfn.XLOOKUP(Table10[[#This Row],[Affected Feeder ]],'Basic Data'!$A$43:$A$70,'Basic Data'!$B$43:$B$70),"")</f>
        <v>TQGXIIPL</v>
      </c>
      <c r="I27" s="102" t="str">
        <f>IFERROR(_xlfn.XLOOKUP(Table10[[#This Row],[Affected Feeder ]],'Basic Data'!$A$43:$A$70,'Basic Data'!$C$43:$C$70),"")</f>
        <v>GEDA</v>
      </c>
      <c r="J27" s="482">
        <f>IFERROR(_xlfn.XLOOKUP(Table10[[#This Row],[Affected Feeder ]],'Basic Data'!$A$43:$A$70,'Basic Data'!$E$43:$E$70),"")</f>
        <v>0.49999999999999978</v>
      </c>
      <c r="K27" s="483" t="s">
        <v>455</v>
      </c>
      <c r="L27" s="484">
        <v>0.66319444444444442</v>
      </c>
      <c r="M27" s="484">
        <v>0.66319444444444442</v>
      </c>
      <c r="N27" s="484">
        <v>1</v>
      </c>
      <c r="O27" s="101">
        <f>(Table10[[#This Row],[Work Start TimeStamp]]-Table10[[#This Row],[Fault Start TimeStamp]])*24</f>
        <v>0</v>
      </c>
      <c r="P27" s="101">
        <f>IF(Table10[[#This Row],[Work Start TimeStamp]]="","",(Table10[[#This Row],[Fault Clearance time]]-Table10[[#This Row],[Work Start TimeStamp]])*24)</f>
        <v>8.0833333333333339</v>
      </c>
      <c r="Q27" s="101">
        <f>(Table10[[#This Row],[Fault Clearance time]]-Table10[[#This Row],[Fault Start TimeStamp]])*24</f>
        <v>8.0833333333333339</v>
      </c>
      <c r="R27" s="483" t="s">
        <v>1758</v>
      </c>
      <c r="S27" s="102" t="s">
        <v>289</v>
      </c>
      <c r="T27" s="485">
        <f>IFERROR(Table10[[#This Row],[Breakdown Time]]*Table10[[#This Row],[Plant Equivalent Weightage]],"")</f>
        <v>4.0416666666666652</v>
      </c>
      <c r="U27" s="102" t="s">
        <v>450</v>
      </c>
      <c r="V27" s="547">
        <f>IFERROR(_xlfn.XLOOKUP(Table10[[#This Row],[Date]],'Daily KPI'!$A:$A,'Daily KPI'!$M:$M),"")</f>
        <v>6.8863246513857428</v>
      </c>
      <c r="W27" s="102">
        <v>1124.4000000000001</v>
      </c>
      <c r="X27" s="102">
        <f>Table10[[#This Row],[WTG Loss]]*13*Table10[[#This Row],[Breakdown Time]]</f>
        <v>118155.70000000001</v>
      </c>
      <c r="Y27" s="102" t="s">
        <v>449</v>
      </c>
      <c r="Z27" s="102"/>
      <c r="AA27" s="102"/>
    </row>
    <row r="28" spans="1:27">
      <c r="A28" s="102">
        <f t="shared" si="0"/>
        <v>27</v>
      </c>
      <c r="B28" s="102">
        <f>YEAR(Table10[[#This Row],[Date]])+IF(MONTH(Table10[[#This Row],[Date]])&gt;=4,1,0)</f>
        <v>2026</v>
      </c>
      <c r="C28" s="102">
        <f>YEAR(Table10[[#This Row],[Date]])</f>
        <v>2025</v>
      </c>
      <c r="D28" s="102" t="s">
        <v>446</v>
      </c>
      <c r="E28" s="469">
        <f>Table10[[#This Row],[Date]]-DAY(Table10[[#This Row],[Date]])+1</f>
        <v>45778</v>
      </c>
      <c r="F28" s="470">
        <v>45783</v>
      </c>
      <c r="G28" s="102" t="s">
        <v>89</v>
      </c>
      <c r="H28" s="102" t="str">
        <f>IFERROR(_xlfn.XLOOKUP(Table10[[#This Row],[Affected Feeder ]],'Basic Data'!$A$43:$A$70,'Basic Data'!$B$43:$B$70),"")</f>
        <v>TQGXIIPL</v>
      </c>
      <c r="I28" s="102" t="str">
        <f>IFERROR(_xlfn.XLOOKUP(Table10[[#This Row],[Affected Feeder ]],'Basic Data'!$A$43:$A$70,'Basic Data'!$C$43:$C$70),"")</f>
        <v>GEDA</v>
      </c>
      <c r="J28" s="482">
        <f>IFERROR(_xlfn.XLOOKUP(Table10[[#This Row],[Affected Feeder ]],'Basic Data'!$A$43:$A$70,'Basic Data'!$E$43:$E$70),"")</f>
        <v>3.846153846153845E-2</v>
      </c>
      <c r="K28" s="483" t="s">
        <v>1756</v>
      </c>
      <c r="L28" s="484">
        <v>0.74305555555555558</v>
      </c>
      <c r="M28" s="484">
        <v>0.74305555555555558</v>
      </c>
      <c r="N28" s="484">
        <v>0.8666666666666667</v>
      </c>
      <c r="O28" s="101">
        <f>(Table10[[#This Row],[Work Start TimeStamp]]-Table10[[#This Row],[Fault Start TimeStamp]])*24</f>
        <v>0</v>
      </c>
      <c r="P28" s="101">
        <f>IF(Table10[[#This Row],[Work Start TimeStamp]]="","",(Table10[[#This Row],[Fault Clearance time]]-Table10[[#This Row],[Work Start TimeStamp]])*24)</f>
        <v>2.9666666666666668</v>
      </c>
      <c r="Q28" s="101">
        <f>(Table10[[#This Row],[Fault Clearance time]]-Table10[[#This Row],[Fault Start TimeStamp]])*24</f>
        <v>2.9666666666666668</v>
      </c>
      <c r="R28" s="483" t="s">
        <v>1759</v>
      </c>
      <c r="S28" s="102" t="s">
        <v>293</v>
      </c>
      <c r="T28" s="485">
        <f>IFERROR(Table10[[#This Row],[Breakdown Time]]*Table10[[#This Row],[Plant Equivalent Weightage]],"")</f>
        <v>0.11410256410256407</v>
      </c>
      <c r="U28" s="102" t="s">
        <v>450</v>
      </c>
      <c r="V28" s="547">
        <f>IFERROR(_xlfn.XLOOKUP(Table10[[#This Row],[Date]],'Daily KPI'!$A:$A,'Daily KPI'!$M:$M),"")</f>
        <v>6.8863246513857428</v>
      </c>
      <c r="W28" s="102">
        <v>1124.4000000000001</v>
      </c>
      <c r="X28" s="102">
        <f>Table10[[#This Row],[WTG Loss]]*1*Table10[[#This Row],[Breakdown Time]]</f>
        <v>3335.7200000000003</v>
      </c>
      <c r="Y28" s="102" t="s">
        <v>449</v>
      </c>
      <c r="Z28" s="102"/>
      <c r="AA28" s="102"/>
    </row>
    <row r="29" spans="1:27">
      <c r="A29" s="102">
        <f t="shared" si="0"/>
        <v>28</v>
      </c>
      <c r="B29" s="102">
        <f>YEAR(Table10[[#This Row],[Date]])+IF(MONTH(Table10[[#This Row],[Date]])&gt;=4,1,0)</f>
        <v>2026</v>
      </c>
      <c r="C29" s="102">
        <f>YEAR(Table10[[#This Row],[Date]])</f>
        <v>2025</v>
      </c>
      <c r="D29" s="102" t="s">
        <v>446</v>
      </c>
      <c r="E29" s="469">
        <f>Table10[[#This Row],[Date]]-DAY(Table10[[#This Row],[Date]])+1</f>
        <v>45778</v>
      </c>
      <c r="F29" s="470">
        <v>45784</v>
      </c>
      <c r="G29" s="102" t="s">
        <v>447</v>
      </c>
      <c r="H29" s="102" t="str">
        <f>IFERROR(_xlfn.XLOOKUP(Table10[[#This Row],[Affected Feeder ]],'Basic Data'!$A$43:$A$70,'Basic Data'!$B$43:$B$70),"")</f>
        <v>TQGXIIPL</v>
      </c>
      <c r="I29" s="102" t="str">
        <f>IFERROR(_xlfn.XLOOKUP(Table10[[#This Row],[Affected Feeder ]],'Basic Data'!$A$43:$A$70,'Basic Data'!$C$43:$C$70),"")</f>
        <v>GEDA</v>
      </c>
      <c r="J29" s="482">
        <f>IFERROR(_xlfn.XLOOKUP(Table10[[#This Row],[Affected Feeder ]],'Basic Data'!$A$43:$A$70,'Basic Data'!$E$43:$E$70),"")</f>
        <v>0.49999999999999978</v>
      </c>
      <c r="K29" s="483" t="s">
        <v>455</v>
      </c>
      <c r="L29" s="484">
        <v>0</v>
      </c>
      <c r="M29" s="484">
        <v>0</v>
      </c>
      <c r="N29" s="484">
        <v>9.0277777777777776E-2</v>
      </c>
      <c r="O29" s="101">
        <f>(Table10[[#This Row],[Work Start TimeStamp]]-Table10[[#This Row],[Fault Start TimeStamp]])*24</f>
        <v>0</v>
      </c>
      <c r="P29" s="101">
        <f>IF(Table10[[#This Row],[Work Start TimeStamp]]="","",(Table10[[#This Row],[Fault Clearance time]]-Table10[[#This Row],[Work Start TimeStamp]])*24)</f>
        <v>2.1666666666666665</v>
      </c>
      <c r="Q29" s="101">
        <f>(Table10[[#This Row],[Fault Clearance time]]-Table10[[#This Row],[Fault Start TimeStamp]])*24</f>
        <v>2.1666666666666665</v>
      </c>
      <c r="R29" s="483" t="s">
        <v>1790</v>
      </c>
      <c r="S29" s="102" t="s">
        <v>293</v>
      </c>
      <c r="T29" s="485">
        <f>IFERROR(Table10[[#This Row],[Breakdown Time]]*Table10[[#This Row],[Plant Equivalent Weightage]],"")</f>
        <v>1.0833333333333328</v>
      </c>
      <c r="U29" s="102" t="s">
        <v>450</v>
      </c>
      <c r="V29" s="547">
        <f>IFERROR(_xlfn.XLOOKUP(Table10[[#This Row],[Date]],'Daily KPI'!$A:$A,'Daily KPI'!$M:$M),"")</f>
        <v>5.8334462271515468</v>
      </c>
      <c r="W29" s="102">
        <v>659.6</v>
      </c>
      <c r="X29" s="102">
        <f>Table10[[#This Row],[WTG Loss]]*13*Table10[[#This Row],[Breakdown Time]]</f>
        <v>18578.733333333334</v>
      </c>
      <c r="Y29" s="102" t="s">
        <v>449</v>
      </c>
      <c r="Z29" s="102"/>
      <c r="AA29" s="102"/>
    </row>
    <row r="30" spans="1:27">
      <c r="A30" s="102">
        <f t="shared" si="0"/>
        <v>29</v>
      </c>
      <c r="B30" s="102">
        <f>YEAR(Table10[[#This Row],[Date]])+IF(MONTH(Table10[[#This Row],[Date]])&gt;=4,1,0)</f>
        <v>2026</v>
      </c>
      <c r="C30" s="102">
        <f>YEAR(Table10[[#This Row],[Date]])</f>
        <v>2025</v>
      </c>
      <c r="D30" s="102" t="s">
        <v>446</v>
      </c>
      <c r="E30" s="469">
        <f>Table10[[#This Row],[Date]]-DAY(Table10[[#This Row],[Date]])+1</f>
        <v>45778</v>
      </c>
      <c r="F30" s="470">
        <v>45784</v>
      </c>
      <c r="G30" s="102" t="s">
        <v>447</v>
      </c>
      <c r="H30" s="102" t="str">
        <f>IFERROR(_xlfn.XLOOKUP(Table10[[#This Row],[Affected Feeder ]],'Basic Data'!$A$43:$A$70,'Basic Data'!$B$43:$B$70),"")</f>
        <v>TQGXIIPL</v>
      </c>
      <c r="I30" s="102" t="str">
        <f>IFERROR(_xlfn.XLOOKUP(Table10[[#This Row],[Affected Feeder ]],'Basic Data'!$A$43:$A$70,'Basic Data'!$C$43:$C$70),"")</f>
        <v>GEDA</v>
      </c>
      <c r="J30" s="482">
        <f>IFERROR(_xlfn.XLOOKUP(Table10[[#This Row],[Affected Feeder ]],'Basic Data'!$A$43:$A$70,'Basic Data'!$E$43:$E$70),"")</f>
        <v>0.49999999999999978</v>
      </c>
      <c r="K30" s="483" t="s">
        <v>468</v>
      </c>
      <c r="L30" s="484">
        <v>0.66805555555555551</v>
      </c>
      <c r="M30" s="484">
        <v>0.66805555555555551</v>
      </c>
      <c r="N30" s="484">
        <v>0.70694444444444449</v>
      </c>
      <c r="O30" s="101">
        <f>(Table10[[#This Row],[Work Start TimeStamp]]-Table10[[#This Row],[Fault Start TimeStamp]])*24</f>
        <v>0</v>
      </c>
      <c r="P30" s="101">
        <f>IF(Table10[[#This Row],[Work Start TimeStamp]]="","",(Table10[[#This Row],[Fault Clearance time]]-Table10[[#This Row],[Work Start TimeStamp]])*24)</f>
        <v>0.93333333333333535</v>
      </c>
      <c r="Q30" s="101">
        <f>(Table10[[#This Row],[Fault Clearance time]]-Table10[[#This Row],[Fault Start TimeStamp]])*24</f>
        <v>0.93333333333333535</v>
      </c>
      <c r="R30" s="483" t="s">
        <v>1785</v>
      </c>
      <c r="S30" s="102" t="s">
        <v>293</v>
      </c>
      <c r="T30" s="485">
        <f>IFERROR(Table10[[#This Row],[Breakdown Time]]*Table10[[#This Row],[Plant Equivalent Weightage]],"")</f>
        <v>0.46666666666666745</v>
      </c>
      <c r="U30" s="102" t="s">
        <v>450</v>
      </c>
      <c r="V30" s="547">
        <f>IFERROR(_xlfn.XLOOKUP(Table10[[#This Row],[Date]],'Daily KPI'!$A:$A,'Daily KPI'!$M:$M),"")</f>
        <v>5.8334462271515468</v>
      </c>
      <c r="W30" s="102">
        <v>659.6</v>
      </c>
      <c r="X30" s="102">
        <f>Table10[[#This Row],[WTG Loss]]*13*Table10[[#This Row],[Breakdown Time]]</f>
        <v>8003.1466666666847</v>
      </c>
      <c r="Y30" s="102" t="s">
        <v>449</v>
      </c>
      <c r="Z30" s="102"/>
      <c r="AA30" s="102"/>
    </row>
    <row r="31" spans="1:27">
      <c r="A31" s="102">
        <f t="shared" si="0"/>
        <v>30</v>
      </c>
      <c r="B31" s="102">
        <f>YEAR(Table10[[#This Row],[Date]])+IF(MONTH(Table10[[#This Row],[Date]])&gt;=4,1,0)</f>
        <v>2026</v>
      </c>
      <c r="C31" s="102">
        <f>YEAR(Table10[[#This Row],[Date]])</f>
        <v>2025</v>
      </c>
      <c r="D31" s="102" t="s">
        <v>446</v>
      </c>
      <c r="E31" s="469">
        <f>Table10[[#This Row],[Date]]-DAY(Table10[[#This Row],[Date]])+1</f>
        <v>45778</v>
      </c>
      <c r="F31" s="470">
        <v>45784</v>
      </c>
      <c r="G31" s="102" t="s">
        <v>86</v>
      </c>
      <c r="H31" s="102" t="str">
        <f>IFERROR(_xlfn.XLOOKUP(Table10[[#This Row],[Affected Feeder ]],'Basic Data'!$A$43:$A$70,'Basic Data'!$B$43:$B$70),"")</f>
        <v>TQGXIIPL</v>
      </c>
      <c r="I31" s="102" t="str">
        <f>IFERROR(_xlfn.XLOOKUP(Table10[[#This Row],[Affected Feeder ]],'Basic Data'!$A$43:$A$70,'Basic Data'!$C$43:$C$70),"")</f>
        <v>GEDA</v>
      </c>
      <c r="J31" s="482">
        <f>IFERROR(_xlfn.XLOOKUP(Table10[[#This Row],[Affected Feeder ]],'Basic Data'!$A$43:$A$70,'Basic Data'!$E$43:$E$70),"")</f>
        <v>3.846153846153845E-2</v>
      </c>
      <c r="K31" s="483" t="s">
        <v>460</v>
      </c>
      <c r="L31" s="484">
        <v>9.0277777777777776E-2</v>
      </c>
      <c r="M31" s="484">
        <v>9.0277777777777776E-2</v>
      </c>
      <c r="N31" s="484">
        <v>9.930555555555555E-2</v>
      </c>
      <c r="O31" s="101">
        <f>(Table10[[#This Row],[Work Start TimeStamp]]-Table10[[#This Row],[Fault Start TimeStamp]])*24</f>
        <v>0</v>
      </c>
      <c r="P31" s="101">
        <f>IF(Table10[[#This Row],[Work Start TimeStamp]]="","",(Table10[[#This Row],[Fault Clearance time]]-Table10[[#This Row],[Work Start TimeStamp]])*24)</f>
        <v>0.21666666666666656</v>
      </c>
      <c r="Q31" s="101">
        <f>(Table10[[#This Row],[Fault Clearance time]]-Table10[[#This Row],[Fault Start TimeStamp]])*24</f>
        <v>0.21666666666666656</v>
      </c>
      <c r="R31" s="483" t="s">
        <v>1759</v>
      </c>
      <c r="S31" s="102" t="s">
        <v>293</v>
      </c>
      <c r="T31" s="485">
        <f>IFERROR(Table10[[#This Row],[Breakdown Time]]*Table10[[#This Row],[Plant Equivalent Weightage]],"")</f>
        <v>8.3333333333333263E-3</v>
      </c>
      <c r="U31" s="102" t="s">
        <v>450</v>
      </c>
      <c r="V31" s="547">
        <f>IFERROR(_xlfn.XLOOKUP(Table10[[#This Row],[Date]],'Daily KPI'!$A:$A,'Daily KPI'!$M:$M),"")</f>
        <v>5.8334462271515468</v>
      </c>
      <c r="W31" s="102">
        <v>659.6</v>
      </c>
      <c r="X31" s="102">
        <f>Table10[[#This Row],[WTG Loss]]*1*Table10[[#This Row],[Breakdown Time]]</f>
        <v>142.91333333333327</v>
      </c>
      <c r="Y31" s="102" t="s">
        <v>449</v>
      </c>
      <c r="Z31" s="102"/>
      <c r="AA31" s="102"/>
    </row>
    <row r="32" spans="1:27">
      <c r="A32" s="102">
        <f t="shared" si="0"/>
        <v>31</v>
      </c>
      <c r="B32" s="102">
        <f>YEAR(Table10[[#This Row],[Date]])+IF(MONTH(Table10[[#This Row],[Date]])&gt;=4,1,0)</f>
        <v>2026</v>
      </c>
      <c r="C32" s="102">
        <f>YEAR(Table10[[#This Row],[Date]])</f>
        <v>2025</v>
      </c>
      <c r="D32" s="102" t="s">
        <v>446</v>
      </c>
      <c r="E32" s="469">
        <f>Table10[[#This Row],[Date]]-DAY(Table10[[#This Row],[Date]])+1</f>
        <v>45778</v>
      </c>
      <c r="F32" s="470">
        <v>45784</v>
      </c>
      <c r="G32" s="102" t="s">
        <v>87</v>
      </c>
      <c r="H32" s="102" t="str">
        <f>IFERROR(_xlfn.XLOOKUP(Table10[[#This Row],[Affected Feeder ]],'Basic Data'!$A$43:$A$70,'Basic Data'!$B$43:$B$70),"")</f>
        <v>TQGXIIPL</v>
      </c>
      <c r="I32" s="102" t="str">
        <f>IFERROR(_xlfn.XLOOKUP(Table10[[#This Row],[Affected Feeder ]],'Basic Data'!$A$43:$A$70,'Basic Data'!$C$43:$C$70),"")</f>
        <v>GEDA</v>
      </c>
      <c r="J32" s="482">
        <f>IFERROR(_xlfn.XLOOKUP(Table10[[#This Row],[Affected Feeder ]],'Basic Data'!$A$43:$A$70,'Basic Data'!$E$43:$E$70),"")</f>
        <v>3.846153846153845E-2</v>
      </c>
      <c r="K32" s="483" t="s">
        <v>1783</v>
      </c>
      <c r="L32" s="484">
        <v>9.0277777777777776E-2</v>
      </c>
      <c r="M32" s="484">
        <v>9.0277777777777776E-2</v>
      </c>
      <c r="N32" s="484">
        <v>0.10555555555555556</v>
      </c>
      <c r="O32" s="101">
        <f>(Table10[[#This Row],[Work Start TimeStamp]]-Table10[[#This Row],[Fault Start TimeStamp]])*24</f>
        <v>0</v>
      </c>
      <c r="P32" s="101">
        <f>IF(Table10[[#This Row],[Work Start TimeStamp]]="","",(Table10[[#This Row],[Fault Clearance time]]-Table10[[#This Row],[Work Start TimeStamp]])*24)</f>
        <v>0.3666666666666667</v>
      </c>
      <c r="Q32" s="101">
        <f>(Table10[[#This Row],[Fault Clearance time]]-Table10[[#This Row],[Fault Start TimeStamp]])*24</f>
        <v>0.3666666666666667</v>
      </c>
      <c r="R32" s="483" t="s">
        <v>1759</v>
      </c>
      <c r="S32" s="102" t="s">
        <v>293</v>
      </c>
      <c r="T32" s="485">
        <f>IFERROR(Table10[[#This Row],[Breakdown Time]]*Table10[[#This Row],[Plant Equivalent Weightage]],"")</f>
        <v>1.4102564102564099E-2</v>
      </c>
      <c r="U32" s="102" t="s">
        <v>450</v>
      </c>
      <c r="V32" s="547">
        <f>IFERROR(_xlfn.XLOOKUP(Table10[[#This Row],[Date]],'Daily KPI'!$A:$A,'Daily KPI'!$M:$M),"")</f>
        <v>5.8334462271515468</v>
      </c>
      <c r="W32" s="102">
        <v>659.6</v>
      </c>
      <c r="X32" s="102">
        <f>Table10[[#This Row],[WTG Loss]]*1*Table10[[#This Row],[Breakdown Time]]</f>
        <v>241.85333333333335</v>
      </c>
      <c r="Y32" s="102" t="s">
        <v>449</v>
      </c>
      <c r="Z32" s="102"/>
      <c r="AA32" s="102"/>
    </row>
    <row r="33" spans="1:27">
      <c r="A33" s="102">
        <f t="shared" si="0"/>
        <v>32</v>
      </c>
      <c r="B33" s="102">
        <f>YEAR(Table10[[#This Row],[Date]])+IF(MONTH(Table10[[#This Row],[Date]])&gt;=4,1,0)</f>
        <v>2026</v>
      </c>
      <c r="C33" s="102">
        <f>YEAR(Table10[[#This Row],[Date]])</f>
        <v>2025</v>
      </c>
      <c r="D33" s="102" t="s">
        <v>446</v>
      </c>
      <c r="E33" s="469">
        <f>Table10[[#This Row],[Date]]-DAY(Table10[[#This Row],[Date]])+1</f>
        <v>45778</v>
      </c>
      <c r="F33" s="470">
        <v>45784</v>
      </c>
      <c r="G33" s="102" t="s">
        <v>98</v>
      </c>
      <c r="H33" s="102" t="str">
        <f>IFERROR(_xlfn.XLOOKUP(Table10[[#This Row],[Affected Feeder ]],'Basic Data'!$A$43:$A$70,'Basic Data'!$B$43:$B$70),"")</f>
        <v>TQGXIIPL</v>
      </c>
      <c r="I33" s="102" t="str">
        <f>IFERROR(_xlfn.XLOOKUP(Table10[[#This Row],[Affected Feeder ]],'Basic Data'!$A$43:$A$70,'Basic Data'!$C$43:$C$70),"")</f>
        <v>GEDA</v>
      </c>
      <c r="J33" s="482">
        <f>IFERROR(_xlfn.XLOOKUP(Table10[[#This Row],[Affected Feeder ]],'Basic Data'!$A$43:$A$70,'Basic Data'!$E$43:$E$70),"")</f>
        <v>3.846153846153845E-2</v>
      </c>
      <c r="K33" s="483" t="s">
        <v>1784</v>
      </c>
      <c r="L33" s="484">
        <v>9.0277777777777776E-2</v>
      </c>
      <c r="M33" s="484">
        <v>9.0277777777777776E-2</v>
      </c>
      <c r="N33" s="484">
        <v>0.13194444444444445</v>
      </c>
      <c r="O33" s="101">
        <f>(Table10[[#This Row],[Work Start TimeStamp]]-Table10[[#This Row],[Fault Start TimeStamp]])*24</f>
        <v>0</v>
      </c>
      <c r="P33" s="101">
        <f>IF(Table10[[#This Row],[Work Start TimeStamp]]="","",(Table10[[#This Row],[Fault Clearance time]]-Table10[[#This Row],[Work Start TimeStamp]])*24)</f>
        <v>1</v>
      </c>
      <c r="Q33" s="101">
        <f>(Table10[[#This Row],[Fault Clearance time]]-Table10[[#This Row],[Fault Start TimeStamp]])*24</f>
        <v>1</v>
      </c>
      <c r="R33" s="483" t="s">
        <v>1759</v>
      </c>
      <c r="S33" s="102" t="s">
        <v>293</v>
      </c>
      <c r="T33" s="485">
        <f>IFERROR(Table10[[#This Row],[Breakdown Time]]*Table10[[#This Row],[Plant Equivalent Weightage]],"")</f>
        <v>3.846153846153845E-2</v>
      </c>
      <c r="U33" s="102" t="s">
        <v>450</v>
      </c>
      <c r="V33" s="547">
        <f>IFERROR(_xlfn.XLOOKUP(Table10[[#This Row],[Date]],'Daily KPI'!$A:$A,'Daily KPI'!$M:$M),"")</f>
        <v>5.8334462271515468</v>
      </c>
      <c r="W33" s="102">
        <v>659.6</v>
      </c>
      <c r="X33" s="102">
        <f>Table10[[#This Row],[WTG Loss]]*1*Table10[[#This Row],[Breakdown Time]]</f>
        <v>659.6</v>
      </c>
      <c r="Y33" s="102" t="s">
        <v>449</v>
      </c>
      <c r="Z33" s="102"/>
      <c r="AA33" s="102"/>
    </row>
    <row r="34" spans="1:27">
      <c r="A34" s="102">
        <f t="shared" si="0"/>
        <v>33</v>
      </c>
      <c r="B34" s="102">
        <f>YEAR(Table10[[#This Row],[Date]])+IF(MONTH(Table10[[#This Row],[Date]])&gt;=4,1,0)</f>
        <v>2026</v>
      </c>
      <c r="C34" s="102">
        <f>YEAR(Table10[[#This Row],[Date]])</f>
        <v>2025</v>
      </c>
      <c r="D34" s="102" t="s">
        <v>446</v>
      </c>
      <c r="E34" s="469">
        <f>Table10[[#This Row],[Date]]-DAY(Table10[[#This Row],[Date]])+1</f>
        <v>45778</v>
      </c>
      <c r="F34" s="470">
        <v>45785</v>
      </c>
      <c r="G34" s="102" t="s">
        <v>447</v>
      </c>
      <c r="H34" s="102" t="str">
        <f>IFERROR(_xlfn.XLOOKUP(Table10[[#This Row],[Affected Feeder ]],'Basic Data'!$A$43:$A$70,'Basic Data'!$B$43:$B$70),"")</f>
        <v>TQGXIIPL</v>
      </c>
      <c r="I34" s="102" t="str">
        <f>IFERROR(_xlfn.XLOOKUP(Table10[[#This Row],[Affected Feeder ]],'Basic Data'!$A$43:$A$70,'Basic Data'!$C$43:$C$70),"")</f>
        <v>GEDA</v>
      </c>
      <c r="J34" s="482">
        <f>IFERROR(_xlfn.XLOOKUP(Table10[[#This Row],[Affected Feeder ]],'Basic Data'!$A$43:$A$70,'Basic Data'!$E$43:$E$70),"")</f>
        <v>0.49999999999999978</v>
      </c>
      <c r="K34" s="483" t="s">
        <v>455</v>
      </c>
      <c r="L34" s="484">
        <v>0.74583333333333335</v>
      </c>
      <c r="M34" s="484">
        <v>0.74583333333333335</v>
      </c>
      <c r="N34" s="484">
        <v>0.78749999999999998</v>
      </c>
      <c r="O34" s="101">
        <f>(Table10[[#This Row],[Work Start TimeStamp]]-Table10[[#This Row],[Fault Start TimeStamp]])*24</f>
        <v>0</v>
      </c>
      <c r="P34" s="101">
        <f>IF(Table10[[#This Row],[Work Start TimeStamp]]="","",(Table10[[#This Row],[Fault Clearance time]]-Table10[[#This Row],[Work Start TimeStamp]])*24)</f>
        <v>0.99999999999999911</v>
      </c>
      <c r="Q34" s="101">
        <f>(Table10[[#This Row],[Fault Clearance time]]-Table10[[#This Row],[Fault Start TimeStamp]])*24</f>
        <v>0.99999999999999911</v>
      </c>
      <c r="R34" s="483" t="s">
        <v>474</v>
      </c>
      <c r="S34" s="102" t="s">
        <v>293</v>
      </c>
      <c r="T34" s="485">
        <f>IFERROR(Table10[[#This Row],[Breakdown Time]]*Table10[[#This Row],[Plant Equivalent Weightage]],"")</f>
        <v>0.49999999999999933</v>
      </c>
      <c r="U34" s="102" t="s">
        <v>450</v>
      </c>
      <c r="V34" s="547">
        <f>IFERROR(_xlfn.XLOOKUP(Table10[[#This Row],[Date]],'Daily KPI'!$A:$A,'Daily KPI'!$M:$M),"")</f>
        <v>4.1440249624271237</v>
      </c>
      <c r="W34" s="102">
        <v>208</v>
      </c>
      <c r="X34" s="102">
        <f>Table10[[#This Row],[WTG Loss]]*13*Table10[[#This Row],[Breakdown Time]]</f>
        <v>2703.9999999999977</v>
      </c>
      <c r="Y34" s="102" t="s">
        <v>449</v>
      </c>
      <c r="Z34" s="102"/>
      <c r="AA34" s="102"/>
    </row>
    <row r="35" spans="1:27">
      <c r="A35" s="102">
        <f t="shared" si="0"/>
        <v>34</v>
      </c>
      <c r="B35" s="102">
        <f>YEAR(Table10[[#This Row],[Date]])+IF(MONTH(Table10[[#This Row],[Date]])&gt;=4,1,0)</f>
        <v>2026</v>
      </c>
      <c r="C35" s="102">
        <f>YEAR(Table10[[#This Row],[Date]])</f>
        <v>2025</v>
      </c>
      <c r="D35" s="102" t="s">
        <v>446</v>
      </c>
      <c r="E35" s="469">
        <f>Table10[[#This Row],[Date]]-DAY(Table10[[#This Row],[Date]])+1</f>
        <v>45778</v>
      </c>
      <c r="F35" s="470">
        <v>45786</v>
      </c>
      <c r="G35" s="102" t="s">
        <v>451</v>
      </c>
      <c r="H35" s="102" t="str">
        <f>IFERROR(_xlfn.XLOOKUP(Table10[[#This Row],[Affected Feeder ]],'Basic Data'!$A$43:$A$70,'Basic Data'!$B$43:$B$70),"")</f>
        <v>TQGXIIPL</v>
      </c>
      <c r="I35" s="102" t="str">
        <f>IFERROR(_xlfn.XLOOKUP(Table10[[#This Row],[Affected Feeder ]],'Basic Data'!$A$43:$A$70,'Basic Data'!$C$43:$C$70),"")</f>
        <v>GEDA</v>
      </c>
      <c r="J35" s="482">
        <f>IFERROR(_xlfn.XLOOKUP(Table10[[#This Row],[Affected Feeder ]],'Basic Data'!$A$43:$A$70,'Basic Data'!$E$43:$E$70),"")</f>
        <v>0.49999999999999978</v>
      </c>
      <c r="K35" s="483" t="s">
        <v>1791</v>
      </c>
      <c r="L35" s="484">
        <v>0.72013888888888888</v>
      </c>
      <c r="M35" s="484">
        <v>0.72013888888888888</v>
      </c>
      <c r="N35" s="484">
        <v>0.79374999999999996</v>
      </c>
      <c r="O35" s="101">
        <f>(Table10[[#This Row],[Work Start TimeStamp]]-Table10[[#This Row],[Fault Start TimeStamp]])*24</f>
        <v>0</v>
      </c>
      <c r="P35" s="101">
        <f>IF(Table10[[#This Row],[Work Start TimeStamp]]="","",(Table10[[#This Row],[Fault Clearance time]]-Table10[[#This Row],[Work Start TimeStamp]])*24)</f>
        <v>1.7666666666666657</v>
      </c>
      <c r="Q35" s="101">
        <f>(Table10[[#This Row],[Fault Clearance time]]-Table10[[#This Row],[Fault Start TimeStamp]])*24</f>
        <v>1.7666666666666657</v>
      </c>
      <c r="R35" s="483" t="s">
        <v>1914</v>
      </c>
      <c r="S35" s="102" t="s">
        <v>293</v>
      </c>
      <c r="T35" s="485">
        <f>IFERROR(Table10[[#This Row],[Breakdown Time]]*Table10[[#This Row],[Plant Equivalent Weightage]],"")</f>
        <v>0.88333333333333242</v>
      </c>
      <c r="U35" s="102" t="s">
        <v>450</v>
      </c>
      <c r="V35" s="547">
        <f>IFERROR(_xlfn.XLOOKUP(Table10[[#This Row],[Date]],'Daily KPI'!$A:$A,'Daily KPI'!$M:$M),"")</f>
        <v>4.2123076923076939</v>
      </c>
      <c r="W35" s="102">
        <v>230</v>
      </c>
      <c r="X35" s="102">
        <f>Table10[[#This Row],[WTG Loss]]*13*Table10[[#This Row],[Breakdown Time]]</f>
        <v>5282.3333333333303</v>
      </c>
      <c r="Y35" s="102" t="s">
        <v>449</v>
      </c>
      <c r="Z35" s="102"/>
      <c r="AA35" s="102"/>
    </row>
    <row r="36" spans="1:27">
      <c r="A36" s="102">
        <f t="shared" si="0"/>
        <v>35</v>
      </c>
      <c r="B36" s="102">
        <f>YEAR(Table10[[#This Row],[Date]])+IF(MONTH(Table10[[#This Row],[Date]])&gt;=4,1,0)</f>
        <v>2026</v>
      </c>
      <c r="C36" s="102">
        <f>YEAR(Table10[[#This Row],[Date]])</f>
        <v>2025</v>
      </c>
      <c r="D36" s="102" t="s">
        <v>446</v>
      </c>
      <c r="E36" s="469">
        <f>Table10[[#This Row],[Date]]-DAY(Table10[[#This Row],[Date]])+1</f>
        <v>45778</v>
      </c>
      <c r="F36" s="470">
        <v>45786</v>
      </c>
      <c r="G36" s="102" t="s">
        <v>451</v>
      </c>
      <c r="H36" s="102" t="str">
        <f>IFERROR(_xlfn.XLOOKUP(Table10[[#This Row],[Affected Feeder ]],'Basic Data'!$A$43:$A$70,'Basic Data'!$B$43:$B$70),"")</f>
        <v>TQGXIIPL</v>
      </c>
      <c r="I36" s="102" t="str">
        <f>IFERROR(_xlfn.XLOOKUP(Table10[[#This Row],[Affected Feeder ]],'Basic Data'!$A$43:$A$70,'Basic Data'!$C$43:$C$70),"")</f>
        <v>GEDA</v>
      </c>
      <c r="J36" s="482">
        <f>IFERROR(_xlfn.XLOOKUP(Table10[[#This Row],[Affected Feeder ]],'Basic Data'!$A$43:$A$70,'Basic Data'!$E$43:$E$70),"")</f>
        <v>0.49999999999999978</v>
      </c>
      <c r="K36" s="483" t="s">
        <v>1792</v>
      </c>
      <c r="L36" s="484">
        <v>0.90763888888888888</v>
      </c>
      <c r="M36" s="484">
        <v>0.90763888888888888</v>
      </c>
      <c r="N36" s="484">
        <v>0.9145833333333333</v>
      </c>
      <c r="O36" s="101">
        <f>(Table10[[#This Row],[Work Start TimeStamp]]-Table10[[#This Row],[Fault Start TimeStamp]])*24</f>
        <v>0</v>
      </c>
      <c r="P36" s="101">
        <f>IF(Table10[[#This Row],[Work Start TimeStamp]]="","",(Table10[[#This Row],[Fault Clearance time]]-Table10[[#This Row],[Work Start TimeStamp]])*24)</f>
        <v>0.16666666666666607</v>
      </c>
      <c r="Q36" s="101">
        <f>(Table10[[#This Row],[Fault Clearance time]]-Table10[[#This Row],[Fault Start TimeStamp]])*24</f>
        <v>0.16666666666666607</v>
      </c>
      <c r="R36" s="483" t="s">
        <v>1792</v>
      </c>
      <c r="S36" s="102" t="s">
        <v>293</v>
      </c>
      <c r="T36" s="485">
        <f>IFERROR(Table10[[#This Row],[Breakdown Time]]*Table10[[#This Row],[Plant Equivalent Weightage]],"")</f>
        <v>8.3333333333332996E-2</v>
      </c>
      <c r="U36" s="102" t="s">
        <v>450</v>
      </c>
      <c r="V36" s="547">
        <f>IFERROR(_xlfn.XLOOKUP(Table10[[#This Row],[Date]],'Daily KPI'!$A:$A,'Daily KPI'!$M:$M),"")</f>
        <v>4.2123076923076939</v>
      </c>
      <c r="W36" s="102">
        <v>230</v>
      </c>
      <c r="X36" s="102">
        <f>Table10[[#This Row],[WTG Loss]]*13*Table10[[#This Row],[Breakdown Time]]</f>
        <v>498.33333333333155</v>
      </c>
      <c r="Y36" s="102" t="s">
        <v>449</v>
      </c>
      <c r="Z36" s="102"/>
      <c r="AA36" s="102"/>
    </row>
    <row r="37" spans="1:27">
      <c r="A37" s="102">
        <f t="shared" si="0"/>
        <v>36</v>
      </c>
      <c r="B37" s="102">
        <f>YEAR(Table10[[#This Row],[Date]])+IF(MONTH(Table10[[#This Row],[Date]])&gt;=4,1,0)</f>
        <v>2026</v>
      </c>
      <c r="C37" s="102">
        <f>YEAR(Table10[[#This Row],[Date]])</f>
        <v>2025</v>
      </c>
      <c r="D37" s="102" t="s">
        <v>446</v>
      </c>
      <c r="E37" s="469">
        <f>Table10[[#This Row],[Date]]-DAY(Table10[[#This Row],[Date]])+1</f>
        <v>45778</v>
      </c>
      <c r="F37" s="470">
        <v>45786</v>
      </c>
      <c r="G37" s="102" t="s">
        <v>77</v>
      </c>
      <c r="H37" s="102" t="str">
        <f>IFERROR(_xlfn.XLOOKUP(Table10[[#This Row],[Affected Feeder ]],'Basic Data'!$A$43:$A$70,'Basic Data'!$B$43:$B$70),"")</f>
        <v>TQGXIIPL</v>
      </c>
      <c r="I37" s="102" t="str">
        <f>IFERROR(_xlfn.XLOOKUP(Table10[[#This Row],[Affected Feeder ]],'Basic Data'!$A$43:$A$70,'Basic Data'!$C$43:$C$70),"")</f>
        <v>GEDA</v>
      </c>
      <c r="J37" s="482">
        <f>IFERROR(_xlfn.XLOOKUP(Table10[[#This Row],[Affected Feeder ]],'Basic Data'!$A$43:$A$70,'Basic Data'!$E$43:$E$70),"")</f>
        <v>3.846153846153845E-2</v>
      </c>
      <c r="K37" s="483" t="s">
        <v>457</v>
      </c>
      <c r="L37" s="484">
        <v>0.7944444444444444</v>
      </c>
      <c r="M37" s="484">
        <v>0.7944444444444444</v>
      </c>
      <c r="N37" s="484">
        <v>0.90694444444444444</v>
      </c>
      <c r="O37" s="101">
        <f>(Table10[[#This Row],[Work Start TimeStamp]]-Table10[[#This Row],[Fault Start TimeStamp]])*24</f>
        <v>0</v>
      </c>
      <c r="P37" s="101">
        <f>IF(Table10[[#This Row],[Work Start TimeStamp]]="","",(Table10[[#This Row],[Fault Clearance time]]-Table10[[#This Row],[Work Start TimeStamp]])*24)</f>
        <v>2.7000000000000011</v>
      </c>
      <c r="Q37" s="101">
        <f>(Table10[[#This Row],[Fault Clearance time]]-Table10[[#This Row],[Fault Start TimeStamp]])*24</f>
        <v>2.7000000000000011</v>
      </c>
      <c r="R37" s="483" t="s">
        <v>1793</v>
      </c>
      <c r="S37" s="102" t="s">
        <v>293</v>
      </c>
      <c r="T37" s="485">
        <f>IFERROR(Table10[[#This Row],[Breakdown Time]]*Table10[[#This Row],[Plant Equivalent Weightage]],"")</f>
        <v>0.10384615384615385</v>
      </c>
      <c r="U37" s="102" t="s">
        <v>450</v>
      </c>
      <c r="V37" s="547">
        <f>IFERROR(_xlfn.XLOOKUP(Table10[[#This Row],[Date]],'Daily KPI'!$A:$A,'Daily KPI'!$M:$M),"")</f>
        <v>4.2123076923076939</v>
      </c>
      <c r="W37" s="102">
        <v>230</v>
      </c>
      <c r="X37" s="102">
        <f>Table10[[#This Row],[WTG Loss]]*1*Table10[[#This Row],[Breakdown Time]]</f>
        <v>621.00000000000023</v>
      </c>
      <c r="Y37" s="102" t="s">
        <v>449</v>
      </c>
      <c r="Z37" s="102"/>
      <c r="AA37" s="102"/>
    </row>
    <row r="38" spans="1:27">
      <c r="A38" s="102">
        <f t="shared" si="0"/>
        <v>37</v>
      </c>
      <c r="B38" s="102">
        <f>YEAR(Table10[[#This Row],[Date]])+IF(MONTH(Table10[[#This Row],[Date]])&gt;=4,1,0)</f>
        <v>2026</v>
      </c>
      <c r="C38" s="102">
        <f>YEAR(Table10[[#This Row],[Date]])</f>
        <v>2025</v>
      </c>
      <c r="D38" s="102" t="s">
        <v>446</v>
      </c>
      <c r="E38" s="469">
        <f>Table10[[#This Row],[Date]]-DAY(Table10[[#This Row],[Date]])+1</f>
        <v>45778</v>
      </c>
      <c r="F38" s="470">
        <v>45786</v>
      </c>
      <c r="G38" s="102" t="s">
        <v>80</v>
      </c>
      <c r="H38" s="102" t="str">
        <f>IFERROR(_xlfn.XLOOKUP(Table10[[#This Row],[Affected Feeder ]],'Basic Data'!$A$43:$A$70,'Basic Data'!$B$43:$B$70),"")</f>
        <v>TQGXIIPL</v>
      </c>
      <c r="I38" s="102" t="str">
        <f>IFERROR(_xlfn.XLOOKUP(Table10[[#This Row],[Affected Feeder ]],'Basic Data'!$A$43:$A$70,'Basic Data'!$C$43:$C$70),"")</f>
        <v>GEDA</v>
      </c>
      <c r="J38" s="482">
        <f>IFERROR(_xlfn.XLOOKUP(Table10[[#This Row],[Affected Feeder ]],'Basic Data'!$A$43:$A$70,'Basic Data'!$E$43:$E$70),"")</f>
        <v>3.846153846153845E-2</v>
      </c>
      <c r="K38" s="483" t="s">
        <v>459</v>
      </c>
      <c r="L38" s="484">
        <v>0.7944444444444444</v>
      </c>
      <c r="M38" s="484">
        <v>0.7944444444444444</v>
      </c>
      <c r="N38" s="484">
        <v>0.90694444444444444</v>
      </c>
      <c r="O38" s="101">
        <f>(Table10[[#This Row],[Work Start TimeStamp]]-Table10[[#This Row],[Fault Start TimeStamp]])*24</f>
        <v>0</v>
      </c>
      <c r="P38" s="101">
        <f>IF(Table10[[#This Row],[Work Start TimeStamp]]="","",(Table10[[#This Row],[Fault Clearance time]]-Table10[[#This Row],[Work Start TimeStamp]])*24)</f>
        <v>2.7000000000000011</v>
      </c>
      <c r="Q38" s="101">
        <f>(Table10[[#This Row],[Fault Clearance time]]-Table10[[#This Row],[Fault Start TimeStamp]])*24</f>
        <v>2.7000000000000011</v>
      </c>
      <c r="R38" s="483" t="s">
        <v>1793</v>
      </c>
      <c r="S38" s="102" t="s">
        <v>293</v>
      </c>
      <c r="T38" s="485">
        <f>IFERROR(Table10[[#This Row],[Breakdown Time]]*Table10[[#This Row],[Plant Equivalent Weightage]],"")</f>
        <v>0.10384615384615385</v>
      </c>
      <c r="U38" s="102" t="s">
        <v>450</v>
      </c>
      <c r="V38" s="547">
        <f>IFERROR(_xlfn.XLOOKUP(Table10[[#This Row],[Date]],'Daily KPI'!$A:$A,'Daily KPI'!$M:$M),"")</f>
        <v>4.2123076923076939</v>
      </c>
      <c r="W38" s="102">
        <v>230</v>
      </c>
      <c r="X38" s="102">
        <f>Table10[[#This Row],[WTG Loss]]*1*Table10[[#This Row],[Breakdown Time]]</f>
        <v>621.00000000000023</v>
      </c>
      <c r="Y38" s="102" t="s">
        <v>449</v>
      </c>
      <c r="Z38" s="102"/>
      <c r="AA38" s="102"/>
    </row>
    <row r="39" spans="1:27">
      <c r="A39" s="102">
        <f t="shared" ref="A39:A102" si="1">A38+1</f>
        <v>38</v>
      </c>
      <c r="B39" s="102">
        <f>YEAR(Table10[[#This Row],[Date]])+IF(MONTH(Table10[[#This Row],[Date]])&gt;=4,1,0)</f>
        <v>2026</v>
      </c>
      <c r="C39" s="102">
        <f>YEAR(Table10[[#This Row],[Date]])</f>
        <v>2025</v>
      </c>
      <c r="D39" s="102" t="s">
        <v>446</v>
      </c>
      <c r="E39" s="469">
        <f>Table10[[#This Row],[Date]]-DAY(Table10[[#This Row],[Date]])+1</f>
        <v>45778</v>
      </c>
      <c r="F39" s="470">
        <v>45786</v>
      </c>
      <c r="G39" s="102" t="s">
        <v>92</v>
      </c>
      <c r="H39" s="102" t="str">
        <f>IFERROR(_xlfn.XLOOKUP(Table10[[#This Row],[Affected Feeder ]],'Basic Data'!$A$43:$A$70,'Basic Data'!$B$43:$B$70),"")</f>
        <v>TQGXIIPL</v>
      </c>
      <c r="I39" s="102" t="str">
        <f>IFERROR(_xlfn.XLOOKUP(Table10[[#This Row],[Affected Feeder ]],'Basic Data'!$A$43:$A$70,'Basic Data'!$C$43:$C$70),"")</f>
        <v>GEDA</v>
      </c>
      <c r="J39" s="482">
        <f>IFERROR(_xlfn.XLOOKUP(Table10[[#This Row],[Affected Feeder ]],'Basic Data'!$A$43:$A$70,'Basic Data'!$E$43:$E$70),"")</f>
        <v>3.846153846153845E-2</v>
      </c>
      <c r="K39" s="483" t="s">
        <v>458</v>
      </c>
      <c r="L39" s="484">
        <v>0.7944444444444444</v>
      </c>
      <c r="M39" s="484">
        <v>0.7944444444444444</v>
      </c>
      <c r="N39" s="484">
        <v>0.90694444444444444</v>
      </c>
      <c r="O39" s="101">
        <f>(Table10[[#This Row],[Work Start TimeStamp]]-Table10[[#This Row],[Fault Start TimeStamp]])*24</f>
        <v>0</v>
      </c>
      <c r="P39" s="101">
        <f>IF(Table10[[#This Row],[Work Start TimeStamp]]="","",(Table10[[#This Row],[Fault Clearance time]]-Table10[[#This Row],[Work Start TimeStamp]])*24)</f>
        <v>2.7000000000000011</v>
      </c>
      <c r="Q39" s="101">
        <f>(Table10[[#This Row],[Fault Clearance time]]-Table10[[#This Row],[Fault Start TimeStamp]])*24</f>
        <v>2.7000000000000011</v>
      </c>
      <c r="R39" s="483" t="s">
        <v>1793</v>
      </c>
      <c r="S39" s="102" t="s">
        <v>293</v>
      </c>
      <c r="T39" s="485">
        <f>IFERROR(Table10[[#This Row],[Breakdown Time]]*Table10[[#This Row],[Plant Equivalent Weightage]],"")</f>
        <v>0.10384615384615385</v>
      </c>
      <c r="U39" s="102" t="s">
        <v>450</v>
      </c>
      <c r="V39" s="547">
        <f>IFERROR(_xlfn.XLOOKUP(Table10[[#This Row],[Date]],'Daily KPI'!$A:$A,'Daily KPI'!$M:$M),"")</f>
        <v>4.2123076923076939</v>
      </c>
      <c r="W39" s="102">
        <v>230</v>
      </c>
      <c r="X39" s="102">
        <f>Table10[[#This Row],[WTG Loss]]*1*Table10[[#This Row],[Breakdown Time]]</f>
        <v>621.00000000000023</v>
      </c>
      <c r="Y39" s="102" t="s">
        <v>449</v>
      </c>
      <c r="Z39" s="102"/>
      <c r="AA39" s="102"/>
    </row>
    <row r="40" spans="1:27">
      <c r="A40" s="102">
        <f t="shared" si="1"/>
        <v>39</v>
      </c>
      <c r="B40" s="102">
        <f>YEAR(Table10[[#This Row],[Date]])+IF(MONTH(Table10[[#This Row],[Date]])&gt;=4,1,0)</f>
        <v>2026</v>
      </c>
      <c r="C40" s="102">
        <f>YEAR(Table10[[#This Row],[Date]])</f>
        <v>2025</v>
      </c>
      <c r="D40" s="102" t="s">
        <v>446</v>
      </c>
      <c r="E40" s="469">
        <f>Table10[[#This Row],[Date]]-DAY(Table10[[#This Row],[Date]])+1</f>
        <v>45778</v>
      </c>
      <c r="F40" s="470">
        <v>45786</v>
      </c>
      <c r="G40" s="102" t="s">
        <v>92</v>
      </c>
      <c r="H40" s="102" t="str">
        <f>IFERROR(_xlfn.XLOOKUP(Table10[[#This Row],[Affected Feeder ]],'Basic Data'!$A$43:$A$70,'Basic Data'!$B$43:$B$70),"")</f>
        <v>TQGXIIPL</v>
      </c>
      <c r="I40" s="102" t="str">
        <f>IFERROR(_xlfn.XLOOKUP(Table10[[#This Row],[Affected Feeder ]],'Basic Data'!$A$43:$A$70,'Basic Data'!$C$43:$C$70),"")</f>
        <v>GEDA</v>
      </c>
      <c r="J40" s="482">
        <f>IFERROR(_xlfn.XLOOKUP(Table10[[#This Row],[Affected Feeder ]],'Basic Data'!$A$43:$A$70,'Basic Data'!$E$43:$E$70),"")</f>
        <v>3.846153846153845E-2</v>
      </c>
      <c r="K40" s="483" t="s">
        <v>458</v>
      </c>
      <c r="L40" s="484">
        <v>0.91527777777777775</v>
      </c>
      <c r="M40" s="484">
        <v>0.91527777777777775</v>
      </c>
      <c r="N40" s="484">
        <v>1</v>
      </c>
      <c r="O40" s="101">
        <f>(Table10[[#This Row],[Work Start TimeStamp]]-Table10[[#This Row],[Fault Start TimeStamp]])*24</f>
        <v>0</v>
      </c>
      <c r="P40" s="101">
        <f>IF(Table10[[#This Row],[Work Start TimeStamp]]="","",(Table10[[#This Row],[Fault Clearance time]]-Table10[[#This Row],[Work Start TimeStamp]])*24)</f>
        <v>2.0333333333333341</v>
      </c>
      <c r="Q40" s="101">
        <f>(Table10[[#This Row],[Fault Clearance time]]-Table10[[#This Row],[Fault Start TimeStamp]])*24</f>
        <v>2.0333333333333341</v>
      </c>
      <c r="R40" s="483" t="s">
        <v>1794</v>
      </c>
      <c r="S40" s="102" t="s">
        <v>289</v>
      </c>
      <c r="T40" s="485">
        <f>IFERROR(Table10[[#This Row],[Breakdown Time]]*Table10[[#This Row],[Plant Equivalent Weightage]],"")</f>
        <v>7.8205128205128205E-2</v>
      </c>
      <c r="U40" s="102" t="s">
        <v>450</v>
      </c>
      <c r="V40" s="547">
        <f>IFERROR(_xlfn.XLOOKUP(Table10[[#This Row],[Date]],'Daily KPI'!$A:$A,'Daily KPI'!$M:$M),"")</f>
        <v>4.2123076923076939</v>
      </c>
      <c r="W40" s="102">
        <v>230</v>
      </c>
      <c r="X40" s="102">
        <f>Table10[[#This Row],[WTG Loss]]*1*Table10[[#This Row],[Breakdown Time]]</f>
        <v>467.66666666666686</v>
      </c>
      <c r="Y40" s="102" t="s">
        <v>449</v>
      </c>
      <c r="Z40" s="102"/>
      <c r="AA40" s="102"/>
    </row>
    <row r="41" spans="1:27">
      <c r="A41" s="102">
        <f t="shared" si="1"/>
        <v>40</v>
      </c>
      <c r="B41" s="102">
        <f>YEAR(Table10[[#This Row],[Date]])+IF(MONTH(Table10[[#This Row],[Date]])&gt;=4,1,0)</f>
        <v>2026</v>
      </c>
      <c r="C41" s="102">
        <f>YEAR(Table10[[#This Row],[Date]])</f>
        <v>2025</v>
      </c>
      <c r="D41" s="102" t="s">
        <v>446</v>
      </c>
      <c r="E41" s="469">
        <f>Table10[[#This Row],[Date]]-DAY(Table10[[#This Row],[Date]])+1</f>
        <v>45778</v>
      </c>
      <c r="F41" s="470">
        <v>45786</v>
      </c>
      <c r="G41" s="102" t="s">
        <v>77</v>
      </c>
      <c r="H41" s="102" t="str">
        <f>IFERROR(_xlfn.XLOOKUP(Table10[[#This Row],[Affected Feeder ]],'Basic Data'!$A$43:$A$70,'Basic Data'!$B$43:$B$70),"")</f>
        <v>TQGXIIPL</v>
      </c>
      <c r="I41" s="102" t="str">
        <f>IFERROR(_xlfn.XLOOKUP(Table10[[#This Row],[Affected Feeder ]],'Basic Data'!$A$43:$A$70,'Basic Data'!$C$43:$C$70),"")</f>
        <v>GEDA</v>
      </c>
      <c r="J41" s="482">
        <f>IFERROR(_xlfn.XLOOKUP(Table10[[#This Row],[Affected Feeder ]],'Basic Data'!$A$43:$A$70,'Basic Data'!$E$43:$E$70),"")</f>
        <v>3.846153846153845E-2</v>
      </c>
      <c r="K41" s="483" t="s">
        <v>457</v>
      </c>
      <c r="L41" s="484">
        <v>0.98958333333333337</v>
      </c>
      <c r="M41" s="484">
        <v>0.98958333333333337</v>
      </c>
      <c r="N41" s="484">
        <v>1</v>
      </c>
      <c r="O41" s="101">
        <f>(Table10[[#This Row],[Work Start TimeStamp]]-Table10[[#This Row],[Fault Start TimeStamp]])*24</f>
        <v>0</v>
      </c>
      <c r="P41" s="101">
        <f>IF(Table10[[#This Row],[Work Start TimeStamp]]="","",(Table10[[#This Row],[Fault Clearance time]]-Table10[[#This Row],[Work Start TimeStamp]])*24)</f>
        <v>0.24999999999999911</v>
      </c>
      <c r="Q41" s="101">
        <f>(Table10[[#This Row],[Fault Clearance time]]-Table10[[#This Row],[Fault Start TimeStamp]])*24</f>
        <v>0.24999999999999911</v>
      </c>
      <c r="R41" s="483" t="s">
        <v>1795</v>
      </c>
      <c r="S41" s="102" t="s">
        <v>293</v>
      </c>
      <c r="T41" s="485">
        <f>IFERROR(Table10[[#This Row],[Breakdown Time]]*Table10[[#This Row],[Plant Equivalent Weightage]],"")</f>
        <v>9.6153846153845778E-3</v>
      </c>
      <c r="U41" s="102" t="s">
        <v>450</v>
      </c>
      <c r="V41" s="547">
        <f>IFERROR(_xlfn.XLOOKUP(Table10[[#This Row],[Date]],'Daily KPI'!$A:$A,'Daily KPI'!$M:$M),"")</f>
        <v>4.2123076923076939</v>
      </c>
      <c r="W41" s="102">
        <v>230</v>
      </c>
      <c r="X41" s="102">
        <f>Table10[[#This Row],[WTG Loss]]*1*Table10[[#This Row],[Breakdown Time]]</f>
        <v>57.499999999999794</v>
      </c>
      <c r="Y41" s="102" t="s">
        <v>449</v>
      </c>
      <c r="Z41" s="102"/>
      <c r="AA41" s="102"/>
    </row>
    <row r="42" spans="1:27">
      <c r="A42" s="102">
        <f t="shared" si="1"/>
        <v>41</v>
      </c>
      <c r="B42" s="102">
        <f>YEAR(Table10[[#This Row],[Date]])+IF(MONTH(Table10[[#This Row],[Date]])&gt;=4,1,0)</f>
        <v>2026</v>
      </c>
      <c r="C42" s="102">
        <f>YEAR(Table10[[#This Row],[Date]])</f>
        <v>2025</v>
      </c>
      <c r="D42" s="102" t="s">
        <v>446</v>
      </c>
      <c r="E42" s="469">
        <f>Table10[[#This Row],[Date]]-DAY(Table10[[#This Row],[Date]])+1</f>
        <v>45778</v>
      </c>
      <c r="F42" s="470">
        <v>45786</v>
      </c>
      <c r="G42" s="102" t="s">
        <v>80</v>
      </c>
      <c r="H42" s="102" t="str">
        <f>IFERROR(_xlfn.XLOOKUP(Table10[[#This Row],[Affected Feeder ]],'Basic Data'!$A$43:$A$70,'Basic Data'!$B$43:$B$70),"")</f>
        <v>TQGXIIPL</v>
      </c>
      <c r="I42" s="102" t="str">
        <f>IFERROR(_xlfn.XLOOKUP(Table10[[#This Row],[Affected Feeder ]],'Basic Data'!$A$43:$A$70,'Basic Data'!$C$43:$C$70),"")</f>
        <v>GEDA</v>
      </c>
      <c r="J42" s="482">
        <f>IFERROR(_xlfn.XLOOKUP(Table10[[#This Row],[Affected Feeder ]],'Basic Data'!$A$43:$A$70,'Basic Data'!$E$43:$E$70),"")</f>
        <v>3.846153846153845E-2</v>
      </c>
      <c r="K42" s="483" t="s">
        <v>459</v>
      </c>
      <c r="L42" s="484">
        <v>0.98958333333333337</v>
      </c>
      <c r="M42" s="484">
        <v>0.98958333333333337</v>
      </c>
      <c r="N42" s="484">
        <v>1</v>
      </c>
      <c r="O42" s="101">
        <f>(Table10[[#This Row],[Work Start TimeStamp]]-Table10[[#This Row],[Fault Start TimeStamp]])*24</f>
        <v>0</v>
      </c>
      <c r="P42" s="101">
        <f>IF(Table10[[#This Row],[Work Start TimeStamp]]="","",(Table10[[#This Row],[Fault Clearance time]]-Table10[[#This Row],[Work Start TimeStamp]])*24)</f>
        <v>0.24999999999999911</v>
      </c>
      <c r="Q42" s="101">
        <f>(Table10[[#This Row],[Fault Clearance time]]-Table10[[#This Row],[Fault Start TimeStamp]])*24</f>
        <v>0.24999999999999911</v>
      </c>
      <c r="R42" s="483" t="s">
        <v>1795</v>
      </c>
      <c r="S42" s="102" t="s">
        <v>293</v>
      </c>
      <c r="T42" s="485">
        <f>IFERROR(Table10[[#This Row],[Breakdown Time]]*Table10[[#This Row],[Plant Equivalent Weightage]],"")</f>
        <v>9.6153846153845778E-3</v>
      </c>
      <c r="U42" s="102" t="s">
        <v>450</v>
      </c>
      <c r="V42" s="547">
        <f>IFERROR(_xlfn.XLOOKUP(Table10[[#This Row],[Date]],'Daily KPI'!$A:$A,'Daily KPI'!$M:$M),"")</f>
        <v>4.2123076923076939</v>
      </c>
      <c r="W42" s="102">
        <v>230</v>
      </c>
      <c r="X42" s="102">
        <f>Table10[[#This Row],[WTG Loss]]*1*Table10[[#This Row],[Breakdown Time]]</f>
        <v>57.499999999999794</v>
      </c>
      <c r="Y42" s="102" t="s">
        <v>449</v>
      </c>
      <c r="Z42" s="102"/>
      <c r="AA42" s="102"/>
    </row>
    <row r="43" spans="1:27">
      <c r="A43" s="102">
        <f t="shared" si="1"/>
        <v>42</v>
      </c>
      <c r="B43" s="102">
        <f>YEAR(Table10[[#This Row],[Date]])+IF(MONTH(Table10[[#This Row],[Date]])&gt;=4,1,0)</f>
        <v>2026</v>
      </c>
      <c r="C43" s="102">
        <f>YEAR(Table10[[#This Row],[Date]])</f>
        <v>2025</v>
      </c>
      <c r="D43" s="102" t="s">
        <v>446</v>
      </c>
      <c r="E43" s="469">
        <f>Table10[[#This Row],[Date]]-DAY(Table10[[#This Row],[Date]])+1</f>
        <v>45778</v>
      </c>
      <c r="F43" s="470">
        <v>45787</v>
      </c>
      <c r="G43" s="102" t="s">
        <v>451</v>
      </c>
      <c r="H43" s="102" t="str">
        <f>IFERROR(_xlfn.XLOOKUP(Table10[[#This Row],[Affected Feeder ]],'Basic Data'!$A$43:$A$70,'Basic Data'!$B$43:$B$70),"")</f>
        <v>TQGXIIPL</v>
      </c>
      <c r="I43" s="102" t="str">
        <f>IFERROR(_xlfn.XLOOKUP(Table10[[#This Row],[Affected Feeder ]],'Basic Data'!$A$43:$A$70,'Basic Data'!$C$43:$C$70),"")</f>
        <v>GEDA</v>
      </c>
      <c r="J43" s="482">
        <f>IFERROR(_xlfn.XLOOKUP(Table10[[#This Row],[Affected Feeder ]],'Basic Data'!$A$43:$A$70,'Basic Data'!$E$43:$E$70),"")</f>
        <v>0.49999999999999978</v>
      </c>
      <c r="K43" s="483" t="s">
        <v>1791</v>
      </c>
      <c r="L43" s="484">
        <v>0.54166666666666663</v>
      </c>
      <c r="M43" s="484">
        <v>0.54166666666666663</v>
      </c>
      <c r="N43" s="484">
        <v>0.60763888888888884</v>
      </c>
      <c r="O43" s="101">
        <f>(Table10[[#This Row],[Work Start TimeStamp]]-Table10[[#This Row],[Fault Start TimeStamp]])*24</f>
        <v>0</v>
      </c>
      <c r="P43" s="101">
        <f>IF(Table10[[#This Row],[Work Start TimeStamp]]="","",(Table10[[#This Row],[Fault Clearance time]]-Table10[[#This Row],[Work Start TimeStamp]])*24)</f>
        <v>1.583333333333333</v>
      </c>
      <c r="Q43" s="101">
        <f>(Table10[[#This Row],[Fault Clearance time]]-Table10[[#This Row],[Fault Start TimeStamp]])*24</f>
        <v>1.583333333333333</v>
      </c>
      <c r="R43" s="483" t="s">
        <v>1914</v>
      </c>
      <c r="S43" s="102" t="s">
        <v>293</v>
      </c>
      <c r="T43" s="485">
        <f>IFERROR(Table10[[#This Row],[Breakdown Time]]*Table10[[#This Row],[Plant Equivalent Weightage]],"")</f>
        <v>0.79166666666666619</v>
      </c>
      <c r="U43" s="102" t="s">
        <v>450</v>
      </c>
      <c r="V43" s="547">
        <f>IFERROR(_xlfn.XLOOKUP(Table10[[#This Row],[Date]],'Daily KPI'!$A:$A,'Daily KPI'!$M:$M),"")</f>
        <v>4.9289662776948795</v>
      </c>
      <c r="W43" s="102">
        <v>384</v>
      </c>
      <c r="X43" s="102">
        <f>Table10[[#This Row],[WTG Loss]]*13*Table10[[#This Row],[Breakdown Time]]</f>
        <v>7903.9999999999982</v>
      </c>
      <c r="Y43" s="102" t="s">
        <v>449</v>
      </c>
      <c r="Z43" s="102"/>
      <c r="AA43" s="102"/>
    </row>
    <row r="44" spans="1:27">
      <c r="A44" s="102">
        <f t="shared" si="1"/>
        <v>43</v>
      </c>
      <c r="B44" s="102">
        <f>YEAR(Table10[[#This Row],[Date]])+IF(MONTH(Table10[[#This Row],[Date]])&gt;=4,1,0)</f>
        <v>2026</v>
      </c>
      <c r="C44" s="102">
        <f>YEAR(Table10[[#This Row],[Date]])</f>
        <v>2025</v>
      </c>
      <c r="D44" s="102" t="s">
        <v>446</v>
      </c>
      <c r="E44" s="469">
        <f>Table10[[#This Row],[Date]]-DAY(Table10[[#This Row],[Date]])+1</f>
        <v>45778</v>
      </c>
      <c r="F44" s="470">
        <v>45787</v>
      </c>
      <c r="G44" s="102" t="s">
        <v>451</v>
      </c>
      <c r="H44" s="102" t="str">
        <f>IFERROR(_xlfn.XLOOKUP(Table10[[#This Row],[Affected Feeder ]],'Basic Data'!$A$43:$A$70,'Basic Data'!$B$43:$B$70),"")</f>
        <v>TQGXIIPL</v>
      </c>
      <c r="I44" s="102" t="str">
        <f>IFERROR(_xlfn.XLOOKUP(Table10[[#This Row],[Affected Feeder ]],'Basic Data'!$A$43:$A$70,'Basic Data'!$C$43:$C$70),"")</f>
        <v>GEDA</v>
      </c>
      <c r="J44" s="482">
        <f>IFERROR(_xlfn.XLOOKUP(Table10[[#This Row],[Affected Feeder ]],'Basic Data'!$A$43:$A$70,'Basic Data'!$E$43:$E$70),"")</f>
        <v>0.49999999999999978</v>
      </c>
      <c r="K44" s="483" t="s">
        <v>1791</v>
      </c>
      <c r="L44" s="484">
        <v>0.76666666666666672</v>
      </c>
      <c r="M44" s="484">
        <v>0.76666666666666672</v>
      </c>
      <c r="N44" s="484">
        <v>0.77430555555555558</v>
      </c>
      <c r="O44" s="101">
        <f>(Table10[[#This Row],[Work Start TimeStamp]]-Table10[[#This Row],[Fault Start TimeStamp]])*24</f>
        <v>0</v>
      </c>
      <c r="P44" s="101">
        <f>IF(Table10[[#This Row],[Work Start TimeStamp]]="","",(Table10[[#This Row],[Fault Clearance time]]-Table10[[#This Row],[Work Start TimeStamp]])*24)</f>
        <v>0.18333333333333268</v>
      </c>
      <c r="Q44" s="101">
        <f>(Table10[[#This Row],[Fault Clearance time]]-Table10[[#This Row],[Fault Start TimeStamp]])*24</f>
        <v>0.18333333333333268</v>
      </c>
      <c r="R44" s="483" t="s">
        <v>1914</v>
      </c>
      <c r="S44" s="102" t="s">
        <v>293</v>
      </c>
      <c r="T44" s="485">
        <f>IFERROR(Table10[[#This Row],[Breakdown Time]]*Table10[[#This Row],[Plant Equivalent Weightage]],"")</f>
        <v>9.1666666666666299E-2</v>
      </c>
      <c r="U44" s="102" t="s">
        <v>450</v>
      </c>
      <c r="V44" s="547">
        <f>IFERROR(_xlfn.XLOOKUP(Table10[[#This Row],[Date]],'Daily KPI'!$A:$A,'Daily KPI'!$M:$M),"")</f>
        <v>4.9289662776948795</v>
      </c>
      <c r="W44" s="102">
        <v>384</v>
      </c>
      <c r="X44" s="102">
        <f>Table10[[#This Row],[WTG Loss]]*13*Table10[[#This Row],[Breakdown Time]]</f>
        <v>915.19999999999675</v>
      </c>
      <c r="Y44" s="102" t="s">
        <v>449</v>
      </c>
      <c r="Z44" s="102"/>
      <c r="AA44" s="102"/>
    </row>
    <row r="45" spans="1:27">
      <c r="A45" s="102">
        <f t="shared" si="1"/>
        <v>44</v>
      </c>
      <c r="B45" s="102">
        <f>YEAR(Table10[[#This Row],[Date]])+IF(MONTH(Table10[[#This Row],[Date]])&gt;=4,1,0)</f>
        <v>2026</v>
      </c>
      <c r="C45" s="102">
        <f>YEAR(Table10[[#This Row],[Date]])</f>
        <v>2025</v>
      </c>
      <c r="D45" s="102" t="s">
        <v>446</v>
      </c>
      <c r="E45" s="469">
        <f>Table10[[#This Row],[Date]]-DAY(Table10[[#This Row],[Date]])+1</f>
        <v>45778</v>
      </c>
      <c r="F45" s="470">
        <v>45787</v>
      </c>
      <c r="G45" s="102" t="s">
        <v>77</v>
      </c>
      <c r="H45" s="102" t="str">
        <f>IFERROR(_xlfn.XLOOKUP(Table10[[#This Row],[Affected Feeder ]],'Basic Data'!$A$43:$A$70,'Basic Data'!$B$43:$B$70),"")</f>
        <v>TQGXIIPL</v>
      </c>
      <c r="I45" s="102" t="str">
        <f>IFERROR(_xlfn.XLOOKUP(Table10[[#This Row],[Affected Feeder ]],'Basic Data'!$A$43:$A$70,'Basic Data'!$C$43:$C$70),"")</f>
        <v>GEDA</v>
      </c>
      <c r="J45" s="482">
        <f>IFERROR(_xlfn.XLOOKUP(Table10[[#This Row],[Affected Feeder ]],'Basic Data'!$A$43:$A$70,'Basic Data'!$E$43:$E$70),"")</f>
        <v>3.846153846153845E-2</v>
      </c>
      <c r="K45" s="483" t="s">
        <v>457</v>
      </c>
      <c r="L45" s="484">
        <v>0</v>
      </c>
      <c r="M45" s="484">
        <v>0</v>
      </c>
      <c r="N45" s="484">
        <v>3.7499999999999999E-2</v>
      </c>
      <c r="O45" s="101">
        <f>(Table10[[#This Row],[Work Start TimeStamp]]-Table10[[#This Row],[Fault Start TimeStamp]])*24</f>
        <v>0</v>
      </c>
      <c r="P45" s="101">
        <f>IF(Table10[[#This Row],[Work Start TimeStamp]]="","",(Table10[[#This Row],[Fault Clearance time]]-Table10[[#This Row],[Work Start TimeStamp]])*24)</f>
        <v>0.89999999999999991</v>
      </c>
      <c r="Q45" s="101">
        <f>(Table10[[#This Row],[Fault Clearance time]]-Table10[[#This Row],[Fault Start TimeStamp]])*24</f>
        <v>0.89999999999999991</v>
      </c>
      <c r="R45" s="483" t="s">
        <v>1795</v>
      </c>
      <c r="S45" s="102" t="s">
        <v>293</v>
      </c>
      <c r="T45" s="485">
        <f>IFERROR(Table10[[#This Row],[Breakdown Time]]*Table10[[#This Row],[Plant Equivalent Weightage]],"")</f>
        <v>3.4615384615384603E-2</v>
      </c>
      <c r="U45" s="102" t="s">
        <v>450</v>
      </c>
      <c r="V45" s="547">
        <f>IFERROR(_xlfn.XLOOKUP(Table10[[#This Row],[Date]],'Daily KPI'!$A:$A,'Daily KPI'!$M:$M),"")</f>
        <v>4.9289662776948795</v>
      </c>
      <c r="W45" s="102">
        <v>384</v>
      </c>
      <c r="X45" s="102">
        <f>Table10[[#This Row],[WTG Loss]]*1*Table10[[#This Row],[Breakdown Time]]</f>
        <v>345.59999999999997</v>
      </c>
      <c r="Y45" s="102" t="s">
        <v>449</v>
      </c>
      <c r="Z45" s="102"/>
      <c r="AA45" s="102"/>
    </row>
    <row r="46" spans="1:27">
      <c r="A46" s="102">
        <f t="shared" si="1"/>
        <v>45</v>
      </c>
      <c r="B46" s="102">
        <f>YEAR(Table10[[#This Row],[Date]])+IF(MONTH(Table10[[#This Row],[Date]])&gt;=4,1,0)</f>
        <v>2026</v>
      </c>
      <c r="C46" s="102">
        <f>YEAR(Table10[[#This Row],[Date]])</f>
        <v>2025</v>
      </c>
      <c r="D46" s="102" t="s">
        <v>446</v>
      </c>
      <c r="E46" s="469">
        <f>Table10[[#This Row],[Date]]-DAY(Table10[[#This Row],[Date]])+1</f>
        <v>45778</v>
      </c>
      <c r="F46" s="470">
        <v>45787</v>
      </c>
      <c r="G46" s="102" t="s">
        <v>80</v>
      </c>
      <c r="H46" s="102" t="str">
        <f>IFERROR(_xlfn.XLOOKUP(Table10[[#This Row],[Affected Feeder ]],'Basic Data'!$A$43:$A$70,'Basic Data'!$B$43:$B$70),"")</f>
        <v>TQGXIIPL</v>
      </c>
      <c r="I46" s="102" t="str">
        <f>IFERROR(_xlfn.XLOOKUP(Table10[[#This Row],[Affected Feeder ]],'Basic Data'!$A$43:$A$70,'Basic Data'!$C$43:$C$70),"")</f>
        <v>GEDA</v>
      </c>
      <c r="J46" s="482">
        <f>IFERROR(_xlfn.XLOOKUP(Table10[[#This Row],[Affected Feeder ]],'Basic Data'!$A$43:$A$70,'Basic Data'!$E$43:$E$70),"")</f>
        <v>3.846153846153845E-2</v>
      </c>
      <c r="K46" s="483" t="s">
        <v>459</v>
      </c>
      <c r="L46" s="484">
        <v>0</v>
      </c>
      <c r="M46" s="484">
        <v>0</v>
      </c>
      <c r="N46" s="484">
        <v>3.7499999999999999E-2</v>
      </c>
      <c r="O46" s="101">
        <f>(Table10[[#This Row],[Work Start TimeStamp]]-Table10[[#This Row],[Fault Start TimeStamp]])*24</f>
        <v>0</v>
      </c>
      <c r="P46" s="101">
        <f>IF(Table10[[#This Row],[Work Start TimeStamp]]="","",(Table10[[#This Row],[Fault Clearance time]]-Table10[[#This Row],[Work Start TimeStamp]])*24)</f>
        <v>0.89999999999999991</v>
      </c>
      <c r="Q46" s="101">
        <f>(Table10[[#This Row],[Fault Clearance time]]-Table10[[#This Row],[Fault Start TimeStamp]])*24</f>
        <v>0.89999999999999991</v>
      </c>
      <c r="R46" s="483" t="s">
        <v>1795</v>
      </c>
      <c r="S46" s="102" t="s">
        <v>293</v>
      </c>
      <c r="T46" s="485">
        <f>IFERROR(Table10[[#This Row],[Breakdown Time]]*Table10[[#This Row],[Plant Equivalent Weightage]],"")</f>
        <v>3.4615384615384603E-2</v>
      </c>
      <c r="U46" s="102" t="s">
        <v>450</v>
      </c>
      <c r="V46" s="547">
        <f>IFERROR(_xlfn.XLOOKUP(Table10[[#This Row],[Date]],'Daily KPI'!$A:$A,'Daily KPI'!$M:$M),"")</f>
        <v>4.9289662776948795</v>
      </c>
      <c r="W46" s="102">
        <v>384</v>
      </c>
      <c r="X46" s="102">
        <f>Table10[[#This Row],[WTG Loss]]*1*Table10[[#This Row],[Breakdown Time]]</f>
        <v>345.59999999999997</v>
      </c>
      <c r="Y46" s="102" t="s">
        <v>449</v>
      </c>
      <c r="Z46" s="102"/>
      <c r="AA46" s="102"/>
    </row>
    <row r="47" spans="1:27">
      <c r="A47" s="102">
        <f t="shared" si="1"/>
        <v>46</v>
      </c>
      <c r="B47" s="102">
        <f>YEAR(Table10[[#This Row],[Date]])+IF(MONTH(Table10[[#This Row],[Date]])&gt;=4,1,0)</f>
        <v>2026</v>
      </c>
      <c r="C47" s="102">
        <f>YEAR(Table10[[#This Row],[Date]])</f>
        <v>2025</v>
      </c>
      <c r="D47" s="102" t="s">
        <v>446</v>
      </c>
      <c r="E47" s="469">
        <f>Table10[[#This Row],[Date]]-DAY(Table10[[#This Row],[Date]])+1</f>
        <v>45778</v>
      </c>
      <c r="F47" s="470">
        <v>45787</v>
      </c>
      <c r="G47" s="102" t="s">
        <v>90</v>
      </c>
      <c r="H47" s="102" t="str">
        <f>IFERROR(_xlfn.XLOOKUP(Table10[[#This Row],[Affected Feeder ]],'Basic Data'!$A$43:$A$70,'Basic Data'!$B$43:$B$70),"")</f>
        <v>TQGXIIPL</v>
      </c>
      <c r="I47" s="102" t="str">
        <f>IFERROR(_xlfn.XLOOKUP(Table10[[#This Row],[Affected Feeder ]],'Basic Data'!$A$43:$A$70,'Basic Data'!$C$43:$C$70),"")</f>
        <v>GEDA</v>
      </c>
      <c r="J47" s="482">
        <f>IFERROR(_xlfn.XLOOKUP(Table10[[#This Row],[Affected Feeder ]],'Basic Data'!$A$43:$A$70,'Basic Data'!$E$43:$E$70),"")</f>
        <v>3.846153846153845E-2</v>
      </c>
      <c r="K47" s="483" t="s">
        <v>1796</v>
      </c>
      <c r="L47" s="484">
        <v>0.60833333333333328</v>
      </c>
      <c r="M47" s="484">
        <v>0.60833333333333328</v>
      </c>
      <c r="N47" s="484">
        <v>0.69305555555555554</v>
      </c>
      <c r="O47" s="101">
        <f>(Table10[[#This Row],[Work Start TimeStamp]]-Table10[[#This Row],[Fault Start TimeStamp]])*24</f>
        <v>0</v>
      </c>
      <c r="P47" s="101">
        <f>IF(Table10[[#This Row],[Work Start TimeStamp]]="","",(Table10[[#This Row],[Fault Clearance time]]-Table10[[#This Row],[Work Start TimeStamp]])*24)</f>
        <v>2.0333333333333341</v>
      </c>
      <c r="Q47" s="101">
        <f>(Table10[[#This Row],[Fault Clearance time]]-Table10[[#This Row],[Fault Start TimeStamp]])*24</f>
        <v>2.0333333333333341</v>
      </c>
      <c r="R47" s="483" t="s">
        <v>1797</v>
      </c>
      <c r="S47" s="102" t="s">
        <v>293</v>
      </c>
      <c r="T47" s="485">
        <f>IFERROR(Table10[[#This Row],[Breakdown Time]]*Table10[[#This Row],[Plant Equivalent Weightage]],"")</f>
        <v>7.8205128205128205E-2</v>
      </c>
      <c r="U47" s="102" t="s">
        <v>450</v>
      </c>
      <c r="V47" s="547">
        <f>IFERROR(_xlfn.XLOOKUP(Table10[[#This Row],[Date]],'Daily KPI'!$A:$A,'Daily KPI'!$M:$M),"")</f>
        <v>4.9289662776948795</v>
      </c>
      <c r="W47" s="102">
        <v>384</v>
      </c>
      <c r="X47" s="102">
        <f>Table10[[#This Row],[WTG Loss]]*1*Table10[[#This Row],[Breakdown Time]]</f>
        <v>780.8000000000003</v>
      </c>
      <c r="Y47" s="102" t="s">
        <v>449</v>
      </c>
      <c r="Z47" s="102"/>
      <c r="AA47" s="102"/>
    </row>
    <row r="48" spans="1:27">
      <c r="A48" s="102">
        <f t="shared" si="1"/>
        <v>47</v>
      </c>
      <c r="B48" s="102">
        <f>YEAR(Table10[[#This Row],[Date]])+IF(MONTH(Table10[[#This Row],[Date]])&gt;=4,1,0)</f>
        <v>2026</v>
      </c>
      <c r="C48" s="102">
        <f>YEAR(Table10[[#This Row],[Date]])</f>
        <v>2025</v>
      </c>
      <c r="D48" s="102" t="s">
        <v>446</v>
      </c>
      <c r="E48" s="469">
        <f>Table10[[#This Row],[Date]]-DAY(Table10[[#This Row],[Date]])+1</f>
        <v>45778</v>
      </c>
      <c r="F48" s="470">
        <v>45787</v>
      </c>
      <c r="G48" s="102" t="s">
        <v>95</v>
      </c>
      <c r="H48" s="102" t="str">
        <f>IFERROR(_xlfn.XLOOKUP(Table10[[#This Row],[Affected Feeder ]],'Basic Data'!$A$43:$A$70,'Basic Data'!$B$43:$B$70),"")</f>
        <v>TQGXIIPL</v>
      </c>
      <c r="I48" s="102" t="str">
        <f>IFERROR(_xlfn.XLOOKUP(Table10[[#This Row],[Affected Feeder ]],'Basic Data'!$A$43:$A$70,'Basic Data'!$C$43:$C$70),"")</f>
        <v>GEDA</v>
      </c>
      <c r="J48" s="482">
        <f>IFERROR(_xlfn.XLOOKUP(Table10[[#This Row],[Affected Feeder ]],'Basic Data'!$A$43:$A$70,'Basic Data'!$E$43:$E$70),"")</f>
        <v>3.846153846153845E-2</v>
      </c>
      <c r="K48" s="483" t="s">
        <v>467</v>
      </c>
      <c r="L48" s="484">
        <v>0.60833333333333328</v>
      </c>
      <c r="M48" s="484">
        <v>0.60833333333333328</v>
      </c>
      <c r="N48" s="484">
        <v>0.69305555555555554</v>
      </c>
      <c r="O48" s="101">
        <f>(Table10[[#This Row],[Work Start TimeStamp]]-Table10[[#This Row],[Fault Start TimeStamp]])*24</f>
        <v>0</v>
      </c>
      <c r="P48" s="101">
        <f>IF(Table10[[#This Row],[Work Start TimeStamp]]="","",(Table10[[#This Row],[Fault Clearance time]]-Table10[[#This Row],[Work Start TimeStamp]])*24)</f>
        <v>2.0333333333333341</v>
      </c>
      <c r="Q48" s="101">
        <f>(Table10[[#This Row],[Fault Clearance time]]-Table10[[#This Row],[Fault Start TimeStamp]])*24</f>
        <v>2.0333333333333341</v>
      </c>
      <c r="R48" s="483" t="s">
        <v>1797</v>
      </c>
      <c r="S48" s="102" t="s">
        <v>293</v>
      </c>
      <c r="T48" s="485">
        <f>IFERROR(Table10[[#This Row],[Breakdown Time]]*Table10[[#This Row],[Plant Equivalent Weightage]],"")</f>
        <v>7.8205128205128205E-2</v>
      </c>
      <c r="U48" s="102" t="s">
        <v>450</v>
      </c>
      <c r="V48" s="547">
        <f>IFERROR(_xlfn.XLOOKUP(Table10[[#This Row],[Date]],'Daily KPI'!$A:$A,'Daily KPI'!$M:$M),"")</f>
        <v>4.9289662776948795</v>
      </c>
      <c r="W48" s="102">
        <v>384</v>
      </c>
      <c r="X48" s="102">
        <f>Table10[[#This Row],[WTG Loss]]*1*Table10[[#This Row],[Breakdown Time]]</f>
        <v>780.8000000000003</v>
      </c>
      <c r="Y48" s="102" t="s">
        <v>449</v>
      </c>
      <c r="Z48" s="102"/>
      <c r="AA48" s="102"/>
    </row>
    <row r="49" spans="1:27">
      <c r="A49" s="102">
        <f t="shared" si="1"/>
        <v>48</v>
      </c>
      <c r="B49" s="102">
        <f>YEAR(Table10[[#This Row],[Date]])+IF(MONTH(Table10[[#This Row],[Date]])&gt;=4,1,0)</f>
        <v>2026</v>
      </c>
      <c r="C49" s="102">
        <f>YEAR(Table10[[#This Row],[Date]])</f>
        <v>2025</v>
      </c>
      <c r="D49" s="102" t="s">
        <v>446</v>
      </c>
      <c r="E49" s="469">
        <f>Table10[[#This Row],[Date]]-DAY(Table10[[#This Row],[Date]])+1</f>
        <v>45778</v>
      </c>
      <c r="F49" s="470">
        <v>45787</v>
      </c>
      <c r="G49" s="102" t="s">
        <v>92</v>
      </c>
      <c r="H49" s="102" t="str">
        <f>IFERROR(_xlfn.XLOOKUP(Table10[[#This Row],[Affected Feeder ]],'Basic Data'!$A$43:$A$70,'Basic Data'!$B$43:$B$70),"")</f>
        <v>TQGXIIPL</v>
      </c>
      <c r="I49" s="102" t="str">
        <f>IFERROR(_xlfn.XLOOKUP(Table10[[#This Row],[Affected Feeder ]],'Basic Data'!$A$43:$A$70,'Basic Data'!$C$43:$C$70),"")</f>
        <v>GEDA</v>
      </c>
      <c r="J49" s="482">
        <f>IFERROR(_xlfn.XLOOKUP(Table10[[#This Row],[Affected Feeder ]],'Basic Data'!$A$43:$A$70,'Basic Data'!$E$43:$E$70),"")</f>
        <v>3.846153846153845E-2</v>
      </c>
      <c r="K49" s="483" t="s">
        <v>458</v>
      </c>
      <c r="L49" s="484">
        <v>0</v>
      </c>
      <c r="M49" s="484">
        <v>0</v>
      </c>
      <c r="N49" s="484">
        <v>0.99998842592592596</v>
      </c>
      <c r="O49" s="101">
        <f>(Table10[[#This Row],[Work Start TimeStamp]]-Table10[[#This Row],[Fault Start TimeStamp]])*24</f>
        <v>0</v>
      </c>
      <c r="P49" s="101">
        <f>IF(Table10[[#This Row],[Work Start TimeStamp]]="","",(Table10[[#This Row],[Fault Clearance time]]-Table10[[#This Row],[Work Start TimeStamp]])*24)</f>
        <v>23.999722222222225</v>
      </c>
      <c r="Q49" s="101">
        <f>(Table10[[#This Row],[Fault Clearance time]]-Table10[[#This Row],[Fault Start TimeStamp]])*24</f>
        <v>23.999722222222225</v>
      </c>
      <c r="R49" s="483" t="s">
        <v>1798</v>
      </c>
      <c r="S49" s="102" t="s">
        <v>289</v>
      </c>
      <c r="T49" s="485">
        <f>IFERROR(Table10[[#This Row],[Breakdown Time]]*Table10[[#This Row],[Plant Equivalent Weightage]],"")</f>
        <v>0.9230662393162391</v>
      </c>
      <c r="U49" s="102" t="s">
        <v>450</v>
      </c>
      <c r="V49" s="547">
        <f>IFERROR(_xlfn.XLOOKUP(Table10[[#This Row],[Date]],'Daily KPI'!$A:$A,'Daily KPI'!$M:$M),"")</f>
        <v>4.9289662776948795</v>
      </c>
      <c r="W49" s="102">
        <v>384</v>
      </c>
      <c r="X49" s="102">
        <f>Table10[[#This Row],[WTG Loss]]*1*Table10[[#This Row],[Breakdown Time]]</f>
        <v>9215.8933333333334</v>
      </c>
      <c r="Y49" s="102" t="s">
        <v>449</v>
      </c>
      <c r="Z49" s="102"/>
      <c r="AA49" s="102"/>
    </row>
    <row r="50" spans="1:27">
      <c r="A50" s="102">
        <f t="shared" si="1"/>
        <v>49</v>
      </c>
      <c r="B50" s="102">
        <f>YEAR(Table10[[#This Row],[Date]])+IF(MONTH(Table10[[#This Row],[Date]])&gt;=4,1,0)</f>
        <v>2026</v>
      </c>
      <c r="C50" s="102">
        <f>YEAR(Table10[[#This Row],[Date]])</f>
        <v>2025</v>
      </c>
      <c r="D50" s="102" t="s">
        <v>446</v>
      </c>
      <c r="E50" s="469">
        <f>Table10[[#This Row],[Date]]-DAY(Table10[[#This Row],[Date]])+1</f>
        <v>45778</v>
      </c>
      <c r="F50" s="470">
        <v>45788</v>
      </c>
      <c r="G50" s="102" t="s">
        <v>451</v>
      </c>
      <c r="H50" s="102" t="str">
        <f>IFERROR(_xlfn.XLOOKUP(Table10[[#This Row],[Affected Feeder ]],'Basic Data'!$A$43:$A$70,'Basic Data'!$B$43:$B$70),"")</f>
        <v>TQGXIIPL</v>
      </c>
      <c r="I50" s="102" t="str">
        <f>IFERROR(_xlfn.XLOOKUP(Table10[[#This Row],[Affected Feeder ]],'Basic Data'!$A$43:$A$70,'Basic Data'!$C$43:$C$70),"")</f>
        <v>GEDA</v>
      </c>
      <c r="J50" s="482">
        <f>IFERROR(_xlfn.XLOOKUP(Table10[[#This Row],[Affected Feeder ]],'Basic Data'!$A$43:$A$70,'Basic Data'!$E$43:$E$70),"")</f>
        <v>0.49999999999999978</v>
      </c>
      <c r="K50" s="483" t="s">
        <v>1791</v>
      </c>
      <c r="L50" s="484">
        <v>0.68125000000000002</v>
      </c>
      <c r="M50" s="484">
        <v>0.68125000000000002</v>
      </c>
      <c r="N50" s="484">
        <v>0.72569444444444442</v>
      </c>
      <c r="O50" s="101">
        <f>(Table10[[#This Row],[Work Start TimeStamp]]-Table10[[#This Row],[Fault Start TimeStamp]])*24</f>
        <v>0</v>
      </c>
      <c r="P50" s="101">
        <f>IF(Table10[[#This Row],[Work Start TimeStamp]]="","",(Table10[[#This Row],[Fault Clearance time]]-Table10[[#This Row],[Work Start TimeStamp]])*24)</f>
        <v>1.0666666666666655</v>
      </c>
      <c r="Q50" s="101">
        <f>(Table10[[#This Row],[Fault Clearance time]]-Table10[[#This Row],[Fault Start TimeStamp]])*24</f>
        <v>1.0666666666666655</v>
      </c>
      <c r="R50" s="483" t="s">
        <v>1914</v>
      </c>
      <c r="S50" s="102" t="s">
        <v>293</v>
      </c>
      <c r="T50" s="485">
        <f>IFERROR(Table10[[#This Row],[Breakdown Time]]*Table10[[#This Row],[Plant Equivalent Weightage]],"")</f>
        <v>0.53333333333333255</v>
      </c>
      <c r="U50" s="102" t="s">
        <v>450</v>
      </c>
      <c r="V50" s="547">
        <f>IFERROR(_xlfn.XLOOKUP(Table10[[#This Row],[Date]],'Daily KPI'!$A:$A,'Daily KPI'!$M:$M),"")</f>
        <v>4.7261538461538457</v>
      </c>
      <c r="W50" s="102">
        <v>340</v>
      </c>
      <c r="X50" s="102">
        <f>Table10[[#This Row],[WTG Loss]]*13*Table10[[#This Row],[Breakdown Time]]</f>
        <v>4714.6666666666615</v>
      </c>
      <c r="Y50" s="102" t="s">
        <v>449</v>
      </c>
      <c r="Z50" s="102"/>
      <c r="AA50" s="102"/>
    </row>
    <row r="51" spans="1:27">
      <c r="A51" s="102">
        <f t="shared" si="1"/>
        <v>50</v>
      </c>
      <c r="B51" s="102">
        <f>YEAR(Table10[[#This Row],[Date]])+IF(MONTH(Table10[[#This Row],[Date]])&gt;=4,1,0)</f>
        <v>2026</v>
      </c>
      <c r="C51" s="102">
        <f>YEAR(Table10[[#This Row],[Date]])</f>
        <v>2025</v>
      </c>
      <c r="D51" s="102" t="s">
        <v>446</v>
      </c>
      <c r="E51" s="469">
        <f>Table10[[#This Row],[Date]]-DAY(Table10[[#This Row],[Date]])+1</f>
        <v>45778</v>
      </c>
      <c r="F51" s="470">
        <v>45788</v>
      </c>
      <c r="G51" s="102" t="s">
        <v>447</v>
      </c>
      <c r="H51" s="102" t="str">
        <f>IFERROR(_xlfn.XLOOKUP(Table10[[#This Row],[Affected Feeder ]],'Basic Data'!$A$43:$A$70,'Basic Data'!$B$43:$B$70),"")</f>
        <v>TQGXIIPL</v>
      </c>
      <c r="I51" s="102" t="str">
        <f>IFERROR(_xlfn.XLOOKUP(Table10[[#This Row],[Affected Feeder ]],'Basic Data'!$A$43:$A$70,'Basic Data'!$C$43:$C$70),"")</f>
        <v>GEDA</v>
      </c>
      <c r="J51" s="482">
        <f>IFERROR(_xlfn.XLOOKUP(Table10[[#This Row],[Affected Feeder ]],'Basic Data'!$A$43:$A$70,'Basic Data'!$E$43:$E$70),"")</f>
        <v>0.49999999999999978</v>
      </c>
      <c r="K51" s="483" t="s">
        <v>1812</v>
      </c>
      <c r="L51" s="484">
        <v>0.73472222222222228</v>
      </c>
      <c r="M51" s="484">
        <v>0.73472222222222228</v>
      </c>
      <c r="N51" s="484">
        <v>0.75694444444444442</v>
      </c>
      <c r="O51" s="101">
        <f>(Table10[[#This Row],[Work Start TimeStamp]]-Table10[[#This Row],[Fault Start TimeStamp]])*24</f>
        <v>0</v>
      </c>
      <c r="P51" s="101">
        <f>IF(Table10[[#This Row],[Work Start TimeStamp]]="","",(Table10[[#This Row],[Fault Clearance time]]-Table10[[#This Row],[Work Start TimeStamp]])*24)</f>
        <v>0.53333333333333144</v>
      </c>
      <c r="Q51" s="101">
        <f>(Table10[[#This Row],[Fault Clearance time]]-Table10[[#This Row],[Fault Start TimeStamp]])*24</f>
        <v>0.53333333333333144</v>
      </c>
      <c r="R51" s="483" t="s">
        <v>1809</v>
      </c>
      <c r="S51" s="102" t="s">
        <v>293</v>
      </c>
      <c r="T51" s="485">
        <f>IFERROR(Table10[[#This Row],[Breakdown Time]]*Table10[[#This Row],[Plant Equivalent Weightage]],"")</f>
        <v>0.26666666666666561</v>
      </c>
      <c r="U51" s="102" t="s">
        <v>450</v>
      </c>
      <c r="V51" s="547">
        <f>IFERROR(_xlfn.XLOOKUP(Table10[[#This Row],[Date]],'Daily KPI'!$A:$A,'Daily KPI'!$M:$M),"")</f>
        <v>4.7261538461538457</v>
      </c>
      <c r="W51" s="102">
        <v>340</v>
      </c>
      <c r="X51" s="102">
        <f>Table10[[#This Row],[WTG Loss]]*13*Table10[[#This Row],[Breakdown Time]]</f>
        <v>2357.3333333333248</v>
      </c>
      <c r="Y51" s="102" t="s">
        <v>449</v>
      </c>
      <c r="Z51" s="102"/>
      <c r="AA51" s="102"/>
    </row>
    <row r="52" spans="1:27">
      <c r="A52" s="102">
        <f t="shared" si="1"/>
        <v>51</v>
      </c>
      <c r="B52" s="102">
        <f>YEAR(Table10[[#This Row],[Date]])+IF(MONTH(Table10[[#This Row],[Date]])&gt;=4,1,0)</f>
        <v>2026</v>
      </c>
      <c r="C52" s="102">
        <f>YEAR(Table10[[#This Row],[Date]])</f>
        <v>2025</v>
      </c>
      <c r="D52" s="102" t="s">
        <v>446</v>
      </c>
      <c r="E52" s="469">
        <f>Table10[[#This Row],[Date]]-DAY(Table10[[#This Row],[Date]])+1</f>
        <v>45778</v>
      </c>
      <c r="F52" s="470">
        <v>45788</v>
      </c>
      <c r="G52" s="102" t="s">
        <v>92</v>
      </c>
      <c r="H52" s="102" t="str">
        <f>IFERROR(_xlfn.XLOOKUP(Table10[[#This Row],[Affected Feeder ]],'Basic Data'!$A$43:$A$70,'Basic Data'!$B$43:$B$70),"")</f>
        <v>TQGXIIPL</v>
      </c>
      <c r="I52" s="102" t="str">
        <f>IFERROR(_xlfn.XLOOKUP(Table10[[#This Row],[Affected Feeder ]],'Basic Data'!$A$43:$A$70,'Basic Data'!$C$43:$C$70),"")</f>
        <v>GEDA</v>
      </c>
      <c r="J52" s="482">
        <f>IFERROR(_xlfn.XLOOKUP(Table10[[#This Row],[Affected Feeder ]],'Basic Data'!$A$43:$A$70,'Basic Data'!$E$43:$E$70),"")</f>
        <v>3.846153846153845E-2</v>
      </c>
      <c r="K52" s="483" t="s">
        <v>466</v>
      </c>
      <c r="L52" s="484">
        <v>0.72638888888888886</v>
      </c>
      <c r="M52" s="484">
        <v>0.72638888888888886</v>
      </c>
      <c r="N52" s="484">
        <v>0.80555555555555558</v>
      </c>
      <c r="O52" s="101">
        <f>(Table10[[#This Row],[Work Start TimeStamp]]-Table10[[#This Row],[Fault Start TimeStamp]])*24</f>
        <v>0</v>
      </c>
      <c r="P52" s="101">
        <f>IF(Table10[[#This Row],[Work Start TimeStamp]]="","",(Table10[[#This Row],[Fault Clearance time]]-Table10[[#This Row],[Work Start TimeStamp]])*24)</f>
        <v>1.9000000000000012</v>
      </c>
      <c r="Q52" s="101">
        <f>(Table10[[#This Row],[Fault Clearance time]]-Table10[[#This Row],[Fault Start TimeStamp]])*24</f>
        <v>1.9000000000000012</v>
      </c>
      <c r="R52" s="483" t="s">
        <v>1810</v>
      </c>
      <c r="S52" s="102" t="s">
        <v>293</v>
      </c>
      <c r="T52" s="485">
        <f>IFERROR(Table10[[#This Row],[Breakdown Time]]*Table10[[#This Row],[Plant Equivalent Weightage]],"")</f>
        <v>7.3076923076923109E-2</v>
      </c>
      <c r="U52" s="102" t="s">
        <v>450</v>
      </c>
      <c r="V52" s="547">
        <f>IFERROR(_xlfn.XLOOKUP(Table10[[#This Row],[Date]],'Daily KPI'!$A:$A,'Daily KPI'!$M:$M),"")</f>
        <v>4.7261538461538457</v>
      </c>
      <c r="W52" s="102">
        <v>340</v>
      </c>
      <c r="X52" s="102">
        <f>Table10[[#This Row],[WTG Loss]]*1*Table10[[#This Row],[Breakdown Time]]</f>
        <v>646.00000000000045</v>
      </c>
      <c r="Y52" s="102" t="s">
        <v>449</v>
      </c>
      <c r="Z52" s="102"/>
      <c r="AA52" s="102"/>
    </row>
    <row r="53" spans="1:27">
      <c r="A53" s="102">
        <f t="shared" si="1"/>
        <v>52</v>
      </c>
      <c r="B53" s="102">
        <f>YEAR(Table10[[#This Row],[Date]])+IF(MONTH(Table10[[#This Row],[Date]])&gt;=4,1,0)</f>
        <v>2026</v>
      </c>
      <c r="C53" s="102">
        <f>YEAR(Table10[[#This Row],[Date]])</f>
        <v>2025</v>
      </c>
      <c r="D53" s="102" t="s">
        <v>446</v>
      </c>
      <c r="E53" s="469">
        <f>Table10[[#This Row],[Date]]-DAY(Table10[[#This Row],[Date]])+1</f>
        <v>45778</v>
      </c>
      <c r="F53" s="470">
        <v>45788</v>
      </c>
      <c r="G53" s="102" t="s">
        <v>451</v>
      </c>
      <c r="H53" s="102" t="str">
        <f>IFERROR(_xlfn.XLOOKUP(Table10[[#This Row],[Affected Feeder ]],'Basic Data'!$A$43:$A$70,'Basic Data'!$B$43:$B$70),"")</f>
        <v>TQGXIIPL</v>
      </c>
      <c r="I53" s="102" t="str">
        <f>IFERROR(_xlfn.XLOOKUP(Table10[[#This Row],[Affected Feeder ]],'Basic Data'!$A$43:$A$70,'Basic Data'!$C$43:$C$70),"")</f>
        <v>GEDA</v>
      </c>
      <c r="J53" s="482">
        <f>IFERROR(_xlfn.XLOOKUP(Table10[[#This Row],[Affected Feeder ]],'Basic Data'!$A$43:$A$70,'Basic Data'!$E$43:$E$70),"")</f>
        <v>0.49999999999999978</v>
      </c>
      <c r="K53" s="483" t="s">
        <v>1811</v>
      </c>
      <c r="L53" s="484">
        <v>0</v>
      </c>
      <c r="M53" s="484">
        <v>0</v>
      </c>
      <c r="N53" s="484">
        <v>4.1666666666666666E-3</v>
      </c>
      <c r="O53" s="101">
        <f>(Table10[[#This Row],[Work Start TimeStamp]]-Table10[[#This Row],[Fault Start TimeStamp]])*24</f>
        <v>0</v>
      </c>
      <c r="P53" s="101">
        <f>IF(Table10[[#This Row],[Work Start TimeStamp]]="","",(Table10[[#This Row],[Fault Clearance time]]-Table10[[#This Row],[Work Start TimeStamp]])*24)</f>
        <v>0.1</v>
      </c>
      <c r="Q53" s="101">
        <f>(Table10[[#This Row],[Fault Clearance time]]-Table10[[#This Row],[Fault Start TimeStamp]])*24</f>
        <v>0.1</v>
      </c>
      <c r="R53" s="483" t="s">
        <v>1811</v>
      </c>
      <c r="S53" s="102" t="s">
        <v>293</v>
      </c>
      <c r="T53" s="485">
        <f>IFERROR(Table10[[#This Row],[Breakdown Time]]*Table10[[#This Row],[Plant Equivalent Weightage]],"")</f>
        <v>4.9999999999999982E-2</v>
      </c>
      <c r="U53" s="102" t="s">
        <v>450</v>
      </c>
      <c r="V53" s="547">
        <f>IFERROR(_xlfn.XLOOKUP(Table10[[#This Row],[Date]],'Daily KPI'!$A:$A,'Daily KPI'!$M:$M),"")</f>
        <v>4.7261538461538457</v>
      </c>
      <c r="W53" s="102">
        <v>340</v>
      </c>
      <c r="X53" s="102">
        <f>Table10[[#This Row],[WTG Loss]]*13*Table10[[#This Row],[Breakdown Time]]</f>
        <v>442</v>
      </c>
      <c r="Y53" s="102" t="s">
        <v>449</v>
      </c>
      <c r="Z53" s="102"/>
      <c r="AA53" s="102"/>
    </row>
    <row r="54" spans="1:27">
      <c r="A54" s="102">
        <f t="shared" si="1"/>
        <v>53</v>
      </c>
      <c r="B54" s="102">
        <f>YEAR(Table10[[#This Row],[Date]])+IF(MONTH(Table10[[#This Row],[Date]])&gt;=4,1,0)</f>
        <v>2026</v>
      </c>
      <c r="C54" s="102">
        <f>YEAR(Table10[[#This Row],[Date]])</f>
        <v>2025</v>
      </c>
      <c r="D54" s="102" t="s">
        <v>446</v>
      </c>
      <c r="E54" s="469">
        <f>Table10[[#This Row],[Date]]-DAY(Table10[[#This Row],[Date]])+1</f>
        <v>45778</v>
      </c>
      <c r="F54" s="470">
        <v>45789</v>
      </c>
      <c r="G54" s="102" t="s">
        <v>451</v>
      </c>
      <c r="H54" s="102" t="str">
        <f>IFERROR(_xlfn.XLOOKUP(Table10[[#This Row],[Affected Feeder ]],'Basic Data'!$A$43:$A$70,'Basic Data'!$B$43:$B$70),"")</f>
        <v>TQGXIIPL</v>
      </c>
      <c r="I54" s="102" t="str">
        <f>IFERROR(_xlfn.XLOOKUP(Table10[[#This Row],[Affected Feeder ]],'Basic Data'!$A$43:$A$70,'Basic Data'!$C$43:$C$70),"")</f>
        <v>GEDA</v>
      </c>
      <c r="J54" s="482">
        <f>IFERROR(_xlfn.XLOOKUP(Table10[[#This Row],[Affected Feeder ]],'Basic Data'!$A$43:$A$70,'Basic Data'!$E$43:$E$70),"")</f>
        <v>0.49999999999999978</v>
      </c>
      <c r="K54" s="483" t="s">
        <v>1791</v>
      </c>
      <c r="L54" s="484">
        <v>0.63611111111111107</v>
      </c>
      <c r="M54" s="484">
        <v>0.63611111111111107</v>
      </c>
      <c r="N54" s="484">
        <v>0.68472222222222223</v>
      </c>
      <c r="O54" s="101">
        <f>(Table10[[#This Row],[Work Start TimeStamp]]-Table10[[#This Row],[Fault Start TimeStamp]])*24</f>
        <v>0</v>
      </c>
      <c r="P54" s="101">
        <f>IF(Table10[[#This Row],[Work Start TimeStamp]]="","",(Table10[[#This Row],[Fault Clearance time]]-Table10[[#This Row],[Work Start TimeStamp]])*24)</f>
        <v>1.1666666666666679</v>
      </c>
      <c r="Q54" s="101">
        <f>(Table10[[#This Row],[Fault Clearance time]]-Table10[[#This Row],[Fault Start TimeStamp]])*24</f>
        <v>1.1666666666666679</v>
      </c>
      <c r="R54" s="483" t="s">
        <v>1914</v>
      </c>
      <c r="S54" s="102" t="s">
        <v>293</v>
      </c>
      <c r="T54" s="485">
        <f>IFERROR(Table10[[#This Row],[Breakdown Time]]*Table10[[#This Row],[Plant Equivalent Weightage]],"")</f>
        <v>0.5833333333333337</v>
      </c>
      <c r="U54" s="102" t="s">
        <v>450</v>
      </c>
      <c r="V54" s="547">
        <f>IFERROR(_xlfn.XLOOKUP(Table10[[#This Row],[Date]],'Daily KPI'!$A:$A,'Daily KPI'!$M:$M),"")</f>
        <v>4.9300000000000006</v>
      </c>
      <c r="W54" s="102">
        <v>384</v>
      </c>
      <c r="X54" s="102">
        <f>Table10[[#This Row],[WTG Loss]]*13*Table10[[#This Row],[Breakdown Time]]</f>
        <v>5824.0000000000055</v>
      </c>
      <c r="Y54" s="102" t="s">
        <v>449</v>
      </c>
      <c r="Z54" s="102"/>
      <c r="AA54" s="102"/>
    </row>
    <row r="55" spans="1:27">
      <c r="A55" s="102">
        <f t="shared" si="1"/>
        <v>54</v>
      </c>
      <c r="B55" s="102">
        <f>YEAR(Table10[[#This Row],[Date]])+IF(MONTH(Table10[[#This Row],[Date]])&gt;=4,1,0)</f>
        <v>2026</v>
      </c>
      <c r="C55" s="102">
        <f>YEAR(Table10[[#This Row],[Date]])</f>
        <v>2025</v>
      </c>
      <c r="D55" s="102" t="s">
        <v>446</v>
      </c>
      <c r="E55" s="469">
        <f>Table10[[#This Row],[Date]]-DAY(Table10[[#This Row],[Date]])+1</f>
        <v>45778</v>
      </c>
      <c r="F55" s="470">
        <v>45789</v>
      </c>
      <c r="G55" s="102" t="s">
        <v>92</v>
      </c>
      <c r="H55" s="102" t="str">
        <f>IFERROR(_xlfn.XLOOKUP(Table10[[#This Row],[Affected Feeder ]],'Basic Data'!$A$43:$A$70,'Basic Data'!$B$43:$B$70),"")</f>
        <v>TQGXIIPL</v>
      </c>
      <c r="I55" s="102" t="str">
        <f>IFERROR(_xlfn.XLOOKUP(Table10[[#This Row],[Affected Feeder ]],'Basic Data'!$A$43:$A$70,'Basic Data'!$C$43:$C$70),"")</f>
        <v>GEDA</v>
      </c>
      <c r="J55" s="482">
        <f>IFERROR(_xlfn.XLOOKUP(Table10[[#This Row],[Affected Feeder ]],'Basic Data'!$A$43:$A$70,'Basic Data'!$E$43:$E$70),"")</f>
        <v>3.846153846153845E-2</v>
      </c>
      <c r="K55" s="483" t="s">
        <v>1814</v>
      </c>
      <c r="L55" s="484">
        <v>0.68541666666666667</v>
      </c>
      <c r="M55" s="484">
        <v>0.68541666666666667</v>
      </c>
      <c r="N55" s="484">
        <v>0.86250000000000004</v>
      </c>
      <c r="O55" s="101">
        <f>(Table10[[#This Row],[Work Start TimeStamp]]-Table10[[#This Row],[Fault Start TimeStamp]])*24</f>
        <v>0</v>
      </c>
      <c r="P55" s="101">
        <f>IF(Table10[[#This Row],[Work Start TimeStamp]]="","",(Table10[[#This Row],[Fault Clearance time]]-Table10[[#This Row],[Work Start TimeStamp]])*24)</f>
        <v>4.2500000000000009</v>
      </c>
      <c r="Q55" s="101">
        <f>(Table10[[#This Row],[Fault Clearance time]]-Table10[[#This Row],[Fault Start TimeStamp]])*24</f>
        <v>4.2500000000000009</v>
      </c>
      <c r="R55" s="483" t="s">
        <v>1815</v>
      </c>
      <c r="S55" s="102" t="s">
        <v>293</v>
      </c>
      <c r="T55" s="485">
        <f>IFERROR(Table10[[#This Row],[Breakdown Time]]*Table10[[#This Row],[Plant Equivalent Weightage]],"")</f>
        <v>0.16346153846153844</v>
      </c>
      <c r="U55" s="102" t="s">
        <v>450</v>
      </c>
      <c r="V55" s="547">
        <f>IFERROR(_xlfn.XLOOKUP(Table10[[#This Row],[Date]],'Daily KPI'!$A:$A,'Daily KPI'!$M:$M),"")</f>
        <v>4.9300000000000006</v>
      </c>
      <c r="W55" s="102">
        <v>384</v>
      </c>
      <c r="X55" s="102">
        <f>Table10[[#This Row],[WTG Loss]]*1*Table10[[#This Row],[Breakdown Time]]</f>
        <v>1632.0000000000005</v>
      </c>
      <c r="Y55" s="102" t="s">
        <v>449</v>
      </c>
      <c r="Z55" s="102"/>
      <c r="AA55" s="102"/>
    </row>
    <row r="56" spans="1:27">
      <c r="A56" s="102">
        <f t="shared" si="1"/>
        <v>55</v>
      </c>
      <c r="B56" s="102">
        <f>YEAR(Table10[[#This Row],[Date]])+IF(MONTH(Table10[[#This Row],[Date]])&gt;=4,1,0)</f>
        <v>2026</v>
      </c>
      <c r="C56" s="102">
        <f>YEAR(Table10[[#This Row],[Date]])</f>
        <v>2025</v>
      </c>
      <c r="D56" s="102" t="s">
        <v>446</v>
      </c>
      <c r="E56" s="469">
        <f>Table10[[#This Row],[Date]]-DAY(Table10[[#This Row],[Date]])+1</f>
        <v>45778</v>
      </c>
      <c r="F56" s="470">
        <v>45790</v>
      </c>
      <c r="G56" s="102" t="s">
        <v>80</v>
      </c>
      <c r="H56" s="102" t="str">
        <f>IFERROR(_xlfn.XLOOKUP(Table10[[#This Row],[Affected Feeder ]],'Basic Data'!$A$43:$A$70,'Basic Data'!$B$43:$B$70),"")</f>
        <v>TQGXIIPL</v>
      </c>
      <c r="I56" s="102" t="str">
        <f>IFERROR(_xlfn.XLOOKUP(Table10[[#This Row],[Affected Feeder ]],'Basic Data'!$A$43:$A$70,'Basic Data'!$C$43:$C$70),"")</f>
        <v>GEDA</v>
      </c>
      <c r="J56" s="482">
        <f>IFERROR(_xlfn.XLOOKUP(Table10[[#This Row],[Affected Feeder ]],'Basic Data'!$A$43:$A$70,'Basic Data'!$E$43:$E$70),"")</f>
        <v>3.846153846153845E-2</v>
      </c>
      <c r="K56" s="483" t="s">
        <v>459</v>
      </c>
      <c r="L56" s="484">
        <v>0.93680555555555556</v>
      </c>
      <c r="M56" s="484">
        <v>0.93680555555555556</v>
      </c>
      <c r="N56" s="484">
        <v>0.99998842592592596</v>
      </c>
      <c r="O56" s="101">
        <f>(Table10[[#This Row],[Work Start TimeStamp]]-Table10[[#This Row],[Fault Start TimeStamp]])*24</f>
        <v>0</v>
      </c>
      <c r="P56" s="101">
        <f>IF(Table10[[#This Row],[Work Start TimeStamp]]="","",(Table10[[#This Row],[Fault Clearance time]]-Table10[[#This Row],[Work Start TimeStamp]])*24)</f>
        <v>1.5163888888888897</v>
      </c>
      <c r="Q56" s="101">
        <f>(Table10[[#This Row],[Fault Clearance time]]-Table10[[#This Row],[Fault Start TimeStamp]])*24</f>
        <v>1.5163888888888897</v>
      </c>
      <c r="R56" s="483" t="s">
        <v>1817</v>
      </c>
      <c r="S56" s="102" t="s">
        <v>293</v>
      </c>
      <c r="T56" s="485">
        <f>IFERROR(Table10[[#This Row],[Breakdown Time]]*Table10[[#This Row],[Plant Equivalent Weightage]],"")</f>
        <v>5.8322649572649585E-2</v>
      </c>
      <c r="U56" s="102" t="s">
        <v>450</v>
      </c>
      <c r="V56" s="547">
        <f>IFERROR(_xlfn.XLOOKUP(Table10[[#This Row],[Date]],'Daily KPI'!$A:$A,'Daily KPI'!$M:$M),"")</f>
        <v>5.2229000333455513</v>
      </c>
      <c r="W56" s="102">
        <v>469.4</v>
      </c>
      <c r="X56" s="102">
        <f>Table10[[#This Row],[WTG Loss]]*1*Table10[[#This Row],[Breakdown Time]]</f>
        <v>711.79294444444474</v>
      </c>
      <c r="Y56" s="102" t="s">
        <v>449</v>
      </c>
      <c r="Z56" s="102"/>
      <c r="AA56" s="102"/>
    </row>
    <row r="57" spans="1:27">
      <c r="A57" s="102">
        <f t="shared" si="1"/>
        <v>56</v>
      </c>
      <c r="B57" s="102">
        <f>YEAR(Table10[[#This Row],[Date]])+IF(MONTH(Table10[[#This Row],[Date]])&gt;=4,1,0)</f>
        <v>2026</v>
      </c>
      <c r="C57" s="102">
        <f>YEAR(Table10[[#This Row],[Date]])</f>
        <v>2025</v>
      </c>
      <c r="D57" s="102" t="s">
        <v>446</v>
      </c>
      <c r="E57" s="469">
        <f>Table10[[#This Row],[Date]]-DAY(Table10[[#This Row],[Date]])+1</f>
        <v>45778</v>
      </c>
      <c r="F57" s="470">
        <v>45791</v>
      </c>
      <c r="G57" s="102" t="s">
        <v>80</v>
      </c>
      <c r="H57" s="102" t="str">
        <f>IFERROR(_xlfn.XLOOKUP(Table10[[#This Row],[Affected Feeder ]],'Basic Data'!$A$43:$A$70,'Basic Data'!$B$43:$B$70),"")</f>
        <v>TQGXIIPL</v>
      </c>
      <c r="I57" s="102" t="str">
        <f>IFERROR(_xlfn.XLOOKUP(Table10[[#This Row],[Affected Feeder ]],'Basic Data'!$A$43:$A$70,'Basic Data'!$C$43:$C$70),"")</f>
        <v>GEDA</v>
      </c>
      <c r="J57" s="482">
        <f>IFERROR(_xlfn.XLOOKUP(Table10[[#This Row],[Affected Feeder ]],'Basic Data'!$A$43:$A$70,'Basic Data'!$E$43:$E$70),"")</f>
        <v>3.846153846153845E-2</v>
      </c>
      <c r="K57" s="483" t="s">
        <v>459</v>
      </c>
      <c r="L57" s="484">
        <v>0</v>
      </c>
      <c r="M57" s="484">
        <v>0</v>
      </c>
      <c r="N57" s="484">
        <v>4.1666666666666666E-3</v>
      </c>
      <c r="O57" s="101">
        <f>(Table10[[#This Row],[Work Start TimeStamp]]-Table10[[#This Row],[Fault Start TimeStamp]])*24</f>
        <v>0</v>
      </c>
      <c r="P57" s="101">
        <f>IF(Table10[[#This Row],[Work Start TimeStamp]]="","",(Table10[[#This Row],[Fault Clearance time]]-Table10[[#This Row],[Work Start TimeStamp]])*24)</f>
        <v>0.1</v>
      </c>
      <c r="Q57" s="101">
        <f>(Table10[[#This Row],[Fault Clearance time]]-Table10[[#This Row],[Fault Start TimeStamp]])*24</f>
        <v>0.1</v>
      </c>
      <c r="R57" s="483" t="s">
        <v>1820</v>
      </c>
      <c r="S57" s="102" t="s">
        <v>293</v>
      </c>
      <c r="T57" s="485">
        <f>IFERROR(Table10[[#This Row],[Breakdown Time]]*Table10[[#This Row],[Plant Equivalent Weightage]],"")</f>
        <v>3.8461538461538451E-3</v>
      </c>
      <c r="U57" s="102" t="s">
        <v>450</v>
      </c>
      <c r="V57" s="547">
        <f>IFERROR(_xlfn.XLOOKUP(Table10[[#This Row],[Date]],'Daily KPI'!$A:$A,'Daily KPI'!$M:$M),"")</f>
        <v>5.1362116483646725</v>
      </c>
      <c r="W57" s="102">
        <v>437.7</v>
      </c>
      <c r="X57" s="102">
        <f>Table10[[#This Row],[WTG Loss]]*1*Table10[[#This Row],[Breakdown Time]]</f>
        <v>43.77</v>
      </c>
      <c r="Y57" s="102" t="s">
        <v>449</v>
      </c>
      <c r="Z57" s="102"/>
      <c r="AA57" s="102"/>
    </row>
    <row r="58" spans="1:27">
      <c r="A58" s="102">
        <f t="shared" si="1"/>
        <v>57</v>
      </c>
      <c r="B58" s="102">
        <f>YEAR(Table10[[#This Row],[Date]])+IF(MONTH(Table10[[#This Row],[Date]])&gt;=4,1,0)</f>
        <v>2026</v>
      </c>
      <c r="C58" s="102">
        <f>YEAR(Table10[[#This Row],[Date]])</f>
        <v>2025</v>
      </c>
      <c r="D58" s="102" t="s">
        <v>446</v>
      </c>
      <c r="E58" s="469">
        <f>Table10[[#This Row],[Date]]-DAY(Table10[[#This Row],[Date]])+1</f>
        <v>45778</v>
      </c>
      <c r="F58" s="470">
        <v>45791</v>
      </c>
      <c r="G58" s="102" t="s">
        <v>80</v>
      </c>
      <c r="H58" s="102" t="str">
        <f>IFERROR(_xlfn.XLOOKUP(Table10[[#This Row],[Affected Feeder ]],'Basic Data'!$A$43:$A$70,'Basic Data'!$B$43:$B$70),"")</f>
        <v>TQGXIIPL</v>
      </c>
      <c r="I58" s="102" t="str">
        <f>IFERROR(_xlfn.XLOOKUP(Table10[[#This Row],[Affected Feeder ]],'Basic Data'!$A$43:$A$70,'Basic Data'!$C$43:$C$70),"")</f>
        <v>GEDA</v>
      </c>
      <c r="J58" s="482">
        <f>IFERROR(_xlfn.XLOOKUP(Table10[[#This Row],[Affected Feeder ]],'Basic Data'!$A$43:$A$70,'Basic Data'!$E$43:$E$70),"")</f>
        <v>3.846153846153845E-2</v>
      </c>
      <c r="K58" s="483" t="s">
        <v>459</v>
      </c>
      <c r="L58" s="484">
        <v>0.34513888888888888</v>
      </c>
      <c r="M58" s="484">
        <v>0.34513888888888888</v>
      </c>
      <c r="N58" s="484">
        <v>0.38333333333333336</v>
      </c>
      <c r="O58" s="101">
        <f>(Table10[[#This Row],[Work Start TimeStamp]]-Table10[[#This Row],[Fault Start TimeStamp]])*24</f>
        <v>0</v>
      </c>
      <c r="P58" s="101">
        <f>IF(Table10[[#This Row],[Work Start TimeStamp]]="","",(Table10[[#This Row],[Fault Clearance time]]-Table10[[#This Row],[Work Start TimeStamp]])*24)</f>
        <v>0.91666666666666741</v>
      </c>
      <c r="Q58" s="101">
        <f>(Table10[[#This Row],[Fault Clearance time]]-Table10[[#This Row],[Fault Start TimeStamp]])*24</f>
        <v>0.91666666666666741</v>
      </c>
      <c r="R58" s="483" t="s">
        <v>1821</v>
      </c>
      <c r="S58" s="102" t="s">
        <v>293</v>
      </c>
      <c r="T58" s="485">
        <f>IFERROR(Table10[[#This Row],[Breakdown Time]]*Table10[[#This Row],[Plant Equivalent Weightage]],"")</f>
        <v>3.5256410256410277E-2</v>
      </c>
      <c r="U58" s="102" t="s">
        <v>450</v>
      </c>
      <c r="V58" s="547">
        <f>IFERROR(_xlfn.XLOOKUP(Table10[[#This Row],[Date]],'Daily KPI'!$A:$A,'Daily KPI'!$M:$M),"")</f>
        <v>5.1362116483646725</v>
      </c>
      <c r="W58" s="102">
        <v>437.7</v>
      </c>
      <c r="X58" s="102">
        <f>Table10[[#This Row],[WTG Loss]]*1*Table10[[#This Row],[Breakdown Time]]</f>
        <v>401.22500000000031</v>
      </c>
      <c r="Y58" s="102" t="s">
        <v>449</v>
      </c>
      <c r="Z58" s="102"/>
      <c r="AA58" s="102"/>
    </row>
    <row r="59" spans="1:27">
      <c r="A59" s="102">
        <f t="shared" si="1"/>
        <v>58</v>
      </c>
      <c r="B59" s="102">
        <f>YEAR(Table10[[#This Row],[Date]])+IF(MONTH(Table10[[#This Row],[Date]])&gt;=4,1,0)</f>
        <v>2026</v>
      </c>
      <c r="C59" s="102">
        <f>YEAR(Table10[[#This Row],[Date]])</f>
        <v>2025</v>
      </c>
      <c r="D59" s="102" t="s">
        <v>446</v>
      </c>
      <c r="E59" s="469">
        <f>Table10[[#This Row],[Date]]-DAY(Table10[[#This Row],[Date]])+1</f>
        <v>45778</v>
      </c>
      <c r="F59" s="470">
        <v>45791</v>
      </c>
      <c r="G59" s="102" t="s">
        <v>80</v>
      </c>
      <c r="H59" s="102" t="str">
        <f>IFERROR(_xlfn.XLOOKUP(Table10[[#This Row],[Affected Feeder ]],'Basic Data'!$A$43:$A$70,'Basic Data'!$B$43:$B$70),"")</f>
        <v>TQGXIIPL</v>
      </c>
      <c r="I59" s="102" t="str">
        <f>IFERROR(_xlfn.XLOOKUP(Table10[[#This Row],[Affected Feeder ]],'Basic Data'!$A$43:$A$70,'Basic Data'!$C$43:$C$70),"")</f>
        <v>GEDA</v>
      </c>
      <c r="J59" s="482">
        <f>IFERROR(_xlfn.XLOOKUP(Table10[[#This Row],[Affected Feeder ]],'Basic Data'!$A$43:$A$70,'Basic Data'!$E$43:$E$70),"")</f>
        <v>3.846153846153845E-2</v>
      </c>
      <c r="K59" s="483" t="s">
        <v>459</v>
      </c>
      <c r="L59" s="484">
        <v>0.86944444444444446</v>
      </c>
      <c r="M59" s="484">
        <v>0.86944444444444446</v>
      </c>
      <c r="N59" s="484">
        <v>0.89722222222222225</v>
      </c>
      <c r="O59" s="101">
        <f>(Table10[[#This Row],[Work Start TimeStamp]]-Table10[[#This Row],[Fault Start TimeStamp]])*24</f>
        <v>0</v>
      </c>
      <c r="P59" s="101">
        <f>IF(Table10[[#This Row],[Work Start TimeStamp]]="","",(Table10[[#This Row],[Fault Clearance time]]-Table10[[#This Row],[Work Start TimeStamp]])*24)</f>
        <v>0.66666666666666696</v>
      </c>
      <c r="Q59" s="101">
        <f>(Table10[[#This Row],[Fault Clearance time]]-Table10[[#This Row],[Fault Start TimeStamp]])*24</f>
        <v>0.66666666666666696</v>
      </c>
      <c r="R59" s="483" t="s">
        <v>1821</v>
      </c>
      <c r="S59" s="102" t="s">
        <v>293</v>
      </c>
      <c r="T59" s="485">
        <f>IFERROR(Table10[[#This Row],[Breakdown Time]]*Table10[[#This Row],[Plant Equivalent Weightage]],"")</f>
        <v>2.5641025641025644E-2</v>
      </c>
      <c r="U59" s="102" t="s">
        <v>450</v>
      </c>
      <c r="V59" s="547">
        <f>IFERROR(_xlfn.XLOOKUP(Table10[[#This Row],[Date]],'Daily KPI'!$A:$A,'Daily KPI'!$M:$M),"")</f>
        <v>5.1362116483646725</v>
      </c>
      <c r="W59" s="102">
        <v>437.7</v>
      </c>
      <c r="X59" s="102">
        <f>Table10[[#This Row],[WTG Loss]]*1*Table10[[#This Row],[Breakdown Time]]</f>
        <v>291.80000000000013</v>
      </c>
      <c r="Y59" s="102" t="s">
        <v>449</v>
      </c>
      <c r="Z59" s="102"/>
      <c r="AA59" s="102"/>
    </row>
    <row r="60" spans="1:27">
      <c r="A60" s="102">
        <f t="shared" si="1"/>
        <v>59</v>
      </c>
      <c r="B60" s="102">
        <f>YEAR(Table10[[#This Row],[Date]])+IF(MONTH(Table10[[#This Row],[Date]])&gt;=4,1,0)</f>
        <v>2026</v>
      </c>
      <c r="C60" s="102">
        <f>YEAR(Table10[[#This Row],[Date]])</f>
        <v>2025</v>
      </c>
      <c r="D60" s="102" t="s">
        <v>446</v>
      </c>
      <c r="E60" s="469">
        <f>Table10[[#This Row],[Date]]-DAY(Table10[[#This Row],[Date]])+1</f>
        <v>45778</v>
      </c>
      <c r="F60" s="470">
        <v>45792</v>
      </c>
      <c r="G60" s="102" t="s">
        <v>451</v>
      </c>
      <c r="H60" s="102" t="str">
        <f>IFERROR(_xlfn.XLOOKUP(Table10[[#This Row],[Affected Feeder ]],'Basic Data'!$A$43:$A$70,'Basic Data'!$B$43:$B$70),"")</f>
        <v>TQGXIIPL</v>
      </c>
      <c r="I60" s="102" t="str">
        <f>IFERROR(_xlfn.XLOOKUP(Table10[[#This Row],[Affected Feeder ]],'Basic Data'!$A$43:$A$70,'Basic Data'!$C$43:$C$70),"")</f>
        <v>GEDA</v>
      </c>
      <c r="J60" s="482">
        <f>IFERROR(_xlfn.XLOOKUP(Table10[[#This Row],[Affected Feeder ]],'Basic Data'!$A$43:$A$70,'Basic Data'!$E$43:$E$70),"")</f>
        <v>0.49999999999999978</v>
      </c>
      <c r="K60" s="483" t="s">
        <v>1791</v>
      </c>
      <c r="L60" s="484">
        <v>0.74236111111111114</v>
      </c>
      <c r="M60" s="484">
        <v>0.74236111111111114</v>
      </c>
      <c r="N60" s="484">
        <v>0.76666666666666672</v>
      </c>
      <c r="O60" s="101">
        <f>(Table10[[#This Row],[Work Start TimeStamp]]-Table10[[#This Row],[Fault Start TimeStamp]])*24</f>
        <v>0</v>
      </c>
      <c r="P60" s="101">
        <f>IF(Table10[[#This Row],[Work Start TimeStamp]]="","",(Table10[[#This Row],[Fault Clearance time]]-Table10[[#This Row],[Work Start TimeStamp]])*24)</f>
        <v>0.58333333333333393</v>
      </c>
      <c r="Q60" s="101">
        <f>(Table10[[#This Row],[Fault Clearance time]]-Table10[[#This Row],[Fault Start TimeStamp]])*24</f>
        <v>0.58333333333333393</v>
      </c>
      <c r="R60" s="483" t="s">
        <v>1825</v>
      </c>
      <c r="S60" s="102" t="s">
        <v>293</v>
      </c>
      <c r="T60" s="485">
        <f>IFERROR(Table10[[#This Row],[Breakdown Time]]*Table10[[#This Row],[Plant Equivalent Weightage]],"")</f>
        <v>0.29166666666666685</v>
      </c>
      <c r="U60" s="102" t="s">
        <v>450</v>
      </c>
      <c r="V60" s="547">
        <f>IFERROR(_xlfn.XLOOKUP(Table10[[#This Row],[Date]],'Daily KPI'!$A:$A,'Daily KPI'!$M:$M),"")</f>
        <v>4.5068744442425146</v>
      </c>
      <c r="W60" s="102">
        <v>296</v>
      </c>
      <c r="X60" s="102">
        <f>Table10[[#This Row],[WTG Loss]]*13*Table10[[#This Row],[Breakdown Time]]</f>
        <v>2244.6666666666688</v>
      </c>
      <c r="Y60" s="102" t="s">
        <v>449</v>
      </c>
      <c r="Z60" s="102"/>
      <c r="AA60" s="102"/>
    </row>
    <row r="61" spans="1:27">
      <c r="A61" s="102">
        <f t="shared" si="1"/>
        <v>60</v>
      </c>
      <c r="B61" s="102">
        <f>YEAR(Table10[[#This Row],[Date]])+IF(MONTH(Table10[[#This Row],[Date]])&gt;=4,1,0)</f>
        <v>2026</v>
      </c>
      <c r="C61" s="102">
        <f>YEAR(Table10[[#This Row],[Date]])</f>
        <v>2025</v>
      </c>
      <c r="D61" s="102" t="s">
        <v>446</v>
      </c>
      <c r="E61" s="469">
        <f>Table10[[#This Row],[Date]]-DAY(Table10[[#This Row],[Date]])+1</f>
        <v>45778</v>
      </c>
      <c r="F61" s="470">
        <v>45792</v>
      </c>
      <c r="G61" s="102" t="s">
        <v>451</v>
      </c>
      <c r="H61" s="102" t="str">
        <f>IFERROR(_xlfn.XLOOKUP(Table10[[#This Row],[Affected Feeder ]],'Basic Data'!$A$43:$A$70,'Basic Data'!$B$43:$B$70),"")</f>
        <v>TQGXIIPL</v>
      </c>
      <c r="I61" s="102" t="str">
        <f>IFERROR(_xlfn.XLOOKUP(Table10[[#This Row],[Affected Feeder ]],'Basic Data'!$A$43:$A$70,'Basic Data'!$C$43:$C$70),"")</f>
        <v>GEDA</v>
      </c>
      <c r="J61" s="482">
        <f>IFERROR(_xlfn.XLOOKUP(Table10[[#This Row],[Affected Feeder ]],'Basic Data'!$A$43:$A$70,'Basic Data'!$E$43:$E$70),"")</f>
        <v>0.49999999999999978</v>
      </c>
      <c r="K61" s="483" t="s">
        <v>1824</v>
      </c>
      <c r="L61" s="484">
        <v>0.8930555555555556</v>
      </c>
      <c r="M61" s="484">
        <v>0.8930555555555556</v>
      </c>
      <c r="N61" s="484">
        <v>0.8979166666666667</v>
      </c>
      <c r="O61" s="101">
        <f>(Table10[[#This Row],[Work Start TimeStamp]]-Table10[[#This Row],[Fault Start TimeStamp]])*24</f>
        <v>0</v>
      </c>
      <c r="P61" s="101">
        <f>IF(Table10[[#This Row],[Work Start TimeStamp]]="","",(Table10[[#This Row],[Fault Clearance time]]-Table10[[#This Row],[Work Start TimeStamp]])*24)</f>
        <v>0.11666666666666625</v>
      </c>
      <c r="Q61" s="101">
        <f>(Table10[[#This Row],[Fault Clearance time]]-Table10[[#This Row],[Fault Start TimeStamp]])*24</f>
        <v>0.11666666666666625</v>
      </c>
      <c r="R61" s="483" t="s">
        <v>1826</v>
      </c>
      <c r="S61" s="102" t="s">
        <v>293</v>
      </c>
      <c r="T61" s="485">
        <f>IFERROR(Table10[[#This Row],[Breakdown Time]]*Table10[[#This Row],[Plant Equivalent Weightage]],"")</f>
        <v>5.8333333333333098E-2</v>
      </c>
      <c r="U61" s="102" t="s">
        <v>450</v>
      </c>
      <c r="V61" s="547">
        <f>IFERROR(_xlfn.XLOOKUP(Table10[[#This Row],[Date]],'Daily KPI'!$A:$A,'Daily KPI'!$M:$M),"")</f>
        <v>4.5068744442425146</v>
      </c>
      <c r="W61" s="102">
        <v>296</v>
      </c>
      <c r="X61" s="102">
        <f>Table10[[#This Row],[WTG Loss]]*13*Table10[[#This Row],[Breakdown Time]]</f>
        <v>448.93333333333175</v>
      </c>
      <c r="Y61" s="102" t="s">
        <v>449</v>
      </c>
      <c r="Z61" s="102"/>
      <c r="AA61" s="102"/>
    </row>
    <row r="62" spans="1:27">
      <c r="A62" s="102">
        <f t="shared" si="1"/>
        <v>61</v>
      </c>
      <c r="B62" s="102">
        <f>YEAR(Table10[[#This Row],[Date]])+IF(MONTH(Table10[[#This Row],[Date]])&gt;=4,1,0)</f>
        <v>2026</v>
      </c>
      <c r="C62" s="102">
        <f>YEAR(Table10[[#This Row],[Date]])</f>
        <v>2025</v>
      </c>
      <c r="D62" s="102" t="s">
        <v>446</v>
      </c>
      <c r="E62" s="469">
        <f>Table10[[#This Row],[Date]]-DAY(Table10[[#This Row],[Date]])+1</f>
        <v>45778</v>
      </c>
      <c r="F62" s="470">
        <v>45792</v>
      </c>
      <c r="G62" s="102" t="s">
        <v>90</v>
      </c>
      <c r="H62" s="102" t="str">
        <f>IFERROR(_xlfn.XLOOKUP(Table10[[#This Row],[Affected Feeder ]],'Basic Data'!$A$43:$A$70,'Basic Data'!$B$43:$B$70),"")</f>
        <v>TQGXIIPL</v>
      </c>
      <c r="I62" s="102" t="str">
        <f>IFERROR(_xlfn.XLOOKUP(Table10[[#This Row],[Affected Feeder ]],'Basic Data'!$A$43:$A$70,'Basic Data'!$C$43:$C$70),"")</f>
        <v>GEDA</v>
      </c>
      <c r="J62" s="482">
        <f>IFERROR(_xlfn.XLOOKUP(Table10[[#This Row],[Affected Feeder ]],'Basic Data'!$A$43:$A$70,'Basic Data'!$E$43:$E$70),"")</f>
        <v>3.846153846153845E-2</v>
      </c>
      <c r="K62" s="483" t="s">
        <v>1796</v>
      </c>
      <c r="L62" s="484">
        <v>0.76666666666666672</v>
      </c>
      <c r="M62" s="484">
        <v>0.76666666666666672</v>
      </c>
      <c r="N62" s="484">
        <v>0.8930555555555556</v>
      </c>
      <c r="O62" s="101">
        <f>(Table10[[#This Row],[Work Start TimeStamp]]-Table10[[#This Row],[Fault Start TimeStamp]])*24</f>
        <v>0</v>
      </c>
      <c r="P62" s="101">
        <f>IF(Table10[[#This Row],[Work Start TimeStamp]]="","",(Table10[[#This Row],[Fault Clearance time]]-Table10[[#This Row],[Work Start TimeStamp]])*24)</f>
        <v>3.0333333333333332</v>
      </c>
      <c r="Q62" s="101">
        <f>(Table10[[#This Row],[Fault Clearance time]]-Table10[[#This Row],[Fault Start TimeStamp]])*24</f>
        <v>3.0333333333333332</v>
      </c>
      <c r="R62" s="483" t="s">
        <v>1827</v>
      </c>
      <c r="S62" s="102" t="s">
        <v>293</v>
      </c>
      <c r="T62" s="485">
        <f>IFERROR(Table10[[#This Row],[Breakdown Time]]*Table10[[#This Row],[Plant Equivalent Weightage]],"")</f>
        <v>0.11666666666666663</v>
      </c>
      <c r="U62" s="102" t="s">
        <v>450</v>
      </c>
      <c r="V62" s="547">
        <f>IFERROR(_xlfn.XLOOKUP(Table10[[#This Row],[Date]],'Daily KPI'!$A:$A,'Daily KPI'!$M:$M),"")</f>
        <v>4.5068744442425146</v>
      </c>
      <c r="W62" s="102">
        <v>296</v>
      </c>
      <c r="X62" s="102">
        <f>Table10[[#This Row],[WTG Loss]]*1*Table10[[#This Row],[Breakdown Time]]</f>
        <v>897.86666666666667</v>
      </c>
      <c r="Y62" s="102" t="s">
        <v>449</v>
      </c>
      <c r="Z62" s="102"/>
      <c r="AA62" s="102"/>
    </row>
    <row r="63" spans="1:27">
      <c r="A63" s="102">
        <f t="shared" si="1"/>
        <v>62</v>
      </c>
      <c r="B63" s="102">
        <f>YEAR(Table10[[#This Row],[Date]])+IF(MONTH(Table10[[#This Row],[Date]])&gt;=4,1,0)</f>
        <v>2026</v>
      </c>
      <c r="C63" s="102">
        <f>YEAR(Table10[[#This Row],[Date]])</f>
        <v>2025</v>
      </c>
      <c r="D63" s="102" t="s">
        <v>446</v>
      </c>
      <c r="E63" s="469">
        <f>Table10[[#This Row],[Date]]-DAY(Table10[[#This Row],[Date]])+1</f>
        <v>45778</v>
      </c>
      <c r="F63" s="470">
        <v>45792</v>
      </c>
      <c r="G63" s="102" t="s">
        <v>95</v>
      </c>
      <c r="H63" s="102" t="str">
        <f>IFERROR(_xlfn.XLOOKUP(Table10[[#This Row],[Affected Feeder ]],'Basic Data'!$A$43:$A$70,'Basic Data'!$B$43:$B$70),"")</f>
        <v>TQGXIIPL</v>
      </c>
      <c r="I63" s="102" t="str">
        <f>IFERROR(_xlfn.XLOOKUP(Table10[[#This Row],[Affected Feeder ]],'Basic Data'!$A$43:$A$70,'Basic Data'!$C$43:$C$70),"")</f>
        <v>GEDA</v>
      </c>
      <c r="J63" s="482">
        <f>IFERROR(_xlfn.XLOOKUP(Table10[[#This Row],[Affected Feeder ]],'Basic Data'!$A$43:$A$70,'Basic Data'!$E$43:$E$70),"")</f>
        <v>3.846153846153845E-2</v>
      </c>
      <c r="K63" s="483" t="s">
        <v>467</v>
      </c>
      <c r="L63" s="484">
        <v>0.76666666666666672</v>
      </c>
      <c r="M63" s="484">
        <v>0.76666666666666672</v>
      </c>
      <c r="N63" s="484">
        <v>0.8930555555555556</v>
      </c>
      <c r="O63" s="101">
        <f>(Table10[[#This Row],[Work Start TimeStamp]]-Table10[[#This Row],[Fault Start TimeStamp]])*24</f>
        <v>0</v>
      </c>
      <c r="P63" s="101">
        <f>IF(Table10[[#This Row],[Work Start TimeStamp]]="","",(Table10[[#This Row],[Fault Clearance time]]-Table10[[#This Row],[Work Start TimeStamp]])*24)</f>
        <v>3.0333333333333332</v>
      </c>
      <c r="Q63" s="101">
        <f>(Table10[[#This Row],[Fault Clearance time]]-Table10[[#This Row],[Fault Start TimeStamp]])*24</f>
        <v>3.0333333333333332</v>
      </c>
      <c r="R63" s="483" t="s">
        <v>1827</v>
      </c>
      <c r="S63" s="102" t="s">
        <v>293</v>
      </c>
      <c r="T63" s="485">
        <f>IFERROR(Table10[[#This Row],[Breakdown Time]]*Table10[[#This Row],[Plant Equivalent Weightage]],"")</f>
        <v>0.11666666666666663</v>
      </c>
      <c r="U63" s="102" t="s">
        <v>450</v>
      </c>
      <c r="V63" s="547">
        <f>IFERROR(_xlfn.XLOOKUP(Table10[[#This Row],[Date]],'Daily KPI'!$A:$A,'Daily KPI'!$M:$M),"")</f>
        <v>4.5068744442425146</v>
      </c>
      <c r="W63" s="102">
        <v>296</v>
      </c>
      <c r="X63" s="102">
        <f>Table10[[#This Row],[WTG Loss]]*1*Table10[[#This Row],[Breakdown Time]]</f>
        <v>897.86666666666667</v>
      </c>
      <c r="Y63" s="102" t="s">
        <v>449</v>
      </c>
      <c r="Z63" s="102"/>
      <c r="AA63" s="102"/>
    </row>
    <row r="64" spans="1:27">
      <c r="A64" s="102">
        <f t="shared" si="1"/>
        <v>63</v>
      </c>
      <c r="B64" s="102">
        <f>YEAR(Table10[[#This Row],[Date]])+IF(MONTH(Table10[[#This Row],[Date]])&gt;=4,1,0)</f>
        <v>2026</v>
      </c>
      <c r="C64" s="102">
        <f>YEAR(Table10[[#This Row],[Date]])</f>
        <v>2025</v>
      </c>
      <c r="D64" s="102" t="s">
        <v>446</v>
      </c>
      <c r="E64" s="469">
        <f>Table10[[#This Row],[Date]]-DAY(Table10[[#This Row],[Date]])+1</f>
        <v>45778</v>
      </c>
      <c r="F64" s="470">
        <v>45793</v>
      </c>
      <c r="G64" s="102" t="s">
        <v>451</v>
      </c>
      <c r="H64" s="102" t="str">
        <f>IFERROR(_xlfn.XLOOKUP(Table10[[#This Row],[Affected Feeder ]],'Basic Data'!$A$43:$A$70,'Basic Data'!$B$43:$B$70),"")</f>
        <v>TQGXIIPL</v>
      </c>
      <c r="I64" s="102" t="str">
        <f>IFERROR(_xlfn.XLOOKUP(Table10[[#This Row],[Affected Feeder ]],'Basic Data'!$A$43:$A$70,'Basic Data'!$C$43:$C$70),"")</f>
        <v>GEDA</v>
      </c>
      <c r="J64" s="482">
        <f>IFERROR(_xlfn.XLOOKUP(Table10[[#This Row],[Affected Feeder ]],'Basic Data'!$A$43:$A$70,'Basic Data'!$E$43:$E$70),"")</f>
        <v>0.49999999999999978</v>
      </c>
      <c r="K64" s="483" t="s">
        <v>1833</v>
      </c>
      <c r="L64" s="484">
        <v>0.69444444444444442</v>
      </c>
      <c r="M64" s="484">
        <v>0.69444444444444442</v>
      </c>
      <c r="N64" s="484">
        <v>0.7631944444444444</v>
      </c>
      <c r="O64" s="101">
        <f>(Table10[[#This Row],[Work Start TimeStamp]]-Table10[[#This Row],[Fault Start TimeStamp]])*24</f>
        <v>0</v>
      </c>
      <c r="P64" s="101">
        <f>IF(Table10[[#This Row],[Work Start TimeStamp]]="","",(Table10[[#This Row],[Fault Clearance time]]-Table10[[#This Row],[Work Start TimeStamp]])*24)</f>
        <v>1.6499999999999995</v>
      </c>
      <c r="Q64" s="101">
        <f>(Table10[[#This Row],[Fault Clearance time]]-Table10[[#This Row],[Fault Start TimeStamp]])*24</f>
        <v>1.6499999999999995</v>
      </c>
      <c r="R64" s="483" t="s">
        <v>1857</v>
      </c>
      <c r="S64" s="102" t="s">
        <v>293</v>
      </c>
      <c r="T64" s="485">
        <f>IFERROR(Table10[[#This Row],[Breakdown Time]]*Table10[[#This Row],[Plant Equivalent Weightage]],"")</f>
        <v>0.8249999999999994</v>
      </c>
      <c r="U64" s="102" t="s">
        <v>450</v>
      </c>
      <c r="V64" s="547">
        <f>IFERROR(_xlfn.XLOOKUP(Table10[[#This Row],[Date]],'Daily KPI'!$A:$A,'Daily KPI'!$M:$M),"")</f>
        <v>5.4679982613248184</v>
      </c>
      <c r="W64" s="102">
        <v>564.5</v>
      </c>
      <c r="X64" s="102">
        <f>Table10[[#This Row],[WTG Loss]]*13*Table10[[#This Row],[Breakdown Time]]</f>
        <v>12108.524999999996</v>
      </c>
      <c r="Y64" s="102" t="s">
        <v>449</v>
      </c>
      <c r="Z64" s="102"/>
      <c r="AA64" s="102"/>
    </row>
    <row r="65" spans="1:27">
      <c r="A65" s="102">
        <f t="shared" si="1"/>
        <v>64</v>
      </c>
      <c r="B65" s="102">
        <f>YEAR(Table10[[#This Row],[Date]])+IF(MONTH(Table10[[#This Row],[Date]])&gt;=4,1,0)</f>
        <v>2026</v>
      </c>
      <c r="C65" s="102">
        <f>YEAR(Table10[[#This Row],[Date]])</f>
        <v>2025</v>
      </c>
      <c r="D65" s="102" t="s">
        <v>446</v>
      </c>
      <c r="E65" s="469">
        <f>Table10[[#This Row],[Date]]-DAY(Table10[[#This Row],[Date]])+1</f>
        <v>45778</v>
      </c>
      <c r="F65" s="470">
        <v>45793</v>
      </c>
      <c r="G65" s="102" t="s">
        <v>451</v>
      </c>
      <c r="H65" s="102" t="str">
        <f>IFERROR(_xlfn.XLOOKUP(Table10[[#This Row],[Affected Feeder ]],'Basic Data'!$A$43:$A$70,'Basic Data'!$B$43:$B$70),"")</f>
        <v>TQGXIIPL</v>
      </c>
      <c r="I65" s="102" t="str">
        <f>IFERROR(_xlfn.XLOOKUP(Table10[[#This Row],[Affected Feeder ]],'Basic Data'!$A$43:$A$70,'Basic Data'!$C$43:$C$70),"")</f>
        <v>GEDA</v>
      </c>
      <c r="J65" s="482">
        <f>IFERROR(_xlfn.XLOOKUP(Table10[[#This Row],[Affected Feeder ]],'Basic Data'!$A$43:$A$70,'Basic Data'!$E$43:$E$70),"")</f>
        <v>0.49999999999999978</v>
      </c>
      <c r="K65" s="483" t="s">
        <v>1824</v>
      </c>
      <c r="L65" s="484">
        <v>0.7944444444444444</v>
      </c>
      <c r="M65" s="484">
        <v>0.7944444444444444</v>
      </c>
      <c r="N65" s="484">
        <v>0.7993055555555556</v>
      </c>
      <c r="O65" s="101">
        <f>(Table10[[#This Row],[Work Start TimeStamp]]-Table10[[#This Row],[Fault Start TimeStamp]])*24</f>
        <v>0</v>
      </c>
      <c r="P65" s="101">
        <f>IF(Table10[[#This Row],[Work Start TimeStamp]]="","",(Table10[[#This Row],[Fault Clearance time]]-Table10[[#This Row],[Work Start TimeStamp]])*24)</f>
        <v>0.11666666666666892</v>
      </c>
      <c r="Q65" s="101">
        <f>(Table10[[#This Row],[Fault Clearance time]]-Table10[[#This Row],[Fault Start TimeStamp]])*24</f>
        <v>0.11666666666666892</v>
      </c>
      <c r="R65" s="483" t="s">
        <v>1834</v>
      </c>
      <c r="S65" s="102" t="s">
        <v>293</v>
      </c>
      <c r="T65" s="485">
        <f>IFERROR(Table10[[#This Row],[Breakdown Time]]*Table10[[#This Row],[Plant Equivalent Weightage]],"")</f>
        <v>5.8333333333334431E-2</v>
      </c>
      <c r="U65" s="102" t="s">
        <v>450</v>
      </c>
      <c r="V65" s="547">
        <f>IFERROR(_xlfn.XLOOKUP(Table10[[#This Row],[Date]],'Daily KPI'!$A:$A,'Daily KPI'!$M:$M),"")</f>
        <v>5.4679982613248184</v>
      </c>
      <c r="W65" s="102">
        <v>564.5</v>
      </c>
      <c r="X65" s="102">
        <f>Table10[[#This Row],[WTG Loss]]*13*Table10[[#This Row],[Breakdown Time]]</f>
        <v>856.1583333333499</v>
      </c>
      <c r="Y65" s="102" t="s">
        <v>449</v>
      </c>
      <c r="Z65" s="102"/>
      <c r="AA65" s="102"/>
    </row>
    <row r="66" spans="1:27">
      <c r="A66" s="102">
        <f t="shared" si="1"/>
        <v>65</v>
      </c>
      <c r="B66" s="102">
        <f>YEAR(Table10[[#This Row],[Date]])+IF(MONTH(Table10[[#This Row],[Date]])&gt;=4,1,0)</f>
        <v>2026</v>
      </c>
      <c r="C66" s="102">
        <f>YEAR(Table10[[#This Row],[Date]])</f>
        <v>2025</v>
      </c>
      <c r="D66" s="102" t="s">
        <v>446</v>
      </c>
      <c r="E66" s="469">
        <f>Table10[[#This Row],[Date]]-DAY(Table10[[#This Row],[Date]])+1</f>
        <v>45778</v>
      </c>
      <c r="F66" s="470">
        <v>45793</v>
      </c>
      <c r="G66" s="102" t="s">
        <v>90</v>
      </c>
      <c r="H66" s="102" t="str">
        <f>IFERROR(_xlfn.XLOOKUP(Table10[[#This Row],[Affected Feeder ]],'Basic Data'!$A$43:$A$70,'Basic Data'!$B$43:$B$70),"")</f>
        <v>TQGXIIPL</v>
      </c>
      <c r="I66" s="102" t="str">
        <f>IFERROR(_xlfn.XLOOKUP(Table10[[#This Row],[Affected Feeder ]],'Basic Data'!$A$43:$A$70,'Basic Data'!$C$43:$C$70),"")</f>
        <v>GEDA</v>
      </c>
      <c r="J66" s="482">
        <f>IFERROR(_xlfn.XLOOKUP(Table10[[#This Row],[Affected Feeder ]],'Basic Data'!$A$43:$A$70,'Basic Data'!$E$43:$E$70),"")</f>
        <v>3.846153846153845E-2</v>
      </c>
      <c r="K66" s="483" t="s">
        <v>1832</v>
      </c>
      <c r="L66" s="484">
        <v>0.66249999999999998</v>
      </c>
      <c r="M66" s="484">
        <v>0.66249999999999998</v>
      </c>
      <c r="N66" s="484">
        <v>0.69444444444444442</v>
      </c>
      <c r="O66" s="101">
        <f>(Table10[[#This Row],[Work Start TimeStamp]]-Table10[[#This Row],[Fault Start TimeStamp]])*24</f>
        <v>0</v>
      </c>
      <c r="P66" s="101">
        <f>IF(Table10[[#This Row],[Work Start TimeStamp]]="","",(Table10[[#This Row],[Fault Clearance time]]-Table10[[#This Row],[Work Start TimeStamp]])*24)</f>
        <v>0.76666666666666661</v>
      </c>
      <c r="Q66" s="101">
        <f>(Table10[[#This Row],[Fault Clearance time]]-Table10[[#This Row],[Fault Start TimeStamp]])*24</f>
        <v>0.76666666666666661</v>
      </c>
      <c r="R66" s="483" t="s">
        <v>1827</v>
      </c>
      <c r="S66" s="102" t="s">
        <v>293</v>
      </c>
      <c r="T66" s="485">
        <f>IFERROR(Table10[[#This Row],[Breakdown Time]]*Table10[[#This Row],[Plant Equivalent Weightage]],"")</f>
        <v>2.9487179487179476E-2</v>
      </c>
      <c r="U66" s="102" t="s">
        <v>450</v>
      </c>
      <c r="V66" s="547">
        <f>IFERROR(_xlfn.XLOOKUP(Table10[[#This Row],[Date]],'Daily KPI'!$A:$A,'Daily KPI'!$M:$M),"")</f>
        <v>5.4679982613248184</v>
      </c>
      <c r="W66" s="102">
        <v>564.5</v>
      </c>
      <c r="X66" s="102">
        <f>Table10[[#This Row],[WTG Loss]]*1*Table10[[#This Row],[Breakdown Time]]</f>
        <v>432.7833333333333</v>
      </c>
      <c r="Y66" s="102" t="s">
        <v>449</v>
      </c>
      <c r="Z66" s="102"/>
      <c r="AA66" s="102"/>
    </row>
    <row r="67" spans="1:27">
      <c r="A67" s="102">
        <f t="shared" si="1"/>
        <v>66</v>
      </c>
      <c r="B67" s="102">
        <f>YEAR(Table10[[#This Row],[Date]])+IF(MONTH(Table10[[#This Row],[Date]])&gt;=4,1,0)</f>
        <v>2026</v>
      </c>
      <c r="C67" s="102">
        <f>YEAR(Table10[[#This Row],[Date]])</f>
        <v>2025</v>
      </c>
      <c r="D67" s="102" t="s">
        <v>446</v>
      </c>
      <c r="E67" s="469">
        <f>Table10[[#This Row],[Date]]-DAY(Table10[[#This Row],[Date]])+1</f>
        <v>45778</v>
      </c>
      <c r="F67" s="470">
        <v>45793</v>
      </c>
      <c r="G67" s="102" t="s">
        <v>95</v>
      </c>
      <c r="H67" s="102" t="str">
        <f>IFERROR(_xlfn.XLOOKUP(Table10[[#This Row],[Affected Feeder ]],'Basic Data'!$A$43:$A$70,'Basic Data'!$B$43:$B$70),"")</f>
        <v>TQGXIIPL</v>
      </c>
      <c r="I67" s="102" t="str">
        <f>IFERROR(_xlfn.XLOOKUP(Table10[[#This Row],[Affected Feeder ]],'Basic Data'!$A$43:$A$70,'Basic Data'!$C$43:$C$70),"")</f>
        <v>GEDA</v>
      </c>
      <c r="J67" s="482">
        <f>IFERROR(_xlfn.XLOOKUP(Table10[[#This Row],[Affected Feeder ]],'Basic Data'!$A$43:$A$70,'Basic Data'!$E$43:$E$70),"")</f>
        <v>3.846153846153845E-2</v>
      </c>
      <c r="K67" s="483" t="s">
        <v>453</v>
      </c>
      <c r="L67" s="484">
        <v>0.66249999999999998</v>
      </c>
      <c r="M67" s="484">
        <v>0.66249999999999998</v>
      </c>
      <c r="N67" s="484">
        <v>0.69444444444444442</v>
      </c>
      <c r="O67" s="101">
        <f>(Table10[[#This Row],[Work Start TimeStamp]]-Table10[[#This Row],[Fault Start TimeStamp]])*24</f>
        <v>0</v>
      </c>
      <c r="P67" s="101">
        <f>IF(Table10[[#This Row],[Work Start TimeStamp]]="","",(Table10[[#This Row],[Fault Clearance time]]-Table10[[#This Row],[Work Start TimeStamp]])*24)</f>
        <v>0.76666666666666661</v>
      </c>
      <c r="Q67" s="101">
        <f>(Table10[[#This Row],[Fault Clearance time]]-Table10[[#This Row],[Fault Start TimeStamp]])*24</f>
        <v>0.76666666666666661</v>
      </c>
      <c r="R67" s="483" t="s">
        <v>1827</v>
      </c>
      <c r="S67" s="102" t="s">
        <v>293</v>
      </c>
      <c r="T67" s="485">
        <f>IFERROR(Table10[[#This Row],[Breakdown Time]]*Table10[[#This Row],[Plant Equivalent Weightage]],"")</f>
        <v>2.9487179487179476E-2</v>
      </c>
      <c r="U67" s="102" t="s">
        <v>450</v>
      </c>
      <c r="V67" s="547">
        <f>IFERROR(_xlfn.XLOOKUP(Table10[[#This Row],[Date]],'Daily KPI'!$A:$A,'Daily KPI'!$M:$M),"")</f>
        <v>5.4679982613248184</v>
      </c>
      <c r="W67" s="102">
        <v>564.5</v>
      </c>
      <c r="X67" s="102">
        <f>Table10[[#This Row],[WTG Loss]]*1*Table10[[#This Row],[Breakdown Time]]</f>
        <v>432.7833333333333</v>
      </c>
      <c r="Y67" s="102" t="s">
        <v>449</v>
      </c>
      <c r="Z67" s="102"/>
      <c r="AA67" s="102"/>
    </row>
    <row r="68" spans="1:27">
      <c r="A68" s="102">
        <f t="shared" si="1"/>
        <v>67</v>
      </c>
      <c r="B68" s="102">
        <f>YEAR(Table10[[#This Row],[Date]])+IF(MONTH(Table10[[#This Row],[Date]])&gt;=4,1,0)</f>
        <v>2026</v>
      </c>
      <c r="C68" s="102">
        <f>YEAR(Table10[[#This Row],[Date]])</f>
        <v>2025</v>
      </c>
      <c r="D68" s="102" t="s">
        <v>446</v>
      </c>
      <c r="E68" s="469">
        <f>Table10[[#This Row],[Date]]-DAY(Table10[[#This Row],[Date]])+1</f>
        <v>45778</v>
      </c>
      <c r="F68" s="470">
        <v>45793</v>
      </c>
      <c r="G68" s="102" t="s">
        <v>80</v>
      </c>
      <c r="H68" s="102" t="str">
        <f>IFERROR(_xlfn.XLOOKUP(Table10[[#This Row],[Affected Feeder ]],'Basic Data'!$A$43:$A$70,'Basic Data'!$B$43:$B$70),"")</f>
        <v>TQGXIIPL</v>
      </c>
      <c r="I68" s="102" t="str">
        <f>IFERROR(_xlfn.XLOOKUP(Table10[[#This Row],[Affected Feeder ]],'Basic Data'!$A$43:$A$70,'Basic Data'!$C$43:$C$70),"")</f>
        <v>GEDA</v>
      </c>
      <c r="J68" s="482">
        <f>IFERROR(_xlfn.XLOOKUP(Table10[[#This Row],[Affected Feeder ]],'Basic Data'!$A$43:$A$70,'Basic Data'!$E$43:$E$70),"")</f>
        <v>3.846153846153845E-2</v>
      </c>
      <c r="K68" s="483" t="s">
        <v>456</v>
      </c>
      <c r="L68" s="484">
        <v>0.7631944444444444</v>
      </c>
      <c r="M68" s="484">
        <v>0.7631944444444444</v>
      </c>
      <c r="N68" s="484">
        <v>0.7944444444444444</v>
      </c>
      <c r="O68" s="101">
        <f>(Table10[[#This Row],[Work Start TimeStamp]]-Table10[[#This Row],[Fault Start TimeStamp]])*24</f>
        <v>0</v>
      </c>
      <c r="P68" s="101">
        <f>IF(Table10[[#This Row],[Work Start TimeStamp]]="","",(Table10[[#This Row],[Fault Clearance time]]-Table10[[#This Row],[Work Start TimeStamp]])*24)</f>
        <v>0.75</v>
      </c>
      <c r="Q68" s="101">
        <f>(Table10[[#This Row],[Fault Clearance time]]-Table10[[#This Row],[Fault Start TimeStamp]])*24</f>
        <v>0.75</v>
      </c>
      <c r="R68" s="483" t="s">
        <v>1835</v>
      </c>
      <c r="S68" s="102" t="s">
        <v>293</v>
      </c>
      <c r="T68" s="485">
        <f>IFERROR(Table10[[#This Row],[Breakdown Time]]*Table10[[#This Row],[Plant Equivalent Weightage]],"")</f>
        <v>2.8846153846153837E-2</v>
      </c>
      <c r="U68" s="102" t="s">
        <v>450</v>
      </c>
      <c r="V68" s="547">
        <f>IFERROR(_xlfn.XLOOKUP(Table10[[#This Row],[Date]],'Daily KPI'!$A:$A,'Daily KPI'!$M:$M),"")</f>
        <v>5.4679982613248184</v>
      </c>
      <c r="W68" s="102">
        <v>564.5</v>
      </c>
      <c r="X68" s="102">
        <f>Table10[[#This Row],[WTG Loss]]*1*Table10[[#This Row],[Breakdown Time]]</f>
        <v>423.375</v>
      </c>
      <c r="Y68" s="102" t="s">
        <v>449</v>
      </c>
      <c r="Z68" s="102"/>
      <c r="AA68" s="102"/>
    </row>
    <row r="69" spans="1:27">
      <c r="A69" s="102">
        <f t="shared" si="1"/>
        <v>68</v>
      </c>
      <c r="B69" s="102">
        <f>YEAR(Table10[[#This Row],[Date]])+IF(MONTH(Table10[[#This Row],[Date]])&gt;=4,1,0)</f>
        <v>2026</v>
      </c>
      <c r="C69" s="102">
        <f>YEAR(Table10[[#This Row],[Date]])</f>
        <v>2025</v>
      </c>
      <c r="D69" s="102" t="s">
        <v>446</v>
      </c>
      <c r="E69" s="469">
        <f>Table10[[#This Row],[Date]]-DAY(Table10[[#This Row],[Date]])+1</f>
        <v>45778</v>
      </c>
      <c r="F69" s="470">
        <v>45793</v>
      </c>
      <c r="G69" s="102" t="s">
        <v>77</v>
      </c>
      <c r="H69" s="102" t="str">
        <f>IFERROR(_xlfn.XLOOKUP(Table10[[#This Row],[Affected Feeder ]],'Basic Data'!$A$43:$A$70,'Basic Data'!$B$43:$B$70),"")</f>
        <v>TQGXIIPL</v>
      </c>
      <c r="I69" s="102" t="str">
        <f>IFERROR(_xlfn.XLOOKUP(Table10[[#This Row],[Affected Feeder ]],'Basic Data'!$A$43:$A$70,'Basic Data'!$C$43:$C$70),"")</f>
        <v>GEDA</v>
      </c>
      <c r="J69" s="482">
        <f>IFERROR(_xlfn.XLOOKUP(Table10[[#This Row],[Affected Feeder ]],'Basic Data'!$A$43:$A$70,'Basic Data'!$E$43:$E$70),"")</f>
        <v>3.846153846153845E-2</v>
      </c>
      <c r="K69" s="483" t="s">
        <v>465</v>
      </c>
      <c r="L69" s="484">
        <v>0.7631944444444444</v>
      </c>
      <c r="M69" s="484">
        <v>0.7631944444444444</v>
      </c>
      <c r="N69" s="484">
        <v>0.7944444444444444</v>
      </c>
      <c r="O69" s="101">
        <f>(Table10[[#This Row],[Work Start TimeStamp]]-Table10[[#This Row],[Fault Start TimeStamp]])*24</f>
        <v>0</v>
      </c>
      <c r="P69" s="101">
        <f>IF(Table10[[#This Row],[Work Start TimeStamp]]="","",(Table10[[#This Row],[Fault Clearance time]]-Table10[[#This Row],[Work Start TimeStamp]])*24)</f>
        <v>0.75</v>
      </c>
      <c r="Q69" s="101">
        <f>(Table10[[#This Row],[Fault Clearance time]]-Table10[[#This Row],[Fault Start TimeStamp]])*24</f>
        <v>0.75</v>
      </c>
      <c r="R69" s="483" t="s">
        <v>1835</v>
      </c>
      <c r="S69" s="102" t="s">
        <v>293</v>
      </c>
      <c r="T69" s="485">
        <f>IFERROR(Table10[[#This Row],[Breakdown Time]]*Table10[[#This Row],[Plant Equivalent Weightage]],"")</f>
        <v>2.8846153846153837E-2</v>
      </c>
      <c r="U69" s="102" t="s">
        <v>450</v>
      </c>
      <c r="V69" s="547">
        <f>IFERROR(_xlfn.XLOOKUP(Table10[[#This Row],[Date]],'Daily KPI'!$A:$A,'Daily KPI'!$M:$M),"")</f>
        <v>5.4679982613248184</v>
      </c>
      <c r="W69" s="102">
        <v>564.5</v>
      </c>
      <c r="X69" s="102">
        <f>Table10[[#This Row],[WTG Loss]]*1*Table10[[#This Row],[Breakdown Time]]</f>
        <v>423.375</v>
      </c>
      <c r="Y69" s="102" t="s">
        <v>449</v>
      </c>
      <c r="Z69" s="102"/>
      <c r="AA69" s="102"/>
    </row>
    <row r="70" spans="1:27">
      <c r="A70" s="102">
        <f t="shared" si="1"/>
        <v>69</v>
      </c>
      <c r="B70" s="102">
        <f>YEAR(Table10[[#This Row],[Date]])+IF(MONTH(Table10[[#This Row],[Date]])&gt;=4,1,0)</f>
        <v>2026</v>
      </c>
      <c r="C70" s="102">
        <f>YEAR(Table10[[#This Row],[Date]])</f>
        <v>2025</v>
      </c>
      <c r="D70" s="102" t="s">
        <v>446</v>
      </c>
      <c r="E70" s="469">
        <f>Table10[[#This Row],[Date]]-DAY(Table10[[#This Row],[Date]])+1</f>
        <v>45778</v>
      </c>
      <c r="F70" s="470">
        <v>45793</v>
      </c>
      <c r="G70" s="102" t="s">
        <v>92</v>
      </c>
      <c r="H70" s="102" t="str">
        <f>IFERROR(_xlfn.XLOOKUP(Table10[[#This Row],[Affected Feeder ]],'Basic Data'!$A$43:$A$70,'Basic Data'!$B$43:$B$70),"")</f>
        <v>TQGXIIPL</v>
      </c>
      <c r="I70" s="102" t="str">
        <f>IFERROR(_xlfn.XLOOKUP(Table10[[#This Row],[Affected Feeder ]],'Basic Data'!$A$43:$A$70,'Basic Data'!$C$43:$C$70),"")</f>
        <v>GEDA</v>
      </c>
      <c r="J70" s="482">
        <f>IFERROR(_xlfn.XLOOKUP(Table10[[#This Row],[Affected Feeder ]],'Basic Data'!$A$43:$A$70,'Basic Data'!$E$43:$E$70),"")</f>
        <v>3.846153846153845E-2</v>
      </c>
      <c r="K70" s="483" t="s">
        <v>466</v>
      </c>
      <c r="L70" s="484">
        <v>0.7631944444444444</v>
      </c>
      <c r="M70" s="484">
        <v>0.7631944444444444</v>
      </c>
      <c r="N70" s="484">
        <v>0.7944444444444444</v>
      </c>
      <c r="O70" s="101">
        <f>(Table10[[#This Row],[Work Start TimeStamp]]-Table10[[#This Row],[Fault Start TimeStamp]])*24</f>
        <v>0</v>
      </c>
      <c r="P70" s="101">
        <f>IF(Table10[[#This Row],[Work Start TimeStamp]]="","",(Table10[[#This Row],[Fault Clearance time]]-Table10[[#This Row],[Work Start TimeStamp]])*24)</f>
        <v>0.75</v>
      </c>
      <c r="Q70" s="101">
        <f>(Table10[[#This Row],[Fault Clearance time]]-Table10[[#This Row],[Fault Start TimeStamp]])*24</f>
        <v>0.75</v>
      </c>
      <c r="R70" s="483" t="s">
        <v>1835</v>
      </c>
      <c r="S70" s="102" t="s">
        <v>293</v>
      </c>
      <c r="T70" s="485">
        <f>IFERROR(Table10[[#This Row],[Breakdown Time]]*Table10[[#This Row],[Plant Equivalent Weightage]],"")</f>
        <v>2.8846153846153837E-2</v>
      </c>
      <c r="U70" s="102" t="s">
        <v>450</v>
      </c>
      <c r="V70" s="547">
        <f>IFERROR(_xlfn.XLOOKUP(Table10[[#This Row],[Date]],'Daily KPI'!$A:$A,'Daily KPI'!$M:$M),"")</f>
        <v>5.4679982613248184</v>
      </c>
      <c r="W70" s="102">
        <v>564.5</v>
      </c>
      <c r="X70" s="102">
        <f>Table10[[#This Row],[WTG Loss]]*1*Table10[[#This Row],[Breakdown Time]]</f>
        <v>423.375</v>
      </c>
      <c r="Y70" s="102" t="s">
        <v>449</v>
      </c>
      <c r="Z70" s="102"/>
      <c r="AA70" s="102"/>
    </row>
    <row r="71" spans="1:27">
      <c r="A71" s="102">
        <f t="shared" si="1"/>
        <v>70</v>
      </c>
      <c r="B71" s="102">
        <f>YEAR(Table10[[#This Row],[Date]])+IF(MONTH(Table10[[#This Row],[Date]])&gt;=4,1,0)</f>
        <v>2026</v>
      </c>
      <c r="C71" s="102">
        <f>YEAR(Table10[[#This Row],[Date]])</f>
        <v>2025</v>
      </c>
      <c r="D71" s="102" t="s">
        <v>446</v>
      </c>
      <c r="E71" s="469">
        <f>Table10[[#This Row],[Date]]-DAY(Table10[[#This Row],[Date]])+1</f>
        <v>45778</v>
      </c>
      <c r="F71" s="470">
        <v>45794</v>
      </c>
      <c r="G71" s="102" t="s">
        <v>451</v>
      </c>
      <c r="H71" s="102" t="str">
        <f>IFERROR(_xlfn.XLOOKUP(Table10[[#This Row],[Affected Feeder ]],'Basic Data'!$A$43:$A$70,'Basic Data'!$B$43:$B$70),"")</f>
        <v>TQGXIIPL</v>
      </c>
      <c r="I71" s="102" t="str">
        <f>IFERROR(_xlfn.XLOOKUP(Table10[[#This Row],[Affected Feeder ]],'Basic Data'!$A$43:$A$70,'Basic Data'!$C$43:$C$70),"")</f>
        <v>GEDA</v>
      </c>
      <c r="J71" s="482">
        <f>IFERROR(_xlfn.XLOOKUP(Table10[[#This Row],[Affected Feeder ]],'Basic Data'!$A$43:$A$70,'Basic Data'!$E$43:$E$70),"")</f>
        <v>0.49999999999999978</v>
      </c>
      <c r="K71" s="483" t="s">
        <v>1833</v>
      </c>
      <c r="L71" s="484">
        <v>0.28055555555555556</v>
      </c>
      <c r="M71" s="484">
        <v>0.28055555555555556</v>
      </c>
      <c r="N71" s="484">
        <v>0.28958333333333336</v>
      </c>
      <c r="O71" s="101">
        <f>(Table10[[#This Row],[Work Start TimeStamp]]-Table10[[#This Row],[Fault Start TimeStamp]])*24</f>
        <v>0</v>
      </c>
      <c r="P71" s="101">
        <f>IF(Table10[[#This Row],[Work Start TimeStamp]]="","",(Table10[[#This Row],[Fault Clearance time]]-Table10[[#This Row],[Work Start TimeStamp]])*24)</f>
        <v>0.21666666666666723</v>
      </c>
      <c r="Q71" s="101">
        <f>(Table10[[#This Row],[Fault Clearance time]]-Table10[[#This Row],[Fault Start TimeStamp]])*24</f>
        <v>0.21666666666666723</v>
      </c>
      <c r="R71" s="483" t="s">
        <v>1857</v>
      </c>
      <c r="S71" s="102" t="s">
        <v>293</v>
      </c>
      <c r="T71" s="485">
        <f>IFERROR(Table10[[#This Row],[Breakdown Time]]*Table10[[#This Row],[Plant Equivalent Weightage]],"")</f>
        <v>0.10833333333333357</v>
      </c>
      <c r="U71" s="102" t="s">
        <v>450</v>
      </c>
      <c r="V71" s="547">
        <f>IFERROR(_xlfn.XLOOKUP(Table10[[#This Row],[Date]],'Daily KPI'!$A:$A,'Daily KPI'!$M:$M),"")</f>
        <v>5.164970831219434</v>
      </c>
      <c r="W71" s="102">
        <v>469.4</v>
      </c>
      <c r="X71" s="102">
        <f>Table10[[#This Row],[WTG Loss]]*13*Table10[[#This Row],[Breakdown Time]]</f>
        <v>1322.1433333333366</v>
      </c>
      <c r="Y71" s="102" t="s">
        <v>449</v>
      </c>
      <c r="Z71" s="102"/>
      <c r="AA71" s="102"/>
    </row>
    <row r="72" spans="1:27">
      <c r="A72" s="102">
        <f t="shared" si="1"/>
        <v>71</v>
      </c>
      <c r="B72" s="102">
        <f>YEAR(Table10[[#This Row],[Date]])+IF(MONTH(Table10[[#This Row],[Date]])&gt;=4,1,0)</f>
        <v>2026</v>
      </c>
      <c r="C72" s="102">
        <f>YEAR(Table10[[#This Row],[Date]])</f>
        <v>2025</v>
      </c>
      <c r="D72" s="102" t="s">
        <v>446</v>
      </c>
      <c r="E72" s="469">
        <f>Table10[[#This Row],[Date]]-DAY(Table10[[#This Row],[Date]])+1</f>
        <v>45778</v>
      </c>
      <c r="F72" s="470">
        <v>45795</v>
      </c>
      <c r="G72" s="102" t="s">
        <v>447</v>
      </c>
      <c r="H72" s="102" t="str">
        <f>IFERROR(_xlfn.XLOOKUP(Table10[[#This Row],[Affected Feeder ]],'Basic Data'!$A$43:$A$70,'Basic Data'!$B$43:$B$70),"")</f>
        <v>TQGXIIPL</v>
      </c>
      <c r="I72" s="102" t="str">
        <f>IFERROR(_xlfn.XLOOKUP(Table10[[#This Row],[Affected Feeder ]],'Basic Data'!$A$43:$A$70,'Basic Data'!$C$43:$C$70),"")</f>
        <v>GEDA</v>
      </c>
      <c r="J72" s="482">
        <f>IFERROR(_xlfn.XLOOKUP(Table10[[#This Row],[Affected Feeder ]],'Basic Data'!$A$43:$A$70,'Basic Data'!$E$43:$E$70),"")</f>
        <v>0.49999999999999978</v>
      </c>
      <c r="K72" s="483" t="s">
        <v>1840</v>
      </c>
      <c r="L72" s="484">
        <v>0.46666666666666667</v>
      </c>
      <c r="M72" s="484">
        <v>0.46666666666666667</v>
      </c>
      <c r="N72" s="484">
        <v>0.5180555555555556</v>
      </c>
      <c r="O72" s="101">
        <f>(Table10[[#This Row],[Work Start TimeStamp]]-Table10[[#This Row],[Fault Start TimeStamp]])*24</f>
        <v>0</v>
      </c>
      <c r="P72" s="101">
        <f>IF(Table10[[#This Row],[Work Start TimeStamp]]="","",(Table10[[#This Row],[Fault Clearance time]]-Table10[[#This Row],[Work Start TimeStamp]])*24)</f>
        <v>1.2333333333333343</v>
      </c>
      <c r="Q72" s="101">
        <f>(Table10[[#This Row],[Fault Clearance time]]-Table10[[#This Row],[Fault Start TimeStamp]])*24</f>
        <v>1.2333333333333343</v>
      </c>
      <c r="R72" s="483" t="s">
        <v>1841</v>
      </c>
      <c r="S72" s="102" t="s">
        <v>293</v>
      </c>
      <c r="T72" s="485">
        <f>IFERROR(Table10[[#This Row],[Breakdown Time]]*Table10[[#This Row],[Plant Equivalent Weightage]],"")</f>
        <v>0.61666666666666692</v>
      </c>
      <c r="U72" s="102" t="s">
        <v>450</v>
      </c>
      <c r="V72" s="547">
        <f>IFERROR(_xlfn.XLOOKUP(Table10[[#This Row],[Date]],'Daily KPI'!$A:$A,'Daily KPI'!$M:$M),"")</f>
        <v>5.0871620374231474</v>
      </c>
      <c r="W72" s="102">
        <v>437.7</v>
      </c>
      <c r="X72" s="102">
        <f>Table10[[#This Row],[WTG Loss]]*13*Table10[[#This Row],[Breakdown Time]]</f>
        <v>7017.7900000000045</v>
      </c>
      <c r="Y72" s="102" t="s">
        <v>449</v>
      </c>
      <c r="Z72" s="102"/>
      <c r="AA72" s="102"/>
    </row>
    <row r="73" spans="1:27">
      <c r="A73" s="102">
        <f t="shared" si="1"/>
        <v>72</v>
      </c>
      <c r="B73" s="102">
        <f>YEAR(Table10[[#This Row],[Date]])+IF(MONTH(Table10[[#This Row],[Date]])&gt;=4,1,0)</f>
        <v>2026</v>
      </c>
      <c r="C73" s="102">
        <f>YEAR(Table10[[#This Row],[Date]])</f>
        <v>2025</v>
      </c>
      <c r="D73" s="102" t="s">
        <v>446</v>
      </c>
      <c r="E73" s="469">
        <f>Table10[[#This Row],[Date]]-DAY(Table10[[#This Row],[Date]])+1</f>
        <v>45778</v>
      </c>
      <c r="F73" s="470">
        <v>45797</v>
      </c>
      <c r="G73" s="102" t="s">
        <v>447</v>
      </c>
      <c r="H73" s="102" t="str">
        <f>IFERROR(_xlfn.XLOOKUP(Table10[[#This Row],[Affected Feeder ]],'Basic Data'!$A$43:$A$70,'Basic Data'!$B$43:$B$70),"")</f>
        <v>TQGXIIPL</v>
      </c>
      <c r="I73" s="102" t="str">
        <f>IFERROR(_xlfn.XLOOKUP(Table10[[#This Row],[Affected Feeder ]],'Basic Data'!$A$43:$A$70,'Basic Data'!$C$43:$C$70),"")</f>
        <v>GEDA</v>
      </c>
      <c r="J73" s="482">
        <f>IFERROR(_xlfn.XLOOKUP(Table10[[#This Row],[Affected Feeder ]],'Basic Data'!$A$43:$A$70,'Basic Data'!$E$43:$E$70),"")</f>
        <v>0.49999999999999978</v>
      </c>
      <c r="K73" s="483" t="s">
        <v>1855</v>
      </c>
      <c r="L73" s="484">
        <v>0.35902777777777778</v>
      </c>
      <c r="M73" s="484">
        <v>0.35902777777777778</v>
      </c>
      <c r="N73" s="484">
        <v>0.37083333333333335</v>
      </c>
      <c r="O73" s="101">
        <f>(Table10[[#This Row],[Work Start TimeStamp]]-Table10[[#This Row],[Fault Start TimeStamp]])*24</f>
        <v>0</v>
      </c>
      <c r="P73" s="101">
        <f>IF(Table10[[#This Row],[Work Start TimeStamp]]="","",(Table10[[#This Row],[Fault Clearance time]]-Table10[[#This Row],[Work Start TimeStamp]])*24)</f>
        <v>0.28333333333333366</v>
      </c>
      <c r="Q73" s="101">
        <f>(Table10[[#This Row],[Fault Clearance time]]-Table10[[#This Row],[Fault Start TimeStamp]])*24</f>
        <v>0.28333333333333366</v>
      </c>
      <c r="R73" s="483" t="s">
        <v>1856</v>
      </c>
      <c r="S73" s="102" t="s">
        <v>293</v>
      </c>
      <c r="T73" s="485">
        <f>IFERROR(Table10[[#This Row],[Breakdown Time]]*Table10[[#This Row],[Plant Equivalent Weightage]],"")</f>
        <v>0.14166666666666677</v>
      </c>
      <c r="U73" s="102" t="s">
        <v>450</v>
      </c>
      <c r="V73" s="547">
        <f>IFERROR(_xlfn.XLOOKUP(Table10[[#This Row],[Date]],'Daily KPI'!$A:$A,'Daily KPI'!$M:$M),"")</f>
        <v>5.2799223096243102</v>
      </c>
      <c r="W73" s="102">
        <v>501.1</v>
      </c>
      <c r="X73" s="102">
        <f>Table10[[#This Row],[WTG Loss]]*13*Table10[[#This Row],[Breakdown Time]]</f>
        <v>1845.7183333333355</v>
      </c>
      <c r="Y73" s="102" t="s">
        <v>449</v>
      </c>
      <c r="Z73" s="102"/>
      <c r="AA73" s="102"/>
    </row>
    <row r="74" spans="1:27">
      <c r="A74" s="102">
        <f t="shared" si="1"/>
        <v>73</v>
      </c>
      <c r="B74" s="102">
        <f>YEAR(Table10[[#This Row],[Date]])+IF(MONTH(Table10[[#This Row],[Date]])&gt;=4,1,0)</f>
        <v>2026</v>
      </c>
      <c r="C74" s="102">
        <f>YEAR(Table10[[#This Row],[Date]])</f>
        <v>2025</v>
      </c>
      <c r="D74" s="102" t="s">
        <v>446</v>
      </c>
      <c r="E74" s="469">
        <f>Table10[[#This Row],[Date]]-DAY(Table10[[#This Row],[Date]])+1</f>
        <v>45778</v>
      </c>
      <c r="F74" s="470">
        <v>45797</v>
      </c>
      <c r="G74" s="102" t="s">
        <v>451</v>
      </c>
      <c r="H74" s="102" t="str">
        <f>IFERROR(_xlfn.XLOOKUP(Table10[[#This Row],[Affected Feeder ]],'Basic Data'!$A$43:$A$70,'Basic Data'!$B$43:$B$70),"")</f>
        <v>TQGXIIPL</v>
      </c>
      <c r="I74" s="102" t="str">
        <f>IFERROR(_xlfn.XLOOKUP(Table10[[#This Row],[Affected Feeder ]],'Basic Data'!$A$43:$A$70,'Basic Data'!$C$43:$C$70),"")</f>
        <v>GEDA</v>
      </c>
      <c r="J74" s="482">
        <f>IFERROR(_xlfn.XLOOKUP(Table10[[#This Row],[Affected Feeder ]],'Basic Data'!$A$43:$A$70,'Basic Data'!$E$43:$E$70),"")</f>
        <v>0.49999999999999978</v>
      </c>
      <c r="K74" s="483" t="s">
        <v>1791</v>
      </c>
      <c r="L74" s="484">
        <v>0.72361111111111109</v>
      </c>
      <c r="M74" s="484">
        <v>0.72361111111111109</v>
      </c>
      <c r="N74" s="484">
        <v>0.73611111111111116</v>
      </c>
      <c r="O74" s="101">
        <f>(Table10[[#This Row],[Work Start TimeStamp]]-Table10[[#This Row],[Fault Start TimeStamp]])*24</f>
        <v>0</v>
      </c>
      <c r="P74" s="101">
        <f>IF(Table10[[#This Row],[Work Start TimeStamp]]="","",(Table10[[#This Row],[Fault Clearance time]]-Table10[[#This Row],[Work Start TimeStamp]])*24)</f>
        <v>0.3000000000000016</v>
      </c>
      <c r="Q74" s="101">
        <f>(Table10[[#This Row],[Fault Clearance time]]-Table10[[#This Row],[Fault Start TimeStamp]])*24</f>
        <v>0.3000000000000016</v>
      </c>
      <c r="R74" s="483" t="s">
        <v>1857</v>
      </c>
      <c r="S74" s="102" t="s">
        <v>293</v>
      </c>
      <c r="T74" s="485">
        <f>IFERROR(Table10[[#This Row],[Breakdown Time]]*Table10[[#This Row],[Plant Equivalent Weightage]],"")</f>
        <v>0.15000000000000074</v>
      </c>
      <c r="U74" s="102" t="s">
        <v>450</v>
      </c>
      <c r="V74" s="547">
        <f>IFERROR(_xlfn.XLOOKUP(Table10[[#This Row],[Date]],'Daily KPI'!$A:$A,'Daily KPI'!$M:$M),"")</f>
        <v>5.2799223096243102</v>
      </c>
      <c r="W74" s="102">
        <v>501.1</v>
      </c>
      <c r="X74" s="102">
        <f>Table10[[#This Row],[WTG Loss]]*13*Table10[[#This Row],[Breakdown Time]]</f>
        <v>1954.2900000000104</v>
      </c>
      <c r="Y74" s="102" t="s">
        <v>449</v>
      </c>
      <c r="Z74" s="102"/>
      <c r="AA74" s="102"/>
    </row>
    <row r="75" spans="1:27">
      <c r="A75" s="102">
        <f t="shared" si="1"/>
        <v>74</v>
      </c>
      <c r="B75" s="102">
        <f>YEAR(Table10[[#This Row],[Date]])+IF(MONTH(Table10[[#This Row],[Date]])&gt;=4,1,0)</f>
        <v>2026</v>
      </c>
      <c r="C75" s="102">
        <f>YEAR(Table10[[#This Row],[Date]])</f>
        <v>2025</v>
      </c>
      <c r="D75" s="102" t="s">
        <v>446</v>
      </c>
      <c r="E75" s="469">
        <f>Table10[[#This Row],[Date]]-DAY(Table10[[#This Row],[Date]])+1</f>
        <v>45778</v>
      </c>
      <c r="F75" s="470">
        <v>45798</v>
      </c>
      <c r="G75" s="102" t="s">
        <v>447</v>
      </c>
      <c r="H75" s="102" t="str">
        <f>IFERROR(_xlfn.XLOOKUP(Table10[[#This Row],[Affected Feeder ]],'Basic Data'!$A$43:$A$70,'Basic Data'!$B$43:$B$70),"")</f>
        <v>TQGXIIPL</v>
      </c>
      <c r="I75" s="102" t="str">
        <f>IFERROR(_xlfn.XLOOKUP(Table10[[#This Row],[Affected Feeder ]],'Basic Data'!$A$43:$A$70,'Basic Data'!$C$43:$C$70),"")</f>
        <v>GEDA</v>
      </c>
      <c r="J75" s="482">
        <f>IFERROR(_xlfn.XLOOKUP(Table10[[#This Row],[Affected Feeder ]],'Basic Data'!$A$43:$A$70,'Basic Data'!$E$43:$E$70),"")</f>
        <v>0.49999999999999978</v>
      </c>
      <c r="K75" s="483" t="s">
        <v>1861</v>
      </c>
      <c r="L75" s="484">
        <v>0.42638888888888887</v>
      </c>
      <c r="M75" s="484">
        <v>0.42638888888888887</v>
      </c>
      <c r="N75" s="484">
        <v>0.5625</v>
      </c>
      <c r="O75" s="101">
        <f>(Table10[[#This Row],[Work Start TimeStamp]]-Table10[[#This Row],[Fault Start TimeStamp]])*24</f>
        <v>0</v>
      </c>
      <c r="P75" s="101">
        <f>IF(Table10[[#This Row],[Work Start TimeStamp]]="","",(Table10[[#This Row],[Fault Clearance time]]-Table10[[#This Row],[Work Start TimeStamp]])*24)</f>
        <v>3.2666666666666671</v>
      </c>
      <c r="Q75" s="101">
        <f>(Table10[[#This Row],[Fault Clearance time]]-Table10[[#This Row],[Fault Start TimeStamp]])*24</f>
        <v>3.2666666666666671</v>
      </c>
      <c r="R75" s="483" t="s">
        <v>1862</v>
      </c>
      <c r="S75" s="102" t="s">
        <v>293</v>
      </c>
      <c r="T75" s="485">
        <f>IFERROR(Table10[[#This Row],[Breakdown Time]]*Table10[[#This Row],[Plant Equivalent Weightage]],"")</f>
        <v>1.6333333333333329</v>
      </c>
      <c r="U75" s="102" t="s">
        <v>450</v>
      </c>
      <c r="V75" s="547">
        <f>IFERROR(_xlfn.XLOOKUP(Table10[[#This Row],[Date]],'Daily KPI'!$A:$A,'Daily KPI'!$M:$M),"")</f>
        <v>4.5324132546722824</v>
      </c>
      <c r="W75" s="102">
        <v>296</v>
      </c>
      <c r="X75" s="102">
        <f>Table10[[#This Row],[WTG Loss]]*13*Table10[[#This Row],[Breakdown Time]]</f>
        <v>12570.133333333335</v>
      </c>
      <c r="Y75" s="102" t="s">
        <v>449</v>
      </c>
      <c r="Z75" s="102"/>
      <c r="AA75" s="102"/>
    </row>
    <row r="76" spans="1:27">
      <c r="A76" s="102">
        <f t="shared" si="1"/>
        <v>75</v>
      </c>
      <c r="B76" s="102">
        <f>YEAR(Table10[[#This Row],[Date]])+IF(MONTH(Table10[[#This Row],[Date]])&gt;=4,1,0)</f>
        <v>2026</v>
      </c>
      <c r="C76" s="102">
        <f>YEAR(Table10[[#This Row],[Date]])</f>
        <v>2025</v>
      </c>
      <c r="D76" s="102" t="s">
        <v>446</v>
      </c>
      <c r="E76" s="469">
        <f>Table10[[#This Row],[Date]]-DAY(Table10[[#This Row],[Date]])+1</f>
        <v>45778</v>
      </c>
      <c r="F76" s="470">
        <v>45798</v>
      </c>
      <c r="G76" s="102" t="s">
        <v>447</v>
      </c>
      <c r="H76" s="102" t="str">
        <f>IFERROR(_xlfn.XLOOKUP(Table10[[#This Row],[Affected Feeder ]],'Basic Data'!$A$43:$A$70,'Basic Data'!$B$43:$B$70),"")</f>
        <v>TQGXIIPL</v>
      </c>
      <c r="I76" s="102" t="str">
        <f>IFERROR(_xlfn.XLOOKUP(Table10[[#This Row],[Affected Feeder ]],'Basic Data'!$A$43:$A$70,'Basic Data'!$C$43:$C$70),"")</f>
        <v>GEDA</v>
      </c>
      <c r="J76" s="482">
        <f>IFERROR(_xlfn.XLOOKUP(Table10[[#This Row],[Affected Feeder ]],'Basic Data'!$A$43:$A$70,'Basic Data'!$E$43:$E$70),"")</f>
        <v>0.49999999999999978</v>
      </c>
      <c r="K76" s="483" t="s">
        <v>1840</v>
      </c>
      <c r="L76" s="484">
        <v>0.5625</v>
      </c>
      <c r="M76" s="484">
        <v>0.5625</v>
      </c>
      <c r="N76" s="484">
        <v>0.80277777777777781</v>
      </c>
      <c r="O76" s="101">
        <f>(Table10[[#This Row],[Work Start TimeStamp]]-Table10[[#This Row],[Fault Start TimeStamp]])*24</f>
        <v>0</v>
      </c>
      <c r="P76" s="101">
        <f>IF(Table10[[#This Row],[Work Start TimeStamp]]="","",(Table10[[#This Row],[Fault Clearance time]]-Table10[[#This Row],[Work Start TimeStamp]])*24)</f>
        <v>5.7666666666666675</v>
      </c>
      <c r="Q76" s="101">
        <f>(Table10[[#This Row],[Fault Clearance time]]-Table10[[#This Row],[Fault Start TimeStamp]])*24</f>
        <v>5.7666666666666675</v>
      </c>
      <c r="R76" s="483" t="s">
        <v>1863</v>
      </c>
      <c r="S76" s="102" t="s">
        <v>293</v>
      </c>
      <c r="T76" s="485">
        <f>IFERROR(Table10[[#This Row],[Breakdown Time]]*Table10[[#This Row],[Plant Equivalent Weightage]],"")</f>
        <v>2.8833333333333324</v>
      </c>
      <c r="U76" s="102" t="s">
        <v>450</v>
      </c>
      <c r="V76" s="547">
        <f>IFERROR(_xlfn.XLOOKUP(Table10[[#This Row],[Date]],'Daily KPI'!$A:$A,'Daily KPI'!$M:$M),"")</f>
        <v>4.5324132546722824</v>
      </c>
      <c r="W76" s="102">
        <v>296</v>
      </c>
      <c r="X76" s="102">
        <f>Table10[[#This Row],[WTG Loss]]*13*Table10[[#This Row],[Breakdown Time]]</f>
        <v>22190.133333333335</v>
      </c>
      <c r="Y76" s="102" t="s">
        <v>449</v>
      </c>
      <c r="Z76" s="102"/>
      <c r="AA76" s="102"/>
    </row>
    <row r="77" spans="1:27">
      <c r="A77" s="102">
        <f t="shared" si="1"/>
        <v>76</v>
      </c>
      <c r="B77" s="102">
        <f>YEAR(Table10[[#This Row],[Date]])+IF(MONTH(Table10[[#This Row],[Date]])&gt;=4,1,0)</f>
        <v>2026</v>
      </c>
      <c r="C77" s="102">
        <f>YEAR(Table10[[#This Row],[Date]])</f>
        <v>2025</v>
      </c>
      <c r="D77" s="102" t="s">
        <v>446</v>
      </c>
      <c r="E77" s="469">
        <f>Table10[[#This Row],[Date]]-DAY(Table10[[#This Row],[Date]])+1</f>
        <v>45778</v>
      </c>
      <c r="F77" s="470">
        <v>45798</v>
      </c>
      <c r="G77" s="102" t="s">
        <v>451</v>
      </c>
      <c r="H77" s="102" t="str">
        <f>IFERROR(_xlfn.XLOOKUP(Table10[[#This Row],[Affected Feeder ]],'Basic Data'!$A$43:$A$70,'Basic Data'!$B$43:$B$70),"")</f>
        <v>TQGXIIPL</v>
      </c>
      <c r="I77" s="102" t="str">
        <f>IFERROR(_xlfn.XLOOKUP(Table10[[#This Row],[Affected Feeder ]],'Basic Data'!$A$43:$A$70,'Basic Data'!$C$43:$C$70),"")</f>
        <v>GEDA</v>
      </c>
      <c r="J77" s="482">
        <f>IFERROR(_xlfn.XLOOKUP(Table10[[#This Row],[Affected Feeder ]],'Basic Data'!$A$43:$A$70,'Basic Data'!$E$43:$E$70),"")</f>
        <v>0.49999999999999978</v>
      </c>
      <c r="K77" s="483" t="s">
        <v>1824</v>
      </c>
      <c r="L77" s="484">
        <v>0.60763888888888884</v>
      </c>
      <c r="M77" s="484">
        <v>0.60763888888888884</v>
      </c>
      <c r="N77" s="484">
        <v>0.79861111111111116</v>
      </c>
      <c r="O77" s="101">
        <f>(Table10[[#This Row],[Work Start TimeStamp]]-Table10[[#This Row],[Fault Start TimeStamp]])*24</f>
        <v>0</v>
      </c>
      <c r="P77" s="101">
        <f>IF(Table10[[#This Row],[Work Start TimeStamp]]="","",(Table10[[#This Row],[Fault Clearance time]]-Table10[[#This Row],[Work Start TimeStamp]])*24)</f>
        <v>4.5833333333333357</v>
      </c>
      <c r="Q77" s="101">
        <f>(Table10[[#This Row],[Fault Clearance time]]-Table10[[#This Row],[Fault Start TimeStamp]])*24</f>
        <v>4.5833333333333357</v>
      </c>
      <c r="R77" s="483" t="s">
        <v>1864</v>
      </c>
      <c r="S77" s="102" t="s">
        <v>293</v>
      </c>
      <c r="T77" s="485">
        <f>IFERROR(Table10[[#This Row],[Breakdown Time]]*Table10[[#This Row],[Plant Equivalent Weightage]],"")</f>
        <v>2.291666666666667</v>
      </c>
      <c r="U77" s="102" t="s">
        <v>450</v>
      </c>
      <c r="V77" s="547">
        <f>IFERROR(_xlfn.XLOOKUP(Table10[[#This Row],[Date]],'Daily KPI'!$A:$A,'Daily KPI'!$M:$M),"")</f>
        <v>4.5324132546722824</v>
      </c>
      <c r="W77" s="102">
        <v>296</v>
      </c>
      <c r="X77" s="102">
        <f>Table10[[#This Row],[WTG Loss]]*13*Table10[[#This Row],[Breakdown Time]]</f>
        <v>17636.666666666675</v>
      </c>
      <c r="Y77" s="102" t="s">
        <v>449</v>
      </c>
      <c r="Z77" s="102"/>
      <c r="AA77" s="102"/>
    </row>
    <row r="78" spans="1:27">
      <c r="A78" s="102">
        <f t="shared" si="1"/>
        <v>77</v>
      </c>
      <c r="B78" s="102">
        <f>YEAR(Table10[[#This Row],[Date]])+IF(MONTH(Table10[[#This Row],[Date]])&gt;=4,1,0)</f>
        <v>2026</v>
      </c>
      <c r="C78" s="102">
        <f>YEAR(Table10[[#This Row],[Date]])</f>
        <v>2025</v>
      </c>
      <c r="D78" s="102" t="s">
        <v>446</v>
      </c>
      <c r="E78" s="469">
        <f>Table10[[#This Row],[Date]]-DAY(Table10[[#This Row],[Date]])+1</f>
        <v>45778</v>
      </c>
      <c r="F78" s="470">
        <v>45799</v>
      </c>
      <c r="G78" s="102" t="s">
        <v>451</v>
      </c>
      <c r="H78" s="102" t="str">
        <f>IFERROR(_xlfn.XLOOKUP(Table10[[#This Row],[Affected Feeder ]],'Basic Data'!$A$43:$A$70,'Basic Data'!$B$43:$B$70),"")</f>
        <v>TQGXIIPL</v>
      </c>
      <c r="I78" s="102" t="str">
        <f>IFERROR(_xlfn.XLOOKUP(Table10[[#This Row],[Affected Feeder ]],'Basic Data'!$A$43:$A$70,'Basic Data'!$C$43:$C$70),"")</f>
        <v>GEDA</v>
      </c>
      <c r="J78" s="482">
        <f>IFERROR(_xlfn.XLOOKUP(Table10[[#This Row],[Affected Feeder ]],'Basic Data'!$A$43:$A$70,'Basic Data'!$E$43:$E$70),"")</f>
        <v>0.49999999999999978</v>
      </c>
      <c r="K78" s="483" t="s">
        <v>1791</v>
      </c>
      <c r="L78" s="484">
        <v>1.3194444444444444E-2</v>
      </c>
      <c r="M78" s="484">
        <v>1.3194444444444444E-2</v>
      </c>
      <c r="N78" s="484">
        <v>4.9305555555555554E-2</v>
      </c>
      <c r="O78" s="101">
        <f>(Table10[[#This Row],[Work Start TimeStamp]]-Table10[[#This Row],[Fault Start TimeStamp]])*24</f>
        <v>0</v>
      </c>
      <c r="P78" s="101">
        <f>IF(Table10[[#This Row],[Work Start TimeStamp]]="","",(Table10[[#This Row],[Fault Clearance time]]-Table10[[#This Row],[Work Start TimeStamp]])*24)</f>
        <v>0.86666666666666659</v>
      </c>
      <c r="Q78" s="101">
        <f>(Table10[[#This Row],[Fault Clearance time]]-Table10[[#This Row],[Fault Start TimeStamp]])*24</f>
        <v>0.86666666666666659</v>
      </c>
      <c r="R78" s="483" t="s">
        <v>1913</v>
      </c>
      <c r="S78" s="102" t="s">
        <v>293</v>
      </c>
      <c r="T78" s="485">
        <f>IFERROR(Table10[[#This Row],[Breakdown Time]]*Table10[[#This Row],[Plant Equivalent Weightage]],"")</f>
        <v>0.43333333333333313</v>
      </c>
      <c r="U78" s="102" t="s">
        <v>450</v>
      </c>
      <c r="V78" s="547">
        <f>IFERROR(_xlfn.XLOOKUP(Table10[[#This Row],[Date]],'Daily KPI'!$A:$A,'Daily KPI'!$M:$M),"")</f>
        <v>3.7634574295913192</v>
      </c>
      <c r="W78" s="102">
        <v>154.80000000000001</v>
      </c>
      <c r="X78" s="102">
        <f>Table10[[#This Row],[WTG Loss]]*13*Table10[[#This Row],[Breakdown Time]]</f>
        <v>1744.08</v>
      </c>
      <c r="Y78" s="102" t="s">
        <v>449</v>
      </c>
      <c r="Z78" s="102"/>
      <c r="AA78" s="102"/>
    </row>
    <row r="79" spans="1:27">
      <c r="A79" s="102">
        <f t="shared" si="1"/>
        <v>78</v>
      </c>
      <c r="B79" s="102">
        <f>YEAR(Table10[[#This Row],[Date]])+IF(MONTH(Table10[[#This Row],[Date]])&gt;=4,1,0)</f>
        <v>2026</v>
      </c>
      <c r="C79" s="102">
        <f>YEAR(Table10[[#This Row],[Date]])</f>
        <v>2025</v>
      </c>
      <c r="D79" s="102" t="s">
        <v>446</v>
      </c>
      <c r="E79" s="469">
        <f>Table10[[#This Row],[Date]]-DAY(Table10[[#This Row],[Date]])+1</f>
        <v>45778</v>
      </c>
      <c r="F79" s="470">
        <v>45799</v>
      </c>
      <c r="G79" s="102" t="s">
        <v>77</v>
      </c>
      <c r="H79" s="102" t="str">
        <f>IFERROR(_xlfn.XLOOKUP(Table10[[#This Row],[Affected Feeder ]],'Basic Data'!$A$43:$A$70,'Basic Data'!$B$43:$B$70),"")</f>
        <v>TQGXIIPL</v>
      </c>
      <c r="I79" s="102" t="str">
        <f>IFERROR(_xlfn.XLOOKUP(Table10[[#This Row],[Affected Feeder ]],'Basic Data'!$A$43:$A$70,'Basic Data'!$C$43:$C$70),"")</f>
        <v>GEDA</v>
      </c>
      <c r="J79" s="482">
        <f>IFERROR(_xlfn.XLOOKUP(Table10[[#This Row],[Affected Feeder ]],'Basic Data'!$A$43:$A$70,'Basic Data'!$E$43:$E$70),"")</f>
        <v>3.846153846153845E-2</v>
      </c>
      <c r="K79" s="483" t="s">
        <v>465</v>
      </c>
      <c r="L79" s="484">
        <v>4.9305555555555554E-2</v>
      </c>
      <c r="M79" s="484">
        <v>4.9305555555555554E-2</v>
      </c>
      <c r="N79" s="484">
        <v>0.15972222222222221</v>
      </c>
      <c r="O79" s="101">
        <f>(Table10[[#This Row],[Work Start TimeStamp]]-Table10[[#This Row],[Fault Start TimeStamp]])*24</f>
        <v>0</v>
      </c>
      <c r="P79" s="101">
        <f>IF(Table10[[#This Row],[Work Start TimeStamp]]="","",(Table10[[#This Row],[Fault Clearance time]]-Table10[[#This Row],[Work Start TimeStamp]])*24)</f>
        <v>2.65</v>
      </c>
      <c r="Q79" s="101">
        <f>(Table10[[#This Row],[Fault Clearance time]]-Table10[[#This Row],[Fault Start TimeStamp]])*24</f>
        <v>2.65</v>
      </c>
      <c r="R79" s="483" t="s">
        <v>1898</v>
      </c>
      <c r="S79" s="102" t="s">
        <v>293</v>
      </c>
      <c r="T79" s="485">
        <f>IFERROR(Table10[[#This Row],[Breakdown Time]]*Table10[[#This Row],[Plant Equivalent Weightage]],"")</f>
        <v>0.10192307692307689</v>
      </c>
      <c r="U79" s="102" t="s">
        <v>450</v>
      </c>
      <c r="V79" s="547">
        <f>IFERROR(_xlfn.XLOOKUP(Table10[[#This Row],[Date]],'Daily KPI'!$A:$A,'Daily KPI'!$M:$M),"")</f>
        <v>3.7634574295913192</v>
      </c>
      <c r="W79" s="102">
        <v>154.80000000000001</v>
      </c>
      <c r="X79" s="102">
        <f>Table10[[#This Row],[WTG Loss]]*1*Table10[[#This Row],[Breakdown Time]]</f>
        <v>410.22</v>
      </c>
      <c r="Y79" s="102" t="s">
        <v>449</v>
      </c>
      <c r="Z79" s="102"/>
      <c r="AA79" s="102"/>
    </row>
    <row r="80" spans="1:27">
      <c r="A80" s="102">
        <f t="shared" si="1"/>
        <v>79</v>
      </c>
      <c r="B80" s="102">
        <f>YEAR(Table10[[#This Row],[Date]])+IF(MONTH(Table10[[#This Row],[Date]])&gt;=4,1,0)</f>
        <v>2026</v>
      </c>
      <c r="C80" s="102">
        <f>YEAR(Table10[[#This Row],[Date]])</f>
        <v>2025</v>
      </c>
      <c r="D80" s="102" t="s">
        <v>446</v>
      </c>
      <c r="E80" s="469">
        <f>Table10[[#This Row],[Date]]-DAY(Table10[[#This Row],[Date]])+1</f>
        <v>45778</v>
      </c>
      <c r="F80" s="470">
        <v>45799</v>
      </c>
      <c r="G80" s="102" t="s">
        <v>80</v>
      </c>
      <c r="H80" s="102" t="str">
        <f>IFERROR(_xlfn.XLOOKUP(Table10[[#This Row],[Affected Feeder ]],'Basic Data'!$A$43:$A$70,'Basic Data'!$B$43:$B$70),"")</f>
        <v>TQGXIIPL</v>
      </c>
      <c r="I80" s="102" t="str">
        <f>IFERROR(_xlfn.XLOOKUP(Table10[[#This Row],[Affected Feeder ]],'Basic Data'!$A$43:$A$70,'Basic Data'!$C$43:$C$70),"")</f>
        <v>GEDA</v>
      </c>
      <c r="J80" s="482">
        <f>IFERROR(_xlfn.XLOOKUP(Table10[[#This Row],[Affected Feeder ]],'Basic Data'!$A$43:$A$70,'Basic Data'!$E$43:$E$70),"")</f>
        <v>3.846153846153845E-2</v>
      </c>
      <c r="K80" s="483" t="s">
        <v>456</v>
      </c>
      <c r="L80" s="484">
        <v>4.9305555555555554E-2</v>
      </c>
      <c r="M80" s="484">
        <v>4.9305555555555554E-2</v>
      </c>
      <c r="N80" s="484">
        <v>0.15972222222222221</v>
      </c>
      <c r="O80" s="101">
        <f>(Table10[[#This Row],[Work Start TimeStamp]]-Table10[[#This Row],[Fault Start TimeStamp]])*24</f>
        <v>0</v>
      </c>
      <c r="P80" s="101">
        <f>IF(Table10[[#This Row],[Work Start TimeStamp]]="","",(Table10[[#This Row],[Fault Clearance time]]-Table10[[#This Row],[Work Start TimeStamp]])*24)</f>
        <v>2.65</v>
      </c>
      <c r="Q80" s="101">
        <f>(Table10[[#This Row],[Fault Clearance time]]-Table10[[#This Row],[Fault Start TimeStamp]])*24</f>
        <v>2.65</v>
      </c>
      <c r="R80" s="483" t="s">
        <v>1898</v>
      </c>
      <c r="S80" s="102" t="s">
        <v>293</v>
      </c>
      <c r="T80" s="485">
        <f>IFERROR(Table10[[#This Row],[Breakdown Time]]*Table10[[#This Row],[Plant Equivalent Weightage]],"")</f>
        <v>0.10192307692307689</v>
      </c>
      <c r="U80" s="102" t="s">
        <v>450</v>
      </c>
      <c r="V80" s="547">
        <f>IFERROR(_xlfn.XLOOKUP(Table10[[#This Row],[Date]],'Daily KPI'!$A:$A,'Daily KPI'!$M:$M),"")</f>
        <v>3.7634574295913192</v>
      </c>
      <c r="W80" s="102">
        <v>154.80000000000001</v>
      </c>
      <c r="X80" s="102">
        <f>Table10[[#This Row],[WTG Loss]]*1*Table10[[#This Row],[Breakdown Time]]</f>
        <v>410.22</v>
      </c>
      <c r="Y80" s="102" t="s">
        <v>449</v>
      </c>
      <c r="Z80" s="102"/>
      <c r="AA80" s="102"/>
    </row>
    <row r="81" spans="1:27">
      <c r="A81" s="102">
        <f t="shared" si="1"/>
        <v>80</v>
      </c>
      <c r="B81" s="102">
        <f>YEAR(Table10[[#This Row],[Date]])+IF(MONTH(Table10[[#This Row],[Date]])&gt;=4,1,0)</f>
        <v>2026</v>
      </c>
      <c r="C81" s="102">
        <f>YEAR(Table10[[#This Row],[Date]])</f>
        <v>2025</v>
      </c>
      <c r="D81" s="102" t="s">
        <v>446</v>
      </c>
      <c r="E81" s="469">
        <f>Table10[[#This Row],[Date]]-DAY(Table10[[#This Row],[Date]])+1</f>
        <v>45778</v>
      </c>
      <c r="F81" s="470">
        <v>45799</v>
      </c>
      <c r="G81" s="102" t="s">
        <v>92</v>
      </c>
      <c r="H81" s="102" t="str">
        <f>IFERROR(_xlfn.XLOOKUP(Table10[[#This Row],[Affected Feeder ]],'Basic Data'!$A$43:$A$70,'Basic Data'!$B$43:$B$70),"")</f>
        <v>TQGXIIPL</v>
      </c>
      <c r="I81" s="102" t="str">
        <f>IFERROR(_xlfn.XLOOKUP(Table10[[#This Row],[Affected Feeder ]],'Basic Data'!$A$43:$A$70,'Basic Data'!$C$43:$C$70),"")</f>
        <v>GEDA</v>
      </c>
      <c r="J81" s="482">
        <f>IFERROR(_xlfn.XLOOKUP(Table10[[#This Row],[Affected Feeder ]],'Basic Data'!$A$43:$A$70,'Basic Data'!$E$43:$E$70),"")</f>
        <v>3.846153846153845E-2</v>
      </c>
      <c r="K81" s="483" t="s">
        <v>466</v>
      </c>
      <c r="L81" s="484">
        <v>4.9305555555555554E-2</v>
      </c>
      <c r="M81" s="484">
        <v>4.9305555555555554E-2</v>
      </c>
      <c r="N81" s="484">
        <v>0.15972222222222221</v>
      </c>
      <c r="O81" s="101">
        <f>(Table10[[#This Row],[Work Start TimeStamp]]-Table10[[#This Row],[Fault Start TimeStamp]])*24</f>
        <v>0</v>
      </c>
      <c r="P81" s="101">
        <f>IF(Table10[[#This Row],[Work Start TimeStamp]]="","",(Table10[[#This Row],[Fault Clearance time]]-Table10[[#This Row],[Work Start TimeStamp]])*24)</f>
        <v>2.65</v>
      </c>
      <c r="Q81" s="101">
        <f>(Table10[[#This Row],[Fault Clearance time]]-Table10[[#This Row],[Fault Start TimeStamp]])*24</f>
        <v>2.65</v>
      </c>
      <c r="R81" s="483" t="s">
        <v>1898</v>
      </c>
      <c r="S81" s="102" t="s">
        <v>293</v>
      </c>
      <c r="T81" s="485">
        <f>IFERROR(Table10[[#This Row],[Breakdown Time]]*Table10[[#This Row],[Plant Equivalent Weightage]],"")</f>
        <v>0.10192307692307689</v>
      </c>
      <c r="U81" s="102" t="s">
        <v>450</v>
      </c>
      <c r="V81" s="547">
        <f>IFERROR(_xlfn.XLOOKUP(Table10[[#This Row],[Date]],'Daily KPI'!$A:$A,'Daily KPI'!$M:$M),"")</f>
        <v>3.7634574295913192</v>
      </c>
      <c r="W81" s="102">
        <v>154.80000000000001</v>
      </c>
      <c r="X81" s="102">
        <f>Table10[[#This Row],[WTG Loss]]*1*Table10[[#This Row],[Breakdown Time]]</f>
        <v>410.22</v>
      </c>
      <c r="Y81" s="102" t="s">
        <v>449</v>
      </c>
      <c r="Z81" s="102"/>
      <c r="AA81" s="102"/>
    </row>
    <row r="82" spans="1:27">
      <c r="A82" s="102">
        <f t="shared" si="1"/>
        <v>81</v>
      </c>
      <c r="B82" s="102">
        <f>YEAR(Table10[[#This Row],[Date]])+IF(MONTH(Table10[[#This Row],[Date]])&gt;=4,1,0)</f>
        <v>2026</v>
      </c>
      <c r="C82" s="102">
        <f>YEAR(Table10[[#This Row],[Date]])</f>
        <v>2025</v>
      </c>
      <c r="D82" s="102" t="s">
        <v>446</v>
      </c>
      <c r="E82" s="469">
        <f>Table10[[#This Row],[Date]]-DAY(Table10[[#This Row],[Date]])+1</f>
        <v>45778</v>
      </c>
      <c r="F82" s="470">
        <v>45799</v>
      </c>
      <c r="G82" s="102" t="s">
        <v>447</v>
      </c>
      <c r="H82" s="102" t="str">
        <f>IFERROR(_xlfn.XLOOKUP(Table10[[#This Row],[Affected Feeder ]],'Basic Data'!$A$43:$A$70,'Basic Data'!$B$43:$B$70),"")</f>
        <v>TQGXIIPL</v>
      </c>
      <c r="I82" s="102" t="str">
        <f>IFERROR(_xlfn.XLOOKUP(Table10[[#This Row],[Affected Feeder ]],'Basic Data'!$A$43:$A$70,'Basic Data'!$C$43:$C$70),"")</f>
        <v>GEDA</v>
      </c>
      <c r="J82" s="482">
        <f>IFERROR(_xlfn.XLOOKUP(Table10[[#This Row],[Affected Feeder ]],'Basic Data'!$A$43:$A$70,'Basic Data'!$E$43:$E$70),"")</f>
        <v>0.49999999999999978</v>
      </c>
      <c r="K82" s="483" t="s">
        <v>1840</v>
      </c>
      <c r="L82" s="484">
        <v>0.38263888888888886</v>
      </c>
      <c r="M82" s="484">
        <v>0.38263888888888886</v>
      </c>
      <c r="N82" s="484">
        <v>0.47430555555555554</v>
      </c>
      <c r="O82" s="101">
        <f>(Table10[[#This Row],[Work Start TimeStamp]]-Table10[[#This Row],[Fault Start TimeStamp]])*24</f>
        <v>0</v>
      </c>
      <c r="P82" s="101">
        <f>IF(Table10[[#This Row],[Work Start TimeStamp]]="","",(Table10[[#This Row],[Fault Clearance time]]-Table10[[#This Row],[Work Start TimeStamp]])*24)</f>
        <v>2.2000000000000002</v>
      </c>
      <c r="Q82" s="101">
        <f>(Table10[[#This Row],[Fault Clearance time]]-Table10[[#This Row],[Fault Start TimeStamp]])*24</f>
        <v>2.2000000000000002</v>
      </c>
      <c r="R82" s="483" t="s">
        <v>1899</v>
      </c>
      <c r="S82" s="102" t="s">
        <v>293</v>
      </c>
      <c r="T82" s="485">
        <f>IFERROR(Table10[[#This Row],[Breakdown Time]]*Table10[[#This Row],[Plant Equivalent Weightage]],"")</f>
        <v>1.0999999999999996</v>
      </c>
      <c r="U82" s="102" t="s">
        <v>450</v>
      </c>
      <c r="V82" s="547">
        <f>IFERROR(_xlfn.XLOOKUP(Table10[[#This Row],[Date]],'Daily KPI'!$A:$A,'Daily KPI'!$M:$M),"")</f>
        <v>3.7634574295913192</v>
      </c>
      <c r="W82" s="102">
        <v>154.80000000000001</v>
      </c>
      <c r="X82" s="102">
        <f>Table10[[#This Row],[WTG Loss]]*13*Table10[[#This Row],[Breakdown Time]]</f>
        <v>4427.2800000000007</v>
      </c>
      <c r="Y82" s="102" t="s">
        <v>449</v>
      </c>
      <c r="Z82" s="102"/>
      <c r="AA82" s="102"/>
    </row>
    <row r="83" spans="1:27">
      <c r="A83" s="102">
        <f t="shared" si="1"/>
        <v>82</v>
      </c>
      <c r="B83" s="102">
        <f>YEAR(Table10[[#This Row],[Date]])+IF(MONTH(Table10[[#This Row],[Date]])&gt;=4,1,0)</f>
        <v>2026</v>
      </c>
      <c r="C83" s="102">
        <f>YEAR(Table10[[#This Row],[Date]])</f>
        <v>2025</v>
      </c>
      <c r="D83" s="102" t="s">
        <v>446</v>
      </c>
      <c r="E83" s="469">
        <f>Table10[[#This Row],[Date]]-DAY(Table10[[#This Row],[Date]])+1</f>
        <v>45778</v>
      </c>
      <c r="F83" s="470">
        <v>45799</v>
      </c>
      <c r="G83" s="102" t="s">
        <v>74</v>
      </c>
      <c r="H83" s="102" t="str">
        <f>IFERROR(_xlfn.XLOOKUP(Table10[[#This Row],[Affected Feeder ]],'Basic Data'!$A$43:$A$70,'Basic Data'!$B$43:$B$70),"")</f>
        <v>TQGXIIPL</v>
      </c>
      <c r="I83" s="102" t="str">
        <f>IFERROR(_xlfn.XLOOKUP(Table10[[#This Row],[Affected Feeder ]],'Basic Data'!$A$43:$A$70,'Basic Data'!$C$43:$C$70),"")</f>
        <v>GEDA</v>
      </c>
      <c r="J83" s="482">
        <f>IFERROR(_xlfn.XLOOKUP(Table10[[#This Row],[Affected Feeder ]],'Basic Data'!$A$43:$A$70,'Basic Data'!$E$43:$E$70),"")</f>
        <v>3.846153846153845E-2</v>
      </c>
      <c r="K83" s="483" t="s">
        <v>1887</v>
      </c>
      <c r="L83" s="484">
        <v>0.47430555555555554</v>
      </c>
      <c r="M83" s="484">
        <v>0.47430555555555554</v>
      </c>
      <c r="N83" s="484">
        <v>0.74652777777777779</v>
      </c>
      <c r="O83" s="101">
        <f>(Table10[[#This Row],[Work Start TimeStamp]]-Table10[[#This Row],[Fault Start TimeStamp]])*24</f>
        <v>0</v>
      </c>
      <c r="P83" s="101">
        <f>IF(Table10[[#This Row],[Work Start TimeStamp]]="","",(Table10[[#This Row],[Fault Clearance time]]-Table10[[#This Row],[Work Start TimeStamp]])*24)</f>
        <v>6.5333333333333341</v>
      </c>
      <c r="Q83" s="101">
        <f>(Table10[[#This Row],[Fault Clearance time]]-Table10[[#This Row],[Fault Start TimeStamp]])*24</f>
        <v>6.5333333333333341</v>
      </c>
      <c r="R83" s="483" t="s">
        <v>1909</v>
      </c>
      <c r="S83" s="102" t="s">
        <v>293</v>
      </c>
      <c r="T83" s="485">
        <f>IFERROR(Table10[[#This Row],[Breakdown Time]]*Table10[[#This Row],[Plant Equivalent Weightage]],"")</f>
        <v>0.25128205128205122</v>
      </c>
      <c r="U83" s="102" t="s">
        <v>450</v>
      </c>
      <c r="V83" s="547">
        <f>IFERROR(_xlfn.XLOOKUP(Table10[[#This Row],[Date]],'Daily KPI'!$A:$A,'Daily KPI'!$M:$M),"")</f>
        <v>3.7634574295913192</v>
      </c>
      <c r="W83" s="102">
        <v>154.80000000000001</v>
      </c>
      <c r="X83" s="102">
        <f>Table10[[#This Row],[WTG Loss]]*1*Table10[[#This Row],[Breakdown Time]]</f>
        <v>1011.3600000000002</v>
      </c>
      <c r="Y83" s="102" t="s">
        <v>449</v>
      </c>
      <c r="Z83" s="102"/>
      <c r="AA83" s="102"/>
    </row>
    <row r="84" spans="1:27">
      <c r="A84" s="102">
        <f t="shared" si="1"/>
        <v>83</v>
      </c>
      <c r="B84" s="102">
        <f>YEAR(Table10[[#This Row],[Date]])+IF(MONTH(Table10[[#This Row],[Date]])&gt;=4,1,0)</f>
        <v>2026</v>
      </c>
      <c r="C84" s="102">
        <f>YEAR(Table10[[#This Row],[Date]])</f>
        <v>2025</v>
      </c>
      <c r="D84" s="102" t="s">
        <v>446</v>
      </c>
      <c r="E84" s="469">
        <f>Table10[[#This Row],[Date]]-DAY(Table10[[#This Row],[Date]])+1</f>
        <v>45778</v>
      </c>
      <c r="F84" s="470">
        <v>45799</v>
      </c>
      <c r="G84" s="102" t="s">
        <v>75</v>
      </c>
      <c r="H84" s="102" t="str">
        <f>IFERROR(_xlfn.XLOOKUP(Table10[[#This Row],[Affected Feeder ]],'Basic Data'!$A$43:$A$70,'Basic Data'!$B$43:$B$70),"")</f>
        <v>TQGXIIPL</v>
      </c>
      <c r="I84" s="102" t="str">
        <f>IFERROR(_xlfn.XLOOKUP(Table10[[#This Row],[Affected Feeder ]],'Basic Data'!$A$43:$A$70,'Basic Data'!$C$43:$C$70),"")</f>
        <v>GEDA</v>
      </c>
      <c r="J84" s="482">
        <f>IFERROR(_xlfn.XLOOKUP(Table10[[#This Row],[Affected Feeder ]],'Basic Data'!$A$43:$A$70,'Basic Data'!$E$43:$E$70),"")</f>
        <v>3.846153846153845E-2</v>
      </c>
      <c r="K84" s="483" t="s">
        <v>1888</v>
      </c>
      <c r="L84" s="484">
        <v>0.47430555555555554</v>
      </c>
      <c r="M84" s="484">
        <v>0.47430555555555554</v>
      </c>
      <c r="N84" s="484">
        <v>0.74652777777777779</v>
      </c>
      <c r="O84" s="101">
        <f>(Table10[[#This Row],[Work Start TimeStamp]]-Table10[[#This Row],[Fault Start TimeStamp]])*24</f>
        <v>0</v>
      </c>
      <c r="P84" s="101">
        <f>IF(Table10[[#This Row],[Work Start TimeStamp]]="","",(Table10[[#This Row],[Fault Clearance time]]-Table10[[#This Row],[Work Start TimeStamp]])*24)</f>
        <v>6.5333333333333341</v>
      </c>
      <c r="Q84" s="101">
        <f>(Table10[[#This Row],[Fault Clearance time]]-Table10[[#This Row],[Fault Start TimeStamp]])*24</f>
        <v>6.5333333333333341</v>
      </c>
      <c r="R84" s="483" t="s">
        <v>1909</v>
      </c>
      <c r="S84" s="102" t="s">
        <v>293</v>
      </c>
      <c r="T84" s="485">
        <f>IFERROR(Table10[[#This Row],[Breakdown Time]]*Table10[[#This Row],[Plant Equivalent Weightage]],"")</f>
        <v>0.25128205128205122</v>
      </c>
      <c r="U84" s="102" t="s">
        <v>450</v>
      </c>
      <c r="V84" s="547">
        <f>IFERROR(_xlfn.XLOOKUP(Table10[[#This Row],[Date]],'Daily KPI'!$A:$A,'Daily KPI'!$M:$M),"")</f>
        <v>3.7634574295913192</v>
      </c>
      <c r="W84" s="102">
        <v>154.80000000000001</v>
      </c>
      <c r="X84" s="102">
        <f>Table10[[#This Row],[WTG Loss]]*1*Table10[[#This Row],[Breakdown Time]]</f>
        <v>1011.3600000000002</v>
      </c>
      <c r="Y84" s="102" t="s">
        <v>449</v>
      </c>
      <c r="Z84" s="102"/>
      <c r="AA84" s="102"/>
    </row>
    <row r="85" spans="1:27">
      <c r="A85" s="102">
        <f t="shared" si="1"/>
        <v>84</v>
      </c>
      <c r="B85" s="102">
        <f>YEAR(Table10[[#This Row],[Date]])+IF(MONTH(Table10[[#This Row],[Date]])&gt;=4,1,0)</f>
        <v>2026</v>
      </c>
      <c r="C85" s="102">
        <f>YEAR(Table10[[#This Row],[Date]])</f>
        <v>2025</v>
      </c>
      <c r="D85" s="102" t="s">
        <v>1992</v>
      </c>
      <c r="E85" s="469">
        <f>Table10[[#This Row],[Date]]-DAY(Table10[[#This Row],[Date]])+1</f>
        <v>45778</v>
      </c>
      <c r="F85" s="470">
        <v>45799</v>
      </c>
      <c r="G85" s="102" t="s">
        <v>76</v>
      </c>
      <c r="H85" s="102" t="str">
        <f>IFERROR(_xlfn.XLOOKUP(Table10[[#This Row],[Affected Feeder ]],'Basic Data'!$A$43:$A$70,'Basic Data'!$B$43:$B$70),"")</f>
        <v>TQGXIIPL</v>
      </c>
      <c r="I85" s="102" t="str">
        <f>IFERROR(_xlfn.XLOOKUP(Table10[[#This Row],[Affected Feeder ]],'Basic Data'!$A$43:$A$70,'Basic Data'!$C$43:$C$70),"")</f>
        <v>GEDA</v>
      </c>
      <c r="J85" s="482">
        <f>IFERROR(_xlfn.XLOOKUP(Table10[[#This Row],[Affected Feeder ]],'Basic Data'!$A$43:$A$70,'Basic Data'!$E$43:$E$70),"")</f>
        <v>3.846153846153845E-2</v>
      </c>
      <c r="K85" s="483" t="s">
        <v>1889</v>
      </c>
      <c r="L85" s="484">
        <v>0.47430555555555554</v>
      </c>
      <c r="M85" s="484">
        <v>0.47430555555555554</v>
      </c>
      <c r="N85" s="484">
        <v>0.74652777777777779</v>
      </c>
      <c r="O85" s="101">
        <f>(Table10[[#This Row],[Work Start TimeStamp]]-Table10[[#This Row],[Fault Start TimeStamp]])*24</f>
        <v>0</v>
      </c>
      <c r="P85" s="101">
        <f>IF(Table10[[#This Row],[Work Start TimeStamp]]="","",(Table10[[#This Row],[Fault Clearance time]]-Table10[[#This Row],[Work Start TimeStamp]])*24)</f>
        <v>6.5333333333333341</v>
      </c>
      <c r="Q85" s="101">
        <f>(Table10[[#This Row],[Fault Clearance time]]-Table10[[#This Row],[Fault Start TimeStamp]])*24</f>
        <v>6.5333333333333341</v>
      </c>
      <c r="R85" s="483" t="s">
        <v>1909</v>
      </c>
      <c r="S85" s="102" t="s">
        <v>293</v>
      </c>
      <c r="T85" s="485">
        <f>IFERROR(Table10[[#This Row],[Breakdown Time]]*Table10[[#This Row],[Plant Equivalent Weightage]],"")</f>
        <v>0.25128205128205122</v>
      </c>
      <c r="U85" s="102" t="s">
        <v>450</v>
      </c>
      <c r="V85" s="547">
        <f>IFERROR(_xlfn.XLOOKUP(Table10[[#This Row],[Date]],'Daily KPI'!$A:$A,'Daily KPI'!$M:$M),"")</f>
        <v>3.7634574295913192</v>
      </c>
      <c r="W85" s="102">
        <v>154.80000000000001</v>
      </c>
      <c r="X85" s="102">
        <f>Table10[[#This Row],[WTG Loss]]*1*Table10[[#This Row],[Breakdown Time]]</f>
        <v>1011.3600000000002</v>
      </c>
      <c r="Y85" s="102" t="s">
        <v>449</v>
      </c>
      <c r="Z85" s="102"/>
      <c r="AA85" s="102"/>
    </row>
    <row r="86" spans="1:27">
      <c r="A86" s="102">
        <f t="shared" si="1"/>
        <v>85</v>
      </c>
      <c r="B86" s="102">
        <f>YEAR(Table10[[#This Row],[Date]])+IF(MONTH(Table10[[#This Row],[Date]])&gt;=4,1,0)</f>
        <v>2026</v>
      </c>
      <c r="C86" s="102">
        <f>YEAR(Table10[[#This Row],[Date]])</f>
        <v>2025</v>
      </c>
      <c r="D86" s="102" t="s">
        <v>1992</v>
      </c>
      <c r="E86" s="469">
        <f>Table10[[#This Row],[Date]]-DAY(Table10[[#This Row],[Date]])+1</f>
        <v>45778</v>
      </c>
      <c r="F86" s="470">
        <v>45799</v>
      </c>
      <c r="G86" s="102" t="s">
        <v>78</v>
      </c>
      <c r="H86" s="102" t="str">
        <f>IFERROR(_xlfn.XLOOKUP(Table10[[#This Row],[Affected Feeder ]],'Basic Data'!$A$43:$A$70,'Basic Data'!$B$43:$B$70),"")</f>
        <v>TQGXIIPL</v>
      </c>
      <c r="I86" s="102" t="str">
        <f>IFERROR(_xlfn.XLOOKUP(Table10[[#This Row],[Affected Feeder ]],'Basic Data'!$A$43:$A$70,'Basic Data'!$C$43:$C$70),"")</f>
        <v>GEDA</v>
      </c>
      <c r="J86" s="482">
        <f>IFERROR(_xlfn.XLOOKUP(Table10[[#This Row],[Affected Feeder ]],'Basic Data'!$A$43:$A$70,'Basic Data'!$E$43:$E$70),"")</f>
        <v>3.846153846153845E-2</v>
      </c>
      <c r="K86" s="483" t="s">
        <v>1890</v>
      </c>
      <c r="L86" s="484">
        <v>0.47430555555555554</v>
      </c>
      <c r="M86" s="484">
        <v>0.47430555555555554</v>
      </c>
      <c r="N86" s="484">
        <v>0.74652777777777779</v>
      </c>
      <c r="O86" s="101">
        <f>(Table10[[#This Row],[Work Start TimeStamp]]-Table10[[#This Row],[Fault Start TimeStamp]])*24</f>
        <v>0</v>
      </c>
      <c r="P86" s="101">
        <f>IF(Table10[[#This Row],[Work Start TimeStamp]]="","",(Table10[[#This Row],[Fault Clearance time]]-Table10[[#This Row],[Work Start TimeStamp]])*24)</f>
        <v>6.5333333333333341</v>
      </c>
      <c r="Q86" s="101">
        <f>(Table10[[#This Row],[Fault Clearance time]]-Table10[[#This Row],[Fault Start TimeStamp]])*24</f>
        <v>6.5333333333333341</v>
      </c>
      <c r="R86" s="483" t="s">
        <v>1909</v>
      </c>
      <c r="S86" s="102" t="s">
        <v>293</v>
      </c>
      <c r="T86" s="485">
        <f>IFERROR(Table10[[#This Row],[Breakdown Time]]*Table10[[#This Row],[Plant Equivalent Weightage]],"")</f>
        <v>0.25128205128205122</v>
      </c>
      <c r="U86" s="102" t="s">
        <v>450</v>
      </c>
      <c r="V86" s="547">
        <f>IFERROR(_xlfn.XLOOKUP(Table10[[#This Row],[Date]],'Daily KPI'!$A:$A,'Daily KPI'!$M:$M),"")</f>
        <v>3.7634574295913192</v>
      </c>
      <c r="W86" s="102">
        <v>154.80000000000001</v>
      </c>
      <c r="X86" s="102">
        <f>Table10[[#This Row],[WTG Loss]]*1*Table10[[#This Row],[Breakdown Time]]</f>
        <v>1011.3600000000002</v>
      </c>
      <c r="Y86" s="102" t="s">
        <v>449</v>
      </c>
      <c r="Z86" s="102"/>
      <c r="AA86" s="102"/>
    </row>
    <row r="87" spans="1:27">
      <c r="A87" s="102">
        <f t="shared" si="1"/>
        <v>86</v>
      </c>
      <c r="B87" s="102">
        <f>YEAR(Table10[[#This Row],[Date]])+IF(MONTH(Table10[[#This Row],[Date]])&gt;=4,1,0)</f>
        <v>2026</v>
      </c>
      <c r="C87" s="102">
        <f>YEAR(Table10[[#This Row],[Date]])</f>
        <v>2025</v>
      </c>
      <c r="D87" s="102" t="s">
        <v>1992</v>
      </c>
      <c r="E87" s="469">
        <f>Table10[[#This Row],[Date]]-DAY(Table10[[#This Row],[Date]])+1</f>
        <v>45778</v>
      </c>
      <c r="F87" s="470">
        <v>45799</v>
      </c>
      <c r="G87" s="102" t="s">
        <v>81</v>
      </c>
      <c r="H87" s="102" t="str">
        <f>IFERROR(_xlfn.XLOOKUP(Table10[[#This Row],[Affected Feeder ]],'Basic Data'!$A$43:$A$70,'Basic Data'!$B$43:$B$70),"")</f>
        <v>TQGXIIPL</v>
      </c>
      <c r="I87" s="102" t="str">
        <f>IFERROR(_xlfn.XLOOKUP(Table10[[#This Row],[Affected Feeder ]],'Basic Data'!$A$43:$A$70,'Basic Data'!$C$43:$C$70),"")</f>
        <v>GEDA</v>
      </c>
      <c r="J87" s="482">
        <f>IFERROR(_xlfn.XLOOKUP(Table10[[#This Row],[Affected Feeder ]],'Basic Data'!$A$43:$A$70,'Basic Data'!$E$43:$E$70),"")</f>
        <v>3.846153846153845E-2</v>
      </c>
      <c r="K87" s="483" t="s">
        <v>1891</v>
      </c>
      <c r="L87" s="484">
        <v>0.47430555555555554</v>
      </c>
      <c r="M87" s="484">
        <v>0.47430555555555554</v>
      </c>
      <c r="N87" s="484">
        <v>0.74652777777777779</v>
      </c>
      <c r="O87" s="101">
        <f>(Table10[[#This Row],[Work Start TimeStamp]]-Table10[[#This Row],[Fault Start TimeStamp]])*24</f>
        <v>0</v>
      </c>
      <c r="P87" s="101">
        <f>IF(Table10[[#This Row],[Work Start TimeStamp]]="","",(Table10[[#This Row],[Fault Clearance time]]-Table10[[#This Row],[Work Start TimeStamp]])*24)</f>
        <v>6.5333333333333341</v>
      </c>
      <c r="Q87" s="101">
        <f>(Table10[[#This Row],[Fault Clearance time]]-Table10[[#This Row],[Fault Start TimeStamp]])*24</f>
        <v>6.5333333333333341</v>
      </c>
      <c r="R87" s="483" t="s">
        <v>1909</v>
      </c>
      <c r="S87" s="102" t="s">
        <v>293</v>
      </c>
      <c r="T87" s="485">
        <f>IFERROR(Table10[[#This Row],[Breakdown Time]]*Table10[[#This Row],[Plant Equivalent Weightage]],"")</f>
        <v>0.25128205128205122</v>
      </c>
      <c r="U87" s="102" t="s">
        <v>450</v>
      </c>
      <c r="V87" s="547">
        <f>IFERROR(_xlfn.XLOOKUP(Table10[[#This Row],[Date]],'Daily KPI'!$A:$A,'Daily KPI'!$M:$M),"")</f>
        <v>3.7634574295913192</v>
      </c>
      <c r="W87" s="102">
        <v>154.80000000000001</v>
      </c>
      <c r="X87" s="102">
        <f>Table10[[#This Row],[WTG Loss]]*1*Table10[[#This Row],[Breakdown Time]]</f>
        <v>1011.3600000000002</v>
      </c>
      <c r="Y87" s="102" t="s">
        <v>449</v>
      </c>
      <c r="Z87" s="102"/>
      <c r="AA87" s="102"/>
    </row>
    <row r="88" spans="1:27">
      <c r="A88" s="102">
        <f t="shared" si="1"/>
        <v>87</v>
      </c>
      <c r="B88" s="102">
        <f>YEAR(Table10[[#This Row],[Date]])+IF(MONTH(Table10[[#This Row],[Date]])&gt;=4,1,0)</f>
        <v>2026</v>
      </c>
      <c r="C88" s="102">
        <f>YEAR(Table10[[#This Row],[Date]])</f>
        <v>2025</v>
      </c>
      <c r="D88" s="102" t="s">
        <v>1992</v>
      </c>
      <c r="E88" s="469">
        <f>Table10[[#This Row],[Date]]-DAY(Table10[[#This Row],[Date]])+1</f>
        <v>45778</v>
      </c>
      <c r="F88" s="470">
        <v>45799</v>
      </c>
      <c r="G88" s="102" t="s">
        <v>82</v>
      </c>
      <c r="H88" s="102" t="str">
        <f>IFERROR(_xlfn.XLOOKUP(Table10[[#This Row],[Affected Feeder ]],'Basic Data'!$A$43:$A$70,'Basic Data'!$B$43:$B$70),"")</f>
        <v>TQGXIIPL</v>
      </c>
      <c r="I88" s="102" t="str">
        <f>IFERROR(_xlfn.XLOOKUP(Table10[[#This Row],[Affected Feeder ]],'Basic Data'!$A$43:$A$70,'Basic Data'!$C$43:$C$70),"")</f>
        <v>GEDA</v>
      </c>
      <c r="J88" s="482">
        <f>IFERROR(_xlfn.XLOOKUP(Table10[[#This Row],[Affected Feeder ]],'Basic Data'!$A$43:$A$70,'Basic Data'!$E$43:$E$70),"")</f>
        <v>3.846153846153845E-2</v>
      </c>
      <c r="K88" s="483" t="s">
        <v>1892</v>
      </c>
      <c r="L88" s="484">
        <v>0.47430555555555554</v>
      </c>
      <c r="M88" s="484">
        <v>0.47430555555555554</v>
      </c>
      <c r="N88" s="484">
        <v>0.74652777777777779</v>
      </c>
      <c r="O88" s="101">
        <f>(Table10[[#This Row],[Work Start TimeStamp]]-Table10[[#This Row],[Fault Start TimeStamp]])*24</f>
        <v>0</v>
      </c>
      <c r="P88" s="101">
        <f>IF(Table10[[#This Row],[Work Start TimeStamp]]="","",(Table10[[#This Row],[Fault Clearance time]]-Table10[[#This Row],[Work Start TimeStamp]])*24)</f>
        <v>6.5333333333333341</v>
      </c>
      <c r="Q88" s="101">
        <f>(Table10[[#This Row],[Fault Clearance time]]-Table10[[#This Row],[Fault Start TimeStamp]])*24</f>
        <v>6.5333333333333341</v>
      </c>
      <c r="R88" s="483" t="s">
        <v>1909</v>
      </c>
      <c r="S88" s="102" t="s">
        <v>293</v>
      </c>
      <c r="T88" s="485">
        <f>IFERROR(Table10[[#This Row],[Breakdown Time]]*Table10[[#This Row],[Plant Equivalent Weightage]],"")</f>
        <v>0.25128205128205122</v>
      </c>
      <c r="U88" s="102" t="s">
        <v>450</v>
      </c>
      <c r="V88" s="547">
        <f>IFERROR(_xlfn.XLOOKUP(Table10[[#This Row],[Date]],'Daily KPI'!$A:$A,'Daily KPI'!$M:$M),"")</f>
        <v>3.7634574295913192</v>
      </c>
      <c r="W88" s="102">
        <v>154.80000000000001</v>
      </c>
      <c r="X88" s="102">
        <f>Table10[[#This Row],[WTG Loss]]*1*Table10[[#This Row],[Breakdown Time]]</f>
        <v>1011.3600000000002</v>
      </c>
      <c r="Y88" s="102" t="s">
        <v>449</v>
      </c>
      <c r="Z88" s="102"/>
      <c r="AA88" s="102"/>
    </row>
    <row r="89" spans="1:27">
      <c r="A89" s="102">
        <f t="shared" si="1"/>
        <v>88</v>
      </c>
      <c r="B89" s="102">
        <f>YEAR(Table10[[#This Row],[Date]])+IF(MONTH(Table10[[#This Row],[Date]])&gt;=4,1,0)</f>
        <v>2026</v>
      </c>
      <c r="C89" s="102">
        <f>YEAR(Table10[[#This Row],[Date]])</f>
        <v>2025</v>
      </c>
      <c r="D89" s="102" t="s">
        <v>1992</v>
      </c>
      <c r="E89" s="469">
        <f>Table10[[#This Row],[Date]]-DAY(Table10[[#This Row],[Date]])+1</f>
        <v>45778</v>
      </c>
      <c r="F89" s="470">
        <v>45799</v>
      </c>
      <c r="G89" s="102" t="s">
        <v>84</v>
      </c>
      <c r="H89" s="102" t="str">
        <f>IFERROR(_xlfn.XLOOKUP(Table10[[#This Row],[Affected Feeder ]],'Basic Data'!$A$43:$A$70,'Basic Data'!$B$43:$B$70),"")</f>
        <v>TQGXIIPL</v>
      </c>
      <c r="I89" s="102" t="str">
        <f>IFERROR(_xlfn.XLOOKUP(Table10[[#This Row],[Affected Feeder ]],'Basic Data'!$A$43:$A$70,'Basic Data'!$C$43:$C$70),"")</f>
        <v>GEDA</v>
      </c>
      <c r="J89" s="482">
        <f>IFERROR(_xlfn.XLOOKUP(Table10[[#This Row],[Affected Feeder ]],'Basic Data'!$A$43:$A$70,'Basic Data'!$E$43:$E$70),"")</f>
        <v>3.846153846153845E-2</v>
      </c>
      <c r="K89" s="483" t="s">
        <v>1893</v>
      </c>
      <c r="L89" s="484">
        <v>0.47430555555555554</v>
      </c>
      <c r="M89" s="484">
        <v>0.47430555555555554</v>
      </c>
      <c r="N89" s="484">
        <v>0.74652777777777779</v>
      </c>
      <c r="O89" s="101">
        <f>(Table10[[#This Row],[Work Start TimeStamp]]-Table10[[#This Row],[Fault Start TimeStamp]])*24</f>
        <v>0</v>
      </c>
      <c r="P89" s="101">
        <f>IF(Table10[[#This Row],[Work Start TimeStamp]]="","",(Table10[[#This Row],[Fault Clearance time]]-Table10[[#This Row],[Work Start TimeStamp]])*24)</f>
        <v>6.5333333333333341</v>
      </c>
      <c r="Q89" s="101">
        <f>(Table10[[#This Row],[Fault Clearance time]]-Table10[[#This Row],[Fault Start TimeStamp]])*24</f>
        <v>6.5333333333333341</v>
      </c>
      <c r="R89" s="483" t="s">
        <v>1909</v>
      </c>
      <c r="S89" s="102" t="s">
        <v>293</v>
      </c>
      <c r="T89" s="485">
        <f>IFERROR(Table10[[#This Row],[Breakdown Time]]*Table10[[#This Row],[Plant Equivalent Weightage]],"")</f>
        <v>0.25128205128205122</v>
      </c>
      <c r="U89" s="102" t="s">
        <v>450</v>
      </c>
      <c r="V89" s="547">
        <f>IFERROR(_xlfn.XLOOKUP(Table10[[#This Row],[Date]],'Daily KPI'!$A:$A,'Daily KPI'!$M:$M),"")</f>
        <v>3.7634574295913192</v>
      </c>
      <c r="W89" s="102">
        <v>154.80000000000001</v>
      </c>
      <c r="X89" s="102">
        <f>Table10[[#This Row],[WTG Loss]]*1*Table10[[#This Row],[Breakdown Time]]</f>
        <v>1011.3600000000002</v>
      </c>
      <c r="Y89" s="102" t="s">
        <v>449</v>
      </c>
      <c r="Z89" s="102"/>
      <c r="AA89" s="102"/>
    </row>
    <row r="90" spans="1:27">
      <c r="A90" s="102">
        <f t="shared" si="1"/>
        <v>89</v>
      </c>
      <c r="B90" s="102">
        <f>YEAR(Table10[[#This Row],[Date]])+IF(MONTH(Table10[[#This Row],[Date]])&gt;=4,1,0)</f>
        <v>2026</v>
      </c>
      <c r="C90" s="102">
        <f>YEAR(Table10[[#This Row],[Date]])</f>
        <v>2025</v>
      </c>
      <c r="D90" s="102" t="s">
        <v>1992</v>
      </c>
      <c r="E90" s="469">
        <f>Table10[[#This Row],[Date]]-DAY(Table10[[#This Row],[Date]])+1</f>
        <v>45778</v>
      </c>
      <c r="F90" s="470">
        <v>45799</v>
      </c>
      <c r="G90" s="102" t="s">
        <v>85</v>
      </c>
      <c r="H90" s="102" t="str">
        <f>IFERROR(_xlfn.XLOOKUP(Table10[[#This Row],[Affected Feeder ]],'Basic Data'!$A$43:$A$70,'Basic Data'!$B$43:$B$70),"")</f>
        <v>TQGXIIPL</v>
      </c>
      <c r="I90" s="102" t="str">
        <f>IFERROR(_xlfn.XLOOKUP(Table10[[#This Row],[Affected Feeder ]],'Basic Data'!$A$43:$A$70,'Basic Data'!$C$43:$C$70),"")</f>
        <v>GEDA</v>
      </c>
      <c r="J90" s="482">
        <f>IFERROR(_xlfn.XLOOKUP(Table10[[#This Row],[Affected Feeder ]],'Basic Data'!$A$43:$A$70,'Basic Data'!$E$43:$E$70),"")</f>
        <v>3.846153846153845E-2</v>
      </c>
      <c r="K90" s="483" t="s">
        <v>1894</v>
      </c>
      <c r="L90" s="484">
        <v>0.47430555555555554</v>
      </c>
      <c r="M90" s="484">
        <v>0.47430555555555554</v>
      </c>
      <c r="N90" s="484">
        <v>0.74652777777777779</v>
      </c>
      <c r="O90" s="101">
        <f>(Table10[[#This Row],[Work Start TimeStamp]]-Table10[[#This Row],[Fault Start TimeStamp]])*24</f>
        <v>0</v>
      </c>
      <c r="P90" s="101">
        <f>IF(Table10[[#This Row],[Work Start TimeStamp]]="","",(Table10[[#This Row],[Fault Clearance time]]-Table10[[#This Row],[Work Start TimeStamp]])*24)</f>
        <v>6.5333333333333341</v>
      </c>
      <c r="Q90" s="101">
        <f>(Table10[[#This Row],[Fault Clearance time]]-Table10[[#This Row],[Fault Start TimeStamp]])*24</f>
        <v>6.5333333333333341</v>
      </c>
      <c r="R90" s="483" t="s">
        <v>1909</v>
      </c>
      <c r="S90" s="102" t="s">
        <v>293</v>
      </c>
      <c r="T90" s="485">
        <f>IFERROR(Table10[[#This Row],[Breakdown Time]]*Table10[[#This Row],[Plant Equivalent Weightage]],"")</f>
        <v>0.25128205128205122</v>
      </c>
      <c r="U90" s="102" t="s">
        <v>450</v>
      </c>
      <c r="V90" s="547">
        <f>IFERROR(_xlfn.XLOOKUP(Table10[[#This Row],[Date]],'Daily KPI'!$A:$A,'Daily KPI'!$M:$M),"")</f>
        <v>3.7634574295913192</v>
      </c>
      <c r="W90" s="102">
        <v>154.80000000000001</v>
      </c>
      <c r="X90" s="102">
        <f>Table10[[#This Row],[WTG Loss]]*1*Table10[[#This Row],[Breakdown Time]]</f>
        <v>1011.3600000000002</v>
      </c>
      <c r="Y90" s="102" t="s">
        <v>449</v>
      </c>
      <c r="Z90" s="102"/>
      <c r="AA90" s="102"/>
    </row>
    <row r="91" spans="1:27">
      <c r="A91" s="102">
        <f t="shared" si="1"/>
        <v>90</v>
      </c>
      <c r="B91" s="102">
        <f>YEAR(Table10[[#This Row],[Date]])+IF(MONTH(Table10[[#This Row],[Date]])&gt;=4,1,0)</f>
        <v>2026</v>
      </c>
      <c r="C91" s="102">
        <f>YEAR(Table10[[#This Row],[Date]])</f>
        <v>2025</v>
      </c>
      <c r="D91" s="102" t="s">
        <v>1992</v>
      </c>
      <c r="E91" s="469">
        <f>Table10[[#This Row],[Date]]-DAY(Table10[[#This Row],[Date]])+1</f>
        <v>45778</v>
      </c>
      <c r="F91" s="470">
        <v>45799</v>
      </c>
      <c r="G91" s="102" t="s">
        <v>87</v>
      </c>
      <c r="H91" s="102" t="str">
        <f>IFERROR(_xlfn.XLOOKUP(Table10[[#This Row],[Affected Feeder ]],'Basic Data'!$A$43:$A$70,'Basic Data'!$B$43:$B$70),"")</f>
        <v>TQGXIIPL</v>
      </c>
      <c r="I91" s="102" t="str">
        <f>IFERROR(_xlfn.XLOOKUP(Table10[[#This Row],[Affected Feeder ]],'Basic Data'!$A$43:$A$70,'Basic Data'!$C$43:$C$70),"")</f>
        <v>GEDA</v>
      </c>
      <c r="J91" s="482">
        <f>IFERROR(_xlfn.XLOOKUP(Table10[[#This Row],[Affected Feeder ]],'Basic Data'!$A$43:$A$70,'Basic Data'!$E$43:$E$70),"")</f>
        <v>3.846153846153845E-2</v>
      </c>
      <c r="K91" s="483" t="s">
        <v>1745</v>
      </c>
      <c r="L91" s="484">
        <v>0.47430555555555554</v>
      </c>
      <c r="M91" s="484">
        <v>0.47430555555555554</v>
      </c>
      <c r="N91" s="484">
        <v>0.74652777777777779</v>
      </c>
      <c r="O91" s="101">
        <f>(Table10[[#This Row],[Work Start TimeStamp]]-Table10[[#This Row],[Fault Start TimeStamp]])*24</f>
        <v>0</v>
      </c>
      <c r="P91" s="101">
        <f>IF(Table10[[#This Row],[Work Start TimeStamp]]="","",(Table10[[#This Row],[Fault Clearance time]]-Table10[[#This Row],[Work Start TimeStamp]])*24)</f>
        <v>6.5333333333333341</v>
      </c>
      <c r="Q91" s="101">
        <f>(Table10[[#This Row],[Fault Clearance time]]-Table10[[#This Row],[Fault Start TimeStamp]])*24</f>
        <v>6.5333333333333341</v>
      </c>
      <c r="R91" s="483" t="s">
        <v>1909</v>
      </c>
      <c r="S91" s="102" t="s">
        <v>293</v>
      </c>
      <c r="T91" s="485">
        <f>IFERROR(Table10[[#This Row],[Breakdown Time]]*Table10[[#This Row],[Plant Equivalent Weightage]],"")</f>
        <v>0.25128205128205122</v>
      </c>
      <c r="U91" s="102" t="s">
        <v>450</v>
      </c>
      <c r="V91" s="547">
        <f>IFERROR(_xlfn.XLOOKUP(Table10[[#This Row],[Date]],'Daily KPI'!$A:$A,'Daily KPI'!$M:$M),"")</f>
        <v>3.7634574295913192</v>
      </c>
      <c r="W91" s="102">
        <v>154.80000000000001</v>
      </c>
      <c r="X91" s="102">
        <f>Table10[[#This Row],[WTG Loss]]*1*Table10[[#This Row],[Breakdown Time]]</f>
        <v>1011.3600000000002</v>
      </c>
      <c r="Y91" s="102" t="s">
        <v>449</v>
      </c>
      <c r="Z91" s="102"/>
      <c r="AA91" s="102"/>
    </row>
    <row r="92" spans="1:27">
      <c r="A92" s="102">
        <f t="shared" si="1"/>
        <v>91</v>
      </c>
      <c r="B92" s="102">
        <f>YEAR(Table10[[#This Row],[Date]])+IF(MONTH(Table10[[#This Row],[Date]])&gt;=4,1,0)</f>
        <v>2026</v>
      </c>
      <c r="C92" s="102">
        <f>YEAR(Table10[[#This Row],[Date]])</f>
        <v>2025</v>
      </c>
      <c r="D92" s="102" t="s">
        <v>1992</v>
      </c>
      <c r="E92" s="469">
        <f>Table10[[#This Row],[Date]]-DAY(Table10[[#This Row],[Date]])+1</f>
        <v>45778</v>
      </c>
      <c r="F92" s="470">
        <v>45799</v>
      </c>
      <c r="G92" s="102" t="s">
        <v>96</v>
      </c>
      <c r="H92" s="102" t="str">
        <f>IFERROR(_xlfn.XLOOKUP(Table10[[#This Row],[Affected Feeder ]],'Basic Data'!$A$43:$A$70,'Basic Data'!$B$43:$B$70),"")</f>
        <v>TQGXIIPL</v>
      </c>
      <c r="I92" s="102" t="str">
        <f>IFERROR(_xlfn.XLOOKUP(Table10[[#This Row],[Affected Feeder ]],'Basic Data'!$A$43:$A$70,'Basic Data'!$C$43:$C$70),"")</f>
        <v>GEDA</v>
      </c>
      <c r="J92" s="482">
        <f>IFERROR(_xlfn.XLOOKUP(Table10[[#This Row],[Affected Feeder ]],'Basic Data'!$A$43:$A$70,'Basic Data'!$E$43:$E$70),"")</f>
        <v>3.846153846153845E-2</v>
      </c>
      <c r="K92" s="483" t="s">
        <v>1895</v>
      </c>
      <c r="L92" s="484">
        <v>0.47430555555555554</v>
      </c>
      <c r="M92" s="484">
        <v>0.47430555555555554</v>
      </c>
      <c r="N92" s="484">
        <v>0.74652777777777779</v>
      </c>
      <c r="O92" s="101">
        <f>(Table10[[#This Row],[Work Start TimeStamp]]-Table10[[#This Row],[Fault Start TimeStamp]])*24</f>
        <v>0</v>
      </c>
      <c r="P92" s="101">
        <f>IF(Table10[[#This Row],[Work Start TimeStamp]]="","",(Table10[[#This Row],[Fault Clearance time]]-Table10[[#This Row],[Work Start TimeStamp]])*24)</f>
        <v>6.5333333333333341</v>
      </c>
      <c r="Q92" s="101">
        <f>(Table10[[#This Row],[Fault Clearance time]]-Table10[[#This Row],[Fault Start TimeStamp]])*24</f>
        <v>6.5333333333333341</v>
      </c>
      <c r="R92" s="483" t="s">
        <v>1909</v>
      </c>
      <c r="S92" s="102" t="s">
        <v>293</v>
      </c>
      <c r="T92" s="485">
        <f>IFERROR(Table10[[#This Row],[Breakdown Time]]*Table10[[#This Row],[Plant Equivalent Weightage]],"")</f>
        <v>0.25128205128205122</v>
      </c>
      <c r="U92" s="102" t="s">
        <v>450</v>
      </c>
      <c r="V92" s="547">
        <f>IFERROR(_xlfn.XLOOKUP(Table10[[#This Row],[Date]],'Daily KPI'!$A:$A,'Daily KPI'!$M:$M),"")</f>
        <v>3.7634574295913192</v>
      </c>
      <c r="W92" s="102">
        <v>154.80000000000001</v>
      </c>
      <c r="X92" s="102">
        <f>Table10[[#This Row],[WTG Loss]]*1*Table10[[#This Row],[Breakdown Time]]</f>
        <v>1011.3600000000002</v>
      </c>
      <c r="Y92" s="102" t="s">
        <v>449</v>
      </c>
      <c r="Z92" s="102"/>
      <c r="AA92" s="102"/>
    </row>
    <row r="93" spans="1:27">
      <c r="A93" s="102">
        <f t="shared" si="1"/>
        <v>92</v>
      </c>
      <c r="B93" s="102">
        <f>YEAR(Table10[[#This Row],[Date]])+IF(MONTH(Table10[[#This Row],[Date]])&gt;=4,1,0)</f>
        <v>2026</v>
      </c>
      <c r="C93" s="102">
        <f>YEAR(Table10[[#This Row],[Date]])</f>
        <v>2025</v>
      </c>
      <c r="D93" s="102" t="s">
        <v>1992</v>
      </c>
      <c r="E93" s="469">
        <f>Table10[[#This Row],[Date]]-DAY(Table10[[#This Row],[Date]])+1</f>
        <v>45778</v>
      </c>
      <c r="F93" s="470">
        <v>45799</v>
      </c>
      <c r="G93" s="102" t="s">
        <v>98</v>
      </c>
      <c r="H93" s="102" t="str">
        <f>IFERROR(_xlfn.XLOOKUP(Table10[[#This Row],[Affected Feeder ]],'Basic Data'!$A$43:$A$70,'Basic Data'!$B$43:$B$70),"")</f>
        <v>TQGXIIPL</v>
      </c>
      <c r="I93" s="102" t="str">
        <f>IFERROR(_xlfn.XLOOKUP(Table10[[#This Row],[Affected Feeder ]],'Basic Data'!$A$43:$A$70,'Basic Data'!$C$43:$C$70),"")</f>
        <v>GEDA</v>
      </c>
      <c r="J93" s="482">
        <f>IFERROR(_xlfn.XLOOKUP(Table10[[#This Row],[Affected Feeder ]],'Basic Data'!$A$43:$A$70,'Basic Data'!$E$43:$E$70),"")</f>
        <v>3.846153846153845E-2</v>
      </c>
      <c r="K93" s="483" t="s">
        <v>1896</v>
      </c>
      <c r="L93" s="484">
        <v>0.47430555555555554</v>
      </c>
      <c r="M93" s="484">
        <v>0.47430555555555554</v>
      </c>
      <c r="N93" s="484">
        <v>0.74652777777777779</v>
      </c>
      <c r="O93" s="101">
        <f>(Table10[[#This Row],[Work Start TimeStamp]]-Table10[[#This Row],[Fault Start TimeStamp]])*24</f>
        <v>0</v>
      </c>
      <c r="P93" s="101">
        <f>IF(Table10[[#This Row],[Work Start TimeStamp]]="","",(Table10[[#This Row],[Fault Clearance time]]-Table10[[#This Row],[Work Start TimeStamp]])*24)</f>
        <v>6.5333333333333341</v>
      </c>
      <c r="Q93" s="101">
        <f>(Table10[[#This Row],[Fault Clearance time]]-Table10[[#This Row],[Fault Start TimeStamp]])*24</f>
        <v>6.5333333333333341</v>
      </c>
      <c r="R93" s="483" t="s">
        <v>1909</v>
      </c>
      <c r="S93" s="102" t="s">
        <v>293</v>
      </c>
      <c r="T93" s="485">
        <f>IFERROR(Table10[[#This Row],[Breakdown Time]]*Table10[[#This Row],[Plant Equivalent Weightage]],"")</f>
        <v>0.25128205128205122</v>
      </c>
      <c r="U93" s="102" t="s">
        <v>450</v>
      </c>
      <c r="V93" s="547">
        <f>IFERROR(_xlfn.XLOOKUP(Table10[[#This Row],[Date]],'Daily KPI'!$A:$A,'Daily KPI'!$M:$M),"")</f>
        <v>3.7634574295913192</v>
      </c>
      <c r="W93" s="102">
        <v>154.80000000000001</v>
      </c>
      <c r="X93" s="102">
        <f>Table10[[#This Row],[WTG Loss]]*1*Table10[[#This Row],[Breakdown Time]]</f>
        <v>1011.3600000000002</v>
      </c>
      <c r="Y93" s="102" t="s">
        <v>449</v>
      </c>
      <c r="Z93" s="102"/>
      <c r="AA93" s="102"/>
    </row>
    <row r="94" spans="1:27">
      <c r="A94" s="102">
        <f t="shared" si="1"/>
        <v>93</v>
      </c>
      <c r="B94" s="102">
        <f>YEAR(Table10[[#This Row],[Date]])+IF(MONTH(Table10[[#This Row],[Date]])&gt;=4,1,0)</f>
        <v>2026</v>
      </c>
      <c r="C94" s="102">
        <f>YEAR(Table10[[#This Row],[Date]])</f>
        <v>2025</v>
      </c>
      <c r="D94" s="102" t="s">
        <v>1992</v>
      </c>
      <c r="E94" s="469">
        <f>Table10[[#This Row],[Date]]-DAY(Table10[[#This Row],[Date]])+1</f>
        <v>45778</v>
      </c>
      <c r="F94" s="470">
        <v>45799</v>
      </c>
      <c r="G94" s="102" t="s">
        <v>99</v>
      </c>
      <c r="H94" s="102" t="str">
        <f>IFERROR(_xlfn.XLOOKUP(Table10[[#This Row],[Affected Feeder ]],'Basic Data'!$A$43:$A$70,'Basic Data'!$B$43:$B$70),"")</f>
        <v>TQGXIIPL</v>
      </c>
      <c r="I94" s="102" t="str">
        <f>IFERROR(_xlfn.XLOOKUP(Table10[[#This Row],[Affected Feeder ]],'Basic Data'!$A$43:$A$70,'Basic Data'!$C$43:$C$70),"")</f>
        <v>GEDA</v>
      </c>
      <c r="J94" s="482">
        <f>IFERROR(_xlfn.XLOOKUP(Table10[[#This Row],[Affected Feeder ]],'Basic Data'!$A$43:$A$70,'Basic Data'!$E$43:$E$70),"")</f>
        <v>3.846153846153845E-2</v>
      </c>
      <c r="K94" s="483" t="s">
        <v>1897</v>
      </c>
      <c r="L94" s="484">
        <v>0.47430555555555554</v>
      </c>
      <c r="M94" s="484">
        <v>0.47430555555555554</v>
      </c>
      <c r="N94" s="484">
        <v>0.74652777777777779</v>
      </c>
      <c r="O94" s="101">
        <f>(Table10[[#This Row],[Work Start TimeStamp]]-Table10[[#This Row],[Fault Start TimeStamp]])*24</f>
        <v>0</v>
      </c>
      <c r="P94" s="101">
        <f>IF(Table10[[#This Row],[Work Start TimeStamp]]="","",(Table10[[#This Row],[Fault Clearance time]]-Table10[[#This Row],[Work Start TimeStamp]])*24)</f>
        <v>6.5333333333333341</v>
      </c>
      <c r="Q94" s="101">
        <f>(Table10[[#This Row],[Fault Clearance time]]-Table10[[#This Row],[Fault Start TimeStamp]])*24</f>
        <v>6.5333333333333341</v>
      </c>
      <c r="R94" s="483" t="s">
        <v>1909</v>
      </c>
      <c r="S94" s="102" t="s">
        <v>293</v>
      </c>
      <c r="T94" s="485">
        <f>IFERROR(Table10[[#This Row],[Breakdown Time]]*Table10[[#This Row],[Plant Equivalent Weightage]],"")</f>
        <v>0.25128205128205122</v>
      </c>
      <c r="U94" s="102" t="s">
        <v>450</v>
      </c>
      <c r="V94" s="547">
        <f>IFERROR(_xlfn.XLOOKUP(Table10[[#This Row],[Date]],'Daily KPI'!$A:$A,'Daily KPI'!$M:$M),"")</f>
        <v>3.7634574295913192</v>
      </c>
      <c r="W94" s="102">
        <v>154.80000000000001</v>
      </c>
      <c r="X94" s="102">
        <f>Table10[[#This Row],[WTG Loss]]*1*Table10[[#This Row],[Breakdown Time]]</f>
        <v>1011.3600000000002</v>
      </c>
      <c r="Y94" s="102" t="s">
        <v>449</v>
      </c>
      <c r="Z94" s="102"/>
      <c r="AA94" s="102"/>
    </row>
    <row r="95" spans="1:27">
      <c r="A95" s="102">
        <f t="shared" si="1"/>
        <v>94</v>
      </c>
      <c r="B95" s="102">
        <f>YEAR(Table10[[#This Row],[Date]])+IF(MONTH(Table10[[#This Row],[Date]])&gt;=4,1,0)</f>
        <v>2026</v>
      </c>
      <c r="C95" s="102">
        <f>YEAR(Table10[[#This Row],[Date]])</f>
        <v>2025</v>
      </c>
      <c r="D95" s="102" t="s">
        <v>1992</v>
      </c>
      <c r="E95" s="469">
        <f>Table10[[#This Row],[Date]]-DAY(Table10[[#This Row],[Date]])+1</f>
        <v>45778</v>
      </c>
      <c r="F95" s="470">
        <v>45799</v>
      </c>
      <c r="G95" s="102" t="s">
        <v>447</v>
      </c>
      <c r="H95" s="102" t="str">
        <f>IFERROR(_xlfn.XLOOKUP(Table10[[#This Row],[Affected Feeder ]],'Basic Data'!$A$43:$A$70,'Basic Data'!$B$43:$B$70),"")</f>
        <v>TQGXIIPL</v>
      </c>
      <c r="I95" s="102" t="str">
        <f>IFERROR(_xlfn.XLOOKUP(Table10[[#This Row],[Affected Feeder ]],'Basic Data'!$A$43:$A$70,'Basic Data'!$C$43:$C$70),"")</f>
        <v>GEDA</v>
      </c>
      <c r="J95" s="482">
        <f>IFERROR(_xlfn.XLOOKUP(Table10[[#This Row],[Affected Feeder ]],'Basic Data'!$A$43:$A$70,'Basic Data'!$E$43:$E$70),"")</f>
        <v>0.49999999999999978</v>
      </c>
      <c r="K95" s="483" t="s">
        <v>1840</v>
      </c>
      <c r="L95" s="484">
        <v>0.74652777777777779</v>
      </c>
      <c r="M95" s="484">
        <v>0.74652777777777779</v>
      </c>
      <c r="N95" s="484">
        <v>0.79236111111111107</v>
      </c>
      <c r="O95" s="101">
        <f>(Table10[[#This Row],[Work Start TimeStamp]]-Table10[[#This Row],[Fault Start TimeStamp]])*24</f>
        <v>0</v>
      </c>
      <c r="P95" s="101">
        <f>IF(Table10[[#This Row],[Work Start TimeStamp]]="","",(Table10[[#This Row],[Fault Clearance time]]-Table10[[#This Row],[Work Start TimeStamp]])*24)</f>
        <v>1.0999999999999988</v>
      </c>
      <c r="Q95" s="101">
        <f>(Table10[[#This Row],[Fault Clearance time]]-Table10[[#This Row],[Fault Start TimeStamp]])*24</f>
        <v>1.0999999999999988</v>
      </c>
      <c r="R95" s="483" t="s">
        <v>1912</v>
      </c>
      <c r="S95" s="102" t="s">
        <v>293</v>
      </c>
      <c r="T95" s="485">
        <f>IFERROR(Table10[[#This Row],[Breakdown Time]]*Table10[[#This Row],[Plant Equivalent Weightage]],"")</f>
        <v>0.54999999999999916</v>
      </c>
      <c r="U95" s="102" t="s">
        <v>450</v>
      </c>
      <c r="V95" s="547">
        <f>IFERROR(_xlfn.XLOOKUP(Table10[[#This Row],[Date]],'Daily KPI'!$A:$A,'Daily KPI'!$M:$M),"")</f>
        <v>3.7634574295913192</v>
      </c>
      <c r="W95" s="102">
        <v>154.80000000000001</v>
      </c>
      <c r="X95" s="102">
        <f>Table10[[#This Row],[WTG Loss]]*13*Table10[[#This Row],[Breakdown Time]]</f>
        <v>2213.6399999999976</v>
      </c>
      <c r="Y95" s="102" t="s">
        <v>449</v>
      </c>
      <c r="Z95" s="102"/>
      <c r="AA95" s="102"/>
    </row>
    <row r="96" spans="1:27">
      <c r="A96" s="102">
        <f t="shared" si="1"/>
        <v>95</v>
      </c>
      <c r="B96" s="102">
        <f>YEAR(Table10[[#This Row],[Date]])+IF(MONTH(Table10[[#This Row],[Date]])&gt;=4,1,0)</f>
        <v>2026</v>
      </c>
      <c r="C96" s="102">
        <f>YEAR(Table10[[#This Row],[Date]])</f>
        <v>2025</v>
      </c>
      <c r="D96" s="102" t="s">
        <v>1992</v>
      </c>
      <c r="E96" s="469">
        <f>Table10[[#This Row],[Date]]-DAY(Table10[[#This Row],[Date]])+1</f>
        <v>45778</v>
      </c>
      <c r="F96" s="470">
        <v>45800</v>
      </c>
      <c r="G96" s="102" t="s">
        <v>451</v>
      </c>
      <c r="H96" s="102" t="str">
        <f>IFERROR(_xlfn.XLOOKUP(Table10[[#This Row],[Affected Feeder ]],'Basic Data'!$A$43:$A$70,'Basic Data'!$B$43:$B$70),"")</f>
        <v>TQGXIIPL</v>
      </c>
      <c r="I96" s="102" t="str">
        <f>IFERROR(_xlfn.XLOOKUP(Table10[[#This Row],[Affected Feeder ]],'Basic Data'!$A$43:$A$70,'Basic Data'!$C$43:$C$70),"")</f>
        <v>GEDA</v>
      </c>
      <c r="J96" s="482">
        <f>IFERROR(_xlfn.XLOOKUP(Table10[[#This Row],[Affected Feeder ]],'Basic Data'!$A$43:$A$70,'Basic Data'!$E$43:$E$70),"")</f>
        <v>0.49999999999999978</v>
      </c>
      <c r="K96" s="483" t="s">
        <v>1791</v>
      </c>
      <c r="L96" s="484">
        <v>0.85833333333333328</v>
      </c>
      <c r="M96" s="484">
        <v>0.85833333333333328</v>
      </c>
      <c r="N96" s="484">
        <v>0.87222222222222223</v>
      </c>
      <c r="O96" s="101">
        <f>(Table10[[#This Row],[Work Start TimeStamp]]-Table10[[#This Row],[Fault Start TimeStamp]])*24</f>
        <v>0</v>
      </c>
      <c r="P96" s="101">
        <f>IF(Table10[[#This Row],[Work Start TimeStamp]]="","",(Table10[[#This Row],[Fault Clearance time]]-Table10[[#This Row],[Work Start TimeStamp]])*24)</f>
        <v>0.33333333333333481</v>
      </c>
      <c r="Q96" s="101">
        <f>(Table10[[#This Row],[Fault Clearance time]]-Table10[[#This Row],[Fault Start TimeStamp]])*24</f>
        <v>0.33333333333333481</v>
      </c>
      <c r="R96" s="483" t="s">
        <v>454</v>
      </c>
      <c r="S96" s="102" t="s">
        <v>293</v>
      </c>
      <c r="T96" s="485">
        <f>IFERROR(Table10[[#This Row],[Breakdown Time]]*Table10[[#This Row],[Plant Equivalent Weightage]],"")</f>
        <v>0.16666666666666732</v>
      </c>
      <c r="U96" s="102" t="s">
        <v>450</v>
      </c>
      <c r="V96" s="547">
        <f>IFERROR(_xlfn.XLOOKUP(Table10[[#This Row],[Date]],'Daily KPI'!$A:$A,'Daily KPI'!$M:$M),"")</f>
        <v>4.8978954647090855</v>
      </c>
      <c r="W96" s="102">
        <v>384</v>
      </c>
      <c r="X96" s="102">
        <f>Table10[[#This Row],[WTG Loss]]*13*Table10[[#This Row],[Breakdown Time]]</f>
        <v>1664.0000000000073</v>
      </c>
      <c r="Y96" s="102" t="s">
        <v>449</v>
      </c>
      <c r="Z96" s="102"/>
      <c r="AA96" s="102"/>
    </row>
    <row r="97" spans="1:27">
      <c r="A97" s="102">
        <f t="shared" si="1"/>
        <v>96</v>
      </c>
      <c r="B97" s="102">
        <f>YEAR(Table10[[#This Row],[Date]])+IF(MONTH(Table10[[#This Row],[Date]])&gt;=4,1,0)</f>
        <v>2026</v>
      </c>
      <c r="C97" s="102">
        <f>YEAR(Table10[[#This Row],[Date]])</f>
        <v>2025</v>
      </c>
      <c r="D97" s="102" t="s">
        <v>1992</v>
      </c>
      <c r="E97" s="469">
        <f>Table10[[#This Row],[Date]]-DAY(Table10[[#This Row],[Date]])+1</f>
        <v>45778</v>
      </c>
      <c r="F97" s="470">
        <v>45801</v>
      </c>
      <c r="G97" s="102" t="s">
        <v>447</v>
      </c>
      <c r="H97" s="102" t="str">
        <f>IFERROR(_xlfn.XLOOKUP(Table10[[#This Row],[Affected Feeder ]],'Basic Data'!$A$43:$A$70,'Basic Data'!$B$43:$B$70),"")</f>
        <v>TQGXIIPL</v>
      </c>
      <c r="I97" s="102" t="str">
        <f>IFERROR(_xlfn.XLOOKUP(Table10[[#This Row],[Affected Feeder ]],'Basic Data'!$A$43:$A$70,'Basic Data'!$C$43:$C$70),"")</f>
        <v>GEDA</v>
      </c>
      <c r="J97" s="482">
        <f>IFERROR(_xlfn.XLOOKUP(Table10[[#This Row],[Affected Feeder ]],'Basic Data'!$A$43:$A$70,'Basic Data'!$E$43:$E$70),"")</f>
        <v>0.49999999999999978</v>
      </c>
      <c r="K97" s="483" t="s">
        <v>1840</v>
      </c>
      <c r="L97" s="484">
        <v>0.39027777777777778</v>
      </c>
      <c r="M97" s="484">
        <v>0.39027777777777778</v>
      </c>
      <c r="N97" s="484">
        <v>0.44097222222222221</v>
      </c>
      <c r="O97" s="101">
        <f>(Table10[[#This Row],[Work Start TimeStamp]]-Table10[[#This Row],[Fault Start TimeStamp]])*24</f>
        <v>0</v>
      </c>
      <c r="P97" s="101">
        <f>IF(Table10[[#This Row],[Work Start TimeStamp]]="","",(Table10[[#This Row],[Fault Clearance time]]-Table10[[#This Row],[Work Start TimeStamp]])*24)</f>
        <v>1.2166666666666663</v>
      </c>
      <c r="Q97" s="101">
        <f>(Table10[[#This Row],[Fault Clearance time]]-Table10[[#This Row],[Fault Start TimeStamp]])*24</f>
        <v>1.2166666666666663</v>
      </c>
      <c r="R97" s="483" t="s">
        <v>1899</v>
      </c>
      <c r="S97" s="102" t="s">
        <v>293</v>
      </c>
      <c r="T97" s="485">
        <f>IFERROR(Table10[[#This Row],[Breakdown Time]]*Table10[[#This Row],[Plant Equivalent Weightage]],"")</f>
        <v>0.60833333333333295</v>
      </c>
      <c r="U97" s="102" t="s">
        <v>450</v>
      </c>
      <c r="V97" s="547">
        <f>IFERROR(_xlfn.XLOOKUP(Table10[[#This Row],[Date]],'Daily KPI'!$A:$A,'Daily KPI'!$M:$M),"")</f>
        <v>7.5679809963237359</v>
      </c>
      <c r="W97" s="102">
        <v>1490</v>
      </c>
      <c r="X97" s="102">
        <f>Table10[[#This Row],[WTG Loss]]*13*Table10[[#This Row],[Breakdown Time]]</f>
        <v>23566.833333333328</v>
      </c>
      <c r="Y97" s="102" t="s">
        <v>449</v>
      </c>
      <c r="Z97" s="102"/>
      <c r="AA97" s="102"/>
    </row>
    <row r="98" spans="1:27">
      <c r="A98" s="102">
        <f t="shared" si="1"/>
        <v>97</v>
      </c>
      <c r="B98" s="102">
        <f>YEAR(Table10[[#This Row],[Date]])+IF(MONTH(Table10[[#This Row],[Date]])&gt;=4,1,0)</f>
        <v>2026</v>
      </c>
      <c r="C98" s="102">
        <f>YEAR(Table10[[#This Row],[Date]])</f>
        <v>2025</v>
      </c>
      <c r="D98" s="102" t="s">
        <v>1992</v>
      </c>
      <c r="E98" s="469">
        <f>Table10[[#This Row],[Date]]-DAY(Table10[[#This Row],[Date]])+1</f>
        <v>45778</v>
      </c>
      <c r="F98" s="470">
        <v>45801</v>
      </c>
      <c r="G98" s="102" t="s">
        <v>447</v>
      </c>
      <c r="H98" s="102" t="str">
        <f>IFERROR(_xlfn.XLOOKUP(Table10[[#This Row],[Affected Feeder ]],'Basic Data'!$A$43:$A$70,'Basic Data'!$B$43:$B$70),"")</f>
        <v>TQGXIIPL</v>
      </c>
      <c r="I98" s="102" t="str">
        <f>IFERROR(_xlfn.XLOOKUP(Table10[[#This Row],[Affected Feeder ]],'Basic Data'!$A$43:$A$70,'Basic Data'!$C$43:$C$70),"")</f>
        <v>GEDA</v>
      </c>
      <c r="J98" s="482">
        <f>IFERROR(_xlfn.XLOOKUP(Table10[[#This Row],[Affected Feeder ]],'Basic Data'!$A$43:$A$70,'Basic Data'!$E$43:$E$70),"")</f>
        <v>0.49999999999999978</v>
      </c>
      <c r="K98" s="483" t="s">
        <v>1840</v>
      </c>
      <c r="L98" s="484">
        <v>0.71319444444444446</v>
      </c>
      <c r="M98" s="484">
        <v>0.71319444444444446</v>
      </c>
      <c r="N98" s="484">
        <v>0.76944444444444449</v>
      </c>
      <c r="O98" s="101">
        <f>(Table10[[#This Row],[Work Start TimeStamp]]-Table10[[#This Row],[Fault Start TimeStamp]])*24</f>
        <v>0</v>
      </c>
      <c r="P98" s="101">
        <f>IF(Table10[[#This Row],[Work Start TimeStamp]]="","",(Table10[[#This Row],[Fault Clearance time]]-Table10[[#This Row],[Work Start TimeStamp]])*24)</f>
        <v>1.3500000000000005</v>
      </c>
      <c r="Q98" s="101">
        <f>(Table10[[#This Row],[Fault Clearance time]]-Table10[[#This Row],[Fault Start TimeStamp]])*24</f>
        <v>1.3500000000000005</v>
      </c>
      <c r="R98" s="483" t="s">
        <v>1899</v>
      </c>
      <c r="S98" s="102" t="s">
        <v>293</v>
      </c>
      <c r="T98" s="485">
        <f>IFERROR(Table10[[#This Row],[Breakdown Time]]*Table10[[#This Row],[Plant Equivalent Weightage]],"")</f>
        <v>0.67499999999999993</v>
      </c>
      <c r="U98" s="102" t="s">
        <v>450</v>
      </c>
      <c r="V98" s="547">
        <f>IFERROR(_xlfn.XLOOKUP(Table10[[#This Row],[Date]],'Daily KPI'!$A:$A,'Daily KPI'!$M:$M),"")</f>
        <v>7.5679809963237359</v>
      </c>
      <c r="W98" s="102">
        <v>1490</v>
      </c>
      <c r="X98" s="102">
        <f>Table10[[#This Row],[WTG Loss]]*13*Table10[[#This Row],[Breakdown Time]]</f>
        <v>26149.500000000011</v>
      </c>
      <c r="Y98" s="102" t="s">
        <v>449</v>
      </c>
      <c r="Z98" s="102"/>
      <c r="AA98" s="102"/>
    </row>
    <row r="99" spans="1:27">
      <c r="A99" s="102">
        <f t="shared" si="1"/>
        <v>98</v>
      </c>
      <c r="B99" s="102">
        <f>YEAR(Table10[[#This Row],[Date]])+IF(MONTH(Table10[[#This Row],[Date]])&gt;=4,1,0)</f>
        <v>2026</v>
      </c>
      <c r="C99" s="102">
        <f>YEAR(Table10[[#This Row],[Date]])</f>
        <v>2025</v>
      </c>
      <c r="D99" s="102" t="s">
        <v>1992</v>
      </c>
      <c r="E99" s="469">
        <f>Table10[[#This Row],[Date]]-DAY(Table10[[#This Row],[Date]])+1</f>
        <v>45778</v>
      </c>
      <c r="F99" s="470">
        <v>45801</v>
      </c>
      <c r="G99" s="102" t="s">
        <v>74</v>
      </c>
      <c r="H99" s="102" t="str">
        <f>IFERROR(_xlfn.XLOOKUP(Table10[[#This Row],[Affected Feeder ]],'Basic Data'!$A$43:$A$70,'Basic Data'!$B$43:$B$70),"")</f>
        <v>TQGXIIPL</v>
      </c>
      <c r="I99" s="102" t="str">
        <f>IFERROR(_xlfn.XLOOKUP(Table10[[#This Row],[Affected Feeder ]],'Basic Data'!$A$43:$A$70,'Basic Data'!$C$43:$C$70),"")</f>
        <v>GEDA</v>
      </c>
      <c r="J99" s="482">
        <f>IFERROR(_xlfn.XLOOKUP(Table10[[#This Row],[Affected Feeder ]],'Basic Data'!$A$43:$A$70,'Basic Data'!$E$43:$E$70),"")</f>
        <v>3.846153846153845E-2</v>
      </c>
      <c r="K99" s="483" t="s">
        <v>1887</v>
      </c>
      <c r="L99" s="484">
        <v>0.44097222222222221</v>
      </c>
      <c r="M99" s="484">
        <v>0.44097222222222221</v>
      </c>
      <c r="N99" s="484">
        <v>0.71319444444444446</v>
      </c>
      <c r="O99" s="101">
        <f>(Table10[[#This Row],[Work Start TimeStamp]]-Table10[[#This Row],[Fault Start TimeStamp]])*24</f>
        <v>0</v>
      </c>
      <c r="P99" s="101">
        <f>IF(Table10[[#This Row],[Work Start TimeStamp]]="","",(Table10[[#This Row],[Fault Clearance time]]-Table10[[#This Row],[Work Start TimeStamp]])*24)</f>
        <v>6.5333333333333341</v>
      </c>
      <c r="Q99" s="101">
        <f>(Table10[[#This Row],[Fault Clearance time]]-Table10[[#This Row],[Fault Start TimeStamp]])*24</f>
        <v>6.5333333333333341</v>
      </c>
      <c r="R99" s="483" t="s">
        <v>1910</v>
      </c>
      <c r="S99" s="102" t="s">
        <v>293</v>
      </c>
      <c r="T99" s="485">
        <f>IFERROR(Table10[[#This Row],[Breakdown Time]]*Table10[[#This Row],[Plant Equivalent Weightage]],"")</f>
        <v>0.25128205128205122</v>
      </c>
      <c r="U99" s="102" t="s">
        <v>450</v>
      </c>
      <c r="V99" s="547">
        <f>IFERROR(_xlfn.XLOOKUP(Table10[[#This Row],[Date]],'Daily KPI'!$A:$A,'Daily KPI'!$M:$M),"")</f>
        <v>7.5679809963237359</v>
      </c>
      <c r="W99" s="102">
        <v>1490</v>
      </c>
      <c r="X99" s="102">
        <f>Table10[[#This Row],[WTG Loss]]*1*Table10[[#This Row],[Breakdown Time]]</f>
        <v>9734.6666666666679</v>
      </c>
      <c r="Y99" s="102" t="s">
        <v>449</v>
      </c>
      <c r="Z99" s="102"/>
      <c r="AA99" s="102"/>
    </row>
    <row r="100" spans="1:27">
      <c r="A100" s="102">
        <f t="shared" si="1"/>
        <v>99</v>
      </c>
      <c r="B100" s="102">
        <f>YEAR(Table10[[#This Row],[Date]])+IF(MONTH(Table10[[#This Row],[Date]])&gt;=4,1,0)</f>
        <v>2026</v>
      </c>
      <c r="C100" s="102">
        <f>YEAR(Table10[[#This Row],[Date]])</f>
        <v>2025</v>
      </c>
      <c r="D100" s="102" t="s">
        <v>1992</v>
      </c>
      <c r="E100" s="469">
        <f>Table10[[#This Row],[Date]]-DAY(Table10[[#This Row],[Date]])+1</f>
        <v>45778</v>
      </c>
      <c r="F100" s="470">
        <v>45801</v>
      </c>
      <c r="G100" s="102" t="s">
        <v>75</v>
      </c>
      <c r="H100" s="102" t="str">
        <f>IFERROR(_xlfn.XLOOKUP(Table10[[#This Row],[Affected Feeder ]],'Basic Data'!$A$43:$A$70,'Basic Data'!$B$43:$B$70),"")</f>
        <v>TQGXIIPL</v>
      </c>
      <c r="I100" s="102" t="str">
        <f>IFERROR(_xlfn.XLOOKUP(Table10[[#This Row],[Affected Feeder ]],'Basic Data'!$A$43:$A$70,'Basic Data'!$C$43:$C$70),"")</f>
        <v>GEDA</v>
      </c>
      <c r="J100" s="482">
        <f>IFERROR(_xlfn.XLOOKUP(Table10[[#This Row],[Affected Feeder ]],'Basic Data'!$A$43:$A$70,'Basic Data'!$E$43:$E$70),"")</f>
        <v>3.846153846153845E-2</v>
      </c>
      <c r="K100" s="483" t="s">
        <v>1888</v>
      </c>
      <c r="L100" s="484">
        <v>0.44097222222222221</v>
      </c>
      <c r="M100" s="484">
        <v>0.44097222222222221</v>
      </c>
      <c r="N100" s="484">
        <v>0.71319444444444446</v>
      </c>
      <c r="O100" s="101">
        <f>(Table10[[#This Row],[Work Start TimeStamp]]-Table10[[#This Row],[Fault Start TimeStamp]])*24</f>
        <v>0</v>
      </c>
      <c r="P100" s="101">
        <f>IF(Table10[[#This Row],[Work Start TimeStamp]]="","",(Table10[[#This Row],[Fault Clearance time]]-Table10[[#This Row],[Work Start TimeStamp]])*24)</f>
        <v>6.5333333333333341</v>
      </c>
      <c r="Q100" s="101">
        <f>(Table10[[#This Row],[Fault Clearance time]]-Table10[[#This Row],[Fault Start TimeStamp]])*24</f>
        <v>6.5333333333333341</v>
      </c>
      <c r="R100" s="483" t="s">
        <v>1910</v>
      </c>
      <c r="S100" s="102" t="s">
        <v>293</v>
      </c>
      <c r="T100" s="485">
        <f>IFERROR(Table10[[#This Row],[Breakdown Time]]*Table10[[#This Row],[Plant Equivalent Weightage]],"")</f>
        <v>0.25128205128205122</v>
      </c>
      <c r="U100" s="102" t="s">
        <v>450</v>
      </c>
      <c r="V100" s="547">
        <f>IFERROR(_xlfn.XLOOKUP(Table10[[#This Row],[Date]],'Daily KPI'!$A:$A,'Daily KPI'!$M:$M),"")</f>
        <v>7.5679809963237359</v>
      </c>
      <c r="W100" s="102">
        <v>1490</v>
      </c>
      <c r="X100" s="102">
        <f>Table10[[#This Row],[WTG Loss]]*1*Table10[[#This Row],[Breakdown Time]]</f>
        <v>9734.6666666666679</v>
      </c>
      <c r="Y100" s="102" t="s">
        <v>449</v>
      </c>
      <c r="Z100" s="102"/>
      <c r="AA100" s="102"/>
    </row>
    <row r="101" spans="1:27">
      <c r="A101" s="102">
        <f t="shared" si="1"/>
        <v>100</v>
      </c>
      <c r="B101" s="102">
        <f>YEAR(Table10[[#This Row],[Date]])+IF(MONTH(Table10[[#This Row],[Date]])&gt;=4,1,0)</f>
        <v>2026</v>
      </c>
      <c r="C101" s="102">
        <f>YEAR(Table10[[#This Row],[Date]])</f>
        <v>2025</v>
      </c>
      <c r="D101" s="102" t="s">
        <v>1992</v>
      </c>
      <c r="E101" s="469">
        <f>Table10[[#This Row],[Date]]-DAY(Table10[[#This Row],[Date]])+1</f>
        <v>45778</v>
      </c>
      <c r="F101" s="470">
        <v>45801</v>
      </c>
      <c r="G101" s="102" t="s">
        <v>78</v>
      </c>
      <c r="H101" s="102" t="str">
        <f>IFERROR(_xlfn.XLOOKUP(Table10[[#This Row],[Affected Feeder ]],'Basic Data'!$A$43:$A$70,'Basic Data'!$B$43:$B$70),"")</f>
        <v>TQGXIIPL</v>
      </c>
      <c r="I101" s="102" t="str">
        <f>IFERROR(_xlfn.XLOOKUP(Table10[[#This Row],[Affected Feeder ]],'Basic Data'!$A$43:$A$70,'Basic Data'!$C$43:$C$70),"")</f>
        <v>GEDA</v>
      </c>
      <c r="J101" s="482">
        <f>IFERROR(_xlfn.XLOOKUP(Table10[[#This Row],[Affected Feeder ]],'Basic Data'!$A$43:$A$70,'Basic Data'!$E$43:$E$70),"")</f>
        <v>3.846153846153845E-2</v>
      </c>
      <c r="K101" s="483" t="s">
        <v>1890</v>
      </c>
      <c r="L101" s="484">
        <v>0.44097222222222221</v>
      </c>
      <c r="M101" s="484">
        <v>0.44097222222222221</v>
      </c>
      <c r="N101" s="484">
        <v>0.71319444444444446</v>
      </c>
      <c r="O101" s="101">
        <f>(Table10[[#This Row],[Work Start TimeStamp]]-Table10[[#This Row],[Fault Start TimeStamp]])*24</f>
        <v>0</v>
      </c>
      <c r="P101" s="101">
        <f>IF(Table10[[#This Row],[Work Start TimeStamp]]="","",(Table10[[#This Row],[Fault Clearance time]]-Table10[[#This Row],[Work Start TimeStamp]])*24)</f>
        <v>6.5333333333333341</v>
      </c>
      <c r="Q101" s="101">
        <f>(Table10[[#This Row],[Fault Clearance time]]-Table10[[#This Row],[Fault Start TimeStamp]])*24</f>
        <v>6.5333333333333341</v>
      </c>
      <c r="R101" s="483" t="s">
        <v>1911</v>
      </c>
      <c r="S101" s="102" t="s">
        <v>293</v>
      </c>
      <c r="T101" s="485">
        <f>IFERROR(Table10[[#This Row],[Breakdown Time]]*Table10[[#This Row],[Plant Equivalent Weightage]],"")</f>
        <v>0.25128205128205122</v>
      </c>
      <c r="U101" s="102" t="s">
        <v>450</v>
      </c>
      <c r="V101" s="547">
        <f>IFERROR(_xlfn.XLOOKUP(Table10[[#This Row],[Date]],'Daily KPI'!$A:$A,'Daily KPI'!$M:$M),"")</f>
        <v>7.5679809963237359</v>
      </c>
      <c r="W101" s="102">
        <v>1490</v>
      </c>
      <c r="X101" s="102">
        <f>Table10[[#This Row],[WTG Loss]]*1*Table10[[#This Row],[Breakdown Time]]</f>
        <v>9734.6666666666679</v>
      </c>
      <c r="Y101" s="102" t="s">
        <v>449</v>
      </c>
      <c r="Z101" s="102"/>
      <c r="AA101" s="102"/>
    </row>
    <row r="102" spans="1:27">
      <c r="A102" s="102">
        <f t="shared" si="1"/>
        <v>101</v>
      </c>
      <c r="B102" s="102">
        <f>YEAR(Table10[[#This Row],[Date]])+IF(MONTH(Table10[[#This Row],[Date]])&gt;=4,1,0)</f>
        <v>2026</v>
      </c>
      <c r="C102" s="102">
        <f>YEAR(Table10[[#This Row],[Date]])</f>
        <v>2025</v>
      </c>
      <c r="D102" s="102" t="s">
        <v>1992</v>
      </c>
      <c r="E102" s="469">
        <f>Table10[[#This Row],[Date]]-DAY(Table10[[#This Row],[Date]])+1</f>
        <v>45778</v>
      </c>
      <c r="F102" s="470">
        <v>45801</v>
      </c>
      <c r="G102" s="102" t="s">
        <v>81</v>
      </c>
      <c r="H102" s="102" t="str">
        <f>IFERROR(_xlfn.XLOOKUP(Table10[[#This Row],[Affected Feeder ]],'Basic Data'!$A$43:$A$70,'Basic Data'!$B$43:$B$70),"")</f>
        <v>TQGXIIPL</v>
      </c>
      <c r="I102" s="102" t="str">
        <f>IFERROR(_xlfn.XLOOKUP(Table10[[#This Row],[Affected Feeder ]],'Basic Data'!$A$43:$A$70,'Basic Data'!$C$43:$C$70),"")</f>
        <v>GEDA</v>
      </c>
      <c r="J102" s="482">
        <f>IFERROR(_xlfn.XLOOKUP(Table10[[#This Row],[Affected Feeder ]],'Basic Data'!$A$43:$A$70,'Basic Data'!$E$43:$E$70),"")</f>
        <v>3.846153846153845E-2</v>
      </c>
      <c r="K102" s="483" t="s">
        <v>1891</v>
      </c>
      <c r="L102" s="484">
        <v>0.44097222222222221</v>
      </c>
      <c r="M102" s="484">
        <v>0.44097222222222221</v>
      </c>
      <c r="N102" s="484">
        <v>0.71319444444444446</v>
      </c>
      <c r="O102" s="101">
        <f>(Table10[[#This Row],[Work Start TimeStamp]]-Table10[[#This Row],[Fault Start TimeStamp]])*24</f>
        <v>0</v>
      </c>
      <c r="P102" s="101">
        <f>IF(Table10[[#This Row],[Work Start TimeStamp]]="","",(Table10[[#This Row],[Fault Clearance time]]-Table10[[#This Row],[Work Start TimeStamp]])*24)</f>
        <v>6.5333333333333341</v>
      </c>
      <c r="Q102" s="101">
        <f>(Table10[[#This Row],[Fault Clearance time]]-Table10[[#This Row],[Fault Start TimeStamp]])*24</f>
        <v>6.5333333333333341</v>
      </c>
      <c r="R102" s="483" t="s">
        <v>1911</v>
      </c>
      <c r="S102" s="102" t="s">
        <v>293</v>
      </c>
      <c r="T102" s="485">
        <f>IFERROR(Table10[[#This Row],[Breakdown Time]]*Table10[[#This Row],[Plant Equivalent Weightage]],"")</f>
        <v>0.25128205128205122</v>
      </c>
      <c r="U102" s="102" t="s">
        <v>450</v>
      </c>
      <c r="V102" s="547">
        <f>IFERROR(_xlfn.XLOOKUP(Table10[[#This Row],[Date]],'Daily KPI'!$A:$A,'Daily KPI'!$M:$M),"")</f>
        <v>7.5679809963237359</v>
      </c>
      <c r="W102" s="102">
        <v>1490</v>
      </c>
      <c r="X102" s="102">
        <f>Table10[[#This Row],[WTG Loss]]*1*Table10[[#This Row],[Breakdown Time]]</f>
        <v>9734.6666666666679</v>
      </c>
      <c r="Y102" s="102" t="s">
        <v>449</v>
      </c>
      <c r="Z102" s="102"/>
      <c r="AA102" s="102"/>
    </row>
    <row r="103" spans="1:27">
      <c r="A103" s="102">
        <f t="shared" ref="A103:A140" si="2">A102+1</f>
        <v>102</v>
      </c>
      <c r="B103" s="102">
        <f>YEAR(Table10[[#This Row],[Date]])+IF(MONTH(Table10[[#This Row],[Date]])&gt;=4,1,0)</f>
        <v>2026</v>
      </c>
      <c r="C103" s="102">
        <f>YEAR(Table10[[#This Row],[Date]])</f>
        <v>2025</v>
      </c>
      <c r="D103" s="102" t="s">
        <v>1992</v>
      </c>
      <c r="E103" s="469">
        <f>Table10[[#This Row],[Date]]-DAY(Table10[[#This Row],[Date]])+1</f>
        <v>45778</v>
      </c>
      <c r="F103" s="470">
        <v>45801</v>
      </c>
      <c r="G103" s="102" t="s">
        <v>82</v>
      </c>
      <c r="H103" s="102" t="str">
        <f>IFERROR(_xlfn.XLOOKUP(Table10[[#This Row],[Affected Feeder ]],'Basic Data'!$A$43:$A$70,'Basic Data'!$B$43:$B$70),"")</f>
        <v>TQGXIIPL</v>
      </c>
      <c r="I103" s="102" t="str">
        <f>IFERROR(_xlfn.XLOOKUP(Table10[[#This Row],[Affected Feeder ]],'Basic Data'!$A$43:$A$70,'Basic Data'!$C$43:$C$70),"")</f>
        <v>GEDA</v>
      </c>
      <c r="J103" s="482">
        <f>IFERROR(_xlfn.XLOOKUP(Table10[[#This Row],[Affected Feeder ]],'Basic Data'!$A$43:$A$70,'Basic Data'!$E$43:$E$70),"")</f>
        <v>3.846153846153845E-2</v>
      </c>
      <c r="K103" s="483" t="s">
        <v>1892</v>
      </c>
      <c r="L103" s="484">
        <v>0.44097222222222221</v>
      </c>
      <c r="M103" s="484">
        <v>0.44097222222222221</v>
      </c>
      <c r="N103" s="484">
        <v>0.71319444444444446</v>
      </c>
      <c r="O103" s="101">
        <f>(Table10[[#This Row],[Work Start TimeStamp]]-Table10[[#This Row],[Fault Start TimeStamp]])*24</f>
        <v>0</v>
      </c>
      <c r="P103" s="101">
        <f>IF(Table10[[#This Row],[Work Start TimeStamp]]="","",(Table10[[#This Row],[Fault Clearance time]]-Table10[[#This Row],[Work Start TimeStamp]])*24)</f>
        <v>6.5333333333333341</v>
      </c>
      <c r="Q103" s="101">
        <f>(Table10[[#This Row],[Fault Clearance time]]-Table10[[#This Row],[Fault Start TimeStamp]])*24</f>
        <v>6.5333333333333341</v>
      </c>
      <c r="R103" s="483" t="s">
        <v>1910</v>
      </c>
      <c r="S103" s="102" t="s">
        <v>293</v>
      </c>
      <c r="T103" s="485">
        <f>IFERROR(Table10[[#This Row],[Breakdown Time]]*Table10[[#This Row],[Plant Equivalent Weightage]],"")</f>
        <v>0.25128205128205122</v>
      </c>
      <c r="U103" s="102" t="s">
        <v>450</v>
      </c>
      <c r="V103" s="547">
        <f>IFERROR(_xlfn.XLOOKUP(Table10[[#This Row],[Date]],'Daily KPI'!$A:$A,'Daily KPI'!$M:$M),"")</f>
        <v>7.5679809963237359</v>
      </c>
      <c r="W103" s="102">
        <v>1490</v>
      </c>
      <c r="X103" s="102">
        <f>Table10[[#This Row],[WTG Loss]]*1*Table10[[#This Row],[Breakdown Time]]</f>
        <v>9734.6666666666679</v>
      </c>
      <c r="Y103" s="102" t="s">
        <v>449</v>
      </c>
      <c r="Z103" s="102"/>
      <c r="AA103" s="102"/>
    </row>
    <row r="104" spans="1:27">
      <c r="A104" s="102">
        <f t="shared" si="2"/>
        <v>103</v>
      </c>
      <c r="B104" s="102">
        <f>YEAR(Table10[[#This Row],[Date]])+IF(MONTH(Table10[[#This Row],[Date]])&gt;=4,1,0)</f>
        <v>2026</v>
      </c>
      <c r="C104" s="102">
        <f>YEAR(Table10[[#This Row],[Date]])</f>
        <v>2025</v>
      </c>
      <c r="D104" s="102" t="s">
        <v>1992</v>
      </c>
      <c r="E104" s="469">
        <f>Table10[[#This Row],[Date]]-DAY(Table10[[#This Row],[Date]])+1</f>
        <v>45778</v>
      </c>
      <c r="F104" s="470">
        <v>45801</v>
      </c>
      <c r="G104" s="102" t="s">
        <v>98</v>
      </c>
      <c r="H104" s="102" t="str">
        <f>IFERROR(_xlfn.XLOOKUP(Table10[[#This Row],[Affected Feeder ]],'Basic Data'!$A$43:$A$70,'Basic Data'!$B$43:$B$70),"")</f>
        <v>TQGXIIPL</v>
      </c>
      <c r="I104" s="102" t="str">
        <f>IFERROR(_xlfn.XLOOKUP(Table10[[#This Row],[Affected Feeder ]],'Basic Data'!$A$43:$A$70,'Basic Data'!$C$43:$C$70),"")</f>
        <v>GEDA</v>
      </c>
      <c r="J104" s="482">
        <f>IFERROR(_xlfn.XLOOKUP(Table10[[#This Row],[Affected Feeder ]],'Basic Data'!$A$43:$A$70,'Basic Data'!$E$43:$E$70),"")</f>
        <v>3.846153846153845E-2</v>
      </c>
      <c r="K104" s="483" t="s">
        <v>1896</v>
      </c>
      <c r="L104" s="484">
        <v>0.44097222222222221</v>
      </c>
      <c r="M104" s="484">
        <v>0.44097222222222221</v>
      </c>
      <c r="N104" s="484">
        <v>0.71319444444444446</v>
      </c>
      <c r="O104" s="101">
        <f>(Table10[[#This Row],[Work Start TimeStamp]]-Table10[[#This Row],[Fault Start TimeStamp]])*24</f>
        <v>0</v>
      </c>
      <c r="P104" s="101">
        <f>IF(Table10[[#This Row],[Work Start TimeStamp]]="","",(Table10[[#This Row],[Fault Clearance time]]-Table10[[#This Row],[Work Start TimeStamp]])*24)</f>
        <v>6.5333333333333341</v>
      </c>
      <c r="Q104" s="101">
        <f>(Table10[[#This Row],[Fault Clearance time]]-Table10[[#This Row],[Fault Start TimeStamp]])*24</f>
        <v>6.5333333333333341</v>
      </c>
      <c r="R104" s="483" t="s">
        <v>1910</v>
      </c>
      <c r="S104" s="102" t="s">
        <v>293</v>
      </c>
      <c r="T104" s="485">
        <f>IFERROR(Table10[[#This Row],[Breakdown Time]]*Table10[[#This Row],[Plant Equivalent Weightage]],"")</f>
        <v>0.25128205128205122</v>
      </c>
      <c r="U104" s="102" t="s">
        <v>450</v>
      </c>
      <c r="V104" s="547">
        <f>IFERROR(_xlfn.XLOOKUP(Table10[[#This Row],[Date]],'Daily KPI'!$A:$A,'Daily KPI'!$M:$M),"")</f>
        <v>7.5679809963237359</v>
      </c>
      <c r="W104" s="102">
        <v>1490</v>
      </c>
      <c r="X104" s="102">
        <f>Table10[[#This Row],[WTG Loss]]*1*Table10[[#This Row],[Breakdown Time]]</f>
        <v>9734.6666666666679</v>
      </c>
      <c r="Y104" s="102" t="s">
        <v>449</v>
      </c>
      <c r="Z104" s="102"/>
      <c r="AA104" s="102"/>
    </row>
    <row r="105" spans="1:27">
      <c r="A105" s="102">
        <f t="shared" si="2"/>
        <v>104</v>
      </c>
      <c r="B105" s="102">
        <f>YEAR(Table10[[#This Row],[Date]])+IF(MONTH(Table10[[#This Row],[Date]])&gt;=4,1,0)</f>
        <v>2026</v>
      </c>
      <c r="C105" s="102">
        <f>YEAR(Table10[[#This Row],[Date]])</f>
        <v>2025</v>
      </c>
      <c r="D105" s="102" t="s">
        <v>1992</v>
      </c>
      <c r="E105" s="469">
        <f>Table10[[#This Row],[Date]]-DAY(Table10[[#This Row],[Date]])+1</f>
        <v>45778</v>
      </c>
      <c r="F105" s="470">
        <v>45801</v>
      </c>
      <c r="G105" s="102" t="s">
        <v>99</v>
      </c>
      <c r="H105" s="102" t="str">
        <f>IFERROR(_xlfn.XLOOKUP(Table10[[#This Row],[Affected Feeder ]],'Basic Data'!$A$43:$A$70,'Basic Data'!$B$43:$B$70),"")</f>
        <v>TQGXIIPL</v>
      </c>
      <c r="I105" s="102" t="str">
        <f>IFERROR(_xlfn.XLOOKUP(Table10[[#This Row],[Affected Feeder ]],'Basic Data'!$A$43:$A$70,'Basic Data'!$C$43:$C$70),"")</f>
        <v>GEDA</v>
      </c>
      <c r="J105" s="482">
        <f>IFERROR(_xlfn.XLOOKUP(Table10[[#This Row],[Affected Feeder ]],'Basic Data'!$A$43:$A$70,'Basic Data'!$E$43:$E$70),"")</f>
        <v>3.846153846153845E-2</v>
      </c>
      <c r="K105" s="483" t="s">
        <v>1897</v>
      </c>
      <c r="L105" s="484">
        <v>0.44097222222222221</v>
      </c>
      <c r="M105" s="484">
        <v>0.44097222222222221</v>
      </c>
      <c r="N105" s="484">
        <v>0.71319444444444446</v>
      </c>
      <c r="O105" s="101">
        <f>(Table10[[#This Row],[Work Start TimeStamp]]-Table10[[#This Row],[Fault Start TimeStamp]])*24</f>
        <v>0</v>
      </c>
      <c r="P105" s="101">
        <f>IF(Table10[[#This Row],[Work Start TimeStamp]]="","",(Table10[[#This Row],[Fault Clearance time]]-Table10[[#This Row],[Work Start TimeStamp]])*24)</f>
        <v>6.5333333333333341</v>
      </c>
      <c r="Q105" s="101">
        <f>(Table10[[#This Row],[Fault Clearance time]]-Table10[[#This Row],[Fault Start TimeStamp]])*24</f>
        <v>6.5333333333333341</v>
      </c>
      <c r="R105" s="483" t="s">
        <v>1910</v>
      </c>
      <c r="S105" s="102" t="s">
        <v>293</v>
      </c>
      <c r="T105" s="485">
        <f>IFERROR(Table10[[#This Row],[Breakdown Time]]*Table10[[#This Row],[Plant Equivalent Weightage]],"")</f>
        <v>0.25128205128205122</v>
      </c>
      <c r="U105" s="102" t="s">
        <v>450</v>
      </c>
      <c r="V105" s="547">
        <f>IFERROR(_xlfn.XLOOKUP(Table10[[#This Row],[Date]],'Daily KPI'!$A:$A,'Daily KPI'!$M:$M),"")</f>
        <v>7.5679809963237359</v>
      </c>
      <c r="W105" s="102">
        <v>1490</v>
      </c>
      <c r="X105" s="102">
        <f>Table10[[#This Row],[WTG Loss]]*1*Table10[[#This Row],[Breakdown Time]]</f>
        <v>9734.6666666666679</v>
      </c>
      <c r="Y105" s="102" t="s">
        <v>449</v>
      </c>
      <c r="Z105" s="102"/>
      <c r="AA105" s="102"/>
    </row>
    <row r="106" spans="1:27">
      <c r="A106" s="102">
        <f t="shared" si="2"/>
        <v>105</v>
      </c>
      <c r="B106" s="102">
        <f>YEAR(Table10[[#This Row],[Date]])+IF(MONTH(Table10[[#This Row],[Date]])&gt;=4,1,0)</f>
        <v>2026</v>
      </c>
      <c r="C106" s="102">
        <f>YEAR(Table10[[#This Row],[Date]])</f>
        <v>2025</v>
      </c>
      <c r="D106" s="102" t="s">
        <v>1992</v>
      </c>
      <c r="E106" s="469">
        <f>Table10[[#This Row],[Date]]-DAY(Table10[[#This Row],[Date]])+1</f>
        <v>45778</v>
      </c>
      <c r="F106" s="470">
        <v>45802</v>
      </c>
      <c r="G106" s="102" t="s">
        <v>447</v>
      </c>
      <c r="H106" s="102" t="str">
        <f>IFERROR(_xlfn.XLOOKUP(Table10[[#This Row],[Affected Feeder ]],'Basic Data'!$A$43:$A$70,'Basic Data'!$B$43:$B$70),"")</f>
        <v>TQGXIIPL</v>
      </c>
      <c r="I106" s="102" t="str">
        <f>IFERROR(_xlfn.XLOOKUP(Table10[[#This Row],[Affected Feeder ]],'Basic Data'!$A$43:$A$70,'Basic Data'!$C$43:$C$70),"")</f>
        <v>GEDA</v>
      </c>
      <c r="J106" s="482">
        <f>IFERROR(_xlfn.XLOOKUP(Table10[[#This Row],[Affected Feeder ]],'Basic Data'!$A$43:$A$70,'Basic Data'!$E$43:$E$70),"")</f>
        <v>0.49999999999999978</v>
      </c>
      <c r="K106" s="483" t="s">
        <v>1903</v>
      </c>
      <c r="L106" s="484">
        <v>0.39583333333333331</v>
      </c>
      <c r="M106" s="484">
        <v>0.39583333333333331</v>
      </c>
      <c r="N106" s="484">
        <v>0.43055555555555558</v>
      </c>
      <c r="O106" s="101">
        <f>(Table10[[#This Row],[Work Start TimeStamp]]-Table10[[#This Row],[Fault Start TimeStamp]])*24</f>
        <v>0</v>
      </c>
      <c r="P106" s="101">
        <f>IF(Table10[[#This Row],[Work Start TimeStamp]]="","",(Table10[[#This Row],[Fault Clearance time]]-Table10[[#This Row],[Work Start TimeStamp]])*24)</f>
        <v>0.83333333333333437</v>
      </c>
      <c r="Q106" s="101">
        <f>(Table10[[#This Row],[Fault Clearance time]]-Table10[[#This Row],[Fault Start TimeStamp]])*24</f>
        <v>0.83333333333333437</v>
      </c>
      <c r="R106" s="483" t="s">
        <v>1899</v>
      </c>
      <c r="S106" s="102" t="s">
        <v>293</v>
      </c>
      <c r="T106" s="485">
        <f>IFERROR(Table10[[#This Row],[Breakdown Time]]*Table10[[#This Row],[Plant Equivalent Weightage]],"")</f>
        <v>0.41666666666666702</v>
      </c>
      <c r="U106" s="102" t="s">
        <v>450</v>
      </c>
      <c r="V106" s="547">
        <f>IFERROR(_xlfn.XLOOKUP(Table10[[#This Row],[Date]],'Daily KPI'!$A:$A,'Daily KPI'!$M:$M),"")</f>
        <v>7.6819230769230789</v>
      </c>
      <c r="W106" s="102">
        <v>1543.5</v>
      </c>
      <c r="X106" s="102">
        <f>Table10[[#This Row],[WTG Loss]]*13*Table10[[#This Row],[Breakdown Time]]</f>
        <v>16721.250000000022</v>
      </c>
      <c r="Y106" s="102" t="s">
        <v>449</v>
      </c>
      <c r="Z106" s="102"/>
      <c r="AA106" s="102"/>
    </row>
    <row r="107" spans="1:27">
      <c r="A107" s="102">
        <f t="shared" si="2"/>
        <v>106</v>
      </c>
      <c r="B107" s="102">
        <f>YEAR(Table10[[#This Row],[Date]])+IF(MONTH(Table10[[#This Row],[Date]])&gt;=4,1,0)</f>
        <v>2026</v>
      </c>
      <c r="C107" s="102">
        <f>YEAR(Table10[[#This Row],[Date]])</f>
        <v>2025</v>
      </c>
      <c r="D107" s="102" t="s">
        <v>1992</v>
      </c>
      <c r="E107" s="469">
        <f>Table10[[#This Row],[Date]]-DAY(Table10[[#This Row],[Date]])+1</f>
        <v>45778</v>
      </c>
      <c r="F107" s="470">
        <v>45802</v>
      </c>
      <c r="G107" s="102" t="s">
        <v>447</v>
      </c>
      <c r="H107" s="102" t="str">
        <f>IFERROR(_xlfn.XLOOKUP(Table10[[#This Row],[Affected Feeder ]],'Basic Data'!$A$43:$A$70,'Basic Data'!$B$43:$B$70),"")</f>
        <v>TQGXIIPL</v>
      </c>
      <c r="I107" s="102" t="str">
        <f>IFERROR(_xlfn.XLOOKUP(Table10[[#This Row],[Affected Feeder ]],'Basic Data'!$A$43:$A$70,'Basic Data'!$C$43:$C$70),"")</f>
        <v>GEDA</v>
      </c>
      <c r="J107" s="482">
        <f>IFERROR(_xlfn.XLOOKUP(Table10[[#This Row],[Affected Feeder ]],'Basic Data'!$A$43:$A$70,'Basic Data'!$E$43:$E$70),"")</f>
        <v>0.49999999999999978</v>
      </c>
      <c r="K107" s="483" t="s">
        <v>1904</v>
      </c>
      <c r="L107" s="484">
        <v>0.65416666666666667</v>
      </c>
      <c r="M107" s="484">
        <v>0.65416666666666667</v>
      </c>
      <c r="N107" s="484">
        <v>0.7055555555555556</v>
      </c>
      <c r="O107" s="101">
        <f>(Table10[[#This Row],[Work Start TimeStamp]]-Table10[[#This Row],[Fault Start TimeStamp]])*24</f>
        <v>0</v>
      </c>
      <c r="P107" s="101">
        <f>IF(Table10[[#This Row],[Work Start TimeStamp]]="","",(Table10[[#This Row],[Fault Clearance time]]-Table10[[#This Row],[Work Start TimeStamp]])*24)</f>
        <v>1.2333333333333343</v>
      </c>
      <c r="Q107" s="101">
        <f>(Table10[[#This Row],[Fault Clearance time]]-Table10[[#This Row],[Fault Start TimeStamp]])*24</f>
        <v>1.2333333333333343</v>
      </c>
      <c r="R107" s="483" t="s">
        <v>1908</v>
      </c>
      <c r="S107" s="102" t="s">
        <v>293</v>
      </c>
      <c r="T107" s="485">
        <f>IFERROR(Table10[[#This Row],[Breakdown Time]]*Table10[[#This Row],[Plant Equivalent Weightage]],"")</f>
        <v>0.61666666666666692</v>
      </c>
      <c r="U107" s="102" t="s">
        <v>450</v>
      </c>
      <c r="V107" s="547">
        <f>IFERROR(_xlfn.XLOOKUP(Table10[[#This Row],[Date]],'Daily KPI'!$A:$A,'Daily KPI'!$M:$M),"")</f>
        <v>7.6819230769230789</v>
      </c>
      <c r="W107" s="102">
        <v>1543.5</v>
      </c>
      <c r="X107" s="102">
        <f>Table10[[#This Row],[WTG Loss]]*13*Table10[[#This Row],[Breakdown Time]]</f>
        <v>24747.450000000019</v>
      </c>
      <c r="Y107" s="102" t="s">
        <v>449</v>
      </c>
      <c r="Z107" s="102"/>
      <c r="AA107" s="102"/>
    </row>
    <row r="108" spans="1:27">
      <c r="A108" s="102">
        <f t="shared" si="2"/>
        <v>107</v>
      </c>
      <c r="B108" s="102">
        <f>YEAR(Table10[[#This Row],[Date]])+IF(MONTH(Table10[[#This Row],[Date]])&gt;=4,1,0)</f>
        <v>2026</v>
      </c>
      <c r="C108" s="102">
        <f>YEAR(Table10[[#This Row],[Date]])</f>
        <v>2025</v>
      </c>
      <c r="D108" s="102" t="s">
        <v>1992</v>
      </c>
      <c r="E108" s="469">
        <f>Table10[[#This Row],[Date]]-DAY(Table10[[#This Row],[Date]])+1</f>
        <v>45778</v>
      </c>
      <c r="F108" s="470">
        <v>45802</v>
      </c>
      <c r="G108" s="102" t="s">
        <v>78</v>
      </c>
      <c r="H108" s="102" t="str">
        <f>IFERROR(_xlfn.XLOOKUP(Table10[[#This Row],[Affected Feeder ]],'Basic Data'!$A$43:$A$70,'Basic Data'!$B$43:$B$70),"")</f>
        <v>TQGXIIPL</v>
      </c>
      <c r="I108" s="102" t="str">
        <f>IFERROR(_xlfn.XLOOKUP(Table10[[#This Row],[Affected Feeder ]],'Basic Data'!$A$43:$A$70,'Basic Data'!$C$43:$C$70),"")</f>
        <v>GEDA</v>
      </c>
      <c r="J108" s="482">
        <f>IFERROR(_xlfn.XLOOKUP(Table10[[#This Row],[Affected Feeder ]],'Basic Data'!$A$43:$A$70,'Basic Data'!$E$43:$E$70),"")</f>
        <v>3.846153846153845E-2</v>
      </c>
      <c r="K108" s="483" t="s">
        <v>1890</v>
      </c>
      <c r="L108" s="484">
        <v>0.43055555555555558</v>
      </c>
      <c r="M108" s="484">
        <v>0.43055555555555558</v>
      </c>
      <c r="N108" s="484">
        <v>0.65416666666666667</v>
      </c>
      <c r="O108" s="101">
        <f>(Table10[[#This Row],[Work Start TimeStamp]]-Table10[[#This Row],[Fault Start TimeStamp]])*24</f>
        <v>0</v>
      </c>
      <c r="P108" s="101">
        <f>IF(Table10[[#This Row],[Work Start TimeStamp]]="","",(Table10[[#This Row],[Fault Clearance time]]-Table10[[#This Row],[Work Start TimeStamp]])*24)</f>
        <v>5.3666666666666663</v>
      </c>
      <c r="Q108" s="101">
        <f>(Table10[[#This Row],[Fault Clearance time]]-Table10[[#This Row],[Fault Start TimeStamp]])*24</f>
        <v>5.3666666666666663</v>
      </c>
      <c r="R108" s="483" t="s">
        <v>1910</v>
      </c>
      <c r="S108" s="102" t="s">
        <v>293</v>
      </c>
      <c r="T108" s="485">
        <f>IFERROR(Table10[[#This Row],[Breakdown Time]]*Table10[[#This Row],[Plant Equivalent Weightage]],"")</f>
        <v>0.20641025641025634</v>
      </c>
      <c r="U108" s="102" t="s">
        <v>450</v>
      </c>
      <c r="V108" s="547">
        <f>IFERROR(_xlfn.XLOOKUP(Table10[[#This Row],[Date]],'Daily KPI'!$A:$A,'Daily KPI'!$M:$M),"")</f>
        <v>7.6819230769230789</v>
      </c>
      <c r="W108" s="102">
        <v>1543.5</v>
      </c>
      <c r="X108" s="102">
        <f>Table10[[#This Row],[WTG Loss]]*1*Table10[[#This Row],[Breakdown Time]]</f>
        <v>8283.4499999999989</v>
      </c>
      <c r="Y108" s="102" t="s">
        <v>449</v>
      </c>
      <c r="Z108" s="102"/>
      <c r="AA108" s="102"/>
    </row>
    <row r="109" spans="1:27">
      <c r="A109" s="102">
        <f t="shared" si="2"/>
        <v>108</v>
      </c>
      <c r="B109" s="102">
        <f>YEAR(Table10[[#This Row],[Date]])+IF(MONTH(Table10[[#This Row],[Date]])&gt;=4,1,0)</f>
        <v>2026</v>
      </c>
      <c r="C109" s="102">
        <f>YEAR(Table10[[#This Row],[Date]])</f>
        <v>2025</v>
      </c>
      <c r="D109" s="102" t="s">
        <v>1992</v>
      </c>
      <c r="E109" s="469">
        <f>Table10[[#This Row],[Date]]-DAY(Table10[[#This Row],[Date]])+1</f>
        <v>45778</v>
      </c>
      <c r="F109" s="470">
        <v>45802</v>
      </c>
      <c r="G109" s="102" t="s">
        <v>98</v>
      </c>
      <c r="H109" s="102" t="str">
        <f>IFERROR(_xlfn.XLOOKUP(Table10[[#This Row],[Affected Feeder ]],'Basic Data'!$A$43:$A$70,'Basic Data'!$B$43:$B$70),"")</f>
        <v>TQGXIIPL</v>
      </c>
      <c r="I109" s="102" t="str">
        <f>IFERROR(_xlfn.XLOOKUP(Table10[[#This Row],[Affected Feeder ]],'Basic Data'!$A$43:$A$70,'Basic Data'!$C$43:$C$70),"")</f>
        <v>GEDA</v>
      </c>
      <c r="J109" s="482">
        <f>IFERROR(_xlfn.XLOOKUP(Table10[[#This Row],[Affected Feeder ]],'Basic Data'!$A$43:$A$70,'Basic Data'!$E$43:$E$70),"")</f>
        <v>3.846153846153845E-2</v>
      </c>
      <c r="K109" s="483" t="s">
        <v>1896</v>
      </c>
      <c r="L109" s="484">
        <v>0.43055555555555558</v>
      </c>
      <c r="M109" s="484">
        <v>0.43055555555555558</v>
      </c>
      <c r="N109" s="484">
        <v>0.65416666666666667</v>
      </c>
      <c r="O109" s="101">
        <f>(Table10[[#This Row],[Work Start TimeStamp]]-Table10[[#This Row],[Fault Start TimeStamp]])*24</f>
        <v>0</v>
      </c>
      <c r="P109" s="101">
        <f>IF(Table10[[#This Row],[Work Start TimeStamp]]="","",(Table10[[#This Row],[Fault Clearance time]]-Table10[[#This Row],[Work Start TimeStamp]])*24)</f>
        <v>5.3666666666666663</v>
      </c>
      <c r="Q109" s="101">
        <f>(Table10[[#This Row],[Fault Clearance time]]-Table10[[#This Row],[Fault Start TimeStamp]])*24</f>
        <v>5.3666666666666663</v>
      </c>
      <c r="R109" s="483" t="s">
        <v>1910</v>
      </c>
      <c r="S109" s="102" t="s">
        <v>293</v>
      </c>
      <c r="T109" s="485">
        <f>IFERROR(Table10[[#This Row],[Breakdown Time]]*Table10[[#This Row],[Plant Equivalent Weightage]],"")</f>
        <v>0.20641025641025634</v>
      </c>
      <c r="U109" s="102" t="s">
        <v>450</v>
      </c>
      <c r="V109" s="547">
        <f>IFERROR(_xlfn.XLOOKUP(Table10[[#This Row],[Date]],'Daily KPI'!$A:$A,'Daily KPI'!$M:$M),"")</f>
        <v>7.6819230769230789</v>
      </c>
      <c r="W109" s="102">
        <v>1543.5</v>
      </c>
      <c r="X109" s="102">
        <f>Table10[[#This Row],[WTG Loss]]*1*Table10[[#This Row],[Breakdown Time]]</f>
        <v>8283.4499999999989</v>
      </c>
      <c r="Y109" s="102" t="s">
        <v>449</v>
      </c>
      <c r="Z109" s="102"/>
      <c r="AA109" s="102"/>
    </row>
    <row r="110" spans="1:27">
      <c r="A110" s="102">
        <f t="shared" si="2"/>
        <v>109</v>
      </c>
      <c r="B110" s="102">
        <f>YEAR(Table10[[#This Row],[Date]])+IF(MONTH(Table10[[#This Row],[Date]])&gt;=4,1,0)</f>
        <v>2026</v>
      </c>
      <c r="C110" s="102">
        <f>YEAR(Table10[[#This Row],[Date]])</f>
        <v>2025</v>
      </c>
      <c r="D110" s="102" t="s">
        <v>1992</v>
      </c>
      <c r="E110" s="469">
        <f>Table10[[#This Row],[Date]]-DAY(Table10[[#This Row],[Date]])+1</f>
        <v>45778</v>
      </c>
      <c r="F110" s="470">
        <v>45802</v>
      </c>
      <c r="G110" s="102" t="s">
        <v>75</v>
      </c>
      <c r="H110" s="102" t="str">
        <f>IFERROR(_xlfn.XLOOKUP(Table10[[#This Row],[Affected Feeder ]],'Basic Data'!$A$43:$A$70,'Basic Data'!$B$43:$B$70),"")</f>
        <v>TQGXIIPL</v>
      </c>
      <c r="I110" s="102" t="str">
        <f>IFERROR(_xlfn.XLOOKUP(Table10[[#This Row],[Affected Feeder ]],'Basic Data'!$A$43:$A$70,'Basic Data'!$C$43:$C$70),"")</f>
        <v>GEDA</v>
      </c>
      <c r="J110" s="482">
        <f>IFERROR(_xlfn.XLOOKUP(Table10[[#This Row],[Affected Feeder ]],'Basic Data'!$A$43:$A$70,'Basic Data'!$E$43:$E$70),"")</f>
        <v>3.846153846153845E-2</v>
      </c>
      <c r="K110" s="483" t="s">
        <v>1888</v>
      </c>
      <c r="L110" s="484">
        <v>0.43055555555555558</v>
      </c>
      <c r="M110" s="484">
        <v>0.43055555555555558</v>
      </c>
      <c r="N110" s="484">
        <v>0.65416666666666667</v>
      </c>
      <c r="O110" s="101">
        <f>(Table10[[#This Row],[Work Start TimeStamp]]-Table10[[#This Row],[Fault Start TimeStamp]])*24</f>
        <v>0</v>
      </c>
      <c r="P110" s="101">
        <f>IF(Table10[[#This Row],[Work Start TimeStamp]]="","",(Table10[[#This Row],[Fault Clearance time]]-Table10[[#This Row],[Work Start TimeStamp]])*24)</f>
        <v>5.3666666666666663</v>
      </c>
      <c r="Q110" s="101">
        <f>(Table10[[#This Row],[Fault Clearance time]]-Table10[[#This Row],[Fault Start TimeStamp]])*24</f>
        <v>5.3666666666666663</v>
      </c>
      <c r="R110" s="483" t="s">
        <v>1910</v>
      </c>
      <c r="S110" s="102" t="s">
        <v>293</v>
      </c>
      <c r="T110" s="485">
        <f>IFERROR(Table10[[#This Row],[Breakdown Time]]*Table10[[#This Row],[Plant Equivalent Weightage]],"")</f>
        <v>0.20641025641025634</v>
      </c>
      <c r="U110" s="102" t="s">
        <v>450</v>
      </c>
      <c r="V110" s="547">
        <f>IFERROR(_xlfn.XLOOKUP(Table10[[#This Row],[Date]],'Daily KPI'!$A:$A,'Daily KPI'!$M:$M),"")</f>
        <v>7.6819230769230789</v>
      </c>
      <c r="W110" s="102">
        <v>1543.5</v>
      </c>
      <c r="X110" s="102">
        <f>Table10[[#This Row],[WTG Loss]]*1*Table10[[#This Row],[Breakdown Time]]</f>
        <v>8283.4499999999989</v>
      </c>
      <c r="Y110" s="102" t="s">
        <v>449</v>
      </c>
      <c r="Z110" s="102"/>
      <c r="AA110" s="102"/>
    </row>
    <row r="111" spans="1:27">
      <c r="A111" s="102">
        <f t="shared" si="2"/>
        <v>110</v>
      </c>
      <c r="B111" s="102">
        <f>YEAR(Table10[[#This Row],[Date]])+IF(MONTH(Table10[[#This Row],[Date]])&gt;=4,1,0)</f>
        <v>2026</v>
      </c>
      <c r="C111" s="102">
        <f>YEAR(Table10[[#This Row],[Date]])</f>
        <v>2025</v>
      </c>
      <c r="D111" s="102" t="s">
        <v>1992</v>
      </c>
      <c r="E111" s="469">
        <f>Table10[[#This Row],[Date]]-DAY(Table10[[#This Row],[Date]])+1</f>
        <v>45778</v>
      </c>
      <c r="F111" s="470">
        <v>45803</v>
      </c>
      <c r="G111" s="102" t="s">
        <v>447</v>
      </c>
      <c r="H111" s="102" t="str">
        <f>IFERROR(_xlfn.XLOOKUP(Table10[[#This Row],[Affected Feeder ]],'Basic Data'!$A$43:$A$70,'Basic Data'!$B$43:$B$70),"")</f>
        <v>TQGXIIPL</v>
      </c>
      <c r="I111" s="102" t="str">
        <f>IFERROR(_xlfn.XLOOKUP(Table10[[#This Row],[Affected Feeder ]],'Basic Data'!$A$43:$A$70,'Basic Data'!$C$43:$C$70),"")</f>
        <v>GEDA</v>
      </c>
      <c r="J111" s="482">
        <f>IFERROR(_xlfn.XLOOKUP(Table10[[#This Row],[Affected Feeder ]],'Basic Data'!$A$43:$A$70,'Basic Data'!$E$43:$E$70),"")</f>
        <v>0.49999999999999978</v>
      </c>
      <c r="K111" s="483" t="s">
        <v>1904</v>
      </c>
      <c r="L111" s="484">
        <v>2.5694444444444443E-2</v>
      </c>
      <c r="M111" s="484">
        <v>2.5694444444444443E-2</v>
      </c>
      <c r="N111" s="484">
        <v>3.5416666666666666E-2</v>
      </c>
      <c r="O111" s="101">
        <f>(Table10[[#This Row],[Work Start TimeStamp]]-Table10[[#This Row],[Fault Start TimeStamp]])*24</f>
        <v>0</v>
      </c>
      <c r="P111" s="101">
        <f>IF(Table10[[#This Row],[Work Start TimeStamp]]="","",(Table10[[#This Row],[Fault Clearance time]]-Table10[[#This Row],[Work Start TimeStamp]])*24)</f>
        <v>0.23333333333333334</v>
      </c>
      <c r="Q111" s="101">
        <f>(Table10[[#This Row],[Fault Clearance time]]-Table10[[#This Row],[Fault Start TimeStamp]])*24</f>
        <v>0.23333333333333334</v>
      </c>
      <c r="R111" s="483" t="s">
        <v>1908</v>
      </c>
      <c r="S111" s="102" t="s">
        <v>293</v>
      </c>
      <c r="T111" s="485">
        <f>IFERROR(Table10[[#This Row],[Breakdown Time]]*Table10[[#This Row],[Plant Equivalent Weightage]],"")</f>
        <v>0.11666666666666661</v>
      </c>
      <c r="U111" s="102" t="s">
        <v>450</v>
      </c>
      <c r="V111" s="547">
        <f>IFERROR(_xlfn.XLOOKUP(Table10[[#This Row],[Date]],'Daily KPI'!$A:$A,'Daily KPI'!$M:$M),"")</f>
        <v>7.1199999999999992</v>
      </c>
      <c r="W111" s="102">
        <v>1222.5</v>
      </c>
      <c r="X111" s="102">
        <f>Table10[[#This Row],[WTG Loss]]*13*Table10[[#This Row],[Breakdown Time]]</f>
        <v>3708.25</v>
      </c>
      <c r="Y111" s="102" t="s">
        <v>449</v>
      </c>
      <c r="Z111" s="102"/>
      <c r="AA111" s="102"/>
    </row>
    <row r="112" spans="1:27">
      <c r="A112" s="102">
        <f t="shared" si="2"/>
        <v>111</v>
      </c>
      <c r="B112" s="102">
        <f>YEAR(Table10[[#This Row],[Date]])+IF(MONTH(Table10[[#This Row],[Date]])&gt;=4,1,0)</f>
        <v>2026</v>
      </c>
      <c r="C112" s="102">
        <f>YEAR(Table10[[#This Row],[Date]])</f>
        <v>2025</v>
      </c>
      <c r="D112" s="102" t="s">
        <v>1992</v>
      </c>
      <c r="E112" s="469">
        <f>Table10[[#This Row],[Date]]-DAY(Table10[[#This Row],[Date]])+1</f>
        <v>45778</v>
      </c>
      <c r="F112" s="470">
        <v>45803</v>
      </c>
      <c r="G112" s="102" t="s">
        <v>451</v>
      </c>
      <c r="H112" s="102" t="str">
        <f>IFERROR(_xlfn.XLOOKUP(Table10[[#This Row],[Affected Feeder ]],'Basic Data'!$A$43:$A$70,'Basic Data'!$B$43:$B$70),"")</f>
        <v>TQGXIIPL</v>
      </c>
      <c r="I112" s="102" t="str">
        <f>IFERROR(_xlfn.XLOOKUP(Table10[[#This Row],[Affected Feeder ]],'Basic Data'!$A$43:$A$70,'Basic Data'!$C$43:$C$70),"")</f>
        <v>GEDA</v>
      </c>
      <c r="J112" s="482">
        <f>IFERROR(_xlfn.XLOOKUP(Table10[[#This Row],[Affected Feeder ]],'Basic Data'!$A$43:$A$70,'Basic Data'!$E$43:$E$70),"")</f>
        <v>0.49999999999999978</v>
      </c>
      <c r="K112" s="483" t="s">
        <v>1791</v>
      </c>
      <c r="L112" s="484">
        <v>1.3888888888888889E-3</v>
      </c>
      <c r="M112" s="484">
        <v>1.3888888888888889E-3</v>
      </c>
      <c r="N112" s="484">
        <v>3.6111111111111108E-2</v>
      </c>
      <c r="O112" s="101">
        <f>(Table10[[#This Row],[Work Start TimeStamp]]-Table10[[#This Row],[Fault Start TimeStamp]])*24</f>
        <v>0</v>
      </c>
      <c r="P112" s="101">
        <f>IF(Table10[[#This Row],[Work Start TimeStamp]]="","",(Table10[[#This Row],[Fault Clearance time]]-Table10[[#This Row],[Work Start TimeStamp]])*24)</f>
        <v>0.83333333333333326</v>
      </c>
      <c r="Q112" s="101">
        <f>(Table10[[#This Row],[Fault Clearance time]]-Table10[[#This Row],[Fault Start TimeStamp]])*24</f>
        <v>0.83333333333333326</v>
      </c>
      <c r="R112" s="483" t="s">
        <v>454</v>
      </c>
      <c r="S112" s="102" t="s">
        <v>293</v>
      </c>
      <c r="T112" s="485">
        <f>IFERROR(Table10[[#This Row],[Breakdown Time]]*Table10[[#This Row],[Plant Equivalent Weightage]],"")</f>
        <v>0.41666666666666646</v>
      </c>
      <c r="U112" s="102" t="s">
        <v>450</v>
      </c>
      <c r="V112" s="547">
        <f>IFERROR(_xlfn.XLOOKUP(Table10[[#This Row],[Date]],'Daily KPI'!$A:$A,'Daily KPI'!$M:$M),"")</f>
        <v>7.1199999999999992</v>
      </c>
      <c r="W112" s="102">
        <v>1222.5</v>
      </c>
      <c r="X112" s="102">
        <f>Table10[[#This Row],[WTG Loss]]*13*Table10[[#This Row],[Breakdown Time]]</f>
        <v>13243.749999999998</v>
      </c>
      <c r="Y112" s="102" t="s">
        <v>449</v>
      </c>
      <c r="Z112" s="102"/>
      <c r="AA112" s="102"/>
    </row>
    <row r="113" spans="1:27">
      <c r="A113" s="102">
        <f t="shared" si="2"/>
        <v>112</v>
      </c>
      <c r="B113" s="102">
        <f>YEAR(Table10[[#This Row],[Date]])+IF(MONTH(Table10[[#This Row],[Date]])&gt;=4,1,0)</f>
        <v>2026</v>
      </c>
      <c r="C113" s="102">
        <f>YEAR(Table10[[#This Row],[Date]])</f>
        <v>2025</v>
      </c>
      <c r="D113" s="102" t="s">
        <v>1992</v>
      </c>
      <c r="E113" s="469">
        <f>Table10[[#This Row],[Date]]-DAY(Table10[[#This Row],[Date]])+1</f>
        <v>45778</v>
      </c>
      <c r="F113" s="470">
        <v>45804</v>
      </c>
      <c r="G113" s="102" t="s">
        <v>447</v>
      </c>
      <c r="H113" s="102" t="str">
        <f>IFERROR(_xlfn.XLOOKUP(Table10[[#This Row],[Affected Feeder ]],'Basic Data'!$A$43:$A$70,'Basic Data'!$B$43:$B$70),"")</f>
        <v>TQGXIIPL</v>
      </c>
      <c r="I113" s="102" t="str">
        <f>IFERROR(_xlfn.XLOOKUP(Table10[[#This Row],[Affected Feeder ]],'Basic Data'!$A$43:$A$70,'Basic Data'!$C$43:$C$70),"")</f>
        <v>GEDA</v>
      </c>
      <c r="J113" s="482">
        <f>IFERROR(_xlfn.XLOOKUP(Table10[[#This Row],[Affected Feeder ]],'Basic Data'!$A$43:$A$70,'Basic Data'!$E$43:$E$70),"")</f>
        <v>0.49999999999999978</v>
      </c>
      <c r="K113" s="483" t="s">
        <v>1907</v>
      </c>
      <c r="L113" s="484">
        <v>0.44166666666666665</v>
      </c>
      <c r="M113" s="484">
        <v>0.44166666666666665</v>
      </c>
      <c r="N113" s="484">
        <v>0.56458333333333333</v>
      </c>
      <c r="O113" s="101">
        <f>(Table10[[#This Row],[Work Start TimeStamp]]-Table10[[#This Row],[Fault Start TimeStamp]])*24</f>
        <v>0</v>
      </c>
      <c r="P113" s="101">
        <f>IF(Table10[[#This Row],[Work Start TimeStamp]]="","",(Table10[[#This Row],[Fault Clearance time]]-Table10[[#This Row],[Work Start TimeStamp]])*24)</f>
        <v>2.95</v>
      </c>
      <c r="Q113" s="101">
        <f>(Table10[[#This Row],[Fault Clearance time]]-Table10[[#This Row],[Fault Start TimeStamp]])*24</f>
        <v>2.95</v>
      </c>
      <c r="R113" s="483" t="s">
        <v>1908</v>
      </c>
      <c r="S113" s="102" t="s">
        <v>293</v>
      </c>
      <c r="T113" s="485">
        <f>IFERROR(Table10[[#This Row],[Breakdown Time]]*Table10[[#This Row],[Plant Equivalent Weightage]],"")</f>
        <v>1.4749999999999994</v>
      </c>
      <c r="U113" s="102" t="s">
        <v>450</v>
      </c>
      <c r="V113" s="547">
        <f>IFERROR(_xlfn.XLOOKUP(Table10[[#This Row],[Date]],'Daily KPI'!$A:$A,'Daily KPI'!$M:$M),"")</f>
        <v>9.4784615384615396</v>
      </c>
      <c r="W113" s="102">
        <v>2435.5</v>
      </c>
      <c r="X113" s="102">
        <f>Table10[[#This Row],[WTG Loss]]*13*Table10[[#This Row],[Breakdown Time]]</f>
        <v>93401.425000000003</v>
      </c>
      <c r="Y113" s="102" t="s">
        <v>449</v>
      </c>
      <c r="Z113" s="102"/>
      <c r="AA113" s="102"/>
    </row>
    <row r="114" spans="1:27">
      <c r="A114" s="102">
        <f t="shared" si="2"/>
        <v>113</v>
      </c>
      <c r="B114" s="102">
        <f>YEAR(Table10[[#This Row],[Date]])+IF(MONTH(Table10[[#This Row],[Date]])&gt;=4,1,0)</f>
        <v>2026</v>
      </c>
      <c r="C114" s="102">
        <f>YEAR(Table10[[#This Row],[Date]])</f>
        <v>2025</v>
      </c>
      <c r="D114" s="102" t="s">
        <v>1992</v>
      </c>
      <c r="E114" s="469">
        <f>Table10[[#This Row],[Date]]-DAY(Table10[[#This Row],[Date]])+1</f>
        <v>45778</v>
      </c>
      <c r="F114" s="470">
        <v>45805</v>
      </c>
      <c r="G114" s="102" t="s">
        <v>447</v>
      </c>
      <c r="H114" s="102" t="str">
        <f>IFERROR(_xlfn.XLOOKUP(Table10[[#This Row],[Affected Feeder ]],'Basic Data'!$A$43:$A$70,'Basic Data'!$B$43:$B$70),"")</f>
        <v>TQGXIIPL</v>
      </c>
      <c r="I114" s="102" t="str">
        <f>IFERROR(_xlfn.XLOOKUP(Table10[[#This Row],[Affected Feeder ]],'Basic Data'!$A$43:$A$70,'Basic Data'!$C$43:$C$70),"")</f>
        <v>GEDA</v>
      </c>
      <c r="J114" s="482">
        <f>IFERROR(_xlfn.XLOOKUP(Table10[[#This Row],[Affected Feeder ]],'Basic Data'!$A$43:$A$70,'Basic Data'!$E$43:$E$70),"")</f>
        <v>0.49999999999999978</v>
      </c>
      <c r="K114" s="483" t="s">
        <v>1903</v>
      </c>
      <c r="L114" s="484">
        <v>0.38333333333333336</v>
      </c>
      <c r="M114" s="484">
        <v>0.38333333333333336</v>
      </c>
      <c r="N114" s="484">
        <v>0.40347222222222223</v>
      </c>
      <c r="O114" s="101">
        <f>(Table10[[#This Row],[Work Start TimeStamp]]-Table10[[#This Row],[Fault Start TimeStamp]])*24</f>
        <v>0</v>
      </c>
      <c r="P114" s="101">
        <f>IF(Table10[[#This Row],[Work Start TimeStamp]]="","",(Table10[[#This Row],[Fault Clearance time]]-Table10[[#This Row],[Work Start TimeStamp]])*24)</f>
        <v>0.48333333333333295</v>
      </c>
      <c r="Q114" s="101">
        <f>(Table10[[#This Row],[Fault Clearance time]]-Table10[[#This Row],[Fault Start TimeStamp]])*24</f>
        <v>0.48333333333333295</v>
      </c>
      <c r="R114" s="483" t="s">
        <v>1899</v>
      </c>
      <c r="S114" s="102" t="s">
        <v>293</v>
      </c>
      <c r="T114" s="485">
        <f>IFERROR(Table10[[#This Row],[Breakdown Time]]*Table10[[#This Row],[Plant Equivalent Weightage]],"")</f>
        <v>0.24166666666666636</v>
      </c>
      <c r="U114" s="102" t="s">
        <v>450</v>
      </c>
      <c r="V114" s="547">
        <f>IFERROR(_xlfn.XLOOKUP(Table10[[#This Row],[Date]],'Daily KPI'!$A:$A,'Daily KPI'!$M:$M),"")</f>
        <v>8.4200000000000017</v>
      </c>
      <c r="W114" s="102">
        <v>1922.8</v>
      </c>
      <c r="X114" s="102">
        <f>Table10[[#This Row],[WTG Loss]]*13*Table10[[#This Row],[Breakdown Time]]</f>
        <v>12081.593333333323</v>
      </c>
      <c r="Y114" s="102" t="s">
        <v>449</v>
      </c>
      <c r="Z114" s="102"/>
      <c r="AA114" s="102"/>
    </row>
    <row r="115" spans="1:27">
      <c r="A115" s="102">
        <f t="shared" si="2"/>
        <v>114</v>
      </c>
      <c r="B115" s="102">
        <f>YEAR(Table10[[#This Row],[Date]])+IF(MONTH(Table10[[#This Row],[Date]])&gt;=4,1,0)</f>
        <v>2026</v>
      </c>
      <c r="C115" s="102">
        <f>YEAR(Table10[[#This Row],[Date]])</f>
        <v>2025</v>
      </c>
      <c r="D115" s="102" t="s">
        <v>1992</v>
      </c>
      <c r="E115" s="469">
        <f>Table10[[#This Row],[Date]]-DAY(Table10[[#This Row],[Date]])+1</f>
        <v>45778</v>
      </c>
      <c r="F115" s="470">
        <v>45805</v>
      </c>
      <c r="G115" s="102" t="s">
        <v>447</v>
      </c>
      <c r="H115" s="102" t="str">
        <f>IFERROR(_xlfn.XLOOKUP(Table10[[#This Row],[Affected Feeder ]],'Basic Data'!$A$43:$A$70,'Basic Data'!$B$43:$B$70),"")</f>
        <v>TQGXIIPL</v>
      </c>
      <c r="I115" s="102" t="str">
        <f>IFERROR(_xlfn.XLOOKUP(Table10[[#This Row],[Affected Feeder ]],'Basic Data'!$A$43:$A$70,'Basic Data'!$C$43:$C$70),"")</f>
        <v>GEDA</v>
      </c>
      <c r="J115" s="482">
        <f>IFERROR(_xlfn.XLOOKUP(Table10[[#This Row],[Affected Feeder ]],'Basic Data'!$A$43:$A$70,'Basic Data'!$E$43:$E$70),"")</f>
        <v>0.49999999999999978</v>
      </c>
      <c r="K115" s="483" t="s">
        <v>1903</v>
      </c>
      <c r="L115" s="484">
        <v>0.4826388888888889</v>
      </c>
      <c r="M115" s="484">
        <v>0.4826388888888889</v>
      </c>
      <c r="N115" s="484">
        <v>0.52708333333333335</v>
      </c>
      <c r="O115" s="101">
        <f>(Table10[[#This Row],[Work Start TimeStamp]]-Table10[[#This Row],[Fault Start TimeStamp]])*24</f>
        <v>0</v>
      </c>
      <c r="P115" s="101">
        <f>IF(Table10[[#This Row],[Work Start TimeStamp]]="","",(Table10[[#This Row],[Fault Clearance time]]-Table10[[#This Row],[Work Start TimeStamp]])*24)</f>
        <v>1.0666666666666669</v>
      </c>
      <c r="Q115" s="101">
        <f>(Table10[[#This Row],[Fault Clearance time]]-Table10[[#This Row],[Fault Start TimeStamp]])*24</f>
        <v>1.0666666666666669</v>
      </c>
      <c r="R115" s="483" t="s">
        <v>1899</v>
      </c>
      <c r="S115" s="102" t="s">
        <v>293</v>
      </c>
      <c r="T115" s="485">
        <f>IFERROR(Table10[[#This Row],[Breakdown Time]]*Table10[[#This Row],[Plant Equivalent Weightage]],"")</f>
        <v>0.53333333333333321</v>
      </c>
      <c r="U115" s="102" t="s">
        <v>450</v>
      </c>
      <c r="V115" s="547">
        <f>IFERROR(_xlfn.XLOOKUP(Table10[[#This Row],[Date]],'Daily KPI'!$A:$A,'Daily KPI'!$M:$M),"")</f>
        <v>8.4200000000000017</v>
      </c>
      <c r="W115" s="102">
        <v>1922.8</v>
      </c>
      <c r="X115" s="102">
        <f>Table10[[#This Row],[WTG Loss]]*13*Table10[[#This Row],[Breakdown Time]]</f>
        <v>26662.826666666668</v>
      </c>
      <c r="Y115" s="102" t="s">
        <v>449</v>
      </c>
      <c r="Z115" s="102"/>
      <c r="AA115" s="102"/>
    </row>
    <row r="116" spans="1:27">
      <c r="A116" s="102">
        <f t="shared" si="2"/>
        <v>115</v>
      </c>
      <c r="B116" s="102">
        <f>YEAR(Table10[[#This Row],[Date]])+IF(MONTH(Table10[[#This Row],[Date]])&gt;=4,1,0)</f>
        <v>2026</v>
      </c>
      <c r="C116" s="102">
        <f>YEAR(Table10[[#This Row],[Date]])</f>
        <v>2025</v>
      </c>
      <c r="D116" s="102" t="s">
        <v>1992</v>
      </c>
      <c r="E116" s="469">
        <f>Table10[[#This Row],[Date]]-DAY(Table10[[#This Row],[Date]])+1</f>
        <v>45778</v>
      </c>
      <c r="F116" s="470">
        <v>45805</v>
      </c>
      <c r="G116" s="102" t="s">
        <v>74</v>
      </c>
      <c r="H116" s="102" t="str">
        <f>IFERROR(_xlfn.XLOOKUP(Table10[[#This Row],[Affected Feeder ]],'Basic Data'!$A$43:$A$70,'Basic Data'!$B$43:$B$70),"")</f>
        <v>TQGXIIPL</v>
      </c>
      <c r="I116" s="102" t="str">
        <f>IFERROR(_xlfn.XLOOKUP(Table10[[#This Row],[Affected Feeder ]],'Basic Data'!$A$43:$A$70,'Basic Data'!$C$43:$C$70),"")</f>
        <v>GEDA</v>
      </c>
      <c r="J116" s="482">
        <f>IFERROR(_xlfn.XLOOKUP(Table10[[#This Row],[Affected Feeder ]],'Basic Data'!$A$43:$A$70,'Basic Data'!$E$43:$E$70),"")</f>
        <v>3.846153846153845E-2</v>
      </c>
      <c r="K116" s="483" t="s">
        <v>1887</v>
      </c>
      <c r="L116" s="484">
        <v>0.40347222222222223</v>
      </c>
      <c r="M116" s="484">
        <v>0.40347222222222223</v>
      </c>
      <c r="N116" s="484">
        <v>0.4826388888888889</v>
      </c>
      <c r="O116" s="101">
        <f>(Table10[[#This Row],[Work Start TimeStamp]]-Table10[[#This Row],[Fault Start TimeStamp]])*24</f>
        <v>0</v>
      </c>
      <c r="P116" s="101">
        <f>IF(Table10[[#This Row],[Work Start TimeStamp]]="","",(Table10[[#This Row],[Fault Clearance time]]-Table10[[#This Row],[Work Start TimeStamp]])*24)</f>
        <v>1.9</v>
      </c>
      <c r="Q116" s="101">
        <f>(Table10[[#This Row],[Fault Clearance time]]-Table10[[#This Row],[Fault Start TimeStamp]])*24</f>
        <v>1.9</v>
      </c>
      <c r="R116" s="483" t="s">
        <v>1910</v>
      </c>
      <c r="S116" s="102" t="s">
        <v>293</v>
      </c>
      <c r="T116" s="485">
        <f>IFERROR(Table10[[#This Row],[Breakdown Time]]*Table10[[#This Row],[Plant Equivalent Weightage]],"")</f>
        <v>7.3076923076923053E-2</v>
      </c>
      <c r="U116" s="102" t="s">
        <v>450</v>
      </c>
      <c r="V116" s="547">
        <f>IFERROR(_xlfn.XLOOKUP(Table10[[#This Row],[Date]],'Daily KPI'!$A:$A,'Daily KPI'!$M:$M),"")</f>
        <v>8.4200000000000017</v>
      </c>
      <c r="W116" s="102">
        <v>1922.8</v>
      </c>
      <c r="X116" s="102">
        <f>Table10[[#This Row],[WTG Loss]]*1*Table10[[#This Row],[Breakdown Time]]</f>
        <v>3653.3199999999997</v>
      </c>
      <c r="Y116" s="102" t="s">
        <v>449</v>
      </c>
      <c r="Z116" s="102"/>
      <c r="AA116" s="102"/>
    </row>
    <row r="117" spans="1:27">
      <c r="A117" s="102">
        <f t="shared" si="2"/>
        <v>116</v>
      </c>
      <c r="B117" s="102">
        <f>YEAR(Table10[[#This Row],[Date]])+IF(MONTH(Table10[[#This Row],[Date]])&gt;=4,1,0)</f>
        <v>2026</v>
      </c>
      <c r="C117" s="102">
        <f>YEAR(Table10[[#This Row],[Date]])</f>
        <v>2025</v>
      </c>
      <c r="D117" s="102" t="s">
        <v>1992</v>
      </c>
      <c r="E117" s="469">
        <f>Table10[[#This Row],[Date]]-DAY(Table10[[#This Row],[Date]])+1</f>
        <v>45778</v>
      </c>
      <c r="F117" s="470">
        <v>45805</v>
      </c>
      <c r="G117" s="102" t="s">
        <v>82</v>
      </c>
      <c r="H117" s="102" t="str">
        <f>IFERROR(_xlfn.XLOOKUP(Table10[[#This Row],[Affected Feeder ]],'Basic Data'!$A$43:$A$70,'Basic Data'!$B$43:$B$70),"")</f>
        <v>TQGXIIPL</v>
      </c>
      <c r="I117" s="102" t="str">
        <f>IFERROR(_xlfn.XLOOKUP(Table10[[#This Row],[Affected Feeder ]],'Basic Data'!$A$43:$A$70,'Basic Data'!$C$43:$C$70),"")</f>
        <v>GEDA</v>
      </c>
      <c r="J117" s="482">
        <f>IFERROR(_xlfn.XLOOKUP(Table10[[#This Row],[Affected Feeder ]],'Basic Data'!$A$43:$A$70,'Basic Data'!$E$43:$E$70),"")</f>
        <v>3.846153846153845E-2</v>
      </c>
      <c r="K117" s="483" t="s">
        <v>1892</v>
      </c>
      <c r="L117" s="484">
        <v>0.40347222222222223</v>
      </c>
      <c r="M117" s="484">
        <v>0.40347222222222223</v>
      </c>
      <c r="N117" s="484">
        <v>0.4826388888888889</v>
      </c>
      <c r="O117" s="101">
        <f>(Table10[[#This Row],[Work Start TimeStamp]]-Table10[[#This Row],[Fault Start TimeStamp]])*24</f>
        <v>0</v>
      </c>
      <c r="P117" s="101">
        <f>IF(Table10[[#This Row],[Work Start TimeStamp]]="","",(Table10[[#This Row],[Fault Clearance time]]-Table10[[#This Row],[Work Start TimeStamp]])*24)</f>
        <v>1.9</v>
      </c>
      <c r="Q117" s="101">
        <f>(Table10[[#This Row],[Fault Clearance time]]-Table10[[#This Row],[Fault Start TimeStamp]])*24</f>
        <v>1.9</v>
      </c>
      <c r="R117" s="483" t="s">
        <v>1910</v>
      </c>
      <c r="S117" s="102" t="s">
        <v>293</v>
      </c>
      <c r="T117" s="485">
        <f>IFERROR(Table10[[#This Row],[Breakdown Time]]*Table10[[#This Row],[Plant Equivalent Weightage]],"")</f>
        <v>7.3076923076923053E-2</v>
      </c>
      <c r="U117" s="102" t="s">
        <v>450</v>
      </c>
      <c r="V117" s="547">
        <f>IFERROR(_xlfn.XLOOKUP(Table10[[#This Row],[Date]],'Daily KPI'!$A:$A,'Daily KPI'!$M:$M),"")</f>
        <v>8.4200000000000017</v>
      </c>
      <c r="W117" s="102">
        <v>1922.8</v>
      </c>
      <c r="X117" s="102">
        <f>Table10[[#This Row],[WTG Loss]]*1*Table10[[#This Row],[Breakdown Time]]</f>
        <v>3653.3199999999997</v>
      </c>
      <c r="Y117" s="102" t="s">
        <v>449</v>
      </c>
      <c r="Z117" s="102"/>
      <c r="AA117" s="102"/>
    </row>
    <row r="118" spans="1:27">
      <c r="A118" s="102">
        <f t="shared" si="2"/>
        <v>117</v>
      </c>
      <c r="B118" s="102">
        <f>YEAR(Table10[[#This Row],[Date]])+IF(MONTH(Table10[[#This Row],[Date]])&gt;=4,1,0)</f>
        <v>2026</v>
      </c>
      <c r="C118" s="102">
        <f>YEAR(Table10[[#This Row],[Date]])</f>
        <v>2025</v>
      </c>
      <c r="D118" s="102" t="s">
        <v>1992</v>
      </c>
      <c r="E118" s="469">
        <f>Table10[[#This Row],[Date]]-DAY(Table10[[#This Row],[Date]])+1</f>
        <v>45778</v>
      </c>
      <c r="F118" s="470">
        <v>45805</v>
      </c>
      <c r="G118" s="102" t="s">
        <v>98</v>
      </c>
      <c r="H118" s="102" t="str">
        <f>IFERROR(_xlfn.XLOOKUP(Table10[[#This Row],[Affected Feeder ]],'Basic Data'!$A$43:$A$70,'Basic Data'!$B$43:$B$70),"")</f>
        <v>TQGXIIPL</v>
      </c>
      <c r="I118" s="102" t="str">
        <f>IFERROR(_xlfn.XLOOKUP(Table10[[#This Row],[Affected Feeder ]],'Basic Data'!$A$43:$A$70,'Basic Data'!$C$43:$C$70),"")</f>
        <v>GEDA</v>
      </c>
      <c r="J118" s="482">
        <f>IFERROR(_xlfn.XLOOKUP(Table10[[#This Row],[Affected Feeder ]],'Basic Data'!$A$43:$A$70,'Basic Data'!$E$43:$E$70),"")</f>
        <v>3.846153846153845E-2</v>
      </c>
      <c r="K118" s="483" t="s">
        <v>1896</v>
      </c>
      <c r="L118" s="484">
        <v>0.40347222222222223</v>
      </c>
      <c r="M118" s="484">
        <v>0.40347222222222223</v>
      </c>
      <c r="N118" s="484">
        <v>0.4826388888888889</v>
      </c>
      <c r="O118" s="101">
        <f>(Table10[[#This Row],[Work Start TimeStamp]]-Table10[[#This Row],[Fault Start TimeStamp]])*24</f>
        <v>0</v>
      </c>
      <c r="P118" s="101">
        <f>IF(Table10[[#This Row],[Work Start TimeStamp]]="","",(Table10[[#This Row],[Fault Clearance time]]-Table10[[#This Row],[Work Start TimeStamp]])*24)</f>
        <v>1.9</v>
      </c>
      <c r="Q118" s="101">
        <f>(Table10[[#This Row],[Fault Clearance time]]-Table10[[#This Row],[Fault Start TimeStamp]])*24</f>
        <v>1.9</v>
      </c>
      <c r="R118" s="483" t="s">
        <v>1910</v>
      </c>
      <c r="S118" s="102" t="s">
        <v>293</v>
      </c>
      <c r="T118" s="485">
        <f>IFERROR(Table10[[#This Row],[Breakdown Time]]*Table10[[#This Row],[Plant Equivalent Weightage]],"")</f>
        <v>7.3076923076923053E-2</v>
      </c>
      <c r="U118" s="102" t="s">
        <v>450</v>
      </c>
      <c r="V118" s="547">
        <f>IFERROR(_xlfn.XLOOKUP(Table10[[#This Row],[Date]],'Daily KPI'!$A:$A,'Daily KPI'!$M:$M),"")</f>
        <v>8.4200000000000017</v>
      </c>
      <c r="W118" s="102">
        <v>1922.8</v>
      </c>
      <c r="X118" s="102">
        <f>Table10[[#This Row],[WTG Loss]]*1*Table10[[#This Row],[Breakdown Time]]</f>
        <v>3653.3199999999997</v>
      </c>
      <c r="Y118" s="102" t="s">
        <v>449</v>
      </c>
      <c r="Z118" s="102"/>
      <c r="AA118" s="102"/>
    </row>
    <row r="119" spans="1:27">
      <c r="A119" s="102">
        <f t="shared" si="2"/>
        <v>118</v>
      </c>
      <c r="B119" s="102">
        <f>YEAR(Table10[[#This Row],[Date]])+IF(MONTH(Table10[[#This Row],[Date]])&gt;=4,1,0)</f>
        <v>2026</v>
      </c>
      <c r="C119" s="102">
        <f>YEAR(Table10[[#This Row],[Date]])</f>
        <v>2025</v>
      </c>
      <c r="D119" s="102" t="s">
        <v>1992</v>
      </c>
      <c r="E119" s="469">
        <f>Table10[[#This Row],[Date]]-DAY(Table10[[#This Row],[Date]])+1</f>
        <v>45778</v>
      </c>
      <c r="F119" s="470">
        <v>45805</v>
      </c>
      <c r="G119" s="102" t="s">
        <v>99</v>
      </c>
      <c r="H119" s="102" t="str">
        <f>IFERROR(_xlfn.XLOOKUP(Table10[[#This Row],[Affected Feeder ]],'Basic Data'!$A$43:$A$70,'Basic Data'!$B$43:$B$70),"")</f>
        <v>TQGXIIPL</v>
      </c>
      <c r="I119" s="102" t="str">
        <f>IFERROR(_xlfn.XLOOKUP(Table10[[#This Row],[Affected Feeder ]],'Basic Data'!$A$43:$A$70,'Basic Data'!$C$43:$C$70),"")</f>
        <v>GEDA</v>
      </c>
      <c r="J119" s="482">
        <f>IFERROR(_xlfn.XLOOKUP(Table10[[#This Row],[Affected Feeder ]],'Basic Data'!$A$43:$A$70,'Basic Data'!$E$43:$E$70),"")</f>
        <v>3.846153846153845E-2</v>
      </c>
      <c r="K119" s="483" t="s">
        <v>1897</v>
      </c>
      <c r="L119" s="484">
        <v>0.40347222222222223</v>
      </c>
      <c r="M119" s="484">
        <v>0.40347222222222223</v>
      </c>
      <c r="N119" s="484">
        <v>0.4826388888888889</v>
      </c>
      <c r="O119" s="101">
        <f>(Table10[[#This Row],[Work Start TimeStamp]]-Table10[[#This Row],[Fault Start TimeStamp]])*24</f>
        <v>0</v>
      </c>
      <c r="P119" s="101">
        <f>IF(Table10[[#This Row],[Work Start TimeStamp]]="","",(Table10[[#This Row],[Fault Clearance time]]-Table10[[#This Row],[Work Start TimeStamp]])*24)</f>
        <v>1.9</v>
      </c>
      <c r="Q119" s="101">
        <f>(Table10[[#This Row],[Fault Clearance time]]-Table10[[#This Row],[Fault Start TimeStamp]])*24</f>
        <v>1.9</v>
      </c>
      <c r="R119" s="483" t="s">
        <v>1910</v>
      </c>
      <c r="S119" s="102" t="s">
        <v>293</v>
      </c>
      <c r="T119" s="485">
        <f>IFERROR(Table10[[#This Row],[Breakdown Time]]*Table10[[#This Row],[Plant Equivalent Weightage]],"")</f>
        <v>7.3076923076923053E-2</v>
      </c>
      <c r="U119" s="102" t="s">
        <v>450</v>
      </c>
      <c r="V119" s="547">
        <f>IFERROR(_xlfn.XLOOKUP(Table10[[#This Row],[Date]],'Daily KPI'!$A:$A,'Daily KPI'!$M:$M),"")</f>
        <v>8.4200000000000017</v>
      </c>
      <c r="W119" s="102">
        <v>1922.8</v>
      </c>
      <c r="X119" s="102">
        <f>Table10[[#This Row],[WTG Loss]]*1*Table10[[#This Row],[Breakdown Time]]</f>
        <v>3653.3199999999997</v>
      </c>
      <c r="Y119" s="102" t="s">
        <v>449</v>
      </c>
      <c r="Z119" s="102"/>
      <c r="AA119" s="102"/>
    </row>
    <row r="120" spans="1:27">
      <c r="A120" s="102">
        <f t="shared" si="2"/>
        <v>119</v>
      </c>
      <c r="B120" s="102">
        <f>YEAR(Table10[[#This Row],[Date]])+IF(MONTH(Table10[[#This Row],[Date]])&gt;=4,1,0)</f>
        <v>2026</v>
      </c>
      <c r="C120" s="102">
        <f>YEAR(Table10[[#This Row],[Date]])</f>
        <v>2025</v>
      </c>
      <c r="D120" s="102" t="s">
        <v>1992</v>
      </c>
      <c r="E120" s="469">
        <f>Table10[[#This Row],[Date]]-DAY(Table10[[#This Row],[Date]])+1</f>
        <v>45778</v>
      </c>
      <c r="F120" s="470">
        <v>45805</v>
      </c>
      <c r="G120" s="102" t="s">
        <v>81</v>
      </c>
      <c r="H120" s="102" t="str">
        <f>IFERROR(_xlfn.XLOOKUP(Table10[[#This Row],[Affected Feeder ]],'Basic Data'!$A$43:$A$70,'Basic Data'!$B$43:$B$70),"")</f>
        <v>TQGXIIPL</v>
      </c>
      <c r="I120" s="102" t="str">
        <f>IFERROR(_xlfn.XLOOKUP(Table10[[#This Row],[Affected Feeder ]],'Basic Data'!$A$43:$A$70,'Basic Data'!$C$43:$C$70),"")</f>
        <v>GEDA</v>
      </c>
      <c r="J120" s="482">
        <f>IFERROR(_xlfn.XLOOKUP(Table10[[#This Row],[Affected Feeder ]],'Basic Data'!$A$43:$A$70,'Basic Data'!$E$43:$E$70),"")</f>
        <v>3.846153846153845E-2</v>
      </c>
      <c r="K120" s="483" t="s">
        <v>1891</v>
      </c>
      <c r="L120" s="484">
        <v>0.40347222222222223</v>
      </c>
      <c r="M120" s="484">
        <v>0.40347222222222223</v>
      </c>
      <c r="N120" s="484">
        <v>0.4826388888888889</v>
      </c>
      <c r="O120" s="101">
        <f>(Table10[[#This Row],[Work Start TimeStamp]]-Table10[[#This Row],[Fault Start TimeStamp]])*24</f>
        <v>0</v>
      </c>
      <c r="P120" s="101">
        <f>IF(Table10[[#This Row],[Work Start TimeStamp]]="","",(Table10[[#This Row],[Fault Clearance time]]-Table10[[#This Row],[Work Start TimeStamp]])*24)</f>
        <v>1.9</v>
      </c>
      <c r="Q120" s="101">
        <f>(Table10[[#This Row],[Fault Clearance time]]-Table10[[#This Row],[Fault Start TimeStamp]])*24</f>
        <v>1.9</v>
      </c>
      <c r="R120" s="483" t="s">
        <v>1910</v>
      </c>
      <c r="S120" s="102" t="s">
        <v>293</v>
      </c>
      <c r="T120" s="485">
        <f>IFERROR(Table10[[#This Row],[Breakdown Time]]*Table10[[#This Row],[Plant Equivalent Weightage]],"")</f>
        <v>7.3076923076923053E-2</v>
      </c>
      <c r="U120" s="102" t="s">
        <v>450</v>
      </c>
      <c r="V120" s="547">
        <f>IFERROR(_xlfn.XLOOKUP(Table10[[#This Row],[Date]],'Daily KPI'!$A:$A,'Daily KPI'!$M:$M),"")</f>
        <v>8.4200000000000017</v>
      </c>
      <c r="W120" s="102">
        <v>1922.8</v>
      </c>
      <c r="X120" s="102">
        <f>Table10[[#This Row],[WTG Loss]]*1*Table10[[#This Row],[Breakdown Time]]</f>
        <v>3653.3199999999997</v>
      </c>
      <c r="Y120" s="102" t="s">
        <v>449</v>
      </c>
      <c r="Z120" s="102"/>
      <c r="AA120" s="102"/>
    </row>
    <row r="121" spans="1:27">
      <c r="A121" s="102">
        <f t="shared" si="2"/>
        <v>120</v>
      </c>
      <c r="B121" s="102">
        <f>YEAR(Table10[[#This Row],[Date]])+IF(MONTH(Table10[[#This Row],[Date]])&gt;=4,1,0)</f>
        <v>2026</v>
      </c>
      <c r="C121" s="102">
        <f>YEAR(Table10[[#This Row],[Date]])</f>
        <v>2025</v>
      </c>
      <c r="D121" s="102" t="s">
        <v>1992</v>
      </c>
      <c r="E121" s="469">
        <f>Table10[[#This Row],[Date]]-DAY(Table10[[#This Row],[Date]])+1</f>
        <v>45778</v>
      </c>
      <c r="F121" s="470">
        <v>45805</v>
      </c>
      <c r="G121" s="102" t="s">
        <v>78</v>
      </c>
      <c r="H121" s="102" t="str">
        <f>IFERROR(_xlfn.XLOOKUP(Table10[[#This Row],[Affected Feeder ]],'Basic Data'!$A$43:$A$70,'Basic Data'!$B$43:$B$70),"")</f>
        <v>TQGXIIPL</v>
      </c>
      <c r="I121" s="102" t="str">
        <f>IFERROR(_xlfn.XLOOKUP(Table10[[#This Row],[Affected Feeder ]],'Basic Data'!$A$43:$A$70,'Basic Data'!$C$43:$C$70),"")</f>
        <v>GEDA</v>
      </c>
      <c r="J121" s="482">
        <f>IFERROR(_xlfn.XLOOKUP(Table10[[#This Row],[Affected Feeder ]],'Basic Data'!$A$43:$A$70,'Basic Data'!$E$43:$E$70),"")</f>
        <v>3.846153846153845E-2</v>
      </c>
      <c r="K121" s="483" t="s">
        <v>1890</v>
      </c>
      <c r="L121" s="484">
        <v>0.40347222222222223</v>
      </c>
      <c r="M121" s="484">
        <v>0.40347222222222223</v>
      </c>
      <c r="N121" s="484">
        <v>0.4826388888888889</v>
      </c>
      <c r="O121" s="101">
        <f>(Table10[[#This Row],[Work Start TimeStamp]]-Table10[[#This Row],[Fault Start TimeStamp]])*24</f>
        <v>0</v>
      </c>
      <c r="P121" s="101">
        <f>IF(Table10[[#This Row],[Work Start TimeStamp]]="","",(Table10[[#This Row],[Fault Clearance time]]-Table10[[#This Row],[Work Start TimeStamp]])*24)</f>
        <v>1.9</v>
      </c>
      <c r="Q121" s="101">
        <f>(Table10[[#This Row],[Fault Clearance time]]-Table10[[#This Row],[Fault Start TimeStamp]])*24</f>
        <v>1.9</v>
      </c>
      <c r="R121" s="483" t="s">
        <v>1910</v>
      </c>
      <c r="S121" s="102" t="s">
        <v>293</v>
      </c>
      <c r="T121" s="485">
        <f>IFERROR(Table10[[#This Row],[Breakdown Time]]*Table10[[#This Row],[Plant Equivalent Weightage]],"")</f>
        <v>7.3076923076923053E-2</v>
      </c>
      <c r="U121" s="102" t="s">
        <v>450</v>
      </c>
      <c r="V121" s="547">
        <f>IFERROR(_xlfn.XLOOKUP(Table10[[#This Row],[Date]],'Daily KPI'!$A:$A,'Daily KPI'!$M:$M),"")</f>
        <v>8.4200000000000017</v>
      </c>
      <c r="W121" s="102">
        <v>1922.8</v>
      </c>
      <c r="X121" s="102">
        <f>Table10[[#This Row],[WTG Loss]]*1*Table10[[#This Row],[Breakdown Time]]</f>
        <v>3653.3199999999997</v>
      </c>
      <c r="Y121" s="102" t="s">
        <v>449</v>
      </c>
      <c r="Z121" s="102"/>
      <c r="AA121" s="102"/>
    </row>
    <row r="122" spans="1:27">
      <c r="A122" s="102">
        <f t="shared" si="2"/>
        <v>121</v>
      </c>
      <c r="B122" s="102">
        <f>YEAR(Table10[[#This Row],[Date]])+IF(MONTH(Table10[[#This Row],[Date]])&gt;=4,1,0)</f>
        <v>2026</v>
      </c>
      <c r="C122" s="102">
        <f>YEAR(Table10[[#This Row],[Date]])</f>
        <v>2025</v>
      </c>
      <c r="D122" s="102" t="s">
        <v>1992</v>
      </c>
      <c r="E122" s="469">
        <f>Table10[[#This Row],[Date]]-DAY(Table10[[#This Row],[Date]])+1</f>
        <v>45778</v>
      </c>
      <c r="F122" s="470">
        <v>45805</v>
      </c>
      <c r="G122" s="102" t="s">
        <v>75</v>
      </c>
      <c r="H122" s="102" t="str">
        <f>IFERROR(_xlfn.XLOOKUP(Table10[[#This Row],[Affected Feeder ]],'Basic Data'!$A$43:$A$70,'Basic Data'!$B$43:$B$70),"")</f>
        <v>TQGXIIPL</v>
      </c>
      <c r="I122" s="102" t="str">
        <f>IFERROR(_xlfn.XLOOKUP(Table10[[#This Row],[Affected Feeder ]],'Basic Data'!$A$43:$A$70,'Basic Data'!$C$43:$C$70),"")</f>
        <v>GEDA</v>
      </c>
      <c r="J122" s="482">
        <f>IFERROR(_xlfn.XLOOKUP(Table10[[#This Row],[Affected Feeder ]],'Basic Data'!$A$43:$A$70,'Basic Data'!$E$43:$E$70),"")</f>
        <v>3.846153846153845E-2</v>
      </c>
      <c r="K122" s="483" t="s">
        <v>1888</v>
      </c>
      <c r="L122" s="484">
        <v>0.40347222222222223</v>
      </c>
      <c r="M122" s="484">
        <v>0.40347222222222223</v>
      </c>
      <c r="N122" s="484">
        <v>0.4826388888888889</v>
      </c>
      <c r="O122" s="101">
        <f>(Table10[[#This Row],[Work Start TimeStamp]]-Table10[[#This Row],[Fault Start TimeStamp]])*24</f>
        <v>0</v>
      </c>
      <c r="P122" s="101">
        <f>IF(Table10[[#This Row],[Work Start TimeStamp]]="","",(Table10[[#This Row],[Fault Clearance time]]-Table10[[#This Row],[Work Start TimeStamp]])*24)</f>
        <v>1.9</v>
      </c>
      <c r="Q122" s="101">
        <f>(Table10[[#This Row],[Fault Clearance time]]-Table10[[#This Row],[Fault Start TimeStamp]])*24</f>
        <v>1.9</v>
      </c>
      <c r="R122" s="483" t="s">
        <v>1910</v>
      </c>
      <c r="S122" s="102" t="s">
        <v>293</v>
      </c>
      <c r="T122" s="485">
        <f>IFERROR(Table10[[#This Row],[Breakdown Time]]*Table10[[#This Row],[Plant Equivalent Weightage]],"")</f>
        <v>7.3076923076923053E-2</v>
      </c>
      <c r="U122" s="102" t="s">
        <v>450</v>
      </c>
      <c r="V122" s="547">
        <f>IFERROR(_xlfn.XLOOKUP(Table10[[#This Row],[Date]],'Daily KPI'!$A:$A,'Daily KPI'!$M:$M),"")</f>
        <v>8.4200000000000017</v>
      </c>
      <c r="W122" s="102">
        <v>1922.8</v>
      </c>
      <c r="X122" s="102">
        <f>Table10[[#This Row],[WTG Loss]]*1*Table10[[#This Row],[Breakdown Time]]</f>
        <v>3653.3199999999997</v>
      </c>
      <c r="Y122" s="102" t="s">
        <v>449</v>
      </c>
      <c r="Z122" s="102"/>
      <c r="AA122" s="102"/>
    </row>
    <row r="123" spans="1:27">
      <c r="A123" s="102">
        <f t="shared" si="2"/>
        <v>122</v>
      </c>
      <c r="B123" s="102">
        <f>YEAR(Table10[[#This Row],[Date]])+IF(MONTH(Table10[[#This Row],[Date]])&gt;=4,1,0)</f>
        <v>2026</v>
      </c>
      <c r="C123" s="102">
        <f>YEAR(Table10[[#This Row],[Date]])</f>
        <v>2025</v>
      </c>
      <c r="D123" s="102" t="s">
        <v>1992</v>
      </c>
      <c r="E123" s="469">
        <f>Table10[[#This Row],[Date]]-DAY(Table10[[#This Row],[Date]])+1</f>
        <v>45778</v>
      </c>
      <c r="F123" s="470">
        <v>45805</v>
      </c>
      <c r="G123" s="102" t="s">
        <v>451</v>
      </c>
      <c r="H123" s="102" t="str">
        <f>IFERROR(_xlfn.XLOOKUP(Table10[[#This Row],[Affected Feeder ]],'Basic Data'!$A$43:$A$70,'Basic Data'!$B$43:$B$70),"")</f>
        <v>TQGXIIPL</v>
      </c>
      <c r="I123" s="102" t="str">
        <f>IFERROR(_xlfn.XLOOKUP(Table10[[#This Row],[Affected Feeder ]],'Basic Data'!$A$43:$A$70,'Basic Data'!$C$43:$C$70),"")</f>
        <v>GEDA</v>
      </c>
      <c r="J123" s="482">
        <f>IFERROR(_xlfn.XLOOKUP(Table10[[#This Row],[Affected Feeder ]],'Basic Data'!$A$43:$A$70,'Basic Data'!$E$43:$E$70),"")</f>
        <v>0.49999999999999978</v>
      </c>
      <c r="K123" s="483" t="s">
        <v>1917</v>
      </c>
      <c r="L123" s="484">
        <v>0.53611111111111109</v>
      </c>
      <c r="M123" s="484">
        <v>0.53611111111111109</v>
      </c>
      <c r="N123" s="484">
        <v>0.71388888888888891</v>
      </c>
      <c r="O123" s="101">
        <f>(Table10[[#This Row],[Work Start TimeStamp]]-Table10[[#This Row],[Fault Start TimeStamp]])*24</f>
        <v>0</v>
      </c>
      <c r="P123" s="101">
        <f>IF(Table10[[#This Row],[Work Start TimeStamp]]="","",(Table10[[#This Row],[Fault Clearance time]]-Table10[[#This Row],[Work Start TimeStamp]])*24)</f>
        <v>4.2666666666666675</v>
      </c>
      <c r="Q123" s="101">
        <f>(Table10[[#This Row],[Fault Clearance time]]-Table10[[#This Row],[Fault Start TimeStamp]])*24</f>
        <v>4.2666666666666675</v>
      </c>
      <c r="R123" s="483" t="s">
        <v>1918</v>
      </c>
      <c r="S123" s="102" t="s">
        <v>293</v>
      </c>
      <c r="T123" s="485">
        <f>IFERROR(Table10[[#This Row],[Breakdown Time]]*Table10[[#This Row],[Plant Equivalent Weightage]],"")</f>
        <v>2.1333333333333329</v>
      </c>
      <c r="U123" s="102" t="s">
        <v>450</v>
      </c>
      <c r="V123" s="547">
        <f>IFERROR(_xlfn.XLOOKUP(Table10[[#This Row],[Date]],'Daily KPI'!$A:$A,'Daily KPI'!$M:$M),"")</f>
        <v>8.4200000000000017</v>
      </c>
      <c r="W123" s="102">
        <v>1922.8</v>
      </c>
      <c r="X123" s="102">
        <f>Table10[[#This Row],[WTG Loss]]*13*Table10[[#This Row],[Breakdown Time]]</f>
        <v>106651.30666666667</v>
      </c>
      <c r="Y123" s="102" t="s">
        <v>449</v>
      </c>
      <c r="Z123" s="102"/>
      <c r="AA123" s="102"/>
    </row>
    <row r="124" spans="1:27">
      <c r="A124" s="102">
        <f t="shared" si="2"/>
        <v>123</v>
      </c>
      <c r="B124" s="102">
        <f>YEAR(Table10[[#This Row],[Date]])+IF(MONTH(Table10[[#This Row],[Date]])&gt;=4,1,0)</f>
        <v>2026</v>
      </c>
      <c r="C124" s="102">
        <f>YEAR(Table10[[#This Row],[Date]])</f>
        <v>2025</v>
      </c>
      <c r="D124" s="102" t="s">
        <v>1992</v>
      </c>
      <c r="E124" s="469">
        <f>Table10[[#This Row],[Date]]-DAY(Table10[[#This Row],[Date]])+1</f>
        <v>45778</v>
      </c>
      <c r="F124" s="470">
        <v>45805</v>
      </c>
      <c r="G124" s="102" t="s">
        <v>81</v>
      </c>
      <c r="H124" s="102" t="str">
        <f>IFERROR(_xlfn.XLOOKUP(Table10[[#This Row],[Affected Feeder ]],'Basic Data'!$A$43:$A$70,'Basic Data'!$B$43:$B$70),"")</f>
        <v>TQGXIIPL</v>
      </c>
      <c r="I124" s="102" t="str">
        <f>IFERROR(_xlfn.XLOOKUP(Table10[[#This Row],[Affected Feeder ]],'Basic Data'!$A$43:$A$70,'Basic Data'!$C$43:$C$70),"")</f>
        <v>GEDA</v>
      </c>
      <c r="J124" s="482">
        <f>IFERROR(_xlfn.XLOOKUP(Table10[[#This Row],[Affected Feeder ]],'Basic Data'!$A$43:$A$70,'Basic Data'!$E$43:$E$70),"")</f>
        <v>3.846153846153845E-2</v>
      </c>
      <c r="K124" s="483" t="s">
        <v>1891</v>
      </c>
      <c r="L124" s="484">
        <v>0.52708333333333335</v>
      </c>
      <c r="M124" s="484">
        <v>0.52708333333333335</v>
      </c>
      <c r="N124" s="484">
        <v>0.71388888888888891</v>
      </c>
      <c r="O124" s="101">
        <f>(Table10[[#This Row],[Work Start TimeStamp]]-Table10[[#This Row],[Fault Start TimeStamp]])*24</f>
        <v>0</v>
      </c>
      <c r="P124" s="101">
        <f>IF(Table10[[#This Row],[Work Start TimeStamp]]="","",(Table10[[#This Row],[Fault Clearance time]]-Table10[[#This Row],[Work Start TimeStamp]])*24)</f>
        <v>4.4833333333333334</v>
      </c>
      <c r="Q124" s="101">
        <f>(Table10[[#This Row],[Fault Clearance time]]-Table10[[#This Row],[Fault Start TimeStamp]])*24</f>
        <v>4.4833333333333334</v>
      </c>
      <c r="R124" s="483" t="s">
        <v>1910</v>
      </c>
      <c r="S124" s="102" t="s">
        <v>293</v>
      </c>
      <c r="T124" s="485">
        <f>IFERROR(Table10[[#This Row],[Breakdown Time]]*Table10[[#This Row],[Plant Equivalent Weightage]],"")</f>
        <v>0.17243589743589738</v>
      </c>
      <c r="U124" s="102" t="s">
        <v>450</v>
      </c>
      <c r="V124" s="547">
        <f>IFERROR(_xlfn.XLOOKUP(Table10[[#This Row],[Date]],'Daily KPI'!$A:$A,'Daily KPI'!$M:$M),"")</f>
        <v>8.4200000000000017</v>
      </c>
      <c r="W124" s="102">
        <v>1922.8</v>
      </c>
      <c r="X124" s="102">
        <f>Table10[[#This Row],[WTG Loss]]*1*Table10[[#This Row],[Breakdown Time]]</f>
        <v>8620.5533333333333</v>
      </c>
      <c r="Y124" s="102" t="s">
        <v>449</v>
      </c>
      <c r="Z124" s="102"/>
      <c r="AA124" s="102"/>
    </row>
    <row r="125" spans="1:27">
      <c r="A125" s="102">
        <f t="shared" si="2"/>
        <v>124</v>
      </c>
      <c r="B125" s="102">
        <f>YEAR(Table10[[#This Row],[Date]])+IF(MONTH(Table10[[#This Row],[Date]])&gt;=4,1,0)</f>
        <v>2026</v>
      </c>
      <c r="C125" s="102">
        <f>YEAR(Table10[[#This Row],[Date]])</f>
        <v>2025</v>
      </c>
      <c r="D125" s="102" t="s">
        <v>1992</v>
      </c>
      <c r="E125" s="469">
        <f>Table10[[#This Row],[Date]]-DAY(Table10[[#This Row],[Date]])+1</f>
        <v>45778</v>
      </c>
      <c r="F125" s="470">
        <v>45805</v>
      </c>
      <c r="G125" s="102" t="s">
        <v>99</v>
      </c>
      <c r="H125" s="102" t="str">
        <f>IFERROR(_xlfn.XLOOKUP(Table10[[#This Row],[Affected Feeder ]],'Basic Data'!$A$43:$A$70,'Basic Data'!$B$43:$B$70),"")</f>
        <v>TQGXIIPL</v>
      </c>
      <c r="I125" s="102" t="str">
        <f>IFERROR(_xlfn.XLOOKUP(Table10[[#This Row],[Affected Feeder ]],'Basic Data'!$A$43:$A$70,'Basic Data'!$C$43:$C$70),"")</f>
        <v>GEDA</v>
      </c>
      <c r="J125" s="482">
        <f>IFERROR(_xlfn.XLOOKUP(Table10[[#This Row],[Affected Feeder ]],'Basic Data'!$A$43:$A$70,'Basic Data'!$E$43:$E$70),"")</f>
        <v>3.846153846153845E-2</v>
      </c>
      <c r="K125" s="483" t="s">
        <v>1897</v>
      </c>
      <c r="L125" s="484">
        <v>0.52708333333333335</v>
      </c>
      <c r="M125" s="484">
        <v>0.52708333333333335</v>
      </c>
      <c r="N125" s="484">
        <v>0.71388888888888891</v>
      </c>
      <c r="O125" s="101">
        <f>(Table10[[#This Row],[Work Start TimeStamp]]-Table10[[#This Row],[Fault Start TimeStamp]])*24</f>
        <v>0</v>
      </c>
      <c r="P125" s="101">
        <f>IF(Table10[[#This Row],[Work Start TimeStamp]]="","",(Table10[[#This Row],[Fault Clearance time]]-Table10[[#This Row],[Work Start TimeStamp]])*24)</f>
        <v>4.4833333333333334</v>
      </c>
      <c r="Q125" s="101">
        <f>(Table10[[#This Row],[Fault Clearance time]]-Table10[[#This Row],[Fault Start TimeStamp]])*24</f>
        <v>4.4833333333333334</v>
      </c>
      <c r="R125" s="483" t="s">
        <v>1910</v>
      </c>
      <c r="S125" s="102" t="s">
        <v>293</v>
      </c>
      <c r="T125" s="485">
        <f>IFERROR(Table10[[#This Row],[Breakdown Time]]*Table10[[#This Row],[Plant Equivalent Weightage]],"")</f>
        <v>0.17243589743589738</v>
      </c>
      <c r="U125" s="102" t="s">
        <v>450</v>
      </c>
      <c r="V125" s="547">
        <f>IFERROR(_xlfn.XLOOKUP(Table10[[#This Row],[Date]],'Daily KPI'!$A:$A,'Daily KPI'!$M:$M),"")</f>
        <v>8.4200000000000017</v>
      </c>
      <c r="W125" s="102">
        <v>1922.8</v>
      </c>
      <c r="X125" s="102">
        <f>Table10[[#This Row],[WTG Loss]]*1*Table10[[#This Row],[Breakdown Time]]</f>
        <v>8620.5533333333333</v>
      </c>
      <c r="Y125" s="102" t="s">
        <v>449</v>
      </c>
      <c r="Z125" s="102"/>
      <c r="AA125" s="102"/>
    </row>
    <row r="126" spans="1:27">
      <c r="A126" s="102">
        <f t="shared" si="2"/>
        <v>125</v>
      </c>
      <c r="B126" s="102">
        <f>YEAR(Table10[[#This Row],[Date]])+IF(MONTH(Table10[[#This Row],[Date]])&gt;=4,1,0)</f>
        <v>2026</v>
      </c>
      <c r="C126" s="102">
        <f>YEAR(Table10[[#This Row],[Date]])</f>
        <v>2025</v>
      </c>
      <c r="D126" s="102" t="s">
        <v>1992</v>
      </c>
      <c r="E126" s="469">
        <f>Table10[[#This Row],[Date]]-DAY(Table10[[#This Row],[Date]])+1</f>
        <v>45778</v>
      </c>
      <c r="F126" s="470">
        <v>45808</v>
      </c>
      <c r="G126" s="102" t="s">
        <v>451</v>
      </c>
      <c r="H126" s="102" t="str">
        <f>IFERROR(_xlfn.XLOOKUP(Table10[[#This Row],[Affected Feeder ]],'Basic Data'!$A$43:$A$70,'Basic Data'!$B$43:$B$70),"")</f>
        <v>TQGXIIPL</v>
      </c>
      <c r="I126" s="102" t="str">
        <f>IFERROR(_xlfn.XLOOKUP(Table10[[#This Row],[Affected Feeder ]],'Basic Data'!$A$43:$A$70,'Basic Data'!$C$43:$C$70),"")</f>
        <v>GEDA</v>
      </c>
      <c r="J126" s="482">
        <f>IFERROR(_xlfn.XLOOKUP(Table10[[#This Row],[Affected Feeder ]],'Basic Data'!$A$43:$A$70,'Basic Data'!$E$43:$E$70),"")</f>
        <v>0.49999999999999978</v>
      </c>
      <c r="K126" s="483" t="s">
        <v>1791</v>
      </c>
      <c r="L126" s="484">
        <v>0.63541666666666663</v>
      </c>
      <c r="M126" s="484">
        <v>0.63541666666666663</v>
      </c>
      <c r="N126" s="484">
        <v>0.66736111111111107</v>
      </c>
      <c r="O126" s="101">
        <f>(Table10[[#This Row],[Work Start TimeStamp]]-Table10[[#This Row],[Fault Start TimeStamp]])*24</f>
        <v>0</v>
      </c>
      <c r="P126" s="101">
        <f>IF(Table10[[#This Row],[Work Start TimeStamp]]="","",(Table10[[#This Row],[Fault Clearance time]]-Table10[[#This Row],[Work Start TimeStamp]])*24)</f>
        <v>0.76666666666666661</v>
      </c>
      <c r="Q126" s="101">
        <f>(Table10[[#This Row],[Fault Clearance time]]-Table10[[#This Row],[Fault Start TimeStamp]])*24</f>
        <v>0.76666666666666661</v>
      </c>
      <c r="R126" s="483" t="s">
        <v>1914</v>
      </c>
      <c r="S126" s="102" t="s">
        <v>293</v>
      </c>
      <c r="T126" s="485">
        <f>IFERROR(Table10[[#This Row],[Breakdown Time]]*Table10[[#This Row],[Plant Equivalent Weightage]],"")</f>
        <v>0.38333333333333314</v>
      </c>
      <c r="U126" s="102" t="s">
        <v>450</v>
      </c>
      <c r="V126" s="547">
        <f>IFERROR(_xlfn.XLOOKUP(Table10[[#This Row],[Date]],'Daily KPI'!$A:$A,'Daily KPI'!$M:$M),"")</f>
        <v>9.6238461538461557</v>
      </c>
      <c r="W126" s="102">
        <v>2472.4</v>
      </c>
      <c r="X126" s="102">
        <f>Table10[[#This Row],[WTG Loss]]*13*Table10[[#This Row],[Breakdown Time]]</f>
        <v>24641.586666666666</v>
      </c>
      <c r="Y126" s="102" t="s">
        <v>449</v>
      </c>
      <c r="Z126" s="102"/>
      <c r="AA126" s="102"/>
    </row>
    <row r="127" spans="1:27">
      <c r="A127" s="102">
        <f t="shared" si="2"/>
        <v>126</v>
      </c>
      <c r="B127" s="102">
        <f>YEAR(Table10[[#This Row],[Date]])+IF(MONTH(Table10[[#This Row],[Date]])&gt;=4,1,0)</f>
        <v>2026</v>
      </c>
      <c r="C127" s="102">
        <f>YEAR(Table10[[#This Row],[Date]])</f>
        <v>2025</v>
      </c>
      <c r="D127" s="102" t="s">
        <v>1992</v>
      </c>
      <c r="E127" s="469">
        <f>Table10[[#This Row],[Date]]-DAY(Table10[[#This Row],[Date]])+1</f>
        <v>45778</v>
      </c>
      <c r="F127" s="470">
        <v>45808</v>
      </c>
      <c r="G127" s="102" t="s">
        <v>80</v>
      </c>
      <c r="H127" s="102" t="str">
        <f>IFERROR(_xlfn.XLOOKUP(Table10[[#This Row],[Affected Feeder ]],'Basic Data'!$A$43:$A$70,'Basic Data'!$B$43:$B$70),"")</f>
        <v>TQGXIIPL</v>
      </c>
      <c r="I127" s="102" t="str">
        <f>IFERROR(_xlfn.XLOOKUP(Table10[[#This Row],[Affected Feeder ]],'Basic Data'!$A$43:$A$70,'Basic Data'!$C$43:$C$70),"")</f>
        <v>GEDA</v>
      </c>
      <c r="J127" s="482">
        <f>IFERROR(_xlfn.XLOOKUP(Table10[[#This Row],[Affected Feeder ]],'Basic Data'!$A$43:$A$70,'Basic Data'!$E$43:$E$70),"")</f>
        <v>3.846153846153845E-2</v>
      </c>
      <c r="K127" s="483" t="s">
        <v>456</v>
      </c>
      <c r="L127" s="484">
        <v>0.66736111111111107</v>
      </c>
      <c r="M127" s="484">
        <v>0.66736111111111107</v>
      </c>
      <c r="N127" s="484">
        <v>0.71458333333333335</v>
      </c>
      <c r="O127" s="101">
        <f>(Table10[[#This Row],[Work Start TimeStamp]]-Table10[[#This Row],[Fault Start TimeStamp]])*24</f>
        <v>0</v>
      </c>
      <c r="P127" s="101">
        <f>IF(Table10[[#This Row],[Work Start TimeStamp]]="","",(Table10[[#This Row],[Fault Clearance time]]-Table10[[#This Row],[Work Start TimeStamp]])*24)</f>
        <v>1.1333333333333346</v>
      </c>
      <c r="Q127" s="101">
        <f>(Table10[[#This Row],[Fault Clearance time]]-Table10[[#This Row],[Fault Start TimeStamp]])*24</f>
        <v>1.1333333333333346</v>
      </c>
      <c r="R127" s="483" t="s">
        <v>463</v>
      </c>
      <c r="S127" s="102" t="s">
        <v>293</v>
      </c>
      <c r="T127" s="485">
        <f>IFERROR(Table10[[#This Row],[Breakdown Time]]*Table10[[#This Row],[Plant Equivalent Weightage]],"")</f>
        <v>4.3589743589743629E-2</v>
      </c>
      <c r="U127" s="102" t="s">
        <v>450</v>
      </c>
      <c r="V127" s="547">
        <f>IFERROR(_xlfn.XLOOKUP(Table10[[#This Row],[Date]],'Daily KPI'!$A:$A,'Daily KPI'!$M:$M),"")</f>
        <v>9.6238461538461557</v>
      </c>
      <c r="W127" s="102">
        <v>2472.4</v>
      </c>
      <c r="X127" s="102">
        <f>Table10[[#This Row],[WTG Loss]]*1*Table10[[#This Row],[Breakdown Time]]</f>
        <v>2802.0533333333365</v>
      </c>
      <c r="Y127" s="102" t="s">
        <v>449</v>
      </c>
      <c r="Z127" s="102"/>
      <c r="AA127" s="102"/>
    </row>
    <row r="128" spans="1:27">
      <c r="A128" s="102">
        <f t="shared" si="2"/>
        <v>127</v>
      </c>
      <c r="B128" s="102">
        <f>YEAR(Table10[[#This Row],[Date]])+IF(MONTH(Table10[[#This Row],[Date]])&gt;=4,1,0)</f>
        <v>2026</v>
      </c>
      <c r="C128" s="102">
        <f>YEAR(Table10[[#This Row],[Date]])</f>
        <v>2025</v>
      </c>
      <c r="D128" s="102" t="s">
        <v>1992</v>
      </c>
      <c r="E128" s="469">
        <f>Table10[[#This Row],[Date]]-DAY(Table10[[#This Row],[Date]])+1</f>
        <v>45809</v>
      </c>
      <c r="F128" s="470">
        <v>45811</v>
      </c>
      <c r="G128" s="102" t="s">
        <v>76</v>
      </c>
      <c r="H128" s="102" t="str">
        <f>IFERROR(_xlfn.XLOOKUP(Table10[[#This Row],[Affected Feeder ]],'Basic Data'!$A$43:$A$70,'Basic Data'!$B$43:$B$70),"")</f>
        <v>TQGXIIPL</v>
      </c>
      <c r="I128" s="102" t="str">
        <f>IFERROR(_xlfn.XLOOKUP(Table10[[#This Row],[Affected Feeder ]],'Basic Data'!$A$43:$A$70,'Basic Data'!$C$43:$C$70),"")</f>
        <v>GEDA</v>
      </c>
      <c r="J128" s="482">
        <f>IFERROR(_xlfn.XLOOKUP(Table10[[#This Row],[Affected Feeder ]],'Basic Data'!$A$43:$A$70,'Basic Data'!$E$43:$E$70),"")</f>
        <v>3.846153846153845E-2</v>
      </c>
      <c r="K128" s="483" t="s">
        <v>1889</v>
      </c>
      <c r="L128" s="484">
        <v>0.77986111111111112</v>
      </c>
      <c r="M128" s="484">
        <v>0.77986111111111112</v>
      </c>
      <c r="N128" s="484">
        <v>0.79236111111111107</v>
      </c>
      <c r="O128" s="101">
        <f>(Table10[[#This Row],[Work Start TimeStamp]]-Table10[[#This Row],[Fault Start TimeStamp]])*24</f>
        <v>0</v>
      </c>
      <c r="P128" s="101">
        <f>IF(Table10[[#This Row],[Work Start TimeStamp]]="","",(Table10[[#This Row],[Fault Clearance time]]-Table10[[#This Row],[Work Start TimeStamp]])*24)</f>
        <v>0.29999999999999893</v>
      </c>
      <c r="Q128" s="101">
        <f>(Table10[[#This Row],[Fault Clearance time]]-Table10[[#This Row],[Fault Start TimeStamp]])*24</f>
        <v>0.29999999999999893</v>
      </c>
      <c r="R128" s="483" t="s">
        <v>1939</v>
      </c>
      <c r="S128" s="102" t="s">
        <v>293</v>
      </c>
      <c r="T128" s="485">
        <f>IFERROR(Table10[[#This Row],[Breakdown Time]]*Table10[[#This Row],[Plant Equivalent Weightage]],"")</f>
        <v>1.1538461538461494E-2</v>
      </c>
      <c r="U128" s="102" t="s">
        <v>450</v>
      </c>
      <c r="V128" s="547">
        <f>IFERROR(_xlfn.XLOOKUP(Table10[[#This Row],[Date]],'Daily KPI'!$A:$A,'Daily KPI'!$M:$M),"")</f>
        <v>8.4554725520298923</v>
      </c>
      <c r="W128" s="102">
        <v>1813.4</v>
      </c>
      <c r="X128" s="102">
        <f>Table10[[#This Row],[WTG Loss]]*1*Table10[[#This Row],[Breakdown Time]]</f>
        <v>544.01999999999805</v>
      </c>
      <c r="Y128" s="102" t="s">
        <v>449</v>
      </c>
      <c r="Z128" s="102"/>
      <c r="AA128" s="102"/>
    </row>
    <row r="129" spans="1:27">
      <c r="A129" s="102">
        <f t="shared" si="2"/>
        <v>128</v>
      </c>
      <c r="B129" s="102">
        <f>YEAR(Table10[[#This Row],[Date]])+IF(MONTH(Table10[[#This Row],[Date]])&gt;=4,1,0)</f>
        <v>2026</v>
      </c>
      <c r="C129" s="102">
        <f>YEAR(Table10[[#This Row],[Date]])</f>
        <v>2025</v>
      </c>
      <c r="D129" s="102" t="s">
        <v>1992</v>
      </c>
      <c r="E129" s="469">
        <f>Table10[[#This Row],[Date]]-DAY(Table10[[#This Row],[Date]])+1</f>
        <v>45809</v>
      </c>
      <c r="F129" s="470">
        <v>45822</v>
      </c>
      <c r="G129" s="102" t="s">
        <v>451</v>
      </c>
      <c r="H129" s="102" t="str">
        <f>IFERROR(_xlfn.XLOOKUP(Table10[[#This Row],[Affected Feeder ]],'Basic Data'!$A$43:$A$70,'Basic Data'!$B$43:$B$70),"")</f>
        <v>TQGXIIPL</v>
      </c>
      <c r="I129" s="102" t="str">
        <f>IFERROR(_xlfn.XLOOKUP(Table10[[#This Row],[Affected Feeder ]],'Basic Data'!$A$43:$A$70,'Basic Data'!$C$43:$C$70),"")</f>
        <v>GEDA</v>
      </c>
      <c r="J129" s="482">
        <f>IFERROR(_xlfn.XLOOKUP(Table10[[#This Row],[Affected Feeder ]],'Basic Data'!$A$43:$A$70,'Basic Data'!$E$43:$E$70),"")</f>
        <v>0.49999999999999978</v>
      </c>
      <c r="K129" s="483" t="s">
        <v>1963</v>
      </c>
      <c r="L129" s="484">
        <v>0.73402777777777772</v>
      </c>
      <c r="M129" s="484">
        <v>0.73402777777777772</v>
      </c>
      <c r="N129" s="484">
        <v>0.80069444444444449</v>
      </c>
      <c r="O129" s="101">
        <f>(Table10[[#This Row],[Work Start TimeStamp]]-Table10[[#This Row],[Fault Start TimeStamp]])*24</f>
        <v>0</v>
      </c>
      <c r="P129" s="101">
        <f>IF(Table10[[#This Row],[Work Start TimeStamp]]="","",(Table10[[#This Row],[Fault Clearance time]]-Table10[[#This Row],[Work Start TimeStamp]])*24)</f>
        <v>1.6000000000000023</v>
      </c>
      <c r="Q129" s="101">
        <f>(Table10[[#This Row],[Fault Clearance time]]-Table10[[#This Row],[Fault Start TimeStamp]])*24</f>
        <v>1.6000000000000023</v>
      </c>
      <c r="R129" s="483" t="s">
        <v>1964</v>
      </c>
      <c r="S129" s="102" t="s">
        <v>293</v>
      </c>
      <c r="T129" s="485">
        <f>IFERROR(Table10[[#This Row],[Breakdown Time]]*Table10[[#This Row],[Plant Equivalent Weightage]],"")</f>
        <v>0.80000000000000082</v>
      </c>
      <c r="U129" s="102" t="s">
        <v>450</v>
      </c>
      <c r="V129" s="547">
        <f>IFERROR(_xlfn.XLOOKUP(Table10[[#This Row],[Date]],'Daily KPI'!$A:$A,'Daily KPI'!$M:$M),"")</f>
        <v>5.4571030507578548</v>
      </c>
      <c r="W129" s="102">
        <v>564.5</v>
      </c>
      <c r="X129" s="102">
        <f>Table10[[#This Row],[WTG Loss]]*13*Table10[[#This Row],[Breakdown Time]]</f>
        <v>11741.600000000017</v>
      </c>
      <c r="Y129" s="102" t="s">
        <v>449</v>
      </c>
      <c r="Z129" s="102"/>
      <c r="AA129" s="102"/>
    </row>
    <row r="130" spans="1:27">
      <c r="A130" s="102">
        <f t="shared" si="2"/>
        <v>129</v>
      </c>
      <c r="B130" s="102">
        <f>YEAR(Table10[[#This Row],[Date]])+IF(MONTH(Table10[[#This Row],[Date]])&gt;=4,1,0)</f>
        <v>2026</v>
      </c>
      <c r="C130" s="102">
        <f>YEAR(Table10[[#This Row],[Date]])</f>
        <v>2025</v>
      </c>
      <c r="D130" s="102" t="s">
        <v>1992</v>
      </c>
      <c r="E130" s="469">
        <f>Table10[[#This Row],[Date]]-DAY(Table10[[#This Row],[Date]])+1</f>
        <v>45809</v>
      </c>
      <c r="F130" s="470">
        <v>45822</v>
      </c>
      <c r="G130" s="102" t="s">
        <v>451</v>
      </c>
      <c r="H130" s="102" t="str">
        <f>IFERROR(_xlfn.XLOOKUP(Table10[[#This Row],[Affected Feeder ]],'Basic Data'!$A$43:$A$70,'Basic Data'!$B$43:$B$70),"")</f>
        <v>TQGXIIPL</v>
      </c>
      <c r="I130" s="102" t="str">
        <f>IFERROR(_xlfn.XLOOKUP(Table10[[#This Row],[Affected Feeder ]],'Basic Data'!$A$43:$A$70,'Basic Data'!$C$43:$C$70),"")</f>
        <v>GEDA</v>
      </c>
      <c r="J130" s="482">
        <f>IFERROR(_xlfn.XLOOKUP(Table10[[#This Row],[Affected Feeder ]],'Basic Data'!$A$43:$A$70,'Basic Data'!$E$43:$E$70),"")</f>
        <v>0.49999999999999978</v>
      </c>
      <c r="K130" s="483" t="s">
        <v>1791</v>
      </c>
      <c r="L130" s="484">
        <v>0.83263888888888893</v>
      </c>
      <c r="M130" s="484">
        <v>0.83263888888888893</v>
      </c>
      <c r="N130" s="484">
        <v>0.84027777777777779</v>
      </c>
      <c r="O130" s="101">
        <f>(Table10[[#This Row],[Work Start TimeStamp]]-Table10[[#This Row],[Fault Start TimeStamp]])*24</f>
        <v>0</v>
      </c>
      <c r="P130" s="101">
        <f>IF(Table10[[#This Row],[Work Start TimeStamp]]="","",(Table10[[#This Row],[Fault Clearance time]]-Table10[[#This Row],[Work Start TimeStamp]])*24)</f>
        <v>0.18333333333333268</v>
      </c>
      <c r="Q130" s="101">
        <f>(Table10[[#This Row],[Fault Clearance time]]-Table10[[#This Row],[Fault Start TimeStamp]])*24</f>
        <v>0.18333333333333268</v>
      </c>
      <c r="R130" s="483" t="s">
        <v>1965</v>
      </c>
      <c r="S130" s="102" t="s">
        <v>293</v>
      </c>
      <c r="T130" s="485">
        <f>IFERROR(Table10[[#This Row],[Breakdown Time]]*Table10[[#This Row],[Plant Equivalent Weightage]],"")</f>
        <v>9.1666666666666299E-2</v>
      </c>
      <c r="U130" s="102" t="s">
        <v>450</v>
      </c>
      <c r="V130" s="547">
        <f>IFERROR(_xlfn.XLOOKUP(Table10[[#This Row],[Date]],'Daily KPI'!$A:$A,'Daily KPI'!$M:$M),"")</f>
        <v>5.4571030507578548</v>
      </c>
      <c r="W130" s="102">
        <v>564.5</v>
      </c>
      <c r="X130" s="102">
        <f>Table10[[#This Row],[WTG Loss]]*13*Table10[[#This Row],[Breakdown Time]]</f>
        <v>1345.3916666666619</v>
      </c>
      <c r="Y130" s="102" t="s">
        <v>449</v>
      </c>
      <c r="Z130" s="102"/>
      <c r="AA130" s="102"/>
    </row>
    <row r="131" spans="1:27">
      <c r="A131" s="102">
        <f t="shared" si="2"/>
        <v>130</v>
      </c>
      <c r="B131" s="102">
        <f>YEAR(Table10[[#This Row],[Date]])+IF(MONTH(Table10[[#This Row],[Date]])&gt;=4,1,0)</f>
        <v>2026</v>
      </c>
      <c r="C131" s="102">
        <f>YEAR(Table10[[#This Row],[Date]])</f>
        <v>2025</v>
      </c>
      <c r="D131" s="102" t="s">
        <v>1992</v>
      </c>
      <c r="E131" s="469">
        <f>Table10[[#This Row],[Date]]-DAY(Table10[[#This Row],[Date]])+1</f>
        <v>45809</v>
      </c>
      <c r="F131" s="470">
        <v>45824</v>
      </c>
      <c r="G131" s="102" t="s">
        <v>451</v>
      </c>
      <c r="H131" s="102" t="str">
        <f>IFERROR(_xlfn.XLOOKUP(Table10[[#This Row],[Affected Feeder ]],'Basic Data'!$A$43:$A$70,'Basic Data'!$B$43:$B$70),"")</f>
        <v>TQGXIIPL</v>
      </c>
      <c r="I131" s="102" t="str">
        <f>IFERROR(_xlfn.XLOOKUP(Table10[[#This Row],[Affected Feeder ]],'Basic Data'!$A$43:$A$70,'Basic Data'!$C$43:$C$70),"")</f>
        <v>GEDA</v>
      </c>
      <c r="J131" s="482">
        <f>IFERROR(_xlfn.XLOOKUP(Table10[[#This Row],[Affected Feeder ]],'Basic Data'!$A$43:$A$70,'Basic Data'!$E$43:$E$70),"")</f>
        <v>0.49999999999999978</v>
      </c>
      <c r="K131" s="483" t="s">
        <v>1963</v>
      </c>
      <c r="L131" s="484">
        <v>0.3298611111111111</v>
      </c>
      <c r="M131" s="484">
        <v>0.3298611111111111</v>
      </c>
      <c r="N131" s="484">
        <v>0.33958333333333335</v>
      </c>
      <c r="O131" s="101">
        <f>(Table10[[#This Row],[Work Start TimeStamp]]-Table10[[#This Row],[Fault Start TimeStamp]])*24</f>
        <v>0</v>
      </c>
      <c r="P131" s="101">
        <f>IF(Table10[[#This Row],[Work Start TimeStamp]]="","",(Table10[[#This Row],[Fault Clearance time]]-Table10[[#This Row],[Work Start TimeStamp]])*24)</f>
        <v>0.23333333333333384</v>
      </c>
      <c r="Q131" s="101">
        <f>(Table10[[#This Row],[Fault Clearance time]]-Table10[[#This Row],[Fault Start TimeStamp]])*24</f>
        <v>0.23333333333333384</v>
      </c>
      <c r="R131" s="483" t="s">
        <v>1975</v>
      </c>
      <c r="S131" s="102" t="s">
        <v>293</v>
      </c>
      <c r="T131" s="485">
        <f>IFERROR(Table10[[#This Row],[Breakdown Time]]*Table10[[#This Row],[Plant Equivalent Weightage]],"")</f>
        <v>0.11666666666666686</v>
      </c>
      <c r="U131" s="102" t="s">
        <v>450</v>
      </c>
      <c r="V131" s="547">
        <f>IFERROR(_xlfn.XLOOKUP(Table10[[#This Row],[Date]],'Daily KPI'!$A:$A,'Daily KPI'!$M:$M),"")</f>
        <v>8.2050000000000001</v>
      </c>
      <c r="W131" s="102">
        <v>1813.4</v>
      </c>
      <c r="X131" s="102">
        <f>Table10[[#This Row],[WTG Loss]]*13*Table10[[#This Row],[Breakdown Time]]</f>
        <v>5500.6466666666784</v>
      </c>
      <c r="Y131" s="102" t="s">
        <v>449</v>
      </c>
      <c r="Z131" s="102"/>
      <c r="AA131" s="102"/>
    </row>
    <row r="132" spans="1:27">
      <c r="A132" s="102">
        <f t="shared" si="2"/>
        <v>131</v>
      </c>
      <c r="B132" s="102">
        <f>YEAR(Table10[[#This Row],[Date]])+IF(MONTH(Table10[[#This Row],[Date]])&gt;=4,1,0)</f>
        <v>2026</v>
      </c>
      <c r="C132" s="102">
        <f>YEAR(Table10[[#This Row],[Date]])</f>
        <v>2025</v>
      </c>
      <c r="D132" s="102" t="s">
        <v>1992</v>
      </c>
      <c r="E132" s="469">
        <f>Table10[[#This Row],[Date]]-DAY(Table10[[#This Row],[Date]])+1</f>
        <v>45809</v>
      </c>
      <c r="F132" s="470">
        <v>45824</v>
      </c>
      <c r="G132" s="102" t="s">
        <v>451</v>
      </c>
      <c r="H132" s="102" t="str">
        <f>IFERROR(_xlfn.XLOOKUP(Table10[[#This Row],[Affected Feeder ]],'Basic Data'!$A$43:$A$70,'Basic Data'!$B$43:$B$70),"")</f>
        <v>TQGXIIPL</v>
      </c>
      <c r="I132" s="102" t="str">
        <f>IFERROR(_xlfn.XLOOKUP(Table10[[#This Row],[Affected Feeder ]],'Basic Data'!$A$43:$A$70,'Basic Data'!$C$43:$C$70),"")</f>
        <v>GEDA</v>
      </c>
      <c r="J132" s="482">
        <f>IFERROR(_xlfn.XLOOKUP(Table10[[#This Row],[Affected Feeder ]],'Basic Data'!$A$43:$A$70,'Basic Data'!$E$43:$E$70),"")</f>
        <v>0.49999999999999978</v>
      </c>
      <c r="K132" s="483" t="s">
        <v>1963</v>
      </c>
      <c r="L132" s="484">
        <v>0.56597222222222221</v>
      </c>
      <c r="M132" s="484">
        <v>0.56597222222222221</v>
      </c>
      <c r="N132" s="484">
        <v>0.6</v>
      </c>
      <c r="O132" s="101">
        <f>(Table10[[#This Row],[Work Start TimeStamp]]-Table10[[#This Row],[Fault Start TimeStamp]])*24</f>
        <v>0</v>
      </c>
      <c r="P132" s="101">
        <f>IF(Table10[[#This Row],[Work Start TimeStamp]]="","",(Table10[[#This Row],[Fault Clearance time]]-Table10[[#This Row],[Work Start TimeStamp]])*24)</f>
        <v>0.81666666666666643</v>
      </c>
      <c r="Q132" s="101">
        <f>(Table10[[#This Row],[Fault Clearance time]]-Table10[[#This Row],[Fault Start TimeStamp]])*24</f>
        <v>0.81666666666666643</v>
      </c>
      <c r="R132" s="483" t="s">
        <v>1975</v>
      </c>
      <c r="S132" s="102" t="s">
        <v>293</v>
      </c>
      <c r="T132" s="485">
        <f>IFERROR(Table10[[#This Row],[Breakdown Time]]*Table10[[#This Row],[Plant Equivalent Weightage]],"")</f>
        <v>0.40833333333333305</v>
      </c>
      <c r="U132" s="102" t="s">
        <v>450</v>
      </c>
      <c r="V132" s="547">
        <f>IFERROR(_xlfn.XLOOKUP(Table10[[#This Row],[Date]],'Daily KPI'!$A:$A,'Daily KPI'!$M:$M),"")</f>
        <v>8.2050000000000001</v>
      </c>
      <c r="W132" s="102">
        <v>1813.4</v>
      </c>
      <c r="X132" s="102">
        <f>Table10[[#This Row],[WTG Loss]]*13*Table10[[#This Row],[Breakdown Time]]</f>
        <v>19252.263333333329</v>
      </c>
      <c r="Y132" s="102" t="s">
        <v>449</v>
      </c>
      <c r="Z132" s="102"/>
      <c r="AA132" s="102"/>
    </row>
    <row r="133" spans="1:27">
      <c r="A133" s="102">
        <f t="shared" si="2"/>
        <v>132</v>
      </c>
      <c r="B133" s="102">
        <f>YEAR(Table10[[#This Row],[Date]])+IF(MONTH(Table10[[#This Row],[Date]])&gt;=4,1,0)</f>
        <v>2026</v>
      </c>
      <c r="C133" s="102">
        <f>YEAR(Table10[[#This Row],[Date]])</f>
        <v>2025</v>
      </c>
      <c r="D133" s="102" t="s">
        <v>1992</v>
      </c>
      <c r="E133" s="469">
        <f>Table10[[#This Row],[Date]]-DAY(Table10[[#This Row],[Date]])+1</f>
        <v>45809</v>
      </c>
      <c r="F133" s="470">
        <v>45824</v>
      </c>
      <c r="G133" s="102" t="s">
        <v>451</v>
      </c>
      <c r="H133" s="102" t="str">
        <f>IFERROR(_xlfn.XLOOKUP(Table10[[#This Row],[Affected Feeder ]],'Basic Data'!$A$43:$A$70,'Basic Data'!$B$43:$B$70),"")</f>
        <v>TQGXIIPL</v>
      </c>
      <c r="I133" s="102" t="str">
        <f>IFERROR(_xlfn.XLOOKUP(Table10[[#This Row],[Affected Feeder ]],'Basic Data'!$A$43:$A$70,'Basic Data'!$C$43:$C$70),"")</f>
        <v>GEDA</v>
      </c>
      <c r="J133" s="482">
        <f>IFERROR(_xlfn.XLOOKUP(Table10[[#This Row],[Affected Feeder ]],'Basic Data'!$A$43:$A$70,'Basic Data'!$E$43:$E$70),"")</f>
        <v>0.49999999999999978</v>
      </c>
      <c r="K133" s="483" t="s">
        <v>1963</v>
      </c>
      <c r="L133" s="484">
        <v>0.79652777777777772</v>
      </c>
      <c r="M133" s="484">
        <v>0.79652777777777772</v>
      </c>
      <c r="N133" s="484">
        <v>0.81874999999999998</v>
      </c>
      <c r="O133" s="101">
        <f>(Table10[[#This Row],[Work Start TimeStamp]]-Table10[[#This Row],[Fault Start TimeStamp]])*24</f>
        <v>0</v>
      </c>
      <c r="P133" s="101">
        <f>IF(Table10[[#This Row],[Work Start TimeStamp]]="","",(Table10[[#This Row],[Fault Clearance time]]-Table10[[#This Row],[Work Start TimeStamp]])*24)</f>
        <v>0.5333333333333341</v>
      </c>
      <c r="Q133" s="101">
        <f>(Table10[[#This Row],[Fault Clearance time]]-Table10[[#This Row],[Fault Start TimeStamp]])*24</f>
        <v>0.5333333333333341</v>
      </c>
      <c r="R133" s="483" t="s">
        <v>1975</v>
      </c>
      <c r="S133" s="102" t="s">
        <v>293</v>
      </c>
      <c r="T133" s="485">
        <f>IFERROR(Table10[[#This Row],[Breakdown Time]]*Table10[[#This Row],[Plant Equivalent Weightage]],"")</f>
        <v>0.26666666666666694</v>
      </c>
      <c r="U133" s="102" t="s">
        <v>450</v>
      </c>
      <c r="V133" s="547">
        <f>IFERROR(_xlfn.XLOOKUP(Table10[[#This Row],[Date]],'Daily KPI'!$A:$A,'Daily KPI'!$M:$M),"")</f>
        <v>8.2050000000000001</v>
      </c>
      <c r="W133" s="102">
        <v>1813.4</v>
      </c>
      <c r="X133" s="102">
        <f>Table10[[#This Row],[WTG Loss]]*13*Table10[[#This Row],[Breakdown Time]]</f>
        <v>12572.906666666686</v>
      </c>
      <c r="Y133" s="102" t="s">
        <v>449</v>
      </c>
      <c r="Z133" s="102"/>
      <c r="AA133" s="102"/>
    </row>
    <row r="134" spans="1:27">
      <c r="A134" s="102">
        <f t="shared" si="2"/>
        <v>133</v>
      </c>
      <c r="B134" s="102">
        <f>YEAR(Table10[[#This Row],[Date]])+IF(MONTH(Table10[[#This Row],[Date]])&gt;=4,1,0)</f>
        <v>2026</v>
      </c>
      <c r="C134" s="102">
        <f>YEAR(Table10[[#This Row],[Date]])</f>
        <v>2025</v>
      </c>
      <c r="D134" s="102" t="s">
        <v>1992</v>
      </c>
      <c r="E134" s="469">
        <f>Table10[[#This Row],[Date]]-DAY(Table10[[#This Row],[Date]])+1</f>
        <v>45809</v>
      </c>
      <c r="F134" s="470">
        <v>45824</v>
      </c>
      <c r="G134" s="102" t="s">
        <v>451</v>
      </c>
      <c r="H134" s="102" t="str">
        <f>IFERROR(_xlfn.XLOOKUP(Table10[[#This Row],[Affected Feeder ]],'Basic Data'!$A$43:$A$70,'Basic Data'!$B$43:$B$70),"")</f>
        <v>TQGXIIPL</v>
      </c>
      <c r="I134" s="102" t="str">
        <f>IFERROR(_xlfn.XLOOKUP(Table10[[#This Row],[Affected Feeder ]],'Basic Data'!$A$43:$A$70,'Basic Data'!$C$43:$C$70),"")</f>
        <v>GEDA</v>
      </c>
      <c r="J134" s="482">
        <f>IFERROR(_xlfn.XLOOKUP(Table10[[#This Row],[Affected Feeder ]],'Basic Data'!$A$43:$A$70,'Basic Data'!$E$43:$E$70),"")</f>
        <v>0.49999999999999978</v>
      </c>
      <c r="K134" s="483" t="s">
        <v>1963</v>
      </c>
      <c r="L134" s="484">
        <v>0.85416666666666663</v>
      </c>
      <c r="M134" s="484">
        <v>0.85416666666666663</v>
      </c>
      <c r="N134" s="484">
        <v>0.8881944444444444</v>
      </c>
      <c r="O134" s="101">
        <f>(Table10[[#This Row],[Work Start TimeStamp]]-Table10[[#This Row],[Fault Start TimeStamp]])*24</f>
        <v>0</v>
      </c>
      <c r="P134" s="101">
        <f>IF(Table10[[#This Row],[Work Start TimeStamp]]="","",(Table10[[#This Row],[Fault Clearance time]]-Table10[[#This Row],[Work Start TimeStamp]])*24)</f>
        <v>0.81666666666666643</v>
      </c>
      <c r="Q134" s="101">
        <f>(Table10[[#This Row],[Fault Clearance time]]-Table10[[#This Row],[Fault Start TimeStamp]])*24</f>
        <v>0.81666666666666643</v>
      </c>
      <c r="R134" s="483" t="s">
        <v>1976</v>
      </c>
      <c r="S134" s="102" t="s">
        <v>293</v>
      </c>
      <c r="T134" s="485">
        <f>IFERROR(Table10[[#This Row],[Breakdown Time]]*Table10[[#This Row],[Plant Equivalent Weightage]],"")</f>
        <v>0.40833333333333305</v>
      </c>
      <c r="U134" s="102" t="s">
        <v>450</v>
      </c>
      <c r="V134" s="547">
        <f>IFERROR(_xlfn.XLOOKUP(Table10[[#This Row],[Date]],'Daily KPI'!$A:$A,'Daily KPI'!$M:$M),"")</f>
        <v>8.2050000000000001</v>
      </c>
      <c r="W134" s="102">
        <v>1813.4</v>
      </c>
      <c r="X134" s="102">
        <f>Table10[[#This Row],[WTG Loss]]*13*Table10[[#This Row],[Breakdown Time]]</f>
        <v>19252.263333333329</v>
      </c>
      <c r="Y134" s="102" t="s">
        <v>449</v>
      </c>
      <c r="Z134" s="102"/>
      <c r="AA134" s="102"/>
    </row>
    <row r="135" spans="1:27">
      <c r="A135" s="102">
        <f t="shared" si="2"/>
        <v>134</v>
      </c>
      <c r="B135" s="102">
        <f>YEAR(Table10[[#This Row],[Date]])+IF(MONTH(Table10[[#This Row],[Date]])&gt;=4,1,0)</f>
        <v>2026</v>
      </c>
      <c r="C135" s="102">
        <f>YEAR(Table10[[#This Row],[Date]])</f>
        <v>2025</v>
      </c>
      <c r="D135" s="102" t="s">
        <v>1992</v>
      </c>
      <c r="E135" s="469">
        <f>Table10[[#This Row],[Date]]-DAY(Table10[[#This Row],[Date]])+1</f>
        <v>45809</v>
      </c>
      <c r="F135" s="470">
        <v>45824</v>
      </c>
      <c r="G135" s="102" t="s">
        <v>81</v>
      </c>
      <c r="H135" s="102" t="str">
        <f>IFERROR(_xlfn.XLOOKUP(Table10[[#This Row],[Affected Feeder ]],'Basic Data'!$A$43:$A$70,'Basic Data'!$B$43:$B$70),"")</f>
        <v>TQGXIIPL</v>
      </c>
      <c r="I135" s="102" t="str">
        <f>IFERROR(_xlfn.XLOOKUP(Table10[[#This Row],[Affected Feeder ]],'Basic Data'!$A$43:$A$70,'Basic Data'!$C$43:$C$70),"")</f>
        <v>GEDA</v>
      </c>
      <c r="J135" s="482">
        <f>IFERROR(_xlfn.XLOOKUP(Table10[[#This Row],[Affected Feeder ]],'Basic Data'!$A$43:$A$70,'Basic Data'!$E$43:$E$70),"")</f>
        <v>3.846153846153845E-2</v>
      </c>
      <c r="K135" s="483" t="s">
        <v>464</v>
      </c>
      <c r="L135" s="484">
        <v>0.6</v>
      </c>
      <c r="M135" s="484">
        <v>0.6</v>
      </c>
      <c r="N135" s="484">
        <v>0.61944444444444446</v>
      </c>
      <c r="O135" s="101">
        <f>(Table10[[#This Row],[Work Start TimeStamp]]-Table10[[#This Row],[Fault Start TimeStamp]])*24</f>
        <v>0</v>
      </c>
      <c r="P135" s="101">
        <f>IF(Table10[[#This Row],[Work Start TimeStamp]]="","",(Table10[[#This Row],[Fault Clearance time]]-Table10[[#This Row],[Work Start TimeStamp]])*24)</f>
        <v>0.46666666666666767</v>
      </c>
      <c r="Q135" s="101">
        <f>(Table10[[#This Row],[Fault Clearance time]]-Table10[[#This Row],[Fault Start TimeStamp]])*24</f>
        <v>0.46666666666666767</v>
      </c>
      <c r="R135" s="483" t="s">
        <v>1977</v>
      </c>
      <c r="S135" s="102" t="s">
        <v>293</v>
      </c>
      <c r="T135" s="485">
        <f>IFERROR(Table10[[#This Row],[Breakdown Time]]*Table10[[#This Row],[Plant Equivalent Weightage]],"")</f>
        <v>1.7948717948717982E-2</v>
      </c>
      <c r="U135" s="102" t="s">
        <v>450</v>
      </c>
      <c r="V135" s="547">
        <f>IFERROR(_xlfn.XLOOKUP(Table10[[#This Row],[Date]],'Daily KPI'!$A:$A,'Daily KPI'!$M:$M),"")</f>
        <v>8.2050000000000001</v>
      </c>
      <c r="W135" s="102">
        <v>1813.4</v>
      </c>
      <c r="X135" s="102">
        <f>Table10[[#This Row],[WTG Loss]]*1*Table10[[#This Row],[Breakdown Time]]</f>
        <v>846.25333333333515</v>
      </c>
      <c r="Y135" s="102" t="s">
        <v>449</v>
      </c>
      <c r="Z135" s="102"/>
      <c r="AA135" s="102"/>
    </row>
    <row r="136" spans="1:27">
      <c r="A136" s="102">
        <f t="shared" si="2"/>
        <v>135</v>
      </c>
      <c r="B136" s="102">
        <f>YEAR(Table10[[#This Row],[Date]])+IF(MONTH(Table10[[#This Row],[Date]])&gt;=4,1,0)</f>
        <v>2026</v>
      </c>
      <c r="C136" s="102">
        <f>YEAR(Table10[[#This Row],[Date]])</f>
        <v>2025</v>
      </c>
      <c r="D136" s="102" t="s">
        <v>1992</v>
      </c>
      <c r="E136" s="469">
        <f>Table10[[#This Row],[Date]]-DAY(Table10[[#This Row],[Date]])+1</f>
        <v>45809</v>
      </c>
      <c r="F136" s="470">
        <v>45824</v>
      </c>
      <c r="G136" s="102" t="s">
        <v>99</v>
      </c>
      <c r="H136" s="102" t="str">
        <f>IFERROR(_xlfn.XLOOKUP(Table10[[#This Row],[Affected Feeder ]],'Basic Data'!$A$43:$A$70,'Basic Data'!$B$43:$B$70),"")</f>
        <v>TQGXIIPL</v>
      </c>
      <c r="I136" s="102" t="str">
        <f>IFERROR(_xlfn.XLOOKUP(Table10[[#This Row],[Affected Feeder ]],'Basic Data'!$A$43:$A$70,'Basic Data'!$C$43:$C$70),"")</f>
        <v>GEDA</v>
      </c>
      <c r="J136" s="482">
        <f>IFERROR(_xlfn.XLOOKUP(Table10[[#This Row],[Affected Feeder ]],'Basic Data'!$A$43:$A$70,'Basic Data'!$E$43:$E$70),"")</f>
        <v>3.846153846153845E-2</v>
      </c>
      <c r="K136" s="483" t="s">
        <v>1974</v>
      </c>
      <c r="L136" s="484">
        <v>0.8881944444444444</v>
      </c>
      <c r="M136" s="484">
        <v>0.8881944444444444</v>
      </c>
      <c r="N136" s="484">
        <v>0.92291666666666672</v>
      </c>
      <c r="O136" s="101">
        <f>(Table10[[#This Row],[Work Start TimeStamp]]-Table10[[#This Row],[Fault Start TimeStamp]])*24</f>
        <v>0</v>
      </c>
      <c r="P136" s="101">
        <f>IF(Table10[[#This Row],[Work Start TimeStamp]]="","",(Table10[[#This Row],[Fault Clearance time]]-Table10[[#This Row],[Work Start TimeStamp]])*24)</f>
        <v>0.8333333333333357</v>
      </c>
      <c r="Q136" s="101">
        <f>(Table10[[#This Row],[Fault Clearance time]]-Table10[[#This Row],[Fault Start TimeStamp]])*24</f>
        <v>0.8333333333333357</v>
      </c>
      <c r="R136" s="483" t="s">
        <v>1977</v>
      </c>
      <c r="S136" s="102" t="s">
        <v>293</v>
      </c>
      <c r="T136" s="485">
        <f>IFERROR(Table10[[#This Row],[Breakdown Time]]*Table10[[#This Row],[Plant Equivalent Weightage]],"")</f>
        <v>3.2051282051282132E-2</v>
      </c>
      <c r="U136" s="102" t="s">
        <v>450</v>
      </c>
      <c r="V136" s="547">
        <f>IFERROR(_xlfn.XLOOKUP(Table10[[#This Row],[Date]],'Daily KPI'!$A:$A,'Daily KPI'!$M:$M),"")</f>
        <v>8.2050000000000001</v>
      </c>
      <c r="W136" s="102">
        <v>1813.4</v>
      </c>
      <c r="X136" s="102">
        <f>Table10[[#This Row],[WTG Loss]]*1*Table10[[#This Row],[Breakdown Time]]</f>
        <v>1511.1666666666711</v>
      </c>
      <c r="Y136" s="102" t="s">
        <v>449</v>
      </c>
      <c r="Z136" s="102"/>
      <c r="AA136" s="102"/>
    </row>
    <row r="137" spans="1:27">
      <c r="A137" s="102">
        <f t="shared" si="2"/>
        <v>136</v>
      </c>
      <c r="B137" s="102">
        <f>YEAR(Table10[[#This Row],[Date]])+IF(MONTH(Table10[[#This Row],[Date]])&gt;=4,1,0)</f>
        <v>2026</v>
      </c>
      <c r="C137" s="102">
        <f>YEAR(Table10[[#This Row],[Date]])</f>
        <v>2025</v>
      </c>
      <c r="D137" s="102" t="s">
        <v>1992</v>
      </c>
      <c r="E137" s="469">
        <f>Table10[[#This Row],[Date]]-DAY(Table10[[#This Row],[Date]])+1</f>
        <v>45809</v>
      </c>
      <c r="F137" s="470">
        <v>45828</v>
      </c>
      <c r="G137" s="102" t="s">
        <v>447</v>
      </c>
      <c r="H137" s="102" t="str">
        <f>IFERROR(_xlfn.XLOOKUP(Table10[[#This Row],[Affected Feeder ]],'Basic Data'!$A$43:$A$70,'Basic Data'!$B$43:$B$70),"")</f>
        <v>TQGXIIPL</v>
      </c>
      <c r="I137" s="102" t="str">
        <f>IFERROR(_xlfn.XLOOKUP(Table10[[#This Row],[Affected Feeder ]],'Basic Data'!$A$43:$A$70,'Basic Data'!$C$43:$C$70),"")</f>
        <v>GEDA</v>
      </c>
      <c r="J137" s="482">
        <f>IFERROR(_xlfn.XLOOKUP(Table10[[#This Row],[Affected Feeder ]],'Basic Data'!$A$43:$A$70,'Basic Data'!$E$43:$E$70),"")</f>
        <v>0.49999999999999978</v>
      </c>
      <c r="K137" s="483" t="s">
        <v>2025</v>
      </c>
      <c r="L137" s="484">
        <v>0.5131944444444444</v>
      </c>
      <c r="M137" s="484">
        <v>0.5131944444444444</v>
      </c>
      <c r="N137" s="484">
        <v>0.82638888888888884</v>
      </c>
      <c r="O137" s="101">
        <f>(Table10[[#This Row],[Work Start TimeStamp]]-Table10[[#This Row],[Fault Start TimeStamp]])*24</f>
        <v>0</v>
      </c>
      <c r="P137" s="101">
        <f>IF(Table10[[#This Row],[Work Start TimeStamp]]="","",(Table10[[#This Row],[Fault Clearance time]]-Table10[[#This Row],[Work Start TimeStamp]])*24)</f>
        <v>7.5166666666666666</v>
      </c>
      <c r="Q137" s="544">
        <f>(Table10[[#This Row],[Fault Clearance time]]-Table10[[#This Row],[Fault Start TimeStamp]])*24</f>
        <v>7.5166666666666666</v>
      </c>
      <c r="R137" s="483" t="s">
        <v>2027</v>
      </c>
      <c r="S137" s="102" t="s">
        <v>293</v>
      </c>
      <c r="T137" s="485">
        <f>IFERROR(Table10[[#This Row],[Breakdown Time]]*Table10[[#This Row],[Plant Equivalent Weightage]],"")</f>
        <v>3.7583333333333315</v>
      </c>
      <c r="U137" s="102" t="s">
        <v>448</v>
      </c>
      <c r="V137" s="547">
        <f>IFERROR(_xlfn.XLOOKUP(Table10[[#This Row],[Date]],'Daily KPI'!$A:$A,'Daily KPI'!$M:$M),"")</f>
        <v>8.8839391657087781</v>
      </c>
      <c r="W137" s="102">
        <v>2196</v>
      </c>
      <c r="X137" s="102">
        <f>Table10[[#This Row],[WTG Loss]]*13*Table10[[#This Row],[Breakdown Time]]</f>
        <v>214585.8</v>
      </c>
      <c r="Y137" s="102" t="s">
        <v>449</v>
      </c>
      <c r="Z137" s="102"/>
      <c r="AA137" s="102"/>
    </row>
    <row r="138" spans="1:27">
      <c r="A138" s="102">
        <f t="shared" si="2"/>
        <v>137</v>
      </c>
      <c r="B138" s="102">
        <f>YEAR(Table10[[#This Row],[Date]])+IF(MONTH(Table10[[#This Row],[Date]])&gt;=4,1,0)</f>
        <v>2026</v>
      </c>
      <c r="C138" s="102">
        <f>YEAR(Table10[[#This Row],[Date]])</f>
        <v>2025</v>
      </c>
      <c r="D138" s="102" t="s">
        <v>1992</v>
      </c>
      <c r="E138" s="469">
        <f>Table10[[#This Row],[Date]]-DAY(Table10[[#This Row],[Date]])+1</f>
        <v>45809</v>
      </c>
      <c r="F138" s="470">
        <v>45828</v>
      </c>
      <c r="G138" s="102" t="s">
        <v>80</v>
      </c>
      <c r="H138" s="102" t="str">
        <f>IFERROR(_xlfn.XLOOKUP(Table10[[#This Row],[Affected Feeder ]],'Basic Data'!$A$43:$A$70,'Basic Data'!$B$43:$B$70),"")</f>
        <v>TQGXIIPL</v>
      </c>
      <c r="I138" s="102" t="str">
        <f>IFERROR(_xlfn.XLOOKUP(Table10[[#This Row],[Affected Feeder ]],'Basic Data'!$A$43:$A$70,'Basic Data'!$C$43:$C$70),"")</f>
        <v>GEDA</v>
      </c>
      <c r="J138" s="482">
        <f>IFERROR(_xlfn.XLOOKUP(Table10[[#This Row],[Affected Feeder ]],'Basic Data'!$A$43:$A$70,'Basic Data'!$E$43:$E$70),"")</f>
        <v>3.846153846153845E-2</v>
      </c>
      <c r="K138" s="483" t="s">
        <v>456</v>
      </c>
      <c r="L138" s="484">
        <v>0.82638888888888884</v>
      </c>
      <c r="M138" s="484">
        <v>0.82638888888888884</v>
      </c>
      <c r="N138" s="484">
        <v>0.86041666666666672</v>
      </c>
      <c r="O138" s="101">
        <f>(Table10[[#This Row],[Work Start TimeStamp]]-Table10[[#This Row],[Fault Start TimeStamp]])*24</f>
        <v>0</v>
      </c>
      <c r="P138" s="101">
        <f>IF(Table10[[#This Row],[Work Start TimeStamp]]="","",(Table10[[#This Row],[Fault Clearance time]]-Table10[[#This Row],[Work Start TimeStamp]])*24)</f>
        <v>0.81666666666666909</v>
      </c>
      <c r="Q138" s="544">
        <f>(Table10[[#This Row],[Fault Clearance time]]-Table10[[#This Row],[Fault Start TimeStamp]])*24</f>
        <v>0.81666666666666909</v>
      </c>
      <c r="R138" s="483" t="s">
        <v>1977</v>
      </c>
      <c r="S138" s="102" t="s">
        <v>293</v>
      </c>
      <c r="T138" s="485">
        <f>IFERROR(Table10[[#This Row],[Breakdown Time]]*Table10[[#This Row],[Plant Equivalent Weightage]],"")</f>
        <v>3.1410256410256493E-2</v>
      </c>
      <c r="U138" s="102" t="s">
        <v>448</v>
      </c>
      <c r="V138" s="547">
        <f>IFERROR(_xlfn.XLOOKUP(Table10[[#This Row],[Date]],'Daily KPI'!$A:$A,'Daily KPI'!$M:$M),"")</f>
        <v>8.8839391657087781</v>
      </c>
      <c r="W138" s="102">
        <v>2196</v>
      </c>
      <c r="X138" s="102">
        <f>Table10[[#This Row],[WTG Loss]]*1*Table10[[#This Row],[Breakdown Time]]</f>
        <v>1793.4000000000053</v>
      </c>
      <c r="Y138" s="102" t="s">
        <v>449</v>
      </c>
      <c r="Z138" s="102"/>
      <c r="AA138" s="102"/>
    </row>
    <row r="139" spans="1:27">
      <c r="A139" s="102">
        <f t="shared" si="2"/>
        <v>138</v>
      </c>
      <c r="B139" s="102">
        <f>YEAR(Table10[[#This Row],[Date]])+IF(MONTH(Table10[[#This Row],[Date]])&gt;=4,1,0)</f>
        <v>2026</v>
      </c>
      <c r="C139" s="102">
        <f>YEAR(Table10[[#This Row],[Date]])</f>
        <v>2025</v>
      </c>
      <c r="D139" s="102" t="s">
        <v>1992</v>
      </c>
      <c r="E139" s="469">
        <f>Table10[[#This Row],[Date]]-DAY(Table10[[#This Row],[Date]])+1</f>
        <v>45809</v>
      </c>
      <c r="F139" s="470">
        <v>45828</v>
      </c>
      <c r="G139" s="102" t="s">
        <v>99</v>
      </c>
      <c r="H139" s="102" t="str">
        <f>IFERROR(_xlfn.XLOOKUP(Table10[[#This Row],[Affected Feeder ]],'Basic Data'!$A$43:$A$70,'Basic Data'!$B$43:$B$70),"")</f>
        <v>TQGXIIPL</v>
      </c>
      <c r="I139" s="102" t="str">
        <f>IFERROR(_xlfn.XLOOKUP(Table10[[#This Row],[Affected Feeder ]],'Basic Data'!$A$43:$A$70,'Basic Data'!$C$43:$C$70),"")</f>
        <v>GEDA</v>
      </c>
      <c r="J139" s="482">
        <f>IFERROR(_xlfn.XLOOKUP(Table10[[#This Row],[Affected Feeder ]],'Basic Data'!$A$43:$A$70,'Basic Data'!$E$43:$E$70),"")</f>
        <v>3.846153846153845E-2</v>
      </c>
      <c r="K139" s="483" t="s">
        <v>2026</v>
      </c>
      <c r="L139" s="484">
        <v>0.82638888888888884</v>
      </c>
      <c r="M139" s="484">
        <v>0.87569444444444444</v>
      </c>
      <c r="N139" s="484">
        <v>0.87569444444444444</v>
      </c>
      <c r="O139" s="101">
        <f>(Table10[[#This Row],[Work Start TimeStamp]]-Table10[[#This Row],[Fault Start TimeStamp]])*24</f>
        <v>1.1833333333333345</v>
      </c>
      <c r="P139" s="101">
        <f>IF(Table10[[#This Row],[Work Start TimeStamp]]="","",(Table10[[#This Row],[Fault Clearance time]]-Table10[[#This Row],[Work Start TimeStamp]])*24)</f>
        <v>0</v>
      </c>
      <c r="Q139" s="544">
        <f>(Table10[[#This Row],[Fault Clearance time]]-Table10[[#This Row],[Fault Start TimeStamp]])*24</f>
        <v>1.1833333333333345</v>
      </c>
      <c r="R139" s="483" t="s">
        <v>1977</v>
      </c>
      <c r="S139" s="102" t="s">
        <v>293</v>
      </c>
      <c r="T139" s="485">
        <f>IFERROR(Table10[[#This Row],[Breakdown Time]]*Table10[[#This Row],[Plant Equivalent Weightage]],"")</f>
        <v>4.5512820512820545E-2</v>
      </c>
      <c r="U139" s="102" t="s">
        <v>448</v>
      </c>
      <c r="V139" s="547">
        <f>IFERROR(_xlfn.XLOOKUP(Table10[[#This Row],[Date]],'Daily KPI'!$A:$A,'Daily KPI'!$M:$M),"")</f>
        <v>8.8839391657087781</v>
      </c>
      <c r="W139" s="102">
        <v>2196</v>
      </c>
      <c r="X139" s="102">
        <f>Table10[[#This Row],[WTG Loss]]*1*Table10[[#This Row],[Breakdown Time]]</f>
        <v>2598.6000000000026</v>
      </c>
      <c r="Y139" s="102" t="s">
        <v>449</v>
      </c>
      <c r="Z139" s="102"/>
      <c r="AA139" s="102"/>
    </row>
    <row r="140" spans="1:27">
      <c r="A140" s="102">
        <f t="shared" si="2"/>
        <v>139</v>
      </c>
      <c r="B140" s="102">
        <f>YEAR(Table10[[#This Row],[Date]])+IF(MONTH(Table10[[#This Row],[Date]])&gt;=4,1,0)</f>
        <v>2026</v>
      </c>
      <c r="C140" s="102">
        <f>YEAR(Table10[[#This Row],[Date]])</f>
        <v>2025</v>
      </c>
      <c r="D140" s="102" t="s">
        <v>1992</v>
      </c>
      <c r="E140" s="469">
        <f>Table10[[#This Row],[Date]]-DAY(Table10[[#This Row],[Date]])+1</f>
        <v>45839</v>
      </c>
      <c r="F140" s="470">
        <v>45839</v>
      </c>
      <c r="G140" s="102" t="s">
        <v>447</v>
      </c>
      <c r="H140" s="102" t="str">
        <f>IFERROR(_xlfn.XLOOKUP(Table10[[#This Row],[Affected Feeder ]],'Basic Data'!$A$43:$A$70,'Basic Data'!$B$43:$B$70),"")</f>
        <v>TQGXIIPL</v>
      </c>
      <c r="I140" s="102" t="str">
        <f>IFERROR(_xlfn.XLOOKUP(Table10[[#This Row],[Affected Feeder ]],'Basic Data'!$A$43:$A$70,'Basic Data'!$C$43:$C$70),"")</f>
        <v>GEDA</v>
      </c>
      <c r="J140" s="482">
        <f>IFERROR(_xlfn.XLOOKUP(Table10[[#This Row],[Affected Feeder ]],'Basic Data'!$A$43:$A$70,'Basic Data'!$E$43:$E$70),"")</f>
        <v>0.49999999999999978</v>
      </c>
      <c r="K140" s="483" t="s">
        <v>2022</v>
      </c>
      <c r="L140" s="484">
        <v>0.54861111111111116</v>
      </c>
      <c r="M140" s="484">
        <v>0.54861111111111116</v>
      </c>
      <c r="N140" s="484">
        <v>0.55763888888888891</v>
      </c>
      <c r="O140" s="101">
        <f>(Table10[[#This Row],[Work Start TimeStamp]]-Table10[[#This Row],[Fault Start TimeStamp]])*24</f>
        <v>0</v>
      </c>
      <c r="P140" s="101">
        <f>IF(Table10[[#This Row],[Work Start TimeStamp]]="","",(Table10[[#This Row],[Fault Clearance time]]-Table10[[#This Row],[Work Start TimeStamp]])*24)</f>
        <v>0.2166666666666659</v>
      </c>
      <c r="Q140" s="544">
        <f>(Table10[[#This Row],[Fault Clearance time]]-Table10[[#This Row],[Fault Start TimeStamp]])*24</f>
        <v>0.2166666666666659</v>
      </c>
      <c r="R140" s="483" t="s">
        <v>2023</v>
      </c>
      <c r="S140" s="102" t="s">
        <v>293</v>
      </c>
      <c r="T140" s="485">
        <f>IFERROR(Table10[[#This Row],[Breakdown Time]]*Table10[[#This Row],[Plant Equivalent Weightage]],"")</f>
        <v>0.10833333333333291</v>
      </c>
      <c r="U140" s="102" t="s">
        <v>448</v>
      </c>
      <c r="V140" s="547">
        <f>IFERROR(_xlfn.XLOOKUP(Table10[[#This Row],[Date]],'Daily KPI'!$A:$A,'Daily KPI'!$M:$M),"")</f>
        <v>7.6018168858153654</v>
      </c>
      <c r="W140" s="102">
        <v>1490</v>
      </c>
      <c r="X140" s="102">
        <f>Table10[[#This Row],[WTG Loss]]*13*Table10[[#This Row],[Breakdown Time]]</f>
        <v>4196.8333333333185</v>
      </c>
      <c r="Y140" s="102" t="s">
        <v>449</v>
      </c>
      <c r="Z140" s="102"/>
      <c r="AA140" s="102"/>
    </row>
    <row r="141" spans="1:27">
      <c r="A141" s="102">
        <v>140</v>
      </c>
      <c r="B141" s="102">
        <f>YEAR(Table10[[#This Row],[Date]])+IF(MONTH(Table10[[#This Row],[Date]])&gt;=4,1,0)</f>
        <v>2026</v>
      </c>
      <c r="C141" s="102">
        <f>YEAR(Table10[[#This Row],[Date]])</f>
        <v>2025</v>
      </c>
      <c r="D141" s="102" t="s">
        <v>1992</v>
      </c>
      <c r="E141" s="469">
        <f>Table10[[#This Row],[Date]]-DAY(Table10[[#This Row],[Date]])+1</f>
        <v>45839</v>
      </c>
      <c r="F141" s="470">
        <v>45840</v>
      </c>
      <c r="G141" s="102" t="s">
        <v>451</v>
      </c>
      <c r="H141" s="102" t="str">
        <f>IFERROR(_xlfn.XLOOKUP(Table10[[#This Row],[Affected Feeder ]],'Basic Data'!$A$43:$A$70,'Basic Data'!$B$43:$B$70),"")</f>
        <v>TQGXIIPL</v>
      </c>
      <c r="I141" s="102" t="str">
        <f>IFERROR(_xlfn.XLOOKUP(Table10[[#This Row],[Affected Feeder ]],'Basic Data'!$A$43:$A$70,'Basic Data'!$C$43:$C$70),"")</f>
        <v>GEDA</v>
      </c>
      <c r="J141" s="550">
        <f>IFERROR(_xlfn.XLOOKUP(Table10[[#This Row],[Affected Feeder ]],'Basic Data'!$A$43:$A$70,'Basic Data'!$E$43:$E$70),"")</f>
        <v>0.49999999999999978</v>
      </c>
      <c r="K141" s="483" t="s">
        <v>2032</v>
      </c>
      <c r="L141" s="484">
        <v>0.74583333333333335</v>
      </c>
      <c r="M141" s="484">
        <v>0.74583333333333335</v>
      </c>
      <c r="N141" s="484">
        <v>0.75555555555555554</v>
      </c>
      <c r="O141" s="551">
        <f>(Table10[[#This Row],[Work Start TimeStamp]]-Table10[[#This Row],[Fault Start TimeStamp]])*24</f>
        <v>0</v>
      </c>
      <c r="P141" s="551">
        <f>IF(Table10[[#This Row],[Work Start TimeStamp]]="","",(Table10[[#This Row],[Fault Clearance time]]-Table10[[#This Row],[Work Start TimeStamp]])*24)</f>
        <v>0.2333333333333325</v>
      </c>
      <c r="Q141" s="552">
        <f>(Table10[[#This Row],[Fault Clearance time]]-Table10[[#This Row],[Fault Start TimeStamp]])*24</f>
        <v>0.2333333333333325</v>
      </c>
      <c r="R141" s="483" t="s">
        <v>2033</v>
      </c>
      <c r="S141" s="102" t="s">
        <v>293</v>
      </c>
      <c r="T141" s="485">
        <f>IFERROR(Table10[[#This Row],[Breakdown Time]]*Table10[[#This Row],[Plant Equivalent Weightage]],"")</f>
        <v>0.1166666666666662</v>
      </c>
      <c r="U141" s="102" t="s">
        <v>448</v>
      </c>
      <c r="V141" s="547">
        <f>IFERROR(_xlfn.XLOOKUP(Table10[[#This Row],[Date]],'Daily KPI'!$A:$A,'Daily KPI'!$M:$M),"")</f>
        <v>7.2251072211121912</v>
      </c>
      <c r="W141" s="102">
        <v>1276</v>
      </c>
      <c r="X141" s="102">
        <f>Table10[[#This Row],[WTG Loss]]*13*Table10[[#This Row],[Breakdown Time]]</f>
        <v>3870.5333333333197</v>
      </c>
      <c r="Y141" s="102" t="s">
        <v>449</v>
      </c>
      <c r="Z141" s="102"/>
      <c r="AA141" s="102"/>
    </row>
    <row r="142" spans="1:27">
      <c r="A142" s="102">
        <v>141</v>
      </c>
      <c r="B142" s="102">
        <f>YEAR(Table10[[#This Row],[Date]])+IF(MONTH(Table10[[#This Row],[Date]])&gt;=4,1,0)</f>
        <v>2026</v>
      </c>
      <c r="C142" s="102">
        <f>YEAR(Table10[[#This Row],[Date]])</f>
        <v>2025</v>
      </c>
      <c r="D142" s="102" t="s">
        <v>1992</v>
      </c>
      <c r="E142" s="469">
        <f>Table10[[#This Row],[Date]]-DAY(Table10[[#This Row],[Date]])+1</f>
        <v>45839</v>
      </c>
      <c r="F142" s="470">
        <v>45840</v>
      </c>
      <c r="G142" s="102" t="s">
        <v>81</v>
      </c>
      <c r="H142" s="102" t="str">
        <f>IFERROR(_xlfn.XLOOKUP(Table10[[#This Row],[Affected Feeder ]],'Basic Data'!$A$43:$A$70,'Basic Data'!$B$43:$B$70),"")</f>
        <v>TQGXIIPL</v>
      </c>
      <c r="I142" s="102" t="str">
        <f>IFERROR(_xlfn.XLOOKUP(Table10[[#This Row],[Affected Feeder ]],'Basic Data'!$A$43:$A$70,'Basic Data'!$C$43:$C$70),"")</f>
        <v>GEDA</v>
      </c>
      <c r="J142" s="550">
        <f>IFERROR(_xlfn.XLOOKUP(Table10[[#This Row],[Affected Feeder ]],'Basic Data'!$A$43:$A$70,'Basic Data'!$E$43:$E$70),"")</f>
        <v>3.846153846153845E-2</v>
      </c>
      <c r="K142" s="483" t="s">
        <v>464</v>
      </c>
      <c r="L142" s="484">
        <v>0.53194444444444444</v>
      </c>
      <c r="M142" s="484">
        <v>0.53194444444444444</v>
      </c>
      <c r="N142" s="484">
        <v>0.5541666666666667</v>
      </c>
      <c r="O142" s="551">
        <f>(Table10[[#This Row],[Work Start TimeStamp]]-Table10[[#This Row],[Fault Start TimeStamp]])*24</f>
        <v>0</v>
      </c>
      <c r="P142" s="551">
        <f>IF(Table10[[#This Row],[Work Start TimeStamp]]="","",(Table10[[#This Row],[Fault Clearance time]]-Table10[[#This Row],[Work Start TimeStamp]])*24)</f>
        <v>0.5333333333333341</v>
      </c>
      <c r="Q142" s="552">
        <f>(Table10[[#This Row],[Fault Clearance time]]-Table10[[#This Row],[Fault Start TimeStamp]])*24</f>
        <v>0.5333333333333341</v>
      </c>
      <c r="R142" s="483" t="s">
        <v>2034</v>
      </c>
      <c r="S142" s="102" t="s">
        <v>293</v>
      </c>
      <c r="T142" s="485">
        <f>IFERROR(Table10[[#This Row],[Breakdown Time]]*Table10[[#This Row],[Plant Equivalent Weightage]],"")</f>
        <v>2.0512820512820537E-2</v>
      </c>
      <c r="U142" s="102" t="s">
        <v>448</v>
      </c>
      <c r="V142" s="547">
        <f>IFERROR(_xlfn.XLOOKUP(Table10[[#This Row],[Date]],'Daily KPI'!$A:$A,'Daily KPI'!$M:$M),"")</f>
        <v>7.2251072211121912</v>
      </c>
      <c r="W142" s="102">
        <v>1276</v>
      </c>
      <c r="X142" s="102">
        <f>Table10[[#This Row],[WTG Loss]]*1*Table10[[#This Row],[Breakdown Time]]</f>
        <v>680.53333333333433</v>
      </c>
      <c r="Y142" s="102" t="s">
        <v>449</v>
      </c>
      <c r="Z142" s="102"/>
      <c r="AA142" s="102"/>
    </row>
    <row r="143" spans="1:27">
      <c r="A143" s="102">
        <v>142</v>
      </c>
      <c r="B143" s="102">
        <f>YEAR(Table10[[#This Row],[Date]])+IF(MONTH(Table10[[#This Row],[Date]])&gt;=4,1,0)</f>
        <v>2026</v>
      </c>
      <c r="C143" s="102">
        <f>YEAR(Table10[[#This Row],[Date]])</f>
        <v>2025</v>
      </c>
      <c r="D143" s="102" t="s">
        <v>1992</v>
      </c>
      <c r="E143" s="469">
        <f>Table10[[#This Row],[Date]]-DAY(Table10[[#This Row],[Date]])+1</f>
        <v>45839</v>
      </c>
      <c r="F143" s="470">
        <v>45844</v>
      </c>
      <c r="G143" s="102" t="s">
        <v>99</v>
      </c>
      <c r="H143" s="102" t="str">
        <f>IFERROR(_xlfn.XLOOKUP(Table10[[#This Row],[Affected Feeder ]],'Basic Data'!$A$43:$A$70,'Basic Data'!$B$43:$B$70),"")</f>
        <v>TQGXIIPL</v>
      </c>
      <c r="I143" s="102" t="str">
        <f>IFERROR(_xlfn.XLOOKUP(Table10[[#This Row],[Affected Feeder ]],'Basic Data'!$A$43:$A$70,'Basic Data'!$C$43:$C$70),"")</f>
        <v>GEDA</v>
      </c>
      <c r="J143" s="550">
        <f>IFERROR(_xlfn.XLOOKUP(Table10[[#This Row],[Affected Feeder ]],'Basic Data'!$A$43:$A$70,'Basic Data'!$E$43:$E$70),"")</f>
        <v>3.846153846153845E-2</v>
      </c>
      <c r="K143" s="483" t="s">
        <v>1974</v>
      </c>
      <c r="L143" s="484">
        <v>0.80625000000000002</v>
      </c>
      <c r="M143" s="484">
        <v>0.80625000000000002</v>
      </c>
      <c r="N143" s="484">
        <v>0.84791666666666665</v>
      </c>
      <c r="O143" s="551">
        <f>(Table10[[#This Row],[Work Start TimeStamp]]-Table10[[#This Row],[Fault Start TimeStamp]])*24</f>
        <v>0</v>
      </c>
      <c r="P143" s="551">
        <f>IF(Table10[[#This Row],[Work Start TimeStamp]]="","",(Table10[[#This Row],[Fault Clearance time]]-Table10[[#This Row],[Work Start TimeStamp]])*24)</f>
        <v>0.99999999999999911</v>
      </c>
      <c r="Q143" s="552">
        <f>(Table10[[#This Row],[Fault Clearance time]]-Table10[[#This Row],[Fault Start TimeStamp]])*24</f>
        <v>0.99999999999999911</v>
      </c>
      <c r="R143" s="483" t="s">
        <v>2034</v>
      </c>
      <c r="S143" s="102" t="s">
        <v>293</v>
      </c>
      <c r="T143" s="485">
        <f>IFERROR(Table10[[#This Row],[Breakdown Time]]*Table10[[#This Row],[Plant Equivalent Weightage]],"")</f>
        <v>3.8461538461538415E-2</v>
      </c>
      <c r="U143" s="102" t="s">
        <v>448</v>
      </c>
      <c r="V143" s="547">
        <v>7.7</v>
      </c>
      <c r="W143" s="102">
        <v>1543.5</v>
      </c>
      <c r="X143" s="102">
        <f>Table10[[#This Row],[WTG Loss]]*1*Table10[[#This Row],[Breakdown Time]]</f>
        <v>1543.4999999999986</v>
      </c>
      <c r="Y143" s="102" t="s">
        <v>449</v>
      </c>
      <c r="Z143" s="102"/>
      <c r="AA143" s="102"/>
    </row>
    <row r="144" spans="1:27">
      <c r="A144" s="102">
        <v>143</v>
      </c>
      <c r="B144" s="102">
        <f>YEAR(Table10[[#This Row],[Date]])+IF(MONTH(Table10[[#This Row],[Date]])&gt;=4,1,0)</f>
        <v>2026</v>
      </c>
      <c r="C144" s="102">
        <f>YEAR(Table10[[#This Row],[Date]])</f>
        <v>2025</v>
      </c>
      <c r="D144" s="102" t="s">
        <v>1992</v>
      </c>
      <c r="E144" s="469">
        <f>Table10[[#This Row],[Date]]-DAY(Table10[[#This Row],[Date]])+1</f>
        <v>45839</v>
      </c>
      <c r="F144" s="470">
        <v>45844</v>
      </c>
      <c r="G144" s="102" t="s">
        <v>451</v>
      </c>
      <c r="H144" s="102" t="str">
        <f>IFERROR(_xlfn.XLOOKUP(Table10[[#This Row],[Affected Feeder ]],'Basic Data'!$A$43:$A$70,'Basic Data'!$B$43:$B$70),"")</f>
        <v>TQGXIIPL</v>
      </c>
      <c r="I144" s="102" t="str">
        <f>IFERROR(_xlfn.XLOOKUP(Table10[[#This Row],[Affected Feeder ]],'Basic Data'!$A$43:$A$70,'Basic Data'!$C$43:$C$70),"")</f>
        <v>GEDA</v>
      </c>
      <c r="J144" s="550">
        <f>IFERROR(_xlfn.XLOOKUP(Table10[[#This Row],[Affected Feeder ]],'Basic Data'!$A$43:$A$70,'Basic Data'!$E$43:$E$70),"")</f>
        <v>0.49999999999999978</v>
      </c>
      <c r="K144" s="483" t="s">
        <v>1963</v>
      </c>
      <c r="L144" s="484">
        <v>0.78472222222222221</v>
      </c>
      <c r="M144" s="484">
        <v>0.78472222222222221</v>
      </c>
      <c r="N144" s="484">
        <v>0.80625000000000002</v>
      </c>
      <c r="O144" s="551">
        <f>(Table10[[#This Row],[Work Start TimeStamp]]-Table10[[#This Row],[Fault Start TimeStamp]])*24</f>
        <v>0</v>
      </c>
      <c r="P144" s="551">
        <f>IF(Table10[[#This Row],[Work Start TimeStamp]]="","",(Table10[[#This Row],[Fault Clearance time]]-Table10[[#This Row],[Work Start TimeStamp]])*24)</f>
        <v>0.5166666666666675</v>
      </c>
      <c r="Q144" s="552">
        <f>(Table10[[#This Row],[Fault Clearance time]]-Table10[[#This Row],[Fault Start TimeStamp]])*24</f>
        <v>0.5166666666666675</v>
      </c>
      <c r="R144" s="483" t="s">
        <v>1975</v>
      </c>
      <c r="S144" s="102" t="s">
        <v>293</v>
      </c>
      <c r="T144" s="485">
        <f>IFERROR(Table10[[#This Row],[Breakdown Time]]*Table10[[#This Row],[Plant Equivalent Weightage]],"")</f>
        <v>0.25833333333333364</v>
      </c>
      <c r="U144" s="102" t="s">
        <v>448</v>
      </c>
      <c r="V144" s="547">
        <v>7.7</v>
      </c>
      <c r="W144" s="102">
        <v>1543.5</v>
      </c>
      <c r="X144" s="102">
        <f>Table10[[#This Row],[WTG Loss]]*13*Table10[[#This Row],[Breakdown Time]]</f>
        <v>10367.175000000017</v>
      </c>
      <c r="Y144" s="102" t="s">
        <v>449</v>
      </c>
      <c r="Z144" s="102"/>
      <c r="AA144" s="102"/>
    </row>
    <row r="145" spans="1:27">
      <c r="A145" s="102">
        <v>144</v>
      </c>
      <c r="B145" s="102">
        <f>YEAR(Table10[[#This Row],[Date]])+IF(MONTH(Table10[[#This Row],[Date]])&gt;=4,1,0)</f>
        <v>2026</v>
      </c>
      <c r="C145" s="102">
        <f>YEAR(Table10[[#This Row],[Date]])</f>
        <v>2025</v>
      </c>
      <c r="D145" s="102" t="s">
        <v>1992</v>
      </c>
      <c r="E145" s="469">
        <f>Table10[[#This Row],[Date]]-DAY(Table10[[#This Row],[Date]])+1</f>
        <v>45839</v>
      </c>
      <c r="F145" s="470">
        <v>45845</v>
      </c>
      <c r="G145" s="102" t="s">
        <v>447</v>
      </c>
      <c r="H145" s="102" t="str">
        <f>IFERROR(_xlfn.XLOOKUP(Table10[[#This Row],[Affected Feeder ]],'Basic Data'!$A$43:$A$70,'Basic Data'!$B$43:$B$70),"")</f>
        <v>TQGXIIPL</v>
      </c>
      <c r="I145" s="102" t="str">
        <f>IFERROR(_xlfn.XLOOKUP(Table10[[#This Row],[Affected Feeder ]],'Basic Data'!$A$43:$A$70,'Basic Data'!$C$43:$C$70),"")</f>
        <v>GEDA</v>
      </c>
      <c r="J145" s="550">
        <f>IFERROR(_xlfn.XLOOKUP(Table10[[#This Row],[Affected Feeder ]],'Basic Data'!$A$43:$A$70,'Basic Data'!$E$43:$E$70),"")</f>
        <v>0.49999999999999978</v>
      </c>
      <c r="K145" s="483" t="s">
        <v>1903</v>
      </c>
      <c r="L145" s="484">
        <v>0.71319444444444446</v>
      </c>
      <c r="M145" s="484">
        <v>0.71319444444444446</v>
      </c>
      <c r="N145" s="484">
        <v>0.7319444444444444</v>
      </c>
      <c r="O145" s="101">
        <f>(Table10[[#This Row],[Work Start TimeStamp]]-Table10[[#This Row],[Fault Start TimeStamp]])*24</f>
        <v>0</v>
      </c>
      <c r="P145" s="101">
        <f>IF(Table10[[#This Row],[Work Start TimeStamp]]="","",(Table10[[#This Row],[Fault Clearance time]]-Table10[[#This Row],[Work Start TimeStamp]])*24)</f>
        <v>0.4499999999999984</v>
      </c>
      <c r="Q145" s="544">
        <f>(Table10[[#This Row],[Fault Clearance time]]-Table10[[#This Row],[Fault Start TimeStamp]])*24</f>
        <v>0.4499999999999984</v>
      </c>
      <c r="R145" s="483" t="s">
        <v>2053</v>
      </c>
      <c r="S145" s="102" t="s">
        <v>293</v>
      </c>
      <c r="T145" s="485">
        <f>IFERROR(Table10[[#This Row],[Breakdown Time]]*Table10[[#This Row],[Plant Equivalent Weightage]],"")</f>
        <v>0.22499999999999909</v>
      </c>
      <c r="U145" s="102" t="s">
        <v>448</v>
      </c>
      <c r="V145" s="547">
        <f>IFERROR(_xlfn.XLOOKUP(Table10[[#This Row],[Date]],'Daily KPI'!$A:$A,'Daily KPI'!$M:$M),"")</f>
        <v>7.7634439343385679</v>
      </c>
      <c r="W145" s="102">
        <v>1597</v>
      </c>
      <c r="X145" s="102">
        <f>Table10[[#This Row],[WTG Loss]]*13*Table10[[#This Row],[Breakdown Time]]</f>
        <v>9342.4499999999662</v>
      </c>
      <c r="Y145" s="102" t="s">
        <v>449</v>
      </c>
      <c r="Z145" s="102"/>
      <c r="AA145" s="102"/>
    </row>
    <row r="146" spans="1:27">
      <c r="A146" s="102">
        <v>145</v>
      </c>
      <c r="B146" s="102">
        <f>YEAR(Table10[[#This Row],[Date]])+IF(MONTH(Table10[[#This Row],[Date]])&gt;=4,1,0)</f>
        <v>2026</v>
      </c>
      <c r="C146" s="102">
        <f>YEAR(Table10[[#This Row],[Date]])</f>
        <v>2025</v>
      </c>
      <c r="D146" s="102" t="s">
        <v>1992</v>
      </c>
      <c r="E146" s="469">
        <f>Table10[[#This Row],[Date]]-DAY(Table10[[#This Row],[Date]])+1</f>
        <v>45839</v>
      </c>
      <c r="F146" s="470">
        <v>45850</v>
      </c>
      <c r="G146" s="102" t="s">
        <v>447</v>
      </c>
      <c r="H146" s="102" t="str">
        <f>IFERROR(_xlfn.XLOOKUP(Table10[[#This Row],[Affected Feeder ]],'Basic Data'!$A$43:$A$70,'Basic Data'!$B$43:$B$70),"")</f>
        <v>TQGXIIPL</v>
      </c>
      <c r="I146" s="102" t="str">
        <f>IFERROR(_xlfn.XLOOKUP(Table10[[#This Row],[Affected Feeder ]],'Basic Data'!$A$43:$A$70,'Basic Data'!$C$43:$C$70),"")</f>
        <v>GEDA</v>
      </c>
      <c r="J146" s="550">
        <f>IFERROR(_xlfn.XLOOKUP(Table10[[#This Row],[Affected Feeder ]],'Basic Data'!$A$43:$A$70,'Basic Data'!$E$43:$E$70),"")</f>
        <v>0.49999999999999978</v>
      </c>
      <c r="K146" s="483" t="s">
        <v>2073</v>
      </c>
      <c r="L146" s="484">
        <v>0.98888888888888893</v>
      </c>
      <c r="M146" s="484">
        <v>0.98888888888888893</v>
      </c>
      <c r="N146" s="484">
        <v>0.99375000000000002</v>
      </c>
      <c r="O146" s="101">
        <f>(Table10[[#This Row],[Work Start TimeStamp]]-Table10[[#This Row],[Fault Start TimeStamp]])*24</f>
        <v>0</v>
      </c>
      <c r="P146" s="101">
        <f>IF(Table10[[#This Row],[Work Start TimeStamp]]="","",(Table10[[#This Row],[Fault Clearance time]]-Table10[[#This Row],[Work Start TimeStamp]])*24)</f>
        <v>0.11666666666666625</v>
      </c>
      <c r="Q146" s="544">
        <f>(Table10[[#This Row],[Fault Clearance time]]-Table10[[#This Row],[Fault Start TimeStamp]])*24</f>
        <v>0.11666666666666625</v>
      </c>
      <c r="R146" s="483" t="s">
        <v>2065</v>
      </c>
      <c r="S146" s="102" t="s">
        <v>293</v>
      </c>
      <c r="T146" s="485">
        <f>IFERROR(Table10[[#This Row],[Breakdown Time]]*Table10[[#This Row],[Plant Equivalent Weightage]],"")</f>
        <v>5.8333333333333098E-2</v>
      </c>
      <c r="U146" s="102" t="s">
        <v>448</v>
      </c>
      <c r="V146" s="547">
        <f>IFERROR(_xlfn.XLOOKUP(Table10[[#This Row],[Date]],'Daily KPI'!$A:$A,'Daily KPI'!$M:$M),"")</f>
        <v>6.0700565171497436</v>
      </c>
      <c r="W146" s="102">
        <v>767.6</v>
      </c>
      <c r="X146" s="102">
        <f>Table10[[#This Row],[WTG Loss]]*13*Table10[[#This Row],[Breakdown Time]]</f>
        <v>1164.1933333333293</v>
      </c>
      <c r="Y146" s="102" t="s">
        <v>449</v>
      </c>
      <c r="Z146" s="102"/>
      <c r="AA146" s="102"/>
    </row>
    <row r="147" spans="1:27">
      <c r="A147" s="102">
        <v>146</v>
      </c>
      <c r="B147" s="102">
        <f>YEAR(Table10[[#This Row],[Date]])+IF(MONTH(Table10[[#This Row],[Date]])&gt;=4,1,0)</f>
        <v>2026</v>
      </c>
      <c r="C147" s="102">
        <f>YEAR(Table10[[#This Row],[Date]])</f>
        <v>2025</v>
      </c>
      <c r="D147" s="102" t="s">
        <v>1992</v>
      </c>
      <c r="E147" s="469">
        <f>Table10[[#This Row],[Date]]-DAY(Table10[[#This Row],[Date]])+1</f>
        <v>45839</v>
      </c>
      <c r="F147" s="470">
        <v>45850</v>
      </c>
      <c r="G147" s="102" t="s">
        <v>75</v>
      </c>
      <c r="H147" s="102" t="str">
        <f>IFERROR(_xlfn.XLOOKUP(Table10[[#This Row],[Affected Feeder ]],'Basic Data'!$A$43:$A$70,'Basic Data'!$B$43:$B$70),"")</f>
        <v>TQGXIIPL</v>
      </c>
      <c r="I147" s="102" t="str">
        <f>IFERROR(_xlfn.XLOOKUP(Table10[[#This Row],[Affected Feeder ]],'Basic Data'!$A$43:$A$70,'Basic Data'!$C$43:$C$70),"")</f>
        <v>GEDA</v>
      </c>
      <c r="J147" s="550">
        <f>IFERROR(_xlfn.XLOOKUP(Table10[[#This Row],[Affected Feeder ]],'Basic Data'!$A$43:$A$70,'Basic Data'!$E$43:$E$70),"")</f>
        <v>3.846153846153845E-2</v>
      </c>
      <c r="K147" s="483" t="s">
        <v>2074</v>
      </c>
      <c r="L147" s="484">
        <v>0.99375000000000002</v>
      </c>
      <c r="M147" s="484">
        <v>0.99375000000000002</v>
      </c>
      <c r="N147" s="484">
        <v>0.99998842592592596</v>
      </c>
      <c r="O147" s="101">
        <f>(Table10[[#This Row],[Work Start TimeStamp]]-Table10[[#This Row],[Fault Start TimeStamp]])*24</f>
        <v>0</v>
      </c>
      <c r="P147" s="101">
        <f>IF(Table10[[#This Row],[Work Start TimeStamp]]="","",(Table10[[#This Row],[Fault Clearance time]]-Table10[[#This Row],[Work Start TimeStamp]])*24)</f>
        <v>0.14972222222222253</v>
      </c>
      <c r="Q147" s="544">
        <f>(Table10[[#This Row],[Fault Clearance time]]-Table10[[#This Row],[Fault Start TimeStamp]])*24</f>
        <v>0.14972222222222253</v>
      </c>
      <c r="R147" s="483" t="s">
        <v>2066</v>
      </c>
      <c r="S147" s="102" t="s">
        <v>293</v>
      </c>
      <c r="T147" s="485">
        <f>IFERROR(Table10[[#This Row],[Breakdown Time]]*Table10[[#This Row],[Plant Equivalent Weightage]],"")</f>
        <v>5.7585470085470191E-3</v>
      </c>
      <c r="U147" s="102" t="s">
        <v>448</v>
      </c>
      <c r="V147" s="547">
        <f>IFERROR(_xlfn.XLOOKUP(Table10[[#This Row],[Date]],'Daily KPI'!$A:$A,'Daily KPI'!$M:$M),"")</f>
        <v>6.0700565171497436</v>
      </c>
      <c r="W147" s="102">
        <v>767.6</v>
      </c>
      <c r="X147" s="102">
        <f>Table10[[#This Row],[WTG Loss]]*1*Table10[[#This Row],[Breakdown Time]]</f>
        <v>114.92677777777801</v>
      </c>
      <c r="Y147" s="102" t="s">
        <v>449</v>
      </c>
      <c r="Z147" s="102"/>
      <c r="AA147" s="102"/>
    </row>
    <row r="148" spans="1:27">
      <c r="A148" s="102">
        <v>147</v>
      </c>
      <c r="B148" s="102">
        <f>YEAR(Table10[[#This Row],[Date]])+IF(MONTH(Table10[[#This Row],[Date]])&gt;=4,1,0)</f>
        <v>2026</v>
      </c>
      <c r="C148" s="102">
        <f>YEAR(Table10[[#This Row],[Date]])</f>
        <v>2025</v>
      </c>
      <c r="D148" s="102" t="s">
        <v>1992</v>
      </c>
      <c r="E148" s="469">
        <f>Table10[[#This Row],[Date]]-DAY(Table10[[#This Row],[Date]])+1</f>
        <v>45839</v>
      </c>
      <c r="F148" s="470">
        <v>45850</v>
      </c>
      <c r="G148" s="102" t="s">
        <v>78</v>
      </c>
      <c r="H148" s="102" t="str">
        <f>IFERROR(_xlfn.XLOOKUP(Table10[[#This Row],[Affected Feeder ]],'Basic Data'!$A$43:$A$70,'Basic Data'!$B$43:$B$70),"")</f>
        <v>TQGXIIPL</v>
      </c>
      <c r="I148" s="102" t="str">
        <f>IFERROR(_xlfn.XLOOKUP(Table10[[#This Row],[Affected Feeder ]],'Basic Data'!$A$43:$A$70,'Basic Data'!$C$43:$C$70),"")</f>
        <v>GEDA</v>
      </c>
      <c r="J148" s="550">
        <f>IFERROR(_xlfn.XLOOKUP(Table10[[#This Row],[Affected Feeder ]],'Basic Data'!$A$43:$A$70,'Basic Data'!$E$43:$E$70),"")</f>
        <v>3.846153846153845E-2</v>
      </c>
      <c r="K148" s="483" t="s">
        <v>2075</v>
      </c>
      <c r="L148" s="484">
        <v>0.99375000000000002</v>
      </c>
      <c r="M148" s="484">
        <v>0.99375000000000002</v>
      </c>
      <c r="N148" s="484">
        <v>0.99998842592592596</v>
      </c>
      <c r="O148" s="101">
        <f>(Table10[[#This Row],[Work Start TimeStamp]]-Table10[[#This Row],[Fault Start TimeStamp]])*24</f>
        <v>0</v>
      </c>
      <c r="P148" s="101">
        <f>IF(Table10[[#This Row],[Work Start TimeStamp]]="","",(Table10[[#This Row],[Fault Clearance time]]-Table10[[#This Row],[Work Start TimeStamp]])*24)</f>
        <v>0.14972222222222253</v>
      </c>
      <c r="Q148" s="544">
        <f>(Table10[[#This Row],[Fault Clearance time]]-Table10[[#This Row],[Fault Start TimeStamp]])*24</f>
        <v>0.14972222222222253</v>
      </c>
      <c r="R148" s="483" t="s">
        <v>2066</v>
      </c>
      <c r="S148" s="102" t="s">
        <v>293</v>
      </c>
      <c r="T148" s="485">
        <f>IFERROR(Table10[[#This Row],[Breakdown Time]]*Table10[[#This Row],[Plant Equivalent Weightage]],"")</f>
        <v>5.7585470085470191E-3</v>
      </c>
      <c r="U148" s="102" t="s">
        <v>448</v>
      </c>
      <c r="V148" s="547">
        <f>IFERROR(_xlfn.XLOOKUP(Table10[[#This Row],[Date]],'Daily KPI'!$A:$A,'Daily KPI'!$M:$M),"")</f>
        <v>6.0700565171497436</v>
      </c>
      <c r="W148" s="102">
        <v>767.6</v>
      </c>
      <c r="X148" s="102">
        <f>Table10[[#This Row],[WTG Loss]]*1*Table10[[#This Row],[Breakdown Time]]</f>
        <v>114.92677777777801</v>
      </c>
      <c r="Y148" s="102" t="s">
        <v>449</v>
      </c>
      <c r="Z148" s="102"/>
      <c r="AA148" s="102"/>
    </row>
    <row r="149" spans="1:27">
      <c r="A149" s="102">
        <v>148</v>
      </c>
      <c r="B149" s="102">
        <f>YEAR(Table10[[#This Row],[Date]])+IF(MONTH(Table10[[#This Row],[Date]])&gt;=4,1,0)</f>
        <v>2026</v>
      </c>
      <c r="C149" s="102">
        <f>YEAR(Table10[[#This Row],[Date]])</f>
        <v>2025</v>
      </c>
      <c r="D149" s="102" t="s">
        <v>1992</v>
      </c>
      <c r="E149" s="469">
        <f>Table10[[#This Row],[Date]]-DAY(Table10[[#This Row],[Date]])+1</f>
        <v>45839</v>
      </c>
      <c r="F149" s="470">
        <v>45850</v>
      </c>
      <c r="G149" s="102" t="s">
        <v>98</v>
      </c>
      <c r="H149" s="102" t="str">
        <f>IFERROR(_xlfn.XLOOKUP(Table10[[#This Row],[Affected Feeder ]],'Basic Data'!$A$43:$A$70,'Basic Data'!$B$43:$B$70),"")</f>
        <v>TQGXIIPL</v>
      </c>
      <c r="I149" s="102" t="str">
        <f>IFERROR(_xlfn.XLOOKUP(Table10[[#This Row],[Affected Feeder ]],'Basic Data'!$A$43:$A$70,'Basic Data'!$C$43:$C$70),"")</f>
        <v>GEDA</v>
      </c>
      <c r="J149" s="550">
        <f>IFERROR(_xlfn.XLOOKUP(Table10[[#This Row],[Affected Feeder ]],'Basic Data'!$A$43:$A$70,'Basic Data'!$E$43:$E$70),"")</f>
        <v>3.846153846153845E-2</v>
      </c>
      <c r="K149" s="483" t="s">
        <v>2076</v>
      </c>
      <c r="L149" s="484">
        <v>0.99375000000000002</v>
      </c>
      <c r="M149" s="484">
        <v>0.99375000000000002</v>
      </c>
      <c r="N149" s="484">
        <v>0.99998842592592596</v>
      </c>
      <c r="O149" s="101">
        <f>(Table10[[#This Row],[Work Start TimeStamp]]-Table10[[#This Row],[Fault Start TimeStamp]])*24</f>
        <v>0</v>
      </c>
      <c r="P149" s="101">
        <f>IF(Table10[[#This Row],[Work Start TimeStamp]]="","",(Table10[[#This Row],[Fault Clearance time]]-Table10[[#This Row],[Work Start TimeStamp]])*24)</f>
        <v>0.14972222222222253</v>
      </c>
      <c r="Q149" s="544">
        <f>(Table10[[#This Row],[Fault Clearance time]]-Table10[[#This Row],[Fault Start TimeStamp]])*24</f>
        <v>0.14972222222222253</v>
      </c>
      <c r="R149" s="483" t="s">
        <v>2066</v>
      </c>
      <c r="S149" s="102" t="s">
        <v>293</v>
      </c>
      <c r="T149" s="485">
        <f>IFERROR(Table10[[#This Row],[Breakdown Time]]*Table10[[#This Row],[Plant Equivalent Weightage]],"")</f>
        <v>5.7585470085470191E-3</v>
      </c>
      <c r="U149" s="102" t="s">
        <v>448</v>
      </c>
      <c r="V149" s="547">
        <f>IFERROR(_xlfn.XLOOKUP(Table10[[#This Row],[Date]],'Daily KPI'!$A:$A,'Daily KPI'!$M:$M),"")</f>
        <v>6.0700565171497436</v>
      </c>
      <c r="W149" s="102">
        <v>767.6</v>
      </c>
      <c r="X149" s="102">
        <f>Table10[[#This Row],[WTG Loss]]*1*Table10[[#This Row],[Breakdown Time]]</f>
        <v>114.92677777777801</v>
      </c>
      <c r="Y149" s="102" t="s">
        <v>449</v>
      </c>
      <c r="Z149" s="102"/>
      <c r="AA149" s="102"/>
    </row>
    <row r="150" spans="1:27">
      <c r="A150" s="102">
        <v>149</v>
      </c>
      <c r="B150" s="102">
        <f>YEAR(Table10[[#This Row],[Date]])+IF(MONTH(Table10[[#This Row],[Date]])&gt;=4,1,0)</f>
        <v>2026</v>
      </c>
      <c r="C150" s="102">
        <f>YEAR(Table10[[#This Row],[Date]])</f>
        <v>2025</v>
      </c>
      <c r="D150" s="102" t="s">
        <v>1992</v>
      </c>
      <c r="E150" s="469">
        <f>Table10[[#This Row],[Date]]-DAY(Table10[[#This Row],[Date]])+1</f>
        <v>45839</v>
      </c>
      <c r="F150" s="470">
        <v>45851</v>
      </c>
      <c r="G150" s="102" t="s">
        <v>447</v>
      </c>
      <c r="H150" s="102" t="str">
        <f>IFERROR(_xlfn.XLOOKUP(Table10[[#This Row],[Affected Feeder ]],'Basic Data'!$A$43:$A$70,'Basic Data'!$B$43:$B$70),"")</f>
        <v>TQGXIIPL</v>
      </c>
      <c r="I150" s="102" t="str">
        <f>IFERROR(_xlfn.XLOOKUP(Table10[[#This Row],[Affected Feeder ]],'Basic Data'!$A$43:$A$70,'Basic Data'!$C$43:$C$70),"")</f>
        <v>GEDA</v>
      </c>
      <c r="J150" s="550">
        <f>IFERROR(_xlfn.XLOOKUP(Table10[[#This Row],[Affected Feeder ]],'Basic Data'!$A$43:$A$70,'Basic Data'!$E$43:$E$70),"")</f>
        <v>0.49999999999999978</v>
      </c>
      <c r="K150" s="483" t="s">
        <v>468</v>
      </c>
      <c r="L150" s="484">
        <v>0.17222222222222222</v>
      </c>
      <c r="M150" s="484">
        <v>0.17222222222222222</v>
      </c>
      <c r="N150" s="484">
        <v>0.22638888888888889</v>
      </c>
      <c r="O150" s="101">
        <f>(Table10[[#This Row],[Work Start TimeStamp]]-Table10[[#This Row],[Fault Start TimeStamp]])*24</f>
        <v>0</v>
      </c>
      <c r="P150" s="101">
        <f>IF(Table10[[#This Row],[Work Start TimeStamp]]="","",(Table10[[#This Row],[Fault Clearance time]]-Table10[[#This Row],[Work Start TimeStamp]])*24)</f>
        <v>1.3</v>
      </c>
      <c r="Q150" s="544">
        <f>(Table10[[#This Row],[Fault Clearance time]]-Table10[[#This Row],[Fault Start TimeStamp]])*24</f>
        <v>1.3</v>
      </c>
      <c r="R150" s="483" t="s">
        <v>2071</v>
      </c>
      <c r="S150" s="102" t="s">
        <v>293</v>
      </c>
      <c r="T150" s="485">
        <f>IFERROR(Table10[[#This Row],[Breakdown Time]]*Table10[[#This Row],[Plant Equivalent Weightage]],"")</f>
        <v>0.64999999999999969</v>
      </c>
      <c r="U150" s="102" t="s">
        <v>448</v>
      </c>
      <c r="V150" s="547">
        <f>IFERROR(_xlfn.XLOOKUP(Table10[[#This Row],[Date]],'Daily KPI'!$A:$A,'Daily KPI'!$M:$M),"")</f>
        <v>6.7007692307692315</v>
      </c>
      <c r="W150" s="102">
        <v>1035.2</v>
      </c>
      <c r="X150" s="102">
        <f>Table10[[#This Row],[WTG Loss]]*13*Table10[[#This Row],[Breakdown Time]]</f>
        <v>17494.88</v>
      </c>
      <c r="Y150" s="102" t="s">
        <v>449</v>
      </c>
      <c r="Z150" s="102"/>
      <c r="AA150" s="102"/>
    </row>
    <row r="151" spans="1:27">
      <c r="A151" s="102">
        <v>150</v>
      </c>
      <c r="B151" s="102">
        <f>YEAR(Table10[[#This Row],[Date]])+IF(MONTH(Table10[[#This Row],[Date]])&gt;=4,1,0)</f>
        <v>2026</v>
      </c>
      <c r="C151" s="102">
        <f>YEAR(Table10[[#This Row],[Date]])</f>
        <v>2025</v>
      </c>
      <c r="D151" s="102" t="s">
        <v>1992</v>
      </c>
      <c r="E151" s="469">
        <f>Table10[[#This Row],[Date]]-DAY(Table10[[#This Row],[Date]])+1</f>
        <v>45839</v>
      </c>
      <c r="F151" s="470">
        <v>45851</v>
      </c>
      <c r="G151" s="102" t="s">
        <v>75</v>
      </c>
      <c r="H151" s="102" t="str">
        <f>IFERROR(_xlfn.XLOOKUP(Table10[[#This Row],[Affected Feeder ]],'Basic Data'!$A$43:$A$70,'Basic Data'!$B$43:$B$70),"")</f>
        <v>TQGXIIPL</v>
      </c>
      <c r="I151" s="102" t="str">
        <f>IFERROR(_xlfn.XLOOKUP(Table10[[#This Row],[Affected Feeder ]],'Basic Data'!$A$43:$A$70,'Basic Data'!$C$43:$C$70),"")</f>
        <v>GEDA</v>
      </c>
      <c r="J151" s="550">
        <f>IFERROR(_xlfn.XLOOKUP(Table10[[#This Row],[Affected Feeder ]],'Basic Data'!$A$43:$A$70,'Basic Data'!$E$43:$E$70),"")</f>
        <v>3.846153846153845E-2</v>
      </c>
      <c r="K151" s="483" t="s">
        <v>2074</v>
      </c>
      <c r="L151" s="484">
        <v>0</v>
      </c>
      <c r="M151" s="484">
        <v>0</v>
      </c>
      <c r="N151" s="484">
        <v>0.17222222222222222</v>
      </c>
      <c r="O151" s="101">
        <f>(Table10[[#This Row],[Work Start TimeStamp]]-Table10[[#This Row],[Fault Start TimeStamp]])*24</f>
        <v>0</v>
      </c>
      <c r="P151" s="101">
        <f>IF(Table10[[#This Row],[Work Start TimeStamp]]="","",(Table10[[#This Row],[Fault Clearance time]]-Table10[[#This Row],[Work Start TimeStamp]])*24)</f>
        <v>4.1333333333333329</v>
      </c>
      <c r="Q151" s="544">
        <f>(Table10[[#This Row],[Fault Clearance time]]-Table10[[#This Row],[Fault Start TimeStamp]])*24</f>
        <v>4.1333333333333329</v>
      </c>
      <c r="R151" s="483" t="s">
        <v>2072</v>
      </c>
      <c r="S151" s="102" t="s">
        <v>293</v>
      </c>
      <c r="T151" s="485">
        <f>IFERROR(Table10[[#This Row],[Breakdown Time]]*Table10[[#This Row],[Plant Equivalent Weightage]],"")</f>
        <v>0.15897435897435891</v>
      </c>
      <c r="U151" s="102" t="s">
        <v>448</v>
      </c>
      <c r="V151" s="547">
        <f>IFERROR(_xlfn.XLOOKUP(Table10[[#This Row],[Date]],'Daily KPI'!$A:$A,'Daily KPI'!$M:$M),"")</f>
        <v>6.7007692307692315</v>
      </c>
      <c r="W151" s="102">
        <v>1035.2</v>
      </c>
      <c r="X151" s="102">
        <f>Table10[[#This Row],[WTG Loss]]*1*Table10[[#This Row],[Breakdown Time]]</f>
        <v>4278.8266666666659</v>
      </c>
      <c r="Y151" s="102" t="s">
        <v>449</v>
      </c>
      <c r="Z151" s="102"/>
      <c r="AA151" s="102"/>
    </row>
    <row r="152" spans="1:27">
      <c r="A152" s="102">
        <v>151</v>
      </c>
      <c r="B152" s="102">
        <f>YEAR(Table10[[#This Row],[Date]])+IF(MONTH(Table10[[#This Row],[Date]])&gt;=4,1,0)</f>
        <v>2026</v>
      </c>
      <c r="C152" s="102">
        <f>YEAR(Table10[[#This Row],[Date]])</f>
        <v>2025</v>
      </c>
      <c r="D152" s="102" t="s">
        <v>1992</v>
      </c>
      <c r="E152" s="469">
        <f>Table10[[#This Row],[Date]]-DAY(Table10[[#This Row],[Date]])+1</f>
        <v>45839</v>
      </c>
      <c r="F152" s="470">
        <v>45851</v>
      </c>
      <c r="G152" s="102" t="s">
        <v>78</v>
      </c>
      <c r="H152" s="102" t="str">
        <f>IFERROR(_xlfn.XLOOKUP(Table10[[#This Row],[Affected Feeder ]],'Basic Data'!$A$43:$A$70,'Basic Data'!$B$43:$B$70),"")</f>
        <v>TQGXIIPL</v>
      </c>
      <c r="I152" s="102" t="str">
        <f>IFERROR(_xlfn.XLOOKUP(Table10[[#This Row],[Affected Feeder ]],'Basic Data'!$A$43:$A$70,'Basic Data'!$C$43:$C$70),"")</f>
        <v>GEDA</v>
      </c>
      <c r="J152" s="550">
        <f>IFERROR(_xlfn.XLOOKUP(Table10[[#This Row],[Affected Feeder ]],'Basic Data'!$A$43:$A$70,'Basic Data'!$E$43:$E$70),"")</f>
        <v>3.846153846153845E-2</v>
      </c>
      <c r="K152" s="483" t="s">
        <v>2075</v>
      </c>
      <c r="L152" s="484">
        <v>0</v>
      </c>
      <c r="M152" s="484">
        <v>0</v>
      </c>
      <c r="N152" s="484">
        <v>0.17222222222222222</v>
      </c>
      <c r="O152" s="101">
        <f>(Table10[[#This Row],[Work Start TimeStamp]]-Table10[[#This Row],[Fault Start TimeStamp]])*24</f>
        <v>0</v>
      </c>
      <c r="P152" s="101">
        <f>IF(Table10[[#This Row],[Work Start TimeStamp]]="","",(Table10[[#This Row],[Fault Clearance time]]-Table10[[#This Row],[Work Start TimeStamp]])*24)</f>
        <v>4.1333333333333329</v>
      </c>
      <c r="Q152" s="544">
        <f>(Table10[[#This Row],[Fault Clearance time]]-Table10[[#This Row],[Fault Start TimeStamp]])*24</f>
        <v>4.1333333333333329</v>
      </c>
      <c r="R152" s="483" t="s">
        <v>2072</v>
      </c>
      <c r="S152" s="102" t="s">
        <v>293</v>
      </c>
      <c r="T152" s="485">
        <f>IFERROR(Table10[[#This Row],[Breakdown Time]]*Table10[[#This Row],[Plant Equivalent Weightage]],"")</f>
        <v>0.15897435897435891</v>
      </c>
      <c r="U152" s="102" t="s">
        <v>448</v>
      </c>
      <c r="V152" s="547">
        <f>IFERROR(_xlfn.XLOOKUP(Table10[[#This Row],[Date]],'Daily KPI'!$A:$A,'Daily KPI'!$M:$M),"")</f>
        <v>6.7007692307692315</v>
      </c>
      <c r="W152" s="102">
        <v>1035.2</v>
      </c>
      <c r="X152" s="102">
        <f>Table10[[#This Row],[WTG Loss]]*1*Table10[[#This Row],[Breakdown Time]]</f>
        <v>4278.8266666666659</v>
      </c>
      <c r="Y152" s="102" t="s">
        <v>449</v>
      </c>
      <c r="Z152" s="102"/>
      <c r="AA152" s="102"/>
    </row>
    <row r="153" spans="1:27">
      <c r="A153" s="102">
        <v>152</v>
      </c>
      <c r="B153" s="102">
        <f>YEAR(Table10[[#This Row],[Date]])+IF(MONTH(Table10[[#This Row],[Date]])&gt;=4,1,0)</f>
        <v>2026</v>
      </c>
      <c r="C153" s="102">
        <f>YEAR(Table10[[#This Row],[Date]])</f>
        <v>2025</v>
      </c>
      <c r="D153" s="102" t="s">
        <v>1992</v>
      </c>
      <c r="E153" s="469">
        <f>Table10[[#This Row],[Date]]-DAY(Table10[[#This Row],[Date]])+1</f>
        <v>45839</v>
      </c>
      <c r="F153" s="470">
        <v>45851</v>
      </c>
      <c r="G153" s="102" t="s">
        <v>98</v>
      </c>
      <c r="H153" s="102" t="str">
        <f>IFERROR(_xlfn.XLOOKUP(Table10[[#This Row],[Affected Feeder ]],'Basic Data'!$A$43:$A$70,'Basic Data'!$B$43:$B$70),"")</f>
        <v>TQGXIIPL</v>
      </c>
      <c r="I153" s="102" t="str">
        <f>IFERROR(_xlfn.XLOOKUP(Table10[[#This Row],[Affected Feeder ]],'Basic Data'!$A$43:$A$70,'Basic Data'!$C$43:$C$70),"")</f>
        <v>GEDA</v>
      </c>
      <c r="J153" s="550">
        <f>IFERROR(_xlfn.XLOOKUP(Table10[[#This Row],[Affected Feeder ]],'Basic Data'!$A$43:$A$70,'Basic Data'!$E$43:$E$70),"")</f>
        <v>3.846153846153845E-2</v>
      </c>
      <c r="K153" s="483" t="s">
        <v>2076</v>
      </c>
      <c r="L153" s="484">
        <v>0</v>
      </c>
      <c r="M153" s="484">
        <v>0</v>
      </c>
      <c r="N153" s="484">
        <v>0.17222222222222222</v>
      </c>
      <c r="O153" s="101">
        <f>(Table10[[#This Row],[Work Start TimeStamp]]-Table10[[#This Row],[Fault Start TimeStamp]])*24</f>
        <v>0</v>
      </c>
      <c r="P153" s="101">
        <f>IF(Table10[[#This Row],[Work Start TimeStamp]]="","",(Table10[[#This Row],[Fault Clearance time]]-Table10[[#This Row],[Work Start TimeStamp]])*24)</f>
        <v>4.1333333333333329</v>
      </c>
      <c r="Q153" s="544">
        <f>(Table10[[#This Row],[Fault Clearance time]]-Table10[[#This Row],[Fault Start TimeStamp]])*24</f>
        <v>4.1333333333333329</v>
      </c>
      <c r="R153" s="483" t="s">
        <v>2072</v>
      </c>
      <c r="S153" s="102" t="s">
        <v>293</v>
      </c>
      <c r="T153" s="485">
        <f>IFERROR(Table10[[#This Row],[Breakdown Time]]*Table10[[#This Row],[Plant Equivalent Weightage]],"")</f>
        <v>0.15897435897435891</v>
      </c>
      <c r="U153" s="102" t="s">
        <v>448</v>
      </c>
      <c r="V153" s="547">
        <f>IFERROR(_xlfn.XLOOKUP(Table10[[#This Row],[Date]],'Daily KPI'!$A:$A,'Daily KPI'!$M:$M),"")</f>
        <v>6.7007692307692315</v>
      </c>
      <c r="W153" s="102">
        <v>1035.2</v>
      </c>
      <c r="X153" s="102">
        <f>Table10[[#This Row],[WTG Loss]]*1*Table10[[#This Row],[Breakdown Time]]</f>
        <v>4278.8266666666659</v>
      </c>
      <c r="Y153" s="102" t="s">
        <v>449</v>
      </c>
      <c r="Z153" s="102"/>
      <c r="AA153" s="102"/>
    </row>
    <row r="154" spans="1:27">
      <c r="A154" s="102">
        <v>152</v>
      </c>
      <c r="B154" s="102">
        <f>YEAR(Table10[[#This Row],[Date]])+IF(MONTH(Table10[[#This Row],[Date]])&gt;=4,1,0)</f>
        <v>2026</v>
      </c>
      <c r="C154" s="102">
        <f>YEAR(Table10[[#This Row],[Date]])</f>
        <v>2025</v>
      </c>
      <c r="D154" s="102" t="s">
        <v>1992</v>
      </c>
      <c r="E154" s="469">
        <f>Table10[[#This Row],[Date]]-DAY(Table10[[#This Row],[Date]])+1</f>
        <v>45839</v>
      </c>
      <c r="F154" s="470">
        <v>45856</v>
      </c>
      <c r="G154" s="102" t="s">
        <v>81</v>
      </c>
      <c r="H154" s="102" t="str">
        <f>IFERROR(_xlfn.XLOOKUP(Table10[[#This Row],[Affected Feeder ]],'Basic Data'!$A$43:$A$70,'Basic Data'!$B$43:$B$70),"")</f>
        <v>TQGXIIPL</v>
      </c>
      <c r="I154" s="102" t="str">
        <f>IFERROR(_xlfn.XLOOKUP(Table10[[#This Row],[Affected Feeder ]],'Basic Data'!$A$43:$A$70,'Basic Data'!$C$43:$C$70),"")</f>
        <v>GEDA</v>
      </c>
      <c r="J154" s="550">
        <f>IFERROR(_xlfn.XLOOKUP(Table10[[#This Row],[Affected Feeder ]],'Basic Data'!$A$43:$A$70,'Basic Data'!$E$43:$E$70),"")</f>
        <v>3.846153846153845E-2</v>
      </c>
      <c r="K154" s="483" t="s">
        <v>2032</v>
      </c>
      <c r="L154" s="484">
        <v>0.58680555555555558</v>
      </c>
      <c r="M154" s="484">
        <v>0.58680555555555558</v>
      </c>
      <c r="N154" s="484">
        <v>0.69444444444444442</v>
      </c>
      <c r="O154" s="101">
        <f>(Table10[[#This Row],[Work Start TimeStamp]]-Table10[[#This Row],[Fault Start TimeStamp]])*24</f>
        <v>0</v>
      </c>
      <c r="P154" s="101">
        <f>IF(Table10[[#This Row],[Work Start TimeStamp]]="","",(Table10[[#This Row],[Fault Clearance time]]-Table10[[#This Row],[Work Start TimeStamp]])*24)</f>
        <v>2.5833333333333321</v>
      </c>
      <c r="Q154" s="544">
        <f>(Table10[[#This Row],[Fault Clearance time]]-Table10[[#This Row],[Fault Start TimeStamp]])*24</f>
        <v>2.5833333333333321</v>
      </c>
      <c r="R154" s="483" t="s">
        <v>2089</v>
      </c>
      <c r="S154" s="102" t="s">
        <v>293</v>
      </c>
      <c r="T154" s="485">
        <f>IFERROR(Table10[[#This Row],[Breakdown Time]]*Table10[[#This Row],[Plant Equivalent Weightage]],"")</f>
        <v>9.9358974358974284E-2</v>
      </c>
      <c r="U154" s="102" t="s">
        <v>448</v>
      </c>
      <c r="V154" s="547">
        <f>IFERROR(_xlfn.XLOOKUP(Table10[[#This Row],[Date]],'Daily KPI'!$A:$A,'Daily KPI'!$M:$M),"")</f>
        <v>5.9611538461538451</v>
      </c>
      <c r="W154" s="102">
        <v>723</v>
      </c>
      <c r="X154" s="102">
        <f>Table10[[#This Row],[WTG Loss]]*1*Table10[[#This Row],[Breakdown Time]]</f>
        <v>1867.7499999999991</v>
      </c>
      <c r="Y154" s="102" t="s">
        <v>449</v>
      </c>
      <c r="Z154" s="102"/>
      <c r="AA154" s="102"/>
    </row>
    <row r="155" spans="1:27">
      <c r="A155" s="102">
        <v>153</v>
      </c>
      <c r="B155" s="102">
        <f>YEAR(Table10[[#This Row],[Date]])+IF(MONTH(Table10[[#This Row],[Date]])&gt;=4,1,0)</f>
        <v>2026</v>
      </c>
      <c r="C155" s="102">
        <f>YEAR(Table10[[#This Row],[Date]])</f>
        <v>2025</v>
      </c>
      <c r="D155" s="102" t="s">
        <v>1992</v>
      </c>
      <c r="E155" s="469">
        <f>Table10[[#This Row],[Date]]-DAY(Table10[[#This Row],[Date]])+1</f>
        <v>45839</v>
      </c>
      <c r="F155" s="470">
        <v>45859</v>
      </c>
      <c r="G155" s="102" t="s">
        <v>447</v>
      </c>
      <c r="H155" s="102" t="str">
        <f>IFERROR(_xlfn.XLOOKUP(Table10[[#This Row],[Affected Feeder ]],'Basic Data'!$A$43:$A$70,'Basic Data'!$B$43:$B$70),"")</f>
        <v>TQGXIIPL</v>
      </c>
      <c r="I155" s="102" t="str">
        <f>IFERROR(_xlfn.XLOOKUP(Table10[[#This Row],[Affected Feeder ]],'Basic Data'!$A$43:$A$70,'Basic Data'!$C$43:$C$70),"")</f>
        <v>GEDA</v>
      </c>
      <c r="J155" s="550">
        <f>IFERROR(_xlfn.XLOOKUP(Table10[[#This Row],[Affected Feeder ]],'Basic Data'!$A$43:$A$70,'Basic Data'!$E$43:$E$70),"")</f>
        <v>0.49999999999999978</v>
      </c>
      <c r="K155" s="483" t="s">
        <v>2073</v>
      </c>
      <c r="L155" s="484">
        <v>0.74652777777777779</v>
      </c>
      <c r="M155" s="484">
        <v>0.74652777777777779</v>
      </c>
      <c r="N155" s="484">
        <v>0.76458333333333328</v>
      </c>
      <c r="O155" s="101">
        <f>(Table10[[#This Row],[Work Start TimeStamp]]-Table10[[#This Row],[Fault Start TimeStamp]])*24</f>
        <v>0</v>
      </c>
      <c r="P155" s="101">
        <f>IF(Table10[[#This Row],[Work Start TimeStamp]]="","",(Table10[[#This Row],[Fault Clearance time]]-Table10[[#This Row],[Work Start TimeStamp]])*24)</f>
        <v>0.43333333333333179</v>
      </c>
      <c r="Q155" s="544">
        <f>(Table10[[#This Row],[Fault Clearance time]]-Table10[[#This Row],[Fault Start TimeStamp]])*24</f>
        <v>0.43333333333333179</v>
      </c>
      <c r="R155" s="483" t="s">
        <v>2023</v>
      </c>
      <c r="S155" s="102" t="s">
        <v>293</v>
      </c>
      <c r="T155" s="485">
        <f>IFERROR(Table10[[#This Row],[Breakdown Time]]*Table10[[#This Row],[Plant Equivalent Weightage]],"")</f>
        <v>0.21666666666666581</v>
      </c>
      <c r="U155" s="102" t="s">
        <v>448</v>
      </c>
      <c r="V155" s="547">
        <f>IFERROR(_xlfn.XLOOKUP(Table10[[#This Row],[Date]],'Daily KPI'!$A:$A,'Daily KPI'!$M:$M),"")</f>
        <v>4.9553846153846166</v>
      </c>
      <c r="W155" s="102">
        <v>406</v>
      </c>
      <c r="X155" s="102">
        <f>Table10[[#This Row],[WTG Loss]]*13*Table10[[#This Row],[Breakdown Time]]</f>
        <v>2287.133333333325</v>
      </c>
      <c r="Y155" s="102" t="s">
        <v>449</v>
      </c>
      <c r="Z155" s="102"/>
      <c r="AA155" s="102"/>
    </row>
    <row r="156" spans="1:27">
      <c r="A156" s="102">
        <v>154</v>
      </c>
      <c r="B156" s="102">
        <f>YEAR(Table10[[#This Row],[Date]])+IF(MONTH(Table10[[#This Row],[Date]])&gt;=4,1,0)</f>
        <v>2026</v>
      </c>
      <c r="C156" s="102">
        <f>YEAR(Table10[[#This Row],[Date]])</f>
        <v>2025</v>
      </c>
      <c r="D156" s="102" t="s">
        <v>1992</v>
      </c>
      <c r="E156" s="469">
        <f>Table10[[#This Row],[Date]]-DAY(Table10[[#This Row],[Date]])+1</f>
        <v>45839</v>
      </c>
      <c r="F156" s="470">
        <v>45859</v>
      </c>
      <c r="G156" s="102" t="s">
        <v>99</v>
      </c>
      <c r="H156" s="102" t="str">
        <f>IFERROR(_xlfn.XLOOKUP(Table10[[#This Row],[Affected Feeder ]],'Basic Data'!$A$43:$A$70,'Basic Data'!$B$43:$B$70),"")</f>
        <v>TQGXIIPL</v>
      </c>
      <c r="I156" s="102" t="str">
        <f>IFERROR(_xlfn.XLOOKUP(Table10[[#This Row],[Affected Feeder ]],'Basic Data'!$A$43:$A$70,'Basic Data'!$C$43:$C$70),"")</f>
        <v>GEDA</v>
      </c>
      <c r="J156" s="550">
        <f>IFERROR(_xlfn.XLOOKUP(Table10[[#This Row],[Affected Feeder ]],'Basic Data'!$A$43:$A$70,'Basic Data'!$E$43:$E$70),"")</f>
        <v>3.846153846153845E-2</v>
      </c>
      <c r="K156" s="483" t="s">
        <v>1974</v>
      </c>
      <c r="L156" s="484">
        <v>0.72569444444444442</v>
      </c>
      <c r="M156" s="484">
        <v>0.72569444444444442</v>
      </c>
      <c r="N156" s="484">
        <v>0.76388888888888884</v>
      </c>
      <c r="O156" s="101">
        <f>(Table10[[#This Row],[Work Start TimeStamp]]-Table10[[#This Row],[Fault Start TimeStamp]])*24</f>
        <v>0</v>
      </c>
      <c r="P156" s="101">
        <f>IF(Table10[[#This Row],[Work Start TimeStamp]]="","",(Table10[[#This Row],[Fault Clearance time]]-Table10[[#This Row],[Work Start TimeStamp]])*24)</f>
        <v>0.91666666666666607</v>
      </c>
      <c r="Q156" s="544">
        <f>(Table10[[#This Row],[Fault Clearance time]]-Table10[[#This Row],[Fault Start TimeStamp]])*24</f>
        <v>0.91666666666666607</v>
      </c>
      <c r="R156" s="483" t="s">
        <v>2034</v>
      </c>
      <c r="S156" s="102" t="s">
        <v>293</v>
      </c>
      <c r="T156" s="485">
        <f>IFERROR(Table10[[#This Row],[Breakdown Time]]*Table10[[#This Row],[Plant Equivalent Weightage]],"")</f>
        <v>3.5256410256410221E-2</v>
      </c>
      <c r="U156" s="102" t="s">
        <v>448</v>
      </c>
      <c r="V156" s="547">
        <f>IFERROR(_xlfn.XLOOKUP(Table10[[#This Row],[Date]],'Daily KPI'!$A:$A,'Daily KPI'!$M:$M),"")</f>
        <v>4.9553846153846166</v>
      </c>
      <c r="W156" s="102">
        <v>406</v>
      </c>
      <c r="X156" s="102">
        <f>Table10[[#This Row],[WTG Loss]]*1*Table10[[#This Row],[Breakdown Time]]</f>
        <v>372.1666666666664</v>
      </c>
      <c r="Y156" s="102" t="s">
        <v>449</v>
      </c>
      <c r="Z156" s="102"/>
      <c r="AA156" s="102"/>
    </row>
    <row r="157" spans="1:27">
      <c r="A157" s="102">
        <v>155</v>
      </c>
      <c r="B157" s="102">
        <f>YEAR(Table10[[#This Row],[Date]])+IF(MONTH(Table10[[#This Row],[Date]])&gt;=4,1,0)</f>
        <v>2026</v>
      </c>
      <c r="C157" s="102">
        <f>YEAR(Table10[[#This Row],[Date]])</f>
        <v>2025</v>
      </c>
      <c r="D157" s="102" t="s">
        <v>1992</v>
      </c>
      <c r="E157" s="469">
        <f>Table10[[#This Row],[Date]]-DAY(Table10[[#This Row],[Date]])+1</f>
        <v>45839</v>
      </c>
      <c r="F157" s="470">
        <v>45859</v>
      </c>
      <c r="G157" s="102" t="s">
        <v>81</v>
      </c>
      <c r="H157" s="102" t="str">
        <f>IFERROR(_xlfn.XLOOKUP(Table10[[#This Row],[Affected Feeder ]],'Basic Data'!$A$43:$A$70,'Basic Data'!$B$43:$B$70),"")</f>
        <v>TQGXIIPL</v>
      </c>
      <c r="I157" s="102" t="str">
        <f>IFERROR(_xlfn.XLOOKUP(Table10[[#This Row],[Affected Feeder ]],'Basic Data'!$A$43:$A$70,'Basic Data'!$C$43:$C$70),"")</f>
        <v>GEDA</v>
      </c>
      <c r="J157" s="550">
        <f>IFERROR(_xlfn.XLOOKUP(Table10[[#This Row],[Affected Feeder ]],'Basic Data'!$A$43:$A$70,'Basic Data'!$E$43:$E$70),"")</f>
        <v>3.846153846153845E-2</v>
      </c>
      <c r="K157" s="483" t="s">
        <v>2032</v>
      </c>
      <c r="L157" s="484">
        <v>0.65625</v>
      </c>
      <c r="M157" s="484">
        <v>0.65625</v>
      </c>
      <c r="N157" s="484">
        <v>0.76041666666666663</v>
      </c>
      <c r="O157" s="101">
        <f>(Table10[[#This Row],[Work Start TimeStamp]]-Table10[[#This Row],[Fault Start TimeStamp]])*24</f>
        <v>0</v>
      </c>
      <c r="P157" s="101">
        <f>IF(Table10[[#This Row],[Work Start TimeStamp]]="","",(Table10[[#This Row],[Fault Clearance time]]-Table10[[#This Row],[Work Start TimeStamp]])*24)</f>
        <v>2.4999999999999991</v>
      </c>
      <c r="Q157" s="544">
        <f>(Table10[[#This Row],[Fault Clearance time]]-Table10[[#This Row],[Fault Start TimeStamp]])*24</f>
        <v>2.4999999999999991</v>
      </c>
      <c r="R157" s="483" t="s">
        <v>2109</v>
      </c>
      <c r="S157" s="102" t="s">
        <v>293</v>
      </c>
      <c r="T157" s="485">
        <f>IFERROR(Table10[[#This Row],[Breakdown Time]]*Table10[[#This Row],[Plant Equivalent Weightage]],"")</f>
        <v>9.615384615384609E-2</v>
      </c>
      <c r="U157" s="102" t="s">
        <v>448</v>
      </c>
      <c r="V157" s="547">
        <f>IFERROR(_xlfn.XLOOKUP(Table10[[#This Row],[Date]],'Daily KPI'!$A:$A,'Daily KPI'!$M:$M),"")</f>
        <v>4.9553846153846166</v>
      </c>
      <c r="W157" s="102">
        <v>406</v>
      </c>
      <c r="X157" s="102">
        <f>Table10[[#This Row],[WTG Loss]]*1*Table10[[#This Row],[Breakdown Time]]</f>
        <v>1014.9999999999997</v>
      </c>
      <c r="Y157" s="102" t="s">
        <v>449</v>
      </c>
      <c r="Z157" s="102"/>
      <c r="AA157" s="102"/>
    </row>
  </sheetData>
  <phoneticPr fontId="10" type="noConversion"/>
  <pageMargins left="0.7" right="0.7" top="0.75" bottom="0.75" header="0.3" footer="0.3"/>
  <ignoredErrors>
    <ignoredError sqref="X147:X149 X156:X157 X151:X154" calculatedColumn="1"/>
  </ignoredErrors>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7B38C71E-11E7-4F95-A080-2F533BE37C5E}">
          <x14:formula1>
            <xm:f>'Basic Data'!$Q$4:$Q$7</xm:f>
          </x14:formula1>
          <xm:sqref>W158:W1048576 U2:U1048576</xm:sqref>
        </x14:dataValidation>
        <x14:dataValidation type="list" allowBlank="1" showInputMessage="1" showErrorMessage="1" xr:uid="{0FA81519-6559-4513-9719-146104DAC0EC}">
          <x14:formula1>
            <xm:f>'Basic Data'!$A$43:$A$76</xm:f>
          </x14:formula1>
          <xm:sqref>G2:G1048576</xm:sqref>
        </x14:dataValidation>
        <x14:dataValidation type="list" allowBlank="1" showInputMessage="1" showErrorMessage="1" xr:uid="{8054DF62-5F38-40CD-95C5-F60FA4588A7B}">
          <x14:formula1>
            <xm:f>'Basic Data'!$N$3:$N$4</xm:f>
          </x14:formula1>
          <xm:sqref>S2:S1048576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4992D-1952-46DF-8F8B-DA44D3AB41A9}">
  <dimension ref="A1:AC3"/>
  <sheetViews>
    <sheetView workbookViewId="0">
      <pane xSplit="6" ySplit="1" topLeftCell="G2" activePane="bottomRight" state="frozen"/>
      <selection pane="topRight" activeCell="G1" sqref="G1"/>
      <selection pane="bottomLeft" activeCell="A2" sqref="A2"/>
      <selection pane="bottomRight" activeCell="J22" sqref="J22"/>
    </sheetView>
  </sheetViews>
  <sheetFormatPr defaultRowHeight="14.5"/>
  <cols>
    <col min="2" max="3" width="12.453125" customWidth="1"/>
    <col min="4" max="4" width="13" customWidth="1"/>
    <col min="6" max="6" width="9.54296875" bestFit="1" customWidth="1"/>
    <col min="7" max="7" width="14.08984375" customWidth="1"/>
    <col min="9" max="9" width="10.54296875" customWidth="1"/>
    <col min="10" max="10" width="21.54296875" customWidth="1"/>
    <col min="11" max="11" width="76.453125" bestFit="1" customWidth="1"/>
    <col min="12" max="12" width="16.90625" bestFit="1" customWidth="1"/>
    <col min="13" max="13" width="18" customWidth="1"/>
    <col min="14" max="14" width="18.453125" customWidth="1"/>
    <col min="15" max="15" width="16.54296875" customWidth="1"/>
    <col min="16" max="16" width="13.08984375" customWidth="1"/>
    <col min="17" max="17" width="13.54296875" customWidth="1"/>
    <col min="18" max="18" width="14.453125" customWidth="1"/>
    <col min="19" max="19" width="112.08984375" bestFit="1" customWidth="1"/>
    <col min="21" max="21" width="22.90625" style="208" customWidth="1"/>
    <col min="22" max="22" width="13.453125" customWidth="1"/>
    <col min="23" max="23" width="25" customWidth="1"/>
    <col min="24" max="24" width="12.453125" style="208" customWidth="1"/>
    <col min="25" max="25" width="13.54296875" style="485" customWidth="1"/>
    <col min="26" max="26" width="18.54296875" customWidth="1"/>
    <col min="27" max="27" width="25.54296875" customWidth="1"/>
    <col min="28" max="28" width="8.54296875" customWidth="1"/>
    <col min="29" max="29" width="11.54296875" customWidth="1"/>
  </cols>
  <sheetData>
    <row r="1" spans="1:29" ht="42" customHeight="1">
      <c r="A1" s="464" t="s">
        <v>7</v>
      </c>
      <c r="B1" s="464" t="s">
        <v>3</v>
      </c>
      <c r="C1" s="464" t="s">
        <v>129</v>
      </c>
      <c r="D1" s="464" t="s">
        <v>266</v>
      </c>
      <c r="E1" s="464" t="s">
        <v>169</v>
      </c>
      <c r="F1" s="465" t="s">
        <v>128</v>
      </c>
      <c r="G1" s="464" t="s">
        <v>443</v>
      </c>
      <c r="H1" s="464" t="s">
        <v>268</v>
      </c>
      <c r="I1" s="464" t="s">
        <v>269</v>
      </c>
      <c r="J1" s="464" t="s">
        <v>270</v>
      </c>
      <c r="K1" s="464" t="s">
        <v>273</v>
      </c>
      <c r="L1" s="464" t="s">
        <v>1993</v>
      </c>
      <c r="M1" s="464" t="s">
        <v>274</v>
      </c>
      <c r="N1" s="464" t="s">
        <v>275</v>
      </c>
      <c r="O1" s="464" t="s">
        <v>276</v>
      </c>
      <c r="P1" s="464" t="s">
        <v>277</v>
      </c>
      <c r="Q1" s="464" t="s">
        <v>278</v>
      </c>
      <c r="R1" s="464" t="s">
        <v>279</v>
      </c>
      <c r="S1" s="464" t="s">
        <v>280</v>
      </c>
      <c r="T1" s="464" t="s">
        <v>281</v>
      </c>
      <c r="U1" s="466" t="s">
        <v>282</v>
      </c>
      <c r="V1" s="466" t="s">
        <v>284</v>
      </c>
      <c r="W1" s="486" t="s">
        <v>283</v>
      </c>
      <c r="X1" s="103" t="s">
        <v>445</v>
      </c>
      <c r="Y1" s="467" t="s">
        <v>1990</v>
      </c>
      <c r="Z1" s="467" t="s">
        <v>1994</v>
      </c>
      <c r="AA1" s="467" t="s">
        <v>1995</v>
      </c>
      <c r="AB1" s="467" t="s">
        <v>285</v>
      </c>
      <c r="AC1" s="467" t="s">
        <v>286</v>
      </c>
    </row>
    <row r="2" spans="1:29">
      <c r="A2" s="102">
        <v>1</v>
      </c>
      <c r="B2" s="102">
        <f>YEAR(Table11[[#This Row],[Date]])+IF(MONTH(Table11[[#This Row],[Date]])&gt;=4,1,0)</f>
        <v>2025</v>
      </c>
      <c r="C2" s="102">
        <f>YEAR(Table11[[#This Row],[Date]])</f>
        <v>2025</v>
      </c>
      <c r="D2" s="102" t="s">
        <v>446</v>
      </c>
      <c r="E2" s="469">
        <f>Table11[[#This Row],[Date]]-DAY(Table11[[#This Row],[Date]])+1</f>
        <v>45689</v>
      </c>
      <c r="F2" s="470">
        <v>45716</v>
      </c>
      <c r="G2" t="s">
        <v>477</v>
      </c>
      <c r="H2" t="str">
        <f>IFERROR(_xlfn.XLOOKUP(Table11[[#This Row],[Affected Feeder ]],'Basic Data'!$A$82:$A$83,'Basic Data'!$B$82:$B$83),"")</f>
        <v>TQGXIIPL</v>
      </c>
      <c r="I2" t="str">
        <f>IFERROR(_xlfn.XLOOKUP(Table11[[#This Row],[Affected Feeder ]],'Basic Data'!$A$82:$A$83,'Basic Data'!$C$82:$C$83),"")</f>
        <v>GEDA</v>
      </c>
      <c r="J2" s="487">
        <f>IFERROR(_xlfn.XLOOKUP(Table11[[#This Row],[Affected Feeder ]],'Basic Data'!$A$82:$A$83,'Basic Data'!$E$82:$E$83),"")</f>
        <v>1</v>
      </c>
      <c r="K2" t="s">
        <v>479</v>
      </c>
      <c r="L2" t="s">
        <v>478</v>
      </c>
      <c r="M2" s="488">
        <v>0.34722222222222221</v>
      </c>
      <c r="N2" s="489">
        <v>0.34722222222222221</v>
      </c>
      <c r="O2" s="489">
        <v>0.77361111111111114</v>
      </c>
      <c r="P2" s="23">
        <f>(Table11[[#This Row],[Work Start TimeStamp]]-Table11[[#This Row],[Fault Start TimeStamp]])*24</f>
        <v>0</v>
      </c>
      <c r="Q2" s="23">
        <f>IF(Table11[[#This Row],[Work Start TimeStamp]]="","",(Table11[[#This Row],[Fault Clearance time]]-Table11[[#This Row],[Work Start TimeStamp]])*24)</f>
        <v>10.233333333333334</v>
      </c>
      <c r="R2" s="23">
        <f>(Table11[[#This Row],[Fault Clearance time]]-Table11[[#This Row],[Fault Start TimeStamp]])*24</f>
        <v>10.233333333333334</v>
      </c>
      <c r="S2" s="490" t="s">
        <v>479</v>
      </c>
      <c r="T2" s="1" t="s">
        <v>293</v>
      </c>
      <c r="U2" s="493">
        <f>IFERROR(Table11[[#This Row],[Breakdown Time]]*Table11[[#This Row],[Plant Equivalent Weightage]],"")</f>
        <v>10.233333333333334</v>
      </c>
      <c r="V2" s="491"/>
      <c r="W2" s="491"/>
      <c r="X2" s="493">
        <v>1222.5</v>
      </c>
      <c r="Y2" s="485">
        <f>Table11[[#This Row],[Loss of KWH]]*5*Table11[[#This Row],[Breakdown Time]]</f>
        <v>62551.250000000007</v>
      </c>
      <c r="AA2" s="492"/>
    </row>
    <row r="3" spans="1:29">
      <c r="A3" s="102">
        <f>A2+1</f>
        <v>2</v>
      </c>
      <c r="B3" s="470"/>
      <c r="C3" s="102"/>
      <c r="D3" s="102"/>
      <c r="E3" s="469"/>
      <c r="F3" s="470"/>
      <c r="H3" t="str">
        <f>IFERROR(_xlfn.XLOOKUP(Table11[[#This Row],[Affected Feeder ]],'Basic Data'!$A$82:$A$83,'Basic Data'!$B$82:$B$83),"")</f>
        <v/>
      </c>
      <c r="I3" t="str">
        <f>IFERROR(_xlfn.XLOOKUP(Table11[[#This Row],[Affected Feeder ]],'Basic Data'!$A$82:$A$83,'Basic Data'!$C$82:$C$83),"")</f>
        <v/>
      </c>
      <c r="J3" s="487" t="str">
        <f>IFERROR(_xlfn.XLOOKUP(Table11[[#This Row],[Affected Feeder ]],'Basic Data'!$A$82:$A$83,'Basic Data'!$E$82:$E$83),"")</f>
        <v/>
      </c>
      <c r="M3" s="488"/>
      <c r="N3" s="489"/>
      <c r="O3" s="489"/>
      <c r="P3" s="23">
        <f>(Table11[[#This Row],[Work Start TimeStamp]]-Table11[[#This Row],[Fault Start TimeStamp]])*24</f>
        <v>0</v>
      </c>
      <c r="Q3" s="23" t="str">
        <f>IF(Table11[[#This Row],[Work Start TimeStamp]]="","",(Table11[[#This Row],[Fault Clearance time]]-Table11[[#This Row],[Work Start TimeStamp]])*24)</f>
        <v/>
      </c>
      <c r="R3" s="23">
        <f>(Table11[[#This Row],[Fault Clearance time]]-Table11[[#This Row],[Fault Start TimeStamp]])*24</f>
        <v>0</v>
      </c>
      <c r="S3" s="490"/>
      <c r="T3" s="1"/>
      <c r="U3" s="493" t="str">
        <f>IFERROR(Table11[[#This Row],[Breakdown Time]]*Table11[[#This Row],[Plant Equivalent Weightage]],"")</f>
        <v/>
      </c>
      <c r="V3" s="491"/>
      <c r="W3" s="491"/>
      <c r="X3" s="493"/>
      <c r="Y3" s="485">
        <f>Table11[[#This Row],[Loss of KWH]]*5*Table11[[#This Row],[Breakdown Time]]</f>
        <v>0</v>
      </c>
      <c r="AA3" s="492"/>
    </row>
  </sheetData>
  <dataValidations count="1">
    <dataValidation type="decimal" allowBlank="1" showInputMessage="1" showErrorMessage="1" sqref="Z2:Z3" xr:uid="{61724EAB-60E0-4630-9FC2-5BD87D6C8AEC}">
      <formula1>0</formula1>
      <formula2>50.6</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DFE6353D-B5C0-4429-9CBE-6B89D9737EF8}">
          <x14:formula1>
            <xm:f>'Basic Data'!$A$82:$A$83</xm:f>
          </x14:formula1>
          <xm:sqref>G2:G1048576</xm:sqref>
        </x14:dataValidation>
        <x14:dataValidation type="list" allowBlank="1" showInputMessage="1" showErrorMessage="1" xr:uid="{70E58EC6-1BD3-4530-8E7C-8E391AFC1566}">
          <x14:formula1>
            <xm:f>'Basic Data'!$N$3:$N$4</xm:f>
          </x14:formula1>
          <xm:sqref>T2:T1048576</xm:sqref>
        </x14:dataValidation>
        <x14:dataValidation type="list" allowBlank="1" showInputMessage="1" showErrorMessage="1" xr:uid="{C4C7195E-EDC6-49FF-9DFE-AEF5253A0024}">
          <x14:formula1>
            <xm:f>'Basic Data'!$R$4:$R$7</xm:f>
          </x14:formula1>
          <xm:sqref>V2:V1048576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58CC7-A224-4EC7-95C6-32E0F19AB39A}">
  <dimension ref="A1:Q30"/>
  <sheetViews>
    <sheetView workbookViewId="0">
      <pane ySplit="1" topLeftCell="A2" activePane="bottomLeft" state="frozen"/>
      <selection pane="bottomLeft" activeCell="K21" sqref="K21"/>
    </sheetView>
  </sheetViews>
  <sheetFormatPr defaultRowHeight="14.5"/>
  <cols>
    <col min="5" max="5" width="10.08984375" bestFit="1" customWidth="1"/>
    <col min="6" max="6" width="16.08984375" bestFit="1" customWidth="1"/>
    <col min="7" max="7" width="10.08984375" bestFit="1" customWidth="1"/>
    <col min="8" max="8" width="10.54296875" bestFit="1" customWidth="1"/>
    <col min="12" max="12" width="14.54296875" customWidth="1"/>
    <col min="13" max="13" width="9.90625" bestFit="1" customWidth="1"/>
    <col min="14" max="14" width="13" customWidth="1"/>
    <col min="16" max="16" width="11.90625" customWidth="1"/>
    <col min="17" max="17" width="26.453125" customWidth="1"/>
  </cols>
  <sheetData>
    <row r="1" spans="1:17">
      <c r="A1" s="646" t="s">
        <v>1865</v>
      </c>
      <c r="B1" s="649" t="s">
        <v>1866</v>
      </c>
      <c r="C1" s="649" t="s">
        <v>1867</v>
      </c>
      <c r="D1" s="649" t="s">
        <v>1868</v>
      </c>
      <c r="E1" s="649" t="s">
        <v>1869</v>
      </c>
      <c r="F1" s="652" t="s">
        <v>1870</v>
      </c>
      <c r="G1" s="633">
        <v>2024</v>
      </c>
      <c r="H1" s="634"/>
      <c r="I1" s="634"/>
      <c r="J1" s="634"/>
      <c r="K1" s="361"/>
      <c r="L1" s="635">
        <v>2025</v>
      </c>
      <c r="M1" s="636"/>
      <c r="N1" s="636"/>
      <c r="O1" s="636"/>
      <c r="P1" s="636"/>
      <c r="Q1" s="637"/>
    </row>
    <row r="2" spans="1:17">
      <c r="A2" s="647"/>
      <c r="B2" s="650"/>
      <c r="C2" s="650"/>
      <c r="D2" s="650"/>
      <c r="E2" s="650"/>
      <c r="F2" s="653"/>
      <c r="G2" s="638" t="s">
        <v>1871</v>
      </c>
      <c r="H2" s="639"/>
      <c r="I2" s="639"/>
      <c r="J2" s="639"/>
      <c r="K2" s="640"/>
      <c r="L2" s="641" t="s">
        <v>1872</v>
      </c>
      <c r="M2" s="642"/>
      <c r="N2" s="642"/>
      <c r="O2" s="642"/>
      <c r="P2" s="642"/>
      <c r="Q2" s="643"/>
    </row>
    <row r="3" spans="1:17">
      <c r="A3" s="648"/>
      <c r="B3" s="651"/>
      <c r="C3" s="651"/>
      <c r="D3" s="651"/>
      <c r="E3" s="651"/>
      <c r="F3" s="654"/>
      <c r="G3" s="346" t="s">
        <v>1873</v>
      </c>
      <c r="H3" s="347" t="s">
        <v>1874</v>
      </c>
      <c r="I3" s="346" t="s">
        <v>1875</v>
      </c>
      <c r="J3" s="346" t="s">
        <v>1876</v>
      </c>
      <c r="K3" s="346" t="s">
        <v>1877</v>
      </c>
      <c r="L3" s="348" t="s">
        <v>1873</v>
      </c>
      <c r="M3" s="349" t="s">
        <v>1878</v>
      </c>
      <c r="N3" s="349" t="s">
        <v>1879</v>
      </c>
      <c r="O3" s="348" t="s">
        <v>1875</v>
      </c>
      <c r="P3" s="345" t="s">
        <v>1876</v>
      </c>
      <c r="Q3" s="362" t="s">
        <v>12</v>
      </c>
    </row>
    <row r="4" spans="1:17">
      <c r="A4" s="363">
        <v>1</v>
      </c>
      <c r="B4" s="153" t="s">
        <v>1880</v>
      </c>
      <c r="C4" s="153" t="s">
        <v>313</v>
      </c>
      <c r="D4" s="153">
        <v>5333</v>
      </c>
      <c r="E4" s="350">
        <v>45382</v>
      </c>
      <c r="F4" s="350">
        <v>45432</v>
      </c>
      <c r="G4" s="351">
        <f>F4+49</f>
        <v>45481</v>
      </c>
      <c r="H4" s="350">
        <v>45506</v>
      </c>
      <c r="I4" s="352">
        <f>H4-G4</f>
        <v>25</v>
      </c>
      <c r="J4" s="353">
        <f>IF(I4&lt;-30,100-((-1*I4-30)/90)*100,IF(I4&gt;30,100-((I4-30)/90)*100,1*100))</f>
        <v>100</v>
      </c>
      <c r="K4" s="131"/>
      <c r="L4" s="351">
        <v>45715</v>
      </c>
      <c r="M4" s="354">
        <v>45723</v>
      </c>
      <c r="N4" s="354">
        <v>45724</v>
      </c>
      <c r="O4" s="352">
        <f>M4-L4</f>
        <v>8</v>
      </c>
      <c r="P4" s="355"/>
      <c r="Q4" s="364"/>
    </row>
    <row r="5" spans="1:17">
      <c r="A5" s="365">
        <v>2</v>
      </c>
      <c r="B5" s="153" t="s">
        <v>1880</v>
      </c>
      <c r="C5" s="153" t="s">
        <v>327</v>
      </c>
      <c r="D5" s="153">
        <v>5334</v>
      </c>
      <c r="E5" s="350">
        <v>45382</v>
      </c>
      <c r="F5" s="350">
        <v>45418</v>
      </c>
      <c r="G5" s="351">
        <f t="shared" ref="G5:G21" si="0">F5+49</f>
        <v>45467</v>
      </c>
      <c r="H5" s="350">
        <v>45504</v>
      </c>
      <c r="I5" s="352">
        <f t="shared" ref="I5:I28" si="1">H5-G5</f>
        <v>37</v>
      </c>
      <c r="J5" s="353">
        <f t="shared" ref="J5:J29" si="2">IF(I5&lt;-30,100-((-1*I5-30)/90)*100,IF(I5&gt;30,100-((I5-30)/90)*100,1*100))</f>
        <v>92.222222222222229</v>
      </c>
      <c r="K5" s="131" t="s">
        <v>1881</v>
      </c>
      <c r="L5" s="351">
        <v>45719</v>
      </c>
      <c r="M5" s="356">
        <v>45727</v>
      </c>
      <c r="N5" s="356">
        <v>45728</v>
      </c>
      <c r="O5" s="352">
        <f t="shared" ref="O5:O21" si="3">M5-L5</f>
        <v>8</v>
      </c>
      <c r="P5" s="355"/>
      <c r="Q5" s="364"/>
    </row>
    <row r="6" spans="1:17">
      <c r="A6" s="365">
        <v>3</v>
      </c>
      <c r="B6" s="153" t="s">
        <v>1880</v>
      </c>
      <c r="C6" s="153" t="s">
        <v>326</v>
      </c>
      <c r="D6" s="153">
        <v>5335</v>
      </c>
      <c r="E6" s="350">
        <v>45382</v>
      </c>
      <c r="F6" s="350">
        <v>45414</v>
      </c>
      <c r="G6" s="351">
        <f t="shared" si="0"/>
        <v>45463</v>
      </c>
      <c r="H6" s="350">
        <v>45479</v>
      </c>
      <c r="I6" s="352">
        <f t="shared" si="1"/>
        <v>16</v>
      </c>
      <c r="J6" s="353">
        <f t="shared" si="2"/>
        <v>100</v>
      </c>
      <c r="K6" s="131"/>
      <c r="L6" s="351">
        <v>45721</v>
      </c>
      <c r="M6" s="356">
        <v>45733</v>
      </c>
      <c r="N6" s="356">
        <v>45735</v>
      </c>
      <c r="O6" s="352">
        <f t="shared" si="3"/>
        <v>12</v>
      </c>
      <c r="P6" s="355"/>
      <c r="Q6" s="364"/>
    </row>
    <row r="7" spans="1:17">
      <c r="A7" s="365">
        <v>4</v>
      </c>
      <c r="B7" s="153" t="s">
        <v>1880</v>
      </c>
      <c r="C7" s="153" t="s">
        <v>322</v>
      </c>
      <c r="D7" s="153">
        <v>5336</v>
      </c>
      <c r="E7" s="350">
        <v>45382</v>
      </c>
      <c r="F7" s="350">
        <v>45417</v>
      </c>
      <c r="G7" s="351">
        <f t="shared" si="0"/>
        <v>45466</v>
      </c>
      <c r="H7" s="350">
        <v>45489</v>
      </c>
      <c r="I7" s="352">
        <f t="shared" si="1"/>
        <v>23</v>
      </c>
      <c r="J7" s="353">
        <f t="shared" si="2"/>
        <v>100</v>
      </c>
      <c r="K7" s="131"/>
      <c r="L7" s="351">
        <v>45723</v>
      </c>
      <c r="M7" s="356">
        <v>45736</v>
      </c>
      <c r="N7" s="356">
        <v>45737</v>
      </c>
      <c r="O7" s="352">
        <f t="shared" si="3"/>
        <v>13</v>
      </c>
      <c r="P7" s="355"/>
      <c r="Q7" s="364"/>
    </row>
    <row r="8" spans="1:17">
      <c r="A8" s="365">
        <v>5</v>
      </c>
      <c r="B8" s="153" t="s">
        <v>1880</v>
      </c>
      <c r="C8" s="153" t="s">
        <v>323</v>
      </c>
      <c r="D8" s="153">
        <v>5332</v>
      </c>
      <c r="E8" s="350">
        <v>45384</v>
      </c>
      <c r="F8" s="350">
        <v>45417</v>
      </c>
      <c r="G8" s="351">
        <f t="shared" si="0"/>
        <v>45466</v>
      </c>
      <c r="H8" s="350">
        <v>45484</v>
      </c>
      <c r="I8" s="352">
        <f t="shared" si="1"/>
        <v>18</v>
      </c>
      <c r="J8" s="353">
        <f t="shared" si="2"/>
        <v>100</v>
      </c>
      <c r="K8" s="131"/>
      <c r="L8" s="351">
        <v>45727</v>
      </c>
      <c r="M8" s="356">
        <v>45748</v>
      </c>
      <c r="N8" s="356">
        <v>45749</v>
      </c>
      <c r="O8" s="352">
        <f t="shared" si="3"/>
        <v>21</v>
      </c>
      <c r="P8" s="355"/>
      <c r="Q8" s="364"/>
    </row>
    <row r="9" spans="1:17">
      <c r="A9" s="365">
        <v>6</v>
      </c>
      <c r="B9" s="153" t="s">
        <v>1880</v>
      </c>
      <c r="C9" s="153" t="s">
        <v>332</v>
      </c>
      <c r="D9" s="153">
        <v>5341</v>
      </c>
      <c r="E9" s="350">
        <v>45384</v>
      </c>
      <c r="F9" s="350">
        <v>45418</v>
      </c>
      <c r="G9" s="351">
        <f t="shared" si="0"/>
        <v>45467</v>
      </c>
      <c r="H9" s="350">
        <v>45492</v>
      </c>
      <c r="I9" s="352">
        <f t="shared" si="1"/>
        <v>25</v>
      </c>
      <c r="J9" s="353">
        <f t="shared" si="2"/>
        <v>100</v>
      </c>
      <c r="K9" s="131"/>
      <c r="L9" s="351">
        <v>45733</v>
      </c>
      <c r="M9" s="356">
        <v>45752</v>
      </c>
      <c r="N9" s="356">
        <v>45753</v>
      </c>
      <c r="O9" s="352">
        <f t="shared" si="3"/>
        <v>19</v>
      </c>
      <c r="P9" s="355"/>
      <c r="Q9" s="364"/>
    </row>
    <row r="10" spans="1:17">
      <c r="A10" s="365">
        <v>7</v>
      </c>
      <c r="B10" s="153" t="s">
        <v>1880</v>
      </c>
      <c r="C10" s="153" t="s">
        <v>312</v>
      </c>
      <c r="D10" s="153">
        <v>5342</v>
      </c>
      <c r="E10" s="350">
        <v>45401</v>
      </c>
      <c r="F10" s="350">
        <v>45414</v>
      </c>
      <c r="G10" s="351">
        <f t="shared" si="0"/>
        <v>45463</v>
      </c>
      <c r="H10" s="350">
        <v>45482</v>
      </c>
      <c r="I10" s="352">
        <f t="shared" si="1"/>
        <v>19</v>
      </c>
      <c r="J10" s="353">
        <f t="shared" si="2"/>
        <v>100</v>
      </c>
      <c r="K10" s="131"/>
      <c r="L10" s="351">
        <v>45735</v>
      </c>
      <c r="M10" s="356">
        <v>45760</v>
      </c>
      <c r="N10" s="356">
        <v>45761</v>
      </c>
      <c r="O10" s="352">
        <f t="shared" si="3"/>
        <v>25</v>
      </c>
      <c r="P10" s="355"/>
      <c r="Q10" s="364"/>
    </row>
    <row r="11" spans="1:17">
      <c r="A11" s="365">
        <v>8</v>
      </c>
      <c r="B11" s="153" t="s">
        <v>1880</v>
      </c>
      <c r="C11" s="153" t="s">
        <v>331</v>
      </c>
      <c r="D11" s="153">
        <v>5337</v>
      </c>
      <c r="E11" s="350">
        <v>45401</v>
      </c>
      <c r="F11" s="350">
        <v>45427</v>
      </c>
      <c r="G11" s="351">
        <f t="shared" si="0"/>
        <v>45476</v>
      </c>
      <c r="H11" s="350">
        <v>45523</v>
      </c>
      <c r="I11" s="352">
        <f t="shared" si="1"/>
        <v>47</v>
      </c>
      <c r="J11" s="353">
        <f t="shared" si="2"/>
        <v>81.111111111111114</v>
      </c>
      <c r="K11" s="131" t="s">
        <v>1882</v>
      </c>
      <c r="L11" s="351">
        <v>45737</v>
      </c>
      <c r="M11" s="356">
        <v>45762</v>
      </c>
      <c r="N11" s="356">
        <v>45768</v>
      </c>
      <c r="O11" s="352">
        <f t="shared" si="3"/>
        <v>25</v>
      </c>
      <c r="P11" s="355"/>
      <c r="Q11" s="364"/>
    </row>
    <row r="12" spans="1:17">
      <c r="A12" s="365">
        <v>9</v>
      </c>
      <c r="B12" s="153" t="s">
        <v>1880</v>
      </c>
      <c r="C12" s="153" t="s">
        <v>320</v>
      </c>
      <c r="D12" s="153">
        <v>5343</v>
      </c>
      <c r="E12" s="350">
        <v>45401</v>
      </c>
      <c r="F12" s="350">
        <v>45414</v>
      </c>
      <c r="G12" s="351">
        <f t="shared" si="0"/>
        <v>45463</v>
      </c>
      <c r="H12" s="350">
        <v>45476</v>
      </c>
      <c r="I12" s="352">
        <f t="shared" si="1"/>
        <v>13</v>
      </c>
      <c r="J12" s="353">
        <f t="shared" si="2"/>
        <v>100</v>
      </c>
      <c r="K12" s="131"/>
      <c r="L12" s="351">
        <v>45741</v>
      </c>
      <c r="M12" s="356">
        <v>45772</v>
      </c>
      <c r="N12" s="356">
        <v>45773</v>
      </c>
      <c r="O12" s="352">
        <f t="shared" si="3"/>
        <v>31</v>
      </c>
      <c r="P12" s="355"/>
      <c r="Q12" s="364"/>
    </row>
    <row r="13" spans="1:17">
      <c r="A13" s="365">
        <v>10</v>
      </c>
      <c r="B13" s="153" t="s">
        <v>1880</v>
      </c>
      <c r="C13" s="153" t="s">
        <v>309</v>
      </c>
      <c r="D13" s="153">
        <v>5331</v>
      </c>
      <c r="E13" s="350">
        <v>45437</v>
      </c>
      <c r="F13" s="350">
        <v>45433</v>
      </c>
      <c r="G13" s="351">
        <f t="shared" si="0"/>
        <v>45482</v>
      </c>
      <c r="H13" s="350">
        <v>45520</v>
      </c>
      <c r="I13" s="352">
        <f t="shared" si="1"/>
        <v>38</v>
      </c>
      <c r="J13" s="353">
        <f t="shared" si="2"/>
        <v>91.111111111111114</v>
      </c>
      <c r="K13" s="131" t="s">
        <v>1883</v>
      </c>
      <c r="L13" s="351">
        <v>45743</v>
      </c>
      <c r="M13" s="356">
        <v>45754</v>
      </c>
      <c r="N13" s="356">
        <v>45755</v>
      </c>
      <c r="O13" s="352">
        <f t="shared" si="3"/>
        <v>11</v>
      </c>
      <c r="P13" s="355"/>
      <c r="Q13" s="364"/>
    </row>
    <row r="14" spans="1:17">
      <c r="A14" s="365">
        <v>11</v>
      </c>
      <c r="B14" s="153" t="s">
        <v>1880</v>
      </c>
      <c r="C14" s="153" t="s">
        <v>318</v>
      </c>
      <c r="D14" s="153">
        <v>5329</v>
      </c>
      <c r="E14" s="350">
        <v>45401</v>
      </c>
      <c r="F14" s="350">
        <v>45433</v>
      </c>
      <c r="G14" s="351">
        <f t="shared" si="0"/>
        <v>45482</v>
      </c>
      <c r="H14" s="350">
        <v>45516</v>
      </c>
      <c r="I14" s="352">
        <f t="shared" si="1"/>
        <v>34</v>
      </c>
      <c r="J14" s="353">
        <f t="shared" si="2"/>
        <v>95.555555555555557</v>
      </c>
      <c r="K14" s="131" t="s">
        <v>1883</v>
      </c>
      <c r="L14" s="351">
        <v>45748</v>
      </c>
      <c r="M14" s="356">
        <v>45738</v>
      </c>
      <c r="N14" s="356">
        <v>45741</v>
      </c>
      <c r="O14" s="352">
        <f t="shared" si="3"/>
        <v>-10</v>
      </c>
      <c r="P14" s="355"/>
      <c r="Q14" s="364"/>
    </row>
    <row r="15" spans="1:17">
      <c r="A15" s="365">
        <v>12</v>
      </c>
      <c r="B15" s="153" t="s">
        <v>1880</v>
      </c>
      <c r="C15" s="153" t="s">
        <v>333</v>
      </c>
      <c r="D15" s="153">
        <v>5340</v>
      </c>
      <c r="E15" s="350">
        <v>45437</v>
      </c>
      <c r="F15" s="350">
        <v>45436</v>
      </c>
      <c r="G15" s="351">
        <f t="shared" si="0"/>
        <v>45485</v>
      </c>
      <c r="H15" s="350">
        <v>45592</v>
      </c>
      <c r="I15" s="352">
        <f t="shared" si="1"/>
        <v>107</v>
      </c>
      <c r="J15" s="353">
        <f t="shared" si="2"/>
        <v>14.444444444444443</v>
      </c>
      <c r="K15" s="131" t="s">
        <v>1884</v>
      </c>
      <c r="L15" s="351">
        <v>45750</v>
      </c>
      <c r="M15" s="356">
        <v>45764</v>
      </c>
      <c r="N15" s="356">
        <v>45765</v>
      </c>
      <c r="O15" s="352">
        <f t="shared" si="3"/>
        <v>14</v>
      </c>
      <c r="P15" s="355"/>
      <c r="Q15" s="364"/>
    </row>
    <row r="16" spans="1:17">
      <c r="A16" s="365">
        <v>13</v>
      </c>
      <c r="B16" s="153" t="s">
        <v>1880</v>
      </c>
      <c r="C16" s="357" t="s">
        <v>315</v>
      </c>
      <c r="D16" s="357">
        <v>5346</v>
      </c>
      <c r="E16" s="350">
        <v>45469</v>
      </c>
      <c r="F16" s="350">
        <v>45457</v>
      </c>
      <c r="G16" s="351">
        <f t="shared" si="0"/>
        <v>45506</v>
      </c>
      <c r="H16" s="350">
        <v>45517</v>
      </c>
      <c r="I16" s="352">
        <f t="shared" si="1"/>
        <v>11</v>
      </c>
      <c r="J16" s="353">
        <f t="shared" si="2"/>
        <v>100</v>
      </c>
      <c r="K16" s="131"/>
      <c r="L16" s="351">
        <v>45754</v>
      </c>
      <c r="M16" s="356">
        <v>45750</v>
      </c>
      <c r="N16" s="356">
        <v>45751</v>
      </c>
      <c r="O16" s="352">
        <f t="shared" si="3"/>
        <v>-4</v>
      </c>
      <c r="P16" s="355"/>
      <c r="Q16" s="364"/>
    </row>
    <row r="17" spans="1:17">
      <c r="A17" s="365">
        <v>14</v>
      </c>
      <c r="B17" s="153" t="s">
        <v>1880</v>
      </c>
      <c r="C17" s="357" t="s">
        <v>319</v>
      </c>
      <c r="D17" s="357">
        <v>5347</v>
      </c>
      <c r="E17" s="350">
        <v>45469</v>
      </c>
      <c r="F17" s="350">
        <v>45467</v>
      </c>
      <c r="G17" s="351">
        <f t="shared" si="0"/>
        <v>45516</v>
      </c>
      <c r="H17" s="350">
        <v>45539</v>
      </c>
      <c r="I17" s="352">
        <f t="shared" si="1"/>
        <v>23</v>
      </c>
      <c r="J17" s="353">
        <f t="shared" si="2"/>
        <v>100</v>
      </c>
      <c r="K17" s="131"/>
      <c r="L17" s="351">
        <v>45756</v>
      </c>
      <c r="M17" s="356">
        <v>45775</v>
      </c>
      <c r="N17" s="356">
        <v>45776</v>
      </c>
      <c r="O17" s="352">
        <f t="shared" si="3"/>
        <v>19</v>
      </c>
      <c r="P17" s="355"/>
      <c r="Q17" s="364"/>
    </row>
    <row r="18" spans="1:17">
      <c r="A18" s="365">
        <v>15</v>
      </c>
      <c r="B18" s="153" t="s">
        <v>1880</v>
      </c>
      <c r="C18" s="357" t="s">
        <v>311</v>
      </c>
      <c r="D18" s="357">
        <v>5349</v>
      </c>
      <c r="E18" s="350">
        <v>45469</v>
      </c>
      <c r="F18" s="350">
        <v>45468</v>
      </c>
      <c r="G18" s="351">
        <f t="shared" si="0"/>
        <v>45517</v>
      </c>
      <c r="H18" s="350">
        <v>45525</v>
      </c>
      <c r="I18" s="352">
        <f t="shared" si="1"/>
        <v>8</v>
      </c>
      <c r="J18" s="353">
        <f t="shared" si="2"/>
        <v>100</v>
      </c>
      <c r="K18" s="131"/>
      <c r="L18" s="351">
        <v>45758</v>
      </c>
      <c r="M18" s="356">
        <v>45766</v>
      </c>
      <c r="N18" s="356">
        <v>45767</v>
      </c>
      <c r="O18" s="352">
        <f t="shared" si="3"/>
        <v>8</v>
      </c>
      <c r="P18" s="355"/>
      <c r="Q18" s="364"/>
    </row>
    <row r="19" spans="1:17">
      <c r="A19" s="365">
        <v>16</v>
      </c>
      <c r="B19" s="153" t="s">
        <v>1880</v>
      </c>
      <c r="C19" s="357" t="s">
        <v>325</v>
      </c>
      <c r="D19" s="357">
        <v>5344</v>
      </c>
      <c r="E19" s="350">
        <v>45469</v>
      </c>
      <c r="F19" s="350">
        <v>45465</v>
      </c>
      <c r="G19" s="351">
        <f t="shared" si="0"/>
        <v>45514</v>
      </c>
      <c r="H19" s="350">
        <v>45527</v>
      </c>
      <c r="I19" s="352">
        <f t="shared" si="1"/>
        <v>13</v>
      </c>
      <c r="J19" s="353">
        <f t="shared" si="2"/>
        <v>100</v>
      </c>
      <c r="K19" s="131"/>
      <c r="L19" s="351">
        <v>45762</v>
      </c>
      <c r="M19" s="545">
        <v>45779</v>
      </c>
      <c r="N19" s="546">
        <v>45779</v>
      </c>
      <c r="O19" s="352">
        <f t="shared" si="3"/>
        <v>17</v>
      </c>
      <c r="P19" s="355"/>
      <c r="Q19" s="364"/>
    </row>
    <row r="20" spans="1:17">
      <c r="A20" s="365">
        <v>17</v>
      </c>
      <c r="B20" s="153" t="s">
        <v>1880</v>
      </c>
      <c r="C20" s="357" t="s">
        <v>314</v>
      </c>
      <c r="D20" s="357">
        <v>5352</v>
      </c>
      <c r="E20" s="350">
        <v>45498</v>
      </c>
      <c r="F20" s="350">
        <v>45498</v>
      </c>
      <c r="G20" s="351">
        <f t="shared" si="0"/>
        <v>45547</v>
      </c>
      <c r="H20" s="350">
        <v>45544</v>
      </c>
      <c r="I20" s="352">
        <f t="shared" si="1"/>
        <v>-3</v>
      </c>
      <c r="J20" s="353">
        <f t="shared" si="2"/>
        <v>100</v>
      </c>
      <c r="K20" s="131"/>
      <c r="L20" s="351">
        <v>45764</v>
      </c>
      <c r="M20" s="545">
        <v>45780</v>
      </c>
      <c r="N20" s="546">
        <v>45780</v>
      </c>
      <c r="O20" s="352">
        <f t="shared" si="3"/>
        <v>16</v>
      </c>
      <c r="P20" s="355"/>
      <c r="Q20" s="364"/>
    </row>
    <row r="21" spans="1:17">
      <c r="A21" s="365">
        <v>18</v>
      </c>
      <c r="B21" s="153" t="s">
        <v>1880</v>
      </c>
      <c r="C21" s="357" t="s">
        <v>316</v>
      </c>
      <c r="D21" s="357">
        <v>5353</v>
      </c>
      <c r="E21" s="350">
        <v>45469</v>
      </c>
      <c r="F21" s="350">
        <v>45492</v>
      </c>
      <c r="G21" s="351">
        <f t="shared" si="0"/>
        <v>45541</v>
      </c>
      <c r="H21" s="350">
        <v>45541</v>
      </c>
      <c r="I21" s="352">
        <f t="shared" si="1"/>
        <v>0</v>
      </c>
      <c r="J21" s="353">
        <f t="shared" si="2"/>
        <v>100</v>
      </c>
      <c r="K21" s="131"/>
      <c r="L21" s="351">
        <v>45768</v>
      </c>
      <c r="M21" s="545">
        <v>45781</v>
      </c>
      <c r="N21" s="546">
        <v>45781</v>
      </c>
      <c r="O21" s="352">
        <f t="shared" si="3"/>
        <v>13</v>
      </c>
      <c r="P21" s="355"/>
      <c r="Q21" s="364"/>
    </row>
    <row r="22" spans="1:17">
      <c r="A22" s="365">
        <v>19</v>
      </c>
      <c r="B22" s="153" t="s">
        <v>1880</v>
      </c>
      <c r="C22" s="357" t="s">
        <v>321</v>
      </c>
      <c r="D22" s="357">
        <v>5345</v>
      </c>
      <c r="E22" s="350">
        <v>45522</v>
      </c>
      <c r="F22" s="350">
        <v>45524</v>
      </c>
      <c r="G22" s="351">
        <v>45545</v>
      </c>
      <c r="H22" s="350">
        <v>45548</v>
      </c>
      <c r="I22" s="352">
        <f t="shared" si="1"/>
        <v>3</v>
      </c>
      <c r="J22" s="353">
        <f t="shared" si="2"/>
        <v>100</v>
      </c>
      <c r="K22" s="131"/>
      <c r="L22" s="369">
        <v>45931</v>
      </c>
      <c r="M22" s="358"/>
      <c r="N22" s="358"/>
      <c r="O22" s="352"/>
      <c r="P22" s="355"/>
      <c r="Q22" s="364"/>
    </row>
    <row r="23" spans="1:17">
      <c r="A23" s="365">
        <v>20</v>
      </c>
      <c r="B23" s="153" t="s">
        <v>1880</v>
      </c>
      <c r="C23" s="357" t="s">
        <v>317</v>
      </c>
      <c r="D23" s="357">
        <v>5328</v>
      </c>
      <c r="E23" s="350">
        <v>45526</v>
      </c>
      <c r="F23" s="350">
        <v>45533</v>
      </c>
      <c r="G23" s="351">
        <f>F23+49</f>
        <v>45582</v>
      </c>
      <c r="H23" s="350">
        <v>45583</v>
      </c>
      <c r="I23" s="352">
        <f t="shared" si="1"/>
        <v>1</v>
      </c>
      <c r="J23" s="353">
        <f t="shared" si="2"/>
        <v>100</v>
      </c>
      <c r="K23" s="131"/>
      <c r="L23" s="370">
        <v>45933</v>
      </c>
      <c r="M23" s="358"/>
      <c r="N23" s="358"/>
      <c r="O23" s="352"/>
      <c r="P23" s="355"/>
      <c r="Q23" s="364"/>
    </row>
    <row r="24" spans="1:17">
      <c r="A24" s="365">
        <v>21</v>
      </c>
      <c r="B24" s="153" t="s">
        <v>1880</v>
      </c>
      <c r="C24" s="357" t="s">
        <v>310</v>
      </c>
      <c r="D24" s="357">
        <v>5330</v>
      </c>
      <c r="E24" s="350">
        <v>45528</v>
      </c>
      <c r="F24" s="350">
        <v>45538</v>
      </c>
      <c r="G24" s="351">
        <f t="shared" ref="G24:G25" si="4">F24+49</f>
        <v>45587</v>
      </c>
      <c r="H24" s="350">
        <v>45586</v>
      </c>
      <c r="I24" s="352">
        <f t="shared" si="1"/>
        <v>-1</v>
      </c>
      <c r="J24" s="353">
        <f t="shared" si="2"/>
        <v>100</v>
      </c>
      <c r="K24" s="131"/>
      <c r="L24" s="370">
        <v>45935</v>
      </c>
      <c r="M24" s="358"/>
      <c r="N24" s="358"/>
      <c r="O24" s="352"/>
      <c r="P24" s="355"/>
      <c r="Q24" s="364"/>
    </row>
    <row r="25" spans="1:17">
      <c r="A25" s="365">
        <v>22</v>
      </c>
      <c r="B25" s="153" t="s">
        <v>1880</v>
      </c>
      <c r="C25" s="357" t="s">
        <v>334</v>
      </c>
      <c r="D25" s="357">
        <v>5348</v>
      </c>
      <c r="E25" s="350">
        <v>45556</v>
      </c>
      <c r="F25" s="350">
        <v>45556</v>
      </c>
      <c r="G25" s="351">
        <f t="shared" si="4"/>
        <v>45605</v>
      </c>
      <c r="H25" s="350">
        <v>45590</v>
      </c>
      <c r="I25" s="352">
        <f t="shared" si="1"/>
        <v>-15</v>
      </c>
      <c r="J25" s="353">
        <f t="shared" si="2"/>
        <v>100</v>
      </c>
      <c r="K25" s="131"/>
      <c r="L25" s="370">
        <v>45938</v>
      </c>
      <c r="M25" s="358"/>
      <c r="N25" s="358"/>
      <c r="O25" s="352"/>
      <c r="P25" s="355"/>
      <c r="Q25" s="364"/>
    </row>
    <row r="26" spans="1:17">
      <c r="A26" s="365">
        <v>23</v>
      </c>
      <c r="B26" s="153" t="s">
        <v>1880</v>
      </c>
      <c r="C26" s="357" t="s">
        <v>383</v>
      </c>
      <c r="D26" s="357">
        <v>5339</v>
      </c>
      <c r="E26" s="350">
        <v>45578</v>
      </c>
      <c r="F26" s="350">
        <v>45578</v>
      </c>
      <c r="G26" s="351">
        <v>45640</v>
      </c>
      <c r="H26" s="350">
        <v>45641</v>
      </c>
      <c r="I26" s="352">
        <f t="shared" si="1"/>
        <v>1</v>
      </c>
      <c r="J26" s="353">
        <f t="shared" si="2"/>
        <v>100</v>
      </c>
      <c r="K26" s="131"/>
      <c r="L26" s="370">
        <v>45940</v>
      </c>
      <c r="M26" s="358"/>
      <c r="N26" s="358"/>
      <c r="O26" s="352"/>
      <c r="P26" s="353"/>
      <c r="Q26" s="364"/>
    </row>
    <row r="27" spans="1:17">
      <c r="A27" s="365">
        <v>24</v>
      </c>
      <c r="B27" s="153" t="s">
        <v>1880</v>
      </c>
      <c r="C27" s="357" t="s">
        <v>339</v>
      </c>
      <c r="D27" s="357">
        <v>5351</v>
      </c>
      <c r="E27" s="350">
        <v>45582</v>
      </c>
      <c r="F27" s="350">
        <v>45582</v>
      </c>
      <c r="G27" s="351">
        <v>45641</v>
      </c>
      <c r="H27" s="350">
        <v>45642</v>
      </c>
      <c r="I27" s="352">
        <f t="shared" si="1"/>
        <v>1</v>
      </c>
      <c r="J27" s="353">
        <f t="shared" si="2"/>
        <v>100</v>
      </c>
      <c r="K27" s="131"/>
      <c r="L27" s="370">
        <v>45942</v>
      </c>
      <c r="M27" s="358"/>
      <c r="N27" s="358"/>
      <c r="O27" s="352"/>
      <c r="P27" s="353"/>
      <c r="Q27" s="364"/>
    </row>
    <row r="28" spans="1:17">
      <c r="A28" s="365">
        <v>25</v>
      </c>
      <c r="B28" s="153" t="s">
        <v>1880</v>
      </c>
      <c r="C28" s="153" t="s">
        <v>340</v>
      </c>
      <c r="D28" s="153">
        <v>5350</v>
      </c>
      <c r="E28" s="350">
        <v>45593</v>
      </c>
      <c r="F28" s="350">
        <v>45591</v>
      </c>
      <c r="G28" s="351">
        <v>45642</v>
      </c>
      <c r="H28" s="350">
        <v>45643</v>
      </c>
      <c r="I28" s="352">
        <f t="shared" si="1"/>
        <v>1</v>
      </c>
      <c r="J28" s="353">
        <f t="shared" si="2"/>
        <v>100</v>
      </c>
      <c r="K28" s="131"/>
      <c r="L28" s="370">
        <v>45945</v>
      </c>
      <c r="M28" s="358"/>
      <c r="N28" s="358"/>
      <c r="O28" s="131"/>
      <c r="P28" s="352"/>
      <c r="Q28" s="364"/>
    </row>
    <row r="29" spans="1:17">
      <c r="A29" s="366">
        <v>26</v>
      </c>
      <c r="B29" s="153" t="s">
        <v>1880</v>
      </c>
      <c r="C29" s="153" t="s">
        <v>342</v>
      </c>
      <c r="D29" s="153">
        <v>5338</v>
      </c>
      <c r="E29" s="359">
        <v>45646</v>
      </c>
      <c r="F29" s="359">
        <v>45646</v>
      </c>
      <c r="G29" s="360">
        <v>45677</v>
      </c>
      <c r="H29" s="359">
        <v>45677</v>
      </c>
      <c r="I29" s="357">
        <v>0</v>
      </c>
      <c r="J29" s="353">
        <f t="shared" si="2"/>
        <v>100</v>
      </c>
      <c r="K29" s="131"/>
      <c r="L29" s="370">
        <v>45947</v>
      </c>
      <c r="M29" s="358"/>
      <c r="N29" s="358"/>
      <c r="O29" s="131"/>
      <c r="P29" s="352"/>
      <c r="Q29" s="364"/>
    </row>
    <row r="30" spans="1:17" ht="15" thickBot="1">
      <c r="A30" s="644"/>
      <c r="B30" s="645"/>
      <c r="C30" s="645"/>
      <c r="D30" s="645"/>
      <c r="E30" s="645"/>
      <c r="F30" s="645"/>
      <c r="G30" s="645"/>
      <c r="H30" s="645"/>
      <c r="I30" s="645"/>
      <c r="J30" s="645"/>
      <c r="K30" s="645"/>
      <c r="L30" s="367"/>
      <c r="M30" s="367"/>
      <c r="N30" s="367"/>
      <c r="O30" s="367"/>
      <c r="P30" s="367"/>
      <c r="Q30" s="368"/>
    </row>
  </sheetData>
  <mergeCells count="11">
    <mergeCell ref="G1:J1"/>
    <mergeCell ref="L1:Q1"/>
    <mergeCell ref="G2:K2"/>
    <mergeCell ref="L2:Q2"/>
    <mergeCell ref="A30:K30"/>
    <mergeCell ref="A1:A3"/>
    <mergeCell ref="B1:B3"/>
    <mergeCell ref="C1:C3"/>
    <mergeCell ref="D1:D3"/>
    <mergeCell ref="E1:E3"/>
    <mergeCell ref="F1:F3"/>
  </mergeCells>
  <conditionalFormatting sqref="J4:J29">
    <cfRule type="colorScale" priority="2">
      <colorScale>
        <cfvo type="min"/>
        <cfvo type="percentile" val="50"/>
        <cfvo type="max"/>
        <color rgb="FFF8696B"/>
        <color rgb="FFFFEB84"/>
        <color rgb="FF63BE7B"/>
      </colorScale>
    </cfRule>
  </conditionalFormatting>
  <conditionalFormatting sqref="P4:P29">
    <cfRule type="colorScale" priority="1">
      <colorScale>
        <cfvo type="num" val="0"/>
        <cfvo type="num" val="90"/>
        <cfvo type="num" val="100"/>
        <color rgb="FFF8696B"/>
        <color rgb="FFFFEB84"/>
        <color rgb="FF63BE7B"/>
      </colorScale>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9CD3D-D4AA-4E91-A1A3-F3598F60F0F5}">
  <dimension ref="A1:K26"/>
  <sheetViews>
    <sheetView topLeftCell="D1" workbookViewId="0">
      <selection activeCell="K20" sqref="K20"/>
    </sheetView>
  </sheetViews>
  <sheetFormatPr defaultRowHeight="14.5"/>
  <cols>
    <col min="1" max="1" width="7.08984375" bestFit="1" customWidth="1"/>
    <col min="2" max="2" width="10.453125" bestFit="1" customWidth="1"/>
    <col min="3" max="3" width="23.6328125" bestFit="1" customWidth="1"/>
    <col min="4" max="4" width="23.453125" bestFit="1" customWidth="1"/>
    <col min="5" max="5" width="14.6328125" bestFit="1" customWidth="1"/>
    <col min="6" max="6" width="19.453125" bestFit="1" customWidth="1"/>
    <col min="7" max="7" width="14.453125" bestFit="1" customWidth="1"/>
    <col min="8" max="8" width="18.08984375" bestFit="1" customWidth="1"/>
    <col min="9" max="9" width="30.453125" bestFit="1" customWidth="1"/>
    <col min="10" max="10" width="28.453125" customWidth="1"/>
    <col min="11" max="11" width="51.6328125" bestFit="1" customWidth="1"/>
  </cols>
  <sheetData>
    <row r="1" spans="1:11" ht="15.5">
      <c r="A1" s="655" t="s">
        <v>2040</v>
      </c>
      <c r="B1" s="655" t="s">
        <v>128</v>
      </c>
      <c r="C1" s="655" t="s">
        <v>2041</v>
      </c>
      <c r="D1" s="655" t="s">
        <v>2042</v>
      </c>
      <c r="E1" s="656" t="s">
        <v>2043</v>
      </c>
      <c r="F1" s="655" t="s">
        <v>2044</v>
      </c>
      <c r="G1" s="655" t="s">
        <v>2045</v>
      </c>
      <c r="H1" s="655" t="s">
        <v>2046</v>
      </c>
      <c r="I1" s="655" t="s">
        <v>2047</v>
      </c>
      <c r="J1" s="565"/>
      <c r="K1" s="655" t="s">
        <v>12</v>
      </c>
    </row>
    <row r="2" spans="1:11" ht="15.5">
      <c r="A2" s="655"/>
      <c r="B2" s="655"/>
      <c r="C2" s="655"/>
      <c r="D2" s="655"/>
      <c r="E2" s="657"/>
      <c r="F2" s="655"/>
      <c r="G2" s="655"/>
      <c r="H2" s="655"/>
      <c r="I2" s="655"/>
      <c r="J2" s="565" t="s">
        <v>2050</v>
      </c>
      <c r="K2" s="655"/>
    </row>
    <row r="3" spans="1:11">
      <c r="A3" s="153">
        <v>1</v>
      </c>
      <c r="B3" s="359">
        <v>45809</v>
      </c>
      <c r="C3" s="566">
        <v>0.41319444444444442</v>
      </c>
      <c r="D3" s="567">
        <v>0.65486111111111112</v>
      </c>
      <c r="E3" s="567">
        <f>D3-C3</f>
        <v>0.2416666666666667</v>
      </c>
      <c r="F3" s="153">
        <v>71.05</v>
      </c>
      <c r="G3" s="568">
        <v>0.15</v>
      </c>
      <c r="H3" s="352">
        <f>F3*G3</f>
        <v>10.657499999999999</v>
      </c>
      <c r="I3" s="352">
        <f>F3-H3</f>
        <v>60.392499999999998</v>
      </c>
      <c r="J3" s="153">
        <v>50</v>
      </c>
      <c r="K3" s="131" t="s">
        <v>2048</v>
      </c>
    </row>
    <row r="4" spans="1:11">
      <c r="A4" s="153">
        <v>2</v>
      </c>
      <c r="B4" s="359">
        <v>45809</v>
      </c>
      <c r="C4" s="567">
        <v>0.4201388888888889</v>
      </c>
      <c r="D4" s="567">
        <v>0.6694444444444444</v>
      </c>
      <c r="E4" s="567">
        <f>D4-C4</f>
        <v>0.2493055555555555</v>
      </c>
      <c r="F4" s="357">
        <v>60.35</v>
      </c>
      <c r="G4" s="568">
        <v>0.15</v>
      </c>
      <c r="H4" s="352">
        <f t="shared" ref="H4:H22" si="0">F4*G4</f>
        <v>9.0525000000000002</v>
      </c>
      <c r="I4" s="352">
        <f t="shared" ref="I4:I22" si="1">F4-H4</f>
        <v>51.297499999999999</v>
      </c>
      <c r="J4" s="153">
        <v>50</v>
      </c>
      <c r="K4" s="131" t="s">
        <v>2048</v>
      </c>
    </row>
    <row r="5" spans="1:11">
      <c r="A5" s="153">
        <v>3</v>
      </c>
      <c r="B5" s="359">
        <v>45809</v>
      </c>
      <c r="C5" s="567">
        <v>0.50416666666666665</v>
      </c>
      <c r="D5" s="567">
        <v>0.57986111111111116</v>
      </c>
      <c r="E5" s="567">
        <f>D5-C5</f>
        <v>7.5694444444444509E-2</v>
      </c>
      <c r="F5" s="357">
        <v>51.4</v>
      </c>
      <c r="G5" s="569">
        <v>0.1</v>
      </c>
      <c r="H5" s="352">
        <f t="shared" si="0"/>
        <v>5.1400000000000006</v>
      </c>
      <c r="I5" s="352">
        <f t="shared" si="1"/>
        <v>46.26</v>
      </c>
      <c r="J5" s="153">
        <v>50</v>
      </c>
      <c r="K5" s="131" t="s">
        <v>2048</v>
      </c>
    </row>
    <row r="6" spans="1:11" s="578" customFormat="1">
      <c r="A6" s="570">
        <v>4</v>
      </c>
      <c r="B6" s="571">
        <v>45809</v>
      </c>
      <c r="C6" s="572">
        <v>0.43541666666666667</v>
      </c>
      <c r="D6" s="572">
        <v>0.67013888888888884</v>
      </c>
      <c r="E6" s="572">
        <f>D6-C6</f>
        <v>0.23472222222222217</v>
      </c>
      <c r="F6" s="573">
        <v>68</v>
      </c>
      <c r="G6" s="574">
        <v>0.3</v>
      </c>
      <c r="H6" s="575">
        <v>17</v>
      </c>
      <c r="I6" s="575">
        <v>51</v>
      </c>
      <c r="J6" s="576">
        <v>50</v>
      </c>
      <c r="K6" s="577" t="s">
        <v>2049</v>
      </c>
    </row>
    <row r="7" spans="1:11">
      <c r="A7" s="153">
        <v>5</v>
      </c>
      <c r="B7" s="359">
        <v>45825</v>
      </c>
      <c r="C7" s="567">
        <v>0.56180555555555556</v>
      </c>
      <c r="D7" s="567">
        <v>0.57013888888888886</v>
      </c>
      <c r="E7" s="567">
        <f>D7-C7</f>
        <v>8.3333333333333037E-3</v>
      </c>
      <c r="F7" s="357">
        <v>65.17</v>
      </c>
      <c r="G7" s="569">
        <v>0.2</v>
      </c>
      <c r="H7" s="352">
        <f t="shared" si="0"/>
        <v>13.034000000000001</v>
      </c>
      <c r="I7" s="352">
        <f t="shared" si="1"/>
        <v>52.136000000000003</v>
      </c>
      <c r="J7" s="153">
        <v>50</v>
      </c>
      <c r="K7" s="131" t="s">
        <v>2048</v>
      </c>
    </row>
    <row r="8" spans="1:11">
      <c r="A8" s="153">
        <v>6</v>
      </c>
      <c r="B8" s="579">
        <v>45826</v>
      </c>
      <c r="C8" s="567">
        <v>0.49166666666666664</v>
      </c>
      <c r="D8" s="567">
        <v>0.7319444444444444</v>
      </c>
      <c r="E8" s="567">
        <f t="shared" ref="E8:E23" si="2">D8-C8</f>
        <v>0.24027777777777776</v>
      </c>
      <c r="F8" s="357">
        <v>62.89</v>
      </c>
      <c r="G8" s="569">
        <v>0.2</v>
      </c>
      <c r="H8" s="352">
        <f t="shared" si="0"/>
        <v>12.578000000000001</v>
      </c>
      <c r="I8" s="352">
        <f t="shared" si="1"/>
        <v>50.311999999999998</v>
      </c>
      <c r="J8" s="153">
        <v>50</v>
      </c>
      <c r="K8" s="131" t="s">
        <v>2048</v>
      </c>
    </row>
    <row r="9" spans="1:11">
      <c r="A9" s="153">
        <v>7</v>
      </c>
      <c r="B9" s="579">
        <v>45826</v>
      </c>
      <c r="C9" s="567">
        <v>0.52777777777777779</v>
      </c>
      <c r="D9" s="567">
        <v>0.7319444444444444</v>
      </c>
      <c r="E9" s="567">
        <f t="shared" si="2"/>
        <v>0.20416666666666661</v>
      </c>
      <c r="F9" s="357">
        <v>48.15</v>
      </c>
      <c r="G9" s="569">
        <v>0.1</v>
      </c>
      <c r="H9" s="352">
        <f t="shared" si="0"/>
        <v>4.8150000000000004</v>
      </c>
      <c r="I9" s="352">
        <f t="shared" si="1"/>
        <v>43.335000000000001</v>
      </c>
      <c r="J9" s="153">
        <v>50</v>
      </c>
      <c r="K9" s="131" t="s">
        <v>2048</v>
      </c>
    </row>
    <row r="10" spans="1:11">
      <c r="A10" s="153">
        <v>8</v>
      </c>
      <c r="B10" s="579">
        <v>45826</v>
      </c>
      <c r="C10" s="567">
        <v>0.60972222222222228</v>
      </c>
      <c r="D10" s="567">
        <v>0.72291666666666665</v>
      </c>
      <c r="E10" s="567">
        <f t="shared" si="2"/>
        <v>0.11319444444444438</v>
      </c>
      <c r="F10" s="357">
        <v>55.2</v>
      </c>
      <c r="G10" s="569">
        <v>0.15</v>
      </c>
      <c r="H10" s="352">
        <f t="shared" si="0"/>
        <v>8.2799999999999994</v>
      </c>
      <c r="I10" s="352">
        <f t="shared" si="1"/>
        <v>46.92</v>
      </c>
      <c r="J10" s="153">
        <v>50</v>
      </c>
      <c r="K10" s="131" t="s">
        <v>2048</v>
      </c>
    </row>
    <row r="11" spans="1:11">
      <c r="A11" s="153">
        <v>9</v>
      </c>
      <c r="B11" s="579">
        <v>45826</v>
      </c>
      <c r="C11" s="567">
        <v>0.66666666666666663</v>
      </c>
      <c r="D11" s="567">
        <v>0.70972222222222225</v>
      </c>
      <c r="E11" s="567">
        <f t="shared" si="2"/>
        <v>4.3055555555555625E-2</v>
      </c>
      <c r="F11" s="357">
        <v>45.15</v>
      </c>
      <c r="G11" s="569">
        <v>0.15</v>
      </c>
      <c r="H11" s="352">
        <f t="shared" si="0"/>
        <v>6.7725</v>
      </c>
      <c r="I11" s="352">
        <f t="shared" si="1"/>
        <v>38.377499999999998</v>
      </c>
      <c r="J11" s="153">
        <v>50</v>
      </c>
      <c r="K11" s="131" t="s">
        <v>2048</v>
      </c>
    </row>
    <row r="12" spans="1:11">
      <c r="A12" s="570">
        <v>10</v>
      </c>
      <c r="B12" s="580">
        <v>45826</v>
      </c>
      <c r="C12" s="581">
        <v>0.6743055555555556</v>
      </c>
      <c r="D12" s="581">
        <v>0.72916666666666663</v>
      </c>
      <c r="E12" s="581">
        <f t="shared" si="2"/>
        <v>5.4861111111111027E-2</v>
      </c>
      <c r="F12" s="582">
        <v>63</v>
      </c>
      <c r="G12" s="583">
        <v>0.26</v>
      </c>
      <c r="H12" s="584">
        <f t="shared" si="0"/>
        <v>16.38</v>
      </c>
      <c r="I12" s="584">
        <v>45</v>
      </c>
      <c r="J12" s="570">
        <v>50</v>
      </c>
      <c r="K12" s="577" t="s">
        <v>2049</v>
      </c>
    </row>
    <row r="13" spans="1:11">
      <c r="A13" s="153">
        <v>11</v>
      </c>
      <c r="B13" s="579">
        <v>45827</v>
      </c>
      <c r="C13" s="567">
        <v>0.42916666666666664</v>
      </c>
      <c r="D13" s="567">
        <v>0.69722222222222219</v>
      </c>
      <c r="E13" s="567">
        <f t="shared" si="2"/>
        <v>0.26805555555555555</v>
      </c>
      <c r="F13" s="357">
        <v>70.209999999999994</v>
      </c>
      <c r="G13" s="569">
        <v>0.25</v>
      </c>
      <c r="H13" s="352">
        <f t="shared" si="0"/>
        <v>17.552499999999998</v>
      </c>
      <c r="I13" s="352">
        <f t="shared" si="1"/>
        <v>52.657499999999999</v>
      </c>
      <c r="J13" s="153">
        <v>50</v>
      </c>
      <c r="K13" s="131" t="s">
        <v>2048</v>
      </c>
    </row>
    <row r="14" spans="1:11">
      <c r="A14" s="153">
        <v>12</v>
      </c>
      <c r="B14" s="579">
        <v>45827</v>
      </c>
      <c r="C14" s="567">
        <v>0.56944444444444442</v>
      </c>
      <c r="D14" s="567">
        <v>0.7055555555555556</v>
      </c>
      <c r="E14" s="567">
        <f t="shared" si="2"/>
        <v>0.13611111111111118</v>
      </c>
      <c r="F14" s="357">
        <v>52.5</v>
      </c>
      <c r="G14" s="569">
        <v>0.15</v>
      </c>
      <c r="H14" s="352">
        <f t="shared" si="0"/>
        <v>7.875</v>
      </c>
      <c r="I14" s="352">
        <f t="shared" si="1"/>
        <v>44.625</v>
      </c>
      <c r="J14" s="153">
        <v>50</v>
      </c>
      <c r="K14" s="131" t="s">
        <v>2048</v>
      </c>
    </row>
    <row r="15" spans="1:11">
      <c r="A15" s="153">
        <v>13</v>
      </c>
      <c r="B15" s="579">
        <v>45828</v>
      </c>
      <c r="C15" s="567">
        <v>0.41736111111111113</v>
      </c>
      <c r="D15" s="567">
        <v>0.45902777777777776</v>
      </c>
      <c r="E15" s="567">
        <f t="shared" si="2"/>
        <v>4.166666666666663E-2</v>
      </c>
      <c r="F15" s="357">
        <v>60.24</v>
      </c>
      <c r="G15" s="569">
        <v>0.15</v>
      </c>
      <c r="H15" s="352">
        <f t="shared" si="0"/>
        <v>9.0359999999999996</v>
      </c>
      <c r="I15" s="352">
        <f>F15-H15</f>
        <v>51.204000000000001</v>
      </c>
      <c r="J15" s="153">
        <v>50</v>
      </c>
      <c r="K15" s="131" t="s">
        <v>2048</v>
      </c>
    </row>
    <row r="16" spans="1:11">
      <c r="A16" s="153">
        <v>14</v>
      </c>
      <c r="B16" s="579">
        <v>45836</v>
      </c>
      <c r="C16" s="567">
        <v>0.56111111111111112</v>
      </c>
      <c r="D16" s="567">
        <v>0.6333333333333333</v>
      </c>
      <c r="E16" s="567">
        <f t="shared" si="2"/>
        <v>7.2222222222222188E-2</v>
      </c>
      <c r="F16" s="357">
        <v>70.03</v>
      </c>
      <c r="G16" s="569">
        <v>0.2</v>
      </c>
      <c r="H16" s="352">
        <f t="shared" si="0"/>
        <v>14.006</v>
      </c>
      <c r="I16" s="352">
        <f t="shared" si="1"/>
        <v>56.024000000000001</v>
      </c>
      <c r="J16" s="153">
        <v>50</v>
      </c>
      <c r="K16" s="131" t="s">
        <v>2048</v>
      </c>
    </row>
    <row r="17" spans="1:11">
      <c r="A17" s="153">
        <v>15</v>
      </c>
      <c r="B17" s="579">
        <v>45837</v>
      </c>
      <c r="C17" s="567">
        <v>0.50972222222222219</v>
      </c>
      <c r="D17" s="567">
        <v>0.62152777777777779</v>
      </c>
      <c r="E17" s="567">
        <f t="shared" si="2"/>
        <v>0.1118055555555556</v>
      </c>
      <c r="F17" s="357">
        <v>70.099999999999994</v>
      </c>
      <c r="G17" s="569">
        <v>0.15</v>
      </c>
      <c r="H17" s="352">
        <f t="shared" si="0"/>
        <v>10.514999999999999</v>
      </c>
      <c r="I17" s="352">
        <f t="shared" si="1"/>
        <v>59.584999999999994</v>
      </c>
      <c r="J17" s="153">
        <v>50</v>
      </c>
      <c r="K17" s="131" t="s">
        <v>2048</v>
      </c>
    </row>
    <row r="18" spans="1:11">
      <c r="A18" s="153">
        <v>16</v>
      </c>
      <c r="B18" s="579">
        <v>45837</v>
      </c>
      <c r="C18" s="567">
        <v>0.52569444444444446</v>
      </c>
      <c r="D18" s="567">
        <v>0.65277777777777779</v>
      </c>
      <c r="E18" s="567">
        <f t="shared" si="2"/>
        <v>0.12708333333333333</v>
      </c>
      <c r="F18" s="357">
        <v>60.21</v>
      </c>
      <c r="G18" s="569">
        <v>0.15</v>
      </c>
      <c r="H18" s="352">
        <f t="shared" si="0"/>
        <v>9.0314999999999994</v>
      </c>
      <c r="I18" s="352">
        <f t="shared" si="1"/>
        <v>51.1785</v>
      </c>
      <c r="J18" s="153">
        <v>50</v>
      </c>
      <c r="K18" s="131" t="s">
        <v>2048</v>
      </c>
    </row>
    <row r="19" spans="1:11">
      <c r="A19" s="153">
        <v>17</v>
      </c>
      <c r="B19" s="579">
        <v>45837</v>
      </c>
      <c r="C19" s="567">
        <v>0.58888888888888891</v>
      </c>
      <c r="D19" s="567">
        <v>0.73472222222222228</v>
      </c>
      <c r="E19" s="567">
        <f t="shared" si="2"/>
        <v>0.14583333333333337</v>
      </c>
      <c r="F19" s="357">
        <v>51.35</v>
      </c>
      <c r="G19" s="569">
        <v>0.2</v>
      </c>
      <c r="H19" s="352">
        <f t="shared" si="0"/>
        <v>10.270000000000001</v>
      </c>
      <c r="I19" s="352">
        <f t="shared" si="1"/>
        <v>41.08</v>
      </c>
      <c r="J19" s="153">
        <v>50</v>
      </c>
      <c r="K19" s="131" t="s">
        <v>2048</v>
      </c>
    </row>
    <row r="20" spans="1:11">
      <c r="A20" s="153">
        <v>18</v>
      </c>
      <c r="B20" s="579">
        <v>45838</v>
      </c>
      <c r="C20" s="567">
        <v>0.45902777777777776</v>
      </c>
      <c r="D20" s="567">
        <v>0.60972222222222228</v>
      </c>
      <c r="E20" s="567">
        <f t="shared" si="2"/>
        <v>0.15069444444444452</v>
      </c>
      <c r="F20" s="357">
        <v>70.34</v>
      </c>
      <c r="G20" s="569">
        <v>0.15</v>
      </c>
      <c r="H20" s="352">
        <f t="shared" si="0"/>
        <v>10.551</v>
      </c>
      <c r="I20" s="352">
        <f t="shared" si="1"/>
        <v>59.789000000000001</v>
      </c>
      <c r="J20" s="153">
        <v>50</v>
      </c>
      <c r="K20" s="131" t="s">
        <v>2048</v>
      </c>
    </row>
    <row r="21" spans="1:11">
      <c r="A21" s="153">
        <v>19</v>
      </c>
      <c r="B21" s="579">
        <v>45838</v>
      </c>
      <c r="C21" s="567">
        <v>0.5</v>
      </c>
      <c r="D21" s="567">
        <v>0.62430555555555556</v>
      </c>
      <c r="E21" s="567">
        <f t="shared" si="2"/>
        <v>0.12430555555555556</v>
      </c>
      <c r="F21" s="357">
        <v>60.25</v>
      </c>
      <c r="G21" s="569">
        <v>0.15</v>
      </c>
      <c r="H21" s="352">
        <f t="shared" si="0"/>
        <v>9.0374999999999996</v>
      </c>
      <c r="I21" s="352">
        <f t="shared" si="1"/>
        <v>51.212499999999999</v>
      </c>
      <c r="J21" s="153">
        <v>50</v>
      </c>
      <c r="K21" s="131" t="s">
        <v>2048</v>
      </c>
    </row>
    <row r="22" spans="1:11">
      <c r="A22" s="153">
        <v>20</v>
      </c>
      <c r="B22" s="579">
        <v>45838</v>
      </c>
      <c r="C22" s="567">
        <v>0.56666666666666665</v>
      </c>
      <c r="D22" s="567">
        <v>0.62361111111111112</v>
      </c>
      <c r="E22" s="567">
        <f t="shared" si="2"/>
        <v>5.6944444444444464E-2</v>
      </c>
      <c r="F22" s="357">
        <v>58.69</v>
      </c>
      <c r="G22" s="569">
        <v>0.15</v>
      </c>
      <c r="H22" s="352">
        <f t="shared" si="0"/>
        <v>8.8034999999999997</v>
      </c>
      <c r="I22" s="352">
        <f t="shared" si="1"/>
        <v>49.886499999999998</v>
      </c>
      <c r="J22" s="153">
        <v>50</v>
      </c>
      <c r="K22" s="131" t="s">
        <v>2048</v>
      </c>
    </row>
    <row r="23" spans="1:11">
      <c r="A23" s="570">
        <v>21</v>
      </c>
      <c r="B23" s="585">
        <v>45838</v>
      </c>
      <c r="C23" s="586">
        <v>0.56666666666666665</v>
      </c>
      <c r="D23" s="586">
        <v>0.62361111111111112</v>
      </c>
      <c r="E23" s="586">
        <f t="shared" si="2"/>
        <v>5.6944444444444464E-2</v>
      </c>
      <c r="F23" s="570">
        <v>63</v>
      </c>
      <c r="G23" s="587">
        <v>0.2</v>
      </c>
      <c r="H23" s="570">
        <v>21.06</v>
      </c>
      <c r="I23" s="570">
        <v>50</v>
      </c>
      <c r="J23" s="570">
        <v>50</v>
      </c>
      <c r="K23" s="577" t="s">
        <v>2049</v>
      </c>
    </row>
    <row r="24" spans="1:11">
      <c r="A24" s="357">
        <v>22</v>
      </c>
      <c r="B24" s="359">
        <v>45839</v>
      </c>
      <c r="C24" s="566">
        <v>0.51736111111111116</v>
      </c>
      <c r="D24" s="566">
        <v>0.64375000000000004</v>
      </c>
      <c r="E24" s="567">
        <f>D24-C24</f>
        <v>0.12638888888888888</v>
      </c>
      <c r="F24" s="357">
        <v>25.3</v>
      </c>
      <c r="G24" s="568">
        <v>0.15</v>
      </c>
      <c r="H24" s="352">
        <f>F24*G24</f>
        <v>3.7949999999999999</v>
      </c>
      <c r="I24" s="352">
        <f>F24-H24</f>
        <v>21.505000000000003</v>
      </c>
      <c r="J24" s="153">
        <v>50</v>
      </c>
      <c r="K24" s="131" t="s">
        <v>2048</v>
      </c>
    </row>
    <row r="25" spans="1:11">
      <c r="A25" s="357">
        <v>23</v>
      </c>
      <c r="B25" s="359">
        <v>45839</v>
      </c>
      <c r="C25" s="566">
        <v>0.55555555555555558</v>
      </c>
      <c r="D25" s="567">
        <v>0.65416666666666667</v>
      </c>
      <c r="E25" s="567">
        <f>D25-C25</f>
        <v>9.8611111111111094E-2</v>
      </c>
      <c r="F25" s="357">
        <v>27.28</v>
      </c>
      <c r="G25" s="569">
        <v>0.15</v>
      </c>
      <c r="H25" s="352">
        <f t="shared" ref="H25:H26" si="3">F25*G25</f>
        <v>4.0919999999999996</v>
      </c>
      <c r="I25" s="352">
        <f t="shared" ref="I25:I26" si="4">F25-H25</f>
        <v>23.188000000000002</v>
      </c>
      <c r="J25" s="153">
        <v>50</v>
      </c>
      <c r="K25" s="131" t="s">
        <v>2048</v>
      </c>
    </row>
    <row r="26" spans="1:11">
      <c r="A26" s="357">
        <v>24</v>
      </c>
      <c r="B26" s="359">
        <v>45845</v>
      </c>
      <c r="C26" s="566">
        <v>0.54791666666666672</v>
      </c>
      <c r="D26" s="567">
        <v>0.5625</v>
      </c>
      <c r="E26" s="567">
        <f>D26-C26</f>
        <v>1.4583333333333282E-2</v>
      </c>
      <c r="F26" s="357">
        <v>54.1</v>
      </c>
      <c r="G26" s="569">
        <v>0.1</v>
      </c>
      <c r="H26" s="588">
        <f t="shared" si="3"/>
        <v>5.41</v>
      </c>
      <c r="I26" s="352">
        <f t="shared" si="4"/>
        <v>48.69</v>
      </c>
      <c r="J26" s="153">
        <v>50</v>
      </c>
      <c r="K26" s="131" t="s">
        <v>2048</v>
      </c>
    </row>
  </sheetData>
  <mergeCells count="10">
    <mergeCell ref="G1:G2"/>
    <mergeCell ref="H1:H2"/>
    <mergeCell ref="I1:I2"/>
    <mergeCell ref="K1:K2"/>
    <mergeCell ref="A1:A2"/>
    <mergeCell ref="B1:B2"/>
    <mergeCell ref="C1:C2"/>
    <mergeCell ref="D1:D2"/>
    <mergeCell ref="E1:E2"/>
    <mergeCell ref="F1:F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B0D53-4433-44E8-99C4-F54A045A5BE7}">
  <dimension ref="A1:AQ25"/>
  <sheetViews>
    <sheetView tabSelected="1" zoomScale="80" zoomScaleNormal="80" workbookViewId="0">
      <pane xSplit="4" ySplit="1" topLeftCell="E4" activePane="bottomRight" state="frozen"/>
      <selection pane="topRight" activeCell="C1" sqref="C1"/>
      <selection pane="bottomLeft" activeCell="C1" sqref="C1"/>
      <selection pane="bottomRight" activeCell="N2" sqref="N2:N25"/>
    </sheetView>
  </sheetViews>
  <sheetFormatPr defaultColWidth="8.90625" defaultRowHeight="14.5"/>
  <cols>
    <col min="1" max="1" width="8.90625" style="167"/>
    <col min="2" max="2" width="9.90625" style="167" bestFit="1" customWidth="1"/>
    <col min="3" max="3" width="15.90625" style="167" customWidth="1"/>
    <col min="4" max="6" width="8.90625" style="167"/>
    <col min="7" max="7" width="20.453125" style="167" customWidth="1"/>
    <col min="8" max="8" width="8.90625" style="167"/>
    <col min="9" max="9" width="9.453125" style="167" bestFit="1" customWidth="1"/>
    <col min="10" max="14" width="8.90625" style="167"/>
    <col min="15" max="15" width="9.90625" style="167" bestFit="1" customWidth="1"/>
    <col min="16" max="16" width="11" style="167" customWidth="1"/>
    <col min="17" max="17" width="15.08984375" style="167" customWidth="1"/>
    <col min="18" max="19" width="10.90625" style="167" customWidth="1"/>
    <col min="20" max="20" width="13" style="167" customWidth="1"/>
    <col min="21" max="25" width="12.90625" style="167" customWidth="1"/>
    <col min="26" max="27" width="14.453125" style="167" customWidth="1"/>
    <col min="28" max="29" width="15.453125" style="167" customWidth="1"/>
    <col min="30" max="38" width="9.90625" style="167" customWidth="1"/>
    <col min="39" max="39" width="12" style="167" bestFit="1" customWidth="1"/>
    <col min="40" max="41" width="12" style="167" customWidth="1"/>
    <col min="42" max="42" width="27.453125" style="167" bestFit="1" customWidth="1"/>
    <col min="43" max="16384" width="8.90625" style="167"/>
  </cols>
  <sheetData>
    <row r="1" spans="1:43" ht="43.5">
      <c r="A1" s="179" t="s">
        <v>7</v>
      </c>
      <c r="B1" s="179" t="s">
        <v>167</v>
      </c>
      <c r="C1" s="179" t="s">
        <v>168</v>
      </c>
      <c r="D1" s="179" t="s">
        <v>169</v>
      </c>
      <c r="E1" s="179" t="s">
        <v>170</v>
      </c>
      <c r="F1" s="179" t="s">
        <v>171</v>
      </c>
      <c r="G1" s="179" t="s">
        <v>172</v>
      </c>
      <c r="H1" s="179" t="s">
        <v>173</v>
      </c>
      <c r="I1" s="179" t="s">
        <v>174</v>
      </c>
      <c r="J1" s="179" t="s">
        <v>175</v>
      </c>
      <c r="K1" s="179" t="s">
        <v>176</v>
      </c>
      <c r="L1" s="179" t="s">
        <v>177</v>
      </c>
      <c r="M1" s="179" t="s">
        <v>178</v>
      </c>
      <c r="N1" s="179" t="s">
        <v>179</v>
      </c>
      <c r="O1" s="179" t="s">
        <v>180</v>
      </c>
      <c r="P1" s="179" t="s">
        <v>181</v>
      </c>
      <c r="Q1" s="179" t="s">
        <v>182</v>
      </c>
      <c r="R1" s="179" t="s">
        <v>183</v>
      </c>
      <c r="S1" s="179" t="s">
        <v>184</v>
      </c>
      <c r="T1" s="179" t="s">
        <v>185</v>
      </c>
      <c r="U1" s="179" t="s">
        <v>186</v>
      </c>
      <c r="V1" s="179" t="s">
        <v>187</v>
      </c>
      <c r="W1" s="179" t="s">
        <v>188</v>
      </c>
      <c r="X1" s="179" t="s">
        <v>189</v>
      </c>
      <c r="Y1" s="179" t="s">
        <v>190</v>
      </c>
      <c r="Z1" s="179" t="s">
        <v>191</v>
      </c>
      <c r="AA1" s="179" t="s">
        <v>192</v>
      </c>
      <c r="AB1" s="179" t="s">
        <v>193</v>
      </c>
      <c r="AC1" s="179" t="s">
        <v>194</v>
      </c>
      <c r="AD1" s="179" t="s">
        <v>195</v>
      </c>
      <c r="AE1" s="179" t="s">
        <v>196</v>
      </c>
      <c r="AF1" s="179" t="s">
        <v>197</v>
      </c>
      <c r="AG1" s="179" t="s">
        <v>198</v>
      </c>
      <c r="AH1" s="179" t="s">
        <v>199</v>
      </c>
      <c r="AI1" s="179" t="s">
        <v>200</v>
      </c>
      <c r="AJ1" s="179" t="s">
        <v>201</v>
      </c>
      <c r="AK1" s="179" t="s">
        <v>202</v>
      </c>
      <c r="AL1" s="179" t="s">
        <v>203</v>
      </c>
      <c r="AM1" s="179" t="s">
        <v>204</v>
      </c>
      <c r="AN1" s="179" t="s">
        <v>205</v>
      </c>
      <c r="AP1" s="167" t="s">
        <v>206</v>
      </c>
      <c r="AQ1" s="177">
        <v>70.400000000000006</v>
      </c>
    </row>
    <row r="2" spans="1:43">
      <c r="A2" s="180">
        <v>1</v>
      </c>
      <c r="B2" s="181" t="s">
        <v>207</v>
      </c>
      <c r="C2" s="182">
        <v>4</v>
      </c>
      <c r="D2" s="181">
        <v>45383</v>
      </c>
      <c r="E2" s="183">
        <f>YEAR(D2)</f>
        <v>2024</v>
      </c>
      <c r="F2" s="183" t="s">
        <v>208</v>
      </c>
      <c r="G2" s="180">
        <f>DAY(EOMONTH(D2,0))</f>
        <v>30</v>
      </c>
      <c r="H2" s="184"/>
      <c r="I2" s="184"/>
      <c r="J2" s="185">
        <v>6.65</v>
      </c>
      <c r="K2" s="184"/>
      <c r="L2" s="180"/>
      <c r="M2" s="186">
        <v>0</v>
      </c>
      <c r="N2" s="186">
        <v>0</v>
      </c>
      <c r="O2" s="187"/>
      <c r="P2" s="185"/>
      <c r="Q2" s="180">
        <f>COUNTIFS('Daily KPI'!$D:$D,D2,'Daily KPI'!$M:$M,"&gt;0")</f>
        <v>0</v>
      </c>
      <c r="R2" s="186"/>
      <c r="S2" s="186"/>
      <c r="T2" s="185">
        <f t="shared" ref="T2:T25" si="0">IFERROR(M2/G2,"")</f>
        <v>0</v>
      </c>
      <c r="U2" s="186">
        <f t="shared" ref="U2:U25" si="1">IFERROR(M2/G2*Q2,"")</f>
        <v>0</v>
      </c>
      <c r="V2" s="186">
        <f>SUMIF($F$2:F2,F2,$U$2:U2)</f>
        <v>0</v>
      </c>
      <c r="W2" s="187" t="str">
        <f t="shared" ref="W2:W25" si="2">IFERROR(T2/(24*N2),"")</f>
        <v/>
      </c>
      <c r="X2" s="187" t="str">
        <f t="shared" ref="X2:X25" si="3">IFERROR(U2/(24*N2*Q2),"")</f>
        <v/>
      </c>
      <c r="Y2" s="187" t="str">
        <f t="shared" ref="Y2:Y25" si="4">IFERROR(V2/(24*N2*SUMIFS($Q:$Q,$F:$F,$F2,$D:$D,"&lt;="&amp;D2)),"")</f>
        <v/>
      </c>
      <c r="Z2" s="185" t="str">
        <f>IFERROR(AVERAGEIF('Daily KPI'!D:D,Table14[[#This Row],[Month]],'Daily KPI'!AB:AB),"")</f>
        <v/>
      </c>
      <c r="AA2" s="184" t="str">
        <f>IFERROR(AVERAGEIF($F$2:F2,F2,$Z$2:Z2),"")</f>
        <v/>
      </c>
      <c r="AB2" s="186"/>
      <c r="AC2" s="185">
        <f>Table14[[#This Row],[WS]]</f>
        <v>6.65</v>
      </c>
      <c r="AD2" s="185">
        <f>AVERAGEIF($F$2:F2,F2,$AC$2:AC2)</f>
        <v>6.65</v>
      </c>
      <c r="AE2" s="187">
        <f t="shared" ref="AE2:AE25" si="5">IFERROR(AH2*AI2,"")</f>
        <v>0.96029999999999993</v>
      </c>
      <c r="AF2" s="187">
        <v>0.995</v>
      </c>
      <c r="AG2" s="187"/>
      <c r="AH2" s="187">
        <v>0.97</v>
      </c>
      <c r="AI2" s="187">
        <v>0.99</v>
      </c>
      <c r="AJ2" s="187">
        <v>0.95</v>
      </c>
      <c r="AK2" s="187">
        <v>0.05</v>
      </c>
      <c r="AL2" s="187">
        <v>0.05</v>
      </c>
      <c r="AM2" s="219"/>
      <c r="AN2" s="219"/>
      <c r="AP2" s="167" t="s">
        <v>209</v>
      </c>
      <c r="AQ2" s="164">
        <f>70.4*5%</f>
        <v>3.5200000000000005</v>
      </c>
    </row>
    <row r="3" spans="1:43">
      <c r="A3" s="182">
        <f>A2+1</f>
        <v>2</v>
      </c>
      <c r="B3" s="181" t="s">
        <v>210</v>
      </c>
      <c r="C3" s="182">
        <v>5</v>
      </c>
      <c r="D3" s="181">
        <v>45413</v>
      </c>
      <c r="E3" s="188">
        <f>YEAR(D3)</f>
        <v>2024</v>
      </c>
      <c r="F3" s="183" t="s">
        <v>208</v>
      </c>
      <c r="G3" s="182">
        <f>DAY(EOMONTH(D3,0))</f>
        <v>31</v>
      </c>
      <c r="H3" s="189"/>
      <c r="I3" s="189"/>
      <c r="J3" s="190">
        <v>7.19</v>
      </c>
      <c r="K3" s="189"/>
      <c r="L3" s="182"/>
      <c r="M3" s="191">
        <v>8711.2649999999994</v>
      </c>
      <c r="N3" s="191">
        <v>27</v>
      </c>
      <c r="O3" s="192"/>
      <c r="P3" s="190"/>
      <c r="Q3" s="182">
        <f>COUNTIFS('Daily KPI'!$D:$D,D3,'Daily KPI'!$M:$M,"&gt;0")</f>
        <v>0</v>
      </c>
      <c r="R3" s="191"/>
      <c r="S3" s="191"/>
      <c r="T3" s="190">
        <f t="shared" si="0"/>
        <v>281.00854838709677</v>
      </c>
      <c r="U3" s="191">
        <f t="shared" si="1"/>
        <v>0</v>
      </c>
      <c r="V3" s="191">
        <f>SUMIF($F$2:F3,F3,$U$2:U3)</f>
        <v>0</v>
      </c>
      <c r="W3" s="192">
        <f t="shared" si="2"/>
        <v>0.43365516726403824</v>
      </c>
      <c r="X3" s="192" t="str">
        <f t="shared" si="3"/>
        <v/>
      </c>
      <c r="Y3" s="192" t="str">
        <f t="shared" si="4"/>
        <v/>
      </c>
      <c r="Z3" s="190" t="str">
        <f>IFERROR(AVERAGEIF('Daily KPI'!D:D,Table14[[#This Row],[Month]],'Daily KPI'!AB:AB),"")</f>
        <v/>
      </c>
      <c r="AA3" s="189" t="str">
        <f>IFERROR(AVERAGEIF($F$2:F3,F3,$Z$2:Z3),"")</f>
        <v/>
      </c>
      <c r="AB3" s="191"/>
      <c r="AC3" s="185">
        <f>Table14[[#This Row],[WS]]</f>
        <v>7.19</v>
      </c>
      <c r="AD3" s="190">
        <f>AVERAGEIF($F$2:F3,F3,$AC$2:AC3)</f>
        <v>6.92</v>
      </c>
      <c r="AE3" s="192">
        <f t="shared" si="5"/>
        <v>0.96029999999999993</v>
      </c>
      <c r="AF3" s="192">
        <v>0.995</v>
      </c>
      <c r="AG3" s="192"/>
      <c r="AH3" s="192">
        <v>0.97</v>
      </c>
      <c r="AI3" s="192">
        <v>0.99</v>
      </c>
      <c r="AJ3" s="192">
        <v>0.95</v>
      </c>
      <c r="AK3" s="192">
        <v>0.05</v>
      </c>
      <c r="AL3" s="192">
        <v>0.05</v>
      </c>
      <c r="AM3" s="218"/>
      <c r="AN3" s="218"/>
      <c r="AP3" s="167" t="s">
        <v>211</v>
      </c>
      <c r="AQ3" s="164">
        <f>AQ2*24</f>
        <v>84.480000000000018</v>
      </c>
    </row>
    <row r="4" spans="1:43">
      <c r="A4" s="182">
        <f t="shared" ref="A4:A25" si="6">A3+1</f>
        <v>3</v>
      </c>
      <c r="B4" s="181" t="s">
        <v>212</v>
      </c>
      <c r="C4" s="182">
        <v>6</v>
      </c>
      <c r="D4" s="181">
        <v>45444</v>
      </c>
      <c r="E4" s="183">
        <f t="shared" ref="E4:E23" si="7">YEAR(D4)</f>
        <v>2024</v>
      </c>
      <c r="F4" s="183" t="s">
        <v>208</v>
      </c>
      <c r="G4" s="180">
        <f t="shared" ref="G4:G23" si="8">DAY(EOMONTH(D4,0))</f>
        <v>30</v>
      </c>
      <c r="H4" s="184"/>
      <c r="I4" s="184"/>
      <c r="J4" s="185">
        <v>7.15</v>
      </c>
      <c r="K4" s="184"/>
      <c r="L4" s="180"/>
      <c r="M4" s="186">
        <v>7436.6909999999998</v>
      </c>
      <c r="N4" s="186">
        <v>27</v>
      </c>
      <c r="O4" s="187"/>
      <c r="P4" s="185"/>
      <c r="Q4" s="180">
        <f>COUNTIFS('Daily KPI'!$D:$D,D4,'Daily KPI'!$M:$M,"&gt;0")</f>
        <v>0</v>
      </c>
      <c r="R4" s="186"/>
      <c r="S4" s="186"/>
      <c r="T4" s="185">
        <f t="shared" si="0"/>
        <v>247.8897</v>
      </c>
      <c r="U4" s="186">
        <f t="shared" si="1"/>
        <v>0</v>
      </c>
      <c r="V4" s="186">
        <f>SUMIF($F$2:F4,F4,$U$2:U4)</f>
        <v>0</v>
      </c>
      <c r="W4" s="187">
        <f t="shared" si="2"/>
        <v>0.38254583333333336</v>
      </c>
      <c r="X4" s="187" t="str">
        <f t="shared" si="3"/>
        <v/>
      </c>
      <c r="Y4" s="187" t="str">
        <f t="shared" si="4"/>
        <v/>
      </c>
      <c r="Z4" s="185" t="str">
        <f>IFERROR(AVERAGEIF('Daily KPI'!D:D,Table14[[#This Row],[Month]],'Daily KPI'!AB:AB),"")</f>
        <v/>
      </c>
      <c r="AA4" s="184" t="str">
        <f>IFERROR(AVERAGEIF($F$2:F4,F4,$Z$2:Z4),"")</f>
        <v/>
      </c>
      <c r="AB4" s="186"/>
      <c r="AC4" s="185">
        <f>Table14[[#This Row],[WS]]</f>
        <v>7.15</v>
      </c>
      <c r="AD4" s="185">
        <f>AVERAGEIF($F$2:F4,F4,$AC$2:AC4)</f>
        <v>6.996666666666667</v>
      </c>
      <c r="AE4" s="187">
        <f t="shared" si="5"/>
        <v>0.96029999999999993</v>
      </c>
      <c r="AF4" s="187">
        <v>0.995</v>
      </c>
      <c r="AG4" s="187"/>
      <c r="AH4" s="187">
        <v>0.97</v>
      </c>
      <c r="AI4" s="187">
        <v>0.99</v>
      </c>
      <c r="AJ4" s="187">
        <v>0.95</v>
      </c>
      <c r="AK4" s="187">
        <v>0.05</v>
      </c>
      <c r="AL4" s="187">
        <v>0.05</v>
      </c>
      <c r="AM4" s="218"/>
      <c r="AN4" s="218"/>
    </row>
    <row r="5" spans="1:43">
      <c r="A5" s="182">
        <f t="shared" si="6"/>
        <v>4</v>
      </c>
      <c r="B5" s="181" t="s">
        <v>213</v>
      </c>
      <c r="C5" s="182">
        <v>7</v>
      </c>
      <c r="D5" s="181">
        <v>45474</v>
      </c>
      <c r="E5" s="188">
        <f t="shared" si="7"/>
        <v>2024</v>
      </c>
      <c r="F5" s="183" t="s">
        <v>208</v>
      </c>
      <c r="G5" s="182">
        <f t="shared" si="8"/>
        <v>31</v>
      </c>
      <c r="H5" s="189"/>
      <c r="I5" s="189"/>
      <c r="J5" s="190">
        <v>8.18</v>
      </c>
      <c r="K5" s="189"/>
      <c r="L5" s="182"/>
      <c r="M5" s="191">
        <v>24024.424999999999</v>
      </c>
      <c r="N5" s="191">
        <v>70.2</v>
      </c>
      <c r="O5" s="192"/>
      <c r="P5" s="190"/>
      <c r="Q5" s="182">
        <f>COUNTIFS('Daily KPI'!$D:$D,D5,'Daily KPI'!$M:$M,"&gt;0")</f>
        <v>0</v>
      </c>
      <c r="R5" s="191"/>
      <c r="S5" s="191"/>
      <c r="T5" s="190">
        <f t="shared" si="0"/>
        <v>774.98145161290324</v>
      </c>
      <c r="U5" s="191">
        <f t="shared" si="1"/>
        <v>0</v>
      </c>
      <c r="V5" s="191">
        <f>SUMIF($F$2:F5,F5,$U$2:U5)</f>
        <v>0</v>
      </c>
      <c r="W5" s="192">
        <f t="shared" si="2"/>
        <v>0.45998424241031766</v>
      </c>
      <c r="X5" s="192" t="str">
        <f t="shared" si="3"/>
        <v/>
      </c>
      <c r="Y5" s="192" t="str">
        <f t="shared" si="4"/>
        <v/>
      </c>
      <c r="Z5" s="190" t="str">
        <f>IFERROR(AVERAGEIF('Daily KPI'!D:D,Table14[[#This Row],[Month]],'Daily KPI'!AB:AB),"")</f>
        <v/>
      </c>
      <c r="AA5" s="189" t="str">
        <f>IFERROR(AVERAGEIF($F$2:F5,F5,$Z$2:Z5),"")</f>
        <v/>
      </c>
      <c r="AB5" s="191"/>
      <c r="AC5" s="185">
        <f>Table14[[#This Row],[WS]]</f>
        <v>8.18</v>
      </c>
      <c r="AD5" s="190">
        <f>AVERAGEIF($F$2:F5,F5,$AC$2:AC5)</f>
        <v>7.2925000000000004</v>
      </c>
      <c r="AE5" s="192">
        <f t="shared" si="5"/>
        <v>0.96029999999999993</v>
      </c>
      <c r="AF5" s="192">
        <v>0.995</v>
      </c>
      <c r="AG5" s="192"/>
      <c r="AH5" s="192">
        <v>0.97</v>
      </c>
      <c r="AI5" s="192">
        <v>0.99</v>
      </c>
      <c r="AJ5" s="192">
        <v>0.95</v>
      </c>
      <c r="AK5" s="192">
        <v>0.05</v>
      </c>
      <c r="AL5" s="192">
        <v>0.05</v>
      </c>
      <c r="AM5" s="218"/>
      <c r="AN5" s="218"/>
    </row>
    <row r="6" spans="1:43">
      <c r="A6" s="182">
        <f t="shared" si="6"/>
        <v>5</v>
      </c>
      <c r="B6" s="181" t="s">
        <v>214</v>
      </c>
      <c r="C6" s="182">
        <v>8</v>
      </c>
      <c r="D6" s="181">
        <v>45505</v>
      </c>
      <c r="E6" s="183">
        <f t="shared" si="7"/>
        <v>2024</v>
      </c>
      <c r="F6" s="183" t="s">
        <v>208</v>
      </c>
      <c r="G6" s="180">
        <f t="shared" si="8"/>
        <v>31</v>
      </c>
      <c r="H6" s="184"/>
      <c r="I6" s="184"/>
      <c r="J6" s="185">
        <v>9.01</v>
      </c>
      <c r="K6" s="184"/>
      <c r="L6" s="180"/>
      <c r="M6" s="186">
        <v>22325.728000000003</v>
      </c>
      <c r="N6" s="186">
        <v>70.2</v>
      </c>
      <c r="O6" s="187"/>
      <c r="P6" s="185"/>
      <c r="Q6" s="180">
        <f>COUNTIFS('Daily KPI'!$D:$D,D6,'Daily KPI'!$M:$M,"&gt;0")</f>
        <v>0</v>
      </c>
      <c r="R6" s="186"/>
      <c r="S6" s="186"/>
      <c r="T6" s="185">
        <f t="shared" si="0"/>
        <v>720.18477419354849</v>
      </c>
      <c r="U6" s="186">
        <f t="shared" si="1"/>
        <v>0</v>
      </c>
      <c r="V6" s="186">
        <f>SUMIF($F$2:F6,F6,$U$2:U6)</f>
        <v>0</v>
      </c>
      <c r="W6" s="187">
        <f t="shared" si="2"/>
        <v>0.42746009864289436</v>
      </c>
      <c r="X6" s="187" t="str">
        <f t="shared" si="3"/>
        <v/>
      </c>
      <c r="Y6" s="187" t="str">
        <f t="shared" si="4"/>
        <v/>
      </c>
      <c r="Z6" s="185" t="str">
        <f>IFERROR(AVERAGEIF('Daily KPI'!D:D,Table14[[#This Row],[Month]],'Daily KPI'!AB:AB),"")</f>
        <v/>
      </c>
      <c r="AA6" s="184" t="str">
        <f>IFERROR(AVERAGEIF($F$2:F6,F6,$Z$2:Z6),"")</f>
        <v/>
      </c>
      <c r="AB6" s="186"/>
      <c r="AC6" s="185">
        <f>Table14[[#This Row],[WS]]</f>
        <v>9.01</v>
      </c>
      <c r="AD6" s="185">
        <f>AVERAGEIF($F$2:F6,F6,$AC$2:AC6)</f>
        <v>7.6360000000000001</v>
      </c>
      <c r="AE6" s="187">
        <f t="shared" si="5"/>
        <v>0.96029999999999993</v>
      </c>
      <c r="AF6" s="187">
        <v>0.995</v>
      </c>
      <c r="AG6" s="187"/>
      <c r="AH6" s="187">
        <v>0.97</v>
      </c>
      <c r="AI6" s="187">
        <v>0.99</v>
      </c>
      <c r="AJ6" s="187">
        <v>0.95</v>
      </c>
      <c r="AK6" s="187">
        <v>0.05</v>
      </c>
      <c r="AL6" s="187">
        <v>0.05</v>
      </c>
      <c r="AM6" s="218"/>
      <c r="AN6" s="218"/>
      <c r="AQ6" s="193"/>
    </row>
    <row r="7" spans="1:43">
      <c r="A7" s="182">
        <f t="shared" si="6"/>
        <v>6</v>
      </c>
      <c r="B7" s="181" t="s">
        <v>215</v>
      </c>
      <c r="C7" s="182">
        <v>9</v>
      </c>
      <c r="D7" s="181">
        <v>45536</v>
      </c>
      <c r="E7" s="188">
        <f t="shared" si="7"/>
        <v>2024</v>
      </c>
      <c r="F7" s="183" t="s">
        <v>208</v>
      </c>
      <c r="G7" s="182">
        <f t="shared" si="8"/>
        <v>30</v>
      </c>
      <c r="H7" s="189"/>
      <c r="I7" s="189"/>
      <c r="J7" s="190">
        <v>8.16</v>
      </c>
      <c r="K7" s="189"/>
      <c r="L7" s="182"/>
      <c r="M7" s="191">
        <v>15949.744000000001</v>
      </c>
      <c r="N7" s="191">
        <v>70.2</v>
      </c>
      <c r="O7" s="192"/>
      <c r="P7" s="190"/>
      <c r="Q7" s="182">
        <f>COUNTIFS('Daily KPI'!$D:$D,D7,'Daily KPI'!$M:$M,"&gt;0")</f>
        <v>0</v>
      </c>
      <c r="R7" s="191"/>
      <c r="S7" s="191"/>
      <c r="T7" s="190">
        <f t="shared" si="0"/>
        <v>531.65813333333335</v>
      </c>
      <c r="U7" s="191">
        <f t="shared" si="1"/>
        <v>0</v>
      </c>
      <c r="V7" s="191">
        <f>SUMIF($F$2:F7,F7,$U$2:U7)</f>
        <v>0</v>
      </c>
      <c r="W7" s="192">
        <f t="shared" si="2"/>
        <v>0.31556157011712566</v>
      </c>
      <c r="X7" s="192" t="str">
        <f t="shared" si="3"/>
        <v/>
      </c>
      <c r="Y7" s="192" t="str">
        <f t="shared" si="4"/>
        <v/>
      </c>
      <c r="Z7" s="190" t="str">
        <f>IFERROR(AVERAGEIF('Daily KPI'!D:D,Table14[[#This Row],[Month]],'Daily KPI'!AB:AB),"")</f>
        <v/>
      </c>
      <c r="AA7" s="189" t="str">
        <f>IFERROR(AVERAGEIF($F$2:F7,F7,$Z$2:Z7),"")</f>
        <v/>
      </c>
      <c r="AB7" s="191"/>
      <c r="AC7" s="185">
        <f>Table14[[#This Row],[WS]]</f>
        <v>8.16</v>
      </c>
      <c r="AD7" s="190">
        <f>AVERAGEIF($F$2:F7,F7,$AC$2:AC7)</f>
        <v>7.7233333333333336</v>
      </c>
      <c r="AE7" s="192">
        <f t="shared" si="5"/>
        <v>0.96029999999999993</v>
      </c>
      <c r="AF7" s="192">
        <v>0.995</v>
      </c>
      <c r="AG7" s="192"/>
      <c r="AH7" s="192">
        <v>0.97</v>
      </c>
      <c r="AI7" s="192">
        <v>0.99</v>
      </c>
      <c r="AJ7" s="192">
        <v>0.95</v>
      </c>
      <c r="AK7" s="192">
        <v>0.05</v>
      </c>
      <c r="AL7" s="192">
        <v>0.05</v>
      </c>
      <c r="AM7" s="218"/>
      <c r="AN7" s="218"/>
    </row>
    <row r="8" spans="1:43">
      <c r="A8" s="182">
        <f t="shared" si="6"/>
        <v>7</v>
      </c>
      <c r="B8" s="181" t="s">
        <v>216</v>
      </c>
      <c r="C8" s="182">
        <v>10</v>
      </c>
      <c r="D8" s="181">
        <v>45566</v>
      </c>
      <c r="E8" s="183">
        <f t="shared" si="7"/>
        <v>2024</v>
      </c>
      <c r="F8" s="183" t="s">
        <v>208</v>
      </c>
      <c r="G8" s="180">
        <f t="shared" si="8"/>
        <v>31</v>
      </c>
      <c r="H8" s="184"/>
      <c r="I8" s="184"/>
      <c r="J8" s="185">
        <v>9.2100000000000009</v>
      </c>
      <c r="K8" s="184"/>
      <c r="L8" s="180"/>
      <c r="M8" s="186">
        <v>11324.645</v>
      </c>
      <c r="N8" s="186">
        <v>70.2</v>
      </c>
      <c r="O8" s="187"/>
      <c r="P8" s="185"/>
      <c r="Q8" s="180">
        <f>COUNTIFS('Daily KPI'!$D:$D,D8,'Daily KPI'!$M:$M,"&gt;0")</f>
        <v>0</v>
      </c>
      <c r="R8" s="186"/>
      <c r="S8" s="186"/>
      <c r="T8" s="185">
        <f t="shared" si="0"/>
        <v>365.31112903225807</v>
      </c>
      <c r="U8" s="186">
        <f t="shared" si="1"/>
        <v>0</v>
      </c>
      <c r="V8" s="186">
        <f>SUMIF($F$2:F8,F8,$U$2:U8)</f>
        <v>0</v>
      </c>
      <c r="W8" s="187">
        <f t="shared" si="2"/>
        <v>0.21682759320528136</v>
      </c>
      <c r="X8" s="187" t="str">
        <f t="shared" si="3"/>
        <v/>
      </c>
      <c r="Y8" s="187" t="str">
        <f t="shared" si="4"/>
        <v/>
      </c>
      <c r="Z8" s="185" t="str">
        <f>IFERROR(AVERAGEIF('Daily KPI'!D:D,Table14[[#This Row],[Month]],'Daily KPI'!AB:AB),"")</f>
        <v/>
      </c>
      <c r="AA8" s="184" t="str">
        <f>IFERROR(AVERAGEIF($F$2:F8,F8,$Z$2:Z8),"")</f>
        <v/>
      </c>
      <c r="AB8" s="186"/>
      <c r="AC8" s="185">
        <f>Table14[[#This Row],[WS]]</f>
        <v>9.2100000000000009</v>
      </c>
      <c r="AD8" s="185">
        <f>AVERAGEIF($F$2:F8,F8,$AC$2:AC8)</f>
        <v>7.9357142857142859</v>
      </c>
      <c r="AE8" s="187">
        <f t="shared" si="5"/>
        <v>0.96029999999999993</v>
      </c>
      <c r="AF8" s="187">
        <v>0.995</v>
      </c>
      <c r="AG8" s="187"/>
      <c r="AH8" s="187">
        <v>0.97</v>
      </c>
      <c r="AI8" s="187">
        <v>0.99</v>
      </c>
      <c r="AJ8" s="187">
        <v>0.95</v>
      </c>
      <c r="AK8" s="187">
        <v>0.05</v>
      </c>
      <c r="AL8" s="187">
        <v>0.05</v>
      </c>
      <c r="AM8" s="218"/>
      <c r="AN8" s="218"/>
    </row>
    <row r="9" spans="1:43">
      <c r="A9" s="182">
        <f t="shared" si="6"/>
        <v>8</v>
      </c>
      <c r="B9" s="181" t="s">
        <v>217</v>
      </c>
      <c r="C9" s="182">
        <v>11</v>
      </c>
      <c r="D9" s="181">
        <v>45597</v>
      </c>
      <c r="E9" s="188">
        <f t="shared" si="7"/>
        <v>2024</v>
      </c>
      <c r="F9" s="183" t="s">
        <v>208</v>
      </c>
      <c r="G9" s="182">
        <f t="shared" si="8"/>
        <v>30</v>
      </c>
      <c r="H9" s="189"/>
      <c r="I9" s="189"/>
      <c r="J9" s="190">
        <v>8.33</v>
      </c>
      <c r="K9" s="189"/>
      <c r="L9" s="182"/>
      <c r="M9" s="191">
        <v>12231.398999999999</v>
      </c>
      <c r="N9" s="191">
        <v>70.2</v>
      </c>
      <c r="O9" s="192"/>
      <c r="P9" s="190"/>
      <c r="Q9" s="182">
        <f>COUNTIFS('Daily KPI'!$D:$D,D9,'Daily KPI'!$M:$M,"&gt;0")</f>
        <v>0</v>
      </c>
      <c r="R9" s="191"/>
      <c r="S9" s="191"/>
      <c r="T9" s="190">
        <f t="shared" si="0"/>
        <v>407.7133</v>
      </c>
      <c r="U9" s="191">
        <f t="shared" si="1"/>
        <v>0</v>
      </c>
      <c r="V9" s="191">
        <f>SUMIF($F$2:F9,F9,$U$2:U9)</f>
        <v>0</v>
      </c>
      <c r="W9" s="192">
        <f t="shared" si="2"/>
        <v>0.24199507359924025</v>
      </c>
      <c r="X9" s="192" t="str">
        <f t="shared" si="3"/>
        <v/>
      </c>
      <c r="Y9" s="192" t="str">
        <f t="shared" si="4"/>
        <v/>
      </c>
      <c r="Z9" s="190" t="str">
        <f>IFERROR(AVERAGEIF('Daily KPI'!D:D,Table14[[#This Row],[Month]],'Daily KPI'!AB:AB),"")</f>
        <v/>
      </c>
      <c r="AA9" s="189" t="str">
        <f>IFERROR(AVERAGEIF($F$2:F9,F9,$Z$2:Z9),"")</f>
        <v/>
      </c>
      <c r="AB9" s="191"/>
      <c r="AC9" s="185">
        <f>Table14[[#This Row],[WS]]</f>
        <v>8.33</v>
      </c>
      <c r="AD9" s="190">
        <f>AVERAGEIF($F$2:F9,F9,$AC$2:AC9)</f>
        <v>7.9850000000000003</v>
      </c>
      <c r="AE9" s="192">
        <f t="shared" si="5"/>
        <v>0.96029999999999993</v>
      </c>
      <c r="AF9" s="192">
        <v>0.995</v>
      </c>
      <c r="AG9" s="192"/>
      <c r="AH9" s="192">
        <v>0.97</v>
      </c>
      <c r="AI9" s="192">
        <v>0.99</v>
      </c>
      <c r="AJ9" s="192">
        <v>0.95</v>
      </c>
      <c r="AK9" s="192">
        <v>0.05</v>
      </c>
      <c r="AL9" s="192">
        <v>0.05</v>
      </c>
      <c r="AM9" s="218"/>
      <c r="AN9" s="218"/>
    </row>
    <row r="10" spans="1:43">
      <c r="A10" s="182">
        <f t="shared" si="6"/>
        <v>9</v>
      </c>
      <c r="B10" s="181" t="s">
        <v>218</v>
      </c>
      <c r="C10" s="182">
        <v>12</v>
      </c>
      <c r="D10" s="181">
        <v>45627</v>
      </c>
      <c r="E10" s="183">
        <f t="shared" si="7"/>
        <v>2024</v>
      </c>
      <c r="F10" s="183" t="s">
        <v>208</v>
      </c>
      <c r="G10" s="180">
        <f t="shared" si="8"/>
        <v>31</v>
      </c>
      <c r="H10" s="184"/>
      <c r="I10" s="184"/>
      <c r="J10" s="185">
        <v>6.95</v>
      </c>
      <c r="K10" s="184"/>
      <c r="L10" s="180"/>
      <c r="M10" s="186">
        <v>17896.983</v>
      </c>
      <c r="N10" s="186">
        <v>70.2</v>
      </c>
      <c r="O10" s="187"/>
      <c r="P10" s="185"/>
      <c r="Q10" s="180">
        <f>COUNTIFS('Daily KPI'!$D:$D,D10,'Daily KPI'!$M:$M,"&gt;0")</f>
        <v>0</v>
      </c>
      <c r="R10" s="186"/>
      <c r="S10" s="186"/>
      <c r="T10" s="185">
        <f t="shared" si="0"/>
        <v>577.3220322580645</v>
      </c>
      <c r="U10" s="186">
        <f t="shared" si="1"/>
        <v>0</v>
      </c>
      <c r="V10" s="186">
        <f>SUMIF($F$2:F10,F10,$U$2:U10)</f>
        <v>0</v>
      </c>
      <c r="W10" s="187">
        <f t="shared" si="2"/>
        <v>0.34266502389486253</v>
      </c>
      <c r="X10" s="187" t="str">
        <f t="shared" si="3"/>
        <v/>
      </c>
      <c r="Y10" s="187" t="str">
        <f t="shared" si="4"/>
        <v/>
      </c>
      <c r="Z10" s="185" t="str">
        <f>IFERROR(AVERAGEIF('Daily KPI'!D:D,Table14[[#This Row],[Month]],'Daily KPI'!AB:AB),"")</f>
        <v/>
      </c>
      <c r="AA10" s="184" t="str">
        <f>IFERROR(AVERAGEIF($F$2:F10,F10,$Z$2:Z10),"")</f>
        <v/>
      </c>
      <c r="AB10" s="186"/>
      <c r="AC10" s="185">
        <f>Table14[[#This Row],[WS]]</f>
        <v>6.95</v>
      </c>
      <c r="AD10" s="185">
        <f>AVERAGEIF($F$2:F10,F10,$AC$2:AC10)</f>
        <v>7.87</v>
      </c>
      <c r="AE10" s="187">
        <f t="shared" si="5"/>
        <v>0.96029999999999993</v>
      </c>
      <c r="AF10" s="187">
        <v>0.995</v>
      </c>
      <c r="AG10" s="187"/>
      <c r="AH10" s="187">
        <v>0.97</v>
      </c>
      <c r="AI10" s="187">
        <v>0.99</v>
      </c>
      <c r="AJ10" s="187">
        <v>0.95</v>
      </c>
      <c r="AK10" s="187">
        <v>0.05</v>
      </c>
      <c r="AL10" s="187">
        <v>0.05</v>
      </c>
      <c r="AM10" s="218"/>
      <c r="AN10" s="218"/>
    </row>
    <row r="11" spans="1:43">
      <c r="A11" s="182">
        <f t="shared" si="6"/>
        <v>10</v>
      </c>
      <c r="B11" s="181" t="s">
        <v>219</v>
      </c>
      <c r="C11" s="182">
        <v>1</v>
      </c>
      <c r="D11" s="181">
        <v>45658</v>
      </c>
      <c r="E11" s="188">
        <f t="shared" si="7"/>
        <v>2025</v>
      </c>
      <c r="F11" s="183" t="s">
        <v>208</v>
      </c>
      <c r="G11" s="182">
        <f t="shared" si="8"/>
        <v>31</v>
      </c>
      <c r="H11" s="189"/>
      <c r="I11" s="189"/>
      <c r="J11" s="190">
        <v>5.57</v>
      </c>
      <c r="K11" s="189"/>
      <c r="L11" s="182"/>
      <c r="M11" s="191">
        <v>19110.338</v>
      </c>
      <c r="N11" s="191">
        <v>70.2</v>
      </c>
      <c r="O11" s="192"/>
      <c r="P11" s="190"/>
      <c r="Q11" s="182">
        <f>COUNTIFS('Daily KPI'!$D:$D,D11,'Daily KPI'!$M:$M,"&gt;0")</f>
        <v>0</v>
      </c>
      <c r="R11" s="191"/>
      <c r="S11" s="191"/>
      <c r="T11" s="190">
        <f t="shared" si="0"/>
        <v>616.46251612903222</v>
      </c>
      <c r="U11" s="191">
        <f t="shared" si="1"/>
        <v>0</v>
      </c>
      <c r="V11" s="191">
        <f>SUMIF($F$2:F11,F11,$U$2:U11)</f>
        <v>0</v>
      </c>
      <c r="W11" s="192">
        <f t="shared" si="2"/>
        <v>0.36589655515730779</v>
      </c>
      <c r="X11" s="192" t="str">
        <f t="shared" si="3"/>
        <v/>
      </c>
      <c r="Y11" s="192" t="str">
        <f t="shared" si="4"/>
        <v/>
      </c>
      <c r="Z11" s="190" t="str">
        <f>IFERROR(AVERAGEIF('Daily KPI'!D:D,Table14[[#This Row],[Month]],'Daily KPI'!AB:AB),"")</f>
        <v/>
      </c>
      <c r="AA11" s="189" t="str">
        <f>IFERROR(AVERAGEIF($F$2:F11,F11,$Z$2:Z11),"")</f>
        <v/>
      </c>
      <c r="AB11" s="191"/>
      <c r="AC11" s="185">
        <f>Table14[[#This Row],[WS]]</f>
        <v>5.57</v>
      </c>
      <c r="AD11" s="190">
        <f>AVERAGEIF($F$2:F11,F11,$AC$2:AC11)</f>
        <v>7.6400000000000006</v>
      </c>
      <c r="AE11" s="192">
        <f t="shared" si="5"/>
        <v>0.96029999999999993</v>
      </c>
      <c r="AF11" s="192">
        <v>0.995</v>
      </c>
      <c r="AG11" s="192"/>
      <c r="AH11" s="192">
        <v>0.97</v>
      </c>
      <c r="AI11" s="192">
        <v>0.99</v>
      </c>
      <c r="AJ11" s="192">
        <v>0.95</v>
      </c>
      <c r="AK11" s="192">
        <v>0.05</v>
      </c>
      <c r="AL11" s="192">
        <v>0.05</v>
      </c>
      <c r="AM11" s="218"/>
      <c r="AN11" s="218"/>
    </row>
    <row r="12" spans="1:43">
      <c r="A12" s="182">
        <f t="shared" si="6"/>
        <v>11</v>
      </c>
      <c r="B12" s="181" t="s">
        <v>220</v>
      </c>
      <c r="C12" s="182">
        <v>2</v>
      </c>
      <c r="D12" s="181">
        <v>45689</v>
      </c>
      <c r="E12" s="183">
        <f t="shared" si="7"/>
        <v>2025</v>
      </c>
      <c r="F12" s="183" t="s">
        <v>208</v>
      </c>
      <c r="G12" s="180">
        <f t="shared" si="8"/>
        <v>28</v>
      </c>
      <c r="H12" s="184"/>
      <c r="I12" s="184"/>
      <c r="J12" s="185">
        <v>5.52</v>
      </c>
      <c r="K12" s="184"/>
      <c r="L12" s="180"/>
      <c r="M12" s="186">
        <v>14703.772000000001</v>
      </c>
      <c r="N12" s="186">
        <v>70.2</v>
      </c>
      <c r="O12" s="187"/>
      <c r="P12" s="185"/>
      <c r="Q12" s="180">
        <f>COUNTIFS('Daily KPI'!$D:$D,D12,'Daily KPI'!$M:$M,"&gt;0")</f>
        <v>0</v>
      </c>
      <c r="R12" s="186"/>
      <c r="S12" s="186"/>
      <c r="T12" s="185">
        <f t="shared" si="0"/>
        <v>525.13471428571427</v>
      </c>
      <c r="U12" s="186">
        <f t="shared" si="1"/>
        <v>0</v>
      </c>
      <c r="V12" s="186">
        <f>SUMIF($F$2:F12,F12,$U$2:U12)</f>
        <v>0</v>
      </c>
      <c r="W12" s="187">
        <f t="shared" si="2"/>
        <v>0.31168964523131187</v>
      </c>
      <c r="X12" s="187" t="str">
        <f t="shared" si="3"/>
        <v/>
      </c>
      <c r="Y12" s="187" t="str">
        <f t="shared" si="4"/>
        <v/>
      </c>
      <c r="Z12" s="185" t="str">
        <f>IFERROR(AVERAGEIF('Daily KPI'!D:D,Table14[[#This Row],[Month]],'Daily KPI'!AB:AB),"")</f>
        <v/>
      </c>
      <c r="AA12" s="184" t="str">
        <f>IFERROR(AVERAGEIF($F$2:F12,F12,$Z$2:Z12),"")</f>
        <v/>
      </c>
      <c r="AB12" s="186"/>
      <c r="AC12" s="185">
        <f>Table14[[#This Row],[WS]]</f>
        <v>5.52</v>
      </c>
      <c r="AD12" s="185">
        <f>AVERAGEIF($F$2:F12,F12,$AC$2:AC12)</f>
        <v>7.4472727272727273</v>
      </c>
      <c r="AE12" s="187">
        <f t="shared" si="5"/>
        <v>0.96029999999999993</v>
      </c>
      <c r="AF12" s="187">
        <v>0.995</v>
      </c>
      <c r="AG12" s="187"/>
      <c r="AH12" s="187">
        <v>0.97</v>
      </c>
      <c r="AI12" s="187">
        <v>0.99</v>
      </c>
      <c r="AJ12" s="187">
        <v>0.95</v>
      </c>
      <c r="AK12" s="187">
        <v>0.05</v>
      </c>
      <c r="AL12" s="187">
        <v>0.05</v>
      </c>
      <c r="AM12" s="218"/>
      <c r="AN12" s="218"/>
    </row>
    <row r="13" spans="1:43">
      <c r="A13" s="182">
        <f t="shared" si="6"/>
        <v>12</v>
      </c>
      <c r="B13" s="181" t="s">
        <v>221</v>
      </c>
      <c r="C13" s="182">
        <f>C2</f>
        <v>4</v>
      </c>
      <c r="D13" s="181">
        <v>45717</v>
      </c>
      <c r="E13" s="188">
        <f t="shared" si="7"/>
        <v>2025</v>
      </c>
      <c r="F13" s="183" t="s">
        <v>208</v>
      </c>
      <c r="G13" s="182">
        <f t="shared" si="8"/>
        <v>31</v>
      </c>
      <c r="H13" s="189"/>
      <c r="I13" s="189"/>
      <c r="J13" s="190">
        <v>6.89</v>
      </c>
      <c r="K13" s="189"/>
      <c r="L13" s="182"/>
      <c r="M13" s="191">
        <v>19615.901999999998</v>
      </c>
      <c r="N13" s="191">
        <v>70.2</v>
      </c>
      <c r="O13" s="192"/>
      <c r="P13" s="190"/>
      <c r="Q13" s="182">
        <f>COUNTIFS('Daily KPI'!$D:$D,D13,'Daily KPI'!$M:$M,"&gt;0")</f>
        <v>3</v>
      </c>
      <c r="R13" s="191"/>
      <c r="S13" s="191"/>
      <c r="T13" s="190">
        <f t="shared" si="0"/>
        <v>632.77103225806445</v>
      </c>
      <c r="U13" s="191">
        <f t="shared" si="1"/>
        <v>1898.3130967741934</v>
      </c>
      <c r="V13" s="191">
        <f>SUMIF($F$2:F13,F13,$U$2:U13)</f>
        <v>1898.3130967741934</v>
      </c>
      <c r="W13" s="192">
        <f t="shared" si="2"/>
        <v>0.37557634868118733</v>
      </c>
      <c r="X13" s="192">
        <f t="shared" si="3"/>
        <v>0.37557634868118733</v>
      </c>
      <c r="Y13" s="192">
        <f t="shared" si="4"/>
        <v>0.37557634868118733</v>
      </c>
      <c r="Z13" s="190">
        <f>IFERROR(AVERAGEIF('Daily KPI'!D:D,Table14[[#This Row],[Month]],'Daily KPI'!AB:AB),"")</f>
        <v>70.2</v>
      </c>
      <c r="AA13" s="189">
        <f>IFERROR(AVERAGEIF($F$2:F13,F13,$Z$2:Z13),"")</f>
        <v>70.2</v>
      </c>
      <c r="AB13" s="191"/>
      <c r="AC13" s="185">
        <f>Table14[[#This Row],[WS]]</f>
        <v>6.89</v>
      </c>
      <c r="AD13" s="190">
        <f>AVERAGEIF($F$2:F13,F13,$AC$2:AC13)</f>
        <v>7.4008333333333338</v>
      </c>
      <c r="AE13" s="192">
        <f t="shared" si="5"/>
        <v>0.96029999999999993</v>
      </c>
      <c r="AF13" s="192">
        <v>0.995</v>
      </c>
      <c r="AG13" s="192"/>
      <c r="AH13" s="192">
        <v>0.97</v>
      </c>
      <c r="AI13" s="192">
        <v>0.99</v>
      </c>
      <c r="AJ13" s="192">
        <v>0.95</v>
      </c>
      <c r="AK13" s="192">
        <v>0.05</v>
      </c>
      <c r="AL13" s="192">
        <v>0.05</v>
      </c>
      <c r="AM13" s="218"/>
      <c r="AN13" s="218"/>
    </row>
    <row r="14" spans="1:43">
      <c r="A14" s="182">
        <f t="shared" si="6"/>
        <v>13</v>
      </c>
      <c r="B14" s="181" t="str">
        <f>B2</f>
        <v>April</v>
      </c>
      <c r="C14" s="182">
        <f t="shared" ref="C14:C25" si="9">C3</f>
        <v>5</v>
      </c>
      <c r="D14" s="181">
        <v>45748</v>
      </c>
      <c r="E14" s="183">
        <f t="shared" si="7"/>
        <v>2025</v>
      </c>
      <c r="F14" s="183" t="s">
        <v>222</v>
      </c>
      <c r="G14" s="180">
        <f t="shared" si="8"/>
        <v>30</v>
      </c>
      <c r="H14" s="184"/>
      <c r="I14" s="184"/>
      <c r="J14" s="185">
        <f>J2</f>
        <v>6.65</v>
      </c>
      <c r="K14" s="184"/>
      <c r="L14" s="180"/>
      <c r="M14" s="186">
        <v>20932.816273891629</v>
      </c>
      <c r="N14" s="191">
        <v>70.2</v>
      </c>
      <c r="O14" s="187"/>
      <c r="P14" s="185"/>
      <c r="Q14" s="180">
        <f>COUNTIFS('Daily KPI'!$D:$D,D14,'Daily KPI'!$M:$M,"&gt;0")</f>
        <v>30</v>
      </c>
      <c r="R14" s="186"/>
      <c r="S14" s="186"/>
      <c r="T14" s="185">
        <f t="shared" si="0"/>
        <v>697.76054246305432</v>
      </c>
      <c r="U14" s="186">
        <f t="shared" si="1"/>
        <v>20932.816273891629</v>
      </c>
      <c r="V14" s="186">
        <f>SUMIF($F$2:F14,F14,$U$2:U14)</f>
        <v>20932.816273891629</v>
      </c>
      <c r="W14" s="187">
        <f t="shared" si="2"/>
        <v>0.41415036945812811</v>
      </c>
      <c r="X14" s="187">
        <f t="shared" si="3"/>
        <v>0.41415036945812811</v>
      </c>
      <c r="Y14" s="187">
        <f t="shared" si="4"/>
        <v>0.41415036945812811</v>
      </c>
      <c r="Z14" s="185">
        <f>IFERROR(AVERAGEIF('Daily KPI'!D:D,Table14[[#This Row],[Month]],'Daily KPI'!AB:AB),"")</f>
        <v>70.200000000000031</v>
      </c>
      <c r="AA14" s="184">
        <f>IFERROR(AVERAGEIF($F$2:F14,F14,$Z$2:Z14),"")</f>
        <v>70.200000000000031</v>
      </c>
      <c r="AB14" s="186"/>
      <c r="AC14" s="185">
        <f>Table14[[#This Row],[WS]]</f>
        <v>6.65</v>
      </c>
      <c r="AD14" s="185">
        <f>AVERAGEIF($F$2:F14,F14,$AC$2:AC14)</f>
        <v>6.65</v>
      </c>
      <c r="AE14" s="187">
        <f t="shared" si="5"/>
        <v>0.96029999999999993</v>
      </c>
      <c r="AF14" s="187">
        <v>0.995</v>
      </c>
      <c r="AG14" s="187"/>
      <c r="AH14" s="187">
        <v>0.97</v>
      </c>
      <c r="AI14" s="187">
        <v>0.99</v>
      </c>
      <c r="AJ14" s="187">
        <v>0.95</v>
      </c>
      <c r="AK14" s="187">
        <v>0.05</v>
      </c>
      <c r="AL14" s="187">
        <v>0.05</v>
      </c>
      <c r="AM14" s="218"/>
      <c r="AN14" s="218"/>
    </row>
    <row r="15" spans="1:43">
      <c r="A15" s="182">
        <f t="shared" si="6"/>
        <v>14</v>
      </c>
      <c r="B15" s="181" t="str">
        <f t="shared" ref="B15:B25" si="10">B3</f>
        <v>May</v>
      </c>
      <c r="C15" s="182">
        <f t="shared" si="9"/>
        <v>6</v>
      </c>
      <c r="D15" s="181">
        <v>45778</v>
      </c>
      <c r="E15" s="188">
        <f t="shared" si="7"/>
        <v>2025</v>
      </c>
      <c r="F15" s="183" t="s">
        <v>222</v>
      </c>
      <c r="G15" s="182">
        <f t="shared" si="8"/>
        <v>31</v>
      </c>
      <c r="H15" s="189"/>
      <c r="I15" s="189"/>
      <c r="J15" s="185">
        <f t="shared" ref="J15:J25" si="11">J3</f>
        <v>7.19</v>
      </c>
      <c r="K15" s="189"/>
      <c r="L15" s="182"/>
      <c r="M15" s="191">
        <v>28170.053528275868</v>
      </c>
      <c r="N15" s="191">
        <v>70.2</v>
      </c>
      <c r="O15" s="192"/>
      <c r="P15" s="190"/>
      <c r="Q15" s="182">
        <f>COUNTIFS('Daily KPI'!$D:$D,D15,'Daily KPI'!$M:$M,"&gt;0")</f>
        <v>31</v>
      </c>
      <c r="R15" s="191"/>
      <c r="S15" s="191"/>
      <c r="T15" s="190">
        <f t="shared" si="0"/>
        <v>908.71140413793125</v>
      </c>
      <c r="U15" s="191">
        <f t="shared" si="1"/>
        <v>28170.053528275868</v>
      </c>
      <c r="V15" s="191">
        <f>SUMIF($F$2:F15,F15,$U$2:U15)</f>
        <v>49102.869802167494</v>
      </c>
      <c r="W15" s="192">
        <f t="shared" si="2"/>
        <v>0.53935862068965523</v>
      </c>
      <c r="X15" s="192">
        <f t="shared" si="3"/>
        <v>0.53935862068965523</v>
      </c>
      <c r="Y15" s="192">
        <f t="shared" si="4"/>
        <v>0.47778079221513364</v>
      </c>
      <c r="Z15" s="190">
        <f>IFERROR(AVERAGEIF('Daily KPI'!D:D,Table14[[#This Row],[Month]],'Daily KPI'!AB:AB),"")</f>
        <v>70.200000000000017</v>
      </c>
      <c r="AA15" s="189">
        <f>IFERROR(AVERAGEIF($F$2:F15,F15,$Z$2:Z15),"")</f>
        <v>70.200000000000017</v>
      </c>
      <c r="AB15" s="191"/>
      <c r="AC15" s="185">
        <f>Table14[[#This Row],[WS]]</f>
        <v>7.19</v>
      </c>
      <c r="AD15" s="190">
        <f>AVERAGEIF($F$2:F15,F15,$AC$2:AC15)</f>
        <v>6.92</v>
      </c>
      <c r="AE15" s="192">
        <f t="shared" si="5"/>
        <v>0.96029999999999993</v>
      </c>
      <c r="AF15" s="192">
        <v>0.995</v>
      </c>
      <c r="AG15" s="192"/>
      <c r="AH15" s="192">
        <v>0.97</v>
      </c>
      <c r="AI15" s="192">
        <v>0.99</v>
      </c>
      <c r="AJ15" s="192">
        <v>0.95</v>
      </c>
      <c r="AK15" s="192">
        <v>0.05</v>
      </c>
      <c r="AL15" s="192">
        <v>0.05</v>
      </c>
      <c r="AM15" s="218"/>
      <c r="AN15" s="218"/>
    </row>
    <row r="16" spans="1:43">
      <c r="A16" s="182">
        <f t="shared" si="6"/>
        <v>15</v>
      </c>
      <c r="B16" s="181" t="str">
        <f t="shared" si="10"/>
        <v>June</v>
      </c>
      <c r="C16" s="182">
        <f t="shared" si="9"/>
        <v>7</v>
      </c>
      <c r="D16" s="181">
        <v>45809</v>
      </c>
      <c r="E16" s="183">
        <f t="shared" si="7"/>
        <v>2025</v>
      </c>
      <c r="F16" s="183" t="s">
        <v>222</v>
      </c>
      <c r="G16" s="180">
        <f t="shared" si="8"/>
        <v>30</v>
      </c>
      <c r="H16" s="184"/>
      <c r="I16" s="184"/>
      <c r="J16" s="185">
        <f t="shared" si="11"/>
        <v>7.15</v>
      </c>
      <c r="K16" s="184"/>
      <c r="L16" s="180"/>
      <c r="M16" s="186">
        <v>24048.398230935967</v>
      </c>
      <c r="N16" s="191">
        <v>70.2</v>
      </c>
      <c r="O16" s="187"/>
      <c r="P16" s="185"/>
      <c r="Q16" s="180">
        <f>COUNTIFS('Daily KPI'!$D:$D,D16,'Daily KPI'!$M:$M,"&gt;0")</f>
        <v>30</v>
      </c>
      <c r="R16" s="186"/>
      <c r="S16" s="186"/>
      <c r="T16" s="185">
        <f t="shared" si="0"/>
        <v>801.61327436453223</v>
      </c>
      <c r="U16" s="186">
        <f t="shared" si="1"/>
        <v>24048.398230935967</v>
      </c>
      <c r="V16" s="186">
        <f>SUMIF($F$2:F16,F16,$U$2:U16)</f>
        <v>73151.268033103464</v>
      </c>
      <c r="W16" s="187">
        <f t="shared" si="2"/>
        <v>0.47579135467980305</v>
      </c>
      <c r="X16" s="187">
        <f t="shared" si="3"/>
        <v>0.47579135467980299</v>
      </c>
      <c r="Y16" s="187">
        <f t="shared" si="4"/>
        <v>0.47712493368700271</v>
      </c>
      <c r="Z16" s="185">
        <f>IFERROR(AVERAGEIF('Daily KPI'!D:D,Table14[[#This Row],[Month]],'Daily KPI'!AB:AB),"")</f>
        <v>70.200000000000031</v>
      </c>
      <c r="AA16" s="184">
        <f>IFERROR(AVERAGEIF($F$2:F16,F16,$Z$2:Z16),"")</f>
        <v>70.200000000000031</v>
      </c>
      <c r="AB16" s="186"/>
      <c r="AC16" s="185">
        <f>Table14[[#This Row],[WS]]</f>
        <v>7.15</v>
      </c>
      <c r="AD16" s="185">
        <f>AVERAGEIF($F$2:F16,F16,$AC$2:AC16)</f>
        <v>6.996666666666667</v>
      </c>
      <c r="AE16" s="187">
        <f t="shared" si="5"/>
        <v>0.96029999999999993</v>
      </c>
      <c r="AF16" s="187">
        <v>0.995</v>
      </c>
      <c r="AG16" s="187"/>
      <c r="AH16" s="187">
        <v>0.97</v>
      </c>
      <c r="AI16" s="187">
        <v>0.99</v>
      </c>
      <c r="AJ16" s="187">
        <v>0.95</v>
      </c>
      <c r="AK16" s="187">
        <v>0.05</v>
      </c>
      <c r="AL16" s="187">
        <v>0.05</v>
      </c>
      <c r="AM16" s="218"/>
      <c r="AN16" s="218"/>
    </row>
    <row r="17" spans="1:40">
      <c r="A17" s="182">
        <f t="shared" si="6"/>
        <v>16</v>
      </c>
      <c r="B17" s="181" t="str">
        <f t="shared" si="10"/>
        <v>July</v>
      </c>
      <c r="C17" s="182">
        <f t="shared" si="9"/>
        <v>8</v>
      </c>
      <c r="D17" s="181">
        <v>45839</v>
      </c>
      <c r="E17" s="188">
        <f t="shared" si="7"/>
        <v>2025</v>
      </c>
      <c r="F17" s="183" t="s">
        <v>222</v>
      </c>
      <c r="G17" s="182">
        <f t="shared" si="8"/>
        <v>31</v>
      </c>
      <c r="H17" s="189"/>
      <c r="I17" s="189"/>
      <c r="J17" s="185">
        <f t="shared" si="11"/>
        <v>8.18</v>
      </c>
      <c r="K17" s="189"/>
      <c r="L17" s="182"/>
      <c r="M17" s="191">
        <v>29880.378206778336</v>
      </c>
      <c r="N17" s="191">
        <v>70.2</v>
      </c>
      <c r="O17" s="192"/>
      <c r="P17" s="190"/>
      <c r="Q17" s="182">
        <f>COUNTIFS('Daily KPI'!$D:$D,D17,'Daily KPI'!$M:$M,"&gt;0")</f>
        <v>23</v>
      </c>
      <c r="R17" s="191"/>
      <c r="S17" s="191"/>
      <c r="T17" s="190">
        <f t="shared" si="0"/>
        <v>963.88316796059144</v>
      </c>
      <c r="U17" s="191">
        <f t="shared" si="1"/>
        <v>22169.312863093604</v>
      </c>
      <c r="V17" s="191">
        <f>SUMIF($F$2:F17,F17,$U$2:U17)</f>
        <v>95320.580896197062</v>
      </c>
      <c r="W17" s="192">
        <f t="shared" si="2"/>
        <v>0.57210539408867012</v>
      </c>
      <c r="X17" s="192">
        <f t="shared" si="3"/>
        <v>0.57210539408867012</v>
      </c>
      <c r="Y17" s="192">
        <f t="shared" si="4"/>
        <v>0.49628765815400577</v>
      </c>
      <c r="Z17" s="190">
        <f>IFERROR(AVERAGEIF('Daily KPI'!D:D,Table14[[#This Row],[Month]],'Daily KPI'!AB:AB),"")</f>
        <v>70.200000000000031</v>
      </c>
      <c r="AA17" s="189">
        <f>IFERROR(AVERAGEIF($F$2:F17,F17,$Z$2:Z17),"")</f>
        <v>70.200000000000031</v>
      </c>
      <c r="AB17" s="191"/>
      <c r="AC17" s="185">
        <f>Table14[[#This Row],[WS]]</f>
        <v>8.18</v>
      </c>
      <c r="AD17" s="190">
        <f>AVERAGEIF($F$2:F17,F17,$AC$2:AC17)</f>
        <v>7.2925000000000004</v>
      </c>
      <c r="AE17" s="192">
        <f t="shared" si="5"/>
        <v>0.96029999999999993</v>
      </c>
      <c r="AF17" s="192">
        <v>0.995</v>
      </c>
      <c r="AG17" s="192"/>
      <c r="AH17" s="192">
        <v>0.97</v>
      </c>
      <c r="AI17" s="192">
        <v>0.99</v>
      </c>
      <c r="AJ17" s="192">
        <v>0.95</v>
      </c>
      <c r="AK17" s="192">
        <v>0.05</v>
      </c>
      <c r="AL17" s="192">
        <v>0.05</v>
      </c>
      <c r="AM17" s="218"/>
      <c r="AN17" s="218"/>
    </row>
    <row r="18" spans="1:40">
      <c r="A18" s="182">
        <f t="shared" si="6"/>
        <v>17</v>
      </c>
      <c r="B18" s="181" t="str">
        <f t="shared" si="10"/>
        <v>August</v>
      </c>
      <c r="C18" s="182">
        <f t="shared" si="9"/>
        <v>9</v>
      </c>
      <c r="D18" s="181">
        <v>45870</v>
      </c>
      <c r="E18" s="183">
        <f t="shared" si="7"/>
        <v>2025</v>
      </c>
      <c r="F18" s="183" t="s">
        <v>222</v>
      </c>
      <c r="G18" s="180">
        <f t="shared" si="8"/>
        <v>31</v>
      </c>
      <c r="H18" s="184"/>
      <c r="I18" s="184"/>
      <c r="J18" s="185">
        <f t="shared" si="11"/>
        <v>9.01</v>
      </c>
      <c r="K18" s="184"/>
      <c r="L18" s="180"/>
      <c r="M18" s="186">
        <v>27767.624192157644</v>
      </c>
      <c r="N18" s="191">
        <v>70.2</v>
      </c>
      <c r="O18" s="187"/>
      <c r="P18" s="185"/>
      <c r="Q18" s="180">
        <f>COUNTIFS('Daily KPI'!$D:$D,D18,'Daily KPI'!$M:$M,"&gt;0")</f>
        <v>0</v>
      </c>
      <c r="R18" s="186"/>
      <c r="S18" s="186"/>
      <c r="T18" s="185">
        <f t="shared" si="0"/>
        <v>895.72981265024657</v>
      </c>
      <c r="U18" s="186">
        <f t="shared" si="1"/>
        <v>0</v>
      </c>
      <c r="V18" s="186">
        <f>SUMIF($F$2:F18,F18,$U$2:U18)</f>
        <v>95320.580896197062</v>
      </c>
      <c r="W18" s="187">
        <f t="shared" si="2"/>
        <v>0.53165349753694591</v>
      </c>
      <c r="X18" s="187" t="str">
        <f t="shared" si="3"/>
        <v/>
      </c>
      <c r="Y18" s="187">
        <f t="shared" si="4"/>
        <v>0.49628765815400577</v>
      </c>
      <c r="Z18" s="185" t="str">
        <f>IFERROR(AVERAGEIF('Daily KPI'!D:D,Table14[[#This Row],[Month]],'Daily KPI'!AB:AB),"")</f>
        <v/>
      </c>
      <c r="AA18" s="184">
        <f>IFERROR(AVERAGEIF($F$2:F18,F18,$Z$2:Z18),"")</f>
        <v>70.200000000000031</v>
      </c>
      <c r="AB18" s="186"/>
      <c r="AC18" s="185">
        <f>Table14[[#This Row],[WS]]</f>
        <v>9.01</v>
      </c>
      <c r="AD18" s="185">
        <f>AVERAGEIF($F$2:F18,F18,$AC$2:AC18)</f>
        <v>7.6360000000000001</v>
      </c>
      <c r="AE18" s="187">
        <f t="shared" si="5"/>
        <v>0.96029999999999993</v>
      </c>
      <c r="AF18" s="187">
        <v>0.995</v>
      </c>
      <c r="AG18" s="187"/>
      <c r="AH18" s="187">
        <v>0.97</v>
      </c>
      <c r="AI18" s="187">
        <v>0.99</v>
      </c>
      <c r="AJ18" s="187">
        <v>0.95</v>
      </c>
      <c r="AK18" s="187">
        <v>0.05</v>
      </c>
      <c r="AL18" s="187">
        <v>0.05</v>
      </c>
      <c r="AM18" s="218"/>
      <c r="AN18" s="218"/>
    </row>
    <row r="19" spans="1:40">
      <c r="A19" s="182">
        <f t="shared" si="6"/>
        <v>18</v>
      </c>
      <c r="B19" s="181" t="str">
        <f t="shared" si="10"/>
        <v>September</v>
      </c>
      <c r="C19" s="182">
        <f t="shared" si="9"/>
        <v>10</v>
      </c>
      <c r="D19" s="181">
        <v>45901</v>
      </c>
      <c r="E19" s="188">
        <f t="shared" si="7"/>
        <v>2025</v>
      </c>
      <c r="F19" s="183" t="s">
        <v>222</v>
      </c>
      <c r="G19" s="182">
        <f t="shared" si="8"/>
        <v>30</v>
      </c>
      <c r="H19" s="189"/>
      <c r="I19" s="189"/>
      <c r="J19" s="185">
        <f t="shared" si="11"/>
        <v>8.16</v>
      </c>
      <c r="K19" s="189"/>
      <c r="L19" s="182"/>
      <c r="M19" s="191">
        <v>15869.995593694588</v>
      </c>
      <c r="N19" s="191">
        <v>70.2</v>
      </c>
      <c r="O19" s="192"/>
      <c r="P19" s="190"/>
      <c r="Q19" s="182">
        <f>COUNTIFS('Daily KPI'!$D:$D,D19,'Daily KPI'!$M:$M,"&gt;0")</f>
        <v>0</v>
      </c>
      <c r="R19" s="191"/>
      <c r="S19" s="191"/>
      <c r="T19" s="190">
        <f t="shared" si="0"/>
        <v>528.99985312315289</v>
      </c>
      <c r="U19" s="191">
        <f t="shared" si="1"/>
        <v>0</v>
      </c>
      <c r="V19" s="191">
        <f>SUMIF($F$2:F19,F19,$U$2:U19)</f>
        <v>95320.580896197062</v>
      </c>
      <c r="W19" s="192">
        <f t="shared" si="2"/>
        <v>0.31398376847290649</v>
      </c>
      <c r="X19" s="192" t="str">
        <f t="shared" si="3"/>
        <v/>
      </c>
      <c r="Y19" s="192">
        <f t="shared" si="4"/>
        <v>0.49628765815400577</v>
      </c>
      <c r="Z19" s="190" t="str">
        <f>IFERROR(AVERAGEIF('Daily KPI'!D:D,Table14[[#This Row],[Month]],'Daily KPI'!AB:AB),"")</f>
        <v/>
      </c>
      <c r="AA19" s="189">
        <f>IFERROR(AVERAGEIF($F$2:F19,F19,$Z$2:Z19),"")</f>
        <v>70.200000000000031</v>
      </c>
      <c r="AB19" s="191"/>
      <c r="AC19" s="185">
        <f>Table14[[#This Row],[WS]]</f>
        <v>8.16</v>
      </c>
      <c r="AD19" s="190">
        <f>AVERAGEIF($F$2:F19,F19,$AC$2:AC19)</f>
        <v>7.7233333333333336</v>
      </c>
      <c r="AE19" s="192">
        <f t="shared" si="5"/>
        <v>0.96029999999999993</v>
      </c>
      <c r="AF19" s="192">
        <v>0.995</v>
      </c>
      <c r="AG19" s="192"/>
      <c r="AH19" s="192">
        <v>0.97</v>
      </c>
      <c r="AI19" s="192">
        <v>0.99</v>
      </c>
      <c r="AJ19" s="192">
        <v>0.95</v>
      </c>
      <c r="AK19" s="192">
        <v>0.05</v>
      </c>
      <c r="AL19" s="192">
        <v>0.05</v>
      </c>
      <c r="AM19" s="218"/>
      <c r="AN19" s="218"/>
    </row>
    <row r="20" spans="1:40">
      <c r="A20" s="182">
        <f t="shared" si="6"/>
        <v>19</v>
      </c>
      <c r="B20" s="181" t="str">
        <f t="shared" si="10"/>
        <v>October</v>
      </c>
      <c r="C20" s="182">
        <f t="shared" si="9"/>
        <v>11</v>
      </c>
      <c r="D20" s="181">
        <v>45931</v>
      </c>
      <c r="E20" s="183">
        <f t="shared" si="7"/>
        <v>2025</v>
      </c>
      <c r="F20" s="183" t="s">
        <v>222</v>
      </c>
      <c r="G20" s="180">
        <f t="shared" si="8"/>
        <v>31</v>
      </c>
      <c r="H20" s="184"/>
      <c r="I20" s="184"/>
      <c r="J20" s="185">
        <f t="shared" si="11"/>
        <v>9.2100000000000009</v>
      </c>
      <c r="K20" s="184"/>
      <c r="L20" s="180"/>
      <c r="M20" s="186">
        <v>11268.021411310347</v>
      </c>
      <c r="N20" s="191">
        <v>70.2</v>
      </c>
      <c r="O20" s="187"/>
      <c r="P20" s="185"/>
      <c r="Q20" s="180">
        <f>COUNTIFS('Daily KPI'!$D:$D,D20,'Daily KPI'!$M:$M,"&gt;0")</f>
        <v>0</v>
      </c>
      <c r="R20" s="186"/>
      <c r="S20" s="186"/>
      <c r="T20" s="185">
        <f t="shared" si="0"/>
        <v>363.48456165517246</v>
      </c>
      <c r="U20" s="186">
        <f t="shared" si="1"/>
        <v>0</v>
      </c>
      <c r="V20" s="186">
        <f>SUMIF($F$2:F20,F20,$U$2:U20)</f>
        <v>95320.580896197062</v>
      </c>
      <c r="W20" s="187">
        <f t="shared" si="2"/>
        <v>0.21574344827586206</v>
      </c>
      <c r="X20" s="187" t="str">
        <f t="shared" si="3"/>
        <v/>
      </c>
      <c r="Y20" s="187">
        <f t="shared" si="4"/>
        <v>0.49628765815400577</v>
      </c>
      <c r="Z20" s="185" t="str">
        <f>IFERROR(AVERAGEIF('Daily KPI'!D:D,Table14[[#This Row],[Month]],'Daily KPI'!AB:AB),"")</f>
        <v/>
      </c>
      <c r="AA20" s="184">
        <f>IFERROR(AVERAGEIF($F$2:F20,F20,$Z$2:Z20),"")</f>
        <v>70.200000000000031</v>
      </c>
      <c r="AB20" s="186"/>
      <c r="AC20" s="185">
        <f>Table14[[#This Row],[WS]]</f>
        <v>9.2100000000000009</v>
      </c>
      <c r="AD20" s="185">
        <f>AVERAGEIF($F$2:F20,F20,$AC$2:AC20)</f>
        <v>7.9357142857142859</v>
      </c>
      <c r="AE20" s="187">
        <f t="shared" si="5"/>
        <v>0.96029999999999993</v>
      </c>
      <c r="AF20" s="187">
        <v>0.995</v>
      </c>
      <c r="AG20" s="187"/>
      <c r="AH20" s="187">
        <v>0.97</v>
      </c>
      <c r="AI20" s="187">
        <v>0.99</v>
      </c>
      <c r="AJ20" s="187">
        <v>0.95</v>
      </c>
      <c r="AK20" s="187">
        <v>0.05</v>
      </c>
      <c r="AL20" s="187">
        <v>0.05</v>
      </c>
      <c r="AM20" s="218"/>
      <c r="AN20" s="218"/>
    </row>
    <row r="21" spans="1:40">
      <c r="A21" s="182">
        <f t="shared" si="6"/>
        <v>20</v>
      </c>
      <c r="B21" s="181" t="str">
        <f t="shared" si="10"/>
        <v>November</v>
      </c>
      <c r="C21" s="182">
        <f t="shared" si="9"/>
        <v>12</v>
      </c>
      <c r="D21" s="181">
        <v>45962</v>
      </c>
      <c r="E21" s="188">
        <f t="shared" si="7"/>
        <v>2025</v>
      </c>
      <c r="F21" s="183" t="s">
        <v>222</v>
      </c>
      <c r="G21" s="182">
        <f t="shared" si="8"/>
        <v>30</v>
      </c>
      <c r="H21" s="189"/>
      <c r="I21" s="189"/>
      <c r="J21" s="185">
        <f t="shared" si="11"/>
        <v>8.33</v>
      </c>
      <c r="K21" s="189"/>
      <c r="L21" s="182"/>
      <c r="M21" s="191">
        <v>12170.242019704438</v>
      </c>
      <c r="N21" s="191">
        <v>70.2</v>
      </c>
      <c r="O21" s="192"/>
      <c r="P21" s="190"/>
      <c r="Q21" s="182">
        <f>COUNTIFS('Daily KPI'!$D:$D,D21,'Daily KPI'!$M:$M,"&gt;0")</f>
        <v>0</v>
      </c>
      <c r="R21" s="191"/>
      <c r="S21" s="191"/>
      <c r="T21" s="190">
        <f t="shared" si="0"/>
        <v>405.6747339901479</v>
      </c>
      <c r="U21" s="191">
        <f t="shared" si="1"/>
        <v>0</v>
      </c>
      <c r="V21" s="191">
        <f>SUMIF($F$2:F21,F21,$U$2:U21)</f>
        <v>95320.580896197062</v>
      </c>
      <c r="W21" s="192">
        <f t="shared" si="2"/>
        <v>0.24078509852216753</v>
      </c>
      <c r="X21" s="192" t="str">
        <f t="shared" si="3"/>
        <v/>
      </c>
      <c r="Y21" s="192">
        <f t="shared" si="4"/>
        <v>0.49628765815400577</v>
      </c>
      <c r="Z21" s="190" t="str">
        <f>IFERROR(AVERAGEIF('Daily KPI'!D:D,Table14[[#This Row],[Month]],'Daily KPI'!AB:AB),"")</f>
        <v/>
      </c>
      <c r="AA21" s="189">
        <f>IFERROR(AVERAGEIF($F$2:F21,F21,$Z$2:Z21),"")</f>
        <v>70.200000000000031</v>
      </c>
      <c r="AB21" s="191"/>
      <c r="AC21" s="185">
        <f>Table14[[#This Row],[WS]]</f>
        <v>8.33</v>
      </c>
      <c r="AD21" s="190">
        <f>AVERAGEIF($F$2:F21,F21,$AC$2:AC21)</f>
        <v>7.9850000000000003</v>
      </c>
      <c r="AE21" s="192">
        <f t="shared" si="5"/>
        <v>0.96029999999999993</v>
      </c>
      <c r="AF21" s="192">
        <v>0.995</v>
      </c>
      <c r="AG21" s="192"/>
      <c r="AH21" s="192">
        <v>0.97</v>
      </c>
      <c r="AI21" s="192">
        <v>0.99</v>
      </c>
      <c r="AJ21" s="192">
        <v>0.95</v>
      </c>
      <c r="AK21" s="192">
        <v>0.05</v>
      </c>
      <c r="AL21" s="192">
        <v>0.05</v>
      </c>
      <c r="AM21" s="218"/>
      <c r="AN21" s="218"/>
    </row>
    <row r="22" spans="1:40">
      <c r="A22" s="182">
        <f t="shared" si="6"/>
        <v>21</v>
      </c>
      <c r="B22" s="181" t="str">
        <f t="shared" si="10"/>
        <v>December</v>
      </c>
      <c r="C22" s="182">
        <f t="shared" si="9"/>
        <v>1</v>
      </c>
      <c r="D22" s="181">
        <v>45992</v>
      </c>
      <c r="E22" s="183">
        <f t="shared" si="7"/>
        <v>2025</v>
      </c>
      <c r="F22" s="183" t="s">
        <v>222</v>
      </c>
      <c r="G22" s="180">
        <f t="shared" si="8"/>
        <v>31</v>
      </c>
      <c r="H22" s="184"/>
      <c r="I22" s="184"/>
      <c r="J22" s="185">
        <f t="shared" si="11"/>
        <v>6.95</v>
      </c>
      <c r="K22" s="184"/>
      <c r="L22" s="180"/>
      <c r="M22" s="186">
        <v>17807.498123231533</v>
      </c>
      <c r="N22" s="191">
        <v>70.2</v>
      </c>
      <c r="O22" s="187"/>
      <c r="P22" s="185"/>
      <c r="Q22" s="180">
        <f>COUNTIFS('Daily KPI'!$D:$D,D22,'Daily KPI'!$M:$M,"&gt;0")</f>
        <v>0</v>
      </c>
      <c r="R22" s="186"/>
      <c r="S22" s="186"/>
      <c r="T22" s="185">
        <f t="shared" si="0"/>
        <v>574.4354233300495</v>
      </c>
      <c r="U22" s="186">
        <f t="shared" si="1"/>
        <v>0</v>
      </c>
      <c r="V22" s="186">
        <f>SUMIF($F$2:F22,F22,$U$2:U22)</f>
        <v>95320.580896197062</v>
      </c>
      <c r="W22" s="187">
        <f t="shared" si="2"/>
        <v>0.34095169950738929</v>
      </c>
      <c r="X22" s="187" t="str">
        <f t="shared" si="3"/>
        <v/>
      </c>
      <c r="Y22" s="187">
        <f t="shared" si="4"/>
        <v>0.49628765815400577</v>
      </c>
      <c r="Z22" s="185" t="str">
        <f>IFERROR(AVERAGEIF('Daily KPI'!D:D,Table14[[#This Row],[Month]],'Daily KPI'!AB:AB),"")</f>
        <v/>
      </c>
      <c r="AA22" s="184">
        <f>IFERROR(AVERAGEIF($F$2:F22,F22,$Z$2:Z22),"")</f>
        <v>70.200000000000031</v>
      </c>
      <c r="AB22" s="186"/>
      <c r="AC22" s="185">
        <f>Table14[[#This Row],[WS]]</f>
        <v>6.95</v>
      </c>
      <c r="AD22" s="185">
        <f>AVERAGEIF($F$2:F22,F22,$AC$2:AC22)</f>
        <v>7.87</v>
      </c>
      <c r="AE22" s="187">
        <f t="shared" si="5"/>
        <v>0.96029999999999993</v>
      </c>
      <c r="AF22" s="187">
        <v>0.995</v>
      </c>
      <c r="AG22" s="187"/>
      <c r="AH22" s="187">
        <v>0.97</v>
      </c>
      <c r="AI22" s="187">
        <v>0.99</v>
      </c>
      <c r="AJ22" s="187">
        <v>0.95</v>
      </c>
      <c r="AK22" s="187">
        <v>0.05</v>
      </c>
      <c r="AL22" s="187">
        <v>0.05</v>
      </c>
      <c r="AM22" s="218"/>
      <c r="AN22" s="218"/>
    </row>
    <row r="23" spans="1:40">
      <c r="A23" s="182">
        <f t="shared" si="6"/>
        <v>22</v>
      </c>
      <c r="B23" s="181" t="str">
        <f t="shared" si="10"/>
        <v>January</v>
      </c>
      <c r="C23" s="182">
        <f t="shared" si="9"/>
        <v>2</v>
      </c>
      <c r="D23" s="181">
        <v>46023</v>
      </c>
      <c r="E23" s="188">
        <f t="shared" si="7"/>
        <v>2026</v>
      </c>
      <c r="F23" s="183" t="s">
        <v>222</v>
      </c>
      <c r="G23" s="182">
        <f t="shared" si="8"/>
        <v>31</v>
      </c>
      <c r="H23" s="189"/>
      <c r="I23" s="189"/>
      <c r="J23" s="185">
        <f t="shared" si="11"/>
        <v>5.57</v>
      </c>
      <c r="K23" s="189"/>
      <c r="L23" s="182"/>
      <c r="M23" s="191">
        <v>19014.786131586206</v>
      </c>
      <c r="N23" s="191">
        <v>70.2</v>
      </c>
      <c r="O23" s="192"/>
      <c r="P23" s="190"/>
      <c r="Q23" s="182">
        <f>COUNTIFS('Daily KPI'!$D:$D,D23,'Daily KPI'!$M:$M,"&gt;0")</f>
        <v>0</v>
      </c>
      <c r="R23" s="191"/>
      <c r="S23" s="191"/>
      <c r="T23" s="190">
        <f t="shared" si="0"/>
        <v>613.38019779310343</v>
      </c>
      <c r="U23" s="191">
        <f t="shared" si="1"/>
        <v>0</v>
      </c>
      <c r="V23" s="191">
        <f>SUMIF($F$2:F23,F23,$U$2:U23)</f>
        <v>95320.580896197062</v>
      </c>
      <c r="W23" s="192">
        <f t="shared" si="2"/>
        <v>0.36406706896551722</v>
      </c>
      <c r="X23" s="192" t="str">
        <f t="shared" si="3"/>
        <v/>
      </c>
      <c r="Y23" s="192">
        <f t="shared" si="4"/>
        <v>0.49628765815400577</v>
      </c>
      <c r="Z23" s="190" t="str">
        <f>IFERROR(AVERAGEIF('Daily KPI'!D:D,Table14[[#This Row],[Month]],'Daily KPI'!AB:AB),"")</f>
        <v/>
      </c>
      <c r="AA23" s="189">
        <f>IFERROR(AVERAGEIF($F$2:F23,F23,$Z$2:Z23),"")</f>
        <v>70.200000000000031</v>
      </c>
      <c r="AB23" s="191"/>
      <c r="AC23" s="185">
        <f>Table14[[#This Row],[WS]]</f>
        <v>5.57</v>
      </c>
      <c r="AD23" s="190">
        <f>AVERAGEIF($F$2:F23,F23,$AC$2:AC23)</f>
        <v>7.6400000000000006</v>
      </c>
      <c r="AE23" s="192">
        <f t="shared" si="5"/>
        <v>0.96029999999999993</v>
      </c>
      <c r="AF23" s="192">
        <v>0.995</v>
      </c>
      <c r="AG23" s="192"/>
      <c r="AH23" s="192">
        <v>0.97</v>
      </c>
      <c r="AI23" s="192">
        <v>0.99</v>
      </c>
      <c r="AJ23" s="192">
        <v>0.95</v>
      </c>
      <c r="AK23" s="192">
        <v>0.05</v>
      </c>
      <c r="AL23" s="192">
        <v>0.05</v>
      </c>
      <c r="AM23" s="218"/>
      <c r="AN23" s="218"/>
    </row>
    <row r="24" spans="1:40">
      <c r="A24" s="182">
        <f t="shared" si="6"/>
        <v>23</v>
      </c>
      <c r="B24" s="181" t="str">
        <f t="shared" si="10"/>
        <v>February</v>
      </c>
      <c r="C24" s="182">
        <f t="shared" si="9"/>
        <v>4</v>
      </c>
      <c r="D24" s="181">
        <v>46054</v>
      </c>
      <c r="E24" s="183">
        <f>YEAR(D24)</f>
        <v>2026</v>
      </c>
      <c r="F24" s="183" t="s">
        <v>222</v>
      </c>
      <c r="G24" s="180">
        <f>DAY(EOMONTH(D24,0))</f>
        <v>28</v>
      </c>
      <c r="H24" s="184"/>
      <c r="I24" s="184"/>
      <c r="J24" s="185">
        <f t="shared" si="11"/>
        <v>5.52</v>
      </c>
      <c r="K24" s="184"/>
      <c r="L24" s="180"/>
      <c r="M24" s="186">
        <v>14630.253606620692</v>
      </c>
      <c r="N24" s="191">
        <v>70.2</v>
      </c>
      <c r="O24" s="187"/>
      <c r="P24" s="185"/>
      <c r="Q24" s="180">
        <f>COUNTIFS('Daily KPI'!$D:$D,D24,'Daily KPI'!$M:$M,"&gt;0")</f>
        <v>0</v>
      </c>
      <c r="R24" s="186"/>
      <c r="S24" s="186"/>
      <c r="T24" s="185">
        <f t="shared" si="0"/>
        <v>522.50905737931043</v>
      </c>
      <c r="U24" s="186">
        <f t="shared" si="1"/>
        <v>0</v>
      </c>
      <c r="V24" s="186">
        <f>SUMIF($F$2:F24,F24,$U$2:U24)</f>
        <v>95320.580896197062</v>
      </c>
      <c r="W24" s="187">
        <f t="shared" si="2"/>
        <v>0.31013120689655177</v>
      </c>
      <c r="X24" s="187" t="str">
        <f t="shared" si="3"/>
        <v/>
      </c>
      <c r="Y24" s="187">
        <f t="shared" si="4"/>
        <v>0.49628765815400577</v>
      </c>
      <c r="Z24" s="185" t="str">
        <f>IFERROR(AVERAGEIF('Daily KPI'!D:D,Table14[[#This Row],[Month]],'Daily KPI'!AB:AB),"")</f>
        <v/>
      </c>
      <c r="AA24" s="184">
        <f>IFERROR(AVERAGEIF($F$2:F24,F24,$Z$2:Z24),"")</f>
        <v>70.200000000000031</v>
      </c>
      <c r="AB24" s="186"/>
      <c r="AC24" s="185">
        <f>Table14[[#This Row],[WS]]</f>
        <v>5.52</v>
      </c>
      <c r="AD24" s="185">
        <f>AVERAGEIF($F$2:F24,F24,$AC$2:AC24)</f>
        <v>7.4472727272727273</v>
      </c>
      <c r="AE24" s="187">
        <f t="shared" si="5"/>
        <v>0.96029999999999993</v>
      </c>
      <c r="AF24" s="187">
        <v>0.995</v>
      </c>
      <c r="AG24" s="187"/>
      <c r="AH24" s="187">
        <v>0.97</v>
      </c>
      <c r="AI24" s="187">
        <v>0.99</v>
      </c>
      <c r="AJ24" s="187">
        <v>0.95</v>
      </c>
      <c r="AK24" s="187">
        <v>0.05</v>
      </c>
      <c r="AL24" s="187">
        <v>0.05</v>
      </c>
      <c r="AM24" s="218"/>
      <c r="AN24" s="218"/>
    </row>
    <row r="25" spans="1:40">
      <c r="A25" s="182">
        <f t="shared" si="6"/>
        <v>24</v>
      </c>
      <c r="B25" s="181" t="str">
        <f t="shared" si="10"/>
        <v>March</v>
      </c>
      <c r="C25" s="182">
        <f t="shared" si="9"/>
        <v>5</v>
      </c>
      <c r="D25" s="181">
        <v>46082</v>
      </c>
      <c r="E25" s="188">
        <f>YEAR(D25)</f>
        <v>2026</v>
      </c>
      <c r="F25" s="183" t="s">
        <v>222</v>
      </c>
      <c r="G25" s="182">
        <f>DAY(EOMONTH(D25,0))</f>
        <v>31</v>
      </c>
      <c r="H25" s="189"/>
      <c r="I25" s="189"/>
      <c r="J25" s="185">
        <f t="shared" si="11"/>
        <v>6.89</v>
      </c>
      <c r="K25" s="189"/>
      <c r="L25" s="182"/>
      <c r="M25" s="191">
        <v>19517.82280173399</v>
      </c>
      <c r="N25" s="191">
        <v>70.2</v>
      </c>
      <c r="O25" s="192"/>
      <c r="P25" s="190"/>
      <c r="Q25" s="182">
        <f>COUNTIFS('Daily KPI'!$D:$D,D25,'Daily KPI'!$M:$M,"&gt;0")</f>
        <v>0</v>
      </c>
      <c r="R25" s="191"/>
      <c r="S25" s="191"/>
      <c r="T25" s="190">
        <f t="shared" si="0"/>
        <v>629.60718715270934</v>
      </c>
      <c r="U25" s="191">
        <f t="shared" si="1"/>
        <v>0</v>
      </c>
      <c r="V25" s="191">
        <f>SUMIF($F$2:F25,F25,$U$2:U25)</f>
        <v>95320.580896197062</v>
      </c>
      <c r="W25" s="192">
        <f t="shared" si="2"/>
        <v>0.3736984729064039</v>
      </c>
      <c r="X25" s="192" t="str">
        <f t="shared" si="3"/>
        <v/>
      </c>
      <c r="Y25" s="192">
        <f t="shared" si="4"/>
        <v>0.49628765815400577</v>
      </c>
      <c r="Z25" s="190" t="str">
        <f>IFERROR(AVERAGEIF('Daily KPI'!D:D,Table14[[#This Row],[Month]],'Daily KPI'!AB:AB),"")</f>
        <v/>
      </c>
      <c r="AA25" s="189">
        <f>IFERROR(AVERAGEIF($F$2:F25,F25,$Z$2:Z25),"")</f>
        <v>70.200000000000031</v>
      </c>
      <c r="AB25" s="191"/>
      <c r="AC25" s="185">
        <f>Table14[[#This Row],[WS]]</f>
        <v>6.89</v>
      </c>
      <c r="AD25" s="190">
        <f>AVERAGEIF($F$2:F25,F25,$AC$2:AC25)</f>
        <v>7.4008333333333338</v>
      </c>
      <c r="AE25" s="192">
        <f t="shared" si="5"/>
        <v>0.96029999999999993</v>
      </c>
      <c r="AF25" s="192">
        <v>0.995</v>
      </c>
      <c r="AG25" s="192"/>
      <c r="AH25" s="192">
        <v>0.97</v>
      </c>
      <c r="AI25" s="192">
        <v>0.99</v>
      </c>
      <c r="AJ25" s="192">
        <v>0.95</v>
      </c>
      <c r="AK25" s="192">
        <v>0.05</v>
      </c>
      <c r="AL25" s="192">
        <v>0.05</v>
      </c>
      <c r="AM25" s="220"/>
      <c r="AN25" s="220"/>
    </row>
  </sheetData>
  <phoneticPr fontId="10" type="noConversion"/>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3:R48"/>
  <sheetViews>
    <sheetView workbookViewId="0">
      <selection activeCell="I24" sqref="I24"/>
    </sheetView>
  </sheetViews>
  <sheetFormatPr defaultColWidth="8.90625" defaultRowHeight="14.5"/>
  <cols>
    <col min="2" max="2" width="9.453125" style="1"/>
    <col min="6" max="6" width="89.453125" bestFit="1" customWidth="1"/>
    <col min="12" max="12" width="10.453125" customWidth="1"/>
    <col min="15" max="15" width="11.453125" customWidth="1"/>
    <col min="16" max="16" width="10.453125" style="1" bestFit="1" customWidth="1"/>
  </cols>
  <sheetData>
    <row r="3" spans="7:18">
      <c r="G3" s="80"/>
      <c r="H3" s="80"/>
    </row>
    <row r="4" spans="7:18">
      <c r="G4" s="80"/>
      <c r="H4" s="80"/>
      <c r="Q4" s="80"/>
      <c r="R4" s="80"/>
    </row>
    <row r="5" spans="7:18">
      <c r="G5" s="80"/>
      <c r="H5" s="80"/>
      <c r="Q5" s="80"/>
      <c r="R5" s="80"/>
    </row>
    <row r="6" spans="7:18">
      <c r="G6" s="80"/>
      <c r="H6" s="80"/>
      <c r="Q6" s="80"/>
      <c r="R6" s="80"/>
    </row>
    <row r="7" spans="7:18">
      <c r="G7" s="80"/>
      <c r="H7" s="80"/>
      <c r="Q7" s="80"/>
      <c r="R7" s="80"/>
    </row>
    <row r="8" spans="7:18">
      <c r="G8" s="80"/>
      <c r="H8" s="80"/>
      <c r="Q8" s="80"/>
      <c r="R8" s="80"/>
    </row>
    <row r="9" spans="7:18">
      <c r="O9" s="2"/>
      <c r="Q9" s="80"/>
      <c r="R9" s="80"/>
    </row>
    <row r="10" spans="7:18">
      <c r="G10" s="80"/>
      <c r="H10" s="80"/>
      <c r="O10" s="2"/>
    </row>
    <row r="11" spans="7:18">
      <c r="G11" s="80"/>
      <c r="H11" s="80"/>
      <c r="O11" s="2"/>
    </row>
    <row r="12" spans="7:18">
      <c r="G12" s="80"/>
      <c r="H12" s="80"/>
      <c r="O12" s="2"/>
    </row>
    <row r="13" spans="7:18">
      <c r="G13" s="80"/>
      <c r="H13" s="80"/>
      <c r="O13" s="2"/>
      <c r="Q13" s="80"/>
      <c r="R13" s="80"/>
    </row>
    <row r="14" spans="7:18">
      <c r="G14" s="80"/>
      <c r="H14" s="80"/>
      <c r="O14" s="2"/>
      <c r="Q14" s="80"/>
      <c r="R14" s="80"/>
    </row>
    <row r="15" spans="7:18">
      <c r="G15" s="80"/>
      <c r="H15" s="80"/>
      <c r="O15" s="2"/>
      <c r="Q15" s="80"/>
      <c r="R15" s="80"/>
    </row>
    <row r="16" spans="7:18">
      <c r="G16" s="80"/>
      <c r="H16" s="80"/>
      <c r="O16" s="2"/>
      <c r="Q16" s="80"/>
      <c r="R16" s="80"/>
    </row>
    <row r="17" spans="3:18">
      <c r="G17" s="80"/>
      <c r="H17" s="80"/>
      <c r="O17" s="2"/>
      <c r="Q17" s="80"/>
      <c r="R17" s="80"/>
    </row>
    <row r="18" spans="3:18">
      <c r="O18" s="2"/>
      <c r="Q18" s="80"/>
      <c r="R18" s="80"/>
    </row>
    <row r="19" spans="3:18">
      <c r="C19" s="86"/>
      <c r="E19" s="241"/>
      <c r="F19" s="242"/>
      <c r="O19" s="2"/>
    </row>
    <row r="20" spans="3:18">
      <c r="C20" s="86"/>
      <c r="E20" s="241"/>
      <c r="F20" s="242"/>
    </row>
    <row r="21" spans="3:18">
      <c r="C21" s="86"/>
      <c r="E21" s="241"/>
      <c r="F21" s="242"/>
      <c r="Q21" s="80"/>
      <c r="R21" s="80"/>
    </row>
    <row r="22" spans="3:18">
      <c r="C22" s="86"/>
      <c r="E22" s="241"/>
      <c r="F22" s="242"/>
      <c r="Q22" s="80"/>
      <c r="R22" s="80"/>
    </row>
    <row r="23" spans="3:18">
      <c r="C23" s="86"/>
      <c r="E23" s="241"/>
      <c r="F23" s="242"/>
      <c r="Q23" s="80"/>
      <c r="R23" s="80"/>
    </row>
    <row r="24" spans="3:18">
      <c r="C24" s="86"/>
      <c r="E24" s="241"/>
      <c r="F24" s="242"/>
      <c r="Q24" s="80"/>
      <c r="R24" s="80"/>
    </row>
    <row r="25" spans="3:18">
      <c r="C25" s="86"/>
      <c r="E25" s="241"/>
      <c r="F25" s="242"/>
      <c r="Q25" s="80"/>
      <c r="R25" s="80"/>
    </row>
    <row r="26" spans="3:18">
      <c r="Q26" s="80"/>
      <c r="R26" s="80"/>
    </row>
    <row r="27" spans="3:18">
      <c r="Q27" s="80"/>
      <c r="R27" s="80"/>
    </row>
    <row r="29" spans="3:18">
      <c r="O29" s="2"/>
    </row>
    <row r="30" spans="3:18">
      <c r="O30" s="2"/>
    </row>
    <row r="31" spans="3:18">
      <c r="O31" s="2"/>
    </row>
    <row r="32" spans="3:18">
      <c r="O32" s="2"/>
    </row>
    <row r="33" spans="15:15">
      <c r="O33" s="2"/>
    </row>
    <row r="34" spans="15:15">
      <c r="O34" s="2"/>
    </row>
    <row r="35" spans="15:15">
      <c r="O35" s="2"/>
    </row>
    <row r="36" spans="15:15">
      <c r="O36" s="2"/>
    </row>
    <row r="37" spans="15:15">
      <c r="O37" s="2"/>
    </row>
    <row r="38" spans="15:15">
      <c r="O38" s="2"/>
    </row>
    <row r="39" spans="15:15">
      <c r="O39" s="2"/>
    </row>
    <row r="40" spans="15:15">
      <c r="O40" s="2"/>
    </row>
    <row r="41" spans="15:15">
      <c r="O41" s="2"/>
    </row>
    <row r="42" spans="15:15">
      <c r="O42" s="2"/>
    </row>
    <row r="43" spans="15:15">
      <c r="O43" s="2"/>
    </row>
    <row r="44" spans="15:15">
      <c r="O44" s="2"/>
    </row>
    <row r="45" spans="15:15">
      <c r="O45" s="2"/>
    </row>
    <row r="46" spans="15:15">
      <c r="O46" s="2"/>
    </row>
    <row r="47" spans="15:15">
      <c r="O47" s="2"/>
    </row>
    <row r="48" spans="15:15">
      <c r="O48" s="2"/>
    </row>
  </sheetData>
  <phoneticPr fontId="10"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AH367"/>
  <sheetViews>
    <sheetView showGridLines="0" topLeftCell="A2" workbookViewId="0">
      <pane xSplit="2" ySplit="1" topLeftCell="C3" activePane="bottomRight" state="frozen"/>
      <selection pane="topRight" activeCell="H200" sqref="H200"/>
      <selection pane="bottomLeft" activeCell="H200" sqref="H200"/>
      <selection pane="bottomRight" activeCell="E4" sqref="E4"/>
    </sheetView>
  </sheetViews>
  <sheetFormatPr defaultColWidth="8.453125" defaultRowHeight="14.5"/>
  <cols>
    <col min="1" max="1" width="2.453125" customWidth="1"/>
    <col min="2" max="2" width="10.453125" bestFit="1" customWidth="1"/>
    <col min="3" max="3" width="10.453125" style="1" bestFit="1" customWidth="1"/>
    <col min="7" max="7" width="10.453125" customWidth="1"/>
    <col min="9" max="9" width="11.453125" bestFit="1" customWidth="1"/>
    <col min="10" max="12" width="8.453125" style="1"/>
    <col min="16" max="16" width="8.453125" style="110"/>
    <col min="23" max="23" width="6.453125" style="1" bestFit="1" customWidth="1"/>
    <col min="24" max="24" width="4.453125" style="1" customWidth="1"/>
    <col min="25" max="25" width="17.453125" style="1" bestFit="1" customWidth="1"/>
    <col min="26" max="26" width="18.453125" style="1" bestFit="1" customWidth="1"/>
    <col min="27" max="27" width="10" bestFit="1" customWidth="1"/>
  </cols>
  <sheetData>
    <row r="1" spans="2:34">
      <c r="B1" s="1">
        <v>1</v>
      </c>
      <c r="C1" s="1">
        <v>2</v>
      </c>
      <c r="D1" s="1">
        <v>3</v>
      </c>
      <c r="E1" s="1">
        <v>4</v>
      </c>
      <c r="F1" s="1">
        <v>5</v>
      </c>
      <c r="G1" s="1">
        <v>6</v>
      </c>
      <c r="H1" s="1">
        <v>7</v>
      </c>
      <c r="I1" s="1">
        <v>8</v>
      </c>
      <c r="J1" s="1">
        <v>9</v>
      </c>
      <c r="K1" s="1">
        <v>10</v>
      </c>
      <c r="L1" s="1">
        <v>11</v>
      </c>
      <c r="M1" s="1">
        <v>12</v>
      </c>
      <c r="N1" s="1">
        <v>13</v>
      </c>
      <c r="O1" s="1">
        <v>14</v>
      </c>
      <c r="P1" s="107"/>
    </row>
    <row r="2" spans="2:34" ht="40.5">
      <c r="B2" s="24" t="s">
        <v>128</v>
      </c>
      <c r="C2" s="25" t="s">
        <v>171</v>
      </c>
      <c r="D2" s="25" t="s">
        <v>45</v>
      </c>
      <c r="E2" s="25" t="s">
        <v>169</v>
      </c>
      <c r="F2" s="26" t="s">
        <v>46</v>
      </c>
      <c r="G2" s="26" t="s">
        <v>480</v>
      </c>
      <c r="H2" s="26" t="s">
        <v>481</v>
      </c>
      <c r="I2" s="26" t="s">
        <v>482</v>
      </c>
      <c r="J2" s="26" t="s">
        <v>483</v>
      </c>
      <c r="K2" s="26" t="s">
        <v>194</v>
      </c>
      <c r="L2" s="26" t="s">
        <v>195</v>
      </c>
      <c r="M2" s="26" t="s">
        <v>31</v>
      </c>
      <c r="N2" s="26" t="s">
        <v>32</v>
      </c>
      <c r="O2" s="26" t="s">
        <v>33</v>
      </c>
      <c r="P2" s="108" t="s">
        <v>484</v>
      </c>
      <c r="Q2" s="106" t="s">
        <v>485</v>
      </c>
      <c r="R2" s="106" t="s">
        <v>486</v>
      </c>
      <c r="W2" s="243" t="s">
        <v>169</v>
      </c>
      <c r="X2" s="243" t="s">
        <v>46</v>
      </c>
      <c r="Y2" s="243" t="s">
        <v>487</v>
      </c>
      <c r="Z2" s="243" t="s">
        <v>488</v>
      </c>
      <c r="AA2" s="105" t="s">
        <v>489</v>
      </c>
    </row>
    <row r="3" spans="2:34">
      <c r="B3" s="27">
        <v>45383</v>
      </c>
      <c r="C3" s="28">
        <f>YEAR(Modelling[[#This Row],[Date]])+IF(MONTH(Modelling[[#This Row],[Date]])&gt;=4,1,0)</f>
        <v>2025</v>
      </c>
      <c r="D3" s="22">
        <f>YEAR(B3)</f>
        <v>2024</v>
      </c>
      <c r="E3" s="29">
        <f t="shared" ref="E3" si="0">B3-DAY(B3)+1</f>
        <v>45383</v>
      </c>
      <c r="F3" s="22">
        <f>DAY(EOMONTH(Modelling[[#This Row],[Date]],0))</f>
        <v>30</v>
      </c>
      <c r="G3" s="28">
        <f>VLOOKUP(MONTH(Modelling[[#This Row],[Date]]),$W$3:$Z$14,4,0)/1000/Modelling[[#This Row],[Days]]</f>
        <v>0</v>
      </c>
      <c r="H3" s="28">
        <f>SUM($G$3:G3)</f>
        <v>0</v>
      </c>
      <c r="I3" s="28">
        <f>SUM($G$3:G3)</f>
        <v>0</v>
      </c>
      <c r="J3" s="30">
        <f>VLOOKUP(MONTH(Modelling[[#This Row],[Date]]),$W$3:$Y$14,3,0)</f>
        <v>8.2899999999999991</v>
      </c>
      <c r="K3" s="30">
        <f>VLOOKUP(MONTH(Modelling[[#This Row],[Date]]),$W$3:$Y$14,3,0)</f>
        <v>8.2899999999999991</v>
      </c>
      <c r="L3" s="30">
        <f>AVERAGE(J$3:J3)</f>
        <v>8.2899999999999991</v>
      </c>
      <c r="M3" s="31" t="e">
        <f t="shared" ref="M3:M66" si="1">G3/P3/24</f>
        <v>#DIV/0!</v>
      </c>
      <c r="N3" s="31" t="e">
        <f t="shared" ref="N3:N66" si="2">H3/(24*S3)/Q3</f>
        <v>#DIV/0!</v>
      </c>
      <c r="O3" s="31" t="e">
        <f t="shared" ref="O3:O66" si="3">I3/(24*T3)/R3</f>
        <v>#DIV/0!</v>
      </c>
      <c r="P3" s="109"/>
      <c r="Q3" s="28"/>
      <c r="R3" s="81"/>
      <c r="W3" s="243">
        <v>4</v>
      </c>
      <c r="X3" s="243">
        <v>30</v>
      </c>
      <c r="Y3" s="244">
        <v>8.2899999999999991</v>
      </c>
      <c r="Z3" s="245">
        <v>0</v>
      </c>
      <c r="AA3">
        <v>0</v>
      </c>
    </row>
    <row r="4" spans="2:34">
      <c r="B4" s="27">
        <f>B3+1</f>
        <v>45384</v>
      </c>
      <c r="C4" s="28">
        <f>YEAR(Modelling[[#This Row],[Date]])+IF(MONTH(Modelling[[#This Row],[Date]])&gt;=4,1,0)</f>
        <v>2025</v>
      </c>
      <c r="D4" s="22">
        <f t="shared" ref="D4:D67" si="4">YEAR(B4)</f>
        <v>2024</v>
      </c>
      <c r="E4" s="29">
        <v>44652</v>
      </c>
      <c r="F4" s="22">
        <f>DAY(EOMONTH(Modelling[[#This Row],[Date]],0))</f>
        <v>30</v>
      </c>
      <c r="G4" s="28">
        <f>VLOOKUP(MONTH(Modelling[[#This Row],[Date]]),$W$3:$Z$14,4,0)/1000/Modelling[[#This Row],[Days]]</f>
        <v>0</v>
      </c>
      <c r="H4" s="28">
        <f>SUM($G$3:G4)</f>
        <v>0</v>
      </c>
      <c r="I4" s="28">
        <f>SUM($G$3:G4)</f>
        <v>0</v>
      </c>
      <c r="J4" s="30">
        <f>VLOOKUP(MONTH(Modelling[[#This Row],[Date]]),$W$3:$Y$14,3,0)</f>
        <v>8.2899999999999991</v>
      </c>
      <c r="K4" s="30">
        <f>VLOOKUP(MONTH(Modelling[[#This Row],[Date]]),$W$3:$Y$14,3,0)</f>
        <v>8.2899999999999991</v>
      </c>
      <c r="L4" s="30">
        <f>AVERAGE(J$3:J4)</f>
        <v>8.2899999999999991</v>
      </c>
      <c r="M4" s="31" t="e">
        <f t="shared" si="1"/>
        <v>#DIV/0!</v>
      </c>
      <c r="N4" s="31" t="e">
        <f t="shared" si="2"/>
        <v>#DIV/0!</v>
      </c>
      <c r="O4" s="31" t="e">
        <f t="shared" si="3"/>
        <v>#DIV/0!</v>
      </c>
      <c r="P4" s="109"/>
      <c r="Q4" s="28"/>
      <c r="R4" s="81"/>
      <c r="W4" s="243">
        <v>5</v>
      </c>
      <c r="X4" s="243">
        <v>31</v>
      </c>
      <c r="Y4" s="244">
        <v>9.1</v>
      </c>
      <c r="Z4" s="245">
        <v>8711265</v>
      </c>
      <c r="AA4">
        <v>27</v>
      </c>
    </row>
    <row r="5" spans="2:34">
      <c r="B5" s="27">
        <f t="shared" ref="B5:B68" si="5">B4+1</f>
        <v>45385</v>
      </c>
      <c r="C5" s="28">
        <f>YEAR(Modelling[[#This Row],[Date]])+IF(MONTH(Modelling[[#This Row],[Date]])&gt;=4,1,0)</f>
        <v>2025</v>
      </c>
      <c r="D5" s="22">
        <f t="shared" si="4"/>
        <v>2024</v>
      </c>
      <c r="E5" s="29">
        <v>44652</v>
      </c>
      <c r="F5" s="22">
        <f>DAY(EOMONTH(Modelling[[#This Row],[Date]],0))</f>
        <v>30</v>
      </c>
      <c r="G5" s="28">
        <f>VLOOKUP(MONTH(Modelling[[#This Row],[Date]]),$W$3:$Z$14,4,0)/1000/Modelling[[#This Row],[Days]]</f>
        <v>0</v>
      </c>
      <c r="H5" s="28">
        <f>SUM($G$3:G5)</f>
        <v>0</v>
      </c>
      <c r="I5" s="28">
        <f>SUM($G$3:G5)</f>
        <v>0</v>
      </c>
      <c r="J5" s="30">
        <f>VLOOKUP(MONTH(Modelling[[#This Row],[Date]]),$W$3:$Y$14,3,0)</f>
        <v>8.2899999999999991</v>
      </c>
      <c r="K5" s="30">
        <f>VLOOKUP(MONTH(Modelling[[#This Row],[Date]]),$W$3:$Y$14,3,0)</f>
        <v>8.2899999999999991</v>
      </c>
      <c r="L5" s="30">
        <f>AVERAGE(J$3:J5)</f>
        <v>8.2899999999999991</v>
      </c>
      <c r="M5" s="31" t="e">
        <f t="shared" si="1"/>
        <v>#DIV/0!</v>
      </c>
      <c r="N5" s="31" t="e">
        <f t="shared" si="2"/>
        <v>#DIV/0!</v>
      </c>
      <c r="O5" s="31" t="e">
        <f t="shared" si="3"/>
        <v>#DIV/0!</v>
      </c>
      <c r="P5" s="109"/>
      <c r="Q5" s="28"/>
      <c r="R5" s="81"/>
      <c r="W5" s="243">
        <v>6</v>
      </c>
      <c r="X5" s="243">
        <v>30</v>
      </c>
      <c r="Y5" s="244">
        <v>8.23</v>
      </c>
      <c r="Z5" s="245">
        <v>7436691</v>
      </c>
      <c r="AA5">
        <v>27</v>
      </c>
    </row>
    <row r="6" spans="2:34">
      <c r="B6" s="27">
        <f t="shared" si="5"/>
        <v>45386</v>
      </c>
      <c r="C6" s="28">
        <f>YEAR(Modelling[[#This Row],[Date]])+IF(MONTH(Modelling[[#This Row],[Date]])&gt;=4,1,0)</f>
        <v>2025</v>
      </c>
      <c r="D6" s="22">
        <f t="shared" si="4"/>
        <v>2024</v>
      </c>
      <c r="E6" s="29">
        <v>44652</v>
      </c>
      <c r="F6" s="22">
        <f>DAY(EOMONTH(Modelling[[#This Row],[Date]],0))</f>
        <v>30</v>
      </c>
      <c r="G6" s="28">
        <f>VLOOKUP(MONTH(Modelling[[#This Row],[Date]]),$W$3:$Z$14,4,0)/1000/Modelling[[#This Row],[Days]]</f>
        <v>0</v>
      </c>
      <c r="H6" s="28">
        <f>SUM($G$3:G6)</f>
        <v>0</v>
      </c>
      <c r="I6" s="28">
        <f>SUM($G$3:G6)</f>
        <v>0</v>
      </c>
      <c r="J6" s="30">
        <f>VLOOKUP(MONTH(Modelling[[#This Row],[Date]]),$W$3:$Y$14,3,0)</f>
        <v>8.2899999999999991</v>
      </c>
      <c r="K6" s="30">
        <f>VLOOKUP(MONTH(Modelling[[#This Row],[Date]]),$W$3:$Y$14,3,0)</f>
        <v>8.2899999999999991</v>
      </c>
      <c r="L6" s="30">
        <f>AVERAGE(J$3:J6)</f>
        <v>8.2899999999999991</v>
      </c>
      <c r="M6" s="31" t="e">
        <f t="shared" si="1"/>
        <v>#DIV/0!</v>
      </c>
      <c r="N6" s="31" t="e">
        <f t="shared" si="2"/>
        <v>#DIV/0!</v>
      </c>
      <c r="O6" s="31" t="e">
        <f t="shared" si="3"/>
        <v>#DIV/0!</v>
      </c>
      <c r="P6" s="109"/>
      <c r="Q6" s="28"/>
      <c r="R6" s="81"/>
      <c r="W6" s="243">
        <v>7</v>
      </c>
      <c r="X6" s="243">
        <v>31</v>
      </c>
      <c r="Y6" s="244">
        <v>9.35</v>
      </c>
      <c r="Z6" s="245">
        <v>24024425</v>
      </c>
      <c r="AA6">
        <v>70.2</v>
      </c>
    </row>
    <row r="7" spans="2:34">
      <c r="B7" s="27">
        <f t="shared" si="5"/>
        <v>45387</v>
      </c>
      <c r="C7" s="28">
        <f>YEAR(Modelling[[#This Row],[Date]])+IF(MONTH(Modelling[[#This Row],[Date]])&gt;=4,1,0)</f>
        <v>2025</v>
      </c>
      <c r="D7" s="22">
        <f t="shared" si="4"/>
        <v>2024</v>
      </c>
      <c r="E7" s="29">
        <v>44652</v>
      </c>
      <c r="F7" s="22">
        <f>DAY(EOMONTH(Modelling[[#This Row],[Date]],0))</f>
        <v>30</v>
      </c>
      <c r="G7" s="28">
        <f>VLOOKUP(MONTH(Modelling[[#This Row],[Date]]),$W$3:$Z$14,4,0)/1000/Modelling[[#This Row],[Days]]</f>
        <v>0</v>
      </c>
      <c r="H7" s="28">
        <f>SUM($G$3:G7)</f>
        <v>0</v>
      </c>
      <c r="I7" s="28">
        <f>SUM($G$3:G7)</f>
        <v>0</v>
      </c>
      <c r="J7" s="30">
        <f>VLOOKUP(MONTH(Modelling[[#This Row],[Date]]),$W$3:$Y$14,3,0)</f>
        <v>8.2899999999999991</v>
      </c>
      <c r="K7" s="30">
        <f>VLOOKUP(MONTH(Modelling[[#This Row],[Date]]),$W$3:$Y$14,3,0)</f>
        <v>8.2899999999999991</v>
      </c>
      <c r="L7" s="30">
        <f>AVERAGE(J$3:J7)</f>
        <v>8.2899999999999991</v>
      </c>
      <c r="M7" s="31" t="e">
        <f t="shared" si="1"/>
        <v>#DIV/0!</v>
      </c>
      <c r="N7" s="31" t="e">
        <f t="shared" si="2"/>
        <v>#DIV/0!</v>
      </c>
      <c r="O7" s="31" t="e">
        <f t="shared" si="3"/>
        <v>#DIV/0!</v>
      </c>
      <c r="P7" s="109"/>
      <c r="Q7" s="28"/>
      <c r="R7" s="81"/>
      <c r="W7" s="243">
        <v>8</v>
      </c>
      <c r="X7" s="243">
        <v>31</v>
      </c>
      <c r="Y7" s="244">
        <v>8.4700000000000006</v>
      </c>
      <c r="Z7" s="245">
        <v>22325728.000000004</v>
      </c>
      <c r="AA7">
        <v>70.2</v>
      </c>
      <c r="AH7" s="36"/>
    </row>
    <row r="8" spans="2:34">
      <c r="B8" s="27">
        <f t="shared" si="5"/>
        <v>45388</v>
      </c>
      <c r="C8" s="28">
        <f>YEAR(Modelling[[#This Row],[Date]])+IF(MONTH(Modelling[[#This Row],[Date]])&gt;=4,1,0)</f>
        <v>2025</v>
      </c>
      <c r="D8" s="22">
        <f t="shared" si="4"/>
        <v>2024</v>
      </c>
      <c r="E8" s="29">
        <v>44652</v>
      </c>
      <c r="F8" s="22">
        <f>DAY(EOMONTH(Modelling[[#This Row],[Date]],0))</f>
        <v>30</v>
      </c>
      <c r="G8" s="28">
        <f>VLOOKUP(MONTH(Modelling[[#This Row],[Date]]),$W$3:$Z$14,4,0)/1000/Modelling[[#This Row],[Days]]</f>
        <v>0</v>
      </c>
      <c r="H8" s="28">
        <f>SUM($G$3:G8)</f>
        <v>0</v>
      </c>
      <c r="I8" s="28">
        <f>SUM($G$3:G8)</f>
        <v>0</v>
      </c>
      <c r="J8" s="30">
        <f>VLOOKUP(MONTH(Modelling[[#This Row],[Date]]),$W$3:$Y$14,3,0)</f>
        <v>8.2899999999999991</v>
      </c>
      <c r="K8" s="30">
        <f>VLOOKUP(MONTH(Modelling[[#This Row],[Date]]),$W$3:$Y$14,3,0)</f>
        <v>8.2899999999999991</v>
      </c>
      <c r="L8" s="30">
        <f>AVERAGE(J$3:J8)</f>
        <v>8.2899999999999991</v>
      </c>
      <c r="M8" s="31" t="e">
        <f t="shared" si="1"/>
        <v>#DIV/0!</v>
      </c>
      <c r="N8" s="31" t="e">
        <f t="shared" si="2"/>
        <v>#DIV/0!</v>
      </c>
      <c r="O8" s="31" t="e">
        <f t="shared" si="3"/>
        <v>#DIV/0!</v>
      </c>
      <c r="P8" s="109"/>
      <c r="Q8" s="28"/>
      <c r="R8" s="81"/>
      <c r="W8" s="243">
        <v>9</v>
      </c>
      <c r="X8" s="243">
        <v>30</v>
      </c>
      <c r="Y8" s="244">
        <v>7.08</v>
      </c>
      <c r="Z8" s="245">
        <v>15949744</v>
      </c>
      <c r="AA8">
        <v>70.2</v>
      </c>
      <c r="AH8" s="36"/>
    </row>
    <row r="9" spans="2:34">
      <c r="B9" s="27">
        <f t="shared" si="5"/>
        <v>45389</v>
      </c>
      <c r="C9" s="28">
        <f>YEAR(Modelling[[#This Row],[Date]])+IF(MONTH(Modelling[[#This Row],[Date]])&gt;=4,1,0)</f>
        <v>2025</v>
      </c>
      <c r="D9" s="22">
        <f t="shared" si="4"/>
        <v>2024</v>
      </c>
      <c r="E9" s="29">
        <v>44652</v>
      </c>
      <c r="F9" s="22">
        <f>DAY(EOMONTH(Modelling[[#This Row],[Date]],0))</f>
        <v>30</v>
      </c>
      <c r="G9" s="28">
        <f>VLOOKUP(MONTH(Modelling[[#This Row],[Date]]),$W$3:$Z$14,4,0)/1000/Modelling[[#This Row],[Days]]</f>
        <v>0</v>
      </c>
      <c r="H9" s="28">
        <f>SUM($G$3:G9)</f>
        <v>0</v>
      </c>
      <c r="I9" s="28">
        <f>SUM($G$3:G9)</f>
        <v>0</v>
      </c>
      <c r="J9" s="30">
        <f>VLOOKUP(MONTH(Modelling[[#This Row],[Date]]),$W$3:$Y$14,3,0)</f>
        <v>8.2899999999999991</v>
      </c>
      <c r="K9" s="30">
        <f>VLOOKUP(MONTH(Modelling[[#This Row],[Date]]),$W$3:$Y$14,3,0)</f>
        <v>8.2899999999999991</v>
      </c>
      <c r="L9" s="30">
        <f>AVERAGE(J$3:J9)</f>
        <v>8.2899999999999991</v>
      </c>
      <c r="M9" s="31" t="e">
        <f t="shared" si="1"/>
        <v>#DIV/0!</v>
      </c>
      <c r="N9" s="31" t="e">
        <f t="shared" si="2"/>
        <v>#DIV/0!</v>
      </c>
      <c r="O9" s="31" t="e">
        <f t="shared" si="3"/>
        <v>#DIV/0!</v>
      </c>
      <c r="P9" s="109"/>
      <c r="Q9" s="28"/>
      <c r="R9" s="81"/>
      <c r="W9" s="243">
        <v>10</v>
      </c>
      <c r="X9" s="243">
        <v>31</v>
      </c>
      <c r="Y9" s="244">
        <v>5.65</v>
      </c>
      <c r="Z9" s="245">
        <v>11324645</v>
      </c>
      <c r="AA9">
        <v>70.2</v>
      </c>
      <c r="AH9" s="36"/>
    </row>
    <row r="10" spans="2:34">
      <c r="B10" s="27">
        <f t="shared" si="5"/>
        <v>45390</v>
      </c>
      <c r="C10" s="28">
        <f>YEAR(Modelling[[#This Row],[Date]])+IF(MONTH(Modelling[[#This Row],[Date]])&gt;=4,1,0)</f>
        <v>2025</v>
      </c>
      <c r="D10" s="22">
        <f t="shared" si="4"/>
        <v>2024</v>
      </c>
      <c r="E10" s="29">
        <v>44652</v>
      </c>
      <c r="F10" s="22">
        <f>DAY(EOMONTH(Modelling[[#This Row],[Date]],0))</f>
        <v>30</v>
      </c>
      <c r="G10" s="28">
        <f>VLOOKUP(MONTH(Modelling[[#This Row],[Date]]),$W$3:$Z$14,4,0)/1000/Modelling[[#This Row],[Days]]</f>
        <v>0</v>
      </c>
      <c r="H10" s="28">
        <f>SUM($G$3:G10)</f>
        <v>0</v>
      </c>
      <c r="I10" s="28">
        <f>SUM($G$3:G10)</f>
        <v>0</v>
      </c>
      <c r="J10" s="30">
        <f>VLOOKUP(MONTH(Modelling[[#This Row],[Date]]),$W$3:$Y$14,3,0)</f>
        <v>8.2899999999999991</v>
      </c>
      <c r="K10" s="30">
        <f>VLOOKUP(MONTH(Modelling[[#This Row],[Date]]),$W$3:$Y$14,3,0)</f>
        <v>8.2899999999999991</v>
      </c>
      <c r="L10" s="30">
        <f>AVERAGE(J$3:J10)</f>
        <v>8.2899999999999991</v>
      </c>
      <c r="M10" s="31" t="e">
        <f t="shared" si="1"/>
        <v>#DIV/0!</v>
      </c>
      <c r="N10" s="31" t="e">
        <f t="shared" si="2"/>
        <v>#DIV/0!</v>
      </c>
      <c r="O10" s="31" t="e">
        <f t="shared" si="3"/>
        <v>#DIV/0!</v>
      </c>
      <c r="P10" s="109"/>
      <c r="Q10" s="28"/>
      <c r="R10" s="81"/>
      <c r="W10" s="243">
        <v>11</v>
      </c>
      <c r="X10" s="243">
        <v>30</v>
      </c>
      <c r="Y10" s="244">
        <v>5.59</v>
      </c>
      <c r="Z10" s="245">
        <v>12231399</v>
      </c>
      <c r="AA10">
        <v>70.2</v>
      </c>
      <c r="AH10" s="36"/>
    </row>
    <row r="11" spans="2:34">
      <c r="B11" s="27">
        <f t="shared" si="5"/>
        <v>45391</v>
      </c>
      <c r="C11" s="28">
        <f>YEAR(Modelling[[#This Row],[Date]])+IF(MONTH(Modelling[[#This Row],[Date]])&gt;=4,1,0)</f>
        <v>2025</v>
      </c>
      <c r="D11" s="22">
        <f t="shared" si="4"/>
        <v>2024</v>
      </c>
      <c r="E11" s="29">
        <v>44652</v>
      </c>
      <c r="F11" s="22">
        <f>DAY(EOMONTH(Modelling[[#This Row],[Date]],0))</f>
        <v>30</v>
      </c>
      <c r="G11" s="28">
        <f>VLOOKUP(MONTH(Modelling[[#This Row],[Date]]),$W$3:$Z$14,4,0)/1000/Modelling[[#This Row],[Days]]</f>
        <v>0</v>
      </c>
      <c r="H11" s="28">
        <f>SUM($G$3:G11)</f>
        <v>0</v>
      </c>
      <c r="I11" s="28">
        <f>SUM($G$3:G11)</f>
        <v>0</v>
      </c>
      <c r="J11" s="30">
        <f>VLOOKUP(MONTH(Modelling[[#This Row],[Date]]),$W$3:$Y$14,3,0)</f>
        <v>8.2899999999999991</v>
      </c>
      <c r="K11" s="30">
        <f>VLOOKUP(MONTH(Modelling[[#This Row],[Date]]),$W$3:$Y$14,3,0)</f>
        <v>8.2899999999999991</v>
      </c>
      <c r="L11" s="30">
        <f>AVERAGE(J$3:J11)</f>
        <v>8.2899999999999991</v>
      </c>
      <c r="M11" s="31" t="e">
        <f t="shared" si="1"/>
        <v>#DIV/0!</v>
      </c>
      <c r="N11" s="31" t="e">
        <f t="shared" si="2"/>
        <v>#DIV/0!</v>
      </c>
      <c r="O11" s="31" t="e">
        <f t="shared" si="3"/>
        <v>#DIV/0!</v>
      </c>
      <c r="P11" s="109"/>
      <c r="Q11" s="28"/>
      <c r="R11" s="81"/>
      <c r="W11" s="243">
        <v>12</v>
      </c>
      <c r="X11" s="243">
        <v>31</v>
      </c>
      <c r="Y11" s="244">
        <v>6.99</v>
      </c>
      <c r="Z11" s="245">
        <v>17896983</v>
      </c>
      <c r="AA11">
        <v>70.2</v>
      </c>
      <c r="AH11" s="36"/>
    </row>
    <row r="12" spans="2:34">
      <c r="B12" s="27">
        <f t="shared" si="5"/>
        <v>45392</v>
      </c>
      <c r="C12" s="28">
        <f>YEAR(Modelling[[#This Row],[Date]])+IF(MONTH(Modelling[[#This Row],[Date]])&gt;=4,1,0)</f>
        <v>2025</v>
      </c>
      <c r="D12" s="22">
        <f t="shared" si="4"/>
        <v>2024</v>
      </c>
      <c r="E12" s="29">
        <v>44652</v>
      </c>
      <c r="F12" s="22">
        <f>DAY(EOMONTH(Modelling[[#This Row],[Date]],0))</f>
        <v>30</v>
      </c>
      <c r="G12" s="28">
        <f>VLOOKUP(MONTH(Modelling[[#This Row],[Date]]),$W$3:$Z$14,4,0)/1000/Modelling[[#This Row],[Days]]</f>
        <v>0</v>
      </c>
      <c r="H12" s="28">
        <f>SUM($G$3:G12)</f>
        <v>0</v>
      </c>
      <c r="I12" s="28">
        <f>SUM($G$3:G12)</f>
        <v>0</v>
      </c>
      <c r="J12" s="30">
        <f>VLOOKUP(MONTH(Modelling[[#This Row],[Date]]),$W$3:$Y$14,3,0)</f>
        <v>8.2899999999999991</v>
      </c>
      <c r="K12" s="30">
        <f>VLOOKUP(MONTH(Modelling[[#This Row],[Date]]),$W$3:$Y$14,3,0)</f>
        <v>8.2899999999999991</v>
      </c>
      <c r="L12" s="30">
        <f>AVERAGE(J$3:J12)</f>
        <v>8.2899999999999974</v>
      </c>
      <c r="M12" s="31" t="e">
        <f t="shared" si="1"/>
        <v>#DIV/0!</v>
      </c>
      <c r="N12" s="31" t="e">
        <f t="shared" si="2"/>
        <v>#DIV/0!</v>
      </c>
      <c r="O12" s="31" t="e">
        <f t="shared" si="3"/>
        <v>#DIV/0!</v>
      </c>
      <c r="P12" s="109"/>
      <c r="Q12" s="28"/>
      <c r="R12" s="81"/>
      <c r="W12" s="243">
        <v>1</v>
      </c>
      <c r="X12" s="243">
        <v>31</v>
      </c>
      <c r="Y12" s="244">
        <v>6.74</v>
      </c>
      <c r="Z12" s="245">
        <v>19110338</v>
      </c>
      <c r="AA12">
        <v>70.2</v>
      </c>
      <c r="AH12" s="36"/>
    </row>
    <row r="13" spans="2:34">
      <c r="B13" s="27">
        <f t="shared" si="5"/>
        <v>45393</v>
      </c>
      <c r="C13" s="28">
        <f>YEAR(Modelling[[#This Row],[Date]])+IF(MONTH(Modelling[[#This Row],[Date]])&gt;=4,1,0)</f>
        <v>2025</v>
      </c>
      <c r="D13" s="22">
        <f t="shared" si="4"/>
        <v>2024</v>
      </c>
      <c r="E13" s="29">
        <v>44652</v>
      </c>
      <c r="F13" s="22">
        <f>DAY(EOMONTH(Modelling[[#This Row],[Date]],0))</f>
        <v>30</v>
      </c>
      <c r="G13" s="28">
        <f>VLOOKUP(MONTH(Modelling[[#This Row],[Date]]),$W$3:$Z$14,4,0)/1000/Modelling[[#This Row],[Days]]</f>
        <v>0</v>
      </c>
      <c r="H13" s="28">
        <f>SUM($G$3:G13)</f>
        <v>0</v>
      </c>
      <c r="I13" s="28">
        <f>SUM($G$3:G13)</f>
        <v>0</v>
      </c>
      <c r="J13" s="30">
        <f>VLOOKUP(MONTH(Modelling[[#This Row],[Date]]),$W$3:$Y$14,3,0)</f>
        <v>8.2899999999999991</v>
      </c>
      <c r="K13" s="30">
        <f>VLOOKUP(MONTH(Modelling[[#This Row],[Date]]),$W$3:$Y$14,3,0)</f>
        <v>8.2899999999999991</v>
      </c>
      <c r="L13" s="30">
        <f>AVERAGE(J$3:J13)</f>
        <v>8.2899999999999974</v>
      </c>
      <c r="M13" s="31" t="e">
        <f t="shared" si="1"/>
        <v>#DIV/0!</v>
      </c>
      <c r="N13" s="31" t="e">
        <f t="shared" si="2"/>
        <v>#DIV/0!</v>
      </c>
      <c r="O13" s="31" t="e">
        <f t="shared" si="3"/>
        <v>#DIV/0!</v>
      </c>
      <c r="P13" s="109"/>
      <c r="Q13" s="28"/>
      <c r="R13" s="81"/>
      <c r="W13" s="243">
        <v>2</v>
      </c>
      <c r="X13" s="243">
        <v>28</v>
      </c>
      <c r="Y13" s="244">
        <v>7.3</v>
      </c>
      <c r="Z13" s="245">
        <v>14703772</v>
      </c>
      <c r="AA13">
        <v>70.2</v>
      </c>
      <c r="AH13" s="36"/>
    </row>
    <row r="14" spans="2:34">
      <c r="B14" s="27">
        <f t="shared" si="5"/>
        <v>45394</v>
      </c>
      <c r="C14" s="28">
        <f>YEAR(Modelling[[#This Row],[Date]])+IF(MONTH(Modelling[[#This Row],[Date]])&gt;=4,1,0)</f>
        <v>2025</v>
      </c>
      <c r="D14" s="22">
        <f t="shared" si="4"/>
        <v>2024</v>
      </c>
      <c r="E14" s="29">
        <v>44652</v>
      </c>
      <c r="F14" s="22">
        <f>DAY(EOMONTH(Modelling[[#This Row],[Date]],0))</f>
        <v>30</v>
      </c>
      <c r="G14" s="28">
        <f>VLOOKUP(MONTH(Modelling[[#This Row],[Date]]),$W$3:$Z$14,4,0)/1000/Modelling[[#This Row],[Days]]</f>
        <v>0</v>
      </c>
      <c r="H14" s="28">
        <f>SUM($G$3:G14)</f>
        <v>0</v>
      </c>
      <c r="I14" s="28">
        <f>SUM($G$3:G14)</f>
        <v>0</v>
      </c>
      <c r="J14" s="30">
        <f>VLOOKUP(MONTH(Modelling[[#This Row],[Date]]),$W$3:$Y$14,3,0)</f>
        <v>8.2899999999999991</v>
      </c>
      <c r="K14" s="30">
        <f>VLOOKUP(MONTH(Modelling[[#This Row],[Date]]),$W$3:$Y$14,3,0)</f>
        <v>8.2899999999999991</v>
      </c>
      <c r="L14" s="30">
        <f>AVERAGE(J$3:J14)</f>
        <v>8.2899999999999974</v>
      </c>
      <c r="M14" s="31" t="e">
        <f t="shared" si="1"/>
        <v>#DIV/0!</v>
      </c>
      <c r="N14" s="31" t="e">
        <f t="shared" si="2"/>
        <v>#DIV/0!</v>
      </c>
      <c r="O14" s="31" t="e">
        <f t="shared" si="3"/>
        <v>#DIV/0!</v>
      </c>
      <c r="P14" s="109"/>
      <c r="Q14" s="28"/>
      <c r="R14" s="81"/>
      <c r="W14" s="243">
        <v>3</v>
      </c>
      <c r="X14" s="243">
        <v>31</v>
      </c>
      <c r="Y14" s="244">
        <v>7.28</v>
      </c>
      <c r="Z14" s="245">
        <v>19615902</v>
      </c>
      <c r="AA14">
        <v>70.2</v>
      </c>
      <c r="AH14" s="36"/>
    </row>
    <row r="15" spans="2:34">
      <c r="B15" s="27">
        <f t="shared" si="5"/>
        <v>45395</v>
      </c>
      <c r="C15" s="28">
        <f>YEAR(Modelling[[#This Row],[Date]])+IF(MONTH(Modelling[[#This Row],[Date]])&gt;=4,1,0)</f>
        <v>2025</v>
      </c>
      <c r="D15" s="22">
        <f t="shared" si="4"/>
        <v>2024</v>
      </c>
      <c r="E15" s="29">
        <v>44652</v>
      </c>
      <c r="F15" s="22">
        <f>DAY(EOMONTH(Modelling[[#This Row],[Date]],0))</f>
        <v>30</v>
      </c>
      <c r="G15" s="28">
        <f>VLOOKUP(MONTH(Modelling[[#This Row],[Date]]),$W$3:$Z$14,4,0)/1000/Modelling[[#This Row],[Days]]</f>
        <v>0</v>
      </c>
      <c r="H15" s="28">
        <f>SUM($G$3:G15)</f>
        <v>0</v>
      </c>
      <c r="I15" s="28">
        <f>SUM($G$3:G15)</f>
        <v>0</v>
      </c>
      <c r="J15" s="30">
        <f>VLOOKUP(MONTH(Modelling[[#This Row],[Date]]),$W$3:$Y$14,3,0)</f>
        <v>8.2899999999999991</v>
      </c>
      <c r="K15" s="30">
        <f>VLOOKUP(MONTH(Modelling[[#This Row],[Date]]),$W$3:$Y$14,3,0)</f>
        <v>8.2899999999999991</v>
      </c>
      <c r="L15" s="30">
        <f>AVERAGE(J$3:J15)</f>
        <v>8.2899999999999956</v>
      </c>
      <c r="M15" s="31" t="e">
        <f t="shared" si="1"/>
        <v>#DIV/0!</v>
      </c>
      <c r="N15" s="31" t="e">
        <f t="shared" si="2"/>
        <v>#DIV/0!</v>
      </c>
      <c r="O15" s="31" t="e">
        <f t="shared" si="3"/>
        <v>#DIV/0!</v>
      </c>
      <c r="P15" s="109"/>
      <c r="Q15" s="28"/>
      <c r="R15" s="81"/>
      <c r="W15" s="243"/>
      <c r="X15" s="243"/>
      <c r="Y15" s="246">
        <f>AVERAGE(Y3:Y14)</f>
        <v>7.5058333333333316</v>
      </c>
      <c r="Z15" s="245">
        <f>37.3*24*365*'Basic Data'!$K$3</f>
        <v>22937709.600000009</v>
      </c>
      <c r="AH15" s="36"/>
    </row>
    <row r="16" spans="2:34">
      <c r="B16" s="27">
        <f t="shared" si="5"/>
        <v>45396</v>
      </c>
      <c r="C16" s="28">
        <f>YEAR(Modelling[[#This Row],[Date]])+IF(MONTH(Modelling[[#This Row],[Date]])&gt;=4,1,0)</f>
        <v>2025</v>
      </c>
      <c r="D16" s="22">
        <f t="shared" si="4"/>
        <v>2024</v>
      </c>
      <c r="E16" s="29">
        <v>44652</v>
      </c>
      <c r="F16" s="22">
        <f>DAY(EOMONTH(Modelling[[#This Row],[Date]],0))</f>
        <v>30</v>
      </c>
      <c r="G16" s="28">
        <f>VLOOKUP(MONTH(Modelling[[#This Row],[Date]]),$W$3:$Z$14,4,0)/1000/Modelling[[#This Row],[Days]]</f>
        <v>0</v>
      </c>
      <c r="H16" s="28">
        <f>SUM($G$3:G16)</f>
        <v>0</v>
      </c>
      <c r="I16" s="28">
        <f>SUM($G$3:G16)</f>
        <v>0</v>
      </c>
      <c r="J16" s="30">
        <f>VLOOKUP(MONTH(Modelling[[#This Row],[Date]]),$W$3:$Y$14,3,0)</f>
        <v>8.2899999999999991</v>
      </c>
      <c r="K16" s="30">
        <f>VLOOKUP(MONTH(Modelling[[#This Row],[Date]]),$W$3:$Y$14,3,0)</f>
        <v>8.2899999999999991</v>
      </c>
      <c r="L16" s="30">
        <f>AVERAGE(J$3:J16)</f>
        <v>8.2899999999999956</v>
      </c>
      <c r="M16" s="31" t="e">
        <f t="shared" si="1"/>
        <v>#DIV/0!</v>
      </c>
      <c r="N16" s="31" t="e">
        <f t="shared" si="2"/>
        <v>#DIV/0!</v>
      </c>
      <c r="O16" s="31" t="e">
        <f t="shared" si="3"/>
        <v>#DIV/0!</v>
      </c>
      <c r="P16" s="109"/>
      <c r="Q16" s="28"/>
      <c r="R16" s="81"/>
      <c r="AH16" s="36"/>
    </row>
    <row r="17" spans="2:34">
      <c r="B17" s="27">
        <f t="shared" si="5"/>
        <v>45397</v>
      </c>
      <c r="C17" s="28">
        <f>YEAR(Modelling[[#This Row],[Date]])+IF(MONTH(Modelling[[#This Row],[Date]])&gt;=4,1,0)</f>
        <v>2025</v>
      </c>
      <c r="D17" s="22">
        <f t="shared" si="4"/>
        <v>2024</v>
      </c>
      <c r="E17" s="29">
        <v>44652</v>
      </c>
      <c r="F17" s="22">
        <f>DAY(EOMONTH(Modelling[[#This Row],[Date]],0))</f>
        <v>30</v>
      </c>
      <c r="G17" s="28">
        <f>VLOOKUP(MONTH(Modelling[[#This Row],[Date]]),$W$3:$Z$14,4,0)/1000/Modelling[[#This Row],[Days]]</f>
        <v>0</v>
      </c>
      <c r="H17" s="28">
        <f>SUM($G$3:G17)</f>
        <v>0</v>
      </c>
      <c r="I17" s="28">
        <f>SUM($G$3:G17)</f>
        <v>0</v>
      </c>
      <c r="J17" s="30">
        <f>VLOOKUP(MONTH(Modelling[[#This Row],[Date]]),$W$3:$Y$14,3,0)</f>
        <v>8.2899999999999991</v>
      </c>
      <c r="K17" s="30">
        <f>VLOOKUP(MONTH(Modelling[[#This Row],[Date]]),$W$3:$Y$14,3,0)</f>
        <v>8.2899999999999991</v>
      </c>
      <c r="L17" s="30">
        <f>AVERAGE(J$3:J17)</f>
        <v>8.2899999999999956</v>
      </c>
      <c r="M17" s="31" t="e">
        <f t="shared" si="1"/>
        <v>#DIV/0!</v>
      </c>
      <c r="N17" s="31" t="e">
        <f t="shared" si="2"/>
        <v>#DIV/0!</v>
      </c>
      <c r="O17" s="31" t="e">
        <f t="shared" si="3"/>
        <v>#DIV/0!</v>
      </c>
      <c r="P17" s="109"/>
      <c r="Q17" s="28"/>
      <c r="R17" s="81"/>
      <c r="AH17" s="36"/>
    </row>
    <row r="18" spans="2:34">
      <c r="B18" s="27">
        <f t="shared" si="5"/>
        <v>45398</v>
      </c>
      <c r="C18" s="28">
        <f>YEAR(Modelling[[#This Row],[Date]])+IF(MONTH(Modelling[[#This Row],[Date]])&gt;=4,1,0)</f>
        <v>2025</v>
      </c>
      <c r="D18" s="22">
        <f t="shared" si="4"/>
        <v>2024</v>
      </c>
      <c r="E18" s="29">
        <v>44652</v>
      </c>
      <c r="F18" s="22">
        <f>DAY(EOMONTH(Modelling[[#This Row],[Date]],0))</f>
        <v>30</v>
      </c>
      <c r="G18" s="28">
        <f>VLOOKUP(MONTH(Modelling[[#This Row],[Date]]),$W$3:$Z$14,4,0)/1000/Modelling[[#This Row],[Days]]</f>
        <v>0</v>
      </c>
      <c r="H18" s="28">
        <f>SUM($G$3:G18)</f>
        <v>0</v>
      </c>
      <c r="I18" s="28">
        <f>SUM($G$3:G18)</f>
        <v>0</v>
      </c>
      <c r="J18" s="30">
        <f>VLOOKUP(MONTH(Modelling[[#This Row],[Date]]),$W$3:$Y$14,3,0)</f>
        <v>8.2899999999999991</v>
      </c>
      <c r="K18" s="30">
        <f>VLOOKUP(MONTH(Modelling[[#This Row],[Date]]),$W$3:$Y$14,3,0)</f>
        <v>8.2899999999999991</v>
      </c>
      <c r="L18" s="30">
        <f>AVERAGE(J$3:J18)</f>
        <v>8.2899999999999956</v>
      </c>
      <c r="M18" s="31" t="e">
        <f t="shared" si="1"/>
        <v>#DIV/0!</v>
      </c>
      <c r="N18" s="31" t="e">
        <f t="shared" si="2"/>
        <v>#DIV/0!</v>
      </c>
      <c r="O18" s="31" t="e">
        <f t="shared" si="3"/>
        <v>#DIV/0!</v>
      </c>
      <c r="P18" s="109"/>
      <c r="Q18" s="28"/>
      <c r="R18" s="81"/>
      <c r="AH18" s="36"/>
    </row>
    <row r="19" spans="2:34">
      <c r="B19" s="27">
        <f t="shared" si="5"/>
        <v>45399</v>
      </c>
      <c r="C19" s="28">
        <f>YEAR(Modelling[[#This Row],[Date]])+IF(MONTH(Modelling[[#This Row],[Date]])&gt;=4,1,0)</f>
        <v>2025</v>
      </c>
      <c r="D19" s="22">
        <f t="shared" si="4"/>
        <v>2024</v>
      </c>
      <c r="E19" s="29">
        <v>44652</v>
      </c>
      <c r="F19" s="22">
        <f>DAY(EOMONTH(Modelling[[#This Row],[Date]],0))</f>
        <v>30</v>
      </c>
      <c r="G19" s="28">
        <f>VLOOKUP(MONTH(Modelling[[#This Row],[Date]]),$W$3:$Z$14,4,0)/1000/Modelling[[#This Row],[Days]]</f>
        <v>0</v>
      </c>
      <c r="H19" s="28">
        <f>SUM($G$3:G19)</f>
        <v>0</v>
      </c>
      <c r="I19" s="28">
        <f>SUM($G$3:G19)</f>
        <v>0</v>
      </c>
      <c r="J19" s="30">
        <f>VLOOKUP(MONTH(Modelling[[#This Row],[Date]]),$W$3:$Y$14,3,0)</f>
        <v>8.2899999999999991</v>
      </c>
      <c r="K19" s="30">
        <f>VLOOKUP(MONTH(Modelling[[#This Row],[Date]]),$W$3:$Y$14,3,0)</f>
        <v>8.2899999999999991</v>
      </c>
      <c r="L19" s="30">
        <f>AVERAGE(J$3:J19)</f>
        <v>8.2899999999999956</v>
      </c>
      <c r="M19" s="31" t="e">
        <f t="shared" si="1"/>
        <v>#DIV/0!</v>
      </c>
      <c r="N19" s="31" t="e">
        <f t="shared" si="2"/>
        <v>#DIV/0!</v>
      </c>
      <c r="O19" s="31" t="e">
        <f t="shared" si="3"/>
        <v>#DIV/0!</v>
      </c>
      <c r="P19" s="109"/>
      <c r="Q19" s="28"/>
      <c r="R19" s="81"/>
    </row>
    <row r="20" spans="2:34">
      <c r="B20" s="27">
        <f t="shared" si="5"/>
        <v>45400</v>
      </c>
      <c r="C20" s="28">
        <f>YEAR(Modelling[[#This Row],[Date]])+IF(MONTH(Modelling[[#This Row],[Date]])&gt;=4,1,0)</f>
        <v>2025</v>
      </c>
      <c r="D20" s="22">
        <f t="shared" si="4"/>
        <v>2024</v>
      </c>
      <c r="E20" s="29">
        <v>44652</v>
      </c>
      <c r="F20" s="22">
        <f>DAY(EOMONTH(Modelling[[#This Row],[Date]],0))</f>
        <v>30</v>
      </c>
      <c r="G20" s="28">
        <f>VLOOKUP(MONTH(Modelling[[#This Row],[Date]]),$W$3:$Z$14,4,0)/1000/Modelling[[#This Row],[Days]]</f>
        <v>0</v>
      </c>
      <c r="H20" s="28">
        <f>SUM($G$3:G20)</f>
        <v>0</v>
      </c>
      <c r="I20" s="28">
        <f>SUM($G$3:G20)</f>
        <v>0</v>
      </c>
      <c r="J20" s="30">
        <f>VLOOKUP(MONTH(Modelling[[#This Row],[Date]]),$W$3:$Y$14,3,0)</f>
        <v>8.2899999999999991</v>
      </c>
      <c r="K20" s="30">
        <f>VLOOKUP(MONTH(Modelling[[#This Row],[Date]]),$W$3:$Y$14,3,0)</f>
        <v>8.2899999999999991</v>
      </c>
      <c r="L20" s="30">
        <f>AVERAGE(J$3:J20)</f>
        <v>8.2899999999999956</v>
      </c>
      <c r="M20" s="31" t="e">
        <f t="shared" si="1"/>
        <v>#DIV/0!</v>
      </c>
      <c r="N20" s="31" t="e">
        <f t="shared" si="2"/>
        <v>#DIV/0!</v>
      </c>
      <c r="O20" s="31" t="e">
        <f t="shared" si="3"/>
        <v>#DIV/0!</v>
      </c>
      <c r="P20" s="109"/>
      <c r="Q20" s="28"/>
      <c r="R20" s="81"/>
    </row>
    <row r="21" spans="2:34">
      <c r="B21" s="27">
        <f t="shared" si="5"/>
        <v>45401</v>
      </c>
      <c r="C21" s="28">
        <f>YEAR(Modelling[[#This Row],[Date]])+IF(MONTH(Modelling[[#This Row],[Date]])&gt;=4,1,0)</f>
        <v>2025</v>
      </c>
      <c r="D21" s="22">
        <f t="shared" si="4"/>
        <v>2024</v>
      </c>
      <c r="E21" s="29">
        <v>44652</v>
      </c>
      <c r="F21" s="22">
        <f>DAY(EOMONTH(Modelling[[#This Row],[Date]],0))</f>
        <v>30</v>
      </c>
      <c r="G21" s="28">
        <f>VLOOKUP(MONTH(Modelling[[#This Row],[Date]]),$W$3:$Z$14,4,0)/1000/Modelling[[#This Row],[Days]]</f>
        <v>0</v>
      </c>
      <c r="H21" s="28">
        <f>SUM($G$3:G21)</f>
        <v>0</v>
      </c>
      <c r="I21" s="28">
        <f>SUM($G$3:G21)</f>
        <v>0</v>
      </c>
      <c r="J21" s="30">
        <f>VLOOKUP(MONTH(Modelling[[#This Row],[Date]]),$W$3:$Y$14,3,0)</f>
        <v>8.2899999999999991</v>
      </c>
      <c r="K21" s="30">
        <f>VLOOKUP(MONTH(Modelling[[#This Row],[Date]]),$W$3:$Y$14,3,0)</f>
        <v>8.2899999999999991</v>
      </c>
      <c r="L21" s="30">
        <f>AVERAGE(J$3:J21)</f>
        <v>8.2899999999999956</v>
      </c>
      <c r="M21" s="31" t="e">
        <f t="shared" si="1"/>
        <v>#DIV/0!</v>
      </c>
      <c r="N21" s="31" t="e">
        <f t="shared" si="2"/>
        <v>#DIV/0!</v>
      </c>
      <c r="O21" s="31" t="e">
        <f t="shared" si="3"/>
        <v>#DIV/0!</v>
      </c>
      <c r="P21" s="109"/>
      <c r="Q21" s="28"/>
      <c r="R21" s="81"/>
    </row>
    <row r="22" spans="2:34">
      <c r="B22" s="27">
        <f t="shared" si="5"/>
        <v>45402</v>
      </c>
      <c r="C22" s="28">
        <f>YEAR(Modelling[[#This Row],[Date]])+IF(MONTH(Modelling[[#This Row],[Date]])&gt;=4,1,0)</f>
        <v>2025</v>
      </c>
      <c r="D22" s="22">
        <f t="shared" si="4"/>
        <v>2024</v>
      </c>
      <c r="E22" s="29">
        <v>44652</v>
      </c>
      <c r="F22" s="22">
        <f>DAY(EOMONTH(Modelling[[#This Row],[Date]],0))</f>
        <v>30</v>
      </c>
      <c r="G22" s="28">
        <f>VLOOKUP(MONTH(Modelling[[#This Row],[Date]]),$W$3:$Z$14,4,0)/1000/Modelling[[#This Row],[Days]]</f>
        <v>0</v>
      </c>
      <c r="H22" s="28">
        <f>SUM($G$3:G22)</f>
        <v>0</v>
      </c>
      <c r="I22" s="28">
        <f>SUM($G$3:G22)</f>
        <v>0</v>
      </c>
      <c r="J22" s="30">
        <f>VLOOKUP(MONTH(Modelling[[#This Row],[Date]]),$W$3:$Y$14,3,0)</f>
        <v>8.2899999999999991</v>
      </c>
      <c r="K22" s="30">
        <f>VLOOKUP(MONTH(Modelling[[#This Row],[Date]]),$W$3:$Y$14,3,0)</f>
        <v>8.2899999999999991</v>
      </c>
      <c r="L22" s="30">
        <f>AVERAGE(J$3:J22)</f>
        <v>8.2899999999999956</v>
      </c>
      <c r="M22" s="31" t="e">
        <f t="shared" si="1"/>
        <v>#DIV/0!</v>
      </c>
      <c r="N22" s="31" t="e">
        <f t="shared" si="2"/>
        <v>#DIV/0!</v>
      </c>
      <c r="O22" s="31" t="e">
        <f t="shared" si="3"/>
        <v>#DIV/0!</v>
      </c>
      <c r="P22" s="109"/>
      <c r="Q22" s="28"/>
      <c r="R22" s="81"/>
    </row>
    <row r="23" spans="2:34">
      <c r="B23" s="27">
        <f t="shared" si="5"/>
        <v>45403</v>
      </c>
      <c r="C23" s="28">
        <f>YEAR(Modelling[[#This Row],[Date]])+IF(MONTH(Modelling[[#This Row],[Date]])&gt;=4,1,0)</f>
        <v>2025</v>
      </c>
      <c r="D23" s="22">
        <f t="shared" si="4"/>
        <v>2024</v>
      </c>
      <c r="E23" s="29">
        <v>44652</v>
      </c>
      <c r="F23" s="22">
        <f>DAY(EOMONTH(Modelling[[#This Row],[Date]],0))</f>
        <v>30</v>
      </c>
      <c r="G23" s="28">
        <f>VLOOKUP(MONTH(Modelling[[#This Row],[Date]]),$W$3:$Z$14,4,0)/1000/Modelling[[#This Row],[Days]]</f>
        <v>0</v>
      </c>
      <c r="H23" s="28">
        <f>SUM($G$3:G23)</f>
        <v>0</v>
      </c>
      <c r="I23" s="28">
        <f>SUM($G$3:G23)</f>
        <v>0</v>
      </c>
      <c r="J23" s="30">
        <f>VLOOKUP(MONTH(Modelling[[#This Row],[Date]]),$W$3:$Y$14,3,0)</f>
        <v>8.2899999999999991</v>
      </c>
      <c r="K23" s="30">
        <f>VLOOKUP(MONTH(Modelling[[#This Row],[Date]]),$W$3:$Y$14,3,0)</f>
        <v>8.2899999999999991</v>
      </c>
      <c r="L23" s="30">
        <f>AVERAGE(J$3:J23)</f>
        <v>8.2899999999999956</v>
      </c>
      <c r="M23" s="31" t="e">
        <f t="shared" si="1"/>
        <v>#DIV/0!</v>
      </c>
      <c r="N23" s="31" t="e">
        <f t="shared" si="2"/>
        <v>#DIV/0!</v>
      </c>
      <c r="O23" s="31" t="e">
        <f t="shared" si="3"/>
        <v>#DIV/0!</v>
      </c>
      <c r="P23" s="109"/>
      <c r="Q23" s="28"/>
      <c r="R23" s="81"/>
    </row>
    <row r="24" spans="2:34">
      <c r="B24" s="27">
        <f t="shared" si="5"/>
        <v>45404</v>
      </c>
      <c r="C24" s="28">
        <f>YEAR(Modelling[[#This Row],[Date]])+IF(MONTH(Modelling[[#This Row],[Date]])&gt;=4,1,0)</f>
        <v>2025</v>
      </c>
      <c r="D24" s="22">
        <f t="shared" si="4"/>
        <v>2024</v>
      </c>
      <c r="E24" s="29">
        <v>44652</v>
      </c>
      <c r="F24" s="22">
        <f>DAY(EOMONTH(Modelling[[#This Row],[Date]],0))</f>
        <v>30</v>
      </c>
      <c r="G24" s="28">
        <f>VLOOKUP(MONTH(Modelling[[#This Row],[Date]]),$W$3:$Z$14,4,0)/1000/Modelling[[#This Row],[Days]]</f>
        <v>0</v>
      </c>
      <c r="H24" s="28">
        <f>SUM($G$3:G24)</f>
        <v>0</v>
      </c>
      <c r="I24" s="28">
        <f>SUM($G$3:G24)</f>
        <v>0</v>
      </c>
      <c r="J24" s="30">
        <f>VLOOKUP(MONTH(Modelling[[#This Row],[Date]]),$W$3:$Y$14,3,0)</f>
        <v>8.2899999999999991</v>
      </c>
      <c r="K24" s="30">
        <f>VLOOKUP(MONTH(Modelling[[#This Row],[Date]]),$W$3:$Y$14,3,0)</f>
        <v>8.2899999999999991</v>
      </c>
      <c r="L24" s="30">
        <f>AVERAGE(J$3:J24)</f>
        <v>8.2899999999999938</v>
      </c>
      <c r="M24" s="31" t="e">
        <f t="shared" si="1"/>
        <v>#DIV/0!</v>
      </c>
      <c r="N24" s="31" t="e">
        <f t="shared" si="2"/>
        <v>#DIV/0!</v>
      </c>
      <c r="O24" s="31" t="e">
        <f t="shared" si="3"/>
        <v>#DIV/0!</v>
      </c>
      <c r="P24" s="109"/>
      <c r="Q24" s="28"/>
      <c r="R24" s="81"/>
    </row>
    <row r="25" spans="2:34">
      <c r="B25" s="27">
        <f t="shared" si="5"/>
        <v>45405</v>
      </c>
      <c r="C25" s="28">
        <f>YEAR(Modelling[[#This Row],[Date]])+IF(MONTH(Modelling[[#This Row],[Date]])&gt;=4,1,0)</f>
        <v>2025</v>
      </c>
      <c r="D25" s="22">
        <f t="shared" si="4"/>
        <v>2024</v>
      </c>
      <c r="E25" s="29">
        <v>44652</v>
      </c>
      <c r="F25" s="22">
        <f>DAY(EOMONTH(Modelling[[#This Row],[Date]],0))</f>
        <v>30</v>
      </c>
      <c r="G25" s="28">
        <f>VLOOKUP(MONTH(Modelling[[#This Row],[Date]]),$W$3:$Z$14,4,0)/1000/Modelling[[#This Row],[Days]]</f>
        <v>0</v>
      </c>
      <c r="H25" s="28">
        <f>SUM($G$3:G25)</f>
        <v>0</v>
      </c>
      <c r="I25" s="28">
        <f>SUM($G$3:G25)</f>
        <v>0</v>
      </c>
      <c r="J25" s="30">
        <f>VLOOKUP(MONTH(Modelling[[#This Row],[Date]]),$W$3:$Y$14,3,0)</f>
        <v>8.2899999999999991</v>
      </c>
      <c r="K25" s="30">
        <f>VLOOKUP(MONTH(Modelling[[#This Row],[Date]]),$W$3:$Y$14,3,0)</f>
        <v>8.2899999999999991</v>
      </c>
      <c r="L25" s="30">
        <f>AVERAGE(J$3:J25)</f>
        <v>8.2899999999999938</v>
      </c>
      <c r="M25" s="31" t="e">
        <f t="shared" si="1"/>
        <v>#DIV/0!</v>
      </c>
      <c r="N25" s="31" t="e">
        <f t="shared" si="2"/>
        <v>#DIV/0!</v>
      </c>
      <c r="O25" s="31" t="e">
        <f t="shared" si="3"/>
        <v>#DIV/0!</v>
      </c>
      <c r="P25" s="109"/>
      <c r="Q25" s="28"/>
      <c r="R25" s="81"/>
    </row>
    <row r="26" spans="2:34">
      <c r="B26" s="27">
        <f t="shared" si="5"/>
        <v>45406</v>
      </c>
      <c r="C26" s="28">
        <f>YEAR(Modelling[[#This Row],[Date]])+IF(MONTH(Modelling[[#This Row],[Date]])&gt;=4,1,0)</f>
        <v>2025</v>
      </c>
      <c r="D26" s="22">
        <f t="shared" si="4"/>
        <v>2024</v>
      </c>
      <c r="E26" s="29">
        <v>44652</v>
      </c>
      <c r="F26" s="22">
        <f>DAY(EOMONTH(Modelling[[#This Row],[Date]],0))</f>
        <v>30</v>
      </c>
      <c r="G26" s="28">
        <f>VLOOKUP(MONTH(Modelling[[#This Row],[Date]]),$W$3:$Z$14,4,0)/1000/Modelling[[#This Row],[Days]]</f>
        <v>0</v>
      </c>
      <c r="H26" s="28">
        <f>SUM($G$3:G26)</f>
        <v>0</v>
      </c>
      <c r="I26" s="28">
        <f>SUM($G$3:G26)</f>
        <v>0</v>
      </c>
      <c r="J26" s="30">
        <f>VLOOKUP(MONTH(Modelling[[#This Row],[Date]]),$W$3:$Y$14,3,0)</f>
        <v>8.2899999999999991</v>
      </c>
      <c r="K26" s="30">
        <f>VLOOKUP(MONTH(Modelling[[#This Row],[Date]]),$W$3:$Y$14,3,0)</f>
        <v>8.2899999999999991</v>
      </c>
      <c r="L26" s="30">
        <f>AVERAGE(J$3:J26)</f>
        <v>8.2899999999999938</v>
      </c>
      <c r="M26" s="31" t="e">
        <f t="shared" si="1"/>
        <v>#DIV/0!</v>
      </c>
      <c r="N26" s="31" t="e">
        <f t="shared" si="2"/>
        <v>#DIV/0!</v>
      </c>
      <c r="O26" s="31" t="e">
        <f t="shared" si="3"/>
        <v>#DIV/0!</v>
      </c>
      <c r="P26" s="109"/>
      <c r="Q26" s="28"/>
      <c r="R26" s="81"/>
    </row>
    <row r="27" spans="2:34">
      <c r="B27" s="27">
        <f t="shared" si="5"/>
        <v>45407</v>
      </c>
      <c r="C27" s="28">
        <f>YEAR(Modelling[[#This Row],[Date]])+IF(MONTH(Modelling[[#This Row],[Date]])&gt;=4,1,0)</f>
        <v>2025</v>
      </c>
      <c r="D27" s="22">
        <f t="shared" si="4"/>
        <v>2024</v>
      </c>
      <c r="E27" s="29">
        <v>44652</v>
      </c>
      <c r="F27" s="22">
        <f>DAY(EOMONTH(Modelling[[#This Row],[Date]],0))</f>
        <v>30</v>
      </c>
      <c r="G27" s="28">
        <f>VLOOKUP(MONTH(Modelling[[#This Row],[Date]]),$W$3:$Z$14,4,0)/1000/Modelling[[#This Row],[Days]]</f>
        <v>0</v>
      </c>
      <c r="H27" s="28">
        <f>SUM($G$3:G27)</f>
        <v>0</v>
      </c>
      <c r="I27" s="28">
        <f>SUM($G$3:G27)</f>
        <v>0</v>
      </c>
      <c r="J27" s="30">
        <f>VLOOKUP(MONTH(Modelling[[#This Row],[Date]]),$W$3:$Y$14,3,0)</f>
        <v>8.2899999999999991</v>
      </c>
      <c r="K27" s="30">
        <f>VLOOKUP(MONTH(Modelling[[#This Row],[Date]]),$W$3:$Y$14,3,0)</f>
        <v>8.2899999999999991</v>
      </c>
      <c r="L27" s="30">
        <f>AVERAGE(J$3:J27)</f>
        <v>8.2899999999999938</v>
      </c>
      <c r="M27" s="31" t="e">
        <f t="shared" si="1"/>
        <v>#DIV/0!</v>
      </c>
      <c r="N27" s="31" t="e">
        <f t="shared" si="2"/>
        <v>#DIV/0!</v>
      </c>
      <c r="O27" s="31" t="e">
        <f t="shared" si="3"/>
        <v>#DIV/0!</v>
      </c>
      <c r="P27" s="109"/>
      <c r="Q27" s="28"/>
      <c r="R27" s="81"/>
    </row>
    <row r="28" spans="2:34">
      <c r="B28" s="27">
        <f t="shared" si="5"/>
        <v>45408</v>
      </c>
      <c r="C28" s="28">
        <f>YEAR(Modelling[[#This Row],[Date]])+IF(MONTH(Modelling[[#This Row],[Date]])&gt;=4,1,0)</f>
        <v>2025</v>
      </c>
      <c r="D28" s="22">
        <f t="shared" si="4"/>
        <v>2024</v>
      </c>
      <c r="E28" s="29">
        <v>44652</v>
      </c>
      <c r="F28" s="22">
        <f>DAY(EOMONTH(Modelling[[#This Row],[Date]],0))</f>
        <v>30</v>
      </c>
      <c r="G28" s="28">
        <f>VLOOKUP(MONTH(Modelling[[#This Row],[Date]]),$W$3:$Z$14,4,0)/1000/Modelling[[#This Row],[Days]]</f>
        <v>0</v>
      </c>
      <c r="H28" s="28">
        <f>SUM($G$3:G28)</f>
        <v>0</v>
      </c>
      <c r="I28" s="28">
        <f>SUM($G$3:G28)</f>
        <v>0</v>
      </c>
      <c r="J28" s="30">
        <f>VLOOKUP(MONTH(Modelling[[#This Row],[Date]]),$W$3:$Y$14,3,0)</f>
        <v>8.2899999999999991</v>
      </c>
      <c r="K28" s="30">
        <f>VLOOKUP(MONTH(Modelling[[#This Row],[Date]]),$W$3:$Y$14,3,0)</f>
        <v>8.2899999999999991</v>
      </c>
      <c r="L28" s="30">
        <f>AVERAGE(J$3:J28)</f>
        <v>8.2899999999999938</v>
      </c>
      <c r="M28" s="31" t="e">
        <f t="shared" si="1"/>
        <v>#DIV/0!</v>
      </c>
      <c r="N28" s="31" t="e">
        <f t="shared" si="2"/>
        <v>#DIV/0!</v>
      </c>
      <c r="O28" s="31" t="e">
        <f t="shared" si="3"/>
        <v>#DIV/0!</v>
      </c>
      <c r="P28" s="109"/>
      <c r="Q28" s="28"/>
      <c r="R28" s="81"/>
    </row>
    <row r="29" spans="2:34">
      <c r="B29" s="27">
        <f t="shared" si="5"/>
        <v>45409</v>
      </c>
      <c r="C29" s="28">
        <f>YEAR(Modelling[[#This Row],[Date]])+IF(MONTH(Modelling[[#This Row],[Date]])&gt;=4,1,0)</f>
        <v>2025</v>
      </c>
      <c r="D29" s="22">
        <f t="shared" si="4"/>
        <v>2024</v>
      </c>
      <c r="E29" s="29">
        <v>44652</v>
      </c>
      <c r="F29" s="22">
        <f>DAY(EOMONTH(Modelling[[#This Row],[Date]],0))</f>
        <v>30</v>
      </c>
      <c r="G29" s="28">
        <f>VLOOKUP(MONTH(Modelling[[#This Row],[Date]]),$W$3:$Z$14,4,0)/1000/Modelling[[#This Row],[Days]]</f>
        <v>0</v>
      </c>
      <c r="H29" s="28">
        <f>SUM($G$3:G29)</f>
        <v>0</v>
      </c>
      <c r="I29" s="28">
        <f>SUM($G$3:G29)</f>
        <v>0</v>
      </c>
      <c r="J29" s="30">
        <f>VLOOKUP(MONTH(Modelling[[#This Row],[Date]]),$W$3:$Y$14,3,0)</f>
        <v>8.2899999999999991</v>
      </c>
      <c r="K29" s="30">
        <f>VLOOKUP(MONTH(Modelling[[#This Row],[Date]]),$W$3:$Y$14,3,0)</f>
        <v>8.2899999999999991</v>
      </c>
      <c r="L29" s="30">
        <f>AVERAGE(J$3:J29)</f>
        <v>8.2899999999999938</v>
      </c>
      <c r="M29" s="31" t="e">
        <f t="shared" si="1"/>
        <v>#DIV/0!</v>
      </c>
      <c r="N29" s="31" t="e">
        <f t="shared" si="2"/>
        <v>#DIV/0!</v>
      </c>
      <c r="O29" s="31" t="e">
        <f t="shared" si="3"/>
        <v>#DIV/0!</v>
      </c>
      <c r="P29" s="109"/>
      <c r="Q29" s="28"/>
      <c r="R29" s="81"/>
    </row>
    <row r="30" spans="2:34">
      <c r="B30" s="27">
        <f t="shared" si="5"/>
        <v>45410</v>
      </c>
      <c r="C30" s="28">
        <f>YEAR(Modelling[[#This Row],[Date]])+IF(MONTH(Modelling[[#This Row],[Date]])&gt;=4,1,0)</f>
        <v>2025</v>
      </c>
      <c r="D30" s="22">
        <f t="shared" si="4"/>
        <v>2024</v>
      </c>
      <c r="E30" s="29">
        <v>44652</v>
      </c>
      <c r="F30" s="22">
        <f>DAY(EOMONTH(Modelling[[#This Row],[Date]],0))</f>
        <v>30</v>
      </c>
      <c r="G30" s="28">
        <f>VLOOKUP(MONTH(Modelling[[#This Row],[Date]]),$W$3:$Z$14,4,0)/1000/Modelling[[#This Row],[Days]]</f>
        <v>0</v>
      </c>
      <c r="H30" s="28">
        <f>SUM($G$3:G30)</f>
        <v>0</v>
      </c>
      <c r="I30" s="28">
        <f>SUM($G$3:G30)</f>
        <v>0</v>
      </c>
      <c r="J30" s="30">
        <f>VLOOKUP(MONTH(Modelling[[#This Row],[Date]]),$W$3:$Y$14,3,0)</f>
        <v>8.2899999999999991</v>
      </c>
      <c r="K30" s="30">
        <f>VLOOKUP(MONTH(Modelling[[#This Row],[Date]]),$W$3:$Y$14,3,0)</f>
        <v>8.2899999999999991</v>
      </c>
      <c r="L30" s="30">
        <f>AVERAGE(J$3:J30)</f>
        <v>8.2899999999999938</v>
      </c>
      <c r="M30" s="31" t="e">
        <f t="shared" si="1"/>
        <v>#DIV/0!</v>
      </c>
      <c r="N30" s="31" t="e">
        <f t="shared" si="2"/>
        <v>#DIV/0!</v>
      </c>
      <c r="O30" s="31" t="e">
        <f t="shared" si="3"/>
        <v>#DIV/0!</v>
      </c>
      <c r="P30" s="109"/>
      <c r="Q30" s="28"/>
      <c r="R30" s="81"/>
    </row>
    <row r="31" spans="2:34">
      <c r="B31" s="27">
        <f t="shared" si="5"/>
        <v>45411</v>
      </c>
      <c r="C31" s="28">
        <f>YEAR(Modelling[[#This Row],[Date]])+IF(MONTH(Modelling[[#This Row],[Date]])&gt;=4,1,0)</f>
        <v>2025</v>
      </c>
      <c r="D31" s="22">
        <f t="shared" si="4"/>
        <v>2024</v>
      </c>
      <c r="E31" s="29">
        <v>44652</v>
      </c>
      <c r="F31" s="22">
        <f>DAY(EOMONTH(Modelling[[#This Row],[Date]],0))</f>
        <v>30</v>
      </c>
      <c r="G31" s="28">
        <f>VLOOKUP(MONTH(Modelling[[#This Row],[Date]]),$W$3:$Z$14,4,0)/1000/Modelling[[#This Row],[Days]]</f>
        <v>0</v>
      </c>
      <c r="H31" s="28">
        <f>SUM($G$3:G31)</f>
        <v>0</v>
      </c>
      <c r="I31" s="28">
        <f>SUM($G$3:G31)</f>
        <v>0</v>
      </c>
      <c r="J31" s="30">
        <f>VLOOKUP(MONTH(Modelling[[#This Row],[Date]]),$W$3:$Y$14,3,0)</f>
        <v>8.2899999999999991</v>
      </c>
      <c r="K31" s="30">
        <f>VLOOKUP(MONTH(Modelling[[#This Row],[Date]]),$W$3:$Y$14,3,0)</f>
        <v>8.2899999999999991</v>
      </c>
      <c r="L31" s="30">
        <f>AVERAGE(J$3:J31)</f>
        <v>8.2899999999999938</v>
      </c>
      <c r="M31" s="31" t="e">
        <f t="shared" si="1"/>
        <v>#DIV/0!</v>
      </c>
      <c r="N31" s="31" t="e">
        <f t="shared" si="2"/>
        <v>#DIV/0!</v>
      </c>
      <c r="O31" s="31" t="e">
        <f t="shared" si="3"/>
        <v>#DIV/0!</v>
      </c>
      <c r="P31" s="109"/>
      <c r="Q31" s="28"/>
      <c r="R31" s="81"/>
    </row>
    <row r="32" spans="2:34">
      <c r="B32" s="27">
        <f t="shared" si="5"/>
        <v>45412</v>
      </c>
      <c r="C32" s="28">
        <f>YEAR(Modelling[[#This Row],[Date]])+IF(MONTH(Modelling[[#This Row],[Date]])&gt;=4,1,0)</f>
        <v>2025</v>
      </c>
      <c r="D32" s="22">
        <f t="shared" si="4"/>
        <v>2024</v>
      </c>
      <c r="E32" s="29">
        <v>44652</v>
      </c>
      <c r="F32" s="22">
        <f>DAY(EOMONTH(Modelling[[#This Row],[Date]],0))</f>
        <v>30</v>
      </c>
      <c r="G32" s="28">
        <f>VLOOKUP(MONTH(Modelling[[#This Row],[Date]]),$W$3:$Z$14,4,0)/1000/Modelling[[#This Row],[Days]]</f>
        <v>0</v>
      </c>
      <c r="H32" s="28">
        <f>SUM($G$3:G32)</f>
        <v>0</v>
      </c>
      <c r="I32" s="28">
        <f>SUM($G$3:G32)</f>
        <v>0</v>
      </c>
      <c r="J32" s="30">
        <f>VLOOKUP(MONTH(Modelling[[#This Row],[Date]]),$W$3:$Y$14,3,0)</f>
        <v>8.2899999999999991</v>
      </c>
      <c r="K32" s="30">
        <f>VLOOKUP(MONTH(Modelling[[#This Row],[Date]]),$W$3:$Y$14,3,0)</f>
        <v>8.2899999999999991</v>
      </c>
      <c r="L32" s="30">
        <f>AVERAGE(J$3:J32)</f>
        <v>8.2899999999999938</v>
      </c>
      <c r="M32" s="31" t="e">
        <f t="shared" si="1"/>
        <v>#DIV/0!</v>
      </c>
      <c r="N32" s="31" t="e">
        <f t="shared" si="2"/>
        <v>#DIV/0!</v>
      </c>
      <c r="O32" s="31" t="e">
        <f t="shared" si="3"/>
        <v>#DIV/0!</v>
      </c>
      <c r="P32" s="109"/>
      <c r="Q32" s="28"/>
      <c r="R32" s="81"/>
    </row>
    <row r="33" spans="2:20">
      <c r="B33" s="27">
        <f t="shared" si="5"/>
        <v>45413</v>
      </c>
      <c r="C33" s="28">
        <f>YEAR(Modelling[[#This Row],[Date]])+IF(MONTH(Modelling[[#This Row],[Date]])&gt;=4,1,0)</f>
        <v>2025</v>
      </c>
      <c r="D33" s="22">
        <f t="shared" si="4"/>
        <v>2024</v>
      </c>
      <c r="E33" s="29">
        <v>44682</v>
      </c>
      <c r="F33" s="22">
        <f>DAY(EOMONTH(Modelling[[#This Row],[Date]],0))</f>
        <v>31</v>
      </c>
      <c r="G33" s="28">
        <f>VLOOKUP(MONTH(Modelling[[#This Row],[Date]]),$W$3:$Z$14,4,0)/1000/Modelling[[#This Row],[Days]]</f>
        <v>281.00854838709677</v>
      </c>
      <c r="H33" s="28">
        <f>SUM($G$33:G33)</f>
        <v>281.00854838709677</v>
      </c>
      <c r="I33" s="28">
        <f>SUM($G$3:G33)</f>
        <v>281.00854838709677</v>
      </c>
      <c r="J33" s="30">
        <f>VLOOKUP(MONTH(Modelling[[#This Row],[Date]]),$W$3:$Y$14,3,0)</f>
        <v>9.1</v>
      </c>
      <c r="K33" s="30">
        <f>VLOOKUP(MONTH(Modelling[[#This Row],[Date]]),$W$3:$Y$14,3,0)</f>
        <v>9.1</v>
      </c>
      <c r="L33" s="30">
        <f>AVERAGE(J$3:J33)</f>
        <v>8.3161290322580594</v>
      </c>
      <c r="M33" s="31">
        <f t="shared" si="1"/>
        <v>0.43365516726403824</v>
      </c>
      <c r="N33" s="31">
        <f t="shared" si="2"/>
        <v>0.43365516726403824</v>
      </c>
      <c r="O33" s="31">
        <f t="shared" si="3"/>
        <v>0.43365516726403824</v>
      </c>
      <c r="P33" s="109">
        <f t="shared" ref="P33:P66" si="6">_xlfn.XLOOKUP(MONTH(B33),W:W,AA:AA)</f>
        <v>27</v>
      </c>
      <c r="Q33" s="28">
        <f>AVERAGE($P$33:P33)</f>
        <v>27</v>
      </c>
      <c r="R33" s="81">
        <f>AVERAGE($P$3:P33)</f>
        <v>27</v>
      </c>
      <c r="S33">
        <f t="shared" ref="S33:S67" si="7">DAY(B33)</f>
        <v>1</v>
      </c>
      <c r="T33">
        <f t="shared" ref="T33:T68" si="8">T32+1</f>
        <v>1</v>
      </c>
    </row>
    <row r="34" spans="2:20">
      <c r="B34" s="27">
        <f t="shared" si="5"/>
        <v>45414</v>
      </c>
      <c r="C34" s="28">
        <f>YEAR(Modelling[[#This Row],[Date]])+IF(MONTH(Modelling[[#This Row],[Date]])&gt;=4,1,0)</f>
        <v>2025</v>
      </c>
      <c r="D34" s="22">
        <f t="shared" si="4"/>
        <v>2024</v>
      </c>
      <c r="E34" s="29">
        <v>44682</v>
      </c>
      <c r="F34" s="22">
        <f>DAY(EOMONTH(Modelling[[#This Row],[Date]],0))</f>
        <v>31</v>
      </c>
      <c r="G34" s="28">
        <f>VLOOKUP(MONTH(Modelling[[#This Row],[Date]]),$W$3:$Z$14,4,0)/1000/Modelling[[#This Row],[Days]]</f>
        <v>281.00854838709677</v>
      </c>
      <c r="H34" s="28">
        <f>SUM($G$33:G34)</f>
        <v>562.01709677419353</v>
      </c>
      <c r="I34" s="28">
        <f>SUM($G$3:G34)</f>
        <v>562.01709677419353</v>
      </c>
      <c r="J34" s="30">
        <f>VLOOKUP(MONTH(Modelling[[#This Row],[Date]]),$W$3:$Y$14,3,0)</f>
        <v>9.1</v>
      </c>
      <c r="K34" s="30">
        <f>VLOOKUP(MONTH(Modelling[[#This Row],[Date]]),$W$3:$Y$14,3,0)</f>
        <v>9.1</v>
      </c>
      <c r="L34" s="30">
        <f>AVERAGE(J$3:J34)</f>
        <v>8.3406249999999957</v>
      </c>
      <c r="M34" s="31">
        <f t="shared" si="1"/>
        <v>0.43365516726403824</v>
      </c>
      <c r="N34" s="31">
        <f t="shared" si="2"/>
        <v>0.43365516726403824</v>
      </c>
      <c r="O34" s="31">
        <f t="shared" si="3"/>
        <v>0.43365516726403824</v>
      </c>
      <c r="P34" s="109">
        <f t="shared" si="6"/>
        <v>27</v>
      </c>
      <c r="Q34" s="28">
        <f>AVERAGE($P$33:P34)</f>
        <v>27</v>
      </c>
      <c r="R34" s="81">
        <f>AVERAGE($P$3:P34)</f>
        <v>27</v>
      </c>
      <c r="S34">
        <f t="shared" si="7"/>
        <v>2</v>
      </c>
      <c r="T34">
        <f t="shared" si="8"/>
        <v>2</v>
      </c>
    </row>
    <row r="35" spans="2:20">
      <c r="B35" s="27">
        <f t="shared" si="5"/>
        <v>45415</v>
      </c>
      <c r="C35" s="28">
        <f>YEAR(Modelling[[#This Row],[Date]])+IF(MONTH(Modelling[[#This Row],[Date]])&gt;=4,1,0)</f>
        <v>2025</v>
      </c>
      <c r="D35" s="22">
        <f t="shared" si="4"/>
        <v>2024</v>
      </c>
      <c r="E35" s="29">
        <v>44682</v>
      </c>
      <c r="F35" s="22">
        <f>DAY(EOMONTH(Modelling[[#This Row],[Date]],0))</f>
        <v>31</v>
      </c>
      <c r="G35" s="28">
        <f>VLOOKUP(MONTH(Modelling[[#This Row],[Date]]),$W$3:$Z$14,4,0)/1000/Modelling[[#This Row],[Days]]</f>
        <v>281.00854838709677</v>
      </c>
      <c r="H35" s="28">
        <f>SUM($G$33:G35)</f>
        <v>843.0256451612903</v>
      </c>
      <c r="I35" s="28">
        <f>SUM($G$3:G35)</f>
        <v>843.0256451612903</v>
      </c>
      <c r="J35" s="30">
        <f>VLOOKUP(MONTH(Modelling[[#This Row],[Date]]),$W$3:$Y$14,3,0)</f>
        <v>9.1</v>
      </c>
      <c r="K35" s="30">
        <f>VLOOKUP(MONTH(Modelling[[#This Row],[Date]]),$W$3:$Y$14,3,0)</f>
        <v>9.1</v>
      </c>
      <c r="L35" s="30">
        <f>AVERAGE(J$3:J35)</f>
        <v>8.3636363636363598</v>
      </c>
      <c r="M35" s="31">
        <f t="shared" si="1"/>
        <v>0.43365516726403824</v>
      </c>
      <c r="N35" s="31">
        <f t="shared" si="2"/>
        <v>0.43365516726403824</v>
      </c>
      <c r="O35" s="31">
        <f t="shared" si="3"/>
        <v>0.43365516726403824</v>
      </c>
      <c r="P35" s="109">
        <f t="shared" si="6"/>
        <v>27</v>
      </c>
      <c r="Q35" s="28">
        <f>AVERAGE($P$33:P35)</f>
        <v>27</v>
      </c>
      <c r="R35" s="81">
        <f>AVERAGE($P$3:P35)</f>
        <v>27</v>
      </c>
      <c r="S35">
        <f t="shared" si="7"/>
        <v>3</v>
      </c>
      <c r="T35">
        <f t="shared" si="8"/>
        <v>3</v>
      </c>
    </row>
    <row r="36" spans="2:20">
      <c r="B36" s="27">
        <f t="shared" si="5"/>
        <v>45416</v>
      </c>
      <c r="C36" s="28">
        <f>YEAR(Modelling[[#This Row],[Date]])+IF(MONTH(Modelling[[#This Row],[Date]])&gt;=4,1,0)</f>
        <v>2025</v>
      </c>
      <c r="D36" s="22">
        <f t="shared" si="4"/>
        <v>2024</v>
      </c>
      <c r="E36" s="29">
        <v>44682</v>
      </c>
      <c r="F36" s="22">
        <f>DAY(EOMONTH(Modelling[[#This Row],[Date]],0))</f>
        <v>31</v>
      </c>
      <c r="G36" s="28">
        <f>VLOOKUP(MONTH(Modelling[[#This Row],[Date]]),$W$3:$Z$14,4,0)/1000/Modelling[[#This Row],[Days]]</f>
        <v>281.00854838709677</v>
      </c>
      <c r="H36" s="28">
        <f>SUM($G$33:G36)</f>
        <v>1124.0341935483871</v>
      </c>
      <c r="I36" s="28">
        <f>SUM($G$3:G36)</f>
        <v>1124.0341935483871</v>
      </c>
      <c r="J36" s="30">
        <f>VLOOKUP(MONTH(Modelling[[#This Row],[Date]]),$W$3:$Y$14,3,0)</f>
        <v>9.1</v>
      </c>
      <c r="K36" s="30">
        <f>VLOOKUP(MONTH(Modelling[[#This Row],[Date]]),$W$3:$Y$14,3,0)</f>
        <v>9.1</v>
      </c>
      <c r="L36" s="30">
        <f>AVERAGE(J$3:J36)</f>
        <v>8.3852941176470566</v>
      </c>
      <c r="M36" s="31">
        <f t="shared" si="1"/>
        <v>0.43365516726403824</v>
      </c>
      <c r="N36" s="31">
        <f t="shared" si="2"/>
        <v>0.43365516726403824</v>
      </c>
      <c r="O36" s="31">
        <f t="shared" si="3"/>
        <v>0.43365516726403824</v>
      </c>
      <c r="P36" s="109">
        <f t="shared" si="6"/>
        <v>27</v>
      </c>
      <c r="Q36" s="28">
        <f>AVERAGE($P$33:P36)</f>
        <v>27</v>
      </c>
      <c r="R36" s="81">
        <f>AVERAGE($P$3:P36)</f>
        <v>27</v>
      </c>
      <c r="S36">
        <f t="shared" si="7"/>
        <v>4</v>
      </c>
      <c r="T36">
        <f t="shared" si="8"/>
        <v>4</v>
      </c>
    </row>
    <row r="37" spans="2:20">
      <c r="B37" s="27">
        <f t="shared" si="5"/>
        <v>45417</v>
      </c>
      <c r="C37" s="28">
        <f>YEAR(Modelling[[#This Row],[Date]])+IF(MONTH(Modelling[[#This Row],[Date]])&gt;=4,1,0)</f>
        <v>2025</v>
      </c>
      <c r="D37" s="22">
        <f t="shared" si="4"/>
        <v>2024</v>
      </c>
      <c r="E37" s="29">
        <v>44682</v>
      </c>
      <c r="F37" s="22">
        <f>DAY(EOMONTH(Modelling[[#This Row],[Date]],0))</f>
        <v>31</v>
      </c>
      <c r="G37" s="28">
        <f>VLOOKUP(MONTH(Modelling[[#This Row],[Date]]),$W$3:$Z$14,4,0)/1000/Modelling[[#This Row],[Days]]</f>
        <v>281.00854838709677</v>
      </c>
      <c r="H37" s="28">
        <f>SUM($G$33:G37)</f>
        <v>1405.0427419354837</v>
      </c>
      <c r="I37" s="28">
        <f>SUM($G$3:G37)</f>
        <v>1405.0427419354837</v>
      </c>
      <c r="J37" s="30">
        <f>VLOOKUP(MONTH(Modelling[[#This Row],[Date]]),$W$3:$Y$14,3,0)</f>
        <v>9.1</v>
      </c>
      <c r="K37" s="30">
        <f>VLOOKUP(MONTH(Modelling[[#This Row],[Date]]),$W$3:$Y$14,3,0)</f>
        <v>9.1</v>
      </c>
      <c r="L37" s="30">
        <f>AVERAGE(J$3:J37)</f>
        <v>8.4057142857142839</v>
      </c>
      <c r="M37" s="31">
        <f t="shared" si="1"/>
        <v>0.43365516726403824</v>
      </c>
      <c r="N37" s="31">
        <f t="shared" si="2"/>
        <v>0.43365516726403819</v>
      </c>
      <c r="O37" s="31">
        <f t="shared" si="3"/>
        <v>0.43365516726403819</v>
      </c>
      <c r="P37" s="109">
        <f t="shared" si="6"/>
        <v>27</v>
      </c>
      <c r="Q37" s="28">
        <f>AVERAGE($P$33:P37)</f>
        <v>27</v>
      </c>
      <c r="R37" s="81">
        <f>AVERAGE($P$3:P37)</f>
        <v>27</v>
      </c>
      <c r="S37">
        <f t="shared" si="7"/>
        <v>5</v>
      </c>
      <c r="T37">
        <f t="shared" si="8"/>
        <v>5</v>
      </c>
    </row>
    <row r="38" spans="2:20">
      <c r="B38" s="27">
        <f t="shared" si="5"/>
        <v>45418</v>
      </c>
      <c r="C38" s="28">
        <f>YEAR(Modelling[[#This Row],[Date]])+IF(MONTH(Modelling[[#This Row],[Date]])&gt;=4,1,0)</f>
        <v>2025</v>
      </c>
      <c r="D38" s="22">
        <f t="shared" si="4"/>
        <v>2024</v>
      </c>
      <c r="E38" s="29">
        <v>44682</v>
      </c>
      <c r="F38" s="22">
        <f>DAY(EOMONTH(Modelling[[#This Row],[Date]],0))</f>
        <v>31</v>
      </c>
      <c r="G38" s="28">
        <f>VLOOKUP(MONTH(Modelling[[#This Row],[Date]]),$W$3:$Z$14,4,0)/1000/Modelling[[#This Row],[Days]]</f>
        <v>281.00854838709677</v>
      </c>
      <c r="H38" s="28">
        <f>SUM($G$33:G38)</f>
        <v>1686.0512903225804</v>
      </c>
      <c r="I38" s="28">
        <f>SUM($G$3:G38)</f>
        <v>1686.0512903225804</v>
      </c>
      <c r="J38" s="30">
        <f>VLOOKUP(MONTH(Modelling[[#This Row],[Date]]),$W$3:$Y$14,3,0)</f>
        <v>9.1</v>
      </c>
      <c r="K38" s="30">
        <f>VLOOKUP(MONTH(Modelling[[#This Row],[Date]]),$W$3:$Y$14,3,0)</f>
        <v>9.1</v>
      </c>
      <c r="L38" s="30">
        <f>AVERAGE(J$3:J38)</f>
        <v>8.4249999999999989</v>
      </c>
      <c r="M38" s="31">
        <f t="shared" si="1"/>
        <v>0.43365516726403824</v>
      </c>
      <c r="N38" s="31">
        <f t="shared" si="2"/>
        <v>0.43365516726403819</v>
      </c>
      <c r="O38" s="31">
        <f t="shared" si="3"/>
        <v>0.43365516726403819</v>
      </c>
      <c r="P38" s="109">
        <f t="shared" si="6"/>
        <v>27</v>
      </c>
      <c r="Q38" s="28">
        <f>AVERAGE($P$33:P38)</f>
        <v>27</v>
      </c>
      <c r="R38" s="81">
        <f>AVERAGE($P$3:P38)</f>
        <v>27</v>
      </c>
      <c r="S38">
        <f t="shared" si="7"/>
        <v>6</v>
      </c>
      <c r="T38">
        <f t="shared" si="8"/>
        <v>6</v>
      </c>
    </row>
    <row r="39" spans="2:20">
      <c r="B39" s="27">
        <f t="shared" si="5"/>
        <v>45419</v>
      </c>
      <c r="C39" s="28">
        <f>YEAR(Modelling[[#This Row],[Date]])+IF(MONTH(Modelling[[#This Row],[Date]])&gt;=4,1,0)</f>
        <v>2025</v>
      </c>
      <c r="D39" s="22">
        <f t="shared" si="4"/>
        <v>2024</v>
      </c>
      <c r="E39" s="29">
        <v>44682</v>
      </c>
      <c r="F39" s="22">
        <f>DAY(EOMONTH(Modelling[[#This Row],[Date]],0))</f>
        <v>31</v>
      </c>
      <c r="G39" s="28">
        <f>VLOOKUP(MONTH(Modelling[[#This Row],[Date]]),$W$3:$Z$14,4,0)/1000/Modelling[[#This Row],[Days]]</f>
        <v>281.00854838709677</v>
      </c>
      <c r="H39" s="28">
        <f>SUM($G$33:G39)</f>
        <v>1967.059838709677</v>
      </c>
      <c r="I39" s="28">
        <f>SUM($G$3:G39)</f>
        <v>1967.059838709677</v>
      </c>
      <c r="J39" s="30">
        <f>VLOOKUP(MONTH(Modelling[[#This Row],[Date]]),$W$3:$Y$14,3,0)</f>
        <v>9.1</v>
      </c>
      <c r="K39" s="30">
        <f>VLOOKUP(MONTH(Modelling[[#This Row],[Date]]),$W$3:$Y$14,3,0)</f>
        <v>9.1</v>
      </c>
      <c r="L39" s="30">
        <f>AVERAGE(J$3:J39)</f>
        <v>8.4432432432432432</v>
      </c>
      <c r="M39" s="31">
        <f t="shared" si="1"/>
        <v>0.43365516726403824</v>
      </c>
      <c r="N39" s="31">
        <f t="shared" si="2"/>
        <v>0.43365516726403819</v>
      </c>
      <c r="O39" s="31">
        <f t="shared" si="3"/>
        <v>0.43365516726403819</v>
      </c>
      <c r="P39" s="109">
        <f t="shared" si="6"/>
        <v>27</v>
      </c>
      <c r="Q39" s="28">
        <f>AVERAGE($P$33:P39)</f>
        <v>27</v>
      </c>
      <c r="R39" s="81">
        <f>AVERAGE($P$3:P39)</f>
        <v>27</v>
      </c>
      <c r="S39">
        <f t="shared" si="7"/>
        <v>7</v>
      </c>
      <c r="T39">
        <f t="shared" si="8"/>
        <v>7</v>
      </c>
    </row>
    <row r="40" spans="2:20">
      <c r="B40" s="27">
        <f t="shared" si="5"/>
        <v>45420</v>
      </c>
      <c r="C40" s="28">
        <f>YEAR(Modelling[[#This Row],[Date]])+IF(MONTH(Modelling[[#This Row],[Date]])&gt;=4,1,0)</f>
        <v>2025</v>
      </c>
      <c r="D40" s="22">
        <f t="shared" si="4"/>
        <v>2024</v>
      </c>
      <c r="E40" s="29">
        <v>44682</v>
      </c>
      <c r="F40" s="22">
        <f>DAY(EOMONTH(Modelling[[#This Row],[Date]],0))</f>
        <v>31</v>
      </c>
      <c r="G40" s="28">
        <f>VLOOKUP(MONTH(Modelling[[#This Row],[Date]]),$W$3:$Z$14,4,0)/1000/Modelling[[#This Row],[Days]]</f>
        <v>281.00854838709677</v>
      </c>
      <c r="H40" s="28">
        <f>SUM($G$33:G40)</f>
        <v>2248.0683870967737</v>
      </c>
      <c r="I40" s="28">
        <f>SUM($G$3:G40)</f>
        <v>2248.0683870967737</v>
      </c>
      <c r="J40" s="30">
        <f>VLOOKUP(MONTH(Modelling[[#This Row],[Date]]),$W$3:$Y$14,3,0)</f>
        <v>9.1</v>
      </c>
      <c r="K40" s="30">
        <f>VLOOKUP(MONTH(Modelling[[#This Row],[Date]]),$W$3:$Y$14,3,0)</f>
        <v>9.1</v>
      </c>
      <c r="L40" s="30">
        <f>AVERAGE(J$3:J40)</f>
        <v>8.4605263157894743</v>
      </c>
      <c r="M40" s="31">
        <f t="shared" si="1"/>
        <v>0.43365516726403824</v>
      </c>
      <c r="N40" s="31">
        <f t="shared" si="2"/>
        <v>0.43365516726403813</v>
      </c>
      <c r="O40" s="31">
        <f t="shared" si="3"/>
        <v>0.43365516726403813</v>
      </c>
      <c r="P40" s="109">
        <f t="shared" si="6"/>
        <v>27</v>
      </c>
      <c r="Q40" s="28">
        <f>AVERAGE($P$33:P40)</f>
        <v>27</v>
      </c>
      <c r="R40" s="81">
        <f>AVERAGE($P$3:P40)</f>
        <v>27</v>
      </c>
      <c r="S40">
        <f t="shared" si="7"/>
        <v>8</v>
      </c>
      <c r="T40">
        <f t="shared" si="8"/>
        <v>8</v>
      </c>
    </row>
    <row r="41" spans="2:20">
      <c r="B41" s="27">
        <f t="shared" si="5"/>
        <v>45421</v>
      </c>
      <c r="C41" s="28">
        <f>YEAR(Modelling[[#This Row],[Date]])+IF(MONTH(Modelling[[#This Row],[Date]])&gt;=4,1,0)</f>
        <v>2025</v>
      </c>
      <c r="D41" s="22">
        <f t="shared" si="4"/>
        <v>2024</v>
      </c>
      <c r="E41" s="29">
        <v>44682</v>
      </c>
      <c r="F41" s="22">
        <f>DAY(EOMONTH(Modelling[[#This Row],[Date]],0))</f>
        <v>31</v>
      </c>
      <c r="G41" s="28">
        <f>VLOOKUP(MONTH(Modelling[[#This Row],[Date]]),$W$3:$Z$14,4,0)/1000/Modelling[[#This Row],[Days]]</f>
        <v>281.00854838709677</v>
      </c>
      <c r="H41" s="28">
        <f>SUM($G$33:G41)</f>
        <v>2529.0769354838703</v>
      </c>
      <c r="I41" s="28">
        <f>SUM($G$3:G41)</f>
        <v>2529.0769354838703</v>
      </c>
      <c r="J41" s="30">
        <f>VLOOKUP(MONTH(Modelling[[#This Row],[Date]]),$W$3:$Y$14,3,0)</f>
        <v>9.1</v>
      </c>
      <c r="K41" s="30">
        <f>VLOOKUP(MONTH(Modelling[[#This Row],[Date]]),$W$3:$Y$14,3,0)</f>
        <v>9.1</v>
      </c>
      <c r="L41" s="30">
        <f>AVERAGE(J$3:J41)</f>
        <v>8.476923076923077</v>
      </c>
      <c r="M41" s="31">
        <f t="shared" si="1"/>
        <v>0.43365516726403824</v>
      </c>
      <c r="N41" s="31">
        <f t="shared" si="2"/>
        <v>0.43365516726403813</v>
      </c>
      <c r="O41" s="31">
        <f t="shared" si="3"/>
        <v>0.43365516726403813</v>
      </c>
      <c r="P41" s="109">
        <f t="shared" si="6"/>
        <v>27</v>
      </c>
      <c r="Q41" s="28">
        <f>AVERAGE($P$33:P41)</f>
        <v>27</v>
      </c>
      <c r="R41" s="81">
        <f>AVERAGE($P$3:P41)</f>
        <v>27</v>
      </c>
      <c r="S41">
        <f t="shared" si="7"/>
        <v>9</v>
      </c>
      <c r="T41">
        <f t="shared" si="8"/>
        <v>9</v>
      </c>
    </row>
    <row r="42" spans="2:20">
      <c r="B42" s="27">
        <f t="shared" si="5"/>
        <v>45422</v>
      </c>
      <c r="C42" s="28">
        <f>YEAR(Modelling[[#This Row],[Date]])+IF(MONTH(Modelling[[#This Row],[Date]])&gt;=4,1,0)</f>
        <v>2025</v>
      </c>
      <c r="D42" s="22">
        <f t="shared" si="4"/>
        <v>2024</v>
      </c>
      <c r="E42" s="29">
        <v>44682</v>
      </c>
      <c r="F42" s="22">
        <f>DAY(EOMONTH(Modelling[[#This Row],[Date]],0))</f>
        <v>31</v>
      </c>
      <c r="G42" s="28">
        <f>VLOOKUP(MONTH(Modelling[[#This Row],[Date]]),$W$3:$Z$14,4,0)/1000/Modelling[[#This Row],[Days]]</f>
        <v>281.00854838709677</v>
      </c>
      <c r="H42" s="28">
        <f>SUM($G$33:G42)</f>
        <v>2810.085483870967</v>
      </c>
      <c r="I42" s="28">
        <f>SUM($G$3:G42)</f>
        <v>2810.085483870967</v>
      </c>
      <c r="J42" s="30">
        <f>VLOOKUP(MONTH(Modelling[[#This Row],[Date]]),$W$3:$Y$14,3,0)</f>
        <v>9.1</v>
      </c>
      <c r="K42" s="30">
        <f>VLOOKUP(MONTH(Modelling[[#This Row],[Date]]),$W$3:$Y$14,3,0)</f>
        <v>9.1</v>
      </c>
      <c r="L42" s="30">
        <f>AVERAGE(J$3:J42)</f>
        <v>8.4925000000000015</v>
      </c>
      <c r="M42" s="31">
        <f t="shared" si="1"/>
        <v>0.43365516726403824</v>
      </c>
      <c r="N42" s="31">
        <f t="shared" si="2"/>
        <v>0.43365516726403813</v>
      </c>
      <c r="O42" s="31">
        <f t="shared" si="3"/>
        <v>0.43365516726403813</v>
      </c>
      <c r="P42" s="109">
        <f t="shared" si="6"/>
        <v>27</v>
      </c>
      <c r="Q42" s="28">
        <f>AVERAGE($P$33:P42)</f>
        <v>27</v>
      </c>
      <c r="R42" s="81">
        <f>AVERAGE($P$3:P42)</f>
        <v>27</v>
      </c>
      <c r="S42">
        <f t="shared" si="7"/>
        <v>10</v>
      </c>
      <c r="T42">
        <f t="shared" si="8"/>
        <v>10</v>
      </c>
    </row>
    <row r="43" spans="2:20">
      <c r="B43" s="27">
        <f t="shared" si="5"/>
        <v>45423</v>
      </c>
      <c r="C43" s="28">
        <f>YEAR(Modelling[[#This Row],[Date]])+IF(MONTH(Modelling[[#This Row],[Date]])&gt;=4,1,0)</f>
        <v>2025</v>
      </c>
      <c r="D43" s="22">
        <f t="shared" si="4"/>
        <v>2024</v>
      </c>
      <c r="E43" s="29">
        <v>44682</v>
      </c>
      <c r="F43" s="22">
        <f>DAY(EOMONTH(Modelling[[#This Row],[Date]],0))</f>
        <v>31</v>
      </c>
      <c r="G43" s="28">
        <f>VLOOKUP(MONTH(Modelling[[#This Row],[Date]]),$W$3:$Z$14,4,0)/1000/Modelling[[#This Row],[Days]]</f>
        <v>281.00854838709677</v>
      </c>
      <c r="H43" s="28">
        <f>SUM($G$33:G43)</f>
        <v>3091.0940322580636</v>
      </c>
      <c r="I43" s="28">
        <f>SUM($G$3:G43)</f>
        <v>3091.0940322580636</v>
      </c>
      <c r="J43" s="30">
        <f>VLOOKUP(MONTH(Modelling[[#This Row],[Date]]),$W$3:$Y$14,3,0)</f>
        <v>9.1</v>
      </c>
      <c r="K43" s="30">
        <f>VLOOKUP(MONTH(Modelling[[#This Row],[Date]]),$W$3:$Y$14,3,0)</f>
        <v>9.1</v>
      </c>
      <c r="L43" s="30">
        <f>AVERAGE(J$3:J43)</f>
        <v>8.5073170731707339</v>
      </c>
      <c r="M43" s="31">
        <f t="shared" si="1"/>
        <v>0.43365516726403824</v>
      </c>
      <c r="N43" s="31">
        <f t="shared" si="2"/>
        <v>0.43365516726403813</v>
      </c>
      <c r="O43" s="31">
        <f t="shared" si="3"/>
        <v>0.43365516726403813</v>
      </c>
      <c r="P43" s="109">
        <f t="shared" si="6"/>
        <v>27</v>
      </c>
      <c r="Q43" s="28">
        <f>AVERAGE($P$33:P43)</f>
        <v>27</v>
      </c>
      <c r="R43" s="81">
        <f>AVERAGE($P$3:P43)</f>
        <v>27</v>
      </c>
      <c r="S43">
        <f t="shared" si="7"/>
        <v>11</v>
      </c>
      <c r="T43">
        <f t="shared" si="8"/>
        <v>11</v>
      </c>
    </row>
    <row r="44" spans="2:20">
      <c r="B44" s="27">
        <f t="shared" si="5"/>
        <v>45424</v>
      </c>
      <c r="C44" s="28">
        <f>YEAR(Modelling[[#This Row],[Date]])+IF(MONTH(Modelling[[#This Row],[Date]])&gt;=4,1,0)</f>
        <v>2025</v>
      </c>
      <c r="D44" s="22">
        <f t="shared" si="4"/>
        <v>2024</v>
      </c>
      <c r="E44" s="29">
        <v>44682</v>
      </c>
      <c r="F44" s="22">
        <f>DAY(EOMONTH(Modelling[[#This Row],[Date]],0))</f>
        <v>31</v>
      </c>
      <c r="G44" s="28">
        <f>VLOOKUP(MONTH(Modelling[[#This Row],[Date]]),$W$3:$Z$14,4,0)/1000/Modelling[[#This Row],[Days]]</f>
        <v>281.00854838709677</v>
      </c>
      <c r="H44" s="28">
        <f>SUM($G$33:G44)</f>
        <v>3372.1025806451603</v>
      </c>
      <c r="I44" s="28">
        <f>SUM($G$3:G44)</f>
        <v>3372.1025806451603</v>
      </c>
      <c r="J44" s="30">
        <f>VLOOKUP(MONTH(Modelling[[#This Row],[Date]]),$W$3:$Y$14,3,0)</f>
        <v>9.1</v>
      </c>
      <c r="K44" s="30">
        <f>VLOOKUP(MONTH(Modelling[[#This Row],[Date]]),$W$3:$Y$14,3,0)</f>
        <v>9.1</v>
      </c>
      <c r="L44" s="30">
        <f>AVERAGE(J$3:J44)</f>
        <v>8.521428571428574</v>
      </c>
      <c r="M44" s="31">
        <f t="shared" si="1"/>
        <v>0.43365516726403824</v>
      </c>
      <c r="N44" s="31">
        <f t="shared" si="2"/>
        <v>0.43365516726403813</v>
      </c>
      <c r="O44" s="31">
        <f t="shared" si="3"/>
        <v>0.43365516726403813</v>
      </c>
      <c r="P44" s="109">
        <f t="shared" si="6"/>
        <v>27</v>
      </c>
      <c r="Q44" s="28">
        <f>AVERAGE($P$33:P44)</f>
        <v>27</v>
      </c>
      <c r="R44" s="81">
        <f>AVERAGE($P$3:P44)</f>
        <v>27</v>
      </c>
      <c r="S44">
        <f t="shared" si="7"/>
        <v>12</v>
      </c>
      <c r="T44">
        <f t="shared" si="8"/>
        <v>12</v>
      </c>
    </row>
    <row r="45" spans="2:20">
      <c r="B45" s="27">
        <f t="shared" si="5"/>
        <v>45425</v>
      </c>
      <c r="C45" s="28">
        <f>YEAR(Modelling[[#This Row],[Date]])+IF(MONTH(Modelling[[#This Row],[Date]])&gt;=4,1,0)</f>
        <v>2025</v>
      </c>
      <c r="D45" s="22">
        <f t="shared" si="4"/>
        <v>2024</v>
      </c>
      <c r="E45" s="29">
        <v>44682</v>
      </c>
      <c r="F45" s="22">
        <f>DAY(EOMONTH(Modelling[[#This Row],[Date]],0))</f>
        <v>31</v>
      </c>
      <c r="G45" s="28">
        <f>VLOOKUP(MONTH(Modelling[[#This Row],[Date]]),$W$3:$Z$14,4,0)/1000/Modelling[[#This Row],[Days]]</f>
        <v>281.00854838709677</v>
      </c>
      <c r="H45" s="28">
        <f>SUM($G$33:G45)</f>
        <v>3653.1111290322569</v>
      </c>
      <c r="I45" s="28">
        <f>SUM($G$3:G45)</f>
        <v>3653.1111290322569</v>
      </c>
      <c r="J45" s="30">
        <f>VLOOKUP(MONTH(Modelling[[#This Row],[Date]]),$W$3:$Y$14,3,0)</f>
        <v>9.1</v>
      </c>
      <c r="K45" s="30">
        <f>VLOOKUP(MONTH(Modelling[[#This Row],[Date]]),$W$3:$Y$14,3,0)</f>
        <v>9.1</v>
      </c>
      <c r="L45" s="30">
        <f>AVERAGE(J$3:J45)</f>
        <v>8.5348837209302353</v>
      </c>
      <c r="M45" s="31">
        <f t="shared" si="1"/>
        <v>0.43365516726403824</v>
      </c>
      <c r="N45" s="31">
        <f t="shared" si="2"/>
        <v>0.43365516726403813</v>
      </c>
      <c r="O45" s="31">
        <f t="shared" si="3"/>
        <v>0.43365516726403813</v>
      </c>
      <c r="P45" s="109">
        <f t="shared" si="6"/>
        <v>27</v>
      </c>
      <c r="Q45" s="28">
        <f>AVERAGE($P$33:P45)</f>
        <v>27</v>
      </c>
      <c r="R45" s="81">
        <f>AVERAGE($P$3:P45)</f>
        <v>27</v>
      </c>
      <c r="S45">
        <f t="shared" si="7"/>
        <v>13</v>
      </c>
      <c r="T45">
        <f t="shared" si="8"/>
        <v>13</v>
      </c>
    </row>
    <row r="46" spans="2:20">
      <c r="B46" s="27">
        <f t="shared" si="5"/>
        <v>45426</v>
      </c>
      <c r="C46" s="28">
        <f>YEAR(Modelling[[#This Row],[Date]])+IF(MONTH(Modelling[[#This Row],[Date]])&gt;=4,1,0)</f>
        <v>2025</v>
      </c>
      <c r="D46" s="22">
        <f t="shared" si="4"/>
        <v>2024</v>
      </c>
      <c r="E46" s="29">
        <v>44682</v>
      </c>
      <c r="F46" s="22">
        <f>DAY(EOMONTH(Modelling[[#This Row],[Date]],0))</f>
        <v>31</v>
      </c>
      <c r="G46" s="28">
        <f>VLOOKUP(MONTH(Modelling[[#This Row],[Date]]),$W$3:$Z$14,4,0)/1000/Modelling[[#This Row],[Days]]</f>
        <v>281.00854838709677</v>
      </c>
      <c r="H46" s="28">
        <f>SUM($G$33:G46)</f>
        <v>3934.1196774193536</v>
      </c>
      <c r="I46" s="28">
        <f>SUM($G$3:G46)</f>
        <v>3934.1196774193536</v>
      </c>
      <c r="J46" s="30">
        <f>VLOOKUP(MONTH(Modelling[[#This Row],[Date]]),$W$3:$Y$14,3,0)</f>
        <v>9.1</v>
      </c>
      <c r="K46" s="30">
        <f>VLOOKUP(MONTH(Modelling[[#This Row],[Date]]),$W$3:$Y$14,3,0)</f>
        <v>9.1</v>
      </c>
      <c r="L46" s="30">
        <f>AVERAGE(J$3:J46)</f>
        <v>8.5477272727272755</v>
      </c>
      <c r="M46" s="31">
        <f t="shared" si="1"/>
        <v>0.43365516726403824</v>
      </c>
      <c r="N46" s="31">
        <f t="shared" si="2"/>
        <v>0.43365516726403813</v>
      </c>
      <c r="O46" s="31">
        <f t="shared" si="3"/>
        <v>0.43365516726403813</v>
      </c>
      <c r="P46" s="109">
        <f t="shared" si="6"/>
        <v>27</v>
      </c>
      <c r="Q46" s="28">
        <f>AVERAGE($P$33:P46)</f>
        <v>27</v>
      </c>
      <c r="R46" s="81">
        <f>AVERAGE($P$3:P46)</f>
        <v>27</v>
      </c>
      <c r="S46">
        <f t="shared" si="7"/>
        <v>14</v>
      </c>
      <c r="T46">
        <f t="shared" si="8"/>
        <v>14</v>
      </c>
    </row>
    <row r="47" spans="2:20">
      <c r="B47" s="27">
        <f t="shared" si="5"/>
        <v>45427</v>
      </c>
      <c r="C47" s="28">
        <f>YEAR(Modelling[[#This Row],[Date]])+IF(MONTH(Modelling[[#This Row],[Date]])&gt;=4,1,0)</f>
        <v>2025</v>
      </c>
      <c r="D47" s="22">
        <f t="shared" si="4"/>
        <v>2024</v>
      </c>
      <c r="E47" s="29">
        <v>44682</v>
      </c>
      <c r="F47" s="22">
        <f>DAY(EOMONTH(Modelling[[#This Row],[Date]],0))</f>
        <v>31</v>
      </c>
      <c r="G47" s="28">
        <f>VLOOKUP(MONTH(Modelling[[#This Row],[Date]]),$W$3:$Z$14,4,0)/1000/Modelling[[#This Row],[Days]]</f>
        <v>281.00854838709677</v>
      </c>
      <c r="H47" s="28">
        <f>SUM($G$33:G47)</f>
        <v>4215.1282258064502</v>
      </c>
      <c r="I47" s="28">
        <f>SUM($G$3:G47)</f>
        <v>4215.1282258064502</v>
      </c>
      <c r="J47" s="30">
        <f>VLOOKUP(MONTH(Modelling[[#This Row],[Date]]),$W$3:$Y$14,3,0)</f>
        <v>9.1</v>
      </c>
      <c r="K47" s="30">
        <f>VLOOKUP(MONTH(Modelling[[#This Row],[Date]]),$W$3:$Y$14,3,0)</f>
        <v>9.1</v>
      </c>
      <c r="L47" s="30">
        <f>AVERAGE(J$3:J47)</f>
        <v>8.5600000000000041</v>
      </c>
      <c r="M47" s="31">
        <f t="shared" si="1"/>
        <v>0.43365516726403824</v>
      </c>
      <c r="N47" s="31">
        <f t="shared" si="2"/>
        <v>0.43365516726403813</v>
      </c>
      <c r="O47" s="31">
        <f t="shared" si="3"/>
        <v>0.43365516726403813</v>
      </c>
      <c r="P47" s="109">
        <f t="shared" si="6"/>
        <v>27</v>
      </c>
      <c r="Q47" s="28">
        <f>AVERAGE($P$33:P47)</f>
        <v>27</v>
      </c>
      <c r="R47" s="81">
        <f>AVERAGE($P$3:P47)</f>
        <v>27</v>
      </c>
      <c r="S47">
        <f t="shared" si="7"/>
        <v>15</v>
      </c>
      <c r="T47">
        <f t="shared" si="8"/>
        <v>15</v>
      </c>
    </row>
    <row r="48" spans="2:20">
      <c r="B48" s="27">
        <f t="shared" si="5"/>
        <v>45428</v>
      </c>
      <c r="C48" s="28">
        <f>YEAR(Modelling[[#This Row],[Date]])+IF(MONTH(Modelling[[#This Row],[Date]])&gt;=4,1,0)</f>
        <v>2025</v>
      </c>
      <c r="D48" s="22">
        <f t="shared" si="4"/>
        <v>2024</v>
      </c>
      <c r="E48" s="29">
        <v>44682</v>
      </c>
      <c r="F48" s="22">
        <f>DAY(EOMONTH(Modelling[[#This Row],[Date]],0))</f>
        <v>31</v>
      </c>
      <c r="G48" s="28">
        <f>VLOOKUP(MONTH(Modelling[[#This Row],[Date]]),$W$3:$Z$14,4,0)/1000/Modelling[[#This Row],[Days]]</f>
        <v>281.00854838709677</v>
      </c>
      <c r="H48" s="28">
        <f>SUM($G$33:G48)</f>
        <v>4496.1367741935474</v>
      </c>
      <c r="I48" s="28">
        <f>SUM($G$3:G48)</f>
        <v>4496.1367741935474</v>
      </c>
      <c r="J48" s="30">
        <f>VLOOKUP(MONTH(Modelling[[#This Row],[Date]]),$W$3:$Y$14,3,0)</f>
        <v>9.1</v>
      </c>
      <c r="K48" s="30">
        <f>VLOOKUP(MONTH(Modelling[[#This Row],[Date]]),$W$3:$Y$14,3,0)</f>
        <v>9.1</v>
      </c>
      <c r="L48" s="30">
        <f>AVERAGE(J$3:J48)</f>
        <v>8.5717391304347874</v>
      </c>
      <c r="M48" s="31">
        <f t="shared" si="1"/>
        <v>0.43365516726403824</v>
      </c>
      <c r="N48" s="31">
        <f t="shared" si="2"/>
        <v>0.43365516726403813</v>
      </c>
      <c r="O48" s="31">
        <f t="shared" si="3"/>
        <v>0.43365516726403813</v>
      </c>
      <c r="P48" s="109">
        <f t="shared" si="6"/>
        <v>27</v>
      </c>
      <c r="Q48" s="28">
        <f>AVERAGE($P$33:P48)</f>
        <v>27</v>
      </c>
      <c r="R48" s="81">
        <f>AVERAGE($P$3:P48)</f>
        <v>27</v>
      </c>
      <c r="S48">
        <f t="shared" si="7"/>
        <v>16</v>
      </c>
      <c r="T48">
        <f t="shared" si="8"/>
        <v>16</v>
      </c>
    </row>
    <row r="49" spans="2:20">
      <c r="B49" s="27">
        <f t="shared" si="5"/>
        <v>45429</v>
      </c>
      <c r="C49" s="28">
        <f>YEAR(Modelling[[#This Row],[Date]])+IF(MONTH(Modelling[[#This Row],[Date]])&gt;=4,1,0)</f>
        <v>2025</v>
      </c>
      <c r="D49" s="22">
        <f t="shared" si="4"/>
        <v>2024</v>
      </c>
      <c r="E49" s="29">
        <v>44682</v>
      </c>
      <c r="F49" s="22">
        <f>DAY(EOMONTH(Modelling[[#This Row],[Date]],0))</f>
        <v>31</v>
      </c>
      <c r="G49" s="28">
        <f>VLOOKUP(MONTH(Modelling[[#This Row],[Date]]),$W$3:$Z$14,4,0)/1000/Modelling[[#This Row],[Days]]</f>
        <v>281.00854838709677</v>
      </c>
      <c r="H49" s="28">
        <f>SUM($G$33:G49)</f>
        <v>4777.1453225806445</v>
      </c>
      <c r="I49" s="28">
        <f>SUM($G$3:G49)</f>
        <v>4777.1453225806445</v>
      </c>
      <c r="J49" s="30">
        <f>VLOOKUP(MONTH(Modelling[[#This Row],[Date]]),$W$3:$Y$14,3,0)</f>
        <v>9.1</v>
      </c>
      <c r="K49" s="30">
        <f>VLOOKUP(MONTH(Modelling[[#This Row],[Date]]),$W$3:$Y$14,3,0)</f>
        <v>9.1</v>
      </c>
      <c r="L49" s="30">
        <f>AVERAGE(J$3:J49)</f>
        <v>8.5829787234042598</v>
      </c>
      <c r="M49" s="31">
        <f t="shared" si="1"/>
        <v>0.43365516726403824</v>
      </c>
      <c r="N49" s="31">
        <f t="shared" si="2"/>
        <v>0.43365516726403819</v>
      </c>
      <c r="O49" s="31">
        <f t="shared" si="3"/>
        <v>0.43365516726403819</v>
      </c>
      <c r="P49" s="109">
        <f t="shared" si="6"/>
        <v>27</v>
      </c>
      <c r="Q49" s="28">
        <f>AVERAGE($P$33:P49)</f>
        <v>27</v>
      </c>
      <c r="R49" s="81">
        <f>AVERAGE($P$3:P49)</f>
        <v>27</v>
      </c>
      <c r="S49">
        <f t="shared" si="7"/>
        <v>17</v>
      </c>
      <c r="T49">
        <f t="shared" si="8"/>
        <v>17</v>
      </c>
    </row>
    <row r="50" spans="2:20">
      <c r="B50" s="27">
        <f t="shared" si="5"/>
        <v>45430</v>
      </c>
      <c r="C50" s="28">
        <f>YEAR(Modelling[[#This Row],[Date]])+IF(MONTH(Modelling[[#This Row],[Date]])&gt;=4,1,0)</f>
        <v>2025</v>
      </c>
      <c r="D50" s="22">
        <f t="shared" si="4"/>
        <v>2024</v>
      </c>
      <c r="E50" s="29">
        <v>44682</v>
      </c>
      <c r="F50" s="22">
        <f>DAY(EOMONTH(Modelling[[#This Row],[Date]],0))</f>
        <v>31</v>
      </c>
      <c r="G50" s="28">
        <f>VLOOKUP(MONTH(Modelling[[#This Row],[Date]]),$W$3:$Z$14,4,0)/1000/Modelling[[#This Row],[Days]]</f>
        <v>281.00854838709677</v>
      </c>
      <c r="H50" s="28">
        <f>SUM($G$33:G50)</f>
        <v>5058.1538709677416</v>
      </c>
      <c r="I50" s="28">
        <f>SUM($G$3:G50)</f>
        <v>5058.1538709677416</v>
      </c>
      <c r="J50" s="30">
        <f>VLOOKUP(MONTH(Modelling[[#This Row],[Date]]),$W$3:$Y$14,3,0)</f>
        <v>9.1</v>
      </c>
      <c r="K50" s="30">
        <f>VLOOKUP(MONTH(Modelling[[#This Row],[Date]]),$W$3:$Y$14,3,0)</f>
        <v>9.1</v>
      </c>
      <c r="L50" s="30">
        <f>AVERAGE(J$3:J50)</f>
        <v>8.5937500000000053</v>
      </c>
      <c r="M50" s="31">
        <f t="shared" si="1"/>
        <v>0.43365516726403824</v>
      </c>
      <c r="N50" s="31">
        <f t="shared" si="2"/>
        <v>0.43365516726403819</v>
      </c>
      <c r="O50" s="31">
        <f t="shared" si="3"/>
        <v>0.43365516726403819</v>
      </c>
      <c r="P50" s="109">
        <f t="shared" si="6"/>
        <v>27</v>
      </c>
      <c r="Q50" s="28">
        <f>AVERAGE($P$33:P50)</f>
        <v>27</v>
      </c>
      <c r="R50" s="81">
        <f>AVERAGE($P$3:P50)</f>
        <v>27</v>
      </c>
      <c r="S50">
        <f t="shared" si="7"/>
        <v>18</v>
      </c>
      <c r="T50">
        <f t="shared" si="8"/>
        <v>18</v>
      </c>
    </row>
    <row r="51" spans="2:20">
      <c r="B51" s="27">
        <f t="shared" si="5"/>
        <v>45431</v>
      </c>
      <c r="C51" s="28">
        <f>YEAR(Modelling[[#This Row],[Date]])+IF(MONTH(Modelling[[#This Row],[Date]])&gt;=4,1,0)</f>
        <v>2025</v>
      </c>
      <c r="D51" s="22">
        <f t="shared" si="4"/>
        <v>2024</v>
      </c>
      <c r="E51" s="29">
        <v>44682</v>
      </c>
      <c r="F51" s="22">
        <f>DAY(EOMONTH(Modelling[[#This Row],[Date]],0))</f>
        <v>31</v>
      </c>
      <c r="G51" s="28">
        <f>VLOOKUP(MONTH(Modelling[[#This Row],[Date]]),$W$3:$Z$14,4,0)/1000/Modelling[[#This Row],[Days]]</f>
        <v>281.00854838709677</v>
      </c>
      <c r="H51" s="28">
        <f>SUM($G$33:G51)</f>
        <v>5339.1624193548387</v>
      </c>
      <c r="I51" s="28">
        <f>SUM($G$3:G51)</f>
        <v>5339.1624193548387</v>
      </c>
      <c r="J51" s="30">
        <f>VLOOKUP(MONTH(Modelling[[#This Row],[Date]]),$W$3:$Y$14,3,0)</f>
        <v>9.1</v>
      </c>
      <c r="K51" s="30">
        <f>VLOOKUP(MONTH(Modelling[[#This Row],[Date]]),$W$3:$Y$14,3,0)</f>
        <v>9.1</v>
      </c>
      <c r="L51" s="30">
        <f>AVERAGE(J$3:J51)</f>
        <v>8.6040816326530667</v>
      </c>
      <c r="M51" s="31">
        <f t="shared" si="1"/>
        <v>0.43365516726403824</v>
      </c>
      <c r="N51" s="31">
        <f t="shared" si="2"/>
        <v>0.43365516726403824</v>
      </c>
      <c r="O51" s="31">
        <f t="shared" si="3"/>
        <v>0.43365516726403824</v>
      </c>
      <c r="P51" s="109">
        <f t="shared" si="6"/>
        <v>27</v>
      </c>
      <c r="Q51" s="28">
        <f>AVERAGE($P$33:P51)</f>
        <v>27</v>
      </c>
      <c r="R51" s="81">
        <f>AVERAGE($P$3:P51)</f>
        <v>27</v>
      </c>
      <c r="S51">
        <f t="shared" si="7"/>
        <v>19</v>
      </c>
      <c r="T51">
        <f t="shared" si="8"/>
        <v>19</v>
      </c>
    </row>
    <row r="52" spans="2:20">
      <c r="B52" s="27">
        <f t="shared" si="5"/>
        <v>45432</v>
      </c>
      <c r="C52" s="28">
        <f>YEAR(Modelling[[#This Row],[Date]])+IF(MONTH(Modelling[[#This Row],[Date]])&gt;=4,1,0)</f>
        <v>2025</v>
      </c>
      <c r="D52" s="22">
        <f t="shared" si="4"/>
        <v>2024</v>
      </c>
      <c r="E52" s="29">
        <v>44682</v>
      </c>
      <c r="F52" s="22">
        <f>DAY(EOMONTH(Modelling[[#This Row],[Date]],0))</f>
        <v>31</v>
      </c>
      <c r="G52" s="28">
        <f>VLOOKUP(MONTH(Modelling[[#This Row],[Date]]),$W$3:$Z$14,4,0)/1000/Modelling[[#This Row],[Days]]</f>
        <v>281.00854838709677</v>
      </c>
      <c r="H52" s="28">
        <f>SUM($G$33:G52)</f>
        <v>5620.1709677419358</v>
      </c>
      <c r="I52" s="28">
        <f>SUM($G$3:G52)</f>
        <v>5620.1709677419358</v>
      </c>
      <c r="J52" s="30">
        <f>VLOOKUP(MONTH(Modelling[[#This Row],[Date]]),$W$3:$Y$14,3,0)</f>
        <v>9.1</v>
      </c>
      <c r="K52" s="30">
        <f>VLOOKUP(MONTH(Modelling[[#This Row],[Date]]),$W$3:$Y$14,3,0)</f>
        <v>9.1</v>
      </c>
      <c r="L52" s="30">
        <f>AVERAGE(J$3:J52)</f>
        <v>8.6140000000000061</v>
      </c>
      <c r="M52" s="31">
        <f t="shared" si="1"/>
        <v>0.43365516726403824</v>
      </c>
      <c r="N52" s="31">
        <f t="shared" si="2"/>
        <v>0.43365516726403824</v>
      </c>
      <c r="O52" s="31">
        <f t="shared" si="3"/>
        <v>0.43365516726403824</v>
      </c>
      <c r="P52" s="109">
        <f t="shared" si="6"/>
        <v>27</v>
      </c>
      <c r="Q52" s="28">
        <f>AVERAGE($P$33:P52)</f>
        <v>27</v>
      </c>
      <c r="R52" s="81">
        <f>AVERAGE($P$3:P52)</f>
        <v>27</v>
      </c>
      <c r="S52">
        <f t="shared" si="7"/>
        <v>20</v>
      </c>
      <c r="T52">
        <f t="shared" si="8"/>
        <v>20</v>
      </c>
    </row>
    <row r="53" spans="2:20">
      <c r="B53" s="27">
        <f t="shared" si="5"/>
        <v>45433</v>
      </c>
      <c r="C53" s="28">
        <f>YEAR(Modelling[[#This Row],[Date]])+IF(MONTH(Modelling[[#This Row],[Date]])&gt;=4,1,0)</f>
        <v>2025</v>
      </c>
      <c r="D53" s="22">
        <f t="shared" si="4"/>
        <v>2024</v>
      </c>
      <c r="E53" s="29">
        <v>44682</v>
      </c>
      <c r="F53" s="22">
        <f>DAY(EOMONTH(Modelling[[#This Row],[Date]],0))</f>
        <v>31</v>
      </c>
      <c r="G53" s="28">
        <f>VLOOKUP(MONTH(Modelling[[#This Row],[Date]]),$W$3:$Z$14,4,0)/1000/Modelling[[#This Row],[Days]]</f>
        <v>281.00854838709677</v>
      </c>
      <c r="H53" s="28">
        <f>SUM($G$33:G53)</f>
        <v>5901.1795161290329</v>
      </c>
      <c r="I53" s="28">
        <f>SUM($G$3:G53)</f>
        <v>5901.1795161290329</v>
      </c>
      <c r="J53" s="30">
        <f>VLOOKUP(MONTH(Modelling[[#This Row],[Date]]),$W$3:$Y$14,3,0)</f>
        <v>9.1</v>
      </c>
      <c r="K53" s="30">
        <f>VLOOKUP(MONTH(Modelling[[#This Row],[Date]]),$W$3:$Y$14,3,0)</f>
        <v>9.1</v>
      </c>
      <c r="L53" s="30">
        <f>AVERAGE(J$3:J53)</f>
        <v>8.6235294117647125</v>
      </c>
      <c r="M53" s="31">
        <f t="shared" si="1"/>
        <v>0.43365516726403824</v>
      </c>
      <c r="N53" s="31">
        <f t="shared" si="2"/>
        <v>0.4336551672640383</v>
      </c>
      <c r="O53" s="31">
        <f t="shared" si="3"/>
        <v>0.4336551672640383</v>
      </c>
      <c r="P53" s="109">
        <f t="shared" si="6"/>
        <v>27</v>
      </c>
      <c r="Q53" s="28">
        <f>AVERAGE($P$33:P53)</f>
        <v>27</v>
      </c>
      <c r="R53" s="81">
        <f>AVERAGE($P$3:P53)</f>
        <v>27</v>
      </c>
      <c r="S53">
        <f t="shared" si="7"/>
        <v>21</v>
      </c>
      <c r="T53">
        <f t="shared" si="8"/>
        <v>21</v>
      </c>
    </row>
    <row r="54" spans="2:20">
      <c r="B54" s="27">
        <f t="shared" si="5"/>
        <v>45434</v>
      </c>
      <c r="C54" s="28">
        <f>YEAR(Modelling[[#This Row],[Date]])+IF(MONTH(Modelling[[#This Row],[Date]])&gt;=4,1,0)</f>
        <v>2025</v>
      </c>
      <c r="D54" s="22">
        <f t="shared" si="4"/>
        <v>2024</v>
      </c>
      <c r="E54" s="29">
        <v>44682</v>
      </c>
      <c r="F54" s="22">
        <f>DAY(EOMONTH(Modelling[[#This Row],[Date]],0))</f>
        <v>31</v>
      </c>
      <c r="G54" s="28">
        <f>VLOOKUP(MONTH(Modelling[[#This Row],[Date]]),$W$3:$Z$14,4,0)/1000/Modelling[[#This Row],[Days]]</f>
        <v>281.00854838709677</v>
      </c>
      <c r="H54" s="28">
        <f>SUM($G$33:G54)</f>
        <v>6182.18806451613</v>
      </c>
      <c r="I54" s="28">
        <f>SUM($G$3:G54)</f>
        <v>6182.18806451613</v>
      </c>
      <c r="J54" s="30">
        <f>VLOOKUP(MONTH(Modelling[[#This Row],[Date]]),$W$3:$Y$14,3,0)</f>
        <v>9.1</v>
      </c>
      <c r="K54" s="30">
        <f>VLOOKUP(MONTH(Modelling[[#This Row],[Date]]),$W$3:$Y$14,3,0)</f>
        <v>9.1</v>
      </c>
      <c r="L54" s="30">
        <f>AVERAGE(J$3:J54)</f>
        <v>8.632692307692313</v>
      </c>
      <c r="M54" s="31">
        <f t="shared" si="1"/>
        <v>0.43365516726403824</v>
      </c>
      <c r="N54" s="31">
        <f t="shared" si="2"/>
        <v>0.4336551672640383</v>
      </c>
      <c r="O54" s="31">
        <f t="shared" si="3"/>
        <v>0.4336551672640383</v>
      </c>
      <c r="P54" s="109">
        <f t="shared" si="6"/>
        <v>27</v>
      </c>
      <c r="Q54" s="28">
        <f>AVERAGE($P$33:P54)</f>
        <v>27</v>
      </c>
      <c r="R54" s="81">
        <f>AVERAGE($P$3:P54)</f>
        <v>27</v>
      </c>
      <c r="S54">
        <f t="shared" si="7"/>
        <v>22</v>
      </c>
      <c r="T54">
        <f t="shared" si="8"/>
        <v>22</v>
      </c>
    </row>
    <row r="55" spans="2:20">
      <c r="B55" s="27">
        <f t="shared" si="5"/>
        <v>45435</v>
      </c>
      <c r="C55" s="28">
        <f>YEAR(Modelling[[#This Row],[Date]])+IF(MONTH(Modelling[[#This Row],[Date]])&gt;=4,1,0)</f>
        <v>2025</v>
      </c>
      <c r="D55" s="22">
        <f t="shared" si="4"/>
        <v>2024</v>
      </c>
      <c r="E55" s="29">
        <v>44682</v>
      </c>
      <c r="F55" s="22">
        <f>DAY(EOMONTH(Modelling[[#This Row],[Date]],0))</f>
        <v>31</v>
      </c>
      <c r="G55" s="28">
        <f>VLOOKUP(MONTH(Modelling[[#This Row],[Date]]),$W$3:$Z$14,4,0)/1000/Modelling[[#This Row],[Days]]</f>
        <v>281.00854838709677</v>
      </c>
      <c r="H55" s="28">
        <f>SUM($G$33:G55)</f>
        <v>6463.1966129032271</v>
      </c>
      <c r="I55" s="28">
        <f>SUM($G$3:G55)</f>
        <v>6463.1966129032271</v>
      </c>
      <c r="J55" s="30">
        <f>VLOOKUP(MONTH(Modelling[[#This Row],[Date]]),$W$3:$Y$14,3,0)</f>
        <v>9.1</v>
      </c>
      <c r="K55" s="30">
        <f>VLOOKUP(MONTH(Modelling[[#This Row],[Date]]),$W$3:$Y$14,3,0)</f>
        <v>9.1</v>
      </c>
      <c r="L55" s="30">
        <f>AVERAGE(J$3:J55)</f>
        <v>8.6415094339622698</v>
      </c>
      <c r="M55" s="31">
        <f t="shared" si="1"/>
        <v>0.43365516726403824</v>
      </c>
      <c r="N55" s="31">
        <f t="shared" si="2"/>
        <v>0.4336551672640383</v>
      </c>
      <c r="O55" s="31">
        <f t="shared" si="3"/>
        <v>0.4336551672640383</v>
      </c>
      <c r="P55" s="109">
        <f t="shared" si="6"/>
        <v>27</v>
      </c>
      <c r="Q55" s="28">
        <f>AVERAGE($P$33:P55)</f>
        <v>27</v>
      </c>
      <c r="R55" s="81">
        <f>AVERAGE($P$3:P55)</f>
        <v>27</v>
      </c>
      <c r="S55">
        <f t="shared" si="7"/>
        <v>23</v>
      </c>
      <c r="T55">
        <f t="shared" si="8"/>
        <v>23</v>
      </c>
    </row>
    <row r="56" spans="2:20">
      <c r="B56" s="27">
        <f t="shared" si="5"/>
        <v>45436</v>
      </c>
      <c r="C56" s="28">
        <f>YEAR(Modelling[[#This Row],[Date]])+IF(MONTH(Modelling[[#This Row],[Date]])&gt;=4,1,0)</f>
        <v>2025</v>
      </c>
      <c r="D56" s="22">
        <f t="shared" si="4"/>
        <v>2024</v>
      </c>
      <c r="E56" s="29">
        <v>44682</v>
      </c>
      <c r="F56" s="22">
        <f>DAY(EOMONTH(Modelling[[#This Row],[Date]],0))</f>
        <v>31</v>
      </c>
      <c r="G56" s="28">
        <f>VLOOKUP(MONTH(Modelling[[#This Row],[Date]]),$W$3:$Z$14,4,0)/1000/Modelling[[#This Row],[Days]]</f>
        <v>281.00854838709677</v>
      </c>
      <c r="H56" s="28">
        <f>SUM($G$33:G56)</f>
        <v>6744.2051612903242</v>
      </c>
      <c r="I56" s="28">
        <f>SUM($G$3:G56)</f>
        <v>6744.2051612903242</v>
      </c>
      <c r="J56" s="30">
        <f>VLOOKUP(MONTH(Modelling[[#This Row],[Date]]),$W$3:$Y$14,3,0)</f>
        <v>9.1</v>
      </c>
      <c r="K56" s="30">
        <f>VLOOKUP(MONTH(Modelling[[#This Row],[Date]]),$W$3:$Y$14,3,0)</f>
        <v>9.1</v>
      </c>
      <c r="L56" s="30">
        <f>AVERAGE(J$3:J56)</f>
        <v>8.6500000000000075</v>
      </c>
      <c r="M56" s="31">
        <f t="shared" si="1"/>
        <v>0.43365516726403824</v>
      </c>
      <c r="N56" s="31">
        <f t="shared" si="2"/>
        <v>0.4336551672640383</v>
      </c>
      <c r="O56" s="31">
        <f t="shared" si="3"/>
        <v>0.4336551672640383</v>
      </c>
      <c r="P56" s="109">
        <f t="shared" si="6"/>
        <v>27</v>
      </c>
      <c r="Q56" s="28">
        <f>AVERAGE($P$33:P56)</f>
        <v>27</v>
      </c>
      <c r="R56" s="81">
        <f>AVERAGE($P$3:P56)</f>
        <v>27</v>
      </c>
      <c r="S56">
        <f t="shared" si="7"/>
        <v>24</v>
      </c>
      <c r="T56">
        <f t="shared" si="8"/>
        <v>24</v>
      </c>
    </row>
    <row r="57" spans="2:20">
      <c r="B57" s="27">
        <f t="shared" si="5"/>
        <v>45437</v>
      </c>
      <c r="C57" s="28">
        <f>YEAR(Modelling[[#This Row],[Date]])+IF(MONTH(Modelling[[#This Row],[Date]])&gt;=4,1,0)</f>
        <v>2025</v>
      </c>
      <c r="D57" s="22">
        <f t="shared" si="4"/>
        <v>2024</v>
      </c>
      <c r="E57" s="29">
        <v>44682</v>
      </c>
      <c r="F57" s="22">
        <f>DAY(EOMONTH(Modelling[[#This Row],[Date]],0))</f>
        <v>31</v>
      </c>
      <c r="G57" s="28">
        <f>VLOOKUP(MONTH(Modelling[[#This Row],[Date]]),$W$3:$Z$14,4,0)/1000/Modelling[[#This Row],[Days]]</f>
        <v>281.00854838709677</v>
      </c>
      <c r="H57" s="28">
        <f>SUM($G$33:G57)</f>
        <v>7025.2137096774213</v>
      </c>
      <c r="I57" s="28">
        <f>SUM($G$3:G57)</f>
        <v>7025.2137096774213</v>
      </c>
      <c r="J57" s="30">
        <f>VLOOKUP(MONTH(Modelling[[#This Row],[Date]]),$W$3:$Y$14,3,0)</f>
        <v>9.1</v>
      </c>
      <c r="K57" s="30">
        <f>VLOOKUP(MONTH(Modelling[[#This Row],[Date]]),$W$3:$Y$14,3,0)</f>
        <v>9.1</v>
      </c>
      <c r="L57" s="30">
        <f>AVERAGE(J$3:J57)</f>
        <v>8.6581818181818253</v>
      </c>
      <c r="M57" s="31">
        <f t="shared" si="1"/>
        <v>0.43365516726403824</v>
      </c>
      <c r="N57" s="31">
        <f t="shared" si="2"/>
        <v>0.43365516726403835</v>
      </c>
      <c r="O57" s="31">
        <f t="shared" si="3"/>
        <v>0.43365516726403835</v>
      </c>
      <c r="P57" s="109">
        <f t="shared" si="6"/>
        <v>27</v>
      </c>
      <c r="Q57" s="28">
        <f>AVERAGE($P$33:P57)</f>
        <v>27</v>
      </c>
      <c r="R57" s="81">
        <f>AVERAGE($P$3:P57)</f>
        <v>27</v>
      </c>
      <c r="S57">
        <f t="shared" si="7"/>
        <v>25</v>
      </c>
      <c r="T57">
        <f t="shared" si="8"/>
        <v>25</v>
      </c>
    </row>
    <row r="58" spans="2:20">
      <c r="B58" s="27">
        <f t="shared" si="5"/>
        <v>45438</v>
      </c>
      <c r="C58" s="28">
        <f>YEAR(Modelling[[#This Row],[Date]])+IF(MONTH(Modelling[[#This Row],[Date]])&gt;=4,1,0)</f>
        <v>2025</v>
      </c>
      <c r="D58" s="22">
        <f t="shared" si="4"/>
        <v>2024</v>
      </c>
      <c r="E58" s="29">
        <v>44682</v>
      </c>
      <c r="F58" s="22">
        <f>DAY(EOMONTH(Modelling[[#This Row],[Date]],0))</f>
        <v>31</v>
      </c>
      <c r="G58" s="28">
        <f>VLOOKUP(MONTH(Modelling[[#This Row],[Date]]),$W$3:$Z$14,4,0)/1000/Modelling[[#This Row],[Days]]</f>
        <v>281.00854838709677</v>
      </c>
      <c r="H58" s="28">
        <f>SUM($G$33:G58)</f>
        <v>7306.2222580645184</v>
      </c>
      <c r="I58" s="28">
        <f>SUM($G$3:G58)</f>
        <v>7306.2222580645184</v>
      </c>
      <c r="J58" s="30">
        <f>VLOOKUP(MONTH(Modelling[[#This Row],[Date]]),$W$3:$Y$14,3,0)</f>
        <v>9.1</v>
      </c>
      <c r="K58" s="30">
        <f>VLOOKUP(MONTH(Modelling[[#This Row],[Date]]),$W$3:$Y$14,3,0)</f>
        <v>9.1</v>
      </c>
      <c r="L58" s="30">
        <f>AVERAGE(J$3:J58)</f>
        <v>8.6660714285714366</v>
      </c>
      <c r="M58" s="31">
        <f t="shared" si="1"/>
        <v>0.43365516726403824</v>
      </c>
      <c r="N58" s="31">
        <f t="shared" si="2"/>
        <v>0.43365516726403835</v>
      </c>
      <c r="O58" s="31">
        <f t="shared" si="3"/>
        <v>0.43365516726403835</v>
      </c>
      <c r="P58" s="109">
        <f t="shared" si="6"/>
        <v>27</v>
      </c>
      <c r="Q58" s="28">
        <f>AVERAGE($P$33:P58)</f>
        <v>27</v>
      </c>
      <c r="R58" s="81">
        <f>AVERAGE($P$3:P58)</f>
        <v>27</v>
      </c>
      <c r="S58">
        <f t="shared" si="7"/>
        <v>26</v>
      </c>
      <c r="T58">
        <f t="shared" si="8"/>
        <v>26</v>
      </c>
    </row>
    <row r="59" spans="2:20">
      <c r="B59" s="27">
        <f t="shared" si="5"/>
        <v>45439</v>
      </c>
      <c r="C59" s="28">
        <f>YEAR(Modelling[[#This Row],[Date]])+IF(MONTH(Modelling[[#This Row],[Date]])&gt;=4,1,0)</f>
        <v>2025</v>
      </c>
      <c r="D59" s="22">
        <f t="shared" si="4"/>
        <v>2024</v>
      </c>
      <c r="E59" s="29">
        <v>44682</v>
      </c>
      <c r="F59" s="22">
        <f>DAY(EOMONTH(Modelling[[#This Row],[Date]],0))</f>
        <v>31</v>
      </c>
      <c r="G59" s="28">
        <f>VLOOKUP(MONTH(Modelling[[#This Row],[Date]]),$W$3:$Z$14,4,0)/1000/Modelling[[#This Row],[Days]]</f>
        <v>281.00854838709677</v>
      </c>
      <c r="H59" s="28">
        <f>SUM($G$33:G59)</f>
        <v>7587.2308064516155</v>
      </c>
      <c r="I59" s="28">
        <f>SUM($G$3:G59)</f>
        <v>7587.2308064516155</v>
      </c>
      <c r="J59" s="30">
        <f>VLOOKUP(MONTH(Modelling[[#This Row],[Date]]),$W$3:$Y$14,3,0)</f>
        <v>9.1</v>
      </c>
      <c r="K59" s="30">
        <f>VLOOKUP(MONTH(Modelling[[#This Row],[Date]]),$W$3:$Y$14,3,0)</f>
        <v>9.1</v>
      </c>
      <c r="L59" s="30">
        <f>AVERAGE(J$3:J59)</f>
        <v>8.6736842105263232</v>
      </c>
      <c r="M59" s="31">
        <f t="shared" si="1"/>
        <v>0.43365516726403824</v>
      </c>
      <c r="N59" s="31">
        <f t="shared" si="2"/>
        <v>0.43365516726403835</v>
      </c>
      <c r="O59" s="31">
        <f t="shared" si="3"/>
        <v>0.43365516726403835</v>
      </c>
      <c r="P59" s="109">
        <f t="shared" si="6"/>
        <v>27</v>
      </c>
      <c r="Q59" s="28">
        <f>AVERAGE($P$33:P59)</f>
        <v>27</v>
      </c>
      <c r="R59" s="81">
        <f>AVERAGE($P$3:P59)</f>
        <v>27</v>
      </c>
      <c r="S59">
        <f t="shared" si="7"/>
        <v>27</v>
      </c>
      <c r="T59">
        <f t="shared" si="8"/>
        <v>27</v>
      </c>
    </row>
    <row r="60" spans="2:20">
      <c r="B60" s="27">
        <f t="shared" si="5"/>
        <v>45440</v>
      </c>
      <c r="C60" s="28">
        <f>YEAR(Modelling[[#This Row],[Date]])+IF(MONTH(Modelling[[#This Row],[Date]])&gt;=4,1,0)</f>
        <v>2025</v>
      </c>
      <c r="D60" s="22">
        <f t="shared" si="4"/>
        <v>2024</v>
      </c>
      <c r="E60" s="29">
        <v>44682</v>
      </c>
      <c r="F60" s="22">
        <f>DAY(EOMONTH(Modelling[[#This Row],[Date]],0))</f>
        <v>31</v>
      </c>
      <c r="G60" s="28">
        <f>VLOOKUP(MONTH(Modelling[[#This Row],[Date]]),$W$3:$Z$14,4,0)/1000/Modelling[[#This Row],[Days]]</f>
        <v>281.00854838709677</v>
      </c>
      <c r="H60" s="28">
        <f>SUM($G$33:G60)</f>
        <v>7868.2393548387126</v>
      </c>
      <c r="I60" s="28">
        <f>SUM($G$3:G60)</f>
        <v>7868.2393548387126</v>
      </c>
      <c r="J60" s="30">
        <f>VLOOKUP(MONTH(Modelling[[#This Row],[Date]]),$W$3:$Y$14,3,0)</f>
        <v>9.1</v>
      </c>
      <c r="K60" s="30">
        <f>VLOOKUP(MONTH(Modelling[[#This Row],[Date]]),$W$3:$Y$14,3,0)</f>
        <v>9.1</v>
      </c>
      <c r="L60" s="30">
        <f>AVERAGE(J$3:J60)</f>
        <v>8.6810344827586281</v>
      </c>
      <c r="M60" s="31">
        <f t="shared" si="1"/>
        <v>0.43365516726403824</v>
      </c>
      <c r="N60" s="31">
        <f t="shared" si="2"/>
        <v>0.43365516726403835</v>
      </c>
      <c r="O60" s="31">
        <f t="shared" si="3"/>
        <v>0.43365516726403835</v>
      </c>
      <c r="P60" s="109">
        <f t="shared" si="6"/>
        <v>27</v>
      </c>
      <c r="Q60" s="28">
        <f>AVERAGE($P$33:P60)</f>
        <v>27</v>
      </c>
      <c r="R60" s="81">
        <f>AVERAGE($P$3:P60)</f>
        <v>27</v>
      </c>
      <c r="S60">
        <f t="shared" si="7"/>
        <v>28</v>
      </c>
      <c r="T60">
        <f t="shared" si="8"/>
        <v>28</v>
      </c>
    </row>
    <row r="61" spans="2:20">
      <c r="B61" s="27">
        <f t="shared" si="5"/>
        <v>45441</v>
      </c>
      <c r="C61" s="28">
        <f>YEAR(Modelling[[#This Row],[Date]])+IF(MONTH(Modelling[[#This Row],[Date]])&gt;=4,1,0)</f>
        <v>2025</v>
      </c>
      <c r="D61" s="22">
        <f t="shared" si="4"/>
        <v>2024</v>
      </c>
      <c r="E61" s="29">
        <v>44682</v>
      </c>
      <c r="F61" s="22">
        <f>DAY(EOMONTH(Modelling[[#This Row],[Date]],0))</f>
        <v>31</v>
      </c>
      <c r="G61" s="28">
        <f>VLOOKUP(MONTH(Modelling[[#This Row],[Date]]),$W$3:$Z$14,4,0)/1000/Modelling[[#This Row],[Days]]</f>
        <v>281.00854838709677</v>
      </c>
      <c r="H61" s="28">
        <f>SUM($G$33:G61)</f>
        <v>8149.2479032258098</v>
      </c>
      <c r="I61" s="28">
        <f>SUM($G$3:G61)</f>
        <v>8149.2479032258098</v>
      </c>
      <c r="J61" s="30">
        <f>VLOOKUP(MONTH(Modelling[[#This Row],[Date]]),$W$3:$Y$14,3,0)</f>
        <v>9.1</v>
      </c>
      <c r="K61" s="30">
        <f>VLOOKUP(MONTH(Modelling[[#This Row],[Date]]),$W$3:$Y$14,3,0)</f>
        <v>9.1</v>
      </c>
      <c r="L61" s="30">
        <f>AVERAGE(J$3:J61)</f>
        <v>8.6881355932203466</v>
      </c>
      <c r="M61" s="31">
        <f t="shared" si="1"/>
        <v>0.43365516726403824</v>
      </c>
      <c r="N61" s="31">
        <f t="shared" si="2"/>
        <v>0.43365516726403847</v>
      </c>
      <c r="O61" s="31">
        <f t="shared" si="3"/>
        <v>0.43365516726403847</v>
      </c>
      <c r="P61" s="109">
        <f t="shared" si="6"/>
        <v>27</v>
      </c>
      <c r="Q61" s="28">
        <f>AVERAGE($P$33:P61)</f>
        <v>27</v>
      </c>
      <c r="R61" s="81">
        <f>AVERAGE($P$3:P61)</f>
        <v>27</v>
      </c>
      <c r="S61">
        <f t="shared" si="7"/>
        <v>29</v>
      </c>
      <c r="T61">
        <f t="shared" si="8"/>
        <v>29</v>
      </c>
    </row>
    <row r="62" spans="2:20">
      <c r="B62" s="27">
        <f t="shared" si="5"/>
        <v>45442</v>
      </c>
      <c r="C62" s="28">
        <f>YEAR(Modelling[[#This Row],[Date]])+IF(MONTH(Modelling[[#This Row],[Date]])&gt;=4,1,0)</f>
        <v>2025</v>
      </c>
      <c r="D62" s="22">
        <f t="shared" si="4"/>
        <v>2024</v>
      </c>
      <c r="E62" s="29">
        <v>44682</v>
      </c>
      <c r="F62" s="22">
        <f>DAY(EOMONTH(Modelling[[#This Row],[Date]],0))</f>
        <v>31</v>
      </c>
      <c r="G62" s="28">
        <f>VLOOKUP(MONTH(Modelling[[#This Row],[Date]]),$W$3:$Z$14,4,0)/1000/Modelling[[#This Row],[Days]]</f>
        <v>281.00854838709677</v>
      </c>
      <c r="H62" s="28">
        <f>SUM($G$33:G62)</f>
        <v>8430.2564516129059</v>
      </c>
      <c r="I62" s="28">
        <f>SUM($G$3:G62)</f>
        <v>8430.2564516129059</v>
      </c>
      <c r="J62" s="30">
        <f>VLOOKUP(MONTH(Modelling[[#This Row],[Date]]),$W$3:$Y$14,3,0)</f>
        <v>9.1</v>
      </c>
      <c r="K62" s="30">
        <f>VLOOKUP(MONTH(Modelling[[#This Row],[Date]]),$W$3:$Y$14,3,0)</f>
        <v>9.1</v>
      </c>
      <c r="L62" s="30">
        <f>AVERAGE(J$3:J62)</f>
        <v>8.6950000000000092</v>
      </c>
      <c r="M62" s="31">
        <f t="shared" si="1"/>
        <v>0.43365516726403824</v>
      </c>
      <c r="N62" s="31">
        <f t="shared" si="2"/>
        <v>0.43365516726403835</v>
      </c>
      <c r="O62" s="31">
        <f t="shared" si="3"/>
        <v>0.43365516726403835</v>
      </c>
      <c r="P62" s="109">
        <f t="shared" si="6"/>
        <v>27</v>
      </c>
      <c r="Q62" s="28">
        <f>AVERAGE($P$33:P62)</f>
        <v>27</v>
      </c>
      <c r="R62" s="81">
        <f>AVERAGE($P$3:P62)</f>
        <v>27</v>
      </c>
      <c r="S62">
        <f t="shared" si="7"/>
        <v>30</v>
      </c>
      <c r="T62">
        <f t="shared" si="8"/>
        <v>30</v>
      </c>
    </row>
    <row r="63" spans="2:20">
      <c r="B63" s="27">
        <f t="shared" si="5"/>
        <v>45443</v>
      </c>
      <c r="C63" s="28">
        <f>YEAR(Modelling[[#This Row],[Date]])+IF(MONTH(Modelling[[#This Row],[Date]])&gt;=4,1,0)</f>
        <v>2025</v>
      </c>
      <c r="D63" s="22">
        <f t="shared" si="4"/>
        <v>2024</v>
      </c>
      <c r="E63" s="29">
        <v>44682</v>
      </c>
      <c r="F63" s="22">
        <f>DAY(EOMONTH(Modelling[[#This Row],[Date]],0))</f>
        <v>31</v>
      </c>
      <c r="G63" s="28">
        <f>VLOOKUP(MONTH(Modelling[[#This Row],[Date]]),$W$3:$Z$14,4,0)/1000/Modelling[[#This Row],[Days]]</f>
        <v>281.00854838709677</v>
      </c>
      <c r="H63" s="28">
        <f>SUM($G$33:G63)</f>
        <v>8711.2650000000031</v>
      </c>
      <c r="I63" s="28">
        <f>SUM($G$3:G63)</f>
        <v>8711.2650000000031</v>
      </c>
      <c r="J63" s="30">
        <f>VLOOKUP(MONTH(Modelling[[#This Row],[Date]]),$W$3:$Y$14,3,0)</f>
        <v>9.1</v>
      </c>
      <c r="K63" s="30">
        <f>VLOOKUP(MONTH(Modelling[[#This Row],[Date]]),$W$3:$Y$14,3,0)</f>
        <v>9.1</v>
      </c>
      <c r="L63" s="30">
        <f>AVERAGE(J$3:J63)</f>
        <v>8.7016393442623041</v>
      </c>
      <c r="M63" s="31">
        <f t="shared" si="1"/>
        <v>0.43365516726403824</v>
      </c>
      <c r="N63" s="31">
        <f t="shared" si="2"/>
        <v>0.43365516726403835</v>
      </c>
      <c r="O63" s="31">
        <f t="shared" si="3"/>
        <v>0.43365516726403835</v>
      </c>
      <c r="P63" s="109">
        <f t="shared" si="6"/>
        <v>27</v>
      </c>
      <c r="Q63" s="28">
        <f>AVERAGE($P$33:P63)</f>
        <v>27</v>
      </c>
      <c r="R63" s="81">
        <f>AVERAGE($P$3:P63)</f>
        <v>27</v>
      </c>
      <c r="S63">
        <f t="shared" si="7"/>
        <v>31</v>
      </c>
      <c r="T63">
        <f t="shared" si="8"/>
        <v>31</v>
      </c>
    </row>
    <row r="64" spans="2:20">
      <c r="B64" s="27">
        <f t="shared" si="5"/>
        <v>45444</v>
      </c>
      <c r="C64" s="28">
        <f>YEAR(Modelling[[#This Row],[Date]])+IF(MONTH(Modelling[[#This Row],[Date]])&gt;=4,1,0)</f>
        <v>2025</v>
      </c>
      <c r="D64" s="22">
        <f t="shared" si="4"/>
        <v>2024</v>
      </c>
      <c r="E64" s="29">
        <v>44713</v>
      </c>
      <c r="F64" s="22">
        <f>DAY(EOMONTH(Modelling[[#This Row],[Date]],0))</f>
        <v>30</v>
      </c>
      <c r="G64" s="28">
        <f>VLOOKUP(MONTH(Modelling[[#This Row],[Date]]),$W$3:$Z$14,4,0)/1000/Modelling[[#This Row],[Days]]</f>
        <v>247.8897</v>
      </c>
      <c r="H64" s="28">
        <f>SUM($G$64:G64)</f>
        <v>247.8897</v>
      </c>
      <c r="I64" s="28">
        <f>SUM($G$3:G64)</f>
        <v>8959.1547000000028</v>
      </c>
      <c r="J64" s="30">
        <f>VLOOKUP(MONTH(Modelling[[#This Row],[Date]]),$W$3:$Y$14,3,0)</f>
        <v>8.23</v>
      </c>
      <c r="K64" s="30">
        <f>VLOOKUP(MONTH(Modelling[[#This Row],[Date]]),$W$3:$Y$14,3,0)</f>
        <v>8.23</v>
      </c>
      <c r="L64" s="30">
        <f>AVERAGE(J$3:J64)</f>
        <v>8.6940322580645244</v>
      </c>
      <c r="M64" s="31">
        <f t="shared" si="1"/>
        <v>0.38254583333333336</v>
      </c>
      <c r="N64" s="31">
        <f t="shared" si="2"/>
        <v>0.38254583333333336</v>
      </c>
      <c r="O64" s="31">
        <f t="shared" si="3"/>
        <v>0.43205800057870386</v>
      </c>
      <c r="P64" s="109">
        <f t="shared" si="6"/>
        <v>27</v>
      </c>
      <c r="Q64" s="28">
        <f>AVERAGE($P$64:P64)</f>
        <v>27</v>
      </c>
      <c r="R64" s="81">
        <f>AVERAGE($P$3:P64)</f>
        <v>27</v>
      </c>
      <c r="S64">
        <f t="shared" si="7"/>
        <v>1</v>
      </c>
      <c r="T64">
        <f t="shared" si="8"/>
        <v>32</v>
      </c>
    </row>
    <row r="65" spans="2:20">
      <c r="B65" s="27">
        <f t="shared" si="5"/>
        <v>45445</v>
      </c>
      <c r="C65" s="28">
        <f>YEAR(Modelling[[#This Row],[Date]])+IF(MONTH(Modelling[[#This Row],[Date]])&gt;=4,1,0)</f>
        <v>2025</v>
      </c>
      <c r="D65" s="22">
        <f t="shared" si="4"/>
        <v>2024</v>
      </c>
      <c r="E65" s="29">
        <v>44713</v>
      </c>
      <c r="F65" s="22">
        <f>DAY(EOMONTH(Modelling[[#This Row],[Date]],0))</f>
        <v>30</v>
      </c>
      <c r="G65" s="28">
        <f>VLOOKUP(MONTH(Modelling[[#This Row],[Date]]),$W$3:$Z$14,4,0)/1000/Modelling[[#This Row],[Days]]</f>
        <v>247.8897</v>
      </c>
      <c r="H65" s="28">
        <f>SUM($G$64:G65)</f>
        <v>495.77940000000001</v>
      </c>
      <c r="I65" s="28">
        <f>SUM($G$3:G65)</f>
        <v>9207.0444000000025</v>
      </c>
      <c r="J65" s="30">
        <f>VLOOKUP(MONTH(Modelling[[#This Row],[Date]]),$W$3:$Y$14,3,0)</f>
        <v>8.23</v>
      </c>
      <c r="K65" s="30">
        <f>VLOOKUP(MONTH(Modelling[[#This Row],[Date]]),$W$3:$Y$14,3,0)</f>
        <v>8.23</v>
      </c>
      <c r="L65" s="30">
        <f>AVERAGE(J$3:J65)</f>
        <v>8.6866666666666763</v>
      </c>
      <c r="M65" s="31">
        <f t="shared" si="1"/>
        <v>0.38254583333333336</v>
      </c>
      <c r="N65" s="31">
        <f t="shared" si="2"/>
        <v>0.38254583333333336</v>
      </c>
      <c r="O65" s="31">
        <f t="shared" si="3"/>
        <v>0.43055763187429863</v>
      </c>
      <c r="P65" s="109">
        <f t="shared" si="6"/>
        <v>27</v>
      </c>
      <c r="Q65" s="28">
        <f>AVERAGE($P$64:P65)</f>
        <v>27</v>
      </c>
      <c r="R65" s="81">
        <f>AVERAGE($P$3:P65)</f>
        <v>27</v>
      </c>
      <c r="S65">
        <f t="shared" si="7"/>
        <v>2</v>
      </c>
      <c r="T65">
        <f t="shared" si="8"/>
        <v>33</v>
      </c>
    </row>
    <row r="66" spans="2:20">
      <c r="B66" s="27">
        <f t="shared" si="5"/>
        <v>45446</v>
      </c>
      <c r="C66" s="28">
        <f>YEAR(Modelling[[#This Row],[Date]])+IF(MONTH(Modelling[[#This Row],[Date]])&gt;=4,1,0)</f>
        <v>2025</v>
      </c>
      <c r="D66" s="22">
        <f t="shared" si="4"/>
        <v>2024</v>
      </c>
      <c r="E66" s="29">
        <v>44713</v>
      </c>
      <c r="F66" s="22">
        <f>DAY(EOMONTH(Modelling[[#This Row],[Date]],0))</f>
        <v>30</v>
      </c>
      <c r="G66" s="28">
        <f>VLOOKUP(MONTH(Modelling[[#This Row],[Date]]),$W$3:$Z$14,4,0)/1000/Modelling[[#This Row],[Days]]</f>
        <v>247.8897</v>
      </c>
      <c r="H66" s="28">
        <f>SUM($G$64:G66)</f>
        <v>743.66910000000007</v>
      </c>
      <c r="I66" s="28">
        <f>SUM($G$3:G66)</f>
        <v>9454.9341000000022</v>
      </c>
      <c r="J66" s="30">
        <f>VLOOKUP(MONTH(Modelling[[#This Row],[Date]]),$W$3:$Y$14,3,0)</f>
        <v>8.23</v>
      </c>
      <c r="K66" s="30">
        <f>VLOOKUP(MONTH(Modelling[[#This Row],[Date]]),$W$3:$Y$14,3,0)</f>
        <v>8.23</v>
      </c>
      <c r="L66" s="30">
        <f>AVERAGE(J$3:J66)</f>
        <v>8.679531250000009</v>
      </c>
      <c r="M66" s="31">
        <f t="shared" si="1"/>
        <v>0.38254583333333336</v>
      </c>
      <c r="N66" s="31">
        <f t="shared" si="2"/>
        <v>0.38254583333333336</v>
      </c>
      <c r="O66" s="31">
        <f t="shared" si="3"/>
        <v>0.42914552015250557</v>
      </c>
      <c r="P66" s="109">
        <f t="shared" si="6"/>
        <v>27</v>
      </c>
      <c r="Q66" s="28">
        <f>AVERAGE($P$64:P66)</f>
        <v>27</v>
      </c>
      <c r="R66" s="81">
        <f>AVERAGE($P$3:P66)</f>
        <v>27</v>
      </c>
      <c r="S66">
        <f t="shared" si="7"/>
        <v>3</v>
      </c>
      <c r="T66">
        <f t="shared" si="8"/>
        <v>34</v>
      </c>
    </row>
    <row r="67" spans="2:20">
      <c r="B67" s="27">
        <f t="shared" si="5"/>
        <v>45447</v>
      </c>
      <c r="C67" s="28">
        <f>YEAR(Modelling[[#This Row],[Date]])+IF(MONTH(Modelling[[#This Row],[Date]])&gt;=4,1,0)</f>
        <v>2025</v>
      </c>
      <c r="D67" s="22">
        <f t="shared" si="4"/>
        <v>2024</v>
      </c>
      <c r="E67" s="29">
        <v>44713</v>
      </c>
      <c r="F67" s="22">
        <f>DAY(EOMONTH(Modelling[[#This Row],[Date]],0))</f>
        <v>30</v>
      </c>
      <c r="G67" s="28">
        <f>VLOOKUP(MONTH(Modelling[[#This Row],[Date]]),$W$3:$Z$14,4,0)/1000/Modelling[[#This Row],[Days]]</f>
        <v>247.8897</v>
      </c>
      <c r="H67" s="28">
        <f>SUM($G$64:G67)</f>
        <v>991.55880000000002</v>
      </c>
      <c r="I67" s="28">
        <f>SUM($G$3:G67)</f>
        <v>9702.8238000000019</v>
      </c>
      <c r="J67" s="30">
        <f>VLOOKUP(MONTH(Modelling[[#This Row],[Date]]),$W$3:$Y$14,3,0)</f>
        <v>8.23</v>
      </c>
      <c r="K67" s="30">
        <f>VLOOKUP(MONTH(Modelling[[#This Row],[Date]]),$W$3:$Y$14,3,0)</f>
        <v>8.23</v>
      </c>
      <c r="L67" s="30">
        <f>AVERAGE(J$3:J67)</f>
        <v>8.6726153846153942</v>
      </c>
      <c r="M67" s="31">
        <f t="shared" ref="M67:M130" si="9">G67/P67/24</f>
        <v>0.38254583333333336</v>
      </c>
      <c r="N67" s="31">
        <f t="shared" ref="N67:N130" si="10">H67/(24*S67)/Q67</f>
        <v>0.38254583333333336</v>
      </c>
      <c r="O67" s="31">
        <f t="shared" ref="O67:O130" si="11">I67/(24*T67)/R67</f>
        <v>0.42781410052910057</v>
      </c>
      <c r="P67" s="109">
        <f t="shared" ref="P67:P130" si="12">_xlfn.XLOOKUP(MONTH(B67),W:W,AA:AA)</f>
        <v>27</v>
      </c>
      <c r="Q67" s="28">
        <f>AVERAGE($P$64:P67)</f>
        <v>27</v>
      </c>
      <c r="R67" s="81">
        <f>AVERAGE($P$3:P67)</f>
        <v>27</v>
      </c>
      <c r="S67">
        <f t="shared" si="7"/>
        <v>4</v>
      </c>
      <c r="T67">
        <f t="shared" si="8"/>
        <v>35</v>
      </c>
    </row>
    <row r="68" spans="2:20">
      <c r="B68" s="27">
        <f t="shared" si="5"/>
        <v>45448</v>
      </c>
      <c r="C68" s="28">
        <f>YEAR(Modelling[[#This Row],[Date]])+IF(MONTH(Modelling[[#This Row],[Date]])&gt;=4,1,0)</f>
        <v>2025</v>
      </c>
      <c r="D68" s="22">
        <f t="shared" ref="D68:D131" si="13">YEAR(B68)</f>
        <v>2024</v>
      </c>
      <c r="E68" s="29">
        <v>44713</v>
      </c>
      <c r="F68" s="22">
        <f>DAY(EOMONTH(Modelling[[#This Row],[Date]],0))</f>
        <v>30</v>
      </c>
      <c r="G68" s="28">
        <f>VLOOKUP(MONTH(Modelling[[#This Row],[Date]]),$W$3:$Z$14,4,0)/1000/Modelling[[#This Row],[Days]]</f>
        <v>247.8897</v>
      </c>
      <c r="H68" s="28">
        <f>SUM($G$64:G68)</f>
        <v>1239.4485</v>
      </c>
      <c r="I68" s="28">
        <f>SUM($G$3:G68)</f>
        <v>9950.7135000000017</v>
      </c>
      <c r="J68" s="30">
        <f>VLOOKUP(MONTH(Modelling[[#This Row],[Date]]),$W$3:$Y$14,3,0)</f>
        <v>8.23</v>
      </c>
      <c r="K68" s="30">
        <f>VLOOKUP(MONTH(Modelling[[#This Row],[Date]]),$W$3:$Y$14,3,0)</f>
        <v>8.23</v>
      </c>
      <c r="L68" s="30">
        <f>AVERAGE(J$3:J68)</f>
        <v>8.6659090909090999</v>
      </c>
      <c r="M68" s="31">
        <f t="shared" si="9"/>
        <v>0.38254583333333336</v>
      </c>
      <c r="N68" s="31">
        <f t="shared" si="10"/>
        <v>0.38254583333333331</v>
      </c>
      <c r="O68" s="31">
        <f t="shared" si="11"/>
        <v>0.42655664866255155</v>
      </c>
      <c r="P68" s="109">
        <f t="shared" si="12"/>
        <v>27</v>
      </c>
      <c r="Q68" s="28">
        <f>AVERAGE($P$64:P68)</f>
        <v>27</v>
      </c>
      <c r="R68" s="81">
        <f>AVERAGE($P$3:P68)</f>
        <v>27</v>
      </c>
      <c r="S68">
        <f t="shared" ref="S68:S131" si="14">DAY(B68)</f>
        <v>5</v>
      </c>
      <c r="T68">
        <f t="shared" si="8"/>
        <v>36</v>
      </c>
    </row>
    <row r="69" spans="2:20">
      <c r="B69" s="27">
        <f t="shared" ref="B69:B132" si="15">B68+1</f>
        <v>45449</v>
      </c>
      <c r="C69" s="28">
        <f>YEAR(Modelling[[#This Row],[Date]])+IF(MONTH(Modelling[[#This Row],[Date]])&gt;=4,1,0)</f>
        <v>2025</v>
      </c>
      <c r="D69" s="22">
        <f t="shared" si="13"/>
        <v>2024</v>
      </c>
      <c r="E69" s="29">
        <v>44713</v>
      </c>
      <c r="F69" s="22">
        <f>DAY(EOMONTH(Modelling[[#This Row],[Date]],0))</f>
        <v>30</v>
      </c>
      <c r="G69" s="28">
        <f>VLOOKUP(MONTH(Modelling[[#This Row],[Date]]),$W$3:$Z$14,4,0)/1000/Modelling[[#This Row],[Days]]</f>
        <v>247.8897</v>
      </c>
      <c r="H69" s="28">
        <f>SUM($G$64:G69)</f>
        <v>1487.3381999999999</v>
      </c>
      <c r="I69" s="28">
        <f>SUM($G$3:G69)</f>
        <v>10198.603200000001</v>
      </c>
      <c r="J69" s="30">
        <f>VLOOKUP(MONTH(Modelling[[#This Row],[Date]]),$W$3:$Y$14,3,0)</f>
        <v>8.23</v>
      </c>
      <c r="K69" s="30">
        <f>VLOOKUP(MONTH(Modelling[[#This Row],[Date]]),$W$3:$Y$14,3,0)</f>
        <v>8.23</v>
      </c>
      <c r="L69" s="30">
        <f>AVERAGE(J$3:J69)</f>
        <v>8.659402985074637</v>
      </c>
      <c r="M69" s="31">
        <f t="shared" si="9"/>
        <v>0.38254583333333336</v>
      </c>
      <c r="N69" s="31">
        <f t="shared" si="10"/>
        <v>0.38254583333333331</v>
      </c>
      <c r="O69" s="31">
        <f t="shared" si="11"/>
        <v>0.42536716716716721</v>
      </c>
      <c r="P69" s="109">
        <f t="shared" si="12"/>
        <v>27</v>
      </c>
      <c r="Q69" s="28">
        <f>AVERAGE($P$64:P69)</f>
        <v>27</v>
      </c>
      <c r="R69" s="81">
        <f>AVERAGE($P$3:P69)</f>
        <v>27</v>
      </c>
      <c r="S69">
        <f t="shared" si="14"/>
        <v>6</v>
      </c>
      <c r="T69">
        <f t="shared" ref="T69:T132" si="16">T68+1</f>
        <v>37</v>
      </c>
    </row>
    <row r="70" spans="2:20">
      <c r="B70" s="27">
        <f t="shared" si="15"/>
        <v>45450</v>
      </c>
      <c r="C70" s="28">
        <f>YEAR(Modelling[[#This Row],[Date]])+IF(MONTH(Modelling[[#This Row],[Date]])&gt;=4,1,0)</f>
        <v>2025</v>
      </c>
      <c r="D70" s="22">
        <f t="shared" si="13"/>
        <v>2024</v>
      </c>
      <c r="E70" s="29">
        <v>44713</v>
      </c>
      <c r="F70" s="22">
        <f>DAY(EOMONTH(Modelling[[#This Row],[Date]],0))</f>
        <v>30</v>
      </c>
      <c r="G70" s="28">
        <f>VLOOKUP(MONTH(Modelling[[#This Row],[Date]]),$W$3:$Z$14,4,0)/1000/Modelling[[#This Row],[Days]]</f>
        <v>247.8897</v>
      </c>
      <c r="H70" s="28">
        <f>SUM($G$64:G70)</f>
        <v>1735.2278999999999</v>
      </c>
      <c r="I70" s="28">
        <f>SUM($G$3:G70)</f>
        <v>10446.492900000001</v>
      </c>
      <c r="J70" s="30">
        <f>VLOOKUP(MONTH(Modelling[[#This Row],[Date]]),$W$3:$Y$14,3,0)</f>
        <v>8.23</v>
      </c>
      <c r="K70" s="30">
        <f>VLOOKUP(MONTH(Modelling[[#This Row],[Date]]),$W$3:$Y$14,3,0)</f>
        <v>8.23</v>
      </c>
      <c r="L70" s="30">
        <f>AVERAGE(J$3:J70)</f>
        <v>8.6530882352941276</v>
      </c>
      <c r="M70" s="31">
        <f t="shared" si="9"/>
        <v>0.38254583333333336</v>
      </c>
      <c r="N70" s="31">
        <f t="shared" si="10"/>
        <v>0.38254583333333331</v>
      </c>
      <c r="O70" s="31">
        <f t="shared" si="11"/>
        <v>0.42424028996101371</v>
      </c>
      <c r="P70" s="109">
        <f t="shared" si="12"/>
        <v>27</v>
      </c>
      <c r="Q70" s="28">
        <f>AVERAGE($P$64:P70)</f>
        <v>27</v>
      </c>
      <c r="R70" s="81">
        <f>AVERAGE($P$3:P70)</f>
        <v>27</v>
      </c>
      <c r="S70">
        <f t="shared" si="14"/>
        <v>7</v>
      </c>
      <c r="T70">
        <f t="shared" si="16"/>
        <v>38</v>
      </c>
    </row>
    <row r="71" spans="2:20">
      <c r="B71" s="27">
        <f t="shared" si="15"/>
        <v>45451</v>
      </c>
      <c r="C71" s="28">
        <f>YEAR(Modelling[[#This Row],[Date]])+IF(MONTH(Modelling[[#This Row],[Date]])&gt;=4,1,0)</f>
        <v>2025</v>
      </c>
      <c r="D71" s="22">
        <f t="shared" si="13"/>
        <v>2024</v>
      </c>
      <c r="E71" s="29">
        <v>44713</v>
      </c>
      <c r="F71" s="22">
        <f>DAY(EOMONTH(Modelling[[#This Row],[Date]],0))</f>
        <v>30</v>
      </c>
      <c r="G71" s="28">
        <f>VLOOKUP(MONTH(Modelling[[#This Row],[Date]]),$W$3:$Z$14,4,0)/1000/Modelling[[#This Row],[Days]]</f>
        <v>247.8897</v>
      </c>
      <c r="H71" s="28">
        <f>SUM($G$64:G71)</f>
        <v>1983.1175999999998</v>
      </c>
      <c r="I71" s="28">
        <f>SUM($G$3:G71)</f>
        <v>10694.382600000001</v>
      </c>
      <c r="J71" s="30">
        <f>VLOOKUP(MONTH(Modelling[[#This Row],[Date]]),$W$3:$Y$14,3,0)</f>
        <v>8.23</v>
      </c>
      <c r="K71" s="30">
        <f>VLOOKUP(MONTH(Modelling[[#This Row],[Date]]),$W$3:$Y$14,3,0)</f>
        <v>8.23</v>
      </c>
      <c r="L71" s="30">
        <f>AVERAGE(J$3:J71)</f>
        <v>8.6469565217391402</v>
      </c>
      <c r="M71" s="31">
        <f t="shared" si="9"/>
        <v>0.38254583333333336</v>
      </c>
      <c r="N71" s="31">
        <f t="shared" si="10"/>
        <v>0.38254583333333331</v>
      </c>
      <c r="O71" s="31">
        <f t="shared" si="11"/>
        <v>0.42317120132953467</v>
      </c>
      <c r="P71" s="109">
        <f t="shared" si="12"/>
        <v>27</v>
      </c>
      <c r="Q71" s="28">
        <f>AVERAGE($P$64:P71)</f>
        <v>27</v>
      </c>
      <c r="R71" s="81">
        <f>AVERAGE($P$3:P71)</f>
        <v>27</v>
      </c>
      <c r="S71">
        <f t="shared" si="14"/>
        <v>8</v>
      </c>
      <c r="T71">
        <f t="shared" si="16"/>
        <v>39</v>
      </c>
    </row>
    <row r="72" spans="2:20">
      <c r="B72" s="27">
        <f t="shared" si="15"/>
        <v>45452</v>
      </c>
      <c r="C72" s="28">
        <f>YEAR(Modelling[[#This Row],[Date]])+IF(MONTH(Modelling[[#This Row],[Date]])&gt;=4,1,0)</f>
        <v>2025</v>
      </c>
      <c r="D72" s="22">
        <f t="shared" si="13"/>
        <v>2024</v>
      </c>
      <c r="E72" s="29">
        <v>44713</v>
      </c>
      <c r="F72" s="22">
        <f>DAY(EOMONTH(Modelling[[#This Row],[Date]],0))</f>
        <v>30</v>
      </c>
      <c r="G72" s="28">
        <f>VLOOKUP(MONTH(Modelling[[#This Row],[Date]]),$W$3:$Z$14,4,0)/1000/Modelling[[#This Row],[Days]]</f>
        <v>247.8897</v>
      </c>
      <c r="H72" s="28">
        <f>SUM($G$64:G72)</f>
        <v>2231.0072999999998</v>
      </c>
      <c r="I72" s="28">
        <f>SUM($G$3:G72)</f>
        <v>10942.272300000001</v>
      </c>
      <c r="J72" s="30">
        <f>VLOOKUP(MONTH(Modelling[[#This Row],[Date]]),$W$3:$Y$14,3,0)</f>
        <v>8.23</v>
      </c>
      <c r="K72" s="30">
        <f>VLOOKUP(MONTH(Modelling[[#This Row],[Date]]),$W$3:$Y$14,3,0)</f>
        <v>8.23</v>
      </c>
      <c r="L72" s="30">
        <f>AVERAGE(J$3:J72)</f>
        <v>8.6410000000000107</v>
      </c>
      <c r="M72" s="31">
        <f t="shared" si="9"/>
        <v>0.38254583333333336</v>
      </c>
      <c r="N72" s="31">
        <f t="shared" si="10"/>
        <v>0.38254583333333331</v>
      </c>
      <c r="O72" s="31">
        <f t="shared" si="11"/>
        <v>0.42215556712962965</v>
      </c>
      <c r="P72" s="109">
        <f t="shared" si="12"/>
        <v>27</v>
      </c>
      <c r="Q72" s="28">
        <f>AVERAGE($P$64:P72)</f>
        <v>27</v>
      </c>
      <c r="R72" s="81">
        <f>AVERAGE($P$3:P72)</f>
        <v>27</v>
      </c>
      <c r="S72">
        <f t="shared" si="14"/>
        <v>9</v>
      </c>
      <c r="T72">
        <f t="shared" si="16"/>
        <v>40</v>
      </c>
    </row>
    <row r="73" spans="2:20">
      <c r="B73" s="27">
        <f t="shared" si="15"/>
        <v>45453</v>
      </c>
      <c r="C73" s="28">
        <f>YEAR(Modelling[[#This Row],[Date]])+IF(MONTH(Modelling[[#This Row],[Date]])&gt;=4,1,0)</f>
        <v>2025</v>
      </c>
      <c r="D73" s="22">
        <f t="shared" si="13"/>
        <v>2024</v>
      </c>
      <c r="E73" s="29">
        <v>44713</v>
      </c>
      <c r="F73" s="22">
        <f>DAY(EOMONTH(Modelling[[#This Row],[Date]],0))</f>
        <v>30</v>
      </c>
      <c r="G73" s="28">
        <f>VLOOKUP(MONTH(Modelling[[#This Row],[Date]]),$W$3:$Z$14,4,0)/1000/Modelling[[#This Row],[Days]]</f>
        <v>247.8897</v>
      </c>
      <c r="H73" s="28">
        <f>SUM($G$64:G73)</f>
        <v>2478.8969999999999</v>
      </c>
      <c r="I73" s="28">
        <f>SUM($G$3:G73)</f>
        <v>11190.162</v>
      </c>
      <c r="J73" s="30">
        <f>VLOOKUP(MONTH(Modelling[[#This Row],[Date]]),$W$3:$Y$14,3,0)</f>
        <v>8.23</v>
      </c>
      <c r="K73" s="30">
        <f>VLOOKUP(MONTH(Modelling[[#This Row],[Date]]),$W$3:$Y$14,3,0)</f>
        <v>8.23</v>
      </c>
      <c r="L73" s="30">
        <f>AVERAGE(J$3:J73)</f>
        <v>8.6352112676056443</v>
      </c>
      <c r="M73" s="31">
        <f t="shared" si="9"/>
        <v>0.38254583333333336</v>
      </c>
      <c r="N73" s="31">
        <f t="shared" si="10"/>
        <v>0.38254583333333331</v>
      </c>
      <c r="O73" s="31">
        <f t="shared" si="11"/>
        <v>0.42118947606142726</v>
      </c>
      <c r="P73" s="109">
        <f t="shared" si="12"/>
        <v>27</v>
      </c>
      <c r="Q73" s="28">
        <f>AVERAGE($P$64:P73)</f>
        <v>27</v>
      </c>
      <c r="R73" s="81">
        <f>AVERAGE($P$3:P73)</f>
        <v>27</v>
      </c>
      <c r="S73">
        <f t="shared" si="14"/>
        <v>10</v>
      </c>
      <c r="T73">
        <f t="shared" si="16"/>
        <v>41</v>
      </c>
    </row>
    <row r="74" spans="2:20">
      <c r="B74" s="27">
        <f t="shared" si="15"/>
        <v>45454</v>
      </c>
      <c r="C74" s="28">
        <f>YEAR(Modelling[[#This Row],[Date]])+IF(MONTH(Modelling[[#This Row],[Date]])&gt;=4,1,0)</f>
        <v>2025</v>
      </c>
      <c r="D74" s="22">
        <f t="shared" si="13"/>
        <v>2024</v>
      </c>
      <c r="E74" s="29">
        <v>44713</v>
      </c>
      <c r="F74" s="22">
        <f>DAY(EOMONTH(Modelling[[#This Row],[Date]],0))</f>
        <v>30</v>
      </c>
      <c r="G74" s="28">
        <f>VLOOKUP(MONTH(Modelling[[#This Row],[Date]]),$W$3:$Z$14,4,0)/1000/Modelling[[#This Row],[Days]]</f>
        <v>247.8897</v>
      </c>
      <c r="H74" s="28">
        <f>SUM($G$64:G74)</f>
        <v>2726.7867000000001</v>
      </c>
      <c r="I74" s="28">
        <f>SUM($G$3:G74)</f>
        <v>11438.0517</v>
      </c>
      <c r="J74" s="30">
        <f>VLOOKUP(MONTH(Modelling[[#This Row],[Date]]),$W$3:$Y$14,3,0)</f>
        <v>8.23</v>
      </c>
      <c r="K74" s="30">
        <f>VLOOKUP(MONTH(Modelling[[#This Row],[Date]]),$W$3:$Y$14,3,0)</f>
        <v>8.23</v>
      </c>
      <c r="L74" s="30">
        <f>AVERAGE(J$3:J74)</f>
        <v>8.6295833333333434</v>
      </c>
      <c r="M74" s="31">
        <f t="shared" si="9"/>
        <v>0.38254583333333336</v>
      </c>
      <c r="N74" s="31">
        <f t="shared" si="10"/>
        <v>0.38254583333333336</v>
      </c>
      <c r="O74" s="31">
        <f t="shared" si="11"/>
        <v>0.42026938932980601</v>
      </c>
      <c r="P74" s="109">
        <f t="shared" si="12"/>
        <v>27</v>
      </c>
      <c r="Q74" s="28">
        <f>AVERAGE($P$64:P74)</f>
        <v>27</v>
      </c>
      <c r="R74" s="81">
        <f>AVERAGE($P$3:P74)</f>
        <v>27</v>
      </c>
      <c r="S74">
        <f t="shared" si="14"/>
        <v>11</v>
      </c>
      <c r="T74">
        <f t="shared" si="16"/>
        <v>42</v>
      </c>
    </row>
    <row r="75" spans="2:20">
      <c r="B75" s="27">
        <f t="shared" si="15"/>
        <v>45455</v>
      </c>
      <c r="C75" s="28">
        <f>YEAR(Modelling[[#This Row],[Date]])+IF(MONTH(Modelling[[#This Row],[Date]])&gt;=4,1,0)</f>
        <v>2025</v>
      </c>
      <c r="D75" s="22">
        <f t="shared" si="13"/>
        <v>2024</v>
      </c>
      <c r="E75" s="29">
        <v>44713</v>
      </c>
      <c r="F75" s="22">
        <f>DAY(EOMONTH(Modelling[[#This Row],[Date]],0))</f>
        <v>30</v>
      </c>
      <c r="G75" s="28">
        <f>VLOOKUP(MONTH(Modelling[[#This Row],[Date]]),$W$3:$Z$14,4,0)/1000/Modelling[[#This Row],[Days]]</f>
        <v>247.8897</v>
      </c>
      <c r="H75" s="28">
        <f>SUM($G$64:G75)</f>
        <v>2974.6764000000003</v>
      </c>
      <c r="I75" s="28">
        <f>SUM($G$3:G75)</f>
        <v>11685.9414</v>
      </c>
      <c r="J75" s="30">
        <f>VLOOKUP(MONTH(Modelling[[#This Row],[Date]]),$W$3:$Y$14,3,0)</f>
        <v>8.23</v>
      </c>
      <c r="K75" s="30">
        <f>VLOOKUP(MONTH(Modelling[[#This Row],[Date]]),$W$3:$Y$14,3,0)</f>
        <v>8.23</v>
      </c>
      <c r="L75" s="30">
        <f>AVERAGE(J$3:J75)</f>
        <v>8.6241095890411064</v>
      </c>
      <c r="M75" s="31">
        <f t="shared" si="9"/>
        <v>0.38254583333333336</v>
      </c>
      <c r="N75" s="31">
        <f t="shared" si="10"/>
        <v>0.38254583333333336</v>
      </c>
      <c r="O75" s="31">
        <f t="shared" si="11"/>
        <v>0.41939209732988803</v>
      </c>
      <c r="P75" s="109">
        <f t="shared" si="12"/>
        <v>27</v>
      </c>
      <c r="Q75" s="28">
        <f>AVERAGE($P$64:P75)</f>
        <v>27</v>
      </c>
      <c r="R75" s="81">
        <f>AVERAGE($P$3:P75)</f>
        <v>27</v>
      </c>
      <c r="S75">
        <f t="shared" si="14"/>
        <v>12</v>
      </c>
      <c r="T75">
        <f t="shared" si="16"/>
        <v>43</v>
      </c>
    </row>
    <row r="76" spans="2:20">
      <c r="B76" s="27">
        <f t="shared" si="15"/>
        <v>45456</v>
      </c>
      <c r="C76" s="28">
        <f>YEAR(Modelling[[#This Row],[Date]])+IF(MONTH(Modelling[[#This Row],[Date]])&gt;=4,1,0)</f>
        <v>2025</v>
      </c>
      <c r="D76" s="22">
        <f t="shared" si="13"/>
        <v>2024</v>
      </c>
      <c r="E76" s="29">
        <v>44713</v>
      </c>
      <c r="F76" s="22">
        <f>DAY(EOMONTH(Modelling[[#This Row],[Date]],0))</f>
        <v>30</v>
      </c>
      <c r="G76" s="28">
        <f>VLOOKUP(MONTH(Modelling[[#This Row],[Date]]),$W$3:$Z$14,4,0)/1000/Modelling[[#This Row],[Days]]</f>
        <v>247.8897</v>
      </c>
      <c r="H76" s="28">
        <f>SUM($G$64:G76)</f>
        <v>3222.5661000000005</v>
      </c>
      <c r="I76" s="28">
        <f>SUM($G$3:G76)</f>
        <v>11933.831099999999</v>
      </c>
      <c r="J76" s="30">
        <f>VLOOKUP(MONTH(Modelling[[#This Row],[Date]]),$W$3:$Y$14,3,0)</f>
        <v>8.23</v>
      </c>
      <c r="K76" s="30">
        <f>VLOOKUP(MONTH(Modelling[[#This Row],[Date]]),$W$3:$Y$14,3,0)</f>
        <v>8.23</v>
      </c>
      <c r="L76" s="30">
        <f>AVERAGE(J$3:J76)</f>
        <v>8.618783783783794</v>
      </c>
      <c r="M76" s="31">
        <f t="shared" si="9"/>
        <v>0.38254583333333336</v>
      </c>
      <c r="N76" s="31">
        <f t="shared" si="10"/>
        <v>0.38254583333333336</v>
      </c>
      <c r="O76" s="31">
        <f t="shared" si="11"/>
        <v>0.41855468223905717</v>
      </c>
      <c r="P76" s="109">
        <f t="shared" si="12"/>
        <v>27</v>
      </c>
      <c r="Q76" s="28">
        <f>AVERAGE($P$64:P76)</f>
        <v>27</v>
      </c>
      <c r="R76" s="81">
        <f>AVERAGE($P$3:P76)</f>
        <v>27</v>
      </c>
      <c r="S76">
        <f t="shared" si="14"/>
        <v>13</v>
      </c>
      <c r="T76">
        <f t="shared" si="16"/>
        <v>44</v>
      </c>
    </row>
    <row r="77" spans="2:20">
      <c r="B77" s="27">
        <f t="shared" si="15"/>
        <v>45457</v>
      </c>
      <c r="C77" s="28">
        <f>YEAR(Modelling[[#This Row],[Date]])+IF(MONTH(Modelling[[#This Row],[Date]])&gt;=4,1,0)</f>
        <v>2025</v>
      </c>
      <c r="D77" s="22">
        <f t="shared" si="13"/>
        <v>2024</v>
      </c>
      <c r="E77" s="29">
        <v>44713</v>
      </c>
      <c r="F77" s="22">
        <f>DAY(EOMONTH(Modelling[[#This Row],[Date]],0))</f>
        <v>30</v>
      </c>
      <c r="G77" s="28">
        <f>VLOOKUP(MONTH(Modelling[[#This Row],[Date]]),$W$3:$Z$14,4,0)/1000/Modelling[[#This Row],[Days]]</f>
        <v>247.8897</v>
      </c>
      <c r="H77" s="28">
        <f>SUM($G$64:G77)</f>
        <v>3470.4558000000006</v>
      </c>
      <c r="I77" s="28">
        <f>SUM($G$3:G77)</f>
        <v>12181.720799999999</v>
      </c>
      <c r="J77" s="30">
        <f>VLOOKUP(MONTH(Modelling[[#This Row],[Date]]),$W$3:$Y$14,3,0)</f>
        <v>8.23</v>
      </c>
      <c r="K77" s="30">
        <f>VLOOKUP(MONTH(Modelling[[#This Row],[Date]]),$W$3:$Y$14,3,0)</f>
        <v>8.23</v>
      </c>
      <c r="L77" s="30">
        <f>AVERAGE(J$3:J77)</f>
        <v>8.6136000000000106</v>
      </c>
      <c r="M77" s="31">
        <f t="shared" si="9"/>
        <v>0.38254583333333336</v>
      </c>
      <c r="N77" s="31">
        <f t="shared" si="10"/>
        <v>0.38254583333333342</v>
      </c>
      <c r="O77" s="31">
        <f t="shared" si="11"/>
        <v>0.4177544855967078</v>
      </c>
      <c r="P77" s="109">
        <f t="shared" si="12"/>
        <v>27</v>
      </c>
      <c r="Q77" s="28">
        <f>AVERAGE($P$64:P77)</f>
        <v>27</v>
      </c>
      <c r="R77" s="81">
        <f>AVERAGE($P$3:P77)</f>
        <v>27</v>
      </c>
      <c r="S77">
        <f t="shared" si="14"/>
        <v>14</v>
      </c>
      <c r="T77">
        <f t="shared" si="16"/>
        <v>45</v>
      </c>
    </row>
    <row r="78" spans="2:20">
      <c r="B78" s="27">
        <f t="shared" si="15"/>
        <v>45458</v>
      </c>
      <c r="C78" s="28">
        <f>YEAR(Modelling[[#This Row],[Date]])+IF(MONTH(Modelling[[#This Row],[Date]])&gt;=4,1,0)</f>
        <v>2025</v>
      </c>
      <c r="D78" s="22">
        <f t="shared" si="13"/>
        <v>2024</v>
      </c>
      <c r="E78" s="29">
        <v>44713</v>
      </c>
      <c r="F78" s="22">
        <f>DAY(EOMONTH(Modelling[[#This Row],[Date]],0))</f>
        <v>30</v>
      </c>
      <c r="G78" s="28">
        <f>VLOOKUP(MONTH(Modelling[[#This Row],[Date]]),$W$3:$Z$14,4,0)/1000/Modelling[[#This Row],[Days]]</f>
        <v>247.8897</v>
      </c>
      <c r="H78" s="28">
        <f>SUM($G$64:G78)</f>
        <v>3718.3455000000008</v>
      </c>
      <c r="I78" s="28">
        <f>SUM($G$3:G78)</f>
        <v>12429.610499999999</v>
      </c>
      <c r="J78" s="30">
        <f>VLOOKUP(MONTH(Modelling[[#This Row],[Date]]),$W$3:$Y$14,3,0)</f>
        <v>8.23</v>
      </c>
      <c r="K78" s="30">
        <f>VLOOKUP(MONTH(Modelling[[#This Row],[Date]]),$W$3:$Y$14,3,0)</f>
        <v>8.23</v>
      </c>
      <c r="L78" s="30">
        <f>AVERAGE(J$3:J78)</f>
        <v>8.6085526315789576</v>
      </c>
      <c r="M78" s="31">
        <f t="shared" si="9"/>
        <v>0.38254583333333336</v>
      </c>
      <c r="N78" s="31">
        <f t="shared" si="10"/>
        <v>0.38254583333333342</v>
      </c>
      <c r="O78" s="31">
        <f t="shared" si="11"/>
        <v>0.41698908011272134</v>
      </c>
      <c r="P78" s="109">
        <f t="shared" si="12"/>
        <v>27</v>
      </c>
      <c r="Q78" s="28">
        <f>AVERAGE($P$64:P78)</f>
        <v>27</v>
      </c>
      <c r="R78" s="81">
        <f>AVERAGE($P$3:P78)</f>
        <v>27</v>
      </c>
      <c r="S78">
        <f t="shared" si="14"/>
        <v>15</v>
      </c>
      <c r="T78">
        <f t="shared" si="16"/>
        <v>46</v>
      </c>
    </row>
    <row r="79" spans="2:20">
      <c r="B79" s="27">
        <f t="shared" si="15"/>
        <v>45459</v>
      </c>
      <c r="C79" s="28">
        <f>YEAR(Modelling[[#This Row],[Date]])+IF(MONTH(Modelling[[#This Row],[Date]])&gt;=4,1,0)</f>
        <v>2025</v>
      </c>
      <c r="D79" s="22">
        <f t="shared" si="13"/>
        <v>2024</v>
      </c>
      <c r="E79" s="29">
        <v>44713</v>
      </c>
      <c r="F79" s="22">
        <f>DAY(EOMONTH(Modelling[[#This Row],[Date]],0))</f>
        <v>30</v>
      </c>
      <c r="G79" s="28">
        <f>VLOOKUP(MONTH(Modelling[[#This Row],[Date]]),$W$3:$Z$14,4,0)/1000/Modelling[[#This Row],[Days]]</f>
        <v>247.8897</v>
      </c>
      <c r="H79" s="28">
        <f>SUM($G$64:G79)</f>
        <v>3966.235200000001</v>
      </c>
      <c r="I79" s="28">
        <f>SUM($G$3:G79)</f>
        <v>12677.500199999999</v>
      </c>
      <c r="J79" s="30">
        <f>VLOOKUP(MONTH(Modelling[[#This Row],[Date]]),$W$3:$Y$14,3,0)</f>
        <v>8.23</v>
      </c>
      <c r="K79" s="30">
        <f>VLOOKUP(MONTH(Modelling[[#This Row],[Date]]),$W$3:$Y$14,3,0)</f>
        <v>8.23</v>
      </c>
      <c r="L79" s="30">
        <f>AVERAGE(J$3:J79)</f>
        <v>8.6036363636363742</v>
      </c>
      <c r="M79" s="31">
        <f t="shared" si="9"/>
        <v>0.38254583333333336</v>
      </c>
      <c r="N79" s="31">
        <f t="shared" si="10"/>
        <v>0.38254583333333342</v>
      </c>
      <c r="O79" s="31">
        <f t="shared" si="11"/>
        <v>0.41625624507486203</v>
      </c>
      <c r="P79" s="109">
        <f t="shared" si="12"/>
        <v>27</v>
      </c>
      <c r="Q79" s="28">
        <f>AVERAGE($P$64:P79)</f>
        <v>27</v>
      </c>
      <c r="R79" s="81">
        <f>AVERAGE($P$3:P79)</f>
        <v>27</v>
      </c>
      <c r="S79">
        <f t="shared" si="14"/>
        <v>16</v>
      </c>
      <c r="T79">
        <f t="shared" si="16"/>
        <v>47</v>
      </c>
    </row>
    <row r="80" spans="2:20">
      <c r="B80" s="27">
        <f t="shared" si="15"/>
        <v>45460</v>
      </c>
      <c r="C80" s="28">
        <f>YEAR(Modelling[[#This Row],[Date]])+IF(MONTH(Modelling[[#This Row],[Date]])&gt;=4,1,0)</f>
        <v>2025</v>
      </c>
      <c r="D80" s="22">
        <f t="shared" si="13"/>
        <v>2024</v>
      </c>
      <c r="E80" s="29">
        <v>44713</v>
      </c>
      <c r="F80" s="22">
        <f>DAY(EOMONTH(Modelling[[#This Row],[Date]],0))</f>
        <v>30</v>
      </c>
      <c r="G80" s="28">
        <f>VLOOKUP(MONTH(Modelling[[#This Row],[Date]]),$W$3:$Z$14,4,0)/1000/Modelling[[#This Row],[Days]]</f>
        <v>247.8897</v>
      </c>
      <c r="H80" s="28">
        <f>SUM($G$64:G80)</f>
        <v>4214.1249000000007</v>
      </c>
      <c r="I80" s="28">
        <f>SUM($G$3:G80)</f>
        <v>12925.389899999998</v>
      </c>
      <c r="J80" s="30">
        <f>VLOOKUP(MONTH(Modelling[[#This Row],[Date]]),$W$3:$Y$14,3,0)</f>
        <v>8.23</v>
      </c>
      <c r="K80" s="30">
        <f>VLOOKUP(MONTH(Modelling[[#This Row],[Date]]),$W$3:$Y$14,3,0)</f>
        <v>8.23</v>
      </c>
      <c r="L80" s="30">
        <f>AVERAGE(J$3:J80)</f>
        <v>8.5988461538461642</v>
      </c>
      <c r="M80" s="31">
        <f t="shared" si="9"/>
        <v>0.38254583333333336</v>
      </c>
      <c r="N80" s="31">
        <f t="shared" si="10"/>
        <v>0.38254583333333342</v>
      </c>
      <c r="O80" s="31">
        <f t="shared" si="11"/>
        <v>0.41555394483024688</v>
      </c>
      <c r="P80" s="109">
        <f t="shared" si="12"/>
        <v>27</v>
      </c>
      <c r="Q80" s="28">
        <f>AVERAGE($P$64:P80)</f>
        <v>27</v>
      </c>
      <c r="R80" s="81">
        <f>AVERAGE($P$3:P80)</f>
        <v>27</v>
      </c>
      <c r="S80">
        <f t="shared" si="14"/>
        <v>17</v>
      </c>
      <c r="T80">
        <f t="shared" si="16"/>
        <v>48</v>
      </c>
    </row>
    <row r="81" spans="2:20">
      <c r="B81" s="27">
        <f t="shared" si="15"/>
        <v>45461</v>
      </c>
      <c r="C81" s="28">
        <f>YEAR(Modelling[[#This Row],[Date]])+IF(MONTH(Modelling[[#This Row],[Date]])&gt;=4,1,0)</f>
        <v>2025</v>
      </c>
      <c r="D81" s="22">
        <f t="shared" si="13"/>
        <v>2024</v>
      </c>
      <c r="E81" s="29">
        <v>44713</v>
      </c>
      <c r="F81" s="22">
        <f>DAY(EOMONTH(Modelling[[#This Row],[Date]],0))</f>
        <v>30</v>
      </c>
      <c r="G81" s="28">
        <f>VLOOKUP(MONTH(Modelling[[#This Row],[Date]]),$W$3:$Z$14,4,0)/1000/Modelling[[#This Row],[Days]]</f>
        <v>247.8897</v>
      </c>
      <c r="H81" s="28">
        <f>SUM($G$64:G81)</f>
        <v>4462.0146000000004</v>
      </c>
      <c r="I81" s="28">
        <f>SUM($G$3:G81)</f>
        <v>13173.279599999998</v>
      </c>
      <c r="J81" s="30">
        <f>VLOOKUP(MONTH(Modelling[[#This Row],[Date]]),$W$3:$Y$14,3,0)</f>
        <v>8.23</v>
      </c>
      <c r="K81" s="30">
        <f>VLOOKUP(MONTH(Modelling[[#This Row],[Date]]),$W$3:$Y$14,3,0)</f>
        <v>8.23</v>
      </c>
      <c r="L81" s="30">
        <f>AVERAGE(J$3:J81)</f>
        <v>8.5941772151898839</v>
      </c>
      <c r="M81" s="31">
        <f t="shared" si="9"/>
        <v>0.38254583333333336</v>
      </c>
      <c r="N81" s="31">
        <f t="shared" si="10"/>
        <v>0.38254583333333336</v>
      </c>
      <c r="O81" s="31">
        <f t="shared" si="11"/>
        <v>0.41488030990173841</v>
      </c>
      <c r="P81" s="109">
        <f t="shared" si="12"/>
        <v>27</v>
      </c>
      <c r="Q81" s="28">
        <f>AVERAGE($P$64:P81)</f>
        <v>27</v>
      </c>
      <c r="R81" s="81">
        <f>AVERAGE($P$3:P81)</f>
        <v>27</v>
      </c>
      <c r="S81">
        <f t="shared" si="14"/>
        <v>18</v>
      </c>
      <c r="T81">
        <f t="shared" si="16"/>
        <v>49</v>
      </c>
    </row>
    <row r="82" spans="2:20">
      <c r="B82" s="27">
        <f t="shared" si="15"/>
        <v>45462</v>
      </c>
      <c r="C82" s="28">
        <f>YEAR(Modelling[[#This Row],[Date]])+IF(MONTH(Modelling[[#This Row],[Date]])&gt;=4,1,0)</f>
        <v>2025</v>
      </c>
      <c r="D82" s="22">
        <f t="shared" si="13"/>
        <v>2024</v>
      </c>
      <c r="E82" s="29">
        <v>44713</v>
      </c>
      <c r="F82" s="22">
        <f>DAY(EOMONTH(Modelling[[#This Row],[Date]],0))</f>
        <v>30</v>
      </c>
      <c r="G82" s="28">
        <f>VLOOKUP(MONTH(Modelling[[#This Row],[Date]]),$W$3:$Z$14,4,0)/1000/Modelling[[#This Row],[Days]]</f>
        <v>247.8897</v>
      </c>
      <c r="H82" s="28">
        <f>SUM($G$64:G82)</f>
        <v>4709.9043000000001</v>
      </c>
      <c r="I82" s="28">
        <f>SUM($G$3:G82)</f>
        <v>13421.169299999998</v>
      </c>
      <c r="J82" s="30">
        <f>VLOOKUP(MONTH(Modelling[[#This Row],[Date]]),$W$3:$Y$14,3,0)</f>
        <v>8.23</v>
      </c>
      <c r="K82" s="30">
        <f>VLOOKUP(MONTH(Modelling[[#This Row],[Date]]),$W$3:$Y$14,3,0)</f>
        <v>8.23</v>
      </c>
      <c r="L82" s="30">
        <f>AVERAGE(J$3:J82)</f>
        <v>8.5896250000000105</v>
      </c>
      <c r="M82" s="31">
        <f t="shared" si="9"/>
        <v>0.38254583333333336</v>
      </c>
      <c r="N82" s="31">
        <f t="shared" si="10"/>
        <v>0.38254583333333336</v>
      </c>
      <c r="O82" s="31">
        <f t="shared" si="11"/>
        <v>0.41423362037037031</v>
      </c>
      <c r="P82" s="109">
        <f t="shared" si="12"/>
        <v>27</v>
      </c>
      <c r="Q82" s="28">
        <f>AVERAGE($P$64:P82)</f>
        <v>27</v>
      </c>
      <c r="R82" s="81">
        <f>AVERAGE($P$3:P82)</f>
        <v>27</v>
      </c>
      <c r="S82">
        <f t="shared" si="14"/>
        <v>19</v>
      </c>
      <c r="T82">
        <f t="shared" si="16"/>
        <v>50</v>
      </c>
    </row>
    <row r="83" spans="2:20">
      <c r="B83" s="27">
        <f t="shared" si="15"/>
        <v>45463</v>
      </c>
      <c r="C83" s="28">
        <f>YEAR(Modelling[[#This Row],[Date]])+IF(MONTH(Modelling[[#This Row],[Date]])&gt;=4,1,0)</f>
        <v>2025</v>
      </c>
      <c r="D83" s="22">
        <f t="shared" si="13"/>
        <v>2024</v>
      </c>
      <c r="E83" s="29">
        <v>44713</v>
      </c>
      <c r="F83" s="22">
        <f>DAY(EOMONTH(Modelling[[#This Row],[Date]],0))</f>
        <v>30</v>
      </c>
      <c r="G83" s="28">
        <f>VLOOKUP(MONTH(Modelling[[#This Row],[Date]]),$W$3:$Z$14,4,0)/1000/Modelling[[#This Row],[Days]]</f>
        <v>247.8897</v>
      </c>
      <c r="H83" s="28">
        <f>SUM($G$64:G83)</f>
        <v>4957.7939999999999</v>
      </c>
      <c r="I83" s="28">
        <f>SUM($G$3:G83)</f>
        <v>13669.058999999997</v>
      </c>
      <c r="J83" s="30">
        <f>VLOOKUP(MONTH(Modelling[[#This Row],[Date]]),$W$3:$Y$14,3,0)</f>
        <v>8.23</v>
      </c>
      <c r="K83" s="30">
        <f>VLOOKUP(MONTH(Modelling[[#This Row],[Date]]),$W$3:$Y$14,3,0)</f>
        <v>8.23</v>
      </c>
      <c r="L83" s="30">
        <f>AVERAGE(J$3:J83)</f>
        <v>8.5851851851851961</v>
      </c>
      <c r="M83" s="31">
        <f t="shared" si="9"/>
        <v>0.38254583333333336</v>
      </c>
      <c r="N83" s="31">
        <f t="shared" si="10"/>
        <v>0.38254583333333331</v>
      </c>
      <c r="O83" s="31">
        <f t="shared" si="11"/>
        <v>0.41361229121278131</v>
      </c>
      <c r="P83" s="109">
        <f t="shared" si="12"/>
        <v>27</v>
      </c>
      <c r="Q83" s="28">
        <f>AVERAGE($P$64:P83)</f>
        <v>27</v>
      </c>
      <c r="R83" s="81">
        <f>AVERAGE($P$3:P83)</f>
        <v>27</v>
      </c>
      <c r="S83">
        <f t="shared" si="14"/>
        <v>20</v>
      </c>
      <c r="T83">
        <f t="shared" si="16"/>
        <v>51</v>
      </c>
    </row>
    <row r="84" spans="2:20">
      <c r="B84" s="27">
        <f t="shared" si="15"/>
        <v>45464</v>
      </c>
      <c r="C84" s="28">
        <f>YEAR(Modelling[[#This Row],[Date]])+IF(MONTH(Modelling[[#This Row],[Date]])&gt;=4,1,0)</f>
        <v>2025</v>
      </c>
      <c r="D84" s="22">
        <f t="shared" si="13"/>
        <v>2024</v>
      </c>
      <c r="E84" s="29">
        <v>44713</v>
      </c>
      <c r="F84" s="22">
        <f>DAY(EOMONTH(Modelling[[#This Row],[Date]],0))</f>
        <v>30</v>
      </c>
      <c r="G84" s="28">
        <f>VLOOKUP(MONTH(Modelling[[#This Row],[Date]]),$W$3:$Z$14,4,0)/1000/Modelling[[#This Row],[Days]]</f>
        <v>247.8897</v>
      </c>
      <c r="H84" s="28">
        <f>SUM($G$64:G84)</f>
        <v>5205.6836999999996</v>
      </c>
      <c r="I84" s="28">
        <f>SUM($G$3:G84)</f>
        <v>13916.948699999997</v>
      </c>
      <c r="J84" s="30">
        <f>VLOOKUP(MONTH(Modelling[[#This Row],[Date]]),$W$3:$Y$14,3,0)</f>
        <v>8.23</v>
      </c>
      <c r="K84" s="30">
        <f>VLOOKUP(MONTH(Modelling[[#This Row],[Date]]),$W$3:$Y$14,3,0)</f>
        <v>8.23</v>
      </c>
      <c r="L84" s="30">
        <f>AVERAGE(J$3:J84)</f>
        <v>8.5808536585365971</v>
      </c>
      <c r="M84" s="31">
        <f t="shared" si="9"/>
        <v>0.38254583333333336</v>
      </c>
      <c r="N84" s="31">
        <f t="shared" si="10"/>
        <v>0.38254583333333331</v>
      </c>
      <c r="O84" s="31">
        <f t="shared" si="11"/>
        <v>0.41301485933048426</v>
      </c>
      <c r="P84" s="109">
        <f t="shared" si="12"/>
        <v>27</v>
      </c>
      <c r="Q84" s="28">
        <f>AVERAGE($P$64:P84)</f>
        <v>27</v>
      </c>
      <c r="R84" s="81">
        <f>AVERAGE($P$3:P84)</f>
        <v>27</v>
      </c>
      <c r="S84">
        <f t="shared" si="14"/>
        <v>21</v>
      </c>
      <c r="T84">
        <f t="shared" si="16"/>
        <v>52</v>
      </c>
    </row>
    <row r="85" spans="2:20">
      <c r="B85" s="27">
        <f t="shared" si="15"/>
        <v>45465</v>
      </c>
      <c r="C85" s="28">
        <f>YEAR(Modelling[[#This Row],[Date]])+IF(MONTH(Modelling[[#This Row],[Date]])&gt;=4,1,0)</f>
        <v>2025</v>
      </c>
      <c r="D85" s="22">
        <f t="shared" si="13"/>
        <v>2024</v>
      </c>
      <c r="E85" s="29">
        <v>44713</v>
      </c>
      <c r="F85" s="22">
        <f>DAY(EOMONTH(Modelling[[#This Row],[Date]],0))</f>
        <v>30</v>
      </c>
      <c r="G85" s="28">
        <f>VLOOKUP(MONTH(Modelling[[#This Row],[Date]]),$W$3:$Z$14,4,0)/1000/Modelling[[#This Row],[Days]]</f>
        <v>247.8897</v>
      </c>
      <c r="H85" s="28">
        <f>SUM($G$64:G85)</f>
        <v>5453.5733999999993</v>
      </c>
      <c r="I85" s="28">
        <f>SUM($G$3:G85)</f>
        <v>14164.838399999997</v>
      </c>
      <c r="J85" s="30">
        <f>VLOOKUP(MONTH(Modelling[[#This Row],[Date]]),$W$3:$Y$14,3,0)</f>
        <v>8.23</v>
      </c>
      <c r="K85" s="30">
        <f>VLOOKUP(MONTH(Modelling[[#This Row],[Date]]),$W$3:$Y$14,3,0)</f>
        <v>8.23</v>
      </c>
      <c r="L85" s="30">
        <f>AVERAGE(J$3:J85)</f>
        <v>8.5766265060241071</v>
      </c>
      <c r="M85" s="31">
        <f t="shared" si="9"/>
        <v>0.38254583333333336</v>
      </c>
      <c r="N85" s="31">
        <f t="shared" si="10"/>
        <v>0.38254583333333331</v>
      </c>
      <c r="O85" s="31">
        <f t="shared" si="11"/>
        <v>0.41243997204751914</v>
      </c>
      <c r="P85" s="109">
        <f t="shared" si="12"/>
        <v>27</v>
      </c>
      <c r="Q85" s="28">
        <f>AVERAGE($P$64:P85)</f>
        <v>27</v>
      </c>
      <c r="R85" s="81">
        <f>AVERAGE($P$3:P85)</f>
        <v>27</v>
      </c>
      <c r="S85">
        <f t="shared" si="14"/>
        <v>22</v>
      </c>
      <c r="T85">
        <f t="shared" si="16"/>
        <v>53</v>
      </c>
    </row>
    <row r="86" spans="2:20">
      <c r="B86" s="27">
        <f t="shared" si="15"/>
        <v>45466</v>
      </c>
      <c r="C86" s="28">
        <f>YEAR(Modelling[[#This Row],[Date]])+IF(MONTH(Modelling[[#This Row],[Date]])&gt;=4,1,0)</f>
        <v>2025</v>
      </c>
      <c r="D86" s="22">
        <f t="shared" si="13"/>
        <v>2024</v>
      </c>
      <c r="E86" s="29">
        <v>44713</v>
      </c>
      <c r="F86" s="22">
        <f>DAY(EOMONTH(Modelling[[#This Row],[Date]],0))</f>
        <v>30</v>
      </c>
      <c r="G86" s="28">
        <f>VLOOKUP(MONTH(Modelling[[#This Row],[Date]]),$W$3:$Z$14,4,0)/1000/Modelling[[#This Row],[Days]]</f>
        <v>247.8897</v>
      </c>
      <c r="H86" s="28">
        <f>SUM($G$64:G86)</f>
        <v>5701.463099999999</v>
      </c>
      <c r="I86" s="28">
        <f>SUM($G$3:G86)</f>
        <v>14412.728099999997</v>
      </c>
      <c r="J86" s="30">
        <f>VLOOKUP(MONTH(Modelling[[#This Row],[Date]]),$W$3:$Y$14,3,0)</f>
        <v>8.23</v>
      </c>
      <c r="K86" s="30">
        <f>VLOOKUP(MONTH(Modelling[[#This Row],[Date]]),$W$3:$Y$14,3,0)</f>
        <v>8.23</v>
      </c>
      <c r="L86" s="30">
        <f>AVERAGE(J$3:J86)</f>
        <v>8.5725000000000104</v>
      </c>
      <c r="M86" s="31">
        <f t="shared" si="9"/>
        <v>0.38254583333333336</v>
      </c>
      <c r="N86" s="31">
        <f t="shared" si="10"/>
        <v>0.38254583333333331</v>
      </c>
      <c r="O86" s="31">
        <f t="shared" si="11"/>
        <v>0.41188637688614527</v>
      </c>
      <c r="P86" s="109">
        <f t="shared" si="12"/>
        <v>27</v>
      </c>
      <c r="Q86" s="28">
        <f>AVERAGE($P$64:P86)</f>
        <v>27</v>
      </c>
      <c r="R86" s="81">
        <f>AVERAGE($P$3:P86)</f>
        <v>27</v>
      </c>
      <c r="S86">
        <f t="shared" si="14"/>
        <v>23</v>
      </c>
      <c r="T86">
        <f t="shared" si="16"/>
        <v>54</v>
      </c>
    </row>
    <row r="87" spans="2:20">
      <c r="B87" s="27">
        <f t="shared" si="15"/>
        <v>45467</v>
      </c>
      <c r="C87" s="28">
        <f>YEAR(Modelling[[#This Row],[Date]])+IF(MONTH(Modelling[[#This Row],[Date]])&gt;=4,1,0)</f>
        <v>2025</v>
      </c>
      <c r="D87" s="22">
        <f t="shared" si="13"/>
        <v>2024</v>
      </c>
      <c r="E87" s="29">
        <v>44713</v>
      </c>
      <c r="F87" s="22">
        <f>DAY(EOMONTH(Modelling[[#This Row],[Date]],0))</f>
        <v>30</v>
      </c>
      <c r="G87" s="28">
        <f>VLOOKUP(MONTH(Modelling[[#This Row],[Date]]),$W$3:$Z$14,4,0)/1000/Modelling[[#This Row],[Days]]</f>
        <v>247.8897</v>
      </c>
      <c r="H87" s="28">
        <f>SUM($G$64:G87)</f>
        <v>5949.3527999999988</v>
      </c>
      <c r="I87" s="28">
        <f>SUM($G$3:G87)</f>
        <v>14660.617799999996</v>
      </c>
      <c r="J87" s="30">
        <f>VLOOKUP(MONTH(Modelling[[#This Row],[Date]]),$W$3:$Y$14,3,0)</f>
        <v>8.23</v>
      </c>
      <c r="K87" s="30">
        <f>VLOOKUP(MONTH(Modelling[[#This Row],[Date]]),$W$3:$Y$14,3,0)</f>
        <v>8.23</v>
      </c>
      <c r="L87" s="30">
        <f>AVERAGE(J$3:J87)</f>
        <v>8.5684705882353054</v>
      </c>
      <c r="M87" s="31">
        <f t="shared" si="9"/>
        <v>0.38254583333333336</v>
      </c>
      <c r="N87" s="31">
        <f t="shared" si="10"/>
        <v>0.38254583333333325</v>
      </c>
      <c r="O87" s="31">
        <f t="shared" si="11"/>
        <v>0.41135291245791233</v>
      </c>
      <c r="P87" s="109">
        <f t="shared" si="12"/>
        <v>27</v>
      </c>
      <c r="Q87" s="28">
        <f>AVERAGE($P$64:P87)</f>
        <v>27</v>
      </c>
      <c r="R87" s="81">
        <f>AVERAGE($P$3:P87)</f>
        <v>27</v>
      </c>
      <c r="S87">
        <f t="shared" si="14"/>
        <v>24</v>
      </c>
      <c r="T87">
        <f t="shared" si="16"/>
        <v>55</v>
      </c>
    </row>
    <row r="88" spans="2:20">
      <c r="B88" s="27">
        <f t="shared" si="15"/>
        <v>45468</v>
      </c>
      <c r="C88" s="28">
        <f>YEAR(Modelling[[#This Row],[Date]])+IF(MONTH(Modelling[[#This Row],[Date]])&gt;=4,1,0)</f>
        <v>2025</v>
      </c>
      <c r="D88" s="22">
        <f t="shared" si="13"/>
        <v>2024</v>
      </c>
      <c r="E88" s="29">
        <v>44713</v>
      </c>
      <c r="F88" s="22">
        <f>DAY(EOMONTH(Modelling[[#This Row],[Date]],0))</f>
        <v>30</v>
      </c>
      <c r="G88" s="28">
        <f>VLOOKUP(MONTH(Modelling[[#This Row],[Date]]),$W$3:$Z$14,4,0)/1000/Modelling[[#This Row],[Days]]</f>
        <v>247.8897</v>
      </c>
      <c r="H88" s="28">
        <f>SUM($G$64:G88)</f>
        <v>6197.2424999999985</v>
      </c>
      <c r="I88" s="28">
        <f>SUM($G$3:G88)</f>
        <v>14908.507499999996</v>
      </c>
      <c r="J88" s="30">
        <f>VLOOKUP(MONTH(Modelling[[#This Row],[Date]]),$W$3:$Y$14,3,0)</f>
        <v>8.23</v>
      </c>
      <c r="K88" s="30">
        <f>VLOOKUP(MONTH(Modelling[[#This Row],[Date]]),$W$3:$Y$14,3,0)</f>
        <v>8.23</v>
      </c>
      <c r="L88" s="30">
        <f>AVERAGE(J$3:J88)</f>
        <v>8.5645348837209418</v>
      </c>
      <c r="M88" s="31">
        <f t="shared" si="9"/>
        <v>0.38254583333333336</v>
      </c>
      <c r="N88" s="31">
        <f t="shared" si="10"/>
        <v>0.38254583333333325</v>
      </c>
      <c r="O88" s="31">
        <f t="shared" si="11"/>
        <v>0.41083850033068775</v>
      </c>
      <c r="P88" s="109">
        <f t="shared" si="12"/>
        <v>27</v>
      </c>
      <c r="Q88" s="28">
        <f>AVERAGE($P$64:P88)</f>
        <v>27</v>
      </c>
      <c r="R88" s="81">
        <f>AVERAGE($P$3:P88)</f>
        <v>27</v>
      </c>
      <c r="S88">
        <f t="shared" si="14"/>
        <v>25</v>
      </c>
      <c r="T88">
        <f t="shared" si="16"/>
        <v>56</v>
      </c>
    </row>
    <row r="89" spans="2:20">
      <c r="B89" s="27">
        <f t="shared" si="15"/>
        <v>45469</v>
      </c>
      <c r="C89" s="28">
        <f>YEAR(Modelling[[#This Row],[Date]])+IF(MONTH(Modelling[[#This Row],[Date]])&gt;=4,1,0)</f>
        <v>2025</v>
      </c>
      <c r="D89" s="22">
        <f t="shared" si="13"/>
        <v>2024</v>
      </c>
      <c r="E89" s="29">
        <v>44713</v>
      </c>
      <c r="F89" s="22">
        <f>DAY(EOMONTH(Modelling[[#This Row],[Date]],0))</f>
        <v>30</v>
      </c>
      <c r="G89" s="28">
        <f>VLOOKUP(MONTH(Modelling[[#This Row],[Date]]),$W$3:$Z$14,4,0)/1000/Modelling[[#This Row],[Days]]</f>
        <v>247.8897</v>
      </c>
      <c r="H89" s="28">
        <f>SUM($G$64:G89)</f>
        <v>6445.1321999999982</v>
      </c>
      <c r="I89" s="28">
        <f>SUM($G$3:G89)</f>
        <v>15156.397199999996</v>
      </c>
      <c r="J89" s="30">
        <f>VLOOKUP(MONTH(Modelling[[#This Row],[Date]]),$W$3:$Y$14,3,0)</f>
        <v>8.23</v>
      </c>
      <c r="K89" s="30">
        <f>VLOOKUP(MONTH(Modelling[[#This Row],[Date]]),$W$3:$Y$14,3,0)</f>
        <v>8.23</v>
      </c>
      <c r="L89" s="30">
        <f>AVERAGE(J$3:J89)</f>
        <v>8.5606896551724248</v>
      </c>
      <c r="M89" s="31">
        <f t="shared" si="9"/>
        <v>0.38254583333333336</v>
      </c>
      <c r="N89" s="31">
        <f t="shared" si="10"/>
        <v>0.38254583333333325</v>
      </c>
      <c r="O89" s="31">
        <f t="shared" si="11"/>
        <v>0.4103421377517868</v>
      </c>
      <c r="P89" s="109">
        <f t="shared" si="12"/>
        <v>27</v>
      </c>
      <c r="Q89" s="28">
        <f>AVERAGE($P$64:P89)</f>
        <v>27</v>
      </c>
      <c r="R89" s="81">
        <f>AVERAGE($P$3:P89)</f>
        <v>27</v>
      </c>
      <c r="S89">
        <f t="shared" si="14"/>
        <v>26</v>
      </c>
      <c r="T89">
        <f t="shared" si="16"/>
        <v>57</v>
      </c>
    </row>
    <row r="90" spans="2:20">
      <c r="B90" s="27">
        <f t="shared" si="15"/>
        <v>45470</v>
      </c>
      <c r="C90" s="28">
        <f>YEAR(Modelling[[#This Row],[Date]])+IF(MONTH(Modelling[[#This Row],[Date]])&gt;=4,1,0)</f>
        <v>2025</v>
      </c>
      <c r="D90" s="22">
        <f t="shared" si="13"/>
        <v>2024</v>
      </c>
      <c r="E90" s="29">
        <v>44713</v>
      </c>
      <c r="F90" s="22">
        <f>DAY(EOMONTH(Modelling[[#This Row],[Date]],0))</f>
        <v>30</v>
      </c>
      <c r="G90" s="28">
        <f>VLOOKUP(MONTH(Modelling[[#This Row],[Date]]),$W$3:$Z$14,4,0)/1000/Modelling[[#This Row],[Days]]</f>
        <v>247.8897</v>
      </c>
      <c r="H90" s="28">
        <f>SUM($G$64:G90)</f>
        <v>6693.0218999999979</v>
      </c>
      <c r="I90" s="28">
        <f>SUM($G$3:G90)</f>
        <v>15404.286899999996</v>
      </c>
      <c r="J90" s="30">
        <f>VLOOKUP(MONTH(Modelling[[#This Row],[Date]]),$W$3:$Y$14,3,0)</f>
        <v>8.23</v>
      </c>
      <c r="K90" s="30">
        <f>VLOOKUP(MONTH(Modelling[[#This Row],[Date]]),$W$3:$Y$14,3,0)</f>
        <v>8.23</v>
      </c>
      <c r="L90" s="30">
        <f>AVERAGE(J$3:J90)</f>
        <v>8.5569318181818304</v>
      </c>
      <c r="M90" s="31">
        <f t="shared" si="9"/>
        <v>0.38254583333333336</v>
      </c>
      <c r="N90" s="31">
        <f t="shared" si="10"/>
        <v>0.38254583333333325</v>
      </c>
      <c r="O90" s="31">
        <f t="shared" si="11"/>
        <v>0.40986289112388236</v>
      </c>
      <c r="P90" s="109">
        <f t="shared" si="12"/>
        <v>27</v>
      </c>
      <c r="Q90" s="28">
        <f>AVERAGE($P$64:P90)</f>
        <v>27</v>
      </c>
      <c r="R90" s="81">
        <f>AVERAGE($P$3:P90)</f>
        <v>27</v>
      </c>
      <c r="S90">
        <f t="shared" si="14"/>
        <v>27</v>
      </c>
      <c r="T90">
        <f t="shared" si="16"/>
        <v>58</v>
      </c>
    </row>
    <row r="91" spans="2:20">
      <c r="B91" s="27">
        <f t="shared" si="15"/>
        <v>45471</v>
      </c>
      <c r="C91" s="28">
        <f>YEAR(Modelling[[#This Row],[Date]])+IF(MONTH(Modelling[[#This Row],[Date]])&gt;=4,1,0)</f>
        <v>2025</v>
      </c>
      <c r="D91" s="22">
        <f t="shared" si="13"/>
        <v>2024</v>
      </c>
      <c r="E91" s="29">
        <v>44713</v>
      </c>
      <c r="F91" s="22">
        <f>DAY(EOMONTH(Modelling[[#This Row],[Date]],0))</f>
        <v>30</v>
      </c>
      <c r="G91" s="28">
        <f>VLOOKUP(MONTH(Modelling[[#This Row],[Date]]),$W$3:$Z$14,4,0)/1000/Modelling[[#This Row],[Days]]</f>
        <v>247.8897</v>
      </c>
      <c r="H91" s="28">
        <f>SUM($G$64:G91)</f>
        <v>6940.9115999999976</v>
      </c>
      <c r="I91" s="28">
        <f>SUM($G$3:G91)</f>
        <v>15652.176599999995</v>
      </c>
      <c r="J91" s="30">
        <f>VLOOKUP(MONTH(Modelling[[#This Row],[Date]]),$W$3:$Y$14,3,0)</f>
        <v>8.23</v>
      </c>
      <c r="K91" s="30">
        <f>VLOOKUP(MONTH(Modelling[[#This Row],[Date]]),$W$3:$Y$14,3,0)</f>
        <v>8.23</v>
      </c>
      <c r="L91" s="30">
        <f>AVERAGE(J$3:J91)</f>
        <v>8.5532584269663037</v>
      </c>
      <c r="M91" s="31">
        <f t="shared" si="9"/>
        <v>0.38254583333333336</v>
      </c>
      <c r="N91" s="31">
        <f t="shared" si="10"/>
        <v>0.38254583333333325</v>
      </c>
      <c r="O91" s="31">
        <f t="shared" si="11"/>
        <v>0.40939989014438155</v>
      </c>
      <c r="P91" s="109">
        <f t="shared" si="12"/>
        <v>27</v>
      </c>
      <c r="Q91" s="28">
        <f>AVERAGE($P$64:P91)</f>
        <v>27</v>
      </c>
      <c r="R91" s="81">
        <f>AVERAGE($P$3:P91)</f>
        <v>27</v>
      </c>
      <c r="S91">
        <f t="shared" si="14"/>
        <v>28</v>
      </c>
      <c r="T91">
        <f t="shared" si="16"/>
        <v>59</v>
      </c>
    </row>
    <row r="92" spans="2:20">
      <c r="B92" s="27">
        <f t="shared" si="15"/>
        <v>45472</v>
      </c>
      <c r="C92" s="28">
        <f>YEAR(Modelling[[#This Row],[Date]])+IF(MONTH(Modelling[[#This Row],[Date]])&gt;=4,1,0)</f>
        <v>2025</v>
      </c>
      <c r="D92" s="22">
        <f t="shared" si="13"/>
        <v>2024</v>
      </c>
      <c r="E92" s="29">
        <v>44713</v>
      </c>
      <c r="F92" s="22">
        <f>DAY(EOMONTH(Modelling[[#This Row],[Date]],0))</f>
        <v>30</v>
      </c>
      <c r="G92" s="28">
        <f>VLOOKUP(MONTH(Modelling[[#This Row],[Date]]),$W$3:$Z$14,4,0)/1000/Modelling[[#This Row],[Days]]</f>
        <v>247.8897</v>
      </c>
      <c r="H92" s="28">
        <f>SUM($G$64:G92)</f>
        <v>7188.8012999999974</v>
      </c>
      <c r="I92" s="28">
        <f>SUM($G$3:G92)</f>
        <v>15900.066299999995</v>
      </c>
      <c r="J92" s="30">
        <f>VLOOKUP(MONTH(Modelling[[#This Row],[Date]]),$W$3:$Y$14,3,0)</f>
        <v>8.23</v>
      </c>
      <c r="K92" s="30">
        <f>VLOOKUP(MONTH(Modelling[[#This Row],[Date]]),$W$3:$Y$14,3,0)</f>
        <v>8.23</v>
      </c>
      <c r="L92" s="30">
        <f>AVERAGE(J$3:J92)</f>
        <v>8.5496666666666776</v>
      </c>
      <c r="M92" s="31">
        <f t="shared" si="9"/>
        <v>0.38254583333333336</v>
      </c>
      <c r="N92" s="31">
        <f t="shared" si="10"/>
        <v>0.38254583333333314</v>
      </c>
      <c r="O92" s="31">
        <f t="shared" si="11"/>
        <v>0.40895232253086405</v>
      </c>
      <c r="P92" s="109">
        <f t="shared" si="12"/>
        <v>27</v>
      </c>
      <c r="Q92" s="28">
        <f>AVERAGE($P$64:P92)</f>
        <v>27</v>
      </c>
      <c r="R92" s="81">
        <f>AVERAGE($P$3:P92)</f>
        <v>27</v>
      </c>
      <c r="S92">
        <f t="shared" si="14"/>
        <v>29</v>
      </c>
      <c r="T92">
        <f t="shared" si="16"/>
        <v>60</v>
      </c>
    </row>
    <row r="93" spans="2:20">
      <c r="B93" s="27">
        <f t="shared" si="15"/>
        <v>45473</v>
      </c>
      <c r="C93" s="28">
        <f>YEAR(Modelling[[#This Row],[Date]])+IF(MONTH(Modelling[[#This Row],[Date]])&gt;=4,1,0)</f>
        <v>2025</v>
      </c>
      <c r="D93" s="22">
        <f t="shared" si="13"/>
        <v>2024</v>
      </c>
      <c r="E93" s="29">
        <v>44713</v>
      </c>
      <c r="F93" s="22">
        <f>DAY(EOMONTH(Modelling[[#This Row],[Date]],0))</f>
        <v>30</v>
      </c>
      <c r="G93" s="28">
        <f>VLOOKUP(MONTH(Modelling[[#This Row],[Date]]),$W$3:$Z$14,4,0)/1000/Modelling[[#This Row],[Days]]</f>
        <v>247.8897</v>
      </c>
      <c r="H93" s="28">
        <f>SUM($G$64:G93)</f>
        <v>7436.6909999999971</v>
      </c>
      <c r="I93" s="28">
        <f>SUM($G$3:G93)</f>
        <v>16147.955999999995</v>
      </c>
      <c r="J93" s="30">
        <f>VLOOKUP(MONTH(Modelling[[#This Row],[Date]]),$W$3:$Y$14,3,0)</f>
        <v>8.23</v>
      </c>
      <c r="K93" s="30">
        <f>VLOOKUP(MONTH(Modelling[[#This Row],[Date]]),$W$3:$Y$14,3,0)</f>
        <v>8.23</v>
      </c>
      <c r="L93" s="30">
        <f>AVERAGE(J$3:J93)</f>
        <v>8.5461538461538584</v>
      </c>
      <c r="M93" s="31">
        <f t="shared" si="9"/>
        <v>0.38254583333333336</v>
      </c>
      <c r="N93" s="31">
        <f t="shared" si="10"/>
        <v>0.38254583333333314</v>
      </c>
      <c r="O93" s="31">
        <f t="shared" si="11"/>
        <v>0.4085194292653308</v>
      </c>
      <c r="P93" s="109">
        <f t="shared" si="12"/>
        <v>27</v>
      </c>
      <c r="Q93" s="28">
        <f>AVERAGE($P$64:P93)</f>
        <v>27</v>
      </c>
      <c r="R93" s="81">
        <f>AVERAGE($P$3:P93)</f>
        <v>27</v>
      </c>
      <c r="S93">
        <f t="shared" si="14"/>
        <v>30</v>
      </c>
      <c r="T93">
        <f t="shared" si="16"/>
        <v>61</v>
      </c>
    </row>
    <row r="94" spans="2:20">
      <c r="B94" s="27">
        <f t="shared" si="15"/>
        <v>45474</v>
      </c>
      <c r="C94" s="28">
        <f>YEAR(Modelling[[#This Row],[Date]])+IF(MONTH(Modelling[[#This Row],[Date]])&gt;=4,1,0)</f>
        <v>2025</v>
      </c>
      <c r="D94" s="22">
        <f t="shared" si="13"/>
        <v>2024</v>
      </c>
      <c r="E94" s="29">
        <v>44743</v>
      </c>
      <c r="F94" s="22">
        <f>DAY(EOMONTH(Modelling[[#This Row],[Date]],0))</f>
        <v>31</v>
      </c>
      <c r="G94" s="28">
        <f>VLOOKUP(MONTH(Modelling[[#This Row],[Date]]),$W$3:$Z$14,4,0)/1000/Modelling[[#This Row],[Days]]</f>
        <v>774.98145161290324</v>
      </c>
      <c r="H94" s="28">
        <f>SUM($G$94:G94)</f>
        <v>774.98145161290324</v>
      </c>
      <c r="I94" s="28">
        <f>SUM($G$3:G94)</f>
        <v>16922.937451612899</v>
      </c>
      <c r="J94" s="30">
        <f>VLOOKUP(MONTH(Modelling[[#This Row],[Date]]),$W$3:$Y$14,3,0)</f>
        <v>9.35</v>
      </c>
      <c r="K94" s="30">
        <f>VLOOKUP(MONTH(Modelling[[#This Row],[Date]]),$W$3:$Y$14,3,0)</f>
        <v>9.35</v>
      </c>
      <c r="L94" s="30">
        <f>AVERAGE(J$3:J94)</f>
        <v>8.5548913043478372</v>
      </c>
      <c r="M94" s="31">
        <f t="shared" si="9"/>
        <v>0.45998424241031771</v>
      </c>
      <c r="N94" s="31">
        <f t="shared" si="10"/>
        <v>0.45998424241031766</v>
      </c>
      <c r="O94" s="31">
        <f t="shared" si="11"/>
        <v>0.41062333672094342</v>
      </c>
      <c r="P94" s="109">
        <f t="shared" si="12"/>
        <v>70.2</v>
      </c>
      <c r="Q94" s="28">
        <f>AVERAGE($P$94:P94)</f>
        <v>70.2</v>
      </c>
      <c r="R94" s="81">
        <f>AVERAGE($P$3:P94)</f>
        <v>27.696774193548389</v>
      </c>
      <c r="S94">
        <f t="shared" si="14"/>
        <v>1</v>
      </c>
      <c r="T94">
        <f t="shared" si="16"/>
        <v>62</v>
      </c>
    </row>
    <row r="95" spans="2:20">
      <c r="B95" s="27">
        <f t="shared" si="15"/>
        <v>45475</v>
      </c>
      <c r="C95" s="28">
        <f>YEAR(Modelling[[#This Row],[Date]])+IF(MONTH(Modelling[[#This Row],[Date]])&gt;=4,1,0)</f>
        <v>2025</v>
      </c>
      <c r="D95" s="22">
        <f t="shared" si="13"/>
        <v>2024</v>
      </c>
      <c r="E95" s="29">
        <v>44743</v>
      </c>
      <c r="F95" s="22">
        <f>DAY(EOMONTH(Modelling[[#This Row],[Date]],0))</f>
        <v>31</v>
      </c>
      <c r="G95" s="28">
        <f>VLOOKUP(MONTH(Modelling[[#This Row],[Date]]),$W$3:$Z$14,4,0)/1000/Modelling[[#This Row],[Days]]</f>
        <v>774.98145161290324</v>
      </c>
      <c r="H95" s="28">
        <f>SUM($G$94:G95)</f>
        <v>1549.9629032258065</v>
      </c>
      <c r="I95" s="28">
        <f>SUM($G$3:G95)</f>
        <v>17697.918903225804</v>
      </c>
      <c r="J95" s="30">
        <f>VLOOKUP(MONTH(Modelling[[#This Row],[Date]]),$W$3:$Y$14,3,0)</f>
        <v>9.35</v>
      </c>
      <c r="K95" s="30">
        <f>VLOOKUP(MONTH(Modelling[[#This Row],[Date]]),$W$3:$Y$14,3,0)</f>
        <v>9.35</v>
      </c>
      <c r="L95" s="30">
        <f>AVERAGE(J$3:J95)</f>
        <v>8.5634408602150653</v>
      </c>
      <c r="M95" s="31">
        <f t="shared" si="9"/>
        <v>0.45998424241031771</v>
      </c>
      <c r="N95" s="31">
        <f t="shared" si="10"/>
        <v>0.45998424241031766</v>
      </c>
      <c r="O95" s="31">
        <f t="shared" si="11"/>
        <v>0.41256198256372861</v>
      </c>
      <c r="P95" s="109">
        <f t="shared" si="12"/>
        <v>70.2</v>
      </c>
      <c r="Q95" s="28">
        <f>AVERAGE($P$94:P95)</f>
        <v>70.2</v>
      </c>
      <c r="R95" s="81">
        <f>AVERAGE($P$3:P95)</f>
        <v>28.371428571428574</v>
      </c>
      <c r="S95">
        <f t="shared" si="14"/>
        <v>2</v>
      </c>
      <c r="T95">
        <f t="shared" si="16"/>
        <v>63</v>
      </c>
    </row>
    <row r="96" spans="2:20">
      <c r="B96" s="27">
        <f t="shared" si="15"/>
        <v>45476</v>
      </c>
      <c r="C96" s="28">
        <f>YEAR(Modelling[[#This Row],[Date]])+IF(MONTH(Modelling[[#This Row],[Date]])&gt;=4,1,0)</f>
        <v>2025</v>
      </c>
      <c r="D96" s="22">
        <f t="shared" si="13"/>
        <v>2024</v>
      </c>
      <c r="E96" s="29">
        <v>44743</v>
      </c>
      <c r="F96" s="22">
        <f>DAY(EOMONTH(Modelling[[#This Row],[Date]],0))</f>
        <v>31</v>
      </c>
      <c r="G96" s="28">
        <f>VLOOKUP(MONTH(Modelling[[#This Row],[Date]]),$W$3:$Z$14,4,0)/1000/Modelling[[#This Row],[Days]]</f>
        <v>774.98145161290324</v>
      </c>
      <c r="H96" s="28">
        <f>SUM($G$94:G96)</f>
        <v>2324.9443548387098</v>
      </c>
      <c r="I96" s="28">
        <f>SUM($G$3:G96)</f>
        <v>18472.900354838708</v>
      </c>
      <c r="J96" s="30">
        <f>VLOOKUP(MONTH(Modelling[[#This Row],[Date]]),$W$3:$Y$14,3,0)</f>
        <v>9.35</v>
      </c>
      <c r="K96" s="30">
        <f>VLOOKUP(MONTH(Modelling[[#This Row],[Date]]),$W$3:$Y$14,3,0)</f>
        <v>9.35</v>
      </c>
      <c r="L96" s="30">
        <f>AVERAGE(J$3:J96)</f>
        <v>8.5718085106383093</v>
      </c>
      <c r="M96" s="31">
        <f t="shared" si="9"/>
        <v>0.45998424241031771</v>
      </c>
      <c r="N96" s="31">
        <f t="shared" si="10"/>
        <v>0.45998424241031771</v>
      </c>
      <c r="O96" s="31">
        <f t="shared" si="11"/>
        <v>0.41435410284862878</v>
      </c>
      <c r="P96" s="109">
        <f t="shared" si="12"/>
        <v>70.2</v>
      </c>
      <c r="Q96" s="28">
        <f>AVERAGE($P$94:P96)</f>
        <v>70.2</v>
      </c>
      <c r="R96" s="81">
        <f>AVERAGE($P$3:P96)</f>
        <v>29.025000000000002</v>
      </c>
      <c r="S96">
        <f t="shared" si="14"/>
        <v>3</v>
      </c>
      <c r="T96">
        <f t="shared" si="16"/>
        <v>64</v>
      </c>
    </row>
    <row r="97" spans="2:20">
      <c r="B97" s="27">
        <f t="shared" si="15"/>
        <v>45477</v>
      </c>
      <c r="C97" s="28">
        <f>YEAR(Modelling[[#This Row],[Date]])+IF(MONTH(Modelling[[#This Row],[Date]])&gt;=4,1,0)</f>
        <v>2025</v>
      </c>
      <c r="D97" s="22">
        <f t="shared" si="13"/>
        <v>2024</v>
      </c>
      <c r="E97" s="29">
        <v>44743</v>
      </c>
      <c r="F97" s="22">
        <f>DAY(EOMONTH(Modelling[[#This Row],[Date]],0))</f>
        <v>31</v>
      </c>
      <c r="G97" s="28">
        <f>VLOOKUP(MONTH(Modelling[[#This Row],[Date]]),$W$3:$Z$14,4,0)/1000/Modelling[[#This Row],[Days]]</f>
        <v>774.98145161290324</v>
      </c>
      <c r="H97" s="28">
        <f>SUM($G$94:G97)</f>
        <v>3099.925806451613</v>
      </c>
      <c r="I97" s="28">
        <f>SUM($G$3:G97)</f>
        <v>19247.881806451613</v>
      </c>
      <c r="J97" s="30">
        <f>VLOOKUP(MONTH(Modelling[[#This Row],[Date]]),$W$3:$Y$14,3,0)</f>
        <v>9.35</v>
      </c>
      <c r="K97" s="30">
        <f>VLOOKUP(MONTH(Modelling[[#This Row],[Date]]),$W$3:$Y$14,3,0)</f>
        <v>9.35</v>
      </c>
      <c r="L97" s="30">
        <f>AVERAGE(J$3:J97)</f>
        <v>8.5800000000000125</v>
      </c>
      <c r="M97" s="31">
        <f t="shared" si="9"/>
        <v>0.45998424241031771</v>
      </c>
      <c r="N97" s="31">
        <f t="shared" si="10"/>
        <v>0.45998424241031766</v>
      </c>
      <c r="O97" s="31">
        <f t="shared" si="11"/>
        <v>0.41601570456936254</v>
      </c>
      <c r="P97" s="109">
        <f t="shared" si="12"/>
        <v>70.2</v>
      </c>
      <c r="Q97" s="28">
        <f>AVERAGE($P$94:P97)</f>
        <v>70.2</v>
      </c>
      <c r="R97" s="81">
        <f>AVERAGE($P$3:P97)</f>
        <v>29.658461538461541</v>
      </c>
      <c r="S97">
        <f t="shared" si="14"/>
        <v>4</v>
      </c>
      <c r="T97">
        <f t="shared" si="16"/>
        <v>65</v>
      </c>
    </row>
    <row r="98" spans="2:20">
      <c r="B98" s="27">
        <f t="shared" si="15"/>
        <v>45478</v>
      </c>
      <c r="C98" s="28">
        <f>YEAR(Modelling[[#This Row],[Date]])+IF(MONTH(Modelling[[#This Row],[Date]])&gt;=4,1,0)</f>
        <v>2025</v>
      </c>
      <c r="D98" s="22">
        <f t="shared" si="13"/>
        <v>2024</v>
      </c>
      <c r="E98" s="29">
        <v>44743</v>
      </c>
      <c r="F98" s="22">
        <f>DAY(EOMONTH(Modelling[[#This Row],[Date]],0))</f>
        <v>31</v>
      </c>
      <c r="G98" s="28">
        <f>VLOOKUP(MONTH(Modelling[[#This Row],[Date]]),$W$3:$Z$14,4,0)/1000/Modelling[[#This Row],[Days]]</f>
        <v>774.98145161290324</v>
      </c>
      <c r="H98" s="28">
        <f>SUM($G$94:G98)</f>
        <v>3874.9072580645161</v>
      </c>
      <c r="I98" s="28">
        <f>SUM($G$3:G98)</f>
        <v>20022.863258064517</v>
      </c>
      <c r="J98" s="30">
        <f>VLOOKUP(MONTH(Modelling[[#This Row],[Date]]),$W$3:$Y$14,3,0)</f>
        <v>9.35</v>
      </c>
      <c r="K98" s="30">
        <f>VLOOKUP(MONTH(Modelling[[#This Row],[Date]]),$W$3:$Y$14,3,0)</f>
        <v>9.35</v>
      </c>
      <c r="L98" s="30">
        <f>AVERAGE(J$3:J98)</f>
        <v>8.5880208333333456</v>
      </c>
      <c r="M98" s="31">
        <f t="shared" si="9"/>
        <v>0.45998424241031771</v>
      </c>
      <c r="N98" s="31">
        <f t="shared" si="10"/>
        <v>0.45998424241031766</v>
      </c>
      <c r="O98" s="31">
        <f t="shared" si="11"/>
        <v>0.41756054508809881</v>
      </c>
      <c r="P98" s="109">
        <f t="shared" si="12"/>
        <v>70.2</v>
      </c>
      <c r="Q98" s="28">
        <f>AVERAGE($P$94:P98)</f>
        <v>70.2</v>
      </c>
      <c r="R98" s="81">
        <f>AVERAGE($P$3:P98)</f>
        <v>30.272727272727277</v>
      </c>
      <c r="S98">
        <f t="shared" si="14"/>
        <v>5</v>
      </c>
      <c r="T98">
        <f t="shared" si="16"/>
        <v>66</v>
      </c>
    </row>
    <row r="99" spans="2:20">
      <c r="B99" s="27">
        <f t="shared" si="15"/>
        <v>45479</v>
      </c>
      <c r="C99" s="28">
        <f>YEAR(Modelling[[#This Row],[Date]])+IF(MONTH(Modelling[[#This Row],[Date]])&gt;=4,1,0)</f>
        <v>2025</v>
      </c>
      <c r="D99" s="22">
        <f t="shared" si="13"/>
        <v>2024</v>
      </c>
      <c r="E99" s="29">
        <v>44743</v>
      </c>
      <c r="F99" s="22">
        <f>DAY(EOMONTH(Modelling[[#This Row],[Date]],0))</f>
        <v>31</v>
      </c>
      <c r="G99" s="28">
        <f>VLOOKUP(MONTH(Modelling[[#This Row],[Date]]),$W$3:$Z$14,4,0)/1000/Modelling[[#This Row],[Days]]</f>
        <v>774.98145161290324</v>
      </c>
      <c r="H99" s="28">
        <f>SUM($G$94:G99)</f>
        <v>4649.8887096774197</v>
      </c>
      <c r="I99" s="28">
        <f>SUM($G$3:G99)</f>
        <v>20797.844709677422</v>
      </c>
      <c r="J99" s="30">
        <f>VLOOKUP(MONTH(Modelling[[#This Row],[Date]]),$W$3:$Y$14,3,0)</f>
        <v>9.35</v>
      </c>
      <c r="K99" s="30">
        <f>VLOOKUP(MONTH(Modelling[[#This Row],[Date]]),$W$3:$Y$14,3,0)</f>
        <v>9.35</v>
      </c>
      <c r="L99" s="30">
        <f>AVERAGE(J$3:J99)</f>
        <v>8.5958762886598059</v>
      </c>
      <c r="M99" s="31">
        <f t="shared" si="9"/>
        <v>0.45998424241031771</v>
      </c>
      <c r="N99" s="31">
        <f t="shared" si="10"/>
        <v>0.45998424241031771</v>
      </c>
      <c r="O99" s="31">
        <f t="shared" si="11"/>
        <v>0.419000513926712</v>
      </c>
      <c r="P99" s="109">
        <f t="shared" si="12"/>
        <v>70.2</v>
      </c>
      <c r="Q99" s="28">
        <f>AVERAGE($P$94:P99)</f>
        <v>70.2</v>
      </c>
      <c r="R99" s="81">
        <f>AVERAGE($P$3:P99)</f>
        <v>30.868656716417913</v>
      </c>
      <c r="S99">
        <f t="shared" si="14"/>
        <v>6</v>
      </c>
      <c r="T99">
        <f t="shared" si="16"/>
        <v>67</v>
      </c>
    </row>
    <row r="100" spans="2:20">
      <c r="B100" s="27">
        <f t="shared" si="15"/>
        <v>45480</v>
      </c>
      <c r="C100" s="28">
        <f>YEAR(Modelling[[#This Row],[Date]])+IF(MONTH(Modelling[[#This Row],[Date]])&gt;=4,1,0)</f>
        <v>2025</v>
      </c>
      <c r="D100" s="22">
        <f t="shared" si="13"/>
        <v>2024</v>
      </c>
      <c r="E100" s="29">
        <v>44743</v>
      </c>
      <c r="F100" s="22">
        <f>DAY(EOMONTH(Modelling[[#This Row],[Date]],0))</f>
        <v>31</v>
      </c>
      <c r="G100" s="28">
        <f>VLOOKUP(MONTH(Modelling[[#This Row],[Date]]),$W$3:$Z$14,4,0)/1000/Modelling[[#This Row],[Days]]</f>
        <v>774.98145161290324</v>
      </c>
      <c r="H100" s="28">
        <f>SUM($G$94:G100)</f>
        <v>5424.8701612903233</v>
      </c>
      <c r="I100" s="28">
        <f>SUM($G$3:G100)</f>
        <v>21572.826161290326</v>
      </c>
      <c r="J100" s="30">
        <f>VLOOKUP(MONTH(Modelling[[#This Row],[Date]]),$W$3:$Y$14,3,0)</f>
        <v>9.35</v>
      </c>
      <c r="K100" s="30">
        <f>VLOOKUP(MONTH(Modelling[[#This Row],[Date]]),$W$3:$Y$14,3,0)</f>
        <v>9.35</v>
      </c>
      <c r="L100" s="30">
        <f>AVERAGE(J$3:J100)</f>
        <v>8.603571428571442</v>
      </c>
      <c r="M100" s="31">
        <f t="shared" si="9"/>
        <v>0.45998424241031771</v>
      </c>
      <c r="N100" s="31">
        <f t="shared" si="10"/>
        <v>0.45998424241031771</v>
      </c>
      <c r="O100" s="31">
        <f t="shared" si="11"/>
        <v>0.42034593935672943</v>
      </c>
      <c r="P100" s="109">
        <f t="shared" si="12"/>
        <v>70.2</v>
      </c>
      <c r="Q100" s="28">
        <f>AVERAGE($P$94:P100)</f>
        <v>70.2</v>
      </c>
      <c r="R100" s="81">
        <f>AVERAGE($P$3:P100)</f>
        <v>31.447058823529414</v>
      </c>
      <c r="S100">
        <f t="shared" si="14"/>
        <v>7</v>
      </c>
      <c r="T100">
        <f t="shared" si="16"/>
        <v>68</v>
      </c>
    </row>
    <row r="101" spans="2:20">
      <c r="B101" s="27">
        <f t="shared" si="15"/>
        <v>45481</v>
      </c>
      <c r="C101" s="28">
        <f>YEAR(Modelling[[#This Row],[Date]])+IF(MONTH(Modelling[[#This Row],[Date]])&gt;=4,1,0)</f>
        <v>2025</v>
      </c>
      <c r="D101" s="22">
        <f t="shared" si="13"/>
        <v>2024</v>
      </c>
      <c r="E101" s="29">
        <v>44743</v>
      </c>
      <c r="F101" s="22">
        <f>DAY(EOMONTH(Modelling[[#This Row],[Date]],0))</f>
        <v>31</v>
      </c>
      <c r="G101" s="28">
        <f>VLOOKUP(MONTH(Modelling[[#This Row],[Date]]),$W$3:$Z$14,4,0)/1000/Modelling[[#This Row],[Days]]</f>
        <v>774.98145161290324</v>
      </c>
      <c r="H101" s="28">
        <f>SUM($G$94:G101)</f>
        <v>6199.8516129032269</v>
      </c>
      <c r="I101" s="28">
        <f>SUM($G$3:G101)</f>
        <v>22347.807612903231</v>
      </c>
      <c r="J101" s="30">
        <f>VLOOKUP(MONTH(Modelling[[#This Row],[Date]]),$W$3:$Y$14,3,0)</f>
        <v>9.35</v>
      </c>
      <c r="K101" s="30">
        <f>VLOOKUP(MONTH(Modelling[[#This Row],[Date]]),$W$3:$Y$14,3,0)</f>
        <v>9.35</v>
      </c>
      <c r="L101" s="30">
        <f>AVERAGE(J$3:J101)</f>
        <v>8.6111111111111232</v>
      </c>
      <c r="M101" s="31">
        <f t="shared" si="9"/>
        <v>0.45998424241031771</v>
      </c>
      <c r="N101" s="31">
        <f t="shared" si="10"/>
        <v>0.45998424241031771</v>
      </c>
      <c r="O101" s="31">
        <f t="shared" si="11"/>
        <v>0.42160583651980199</v>
      </c>
      <c r="P101" s="109">
        <f t="shared" si="12"/>
        <v>70.2</v>
      </c>
      <c r="Q101" s="28">
        <f>AVERAGE($P$94:P101)</f>
        <v>70.2</v>
      </c>
      <c r="R101" s="81">
        <f>AVERAGE($P$3:P101)</f>
        <v>32.008695652173913</v>
      </c>
      <c r="S101">
        <f t="shared" si="14"/>
        <v>8</v>
      </c>
      <c r="T101">
        <f t="shared" si="16"/>
        <v>69</v>
      </c>
    </row>
    <row r="102" spans="2:20">
      <c r="B102" s="27">
        <f t="shared" si="15"/>
        <v>45482</v>
      </c>
      <c r="C102" s="28">
        <f>YEAR(Modelling[[#This Row],[Date]])+IF(MONTH(Modelling[[#This Row],[Date]])&gt;=4,1,0)</f>
        <v>2025</v>
      </c>
      <c r="D102" s="22">
        <f t="shared" si="13"/>
        <v>2024</v>
      </c>
      <c r="E102" s="29">
        <v>44743</v>
      </c>
      <c r="F102" s="22">
        <f>DAY(EOMONTH(Modelling[[#This Row],[Date]],0))</f>
        <v>31</v>
      </c>
      <c r="G102" s="28">
        <f>VLOOKUP(MONTH(Modelling[[#This Row],[Date]]),$W$3:$Z$14,4,0)/1000/Modelling[[#This Row],[Days]]</f>
        <v>774.98145161290324</v>
      </c>
      <c r="H102" s="28">
        <f>SUM($G$94:G102)</f>
        <v>6974.8330645161304</v>
      </c>
      <c r="I102" s="28">
        <f>SUM($G$3:G102)</f>
        <v>23122.789064516135</v>
      </c>
      <c r="J102" s="30">
        <f>VLOOKUP(MONTH(Modelling[[#This Row],[Date]]),$W$3:$Y$14,3,0)</f>
        <v>9.35</v>
      </c>
      <c r="K102" s="30">
        <f>VLOOKUP(MONTH(Modelling[[#This Row],[Date]]),$W$3:$Y$14,3,0)</f>
        <v>9.35</v>
      </c>
      <c r="L102" s="30">
        <f>AVERAGE(J$3:J102)</f>
        <v>8.6185000000000134</v>
      </c>
      <c r="M102" s="31">
        <f t="shared" si="9"/>
        <v>0.45998424241031771</v>
      </c>
      <c r="N102" s="31">
        <f t="shared" si="10"/>
        <v>0.45998424241031771</v>
      </c>
      <c r="O102" s="31">
        <f t="shared" si="11"/>
        <v>0.42278810968704539</v>
      </c>
      <c r="P102" s="109">
        <f t="shared" si="12"/>
        <v>70.2</v>
      </c>
      <c r="Q102" s="28">
        <f>AVERAGE($P$94:P102)</f>
        <v>70.2</v>
      </c>
      <c r="R102" s="81">
        <f>AVERAGE($P$3:P102)</f>
        <v>32.554285714285712</v>
      </c>
      <c r="S102">
        <f t="shared" si="14"/>
        <v>9</v>
      </c>
      <c r="T102">
        <f t="shared" si="16"/>
        <v>70</v>
      </c>
    </row>
    <row r="103" spans="2:20">
      <c r="B103" s="27">
        <f t="shared" si="15"/>
        <v>45483</v>
      </c>
      <c r="C103" s="28">
        <f>YEAR(Modelling[[#This Row],[Date]])+IF(MONTH(Modelling[[#This Row],[Date]])&gt;=4,1,0)</f>
        <v>2025</v>
      </c>
      <c r="D103" s="22">
        <f t="shared" si="13"/>
        <v>2024</v>
      </c>
      <c r="E103" s="29">
        <v>44743</v>
      </c>
      <c r="F103" s="22">
        <f>DAY(EOMONTH(Modelling[[#This Row],[Date]],0))</f>
        <v>31</v>
      </c>
      <c r="G103" s="28">
        <f>VLOOKUP(MONTH(Modelling[[#This Row],[Date]]),$W$3:$Z$14,4,0)/1000/Modelling[[#This Row],[Days]]</f>
        <v>774.98145161290324</v>
      </c>
      <c r="H103" s="28">
        <f>SUM($G$94:G103)</f>
        <v>7749.814516129034</v>
      </c>
      <c r="I103" s="28">
        <f>SUM($G$3:G103)</f>
        <v>23897.77051612904</v>
      </c>
      <c r="J103" s="30">
        <f>VLOOKUP(MONTH(Modelling[[#This Row],[Date]]),$W$3:$Y$14,3,0)</f>
        <v>9.35</v>
      </c>
      <c r="K103" s="30">
        <f>VLOOKUP(MONTH(Modelling[[#This Row],[Date]]),$W$3:$Y$14,3,0)</f>
        <v>9.35</v>
      </c>
      <c r="L103" s="30">
        <f>AVERAGE(J$3:J103)</f>
        <v>8.6257425742574387</v>
      </c>
      <c r="M103" s="31">
        <f t="shared" si="9"/>
        <v>0.45998424241031771</v>
      </c>
      <c r="N103" s="31">
        <f t="shared" si="10"/>
        <v>0.45998424241031766</v>
      </c>
      <c r="O103" s="31">
        <f t="shared" si="11"/>
        <v>0.42389971825118927</v>
      </c>
      <c r="P103" s="109">
        <f t="shared" si="12"/>
        <v>70.2</v>
      </c>
      <c r="Q103" s="28">
        <f>AVERAGE($P$94:P103)</f>
        <v>70.200000000000017</v>
      </c>
      <c r="R103" s="81">
        <f>AVERAGE($P$3:P103)</f>
        <v>33.084507042253513</v>
      </c>
      <c r="S103">
        <f t="shared" si="14"/>
        <v>10</v>
      </c>
      <c r="T103">
        <f t="shared" si="16"/>
        <v>71</v>
      </c>
    </row>
    <row r="104" spans="2:20">
      <c r="B104" s="27">
        <f t="shared" si="15"/>
        <v>45484</v>
      </c>
      <c r="C104" s="28">
        <f>YEAR(Modelling[[#This Row],[Date]])+IF(MONTH(Modelling[[#This Row],[Date]])&gt;=4,1,0)</f>
        <v>2025</v>
      </c>
      <c r="D104" s="22">
        <f t="shared" si="13"/>
        <v>2024</v>
      </c>
      <c r="E104" s="29">
        <v>44743</v>
      </c>
      <c r="F104" s="22">
        <f>DAY(EOMONTH(Modelling[[#This Row],[Date]],0))</f>
        <v>31</v>
      </c>
      <c r="G104" s="28">
        <f>VLOOKUP(MONTH(Modelling[[#This Row],[Date]]),$W$3:$Z$14,4,0)/1000/Modelling[[#This Row],[Days]]</f>
        <v>774.98145161290324</v>
      </c>
      <c r="H104" s="28">
        <f>SUM($G$94:G104)</f>
        <v>8524.7959677419367</v>
      </c>
      <c r="I104" s="28">
        <f>SUM($G$3:G104)</f>
        <v>24672.751967741944</v>
      </c>
      <c r="J104" s="30">
        <f>VLOOKUP(MONTH(Modelling[[#This Row],[Date]]),$W$3:$Y$14,3,0)</f>
        <v>9.35</v>
      </c>
      <c r="K104" s="30">
        <f>VLOOKUP(MONTH(Modelling[[#This Row],[Date]]),$W$3:$Y$14,3,0)</f>
        <v>9.35</v>
      </c>
      <c r="L104" s="30">
        <f>AVERAGE(J$3:J104)</f>
        <v>8.6328431372549144</v>
      </c>
      <c r="M104" s="31">
        <f t="shared" si="9"/>
        <v>0.45998424241031771</v>
      </c>
      <c r="N104" s="31">
        <f t="shared" si="10"/>
        <v>0.45998424241031766</v>
      </c>
      <c r="O104" s="31">
        <f t="shared" si="11"/>
        <v>0.42494681381830679</v>
      </c>
      <c r="P104" s="109">
        <f t="shared" si="12"/>
        <v>70.2</v>
      </c>
      <c r="Q104" s="28">
        <f>AVERAGE($P$94:P104)</f>
        <v>70.200000000000017</v>
      </c>
      <c r="R104" s="81">
        <f>AVERAGE($P$3:P104)</f>
        <v>33.599999999999994</v>
      </c>
      <c r="S104">
        <f t="shared" si="14"/>
        <v>11</v>
      </c>
      <c r="T104">
        <f t="shared" si="16"/>
        <v>72</v>
      </c>
    </row>
    <row r="105" spans="2:20">
      <c r="B105" s="27">
        <f t="shared" si="15"/>
        <v>45485</v>
      </c>
      <c r="C105" s="28">
        <f>YEAR(Modelling[[#This Row],[Date]])+IF(MONTH(Modelling[[#This Row],[Date]])&gt;=4,1,0)</f>
        <v>2025</v>
      </c>
      <c r="D105" s="22">
        <f t="shared" si="13"/>
        <v>2024</v>
      </c>
      <c r="E105" s="29">
        <v>44743</v>
      </c>
      <c r="F105" s="22">
        <f>DAY(EOMONTH(Modelling[[#This Row],[Date]],0))</f>
        <v>31</v>
      </c>
      <c r="G105" s="28">
        <f>VLOOKUP(MONTH(Modelling[[#This Row],[Date]]),$W$3:$Z$14,4,0)/1000/Modelling[[#This Row],[Days]]</f>
        <v>774.98145161290324</v>
      </c>
      <c r="H105" s="28">
        <f>SUM($G$94:G105)</f>
        <v>9299.7774193548394</v>
      </c>
      <c r="I105" s="28">
        <f>SUM($G$3:G105)</f>
        <v>25447.733419354849</v>
      </c>
      <c r="J105" s="30">
        <f>VLOOKUP(MONTH(Modelling[[#This Row],[Date]]),$W$3:$Y$14,3,0)</f>
        <v>9.35</v>
      </c>
      <c r="K105" s="30">
        <f>VLOOKUP(MONTH(Modelling[[#This Row],[Date]]),$W$3:$Y$14,3,0)</f>
        <v>9.35</v>
      </c>
      <c r="L105" s="30">
        <f>AVERAGE(J$3:J105)</f>
        <v>8.6398058252427319</v>
      </c>
      <c r="M105" s="31">
        <f t="shared" si="9"/>
        <v>0.45998424241031771</v>
      </c>
      <c r="N105" s="31">
        <f t="shared" si="10"/>
        <v>0.45998424241031766</v>
      </c>
      <c r="O105" s="31">
        <f t="shared" si="11"/>
        <v>0.42593485410398185</v>
      </c>
      <c r="P105" s="109">
        <f t="shared" si="12"/>
        <v>70.2</v>
      </c>
      <c r="Q105" s="28">
        <f>AVERAGE($P$94:P105)</f>
        <v>70.200000000000017</v>
      </c>
      <c r="R105" s="81">
        <f>AVERAGE($P$3:P105)</f>
        <v>34.101369863013687</v>
      </c>
      <c r="S105">
        <f t="shared" si="14"/>
        <v>12</v>
      </c>
      <c r="T105">
        <f t="shared" si="16"/>
        <v>73</v>
      </c>
    </row>
    <row r="106" spans="2:20">
      <c r="B106" s="27">
        <f t="shared" si="15"/>
        <v>45486</v>
      </c>
      <c r="C106" s="28">
        <f>YEAR(Modelling[[#This Row],[Date]])+IF(MONTH(Modelling[[#This Row],[Date]])&gt;=4,1,0)</f>
        <v>2025</v>
      </c>
      <c r="D106" s="22">
        <f t="shared" si="13"/>
        <v>2024</v>
      </c>
      <c r="E106" s="29">
        <v>44743</v>
      </c>
      <c r="F106" s="22">
        <f>DAY(EOMONTH(Modelling[[#This Row],[Date]],0))</f>
        <v>31</v>
      </c>
      <c r="G106" s="28">
        <f>VLOOKUP(MONTH(Modelling[[#This Row],[Date]]),$W$3:$Z$14,4,0)/1000/Modelling[[#This Row],[Days]]</f>
        <v>774.98145161290324</v>
      </c>
      <c r="H106" s="28">
        <f>SUM($G$94:G106)</f>
        <v>10074.758870967742</v>
      </c>
      <c r="I106" s="28">
        <f>SUM($G$3:G106)</f>
        <v>26222.714870967753</v>
      </c>
      <c r="J106" s="30">
        <f>VLOOKUP(MONTH(Modelling[[#This Row],[Date]]),$W$3:$Y$14,3,0)</f>
        <v>9.35</v>
      </c>
      <c r="K106" s="30">
        <f>VLOOKUP(MONTH(Modelling[[#This Row],[Date]]),$W$3:$Y$14,3,0)</f>
        <v>9.35</v>
      </c>
      <c r="L106" s="30">
        <f>AVERAGE(J$3:J106)</f>
        <v>8.6466346153846292</v>
      </c>
      <c r="M106" s="31">
        <f t="shared" si="9"/>
        <v>0.45998424241031771</v>
      </c>
      <c r="N106" s="31">
        <f t="shared" si="10"/>
        <v>0.45998424241031755</v>
      </c>
      <c r="O106" s="31">
        <f t="shared" si="11"/>
        <v>0.42686869808706707</v>
      </c>
      <c r="P106" s="109">
        <f t="shared" si="12"/>
        <v>70.2</v>
      </c>
      <c r="Q106" s="28">
        <f>AVERAGE($P$94:P106)</f>
        <v>70.200000000000017</v>
      </c>
      <c r="R106" s="81">
        <f>AVERAGE($P$3:P106)</f>
        <v>34.589189189189177</v>
      </c>
      <c r="S106">
        <f t="shared" si="14"/>
        <v>13</v>
      </c>
      <c r="T106">
        <f t="shared" si="16"/>
        <v>74</v>
      </c>
    </row>
    <row r="107" spans="2:20">
      <c r="B107" s="27">
        <f t="shared" si="15"/>
        <v>45487</v>
      </c>
      <c r="C107" s="28">
        <f>YEAR(Modelling[[#This Row],[Date]])+IF(MONTH(Modelling[[#This Row],[Date]])&gt;=4,1,0)</f>
        <v>2025</v>
      </c>
      <c r="D107" s="22">
        <f t="shared" si="13"/>
        <v>2024</v>
      </c>
      <c r="E107" s="29">
        <v>44743</v>
      </c>
      <c r="F107" s="22">
        <f>DAY(EOMONTH(Modelling[[#This Row],[Date]],0))</f>
        <v>31</v>
      </c>
      <c r="G107" s="28">
        <f>VLOOKUP(MONTH(Modelling[[#This Row],[Date]]),$W$3:$Z$14,4,0)/1000/Modelling[[#This Row],[Days]]</f>
        <v>774.98145161290324</v>
      </c>
      <c r="H107" s="28">
        <f>SUM($G$94:G107)</f>
        <v>10849.740322580645</v>
      </c>
      <c r="I107" s="28">
        <f>SUM($G$3:G107)</f>
        <v>26997.696322580658</v>
      </c>
      <c r="J107" s="30">
        <f>VLOOKUP(MONTH(Modelling[[#This Row],[Date]]),$W$3:$Y$14,3,0)</f>
        <v>9.35</v>
      </c>
      <c r="K107" s="30">
        <f>VLOOKUP(MONTH(Modelling[[#This Row],[Date]]),$W$3:$Y$14,3,0)</f>
        <v>9.35</v>
      </c>
      <c r="L107" s="30">
        <f>AVERAGE(J$3:J107)</f>
        <v>8.6533333333333466</v>
      </c>
      <c r="M107" s="31">
        <f t="shared" si="9"/>
        <v>0.45998424241031771</v>
      </c>
      <c r="N107" s="31">
        <f t="shared" si="10"/>
        <v>0.45998424241031755</v>
      </c>
      <c r="O107" s="31">
        <f t="shared" si="11"/>
        <v>0.42775268592321136</v>
      </c>
      <c r="P107" s="109">
        <f t="shared" si="12"/>
        <v>70.2</v>
      </c>
      <c r="Q107" s="28">
        <f>AVERAGE($P$94:P107)</f>
        <v>70.200000000000017</v>
      </c>
      <c r="R107" s="81">
        <f>AVERAGE($P$3:P107)</f>
        <v>35.063999999999986</v>
      </c>
      <c r="S107">
        <f t="shared" si="14"/>
        <v>14</v>
      </c>
      <c r="T107">
        <f t="shared" si="16"/>
        <v>75</v>
      </c>
    </row>
    <row r="108" spans="2:20">
      <c r="B108" s="27">
        <f t="shared" si="15"/>
        <v>45488</v>
      </c>
      <c r="C108" s="28">
        <f>YEAR(Modelling[[#This Row],[Date]])+IF(MONTH(Modelling[[#This Row],[Date]])&gt;=4,1,0)</f>
        <v>2025</v>
      </c>
      <c r="D108" s="22">
        <f t="shared" si="13"/>
        <v>2024</v>
      </c>
      <c r="E108" s="29">
        <v>44743</v>
      </c>
      <c r="F108" s="22">
        <f>DAY(EOMONTH(Modelling[[#This Row],[Date]],0))</f>
        <v>31</v>
      </c>
      <c r="G108" s="28">
        <f>VLOOKUP(MONTH(Modelling[[#This Row],[Date]]),$W$3:$Z$14,4,0)/1000/Modelling[[#This Row],[Days]]</f>
        <v>774.98145161290324</v>
      </c>
      <c r="H108" s="28">
        <f>SUM($G$94:G108)</f>
        <v>11624.721774193547</v>
      </c>
      <c r="I108" s="28">
        <f>SUM($G$3:G108)</f>
        <v>27772.677774193562</v>
      </c>
      <c r="J108" s="30">
        <f>VLOOKUP(MONTH(Modelling[[#This Row],[Date]]),$W$3:$Y$14,3,0)</f>
        <v>9.35</v>
      </c>
      <c r="K108" s="30">
        <f>VLOOKUP(MONTH(Modelling[[#This Row],[Date]]),$W$3:$Y$14,3,0)</f>
        <v>9.35</v>
      </c>
      <c r="L108" s="30">
        <f>AVERAGE(J$3:J108)</f>
        <v>8.6599056603773725</v>
      </c>
      <c r="M108" s="31">
        <f t="shared" si="9"/>
        <v>0.45998424241031771</v>
      </c>
      <c r="N108" s="31">
        <f t="shared" si="10"/>
        <v>0.45998424241031755</v>
      </c>
      <c r="O108" s="31">
        <f t="shared" si="11"/>
        <v>0.42859070639187624</v>
      </c>
      <c r="P108" s="109">
        <f t="shared" si="12"/>
        <v>70.2</v>
      </c>
      <c r="Q108" s="28">
        <f>AVERAGE($P$94:P108)</f>
        <v>70.200000000000017</v>
      </c>
      <c r="R108" s="81">
        <f>AVERAGE($P$3:P108)</f>
        <v>35.526315789473664</v>
      </c>
      <c r="S108">
        <f t="shared" si="14"/>
        <v>15</v>
      </c>
      <c r="T108">
        <f t="shared" si="16"/>
        <v>76</v>
      </c>
    </row>
    <row r="109" spans="2:20">
      <c r="B109" s="27">
        <f t="shared" si="15"/>
        <v>45489</v>
      </c>
      <c r="C109" s="28">
        <f>YEAR(Modelling[[#This Row],[Date]])+IF(MONTH(Modelling[[#This Row],[Date]])&gt;=4,1,0)</f>
        <v>2025</v>
      </c>
      <c r="D109" s="22">
        <f t="shared" si="13"/>
        <v>2024</v>
      </c>
      <c r="E109" s="29">
        <v>44743</v>
      </c>
      <c r="F109" s="22">
        <f>DAY(EOMONTH(Modelling[[#This Row],[Date]],0))</f>
        <v>31</v>
      </c>
      <c r="G109" s="28">
        <f>VLOOKUP(MONTH(Modelling[[#This Row],[Date]]),$W$3:$Z$14,4,0)/1000/Modelling[[#This Row],[Days]]</f>
        <v>774.98145161290324</v>
      </c>
      <c r="H109" s="28">
        <f>SUM($G$94:G109)</f>
        <v>12399.70322580645</v>
      </c>
      <c r="I109" s="28">
        <f>SUM($G$3:G109)</f>
        <v>28547.659225806467</v>
      </c>
      <c r="J109" s="30">
        <f>VLOOKUP(MONTH(Modelling[[#This Row],[Date]]),$W$3:$Y$14,3,0)</f>
        <v>9.35</v>
      </c>
      <c r="K109" s="30">
        <f>VLOOKUP(MONTH(Modelling[[#This Row],[Date]]),$W$3:$Y$14,3,0)</f>
        <v>9.35</v>
      </c>
      <c r="L109" s="30">
        <f>AVERAGE(J$3:J109)</f>
        <v>8.6663551401869299</v>
      </c>
      <c r="M109" s="31">
        <f t="shared" si="9"/>
        <v>0.45998424241031771</v>
      </c>
      <c r="N109" s="31">
        <f t="shared" si="10"/>
        <v>0.45998424241031755</v>
      </c>
      <c r="O109" s="31">
        <f t="shared" si="11"/>
        <v>0.42938625408824993</v>
      </c>
      <c r="P109" s="109">
        <f t="shared" si="12"/>
        <v>70.2</v>
      </c>
      <c r="Q109" s="28">
        <f>AVERAGE($P$94:P109)</f>
        <v>70.200000000000017</v>
      </c>
      <c r="R109" s="81">
        <f>AVERAGE($P$3:P109)</f>
        <v>35.976623376623358</v>
      </c>
      <c r="S109">
        <f t="shared" si="14"/>
        <v>16</v>
      </c>
      <c r="T109">
        <f t="shared" si="16"/>
        <v>77</v>
      </c>
    </row>
    <row r="110" spans="2:20">
      <c r="B110" s="27">
        <f t="shared" si="15"/>
        <v>45490</v>
      </c>
      <c r="C110" s="28">
        <f>YEAR(Modelling[[#This Row],[Date]])+IF(MONTH(Modelling[[#This Row],[Date]])&gt;=4,1,0)</f>
        <v>2025</v>
      </c>
      <c r="D110" s="22">
        <f t="shared" si="13"/>
        <v>2024</v>
      </c>
      <c r="E110" s="29">
        <v>44743</v>
      </c>
      <c r="F110" s="22">
        <f>DAY(EOMONTH(Modelling[[#This Row],[Date]],0))</f>
        <v>31</v>
      </c>
      <c r="G110" s="28">
        <f>VLOOKUP(MONTH(Modelling[[#This Row],[Date]]),$W$3:$Z$14,4,0)/1000/Modelling[[#This Row],[Days]]</f>
        <v>774.98145161290324</v>
      </c>
      <c r="H110" s="28">
        <f>SUM($G$94:G110)</f>
        <v>13174.684677419353</v>
      </c>
      <c r="I110" s="28">
        <f>SUM($G$3:G110)</f>
        <v>29322.640677419371</v>
      </c>
      <c r="J110" s="30">
        <f>VLOOKUP(MONTH(Modelling[[#This Row],[Date]]),$W$3:$Y$14,3,0)</f>
        <v>9.35</v>
      </c>
      <c r="K110" s="30">
        <f>VLOOKUP(MONTH(Modelling[[#This Row],[Date]]),$W$3:$Y$14,3,0)</f>
        <v>9.35</v>
      </c>
      <c r="L110" s="30">
        <f>AVERAGE(J$3:J110)</f>
        <v>8.6726851851851983</v>
      </c>
      <c r="M110" s="31">
        <f t="shared" si="9"/>
        <v>0.45998424241031771</v>
      </c>
      <c r="N110" s="31">
        <f t="shared" si="10"/>
        <v>0.45998424241031755</v>
      </c>
      <c r="O110" s="31">
        <f t="shared" si="11"/>
        <v>0.43014247813423262</v>
      </c>
      <c r="P110" s="109">
        <f t="shared" si="12"/>
        <v>70.2</v>
      </c>
      <c r="Q110" s="28">
        <f>AVERAGE($P$94:P110)</f>
        <v>70.200000000000017</v>
      </c>
      <c r="R110" s="81">
        <f>AVERAGE($P$3:P110)</f>
        <v>36.415384615384596</v>
      </c>
      <c r="S110">
        <f t="shared" si="14"/>
        <v>17</v>
      </c>
      <c r="T110">
        <f t="shared" si="16"/>
        <v>78</v>
      </c>
    </row>
    <row r="111" spans="2:20">
      <c r="B111" s="27">
        <f t="shared" si="15"/>
        <v>45491</v>
      </c>
      <c r="C111" s="28">
        <f>YEAR(Modelling[[#This Row],[Date]])+IF(MONTH(Modelling[[#This Row],[Date]])&gt;=4,1,0)</f>
        <v>2025</v>
      </c>
      <c r="D111" s="22">
        <f t="shared" si="13"/>
        <v>2024</v>
      </c>
      <c r="E111" s="29">
        <v>44743</v>
      </c>
      <c r="F111" s="22">
        <f>DAY(EOMONTH(Modelling[[#This Row],[Date]],0))</f>
        <v>31</v>
      </c>
      <c r="G111" s="28">
        <f>VLOOKUP(MONTH(Modelling[[#This Row],[Date]]),$W$3:$Z$14,4,0)/1000/Modelling[[#This Row],[Days]]</f>
        <v>774.98145161290324</v>
      </c>
      <c r="H111" s="28">
        <f>SUM($G$94:G111)</f>
        <v>13949.666129032255</v>
      </c>
      <c r="I111" s="28">
        <f>SUM($G$3:G111)</f>
        <v>30097.622129032276</v>
      </c>
      <c r="J111" s="30">
        <f>VLOOKUP(MONTH(Modelling[[#This Row],[Date]]),$W$3:$Y$14,3,0)</f>
        <v>9.35</v>
      </c>
      <c r="K111" s="30">
        <f>VLOOKUP(MONTH(Modelling[[#This Row],[Date]]),$W$3:$Y$14,3,0)</f>
        <v>9.35</v>
      </c>
      <c r="L111" s="30">
        <f>AVERAGE(J$3:J111)</f>
        <v>8.6788990825688206</v>
      </c>
      <c r="M111" s="31">
        <f t="shared" si="9"/>
        <v>0.45998424241031771</v>
      </c>
      <c r="N111" s="31">
        <f t="shared" si="10"/>
        <v>0.45998424241031743</v>
      </c>
      <c r="O111" s="31">
        <f t="shared" si="11"/>
        <v>0.43086222384033496</v>
      </c>
      <c r="P111" s="109">
        <f t="shared" si="12"/>
        <v>70.2</v>
      </c>
      <c r="Q111" s="28">
        <f>AVERAGE($P$94:P111)</f>
        <v>70.200000000000017</v>
      </c>
      <c r="R111" s="81">
        <f>AVERAGE($P$3:P111)</f>
        <v>36.843037974683519</v>
      </c>
      <c r="S111">
        <f t="shared" si="14"/>
        <v>18</v>
      </c>
      <c r="T111">
        <f t="shared" si="16"/>
        <v>79</v>
      </c>
    </row>
    <row r="112" spans="2:20">
      <c r="B112" s="27">
        <f t="shared" si="15"/>
        <v>45492</v>
      </c>
      <c r="C112" s="28">
        <f>YEAR(Modelling[[#This Row],[Date]])+IF(MONTH(Modelling[[#This Row],[Date]])&gt;=4,1,0)</f>
        <v>2025</v>
      </c>
      <c r="D112" s="22">
        <f t="shared" si="13"/>
        <v>2024</v>
      </c>
      <c r="E112" s="29">
        <v>44743</v>
      </c>
      <c r="F112" s="22">
        <f>DAY(EOMONTH(Modelling[[#This Row],[Date]],0))</f>
        <v>31</v>
      </c>
      <c r="G112" s="28">
        <f>VLOOKUP(MONTH(Modelling[[#This Row],[Date]]),$W$3:$Z$14,4,0)/1000/Modelling[[#This Row],[Days]]</f>
        <v>774.98145161290324</v>
      </c>
      <c r="H112" s="28">
        <f>SUM($G$94:G112)</f>
        <v>14724.647580645158</v>
      </c>
      <c r="I112" s="28">
        <f>SUM($G$3:G112)</f>
        <v>30872.60358064518</v>
      </c>
      <c r="J112" s="30">
        <f>VLOOKUP(MONTH(Modelling[[#This Row],[Date]]),$W$3:$Y$14,3,0)</f>
        <v>9.35</v>
      </c>
      <c r="K112" s="30">
        <f>VLOOKUP(MONTH(Modelling[[#This Row],[Date]]),$W$3:$Y$14,3,0)</f>
        <v>9.35</v>
      </c>
      <c r="L112" s="30">
        <f>AVERAGE(J$3:J112)</f>
        <v>8.6850000000000129</v>
      </c>
      <c r="M112" s="31">
        <f t="shared" si="9"/>
        <v>0.45998424241031771</v>
      </c>
      <c r="N112" s="31">
        <f t="shared" si="10"/>
        <v>0.45998424241031743</v>
      </c>
      <c r="O112" s="31">
        <f t="shared" si="11"/>
        <v>0.43154806848057009</v>
      </c>
      <c r="P112" s="109">
        <f t="shared" si="12"/>
        <v>70.2</v>
      </c>
      <c r="Q112" s="28">
        <f>AVERAGE($P$94:P112)</f>
        <v>70.200000000000017</v>
      </c>
      <c r="R112" s="81">
        <f>AVERAGE($P$3:P112)</f>
        <v>37.259999999999977</v>
      </c>
      <c r="S112">
        <f t="shared" si="14"/>
        <v>19</v>
      </c>
      <c r="T112">
        <f t="shared" si="16"/>
        <v>80</v>
      </c>
    </row>
    <row r="113" spans="2:20">
      <c r="B113" s="27">
        <f t="shared" si="15"/>
        <v>45493</v>
      </c>
      <c r="C113" s="28">
        <f>YEAR(Modelling[[#This Row],[Date]])+IF(MONTH(Modelling[[#This Row],[Date]])&gt;=4,1,0)</f>
        <v>2025</v>
      </c>
      <c r="D113" s="22">
        <f t="shared" si="13"/>
        <v>2024</v>
      </c>
      <c r="E113" s="29">
        <v>44743</v>
      </c>
      <c r="F113" s="22">
        <f>DAY(EOMONTH(Modelling[[#This Row],[Date]],0))</f>
        <v>31</v>
      </c>
      <c r="G113" s="28">
        <f>VLOOKUP(MONTH(Modelling[[#This Row],[Date]]),$W$3:$Z$14,4,0)/1000/Modelling[[#This Row],[Days]]</f>
        <v>774.98145161290324</v>
      </c>
      <c r="H113" s="28">
        <f>SUM($G$94:G113)</f>
        <v>15499.629032258061</v>
      </c>
      <c r="I113" s="28">
        <f>SUM($G$3:G113)</f>
        <v>31647.585032258085</v>
      </c>
      <c r="J113" s="30">
        <f>VLOOKUP(MONTH(Modelling[[#This Row],[Date]]),$W$3:$Y$14,3,0)</f>
        <v>9.35</v>
      </c>
      <c r="K113" s="30">
        <f>VLOOKUP(MONTH(Modelling[[#This Row],[Date]]),$W$3:$Y$14,3,0)</f>
        <v>9.35</v>
      </c>
      <c r="L113" s="30">
        <f>AVERAGE(J$3:J113)</f>
        <v>8.6909909909910041</v>
      </c>
      <c r="M113" s="31">
        <f t="shared" si="9"/>
        <v>0.45998424241031771</v>
      </c>
      <c r="N113" s="31">
        <f t="shared" si="10"/>
        <v>0.45998424241031743</v>
      </c>
      <c r="O113" s="31">
        <f t="shared" si="11"/>
        <v>0.43220235212851132</v>
      </c>
      <c r="P113" s="109">
        <f t="shared" si="12"/>
        <v>70.2</v>
      </c>
      <c r="Q113" s="28">
        <f>AVERAGE($P$94:P113)</f>
        <v>70.200000000000017</v>
      </c>
      <c r="R113" s="81">
        <f>AVERAGE($P$3:P113)</f>
        <v>37.666666666666636</v>
      </c>
      <c r="S113">
        <f t="shared" si="14"/>
        <v>20</v>
      </c>
      <c r="T113">
        <f t="shared" si="16"/>
        <v>81</v>
      </c>
    </row>
    <row r="114" spans="2:20">
      <c r="B114" s="27">
        <f t="shared" si="15"/>
        <v>45494</v>
      </c>
      <c r="C114" s="28">
        <f>YEAR(Modelling[[#This Row],[Date]])+IF(MONTH(Modelling[[#This Row],[Date]])&gt;=4,1,0)</f>
        <v>2025</v>
      </c>
      <c r="D114" s="22">
        <f t="shared" si="13"/>
        <v>2024</v>
      </c>
      <c r="E114" s="29">
        <v>44743</v>
      </c>
      <c r="F114" s="22">
        <f>DAY(EOMONTH(Modelling[[#This Row],[Date]],0))</f>
        <v>31</v>
      </c>
      <c r="G114" s="28">
        <f>VLOOKUP(MONTH(Modelling[[#This Row],[Date]]),$W$3:$Z$14,4,0)/1000/Modelling[[#This Row],[Days]]</f>
        <v>774.98145161290324</v>
      </c>
      <c r="H114" s="28">
        <f>SUM($G$94:G114)</f>
        <v>16274.610483870963</v>
      </c>
      <c r="I114" s="28">
        <f>SUM($G$3:G114)</f>
        <v>32422.566483870989</v>
      </c>
      <c r="J114" s="30">
        <f>VLOOKUP(MONTH(Modelling[[#This Row],[Date]]),$W$3:$Y$14,3,0)</f>
        <v>9.35</v>
      </c>
      <c r="K114" s="30">
        <f>VLOOKUP(MONTH(Modelling[[#This Row],[Date]]),$W$3:$Y$14,3,0)</f>
        <v>9.35</v>
      </c>
      <c r="L114" s="30">
        <f>AVERAGE(J$3:J114)</f>
        <v>8.6968750000000146</v>
      </c>
      <c r="M114" s="31">
        <f t="shared" si="9"/>
        <v>0.45998424241031771</v>
      </c>
      <c r="N114" s="31">
        <f t="shared" si="10"/>
        <v>0.45998424241031743</v>
      </c>
      <c r="O114" s="31">
        <f t="shared" si="11"/>
        <v>0.43282720433208127</v>
      </c>
      <c r="P114" s="109">
        <f t="shared" si="12"/>
        <v>70.2</v>
      </c>
      <c r="Q114" s="28">
        <f>AVERAGE($P$94:P114)</f>
        <v>70.200000000000017</v>
      </c>
      <c r="R114" s="81">
        <f>AVERAGE($P$3:P114)</f>
        <v>38.063414634146312</v>
      </c>
      <c r="S114">
        <f t="shared" si="14"/>
        <v>21</v>
      </c>
      <c r="T114">
        <f t="shared" si="16"/>
        <v>82</v>
      </c>
    </row>
    <row r="115" spans="2:20">
      <c r="B115" s="27">
        <f t="shared" si="15"/>
        <v>45495</v>
      </c>
      <c r="C115" s="28">
        <f>YEAR(Modelling[[#This Row],[Date]])+IF(MONTH(Modelling[[#This Row],[Date]])&gt;=4,1,0)</f>
        <v>2025</v>
      </c>
      <c r="D115" s="22">
        <f t="shared" si="13"/>
        <v>2024</v>
      </c>
      <c r="E115" s="29">
        <v>44743</v>
      </c>
      <c r="F115" s="22">
        <f>DAY(EOMONTH(Modelling[[#This Row],[Date]],0))</f>
        <v>31</v>
      </c>
      <c r="G115" s="28">
        <f>VLOOKUP(MONTH(Modelling[[#This Row],[Date]]),$W$3:$Z$14,4,0)/1000/Modelling[[#This Row],[Days]]</f>
        <v>774.98145161290324</v>
      </c>
      <c r="H115" s="28">
        <f>SUM($G$94:G115)</f>
        <v>17049.591935483866</v>
      </c>
      <c r="I115" s="28">
        <f>SUM($G$3:G115)</f>
        <v>33197.54793548389</v>
      </c>
      <c r="J115" s="30">
        <f>VLOOKUP(MONTH(Modelling[[#This Row],[Date]]),$W$3:$Y$14,3,0)</f>
        <v>9.35</v>
      </c>
      <c r="K115" s="30">
        <f>VLOOKUP(MONTH(Modelling[[#This Row],[Date]]),$W$3:$Y$14,3,0)</f>
        <v>9.35</v>
      </c>
      <c r="L115" s="30">
        <f>AVERAGE(J$3:J115)</f>
        <v>8.7026548672566513</v>
      </c>
      <c r="M115" s="31">
        <f t="shared" si="9"/>
        <v>0.45998424241031771</v>
      </c>
      <c r="N115" s="31">
        <f t="shared" si="10"/>
        <v>0.45998424241031732</v>
      </c>
      <c r="O115" s="31">
        <f t="shared" si="11"/>
        <v>0.43342456726781248</v>
      </c>
      <c r="P115" s="109">
        <f t="shared" si="12"/>
        <v>70.2</v>
      </c>
      <c r="Q115" s="28">
        <f>AVERAGE($P$94:P115)</f>
        <v>70.200000000000031</v>
      </c>
      <c r="R115" s="81">
        <f>AVERAGE($P$3:P115)</f>
        <v>38.45060240963852</v>
      </c>
      <c r="S115">
        <f t="shared" si="14"/>
        <v>22</v>
      </c>
      <c r="T115">
        <f t="shared" si="16"/>
        <v>83</v>
      </c>
    </row>
    <row r="116" spans="2:20">
      <c r="B116" s="27">
        <f t="shared" si="15"/>
        <v>45496</v>
      </c>
      <c r="C116" s="28">
        <f>YEAR(Modelling[[#This Row],[Date]])+IF(MONTH(Modelling[[#This Row],[Date]])&gt;=4,1,0)</f>
        <v>2025</v>
      </c>
      <c r="D116" s="22">
        <f t="shared" si="13"/>
        <v>2024</v>
      </c>
      <c r="E116" s="29">
        <v>44743</v>
      </c>
      <c r="F116" s="22">
        <f>DAY(EOMONTH(Modelling[[#This Row],[Date]],0))</f>
        <v>31</v>
      </c>
      <c r="G116" s="28">
        <f>VLOOKUP(MONTH(Modelling[[#This Row],[Date]]),$W$3:$Z$14,4,0)/1000/Modelling[[#This Row],[Days]]</f>
        <v>774.98145161290324</v>
      </c>
      <c r="H116" s="28">
        <f>SUM($G$94:G116)</f>
        <v>17824.573387096771</v>
      </c>
      <c r="I116" s="28">
        <f>SUM($G$3:G116)</f>
        <v>33972.529387096794</v>
      </c>
      <c r="J116" s="30">
        <f>VLOOKUP(MONTH(Modelling[[#This Row],[Date]]),$W$3:$Y$14,3,0)</f>
        <v>9.35</v>
      </c>
      <c r="K116" s="30">
        <f>VLOOKUP(MONTH(Modelling[[#This Row],[Date]]),$W$3:$Y$14,3,0)</f>
        <v>9.35</v>
      </c>
      <c r="L116" s="30">
        <f>AVERAGE(J$3:J116)</f>
        <v>8.7083333333333481</v>
      </c>
      <c r="M116" s="31">
        <f t="shared" si="9"/>
        <v>0.45998424241031771</v>
      </c>
      <c r="N116" s="31">
        <f t="shared" si="10"/>
        <v>0.45998424241031732</v>
      </c>
      <c r="O116" s="31">
        <f t="shared" si="11"/>
        <v>0.43399621590498566</v>
      </c>
      <c r="P116" s="109">
        <f t="shared" si="12"/>
        <v>70.2</v>
      </c>
      <c r="Q116" s="28">
        <f>AVERAGE($P$94:P116)</f>
        <v>70.200000000000031</v>
      </c>
      <c r="R116" s="81">
        <f>AVERAGE($P$3:P116)</f>
        <v>38.828571428571394</v>
      </c>
      <c r="S116">
        <f t="shared" si="14"/>
        <v>23</v>
      </c>
      <c r="T116">
        <f t="shared" si="16"/>
        <v>84</v>
      </c>
    </row>
    <row r="117" spans="2:20">
      <c r="B117" s="27">
        <f t="shared" si="15"/>
        <v>45497</v>
      </c>
      <c r="C117" s="28">
        <f>YEAR(Modelling[[#This Row],[Date]])+IF(MONTH(Modelling[[#This Row],[Date]])&gt;=4,1,0)</f>
        <v>2025</v>
      </c>
      <c r="D117" s="22">
        <f t="shared" si="13"/>
        <v>2024</v>
      </c>
      <c r="E117" s="29">
        <v>44743</v>
      </c>
      <c r="F117" s="22">
        <f>DAY(EOMONTH(Modelling[[#This Row],[Date]],0))</f>
        <v>31</v>
      </c>
      <c r="G117" s="28">
        <f>VLOOKUP(MONTH(Modelling[[#This Row],[Date]]),$W$3:$Z$14,4,0)/1000/Modelling[[#This Row],[Days]]</f>
        <v>774.98145161290324</v>
      </c>
      <c r="H117" s="28">
        <f>SUM($G$94:G117)</f>
        <v>18599.554838709675</v>
      </c>
      <c r="I117" s="28">
        <f>SUM($G$3:G117)</f>
        <v>34747.510838709699</v>
      </c>
      <c r="J117" s="30">
        <f>VLOOKUP(MONTH(Modelling[[#This Row],[Date]]),$W$3:$Y$14,3,0)</f>
        <v>9.35</v>
      </c>
      <c r="K117" s="30">
        <f>VLOOKUP(MONTH(Modelling[[#This Row],[Date]]),$W$3:$Y$14,3,0)</f>
        <v>9.35</v>
      </c>
      <c r="L117" s="30">
        <f>AVERAGE(J$3:J117)</f>
        <v>8.713913043478275</v>
      </c>
      <c r="M117" s="31">
        <f t="shared" si="9"/>
        <v>0.45998424241031771</v>
      </c>
      <c r="N117" s="31">
        <f t="shared" si="10"/>
        <v>0.45998424241031743</v>
      </c>
      <c r="O117" s="31">
        <f t="shared" si="11"/>
        <v>0.43454377562065716</v>
      </c>
      <c r="P117" s="109">
        <f t="shared" si="12"/>
        <v>70.2</v>
      </c>
      <c r="Q117" s="28">
        <f>AVERAGE($P$94:P117)</f>
        <v>70.200000000000031</v>
      </c>
      <c r="R117" s="81">
        <f>AVERAGE($P$3:P117)</f>
        <v>39.197647058823492</v>
      </c>
      <c r="S117">
        <f t="shared" si="14"/>
        <v>24</v>
      </c>
      <c r="T117">
        <f t="shared" si="16"/>
        <v>85</v>
      </c>
    </row>
    <row r="118" spans="2:20">
      <c r="B118" s="27">
        <f t="shared" si="15"/>
        <v>45498</v>
      </c>
      <c r="C118" s="28">
        <f>YEAR(Modelling[[#This Row],[Date]])+IF(MONTH(Modelling[[#This Row],[Date]])&gt;=4,1,0)</f>
        <v>2025</v>
      </c>
      <c r="D118" s="22">
        <f t="shared" si="13"/>
        <v>2024</v>
      </c>
      <c r="E118" s="29">
        <v>44743</v>
      </c>
      <c r="F118" s="22">
        <f>DAY(EOMONTH(Modelling[[#This Row],[Date]],0))</f>
        <v>31</v>
      </c>
      <c r="G118" s="28">
        <f>VLOOKUP(MONTH(Modelling[[#This Row],[Date]]),$W$3:$Z$14,4,0)/1000/Modelling[[#This Row],[Days]]</f>
        <v>774.98145161290324</v>
      </c>
      <c r="H118" s="28">
        <f>SUM($G$94:G118)</f>
        <v>19374.53629032258</v>
      </c>
      <c r="I118" s="28">
        <f>SUM($G$3:G118)</f>
        <v>35522.492290322603</v>
      </c>
      <c r="J118" s="30">
        <f>VLOOKUP(MONTH(Modelling[[#This Row],[Date]]),$W$3:$Y$14,3,0)</f>
        <v>9.35</v>
      </c>
      <c r="K118" s="30">
        <f>VLOOKUP(MONTH(Modelling[[#This Row],[Date]]),$W$3:$Y$14,3,0)</f>
        <v>9.35</v>
      </c>
      <c r="L118" s="30">
        <f>AVERAGE(J$3:J118)</f>
        <v>8.7193965517241523</v>
      </c>
      <c r="M118" s="31">
        <f t="shared" si="9"/>
        <v>0.45998424241031771</v>
      </c>
      <c r="N118" s="31">
        <f t="shared" si="10"/>
        <v>0.45998424241031743</v>
      </c>
      <c r="O118" s="31">
        <f t="shared" si="11"/>
        <v>0.43506873763377707</v>
      </c>
      <c r="P118" s="109">
        <f t="shared" si="12"/>
        <v>70.2</v>
      </c>
      <c r="Q118" s="28">
        <f>AVERAGE($P$94:P118)</f>
        <v>70.200000000000031</v>
      </c>
      <c r="R118" s="81">
        <f>AVERAGE($P$3:P118)</f>
        <v>39.558139534883686</v>
      </c>
      <c r="S118">
        <f t="shared" si="14"/>
        <v>25</v>
      </c>
      <c r="T118">
        <f t="shared" si="16"/>
        <v>86</v>
      </c>
    </row>
    <row r="119" spans="2:20">
      <c r="B119" s="27">
        <f t="shared" si="15"/>
        <v>45499</v>
      </c>
      <c r="C119" s="28">
        <f>YEAR(Modelling[[#This Row],[Date]])+IF(MONTH(Modelling[[#This Row],[Date]])&gt;=4,1,0)</f>
        <v>2025</v>
      </c>
      <c r="D119" s="22">
        <f t="shared" si="13"/>
        <v>2024</v>
      </c>
      <c r="E119" s="29">
        <v>44743</v>
      </c>
      <c r="F119" s="22">
        <f>DAY(EOMONTH(Modelling[[#This Row],[Date]],0))</f>
        <v>31</v>
      </c>
      <c r="G119" s="28">
        <f>VLOOKUP(MONTH(Modelling[[#This Row],[Date]]),$W$3:$Z$14,4,0)/1000/Modelling[[#This Row],[Days]]</f>
        <v>774.98145161290324</v>
      </c>
      <c r="H119" s="28">
        <f>SUM($G$94:G119)</f>
        <v>20149.517741935484</v>
      </c>
      <c r="I119" s="28">
        <f>SUM($G$3:G119)</f>
        <v>36297.473741935508</v>
      </c>
      <c r="J119" s="30">
        <f>VLOOKUP(MONTH(Modelling[[#This Row],[Date]]),$W$3:$Y$14,3,0)</f>
        <v>9.35</v>
      </c>
      <c r="K119" s="30">
        <f>VLOOKUP(MONTH(Modelling[[#This Row],[Date]]),$W$3:$Y$14,3,0)</f>
        <v>9.35</v>
      </c>
      <c r="L119" s="30">
        <f>AVERAGE(J$3:J119)</f>
        <v>8.7247863247863382</v>
      </c>
      <c r="M119" s="31">
        <f t="shared" si="9"/>
        <v>0.45998424241031771</v>
      </c>
      <c r="N119" s="31">
        <f t="shared" si="10"/>
        <v>0.45998424241031743</v>
      </c>
      <c r="O119" s="31">
        <f t="shared" si="11"/>
        <v>0.43557247256705095</v>
      </c>
      <c r="P119" s="109">
        <f t="shared" si="12"/>
        <v>70.2</v>
      </c>
      <c r="Q119" s="28">
        <f>AVERAGE($P$94:P119)</f>
        <v>70.200000000000031</v>
      </c>
      <c r="R119" s="81">
        <f>AVERAGE($P$3:P119)</f>
        <v>39.910344827586165</v>
      </c>
      <c r="S119">
        <f t="shared" si="14"/>
        <v>26</v>
      </c>
      <c r="T119">
        <f t="shared" si="16"/>
        <v>87</v>
      </c>
    </row>
    <row r="120" spans="2:20">
      <c r="B120" s="27">
        <f t="shared" si="15"/>
        <v>45500</v>
      </c>
      <c r="C120" s="28">
        <f>YEAR(Modelling[[#This Row],[Date]])+IF(MONTH(Modelling[[#This Row],[Date]])&gt;=4,1,0)</f>
        <v>2025</v>
      </c>
      <c r="D120" s="22">
        <f t="shared" si="13"/>
        <v>2024</v>
      </c>
      <c r="E120" s="29">
        <v>44743</v>
      </c>
      <c r="F120" s="22">
        <f>DAY(EOMONTH(Modelling[[#This Row],[Date]],0))</f>
        <v>31</v>
      </c>
      <c r="G120" s="28">
        <f>VLOOKUP(MONTH(Modelling[[#This Row],[Date]]),$W$3:$Z$14,4,0)/1000/Modelling[[#This Row],[Days]]</f>
        <v>774.98145161290324</v>
      </c>
      <c r="H120" s="28">
        <f>SUM($G$94:G120)</f>
        <v>20924.499193548389</v>
      </c>
      <c r="I120" s="28">
        <f>SUM($G$3:G120)</f>
        <v>37072.455193548412</v>
      </c>
      <c r="J120" s="30">
        <f>VLOOKUP(MONTH(Modelling[[#This Row],[Date]]),$W$3:$Y$14,3,0)</f>
        <v>9.35</v>
      </c>
      <c r="K120" s="30">
        <f>VLOOKUP(MONTH(Modelling[[#This Row],[Date]]),$W$3:$Y$14,3,0)</f>
        <v>9.35</v>
      </c>
      <c r="L120" s="30">
        <f>AVERAGE(J$3:J120)</f>
        <v>8.730084745762726</v>
      </c>
      <c r="M120" s="31">
        <f t="shared" si="9"/>
        <v>0.45998424241031771</v>
      </c>
      <c r="N120" s="31">
        <f t="shared" si="10"/>
        <v>0.45998424241031755</v>
      </c>
      <c r="O120" s="31">
        <f t="shared" si="11"/>
        <v>0.43605624239626206</v>
      </c>
      <c r="P120" s="109">
        <f t="shared" si="12"/>
        <v>70.2</v>
      </c>
      <c r="Q120" s="28">
        <f>AVERAGE($P$94:P120)</f>
        <v>70.200000000000031</v>
      </c>
      <c r="R120" s="81">
        <f>AVERAGE($P$3:P120)</f>
        <v>40.254545454545415</v>
      </c>
      <c r="S120">
        <f t="shared" si="14"/>
        <v>27</v>
      </c>
      <c r="T120">
        <f t="shared" si="16"/>
        <v>88</v>
      </c>
    </row>
    <row r="121" spans="2:20">
      <c r="B121" s="27">
        <f t="shared" si="15"/>
        <v>45501</v>
      </c>
      <c r="C121" s="28">
        <f>YEAR(Modelling[[#This Row],[Date]])+IF(MONTH(Modelling[[#This Row],[Date]])&gt;=4,1,0)</f>
        <v>2025</v>
      </c>
      <c r="D121" s="22">
        <f t="shared" si="13"/>
        <v>2024</v>
      </c>
      <c r="E121" s="29">
        <v>44743</v>
      </c>
      <c r="F121" s="22">
        <f>DAY(EOMONTH(Modelling[[#This Row],[Date]],0))</f>
        <v>31</v>
      </c>
      <c r="G121" s="28">
        <f>VLOOKUP(MONTH(Modelling[[#This Row],[Date]]),$W$3:$Z$14,4,0)/1000/Modelling[[#This Row],[Days]]</f>
        <v>774.98145161290324</v>
      </c>
      <c r="H121" s="28">
        <f>SUM($G$94:G121)</f>
        <v>21699.480645161293</v>
      </c>
      <c r="I121" s="28">
        <f>SUM($G$3:G121)</f>
        <v>37847.436645161317</v>
      </c>
      <c r="J121" s="30">
        <f>VLOOKUP(MONTH(Modelling[[#This Row],[Date]]),$W$3:$Y$14,3,0)</f>
        <v>9.35</v>
      </c>
      <c r="K121" s="30">
        <f>VLOOKUP(MONTH(Modelling[[#This Row],[Date]]),$W$3:$Y$14,3,0)</f>
        <v>9.35</v>
      </c>
      <c r="L121" s="30">
        <f>AVERAGE(J$3:J121)</f>
        <v>8.7352941176470722</v>
      </c>
      <c r="M121" s="31">
        <f t="shared" si="9"/>
        <v>0.45998424241031771</v>
      </c>
      <c r="N121" s="31">
        <f t="shared" si="10"/>
        <v>0.45998424241031755</v>
      </c>
      <c r="O121" s="31">
        <f t="shared" si="11"/>
        <v>0.43652121100640068</v>
      </c>
      <c r="P121" s="109">
        <f t="shared" si="12"/>
        <v>70.2</v>
      </c>
      <c r="Q121" s="28">
        <f>AVERAGE($P$94:P121)</f>
        <v>70.200000000000031</v>
      </c>
      <c r="R121" s="81">
        <f>AVERAGE($P$3:P121)</f>
        <v>40.591011235955015</v>
      </c>
      <c r="S121">
        <f t="shared" si="14"/>
        <v>28</v>
      </c>
      <c r="T121">
        <f t="shared" si="16"/>
        <v>89</v>
      </c>
    </row>
    <row r="122" spans="2:20">
      <c r="B122" s="27">
        <f t="shared" si="15"/>
        <v>45502</v>
      </c>
      <c r="C122" s="28">
        <f>YEAR(Modelling[[#This Row],[Date]])+IF(MONTH(Modelling[[#This Row],[Date]])&gt;=4,1,0)</f>
        <v>2025</v>
      </c>
      <c r="D122" s="22">
        <f t="shared" si="13"/>
        <v>2024</v>
      </c>
      <c r="E122" s="29">
        <v>44743</v>
      </c>
      <c r="F122" s="22">
        <f>DAY(EOMONTH(Modelling[[#This Row],[Date]],0))</f>
        <v>31</v>
      </c>
      <c r="G122" s="28">
        <f>VLOOKUP(MONTH(Modelling[[#This Row],[Date]]),$W$3:$Z$14,4,0)/1000/Modelling[[#This Row],[Days]]</f>
        <v>774.98145161290324</v>
      </c>
      <c r="H122" s="28">
        <f>SUM($G$94:G122)</f>
        <v>22474.462096774198</v>
      </c>
      <c r="I122" s="28">
        <f>SUM($G$3:G122)</f>
        <v>38622.418096774221</v>
      </c>
      <c r="J122" s="30">
        <f>VLOOKUP(MONTH(Modelling[[#This Row],[Date]]),$W$3:$Y$14,3,0)</f>
        <v>9.35</v>
      </c>
      <c r="K122" s="30">
        <f>VLOOKUP(MONTH(Modelling[[#This Row],[Date]]),$W$3:$Y$14,3,0)</f>
        <v>9.35</v>
      </c>
      <c r="L122" s="30">
        <f>AVERAGE(J$3:J122)</f>
        <v>8.7404166666666789</v>
      </c>
      <c r="M122" s="31">
        <f t="shared" si="9"/>
        <v>0.45998424241031771</v>
      </c>
      <c r="N122" s="31">
        <f t="shared" si="10"/>
        <v>0.45998424241031755</v>
      </c>
      <c r="O122" s="31">
        <f t="shared" si="11"/>
        <v>0.43696845354049302</v>
      </c>
      <c r="P122" s="109">
        <f t="shared" si="12"/>
        <v>70.2</v>
      </c>
      <c r="Q122" s="28">
        <f>AVERAGE($P$94:P122)</f>
        <v>70.200000000000031</v>
      </c>
      <c r="R122" s="81">
        <f>AVERAGE($P$3:P122)</f>
        <v>40.919999999999959</v>
      </c>
      <c r="S122">
        <f t="shared" si="14"/>
        <v>29</v>
      </c>
      <c r="T122">
        <f t="shared" si="16"/>
        <v>90</v>
      </c>
    </row>
    <row r="123" spans="2:20">
      <c r="B123" s="27">
        <f t="shared" si="15"/>
        <v>45503</v>
      </c>
      <c r="C123" s="28">
        <f>YEAR(Modelling[[#This Row],[Date]])+IF(MONTH(Modelling[[#This Row],[Date]])&gt;=4,1,0)</f>
        <v>2025</v>
      </c>
      <c r="D123" s="22">
        <f t="shared" si="13"/>
        <v>2024</v>
      </c>
      <c r="E123" s="29">
        <v>44743</v>
      </c>
      <c r="F123" s="22">
        <f>DAY(EOMONTH(Modelling[[#This Row],[Date]],0))</f>
        <v>31</v>
      </c>
      <c r="G123" s="28">
        <f>VLOOKUP(MONTH(Modelling[[#This Row],[Date]]),$W$3:$Z$14,4,0)/1000/Modelling[[#This Row],[Days]]</f>
        <v>774.98145161290324</v>
      </c>
      <c r="H123" s="28">
        <f>SUM($G$94:G123)</f>
        <v>23249.443548387102</v>
      </c>
      <c r="I123" s="28">
        <f>SUM($G$3:G123)</f>
        <v>39397.399548387126</v>
      </c>
      <c r="J123" s="30">
        <f>VLOOKUP(MONTH(Modelling[[#This Row],[Date]]),$W$3:$Y$14,3,0)</f>
        <v>9.35</v>
      </c>
      <c r="K123" s="30">
        <f>VLOOKUP(MONTH(Modelling[[#This Row],[Date]]),$W$3:$Y$14,3,0)</f>
        <v>9.35</v>
      </c>
      <c r="L123" s="30">
        <f>AVERAGE(J$3:J123)</f>
        <v>8.7454545454545567</v>
      </c>
      <c r="M123" s="31">
        <f t="shared" si="9"/>
        <v>0.45998424241031771</v>
      </c>
      <c r="N123" s="31">
        <f t="shared" si="10"/>
        <v>0.45998424241031755</v>
      </c>
      <c r="O123" s="31">
        <f t="shared" si="11"/>
        <v>0.43739896469920914</v>
      </c>
      <c r="P123" s="109">
        <f t="shared" si="12"/>
        <v>70.2</v>
      </c>
      <c r="Q123" s="28">
        <f>AVERAGE($P$94:P123)</f>
        <v>70.200000000000031</v>
      </c>
      <c r="R123" s="81">
        <f>AVERAGE($P$3:P123)</f>
        <v>41.241758241758198</v>
      </c>
      <c r="S123">
        <f t="shared" si="14"/>
        <v>30</v>
      </c>
      <c r="T123">
        <f t="shared" si="16"/>
        <v>91</v>
      </c>
    </row>
    <row r="124" spans="2:20">
      <c r="B124" s="27">
        <f t="shared" si="15"/>
        <v>45504</v>
      </c>
      <c r="C124" s="28">
        <f>YEAR(Modelling[[#This Row],[Date]])+IF(MONTH(Modelling[[#This Row],[Date]])&gt;=4,1,0)</f>
        <v>2025</v>
      </c>
      <c r="D124" s="22">
        <f t="shared" si="13"/>
        <v>2024</v>
      </c>
      <c r="E124" s="29">
        <v>44743</v>
      </c>
      <c r="F124" s="22">
        <f>DAY(EOMONTH(Modelling[[#This Row],[Date]],0))</f>
        <v>31</v>
      </c>
      <c r="G124" s="28">
        <f>VLOOKUP(MONTH(Modelling[[#This Row],[Date]]),$W$3:$Z$14,4,0)/1000/Modelling[[#This Row],[Days]]</f>
        <v>774.98145161290324</v>
      </c>
      <c r="H124" s="28">
        <f>SUM($G$94:G124)</f>
        <v>24024.425000000007</v>
      </c>
      <c r="I124" s="28">
        <f>SUM($G$3:G124)</f>
        <v>40172.38100000003</v>
      </c>
      <c r="J124" s="30">
        <f>VLOOKUP(MONTH(Modelling[[#This Row],[Date]]),$W$3:$Y$14,3,0)</f>
        <v>9.35</v>
      </c>
      <c r="K124" s="30">
        <f>VLOOKUP(MONTH(Modelling[[#This Row],[Date]]),$W$3:$Y$14,3,0)</f>
        <v>9.35</v>
      </c>
      <c r="L124" s="30">
        <f>AVERAGE(J$3:J124)</f>
        <v>8.7504098360655842</v>
      </c>
      <c r="M124" s="31">
        <f t="shared" si="9"/>
        <v>0.45998424241031771</v>
      </c>
      <c r="N124" s="31">
        <f t="shared" si="10"/>
        <v>0.45998424241031766</v>
      </c>
      <c r="O124" s="31">
        <f t="shared" si="11"/>
        <v>0.43781366612610811</v>
      </c>
      <c r="P124" s="109">
        <f t="shared" si="12"/>
        <v>70.2</v>
      </c>
      <c r="Q124" s="28">
        <f>AVERAGE($P$94:P124)</f>
        <v>70.200000000000017</v>
      </c>
      <c r="R124" s="81">
        <f>AVERAGE($P$3:P124)</f>
        <v>41.556521739130389</v>
      </c>
      <c r="S124">
        <f t="shared" si="14"/>
        <v>31</v>
      </c>
      <c r="T124">
        <f t="shared" si="16"/>
        <v>92</v>
      </c>
    </row>
    <row r="125" spans="2:20">
      <c r="B125" s="27">
        <f t="shared" si="15"/>
        <v>45505</v>
      </c>
      <c r="C125" s="28">
        <f>YEAR(Modelling[[#This Row],[Date]])+IF(MONTH(Modelling[[#This Row],[Date]])&gt;=4,1,0)</f>
        <v>2025</v>
      </c>
      <c r="D125" s="22">
        <f t="shared" si="13"/>
        <v>2024</v>
      </c>
      <c r="E125" s="29">
        <v>44774</v>
      </c>
      <c r="F125" s="22">
        <f>DAY(EOMONTH(Modelling[[#This Row],[Date]],0))</f>
        <v>31</v>
      </c>
      <c r="G125" s="28">
        <f>VLOOKUP(MONTH(Modelling[[#This Row],[Date]]),$W$3:$Z$14,4,0)/1000/Modelling[[#This Row],[Days]]</f>
        <v>720.18477419354849</v>
      </c>
      <c r="H125" s="28">
        <f>SUM($G$125:G125)</f>
        <v>720.18477419354849</v>
      </c>
      <c r="I125" s="28">
        <f>SUM($G$3:G125)</f>
        <v>40892.565774193579</v>
      </c>
      <c r="J125" s="30">
        <f>VLOOKUP(MONTH(Modelling[[#This Row],[Date]]),$W$3:$Y$14,3,0)</f>
        <v>8.4700000000000006</v>
      </c>
      <c r="K125" s="30">
        <f>VLOOKUP(MONTH(Modelling[[#This Row],[Date]]),$W$3:$Y$14,3,0)</f>
        <v>8.4700000000000006</v>
      </c>
      <c r="L125" s="30">
        <f>AVERAGE(J$3:J125)</f>
        <v>8.7481300813008236</v>
      </c>
      <c r="M125" s="31">
        <f t="shared" si="9"/>
        <v>0.42746009864289441</v>
      </c>
      <c r="N125" s="31">
        <f t="shared" si="10"/>
        <v>0.42746009864289436</v>
      </c>
      <c r="O125" s="31">
        <f t="shared" si="11"/>
        <v>0.43762698599118188</v>
      </c>
      <c r="P125" s="109">
        <f t="shared" si="12"/>
        <v>70.2</v>
      </c>
      <c r="Q125" s="28">
        <f>AVERAGE($P$125:P125)</f>
        <v>70.2</v>
      </c>
      <c r="R125" s="81">
        <f>AVERAGE($P$3:P125)</f>
        <v>41.864516129032211</v>
      </c>
      <c r="S125">
        <f t="shared" si="14"/>
        <v>1</v>
      </c>
      <c r="T125">
        <f t="shared" si="16"/>
        <v>93</v>
      </c>
    </row>
    <row r="126" spans="2:20">
      <c r="B126" s="27">
        <f t="shared" si="15"/>
        <v>45506</v>
      </c>
      <c r="C126" s="28">
        <f>YEAR(Modelling[[#This Row],[Date]])+IF(MONTH(Modelling[[#This Row],[Date]])&gt;=4,1,0)</f>
        <v>2025</v>
      </c>
      <c r="D126" s="22">
        <f t="shared" si="13"/>
        <v>2024</v>
      </c>
      <c r="E126" s="29">
        <v>44774</v>
      </c>
      <c r="F126" s="22">
        <f>DAY(EOMONTH(Modelling[[#This Row],[Date]],0))</f>
        <v>31</v>
      </c>
      <c r="G126" s="28">
        <f>VLOOKUP(MONTH(Modelling[[#This Row],[Date]]),$W$3:$Z$14,4,0)/1000/Modelling[[#This Row],[Days]]</f>
        <v>720.18477419354849</v>
      </c>
      <c r="H126" s="28">
        <f>SUM($G$125:G126)</f>
        <v>1440.369548387097</v>
      </c>
      <c r="I126" s="28">
        <f>SUM($G$3:G126)</f>
        <v>41612.750548387128</v>
      </c>
      <c r="J126" s="30">
        <f>VLOOKUP(MONTH(Modelling[[#This Row],[Date]]),$W$3:$Y$14,3,0)</f>
        <v>8.4700000000000006</v>
      </c>
      <c r="K126" s="30">
        <f>VLOOKUP(MONTH(Modelling[[#This Row],[Date]]),$W$3:$Y$14,3,0)</f>
        <v>8.4700000000000006</v>
      </c>
      <c r="L126" s="30">
        <f>AVERAGE(J$3:J126)</f>
        <v>8.7458870967742044</v>
      </c>
      <c r="M126" s="31">
        <f t="shared" si="9"/>
        <v>0.42746009864289441</v>
      </c>
      <c r="N126" s="31">
        <f t="shared" si="10"/>
        <v>0.42746009864289436</v>
      </c>
      <c r="O126" s="31">
        <f t="shared" si="11"/>
        <v>0.43744691850408696</v>
      </c>
      <c r="P126" s="109">
        <f t="shared" si="12"/>
        <v>70.2</v>
      </c>
      <c r="Q126" s="28">
        <f>AVERAGE($P$125:P126)</f>
        <v>70.2</v>
      </c>
      <c r="R126" s="81">
        <f>AVERAGE($P$3:P126)</f>
        <v>42.165957446808463</v>
      </c>
      <c r="S126">
        <f t="shared" si="14"/>
        <v>2</v>
      </c>
      <c r="T126">
        <f t="shared" si="16"/>
        <v>94</v>
      </c>
    </row>
    <row r="127" spans="2:20">
      <c r="B127" s="27">
        <f t="shared" si="15"/>
        <v>45507</v>
      </c>
      <c r="C127" s="28">
        <f>YEAR(Modelling[[#This Row],[Date]])+IF(MONTH(Modelling[[#This Row],[Date]])&gt;=4,1,0)</f>
        <v>2025</v>
      </c>
      <c r="D127" s="22">
        <f t="shared" si="13"/>
        <v>2024</v>
      </c>
      <c r="E127" s="29">
        <v>44774</v>
      </c>
      <c r="F127" s="22">
        <f>DAY(EOMONTH(Modelling[[#This Row],[Date]],0))</f>
        <v>31</v>
      </c>
      <c r="G127" s="28">
        <f>VLOOKUP(MONTH(Modelling[[#This Row],[Date]]),$W$3:$Z$14,4,0)/1000/Modelling[[#This Row],[Days]]</f>
        <v>720.18477419354849</v>
      </c>
      <c r="H127" s="28">
        <f>SUM($G$125:G127)</f>
        <v>2160.5543225806455</v>
      </c>
      <c r="I127" s="28">
        <f>SUM($G$3:G127)</f>
        <v>42332.935322580677</v>
      </c>
      <c r="J127" s="30">
        <f>VLOOKUP(MONTH(Modelling[[#This Row],[Date]]),$W$3:$Y$14,3,0)</f>
        <v>8.4700000000000006</v>
      </c>
      <c r="K127" s="30">
        <f>VLOOKUP(MONTH(Modelling[[#This Row],[Date]]),$W$3:$Y$14,3,0)</f>
        <v>8.4700000000000006</v>
      </c>
      <c r="L127" s="30">
        <f>AVERAGE(J$3:J127)</f>
        <v>8.7436800000000119</v>
      </c>
      <c r="M127" s="31">
        <f t="shared" si="9"/>
        <v>0.42746009864289441</v>
      </c>
      <c r="N127" s="31">
        <f t="shared" si="10"/>
        <v>0.42746009864289436</v>
      </c>
      <c r="O127" s="31">
        <f t="shared" si="11"/>
        <v>0.43727311842618138</v>
      </c>
      <c r="P127" s="109">
        <f t="shared" si="12"/>
        <v>70.2</v>
      </c>
      <c r="Q127" s="28">
        <f>AVERAGE($P$125:P127)</f>
        <v>70.2</v>
      </c>
      <c r="R127" s="81">
        <f>AVERAGE($P$3:P127)</f>
        <v>42.461052631578895</v>
      </c>
      <c r="S127">
        <f t="shared" si="14"/>
        <v>3</v>
      </c>
      <c r="T127">
        <f t="shared" si="16"/>
        <v>95</v>
      </c>
    </row>
    <row r="128" spans="2:20">
      <c r="B128" s="27">
        <f t="shared" si="15"/>
        <v>45508</v>
      </c>
      <c r="C128" s="28">
        <f>YEAR(Modelling[[#This Row],[Date]])+IF(MONTH(Modelling[[#This Row],[Date]])&gt;=4,1,0)</f>
        <v>2025</v>
      </c>
      <c r="D128" s="22">
        <f t="shared" si="13"/>
        <v>2024</v>
      </c>
      <c r="E128" s="29">
        <v>44774</v>
      </c>
      <c r="F128" s="22">
        <f>DAY(EOMONTH(Modelling[[#This Row],[Date]],0))</f>
        <v>31</v>
      </c>
      <c r="G128" s="28">
        <f>VLOOKUP(MONTH(Modelling[[#This Row],[Date]]),$W$3:$Z$14,4,0)/1000/Modelling[[#This Row],[Days]]</f>
        <v>720.18477419354849</v>
      </c>
      <c r="H128" s="28">
        <f>SUM($G$125:G128)</f>
        <v>2880.739096774194</v>
      </c>
      <c r="I128" s="28">
        <f>SUM($G$3:G128)</f>
        <v>43053.120096774226</v>
      </c>
      <c r="J128" s="30">
        <f>VLOOKUP(MONTH(Modelling[[#This Row],[Date]]),$W$3:$Y$14,3,0)</f>
        <v>8.4700000000000006</v>
      </c>
      <c r="K128" s="30">
        <f>VLOOKUP(MONTH(Modelling[[#This Row],[Date]]),$W$3:$Y$14,3,0)</f>
        <v>8.4700000000000006</v>
      </c>
      <c r="L128" s="30">
        <f>AVERAGE(J$3:J128)</f>
        <v>8.7415079365079471</v>
      </c>
      <c r="M128" s="31">
        <f t="shared" si="9"/>
        <v>0.42746009864289441</v>
      </c>
      <c r="N128" s="31">
        <f t="shared" si="10"/>
        <v>0.42746009864289436</v>
      </c>
      <c r="O128" s="31">
        <f t="shared" si="11"/>
        <v>0.43710526414041456</v>
      </c>
      <c r="P128" s="109">
        <f t="shared" si="12"/>
        <v>70.2</v>
      </c>
      <c r="Q128" s="28">
        <f>AVERAGE($P$125:P128)</f>
        <v>70.2</v>
      </c>
      <c r="R128" s="81">
        <f>AVERAGE($P$3:P128)</f>
        <v>42.74999999999995</v>
      </c>
      <c r="S128">
        <f t="shared" si="14"/>
        <v>4</v>
      </c>
      <c r="T128">
        <f t="shared" si="16"/>
        <v>96</v>
      </c>
    </row>
    <row r="129" spans="2:20">
      <c r="B129" s="27">
        <f t="shared" si="15"/>
        <v>45509</v>
      </c>
      <c r="C129" s="28">
        <f>YEAR(Modelling[[#This Row],[Date]])+IF(MONTH(Modelling[[#This Row],[Date]])&gt;=4,1,0)</f>
        <v>2025</v>
      </c>
      <c r="D129" s="22">
        <f t="shared" si="13"/>
        <v>2024</v>
      </c>
      <c r="E129" s="29">
        <v>44774</v>
      </c>
      <c r="F129" s="22">
        <f>DAY(EOMONTH(Modelling[[#This Row],[Date]],0))</f>
        <v>31</v>
      </c>
      <c r="G129" s="28">
        <f>VLOOKUP(MONTH(Modelling[[#This Row],[Date]]),$W$3:$Z$14,4,0)/1000/Modelling[[#This Row],[Days]]</f>
        <v>720.18477419354849</v>
      </c>
      <c r="H129" s="28">
        <f>SUM($G$125:G129)</f>
        <v>3600.9238709677425</v>
      </c>
      <c r="I129" s="28">
        <f>SUM($G$3:G129)</f>
        <v>43773.304870967775</v>
      </c>
      <c r="J129" s="30">
        <f>VLOOKUP(MONTH(Modelling[[#This Row],[Date]]),$W$3:$Y$14,3,0)</f>
        <v>8.4700000000000006</v>
      </c>
      <c r="K129" s="30">
        <f>VLOOKUP(MONTH(Modelling[[#This Row],[Date]]),$W$3:$Y$14,3,0)</f>
        <v>8.4700000000000006</v>
      </c>
      <c r="L129" s="30">
        <f>AVERAGE(J$3:J129)</f>
        <v>8.7393700787401691</v>
      </c>
      <c r="M129" s="31">
        <f t="shared" si="9"/>
        <v>0.42746009864289441</v>
      </c>
      <c r="N129" s="31">
        <f t="shared" si="10"/>
        <v>0.42746009864289436</v>
      </c>
      <c r="O129" s="31">
        <f t="shared" si="11"/>
        <v>0.43694305566503588</v>
      </c>
      <c r="P129" s="109">
        <f t="shared" si="12"/>
        <v>70.2</v>
      </c>
      <c r="Q129" s="28">
        <f>AVERAGE($P$125:P129)</f>
        <v>70.2</v>
      </c>
      <c r="R129" s="81">
        <f>AVERAGE($P$3:P129)</f>
        <v>43.0329896907216</v>
      </c>
      <c r="S129">
        <f t="shared" si="14"/>
        <v>5</v>
      </c>
      <c r="T129">
        <f t="shared" si="16"/>
        <v>97</v>
      </c>
    </row>
    <row r="130" spans="2:20">
      <c r="B130" s="27">
        <f t="shared" si="15"/>
        <v>45510</v>
      </c>
      <c r="C130" s="28">
        <f>YEAR(Modelling[[#This Row],[Date]])+IF(MONTH(Modelling[[#This Row],[Date]])&gt;=4,1,0)</f>
        <v>2025</v>
      </c>
      <c r="D130" s="22">
        <f t="shared" si="13"/>
        <v>2024</v>
      </c>
      <c r="E130" s="29">
        <v>44774</v>
      </c>
      <c r="F130" s="22">
        <f>DAY(EOMONTH(Modelling[[#This Row],[Date]],0))</f>
        <v>31</v>
      </c>
      <c r="G130" s="28">
        <f>VLOOKUP(MONTH(Modelling[[#This Row],[Date]]),$W$3:$Z$14,4,0)/1000/Modelling[[#This Row],[Days]]</f>
        <v>720.18477419354849</v>
      </c>
      <c r="H130" s="28">
        <f>SUM($G$125:G130)</f>
        <v>4321.108645161291</v>
      </c>
      <c r="I130" s="28">
        <f>SUM($G$3:G130)</f>
        <v>44493.489645161324</v>
      </c>
      <c r="J130" s="30">
        <f>VLOOKUP(MONTH(Modelling[[#This Row],[Date]]),$W$3:$Y$14,3,0)</f>
        <v>8.4700000000000006</v>
      </c>
      <c r="K130" s="30">
        <f>VLOOKUP(MONTH(Modelling[[#This Row],[Date]]),$W$3:$Y$14,3,0)</f>
        <v>8.4700000000000006</v>
      </c>
      <c r="L130" s="30">
        <f>AVERAGE(J$3:J130)</f>
        <v>8.7372656250000116</v>
      </c>
      <c r="M130" s="31">
        <f t="shared" si="9"/>
        <v>0.42746009864289441</v>
      </c>
      <c r="N130" s="31">
        <f t="shared" si="10"/>
        <v>0.42746009864289436</v>
      </c>
      <c r="O130" s="31">
        <f t="shared" si="11"/>
        <v>0.43678621286441516</v>
      </c>
      <c r="P130" s="109">
        <f t="shared" si="12"/>
        <v>70.2</v>
      </c>
      <c r="Q130" s="28">
        <f>AVERAGE($P$125:P130)</f>
        <v>70.2</v>
      </c>
      <c r="R130" s="81">
        <f>AVERAGE($P$3:P130)</f>
        <v>43.310204081632605</v>
      </c>
      <c r="S130">
        <f t="shared" si="14"/>
        <v>6</v>
      </c>
      <c r="T130">
        <f t="shared" si="16"/>
        <v>98</v>
      </c>
    </row>
    <row r="131" spans="2:20">
      <c r="B131" s="27">
        <f t="shared" si="15"/>
        <v>45511</v>
      </c>
      <c r="C131" s="28">
        <f>YEAR(Modelling[[#This Row],[Date]])+IF(MONTH(Modelling[[#This Row],[Date]])&gt;=4,1,0)</f>
        <v>2025</v>
      </c>
      <c r="D131" s="22">
        <f t="shared" si="13"/>
        <v>2024</v>
      </c>
      <c r="E131" s="29">
        <v>44774</v>
      </c>
      <c r="F131" s="22">
        <f>DAY(EOMONTH(Modelling[[#This Row],[Date]],0))</f>
        <v>31</v>
      </c>
      <c r="G131" s="28">
        <f>VLOOKUP(MONTH(Modelling[[#This Row],[Date]]),$W$3:$Z$14,4,0)/1000/Modelling[[#This Row],[Days]]</f>
        <v>720.18477419354849</v>
      </c>
      <c r="H131" s="28">
        <f>SUM($G$125:G131)</f>
        <v>5041.293419354839</v>
      </c>
      <c r="I131" s="28">
        <f>SUM($G$3:G131)</f>
        <v>45213.674419354873</v>
      </c>
      <c r="J131" s="30">
        <f>VLOOKUP(MONTH(Modelling[[#This Row],[Date]]),$W$3:$Y$14,3,0)</f>
        <v>8.4700000000000006</v>
      </c>
      <c r="K131" s="30">
        <f>VLOOKUP(MONTH(Modelling[[#This Row],[Date]]),$W$3:$Y$14,3,0)</f>
        <v>8.4700000000000006</v>
      </c>
      <c r="L131" s="30">
        <f>AVERAGE(J$3:J131)</f>
        <v>8.7351937984496235</v>
      </c>
      <c r="M131" s="31">
        <f t="shared" ref="M131:M194" si="17">G131/P131/24</f>
        <v>0.42746009864289441</v>
      </c>
      <c r="N131" s="31">
        <f t="shared" ref="N131:N194" si="18">H131/(24*S131)/Q131</f>
        <v>0.42746009864289436</v>
      </c>
      <c r="O131" s="31">
        <f t="shared" ref="O131:O194" si="19">I131/(24*T131)/R131</f>
        <v>0.43663447383452819</v>
      </c>
      <c r="P131" s="109">
        <f t="shared" ref="P131:P194" si="20">_xlfn.XLOOKUP(MONTH(B131),W:W,AA:AA)</f>
        <v>70.2</v>
      </c>
      <c r="Q131" s="28">
        <f>AVERAGE($P$125:P131)</f>
        <v>70.2</v>
      </c>
      <c r="R131" s="81">
        <f>AVERAGE($P$3:P131)</f>
        <v>43.581818181818129</v>
      </c>
      <c r="S131">
        <f t="shared" si="14"/>
        <v>7</v>
      </c>
      <c r="T131">
        <f t="shared" si="16"/>
        <v>99</v>
      </c>
    </row>
    <row r="132" spans="2:20">
      <c r="B132" s="27">
        <f t="shared" si="15"/>
        <v>45512</v>
      </c>
      <c r="C132" s="28">
        <f>YEAR(Modelling[[#This Row],[Date]])+IF(MONTH(Modelling[[#This Row],[Date]])&gt;=4,1,0)</f>
        <v>2025</v>
      </c>
      <c r="D132" s="22">
        <f t="shared" ref="D132:D195" si="21">YEAR(B132)</f>
        <v>2024</v>
      </c>
      <c r="E132" s="29">
        <v>44774</v>
      </c>
      <c r="F132" s="22">
        <f>DAY(EOMONTH(Modelling[[#This Row],[Date]],0))</f>
        <v>31</v>
      </c>
      <c r="G132" s="28">
        <f>VLOOKUP(MONTH(Modelling[[#This Row],[Date]]),$W$3:$Z$14,4,0)/1000/Modelling[[#This Row],[Days]]</f>
        <v>720.18477419354849</v>
      </c>
      <c r="H132" s="28">
        <f>SUM($G$125:G132)</f>
        <v>5761.4781935483879</v>
      </c>
      <c r="I132" s="28">
        <f>SUM($G$3:G132)</f>
        <v>45933.859193548422</v>
      </c>
      <c r="J132" s="30">
        <f>VLOOKUP(MONTH(Modelling[[#This Row],[Date]]),$W$3:$Y$14,3,0)</f>
        <v>8.4700000000000006</v>
      </c>
      <c r="K132" s="30">
        <f>VLOOKUP(MONTH(Modelling[[#This Row],[Date]]),$W$3:$Y$14,3,0)</f>
        <v>8.4700000000000006</v>
      </c>
      <c r="L132" s="30">
        <f>AVERAGE(J$3:J132)</f>
        <v>8.7331538461538578</v>
      </c>
      <c r="M132" s="31">
        <f t="shared" si="17"/>
        <v>0.42746009864289441</v>
      </c>
      <c r="N132" s="31">
        <f t="shared" si="18"/>
        <v>0.42746009864289436</v>
      </c>
      <c r="O132" s="31">
        <f t="shared" si="19"/>
        <v>0.43648759344352911</v>
      </c>
      <c r="P132" s="109">
        <f t="shared" si="20"/>
        <v>70.2</v>
      </c>
      <c r="Q132" s="28">
        <f>AVERAGE($P$125:P132)</f>
        <v>70.2</v>
      </c>
      <c r="R132" s="81">
        <f>AVERAGE($P$3:P132)</f>
        <v>43.847999999999949</v>
      </c>
      <c r="S132">
        <f t="shared" ref="S132:S195" si="22">DAY(B132)</f>
        <v>8</v>
      </c>
      <c r="T132">
        <f t="shared" si="16"/>
        <v>100</v>
      </c>
    </row>
    <row r="133" spans="2:20">
      <c r="B133" s="27">
        <f t="shared" ref="B133:B196" si="23">B132+1</f>
        <v>45513</v>
      </c>
      <c r="C133" s="28">
        <f>YEAR(Modelling[[#This Row],[Date]])+IF(MONTH(Modelling[[#This Row],[Date]])&gt;=4,1,0)</f>
        <v>2025</v>
      </c>
      <c r="D133" s="22">
        <f t="shared" si="21"/>
        <v>2024</v>
      </c>
      <c r="E133" s="29">
        <v>44774</v>
      </c>
      <c r="F133" s="22">
        <f>DAY(EOMONTH(Modelling[[#This Row],[Date]],0))</f>
        <v>31</v>
      </c>
      <c r="G133" s="28">
        <f>VLOOKUP(MONTH(Modelling[[#This Row],[Date]]),$W$3:$Z$14,4,0)/1000/Modelling[[#This Row],[Days]]</f>
        <v>720.18477419354849</v>
      </c>
      <c r="H133" s="28">
        <f>SUM($G$125:G133)</f>
        <v>6481.6629677419369</v>
      </c>
      <c r="I133" s="28">
        <f>SUM($G$3:G133)</f>
        <v>46654.043967741971</v>
      </c>
      <c r="J133" s="30">
        <f>VLOOKUP(MONTH(Modelling[[#This Row],[Date]]),$W$3:$Y$14,3,0)</f>
        <v>8.4700000000000006</v>
      </c>
      <c r="K133" s="30">
        <f>VLOOKUP(MONTH(Modelling[[#This Row],[Date]]),$W$3:$Y$14,3,0)</f>
        <v>8.4700000000000006</v>
      </c>
      <c r="L133" s="30">
        <f>AVERAGE(J$3:J133)</f>
        <v>8.7311450381679503</v>
      </c>
      <c r="M133" s="31">
        <f t="shared" si="17"/>
        <v>0.42746009864289441</v>
      </c>
      <c r="N133" s="31">
        <f t="shared" si="18"/>
        <v>0.42746009864289441</v>
      </c>
      <c r="O133" s="31">
        <f t="shared" si="19"/>
        <v>0.43634534201030706</v>
      </c>
      <c r="P133" s="109">
        <f t="shared" si="20"/>
        <v>70.2</v>
      </c>
      <c r="Q133" s="28">
        <f>AVERAGE($P$125:P133)</f>
        <v>70.2</v>
      </c>
      <c r="R133" s="81">
        <f>AVERAGE($P$3:P133)</f>
        <v>44.108910891089053</v>
      </c>
      <c r="S133">
        <f t="shared" si="22"/>
        <v>9</v>
      </c>
      <c r="T133">
        <f t="shared" ref="T133:T196" si="24">T132+1</f>
        <v>101</v>
      </c>
    </row>
    <row r="134" spans="2:20">
      <c r="B134" s="27">
        <f t="shared" si="23"/>
        <v>45514</v>
      </c>
      <c r="C134" s="28">
        <f>YEAR(Modelling[[#This Row],[Date]])+IF(MONTH(Modelling[[#This Row],[Date]])&gt;=4,1,0)</f>
        <v>2025</v>
      </c>
      <c r="D134" s="22">
        <f t="shared" si="21"/>
        <v>2024</v>
      </c>
      <c r="E134" s="29">
        <v>44774</v>
      </c>
      <c r="F134" s="22">
        <f>DAY(EOMONTH(Modelling[[#This Row],[Date]],0))</f>
        <v>31</v>
      </c>
      <c r="G134" s="28">
        <f>VLOOKUP(MONTH(Modelling[[#This Row],[Date]]),$W$3:$Z$14,4,0)/1000/Modelling[[#This Row],[Days]]</f>
        <v>720.18477419354849</v>
      </c>
      <c r="H134" s="28">
        <f>SUM($G$125:G134)</f>
        <v>7201.8477419354858</v>
      </c>
      <c r="I134" s="28">
        <f>SUM($G$3:G134)</f>
        <v>47374.22874193552</v>
      </c>
      <c r="J134" s="30">
        <f>VLOOKUP(MONTH(Modelling[[#This Row],[Date]]),$W$3:$Y$14,3,0)</f>
        <v>8.4700000000000006</v>
      </c>
      <c r="K134" s="30">
        <f>VLOOKUP(MONTH(Modelling[[#This Row],[Date]]),$W$3:$Y$14,3,0)</f>
        <v>8.4700000000000006</v>
      </c>
      <c r="L134" s="30">
        <f>AVERAGE(J$3:J134)</f>
        <v>8.7291666666666785</v>
      </c>
      <c r="M134" s="31">
        <f t="shared" si="17"/>
        <v>0.42746009864289441</v>
      </c>
      <c r="N134" s="31">
        <f t="shared" si="18"/>
        <v>0.42746009864289436</v>
      </c>
      <c r="O134" s="31">
        <f t="shared" si="19"/>
        <v>0.43620750410603931</v>
      </c>
      <c r="P134" s="109">
        <f t="shared" si="20"/>
        <v>70.2</v>
      </c>
      <c r="Q134" s="28">
        <f>AVERAGE($P$125:P134)</f>
        <v>70.200000000000017</v>
      </c>
      <c r="R134" s="81">
        <f>AVERAGE($P$3:P134)</f>
        <v>44.364705882352887</v>
      </c>
      <c r="S134">
        <f t="shared" si="22"/>
        <v>10</v>
      </c>
      <c r="T134">
        <f t="shared" si="24"/>
        <v>102</v>
      </c>
    </row>
    <row r="135" spans="2:20">
      <c r="B135" s="27">
        <f t="shared" si="23"/>
        <v>45515</v>
      </c>
      <c r="C135" s="28">
        <f>YEAR(Modelling[[#This Row],[Date]])+IF(MONTH(Modelling[[#This Row],[Date]])&gt;=4,1,0)</f>
        <v>2025</v>
      </c>
      <c r="D135" s="22">
        <f t="shared" si="21"/>
        <v>2024</v>
      </c>
      <c r="E135" s="29">
        <v>44774</v>
      </c>
      <c r="F135" s="22">
        <f>DAY(EOMONTH(Modelling[[#This Row],[Date]],0))</f>
        <v>31</v>
      </c>
      <c r="G135" s="28">
        <f>VLOOKUP(MONTH(Modelling[[#This Row],[Date]]),$W$3:$Z$14,4,0)/1000/Modelling[[#This Row],[Days]]</f>
        <v>720.18477419354849</v>
      </c>
      <c r="H135" s="28">
        <f>SUM($G$125:G135)</f>
        <v>7922.0325161290348</v>
      </c>
      <c r="I135" s="28">
        <f>SUM($G$3:G135)</f>
        <v>48094.413516129069</v>
      </c>
      <c r="J135" s="30">
        <f>VLOOKUP(MONTH(Modelling[[#This Row],[Date]]),$W$3:$Y$14,3,0)</f>
        <v>8.4700000000000006</v>
      </c>
      <c r="K135" s="30">
        <f>VLOOKUP(MONTH(Modelling[[#This Row],[Date]]),$W$3:$Y$14,3,0)</f>
        <v>8.4700000000000006</v>
      </c>
      <c r="L135" s="30">
        <f>AVERAGE(J$3:J135)</f>
        <v>8.7272180451127941</v>
      </c>
      <c r="M135" s="31">
        <f t="shared" si="17"/>
        <v>0.42746009864289441</v>
      </c>
      <c r="N135" s="31">
        <f t="shared" si="18"/>
        <v>0.42746009864289436</v>
      </c>
      <c r="O135" s="31">
        <f t="shared" si="19"/>
        <v>0.43607387746559173</v>
      </c>
      <c r="P135" s="109">
        <f t="shared" si="20"/>
        <v>70.2</v>
      </c>
      <c r="Q135" s="28">
        <f>AVERAGE($P$125:P135)</f>
        <v>70.200000000000017</v>
      </c>
      <c r="R135" s="81">
        <f>AVERAGE($P$3:P135)</f>
        <v>44.61553398058247</v>
      </c>
      <c r="S135">
        <f t="shared" si="22"/>
        <v>11</v>
      </c>
      <c r="T135">
        <f t="shared" si="24"/>
        <v>103</v>
      </c>
    </row>
    <row r="136" spans="2:20">
      <c r="B136" s="27">
        <f t="shared" si="23"/>
        <v>45516</v>
      </c>
      <c r="C136" s="28">
        <f>YEAR(Modelling[[#This Row],[Date]])+IF(MONTH(Modelling[[#This Row],[Date]])&gt;=4,1,0)</f>
        <v>2025</v>
      </c>
      <c r="D136" s="22">
        <f t="shared" si="21"/>
        <v>2024</v>
      </c>
      <c r="E136" s="29">
        <v>44774</v>
      </c>
      <c r="F136" s="22">
        <f>DAY(EOMONTH(Modelling[[#This Row],[Date]],0))</f>
        <v>31</v>
      </c>
      <c r="G136" s="28">
        <f>VLOOKUP(MONTH(Modelling[[#This Row],[Date]]),$W$3:$Z$14,4,0)/1000/Modelling[[#This Row],[Days]]</f>
        <v>720.18477419354849</v>
      </c>
      <c r="H136" s="28">
        <f>SUM($G$125:G136)</f>
        <v>8642.2172903225837</v>
      </c>
      <c r="I136" s="28">
        <f>SUM($G$3:G136)</f>
        <v>48814.598290322618</v>
      </c>
      <c r="J136" s="30">
        <f>VLOOKUP(MONTH(Modelling[[#This Row],[Date]]),$W$3:$Y$14,3,0)</f>
        <v>8.4700000000000006</v>
      </c>
      <c r="K136" s="30">
        <f>VLOOKUP(MONTH(Modelling[[#This Row],[Date]]),$W$3:$Y$14,3,0)</f>
        <v>8.4700000000000006</v>
      </c>
      <c r="L136" s="30">
        <f>AVERAGE(J$3:J136)</f>
        <v>8.7252985074626981</v>
      </c>
      <c r="M136" s="31">
        <f t="shared" si="17"/>
        <v>0.42746009864289441</v>
      </c>
      <c r="N136" s="31">
        <f t="shared" si="18"/>
        <v>0.42746009864289441</v>
      </c>
      <c r="O136" s="31">
        <f t="shared" si="19"/>
        <v>0.43594427199719477</v>
      </c>
      <c r="P136" s="109">
        <f t="shared" si="20"/>
        <v>70.2</v>
      </c>
      <c r="Q136" s="28">
        <f>AVERAGE($P$125:P136)</f>
        <v>70.200000000000017</v>
      </c>
      <c r="R136" s="81">
        <f>AVERAGE($P$3:P136)</f>
        <v>44.861538461538402</v>
      </c>
      <c r="S136">
        <f t="shared" si="22"/>
        <v>12</v>
      </c>
      <c r="T136">
        <f t="shared" si="24"/>
        <v>104</v>
      </c>
    </row>
    <row r="137" spans="2:20">
      <c r="B137" s="27">
        <f t="shared" si="23"/>
        <v>45517</v>
      </c>
      <c r="C137" s="28">
        <f>YEAR(Modelling[[#This Row],[Date]])+IF(MONTH(Modelling[[#This Row],[Date]])&gt;=4,1,0)</f>
        <v>2025</v>
      </c>
      <c r="D137" s="22">
        <f t="shared" si="21"/>
        <v>2024</v>
      </c>
      <c r="E137" s="29">
        <v>44774</v>
      </c>
      <c r="F137" s="22">
        <f>DAY(EOMONTH(Modelling[[#This Row],[Date]],0))</f>
        <v>31</v>
      </c>
      <c r="G137" s="28">
        <f>VLOOKUP(MONTH(Modelling[[#This Row],[Date]]),$W$3:$Z$14,4,0)/1000/Modelling[[#This Row],[Days]]</f>
        <v>720.18477419354849</v>
      </c>
      <c r="H137" s="28">
        <f>SUM($G$125:G137)</f>
        <v>9362.4020645161327</v>
      </c>
      <c r="I137" s="28">
        <f>SUM($G$3:G137)</f>
        <v>49534.783064516167</v>
      </c>
      <c r="J137" s="30">
        <f>VLOOKUP(MONTH(Modelling[[#This Row],[Date]]),$W$3:$Y$14,3,0)</f>
        <v>8.4700000000000006</v>
      </c>
      <c r="K137" s="30">
        <f>VLOOKUP(MONTH(Modelling[[#This Row],[Date]]),$W$3:$Y$14,3,0)</f>
        <v>8.4700000000000006</v>
      </c>
      <c r="L137" s="30">
        <f>AVERAGE(J$3:J137)</f>
        <v>8.7234074074074197</v>
      </c>
      <c r="M137" s="31">
        <f t="shared" si="17"/>
        <v>0.42746009864289441</v>
      </c>
      <c r="N137" s="31">
        <f t="shared" si="18"/>
        <v>0.42746009864289441</v>
      </c>
      <c r="O137" s="31">
        <f t="shared" si="19"/>
        <v>0.43581850888019824</v>
      </c>
      <c r="P137" s="109">
        <f t="shared" si="20"/>
        <v>70.2</v>
      </c>
      <c r="Q137" s="28">
        <f>AVERAGE($P$125:P137)</f>
        <v>70.200000000000017</v>
      </c>
      <c r="R137" s="81">
        <f>AVERAGE($P$3:P137)</f>
        <v>45.102857142857083</v>
      </c>
      <c r="S137">
        <f t="shared" si="22"/>
        <v>13</v>
      </c>
      <c r="T137">
        <f t="shared" si="24"/>
        <v>105</v>
      </c>
    </row>
    <row r="138" spans="2:20">
      <c r="B138" s="27">
        <f t="shared" si="23"/>
        <v>45518</v>
      </c>
      <c r="C138" s="28">
        <f>YEAR(Modelling[[#This Row],[Date]])+IF(MONTH(Modelling[[#This Row],[Date]])&gt;=4,1,0)</f>
        <v>2025</v>
      </c>
      <c r="D138" s="22">
        <f t="shared" si="21"/>
        <v>2024</v>
      </c>
      <c r="E138" s="29">
        <v>44774</v>
      </c>
      <c r="F138" s="22">
        <f>DAY(EOMONTH(Modelling[[#This Row],[Date]],0))</f>
        <v>31</v>
      </c>
      <c r="G138" s="28">
        <f>VLOOKUP(MONTH(Modelling[[#This Row],[Date]]),$W$3:$Z$14,4,0)/1000/Modelling[[#This Row],[Days]]</f>
        <v>720.18477419354849</v>
      </c>
      <c r="H138" s="28">
        <f>SUM($G$125:G138)</f>
        <v>10082.586838709682</v>
      </c>
      <c r="I138" s="28">
        <f>SUM($G$3:G138)</f>
        <v>50254.967838709716</v>
      </c>
      <c r="J138" s="30">
        <f>VLOOKUP(MONTH(Modelling[[#This Row],[Date]]),$W$3:$Y$14,3,0)</f>
        <v>8.4700000000000006</v>
      </c>
      <c r="K138" s="30">
        <f>VLOOKUP(MONTH(Modelling[[#This Row],[Date]]),$W$3:$Y$14,3,0)</f>
        <v>8.4700000000000006</v>
      </c>
      <c r="L138" s="30">
        <f>AVERAGE(J$3:J138)</f>
        <v>8.7215441176470705</v>
      </c>
      <c r="M138" s="31">
        <f t="shared" si="17"/>
        <v>0.42746009864289441</v>
      </c>
      <c r="N138" s="31">
        <f t="shared" si="18"/>
        <v>0.42746009864289441</v>
      </c>
      <c r="O138" s="31">
        <f t="shared" si="19"/>
        <v>0.4356964197419006</v>
      </c>
      <c r="P138" s="109">
        <f t="shared" si="20"/>
        <v>70.2</v>
      </c>
      <c r="Q138" s="28">
        <f>AVERAGE($P$125:P138)</f>
        <v>70.200000000000017</v>
      </c>
      <c r="R138" s="81">
        <f>AVERAGE($P$3:P138)</f>
        <v>45.339622641509372</v>
      </c>
      <c r="S138">
        <f t="shared" si="22"/>
        <v>14</v>
      </c>
      <c r="T138">
        <f t="shared" si="24"/>
        <v>106</v>
      </c>
    </row>
    <row r="139" spans="2:20">
      <c r="B139" s="27">
        <f t="shared" si="23"/>
        <v>45519</v>
      </c>
      <c r="C139" s="28">
        <f>YEAR(Modelling[[#This Row],[Date]])+IF(MONTH(Modelling[[#This Row],[Date]])&gt;=4,1,0)</f>
        <v>2025</v>
      </c>
      <c r="D139" s="22">
        <f t="shared" si="21"/>
        <v>2024</v>
      </c>
      <c r="E139" s="29">
        <v>44774</v>
      </c>
      <c r="F139" s="22">
        <f>DAY(EOMONTH(Modelling[[#This Row],[Date]],0))</f>
        <v>31</v>
      </c>
      <c r="G139" s="28">
        <f>VLOOKUP(MONTH(Modelling[[#This Row],[Date]]),$W$3:$Z$14,4,0)/1000/Modelling[[#This Row],[Days]]</f>
        <v>720.18477419354849</v>
      </c>
      <c r="H139" s="28">
        <f>SUM($G$125:G139)</f>
        <v>10802.771612903231</v>
      </c>
      <c r="I139" s="28">
        <f>SUM($G$3:G139)</f>
        <v>50975.152612903265</v>
      </c>
      <c r="J139" s="30">
        <f>VLOOKUP(MONTH(Modelling[[#This Row],[Date]]),$W$3:$Y$14,3,0)</f>
        <v>8.4700000000000006</v>
      </c>
      <c r="K139" s="30">
        <f>VLOOKUP(MONTH(Modelling[[#This Row],[Date]]),$W$3:$Y$14,3,0)</f>
        <v>8.4700000000000006</v>
      </c>
      <c r="L139" s="30">
        <f>AVERAGE(J$3:J139)</f>
        <v>8.7197080291970934</v>
      </c>
      <c r="M139" s="31">
        <f t="shared" si="17"/>
        <v>0.42746009864289441</v>
      </c>
      <c r="N139" s="31">
        <f t="shared" si="18"/>
        <v>0.42746009864289441</v>
      </c>
      <c r="O139" s="31">
        <f t="shared" si="19"/>
        <v>0.43557784590548082</v>
      </c>
      <c r="P139" s="109">
        <f t="shared" si="20"/>
        <v>70.2</v>
      </c>
      <c r="Q139" s="28">
        <f>AVERAGE($P$125:P139)</f>
        <v>70.200000000000017</v>
      </c>
      <c r="R139" s="81">
        <f>AVERAGE($P$3:P139)</f>
        <v>45.571962616822368</v>
      </c>
      <c r="S139">
        <f t="shared" si="22"/>
        <v>15</v>
      </c>
      <c r="T139">
        <f t="shared" si="24"/>
        <v>107</v>
      </c>
    </row>
    <row r="140" spans="2:20">
      <c r="B140" s="27">
        <f t="shared" si="23"/>
        <v>45520</v>
      </c>
      <c r="C140" s="28">
        <f>YEAR(Modelling[[#This Row],[Date]])+IF(MONTH(Modelling[[#This Row],[Date]])&gt;=4,1,0)</f>
        <v>2025</v>
      </c>
      <c r="D140" s="22">
        <f t="shared" si="21"/>
        <v>2024</v>
      </c>
      <c r="E140" s="29">
        <v>44774</v>
      </c>
      <c r="F140" s="22">
        <f>DAY(EOMONTH(Modelling[[#This Row],[Date]],0))</f>
        <v>31</v>
      </c>
      <c r="G140" s="28">
        <f>VLOOKUP(MONTH(Modelling[[#This Row],[Date]]),$W$3:$Z$14,4,0)/1000/Modelling[[#This Row],[Days]]</f>
        <v>720.18477419354849</v>
      </c>
      <c r="H140" s="28">
        <f>SUM($G$125:G140)</f>
        <v>11522.95638709678</v>
      </c>
      <c r="I140" s="28">
        <f>SUM($G$3:G140)</f>
        <v>51695.337387096813</v>
      </c>
      <c r="J140" s="30">
        <f>VLOOKUP(MONTH(Modelling[[#This Row],[Date]]),$W$3:$Y$14,3,0)</f>
        <v>8.4700000000000006</v>
      </c>
      <c r="K140" s="30">
        <f>VLOOKUP(MONTH(Modelling[[#This Row],[Date]]),$W$3:$Y$14,3,0)</f>
        <v>8.4700000000000006</v>
      </c>
      <c r="L140" s="30">
        <f>AVERAGE(J$3:J140)</f>
        <v>8.7178985507246498</v>
      </c>
      <c r="M140" s="31">
        <f t="shared" si="17"/>
        <v>0.42746009864289441</v>
      </c>
      <c r="N140" s="31">
        <f t="shared" si="18"/>
        <v>0.42746009864289447</v>
      </c>
      <c r="O140" s="31">
        <f t="shared" si="19"/>
        <v>0.43546263770197252</v>
      </c>
      <c r="P140" s="109">
        <f t="shared" si="20"/>
        <v>70.2</v>
      </c>
      <c r="Q140" s="28">
        <f>AVERAGE($P$125:P140)</f>
        <v>70.200000000000017</v>
      </c>
      <c r="R140" s="81">
        <f>AVERAGE($P$3:P140)</f>
        <v>45.79999999999994</v>
      </c>
      <c r="S140">
        <f t="shared" si="22"/>
        <v>16</v>
      </c>
      <c r="T140">
        <f t="shared" si="24"/>
        <v>108</v>
      </c>
    </row>
    <row r="141" spans="2:20">
      <c r="B141" s="27">
        <f t="shared" si="23"/>
        <v>45521</v>
      </c>
      <c r="C141" s="28">
        <f>YEAR(Modelling[[#This Row],[Date]])+IF(MONTH(Modelling[[#This Row],[Date]])&gt;=4,1,0)</f>
        <v>2025</v>
      </c>
      <c r="D141" s="22">
        <f t="shared" si="21"/>
        <v>2024</v>
      </c>
      <c r="E141" s="29">
        <v>44774</v>
      </c>
      <c r="F141" s="22">
        <f>DAY(EOMONTH(Modelling[[#This Row],[Date]],0))</f>
        <v>31</v>
      </c>
      <c r="G141" s="28">
        <f>VLOOKUP(MONTH(Modelling[[#This Row],[Date]]),$W$3:$Z$14,4,0)/1000/Modelling[[#This Row],[Days]]</f>
        <v>720.18477419354849</v>
      </c>
      <c r="H141" s="28">
        <f>SUM($G$125:G141)</f>
        <v>12243.141161290328</v>
      </c>
      <c r="I141" s="28">
        <f>SUM($G$3:G141)</f>
        <v>52415.522161290362</v>
      </c>
      <c r="J141" s="30">
        <f>VLOOKUP(MONTH(Modelling[[#This Row],[Date]]),$W$3:$Y$14,3,0)</f>
        <v>8.4700000000000006</v>
      </c>
      <c r="K141" s="30">
        <f>VLOOKUP(MONTH(Modelling[[#This Row],[Date]]),$W$3:$Y$14,3,0)</f>
        <v>8.4700000000000006</v>
      </c>
      <c r="L141" s="30">
        <f>AVERAGE(J$3:J141)</f>
        <v>8.7161151079136818</v>
      </c>
      <c r="M141" s="31">
        <f t="shared" si="17"/>
        <v>0.42746009864289441</v>
      </c>
      <c r="N141" s="31">
        <f t="shared" si="18"/>
        <v>0.42746009864289447</v>
      </c>
      <c r="O141" s="31">
        <f t="shared" si="19"/>
        <v>0.43535065384000482</v>
      </c>
      <c r="P141" s="109">
        <f t="shared" si="20"/>
        <v>70.2</v>
      </c>
      <c r="Q141" s="28">
        <f>AVERAGE($P$125:P141)</f>
        <v>70.200000000000017</v>
      </c>
      <c r="R141" s="81">
        <f>AVERAGE($P$3:P141)</f>
        <v>46.023853211009111</v>
      </c>
      <c r="S141">
        <f t="shared" si="22"/>
        <v>17</v>
      </c>
      <c r="T141">
        <f t="shared" si="24"/>
        <v>109</v>
      </c>
    </row>
    <row r="142" spans="2:20">
      <c r="B142" s="27">
        <f t="shared" si="23"/>
        <v>45522</v>
      </c>
      <c r="C142" s="28">
        <f>YEAR(Modelling[[#This Row],[Date]])+IF(MONTH(Modelling[[#This Row],[Date]])&gt;=4,1,0)</f>
        <v>2025</v>
      </c>
      <c r="D142" s="22">
        <f t="shared" si="21"/>
        <v>2024</v>
      </c>
      <c r="E142" s="29">
        <v>44774</v>
      </c>
      <c r="F142" s="22">
        <f>DAY(EOMONTH(Modelling[[#This Row],[Date]],0))</f>
        <v>31</v>
      </c>
      <c r="G142" s="28">
        <f>VLOOKUP(MONTH(Modelling[[#This Row],[Date]]),$W$3:$Z$14,4,0)/1000/Modelling[[#This Row],[Days]]</f>
        <v>720.18477419354849</v>
      </c>
      <c r="H142" s="28">
        <f>SUM($G$125:G142)</f>
        <v>12963.325935483877</v>
      </c>
      <c r="I142" s="28">
        <f>SUM($G$3:G142)</f>
        <v>53135.706935483911</v>
      </c>
      <c r="J142" s="30">
        <f>VLOOKUP(MONTH(Modelling[[#This Row],[Date]]),$W$3:$Y$14,3,0)</f>
        <v>8.4700000000000006</v>
      </c>
      <c r="K142" s="30">
        <f>VLOOKUP(MONTH(Modelling[[#This Row],[Date]]),$W$3:$Y$14,3,0)</f>
        <v>8.4700000000000006</v>
      </c>
      <c r="L142" s="30">
        <f>AVERAGE(J$3:J142)</f>
        <v>8.7143571428571551</v>
      </c>
      <c r="M142" s="31">
        <f t="shared" si="17"/>
        <v>0.42746009864289441</v>
      </c>
      <c r="N142" s="31">
        <f t="shared" si="18"/>
        <v>0.42746009864289447</v>
      </c>
      <c r="O142" s="31">
        <f t="shared" si="19"/>
        <v>0.43524176082773047</v>
      </c>
      <c r="P142" s="109">
        <f t="shared" si="20"/>
        <v>70.2</v>
      </c>
      <c r="Q142" s="28">
        <f>AVERAGE($P$125:P142)</f>
        <v>70.200000000000017</v>
      </c>
      <c r="R142" s="81">
        <f>AVERAGE($P$3:P142)</f>
        <v>46.243636363636298</v>
      </c>
      <c r="S142">
        <f t="shared" si="22"/>
        <v>18</v>
      </c>
      <c r="T142">
        <f t="shared" si="24"/>
        <v>110</v>
      </c>
    </row>
    <row r="143" spans="2:20">
      <c r="B143" s="27">
        <f t="shared" si="23"/>
        <v>45523</v>
      </c>
      <c r="C143" s="28">
        <f>YEAR(Modelling[[#This Row],[Date]])+IF(MONTH(Modelling[[#This Row],[Date]])&gt;=4,1,0)</f>
        <v>2025</v>
      </c>
      <c r="D143" s="22">
        <f t="shared" si="21"/>
        <v>2024</v>
      </c>
      <c r="E143" s="29">
        <v>44774</v>
      </c>
      <c r="F143" s="22">
        <f>DAY(EOMONTH(Modelling[[#This Row],[Date]],0))</f>
        <v>31</v>
      </c>
      <c r="G143" s="28">
        <f>VLOOKUP(MONTH(Modelling[[#This Row],[Date]]),$W$3:$Z$14,4,0)/1000/Modelling[[#This Row],[Days]]</f>
        <v>720.18477419354849</v>
      </c>
      <c r="H143" s="28">
        <f>SUM($G$125:G143)</f>
        <v>13683.510709677426</v>
      </c>
      <c r="I143" s="28">
        <f>SUM($G$3:G143)</f>
        <v>53855.89170967746</v>
      </c>
      <c r="J143" s="30">
        <f>VLOOKUP(MONTH(Modelling[[#This Row],[Date]]),$W$3:$Y$14,3,0)</f>
        <v>8.4700000000000006</v>
      </c>
      <c r="K143" s="30">
        <f>VLOOKUP(MONTH(Modelling[[#This Row],[Date]]),$W$3:$Y$14,3,0)</f>
        <v>8.4700000000000006</v>
      </c>
      <c r="L143" s="30">
        <f>AVERAGE(J$3:J143)</f>
        <v>8.7126241134751901</v>
      </c>
      <c r="M143" s="31">
        <f t="shared" si="17"/>
        <v>0.42746009864289441</v>
      </c>
      <c r="N143" s="31">
        <f t="shared" si="18"/>
        <v>0.42746009864289447</v>
      </c>
      <c r="O143" s="31">
        <f t="shared" si="19"/>
        <v>0.4351358324419683</v>
      </c>
      <c r="P143" s="109">
        <f t="shared" si="20"/>
        <v>70.2</v>
      </c>
      <c r="Q143" s="28">
        <f>AVERAGE($P$125:P143)</f>
        <v>70.200000000000017</v>
      </c>
      <c r="R143" s="81">
        <f>AVERAGE($P$3:P143)</f>
        <v>46.459459459459396</v>
      </c>
      <c r="S143">
        <f t="shared" si="22"/>
        <v>19</v>
      </c>
      <c r="T143">
        <f t="shared" si="24"/>
        <v>111</v>
      </c>
    </row>
    <row r="144" spans="2:20">
      <c r="B144" s="27">
        <f t="shared" si="23"/>
        <v>45524</v>
      </c>
      <c r="C144" s="28">
        <f>YEAR(Modelling[[#This Row],[Date]])+IF(MONTH(Modelling[[#This Row],[Date]])&gt;=4,1,0)</f>
        <v>2025</v>
      </c>
      <c r="D144" s="22">
        <f t="shared" si="21"/>
        <v>2024</v>
      </c>
      <c r="E144" s="29">
        <v>44774</v>
      </c>
      <c r="F144" s="22">
        <f>DAY(EOMONTH(Modelling[[#This Row],[Date]],0))</f>
        <v>31</v>
      </c>
      <c r="G144" s="28">
        <f>VLOOKUP(MONTH(Modelling[[#This Row],[Date]]),$W$3:$Z$14,4,0)/1000/Modelling[[#This Row],[Days]]</f>
        <v>720.18477419354849</v>
      </c>
      <c r="H144" s="28">
        <f>SUM($G$125:G144)</f>
        <v>14403.695483870975</v>
      </c>
      <c r="I144" s="28">
        <f>SUM($G$3:G144)</f>
        <v>54576.076483871009</v>
      </c>
      <c r="J144" s="30">
        <f>VLOOKUP(MONTH(Modelling[[#This Row],[Date]]),$W$3:$Y$14,3,0)</f>
        <v>8.4700000000000006</v>
      </c>
      <c r="K144" s="30">
        <f>VLOOKUP(MONTH(Modelling[[#This Row],[Date]]),$W$3:$Y$14,3,0)</f>
        <v>8.4700000000000006</v>
      </c>
      <c r="L144" s="30">
        <f>AVERAGE(J$3:J144)</f>
        <v>8.7109154929577599</v>
      </c>
      <c r="M144" s="31">
        <f t="shared" si="17"/>
        <v>0.42746009864289441</v>
      </c>
      <c r="N144" s="31">
        <f t="shared" si="18"/>
        <v>0.42746009864289447</v>
      </c>
      <c r="O144" s="31">
        <f t="shared" si="19"/>
        <v>0.43503274924012131</v>
      </c>
      <c r="P144" s="109">
        <f t="shared" si="20"/>
        <v>70.2</v>
      </c>
      <c r="Q144" s="28">
        <f>AVERAGE($P$125:P144)</f>
        <v>70.200000000000017</v>
      </c>
      <c r="R144" s="81">
        <f>AVERAGE($P$3:P144)</f>
        <v>46.671428571428507</v>
      </c>
      <c r="S144">
        <f t="shared" si="22"/>
        <v>20</v>
      </c>
      <c r="T144">
        <f t="shared" si="24"/>
        <v>112</v>
      </c>
    </row>
    <row r="145" spans="2:20">
      <c r="B145" s="27">
        <f t="shared" si="23"/>
        <v>45525</v>
      </c>
      <c r="C145" s="28">
        <f>YEAR(Modelling[[#This Row],[Date]])+IF(MONTH(Modelling[[#This Row],[Date]])&gt;=4,1,0)</f>
        <v>2025</v>
      </c>
      <c r="D145" s="22">
        <f t="shared" si="21"/>
        <v>2024</v>
      </c>
      <c r="E145" s="29">
        <v>44774</v>
      </c>
      <c r="F145" s="22">
        <f>DAY(EOMONTH(Modelling[[#This Row],[Date]],0))</f>
        <v>31</v>
      </c>
      <c r="G145" s="28">
        <f>VLOOKUP(MONTH(Modelling[[#This Row],[Date]]),$W$3:$Z$14,4,0)/1000/Modelling[[#This Row],[Days]]</f>
        <v>720.18477419354849</v>
      </c>
      <c r="H145" s="28">
        <f>SUM($G$125:G145)</f>
        <v>15123.880258064524</v>
      </c>
      <c r="I145" s="28">
        <f>SUM($G$3:G145)</f>
        <v>55296.261258064558</v>
      </c>
      <c r="J145" s="30">
        <f>VLOOKUP(MONTH(Modelling[[#This Row],[Date]]),$W$3:$Y$14,3,0)</f>
        <v>8.4700000000000006</v>
      </c>
      <c r="K145" s="30">
        <f>VLOOKUP(MONTH(Modelling[[#This Row],[Date]]),$W$3:$Y$14,3,0)</f>
        <v>8.4700000000000006</v>
      </c>
      <c r="L145" s="30">
        <f>AVERAGE(J$3:J145)</f>
        <v>8.709230769230782</v>
      </c>
      <c r="M145" s="31">
        <f t="shared" si="17"/>
        <v>0.42746009864289441</v>
      </c>
      <c r="N145" s="31">
        <f t="shared" si="18"/>
        <v>0.42746009864289447</v>
      </c>
      <c r="O145" s="31">
        <f t="shared" si="19"/>
        <v>0.43493239811090217</v>
      </c>
      <c r="P145" s="109">
        <f t="shared" si="20"/>
        <v>70.2</v>
      </c>
      <c r="Q145" s="28">
        <f>AVERAGE($P$125:P145)</f>
        <v>70.200000000000017</v>
      </c>
      <c r="R145" s="81">
        <f>AVERAGE($P$3:P145)</f>
        <v>46.879646017699045</v>
      </c>
      <c r="S145">
        <f t="shared" si="22"/>
        <v>21</v>
      </c>
      <c r="T145">
        <f t="shared" si="24"/>
        <v>113</v>
      </c>
    </row>
    <row r="146" spans="2:20">
      <c r="B146" s="27">
        <f t="shared" si="23"/>
        <v>45526</v>
      </c>
      <c r="C146" s="28">
        <f>YEAR(Modelling[[#This Row],[Date]])+IF(MONTH(Modelling[[#This Row],[Date]])&gt;=4,1,0)</f>
        <v>2025</v>
      </c>
      <c r="D146" s="22">
        <f t="shared" si="21"/>
        <v>2024</v>
      </c>
      <c r="E146" s="29">
        <v>44774</v>
      </c>
      <c r="F146" s="22">
        <f>DAY(EOMONTH(Modelling[[#This Row],[Date]],0))</f>
        <v>31</v>
      </c>
      <c r="G146" s="28">
        <f>VLOOKUP(MONTH(Modelling[[#This Row],[Date]]),$W$3:$Z$14,4,0)/1000/Modelling[[#This Row],[Days]]</f>
        <v>720.18477419354849</v>
      </c>
      <c r="H146" s="28">
        <f>SUM($G$125:G146)</f>
        <v>15844.065032258073</v>
      </c>
      <c r="I146" s="28">
        <f>SUM($G$3:G146)</f>
        <v>56016.446032258107</v>
      </c>
      <c r="J146" s="30">
        <f>VLOOKUP(MONTH(Modelling[[#This Row],[Date]]),$W$3:$Y$14,3,0)</f>
        <v>8.4700000000000006</v>
      </c>
      <c r="K146" s="30">
        <f>VLOOKUP(MONTH(Modelling[[#This Row],[Date]]),$W$3:$Y$14,3,0)</f>
        <v>8.4700000000000006</v>
      </c>
      <c r="L146" s="30">
        <f>AVERAGE(J$3:J146)</f>
        <v>8.7075694444444576</v>
      </c>
      <c r="M146" s="31">
        <f t="shared" si="17"/>
        <v>0.42746009864289441</v>
      </c>
      <c r="N146" s="31">
        <f t="shared" si="18"/>
        <v>0.42746009864289436</v>
      </c>
      <c r="O146" s="31">
        <f t="shared" si="19"/>
        <v>0.4348346718603146</v>
      </c>
      <c r="P146" s="109">
        <f t="shared" si="20"/>
        <v>70.2</v>
      </c>
      <c r="Q146" s="28">
        <f>AVERAGE($P$125:P146)</f>
        <v>70.200000000000031</v>
      </c>
      <c r="R146" s="81">
        <f>AVERAGE($P$3:P146)</f>
        <v>47.084210526315722</v>
      </c>
      <c r="S146">
        <f t="shared" si="22"/>
        <v>22</v>
      </c>
      <c r="T146">
        <f t="shared" si="24"/>
        <v>114</v>
      </c>
    </row>
    <row r="147" spans="2:20">
      <c r="B147" s="27">
        <f t="shared" si="23"/>
        <v>45527</v>
      </c>
      <c r="C147" s="28">
        <f>YEAR(Modelling[[#This Row],[Date]])+IF(MONTH(Modelling[[#This Row],[Date]])&gt;=4,1,0)</f>
        <v>2025</v>
      </c>
      <c r="D147" s="22">
        <f t="shared" si="21"/>
        <v>2024</v>
      </c>
      <c r="E147" s="29">
        <v>44774</v>
      </c>
      <c r="F147" s="22">
        <f>DAY(EOMONTH(Modelling[[#This Row],[Date]],0))</f>
        <v>31</v>
      </c>
      <c r="G147" s="28">
        <f>VLOOKUP(MONTH(Modelling[[#This Row],[Date]]),$W$3:$Z$14,4,0)/1000/Modelling[[#This Row],[Days]]</f>
        <v>720.18477419354849</v>
      </c>
      <c r="H147" s="28">
        <f>SUM($G$125:G147)</f>
        <v>16564.249806451622</v>
      </c>
      <c r="I147" s="28">
        <f>SUM($G$3:G147)</f>
        <v>56736.630806451656</v>
      </c>
      <c r="J147" s="30">
        <f>VLOOKUP(MONTH(Modelling[[#This Row],[Date]]),$W$3:$Y$14,3,0)</f>
        <v>8.4700000000000006</v>
      </c>
      <c r="K147" s="30">
        <f>VLOOKUP(MONTH(Modelling[[#This Row],[Date]]),$W$3:$Y$14,3,0)</f>
        <v>8.4700000000000006</v>
      </c>
      <c r="L147" s="30">
        <f>AVERAGE(J$3:J147)</f>
        <v>8.7059310344827718</v>
      </c>
      <c r="M147" s="31">
        <f t="shared" si="17"/>
        <v>0.42746009864289441</v>
      </c>
      <c r="N147" s="31">
        <f t="shared" si="18"/>
        <v>0.42746009864289436</v>
      </c>
      <c r="O147" s="31">
        <f t="shared" si="19"/>
        <v>0.43473946882970238</v>
      </c>
      <c r="P147" s="109">
        <f t="shared" si="20"/>
        <v>70.2</v>
      </c>
      <c r="Q147" s="28">
        <f>AVERAGE($P$125:P147)</f>
        <v>70.200000000000031</v>
      </c>
      <c r="R147" s="81">
        <f>AVERAGE($P$3:P147)</f>
        <v>47.285217391304279</v>
      </c>
      <c r="S147">
        <f t="shared" si="22"/>
        <v>23</v>
      </c>
      <c r="T147">
        <f t="shared" si="24"/>
        <v>115</v>
      </c>
    </row>
    <row r="148" spans="2:20">
      <c r="B148" s="27">
        <f t="shared" si="23"/>
        <v>45528</v>
      </c>
      <c r="C148" s="28">
        <f>YEAR(Modelling[[#This Row],[Date]])+IF(MONTH(Modelling[[#This Row],[Date]])&gt;=4,1,0)</f>
        <v>2025</v>
      </c>
      <c r="D148" s="22">
        <f t="shared" si="21"/>
        <v>2024</v>
      </c>
      <c r="E148" s="29">
        <v>44774</v>
      </c>
      <c r="F148" s="22">
        <f>DAY(EOMONTH(Modelling[[#This Row],[Date]],0))</f>
        <v>31</v>
      </c>
      <c r="G148" s="28">
        <f>VLOOKUP(MONTH(Modelling[[#This Row],[Date]]),$W$3:$Z$14,4,0)/1000/Modelling[[#This Row],[Days]]</f>
        <v>720.18477419354849</v>
      </c>
      <c r="H148" s="28">
        <f>SUM($G$125:G148)</f>
        <v>17284.434580645171</v>
      </c>
      <c r="I148" s="28">
        <f>SUM($G$3:G148)</f>
        <v>57456.815580645205</v>
      </c>
      <c r="J148" s="30">
        <f>VLOOKUP(MONTH(Modelling[[#This Row],[Date]]),$W$3:$Y$14,3,0)</f>
        <v>8.4700000000000006</v>
      </c>
      <c r="K148" s="30">
        <f>VLOOKUP(MONTH(Modelling[[#This Row],[Date]]),$W$3:$Y$14,3,0)</f>
        <v>8.4700000000000006</v>
      </c>
      <c r="L148" s="30">
        <f>AVERAGE(J$3:J148)</f>
        <v>8.7043150684931643</v>
      </c>
      <c r="M148" s="31">
        <f t="shared" si="17"/>
        <v>0.42746009864289441</v>
      </c>
      <c r="N148" s="31">
        <f t="shared" si="18"/>
        <v>0.42746009864289441</v>
      </c>
      <c r="O148" s="31">
        <f t="shared" si="19"/>
        <v>0.43464669254300781</v>
      </c>
      <c r="P148" s="109">
        <f t="shared" si="20"/>
        <v>70.2</v>
      </c>
      <c r="Q148" s="28">
        <f>AVERAGE($P$125:P148)</f>
        <v>70.200000000000031</v>
      </c>
      <c r="R148" s="81">
        <f>AVERAGE($P$3:P148)</f>
        <v>47.482758620689587</v>
      </c>
      <c r="S148">
        <f t="shared" si="22"/>
        <v>24</v>
      </c>
      <c r="T148">
        <f t="shared" si="24"/>
        <v>116</v>
      </c>
    </row>
    <row r="149" spans="2:20">
      <c r="B149" s="27">
        <f t="shared" si="23"/>
        <v>45529</v>
      </c>
      <c r="C149" s="28">
        <f>YEAR(Modelling[[#This Row],[Date]])+IF(MONTH(Modelling[[#This Row],[Date]])&gt;=4,1,0)</f>
        <v>2025</v>
      </c>
      <c r="D149" s="22">
        <f t="shared" si="21"/>
        <v>2024</v>
      </c>
      <c r="E149" s="29">
        <v>44774</v>
      </c>
      <c r="F149" s="22">
        <f>DAY(EOMONTH(Modelling[[#This Row],[Date]],0))</f>
        <v>31</v>
      </c>
      <c r="G149" s="28">
        <f>VLOOKUP(MONTH(Modelling[[#This Row],[Date]]),$W$3:$Z$14,4,0)/1000/Modelling[[#This Row],[Days]]</f>
        <v>720.18477419354849</v>
      </c>
      <c r="H149" s="28">
        <f>SUM($G$125:G149)</f>
        <v>18004.61935483872</v>
      </c>
      <c r="I149" s="28">
        <f>SUM($G$3:G149)</f>
        <v>58177.000354838754</v>
      </c>
      <c r="J149" s="30">
        <f>VLOOKUP(MONTH(Modelling[[#This Row],[Date]]),$W$3:$Y$14,3,0)</f>
        <v>8.4700000000000006</v>
      </c>
      <c r="K149" s="30">
        <f>VLOOKUP(MONTH(Modelling[[#This Row],[Date]]),$W$3:$Y$14,3,0)</f>
        <v>8.4700000000000006</v>
      </c>
      <c r="L149" s="30">
        <f>AVERAGE(J$3:J149)</f>
        <v>8.7027210884353874</v>
      </c>
      <c r="M149" s="31">
        <f t="shared" si="17"/>
        <v>0.42746009864289441</v>
      </c>
      <c r="N149" s="31">
        <f t="shared" si="18"/>
        <v>0.42746009864289441</v>
      </c>
      <c r="O149" s="31">
        <f t="shared" si="19"/>
        <v>0.43455625138066373</v>
      </c>
      <c r="P149" s="109">
        <f t="shared" si="20"/>
        <v>70.2</v>
      </c>
      <c r="Q149" s="28">
        <f>AVERAGE($P$125:P149)</f>
        <v>70.200000000000031</v>
      </c>
      <c r="R149" s="81">
        <f>AVERAGE($P$3:P149)</f>
        <v>47.676923076923003</v>
      </c>
      <c r="S149">
        <f t="shared" si="22"/>
        <v>25</v>
      </c>
      <c r="T149">
        <f t="shared" si="24"/>
        <v>117</v>
      </c>
    </row>
    <row r="150" spans="2:20">
      <c r="B150" s="27">
        <f t="shared" si="23"/>
        <v>45530</v>
      </c>
      <c r="C150" s="28">
        <f>YEAR(Modelling[[#This Row],[Date]])+IF(MONTH(Modelling[[#This Row],[Date]])&gt;=4,1,0)</f>
        <v>2025</v>
      </c>
      <c r="D150" s="22">
        <f t="shared" si="21"/>
        <v>2024</v>
      </c>
      <c r="E150" s="29">
        <v>44774</v>
      </c>
      <c r="F150" s="22">
        <f>DAY(EOMONTH(Modelling[[#This Row],[Date]],0))</f>
        <v>31</v>
      </c>
      <c r="G150" s="28">
        <f>VLOOKUP(MONTH(Modelling[[#This Row],[Date]]),$W$3:$Z$14,4,0)/1000/Modelling[[#This Row],[Days]]</f>
        <v>720.18477419354849</v>
      </c>
      <c r="H150" s="28">
        <f>SUM($G$125:G150)</f>
        <v>18724.804129032269</v>
      </c>
      <c r="I150" s="28">
        <f>SUM($G$3:G150)</f>
        <v>58897.185129032303</v>
      </c>
      <c r="J150" s="30">
        <f>VLOOKUP(MONTH(Modelling[[#This Row],[Date]]),$W$3:$Y$14,3,0)</f>
        <v>8.4700000000000006</v>
      </c>
      <c r="K150" s="30">
        <f>VLOOKUP(MONTH(Modelling[[#This Row],[Date]]),$W$3:$Y$14,3,0)</f>
        <v>8.4700000000000006</v>
      </c>
      <c r="L150" s="30">
        <f>AVERAGE(J$3:J150)</f>
        <v>8.7011486486486618</v>
      </c>
      <c r="M150" s="31">
        <f t="shared" si="17"/>
        <v>0.42746009864289441</v>
      </c>
      <c r="N150" s="31">
        <f t="shared" si="18"/>
        <v>0.42746009864289441</v>
      </c>
      <c r="O150" s="31">
        <f t="shared" si="19"/>
        <v>0.43446805827780421</v>
      </c>
      <c r="P150" s="109">
        <f t="shared" si="20"/>
        <v>70.2</v>
      </c>
      <c r="Q150" s="28">
        <f>AVERAGE($P$125:P150)</f>
        <v>70.200000000000031</v>
      </c>
      <c r="R150" s="81">
        <f>AVERAGE($P$3:P150)</f>
        <v>47.867796610169421</v>
      </c>
      <c r="S150">
        <f t="shared" si="22"/>
        <v>26</v>
      </c>
      <c r="T150">
        <f t="shared" si="24"/>
        <v>118</v>
      </c>
    </row>
    <row r="151" spans="2:20">
      <c r="B151" s="27">
        <f t="shared" si="23"/>
        <v>45531</v>
      </c>
      <c r="C151" s="28">
        <f>YEAR(Modelling[[#This Row],[Date]])+IF(MONTH(Modelling[[#This Row],[Date]])&gt;=4,1,0)</f>
        <v>2025</v>
      </c>
      <c r="D151" s="22">
        <f t="shared" si="21"/>
        <v>2024</v>
      </c>
      <c r="E151" s="29">
        <v>44774</v>
      </c>
      <c r="F151" s="22">
        <f>DAY(EOMONTH(Modelling[[#This Row],[Date]],0))</f>
        <v>31</v>
      </c>
      <c r="G151" s="28">
        <f>VLOOKUP(MONTH(Modelling[[#This Row],[Date]]),$W$3:$Z$14,4,0)/1000/Modelling[[#This Row],[Days]]</f>
        <v>720.18477419354849</v>
      </c>
      <c r="H151" s="28">
        <f>SUM($G$125:G151)</f>
        <v>19444.988903225818</v>
      </c>
      <c r="I151" s="28">
        <f>SUM($G$3:G151)</f>
        <v>59617.369903225852</v>
      </c>
      <c r="J151" s="30">
        <f>VLOOKUP(MONTH(Modelling[[#This Row],[Date]]),$W$3:$Y$14,3,0)</f>
        <v>8.4700000000000006</v>
      </c>
      <c r="K151" s="30">
        <f>VLOOKUP(MONTH(Modelling[[#This Row],[Date]]),$W$3:$Y$14,3,0)</f>
        <v>8.4700000000000006</v>
      </c>
      <c r="L151" s="30">
        <f>AVERAGE(J$3:J151)</f>
        <v>8.6995973154362556</v>
      </c>
      <c r="M151" s="31">
        <f t="shared" si="17"/>
        <v>0.42746009864289441</v>
      </c>
      <c r="N151" s="31">
        <f t="shared" si="18"/>
        <v>0.42746009864289441</v>
      </c>
      <c r="O151" s="31">
        <f t="shared" si="19"/>
        <v>0.43438203044470342</v>
      </c>
      <c r="P151" s="109">
        <f t="shared" si="20"/>
        <v>70.2</v>
      </c>
      <c r="Q151" s="28">
        <f>AVERAGE($P$125:P151)</f>
        <v>70.200000000000031</v>
      </c>
      <c r="R151" s="81">
        <f>AVERAGE($P$3:P151)</f>
        <v>48.055462184873875</v>
      </c>
      <c r="S151">
        <f t="shared" si="22"/>
        <v>27</v>
      </c>
      <c r="T151">
        <f t="shared" si="24"/>
        <v>119</v>
      </c>
    </row>
    <row r="152" spans="2:20">
      <c r="B152" s="27">
        <f t="shared" si="23"/>
        <v>45532</v>
      </c>
      <c r="C152" s="28">
        <f>YEAR(Modelling[[#This Row],[Date]])+IF(MONTH(Modelling[[#This Row],[Date]])&gt;=4,1,0)</f>
        <v>2025</v>
      </c>
      <c r="D152" s="22">
        <f t="shared" si="21"/>
        <v>2024</v>
      </c>
      <c r="E152" s="29">
        <v>44774</v>
      </c>
      <c r="F152" s="22">
        <f>DAY(EOMONTH(Modelling[[#This Row],[Date]],0))</f>
        <v>31</v>
      </c>
      <c r="G152" s="28">
        <f>VLOOKUP(MONTH(Modelling[[#This Row],[Date]]),$W$3:$Z$14,4,0)/1000/Modelling[[#This Row],[Days]]</f>
        <v>720.18477419354849</v>
      </c>
      <c r="H152" s="28">
        <f>SUM($G$125:G152)</f>
        <v>20165.173677419367</v>
      </c>
      <c r="I152" s="28">
        <f>SUM($G$3:G152)</f>
        <v>60337.554677419401</v>
      </c>
      <c r="J152" s="30">
        <f>VLOOKUP(MONTH(Modelling[[#This Row],[Date]]),$W$3:$Y$14,3,0)</f>
        <v>8.4700000000000006</v>
      </c>
      <c r="K152" s="30">
        <f>VLOOKUP(MONTH(Modelling[[#This Row],[Date]]),$W$3:$Y$14,3,0)</f>
        <v>8.4700000000000006</v>
      </c>
      <c r="L152" s="30">
        <f>AVERAGE(J$3:J152)</f>
        <v>8.6980666666666799</v>
      </c>
      <c r="M152" s="31">
        <f t="shared" si="17"/>
        <v>0.42746009864289441</v>
      </c>
      <c r="N152" s="31">
        <f t="shared" si="18"/>
        <v>0.42746009864289441</v>
      </c>
      <c r="O152" s="31">
        <f t="shared" si="19"/>
        <v>0.43429808910755463</v>
      </c>
      <c r="P152" s="109">
        <f t="shared" si="20"/>
        <v>70.2</v>
      </c>
      <c r="Q152" s="28">
        <f>AVERAGE($P$125:P152)</f>
        <v>70.200000000000031</v>
      </c>
      <c r="R152" s="81">
        <f>AVERAGE($P$3:P152)</f>
        <v>48.239999999999924</v>
      </c>
      <c r="S152">
        <f t="shared" si="22"/>
        <v>28</v>
      </c>
      <c r="T152">
        <f t="shared" si="24"/>
        <v>120</v>
      </c>
    </row>
    <row r="153" spans="2:20">
      <c r="B153" s="27">
        <f t="shared" si="23"/>
        <v>45533</v>
      </c>
      <c r="C153" s="28">
        <f>YEAR(Modelling[[#This Row],[Date]])+IF(MONTH(Modelling[[#This Row],[Date]])&gt;=4,1,0)</f>
        <v>2025</v>
      </c>
      <c r="D153" s="22">
        <f t="shared" si="21"/>
        <v>2024</v>
      </c>
      <c r="E153" s="29">
        <v>44774</v>
      </c>
      <c r="F153" s="22">
        <f>DAY(EOMONTH(Modelling[[#This Row],[Date]],0))</f>
        <v>31</v>
      </c>
      <c r="G153" s="28">
        <f>VLOOKUP(MONTH(Modelling[[#This Row],[Date]]),$W$3:$Z$14,4,0)/1000/Modelling[[#This Row],[Days]]</f>
        <v>720.18477419354849</v>
      </c>
      <c r="H153" s="28">
        <f>SUM($G$125:G153)</f>
        <v>20885.358451612916</v>
      </c>
      <c r="I153" s="28">
        <f>SUM($G$3:G153)</f>
        <v>61057.73945161295</v>
      </c>
      <c r="J153" s="30">
        <f>VLOOKUP(MONTH(Modelling[[#This Row],[Date]]),$W$3:$Y$14,3,0)</f>
        <v>8.4700000000000006</v>
      </c>
      <c r="K153" s="30">
        <f>VLOOKUP(MONTH(Modelling[[#This Row],[Date]]),$W$3:$Y$14,3,0)</f>
        <v>8.4700000000000006</v>
      </c>
      <c r="L153" s="30">
        <f>AVERAGE(J$3:J153)</f>
        <v>8.6965562913907419</v>
      </c>
      <c r="M153" s="31">
        <f t="shared" si="17"/>
        <v>0.42746009864289441</v>
      </c>
      <c r="N153" s="31">
        <f t="shared" si="18"/>
        <v>0.42746009864289441</v>
      </c>
      <c r="O153" s="31">
        <f t="shared" si="19"/>
        <v>0.43421615926788598</v>
      </c>
      <c r="P153" s="109">
        <f t="shared" si="20"/>
        <v>70.2</v>
      </c>
      <c r="Q153" s="28">
        <f>AVERAGE($P$125:P153)</f>
        <v>70.200000000000031</v>
      </c>
      <c r="R153" s="81">
        <f>AVERAGE($P$3:P153)</f>
        <v>48.421487603305707</v>
      </c>
      <c r="S153">
        <f t="shared" si="22"/>
        <v>29</v>
      </c>
      <c r="T153">
        <f t="shared" si="24"/>
        <v>121</v>
      </c>
    </row>
    <row r="154" spans="2:20">
      <c r="B154" s="27">
        <f t="shared" si="23"/>
        <v>45534</v>
      </c>
      <c r="C154" s="28">
        <f>YEAR(Modelling[[#This Row],[Date]])+IF(MONTH(Modelling[[#This Row],[Date]])&gt;=4,1,0)</f>
        <v>2025</v>
      </c>
      <c r="D154" s="22">
        <f t="shared" si="21"/>
        <v>2024</v>
      </c>
      <c r="E154" s="29">
        <v>44774</v>
      </c>
      <c r="F154" s="22">
        <f>DAY(EOMONTH(Modelling[[#This Row],[Date]],0))</f>
        <v>31</v>
      </c>
      <c r="G154" s="28">
        <f>VLOOKUP(MONTH(Modelling[[#This Row],[Date]]),$W$3:$Z$14,4,0)/1000/Modelling[[#This Row],[Days]]</f>
        <v>720.18477419354849</v>
      </c>
      <c r="H154" s="28">
        <f>SUM($G$125:G154)</f>
        <v>21605.543225806465</v>
      </c>
      <c r="I154" s="28">
        <f>SUM($G$3:G154)</f>
        <v>61777.924225806499</v>
      </c>
      <c r="J154" s="30">
        <f>VLOOKUP(MONTH(Modelling[[#This Row],[Date]]),$W$3:$Y$14,3,0)</f>
        <v>8.4700000000000006</v>
      </c>
      <c r="K154" s="30">
        <f>VLOOKUP(MONTH(Modelling[[#This Row],[Date]]),$W$3:$Y$14,3,0)</f>
        <v>8.4700000000000006</v>
      </c>
      <c r="L154" s="30">
        <f>AVERAGE(J$3:J154)</f>
        <v>8.6950657894736985</v>
      </c>
      <c r="M154" s="31">
        <f t="shared" si="17"/>
        <v>0.42746009864289441</v>
      </c>
      <c r="N154" s="31">
        <f t="shared" si="18"/>
        <v>0.42746009864289441</v>
      </c>
      <c r="O154" s="31">
        <f t="shared" si="19"/>
        <v>0.43413616947906547</v>
      </c>
      <c r="P154" s="109">
        <f t="shared" si="20"/>
        <v>70.2</v>
      </c>
      <c r="Q154" s="28">
        <f>AVERAGE($P$125:P154)</f>
        <v>70.200000000000031</v>
      </c>
      <c r="R154" s="81">
        <f>AVERAGE($P$3:P154)</f>
        <v>48.599999999999923</v>
      </c>
      <c r="S154">
        <f t="shared" si="22"/>
        <v>30</v>
      </c>
      <c r="T154">
        <f t="shared" si="24"/>
        <v>122</v>
      </c>
    </row>
    <row r="155" spans="2:20">
      <c r="B155" s="27">
        <f t="shared" si="23"/>
        <v>45535</v>
      </c>
      <c r="C155" s="28">
        <f>YEAR(Modelling[[#This Row],[Date]])+IF(MONTH(Modelling[[#This Row],[Date]])&gt;=4,1,0)</f>
        <v>2025</v>
      </c>
      <c r="D155" s="22">
        <f t="shared" si="21"/>
        <v>2024</v>
      </c>
      <c r="E155" s="29">
        <v>44774</v>
      </c>
      <c r="F155" s="22">
        <f>DAY(EOMONTH(Modelling[[#This Row],[Date]],0))</f>
        <v>31</v>
      </c>
      <c r="G155" s="28">
        <f>VLOOKUP(MONTH(Modelling[[#This Row],[Date]]),$W$3:$Z$14,4,0)/1000/Modelling[[#This Row],[Days]]</f>
        <v>720.18477419354849</v>
      </c>
      <c r="H155" s="28">
        <f>SUM($G$125:G155)</f>
        <v>22325.728000000014</v>
      </c>
      <c r="I155" s="28">
        <f>SUM($G$3:G155)</f>
        <v>62498.109000000048</v>
      </c>
      <c r="J155" s="30">
        <f>VLOOKUP(MONTH(Modelling[[#This Row],[Date]]),$W$3:$Y$14,3,0)</f>
        <v>8.4700000000000006</v>
      </c>
      <c r="K155" s="30">
        <f>VLOOKUP(MONTH(Modelling[[#This Row],[Date]]),$W$3:$Y$14,3,0)</f>
        <v>8.4700000000000006</v>
      </c>
      <c r="L155" s="30">
        <f>AVERAGE(J$3:J155)</f>
        <v>8.6935947712418447</v>
      </c>
      <c r="M155" s="31">
        <f t="shared" si="17"/>
        <v>0.42746009864289441</v>
      </c>
      <c r="N155" s="31">
        <f t="shared" si="18"/>
        <v>0.42746009864289453</v>
      </c>
      <c r="O155" s="31">
        <f t="shared" si="19"/>
        <v>0.4340580516384982</v>
      </c>
      <c r="P155" s="109">
        <f t="shared" si="20"/>
        <v>70.2</v>
      </c>
      <c r="Q155" s="28">
        <f>AVERAGE($P$125:P155)</f>
        <v>70.200000000000017</v>
      </c>
      <c r="R155" s="81">
        <f>AVERAGE($P$3:P155)</f>
        <v>48.775609756097481</v>
      </c>
      <c r="S155">
        <f t="shared" si="22"/>
        <v>31</v>
      </c>
      <c r="T155">
        <f t="shared" si="24"/>
        <v>123</v>
      </c>
    </row>
    <row r="156" spans="2:20">
      <c r="B156" s="27">
        <f t="shared" si="23"/>
        <v>45536</v>
      </c>
      <c r="C156" s="28">
        <f>YEAR(Modelling[[#This Row],[Date]])+IF(MONTH(Modelling[[#This Row],[Date]])&gt;=4,1,0)</f>
        <v>2025</v>
      </c>
      <c r="D156" s="22">
        <f t="shared" si="21"/>
        <v>2024</v>
      </c>
      <c r="E156" s="29">
        <v>44805</v>
      </c>
      <c r="F156" s="22">
        <f>DAY(EOMONTH(Modelling[[#This Row],[Date]],0))</f>
        <v>30</v>
      </c>
      <c r="G156" s="28">
        <f>VLOOKUP(MONTH(Modelling[[#This Row],[Date]]),$W$3:$Z$14,4,0)/1000/Modelling[[#This Row],[Days]]</f>
        <v>531.65813333333335</v>
      </c>
      <c r="H156" s="28">
        <f>SUM($G$156:G156)</f>
        <v>531.65813333333335</v>
      </c>
      <c r="I156" s="28">
        <f>SUM($G$3:G156)</f>
        <v>63029.767133333378</v>
      </c>
      <c r="J156" s="30">
        <f>VLOOKUP(MONTH(Modelling[[#This Row],[Date]]),$W$3:$Y$14,3,0)</f>
        <v>7.08</v>
      </c>
      <c r="K156" s="30">
        <f>VLOOKUP(MONTH(Modelling[[#This Row],[Date]]),$W$3:$Y$14,3,0)</f>
        <v>7.08</v>
      </c>
      <c r="L156" s="30">
        <f>AVERAGE(J$3:J156)</f>
        <v>8.683116883116897</v>
      </c>
      <c r="M156" s="31">
        <f t="shared" si="17"/>
        <v>0.31556157011712566</v>
      </c>
      <c r="N156" s="31">
        <f t="shared" si="18"/>
        <v>0.31556157011712571</v>
      </c>
      <c r="O156" s="31">
        <f t="shared" si="19"/>
        <v>0.43268754073122256</v>
      </c>
      <c r="P156" s="109">
        <f t="shared" si="20"/>
        <v>70.2</v>
      </c>
      <c r="Q156" s="28">
        <f>AVERAGE($P$156:P156)</f>
        <v>70.2</v>
      </c>
      <c r="R156" s="81">
        <f>AVERAGE($P$3:P156)</f>
        <v>48.948387096774113</v>
      </c>
      <c r="S156">
        <f t="shared" si="22"/>
        <v>1</v>
      </c>
      <c r="T156">
        <f t="shared" si="24"/>
        <v>124</v>
      </c>
    </row>
    <row r="157" spans="2:20">
      <c r="B157" s="27">
        <f t="shared" si="23"/>
        <v>45537</v>
      </c>
      <c r="C157" s="28">
        <f>YEAR(Modelling[[#This Row],[Date]])+IF(MONTH(Modelling[[#This Row],[Date]])&gt;=4,1,0)</f>
        <v>2025</v>
      </c>
      <c r="D157" s="22">
        <f t="shared" si="21"/>
        <v>2024</v>
      </c>
      <c r="E157" s="29">
        <v>44805</v>
      </c>
      <c r="F157" s="22">
        <f>DAY(EOMONTH(Modelling[[#This Row],[Date]],0))</f>
        <v>30</v>
      </c>
      <c r="G157" s="28">
        <f>VLOOKUP(MONTH(Modelling[[#This Row],[Date]]),$W$3:$Z$14,4,0)/1000/Modelling[[#This Row],[Days]]</f>
        <v>531.65813333333335</v>
      </c>
      <c r="H157" s="28">
        <f>SUM($G$156:G157)</f>
        <v>1063.3162666666667</v>
      </c>
      <c r="I157" s="28">
        <f>SUM($G$3:G157)</f>
        <v>63561.425266666709</v>
      </c>
      <c r="J157" s="30">
        <f>VLOOKUP(MONTH(Modelling[[#This Row],[Date]]),$W$3:$Y$14,3,0)</f>
        <v>7.08</v>
      </c>
      <c r="K157" s="30">
        <f>VLOOKUP(MONTH(Modelling[[#This Row],[Date]]),$W$3:$Y$14,3,0)</f>
        <v>7.08</v>
      </c>
      <c r="L157" s="30">
        <f>AVERAGE(J$3:J157)</f>
        <v>8.6727741935484008</v>
      </c>
      <c r="M157" s="31">
        <f t="shared" si="17"/>
        <v>0.31556157011712566</v>
      </c>
      <c r="N157" s="31">
        <f t="shared" si="18"/>
        <v>0.31556157011712571</v>
      </c>
      <c r="O157" s="31">
        <f t="shared" si="19"/>
        <v>0.43134836956325129</v>
      </c>
      <c r="P157" s="109">
        <f t="shared" si="20"/>
        <v>70.2</v>
      </c>
      <c r="Q157" s="28">
        <f>AVERAGE($P$156:P157)</f>
        <v>70.2</v>
      </c>
      <c r="R157" s="81">
        <f>AVERAGE($P$3:P157)</f>
        <v>49.118399999999923</v>
      </c>
      <c r="S157">
        <f t="shared" si="22"/>
        <v>2</v>
      </c>
      <c r="T157">
        <f t="shared" si="24"/>
        <v>125</v>
      </c>
    </row>
    <row r="158" spans="2:20">
      <c r="B158" s="27">
        <f t="shared" si="23"/>
        <v>45538</v>
      </c>
      <c r="C158" s="28">
        <f>YEAR(Modelling[[#This Row],[Date]])+IF(MONTH(Modelling[[#This Row],[Date]])&gt;=4,1,0)</f>
        <v>2025</v>
      </c>
      <c r="D158" s="22">
        <f t="shared" si="21"/>
        <v>2024</v>
      </c>
      <c r="E158" s="29">
        <v>44805</v>
      </c>
      <c r="F158" s="22">
        <f>DAY(EOMONTH(Modelling[[#This Row],[Date]],0))</f>
        <v>30</v>
      </c>
      <c r="G158" s="28">
        <f>VLOOKUP(MONTH(Modelling[[#This Row],[Date]]),$W$3:$Z$14,4,0)/1000/Modelling[[#This Row],[Days]]</f>
        <v>531.65813333333335</v>
      </c>
      <c r="H158" s="28">
        <f>SUM($G$156:G158)</f>
        <v>1594.9744000000001</v>
      </c>
      <c r="I158" s="28">
        <f>SUM($G$3:G158)</f>
        <v>64093.08340000004</v>
      </c>
      <c r="J158" s="30">
        <f>VLOOKUP(MONTH(Modelling[[#This Row],[Date]]),$W$3:$Y$14,3,0)</f>
        <v>7.08</v>
      </c>
      <c r="K158" s="30">
        <f>VLOOKUP(MONTH(Modelling[[#This Row],[Date]]),$W$3:$Y$14,3,0)</f>
        <v>7.08</v>
      </c>
      <c r="L158" s="30">
        <f>AVERAGE(J$3:J158)</f>
        <v>8.6625641025641151</v>
      </c>
      <c r="M158" s="31">
        <f t="shared" si="17"/>
        <v>0.31556157011712566</v>
      </c>
      <c r="N158" s="31">
        <f t="shared" si="18"/>
        <v>0.31556157011712571</v>
      </c>
      <c r="O158" s="31">
        <f t="shared" si="19"/>
        <v>0.43003947530864295</v>
      </c>
      <c r="P158" s="109">
        <f t="shared" si="20"/>
        <v>70.2</v>
      </c>
      <c r="Q158" s="28">
        <f>AVERAGE($P$156:P158)</f>
        <v>70.2</v>
      </c>
      <c r="R158" s="81">
        <f>AVERAGE($P$3:P158)</f>
        <v>49.285714285714207</v>
      </c>
      <c r="S158">
        <f t="shared" si="22"/>
        <v>3</v>
      </c>
      <c r="T158">
        <f t="shared" si="24"/>
        <v>126</v>
      </c>
    </row>
    <row r="159" spans="2:20">
      <c r="B159" s="27">
        <f t="shared" si="23"/>
        <v>45539</v>
      </c>
      <c r="C159" s="28">
        <f>YEAR(Modelling[[#This Row],[Date]])+IF(MONTH(Modelling[[#This Row],[Date]])&gt;=4,1,0)</f>
        <v>2025</v>
      </c>
      <c r="D159" s="22">
        <f t="shared" si="21"/>
        <v>2024</v>
      </c>
      <c r="E159" s="29">
        <v>44805</v>
      </c>
      <c r="F159" s="22">
        <f>DAY(EOMONTH(Modelling[[#This Row],[Date]],0))</f>
        <v>30</v>
      </c>
      <c r="G159" s="28">
        <f>VLOOKUP(MONTH(Modelling[[#This Row],[Date]]),$W$3:$Z$14,4,0)/1000/Modelling[[#This Row],[Days]]</f>
        <v>531.65813333333335</v>
      </c>
      <c r="H159" s="28">
        <f>SUM($G$156:G159)</f>
        <v>2126.6325333333334</v>
      </c>
      <c r="I159" s="28">
        <f>SUM($G$3:G159)</f>
        <v>64624.74153333337</v>
      </c>
      <c r="J159" s="30">
        <f>VLOOKUP(MONTH(Modelling[[#This Row],[Date]]),$W$3:$Y$14,3,0)</f>
        <v>7.08</v>
      </c>
      <c r="K159" s="30">
        <f>VLOOKUP(MONTH(Modelling[[#This Row],[Date]]),$W$3:$Y$14,3,0)</f>
        <v>7.08</v>
      </c>
      <c r="L159" s="30">
        <f>AVERAGE(J$3:J159)</f>
        <v>8.652484076433133</v>
      </c>
      <c r="M159" s="31">
        <f t="shared" si="17"/>
        <v>0.31556157011712566</v>
      </c>
      <c r="N159" s="31">
        <f t="shared" si="18"/>
        <v>0.31556157011712571</v>
      </c>
      <c r="O159" s="31">
        <f t="shared" si="19"/>
        <v>0.42875984266247807</v>
      </c>
      <c r="P159" s="109">
        <f t="shared" si="20"/>
        <v>70.2</v>
      </c>
      <c r="Q159" s="28">
        <f>AVERAGE($P$156:P159)</f>
        <v>70.2</v>
      </c>
      <c r="R159" s="81">
        <f>AVERAGE($P$3:P159)</f>
        <v>49.450393700787323</v>
      </c>
      <c r="S159">
        <f t="shared" si="22"/>
        <v>4</v>
      </c>
      <c r="T159">
        <f t="shared" si="24"/>
        <v>127</v>
      </c>
    </row>
    <row r="160" spans="2:20">
      <c r="B160" s="27">
        <f t="shared" si="23"/>
        <v>45540</v>
      </c>
      <c r="C160" s="28">
        <f>YEAR(Modelling[[#This Row],[Date]])+IF(MONTH(Modelling[[#This Row],[Date]])&gt;=4,1,0)</f>
        <v>2025</v>
      </c>
      <c r="D160" s="22">
        <f t="shared" si="21"/>
        <v>2024</v>
      </c>
      <c r="E160" s="29">
        <v>44805</v>
      </c>
      <c r="F160" s="22">
        <f>DAY(EOMONTH(Modelling[[#This Row],[Date]],0))</f>
        <v>30</v>
      </c>
      <c r="G160" s="28">
        <f>VLOOKUP(MONTH(Modelling[[#This Row],[Date]]),$W$3:$Z$14,4,0)/1000/Modelling[[#This Row],[Days]]</f>
        <v>531.65813333333335</v>
      </c>
      <c r="H160" s="28">
        <f>SUM($G$156:G160)</f>
        <v>2658.2906666666668</v>
      </c>
      <c r="I160" s="28">
        <f>SUM($G$3:G160)</f>
        <v>65156.399666666701</v>
      </c>
      <c r="J160" s="30">
        <f>VLOOKUP(MONTH(Modelling[[#This Row],[Date]]),$W$3:$Y$14,3,0)</f>
        <v>7.08</v>
      </c>
      <c r="K160" s="30">
        <f>VLOOKUP(MONTH(Modelling[[#This Row],[Date]]),$W$3:$Y$14,3,0)</f>
        <v>7.08</v>
      </c>
      <c r="L160" s="30">
        <f>AVERAGE(J$3:J160)</f>
        <v>8.6425316455696315</v>
      </c>
      <c r="M160" s="31">
        <f t="shared" si="17"/>
        <v>0.31556157011712566</v>
      </c>
      <c r="N160" s="31">
        <f t="shared" si="18"/>
        <v>0.31556157011712571</v>
      </c>
      <c r="O160" s="31">
        <f t="shared" si="19"/>
        <v>0.42750850121427264</v>
      </c>
      <c r="P160" s="109">
        <f t="shared" si="20"/>
        <v>70.2</v>
      </c>
      <c r="Q160" s="28">
        <f>AVERAGE($P$156:P160)</f>
        <v>70.2</v>
      </c>
      <c r="R160" s="81">
        <f>AVERAGE($P$3:P160)</f>
        <v>49.612499999999919</v>
      </c>
      <c r="S160">
        <f t="shared" si="22"/>
        <v>5</v>
      </c>
      <c r="T160">
        <f t="shared" si="24"/>
        <v>128</v>
      </c>
    </row>
    <row r="161" spans="2:20">
      <c r="B161" s="27">
        <f t="shared" si="23"/>
        <v>45541</v>
      </c>
      <c r="C161" s="28">
        <f>YEAR(Modelling[[#This Row],[Date]])+IF(MONTH(Modelling[[#This Row],[Date]])&gt;=4,1,0)</f>
        <v>2025</v>
      </c>
      <c r="D161" s="22">
        <f t="shared" si="21"/>
        <v>2024</v>
      </c>
      <c r="E161" s="29">
        <v>44805</v>
      </c>
      <c r="F161" s="22">
        <f>DAY(EOMONTH(Modelling[[#This Row],[Date]],0))</f>
        <v>30</v>
      </c>
      <c r="G161" s="28">
        <f>VLOOKUP(MONTH(Modelling[[#This Row],[Date]]),$W$3:$Z$14,4,0)/1000/Modelling[[#This Row],[Days]]</f>
        <v>531.65813333333335</v>
      </c>
      <c r="H161" s="28">
        <f>SUM($G$156:G161)</f>
        <v>3189.9488000000001</v>
      </c>
      <c r="I161" s="28">
        <f>SUM($G$3:G161)</f>
        <v>65688.057800000039</v>
      </c>
      <c r="J161" s="30">
        <f>VLOOKUP(MONTH(Modelling[[#This Row],[Date]]),$W$3:$Y$14,3,0)</f>
        <v>7.08</v>
      </c>
      <c r="K161" s="30">
        <f>VLOOKUP(MONTH(Modelling[[#This Row],[Date]]),$W$3:$Y$14,3,0)</f>
        <v>7.08</v>
      </c>
      <c r="L161" s="30">
        <f>AVERAGE(J$3:J161)</f>
        <v>8.6327044025157349</v>
      </c>
      <c r="M161" s="31">
        <f t="shared" si="17"/>
        <v>0.31556157011712566</v>
      </c>
      <c r="N161" s="31">
        <f t="shared" si="18"/>
        <v>0.31556157011712571</v>
      </c>
      <c r="O161" s="31">
        <f t="shared" si="19"/>
        <v>0.42628452299369829</v>
      </c>
      <c r="P161" s="109">
        <f t="shared" si="20"/>
        <v>70.2</v>
      </c>
      <c r="Q161" s="28">
        <f>AVERAGE($P$156:P161)</f>
        <v>70.2</v>
      </c>
      <c r="R161" s="81">
        <f>AVERAGE($P$3:P161)</f>
        <v>49.772093023255735</v>
      </c>
      <c r="S161">
        <f t="shared" si="22"/>
        <v>6</v>
      </c>
      <c r="T161">
        <f t="shared" si="24"/>
        <v>129</v>
      </c>
    </row>
    <row r="162" spans="2:20">
      <c r="B162" s="27">
        <f t="shared" si="23"/>
        <v>45542</v>
      </c>
      <c r="C162" s="28">
        <f>YEAR(Modelling[[#This Row],[Date]])+IF(MONTH(Modelling[[#This Row],[Date]])&gt;=4,1,0)</f>
        <v>2025</v>
      </c>
      <c r="D162" s="22">
        <f t="shared" si="21"/>
        <v>2024</v>
      </c>
      <c r="E162" s="29">
        <v>44805</v>
      </c>
      <c r="F162" s="22">
        <f>DAY(EOMONTH(Modelling[[#This Row],[Date]],0))</f>
        <v>30</v>
      </c>
      <c r="G162" s="28">
        <f>VLOOKUP(MONTH(Modelling[[#This Row],[Date]]),$W$3:$Z$14,4,0)/1000/Modelling[[#This Row],[Days]]</f>
        <v>531.65813333333335</v>
      </c>
      <c r="H162" s="28">
        <f>SUM($G$156:G162)</f>
        <v>3721.6069333333335</v>
      </c>
      <c r="I162" s="28">
        <f>SUM($G$3:G162)</f>
        <v>66219.715933333369</v>
      </c>
      <c r="J162" s="30">
        <f>VLOOKUP(MONTH(Modelling[[#This Row],[Date]]),$W$3:$Y$14,3,0)</f>
        <v>7.08</v>
      </c>
      <c r="K162" s="30">
        <f>VLOOKUP(MONTH(Modelling[[#This Row],[Date]]),$W$3:$Y$14,3,0)</f>
        <v>7.08</v>
      </c>
      <c r="L162" s="30">
        <f>AVERAGE(J$3:J162)</f>
        <v>8.62300000000001</v>
      </c>
      <c r="M162" s="31">
        <f t="shared" si="17"/>
        <v>0.31556157011712566</v>
      </c>
      <c r="N162" s="31">
        <f t="shared" si="18"/>
        <v>0.31556157011712571</v>
      </c>
      <c r="O162" s="31">
        <f t="shared" si="19"/>
        <v>0.42508702017556571</v>
      </c>
      <c r="P162" s="109">
        <f t="shared" si="20"/>
        <v>70.2</v>
      </c>
      <c r="Q162" s="28">
        <f>AVERAGE($P$156:P162)</f>
        <v>70.2</v>
      </c>
      <c r="R162" s="81">
        <f>AVERAGE($P$3:P162)</f>
        <v>49.929230769230685</v>
      </c>
      <c r="S162">
        <f t="shared" si="22"/>
        <v>7</v>
      </c>
      <c r="T162">
        <f t="shared" si="24"/>
        <v>130</v>
      </c>
    </row>
    <row r="163" spans="2:20">
      <c r="B163" s="27">
        <f t="shared" si="23"/>
        <v>45543</v>
      </c>
      <c r="C163" s="28">
        <f>YEAR(Modelling[[#This Row],[Date]])+IF(MONTH(Modelling[[#This Row],[Date]])&gt;=4,1,0)</f>
        <v>2025</v>
      </c>
      <c r="D163" s="22">
        <f t="shared" si="21"/>
        <v>2024</v>
      </c>
      <c r="E163" s="29">
        <v>44805</v>
      </c>
      <c r="F163" s="22">
        <f>DAY(EOMONTH(Modelling[[#This Row],[Date]],0))</f>
        <v>30</v>
      </c>
      <c r="G163" s="28">
        <f>VLOOKUP(MONTH(Modelling[[#This Row],[Date]]),$W$3:$Z$14,4,0)/1000/Modelling[[#This Row],[Days]]</f>
        <v>531.65813333333335</v>
      </c>
      <c r="H163" s="28">
        <f>SUM($G$156:G163)</f>
        <v>4253.2650666666668</v>
      </c>
      <c r="I163" s="28">
        <f>SUM($G$3:G163)</f>
        <v>66751.3740666667</v>
      </c>
      <c r="J163" s="30">
        <f>VLOOKUP(MONTH(Modelling[[#This Row],[Date]]),$W$3:$Y$14,3,0)</f>
        <v>7.08</v>
      </c>
      <c r="K163" s="30">
        <f>VLOOKUP(MONTH(Modelling[[#This Row],[Date]]),$W$3:$Y$14,3,0)</f>
        <v>7.08</v>
      </c>
      <c r="L163" s="30">
        <f>AVERAGE(J$3:J163)</f>
        <v>8.6134161490683336</v>
      </c>
      <c r="M163" s="31">
        <f t="shared" si="17"/>
        <v>0.31556157011712566</v>
      </c>
      <c r="N163" s="31">
        <f t="shared" si="18"/>
        <v>0.31556157011712571</v>
      </c>
      <c r="O163" s="31">
        <f t="shared" si="19"/>
        <v>0.42391514293214205</v>
      </c>
      <c r="P163" s="109">
        <f t="shared" si="20"/>
        <v>70.2</v>
      </c>
      <c r="Q163" s="28">
        <f>AVERAGE($P$156:P163)</f>
        <v>70.2</v>
      </c>
      <c r="R163" s="81">
        <f>AVERAGE($P$3:P163)</f>
        <v>50.083969465648771</v>
      </c>
      <c r="S163">
        <f t="shared" si="22"/>
        <v>8</v>
      </c>
      <c r="T163">
        <f t="shared" si="24"/>
        <v>131</v>
      </c>
    </row>
    <row r="164" spans="2:20">
      <c r="B164" s="27">
        <f t="shared" si="23"/>
        <v>45544</v>
      </c>
      <c r="C164" s="28">
        <f>YEAR(Modelling[[#This Row],[Date]])+IF(MONTH(Modelling[[#This Row],[Date]])&gt;=4,1,0)</f>
        <v>2025</v>
      </c>
      <c r="D164" s="22">
        <f t="shared" si="21"/>
        <v>2024</v>
      </c>
      <c r="E164" s="29">
        <v>44805</v>
      </c>
      <c r="F164" s="22">
        <f>DAY(EOMONTH(Modelling[[#This Row],[Date]],0))</f>
        <v>30</v>
      </c>
      <c r="G164" s="28">
        <f>VLOOKUP(MONTH(Modelling[[#This Row],[Date]]),$W$3:$Z$14,4,0)/1000/Modelling[[#This Row],[Days]]</f>
        <v>531.65813333333335</v>
      </c>
      <c r="H164" s="28">
        <f>SUM($G$156:G164)</f>
        <v>4784.9232000000002</v>
      </c>
      <c r="I164" s="28">
        <f>SUM($G$3:G164)</f>
        <v>67283.032200000031</v>
      </c>
      <c r="J164" s="30">
        <f>VLOOKUP(MONTH(Modelling[[#This Row],[Date]]),$W$3:$Y$14,3,0)</f>
        <v>7.08</v>
      </c>
      <c r="K164" s="30">
        <f>VLOOKUP(MONTH(Modelling[[#This Row],[Date]]),$W$3:$Y$14,3,0)</f>
        <v>7.08</v>
      </c>
      <c r="L164" s="30">
        <f>AVERAGE(J$3:J164)</f>
        <v>8.6039506172839602</v>
      </c>
      <c r="M164" s="31">
        <f t="shared" si="17"/>
        <v>0.31556157011712566</v>
      </c>
      <c r="N164" s="31">
        <f t="shared" si="18"/>
        <v>0.31556157011712571</v>
      </c>
      <c r="O164" s="31">
        <f t="shared" si="19"/>
        <v>0.42276807742188538</v>
      </c>
      <c r="P164" s="109">
        <f t="shared" si="20"/>
        <v>70.2</v>
      </c>
      <c r="Q164" s="28">
        <f>AVERAGE($P$156:P164)</f>
        <v>70.2</v>
      </c>
      <c r="R164" s="81">
        <f>AVERAGE($P$3:P164)</f>
        <v>50.236363636363549</v>
      </c>
      <c r="S164">
        <f t="shared" si="22"/>
        <v>9</v>
      </c>
      <c r="T164">
        <f t="shared" si="24"/>
        <v>132</v>
      </c>
    </row>
    <row r="165" spans="2:20">
      <c r="B165" s="27">
        <f t="shared" si="23"/>
        <v>45545</v>
      </c>
      <c r="C165" s="28">
        <f>YEAR(Modelling[[#This Row],[Date]])+IF(MONTH(Modelling[[#This Row],[Date]])&gt;=4,1,0)</f>
        <v>2025</v>
      </c>
      <c r="D165" s="22">
        <f t="shared" si="21"/>
        <v>2024</v>
      </c>
      <c r="E165" s="29">
        <v>44805</v>
      </c>
      <c r="F165" s="22">
        <f>DAY(EOMONTH(Modelling[[#This Row],[Date]],0))</f>
        <v>30</v>
      </c>
      <c r="G165" s="28">
        <f>VLOOKUP(MONTH(Modelling[[#This Row],[Date]]),$W$3:$Z$14,4,0)/1000/Modelling[[#This Row],[Days]]</f>
        <v>531.65813333333335</v>
      </c>
      <c r="H165" s="28">
        <f>SUM($G$156:G165)</f>
        <v>5316.5813333333335</v>
      </c>
      <c r="I165" s="28">
        <f>SUM($G$3:G165)</f>
        <v>67814.690333333361</v>
      </c>
      <c r="J165" s="30">
        <f>VLOOKUP(MONTH(Modelling[[#This Row],[Date]]),$W$3:$Y$14,3,0)</f>
        <v>7.08</v>
      </c>
      <c r="K165" s="30">
        <f>VLOOKUP(MONTH(Modelling[[#This Row],[Date]]),$W$3:$Y$14,3,0)</f>
        <v>7.08</v>
      </c>
      <c r="L165" s="30">
        <f>AVERAGE(J$3:J165)</f>
        <v>8.5946012269938734</v>
      </c>
      <c r="M165" s="31">
        <f t="shared" si="17"/>
        <v>0.31556157011712566</v>
      </c>
      <c r="N165" s="31">
        <f t="shared" si="18"/>
        <v>0.3155615701171256</v>
      </c>
      <c r="O165" s="31">
        <f t="shared" si="19"/>
        <v>0.42164504390459129</v>
      </c>
      <c r="P165" s="109">
        <f t="shared" si="20"/>
        <v>70.2</v>
      </c>
      <c r="Q165" s="28">
        <f>AVERAGE($P$156:P165)</f>
        <v>70.200000000000017</v>
      </c>
      <c r="R165" s="81">
        <f>AVERAGE($P$3:P165)</f>
        <v>50.386466165413452</v>
      </c>
      <c r="S165">
        <f t="shared" si="22"/>
        <v>10</v>
      </c>
      <c r="T165">
        <f t="shared" si="24"/>
        <v>133</v>
      </c>
    </row>
    <row r="166" spans="2:20">
      <c r="B166" s="27">
        <f t="shared" si="23"/>
        <v>45546</v>
      </c>
      <c r="C166" s="28">
        <f>YEAR(Modelling[[#This Row],[Date]])+IF(MONTH(Modelling[[#This Row],[Date]])&gt;=4,1,0)</f>
        <v>2025</v>
      </c>
      <c r="D166" s="22">
        <f t="shared" si="21"/>
        <v>2024</v>
      </c>
      <c r="E166" s="29">
        <v>44805</v>
      </c>
      <c r="F166" s="22">
        <f>DAY(EOMONTH(Modelling[[#This Row],[Date]],0))</f>
        <v>30</v>
      </c>
      <c r="G166" s="28">
        <f>VLOOKUP(MONTH(Modelling[[#This Row],[Date]]),$W$3:$Z$14,4,0)/1000/Modelling[[#This Row],[Days]]</f>
        <v>531.65813333333335</v>
      </c>
      <c r="H166" s="28">
        <f>SUM($G$156:G166)</f>
        <v>5848.2394666666669</v>
      </c>
      <c r="I166" s="28">
        <f>SUM($G$3:G166)</f>
        <v>68346.348466666692</v>
      </c>
      <c r="J166" s="30">
        <f>VLOOKUP(MONTH(Modelling[[#This Row],[Date]]),$W$3:$Y$14,3,0)</f>
        <v>7.08</v>
      </c>
      <c r="K166" s="30">
        <f>VLOOKUP(MONTH(Modelling[[#This Row],[Date]]),$W$3:$Y$14,3,0)</f>
        <v>7.08</v>
      </c>
      <c r="L166" s="30">
        <f>AVERAGE(J$3:J166)</f>
        <v>8.5853658536585442</v>
      </c>
      <c r="M166" s="31">
        <f t="shared" si="17"/>
        <v>0.31556157011712566</v>
      </c>
      <c r="N166" s="31">
        <f t="shared" si="18"/>
        <v>0.3155615701171256</v>
      </c>
      <c r="O166" s="31">
        <f t="shared" si="19"/>
        <v>0.42054529497378029</v>
      </c>
      <c r="P166" s="109">
        <f t="shared" si="20"/>
        <v>70.2</v>
      </c>
      <c r="Q166" s="28">
        <f>AVERAGE($P$156:P166)</f>
        <v>70.200000000000017</v>
      </c>
      <c r="R166" s="81">
        <f>AVERAGE($P$3:P166)</f>
        <v>50.534328358208867</v>
      </c>
      <c r="S166">
        <f t="shared" si="22"/>
        <v>11</v>
      </c>
      <c r="T166">
        <f t="shared" si="24"/>
        <v>134</v>
      </c>
    </row>
    <row r="167" spans="2:20">
      <c r="B167" s="27">
        <f t="shared" si="23"/>
        <v>45547</v>
      </c>
      <c r="C167" s="28">
        <f>YEAR(Modelling[[#This Row],[Date]])+IF(MONTH(Modelling[[#This Row],[Date]])&gt;=4,1,0)</f>
        <v>2025</v>
      </c>
      <c r="D167" s="22">
        <f t="shared" si="21"/>
        <v>2024</v>
      </c>
      <c r="E167" s="29">
        <v>44805</v>
      </c>
      <c r="F167" s="22">
        <f>DAY(EOMONTH(Modelling[[#This Row],[Date]],0))</f>
        <v>30</v>
      </c>
      <c r="G167" s="28">
        <f>VLOOKUP(MONTH(Modelling[[#This Row],[Date]]),$W$3:$Z$14,4,0)/1000/Modelling[[#This Row],[Days]]</f>
        <v>531.65813333333335</v>
      </c>
      <c r="H167" s="28">
        <f>SUM($G$156:G167)</f>
        <v>6379.8976000000002</v>
      </c>
      <c r="I167" s="28">
        <f>SUM($G$3:G167)</f>
        <v>68878.006600000022</v>
      </c>
      <c r="J167" s="30">
        <f>VLOOKUP(MONTH(Modelling[[#This Row],[Date]]),$W$3:$Y$14,3,0)</f>
        <v>7.08</v>
      </c>
      <c r="K167" s="30">
        <f>VLOOKUP(MONTH(Modelling[[#This Row],[Date]]),$W$3:$Y$14,3,0)</f>
        <v>7.08</v>
      </c>
      <c r="L167" s="30">
        <f>AVERAGE(J$3:J167)</f>
        <v>8.576242424242432</v>
      </c>
      <c r="M167" s="31">
        <f t="shared" si="17"/>
        <v>0.31556157011712566</v>
      </c>
      <c r="N167" s="31">
        <f t="shared" si="18"/>
        <v>0.3155615701171256</v>
      </c>
      <c r="O167" s="31">
        <f t="shared" si="19"/>
        <v>0.41946811389790301</v>
      </c>
      <c r="P167" s="109">
        <f t="shared" si="20"/>
        <v>70.2</v>
      </c>
      <c r="Q167" s="28">
        <f>AVERAGE($P$156:P167)</f>
        <v>70.200000000000017</v>
      </c>
      <c r="R167" s="81">
        <f>AVERAGE($P$3:P167)</f>
        <v>50.679999999999914</v>
      </c>
      <c r="S167">
        <f t="shared" si="22"/>
        <v>12</v>
      </c>
      <c r="T167">
        <f t="shared" si="24"/>
        <v>135</v>
      </c>
    </row>
    <row r="168" spans="2:20">
      <c r="B168" s="27">
        <f t="shared" si="23"/>
        <v>45548</v>
      </c>
      <c r="C168" s="28">
        <f>YEAR(Modelling[[#This Row],[Date]])+IF(MONTH(Modelling[[#This Row],[Date]])&gt;=4,1,0)</f>
        <v>2025</v>
      </c>
      <c r="D168" s="22">
        <f t="shared" si="21"/>
        <v>2024</v>
      </c>
      <c r="E168" s="29">
        <v>44805</v>
      </c>
      <c r="F168" s="22">
        <f>DAY(EOMONTH(Modelling[[#This Row],[Date]],0))</f>
        <v>30</v>
      </c>
      <c r="G168" s="28">
        <f>VLOOKUP(MONTH(Modelling[[#This Row],[Date]]),$W$3:$Z$14,4,0)/1000/Modelling[[#This Row],[Days]]</f>
        <v>531.65813333333335</v>
      </c>
      <c r="H168" s="28">
        <f>SUM($G$156:G168)</f>
        <v>6911.5557333333336</v>
      </c>
      <c r="I168" s="28">
        <f>SUM($G$3:G168)</f>
        <v>69409.664733333353</v>
      </c>
      <c r="J168" s="30">
        <f>VLOOKUP(MONTH(Modelling[[#This Row],[Date]]),$W$3:$Y$14,3,0)</f>
        <v>7.08</v>
      </c>
      <c r="K168" s="30">
        <f>VLOOKUP(MONTH(Modelling[[#This Row],[Date]]),$W$3:$Y$14,3,0)</f>
        <v>7.08</v>
      </c>
      <c r="L168" s="30">
        <f>AVERAGE(J$3:J168)</f>
        <v>8.5672289156626587</v>
      </c>
      <c r="M168" s="31">
        <f t="shared" si="17"/>
        <v>0.31556157011712566</v>
      </c>
      <c r="N168" s="31">
        <f t="shared" si="18"/>
        <v>0.3155615701171256</v>
      </c>
      <c r="O168" s="31">
        <f t="shared" si="19"/>
        <v>0.4184128130626294</v>
      </c>
      <c r="P168" s="109">
        <f t="shared" si="20"/>
        <v>70.2</v>
      </c>
      <c r="Q168" s="28">
        <f>AVERAGE($P$156:P168)</f>
        <v>70.200000000000017</v>
      </c>
      <c r="R168" s="81">
        <f>AVERAGE($P$3:P168)</f>
        <v>50.823529411764618</v>
      </c>
      <c r="S168">
        <f t="shared" si="22"/>
        <v>13</v>
      </c>
      <c r="T168">
        <f t="shared" si="24"/>
        <v>136</v>
      </c>
    </row>
    <row r="169" spans="2:20">
      <c r="B169" s="27">
        <f t="shared" si="23"/>
        <v>45549</v>
      </c>
      <c r="C169" s="28">
        <f>YEAR(Modelling[[#This Row],[Date]])+IF(MONTH(Modelling[[#This Row],[Date]])&gt;=4,1,0)</f>
        <v>2025</v>
      </c>
      <c r="D169" s="22">
        <f t="shared" si="21"/>
        <v>2024</v>
      </c>
      <c r="E169" s="29">
        <v>44805</v>
      </c>
      <c r="F169" s="22">
        <f>DAY(EOMONTH(Modelling[[#This Row],[Date]],0))</f>
        <v>30</v>
      </c>
      <c r="G169" s="28">
        <f>VLOOKUP(MONTH(Modelling[[#This Row],[Date]]),$W$3:$Z$14,4,0)/1000/Modelling[[#This Row],[Days]]</f>
        <v>531.65813333333335</v>
      </c>
      <c r="H169" s="28">
        <f>SUM($G$156:G169)</f>
        <v>7443.2138666666669</v>
      </c>
      <c r="I169" s="28">
        <f>SUM($G$3:G169)</f>
        <v>69941.322866666684</v>
      </c>
      <c r="J169" s="30">
        <f>VLOOKUP(MONTH(Modelling[[#This Row],[Date]]),$W$3:$Y$14,3,0)</f>
        <v>7.08</v>
      </c>
      <c r="K169" s="30">
        <f>VLOOKUP(MONTH(Modelling[[#This Row],[Date]]),$W$3:$Y$14,3,0)</f>
        <v>7.08</v>
      </c>
      <c r="L169" s="30">
        <f>AVERAGE(J$3:J169)</f>
        <v>8.5583233532934209</v>
      </c>
      <c r="M169" s="31">
        <f t="shared" si="17"/>
        <v>0.31556157011712566</v>
      </c>
      <c r="N169" s="31">
        <f t="shared" si="18"/>
        <v>0.3155615701171256</v>
      </c>
      <c r="O169" s="31">
        <f t="shared" si="19"/>
        <v>0.41737873250710616</v>
      </c>
      <c r="P169" s="109">
        <f t="shared" si="20"/>
        <v>70.2</v>
      </c>
      <c r="Q169" s="28">
        <f>AVERAGE($P$156:P169)</f>
        <v>70.200000000000017</v>
      </c>
      <c r="R169" s="81">
        <f>AVERAGE($P$3:P169)</f>
        <v>50.96496350364955</v>
      </c>
      <c r="S169">
        <f t="shared" si="22"/>
        <v>14</v>
      </c>
      <c r="T169">
        <f t="shared" si="24"/>
        <v>137</v>
      </c>
    </row>
    <row r="170" spans="2:20">
      <c r="B170" s="27">
        <f t="shared" si="23"/>
        <v>45550</v>
      </c>
      <c r="C170" s="28">
        <f>YEAR(Modelling[[#This Row],[Date]])+IF(MONTH(Modelling[[#This Row],[Date]])&gt;=4,1,0)</f>
        <v>2025</v>
      </c>
      <c r="D170" s="22">
        <f t="shared" si="21"/>
        <v>2024</v>
      </c>
      <c r="E170" s="29">
        <v>44805</v>
      </c>
      <c r="F170" s="22">
        <f>DAY(EOMONTH(Modelling[[#This Row],[Date]],0))</f>
        <v>30</v>
      </c>
      <c r="G170" s="28">
        <f>VLOOKUP(MONTH(Modelling[[#This Row],[Date]]),$W$3:$Z$14,4,0)/1000/Modelling[[#This Row],[Days]]</f>
        <v>531.65813333333335</v>
      </c>
      <c r="H170" s="28">
        <f>SUM($G$156:G170)</f>
        <v>7974.8720000000003</v>
      </c>
      <c r="I170" s="28">
        <f>SUM($G$3:G170)</f>
        <v>70472.981000000014</v>
      </c>
      <c r="J170" s="30">
        <f>VLOOKUP(MONTH(Modelling[[#This Row],[Date]]),$W$3:$Y$14,3,0)</f>
        <v>7.08</v>
      </c>
      <c r="K170" s="30">
        <f>VLOOKUP(MONTH(Modelling[[#This Row],[Date]]),$W$3:$Y$14,3,0)</f>
        <v>7.08</v>
      </c>
      <c r="L170" s="30">
        <f>AVERAGE(J$3:J170)</f>
        <v>8.5495238095238157</v>
      </c>
      <c r="M170" s="31">
        <f t="shared" si="17"/>
        <v>0.31556157011712566</v>
      </c>
      <c r="N170" s="31">
        <f t="shared" si="18"/>
        <v>0.3155615701171256</v>
      </c>
      <c r="O170" s="31">
        <f t="shared" si="19"/>
        <v>0.41636523854763469</v>
      </c>
      <c r="P170" s="109">
        <f t="shared" si="20"/>
        <v>70.2</v>
      </c>
      <c r="Q170" s="28">
        <f>AVERAGE($P$156:P170)</f>
        <v>70.200000000000017</v>
      </c>
      <c r="R170" s="81">
        <f>AVERAGE($P$3:P170)</f>
        <v>51.104347826086865</v>
      </c>
      <c r="S170">
        <f t="shared" si="22"/>
        <v>15</v>
      </c>
      <c r="T170">
        <f t="shared" si="24"/>
        <v>138</v>
      </c>
    </row>
    <row r="171" spans="2:20">
      <c r="B171" s="27">
        <f t="shared" si="23"/>
        <v>45551</v>
      </c>
      <c r="C171" s="28">
        <f>YEAR(Modelling[[#This Row],[Date]])+IF(MONTH(Modelling[[#This Row],[Date]])&gt;=4,1,0)</f>
        <v>2025</v>
      </c>
      <c r="D171" s="22">
        <f t="shared" si="21"/>
        <v>2024</v>
      </c>
      <c r="E171" s="29">
        <v>44805</v>
      </c>
      <c r="F171" s="22">
        <f>DAY(EOMONTH(Modelling[[#This Row],[Date]],0))</f>
        <v>30</v>
      </c>
      <c r="G171" s="28">
        <f>VLOOKUP(MONTH(Modelling[[#This Row],[Date]]),$W$3:$Z$14,4,0)/1000/Modelling[[#This Row],[Days]]</f>
        <v>531.65813333333335</v>
      </c>
      <c r="H171" s="28">
        <f>SUM($G$156:G171)</f>
        <v>8506.5301333333337</v>
      </c>
      <c r="I171" s="28">
        <f>SUM($G$3:G171)</f>
        <v>71004.639133333345</v>
      </c>
      <c r="J171" s="30">
        <f>VLOOKUP(MONTH(Modelling[[#This Row],[Date]]),$W$3:$Y$14,3,0)</f>
        <v>7.08</v>
      </c>
      <c r="K171" s="30">
        <f>VLOOKUP(MONTH(Modelling[[#This Row],[Date]]),$W$3:$Y$14,3,0)</f>
        <v>7.08</v>
      </c>
      <c r="L171" s="30">
        <f>AVERAGE(J$3:J171)</f>
        <v>8.5408284023668699</v>
      </c>
      <c r="M171" s="31">
        <f t="shared" si="17"/>
        <v>0.31556157011712566</v>
      </c>
      <c r="N171" s="31">
        <f t="shared" si="18"/>
        <v>0.3155615701171256</v>
      </c>
      <c r="O171" s="31">
        <f t="shared" si="19"/>
        <v>0.41537172248273962</v>
      </c>
      <c r="P171" s="109">
        <f t="shared" si="20"/>
        <v>70.2</v>
      </c>
      <c r="Q171" s="28">
        <f>AVERAGE($P$156:P171)</f>
        <v>70.200000000000017</v>
      </c>
      <c r="R171" s="81">
        <f>AVERAGE($P$3:P171)</f>
        <v>51.241726618704945</v>
      </c>
      <c r="S171">
        <f t="shared" si="22"/>
        <v>16</v>
      </c>
      <c r="T171">
        <f t="shared" si="24"/>
        <v>139</v>
      </c>
    </row>
    <row r="172" spans="2:20">
      <c r="B172" s="27">
        <f t="shared" si="23"/>
        <v>45552</v>
      </c>
      <c r="C172" s="28">
        <f>YEAR(Modelling[[#This Row],[Date]])+IF(MONTH(Modelling[[#This Row],[Date]])&gt;=4,1,0)</f>
        <v>2025</v>
      </c>
      <c r="D172" s="22">
        <f t="shared" si="21"/>
        <v>2024</v>
      </c>
      <c r="E172" s="29">
        <v>44805</v>
      </c>
      <c r="F172" s="22">
        <f>DAY(EOMONTH(Modelling[[#This Row],[Date]],0))</f>
        <v>30</v>
      </c>
      <c r="G172" s="28">
        <f>VLOOKUP(MONTH(Modelling[[#This Row],[Date]]),$W$3:$Z$14,4,0)/1000/Modelling[[#This Row],[Days]]</f>
        <v>531.65813333333335</v>
      </c>
      <c r="H172" s="28">
        <f>SUM($G$156:G172)</f>
        <v>9038.1882666666679</v>
      </c>
      <c r="I172" s="28">
        <f>SUM($G$3:G172)</f>
        <v>71536.297266666676</v>
      </c>
      <c r="J172" s="30">
        <f>VLOOKUP(MONTH(Modelling[[#This Row],[Date]]),$W$3:$Y$14,3,0)</f>
        <v>7.08</v>
      </c>
      <c r="K172" s="30">
        <f>VLOOKUP(MONTH(Modelling[[#This Row],[Date]]),$W$3:$Y$14,3,0)</f>
        <v>7.08</v>
      </c>
      <c r="L172" s="30">
        <f>AVERAGE(J$3:J172)</f>
        <v>8.5322352941176529</v>
      </c>
      <c r="M172" s="31">
        <f t="shared" si="17"/>
        <v>0.31556157011712566</v>
      </c>
      <c r="N172" s="31">
        <f t="shared" si="18"/>
        <v>0.3155615701171256</v>
      </c>
      <c r="O172" s="31">
        <f t="shared" si="19"/>
        <v>0.41439759937406623</v>
      </c>
      <c r="P172" s="109">
        <f t="shared" si="20"/>
        <v>70.2</v>
      </c>
      <c r="Q172" s="28">
        <f>AVERAGE($P$156:P172)</f>
        <v>70.200000000000017</v>
      </c>
      <c r="R172" s="81">
        <f>AVERAGE($P$3:P172)</f>
        <v>51.377142857142765</v>
      </c>
      <c r="S172">
        <f t="shared" si="22"/>
        <v>17</v>
      </c>
      <c r="T172">
        <f t="shared" si="24"/>
        <v>140</v>
      </c>
    </row>
    <row r="173" spans="2:20">
      <c r="B173" s="27">
        <f t="shared" si="23"/>
        <v>45553</v>
      </c>
      <c r="C173" s="28">
        <f>YEAR(Modelling[[#This Row],[Date]])+IF(MONTH(Modelling[[#This Row],[Date]])&gt;=4,1,0)</f>
        <v>2025</v>
      </c>
      <c r="D173" s="22">
        <f t="shared" si="21"/>
        <v>2024</v>
      </c>
      <c r="E173" s="29">
        <v>44805</v>
      </c>
      <c r="F173" s="22">
        <f>DAY(EOMONTH(Modelling[[#This Row],[Date]],0))</f>
        <v>30</v>
      </c>
      <c r="G173" s="28">
        <f>VLOOKUP(MONTH(Modelling[[#This Row],[Date]]),$W$3:$Z$14,4,0)/1000/Modelling[[#This Row],[Days]]</f>
        <v>531.65813333333335</v>
      </c>
      <c r="H173" s="28">
        <f>SUM($G$156:G173)</f>
        <v>9569.8464000000022</v>
      </c>
      <c r="I173" s="28">
        <f>SUM($G$3:G173)</f>
        <v>72067.955400000006</v>
      </c>
      <c r="J173" s="30">
        <f>VLOOKUP(MONTH(Modelling[[#This Row],[Date]]),$W$3:$Y$14,3,0)</f>
        <v>7.08</v>
      </c>
      <c r="K173" s="30">
        <f>VLOOKUP(MONTH(Modelling[[#This Row],[Date]]),$W$3:$Y$14,3,0)</f>
        <v>7.08</v>
      </c>
      <c r="L173" s="30">
        <f>AVERAGE(J$3:J173)</f>
        <v>8.5237426900584854</v>
      </c>
      <c r="M173" s="31">
        <f t="shared" si="17"/>
        <v>0.31556157011712566</v>
      </c>
      <c r="N173" s="31">
        <f t="shared" si="18"/>
        <v>0.31556157011712566</v>
      </c>
      <c r="O173" s="31">
        <f t="shared" si="19"/>
        <v>0.41344230689797684</v>
      </c>
      <c r="P173" s="109">
        <f t="shared" si="20"/>
        <v>70.2</v>
      </c>
      <c r="Q173" s="28">
        <f>AVERAGE($P$156:P173)</f>
        <v>70.200000000000017</v>
      </c>
      <c r="R173" s="81">
        <f>AVERAGE($P$3:P173)</f>
        <v>51.510638297872248</v>
      </c>
      <c r="S173">
        <f t="shared" si="22"/>
        <v>18</v>
      </c>
      <c r="T173">
        <f t="shared" si="24"/>
        <v>141</v>
      </c>
    </row>
    <row r="174" spans="2:20">
      <c r="B174" s="27">
        <f t="shared" si="23"/>
        <v>45554</v>
      </c>
      <c r="C174" s="28">
        <f>YEAR(Modelling[[#This Row],[Date]])+IF(MONTH(Modelling[[#This Row],[Date]])&gt;=4,1,0)</f>
        <v>2025</v>
      </c>
      <c r="D174" s="22">
        <f t="shared" si="21"/>
        <v>2024</v>
      </c>
      <c r="E174" s="29">
        <v>44805</v>
      </c>
      <c r="F174" s="22">
        <f>DAY(EOMONTH(Modelling[[#This Row],[Date]],0))</f>
        <v>30</v>
      </c>
      <c r="G174" s="28">
        <f>VLOOKUP(MONTH(Modelling[[#This Row],[Date]]),$W$3:$Z$14,4,0)/1000/Modelling[[#This Row],[Days]]</f>
        <v>531.65813333333335</v>
      </c>
      <c r="H174" s="28">
        <f>SUM($G$156:G174)</f>
        <v>10101.504533333336</v>
      </c>
      <c r="I174" s="28">
        <f>SUM($G$3:G174)</f>
        <v>72599.613533333337</v>
      </c>
      <c r="J174" s="30">
        <f>VLOOKUP(MONTH(Modelling[[#This Row],[Date]]),$W$3:$Y$14,3,0)</f>
        <v>7.08</v>
      </c>
      <c r="K174" s="30">
        <f>VLOOKUP(MONTH(Modelling[[#This Row],[Date]]),$W$3:$Y$14,3,0)</f>
        <v>7.08</v>
      </c>
      <c r="L174" s="30">
        <f>AVERAGE(J$3:J174)</f>
        <v>8.5153488372093076</v>
      </c>
      <c r="M174" s="31">
        <f t="shared" si="17"/>
        <v>0.31556157011712566</v>
      </c>
      <c r="N174" s="31">
        <f t="shared" si="18"/>
        <v>0.31556157011712566</v>
      </c>
      <c r="O174" s="31">
        <f t="shared" si="19"/>
        <v>0.41250530426310855</v>
      </c>
      <c r="P174" s="109">
        <f t="shared" si="20"/>
        <v>70.2</v>
      </c>
      <c r="Q174" s="28">
        <f>AVERAGE($P$156:P174)</f>
        <v>70.200000000000017</v>
      </c>
      <c r="R174" s="81">
        <f>AVERAGE($P$3:P174)</f>
        <v>51.642253521126669</v>
      </c>
      <c r="S174">
        <f t="shared" si="22"/>
        <v>19</v>
      </c>
      <c r="T174">
        <f t="shared" si="24"/>
        <v>142</v>
      </c>
    </row>
    <row r="175" spans="2:20">
      <c r="B175" s="27">
        <f t="shared" si="23"/>
        <v>45555</v>
      </c>
      <c r="C175" s="28">
        <f>YEAR(Modelling[[#This Row],[Date]])+IF(MONTH(Modelling[[#This Row],[Date]])&gt;=4,1,0)</f>
        <v>2025</v>
      </c>
      <c r="D175" s="22">
        <f t="shared" si="21"/>
        <v>2024</v>
      </c>
      <c r="E175" s="29">
        <v>44805</v>
      </c>
      <c r="F175" s="22">
        <f>DAY(EOMONTH(Modelling[[#This Row],[Date]],0))</f>
        <v>30</v>
      </c>
      <c r="G175" s="28">
        <f>VLOOKUP(MONTH(Modelling[[#This Row],[Date]]),$W$3:$Z$14,4,0)/1000/Modelling[[#This Row],[Days]]</f>
        <v>531.65813333333335</v>
      </c>
      <c r="H175" s="28">
        <f>SUM($G$156:G175)</f>
        <v>10633.162666666671</v>
      </c>
      <c r="I175" s="28">
        <f>SUM($G$3:G175)</f>
        <v>73131.271666666667</v>
      </c>
      <c r="J175" s="30">
        <f>VLOOKUP(MONTH(Modelling[[#This Row],[Date]]),$W$3:$Y$14,3,0)</f>
        <v>7.08</v>
      </c>
      <c r="K175" s="30">
        <f>VLOOKUP(MONTH(Modelling[[#This Row],[Date]]),$W$3:$Y$14,3,0)</f>
        <v>7.08</v>
      </c>
      <c r="L175" s="30">
        <f>AVERAGE(J$3:J175)</f>
        <v>8.5070520231213909</v>
      </c>
      <c r="M175" s="31">
        <f t="shared" si="17"/>
        <v>0.31556157011712566</v>
      </c>
      <c r="N175" s="31">
        <f t="shared" si="18"/>
        <v>0.31556157011712571</v>
      </c>
      <c r="O175" s="31">
        <f t="shared" si="19"/>
        <v>0.41158607118951429</v>
      </c>
      <c r="P175" s="109">
        <f t="shared" si="20"/>
        <v>70.2</v>
      </c>
      <c r="Q175" s="28">
        <f>AVERAGE($P$156:P175)</f>
        <v>70.200000000000017</v>
      </c>
      <c r="R175" s="81">
        <f>AVERAGE($P$3:P175)</f>
        <v>51.772027972027878</v>
      </c>
      <c r="S175">
        <f t="shared" si="22"/>
        <v>20</v>
      </c>
      <c r="T175">
        <f t="shared" si="24"/>
        <v>143</v>
      </c>
    </row>
    <row r="176" spans="2:20">
      <c r="B176" s="27">
        <f t="shared" si="23"/>
        <v>45556</v>
      </c>
      <c r="C176" s="28">
        <f>YEAR(Modelling[[#This Row],[Date]])+IF(MONTH(Modelling[[#This Row],[Date]])&gt;=4,1,0)</f>
        <v>2025</v>
      </c>
      <c r="D176" s="22">
        <f t="shared" si="21"/>
        <v>2024</v>
      </c>
      <c r="E176" s="29">
        <v>44805</v>
      </c>
      <c r="F176" s="22">
        <f>DAY(EOMONTH(Modelling[[#This Row],[Date]],0))</f>
        <v>30</v>
      </c>
      <c r="G176" s="28">
        <f>VLOOKUP(MONTH(Modelling[[#This Row],[Date]]),$W$3:$Z$14,4,0)/1000/Modelling[[#This Row],[Days]]</f>
        <v>531.65813333333335</v>
      </c>
      <c r="H176" s="28">
        <f>SUM($G$156:G176)</f>
        <v>11164.820800000005</v>
      </c>
      <c r="I176" s="28">
        <f>SUM($G$3:G176)</f>
        <v>73662.929799999998</v>
      </c>
      <c r="J176" s="30">
        <f>VLOOKUP(MONTH(Modelling[[#This Row],[Date]]),$W$3:$Y$14,3,0)</f>
        <v>7.08</v>
      </c>
      <c r="K176" s="30">
        <f>VLOOKUP(MONTH(Modelling[[#This Row],[Date]]),$W$3:$Y$14,3,0)</f>
        <v>7.08</v>
      </c>
      <c r="L176" s="30">
        <f>AVERAGE(J$3:J176)</f>
        <v>8.4988505747126482</v>
      </c>
      <c r="M176" s="31">
        <f t="shared" si="17"/>
        <v>0.31556157011712566</v>
      </c>
      <c r="N176" s="31">
        <f t="shared" si="18"/>
        <v>0.31556157011712571</v>
      </c>
      <c r="O176" s="31">
        <f t="shared" si="19"/>
        <v>0.41068410694533725</v>
      </c>
      <c r="P176" s="109">
        <f t="shared" si="20"/>
        <v>70.2</v>
      </c>
      <c r="Q176" s="28">
        <f>AVERAGE($P$156:P176)</f>
        <v>70.200000000000017</v>
      </c>
      <c r="R176" s="81">
        <f>AVERAGE($P$3:P176)</f>
        <v>51.899999999999906</v>
      </c>
      <c r="S176">
        <f t="shared" si="22"/>
        <v>21</v>
      </c>
      <c r="T176">
        <f t="shared" si="24"/>
        <v>144</v>
      </c>
    </row>
    <row r="177" spans="2:20">
      <c r="B177" s="27">
        <f t="shared" si="23"/>
        <v>45557</v>
      </c>
      <c r="C177" s="28">
        <f>YEAR(Modelling[[#This Row],[Date]])+IF(MONTH(Modelling[[#This Row],[Date]])&gt;=4,1,0)</f>
        <v>2025</v>
      </c>
      <c r="D177" s="22">
        <f t="shared" si="21"/>
        <v>2024</v>
      </c>
      <c r="E177" s="29">
        <v>44805</v>
      </c>
      <c r="F177" s="22">
        <f>DAY(EOMONTH(Modelling[[#This Row],[Date]],0))</f>
        <v>30</v>
      </c>
      <c r="G177" s="28">
        <f>VLOOKUP(MONTH(Modelling[[#This Row],[Date]]),$W$3:$Z$14,4,0)/1000/Modelling[[#This Row],[Days]]</f>
        <v>531.65813333333335</v>
      </c>
      <c r="H177" s="28">
        <f>SUM($G$156:G177)</f>
        <v>11696.478933333339</v>
      </c>
      <c r="I177" s="28">
        <f>SUM($G$3:G177)</f>
        <v>74194.587933333329</v>
      </c>
      <c r="J177" s="30">
        <f>VLOOKUP(MONTH(Modelling[[#This Row],[Date]]),$W$3:$Y$14,3,0)</f>
        <v>7.08</v>
      </c>
      <c r="K177" s="30">
        <f>VLOOKUP(MONTH(Modelling[[#This Row],[Date]]),$W$3:$Y$14,3,0)</f>
        <v>7.08</v>
      </c>
      <c r="L177" s="30">
        <f>AVERAGE(J$3:J177)</f>
        <v>8.4907428571428607</v>
      </c>
      <c r="M177" s="31">
        <f t="shared" si="17"/>
        <v>0.31556157011712566</v>
      </c>
      <c r="N177" s="31">
        <f t="shared" si="18"/>
        <v>0.31556157011712571</v>
      </c>
      <c r="O177" s="31">
        <f t="shared" si="19"/>
        <v>0.40979892943727225</v>
      </c>
      <c r="P177" s="109">
        <f t="shared" si="20"/>
        <v>70.2</v>
      </c>
      <c r="Q177" s="28">
        <f>AVERAGE($P$156:P177)</f>
        <v>70.200000000000031</v>
      </c>
      <c r="R177" s="81">
        <f>AVERAGE($P$3:P177)</f>
        <v>52.026206896551628</v>
      </c>
      <c r="S177">
        <f t="shared" si="22"/>
        <v>22</v>
      </c>
      <c r="T177">
        <f t="shared" si="24"/>
        <v>145</v>
      </c>
    </row>
    <row r="178" spans="2:20">
      <c r="B178" s="27">
        <f t="shared" si="23"/>
        <v>45558</v>
      </c>
      <c r="C178" s="28">
        <f>YEAR(Modelling[[#This Row],[Date]])+IF(MONTH(Modelling[[#This Row],[Date]])&gt;=4,1,0)</f>
        <v>2025</v>
      </c>
      <c r="D178" s="22">
        <f t="shared" si="21"/>
        <v>2024</v>
      </c>
      <c r="E178" s="29">
        <v>44805</v>
      </c>
      <c r="F178" s="22">
        <f>DAY(EOMONTH(Modelling[[#This Row],[Date]],0))</f>
        <v>30</v>
      </c>
      <c r="G178" s="28">
        <f>VLOOKUP(MONTH(Modelling[[#This Row],[Date]]),$W$3:$Z$14,4,0)/1000/Modelling[[#This Row],[Days]]</f>
        <v>531.65813333333335</v>
      </c>
      <c r="H178" s="28">
        <f>SUM($G$156:G178)</f>
        <v>12228.137066666673</v>
      </c>
      <c r="I178" s="28">
        <f>SUM($G$3:G178)</f>
        <v>74726.246066666659</v>
      </c>
      <c r="J178" s="30">
        <f>VLOOKUP(MONTH(Modelling[[#This Row],[Date]]),$W$3:$Y$14,3,0)</f>
        <v>7.08</v>
      </c>
      <c r="K178" s="30">
        <f>VLOOKUP(MONTH(Modelling[[#This Row],[Date]]),$W$3:$Y$14,3,0)</f>
        <v>7.08</v>
      </c>
      <c r="L178" s="30">
        <f>AVERAGE(J$3:J178)</f>
        <v>8.482727272727276</v>
      </c>
      <c r="M178" s="31">
        <f t="shared" si="17"/>
        <v>0.31556157011712566</v>
      </c>
      <c r="N178" s="31">
        <f t="shared" si="18"/>
        <v>0.31556157011712571</v>
      </c>
      <c r="O178" s="31">
        <f t="shared" si="19"/>
        <v>0.40893007435134182</v>
      </c>
      <c r="P178" s="109">
        <f t="shared" si="20"/>
        <v>70.2</v>
      </c>
      <c r="Q178" s="28">
        <f>AVERAGE($P$156:P178)</f>
        <v>70.200000000000031</v>
      </c>
      <c r="R178" s="81">
        <f>AVERAGE($P$3:P178)</f>
        <v>52.150684931506753</v>
      </c>
      <c r="S178">
        <f t="shared" si="22"/>
        <v>23</v>
      </c>
      <c r="T178">
        <f t="shared" si="24"/>
        <v>146</v>
      </c>
    </row>
    <row r="179" spans="2:20">
      <c r="B179" s="27">
        <f t="shared" si="23"/>
        <v>45559</v>
      </c>
      <c r="C179" s="28">
        <f>YEAR(Modelling[[#This Row],[Date]])+IF(MONTH(Modelling[[#This Row],[Date]])&gt;=4,1,0)</f>
        <v>2025</v>
      </c>
      <c r="D179" s="22">
        <f t="shared" si="21"/>
        <v>2024</v>
      </c>
      <c r="E179" s="29">
        <v>44805</v>
      </c>
      <c r="F179" s="22">
        <f>DAY(EOMONTH(Modelling[[#This Row],[Date]],0))</f>
        <v>30</v>
      </c>
      <c r="G179" s="28">
        <f>VLOOKUP(MONTH(Modelling[[#This Row],[Date]]),$W$3:$Z$14,4,0)/1000/Modelling[[#This Row],[Days]]</f>
        <v>531.65813333333335</v>
      </c>
      <c r="H179" s="28">
        <f>SUM($G$156:G179)</f>
        <v>12759.795200000008</v>
      </c>
      <c r="I179" s="28">
        <f>SUM($G$3:G179)</f>
        <v>75257.90419999999</v>
      </c>
      <c r="J179" s="30">
        <f>VLOOKUP(MONTH(Modelling[[#This Row],[Date]]),$W$3:$Y$14,3,0)</f>
        <v>7.08</v>
      </c>
      <c r="K179" s="30">
        <f>VLOOKUP(MONTH(Modelling[[#This Row],[Date]]),$W$3:$Y$14,3,0)</f>
        <v>7.08</v>
      </c>
      <c r="L179" s="30">
        <f>AVERAGE(J$3:J179)</f>
        <v>8.4748022598870083</v>
      </c>
      <c r="M179" s="31">
        <f t="shared" si="17"/>
        <v>0.31556157011712566</v>
      </c>
      <c r="N179" s="31">
        <f t="shared" si="18"/>
        <v>0.31556157011712571</v>
      </c>
      <c r="O179" s="31">
        <f t="shared" si="19"/>
        <v>0.40807709434076916</v>
      </c>
      <c r="P179" s="109">
        <f t="shared" si="20"/>
        <v>70.2</v>
      </c>
      <c r="Q179" s="28">
        <f>AVERAGE($P$156:P179)</f>
        <v>70.200000000000031</v>
      </c>
      <c r="R179" s="81">
        <f>AVERAGE($P$3:P179)</f>
        <v>52.273469387755007</v>
      </c>
      <c r="S179">
        <f t="shared" si="22"/>
        <v>24</v>
      </c>
      <c r="T179">
        <f t="shared" si="24"/>
        <v>147</v>
      </c>
    </row>
    <row r="180" spans="2:20">
      <c r="B180" s="27">
        <f t="shared" si="23"/>
        <v>45560</v>
      </c>
      <c r="C180" s="28">
        <f>YEAR(Modelling[[#This Row],[Date]])+IF(MONTH(Modelling[[#This Row],[Date]])&gt;=4,1,0)</f>
        <v>2025</v>
      </c>
      <c r="D180" s="22">
        <f t="shared" si="21"/>
        <v>2024</v>
      </c>
      <c r="E180" s="29">
        <v>44805</v>
      </c>
      <c r="F180" s="22">
        <f>DAY(EOMONTH(Modelling[[#This Row],[Date]],0))</f>
        <v>30</v>
      </c>
      <c r="G180" s="28">
        <f>VLOOKUP(MONTH(Modelling[[#This Row],[Date]]),$W$3:$Z$14,4,0)/1000/Modelling[[#This Row],[Days]]</f>
        <v>531.65813333333335</v>
      </c>
      <c r="H180" s="28">
        <f>SUM($G$156:G180)</f>
        <v>13291.453333333342</v>
      </c>
      <c r="I180" s="28">
        <f>SUM($G$3:G180)</f>
        <v>75789.562333333321</v>
      </c>
      <c r="J180" s="30">
        <f>VLOOKUP(MONTH(Modelling[[#This Row],[Date]]),$W$3:$Y$14,3,0)</f>
        <v>7.08</v>
      </c>
      <c r="K180" s="30">
        <f>VLOOKUP(MONTH(Modelling[[#This Row],[Date]]),$W$3:$Y$14,3,0)</f>
        <v>7.08</v>
      </c>
      <c r="L180" s="30">
        <f>AVERAGE(J$3:J180)</f>
        <v>8.466966292134833</v>
      </c>
      <c r="M180" s="31">
        <f t="shared" si="17"/>
        <v>0.31556157011712566</v>
      </c>
      <c r="N180" s="31">
        <f t="shared" si="18"/>
        <v>0.31556157011712577</v>
      </c>
      <c r="O180" s="31">
        <f t="shared" si="19"/>
        <v>0.4072395582579646</v>
      </c>
      <c r="P180" s="109">
        <f t="shared" si="20"/>
        <v>70.2</v>
      </c>
      <c r="Q180" s="28">
        <f>AVERAGE($P$156:P180)</f>
        <v>70.200000000000031</v>
      </c>
      <c r="R180" s="81">
        <f>AVERAGE($P$3:P180)</f>
        <v>52.394594594594501</v>
      </c>
      <c r="S180">
        <f t="shared" si="22"/>
        <v>25</v>
      </c>
      <c r="T180">
        <f t="shared" si="24"/>
        <v>148</v>
      </c>
    </row>
    <row r="181" spans="2:20">
      <c r="B181" s="27">
        <f t="shared" si="23"/>
        <v>45561</v>
      </c>
      <c r="C181" s="28">
        <f>YEAR(Modelling[[#This Row],[Date]])+IF(MONTH(Modelling[[#This Row],[Date]])&gt;=4,1,0)</f>
        <v>2025</v>
      </c>
      <c r="D181" s="22">
        <f t="shared" si="21"/>
        <v>2024</v>
      </c>
      <c r="E181" s="29">
        <v>44805</v>
      </c>
      <c r="F181" s="22">
        <f>DAY(EOMONTH(Modelling[[#This Row],[Date]],0))</f>
        <v>30</v>
      </c>
      <c r="G181" s="28">
        <f>VLOOKUP(MONTH(Modelling[[#This Row],[Date]]),$W$3:$Z$14,4,0)/1000/Modelling[[#This Row],[Days]]</f>
        <v>531.65813333333335</v>
      </c>
      <c r="H181" s="28">
        <f>SUM($G$156:G181)</f>
        <v>13823.111466666676</v>
      </c>
      <c r="I181" s="28">
        <f>SUM($G$3:G181)</f>
        <v>76321.220466666651</v>
      </c>
      <c r="J181" s="30">
        <f>VLOOKUP(MONTH(Modelling[[#This Row],[Date]]),$W$3:$Y$14,3,0)</f>
        <v>7.08</v>
      </c>
      <c r="K181" s="30">
        <f>VLOOKUP(MONTH(Modelling[[#This Row],[Date]]),$W$3:$Y$14,3,0)</f>
        <v>7.08</v>
      </c>
      <c r="L181" s="30">
        <f>AVERAGE(J$3:J181)</f>
        <v>8.4592178770949733</v>
      </c>
      <c r="M181" s="31">
        <f t="shared" si="17"/>
        <v>0.31556157011712566</v>
      </c>
      <c r="N181" s="31">
        <f t="shared" si="18"/>
        <v>0.31556157011712577</v>
      </c>
      <c r="O181" s="31">
        <f t="shared" si="19"/>
        <v>0.40641705042785353</v>
      </c>
      <c r="P181" s="109">
        <f t="shared" si="20"/>
        <v>70.2</v>
      </c>
      <c r="Q181" s="28">
        <f>AVERAGE($P$156:P181)</f>
        <v>70.200000000000031</v>
      </c>
      <c r="R181" s="81">
        <f>AVERAGE($P$3:P181)</f>
        <v>52.514093959731447</v>
      </c>
      <c r="S181">
        <f t="shared" si="22"/>
        <v>26</v>
      </c>
      <c r="T181">
        <f t="shared" si="24"/>
        <v>149</v>
      </c>
    </row>
    <row r="182" spans="2:20">
      <c r="B182" s="27">
        <f t="shared" si="23"/>
        <v>45562</v>
      </c>
      <c r="C182" s="28">
        <f>YEAR(Modelling[[#This Row],[Date]])+IF(MONTH(Modelling[[#This Row],[Date]])&gt;=4,1,0)</f>
        <v>2025</v>
      </c>
      <c r="D182" s="22">
        <f t="shared" si="21"/>
        <v>2024</v>
      </c>
      <c r="E182" s="29">
        <v>44805</v>
      </c>
      <c r="F182" s="22">
        <f>DAY(EOMONTH(Modelling[[#This Row],[Date]],0))</f>
        <v>30</v>
      </c>
      <c r="G182" s="28">
        <f>VLOOKUP(MONTH(Modelling[[#This Row],[Date]]),$W$3:$Z$14,4,0)/1000/Modelling[[#This Row],[Days]]</f>
        <v>531.65813333333335</v>
      </c>
      <c r="H182" s="28">
        <f>SUM($G$156:G182)</f>
        <v>14354.769600000011</v>
      </c>
      <c r="I182" s="28">
        <f>SUM($G$3:G182)</f>
        <v>76852.878599999982</v>
      </c>
      <c r="J182" s="30">
        <f>VLOOKUP(MONTH(Modelling[[#This Row],[Date]]),$W$3:$Y$14,3,0)</f>
        <v>7.08</v>
      </c>
      <c r="K182" s="30">
        <f>VLOOKUP(MONTH(Modelling[[#This Row],[Date]]),$W$3:$Y$14,3,0)</f>
        <v>7.08</v>
      </c>
      <c r="L182" s="30">
        <f>AVERAGE(J$3:J182)</f>
        <v>8.4515555555555562</v>
      </c>
      <c r="M182" s="31">
        <f t="shared" si="17"/>
        <v>0.31556157011712566</v>
      </c>
      <c r="N182" s="31">
        <f t="shared" si="18"/>
        <v>0.31556157011712577</v>
      </c>
      <c r="O182" s="31">
        <f t="shared" si="19"/>
        <v>0.40560916995997426</v>
      </c>
      <c r="P182" s="109">
        <f t="shared" si="20"/>
        <v>70.2</v>
      </c>
      <c r="Q182" s="28">
        <f>AVERAGE($P$156:P182)</f>
        <v>70.200000000000031</v>
      </c>
      <c r="R182" s="81">
        <f>AVERAGE($P$3:P182)</f>
        <v>52.631999999999906</v>
      </c>
      <c r="S182">
        <f t="shared" si="22"/>
        <v>27</v>
      </c>
      <c r="T182">
        <f t="shared" si="24"/>
        <v>150</v>
      </c>
    </row>
    <row r="183" spans="2:20">
      <c r="B183" s="27">
        <f t="shared" si="23"/>
        <v>45563</v>
      </c>
      <c r="C183" s="28">
        <f>YEAR(Modelling[[#This Row],[Date]])+IF(MONTH(Modelling[[#This Row],[Date]])&gt;=4,1,0)</f>
        <v>2025</v>
      </c>
      <c r="D183" s="22">
        <f t="shared" si="21"/>
        <v>2024</v>
      </c>
      <c r="E183" s="29">
        <v>44805</v>
      </c>
      <c r="F183" s="22">
        <f>DAY(EOMONTH(Modelling[[#This Row],[Date]],0))</f>
        <v>30</v>
      </c>
      <c r="G183" s="28">
        <f>VLOOKUP(MONTH(Modelling[[#This Row],[Date]]),$W$3:$Z$14,4,0)/1000/Modelling[[#This Row],[Days]]</f>
        <v>531.65813333333335</v>
      </c>
      <c r="H183" s="28">
        <f>SUM($G$156:G183)</f>
        <v>14886.427733333345</v>
      </c>
      <c r="I183" s="28">
        <f>SUM($G$3:G183)</f>
        <v>77384.536733333312</v>
      </c>
      <c r="J183" s="30">
        <f>VLOOKUP(MONTH(Modelling[[#This Row],[Date]]),$W$3:$Y$14,3,0)</f>
        <v>7.08</v>
      </c>
      <c r="K183" s="30">
        <f>VLOOKUP(MONTH(Modelling[[#This Row],[Date]]),$W$3:$Y$14,3,0)</f>
        <v>7.08</v>
      </c>
      <c r="L183" s="30">
        <f>AVERAGE(J$3:J183)</f>
        <v>8.4439779005524862</v>
      </c>
      <c r="M183" s="31">
        <f t="shared" si="17"/>
        <v>0.31556157011712566</v>
      </c>
      <c r="N183" s="31">
        <f t="shared" si="18"/>
        <v>0.31556157011712577</v>
      </c>
      <c r="O183" s="31">
        <f t="shared" si="19"/>
        <v>0.40481553009695259</v>
      </c>
      <c r="P183" s="109">
        <f t="shared" si="20"/>
        <v>70.2</v>
      </c>
      <c r="Q183" s="28">
        <f>AVERAGE($P$156:P183)</f>
        <v>70.200000000000031</v>
      </c>
      <c r="R183" s="81">
        <f>AVERAGE($P$3:P183)</f>
        <v>52.748344370860828</v>
      </c>
      <c r="S183">
        <f t="shared" si="22"/>
        <v>28</v>
      </c>
      <c r="T183">
        <f t="shared" si="24"/>
        <v>151</v>
      </c>
    </row>
    <row r="184" spans="2:20">
      <c r="B184" s="27">
        <f t="shared" si="23"/>
        <v>45564</v>
      </c>
      <c r="C184" s="28">
        <f>YEAR(Modelling[[#This Row],[Date]])+IF(MONTH(Modelling[[#This Row],[Date]])&gt;=4,1,0)</f>
        <v>2025</v>
      </c>
      <c r="D184" s="22">
        <f t="shared" si="21"/>
        <v>2024</v>
      </c>
      <c r="E184" s="29">
        <v>44805</v>
      </c>
      <c r="F184" s="22">
        <f>DAY(EOMONTH(Modelling[[#This Row],[Date]],0))</f>
        <v>30</v>
      </c>
      <c r="G184" s="28">
        <f>VLOOKUP(MONTH(Modelling[[#This Row],[Date]]),$W$3:$Z$14,4,0)/1000/Modelling[[#This Row],[Days]]</f>
        <v>531.65813333333335</v>
      </c>
      <c r="H184" s="28">
        <f>SUM($G$156:G184)</f>
        <v>15418.085866666679</v>
      </c>
      <c r="I184" s="28">
        <f>SUM($G$3:G184)</f>
        <v>77916.194866666643</v>
      </c>
      <c r="J184" s="30">
        <f>VLOOKUP(MONTH(Modelling[[#This Row],[Date]]),$W$3:$Y$14,3,0)</f>
        <v>7.08</v>
      </c>
      <c r="K184" s="30">
        <f>VLOOKUP(MONTH(Modelling[[#This Row],[Date]]),$W$3:$Y$14,3,0)</f>
        <v>7.08</v>
      </c>
      <c r="L184" s="30">
        <f>AVERAGE(J$3:J184)</f>
        <v>8.4364835164835164</v>
      </c>
      <c r="M184" s="31">
        <f t="shared" si="17"/>
        <v>0.31556157011712566</v>
      </c>
      <c r="N184" s="31">
        <f t="shared" si="18"/>
        <v>0.31556157011712577</v>
      </c>
      <c r="O184" s="31">
        <f t="shared" si="19"/>
        <v>0.40403575759712879</v>
      </c>
      <c r="P184" s="109">
        <f t="shared" si="20"/>
        <v>70.2</v>
      </c>
      <c r="Q184" s="28">
        <f>AVERAGE($P$156:P184)</f>
        <v>70.200000000000031</v>
      </c>
      <c r="R184" s="81">
        <f>AVERAGE($P$3:P184)</f>
        <v>52.863157894736744</v>
      </c>
      <c r="S184">
        <f t="shared" si="22"/>
        <v>29</v>
      </c>
      <c r="T184">
        <f t="shared" si="24"/>
        <v>152</v>
      </c>
    </row>
    <row r="185" spans="2:20">
      <c r="B185" s="27">
        <f t="shared" si="23"/>
        <v>45565</v>
      </c>
      <c r="C185" s="28">
        <f>YEAR(Modelling[[#This Row],[Date]])+IF(MONTH(Modelling[[#This Row],[Date]])&gt;=4,1,0)</f>
        <v>2025</v>
      </c>
      <c r="D185" s="22">
        <f t="shared" si="21"/>
        <v>2024</v>
      </c>
      <c r="E185" s="29">
        <v>44805</v>
      </c>
      <c r="F185" s="22">
        <f>DAY(EOMONTH(Modelling[[#This Row],[Date]],0))</f>
        <v>30</v>
      </c>
      <c r="G185" s="28">
        <f>VLOOKUP(MONTH(Modelling[[#This Row],[Date]]),$W$3:$Z$14,4,0)/1000/Modelling[[#This Row],[Days]]</f>
        <v>531.65813333333335</v>
      </c>
      <c r="H185" s="28">
        <f>SUM($G$156:G185)</f>
        <v>15949.744000000013</v>
      </c>
      <c r="I185" s="28">
        <f>SUM($G$3:G185)</f>
        <v>78447.852999999974</v>
      </c>
      <c r="J185" s="30">
        <f>VLOOKUP(MONTH(Modelling[[#This Row],[Date]]),$W$3:$Y$14,3,0)</f>
        <v>7.08</v>
      </c>
      <c r="K185" s="30">
        <f>VLOOKUP(MONTH(Modelling[[#This Row],[Date]]),$W$3:$Y$14,3,0)</f>
        <v>7.08</v>
      </c>
      <c r="L185" s="30">
        <f>AVERAGE(J$3:J185)</f>
        <v>8.4290710382513652</v>
      </c>
      <c r="M185" s="31">
        <f t="shared" si="17"/>
        <v>0.31556157011712566</v>
      </c>
      <c r="N185" s="31">
        <f t="shared" si="18"/>
        <v>0.31556157011712593</v>
      </c>
      <c r="O185" s="31">
        <f t="shared" si="19"/>
        <v>0.40326949214926738</v>
      </c>
      <c r="P185" s="109">
        <f t="shared" si="20"/>
        <v>70.2</v>
      </c>
      <c r="Q185" s="28">
        <f>AVERAGE($P$185:P185)</f>
        <v>70.2</v>
      </c>
      <c r="R185" s="81">
        <f>AVERAGE($P$3:P185)</f>
        <v>52.976470588235195</v>
      </c>
      <c r="S185">
        <f t="shared" si="22"/>
        <v>30</v>
      </c>
      <c r="T185">
        <f t="shared" si="24"/>
        <v>153</v>
      </c>
    </row>
    <row r="186" spans="2:20">
      <c r="B186" s="27">
        <f t="shared" si="23"/>
        <v>45566</v>
      </c>
      <c r="C186" s="28">
        <f>YEAR(Modelling[[#This Row],[Date]])+IF(MONTH(Modelling[[#This Row],[Date]])&gt;=4,1,0)</f>
        <v>2025</v>
      </c>
      <c r="D186" s="22">
        <f t="shared" si="21"/>
        <v>2024</v>
      </c>
      <c r="E186" s="29">
        <v>44835</v>
      </c>
      <c r="F186" s="22">
        <f>DAY(EOMONTH(Modelling[[#This Row],[Date]],0))</f>
        <v>31</v>
      </c>
      <c r="G186" s="28">
        <f>VLOOKUP(MONTH(Modelling[[#This Row],[Date]]),$W$3:$Z$14,4,0)/1000/Modelling[[#This Row],[Days]]</f>
        <v>365.31112903225807</v>
      </c>
      <c r="H186" s="28">
        <f>SUM($G$186:G186)</f>
        <v>365.31112903225807</v>
      </c>
      <c r="I186" s="28">
        <f>SUM($G$3:G186)</f>
        <v>78813.16412903223</v>
      </c>
      <c r="J186" s="30">
        <f>VLOOKUP(MONTH(Modelling[[#This Row],[Date]]),$W$3:$Y$14,3,0)</f>
        <v>5.65</v>
      </c>
      <c r="K186" s="30">
        <f>VLOOKUP(MONTH(Modelling[[#This Row],[Date]]),$W$3:$Y$14,3,0)</f>
        <v>5.65</v>
      </c>
      <c r="L186" s="30">
        <f>AVERAGE(J$3:J186)</f>
        <v>8.4139673913043485</v>
      </c>
      <c r="M186" s="31">
        <f t="shared" si="17"/>
        <v>0.21682759320528136</v>
      </c>
      <c r="N186" s="31">
        <f t="shared" si="18"/>
        <v>0.21682759320528136</v>
      </c>
      <c r="O186" s="31">
        <f t="shared" si="19"/>
        <v>0.40166860398132026</v>
      </c>
      <c r="P186" s="109">
        <f t="shared" si="20"/>
        <v>70.2</v>
      </c>
      <c r="Q186" s="28">
        <f>AVERAGE($P$185:P186)</f>
        <v>70.2</v>
      </c>
      <c r="R186" s="81">
        <f>AVERAGE($P$3:P186)</f>
        <v>53.088311688311592</v>
      </c>
      <c r="S186">
        <f t="shared" si="22"/>
        <v>1</v>
      </c>
      <c r="T186">
        <f t="shared" si="24"/>
        <v>154</v>
      </c>
    </row>
    <row r="187" spans="2:20">
      <c r="B187" s="27">
        <f t="shared" si="23"/>
        <v>45567</v>
      </c>
      <c r="C187" s="28">
        <f>YEAR(Modelling[[#This Row],[Date]])+IF(MONTH(Modelling[[#This Row],[Date]])&gt;=4,1,0)</f>
        <v>2025</v>
      </c>
      <c r="D187" s="22">
        <f t="shared" si="21"/>
        <v>2024</v>
      </c>
      <c r="E187" s="29">
        <v>44835</v>
      </c>
      <c r="F187" s="22">
        <f>DAY(EOMONTH(Modelling[[#This Row],[Date]],0))</f>
        <v>31</v>
      </c>
      <c r="G187" s="28">
        <f>VLOOKUP(MONTH(Modelling[[#This Row],[Date]]),$W$3:$Z$14,4,0)/1000/Modelling[[#This Row],[Days]]</f>
        <v>365.31112903225807</v>
      </c>
      <c r="H187" s="28">
        <f>SUM($G$186:G187)</f>
        <v>730.62225806451613</v>
      </c>
      <c r="I187" s="28">
        <f>SUM($G$3:G187)</f>
        <v>79178.475258064485</v>
      </c>
      <c r="J187" s="30">
        <f>VLOOKUP(MONTH(Modelling[[#This Row],[Date]]),$W$3:$Y$14,3,0)</f>
        <v>5.65</v>
      </c>
      <c r="K187" s="30">
        <f>VLOOKUP(MONTH(Modelling[[#This Row],[Date]]),$W$3:$Y$14,3,0)</f>
        <v>5.65</v>
      </c>
      <c r="L187" s="30">
        <f>AVERAGE(J$3:J187)</f>
        <v>8.399027027027028</v>
      </c>
      <c r="M187" s="31">
        <f t="shared" si="17"/>
        <v>0.21682759320528136</v>
      </c>
      <c r="N187" s="31">
        <f t="shared" si="18"/>
        <v>0.21682759320528136</v>
      </c>
      <c r="O187" s="31">
        <f t="shared" si="19"/>
        <v>0.40009497389612808</v>
      </c>
      <c r="P187" s="109">
        <f t="shared" si="20"/>
        <v>70.2</v>
      </c>
      <c r="Q187" s="28">
        <f>AVERAGE($P$185:P187)</f>
        <v>70.2</v>
      </c>
      <c r="R187" s="81">
        <f>AVERAGE($P$3:P187)</f>
        <v>53.198709677419259</v>
      </c>
      <c r="S187">
        <f t="shared" si="22"/>
        <v>2</v>
      </c>
      <c r="T187">
        <f t="shared" si="24"/>
        <v>155</v>
      </c>
    </row>
    <row r="188" spans="2:20">
      <c r="B188" s="27">
        <f t="shared" si="23"/>
        <v>45568</v>
      </c>
      <c r="C188" s="28">
        <f>YEAR(Modelling[[#This Row],[Date]])+IF(MONTH(Modelling[[#This Row],[Date]])&gt;=4,1,0)</f>
        <v>2025</v>
      </c>
      <c r="D188" s="22">
        <f t="shared" si="21"/>
        <v>2024</v>
      </c>
      <c r="E188" s="29">
        <v>44835</v>
      </c>
      <c r="F188" s="22">
        <f>DAY(EOMONTH(Modelling[[#This Row],[Date]],0))</f>
        <v>31</v>
      </c>
      <c r="G188" s="28">
        <f>VLOOKUP(MONTH(Modelling[[#This Row],[Date]]),$W$3:$Z$14,4,0)/1000/Modelling[[#This Row],[Days]]</f>
        <v>365.31112903225807</v>
      </c>
      <c r="H188" s="28">
        <f>SUM($G$186:G188)</f>
        <v>1095.9333870967741</v>
      </c>
      <c r="I188" s="28">
        <f>SUM($G$3:G188)</f>
        <v>79543.786387096741</v>
      </c>
      <c r="J188" s="30">
        <f>VLOOKUP(MONTH(Modelling[[#This Row],[Date]]),$W$3:$Y$14,3,0)</f>
        <v>5.65</v>
      </c>
      <c r="K188" s="30">
        <f>VLOOKUP(MONTH(Modelling[[#This Row],[Date]]),$W$3:$Y$14,3,0)</f>
        <v>5.65</v>
      </c>
      <c r="L188" s="30">
        <f>AVERAGE(J$3:J188)</f>
        <v>8.3842473118279592</v>
      </c>
      <c r="M188" s="31">
        <f t="shared" si="17"/>
        <v>0.21682759320528136</v>
      </c>
      <c r="N188" s="31">
        <f t="shared" si="18"/>
        <v>0.21682759320528136</v>
      </c>
      <c r="O188" s="31">
        <f t="shared" si="19"/>
        <v>0.39854791159159492</v>
      </c>
      <c r="P188" s="109">
        <f t="shared" si="20"/>
        <v>70.2</v>
      </c>
      <c r="Q188" s="28">
        <f>AVERAGE($P$185:P188)</f>
        <v>70.2</v>
      </c>
      <c r="R188" s="81">
        <f>AVERAGE($P$3:P188)</f>
        <v>53.307692307692214</v>
      </c>
      <c r="S188">
        <f t="shared" si="22"/>
        <v>3</v>
      </c>
      <c r="T188">
        <f t="shared" si="24"/>
        <v>156</v>
      </c>
    </row>
    <row r="189" spans="2:20">
      <c r="B189" s="27">
        <f t="shared" si="23"/>
        <v>45569</v>
      </c>
      <c r="C189" s="28">
        <f>YEAR(Modelling[[#This Row],[Date]])+IF(MONTH(Modelling[[#This Row],[Date]])&gt;=4,1,0)</f>
        <v>2025</v>
      </c>
      <c r="D189" s="22">
        <f t="shared" si="21"/>
        <v>2024</v>
      </c>
      <c r="E189" s="29">
        <v>44835</v>
      </c>
      <c r="F189" s="22">
        <f>DAY(EOMONTH(Modelling[[#This Row],[Date]],0))</f>
        <v>31</v>
      </c>
      <c r="G189" s="28">
        <f>VLOOKUP(MONTH(Modelling[[#This Row],[Date]]),$W$3:$Z$14,4,0)/1000/Modelling[[#This Row],[Days]]</f>
        <v>365.31112903225807</v>
      </c>
      <c r="H189" s="28">
        <f>SUM($G$186:G189)</f>
        <v>1461.2445161290323</v>
      </c>
      <c r="I189" s="28">
        <f>SUM($G$3:G189)</f>
        <v>79909.097516128997</v>
      </c>
      <c r="J189" s="30">
        <f>VLOOKUP(MONTH(Modelling[[#This Row],[Date]]),$W$3:$Y$14,3,0)</f>
        <v>5.65</v>
      </c>
      <c r="K189" s="30">
        <f>VLOOKUP(MONTH(Modelling[[#This Row],[Date]]),$W$3:$Y$14,3,0)</f>
        <v>5.65</v>
      </c>
      <c r="L189" s="30">
        <f>AVERAGE(J$3:J189)</f>
        <v>8.3696256684491992</v>
      </c>
      <c r="M189" s="31">
        <f t="shared" si="17"/>
        <v>0.21682759320528136</v>
      </c>
      <c r="N189" s="31">
        <f t="shared" si="18"/>
        <v>0.21682759320528136</v>
      </c>
      <c r="O189" s="31">
        <f t="shared" si="19"/>
        <v>0.39702674987941067</v>
      </c>
      <c r="P189" s="109">
        <f t="shared" si="20"/>
        <v>70.2</v>
      </c>
      <c r="Q189" s="28">
        <f>AVERAGE($P$185:P189)</f>
        <v>70.2</v>
      </c>
      <c r="R189" s="81">
        <f>AVERAGE($P$3:P189)</f>
        <v>53.415286624203731</v>
      </c>
      <c r="S189">
        <f t="shared" si="22"/>
        <v>4</v>
      </c>
      <c r="T189">
        <f t="shared" si="24"/>
        <v>157</v>
      </c>
    </row>
    <row r="190" spans="2:20">
      <c r="B190" s="27">
        <f t="shared" si="23"/>
        <v>45570</v>
      </c>
      <c r="C190" s="28">
        <f>YEAR(Modelling[[#This Row],[Date]])+IF(MONTH(Modelling[[#This Row],[Date]])&gt;=4,1,0)</f>
        <v>2025</v>
      </c>
      <c r="D190" s="22">
        <f t="shared" si="21"/>
        <v>2024</v>
      </c>
      <c r="E190" s="29">
        <v>44835</v>
      </c>
      <c r="F190" s="22">
        <f>DAY(EOMONTH(Modelling[[#This Row],[Date]],0))</f>
        <v>31</v>
      </c>
      <c r="G190" s="28">
        <f>VLOOKUP(MONTH(Modelling[[#This Row],[Date]]),$W$3:$Z$14,4,0)/1000/Modelling[[#This Row],[Days]]</f>
        <v>365.31112903225807</v>
      </c>
      <c r="H190" s="28">
        <f>SUM($G$186:G190)</f>
        <v>1826.5556451612904</v>
      </c>
      <c r="I190" s="28">
        <f>SUM($G$3:G190)</f>
        <v>80274.408645161253</v>
      </c>
      <c r="J190" s="30">
        <f>VLOOKUP(MONTH(Modelling[[#This Row],[Date]]),$W$3:$Y$14,3,0)</f>
        <v>5.65</v>
      </c>
      <c r="K190" s="30">
        <f>VLOOKUP(MONTH(Modelling[[#This Row],[Date]]),$W$3:$Y$14,3,0)</f>
        <v>5.65</v>
      </c>
      <c r="L190" s="30">
        <f>AVERAGE(J$3:J190)</f>
        <v>8.3551595744680878</v>
      </c>
      <c r="M190" s="31">
        <f t="shared" si="17"/>
        <v>0.21682759320528136</v>
      </c>
      <c r="N190" s="31">
        <f t="shared" si="18"/>
        <v>0.21682759320528139</v>
      </c>
      <c r="O190" s="31">
        <f t="shared" si="19"/>
        <v>0.39553084372566627</v>
      </c>
      <c r="P190" s="109">
        <f t="shared" si="20"/>
        <v>70.2</v>
      </c>
      <c r="Q190" s="28">
        <f>AVERAGE($P$185:P190)</f>
        <v>70.2</v>
      </c>
      <c r="R190" s="81">
        <f>AVERAGE($P$3:P190)</f>
        <v>53.521518987341686</v>
      </c>
      <c r="S190">
        <f t="shared" si="22"/>
        <v>5</v>
      </c>
      <c r="T190">
        <f t="shared" si="24"/>
        <v>158</v>
      </c>
    </row>
    <row r="191" spans="2:20">
      <c r="B191" s="27">
        <f t="shared" si="23"/>
        <v>45571</v>
      </c>
      <c r="C191" s="28">
        <f>YEAR(Modelling[[#This Row],[Date]])+IF(MONTH(Modelling[[#This Row],[Date]])&gt;=4,1,0)</f>
        <v>2025</v>
      </c>
      <c r="D191" s="22">
        <f t="shared" si="21"/>
        <v>2024</v>
      </c>
      <c r="E191" s="29">
        <v>44835</v>
      </c>
      <c r="F191" s="22">
        <f>DAY(EOMONTH(Modelling[[#This Row],[Date]],0))</f>
        <v>31</v>
      </c>
      <c r="G191" s="28">
        <f>VLOOKUP(MONTH(Modelling[[#This Row],[Date]]),$W$3:$Z$14,4,0)/1000/Modelling[[#This Row],[Days]]</f>
        <v>365.31112903225807</v>
      </c>
      <c r="H191" s="28">
        <f>SUM($G$186:G191)</f>
        <v>2191.8667741935483</v>
      </c>
      <c r="I191" s="28">
        <f>SUM($G$3:G191)</f>
        <v>80639.719774193509</v>
      </c>
      <c r="J191" s="30">
        <f>VLOOKUP(MONTH(Modelling[[#This Row],[Date]]),$W$3:$Y$14,3,0)</f>
        <v>5.65</v>
      </c>
      <c r="K191" s="30">
        <f>VLOOKUP(MONTH(Modelling[[#This Row],[Date]]),$W$3:$Y$14,3,0)</f>
        <v>5.65</v>
      </c>
      <c r="L191" s="30">
        <f>AVERAGE(J$3:J191)</f>
        <v>8.340846560846563</v>
      </c>
      <c r="M191" s="31">
        <f t="shared" si="17"/>
        <v>0.21682759320528136</v>
      </c>
      <c r="N191" s="31">
        <f t="shared" si="18"/>
        <v>0.21682759320528136</v>
      </c>
      <c r="O191" s="31">
        <f t="shared" si="19"/>
        <v>0.39405956933886127</v>
      </c>
      <c r="P191" s="109">
        <f t="shared" si="20"/>
        <v>70.2</v>
      </c>
      <c r="Q191" s="28">
        <f>AVERAGE($P$185:P191)</f>
        <v>70.2</v>
      </c>
      <c r="R191" s="81">
        <f>AVERAGE($P$3:P191)</f>
        <v>53.626415094339542</v>
      </c>
      <c r="S191">
        <f t="shared" si="22"/>
        <v>6</v>
      </c>
      <c r="T191">
        <f t="shared" si="24"/>
        <v>159</v>
      </c>
    </row>
    <row r="192" spans="2:20">
      <c r="B192" s="27">
        <f t="shared" si="23"/>
        <v>45572</v>
      </c>
      <c r="C192" s="28">
        <f>YEAR(Modelling[[#This Row],[Date]])+IF(MONTH(Modelling[[#This Row],[Date]])&gt;=4,1,0)</f>
        <v>2025</v>
      </c>
      <c r="D192" s="22">
        <f t="shared" si="21"/>
        <v>2024</v>
      </c>
      <c r="E192" s="29">
        <v>44835</v>
      </c>
      <c r="F192" s="22">
        <f>DAY(EOMONTH(Modelling[[#This Row],[Date]],0))</f>
        <v>31</v>
      </c>
      <c r="G192" s="28">
        <f>VLOOKUP(MONTH(Modelling[[#This Row],[Date]]),$W$3:$Z$14,4,0)/1000/Modelling[[#This Row],[Days]]</f>
        <v>365.31112903225807</v>
      </c>
      <c r="H192" s="28">
        <f>SUM($G$186:G192)</f>
        <v>2557.1779032258064</v>
      </c>
      <c r="I192" s="28">
        <f>SUM($G$3:G192)</f>
        <v>81005.030903225765</v>
      </c>
      <c r="J192" s="30">
        <f>VLOOKUP(MONTH(Modelling[[#This Row],[Date]]),$W$3:$Y$14,3,0)</f>
        <v>5.65</v>
      </c>
      <c r="K192" s="30">
        <f>VLOOKUP(MONTH(Modelling[[#This Row],[Date]]),$W$3:$Y$14,3,0)</f>
        <v>5.65</v>
      </c>
      <c r="L192" s="30">
        <f>AVERAGE(J$3:J192)</f>
        <v>8.3266842105263184</v>
      </c>
      <c r="M192" s="31">
        <f t="shared" si="17"/>
        <v>0.21682759320528136</v>
      </c>
      <c r="N192" s="31">
        <f t="shared" si="18"/>
        <v>0.21682759320528136</v>
      </c>
      <c r="O192" s="31">
        <f t="shared" si="19"/>
        <v>0.3926123233025946</v>
      </c>
      <c r="P192" s="109">
        <f t="shared" si="20"/>
        <v>70.2</v>
      </c>
      <c r="Q192" s="28">
        <f>AVERAGE($P$185:P192)</f>
        <v>70.2</v>
      </c>
      <c r="R192" s="81">
        <f>AVERAGE($P$3:P192)</f>
        <v>53.729999999999926</v>
      </c>
      <c r="S192">
        <f t="shared" si="22"/>
        <v>7</v>
      </c>
      <c r="T192">
        <f t="shared" si="24"/>
        <v>160</v>
      </c>
    </row>
    <row r="193" spans="2:20">
      <c r="B193" s="27">
        <f t="shared" si="23"/>
        <v>45573</v>
      </c>
      <c r="C193" s="28">
        <f>YEAR(Modelling[[#This Row],[Date]])+IF(MONTH(Modelling[[#This Row],[Date]])&gt;=4,1,0)</f>
        <v>2025</v>
      </c>
      <c r="D193" s="22">
        <f t="shared" si="21"/>
        <v>2024</v>
      </c>
      <c r="E193" s="29">
        <v>44835</v>
      </c>
      <c r="F193" s="22">
        <f>DAY(EOMONTH(Modelling[[#This Row],[Date]],0))</f>
        <v>31</v>
      </c>
      <c r="G193" s="28">
        <f>VLOOKUP(MONTH(Modelling[[#This Row],[Date]]),$W$3:$Z$14,4,0)/1000/Modelling[[#This Row],[Days]]</f>
        <v>365.31112903225807</v>
      </c>
      <c r="H193" s="28">
        <f>SUM($G$186:G193)</f>
        <v>2922.4890322580645</v>
      </c>
      <c r="I193" s="28">
        <f>SUM($G$3:G193)</f>
        <v>81370.34203225802</v>
      </c>
      <c r="J193" s="30">
        <f>VLOOKUP(MONTH(Modelling[[#This Row],[Date]]),$W$3:$Y$14,3,0)</f>
        <v>5.65</v>
      </c>
      <c r="K193" s="30">
        <f>VLOOKUP(MONTH(Modelling[[#This Row],[Date]]),$W$3:$Y$14,3,0)</f>
        <v>5.65</v>
      </c>
      <c r="L193" s="30">
        <f>AVERAGE(J$3:J193)</f>
        <v>8.3126701570680659</v>
      </c>
      <c r="M193" s="31">
        <f t="shared" si="17"/>
        <v>0.21682759320528136</v>
      </c>
      <c r="N193" s="31">
        <f t="shared" si="18"/>
        <v>0.21682759320528136</v>
      </c>
      <c r="O193" s="31">
        <f t="shared" si="19"/>
        <v>0.39118852175040442</v>
      </c>
      <c r="P193" s="109">
        <f t="shared" si="20"/>
        <v>70.2</v>
      </c>
      <c r="Q193" s="28">
        <f>AVERAGE($P$185:P193)</f>
        <v>70.2</v>
      </c>
      <c r="R193" s="81">
        <f>AVERAGE($P$3:P193)</f>
        <v>53.832298136645896</v>
      </c>
      <c r="S193">
        <f t="shared" si="22"/>
        <v>8</v>
      </c>
      <c r="T193">
        <f t="shared" si="24"/>
        <v>161</v>
      </c>
    </row>
    <row r="194" spans="2:20">
      <c r="B194" s="27">
        <f t="shared" si="23"/>
        <v>45574</v>
      </c>
      <c r="C194" s="28">
        <f>YEAR(Modelling[[#This Row],[Date]])+IF(MONTH(Modelling[[#This Row],[Date]])&gt;=4,1,0)</f>
        <v>2025</v>
      </c>
      <c r="D194" s="22">
        <f t="shared" si="21"/>
        <v>2024</v>
      </c>
      <c r="E194" s="29">
        <v>44835</v>
      </c>
      <c r="F194" s="22">
        <f>DAY(EOMONTH(Modelling[[#This Row],[Date]],0))</f>
        <v>31</v>
      </c>
      <c r="G194" s="28">
        <f>VLOOKUP(MONTH(Modelling[[#This Row],[Date]]),$W$3:$Z$14,4,0)/1000/Modelling[[#This Row],[Days]]</f>
        <v>365.31112903225807</v>
      </c>
      <c r="H194" s="28">
        <f>SUM($G$186:G194)</f>
        <v>3287.8001612903226</v>
      </c>
      <c r="I194" s="28">
        <f>SUM($G$3:G194)</f>
        <v>81735.653161290276</v>
      </c>
      <c r="J194" s="30">
        <f>VLOOKUP(MONTH(Modelling[[#This Row],[Date]]),$W$3:$Y$14,3,0)</f>
        <v>5.65</v>
      </c>
      <c r="K194" s="30">
        <f>VLOOKUP(MONTH(Modelling[[#This Row],[Date]]),$W$3:$Y$14,3,0)</f>
        <v>5.65</v>
      </c>
      <c r="L194" s="30">
        <f>AVERAGE(J$3:J194)</f>
        <v>8.2988020833333369</v>
      </c>
      <c r="M194" s="31">
        <f t="shared" si="17"/>
        <v>0.21682759320528136</v>
      </c>
      <c r="N194" s="31">
        <f t="shared" si="18"/>
        <v>0.2168275932052813</v>
      </c>
      <c r="O194" s="31">
        <f t="shared" si="19"/>
        <v>0.38978759958038789</v>
      </c>
      <c r="P194" s="109">
        <f t="shared" si="20"/>
        <v>70.2</v>
      </c>
      <c r="Q194" s="28">
        <f>AVERAGE($P$185:P194)</f>
        <v>70.200000000000017</v>
      </c>
      <c r="R194" s="81">
        <f>AVERAGE($P$3:P194)</f>
        <v>53.933333333333273</v>
      </c>
      <c r="S194">
        <f t="shared" si="22"/>
        <v>9</v>
      </c>
      <c r="T194">
        <f t="shared" si="24"/>
        <v>162</v>
      </c>
    </row>
    <row r="195" spans="2:20">
      <c r="B195" s="27">
        <f t="shared" si="23"/>
        <v>45575</v>
      </c>
      <c r="C195" s="28">
        <f>YEAR(Modelling[[#This Row],[Date]])+IF(MONTH(Modelling[[#This Row],[Date]])&gt;=4,1,0)</f>
        <v>2025</v>
      </c>
      <c r="D195" s="22">
        <f t="shared" si="21"/>
        <v>2024</v>
      </c>
      <c r="E195" s="29">
        <v>44835</v>
      </c>
      <c r="F195" s="22">
        <f>DAY(EOMONTH(Modelling[[#This Row],[Date]],0))</f>
        <v>31</v>
      </c>
      <c r="G195" s="28">
        <f>VLOOKUP(MONTH(Modelling[[#This Row],[Date]]),$W$3:$Z$14,4,0)/1000/Modelling[[#This Row],[Days]]</f>
        <v>365.31112903225807</v>
      </c>
      <c r="H195" s="28">
        <f>SUM($G$186:G195)</f>
        <v>3653.1112903225808</v>
      </c>
      <c r="I195" s="28">
        <f>SUM($G$3:G195)</f>
        <v>82100.964290322532</v>
      </c>
      <c r="J195" s="30">
        <f>VLOOKUP(MONTH(Modelling[[#This Row],[Date]]),$W$3:$Y$14,3,0)</f>
        <v>5.65</v>
      </c>
      <c r="K195" s="30">
        <f>VLOOKUP(MONTH(Modelling[[#This Row],[Date]]),$W$3:$Y$14,3,0)</f>
        <v>5.65</v>
      </c>
      <c r="L195" s="30">
        <f>AVERAGE(J$3:J195)</f>
        <v>8.2850777202072585</v>
      </c>
      <c r="M195" s="31">
        <f t="shared" ref="M195:M258" si="25">G195/P195/24</f>
        <v>0.21682759320528136</v>
      </c>
      <c r="N195" s="31">
        <f t="shared" ref="N195:N258" si="26">H195/(24*S195)/Q195</f>
        <v>0.21682759320528133</v>
      </c>
      <c r="O195" s="31">
        <f t="shared" ref="O195:O258" si="27">I195/(24*T195)/R195</f>
        <v>0.38840900970737963</v>
      </c>
      <c r="P195" s="109">
        <f t="shared" ref="P195:P258" si="28">_xlfn.XLOOKUP(MONTH(B195),W:W,AA:AA)</f>
        <v>70.2</v>
      </c>
      <c r="Q195" s="28">
        <f>AVERAGE($P$185:P195)</f>
        <v>70.200000000000017</v>
      </c>
      <c r="R195" s="81">
        <f>AVERAGE($P$3:P195)</f>
        <v>54.033128834355772</v>
      </c>
      <c r="S195">
        <f t="shared" si="22"/>
        <v>10</v>
      </c>
      <c r="T195">
        <f t="shared" si="24"/>
        <v>163</v>
      </c>
    </row>
    <row r="196" spans="2:20">
      <c r="B196" s="27">
        <f t="shared" si="23"/>
        <v>45576</v>
      </c>
      <c r="C196" s="28">
        <f>YEAR(Modelling[[#This Row],[Date]])+IF(MONTH(Modelling[[#This Row],[Date]])&gt;=4,1,0)</f>
        <v>2025</v>
      </c>
      <c r="D196" s="22">
        <f t="shared" ref="D196:D259" si="29">YEAR(B196)</f>
        <v>2024</v>
      </c>
      <c r="E196" s="29">
        <v>44835</v>
      </c>
      <c r="F196" s="22">
        <f>DAY(EOMONTH(Modelling[[#This Row],[Date]],0))</f>
        <v>31</v>
      </c>
      <c r="G196" s="28">
        <f>VLOOKUP(MONTH(Modelling[[#This Row],[Date]]),$W$3:$Z$14,4,0)/1000/Modelling[[#This Row],[Days]]</f>
        <v>365.31112903225807</v>
      </c>
      <c r="H196" s="28">
        <f>SUM($G$186:G196)</f>
        <v>4018.4224193548389</v>
      </c>
      <c r="I196" s="28">
        <f>SUM($G$3:G196)</f>
        <v>82466.275419354788</v>
      </c>
      <c r="J196" s="30">
        <f>VLOOKUP(MONTH(Modelling[[#This Row],[Date]]),$W$3:$Y$14,3,0)</f>
        <v>5.65</v>
      </c>
      <c r="K196" s="30">
        <f>VLOOKUP(MONTH(Modelling[[#This Row],[Date]]),$W$3:$Y$14,3,0)</f>
        <v>5.65</v>
      </c>
      <c r="L196" s="30">
        <f>AVERAGE(J$3:J196)</f>
        <v>8.271494845360829</v>
      </c>
      <c r="M196" s="31">
        <f t="shared" si="25"/>
        <v>0.21682759320528136</v>
      </c>
      <c r="N196" s="31">
        <f t="shared" si="26"/>
        <v>0.21682759320528133</v>
      </c>
      <c r="O196" s="31">
        <f t="shared" si="27"/>
        <v>0.38705222235061121</v>
      </c>
      <c r="P196" s="109">
        <f t="shared" si="28"/>
        <v>70.2</v>
      </c>
      <c r="Q196" s="28">
        <f>AVERAGE($P$185:P196)</f>
        <v>70.200000000000017</v>
      </c>
      <c r="R196" s="81">
        <f>AVERAGE($P$3:P196)</f>
        <v>54.131707317073115</v>
      </c>
      <c r="S196">
        <f t="shared" ref="S196:S259" si="30">DAY(B196)</f>
        <v>11</v>
      </c>
      <c r="T196">
        <f t="shared" si="24"/>
        <v>164</v>
      </c>
    </row>
    <row r="197" spans="2:20">
      <c r="B197" s="27">
        <f t="shared" ref="B197:B260" si="31">B196+1</f>
        <v>45577</v>
      </c>
      <c r="C197" s="28">
        <f>YEAR(Modelling[[#This Row],[Date]])+IF(MONTH(Modelling[[#This Row],[Date]])&gt;=4,1,0)</f>
        <v>2025</v>
      </c>
      <c r="D197" s="22">
        <f t="shared" si="29"/>
        <v>2024</v>
      </c>
      <c r="E197" s="29">
        <v>44835</v>
      </c>
      <c r="F197" s="22">
        <f>DAY(EOMONTH(Modelling[[#This Row],[Date]],0))</f>
        <v>31</v>
      </c>
      <c r="G197" s="28">
        <f>VLOOKUP(MONTH(Modelling[[#This Row],[Date]]),$W$3:$Z$14,4,0)/1000/Modelling[[#This Row],[Days]]</f>
        <v>365.31112903225807</v>
      </c>
      <c r="H197" s="28">
        <f>SUM($G$186:G197)</f>
        <v>4383.7335483870966</v>
      </c>
      <c r="I197" s="28">
        <f>SUM($G$3:G197)</f>
        <v>82831.586548387044</v>
      </c>
      <c r="J197" s="30">
        <f>VLOOKUP(MONTH(Modelling[[#This Row],[Date]]),$W$3:$Y$14,3,0)</f>
        <v>5.65</v>
      </c>
      <c r="K197" s="30">
        <f>VLOOKUP(MONTH(Modelling[[#This Row],[Date]]),$W$3:$Y$14,3,0)</f>
        <v>5.65</v>
      </c>
      <c r="L197" s="30">
        <f>AVERAGE(J$3:J197)</f>
        <v>8.2580512820512872</v>
      </c>
      <c r="M197" s="31">
        <f t="shared" si="25"/>
        <v>0.21682759320528136</v>
      </c>
      <c r="N197" s="31">
        <f t="shared" si="26"/>
        <v>0.2168275932052813</v>
      </c>
      <c r="O197" s="31">
        <f t="shared" si="27"/>
        <v>0.38571672435490256</v>
      </c>
      <c r="P197" s="109">
        <f t="shared" si="28"/>
        <v>70.2</v>
      </c>
      <c r="Q197" s="28">
        <f>AVERAGE($P$185:P197)</f>
        <v>70.200000000000017</v>
      </c>
      <c r="R197" s="81">
        <f>AVERAGE($P$3:P197)</f>
        <v>54.229090909090857</v>
      </c>
      <c r="S197">
        <f t="shared" si="30"/>
        <v>12</v>
      </c>
      <c r="T197">
        <f t="shared" ref="T197:T260" si="32">T196+1</f>
        <v>165</v>
      </c>
    </row>
    <row r="198" spans="2:20">
      <c r="B198" s="27">
        <f t="shared" si="31"/>
        <v>45578</v>
      </c>
      <c r="C198" s="28">
        <f>YEAR(Modelling[[#This Row],[Date]])+IF(MONTH(Modelling[[#This Row],[Date]])&gt;=4,1,0)</f>
        <v>2025</v>
      </c>
      <c r="D198" s="22">
        <f t="shared" si="29"/>
        <v>2024</v>
      </c>
      <c r="E198" s="29">
        <v>44835</v>
      </c>
      <c r="F198" s="22">
        <f>DAY(EOMONTH(Modelling[[#This Row],[Date]],0))</f>
        <v>31</v>
      </c>
      <c r="G198" s="28">
        <f>VLOOKUP(MONTH(Modelling[[#This Row],[Date]]),$W$3:$Z$14,4,0)/1000/Modelling[[#This Row],[Days]]</f>
        <v>365.31112903225807</v>
      </c>
      <c r="H198" s="28">
        <f>SUM($G$186:G198)</f>
        <v>4749.0446774193542</v>
      </c>
      <c r="I198" s="28">
        <f>SUM($G$3:G198)</f>
        <v>83196.8976774193</v>
      </c>
      <c r="J198" s="30">
        <f>VLOOKUP(MONTH(Modelling[[#This Row],[Date]]),$W$3:$Y$14,3,0)</f>
        <v>5.65</v>
      </c>
      <c r="K198" s="30">
        <f>VLOOKUP(MONTH(Modelling[[#This Row],[Date]]),$W$3:$Y$14,3,0)</f>
        <v>5.65</v>
      </c>
      <c r="L198" s="30">
        <f>AVERAGE(J$3:J198)</f>
        <v>8.2447448979591904</v>
      </c>
      <c r="M198" s="31">
        <f t="shared" si="25"/>
        <v>0.21682759320528136</v>
      </c>
      <c r="N198" s="31">
        <f t="shared" si="26"/>
        <v>0.2168275932052813</v>
      </c>
      <c r="O198" s="31">
        <f t="shared" si="27"/>
        <v>0.3844020185435581</v>
      </c>
      <c r="P198" s="109">
        <f t="shared" si="28"/>
        <v>70.2</v>
      </c>
      <c r="Q198" s="28">
        <f>AVERAGE($P$185:P198)</f>
        <v>70.200000000000017</v>
      </c>
      <c r="R198" s="81">
        <f>AVERAGE($P$3:P198)</f>
        <v>54.325301204819233</v>
      </c>
      <c r="S198">
        <f t="shared" si="30"/>
        <v>13</v>
      </c>
      <c r="T198">
        <f t="shared" si="32"/>
        <v>166</v>
      </c>
    </row>
    <row r="199" spans="2:20">
      <c r="B199" s="27">
        <f t="shared" si="31"/>
        <v>45579</v>
      </c>
      <c r="C199" s="28">
        <f>YEAR(Modelling[[#This Row],[Date]])+IF(MONTH(Modelling[[#This Row],[Date]])&gt;=4,1,0)</f>
        <v>2025</v>
      </c>
      <c r="D199" s="22">
        <f t="shared" si="29"/>
        <v>2024</v>
      </c>
      <c r="E199" s="29">
        <v>44835</v>
      </c>
      <c r="F199" s="22">
        <f>DAY(EOMONTH(Modelling[[#This Row],[Date]],0))</f>
        <v>31</v>
      </c>
      <c r="G199" s="28">
        <f>VLOOKUP(MONTH(Modelling[[#This Row],[Date]]),$W$3:$Z$14,4,0)/1000/Modelling[[#This Row],[Days]]</f>
        <v>365.31112903225807</v>
      </c>
      <c r="H199" s="28">
        <f>SUM($G$186:G199)</f>
        <v>5114.3558064516119</v>
      </c>
      <c r="I199" s="28">
        <f>SUM($G$3:G199)</f>
        <v>83562.208806451556</v>
      </c>
      <c r="J199" s="30">
        <f>VLOOKUP(MONTH(Modelling[[#This Row],[Date]]),$W$3:$Y$14,3,0)</f>
        <v>5.65</v>
      </c>
      <c r="K199" s="30">
        <f>VLOOKUP(MONTH(Modelling[[#This Row],[Date]]),$W$3:$Y$14,3,0)</f>
        <v>5.65</v>
      </c>
      <c r="L199" s="30">
        <f>AVERAGE(J$3:J199)</f>
        <v>8.2315736040609195</v>
      </c>
      <c r="M199" s="31">
        <f t="shared" si="25"/>
        <v>0.21682759320528136</v>
      </c>
      <c r="N199" s="31">
        <f t="shared" si="26"/>
        <v>0.2168275932052813</v>
      </c>
      <c r="O199" s="31">
        <f t="shared" si="27"/>
        <v>0.38310762310125407</v>
      </c>
      <c r="P199" s="109">
        <f t="shared" si="28"/>
        <v>70.2</v>
      </c>
      <c r="Q199" s="28">
        <f>AVERAGE($P$185:P199)</f>
        <v>70.200000000000017</v>
      </c>
      <c r="R199" s="81">
        <f>AVERAGE($P$3:P199)</f>
        <v>54.420359281437086</v>
      </c>
      <c r="S199">
        <f t="shared" si="30"/>
        <v>14</v>
      </c>
      <c r="T199">
        <f t="shared" si="32"/>
        <v>167</v>
      </c>
    </row>
    <row r="200" spans="2:20">
      <c r="B200" s="27">
        <f t="shared" si="31"/>
        <v>45580</v>
      </c>
      <c r="C200" s="28">
        <f>YEAR(Modelling[[#This Row],[Date]])+IF(MONTH(Modelling[[#This Row],[Date]])&gt;=4,1,0)</f>
        <v>2025</v>
      </c>
      <c r="D200" s="22">
        <f t="shared" si="29"/>
        <v>2024</v>
      </c>
      <c r="E200" s="29">
        <v>44835</v>
      </c>
      <c r="F200" s="22">
        <f>DAY(EOMONTH(Modelling[[#This Row],[Date]],0))</f>
        <v>31</v>
      </c>
      <c r="G200" s="28">
        <f>VLOOKUP(MONTH(Modelling[[#This Row],[Date]]),$W$3:$Z$14,4,0)/1000/Modelling[[#This Row],[Days]]</f>
        <v>365.31112903225807</v>
      </c>
      <c r="H200" s="28">
        <f>SUM($G$186:G200)</f>
        <v>5479.6669354838696</v>
      </c>
      <c r="I200" s="28">
        <f>SUM($G$3:G200)</f>
        <v>83927.519935483811</v>
      </c>
      <c r="J200" s="30">
        <f>VLOOKUP(MONTH(Modelling[[#This Row],[Date]]),$W$3:$Y$14,3,0)</f>
        <v>5.65</v>
      </c>
      <c r="K200" s="30">
        <f>VLOOKUP(MONTH(Modelling[[#This Row],[Date]]),$W$3:$Y$14,3,0)</f>
        <v>5.65</v>
      </c>
      <c r="L200" s="30">
        <f>AVERAGE(J$3:J200)</f>
        <v>8.2185353535353602</v>
      </c>
      <c r="M200" s="31">
        <f t="shared" si="25"/>
        <v>0.21682759320528136</v>
      </c>
      <c r="N200" s="31">
        <f t="shared" si="26"/>
        <v>0.21682759320528128</v>
      </c>
      <c r="O200" s="31">
        <f t="shared" si="27"/>
        <v>0.38183307098530611</v>
      </c>
      <c r="P200" s="109">
        <f t="shared" si="28"/>
        <v>70.2</v>
      </c>
      <c r="Q200" s="28">
        <f>AVERAGE($P$185:P200)</f>
        <v>70.200000000000017</v>
      </c>
      <c r="R200" s="81">
        <f>AVERAGE($P$3:P200)</f>
        <v>54.514285714285677</v>
      </c>
      <c r="S200">
        <f t="shared" si="30"/>
        <v>15</v>
      </c>
      <c r="T200">
        <f t="shared" si="32"/>
        <v>168</v>
      </c>
    </row>
    <row r="201" spans="2:20">
      <c r="B201" s="27">
        <f t="shared" si="31"/>
        <v>45581</v>
      </c>
      <c r="C201" s="28">
        <f>YEAR(Modelling[[#This Row],[Date]])+IF(MONTH(Modelling[[#This Row],[Date]])&gt;=4,1,0)</f>
        <v>2025</v>
      </c>
      <c r="D201" s="22">
        <f t="shared" si="29"/>
        <v>2024</v>
      </c>
      <c r="E201" s="29">
        <v>44835</v>
      </c>
      <c r="F201" s="22">
        <f>DAY(EOMONTH(Modelling[[#This Row],[Date]],0))</f>
        <v>31</v>
      </c>
      <c r="G201" s="28">
        <f>VLOOKUP(MONTH(Modelling[[#This Row],[Date]]),$W$3:$Z$14,4,0)/1000/Modelling[[#This Row],[Days]]</f>
        <v>365.31112903225807</v>
      </c>
      <c r="H201" s="28">
        <f>SUM($G$186:G201)</f>
        <v>5844.9780645161272</v>
      </c>
      <c r="I201" s="28">
        <f>SUM($G$3:G201)</f>
        <v>84292.831064516067</v>
      </c>
      <c r="J201" s="30">
        <f>VLOOKUP(MONTH(Modelling[[#This Row],[Date]]),$W$3:$Y$14,3,0)</f>
        <v>5.65</v>
      </c>
      <c r="K201" s="30">
        <f>VLOOKUP(MONTH(Modelling[[#This Row],[Date]]),$W$3:$Y$14,3,0)</f>
        <v>5.65</v>
      </c>
      <c r="L201" s="30">
        <f>AVERAGE(J$3:J201)</f>
        <v>8.2056281407035243</v>
      </c>
      <c r="M201" s="31">
        <f t="shared" si="25"/>
        <v>0.21682759320528136</v>
      </c>
      <c r="N201" s="31">
        <f t="shared" si="26"/>
        <v>0.21682759320528128</v>
      </c>
      <c r="O201" s="31">
        <f t="shared" si="27"/>
        <v>0.38057790936380792</v>
      </c>
      <c r="P201" s="109">
        <f t="shared" si="28"/>
        <v>70.2</v>
      </c>
      <c r="Q201" s="28">
        <f>AVERAGE($P$185:P201)</f>
        <v>70.200000000000017</v>
      </c>
      <c r="R201" s="81">
        <f>AVERAGE($P$3:P201)</f>
        <v>54.607100591715948</v>
      </c>
      <c r="S201">
        <f t="shared" si="30"/>
        <v>16</v>
      </c>
      <c r="T201">
        <f t="shared" si="32"/>
        <v>169</v>
      </c>
    </row>
    <row r="202" spans="2:20">
      <c r="B202" s="27">
        <f t="shared" si="31"/>
        <v>45582</v>
      </c>
      <c r="C202" s="28">
        <f>YEAR(Modelling[[#This Row],[Date]])+IF(MONTH(Modelling[[#This Row],[Date]])&gt;=4,1,0)</f>
        <v>2025</v>
      </c>
      <c r="D202" s="22">
        <f t="shared" si="29"/>
        <v>2024</v>
      </c>
      <c r="E202" s="29">
        <v>44835</v>
      </c>
      <c r="F202" s="22">
        <f>DAY(EOMONTH(Modelling[[#This Row],[Date]],0))</f>
        <v>31</v>
      </c>
      <c r="G202" s="28">
        <f>VLOOKUP(MONTH(Modelling[[#This Row],[Date]]),$W$3:$Z$14,4,0)/1000/Modelling[[#This Row],[Days]]</f>
        <v>365.31112903225807</v>
      </c>
      <c r="H202" s="28">
        <f>SUM($G$186:G202)</f>
        <v>6210.2891935483849</v>
      </c>
      <c r="I202" s="28">
        <f>SUM($G$3:G202)</f>
        <v>84658.142193548323</v>
      </c>
      <c r="J202" s="30">
        <f>VLOOKUP(MONTH(Modelling[[#This Row],[Date]]),$W$3:$Y$14,3,0)</f>
        <v>5.65</v>
      </c>
      <c r="K202" s="30">
        <f>VLOOKUP(MONTH(Modelling[[#This Row],[Date]]),$W$3:$Y$14,3,0)</f>
        <v>5.65</v>
      </c>
      <c r="L202" s="30">
        <f>AVERAGE(J$3:J202)</f>
        <v>8.1928500000000071</v>
      </c>
      <c r="M202" s="31">
        <f t="shared" si="25"/>
        <v>0.21682759320528136</v>
      </c>
      <c r="N202" s="31">
        <f t="shared" si="26"/>
        <v>0.21682759320528125</v>
      </c>
      <c r="O202" s="31">
        <f t="shared" si="27"/>
        <v>0.37934169907921972</v>
      </c>
      <c r="P202" s="109">
        <f t="shared" si="28"/>
        <v>70.2</v>
      </c>
      <c r="Q202" s="28">
        <f>AVERAGE($P$185:P202)</f>
        <v>70.200000000000017</v>
      </c>
      <c r="R202" s="81">
        <f>AVERAGE($P$3:P202)</f>
        <v>54.69882352941174</v>
      </c>
      <c r="S202">
        <f t="shared" si="30"/>
        <v>17</v>
      </c>
      <c r="T202">
        <f t="shared" si="32"/>
        <v>170</v>
      </c>
    </row>
    <row r="203" spans="2:20">
      <c r="B203" s="27">
        <f t="shared" si="31"/>
        <v>45583</v>
      </c>
      <c r="C203" s="28">
        <f>YEAR(Modelling[[#This Row],[Date]])+IF(MONTH(Modelling[[#This Row],[Date]])&gt;=4,1,0)</f>
        <v>2025</v>
      </c>
      <c r="D203" s="22">
        <f t="shared" si="29"/>
        <v>2024</v>
      </c>
      <c r="E203" s="29">
        <v>44835</v>
      </c>
      <c r="F203" s="22">
        <f>DAY(EOMONTH(Modelling[[#This Row],[Date]],0))</f>
        <v>31</v>
      </c>
      <c r="G203" s="28">
        <f>VLOOKUP(MONTH(Modelling[[#This Row],[Date]]),$W$3:$Z$14,4,0)/1000/Modelling[[#This Row],[Days]]</f>
        <v>365.31112903225807</v>
      </c>
      <c r="H203" s="28">
        <f>SUM($G$186:G203)</f>
        <v>6575.6003225806426</v>
      </c>
      <c r="I203" s="28">
        <f>SUM($G$3:G203)</f>
        <v>85023.453322580579</v>
      </c>
      <c r="J203" s="30">
        <f>VLOOKUP(MONTH(Modelling[[#This Row],[Date]]),$W$3:$Y$14,3,0)</f>
        <v>5.65</v>
      </c>
      <c r="K203" s="30">
        <f>VLOOKUP(MONTH(Modelling[[#This Row],[Date]]),$W$3:$Y$14,3,0)</f>
        <v>5.65</v>
      </c>
      <c r="L203" s="30">
        <f>AVERAGE(J$3:J203)</f>
        <v>8.1801990049751332</v>
      </c>
      <c r="M203" s="31">
        <f t="shared" si="25"/>
        <v>0.21682759320528136</v>
      </c>
      <c r="N203" s="31">
        <f t="shared" si="26"/>
        <v>0.21682759320528125</v>
      </c>
      <c r="O203" s="31">
        <f t="shared" si="27"/>
        <v>0.37812401413607205</v>
      </c>
      <c r="P203" s="109">
        <f t="shared" si="28"/>
        <v>70.2</v>
      </c>
      <c r="Q203" s="28">
        <f>AVERAGE($P$185:P203)</f>
        <v>70.200000000000017</v>
      </c>
      <c r="R203" s="81">
        <f>AVERAGE($P$3:P203)</f>
        <v>54.789473684210506</v>
      </c>
      <c r="S203">
        <f t="shared" si="30"/>
        <v>18</v>
      </c>
      <c r="T203">
        <f t="shared" si="32"/>
        <v>171</v>
      </c>
    </row>
    <row r="204" spans="2:20">
      <c r="B204" s="27">
        <f t="shared" si="31"/>
        <v>45584</v>
      </c>
      <c r="C204" s="28">
        <f>YEAR(Modelling[[#This Row],[Date]])+IF(MONTH(Modelling[[#This Row],[Date]])&gt;=4,1,0)</f>
        <v>2025</v>
      </c>
      <c r="D204" s="22">
        <f t="shared" si="29"/>
        <v>2024</v>
      </c>
      <c r="E204" s="29">
        <v>44835</v>
      </c>
      <c r="F204" s="22">
        <f>DAY(EOMONTH(Modelling[[#This Row],[Date]],0))</f>
        <v>31</v>
      </c>
      <c r="G204" s="28">
        <f>VLOOKUP(MONTH(Modelling[[#This Row],[Date]]),$W$3:$Z$14,4,0)/1000/Modelling[[#This Row],[Days]]</f>
        <v>365.31112903225807</v>
      </c>
      <c r="H204" s="28">
        <f>SUM($G$186:G204)</f>
        <v>6940.9114516129002</v>
      </c>
      <c r="I204" s="28">
        <f>SUM($G$3:G204)</f>
        <v>85388.764451612835</v>
      </c>
      <c r="J204" s="30">
        <f>VLOOKUP(MONTH(Modelling[[#This Row],[Date]]),$W$3:$Y$14,3,0)</f>
        <v>5.65</v>
      </c>
      <c r="K204" s="30">
        <f>VLOOKUP(MONTH(Modelling[[#This Row],[Date]]),$W$3:$Y$14,3,0)</f>
        <v>5.65</v>
      </c>
      <c r="L204" s="30">
        <f>AVERAGE(J$3:J204)</f>
        <v>8.1676732673267409</v>
      </c>
      <c r="M204" s="31">
        <f t="shared" si="25"/>
        <v>0.21682759320528136</v>
      </c>
      <c r="N204" s="31">
        <f t="shared" si="26"/>
        <v>0.21682759320528125</v>
      </c>
      <c r="O204" s="31">
        <f t="shared" si="27"/>
        <v>0.37692444121152952</v>
      </c>
      <c r="P204" s="109">
        <f t="shared" si="28"/>
        <v>70.2</v>
      </c>
      <c r="Q204" s="28">
        <f>AVERAGE($P$185:P204)</f>
        <v>70.200000000000017</v>
      </c>
      <c r="R204" s="81">
        <f>AVERAGE($P$3:P204)</f>
        <v>54.879069767441841</v>
      </c>
      <c r="S204">
        <f t="shared" si="30"/>
        <v>19</v>
      </c>
      <c r="T204">
        <f t="shared" si="32"/>
        <v>172</v>
      </c>
    </row>
    <row r="205" spans="2:20">
      <c r="B205" s="27">
        <f t="shared" si="31"/>
        <v>45585</v>
      </c>
      <c r="C205" s="28">
        <f>YEAR(Modelling[[#This Row],[Date]])+IF(MONTH(Modelling[[#This Row],[Date]])&gt;=4,1,0)</f>
        <v>2025</v>
      </c>
      <c r="D205" s="22">
        <f t="shared" si="29"/>
        <v>2024</v>
      </c>
      <c r="E205" s="29">
        <v>44835</v>
      </c>
      <c r="F205" s="22">
        <f>DAY(EOMONTH(Modelling[[#This Row],[Date]],0))</f>
        <v>31</v>
      </c>
      <c r="G205" s="28">
        <f>VLOOKUP(MONTH(Modelling[[#This Row],[Date]]),$W$3:$Z$14,4,0)/1000/Modelling[[#This Row],[Days]]</f>
        <v>365.31112903225807</v>
      </c>
      <c r="H205" s="28">
        <f>SUM($G$186:G205)</f>
        <v>7306.2225806451579</v>
      </c>
      <c r="I205" s="28">
        <f>SUM($G$3:G205)</f>
        <v>85754.075580645091</v>
      </c>
      <c r="J205" s="30">
        <f>VLOOKUP(MONTH(Modelling[[#This Row],[Date]]),$W$3:$Y$14,3,0)</f>
        <v>5.65</v>
      </c>
      <c r="K205" s="30">
        <f>VLOOKUP(MONTH(Modelling[[#This Row],[Date]]),$W$3:$Y$14,3,0)</f>
        <v>5.65</v>
      </c>
      <c r="L205" s="30">
        <f>AVERAGE(J$3:J205)</f>
        <v>8.1552709359605995</v>
      </c>
      <c r="M205" s="31">
        <f t="shared" si="25"/>
        <v>0.21682759320528136</v>
      </c>
      <c r="N205" s="31">
        <f t="shared" si="26"/>
        <v>0.21682759320528122</v>
      </c>
      <c r="O205" s="31">
        <f t="shared" si="27"/>
        <v>0.37574257918763326</v>
      </c>
      <c r="P205" s="109">
        <f t="shared" si="28"/>
        <v>70.2</v>
      </c>
      <c r="Q205" s="28">
        <f>AVERAGE($P$185:P205)</f>
        <v>70.200000000000017</v>
      </c>
      <c r="R205" s="81">
        <f>AVERAGE($P$3:P205)</f>
        <v>54.967630057803454</v>
      </c>
      <c r="S205">
        <f t="shared" si="30"/>
        <v>20</v>
      </c>
      <c r="T205">
        <f t="shared" si="32"/>
        <v>173</v>
      </c>
    </row>
    <row r="206" spans="2:20">
      <c r="B206" s="27">
        <f t="shared" si="31"/>
        <v>45586</v>
      </c>
      <c r="C206" s="28">
        <f>YEAR(Modelling[[#This Row],[Date]])+IF(MONTH(Modelling[[#This Row],[Date]])&gt;=4,1,0)</f>
        <v>2025</v>
      </c>
      <c r="D206" s="22">
        <f t="shared" si="29"/>
        <v>2024</v>
      </c>
      <c r="E206" s="29">
        <v>44835</v>
      </c>
      <c r="F206" s="22">
        <f>DAY(EOMONTH(Modelling[[#This Row],[Date]],0))</f>
        <v>31</v>
      </c>
      <c r="G206" s="28">
        <f>VLOOKUP(MONTH(Modelling[[#This Row],[Date]]),$W$3:$Z$14,4,0)/1000/Modelling[[#This Row],[Days]]</f>
        <v>365.31112903225807</v>
      </c>
      <c r="H206" s="28">
        <f>SUM($G$186:G206)</f>
        <v>7671.5337096774156</v>
      </c>
      <c r="I206" s="28">
        <f>SUM($G$3:G206)</f>
        <v>86119.386709677347</v>
      </c>
      <c r="J206" s="30">
        <f>VLOOKUP(MONTH(Modelling[[#This Row],[Date]]),$W$3:$Y$14,3,0)</f>
        <v>5.65</v>
      </c>
      <c r="K206" s="30">
        <f>VLOOKUP(MONTH(Modelling[[#This Row],[Date]]),$W$3:$Y$14,3,0)</f>
        <v>5.65</v>
      </c>
      <c r="L206" s="30">
        <f>AVERAGE(J$3:J206)</f>
        <v>8.1429901960784399</v>
      </c>
      <c r="M206" s="31">
        <f t="shared" si="25"/>
        <v>0.21682759320528136</v>
      </c>
      <c r="N206" s="31">
        <f t="shared" si="26"/>
        <v>0.21682759320528117</v>
      </c>
      <c r="O206" s="31">
        <f t="shared" si="27"/>
        <v>0.37457803870410977</v>
      </c>
      <c r="P206" s="109">
        <f t="shared" si="28"/>
        <v>70.2</v>
      </c>
      <c r="Q206" s="28">
        <f>AVERAGE($P$185:P206)</f>
        <v>70.200000000000031</v>
      </c>
      <c r="R206" s="81">
        <f>AVERAGE($P$3:P206)</f>
        <v>55.055172413793095</v>
      </c>
      <c r="S206">
        <f t="shared" si="30"/>
        <v>21</v>
      </c>
      <c r="T206">
        <f t="shared" si="32"/>
        <v>174</v>
      </c>
    </row>
    <row r="207" spans="2:20">
      <c r="B207" s="27">
        <f t="shared" si="31"/>
        <v>45587</v>
      </c>
      <c r="C207" s="28">
        <f>YEAR(Modelling[[#This Row],[Date]])+IF(MONTH(Modelling[[#This Row],[Date]])&gt;=4,1,0)</f>
        <v>2025</v>
      </c>
      <c r="D207" s="22">
        <f t="shared" si="29"/>
        <v>2024</v>
      </c>
      <c r="E207" s="29">
        <v>44835</v>
      </c>
      <c r="F207" s="22">
        <f>DAY(EOMONTH(Modelling[[#This Row],[Date]],0))</f>
        <v>31</v>
      </c>
      <c r="G207" s="28">
        <f>VLOOKUP(MONTH(Modelling[[#This Row],[Date]]),$W$3:$Z$14,4,0)/1000/Modelling[[#This Row],[Days]]</f>
        <v>365.31112903225807</v>
      </c>
      <c r="H207" s="28">
        <f>SUM($G$186:G207)</f>
        <v>8036.8448387096732</v>
      </c>
      <c r="I207" s="28">
        <f>SUM($G$3:G207)</f>
        <v>86484.697838709602</v>
      </c>
      <c r="J207" s="30">
        <f>VLOOKUP(MONTH(Modelling[[#This Row],[Date]]),$W$3:$Y$14,3,0)</f>
        <v>5.65</v>
      </c>
      <c r="K207" s="30">
        <f>VLOOKUP(MONTH(Modelling[[#This Row],[Date]]),$W$3:$Y$14,3,0)</f>
        <v>5.65</v>
      </c>
      <c r="L207" s="30">
        <f>AVERAGE(J$3:J207)</f>
        <v>8.1308292682926933</v>
      </c>
      <c r="M207" s="31">
        <f t="shared" si="25"/>
        <v>0.21682759320528136</v>
      </c>
      <c r="N207" s="31">
        <f t="shared" si="26"/>
        <v>0.21682759320528117</v>
      </c>
      <c r="O207" s="31">
        <f t="shared" si="27"/>
        <v>0.37343044173069911</v>
      </c>
      <c r="P207" s="109">
        <f t="shared" si="28"/>
        <v>70.2</v>
      </c>
      <c r="Q207" s="28">
        <f>AVERAGE($P$185:P207)</f>
        <v>70.200000000000031</v>
      </c>
      <c r="R207" s="81">
        <f>AVERAGE($P$3:P207)</f>
        <v>55.141714285714279</v>
      </c>
      <c r="S207">
        <f t="shared" si="30"/>
        <v>22</v>
      </c>
      <c r="T207">
        <f t="shared" si="32"/>
        <v>175</v>
      </c>
    </row>
    <row r="208" spans="2:20">
      <c r="B208" s="27">
        <f t="shared" si="31"/>
        <v>45588</v>
      </c>
      <c r="C208" s="28">
        <f>YEAR(Modelling[[#This Row],[Date]])+IF(MONTH(Modelling[[#This Row],[Date]])&gt;=4,1,0)</f>
        <v>2025</v>
      </c>
      <c r="D208" s="22">
        <f t="shared" si="29"/>
        <v>2024</v>
      </c>
      <c r="E208" s="29">
        <v>44835</v>
      </c>
      <c r="F208" s="22">
        <f>DAY(EOMONTH(Modelling[[#This Row],[Date]],0))</f>
        <v>31</v>
      </c>
      <c r="G208" s="28">
        <f>VLOOKUP(MONTH(Modelling[[#This Row],[Date]]),$W$3:$Z$14,4,0)/1000/Modelling[[#This Row],[Days]]</f>
        <v>365.31112903225807</v>
      </c>
      <c r="H208" s="28">
        <f>SUM($G$186:G208)</f>
        <v>8402.1559677419318</v>
      </c>
      <c r="I208" s="28">
        <f>SUM($G$3:G208)</f>
        <v>86850.008967741858</v>
      </c>
      <c r="J208" s="30">
        <f>VLOOKUP(MONTH(Modelling[[#This Row],[Date]]),$W$3:$Y$14,3,0)</f>
        <v>5.65</v>
      </c>
      <c r="K208" s="30">
        <f>VLOOKUP(MONTH(Modelling[[#This Row],[Date]]),$W$3:$Y$14,3,0)</f>
        <v>5.65</v>
      </c>
      <c r="L208" s="30">
        <f>AVERAGE(J$3:J208)</f>
        <v>8.1187864077670007</v>
      </c>
      <c r="M208" s="31">
        <f t="shared" si="25"/>
        <v>0.21682759320528136</v>
      </c>
      <c r="N208" s="31">
        <f t="shared" si="26"/>
        <v>0.21682759320528119</v>
      </c>
      <c r="O208" s="31">
        <f t="shared" si="27"/>
        <v>0.37229942115801551</v>
      </c>
      <c r="P208" s="109">
        <f t="shared" si="28"/>
        <v>70.2</v>
      </c>
      <c r="Q208" s="28">
        <f>AVERAGE($P$185:P208)</f>
        <v>70.200000000000031</v>
      </c>
      <c r="R208" s="81">
        <f>AVERAGE($P$3:P208)</f>
        <v>55.227272727272727</v>
      </c>
      <c r="S208">
        <f t="shared" si="30"/>
        <v>23</v>
      </c>
      <c r="T208">
        <f t="shared" si="32"/>
        <v>176</v>
      </c>
    </row>
    <row r="209" spans="2:20">
      <c r="B209" s="27">
        <f t="shared" si="31"/>
        <v>45589</v>
      </c>
      <c r="C209" s="28">
        <f>YEAR(Modelling[[#This Row],[Date]])+IF(MONTH(Modelling[[#This Row],[Date]])&gt;=4,1,0)</f>
        <v>2025</v>
      </c>
      <c r="D209" s="22">
        <f t="shared" si="29"/>
        <v>2024</v>
      </c>
      <c r="E209" s="29">
        <v>44835</v>
      </c>
      <c r="F209" s="22">
        <f>DAY(EOMONTH(Modelling[[#This Row],[Date]],0))</f>
        <v>31</v>
      </c>
      <c r="G209" s="28">
        <f>VLOOKUP(MONTH(Modelling[[#This Row],[Date]]),$W$3:$Z$14,4,0)/1000/Modelling[[#This Row],[Days]]</f>
        <v>365.31112903225807</v>
      </c>
      <c r="H209" s="28">
        <f>SUM($G$186:G209)</f>
        <v>8767.4670967741895</v>
      </c>
      <c r="I209" s="28">
        <f>SUM($G$3:G209)</f>
        <v>87215.320096774114</v>
      </c>
      <c r="J209" s="30">
        <f>VLOOKUP(MONTH(Modelling[[#This Row],[Date]]),$W$3:$Y$14,3,0)</f>
        <v>5.65</v>
      </c>
      <c r="K209" s="30">
        <f>VLOOKUP(MONTH(Modelling[[#This Row],[Date]]),$W$3:$Y$14,3,0)</f>
        <v>5.65</v>
      </c>
      <c r="L209" s="30">
        <f>AVERAGE(J$3:J209)</f>
        <v>8.1068599033816522</v>
      </c>
      <c r="M209" s="31">
        <f t="shared" si="25"/>
        <v>0.21682759320528136</v>
      </c>
      <c r="N209" s="31">
        <f t="shared" si="26"/>
        <v>0.21682759320528117</v>
      </c>
      <c r="O209" s="31">
        <f t="shared" si="27"/>
        <v>0.37118462040601019</v>
      </c>
      <c r="P209" s="109">
        <f t="shared" si="28"/>
        <v>70.2</v>
      </c>
      <c r="Q209" s="28">
        <f>AVERAGE($P$185:P209)</f>
        <v>70.200000000000031</v>
      </c>
      <c r="R209" s="81">
        <f>AVERAGE($P$3:P209)</f>
        <v>55.311864406779662</v>
      </c>
      <c r="S209">
        <f t="shared" si="30"/>
        <v>24</v>
      </c>
      <c r="T209">
        <f t="shared" si="32"/>
        <v>177</v>
      </c>
    </row>
    <row r="210" spans="2:20">
      <c r="B210" s="27">
        <f t="shared" si="31"/>
        <v>45590</v>
      </c>
      <c r="C210" s="28">
        <f>YEAR(Modelling[[#This Row],[Date]])+IF(MONTH(Modelling[[#This Row],[Date]])&gt;=4,1,0)</f>
        <v>2025</v>
      </c>
      <c r="D210" s="22">
        <f t="shared" si="29"/>
        <v>2024</v>
      </c>
      <c r="E210" s="29">
        <v>44835</v>
      </c>
      <c r="F210" s="22">
        <f>DAY(EOMONTH(Modelling[[#This Row],[Date]],0))</f>
        <v>31</v>
      </c>
      <c r="G210" s="28">
        <f>VLOOKUP(MONTH(Modelling[[#This Row],[Date]]),$W$3:$Z$14,4,0)/1000/Modelling[[#This Row],[Days]]</f>
        <v>365.31112903225807</v>
      </c>
      <c r="H210" s="28">
        <f>SUM($G$186:G210)</f>
        <v>9132.7782258064472</v>
      </c>
      <c r="I210" s="28">
        <f>SUM($G$3:G210)</f>
        <v>87580.63122580637</v>
      </c>
      <c r="J210" s="30">
        <f>VLOOKUP(MONTH(Modelling[[#This Row],[Date]]),$W$3:$Y$14,3,0)</f>
        <v>5.65</v>
      </c>
      <c r="K210" s="30">
        <f>VLOOKUP(MONTH(Modelling[[#This Row],[Date]]),$W$3:$Y$14,3,0)</f>
        <v>5.65</v>
      </c>
      <c r="L210" s="30">
        <f>AVERAGE(J$3:J210)</f>
        <v>8.0950480769230886</v>
      </c>
      <c r="M210" s="31">
        <f t="shared" si="25"/>
        <v>0.21682759320528136</v>
      </c>
      <c r="N210" s="31">
        <f t="shared" si="26"/>
        <v>0.21682759320528117</v>
      </c>
      <c r="O210" s="31">
        <f t="shared" si="27"/>
        <v>0.37008569304915945</v>
      </c>
      <c r="P210" s="109">
        <f t="shared" si="28"/>
        <v>70.2</v>
      </c>
      <c r="Q210" s="28">
        <f>AVERAGE($P$185:P210)</f>
        <v>70.200000000000031</v>
      </c>
      <c r="R210" s="81">
        <f>AVERAGE($P$3:P210)</f>
        <v>55.395505617977534</v>
      </c>
      <c r="S210">
        <f t="shared" si="30"/>
        <v>25</v>
      </c>
      <c r="T210">
        <f t="shared" si="32"/>
        <v>178</v>
      </c>
    </row>
    <row r="211" spans="2:20">
      <c r="B211" s="27">
        <f t="shared" si="31"/>
        <v>45591</v>
      </c>
      <c r="C211" s="28">
        <f>YEAR(Modelling[[#This Row],[Date]])+IF(MONTH(Modelling[[#This Row],[Date]])&gt;=4,1,0)</f>
        <v>2025</v>
      </c>
      <c r="D211" s="22">
        <f t="shared" si="29"/>
        <v>2024</v>
      </c>
      <c r="E211" s="29">
        <v>44835</v>
      </c>
      <c r="F211" s="22">
        <f>DAY(EOMONTH(Modelling[[#This Row],[Date]],0))</f>
        <v>31</v>
      </c>
      <c r="G211" s="28">
        <f>VLOOKUP(MONTH(Modelling[[#This Row],[Date]]),$W$3:$Z$14,4,0)/1000/Modelling[[#This Row],[Days]]</f>
        <v>365.31112903225807</v>
      </c>
      <c r="H211" s="28">
        <f>SUM($G$186:G211)</f>
        <v>9498.0893548387048</v>
      </c>
      <c r="I211" s="28">
        <f>SUM($G$3:G211)</f>
        <v>87945.942354838626</v>
      </c>
      <c r="J211" s="30">
        <f>VLOOKUP(MONTH(Modelling[[#This Row],[Date]]),$W$3:$Y$14,3,0)</f>
        <v>5.65</v>
      </c>
      <c r="K211" s="30">
        <f>VLOOKUP(MONTH(Modelling[[#This Row],[Date]]),$W$3:$Y$14,3,0)</f>
        <v>5.65</v>
      </c>
      <c r="L211" s="30">
        <f>AVERAGE(J$3:J211)</f>
        <v>8.0833492822966626</v>
      </c>
      <c r="M211" s="31">
        <f t="shared" si="25"/>
        <v>0.21682759320528136</v>
      </c>
      <c r="N211" s="31">
        <f t="shared" si="26"/>
        <v>0.21682759320528117</v>
      </c>
      <c r="O211" s="31">
        <f t="shared" si="27"/>
        <v>0.36900230245754961</v>
      </c>
      <c r="P211" s="109">
        <f t="shared" si="28"/>
        <v>70.2</v>
      </c>
      <c r="Q211" s="28">
        <f>AVERAGE($P$185:P211)</f>
        <v>70.200000000000031</v>
      </c>
      <c r="R211" s="81">
        <f>AVERAGE($P$3:P211)</f>
        <v>55.478212290502803</v>
      </c>
      <c r="S211">
        <f t="shared" si="30"/>
        <v>26</v>
      </c>
      <c r="T211">
        <f t="shared" si="32"/>
        <v>179</v>
      </c>
    </row>
    <row r="212" spans="2:20">
      <c r="B212" s="27">
        <f t="shared" si="31"/>
        <v>45592</v>
      </c>
      <c r="C212" s="28">
        <f>YEAR(Modelling[[#This Row],[Date]])+IF(MONTH(Modelling[[#This Row],[Date]])&gt;=4,1,0)</f>
        <v>2025</v>
      </c>
      <c r="D212" s="22">
        <f t="shared" si="29"/>
        <v>2024</v>
      </c>
      <c r="E212" s="29">
        <v>44835</v>
      </c>
      <c r="F212" s="22">
        <f>DAY(EOMONTH(Modelling[[#This Row],[Date]],0))</f>
        <v>31</v>
      </c>
      <c r="G212" s="28">
        <f>VLOOKUP(MONTH(Modelling[[#This Row],[Date]]),$W$3:$Z$14,4,0)/1000/Modelling[[#This Row],[Days]]</f>
        <v>365.31112903225807</v>
      </c>
      <c r="H212" s="28">
        <f>SUM($G$186:G212)</f>
        <v>9863.4004838709625</v>
      </c>
      <c r="I212" s="28">
        <f>SUM($G$3:G212)</f>
        <v>88311.253483870882</v>
      </c>
      <c r="J212" s="30">
        <f>VLOOKUP(MONTH(Modelling[[#This Row],[Date]]),$W$3:$Y$14,3,0)</f>
        <v>5.65</v>
      </c>
      <c r="K212" s="30">
        <f>VLOOKUP(MONTH(Modelling[[#This Row],[Date]]),$W$3:$Y$14,3,0)</f>
        <v>5.65</v>
      </c>
      <c r="L212" s="30">
        <f>AVERAGE(J$3:J212)</f>
        <v>8.0717619047619156</v>
      </c>
      <c r="M212" s="31">
        <f t="shared" si="25"/>
        <v>0.21682759320528136</v>
      </c>
      <c r="N212" s="31">
        <f t="shared" si="26"/>
        <v>0.21682759320528117</v>
      </c>
      <c r="O212" s="31">
        <f t="shared" si="27"/>
        <v>0.36793412145307897</v>
      </c>
      <c r="P212" s="109">
        <f t="shared" si="28"/>
        <v>70.2</v>
      </c>
      <c r="Q212" s="28">
        <f>AVERAGE($P$185:P212)</f>
        <v>70.200000000000031</v>
      </c>
      <c r="R212" s="81">
        <f>AVERAGE($P$3:P212)</f>
        <v>55.560000000000016</v>
      </c>
      <c r="S212">
        <f t="shared" si="30"/>
        <v>27</v>
      </c>
      <c r="T212">
        <f t="shared" si="32"/>
        <v>180</v>
      </c>
    </row>
    <row r="213" spans="2:20">
      <c r="B213" s="27">
        <f t="shared" si="31"/>
        <v>45593</v>
      </c>
      <c r="C213" s="28">
        <f>YEAR(Modelling[[#This Row],[Date]])+IF(MONTH(Modelling[[#This Row],[Date]])&gt;=4,1,0)</f>
        <v>2025</v>
      </c>
      <c r="D213" s="22">
        <f t="shared" si="29"/>
        <v>2024</v>
      </c>
      <c r="E213" s="29">
        <v>44835</v>
      </c>
      <c r="F213" s="22">
        <f>DAY(EOMONTH(Modelling[[#This Row],[Date]],0))</f>
        <v>31</v>
      </c>
      <c r="G213" s="28">
        <f>VLOOKUP(MONTH(Modelling[[#This Row],[Date]]),$W$3:$Z$14,4,0)/1000/Modelling[[#This Row],[Days]]</f>
        <v>365.31112903225807</v>
      </c>
      <c r="H213" s="28">
        <f>SUM($G$186:G213)</f>
        <v>10228.71161290322</v>
      </c>
      <c r="I213" s="28">
        <f>SUM($G$3:G213)</f>
        <v>88676.564612903137</v>
      </c>
      <c r="J213" s="30">
        <f>VLOOKUP(MONTH(Modelling[[#This Row],[Date]]),$W$3:$Y$14,3,0)</f>
        <v>5.65</v>
      </c>
      <c r="K213" s="30">
        <f>VLOOKUP(MONTH(Modelling[[#This Row],[Date]]),$W$3:$Y$14,3,0)</f>
        <v>5.65</v>
      </c>
      <c r="L213" s="30">
        <f>AVERAGE(J$3:J213)</f>
        <v>8.0602843601895859</v>
      </c>
      <c r="M213" s="31">
        <f t="shared" si="25"/>
        <v>0.21682759320528136</v>
      </c>
      <c r="N213" s="31">
        <f t="shared" si="26"/>
        <v>0.21682759320528117</v>
      </c>
      <c r="O213" s="31">
        <f t="shared" si="27"/>
        <v>0.36688083198003801</v>
      </c>
      <c r="P213" s="109">
        <f t="shared" si="28"/>
        <v>70.2</v>
      </c>
      <c r="Q213" s="28">
        <f>AVERAGE($P$185:P213)</f>
        <v>70.200000000000031</v>
      </c>
      <c r="R213" s="81">
        <f>AVERAGE($P$3:P213)</f>
        <v>55.640883977900572</v>
      </c>
      <c r="S213">
        <f t="shared" si="30"/>
        <v>28</v>
      </c>
      <c r="T213">
        <f t="shared" si="32"/>
        <v>181</v>
      </c>
    </row>
    <row r="214" spans="2:20">
      <c r="B214" s="27">
        <f t="shared" si="31"/>
        <v>45594</v>
      </c>
      <c r="C214" s="28">
        <f>YEAR(Modelling[[#This Row],[Date]])+IF(MONTH(Modelling[[#This Row],[Date]])&gt;=4,1,0)</f>
        <v>2025</v>
      </c>
      <c r="D214" s="22">
        <f t="shared" si="29"/>
        <v>2024</v>
      </c>
      <c r="E214" s="29">
        <v>44835</v>
      </c>
      <c r="F214" s="22">
        <f>DAY(EOMONTH(Modelling[[#This Row],[Date]],0))</f>
        <v>31</v>
      </c>
      <c r="G214" s="28">
        <f>VLOOKUP(MONTH(Modelling[[#This Row],[Date]]),$W$3:$Z$14,4,0)/1000/Modelling[[#This Row],[Days]]</f>
        <v>365.31112903225807</v>
      </c>
      <c r="H214" s="28">
        <f>SUM($G$186:G214)</f>
        <v>10594.022741935478</v>
      </c>
      <c r="I214" s="28">
        <f>SUM($G$3:G214)</f>
        <v>89041.875741935393</v>
      </c>
      <c r="J214" s="30">
        <f>VLOOKUP(MONTH(Modelling[[#This Row],[Date]]),$W$3:$Y$14,3,0)</f>
        <v>5.65</v>
      </c>
      <c r="K214" s="30">
        <f>VLOOKUP(MONTH(Modelling[[#This Row],[Date]]),$W$3:$Y$14,3,0)</f>
        <v>5.65</v>
      </c>
      <c r="L214" s="30">
        <f>AVERAGE(J$3:J214)</f>
        <v>8.0489150943396357</v>
      </c>
      <c r="M214" s="31">
        <f t="shared" si="25"/>
        <v>0.21682759320528136</v>
      </c>
      <c r="N214" s="31">
        <f t="shared" si="26"/>
        <v>0.21682759320528114</v>
      </c>
      <c r="O214" s="31">
        <f t="shared" si="27"/>
        <v>0.36584212478937134</v>
      </c>
      <c r="P214" s="109">
        <f t="shared" si="28"/>
        <v>70.2</v>
      </c>
      <c r="Q214" s="28">
        <f>AVERAGE($P$185:P214)</f>
        <v>70.200000000000031</v>
      </c>
      <c r="R214" s="81">
        <f>AVERAGE($P$3:P214)</f>
        <v>55.720879120879147</v>
      </c>
      <c r="S214">
        <f t="shared" si="30"/>
        <v>29</v>
      </c>
      <c r="T214">
        <f t="shared" si="32"/>
        <v>182</v>
      </c>
    </row>
    <row r="215" spans="2:20">
      <c r="B215" s="27">
        <f t="shared" si="31"/>
        <v>45595</v>
      </c>
      <c r="C215" s="28">
        <f>YEAR(Modelling[[#This Row],[Date]])+IF(MONTH(Modelling[[#This Row],[Date]])&gt;=4,1,0)</f>
        <v>2025</v>
      </c>
      <c r="D215" s="22">
        <f t="shared" si="29"/>
        <v>2024</v>
      </c>
      <c r="E215" s="29">
        <v>44835</v>
      </c>
      <c r="F215" s="22">
        <f>DAY(EOMONTH(Modelling[[#This Row],[Date]],0))</f>
        <v>31</v>
      </c>
      <c r="G215" s="28">
        <f>VLOOKUP(MONTH(Modelling[[#This Row],[Date]]),$W$3:$Z$14,4,0)/1000/Modelling[[#This Row],[Days]]</f>
        <v>365.31112903225807</v>
      </c>
      <c r="H215" s="28">
        <f>SUM($G$186:G215)</f>
        <v>10959.333870967735</v>
      </c>
      <c r="I215" s="28">
        <f>SUM($G$3:G215)</f>
        <v>89407.186870967649</v>
      </c>
      <c r="J215" s="30">
        <f>VLOOKUP(MONTH(Modelling[[#This Row],[Date]]),$W$3:$Y$14,3,0)</f>
        <v>5.65</v>
      </c>
      <c r="K215" s="30">
        <f>VLOOKUP(MONTH(Modelling[[#This Row],[Date]]),$W$3:$Y$14,3,0)</f>
        <v>5.65</v>
      </c>
      <c r="L215" s="30">
        <f>AVERAGE(J$3:J215)</f>
        <v>8.0376525821596374</v>
      </c>
      <c r="M215" s="31">
        <f t="shared" si="25"/>
        <v>0.21682759320528136</v>
      </c>
      <c r="N215" s="31">
        <f t="shared" si="26"/>
        <v>0.21682759320528119</v>
      </c>
      <c r="O215" s="31">
        <f t="shared" si="27"/>
        <v>0.36481769913596407</v>
      </c>
      <c r="P215" s="109">
        <f t="shared" si="28"/>
        <v>70.2</v>
      </c>
      <c r="Q215" s="28">
        <f>AVERAGE($P$185:P215)</f>
        <v>70.200000000000017</v>
      </c>
      <c r="R215" s="81">
        <f>AVERAGE($P$3:P215)</f>
        <v>55.800000000000026</v>
      </c>
      <c r="S215">
        <f t="shared" si="30"/>
        <v>30</v>
      </c>
      <c r="T215">
        <f t="shared" si="32"/>
        <v>183</v>
      </c>
    </row>
    <row r="216" spans="2:20">
      <c r="B216" s="27">
        <f t="shared" si="31"/>
        <v>45596</v>
      </c>
      <c r="C216" s="28">
        <f>YEAR(Modelling[[#This Row],[Date]])+IF(MONTH(Modelling[[#This Row],[Date]])&gt;=4,1,0)</f>
        <v>2025</v>
      </c>
      <c r="D216" s="22">
        <f t="shared" si="29"/>
        <v>2024</v>
      </c>
      <c r="E216" s="29">
        <v>44835</v>
      </c>
      <c r="F216" s="22">
        <f>DAY(EOMONTH(Modelling[[#This Row],[Date]],0))</f>
        <v>31</v>
      </c>
      <c r="G216" s="28">
        <f>VLOOKUP(MONTH(Modelling[[#This Row],[Date]]),$W$3:$Z$14,4,0)/1000/Modelling[[#This Row],[Days]]</f>
        <v>365.31112903225807</v>
      </c>
      <c r="H216" s="28">
        <f>SUM($G$186:G216)</f>
        <v>11324.644999999993</v>
      </c>
      <c r="I216" s="28">
        <f>SUM($G$3:G216)</f>
        <v>89772.497999999905</v>
      </c>
      <c r="J216" s="30">
        <f>VLOOKUP(MONTH(Modelling[[#This Row],[Date]]),$W$3:$Y$14,3,0)</f>
        <v>5.65</v>
      </c>
      <c r="K216" s="30">
        <f>VLOOKUP(MONTH(Modelling[[#This Row],[Date]]),$W$3:$Y$14,3,0)</f>
        <v>5.65</v>
      </c>
      <c r="L216" s="30">
        <f>AVERAGE(J$3:J216)</f>
        <v>8.0264953271028165</v>
      </c>
      <c r="M216" s="31">
        <f t="shared" si="25"/>
        <v>0.21682759320528136</v>
      </c>
      <c r="N216" s="31">
        <f t="shared" si="26"/>
        <v>0.21682759320528119</v>
      </c>
      <c r="O216" s="31">
        <f t="shared" si="27"/>
        <v>0.36380726248832812</v>
      </c>
      <c r="P216" s="109">
        <f t="shared" si="28"/>
        <v>70.2</v>
      </c>
      <c r="Q216" s="28">
        <f>AVERAGE($P$185:P216)</f>
        <v>70.200000000000017</v>
      </c>
      <c r="R216" s="81">
        <f>AVERAGE($P$3:P216)</f>
        <v>55.878260869565246</v>
      </c>
      <c r="S216">
        <f t="shared" si="30"/>
        <v>31</v>
      </c>
      <c r="T216">
        <f t="shared" si="32"/>
        <v>184</v>
      </c>
    </row>
    <row r="217" spans="2:20">
      <c r="B217" s="27">
        <f t="shared" si="31"/>
        <v>45597</v>
      </c>
      <c r="C217" s="28">
        <f>YEAR(Modelling[[#This Row],[Date]])+IF(MONTH(Modelling[[#This Row],[Date]])&gt;=4,1,0)</f>
        <v>2025</v>
      </c>
      <c r="D217" s="22">
        <f t="shared" si="29"/>
        <v>2024</v>
      </c>
      <c r="E217" s="29">
        <v>44866</v>
      </c>
      <c r="F217" s="22">
        <f>DAY(EOMONTH(Modelling[[#This Row],[Date]],0))</f>
        <v>30</v>
      </c>
      <c r="G217" s="28">
        <f>VLOOKUP(MONTH(Modelling[[#This Row],[Date]]),$W$3:$Z$14,4,0)/1000/Modelling[[#This Row],[Days]]</f>
        <v>407.7133</v>
      </c>
      <c r="H217" s="28">
        <f>SUM($G$217:G217)</f>
        <v>407.7133</v>
      </c>
      <c r="I217" s="28">
        <f>SUM($G$3:G217)</f>
        <v>90180.211299999908</v>
      </c>
      <c r="J217" s="30">
        <f>VLOOKUP(MONTH(Modelling[[#This Row],[Date]]),$W$3:$Y$14,3,0)</f>
        <v>5.59</v>
      </c>
      <c r="K217" s="30">
        <f>VLOOKUP(MONTH(Modelling[[#This Row],[Date]]),$W$3:$Y$14,3,0)</f>
        <v>5.59</v>
      </c>
      <c r="L217" s="30">
        <f>AVERAGE(J$3:J217)</f>
        <v>8.015162790697687</v>
      </c>
      <c r="M217" s="31">
        <f t="shared" si="25"/>
        <v>0.24199507359924025</v>
      </c>
      <c r="N217" s="31">
        <f t="shared" si="26"/>
        <v>0.24199507359924027</v>
      </c>
      <c r="O217" s="31">
        <f t="shared" si="27"/>
        <v>0.3629812017394714</v>
      </c>
      <c r="P217" s="109">
        <f t="shared" si="28"/>
        <v>70.2</v>
      </c>
      <c r="Q217" s="28">
        <f>AVERAGE($P$217:P217)</f>
        <v>70.2</v>
      </c>
      <c r="R217" s="81">
        <f>AVERAGE($P$3:P217)</f>
        <v>55.955675675675714</v>
      </c>
      <c r="S217">
        <f t="shared" si="30"/>
        <v>1</v>
      </c>
      <c r="T217">
        <f t="shared" si="32"/>
        <v>185</v>
      </c>
    </row>
    <row r="218" spans="2:20">
      <c r="B218" s="27">
        <f t="shared" si="31"/>
        <v>45598</v>
      </c>
      <c r="C218" s="28">
        <f>YEAR(Modelling[[#This Row],[Date]])+IF(MONTH(Modelling[[#This Row],[Date]])&gt;=4,1,0)</f>
        <v>2025</v>
      </c>
      <c r="D218" s="22">
        <f t="shared" si="29"/>
        <v>2024</v>
      </c>
      <c r="E218" s="29">
        <v>44866</v>
      </c>
      <c r="F218" s="22">
        <f>DAY(EOMONTH(Modelling[[#This Row],[Date]],0))</f>
        <v>30</v>
      </c>
      <c r="G218" s="28">
        <f>VLOOKUP(MONTH(Modelling[[#This Row],[Date]]),$W$3:$Z$14,4,0)/1000/Modelling[[#This Row],[Days]]</f>
        <v>407.7133</v>
      </c>
      <c r="H218" s="28">
        <f>SUM($G$217:G218)</f>
        <v>815.42660000000001</v>
      </c>
      <c r="I218" s="28">
        <f>SUM($G$3:G218)</f>
        <v>90587.924599999911</v>
      </c>
      <c r="J218" s="30">
        <f>VLOOKUP(MONTH(Modelling[[#This Row],[Date]]),$W$3:$Y$14,3,0)</f>
        <v>5.59</v>
      </c>
      <c r="K218" s="30">
        <f>VLOOKUP(MONTH(Modelling[[#This Row],[Date]]),$W$3:$Y$14,3,0)</f>
        <v>5.59</v>
      </c>
      <c r="L218" s="30">
        <f>AVERAGE(J$3:J218)</f>
        <v>8.0039351851851972</v>
      </c>
      <c r="M218" s="31">
        <f t="shared" si="25"/>
        <v>0.24199507359924025</v>
      </c>
      <c r="N218" s="31">
        <f t="shared" si="26"/>
        <v>0.24199507359924027</v>
      </c>
      <c r="O218" s="31">
        <f t="shared" si="27"/>
        <v>0.36216626927013307</v>
      </c>
      <c r="P218" s="109">
        <f t="shared" si="28"/>
        <v>70.2</v>
      </c>
      <c r="Q218" s="28">
        <f>AVERAGE($P$217:P218)</f>
        <v>70.2</v>
      </c>
      <c r="R218" s="81">
        <f>AVERAGE($P$3:P218)</f>
        <v>56.032258064516171</v>
      </c>
      <c r="S218">
        <f t="shared" si="30"/>
        <v>2</v>
      </c>
      <c r="T218">
        <f t="shared" si="32"/>
        <v>186</v>
      </c>
    </row>
    <row r="219" spans="2:20">
      <c r="B219" s="27">
        <f t="shared" si="31"/>
        <v>45599</v>
      </c>
      <c r="C219" s="28">
        <f>YEAR(Modelling[[#This Row],[Date]])+IF(MONTH(Modelling[[#This Row],[Date]])&gt;=4,1,0)</f>
        <v>2025</v>
      </c>
      <c r="D219" s="22">
        <f t="shared" si="29"/>
        <v>2024</v>
      </c>
      <c r="E219" s="29">
        <v>44866</v>
      </c>
      <c r="F219" s="22">
        <f>DAY(EOMONTH(Modelling[[#This Row],[Date]],0))</f>
        <v>30</v>
      </c>
      <c r="G219" s="28">
        <f>VLOOKUP(MONTH(Modelling[[#This Row],[Date]]),$W$3:$Z$14,4,0)/1000/Modelling[[#This Row],[Days]]</f>
        <v>407.7133</v>
      </c>
      <c r="H219" s="28">
        <f>SUM($G$217:G219)</f>
        <v>1223.1399000000001</v>
      </c>
      <c r="I219" s="28">
        <f>SUM($G$3:G219)</f>
        <v>90995.637899999914</v>
      </c>
      <c r="J219" s="30">
        <f>VLOOKUP(MONTH(Modelling[[#This Row],[Date]]),$W$3:$Y$14,3,0)</f>
        <v>5.59</v>
      </c>
      <c r="K219" s="30">
        <f>VLOOKUP(MONTH(Modelling[[#This Row],[Date]]),$W$3:$Y$14,3,0)</f>
        <v>5.59</v>
      </c>
      <c r="L219" s="30">
        <f>AVERAGE(J$3:J219)</f>
        <v>7.9928110599078455</v>
      </c>
      <c r="M219" s="31">
        <f t="shared" si="25"/>
        <v>0.24199507359924025</v>
      </c>
      <c r="N219" s="31">
        <f t="shared" si="26"/>
        <v>0.24199507359924027</v>
      </c>
      <c r="O219" s="31">
        <f t="shared" si="27"/>
        <v>0.36136224171289083</v>
      </c>
      <c r="P219" s="109">
        <f t="shared" si="28"/>
        <v>70.2</v>
      </c>
      <c r="Q219" s="28">
        <f>AVERAGE($P$217:P219)</f>
        <v>70.2</v>
      </c>
      <c r="R219" s="81">
        <f>AVERAGE($P$3:P219)</f>
        <v>56.108021390374375</v>
      </c>
      <c r="S219">
        <f t="shared" si="30"/>
        <v>3</v>
      </c>
      <c r="T219">
        <f t="shared" si="32"/>
        <v>187</v>
      </c>
    </row>
    <row r="220" spans="2:20">
      <c r="B220" s="27">
        <f t="shared" si="31"/>
        <v>45600</v>
      </c>
      <c r="C220" s="28">
        <f>YEAR(Modelling[[#This Row],[Date]])+IF(MONTH(Modelling[[#This Row],[Date]])&gt;=4,1,0)</f>
        <v>2025</v>
      </c>
      <c r="D220" s="22">
        <f t="shared" si="29"/>
        <v>2024</v>
      </c>
      <c r="E220" s="29">
        <v>44866</v>
      </c>
      <c r="F220" s="22">
        <f>DAY(EOMONTH(Modelling[[#This Row],[Date]],0))</f>
        <v>30</v>
      </c>
      <c r="G220" s="28">
        <f>VLOOKUP(MONTH(Modelling[[#This Row],[Date]]),$W$3:$Z$14,4,0)/1000/Modelling[[#This Row],[Days]]</f>
        <v>407.7133</v>
      </c>
      <c r="H220" s="28">
        <f>SUM($G$217:G220)</f>
        <v>1630.8532</v>
      </c>
      <c r="I220" s="28">
        <f>SUM($G$3:G220)</f>
        <v>91403.351199999917</v>
      </c>
      <c r="J220" s="30">
        <f>VLOOKUP(MONTH(Modelling[[#This Row],[Date]]),$W$3:$Y$14,3,0)</f>
        <v>5.59</v>
      </c>
      <c r="K220" s="30">
        <f>VLOOKUP(MONTH(Modelling[[#This Row],[Date]]),$W$3:$Y$14,3,0)</f>
        <v>5.59</v>
      </c>
      <c r="L220" s="30">
        <f>AVERAGE(J$3:J220)</f>
        <v>7.9817889908256996</v>
      </c>
      <c r="M220" s="31">
        <f t="shared" si="25"/>
        <v>0.24199507359924025</v>
      </c>
      <c r="N220" s="31">
        <f t="shared" si="26"/>
        <v>0.24199507359924027</v>
      </c>
      <c r="O220" s="31">
        <f t="shared" si="27"/>
        <v>0.3605689016385159</v>
      </c>
      <c r="P220" s="109">
        <f t="shared" si="28"/>
        <v>70.2</v>
      </c>
      <c r="Q220" s="28">
        <f>AVERAGE($P$217:P220)</f>
        <v>70.2</v>
      </c>
      <c r="R220" s="81">
        <f>AVERAGE($P$3:P220)</f>
        <v>56.182978723404304</v>
      </c>
      <c r="S220">
        <f t="shared" si="30"/>
        <v>4</v>
      </c>
      <c r="T220">
        <f t="shared" si="32"/>
        <v>188</v>
      </c>
    </row>
    <row r="221" spans="2:20">
      <c r="B221" s="27">
        <f t="shared" si="31"/>
        <v>45601</v>
      </c>
      <c r="C221" s="28">
        <f>YEAR(Modelling[[#This Row],[Date]])+IF(MONTH(Modelling[[#This Row],[Date]])&gt;=4,1,0)</f>
        <v>2025</v>
      </c>
      <c r="D221" s="22">
        <f t="shared" si="29"/>
        <v>2024</v>
      </c>
      <c r="E221" s="29">
        <v>44866</v>
      </c>
      <c r="F221" s="22">
        <f>DAY(EOMONTH(Modelling[[#This Row],[Date]],0))</f>
        <v>30</v>
      </c>
      <c r="G221" s="28">
        <f>VLOOKUP(MONTH(Modelling[[#This Row],[Date]]),$W$3:$Z$14,4,0)/1000/Modelling[[#This Row],[Days]]</f>
        <v>407.7133</v>
      </c>
      <c r="H221" s="28">
        <f>SUM($G$217:G221)</f>
        <v>2038.5664999999999</v>
      </c>
      <c r="I221" s="28">
        <f>SUM($G$3:G221)</f>
        <v>91811.06449999992</v>
      </c>
      <c r="J221" s="30">
        <f>VLOOKUP(MONTH(Modelling[[#This Row],[Date]]),$W$3:$Y$14,3,0)</f>
        <v>5.59</v>
      </c>
      <c r="K221" s="30">
        <f>VLOOKUP(MONTH(Modelling[[#This Row],[Date]]),$W$3:$Y$14,3,0)</f>
        <v>5.59</v>
      </c>
      <c r="L221" s="30">
        <f>AVERAGE(J$3:J221)</f>
        <v>7.9708675799086866</v>
      </c>
      <c r="M221" s="31">
        <f t="shared" si="25"/>
        <v>0.24199507359924025</v>
      </c>
      <c r="N221" s="31">
        <f t="shared" si="26"/>
        <v>0.24199507359924022</v>
      </c>
      <c r="O221" s="31">
        <f t="shared" si="27"/>
        <v>0.35978603735994269</v>
      </c>
      <c r="P221" s="109">
        <f t="shared" si="28"/>
        <v>70.2</v>
      </c>
      <c r="Q221" s="28">
        <f>AVERAGE($P$217:P221)</f>
        <v>70.2</v>
      </c>
      <c r="R221" s="81">
        <f>AVERAGE($P$3:P221)</f>
        <v>56.25714285714291</v>
      </c>
      <c r="S221">
        <f t="shared" si="30"/>
        <v>5</v>
      </c>
      <c r="T221">
        <f t="shared" si="32"/>
        <v>189</v>
      </c>
    </row>
    <row r="222" spans="2:20">
      <c r="B222" s="27">
        <f t="shared" si="31"/>
        <v>45602</v>
      </c>
      <c r="C222" s="28">
        <f>YEAR(Modelling[[#This Row],[Date]])+IF(MONTH(Modelling[[#This Row],[Date]])&gt;=4,1,0)</f>
        <v>2025</v>
      </c>
      <c r="D222" s="22">
        <f t="shared" si="29"/>
        <v>2024</v>
      </c>
      <c r="E222" s="29">
        <v>44866</v>
      </c>
      <c r="F222" s="22">
        <f>DAY(EOMONTH(Modelling[[#This Row],[Date]],0))</f>
        <v>30</v>
      </c>
      <c r="G222" s="28">
        <f>VLOOKUP(MONTH(Modelling[[#This Row],[Date]]),$W$3:$Z$14,4,0)/1000/Modelling[[#This Row],[Days]]</f>
        <v>407.7133</v>
      </c>
      <c r="H222" s="28">
        <f>SUM($G$217:G222)</f>
        <v>2446.2797999999998</v>
      </c>
      <c r="I222" s="28">
        <f>SUM($G$3:G222)</f>
        <v>92218.777799999923</v>
      </c>
      <c r="J222" s="30">
        <f>VLOOKUP(MONTH(Modelling[[#This Row],[Date]]),$W$3:$Y$14,3,0)</f>
        <v>5.59</v>
      </c>
      <c r="K222" s="30">
        <f>VLOOKUP(MONTH(Modelling[[#This Row],[Date]]),$W$3:$Y$14,3,0)</f>
        <v>5.59</v>
      </c>
      <c r="L222" s="30">
        <f>AVERAGE(J$3:J222)</f>
        <v>7.9600454545454653</v>
      </c>
      <c r="M222" s="31">
        <f t="shared" si="25"/>
        <v>0.24199507359924025</v>
      </c>
      <c r="N222" s="31">
        <f t="shared" si="26"/>
        <v>0.24199507359924022</v>
      </c>
      <c r="O222" s="31">
        <f t="shared" si="27"/>
        <v>0.35901344274395425</v>
      </c>
      <c r="P222" s="109">
        <f t="shared" si="28"/>
        <v>70.2</v>
      </c>
      <c r="Q222" s="28">
        <f>AVERAGE($P$217:P222)</f>
        <v>70.2</v>
      </c>
      <c r="R222" s="81">
        <f>AVERAGE($P$3:P222)</f>
        <v>56.330526315789527</v>
      </c>
      <c r="S222">
        <f t="shared" si="30"/>
        <v>6</v>
      </c>
      <c r="T222">
        <f t="shared" si="32"/>
        <v>190</v>
      </c>
    </row>
    <row r="223" spans="2:20">
      <c r="B223" s="27">
        <f t="shared" si="31"/>
        <v>45603</v>
      </c>
      <c r="C223" s="28">
        <f>YEAR(Modelling[[#This Row],[Date]])+IF(MONTH(Modelling[[#This Row],[Date]])&gt;=4,1,0)</f>
        <v>2025</v>
      </c>
      <c r="D223" s="22">
        <f t="shared" si="29"/>
        <v>2024</v>
      </c>
      <c r="E223" s="29">
        <v>44866</v>
      </c>
      <c r="F223" s="22">
        <f>DAY(EOMONTH(Modelling[[#This Row],[Date]],0))</f>
        <v>30</v>
      </c>
      <c r="G223" s="28">
        <f>VLOOKUP(MONTH(Modelling[[#This Row],[Date]]),$W$3:$Z$14,4,0)/1000/Modelling[[#This Row],[Days]]</f>
        <v>407.7133</v>
      </c>
      <c r="H223" s="28">
        <f>SUM($G$217:G223)</f>
        <v>2853.9930999999997</v>
      </c>
      <c r="I223" s="28">
        <f>SUM($G$3:G223)</f>
        <v>92626.491099999927</v>
      </c>
      <c r="J223" s="30">
        <f>VLOOKUP(MONTH(Modelling[[#This Row],[Date]]),$W$3:$Y$14,3,0)</f>
        <v>5.59</v>
      </c>
      <c r="K223" s="30">
        <f>VLOOKUP(MONTH(Modelling[[#This Row],[Date]]),$W$3:$Y$14,3,0)</f>
        <v>5.59</v>
      </c>
      <c r="L223" s="30">
        <f>AVERAGE(J$3:J223)</f>
        <v>7.9493212669683357</v>
      </c>
      <c r="M223" s="31">
        <f t="shared" si="25"/>
        <v>0.24199507359924025</v>
      </c>
      <c r="N223" s="31">
        <f t="shared" si="26"/>
        <v>0.24199507359924022</v>
      </c>
      <c r="O223" s="31">
        <f t="shared" si="27"/>
        <v>0.35825091703022921</v>
      </c>
      <c r="P223" s="109">
        <f t="shared" si="28"/>
        <v>70.2</v>
      </c>
      <c r="Q223" s="28">
        <f>AVERAGE($P$217:P223)</f>
        <v>70.2</v>
      </c>
      <c r="R223" s="81">
        <f>AVERAGE($P$3:P223)</f>
        <v>56.403141361256601</v>
      </c>
      <c r="S223">
        <f t="shared" si="30"/>
        <v>7</v>
      </c>
      <c r="T223">
        <f t="shared" si="32"/>
        <v>191</v>
      </c>
    </row>
    <row r="224" spans="2:20">
      <c r="B224" s="27">
        <f t="shared" si="31"/>
        <v>45604</v>
      </c>
      <c r="C224" s="28">
        <f>YEAR(Modelling[[#This Row],[Date]])+IF(MONTH(Modelling[[#This Row],[Date]])&gt;=4,1,0)</f>
        <v>2025</v>
      </c>
      <c r="D224" s="22">
        <f t="shared" si="29"/>
        <v>2024</v>
      </c>
      <c r="E224" s="29">
        <v>44866</v>
      </c>
      <c r="F224" s="22">
        <f>DAY(EOMONTH(Modelling[[#This Row],[Date]],0))</f>
        <v>30</v>
      </c>
      <c r="G224" s="28">
        <f>VLOOKUP(MONTH(Modelling[[#This Row],[Date]]),$W$3:$Z$14,4,0)/1000/Modelling[[#This Row],[Days]]</f>
        <v>407.7133</v>
      </c>
      <c r="H224" s="28">
        <f>SUM($G$217:G224)</f>
        <v>3261.7063999999996</v>
      </c>
      <c r="I224" s="28">
        <f>SUM($G$3:G224)</f>
        <v>93034.20439999993</v>
      </c>
      <c r="J224" s="30">
        <f>VLOOKUP(MONTH(Modelling[[#This Row],[Date]]),$W$3:$Y$14,3,0)</f>
        <v>5.59</v>
      </c>
      <c r="K224" s="30">
        <f>VLOOKUP(MONTH(Modelling[[#This Row],[Date]]),$W$3:$Y$14,3,0)</f>
        <v>5.59</v>
      </c>
      <c r="L224" s="30">
        <f>AVERAGE(J$3:J224)</f>
        <v>7.9386936936937031</v>
      </c>
      <c r="M224" s="31">
        <f t="shared" si="25"/>
        <v>0.24199507359924025</v>
      </c>
      <c r="N224" s="31">
        <f t="shared" si="26"/>
        <v>0.24199507359924022</v>
      </c>
      <c r="O224" s="31">
        <f t="shared" si="27"/>
        <v>0.35749826465741907</v>
      </c>
      <c r="P224" s="109">
        <f t="shared" si="28"/>
        <v>70.2</v>
      </c>
      <c r="Q224" s="28">
        <f>AVERAGE($P$217:P224)</f>
        <v>70.2</v>
      </c>
      <c r="R224" s="81">
        <f>AVERAGE($P$3:P224)</f>
        <v>56.475000000000058</v>
      </c>
      <c r="S224">
        <f t="shared" si="30"/>
        <v>8</v>
      </c>
      <c r="T224">
        <f t="shared" si="32"/>
        <v>192</v>
      </c>
    </row>
    <row r="225" spans="2:20">
      <c r="B225" s="27">
        <f t="shared" si="31"/>
        <v>45605</v>
      </c>
      <c r="C225" s="28">
        <f>YEAR(Modelling[[#This Row],[Date]])+IF(MONTH(Modelling[[#This Row],[Date]])&gt;=4,1,0)</f>
        <v>2025</v>
      </c>
      <c r="D225" s="22">
        <f t="shared" si="29"/>
        <v>2024</v>
      </c>
      <c r="E225" s="29">
        <v>44866</v>
      </c>
      <c r="F225" s="22">
        <f>DAY(EOMONTH(Modelling[[#This Row],[Date]],0))</f>
        <v>30</v>
      </c>
      <c r="G225" s="28">
        <f>VLOOKUP(MONTH(Modelling[[#This Row],[Date]]),$W$3:$Z$14,4,0)/1000/Modelling[[#This Row],[Days]]</f>
        <v>407.7133</v>
      </c>
      <c r="H225" s="28">
        <f>SUM($G$217:G225)</f>
        <v>3669.4196999999995</v>
      </c>
      <c r="I225" s="28">
        <f>SUM($G$3:G225)</f>
        <v>93441.917699999933</v>
      </c>
      <c r="J225" s="30">
        <f>VLOOKUP(MONTH(Modelling[[#This Row],[Date]]),$W$3:$Y$14,3,0)</f>
        <v>5.59</v>
      </c>
      <c r="K225" s="30">
        <f>VLOOKUP(MONTH(Modelling[[#This Row],[Date]]),$W$3:$Y$14,3,0)</f>
        <v>5.59</v>
      </c>
      <c r="L225" s="30">
        <f>AVERAGE(J$3:J225)</f>
        <v>7.9281614349775875</v>
      </c>
      <c r="M225" s="31">
        <f t="shared" si="25"/>
        <v>0.24199507359924025</v>
      </c>
      <c r="N225" s="31">
        <f t="shared" si="26"/>
        <v>0.24199507359924022</v>
      </c>
      <c r="O225" s="31">
        <f t="shared" si="27"/>
        <v>0.35675529509593645</v>
      </c>
      <c r="P225" s="109">
        <f t="shared" si="28"/>
        <v>70.2</v>
      </c>
      <c r="Q225" s="28">
        <f>AVERAGE($P$217:P225)</f>
        <v>70.2</v>
      </c>
      <c r="R225" s="81">
        <f>AVERAGE($P$3:P225)</f>
        <v>56.546113989637369</v>
      </c>
      <c r="S225">
        <f t="shared" si="30"/>
        <v>9</v>
      </c>
      <c r="T225">
        <f t="shared" si="32"/>
        <v>193</v>
      </c>
    </row>
    <row r="226" spans="2:20">
      <c r="B226" s="27">
        <f t="shared" si="31"/>
        <v>45606</v>
      </c>
      <c r="C226" s="28">
        <f>YEAR(Modelling[[#This Row],[Date]])+IF(MONTH(Modelling[[#This Row],[Date]])&gt;=4,1,0)</f>
        <v>2025</v>
      </c>
      <c r="D226" s="22">
        <f t="shared" si="29"/>
        <v>2024</v>
      </c>
      <c r="E226" s="29">
        <v>44866</v>
      </c>
      <c r="F226" s="22">
        <f>DAY(EOMONTH(Modelling[[#This Row],[Date]],0))</f>
        <v>30</v>
      </c>
      <c r="G226" s="28">
        <f>VLOOKUP(MONTH(Modelling[[#This Row],[Date]]),$W$3:$Z$14,4,0)/1000/Modelling[[#This Row],[Days]]</f>
        <v>407.7133</v>
      </c>
      <c r="H226" s="28">
        <f>SUM($G$217:G226)</f>
        <v>4077.1329999999994</v>
      </c>
      <c r="I226" s="28">
        <f>SUM($G$3:G226)</f>
        <v>93849.630999999936</v>
      </c>
      <c r="J226" s="30">
        <f>VLOOKUP(MONTH(Modelling[[#This Row],[Date]]),$W$3:$Y$14,3,0)</f>
        <v>5.59</v>
      </c>
      <c r="K226" s="30">
        <f>VLOOKUP(MONTH(Modelling[[#This Row],[Date]]),$W$3:$Y$14,3,0)</f>
        <v>5.59</v>
      </c>
      <c r="L226" s="30">
        <f>AVERAGE(J$3:J226)</f>
        <v>7.917723214285723</v>
      </c>
      <c r="M226" s="31">
        <f t="shared" si="25"/>
        <v>0.24199507359924025</v>
      </c>
      <c r="N226" s="31">
        <f t="shared" si="26"/>
        <v>0.24199507359924016</v>
      </c>
      <c r="O226" s="31">
        <f t="shared" si="27"/>
        <v>0.35602182268715715</v>
      </c>
      <c r="P226" s="109">
        <f t="shared" si="28"/>
        <v>70.2</v>
      </c>
      <c r="Q226" s="28">
        <f>AVERAGE($P$217:P226)</f>
        <v>70.200000000000017</v>
      </c>
      <c r="R226" s="81">
        <f>AVERAGE($P$3:P226)</f>
        <v>56.61649484536089</v>
      </c>
      <c r="S226">
        <f t="shared" si="30"/>
        <v>10</v>
      </c>
      <c r="T226">
        <f t="shared" si="32"/>
        <v>194</v>
      </c>
    </row>
    <row r="227" spans="2:20">
      <c r="B227" s="27">
        <f t="shared" si="31"/>
        <v>45607</v>
      </c>
      <c r="C227" s="28">
        <f>YEAR(Modelling[[#This Row],[Date]])+IF(MONTH(Modelling[[#This Row],[Date]])&gt;=4,1,0)</f>
        <v>2025</v>
      </c>
      <c r="D227" s="22">
        <f t="shared" si="29"/>
        <v>2024</v>
      </c>
      <c r="E227" s="29">
        <v>44866</v>
      </c>
      <c r="F227" s="22">
        <f>DAY(EOMONTH(Modelling[[#This Row],[Date]],0))</f>
        <v>30</v>
      </c>
      <c r="G227" s="28">
        <f>VLOOKUP(MONTH(Modelling[[#This Row],[Date]]),$W$3:$Z$14,4,0)/1000/Modelling[[#This Row],[Days]]</f>
        <v>407.7133</v>
      </c>
      <c r="H227" s="28">
        <f>SUM($G$217:G227)</f>
        <v>4484.8462999999992</v>
      </c>
      <c r="I227" s="28">
        <f>SUM($G$3:G227)</f>
        <v>94257.344299999939</v>
      </c>
      <c r="J227" s="30">
        <f>VLOOKUP(MONTH(Modelling[[#This Row],[Date]]),$W$3:$Y$14,3,0)</f>
        <v>5.59</v>
      </c>
      <c r="K227" s="30">
        <f>VLOOKUP(MONTH(Modelling[[#This Row],[Date]]),$W$3:$Y$14,3,0)</f>
        <v>5.59</v>
      </c>
      <c r="L227" s="30">
        <f>AVERAGE(J$3:J227)</f>
        <v>7.9073777777777865</v>
      </c>
      <c r="M227" s="31">
        <f t="shared" si="25"/>
        <v>0.24199507359924025</v>
      </c>
      <c r="N227" s="31">
        <f t="shared" si="26"/>
        <v>0.24199507359924016</v>
      </c>
      <c r="O227" s="31">
        <f t="shared" si="27"/>
        <v>0.35529766648874833</v>
      </c>
      <c r="P227" s="109">
        <f t="shared" si="28"/>
        <v>70.2</v>
      </c>
      <c r="Q227" s="28">
        <f>AVERAGE($P$217:P227)</f>
        <v>70.200000000000017</v>
      </c>
      <c r="R227" s="81">
        <f>AVERAGE($P$3:P227)</f>
        <v>56.686153846153914</v>
      </c>
      <c r="S227">
        <f t="shared" si="30"/>
        <v>11</v>
      </c>
      <c r="T227">
        <f t="shared" si="32"/>
        <v>195</v>
      </c>
    </row>
    <row r="228" spans="2:20">
      <c r="B228" s="27">
        <f t="shared" si="31"/>
        <v>45608</v>
      </c>
      <c r="C228" s="28">
        <f>YEAR(Modelling[[#This Row],[Date]])+IF(MONTH(Modelling[[#This Row],[Date]])&gt;=4,1,0)</f>
        <v>2025</v>
      </c>
      <c r="D228" s="22">
        <f t="shared" si="29"/>
        <v>2024</v>
      </c>
      <c r="E228" s="29">
        <v>44866</v>
      </c>
      <c r="F228" s="22">
        <f>DAY(EOMONTH(Modelling[[#This Row],[Date]],0))</f>
        <v>30</v>
      </c>
      <c r="G228" s="28">
        <f>VLOOKUP(MONTH(Modelling[[#This Row],[Date]]),$W$3:$Z$14,4,0)/1000/Modelling[[#This Row],[Days]]</f>
        <v>407.7133</v>
      </c>
      <c r="H228" s="28">
        <f>SUM($G$217:G228)</f>
        <v>4892.5595999999996</v>
      </c>
      <c r="I228" s="28">
        <f>SUM($G$3:G228)</f>
        <v>94665.057599999942</v>
      </c>
      <c r="J228" s="30">
        <f>VLOOKUP(MONTH(Modelling[[#This Row],[Date]]),$W$3:$Y$14,3,0)</f>
        <v>5.59</v>
      </c>
      <c r="K228" s="30">
        <f>VLOOKUP(MONTH(Modelling[[#This Row],[Date]]),$W$3:$Y$14,3,0)</f>
        <v>5.59</v>
      </c>
      <c r="L228" s="30">
        <f>AVERAGE(J$3:J228)</f>
        <v>7.8971238938053174</v>
      </c>
      <c r="M228" s="31">
        <f t="shared" si="25"/>
        <v>0.24199507359924025</v>
      </c>
      <c r="N228" s="31">
        <f t="shared" si="26"/>
        <v>0.24199507359924016</v>
      </c>
      <c r="O228" s="31">
        <f t="shared" si="27"/>
        <v>0.35458265012585327</v>
      </c>
      <c r="P228" s="109">
        <f t="shared" si="28"/>
        <v>70.2</v>
      </c>
      <c r="Q228" s="28">
        <f>AVERAGE($P$217:P228)</f>
        <v>70.200000000000017</v>
      </c>
      <c r="R228" s="81">
        <f>AVERAGE($P$3:P228)</f>
        <v>56.755102040816404</v>
      </c>
      <c r="S228">
        <f t="shared" si="30"/>
        <v>12</v>
      </c>
      <c r="T228">
        <f t="shared" si="32"/>
        <v>196</v>
      </c>
    </row>
    <row r="229" spans="2:20">
      <c r="B229" s="27">
        <f t="shared" si="31"/>
        <v>45609</v>
      </c>
      <c r="C229" s="28">
        <f>YEAR(Modelling[[#This Row],[Date]])+IF(MONTH(Modelling[[#This Row],[Date]])&gt;=4,1,0)</f>
        <v>2025</v>
      </c>
      <c r="D229" s="22">
        <f t="shared" si="29"/>
        <v>2024</v>
      </c>
      <c r="E229" s="29">
        <v>44866</v>
      </c>
      <c r="F229" s="22">
        <f>DAY(EOMONTH(Modelling[[#This Row],[Date]],0))</f>
        <v>30</v>
      </c>
      <c r="G229" s="28">
        <f>VLOOKUP(MONTH(Modelling[[#This Row],[Date]]),$W$3:$Z$14,4,0)/1000/Modelling[[#This Row],[Days]]</f>
        <v>407.7133</v>
      </c>
      <c r="H229" s="28">
        <f>SUM($G$217:G229)</f>
        <v>5300.2728999999999</v>
      </c>
      <c r="I229" s="28">
        <f>SUM($G$3:G229)</f>
        <v>95072.770899999945</v>
      </c>
      <c r="J229" s="30">
        <f>VLOOKUP(MONTH(Modelling[[#This Row],[Date]]),$W$3:$Y$14,3,0)</f>
        <v>5.59</v>
      </c>
      <c r="K229" s="30">
        <f>VLOOKUP(MONTH(Modelling[[#This Row],[Date]]),$W$3:$Y$14,3,0)</f>
        <v>5.59</v>
      </c>
      <c r="L229" s="30">
        <f>AVERAGE(J$3:J229)</f>
        <v>7.886960352422915</v>
      </c>
      <c r="M229" s="31">
        <f t="shared" si="25"/>
        <v>0.24199507359924025</v>
      </c>
      <c r="N229" s="31">
        <f t="shared" si="26"/>
        <v>0.24199507359924022</v>
      </c>
      <c r="O229" s="31">
        <f t="shared" si="27"/>
        <v>0.35387660164787649</v>
      </c>
      <c r="P229" s="109">
        <f t="shared" si="28"/>
        <v>70.2</v>
      </c>
      <c r="Q229" s="28">
        <f>AVERAGE($P$217:P229)</f>
        <v>70.200000000000017</v>
      </c>
      <c r="R229" s="81">
        <f>AVERAGE($P$3:P229)</f>
        <v>56.823350253807185</v>
      </c>
      <c r="S229">
        <f t="shared" si="30"/>
        <v>13</v>
      </c>
      <c r="T229">
        <f t="shared" si="32"/>
        <v>197</v>
      </c>
    </row>
    <row r="230" spans="2:20">
      <c r="B230" s="27">
        <f t="shared" si="31"/>
        <v>45610</v>
      </c>
      <c r="C230" s="28">
        <f>YEAR(Modelling[[#This Row],[Date]])+IF(MONTH(Modelling[[#This Row],[Date]])&gt;=4,1,0)</f>
        <v>2025</v>
      </c>
      <c r="D230" s="22">
        <f t="shared" si="29"/>
        <v>2024</v>
      </c>
      <c r="E230" s="29">
        <v>44866</v>
      </c>
      <c r="F230" s="22">
        <f>DAY(EOMONTH(Modelling[[#This Row],[Date]],0))</f>
        <v>30</v>
      </c>
      <c r="G230" s="28">
        <f>VLOOKUP(MONTH(Modelling[[#This Row],[Date]]),$W$3:$Z$14,4,0)/1000/Modelling[[#This Row],[Days]]</f>
        <v>407.7133</v>
      </c>
      <c r="H230" s="28">
        <f>SUM($G$217:G230)</f>
        <v>5707.9862000000003</v>
      </c>
      <c r="I230" s="28">
        <f>SUM($G$3:G230)</f>
        <v>95480.484199999948</v>
      </c>
      <c r="J230" s="30">
        <f>VLOOKUP(MONTH(Modelling[[#This Row],[Date]]),$W$3:$Y$14,3,0)</f>
        <v>5.59</v>
      </c>
      <c r="K230" s="30">
        <f>VLOOKUP(MONTH(Modelling[[#This Row],[Date]]),$W$3:$Y$14,3,0)</f>
        <v>5.59</v>
      </c>
      <c r="L230" s="30">
        <f>AVERAGE(J$3:J230)</f>
        <v>7.8768859649122875</v>
      </c>
      <c r="M230" s="31">
        <f t="shared" si="25"/>
        <v>0.24199507359924025</v>
      </c>
      <c r="N230" s="31">
        <f t="shared" si="26"/>
        <v>0.24199507359924022</v>
      </c>
      <c r="O230" s="31">
        <f t="shared" si="27"/>
        <v>0.35317935339062229</v>
      </c>
      <c r="P230" s="109">
        <f t="shared" si="28"/>
        <v>70.2</v>
      </c>
      <c r="Q230" s="28">
        <f>AVERAGE($P$217:P230)</f>
        <v>70.200000000000017</v>
      </c>
      <c r="R230" s="81">
        <f>AVERAGE($P$3:P230)</f>
        <v>56.890909090909169</v>
      </c>
      <c r="S230">
        <f t="shared" si="30"/>
        <v>14</v>
      </c>
      <c r="T230">
        <f t="shared" si="32"/>
        <v>198</v>
      </c>
    </row>
    <row r="231" spans="2:20">
      <c r="B231" s="27">
        <f t="shared" si="31"/>
        <v>45611</v>
      </c>
      <c r="C231" s="28">
        <f>YEAR(Modelling[[#This Row],[Date]])+IF(MONTH(Modelling[[#This Row],[Date]])&gt;=4,1,0)</f>
        <v>2025</v>
      </c>
      <c r="D231" s="22">
        <f t="shared" si="29"/>
        <v>2024</v>
      </c>
      <c r="E231" s="29">
        <v>44866</v>
      </c>
      <c r="F231" s="22">
        <f>DAY(EOMONTH(Modelling[[#This Row],[Date]],0))</f>
        <v>30</v>
      </c>
      <c r="G231" s="28">
        <f>VLOOKUP(MONTH(Modelling[[#This Row],[Date]]),$W$3:$Z$14,4,0)/1000/Modelling[[#This Row],[Days]]</f>
        <v>407.7133</v>
      </c>
      <c r="H231" s="28">
        <f>SUM($G$217:G231)</f>
        <v>6115.6995000000006</v>
      </c>
      <c r="I231" s="28">
        <f>SUM($G$3:G231)</f>
        <v>95888.197499999951</v>
      </c>
      <c r="J231" s="30">
        <f>VLOOKUP(MONTH(Modelling[[#This Row],[Date]]),$W$3:$Y$14,3,0)</f>
        <v>5.59</v>
      </c>
      <c r="K231" s="30">
        <f>VLOOKUP(MONTH(Modelling[[#This Row],[Date]]),$W$3:$Y$14,3,0)</f>
        <v>5.59</v>
      </c>
      <c r="L231" s="30">
        <f>AVERAGE(J$3:J231)</f>
        <v>7.8668995633187846</v>
      </c>
      <c r="M231" s="31">
        <f t="shared" si="25"/>
        <v>0.24199507359924025</v>
      </c>
      <c r="N231" s="31">
        <f t="shared" si="26"/>
        <v>0.24199507359924022</v>
      </c>
      <c r="O231" s="31">
        <f t="shared" si="27"/>
        <v>0.35249074184355794</v>
      </c>
      <c r="P231" s="109">
        <f t="shared" si="28"/>
        <v>70.2</v>
      </c>
      <c r="Q231" s="28">
        <f>AVERAGE($P$217:P231)</f>
        <v>70.200000000000017</v>
      </c>
      <c r="R231" s="81">
        <f>AVERAGE($P$3:P231)</f>
        <v>56.957788944723703</v>
      </c>
      <c r="S231">
        <f t="shared" si="30"/>
        <v>15</v>
      </c>
      <c r="T231">
        <f t="shared" si="32"/>
        <v>199</v>
      </c>
    </row>
    <row r="232" spans="2:20">
      <c r="B232" s="27">
        <f t="shared" si="31"/>
        <v>45612</v>
      </c>
      <c r="C232" s="28">
        <f>YEAR(Modelling[[#This Row],[Date]])+IF(MONTH(Modelling[[#This Row],[Date]])&gt;=4,1,0)</f>
        <v>2025</v>
      </c>
      <c r="D232" s="22">
        <f t="shared" si="29"/>
        <v>2024</v>
      </c>
      <c r="E232" s="29">
        <v>44866</v>
      </c>
      <c r="F232" s="22">
        <f>DAY(EOMONTH(Modelling[[#This Row],[Date]],0))</f>
        <v>30</v>
      </c>
      <c r="G232" s="28">
        <f>VLOOKUP(MONTH(Modelling[[#This Row],[Date]]),$W$3:$Z$14,4,0)/1000/Modelling[[#This Row],[Days]]</f>
        <v>407.7133</v>
      </c>
      <c r="H232" s="28">
        <f>SUM($G$217:G232)</f>
        <v>6523.412800000001</v>
      </c>
      <c r="I232" s="28">
        <f>SUM($G$3:G232)</f>
        <v>96295.910799999954</v>
      </c>
      <c r="J232" s="30">
        <f>VLOOKUP(MONTH(Modelling[[#This Row],[Date]]),$W$3:$Y$14,3,0)</f>
        <v>5.59</v>
      </c>
      <c r="K232" s="30">
        <f>VLOOKUP(MONTH(Modelling[[#This Row],[Date]]),$W$3:$Y$14,3,0)</f>
        <v>5.59</v>
      </c>
      <c r="L232" s="30">
        <f>AVERAGE(J$3:J232)</f>
        <v>7.8570000000000064</v>
      </c>
      <c r="M232" s="31">
        <f t="shared" si="25"/>
        <v>0.24199507359924025</v>
      </c>
      <c r="N232" s="31">
        <f t="shared" si="26"/>
        <v>0.24199507359924022</v>
      </c>
      <c r="O232" s="31">
        <f t="shared" si="27"/>
        <v>0.35181060752197835</v>
      </c>
      <c r="P232" s="109">
        <f t="shared" si="28"/>
        <v>70.2</v>
      </c>
      <c r="Q232" s="28">
        <f>AVERAGE($P$217:P232)</f>
        <v>70.200000000000017</v>
      </c>
      <c r="R232" s="81">
        <f>AVERAGE($P$3:P232)</f>
        <v>57.024000000000086</v>
      </c>
      <c r="S232">
        <f t="shared" si="30"/>
        <v>16</v>
      </c>
      <c r="T232">
        <f t="shared" si="32"/>
        <v>200</v>
      </c>
    </row>
    <row r="233" spans="2:20">
      <c r="B233" s="27">
        <f t="shared" si="31"/>
        <v>45613</v>
      </c>
      <c r="C233" s="28">
        <f>YEAR(Modelling[[#This Row],[Date]])+IF(MONTH(Modelling[[#This Row],[Date]])&gt;=4,1,0)</f>
        <v>2025</v>
      </c>
      <c r="D233" s="22">
        <f t="shared" si="29"/>
        <v>2024</v>
      </c>
      <c r="E233" s="29">
        <v>44866</v>
      </c>
      <c r="F233" s="22">
        <f>DAY(EOMONTH(Modelling[[#This Row],[Date]],0))</f>
        <v>30</v>
      </c>
      <c r="G233" s="28">
        <f>VLOOKUP(MONTH(Modelling[[#This Row],[Date]]),$W$3:$Z$14,4,0)/1000/Modelling[[#This Row],[Days]]</f>
        <v>407.7133</v>
      </c>
      <c r="H233" s="28">
        <f>SUM($G$217:G233)</f>
        <v>6931.1261000000013</v>
      </c>
      <c r="I233" s="28">
        <f>SUM($G$3:G233)</f>
        <v>96703.624099999957</v>
      </c>
      <c r="J233" s="30">
        <f>VLOOKUP(MONTH(Modelling[[#This Row],[Date]]),$W$3:$Y$14,3,0)</f>
        <v>5.59</v>
      </c>
      <c r="K233" s="30">
        <f>VLOOKUP(MONTH(Modelling[[#This Row],[Date]]),$W$3:$Y$14,3,0)</f>
        <v>5.59</v>
      </c>
      <c r="L233" s="30">
        <f>AVERAGE(J$3:J233)</f>
        <v>7.8471861471861537</v>
      </c>
      <c r="M233" s="31">
        <f t="shared" si="25"/>
        <v>0.24199507359924025</v>
      </c>
      <c r="N233" s="31">
        <f t="shared" si="26"/>
        <v>0.24199507359924027</v>
      </c>
      <c r="O233" s="31">
        <f t="shared" si="27"/>
        <v>0.35113879484386273</v>
      </c>
      <c r="P233" s="109">
        <f t="shared" si="28"/>
        <v>70.2</v>
      </c>
      <c r="Q233" s="28">
        <f>AVERAGE($P$217:P233)</f>
        <v>70.200000000000017</v>
      </c>
      <c r="R233" s="81">
        <f>AVERAGE($P$3:P233)</f>
        <v>57.089552238806064</v>
      </c>
      <c r="S233">
        <f t="shared" si="30"/>
        <v>17</v>
      </c>
      <c r="T233">
        <f t="shared" si="32"/>
        <v>201</v>
      </c>
    </row>
    <row r="234" spans="2:20">
      <c r="B234" s="27">
        <f t="shared" si="31"/>
        <v>45614</v>
      </c>
      <c r="C234" s="28">
        <f>YEAR(Modelling[[#This Row],[Date]])+IF(MONTH(Modelling[[#This Row],[Date]])&gt;=4,1,0)</f>
        <v>2025</v>
      </c>
      <c r="D234" s="22">
        <f t="shared" si="29"/>
        <v>2024</v>
      </c>
      <c r="E234" s="29">
        <v>44866</v>
      </c>
      <c r="F234" s="22">
        <f>DAY(EOMONTH(Modelling[[#This Row],[Date]],0))</f>
        <v>30</v>
      </c>
      <c r="G234" s="28">
        <f>VLOOKUP(MONTH(Modelling[[#This Row],[Date]]),$W$3:$Z$14,4,0)/1000/Modelling[[#This Row],[Days]]</f>
        <v>407.7133</v>
      </c>
      <c r="H234" s="28">
        <f>SUM($G$217:G234)</f>
        <v>7338.8394000000017</v>
      </c>
      <c r="I234" s="28">
        <f>SUM($G$3:G234)</f>
        <v>97111.33739999996</v>
      </c>
      <c r="J234" s="30">
        <f>VLOOKUP(MONTH(Modelling[[#This Row],[Date]]),$W$3:$Y$14,3,0)</f>
        <v>5.59</v>
      </c>
      <c r="K234" s="30">
        <f>VLOOKUP(MONTH(Modelling[[#This Row],[Date]]),$W$3:$Y$14,3,0)</f>
        <v>5.59</v>
      </c>
      <c r="L234" s="30">
        <f>AVERAGE(J$3:J234)</f>
        <v>7.8374568965517302</v>
      </c>
      <c r="M234" s="31">
        <f t="shared" si="25"/>
        <v>0.24199507359924025</v>
      </c>
      <c r="N234" s="31">
        <f t="shared" si="26"/>
        <v>0.24199507359924027</v>
      </c>
      <c r="O234" s="31">
        <f t="shared" si="27"/>
        <v>0.3504751520112247</v>
      </c>
      <c r="P234" s="109">
        <f t="shared" si="28"/>
        <v>70.2</v>
      </c>
      <c r="Q234" s="28">
        <f>AVERAGE($P$217:P234)</f>
        <v>70.200000000000017</v>
      </c>
      <c r="R234" s="81">
        <f>AVERAGE($P$3:P234)</f>
        <v>57.154455445544649</v>
      </c>
      <c r="S234">
        <f t="shared" si="30"/>
        <v>18</v>
      </c>
      <c r="T234">
        <f t="shared" si="32"/>
        <v>202</v>
      </c>
    </row>
    <row r="235" spans="2:20">
      <c r="B235" s="27">
        <f t="shared" si="31"/>
        <v>45615</v>
      </c>
      <c r="C235" s="28">
        <f>YEAR(Modelling[[#This Row],[Date]])+IF(MONTH(Modelling[[#This Row],[Date]])&gt;=4,1,0)</f>
        <v>2025</v>
      </c>
      <c r="D235" s="22">
        <f t="shared" si="29"/>
        <v>2024</v>
      </c>
      <c r="E235" s="29">
        <v>44866</v>
      </c>
      <c r="F235" s="22">
        <f>DAY(EOMONTH(Modelling[[#This Row],[Date]],0))</f>
        <v>30</v>
      </c>
      <c r="G235" s="28">
        <f>VLOOKUP(MONTH(Modelling[[#This Row],[Date]]),$W$3:$Z$14,4,0)/1000/Modelling[[#This Row],[Days]]</f>
        <v>407.7133</v>
      </c>
      <c r="H235" s="28">
        <f>SUM($G$217:G235)</f>
        <v>7746.552700000002</v>
      </c>
      <c r="I235" s="28">
        <f>SUM($G$3:G235)</f>
        <v>97519.050699999963</v>
      </c>
      <c r="J235" s="30">
        <f>VLOOKUP(MONTH(Modelling[[#This Row],[Date]]),$W$3:$Y$14,3,0)</f>
        <v>5.59</v>
      </c>
      <c r="K235" s="30">
        <f>VLOOKUP(MONTH(Modelling[[#This Row],[Date]]),$W$3:$Y$14,3,0)</f>
        <v>5.59</v>
      </c>
      <c r="L235" s="30">
        <f>AVERAGE(J$3:J235)</f>
        <v>7.8278111587982888</v>
      </c>
      <c r="M235" s="31">
        <f t="shared" si="25"/>
        <v>0.24199507359924025</v>
      </c>
      <c r="N235" s="31">
        <f t="shared" si="26"/>
        <v>0.24199507359924027</v>
      </c>
      <c r="O235" s="31">
        <f t="shared" si="27"/>
        <v>0.34981953089576406</v>
      </c>
      <c r="P235" s="109">
        <f t="shared" si="28"/>
        <v>70.2</v>
      </c>
      <c r="Q235" s="28">
        <f>AVERAGE($P$217:P235)</f>
        <v>70.200000000000017</v>
      </c>
      <c r="R235" s="81">
        <f>AVERAGE($P$3:P235)</f>
        <v>57.218719211822759</v>
      </c>
      <c r="S235">
        <f t="shared" si="30"/>
        <v>19</v>
      </c>
      <c r="T235">
        <f t="shared" si="32"/>
        <v>203</v>
      </c>
    </row>
    <row r="236" spans="2:20">
      <c r="B236" s="27">
        <f t="shared" si="31"/>
        <v>45616</v>
      </c>
      <c r="C236" s="28">
        <f>YEAR(Modelling[[#This Row],[Date]])+IF(MONTH(Modelling[[#This Row],[Date]])&gt;=4,1,0)</f>
        <v>2025</v>
      </c>
      <c r="D236" s="22">
        <f t="shared" si="29"/>
        <v>2024</v>
      </c>
      <c r="E236" s="29">
        <v>44866</v>
      </c>
      <c r="F236" s="22">
        <f>DAY(EOMONTH(Modelling[[#This Row],[Date]],0))</f>
        <v>30</v>
      </c>
      <c r="G236" s="28">
        <f>VLOOKUP(MONTH(Modelling[[#This Row],[Date]]),$W$3:$Z$14,4,0)/1000/Modelling[[#This Row],[Days]]</f>
        <v>407.7133</v>
      </c>
      <c r="H236" s="28">
        <f>SUM($G$217:G236)</f>
        <v>8154.2660000000024</v>
      </c>
      <c r="I236" s="28">
        <f>SUM($G$3:G236)</f>
        <v>97926.763999999966</v>
      </c>
      <c r="J236" s="30">
        <f>VLOOKUP(MONTH(Modelling[[#This Row],[Date]]),$W$3:$Y$14,3,0)</f>
        <v>5.59</v>
      </c>
      <c r="K236" s="30">
        <f>VLOOKUP(MONTH(Modelling[[#This Row],[Date]]),$W$3:$Y$14,3,0)</f>
        <v>5.59</v>
      </c>
      <c r="L236" s="30">
        <f>AVERAGE(J$3:J236)</f>
        <v>7.8182478632478682</v>
      </c>
      <c r="M236" s="31">
        <f t="shared" si="25"/>
        <v>0.24199507359924025</v>
      </c>
      <c r="N236" s="31">
        <f t="shared" si="26"/>
        <v>0.24199507359924027</v>
      </c>
      <c r="O236" s="31">
        <f t="shared" si="27"/>
        <v>0.34917178692864076</v>
      </c>
      <c r="P236" s="109">
        <f t="shared" si="28"/>
        <v>70.2</v>
      </c>
      <c r="Q236" s="28">
        <f>AVERAGE($P$217:P236)</f>
        <v>70.200000000000017</v>
      </c>
      <c r="R236" s="81">
        <f>AVERAGE($P$3:P236)</f>
        <v>57.282352941176569</v>
      </c>
      <c r="S236">
        <f t="shared" si="30"/>
        <v>20</v>
      </c>
      <c r="T236">
        <f t="shared" si="32"/>
        <v>204</v>
      </c>
    </row>
    <row r="237" spans="2:20">
      <c r="B237" s="27">
        <f t="shared" si="31"/>
        <v>45617</v>
      </c>
      <c r="C237" s="28">
        <f>YEAR(Modelling[[#This Row],[Date]])+IF(MONTH(Modelling[[#This Row],[Date]])&gt;=4,1,0)</f>
        <v>2025</v>
      </c>
      <c r="D237" s="22">
        <f t="shared" si="29"/>
        <v>2024</v>
      </c>
      <c r="E237" s="29">
        <v>44866</v>
      </c>
      <c r="F237" s="22">
        <f>DAY(EOMONTH(Modelling[[#This Row],[Date]],0))</f>
        <v>30</v>
      </c>
      <c r="G237" s="28">
        <f>VLOOKUP(MONTH(Modelling[[#This Row],[Date]]),$W$3:$Z$14,4,0)/1000/Modelling[[#This Row],[Days]]</f>
        <v>407.7133</v>
      </c>
      <c r="H237" s="28">
        <f>SUM($G$217:G237)</f>
        <v>8561.9793000000027</v>
      </c>
      <c r="I237" s="28">
        <f>SUM($G$3:G237)</f>
        <v>98334.47729999997</v>
      </c>
      <c r="J237" s="30">
        <f>VLOOKUP(MONTH(Modelling[[#This Row],[Date]]),$W$3:$Y$14,3,0)</f>
        <v>5.59</v>
      </c>
      <c r="K237" s="30">
        <f>VLOOKUP(MONTH(Modelling[[#This Row],[Date]]),$W$3:$Y$14,3,0)</f>
        <v>5.59</v>
      </c>
      <c r="L237" s="30">
        <f>AVERAGE(J$3:J237)</f>
        <v>7.8087659574468127</v>
      </c>
      <c r="M237" s="31">
        <f t="shared" si="25"/>
        <v>0.24199507359924025</v>
      </c>
      <c r="N237" s="31">
        <f t="shared" si="26"/>
        <v>0.24199507359924027</v>
      </c>
      <c r="O237" s="31">
        <f t="shared" si="27"/>
        <v>0.34853177899419785</v>
      </c>
      <c r="P237" s="109">
        <f t="shared" si="28"/>
        <v>70.2</v>
      </c>
      <c r="Q237" s="28">
        <f>AVERAGE($P$217:P237)</f>
        <v>70.200000000000017</v>
      </c>
      <c r="R237" s="81">
        <f>AVERAGE($P$3:P237)</f>
        <v>57.345365853658642</v>
      </c>
      <c r="S237">
        <f t="shared" si="30"/>
        <v>21</v>
      </c>
      <c r="T237">
        <f t="shared" si="32"/>
        <v>205</v>
      </c>
    </row>
    <row r="238" spans="2:20">
      <c r="B238" s="27">
        <f t="shared" si="31"/>
        <v>45618</v>
      </c>
      <c r="C238" s="28">
        <f>YEAR(Modelling[[#This Row],[Date]])+IF(MONTH(Modelling[[#This Row],[Date]])&gt;=4,1,0)</f>
        <v>2025</v>
      </c>
      <c r="D238" s="22">
        <f t="shared" si="29"/>
        <v>2024</v>
      </c>
      <c r="E238" s="29">
        <v>44866</v>
      </c>
      <c r="F238" s="22">
        <f>DAY(EOMONTH(Modelling[[#This Row],[Date]],0))</f>
        <v>30</v>
      </c>
      <c r="G238" s="28">
        <f>VLOOKUP(MONTH(Modelling[[#This Row],[Date]]),$W$3:$Z$14,4,0)/1000/Modelling[[#This Row],[Days]]</f>
        <v>407.7133</v>
      </c>
      <c r="H238" s="28">
        <f>SUM($G$217:G238)</f>
        <v>8969.6926000000021</v>
      </c>
      <c r="I238" s="28">
        <f>SUM($G$3:G238)</f>
        <v>98742.190599999973</v>
      </c>
      <c r="J238" s="30">
        <f>VLOOKUP(MONTH(Modelling[[#This Row],[Date]]),$W$3:$Y$14,3,0)</f>
        <v>5.59</v>
      </c>
      <c r="K238" s="30">
        <f>VLOOKUP(MONTH(Modelling[[#This Row],[Date]]),$W$3:$Y$14,3,0)</f>
        <v>5.59</v>
      </c>
      <c r="L238" s="30">
        <f>AVERAGE(J$3:J238)</f>
        <v>7.7993644067796657</v>
      </c>
      <c r="M238" s="31">
        <f t="shared" si="25"/>
        <v>0.24199507359924025</v>
      </c>
      <c r="N238" s="31">
        <f t="shared" si="26"/>
        <v>0.24199507359924022</v>
      </c>
      <c r="O238" s="31">
        <f t="shared" si="27"/>
        <v>0.34789936932746979</v>
      </c>
      <c r="P238" s="109">
        <f t="shared" si="28"/>
        <v>70.2</v>
      </c>
      <c r="Q238" s="28">
        <f>AVERAGE($P$217:P238)</f>
        <v>70.200000000000031</v>
      </c>
      <c r="R238" s="81">
        <f>AVERAGE($P$3:P238)</f>
        <v>57.407766990291371</v>
      </c>
      <c r="S238">
        <f t="shared" si="30"/>
        <v>22</v>
      </c>
      <c r="T238">
        <f t="shared" si="32"/>
        <v>206</v>
      </c>
    </row>
    <row r="239" spans="2:20">
      <c r="B239" s="27">
        <f t="shared" si="31"/>
        <v>45619</v>
      </c>
      <c r="C239" s="28">
        <f>YEAR(Modelling[[#This Row],[Date]])+IF(MONTH(Modelling[[#This Row],[Date]])&gt;=4,1,0)</f>
        <v>2025</v>
      </c>
      <c r="D239" s="22">
        <f t="shared" si="29"/>
        <v>2024</v>
      </c>
      <c r="E239" s="29">
        <v>44866</v>
      </c>
      <c r="F239" s="22">
        <f>DAY(EOMONTH(Modelling[[#This Row],[Date]],0))</f>
        <v>30</v>
      </c>
      <c r="G239" s="28">
        <f>VLOOKUP(MONTH(Modelling[[#This Row],[Date]]),$W$3:$Z$14,4,0)/1000/Modelling[[#This Row],[Days]]</f>
        <v>407.7133</v>
      </c>
      <c r="H239" s="28">
        <f>SUM($G$217:G239)</f>
        <v>9377.4059000000016</v>
      </c>
      <c r="I239" s="28">
        <f>SUM($G$3:G239)</f>
        <v>99149.903899999976</v>
      </c>
      <c r="J239" s="30">
        <f>VLOOKUP(MONTH(Modelling[[#This Row],[Date]]),$W$3:$Y$14,3,0)</f>
        <v>5.59</v>
      </c>
      <c r="K239" s="30">
        <f>VLOOKUP(MONTH(Modelling[[#This Row],[Date]]),$W$3:$Y$14,3,0)</f>
        <v>5.59</v>
      </c>
      <c r="L239" s="30">
        <f>AVERAGE(J$3:J239)</f>
        <v>7.7900421940928313</v>
      </c>
      <c r="M239" s="31">
        <f t="shared" si="25"/>
        <v>0.24199507359924025</v>
      </c>
      <c r="N239" s="31">
        <f t="shared" si="26"/>
        <v>0.24199507359924019</v>
      </c>
      <c r="O239" s="31">
        <f t="shared" si="27"/>
        <v>0.34727442341531956</v>
      </c>
      <c r="P239" s="109">
        <f t="shared" si="28"/>
        <v>70.2</v>
      </c>
      <c r="Q239" s="28">
        <f>AVERAGE($P$217:P239)</f>
        <v>70.200000000000031</v>
      </c>
      <c r="R239" s="81">
        <f>AVERAGE($P$3:P239)</f>
        <v>57.469565217391413</v>
      </c>
      <c r="S239">
        <f t="shared" si="30"/>
        <v>23</v>
      </c>
      <c r="T239">
        <f t="shared" si="32"/>
        <v>207</v>
      </c>
    </row>
    <row r="240" spans="2:20">
      <c r="B240" s="27">
        <f t="shared" si="31"/>
        <v>45620</v>
      </c>
      <c r="C240" s="28">
        <f>YEAR(Modelling[[#This Row],[Date]])+IF(MONTH(Modelling[[#This Row],[Date]])&gt;=4,1,0)</f>
        <v>2025</v>
      </c>
      <c r="D240" s="22">
        <f t="shared" si="29"/>
        <v>2024</v>
      </c>
      <c r="E240" s="29">
        <v>44866</v>
      </c>
      <c r="F240" s="22">
        <f>DAY(EOMONTH(Modelling[[#This Row],[Date]],0))</f>
        <v>30</v>
      </c>
      <c r="G240" s="28">
        <f>VLOOKUP(MONTH(Modelling[[#This Row],[Date]]),$W$3:$Z$14,4,0)/1000/Modelling[[#This Row],[Days]]</f>
        <v>407.7133</v>
      </c>
      <c r="H240" s="28">
        <f>SUM($G$217:G240)</f>
        <v>9785.119200000001</v>
      </c>
      <c r="I240" s="28">
        <f>SUM($G$3:G240)</f>
        <v>99557.617199999979</v>
      </c>
      <c r="J240" s="30">
        <f>VLOOKUP(MONTH(Modelling[[#This Row],[Date]]),$W$3:$Y$14,3,0)</f>
        <v>5.59</v>
      </c>
      <c r="K240" s="30">
        <f>VLOOKUP(MONTH(Modelling[[#This Row],[Date]]),$W$3:$Y$14,3,0)</f>
        <v>5.59</v>
      </c>
      <c r="L240" s="30">
        <f>AVERAGE(J$3:J240)</f>
        <v>7.7807983193277348</v>
      </c>
      <c r="M240" s="31">
        <f t="shared" si="25"/>
        <v>0.24199507359924025</v>
      </c>
      <c r="N240" s="31">
        <f t="shared" si="26"/>
        <v>0.24199507359924019</v>
      </c>
      <c r="O240" s="31">
        <f t="shared" si="27"/>
        <v>0.34665680990105552</v>
      </c>
      <c r="P240" s="109">
        <f t="shared" si="28"/>
        <v>70.2</v>
      </c>
      <c r="Q240" s="28">
        <f>AVERAGE($P$217:P240)</f>
        <v>70.200000000000031</v>
      </c>
      <c r="R240" s="81">
        <f>AVERAGE($P$3:P240)</f>
        <v>57.530769230769344</v>
      </c>
      <c r="S240">
        <f t="shared" si="30"/>
        <v>24</v>
      </c>
      <c r="T240">
        <f t="shared" si="32"/>
        <v>208</v>
      </c>
    </row>
    <row r="241" spans="2:20">
      <c r="B241" s="27">
        <f t="shared" si="31"/>
        <v>45621</v>
      </c>
      <c r="C241" s="28">
        <f>YEAR(Modelling[[#This Row],[Date]])+IF(MONTH(Modelling[[#This Row],[Date]])&gt;=4,1,0)</f>
        <v>2025</v>
      </c>
      <c r="D241" s="22">
        <f t="shared" si="29"/>
        <v>2024</v>
      </c>
      <c r="E241" s="29">
        <v>44866</v>
      </c>
      <c r="F241" s="22">
        <f>DAY(EOMONTH(Modelling[[#This Row],[Date]],0))</f>
        <v>30</v>
      </c>
      <c r="G241" s="28">
        <f>VLOOKUP(MONTH(Modelling[[#This Row],[Date]]),$W$3:$Z$14,4,0)/1000/Modelling[[#This Row],[Days]]</f>
        <v>407.7133</v>
      </c>
      <c r="H241" s="28">
        <f>SUM($G$217:G241)</f>
        <v>10192.8325</v>
      </c>
      <c r="I241" s="28">
        <f>SUM($G$3:G241)</f>
        <v>99965.330499999982</v>
      </c>
      <c r="J241" s="30">
        <f>VLOOKUP(MONTH(Modelling[[#This Row],[Date]]),$W$3:$Y$14,3,0)</f>
        <v>5.59</v>
      </c>
      <c r="K241" s="30">
        <f>VLOOKUP(MONTH(Modelling[[#This Row],[Date]]),$W$3:$Y$14,3,0)</f>
        <v>5.59</v>
      </c>
      <c r="L241" s="30">
        <f>AVERAGE(J$3:J241)</f>
        <v>7.7716317991631829</v>
      </c>
      <c r="M241" s="31">
        <f t="shared" si="25"/>
        <v>0.24199507359924025</v>
      </c>
      <c r="N241" s="31">
        <f t="shared" si="26"/>
        <v>0.24199507359924019</v>
      </c>
      <c r="O241" s="31">
        <f t="shared" si="27"/>
        <v>0.34604640049238639</v>
      </c>
      <c r="P241" s="109">
        <f t="shared" si="28"/>
        <v>70.2</v>
      </c>
      <c r="Q241" s="28">
        <f>AVERAGE($P$217:P241)</f>
        <v>70.200000000000031</v>
      </c>
      <c r="R241" s="81">
        <f>AVERAGE($P$3:P241)</f>
        <v>57.59138755980873</v>
      </c>
      <c r="S241">
        <f t="shared" si="30"/>
        <v>25</v>
      </c>
      <c r="T241">
        <f t="shared" si="32"/>
        <v>209</v>
      </c>
    </row>
    <row r="242" spans="2:20">
      <c r="B242" s="27">
        <f t="shared" si="31"/>
        <v>45622</v>
      </c>
      <c r="C242" s="28">
        <f>YEAR(Modelling[[#This Row],[Date]])+IF(MONTH(Modelling[[#This Row],[Date]])&gt;=4,1,0)</f>
        <v>2025</v>
      </c>
      <c r="D242" s="22">
        <f t="shared" si="29"/>
        <v>2024</v>
      </c>
      <c r="E242" s="29">
        <v>44866</v>
      </c>
      <c r="F242" s="22">
        <f>DAY(EOMONTH(Modelling[[#This Row],[Date]],0))</f>
        <v>30</v>
      </c>
      <c r="G242" s="28">
        <f>VLOOKUP(MONTH(Modelling[[#This Row],[Date]]),$W$3:$Z$14,4,0)/1000/Modelling[[#This Row],[Days]]</f>
        <v>407.7133</v>
      </c>
      <c r="H242" s="28">
        <f>SUM($G$217:G242)</f>
        <v>10600.5458</v>
      </c>
      <c r="I242" s="28">
        <f>SUM($G$3:G242)</f>
        <v>100373.04379999998</v>
      </c>
      <c r="J242" s="30">
        <f>VLOOKUP(MONTH(Modelling[[#This Row],[Date]]),$W$3:$Y$14,3,0)</f>
        <v>5.59</v>
      </c>
      <c r="K242" s="30">
        <f>VLOOKUP(MONTH(Modelling[[#This Row],[Date]]),$W$3:$Y$14,3,0)</f>
        <v>5.59</v>
      </c>
      <c r="L242" s="30">
        <f>AVERAGE(J$3:J242)</f>
        <v>7.7625416666666691</v>
      </c>
      <c r="M242" s="31">
        <f t="shared" si="25"/>
        <v>0.24199507359924025</v>
      </c>
      <c r="N242" s="31">
        <f t="shared" si="26"/>
        <v>0.24199507359924019</v>
      </c>
      <c r="O242" s="31">
        <f t="shared" si="27"/>
        <v>0.34544306987257772</v>
      </c>
      <c r="P242" s="109">
        <f t="shared" si="28"/>
        <v>70.2</v>
      </c>
      <c r="Q242" s="28">
        <f>AVERAGE($P$217:P242)</f>
        <v>70.200000000000031</v>
      </c>
      <c r="R242" s="81">
        <f>AVERAGE($P$3:P242)</f>
        <v>57.651428571428688</v>
      </c>
      <c r="S242">
        <f t="shared" si="30"/>
        <v>26</v>
      </c>
      <c r="T242">
        <f t="shared" si="32"/>
        <v>210</v>
      </c>
    </row>
    <row r="243" spans="2:20">
      <c r="B243" s="27">
        <f t="shared" si="31"/>
        <v>45623</v>
      </c>
      <c r="C243" s="28">
        <f>YEAR(Modelling[[#This Row],[Date]])+IF(MONTH(Modelling[[#This Row],[Date]])&gt;=4,1,0)</f>
        <v>2025</v>
      </c>
      <c r="D243" s="22">
        <f t="shared" si="29"/>
        <v>2024</v>
      </c>
      <c r="E243" s="29">
        <v>44866</v>
      </c>
      <c r="F243" s="22">
        <f>DAY(EOMONTH(Modelling[[#This Row],[Date]],0))</f>
        <v>30</v>
      </c>
      <c r="G243" s="28">
        <f>VLOOKUP(MONTH(Modelling[[#This Row],[Date]]),$W$3:$Z$14,4,0)/1000/Modelling[[#This Row],[Days]]</f>
        <v>407.7133</v>
      </c>
      <c r="H243" s="28">
        <f>SUM($G$217:G243)</f>
        <v>11008.259099999999</v>
      </c>
      <c r="I243" s="28">
        <f>SUM($G$3:G243)</f>
        <v>100780.75709999999</v>
      </c>
      <c r="J243" s="30">
        <f>VLOOKUP(MONTH(Modelling[[#This Row],[Date]]),$W$3:$Y$14,3,0)</f>
        <v>5.59</v>
      </c>
      <c r="K243" s="30">
        <f>VLOOKUP(MONTH(Modelling[[#This Row],[Date]]),$W$3:$Y$14,3,0)</f>
        <v>5.59</v>
      </c>
      <c r="L243" s="30">
        <f>AVERAGE(J$3:J243)</f>
        <v>7.7535269709543595</v>
      </c>
      <c r="M243" s="31">
        <f t="shared" si="25"/>
        <v>0.24199507359924025</v>
      </c>
      <c r="N243" s="31">
        <f t="shared" si="26"/>
        <v>0.24199507359924013</v>
      </c>
      <c r="O243" s="31">
        <f t="shared" si="27"/>
        <v>0.34484669561468267</v>
      </c>
      <c r="P243" s="109">
        <f t="shared" si="28"/>
        <v>70.2</v>
      </c>
      <c r="Q243" s="28">
        <f>AVERAGE($P$217:P243)</f>
        <v>70.200000000000031</v>
      </c>
      <c r="R243" s="81">
        <f>AVERAGE($P$3:P243)</f>
        <v>57.710900473933769</v>
      </c>
      <c r="S243">
        <f t="shared" si="30"/>
        <v>27</v>
      </c>
      <c r="T243">
        <f t="shared" si="32"/>
        <v>211</v>
      </c>
    </row>
    <row r="244" spans="2:20">
      <c r="B244" s="27">
        <f t="shared" si="31"/>
        <v>45624</v>
      </c>
      <c r="C244" s="28">
        <f>YEAR(Modelling[[#This Row],[Date]])+IF(MONTH(Modelling[[#This Row],[Date]])&gt;=4,1,0)</f>
        <v>2025</v>
      </c>
      <c r="D244" s="22">
        <f t="shared" si="29"/>
        <v>2024</v>
      </c>
      <c r="E244" s="29">
        <v>44866</v>
      </c>
      <c r="F244" s="22">
        <f>DAY(EOMONTH(Modelling[[#This Row],[Date]],0))</f>
        <v>30</v>
      </c>
      <c r="G244" s="28">
        <f>VLOOKUP(MONTH(Modelling[[#This Row],[Date]]),$W$3:$Z$14,4,0)/1000/Modelling[[#This Row],[Days]]</f>
        <v>407.7133</v>
      </c>
      <c r="H244" s="28">
        <f>SUM($G$217:G244)</f>
        <v>11415.972399999999</v>
      </c>
      <c r="I244" s="28">
        <f>SUM($G$3:G244)</f>
        <v>101188.47039999999</v>
      </c>
      <c r="J244" s="30">
        <f>VLOOKUP(MONTH(Modelling[[#This Row],[Date]]),$W$3:$Y$14,3,0)</f>
        <v>5.59</v>
      </c>
      <c r="K244" s="30">
        <f>VLOOKUP(MONTH(Modelling[[#This Row],[Date]]),$W$3:$Y$14,3,0)</f>
        <v>5.59</v>
      </c>
      <c r="L244" s="30">
        <f>AVERAGE(J$3:J244)</f>
        <v>7.7445867768595065</v>
      </c>
      <c r="M244" s="31">
        <f t="shared" si="25"/>
        <v>0.24199507359924025</v>
      </c>
      <c r="N244" s="31">
        <f t="shared" si="26"/>
        <v>0.24199507359924013</v>
      </c>
      <c r="O244" s="31">
        <f t="shared" si="27"/>
        <v>0.34425715809872115</v>
      </c>
      <c r="P244" s="109">
        <f t="shared" si="28"/>
        <v>70.2</v>
      </c>
      <c r="Q244" s="28">
        <f>AVERAGE($P$217:P244)</f>
        <v>70.200000000000031</v>
      </c>
      <c r="R244" s="81">
        <f>AVERAGE($P$3:P244)</f>
        <v>57.76981132075484</v>
      </c>
      <c r="S244">
        <f t="shared" si="30"/>
        <v>28</v>
      </c>
      <c r="T244">
        <f t="shared" si="32"/>
        <v>212</v>
      </c>
    </row>
    <row r="245" spans="2:20">
      <c r="B245" s="27">
        <f t="shared" si="31"/>
        <v>45625</v>
      </c>
      <c r="C245" s="28">
        <f>YEAR(Modelling[[#This Row],[Date]])+IF(MONTH(Modelling[[#This Row],[Date]])&gt;=4,1,0)</f>
        <v>2025</v>
      </c>
      <c r="D245" s="22">
        <f t="shared" si="29"/>
        <v>2024</v>
      </c>
      <c r="E245" s="29">
        <v>44866</v>
      </c>
      <c r="F245" s="22">
        <f>DAY(EOMONTH(Modelling[[#This Row],[Date]],0))</f>
        <v>30</v>
      </c>
      <c r="G245" s="28">
        <f>VLOOKUP(MONTH(Modelling[[#This Row],[Date]]),$W$3:$Z$14,4,0)/1000/Modelling[[#This Row],[Days]]</f>
        <v>407.7133</v>
      </c>
      <c r="H245" s="28">
        <f>SUM($G$217:G245)</f>
        <v>11823.685699999998</v>
      </c>
      <c r="I245" s="28">
        <f>SUM($G$3:G245)</f>
        <v>101596.18369999999</v>
      </c>
      <c r="J245" s="30">
        <f>VLOOKUP(MONTH(Modelling[[#This Row],[Date]]),$W$3:$Y$14,3,0)</f>
        <v>5.59</v>
      </c>
      <c r="K245" s="30">
        <f>VLOOKUP(MONTH(Modelling[[#This Row],[Date]]),$W$3:$Y$14,3,0)</f>
        <v>5.59</v>
      </c>
      <c r="L245" s="30">
        <f>AVERAGE(J$3:J245)</f>
        <v>7.735720164609055</v>
      </c>
      <c r="M245" s="31">
        <f t="shared" si="25"/>
        <v>0.24199507359924025</v>
      </c>
      <c r="N245" s="31">
        <f t="shared" si="26"/>
        <v>0.24199507359924013</v>
      </c>
      <c r="O245" s="31">
        <f t="shared" si="27"/>
        <v>0.34367434043169209</v>
      </c>
      <c r="P245" s="109">
        <f t="shared" si="28"/>
        <v>70.2</v>
      </c>
      <c r="Q245" s="28">
        <f>AVERAGE($P$217:P245)</f>
        <v>70.200000000000031</v>
      </c>
      <c r="R245" s="81">
        <f>AVERAGE($P$3:P245)</f>
        <v>57.828169014084637</v>
      </c>
      <c r="S245">
        <f t="shared" si="30"/>
        <v>29</v>
      </c>
      <c r="T245">
        <f t="shared" si="32"/>
        <v>213</v>
      </c>
    </row>
    <row r="246" spans="2:20">
      <c r="B246" s="27">
        <f t="shared" si="31"/>
        <v>45626</v>
      </c>
      <c r="C246" s="28">
        <f>YEAR(Modelling[[#This Row],[Date]])+IF(MONTH(Modelling[[#This Row],[Date]])&gt;=4,1,0)</f>
        <v>2025</v>
      </c>
      <c r="D246" s="22">
        <f t="shared" si="29"/>
        <v>2024</v>
      </c>
      <c r="E246" s="29">
        <v>44866</v>
      </c>
      <c r="F246" s="22">
        <f>DAY(EOMONTH(Modelling[[#This Row],[Date]],0))</f>
        <v>30</v>
      </c>
      <c r="G246" s="28">
        <f>VLOOKUP(MONTH(Modelling[[#This Row],[Date]]),$W$3:$Z$14,4,0)/1000/Modelling[[#This Row],[Days]]</f>
        <v>407.7133</v>
      </c>
      <c r="H246" s="28">
        <f>SUM($G$217:G246)</f>
        <v>12231.398999999998</v>
      </c>
      <c r="I246" s="28">
        <f>SUM($G$3:G246)</f>
        <v>102003.897</v>
      </c>
      <c r="J246" s="30">
        <f>VLOOKUP(MONTH(Modelling[[#This Row],[Date]]),$W$3:$Y$14,3,0)</f>
        <v>5.59</v>
      </c>
      <c r="K246" s="30">
        <f>VLOOKUP(MONTH(Modelling[[#This Row],[Date]]),$W$3:$Y$14,3,0)</f>
        <v>5.59</v>
      </c>
      <c r="L246" s="30">
        <f>AVERAGE(J$3:J246)</f>
        <v>7.726926229508198</v>
      </c>
      <c r="M246" s="31">
        <f t="shared" si="25"/>
        <v>0.24199507359924025</v>
      </c>
      <c r="N246" s="31">
        <f t="shared" si="26"/>
        <v>0.24199507359924013</v>
      </c>
      <c r="O246" s="31">
        <f t="shared" si="27"/>
        <v>0.34309812837030501</v>
      </c>
      <c r="P246" s="109">
        <f t="shared" si="28"/>
        <v>70.2</v>
      </c>
      <c r="Q246" s="28">
        <f>AVERAGE($P$217:P246)</f>
        <v>70.200000000000031</v>
      </c>
      <c r="R246" s="81">
        <f>AVERAGE($P$3:P246)</f>
        <v>57.885981308411345</v>
      </c>
      <c r="S246">
        <f t="shared" si="30"/>
        <v>30</v>
      </c>
      <c r="T246">
        <f t="shared" si="32"/>
        <v>214</v>
      </c>
    </row>
    <row r="247" spans="2:20">
      <c r="B247" s="27">
        <f t="shared" si="31"/>
        <v>45627</v>
      </c>
      <c r="C247" s="28">
        <f>YEAR(Modelling[[#This Row],[Date]])+IF(MONTH(Modelling[[#This Row],[Date]])&gt;=4,1,0)</f>
        <v>2025</v>
      </c>
      <c r="D247" s="22">
        <f t="shared" si="29"/>
        <v>2024</v>
      </c>
      <c r="E247" s="29">
        <v>44896</v>
      </c>
      <c r="F247" s="22">
        <f>DAY(EOMONTH(Modelling[[#This Row],[Date]],0))</f>
        <v>31</v>
      </c>
      <c r="G247" s="28">
        <f>VLOOKUP(MONTH(Modelling[[#This Row],[Date]]),$W$3:$Z$14,4,0)/1000/Modelling[[#This Row],[Days]]</f>
        <v>577.3220322580645</v>
      </c>
      <c r="H247" s="28">
        <f>SUM($G$247:G247)</f>
        <v>577.3220322580645</v>
      </c>
      <c r="I247" s="28">
        <f>SUM($G$3:G247)</f>
        <v>102581.21903225806</v>
      </c>
      <c r="J247" s="30">
        <f>VLOOKUP(MONTH(Modelling[[#This Row],[Date]]),$W$3:$Y$14,3,0)</f>
        <v>6.99</v>
      </c>
      <c r="K247" s="30">
        <f>VLOOKUP(MONTH(Modelling[[#This Row],[Date]]),$W$3:$Y$14,3,0)</f>
        <v>6.99</v>
      </c>
      <c r="L247" s="30">
        <f>AVERAGE(J$3:J247)</f>
        <v>7.7239183673469398</v>
      </c>
      <c r="M247" s="31">
        <f t="shared" si="25"/>
        <v>0.34266502389486259</v>
      </c>
      <c r="N247" s="31">
        <f t="shared" si="26"/>
        <v>0.34266502389486259</v>
      </c>
      <c r="O247" s="31">
        <f t="shared" si="27"/>
        <v>0.34309568781626049</v>
      </c>
      <c r="P247" s="109">
        <f t="shared" si="28"/>
        <v>70.2</v>
      </c>
      <c r="Q247" s="28">
        <f>AVERAGE($P$247:P247)</f>
        <v>70.2</v>
      </c>
      <c r="R247" s="81">
        <f>AVERAGE($P$3:P247)</f>
        <v>57.94325581395362</v>
      </c>
      <c r="S247">
        <f t="shared" si="30"/>
        <v>1</v>
      </c>
      <c r="T247">
        <f t="shared" si="32"/>
        <v>215</v>
      </c>
    </row>
    <row r="248" spans="2:20">
      <c r="B248" s="27">
        <f t="shared" si="31"/>
        <v>45628</v>
      </c>
      <c r="C248" s="28">
        <f>YEAR(Modelling[[#This Row],[Date]])+IF(MONTH(Modelling[[#This Row],[Date]])&gt;=4,1,0)</f>
        <v>2025</v>
      </c>
      <c r="D248" s="22">
        <f t="shared" si="29"/>
        <v>2024</v>
      </c>
      <c r="E248" s="29">
        <v>44896</v>
      </c>
      <c r="F248" s="22">
        <f>DAY(EOMONTH(Modelling[[#This Row],[Date]],0))</f>
        <v>31</v>
      </c>
      <c r="G248" s="28">
        <f>VLOOKUP(MONTH(Modelling[[#This Row],[Date]]),$W$3:$Z$14,4,0)/1000/Modelling[[#This Row],[Days]]</f>
        <v>577.3220322580645</v>
      </c>
      <c r="H248" s="28">
        <f>SUM($G$247:G248)</f>
        <v>1154.644064516129</v>
      </c>
      <c r="I248" s="28">
        <f>SUM($G$3:G248)</f>
        <v>103158.54106451612</v>
      </c>
      <c r="J248" s="30">
        <f>VLOOKUP(MONTH(Modelling[[#This Row],[Date]]),$W$3:$Y$14,3,0)</f>
        <v>6.99</v>
      </c>
      <c r="K248" s="30">
        <f>VLOOKUP(MONTH(Modelling[[#This Row],[Date]]),$W$3:$Y$14,3,0)</f>
        <v>6.99</v>
      </c>
      <c r="L248" s="30">
        <f>AVERAGE(J$3:J248)</f>
        <v>7.7209349593495951</v>
      </c>
      <c r="M248" s="31">
        <f t="shared" si="25"/>
        <v>0.34266502389486259</v>
      </c>
      <c r="N248" s="31">
        <f t="shared" si="26"/>
        <v>0.34266502389486259</v>
      </c>
      <c r="O248" s="31">
        <f t="shared" si="27"/>
        <v>0.34309327461325256</v>
      </c>
      <c r="P248" s="109">
        <f t="shared" si="28"/>
        <v>70.2</v>
      </c>
      <c r="Q248" s="28">
        <f>AVERAGE($P$247:P248)</f>
        <v>70.2</v>
      </c>
      <c r="R248" s="81">
        <f>AVERAGE($P$3:P248)</f>
        <v>58.000000000000135</v>
      </c>
      <c r="S248">
        <f t="shared" si="30"/>
        <v>2</v>
      </c>
      <c r="T248">
        <f t="shared" si="32"/>
        <v>216</v>
      </c>
    </row>
    <row r="249" spans="2:20">
      <c r="B249" s="27">
        <f t="shared" si="31"/>
        <v>45629</v>
      </c>
      <c r="C249" s="28">
        <f>YEAR(Modelling[[#This Row],[Date]])+IF(MONTH(Modelling[[#This Row],[Date]])&gt;=4,1,0)</f>
        <v>2025</v>
      </c>
      <c r="D249" s="22">
        <f t="shared" si="29"/>
        <v>2024</v>
      </c>
      <c r="E249" s="29">
        <v>44896</v>
      </c>
      <c r="F249" s="22">
        <f>DAY(EOMONTH(Modelling[[#This Row],[Date]],0))</f>
        <v>31</v>
      </c>
      <c r="G249" s="28">
        <f>VLOOKUP(MONTH(Modelling[[#This Row],[Date]]),$W$3:$Z$14,4,0)/1000/Modelling[[#This Row],[Days]]</f>
        <v>577.3220322580645</v>
      </c>
      <c r="H249" s="28">
        <f>SUM($G$247:G249)</f>
        <v>1731.9660967741934</v>
      </c>
      <c r="I249" s="28">
        <f>SUM($G$3:G249)</f>
        <v>103735.86309677418</v>
      </c>
      <c r="J249" s="30">
        <f>VLOOKUP(MONTH(Modelling[[#This Row],[Date]]),$W$3:$Y$14,3,0)</f>
        <v>6.99</v>
      </c>
      <c r="K249" s="30">
        <f>VLOOKUP(MONTH(Modelling[[#This Row],[Date]]),$W$3:$Y$14,3,0)</f>
        <v>6.99</v>
      </c>
      <c r="L249" s="30">
        <f>AVERAGE(J$3:J249)</f>
        <v>7.717975708502026</v>
      </c>
      <c r="M249" s="31">
        <f t="shared" si="25"/>
        <v>0.34266502389486259</v>
      </c>
      <c r="N249" s="31">
        <f t="shared" si="26"/>
        <v>0.34266502389486253</v>
      </c>
      <c r="O249" s="31">
        <f t="shared" si="27"/>
        <v>0.34309088830406304</v>
      </c>
      <c r="P249" s="109">
        <f t="shared" si="28"/>
        <v>70.2</v>
      </c>
      <c r="Q249" s="28">
        <f>AVERAGE($P$247:P249)</f>
        <v>70.2</v>
      </c>
      <c r="R249" s="81">
        <f>AVERAGE($P$3:P249)</f>
        <v>58.05622119815682</v>
      </c>
      <c r="S249">
        <f t="shared" si="30"/>
        <v>3</v>
      </c>
      <c r="T249">
        <f t="shared" si="32"/>
        <v>217</v>
      </c>
    </row>
    <row r="250" spans="2:20">
      <c r="B250" s="27">
        <f t="shared" si="31"/>
        <v>45630</v>
      </c>
      <c r="C250" s="28">
        <f>YEAR(Modelling[[#This Row],[Date]])+IF(MONTH(Modelling[[#This Row],[Date]])&gt;=4,1,0)</f>
        <v>2025</v>
      </c>
      <c r="D250" s="22">
        <f t="shared" si="29"/>
        <v>2024</v>
      </c>
      <c r="E250" s="29">
        <v>44896</v>
      </c>
      <c r="F250" s="22">
        <f>DAY(EOMONTH(Modelling[[#This Row],[Date]],0))</f>
        <v>31</v>
      </c>
      <c r="G250" s="28">
        <f>VLOOKUP(MONTH(Modelling[[#This Row],[Date]]),$W$3:$Z$14,4,0)/1000/Modelling[[#This Row],[Days]]</f>
        <v>577.3220322580645</v>
      </c>
      <c r="H250" s="28">
        <f>SUM($G$247:G250)</f>
        <v>2309.288129032258</v>
      </c>
      <c r="I250" s="28">
        <f>SUM($G$3:G250)</f>
        <v>104313.18512903224</v>
      </c>
      <c r="J250" s="30">
        <f>VLOOKUP(MONTH(Modelling[[#This Row],[Date]]),$W$3:$Y$14,3,0)</f>
        <v>6.99</v>
      </c>
      <c r="K250" s="30">
        <f>VLOOKUP(MONTH(Modelling[[#This Row],[Date]]),$W$3:$Y$14,3,0)</f>
        <v>6.99</v>
      </c>
      <c r="L250" s="30">
        <f>AVERAGE(J$3:J250)</f>
        <v>7.7150403225806468</v>
      </c>
      <c r="M250" s="31">
        <f t="shared" si="25"/>
        <v>0.34266502389486259</v>
      </c>
      <c r="N250" s="31">
        <f t="shared" si="26"/>
        <v>0.34266502389486259</v>
      </c>
      <c r="O250" s="31">
        <f t="shared" si="27"/>
        <v>0.34308852844160792</v>
      </c>
      <c r="P250" s="109">
        <f t="shared" si="28"/>
        <v>70.2</v>
      </c>
      <c r="Q250" s="28">
        <f>AVERAGE($P$247:P250)</f>
        <v>70.2</v>
      </c>
      <c r="R250" s="81">
        <f>AVERAGE($P$3:P250)</f>
        <v>58.111926605504728</v>
      </c>
      <c r="S250">
        <f t="shared" si="30"/>
        <v>4</v>
      </c>
      <c r="T250">
        <f t="shared" si="32"/>
        <v>218</v>
      </c>
    </row>
    <row r="251" spans="2:20">
      <c r="B251" s="27">
        <f t="shared" si="31"/>
        <v>45631</v>
      </c>
      <c r="C251" s="28">
        <f>YEAR(Modelling[[#This Row],[Date]])+IF(MONTH(Modelling[[#This Row],[Date]])&gt;=4,1,0)</f>
        <v>2025</v>
      </c>
      <c r="D251" s="22">
        <f t="shared" si="29"/>
        <v>2024</v>
      </c>
      <c r="E251" s="29">
        <v>44896</v>
      </c>
      <c r="F251" s="22">
        <f>DAY(EOMONTH(Modelling[[#This Row],[Date]],0))</f>
        <v>31</v>
      </c>
      <c r="G251" s="28">
        <f>VLOOKUP(MONTH(Modelling[[#This Row],[Date]]),$W$3:$Z$14,4,0)/1000/Modelling[[#This Row],[Days]]</f>
        <v>577.3220322580645</v>
      </c>
      <c r="H251" s="28">
        <f>SUM($G$247:G251)</f>
        <v>2886.6101612903226</v>
      </c>
      <c r="I251" s="28">
        <f>SUM($G$3:G251)</f>
        <v>104890.5071612903</v>
      </c>
      <c r="J251" s="30">
        <f>VLOOKUP(MONTH(Modelling[[#This Row],[Date]]),$W$3:$Y$14,3,0)</f>
        <v>6.99</v>
      </c>
      <c r="K251" s="30">
        <f>VLOOKUP(MONTH(Modelling[[#This Row],[Date]]),$W$3:$Y$14,3,0)</f>
        <v>6.99</v>
      </c>
      <c r="L251" s="30">
        <f>AVERAGE(J$3:J251)</f>
        <v>7.7121285140562268</v>
      </c>
      <c r="M251" s="31">
        <f t="shared" si="25"/>
        <v>0.34266502389486259</v>
      </c>
      <c r="N251" s="31">
        <f t="shared" si="26"/>
        <v>0.34266502389486259</v>
      </c>
      <c r="O251" s="31">
        <f t="shared" si="27"/>
        <v>0.34308619458865847</v>
      </c>
      <c r="P251" s="109">
        <f t="shared" si="28"/>
        <v>70.2</v>
      </c>
      <c r="Q251" s="28">
        <f>AVERAGE($P$247:P251)</f>
        <v>70.2</v>
      </c>
      <c r="R251" s="81">
        <f>AVERAGE($P$3:P251)</f>
        <v>58.167123287671373</v>
      </c>
      <c r="S251">
        <f t="shared" si="30"/>
        <v>5</v>
      </c>
      <c r="T251">
        <f t="shared" si="32"/>
        <v>219</v>
      </c>
    </row>
    <row r="252" spans="2:20">
      <c r="B252" s="27">
        <f t="shared" si="31"/>
        <v>45632</v>
      </c>
      <c r="C252" s="28">
        <f>YEAR(Modelling[[#This Row],[Date]])+IF(MONTH(Modelling[[#This Row],[Date]])&gt;=4,1,0)</f>
        <v>2025</v>
      </c>
      <c r="D252" s="22">
        <f t="shared" si="29"/>
        <v>2024</v>
      </c>
      <c r="E252" s="29">
        <v>44896</v>
      </c>
      <c r="F252" s="22">
        <f>DAY(EOMONTH(Modelling[[#This Row],[Date]],0))</f>
        <v>31</v>
      </c>
      <c r="G252" s="28">
        <f>VLOOKUP(MONTH(Modelling[[#This Row],[Date]]),$W$3:$Z$14,4,0)/1000/Modelling[[#This Row],[Days]]</f>
        <v>577.3220322580645</v>
      </c>
      <c r="H252" s="28">
        <f>SUM($G$247:G252)</f>
        <v>3463.9321935483872</v>
      </c>
      <c r="I252" s="28">
        <f>SUM($G$3:G252)</f>
        <v>105467.82919354836</v>
      </c>
      <c r="J252" s="30">
        <f>VLOOKUP(MONTH(Modelling[[#This Row],[Date]]),$W$3:$Y$14,3,0)</f>
        <v>6.99</v>
      </c>
      <c r="K252" s="30">
        <f>VLOOKUP(MONTH(Modelling[[#This Row],[Date]]),$W$3:$Y$14,3,0)</f>
        <v>6.99</v>
      </c>
      <c r="L252" s="30">
        <f>AVERAGE(J$3:J252)</f>
        <v>7.7092400000000012</v>
      </c>
      <c r="M252" s="31">
        <f t="shared" si="25"/>
        <v>0.34266502389486259</v>
      </c>
      <c r="N252" s="31">
        <f t="shared" si="26"/>
        <v>0.34266502389486259</v>
      </c>
      <c r="O252" s="31">
        <f t="shared" si="27"/>
        <v>0.34308388631757103</v>
      </c>
      <c r="P252" s="109">
        <f t="shared" si="28"/>
        <v>70.2</v>
      </c>
      <c r="Q252" s="28">
        <f>AVERAGE($P$247:P252)</f>
        <v>70.2</v>
      </c>
      <c r="R252" s="81">
        <f>AVERAGE($P$3:P252)</f>
        <v>58.221818181818328</v>
      </c>
      <c r="S252">
        <f t="shared" si="30"/>
        <v>6</v>
      </c>
      <c r="T252">
        <f t="shared" si="32"/>
        <v>220</v>
      </c>
    </row>
    <row r="253" spans="2:20">
      <c r="B253" s="27">
        <f t="shared" si="31"/>
        <v>45633</v>
      </c>
      <c r="C253" s="28">
        <f>YEAR(Modelling[[#This Row],[Date]])+IF(MONTH(Modelling[[#This Row],[Date]])&gt;=4,1,0)</f>
        <v>2025</v>
      </c>
      <c r="D253" s="22">
        <f t="shared" si="29"/>
        <v>2024</v>
      </c>
      <c r="E253" s="29">
        <v>44896</v>
      </c>
      <c r="F253" s="22">
        <f>DAY(EOMONTH(Modelling[[#This Row],[Date]],0))</f>
        <v>31</v>
      </c>
      <c r="G253" s="28">
        <f>VLOOKUP(MONTH(Modelling[[#This Row],[Date]]),$W$3:$Z$14,4,0)/1000/Modelling[[#This Row],[Days]]</f>
        <v>577.3220322580645</v>
      </c>
      <c r="H253" s="28">
        <f>SUM($G$247:G253)</f>
        <v>4041.2542258064518</v>
      </c>
      <c r="I253" s="28">
        <f>SUM($G$3:G253)</f>
        <v>106045.15122580642</v>
      </c>
      <c r="J253" s="30">
        <f>VLOOKUP(MONTH(Modelling[[#This Row],[Date]]),$W$3:$Y$14,3,0)</f>
        <v>6.99</v>
      </c>
      <c r="K253" s="30">
        <f>VLOOKUP(MONTH(Modelling[[#This Row],[Date]]),$W$3:$Y$14,3,0)</f>
        <v>6.99</v>
      </c>
      <c r="L253" s="30">
        <f>AVERAGE(J$3:J253)</f>
        <v>7.7063745019920331</v>
      </c>
      <c r="M253" s="31">
        <f t="shared" si="25"/>
        <v>0.34266502389486259</v>
      </c>
      <c r="N253" s="31">
        <f t="shared" si="26"/>
        <v>0.34266502389486259</v>
      </c>
      <c r="O253" s="31">
        <f t="shared" si="27"/>
        <v>0.3430816032100259</v>
      </c>
      <c r="P253" s="109">
        <f t="shared" si="28"/>
        <v>70.2</v>
      </c>
      <c r="Q253" s="28">
        <f>AVERAGE($P$247:P253)</f>
        <v>70.2</v>
      </c>
      <c r="R253" s="81">
        <f>AVERAGE($P$3:P253)</f>
        <v>58.276018099547656</v>
      </c>
      <c r="S253">
        <f t="shared" si="30"/>
        <v>7</v>
      </c>
      <c r="T253">
        <f t="shared" si="32"/>
        <v>221</v>
      </c>
    </row>
    <row r="254" spans="2:20">
      <c r="B254" s="27">
        <f t="shared" si="31"/>
        <v>45634</v>
      </c>
      <c r="C254" s="28">
        <f>YEAR(Modelling[[#This Row],[Date]])+IF(MONTH(Modelling[[#This Row],[Date]])&gt;=4,1,0)</f>
        <v>2025</v>
      </c>
      <c r="D254" s="22">
        <f t="shared" si="29"/>
        <v>2024</v>
      </c>
      <c r="E254" s="29">
        <v>44896</v>
      </c>
      <c r="F254" s="22">
        <f>DAY(EOMONTH(Modelling[[#This Row],[Date]],0))</f>
        <v>31</v>
      </c>
      <c r="G254" s="28">
        <f>VLOOKUP(MONTH(Modelling[[#This Row],[Date]]),$W$3:$Z$14,4,0)/1000/Modelling[[#This Row],[Days]]</f>
        <v>577.3220322580645</v>
      </c>
      <c r="H254" s="28">
        <f>SUM($G$247:G254)</f>
        <v>4618.576258064516</v>
      </c>
      <c r="I254" s="28">
        <f>SUM($G$3:G254)</f>
        <v>106622.47325806448</v>
      </c>
      <c r="J254" s="30">
        <f>VLOOKUP(MONTH(Modelling[[#This Row],[Date]]),$W$3:$Y$14,3,0)</f>
        <v>6.99</v>
      </c>
      <c r="K254" s="30">
        <f>VLOOKUP(MONTH(Modelling[[#This Row],[Date]]),$W$3:$Y$14,3,0)</f>
        <v>6.99</v>
      </c>
      <c r="L254" s="30">
        <f>AVERAGE(J$3:J254)</f>
        <v>7.7035317460317474</v>
      </c>
      <c r="M254" s="31">
        <f t="shared" si="25"/>
        <v>0.34266502389486259</v>
      </c>
      <c r="N254" s="31">
        <f t="shared" si="26"/>
        <v>0.34266502389486259</v>
      </c>
      <c r="O254" s="31">
        <f t="shared" si="27"/>
        <v>0.34307934485677427</v>
      </c>
      <c r="P254" s="109">
        <f t="shared" si="28"/>
        <v>70.2</v>
      </c>
      <c r="Q254" s="28">
        <f>AVERAGE($P$247:P254)</f>
        <v>70.2</v>
      </c>
      <c r="R254" s="81">
        <f>AVERAGE($P$3:P254)</f>
        <v>58.329729729729884</v>
      </c>
      <c r="S254">
        <f t="shared" si="30"/>
        <v>8</v>
      </c>
      <c r="T254">
        <f t="shared" si="32"/>
        <v>222</v>
      </c>
    </row>
    <row r="255" spans="2:20">
      <c r="B255" s="27">
        <f t="shared" si="31"/>
        <v>45635</v>
      </c>
      <c r="C255" s="28">
        <f>YEAR(Modelling[[#This Row],[Date]])+IF(MONTH(Modelling[[#This Row],[Date]])&gt;=4,1,0)</f>
        <v>2025</v>
      </c>
      <c r="D255" s="22">
        <f t="shared" si="29"/>
        <v>2024</v>
      </c>
      <c r="E255" s="29">
        <v>44896</v>
      </c>
      <c r="F255" s="22">
        <f>DAY(EOMONTH(Modelling[[#This Row],[Date]],0))</f>
        <v>31</v>
      </c>
      <c r="G255" s="28">
        <f>VLOOKUP(MONTH(Modelling[[#This Row],[Date]]),$W$3:$Z$14,4,0)/1000/Modelling[[#This Row],[Days]]</f>
        <v>577.3220322580645</v>
      </c>
      <c r="H255" s="28">
        <f>SUM($G$247:G255)</f>
        <v>5195.8982903225806</v>
      </c>
      <c r="I255" s="28">
        <f>SUM($G$3:G255)</f>
        <v>107199.79529032254</v>
      </c>
      <c r="J255" s="30">
        <f>VLOOKUP(MONTH(Modelling[[#This Row],[Date]]),$W$3:$Y$14,3,0)</f>
        <v>6.99</v>
      </c>
      <c r="K255" s="30">
        <f>VLOOKUP(MONTH(Modelling[[#This Row],[Date]]),$W$3:$Y$14,3,0)</f>
        <v>6.99</v>
      </c>
      <c r="L255" s="30">
        <f>AVERAGE(J$3:J255)</f>
        <v>7.7007114624505943</v>
      </c>
      <c r="M255" s="31">
        <f t="shared" si="25"/>
        <v>0.34266502389486259</v>
      </c>
      <c r="N255" s="31">
        <f t="shared" si="26"/>
        <v>0.34266502389486259</v>
      </c>
      <c r="O255" s="31">
        <f t="shared" si="27"/>
        <v>0.3430771108573944</v>
      </c>
      <c r="P255" s="109">
        <f t="shared" si="28"/>
        <v>70.2</v>
      </c>
      <c r="Q255" s="28">
        <f>AVERAGE($P$247:P255)</f>
        <v>70.2</v>
      </c>
      <c r="R255" s="81">
        <f>AVERAGE($P$3:P255)</f>
        <v>58.382959641255759</v>
      </c>
      <c r="S255">
        <f t="shared" si="30"/>
        <v>9</v>
      </c>
      <c r="T255">
        <f t="shared" si="32"/>
        <v>223</v>
      </c>
    </row>
    <row r="256" spans="2:20">
      <c r="B256" s="27">
        <f t="shared" si="31"/>
        <v>45636</v>
      </c>
      <c r="C256" s="28">
        <f>YEAR(Modelling[[#This Row],[Date]])+IF(MONTH(Modelling[[#This Row],[Date]])&gt;=4,1,0)</f>
        <v>2025</v>
      </c>
      <c r="D256" s="22">
        <f t="shared" si="29"/>
        <v>2024</v>
      </c>
      <c r="E256" s="29">
        <v>44896</v>
      </c>
      <c r="F256" s="22">
        <f>DAY(EOMONTH(Modelling[[#This Row],[Date]],0))</f>
        <v>31</v>
      </c>
      <c r="G256" s="28">
        <f>VLOOKUP(MONTH(Modelling[[#This Row],[Date]]),$W$3:$Z$14,4,0)/1000/Modelling[[#This Row],[Days]]</f>
        <v>577.3220322580645</v>
      </c>
      <c r="H256" s="28">
        <f>SUM($G$247:G256)</f>
        <v>5773.2203225806452</v>
      </c>
      <c r="I256" s="28">
        <f>SUM($G$3:G256)</f>
        <v>107777.1173225806</v>
      </c>
      <c r="J256" s="30">
        <f>VLOOKUP(MONTH(Modelling[[#This Row],[Date]]),$W$3:$Y$14,3,0)</f>
        <v>6.99</v>
      </c>
      <c r="K256" s="30">
        <f>VLOOKUP(MONTH(Modelling[[#This Row],[Date]]),$W$3:$Y$14,3,0)</f>
        <v>6.99</v>
      </c>
      <c r="L256" s="30">
        <f>AVERAGE(J$3:J256)</f>
        <v>7.697913385826773</v>
      </c>
      <c r="M256" s="31">
        <f t="shared" si="25"/>
        <v>0.34266502389486259</v>
      </c>
      <c r="N256" s="31">
        <f t="shared" si="26"/>
        <v>0.34266502389486253</v>
      </c>
      <c r="O256" s="31">
        <f t="shared" si="27"/>
        <v>0.34307490082005404</v>
      </c>
      <c r="P256" s="109">
        <f t="shared" si="28"/>
        <v>70.2</v>
      </c>
      <c r="Q256" s="28">
        <f>AVERAGE($P$247:P256)</f>
        <v>70.200000000000017</v>
      </c>
      <c r="R256" s="81">
        <f>AVERAGE($P$3:P256)</f>
        <v>58.43571428571444</v>
      </c>
      <c r="S256">
        <f t="shared" si="30"/>
        <v>10</v>
      </c>
      <c r="T256">
        <f t="shared" si="32"/>
        <v>224</v>
      </c>
    </row>
    <row r="257" spans="2:20">
      <c r="B257" s="27">
        <f t="shared" si="31"/>
        <v>45637</v>
      </c>
      <c r="C257" s="28">
        <f>YEAR(Modelling[[#This Row],[Date]])+IF(MONTH(Modelling[[#This Row],[Date]])&gt;=4,1,0)</f>
        <v>2025</v>
      </c>
      <c r="D257" s="22">
        <f t="shared" si="29"/>
        <v>2024</v>
      </c>
      <c r="E257" s="29">
        <v>44896</v>
      </c>
      <c r="F257" s="22">
        <f>DAY(EOMONTH(Modelling[[#This Row],[Date]],0))</f>
        <v>31</v>
      </c>
      <c r="G257" s="28">
        <f>VLOOKUP(MONTH(Modelling[[#This Row],[Date]]),$W$3:$Z$14,4,0)/1000/Modelling[[#This Row],[Days]]</f>
        <v>577.3220322580645</v>
      </c>
      <c r="H257" s="28">
        <f>SUM($G$247:G257)</f>
        <v>6350.5423548387098</v>
      </c>
      <c r="I257" s="28">
        <f>SUM($G$3:G257)</f>
        <v>108354.43935483866</v>
      </c>
      <c r="J257" s="30">
        <f>VLOOKUP(MONTH(Modelling[[#This Row],[Date]]),$W$3:$Y$14,3,0)</f>
        <v>6.99</v>
      </c>
      <c r="K257" s="30">
        <f>VLOOKUP(MONTH(Modelling[[#This Row],[Date]]),$W$3:$Y$14,3,0)</f>
        <v>6.99</v>
      </c>
      <c r="L257" s="30">
        <f>AVERAGE(J$3:J257)</f>
        <v>7.6951372549019625</v>
      </c>
      <c r="M257" s="31">
        <f t="shared" si="25"/>
        <v>0.34266502389486259</v>
      </c>
      <c r="N257" s="31">
        <f t="shared" si="26"/>
        <v>0.34266502389486253</v>
      </c>
      <c r="O257" s="31">
        <f t="shared" si="27"/>
        <v>0.34307271436128195</v>
      </c>
      <c r="P257" s="109">
        <f t="shared" si="28"/>
        <v>70.2</v>
      </c>
      <c r="Q257" s="28">
        <f>AVERAGE($P$247:P257)</f>
        <v>70.200000000000017</v>
      </c>
      <c r="R257" s="81">
        <f>AVERAGE($P$3:P257)</f>
        <v>58.488000000000156</v>
      </c>
      <c r="S257">
        <f t="shared" si="30"/>
        <v>11</v>
      </c>
      <c r="T257">
        <f t="shared" si="32"/>
        <v>225</v>
      </c>
    </row>
    <row r="258" spans="2:20">
      <c r="B258" s="27">
        <f t="shared" si="31"/>
        <v>45638</v>
      </c>
      <c r="C258" s="28">
        <f>YEAR(Modelling[[#This Row],[Date]])+IF(MONTH(Modelling[[#This Row],[Date]])&gt;=4,1,0)</f>
        <v>2025</v>
      </c>
      <c r="D258" s="22">
        <f t="shared" si="29"/>
        <v>2024</v>
      </c>
      <c r="E258" s="29">
        <v>44896</v>
      </c>
      <c r="F258" s="22">
        <f>DAY(EOMONTH(Modelling[[#This Row],[Date]],0))</f>
        <v>31</v>
      </c>
      <c r="G258" s="28">
        <f>VLOOKUP(MONTH(Modelling[[#This Row],[Date]]),$W$3:$Z$14,4,0)/1000/Modelling[[#This Row],[Days]]</f>
        <v>577.3220322580645</v>
      </c>
      <c r="H258" s="28">
        <f>SUM($G$247:G258)</f>
        <v>6927.8643870967744</v>
      </c>
      <c r="I258" s="28">
        <f>SUM($G$3:G258)</f>
        <v>108931.76138709672</v>
      </c>
      <c r="J258" s="30">
        <f>VLOOKUP(MONTH(Modelling[[#This Row],[Date]]),$W$3:$Y$14,3,0)</f>
        <v>6.99</v>
      </c>
      <c r="K258" s="30">
        <f>VLOOKUP(MONTH(Modelling[[#This Row],[Date]]),$W$3:$Y$14,3,0)</f>
        <v>6.99</v>
      </c>
      <c r="L258" s="30">
        <f>AVERAGE(J$3:J258)</f>
        <v>7.6923828125000018</v>
      </c>
      <c r="M258" s="31">
        <f t="shared" si="25"/>
        <v>0.34266502389486259</v>
      </c>
      <c r="N258" s="31">
        <f t="shared" si="26"/>
        <v>0.34266502389486253</v>
      </c>
      <c r="O258" s="31">
        <f t="shared" si="27"/>
        <v>0.3430705511057458</v>
      </c>
      <c r="P258" s="109">
        <f t="shared" si="28"/>
        <v>70.2</v>
      </c>
      <c r="Q258" s="28">
        <f>AVERAGE($P$247:P258)</f>
        <v>70.200000000000017</v>
      </c>
      <c r="R258" s="81">
        <f>AVERAGE($P$3:P258)</f>
        <v>58.539823008849716</v>
      </c>
      <c r="S258">
        <f t="shared" si="30"/>
        <v>12</v>
      </c>
      <c r="T258">
        <f t="shared" si="32"/>
        <v>226</v>
      </c>
    </row>
    <row r="259" spans="2:20">
      <c r="B259" s="27">
        <f t="shared" si="31"/>
        <v>45639</v>
      </c>
      <c r="C259" s="28">
        <f>YEAR(Modelling[[#This Row],[Date]])+IF(MONTH(Modelling[[#This Row],[Date]])&gt;=4,1,0)</f>
        <v>2025</v>
      </c>
      <c r="D259" s="22">
        <f t="shared" si="29"/>
        <v>2024</v>
      </c>
      <c r="E259" s="29">
        <v>44896</v>
      </c>
      <c r="F259" s="22">
        <f>DAY(EOMONTH(Modelling[[#This Row],[Date]],0))</f>
        <v>31</v>
      </c>
      <c r="G259" s="28">
        <f>VLOOKUP(MONTH(Modelling[[#This Row],[Date]]),$W$3:$Z$14,4,0)/1000/Modelling[[#This Row],[Days]]</f>
        <v>577.3220322580645</v>
      </c>
      <c r="H259" s="28">
        <f>SUM($G$247:G259)</f>
        <v>7505.186419354839</v>
      </c>
      <c r="I259" s="28">
        <f>SUM($G$3:G259)</f>
        <v>109509.08341935478</v>
      </c>
      <c r="J259" s="30">
        <f>VLOOKUP(MONTH(Modelling[[#This Row],[Date]]),$W$3:$Y$14,3,0)</f>
        <v>6.99</v>
      </c>
      <c r="K259" s="30">
        <f>VLOOKUP(MONTH(Modelling[[#This Row],[Date]]),$W$3:$Y$14,3,0)</f>
        <v>6.99</v>
      </c>
      <c r="L259" s="30">
        <f>AVERAGE(J$3:J259)</f>
        <v>7.6896498054474725</v>
      </c>
      <c r="M259" s="31">
        <f t="shared" ref="M259:M322" si="33">G259/P259/24</f>
        <v>0.34266502389486259</v>
      </c>
      <c r="N259" s="31">
        <f t="shared" ref="N259:N322" si="34">H259/(24*S259)/Q259</f>
        <v>0.34266502389486253</v>
      </c>
      <c r="O259" s="31">
        <f t="shared" ref="O259:O322" si="35">I259/(24*T259)/R259</f>
        <v>0.34306841068603749</v>
      </c>
      <c r="P259" s="109">
        <f t="shared" ref="P259:P322" si="36">_xlfn.XLOOKUP(MONTH(B259),W:W,AA:AA)</f>
        <v>70.2</v>
      </c>
      <c r="Q259" s="28">
        <f>AVERAGE($P$247:P259)</f>
        <v>70.200000000000017</v>
      </c>
      <c r="R259" s="81">
        <f>AVERAGE($P$3:P259)</f>
        <v>58.591189427312941</v>
      </c>
      <c r="S259">
        <f t="shared" si="30"/>
        <v>13</v>
      </c>
      <c r="T259">
        <f t="shared" si="32"/>
        <v>227</v>
      </c>
    </row>
    <row r="260" spans="2:20">
      <c r="B260" s="27">
        <f t="shared" si="31"/>
        <v>45640</v>
      </c>
      <c r="C260" s="28">
        <f>YEAR(Modelling[[#This Row],[Date]])+IF(MONTH(Modelling[[#This Row],[Date]])&gt;=4,1,0)</f>
        <v>2025</v>
      </c>
      <c r="D260" s="22">
        <f t="shared" ref="D260:D323" si="37">YEAR(B260)</f>
        <v>2024</v>
      </c>
      <c r="E260" s="29">
        <v>44896</v>
      </c>
      <c r="F260" s="22">
        <f>DAY(EOMONTH(Modelling[[#This Row],[Date]],0))</f>
        <v>31</v>
      </c>
      <c r="G260" s="28">
        <f>VLOOKUP(MONTH(Modelling[[#This Row],[Date]]),$W$3:$Z$14,4,0)/1000/Modelling[[#This Row],[Days]]</f>
        <v>577.3220322580645</v>
      </c>
      <c r="H260" s="28">
        <f>SUM($G$247:G260)</f>
        <v>8082.5084516129036</v>
      </c>
      <c r="I260" s="28">
        <f>SUM($G$3:G260)</f>
        <v>110086.40545161284</v>
      </c>
      <c r="J260" s="30">
        <f>VLOOKUP(MONTH(Modelling[[#This Row],[Date]]),$W$3:$Y$14,3,0)</f>
        <v>6.99</v>
      </c>
      <c r="K260" s="30">
        <f>VLOOKUP(MONTH(Modelling[[#This Row],[Date]]),$W$3:$Y$14,3,0)</f>
        <v>6.99</v>
      </c>
      <c r="L260" s="30">
        <f>AVERAGE(J$3:J260)</f>
        <v>7.6869379844961259</v>
      </c>
      <c r="M260" s="31">
        <f t="shared" si="33"/>
        <v>0.34266502389486259</v>
      </c>
      <c r="N260" s="31">
        <f t="shared" si="34"/>
        <v>0.34266502389486253</v>
      </c>
      <c r="O260" s="31">
        <f t="shared" si="35"/>
        <v>0.34306629274246508</v>
      </c>
      <c r="P260" s="109">
        <f t="shared" si="36"/>
        <v>70.2</v>
      </c>
      <c r="Q260" s="28">
        <f>AVERAGE($P$247:P260)</f>
        <v>70.200000000000017</v>
      </c>
      <c r="R260" s="81">
        <f>AVERAGE($P$3:P260)</f>
        <v>58.642105263158058</v>
      </c>
      <c r="S260">
        <f t="shared" ref="S260:S323" si="38">DAY(B260)</f>
        <v>14</v>
      </c>
      <c r="T260">
        <f t="shared" si="32"/>
        <v>228</v>
      </c>
    </row>
    <row r="261" spans="2:20">
      <c r="B261" s="27">
        <f t="shared" ref="B261:B324" si="39">B260+1</f>
        <v>45641</v>
      </c>
      <c r="C261" s="28">
        <f>YEAR(Modelling[[#This Row],[Date]])+IF(MONTH(Modelling[[#This Row],[Date]])&gt;=4,1,0)</f>
        <v>2025</v>
      </c>
      <c r="D261" s="22">
        <f t="shared" si="37"/>
        <v>2024</v>
      </c>
      <c r="E261" s="29">
        <v>44896</v>
      </c>
      <c r="F261" s="22">
        <f>DAY(EOMONTH(Modelling[[#This Row],[Date]],0))</f>
        <v>31</v>
      </c>
      <c r="G261" s="28">
        <f>VLOOKUP(MONTH(Modelling[[#This Row],[Date]]),$W$3:$Z$14,4,0)/1000/Modelling[[#This Row],[Days]]</f>
        <v>577.3220322580645</v>
      </c>
      <c r="H261" s="28">
        <f>SUM($G$247:G261)</f>
        <v>8659.8304838709682</v>
      </c>
      <c r="I261" s="28">
        <f>SUM($G$3:G261)</f>
        <v>110663.7274838709</v>
      </c>
      <c r="J261" s="30">
        <f>VLOOKUP(MONTH(Modelling[[#This Row],[Date]]),$W$3:$Y$14,3,0)</f>
        <v>6.99</v>
      </c>
      <c r="K261" s="30">
        <f>VLOOKUP(MONTH(Modelling[[#This Row],[Date]]),$W$3:$Y$14,3,0)</f>
        <v>6.99</v>
      </c>
      <c r="L261" s="30">
        <f>AVERAGE(J$3:J261)</f>
        <v>7.6842471042471061</v>
      </c>
      <c r="M261" s="31">
        <f t="shared" si="33"/>
        <v>0.34266502389486259</v>
      </c>
      <c r="N261" s="31">
        <f t="shared" si="34"/>
        <v>0.34266502389486253</v>
      </c>
      <c r="O261" s="31">
        <f t="shared" si="35"/>
        <v>0.34306419692285123</v>
      </c>
      <c r="P261" s="109">
        <f t="shared" si="36"/>
        <v>70.2</v>
      </c>
      <c r="Q261" s="28">
        <f>AVERAGE($P$247:P261)</f>
        <v>70.200000000000017</v>
      </c>
      <c r="R261" s="81">
        <f>AVERAGE($P$3:P261)</f>
        <v>58.692576419214141</v>
      </c>
      <c r="S261">
        <f t="shared" si="38"/>
        <v>15</v>
      </c>
      <c r="T261">
        <f t="shared" ref="T261:T324" si="40">T260+1</f>
        <v>229</v>
      </c>
    </row>
    <row r="262" spans="2:20">
      <c r="B262" s="27">
        <f t="shared" si="39"/>
        <v>45642</v>
      </c>
      <c r="C262" s="28">
        <f>YEAR(Modelling[[#This Row],[Date]])+IF(MONTH(Modelling[[#This Row],[Date]])&gt;=4,1,0)</f>
        <v>2025</v>
      </c>
      <c r="D262" s="22">
        <f t="shared" si="37"/>
        <v>2024</v>
      </c>
      <c r="E262" s="29">
        <v>44896</v>
      </c>
      <c r="F262" s="22">
        <f>DAY(EOMONTH(Modelling[[#This Row],[Date]],0))</f>
        <v>31</v>
      </c>
      <c r="G262" s="28">
        <f>VLOOKUP(MONTH(Modelling[[#This Row],[Date]]),$W$3:$Z$14,4,0)/1000/Modelling[[#This Row],[Days]]</f>
        <v>577.3220322580645</v>
      </c>
      <c r="H262" s="28">
        <f>SUM($G$247:G262)</f>
        <v>9237.1525161290319</v>
      </c>
      <c r="I262" s="28">
        <f>SUM($G$3:G262)</f>
        <v>111241.04951612896</v>
      </c>
      <c r="J262" s="30">
        <f>VLOOKUP(MONTH(Modelling[[#This Row],[Date]]),$W$3:$Y$14,3,0)</f>
        <v>6.99</v>
      </c>
      <c r="K262" s="30">
        <f>VLOOKUP(MONTH(Modelling[[#This Row],[Date]]),$W$3:$Y$14,3,0)</f>
        <v>6.99</v>
      </c>
      <c r="L262" s="30">
        <f>AVERAGE(J$3:J262)</f>
        <v>7.6815769230769249</v>
      </c>
      <c r="M262" s="31">
        <f t="shared" si="33"/>
        <v>0.34266502389486259</v>
      </c>
      <c r="N262" s="31">
        <f t="shared" si="34"/>
        <v>0.34266502389486253</v>
      </c>
      <c r="O262" s="31">
        <f t="shared" si="35"/>
        <v>0.34306212288233806</v>
      </c>
      <c r="P262" s="109">
        <f t="shared" si="36"/>
        <v>70.2</v>
      </c>
      <c r="Q262" s="28">
        <f>AVERAGE($P$247:P262)</f>
        <v>70.200000000000017</v>
      </c>
      <c r="R262" s="81">
        <f>AVERAGE($P$3:P262)</f>
        <v>58.742608695652343</v>
      </c>
      <c r="S262">
        <f t="shared" si="38"/>
        <v>16</v>
      </c>
      <c r="T262">
        <f t="shared" si="40"/>
        <v>230</v>
      </c>
    </row>
    <row r="263" spans="2:20">
      <c r="B263" s="27">
        <f t="shared" si="39"/>
        <v>45643</v>
      </c>
      <c r="C263" s="28">
        <f>YEAR(Modelling[[#This Row],[Date]])+IF(MONTH(Modelling[[#This Row],[Date]])&gt;=4,1,0)</f>
        <v>2025</v>
      </c>
      <c r="D263" s="22">
        <f t="shared" si="37"/>
        <v>2024</v>
      </c>
      <c r="E263" s="29">
        <v>44896</v>
      </c>
      <c r="F263" s="22">
        <f>DAY(EOMONTH(Modelling[[#This Row],[Date]],0))</f>
        <v>31</v>
      </c>
      <c r="G263" s="28">
        <f>VLOOKUP(MONTH(Modelling[[#This Row],[Date]]),$W$3:$Z$14,4,0)/1000/Modelling[[#This Row],[Days]]</f>
        <v>577.3220322580645</v>
      </c>
      <c r="H263" s="28">
        <f>SUM($G$247:G263)</f>
        <v>9814.4745483870956</v>
      </c>
      <c r="I263" s="28">
        <f>SUM($G$3:G263)</f>
        <v>111818.37154838702</v>
      </c>
      <c r="J263" s="30">
        <f>VLOOKUP(MONTH(Modelling[[#This Row],[Date]]),$W$3:$Y$14,3,0)</f>
        <v>6.99</v>
      </c>
      <c r="K263" s="30">
        <f>VLOOKUP(MONTH(Modelling[[#This Row],[Date]]),$W$3:$Y$14,3,0)</f>
        <v>6.99</v>
      </c>
      <c r="L263" s="30">
        <f>AVERAGE(J$3:J263)</f>
        <v>7.6789272030651361</v>
      </c>
      <c r="M263" s="31">
        <f t="shared" si="33"/>
        <v>0.34266502389486259</v>
      </c>
      <c r="N263" s="31">
        <f t="shared" si="34"/>
        <v>0.34266502389486247</v>
      </c>
      <c r="O263" s="31">
        <f t="shared" si="35"/>
        <v>0.34306007028319802</v>
      </c>
      <c r="P263" s="109">
        <f t="shared" si="36"/>
        <v>70.2</v>
      </c>
      <c r="Q263" s="28">
        <f>AVERAGE($P$247:P263)</f>
        <v>70.200000000000017</v>
      </c>
      <c r="R263" s="81">
        <f>AVERAGE($P$3:P263)</f>
        <v>58.792207792207968</v>
      </c>
      <c r="S263">
        <f t="shared" si="38"/>
        <v>17</v>
      </c>
      <c r="T263">
        <f t="shared" si="40"/>
        <v>231</v>
      </c>
    </row>
    <row r="264" spans="2:20">
      <c r="B264" s="27">
        <f t="shared" si="39"/>
        <v>45644</v>
      </c>
      <c r="C264" s="28">
        <f>YEAR(Modelling[[#This Row],[Date]])+IF(MONTH(Modelling[[#This Row],[Date]])&gt;=4,1,0)</f>
        <v>2025</v>
      </c>
      <c r="D264" s="22">
        <f t="shared" si="37"/>
        <v>2024</v>
      </c>
      <c r="E264" s="29">
        <v>44896</v>
      </c>
      <c r="F264" s="22">
        <f>DAY(EOMONTH(Modelling[[#This Row],[Date]],0))</f>
        <v>31</v>
      </c>
      <c r="G264" s="28">
        <f>VLOOKUP(MONTH(Modelling[[#This Row],[Date]]),$W$3:$Z$14,4,0)/1000/Modelling[[#This Row],[Days]]</f>
        <v>577.3220322580645</v>
      </c>
      <c r="H264" s="28">
        <f>SUM($G$247:G264)</f>
        <v>10391.796580645159</v>
      </c>
      <c r="I264" s="28">
        <f>SUM($G$3:G264)</f>
        <v>112395.69358064508</v>
      </c>
      <c r="J264" s="30">
        <f>VLOOKUP(MONTH(Modelling[[#This Row],[Date]]),$W$3:$Y$14,3,0)</f>
        <v>6.99</v>
      </c>
      <c r="K264" s="30">
        <f>VLOOKUP(MONTH(Modelling[[#This Row],[Date]]),$W$3:$Y$14,3,0)</f>
        <v>6.99</v>
      </c>
      <c r="L264" s="30">
        <f>AVERAGE(J$3:J264)</f>
        <v>7.6762977099236664</v>
      </c>
      <c r="M264" s="31">
        <f t="shared" si="33"/>
        <v>0.34266502389486259</v>
      </c>
      <c r="N264" s="31">
        <f t="shared" si="34"/>
        <v>0.34266502389486247</v>
      </c>
      <c r="O264" s="31">
        <f t="shared" si="35"/>
        <v>0.34305803879465036</v>
      </c>
      <c r="P264" s="109">
        <f t="shared" si="36"/>
        <v>70.2</v>
      </c>
      <c r="Q264" s="28">
        <f>AVERAGE($P$247:P264)</f>
        <v>70.200000000000017</v>
      </c>
      <c r="R264" s="81">
        <f>AVERAGE($P$3:P264)</f>
        <v>58.841379310345005</v>
      </c>
      <c r="S264">
        <f t="shared" si="38"/>
        <v>18</v>
      </c>
      <c r="T264">
        <f t="shared" si="40"/>
        <v>232</v>
      </c>
    </row>
    <row r="265" spans="2:20">
      <c r="B265" s="27">
        <f t="shared" si="39"/>
        <v>45645</v>
      </c>
      <c r="C265" s="28">
        <f>YEAR(Modelling[[#This Row],[Date]])+IF(MONTH(Modelling[[#This Row],[Date]])&gt;=4,1,0)</f>
        <v>2025</v>
      </c>
      <c r="D265" s="22">
        <f t="shared" si="37"/>
        <v>2024</v>
      </c>
      <c r="E265" s="29">
        <v>44896</v>
      </c>
      <c r="F265" s="22">
        <f>DAY(EOMONTH(Modelling[[#This Row],[Date]],0))</f>
        <v>31</v>
      </c>
      <c r="G265" s="28">
        <f>VLOOKUP(MONTH(Modelling[[#This Row],[Date]]),$W$3:$Z$14,4,0)/1000/Modelling[[#This Row],[Days]]</f>
        <v>577.3220322580645</v>
      </c>
      <c r="H265" s="28">
        <f>SUM($G$247:G265)</f>
        <v>10969.118612903223</v>
      </c>
      <c r="I265" s="28">
        <f>SUM($G$3:G265)</f>
        <v>112973.01561290314</v>
      </c>
      <c r="J265" s="30">
        <f>VLOOKUP(MONTH(Modelling[[#This Row],[Date]]),$W$3:$Y$14,3,0)</f>
        <v>6.99</v>
      </c>
      <c r="K265" s="30">
        <f>VLOOKUP(MONTH(Modelling[[#This Row],[Date]]),$W$3:$Y$14,3,0)</f>
        <v>6.99</v>
      </c>
      <c r="L265" s="30">
        <f>AVERAGE(J$3:J265)</f>
        <v>7.6736882129277584</v>
      </c>
      <c r="M265" s="31">
        <f t="shared" si="33"/>
        <v>0.34266502389486259</v>
      </c>
      <c r="N265" s="31">
        <f t="shared" si="34"/>
        <v>0.34266502389486242</v>
      </c>
      <c r="O265" s="31">
        <f t="shared" si="35"/>
        <v>0.34305602809268371</v>
      </c>
      <c r="P265" s="109">
        <f t="shared" si="36"/>
        <v>70.2</v>
      </c>
      <c r="Q265" s="28">
        <f>AVERAGE($P$247:P265)</f>
        <v>70.200000000000017</v>
      </c>
      <c r="R265" s="81">
        <f>AVERAGE($P$3:P265)</f>
        <v>58.890128755364984</v>
      </c>
      <c r="S265">
        <f t="shared" si="38"/>
        <v>19</v>
      </c>
      <c r="T265">
        <f t="shared" si="40"/>
        <v>233</v>
      </c>
    </row>
    <row r="266" spans="2:20">
      <c r="B266" s="27">
        <f t="shared" si="39"/>
        <v>45646</v>
      </c>
      <c r="C266" s="28">
        <f>YEAR(Modelling[[#This Row],[Date]])+IF(MONTH(Modelling[[#This Row],[Date]])&gt;=4,1,0)</f>
        <v>2025</v>
      </c>
      <c r="D266" s="22">
        <f t="shared" si="37"/>
        <v>2024</v>
      </c>
      <c r="E266" s="29">
        <v>44896</v>
      </c>
      <c r="F266" s="22">
        <f>DAY(EOMONTH(Modelling[[#This Row],[Date]],0))</f>
        <v>31</v>
      </c>
      <c r="G266" s="28">
        <f>VLOOKUP(MONTH(Modelling[[#This Row],[Date]]),$W$3:$Z$14,4,0)/1000/Modelling[[#This Row],[Days]]</f>
        <v>577.3220322580645</v>
      </c>
      <c r="H266" s="28">
        <f>SUM($G$247:G266)</f>
        <v>11546.440645161287</v>
      </c>
      <c r="I266" s="28">
        <f>SUM($G$3:G266)</f>
        <v>113550.3376451612</v>
      </c>
      <c r="J266" s="30">
        <f>VLOOKUP(MONTH(Modelling[[#This Row],[Date]]),$W$3:$Y$14,3,0)</f>
        <v>6.99</v>
      </c>
      <c r="K266" s="30">
        <f>VLOOKUP(MONTH(Modelling[[#This Row],[Date]]),$W$3:$Y$14,3,0)</f>
        <v>6.99</v>
      </c>
      <c r="L266" s="30">
        <f>AVERAGE(J$3:J266)</f>
        <v>7.6710984848484864</v>
      </c>
      <c r="M266" s="31">
        <f t="shared" si="33"/>
        <v>0.34266502389486259</v>
      </c>
      <c r="N266" s="31">
        <f t="shared" si="34"/>
        <v>0.34266502389486242</v>
      </c>
      <c r="O266" s="31">
        <f t="shared" si="35"/>
        <v>0.34305403785988348</v>
      </c>
      <c r="P266" s="109">
        <f t="shared" si="36"/>
        <v>70.2</v>
      </c>
      <c r="Q266" s="28">
        <f>AVERAGE($P$247:P266)</f>
        <v>70.200000000000017</v>
      </c>
      <c r="R266" s="81">
        <f>AVERAGE($P$3:P266)</f>
        <v>58.938461538461716</v>
      </c>
      <c r="S266">
        <f t="shared" si="38"/>
        <v>20</v>
      </c>
      <c r="T266">
        <f t="shared" si="40"/>
        <v>234</v>
      </c>
    </row>
    <row r="267" spans="2:20">
      <c r="B267" s="27">
        <f t="shared" si="39"/>
        <v>45647</v>
      </c>
      <c r="C267" s="28">
        <f>YEAR(Modelling[[#This Row],[Date]])+IF(MONTH(Modelling[[#This Row],[Date]])&gt;=4,1,0)</f>
        <v>2025</v>
      </c>
      <c r="D267" s="22">
        <f t="shared" si="37"/>
        <v>2024</v>
      </c>
      <c r="E267" s="29">
        <v>44896</v>
      </c>
      <c r="F267" s="22">
        <f>DAY(EOMONTH(Modelling[[#This Row],[Date]],0))</f>
        <v>31</v>
      </c>
      <c r="G267" s="28">
        <f>VLOOKUP(MONTH(Modelling[[#This Row],[Date]]),$W$3:$Z$14,4,0)/1000/Modelling[[#This Row],[Days]]</f>
        <v>577.3220322580645</v>
      </c>
      <c r="H267" s="28">
        <f>SUM($G$247:G267)</f>
        <v>12123.76267741935</v>
      </c>
      <c r="I267" s="28">
        <f>SUM($G$3:G267)</f>
        <v>114127.65967741926</v>
      </c>
      <c r="J267" s="30">
        <f>VLOOKUP(MONTH(Modelling[[#This Row],[Date]]),$W$3:$Y$14,3,0)</f>
        <v>6.99</v>
      </c>
      <c r="K267" s="30">
        <f>VLOOKUP(MONTH(Modelling[[#This Row],[Date]]),$W$3:$Y$14,3,0)</f>
        <v>6.99</v>
      </c>
      <c r="L267" s="30">
        <f>AVERAGE(J$3:J267)</f>
        <v>7.6685283018867949</v>
      </c>
      <c r="M267" s="31">
        <f t="shared" si="33"/>
        <v>0.34266502389486259</v>
      </c>
      <c r="N267" s="31">
        <f t="shared" si="34"/>
        <v>0.34266502389486236</v>
      </c>
      <c r="O267" s="31">
        <f t="shared" si="35"/>
        <v>0.34305206778526509</v>
      </c>
      <c r="P267" s="109">
        <f t="shared" si="36"/>
        <v>70.2</v>
      </c>
      <c r="Q267" s="28">
        <f>AVERAGE($P$247:P267)</f>
        <v>70.200000000000017</v>
      </c>
      <c r="R267" s="81">
        <f>AVERAGE($P$3:P267)</f>
        <v>58.98638297872359</v>
      </c>
      <c r="S267">
        <f t="shared" si="38"/>
        <v>21</v>
      </c>
      <c r="T267">
        <f t="shared" si="40"/>
        <v>235</v>
      </c>
    </row>
    <row r="268" spans="2:20">
      <c r="B268" s="27">
        <f t="shared" si="39"/>
        <v>45648</v>
      </c>
      <c r="C268" s="28">
        <f>YEAR(Modelling[[#This Row],[Date]])+IF(MONTH(Modelling[[#This Row],[Date]])&gt;=4,1,0)</f>
        <v>2025</v>
      </c>
      <c r="D268" s="22">
        <f t="shared" si="37"/>
        <v>2024</v>
      </c>
      <c r="E268" s="29">
        <v>44896</v>
      </c>
      <c r="F268" s="22">
        <f>DAY(EOMONTH(Modelling[[#This Row],[Date]],0))</f>
        <v>31</v>
      </c>
      <c r="G268" s="28">
        <f>VLOOKUP(MONTH(Modelling[[#This Row],[Date]]),$W$3:$Z$14,4,0)/1000/Modelling[[#This Row],[Days]]</f>
        <v>577.3220322580645</v>
      </c>
      <c r="H268" s="28">
        <f>SUM($G$247:G268)</f>
        <v>12701.084709677414</v>
      </c>
      <c r="I268" s="28">
        <f>SUM($G$3:G268)</f>
        <v>114704.98170967732</v>
      </c>
      <c r="J268" s="30">
        <f>VLOOKUP(MONTH(Modelling[[#This Row],[Date]]),$W$3:$Y$14,3,0)</f>
        <v>6.99</v>
      </c>
      <c r="K268" s="30">
        <f>VLOOKUP(MONTH(Modelling[[#This Row],[Date]]),$W$3:$Y$14,3,0)</f>
        <v>6.99</v>
      </c>
      <c r="L268" s="30">
        <f>AVERAGE(J$3:J268)</f>
        <v>7.6659774436090249</v>
      </c>
      <c r="M268" s="31">
        <f t="shared" si="33"/>
        <v>0.34266502389486259</v>
      </c>
      <c r="N268" s="31">
        <f t="shared" si="34"/>
        <v>0.34266502389486231</v>
      </c>
      <c r="O268" s="31">
        <f t="shared" si="35"/>
        <v>0.34305011756411186</v>
      </c>
      <c r="P268" s="109">
        <f t="shared" si="36"/>
        <v>70.2</v>
      </c>
      <c r="Q268" s="28">
        <f>AVERAGE($P$247:P268)</f>
        <v>70.200000000000031</v>
      </c>
      <c r="R268" s="81">
        <f>AVERAGE($P$3:P268)</f>
        <v>59.033898305084932</v>
      </c>
      <c r="S268">
        <f t="shared" si="38"/>
        <v>22</v>
      </c>
      <c r="T268">
        <f t="shared" si="40"/>
        <v>236</v>
      </c>
    </row>
    <row r="269" spans="2:20">
      <c r="B269" s="27">
        <f t="shared" si="39"/>
        <v>45649</v>
      </c>
      <c r="C269" s="28">
        <f>YEAR(Modelling[[#This Row],[Date]])+IF(MONTH(Modelling[[#This Row],[Date]])&gt;=4,1,0)</f>
        <v>2025</v>
      </c>
      <c r="D269" s="22">
        <f t="shared" si="37"/>
        <v>2024</v>
      </c>
      <c r="E269" s="29">
        <v>44896</v>
      </c>
      <c r="F269" s="22">
        <f>DAY(EOMONTH(Modelling[[#This Row],[Date]],0))</f>
        <v>31</v>
      </c>
      <c r="G269" s="28">
        <f>VLOOKUP(MONTH(Modelling[[#This Row],[Date]]),$W$3:$Z$14,4,0)/1000/Modelling[[#This Row],[Days]]</f>
        <v>577.3220322580645</v>
      </c>
      <c r="H269" s="28">
        <f>SUM($G$247:G269)</f>
        <v>13278.406741935478</v>
      </c>
      <c r="I269" s="28">
        <f>SUM($G$3:G269)</f>
        <v>115282.30374193538</v>
      </c>
      <c r="J269" s="30">
        <f>VLOOKUP(MONTH(Modelling[[#This Row],[Date]]),$W$3:$Y$14,3,0)</f>
        <v>6.99</v>
      </c>
      <c r="K269" s="30">
        <f>VLOOKUP(MONTH(Modelling[[#This Row],[Date]]),$W$3:$Y$14,3,0)</f>
        <v>6.99</v>
      </c>
      <c r="L269" s="30">
        <f>AVERAGE(J$3:J269)</f>
        <v>7.6634456928838972</v>
      </c>
      <c r="M269" s="31">
        <f t="shared" si="33"/>
        <v>0.34266502389486259</v>
      </c>
      <c r="N269" s="31">
        <f t="shared" si="34"/>
        <v>0.34266502389486231</v>
      </c>
      <c r="O269" s="31">
        <f t="shared" si="35"/>
        <v>0.34304818689781791</v>
      </c>
      <c r="P269" s="109">
        <f t="shared" si="36"/>
        <v>70.2</v>
      </c>
      <c r="Q269" s="28">
        <f>AVERAGE($P$247:P269)</f>
        <v>70.200000000000031</v>
      </c>
      <c r="R269" s="81">
        <f>AVERAGE($P$3:P269)</f>
        <v>59.081012658228033</v>
      </c>
      <c r="S269">
        <f t="shared" si="38"/>
        <v>23</v>
      </c>
      <c r="T269">
        <f t="shared" si="40"/>
        <v>237</v>
      </c>
    </row>
    <row r="270" spans="2:20">
      <c r="B270" s="27">
        <f t="shared" si="39"/>
        <v>45650</v>
      </c>
      <c r="C270" s="28">
        <f>YEAR(Modelling[[#This Row],[Date]])+IF(MONTH(Modelling[[#This Row],[Date]])&gt;=4,1,0)</f>
        <v>2025</v>
      </c>
      <c r="D270" s="22">
        <f t="shared" si="37"/>
        <v>2024</v>
      </c>
      <c r="E270" s="29">
        <v>44896</v>
      </c>
      <c r="F270" s="22">
        <f>DAY(EOMONTH(Modelling[[#This Row],[Date]],0))</f>
        <v>31</v>
      </c>
      <c r="G270" s="28">
        <f>VLOOKUP(MONTH(Modelling[[#This Row],[Date]]),$W$3:$Z$14,4,0)/1000/Modelling[[#This Row],[Days]]</f>
        <v>577.3220322580645</v>
      </c>
      <c r="H270" s="28">
        <f>SUM($G$247:G270)</f>
        <v>13855.728774193542</v>
      </c>
      <c r="I270" s="28">
        <f>SUM($G$3:G270)</f>
        <v>115859.62577419344</v>
      </c>
      <c r="J270" s="30">
        <f>VLOOKUP(MONTH(Modelling[[#This Row],[Date]]),$W$3:$Y$14,3,0)</f>
        <v>6.99</v>
      </c>
      <c r="K270" s="30">
        <f>VLOOKUP(MONTH(Modelling[[#This Row],[Date]]),$W$3:$Y$14,3,0)</f>
        <v>6.99</v>
      </c>
      <c r="L270" s="30">
        <f>AVERAGE(J$3:J270)</f>
        <v>7.6609328358208977</v>
      </c>
      <c r="M270" s="31">
        <f t="shared" si="33"/>
        <v>0.34266502389486259</v>
      </c>
      <c r="N270" s="31">
        <f t="shared" si="34"/>
        <v>0.34266502389486231</v>
      </c>
      <c r="O270" s="31">
        <f t="shared" si="35"/>
        <v>0.34304627549373556</v>
      </c>
      <c r="P270" s="109">
        <f t="shared" si="36"/>
        <v>70.2</v>
      </c>
      <c r="Q270" s="28">
        <f>AVERAGE($P$247:P270)</f>
        <v>70.200000000000031</v>
      </c>
      <c r="R270" s="81">
        <f>AVERAGE($P$3:P270)</f>
        <v>59.127731092437166</v>
      </c>
      <c r="S270">
        <f t="shared" si="38"/>
        <v>24</v>
      </c>
      <c r="T270">
        <f t="shared" si="40"/>
        <v>238</v>
      </c>
    </row>
    <row r="271" spans="2:20">
      <c r="B271" s="27">
        <f t="shared" si="39"/>
        <v>45651</v>
      </c>
      <c r="C271" s="28">
        <f>YEAR(Modelling[[#This Row],[Date]])+IF(MONTH(Modelling[[#This Row],[Date]])&gt;=4,1,0)</f>
        <v>2025</v>
      </c>
      <c r="D271" s="22">
        <f t="shared" si="37"/>
        <v>2024</v>
      </c>
      <c r="E271" s="29">
        <v>44896</v>
      </c>
      <c r="F271" s="22">
        <f>DAY(EOMONTH(Modelling[[#This Row],[Date]],0))</f>
        <v>31</v>
      </c>
      <c r="G271" s="28">
        <f>VLOOKUP(MONTH(Modelling[[#This Row],[Date]]),$W$3:$Z$14,4,0)/1000/Modelling[[#This Row],[Days]]</f>
        <v>577.3220322580645</v>
      </c>
      <c r="H271" s="28">
        <f>SUM($G$247:G271)</f>
        <v>14433.050806451605</v>
      </c>
      <c r="I271" s="28">
        <f>SUM($G$3:G271)</f>
        <v>116436.9478064515</v>
      </c>
      <c r="J271" s="30">
        <f>VLOOKUP(MONTH(Modelling[[#This Row],[Date]]),$W$3:$Y$14,3,0)</f>
        <v>6.99</v>
      </c>
      <c r="K271" s="30">
        <f>VLOOKUP(MONTH(Modelling[[#This Row],[Date]]),$W$3:$Y$14,3,0)</f>
        <v>6.99</v>
      </c>
      <c r="L271" s="30">
        <f>AVERAGE(J$3:J271)</f>
        <v>7.6584386617100382</v>
      </c>
      <c r="M271" s="31">
        <f t="shared" si="33"/>
        <v>0.34266502389486259</v>
      </c>
      <c r="N271" s="31">
        <f t="shared" si="34"/>
        <v>0.34266502389486225</v>
      </c>
      <c r="O271" s="31">
        <f t="shared" si="35"/>
        <v>0.34304438306502794</v>
      </c>
      <c r="P271" s="109">
        <f t="shared" si="36"/>
        <v>70.2</v>
      </c>
      <c r="Q271" s="28">
        <f>AVERAGE($P$247:P271)</f>
        <v>70.200000000000031</v>
      </c>
      <c r="R271" s="81">
        <f>AVERAGE($P$3:P271)</f>
        <v>59.174058577406051</v>
      </c>
      <c r="S271">
        <f t="shared" si="38"/>
        <v>25</v>
      </c>
      <c r="T271">
        <f t="shared" si="40"/>
        <v>239</v>
      </c>
    </row>
    <row r="272" spans="2:20">
      <c r="B272" s="27">
        <f t="shared" si="39"/>
        <v>45652</v>
      </c>
      <c r="C272" s="28">
        <f>YEAR(Modelling[[#This Row],[Date]])+IF(MONTH(Modelling[[#This Row],[Date]])&gt;=4,1,0)</f>
        <v>2025</v>
      </c>
      <c r="D272" s="22">
        <f t="shared" si="37"/>
        <v>2024</v>
      </c>
      <c r="E272" s="29">
        <v>44896</v>
      </c>
      <c r="F272" s="22">
        <f>DAY(EOMONTH(Modelling[[#This Row],[Date]],0))</f>
        <v>31</v>
      </c>
      <c r="G272" s="28">
        <f>VLOOKUP(MONTH(Modelling[[#This Row],[Date]]),$W$3:$Z$14,4,0)/1000/Modelling[[#This Row],[Days]]</f>
        <v>577.3220322580645</v>
      </c>
      <c r="H272" s="28">
        <f>SUM($G$247:G272)</f>
        <v>15010.372838709669</v>
      </c>
      <c r="I272" s="28">
        <f>SUM($G$3:G272)</f>
        <v>117014.26983870956</v>
      </c>
      <c r="J272" s="30">
        <f>VLOOKUP(MONTH(Modelling[[#This Row],[Date]]),$W$3:$Y$14,3,0)</f>
        <v>6.99</v>
      </c>
      <c r="K272" s="30">
        <f>VLOOKUP(MONTH(Modelling[[#This Row],[Date]]),$W$3:$Y$14,3,0)</f>
        <v>6.99</v>
      </c>
      <c r="L272" s="30">
        <f>AVERAGE(J$3:J272)</f>
        <v>7.6559629629629633</v>
      </c>
      <c r="M272" s="31">
        <f t="shared" si="33"/>
        <v>0.34266502389486259</v>
      </c>
      <c r="N272" s="31">
        <f t="shared" si="34"/>
        <v>0.34266502389486225</v>
      </c>
      <c r="O272" s="31">
        <f t="shared" si="35"/>
        <v>0.34304250933052483</v>
      </c>
      <c r="P272" s="109">
        <f t="shared" si="36"/>
        <v>70.2</v>
      </c>
      <c r="Q272" s="28">
        <f>AVERAGE($P$247:P272)</f>
        <v>70.200000000000031</v>
      </c>
      <c r="R272" s="81">
        <f>AVERAGE($P$3:P272)</f>
        <v>59.220000000000191</v>
      </c>
      <c r="S272">
        <f t="shared" si="38"/>
        <v>26</v>
      </c>
      <c r="T272">
        <f t="shared" si="40"/>
        <v>240</v>
      </c>
    </row>
    <row r="273" spans="2:20">
      <c r="B273" s="27">
        <f t="shared" si="39"/>
        <v>45653</v>
      </c>
      <c r="C273" s="28">
        <f>YEAR(Modelling[[#This Row],[Date]])+IF(MONTH(Modelling[[#This Row],[Date]])&gt;=4,1,0)</f>
        <v>2025</v>
      </c>
      <c r="D273" s="22">
        <f t="shared" si="37"/>
        <v>2024</v>
      </c>
      <c r="E273" s="29">
        <v>44896</v>
      </c>
      <c r="F273" s="22">
        <f>DAY(EOMONTH(Modelling[[#This Row],[Date]],0))</f>
        <v>31</v>
      </c>
      <c r="G273" s="28">
        <f>VLOOKUP(MONTH(Modelling[[#This Row],[Date]]),$W$3:$Z$14,4,0)/1000/Modelling[[#This Row],[Days]]</f>
        <v>577.3220322580645</v>
      </c>
      <c r="H273" s="28">
        <f>SUM($G$247:G273)</f>
        <v>15587.694870967733</v>
      </c>
      <c r="I273" s="28">
        <f>SUM($G$3:G273)</f>
        <v>117591.59187096762</v>
      </c>
      <c r="J273" s="30">
        <f>VLOOKUP(MONTH(Modelling[[#This Row],[Date]]),$W$3:$Y$14,3,0)</f>
        <v>6.99</v>
      </c>
      <c r="K273" s="30">
        <f>VLOOKUP(MONTH(Modelling[[#This Row],[Date]]),$W$3:$Y$14,3,0)</f>
        <v>6.99</v>
      </c>
      <c r="L273" s="30">
        <f>AVERAGE(J$3:J273)</f>
        <v>7.6535055350553503</v>
      </c>
      <c r="M273" s="31">
        <f t="shared" si="33"/>
        <v>0.34266502389486259</v>
      </c>
      <c r="N273" s="31">
        <f t="shared" si="34"/>
        <v>0.34266502389486225</v>
      </c>
      <c r="O273" s="31">
        <f t="shared" si="35"/>
        <v>0.34304065401458383</v>
      </c>
      <c r="P273" s="109">
        <f t="shared" si="36"/>
        <v>70.2</v>
      </c>
      <c r="Q273" s="28">
        <f>AVERAGE($P$247:P273)</f>
        <v>70.200000000000031</v>
      </c>
      <c r="R273" s="81">
        <f>AVERAGE($P$3:P273)</f>
        <v>59.265560165975302</v>
      </c>
      <c r="S273">
        <f t="shared" si="38"/>
        <v>27</v>
      </c>
      <c r="T273">
        <f t="shared" si="40"/>
        <v>241</v>
      </c>
    </row>
    <row r="274" spans="2:20">
      <c r="B274" s="27">
        <f t="shared" si="39"/>
        <v>45654</v>
      </c>
      <c r="C274" s="28">
        <f>YEAR(Modelling[[#This Row],[Date]])+IF(MONTH(Modelling[[#This Row],[Date]])&gt;=4,1,0)</f>
        <v>2025</v>
      </c>
      <c r="D274" s="22">
        <f t="shared" si="37"/>
        <v>2024</v>
      </c>
      <c r="E274" s="29">
        <v>44896</v>
      </c>
      <c r="F274" s="22">
        <f>DAY(EOMONTH(Modelling[[#This Row],[Date]],0))</f>
        <v>31</v>
      </c>
      <c r="G274" s="28">
        <f>VLOOKUP(MONTH(Modelling[[#This Row],[Date]]),$W$3:$Z$14,4,0)/1000/Modelling[[#This Row],[Days]]</f>
        <v>577.3220322580645</v>
      </c>
      <c r="H274" s="28">
        <f>SUM($G$247:G274)</f>
        <v>16165.016903225796</v>
      </c>
      <c r="I274" s="28">
        <f>SUM($G$3:G274)</f>
        <v>118168.91390322568</v>
      </c>
      <c r="J274" s="30">
        <f>VLOOKUP(MONTH(Modelling[[#This Row],[Date]]),$W$3:$Y$14,3,0)</f>
        <v>6.99</v>
      </c>
      <c r="K274" s="30">
        <f>VLOOKUP(MONTH(Modelling[[#This Row],[Date]]),$W$3:$Y$14,3,0)</f>
        <v>6.99</v>
      </c>
      <c r="L274" s="30">
        <f>AVERAGE(J$3:J274)</f>
        <v>7.6510661764705867</v>
      </c>
      <c r="M274" s="31">
        <f t="shared" si="33"/>
        <v>0.34266502389486259</v>
      </c>
      <c r="N274" s="31">
        <f t="shared" si="34"/>
        <v>0.34266502389486225</v>
      </c>
      <c r="O274" s="31">
        <f t="shared" si="35"/>
        <v>0.34303881684695536</v>
      </c>
      <c r="P274" s="109">
        <f t="shared" si="36"/>
        <v>70.2</v>
      </c>
      <c r="Q274" s="28">
        <f>AVERAGE($P$247:P274)</f>
        <v>70.200000000000031</v>
      </c>
      <c r="R274" s="81">
        <f>AVERAGE($P$3:P274)</f>
        <v>59.310743801653089</v>
      </c>
      <c r="S274">
        <f t="shared" si="38"/>
        <v>28</v>
      </c>
      <c r="T274">
        <f t="shared" si="40"/>
        <v>242</v>
      </c>
    </row>
    <row r="275" spans="2:20">
      <c r="B275" s="27">
        <f t="shared" si="39"/>
        <v>45655</v>
      </c>
      <c r="C275" s="28">
        <f>YEAR(Modelling[[#This Row],[Date]])+IF(MONTH(Modelling[[#This Row],[Date]])&gt;=4,1,0)</f>
        <v>2025</v>
      </c>
      <c r="D275" s="22">
        <f t="shared" si="37"/>
        <v>2024</v>
      </c>
      <c r="E275" s="29">
        <v>44896</v>
      </c>
      <c r="F275" s="22">
        <f>DAY(EOMONTH(Modelling[[#This Row],[Date]],0))</f>
        <v>31</v>
      </c>
      <c r="G275" s="28">
        <f>VLOOKUP(MONTH(Modelling[[#This Row],[Date]]),$W$3:$Z$14,4,0)/1000/Modelling[[#This Row],[Days]]</f>
        <v>577.3220322580645</v>
      </c>
      <c r="H275" s="28">
        <f>SUM($G$247:G275)</f>
        <v>16742.338935483862</v>
      </c>
      <c r="I275" s="28">
        <f>SUM($G$3:G275)</f>
        <v>118746.23593548374</v>
      </c>
      <c r="J275" s="30">
        <f>VLOOKUP(MONTH(Modelling[[#This Row],[Date]]),$W$3:$Y$14,3,0)</f>
        <v>6.99</v>
      </c>
      <c r="K275" s="30">
        <f>VLOOKUP(MONTH(Modelling[[#This Row],[Date]]),$W$3:$Y$14,3,0)</f>
        <v>6.99</v>
      </c>
      <c r="L275" s="30">
        <f>AVERAGE(J$3:J275)</f>
        <v>7.6486446886446871</v>
      </c>
      <c r="M275" s="31">
        <f t="shared" si="33"/>
        <v>0.34266502389486259</v>
      </c>
      <c r="N275" s="31">
        <f t="shared" si="34"/>
        <v>0.34266502389486225</v>
      </c>
      <c r="O275" s="31">
        <f t="shared" si="35"/>
        <v>0.34303699756265094</v>
      </c>
      <c r="P275" s="109">
        <f t="shared" si="36"/>
        <v>70.2</v>
      </c>
      <c r="Q275" s="28">
        <f>AVERAGE($P$247:P275)</f>
        <v>70.200000000000031</v>
      </c>
      <c r="R275" s="81">
        <f>AVERAGE($P$3:P275)</f>
        <v>59.355555555555753</v>
      </c>
      <c r="S275">
        <f t="shared" si="38"/>
        <v>29</v>
      </c>
      <c r="T275">
        <f t="shared" si="40"/>
        <v>243</v>
      </c>
    </row>
    <row r="276" spans="2:20">
      <c r="B276" s="27">
        <f t="shared" si="39"/>
        <v>45656</v>
      </c>
      <c r="C276" s="28">
        <f>YEAR(Modelling[[#This Row],[Date]])+IF(MONTH(Modelling[[#This Row],[Date]])&gt;=4,1,0)</f>
        <v>2025</v>
      </c>
      <c r="D276" s="22">
        <f t="shared" si="37"/>
        <v>2024</v>
      </c>
      <c r="E276" s="29">
        <v>44896</v>
      </c>
      <c r="F276" s="22">
        <f>DAY(EOMONTH(Modelling[[#This Row],[Date]],0))</f>
        <v>31</v>
      </c>
      <c r="G276" s="28">
        <f>VLOOKUP(MONTH(Modelling[[#This Row],[Date]]),$W$3:$Z$14,4,0)/1000/Modelling[[#This Row],[Days]]</f>
        <v>577.3220322580645</v>
      </c>
      <c r="H276" s="28">
        <f>SUM($G$247:G276)</f>
        <v>17319.660967741926</v>
      </c>
      <c r="I276" s="28">
        <f>SUM($G$3:G276)</f>
        <v>119323.5579677418</v>
      </c>
      <c r="J276" s="30">
        <f>VLOOKUP(MONTH(Modelling[[#This Row],[Date]]),$W$3:$Y$14,3,0)</f>
        <v>6.99</v>
      </c>
      <c r="K276" s="30">
        <f>VLOOKUP(MONTH(Modelling[[#This Row],[Date]]),$W$3:$Y$14,3,0)</f>
        <v>6.99</v>
      </c>
      <c r="L276" s="30">
        <f>AVERAGE(J$3:J276)</f>
        <v>7.6462408759124063</v>
      </c>
      <c r="M276" s="31">
        <f t="shared" si="33"/>
        <v>0.34266502389486259</v>
      </c>
      <c r="N276" s="31">
        <f t="shared" si="34"/>
        <v>0.34266502389486225</v>
      </c>
      <c r="O276" s="31">
        <f t="shared" si="35"/>
        <v>0.3430351959018158</v>
      </c>
      <c r="P276" s="109">
        <f t="shared" si="36"/>
        <v>70.2</v>
      </c>
      <c r="Q276" s="28">
        <f>AVERAGE($P$247:P276)</f>
        <v>70.200000000000031</v>
      </c>
      <c r="R276" s="81">
        <f>AVERAGE($P$3:P276)</f>
        <v>59.400000000000205</v>
      </c>
      <c r="S276">
        <f t="shared" si="38"/>
        <v>30</v>
      </c>
      <c r="T276">
        <f t="shared" si="40"/>
        <v>244</v>
      </c>
    </row>
    <row r="277" spans="2:20">
      <c r="B277" s="27">
        <f t="shared" si="39"/>
        <v>45657</v>
      </c>
      <c r="C277" s="28">
        <f>YEAR(Modelling[[#This Row],[Date]])+IF(MONTH(Modelling[[#This Row],[Date]])&gt;=4,1,0)</f>
        <v>2025</v>
      </c>
      <c r="D277" s="22">
        <f t="shared" si="37"/>
        <v>2024</v>
      </c>
      <c r="E277" s="29">
        <v>44896</v>
      </c>
      <c r="F277" s="22">
        <f>DAY(EOMONTH(Modelling[[#This Row],[Date]],0))</f>
        <v>31</v>
      </c>
      <c r="G277" s="28">
        <f>VLOOKUP(MONTH(Modelling[[#This Row],[Date]]),$W$3:$Z$14,4,0)/1000/Modelling[[#This Row],[Days]]</f>
        <v>577.3220322580645</v>
      </c>
      <c r="H277" s="28">
        <f>SUM($G$247:G277)</f>
        <v>17896.982999999989</v>
      </c>
      <c r="I277" s="28">
        <f>SUM($G$3:G277)</f>
        <v>119900.87999999986</v>
      </c>
      <c r="J277" s="30">
        <f>VLOOKUP(MONTH(Modelling[[#This Row],[Date]]),$W$3:$Y$14,3,0)</f>
        <v>6.99</v>
      </c>
      <c r="K277" s="30">
        <f>VLOOKUP(MONTH(Modelling[[#This Row],[Date]]),$W$3:$Y$14,3,0)</f>
        <v>6.99</v>
      </c>
      <c r="L277" s="30">
        <f>AVERAGE(J$3:J277)</f>
        <v>7.6438545454545421</v>
      </c>
      <c r="M277" s="31">
        <f t="shared" si="33"/>
        <v>0.34266502389486259</v>
      </c>
      <c r="N277" s="31">
        <f t="shared" si="34"/>
        <v>0.34266502389486231</v>
      </c>
      <c r="O277" s="31">
        <f t="shared" si="35"/>
        <v>0.34303341160960582</v>
      </c>
      <c r="P277" s="109">
        <f t="shared" si="36"/>
        <v>70.2</v>
      </c>
      <c r="Q277" s="28">
        <f>AVERAGE($P$247:P277)</f>
        <v>70.200000000000017</v>
      </c>
      <c r="R277" s="81">
        <f>AVERAGE($P$3:P277)</f>
        <v>59.444081632653266</v>
      </c>
      <c r="S277">
        <f t="shared" si="38"/>
        <v>31</v>
      </c>
      <c r="T277">
        <f t="shared" si="40"/>
        <v>245</v>
      </c>
    </row>
    <row r="278" spans="2:20">
      <c r="B278" s="27">
        <f t="shared" si="39"/>
        <v>45658</v>
      </c>
      <c r="C278" s="28">
        <f>YEAR(Modelling[[#This Row],[Date]])+IF(MONTH(Modelling[[#This Row],[Date]])&gt;=4,1,0)</f>
        <v>2025</v>
      </c>
      <c r="D278" s="22">
        <f t="shared" si="37"/>
        <v>2025</v>
      </c>
      <c r="E278" s="29">
        <v>44927</v>
      </c>
      <c r="F278" s="22">
        <f>DAY(EOMONTH(Modelling[[#This Row],[Date]],0))</f>
        <v>31</v>
      </c>
      <c r="G278" s="28">
        <f>VLOOKUP(MONTH(Modelling[[#This Row],[Date]]),$W$3:$Z$14,4,0)/1000/Modelling[[#This Row],[Days]]</f>
        <v>616.46251612903222</v>
      </c>
      <c r="H278" s="28">
        <f>SUM($G$278:G278)</f>
        <v>616.46251612903222</v>
      </c>
      <c r="I278" s="28">
        <f>SUM($G$3:G278)</f>
        <v>120517.34251612889</v>
      </c>
      <c r="J278" s="30">
        <f>VLOOKUP(MONTH(Modelling[[#This Row],[Date]]),$W$3:$Y$14,3,0)</f>
        <v>6.74</v>
      </c>
      <c r="K278" s="30">
        <f>VLOOKUP(MONTH(Modelling[[#This Row],[Date]]),$W$3:$Y$14,3,0)</f>
        <v>6.74</v>
      </c>
      <c r="L278" s="30">
        <f>AVERAGE(J$3:J278)</f>
        <v>7.6405797101449231</v>
      </c>
      <c r="M278" s="31">
        <f t="shared" si="33"/>
        <v>0.36589655515730785</v>
      </c>
      <c r="N278" s="31">
        <f t="shared" si="34"/>
        <v>0.36589655515730779</v>
      </c>
      <c r="O278" s="31">
        <f t="shared" si="35"/>
        <v>0.34314308720596004</v>
      </c>
      <c r="P278" s="109">
        <f t="shared" si="36"/>
        <v>70.2</v>
      </c>
      <c r="Q278" s="28">
        <f>AVERAGE($P$278:P278)</f>
        <v>70.2</v>
      </c>
      <c r="R278" s="81">
        <f>AVERAGE($P$3:P278)</f>
        <v>59.487804878048991</v>
      </c>
      <c r="S278">
        <f t="shared" si="38"/>
        <v>1</v>
      </c>
      <c r="T278">
        <f t="shared" si="40"/>
        <v>246</v>
      </c>
    </row>
    <row r="279" spans="2:20">
      <c r="B279" s="27">
        <f t="shared" si="39"/>
        <v>45659</v>
      </c>
      <c r="C279" s="28">
        <f>YEAR(Modelling[[#This Row],[Date]])+IF(MONTH(Modelling[[#This Row],[Date]])&gt;=4,1,0)</f>
        <v>2025</v>
      </c>
      <c r="D279" s="22">
        <f t="shared" si="37"/>
        <v>2025</v>
      </c>
      <c r="E279" s="29">
        <v>44927</v>
      </c>
      <c r="F279" s="22">
        <f>DAY(EOMONTH(Modelling[[#This Row],[Date]],0))</f>
        <v>31</v>
      </c>
      <c r="G279" s="28">
        <f>VLOOKUP(MONTH(Modelling[[#This Row],[Date]]),$W$3:$Z$14,4,0)/1000/Modelling[[#This Row],[Days]]</f>
        <v>616.46251612903222</v>
      </c>
      <c r="H279" s="28">
        <f>SUM($G$278:G279)</f>
        <v>1232.9250322580644</v>
      </c>
      <c r="I279" s="28">
        <f>SUM($G$3:G279)</f>
        <v>121133.80503225792</v>
      </c>
      <c r="J279" s="30">
        <f>VLOOKUP(MONTH(Modelling[[#This Row],[Date]]),$W$3:$Y$14,3,0)</f>
        <v>6.74</v>
      </c>
      <c r="K279" s="30">
        <f>VLOOKUP(MONTH(Modelling[[#This Row],[Date]]),$W$3:$Y$14,3,0)</f>
        <v>6.74</v>
      </c>
      <c r="L279" s="30">
        <f>AVERAGE(J$3:J279)</f>
        <v>7.6373285198555907</v>
      </c>
      <c r="M279" s="31">
        <f t="shared" si="33"/>
        <v>0.36589655515730785</v>
      </c>
      <c r="N279" s="31">
        <f t="shared" si="34"/>
        <v>0.36589655515730779</v>
      </c>
      <c r="O279" s="31">
        <f t="shared" si="35"/>
        <v>0.34325171558765949</v>
      </c>
      <c r="P279" s="109">
        <f t="shared" si="36"/>
        <v>70.2</v>
      </c>
      <c r="Q279" s="28">
        <f>AVERAGE($P$278:P279)</f>
        <v>70.2</v>
      </c>
      <c r="R279" s="81">
        <f>AVERAGE($P$3:P279)</f>
        <v>59.531174089069033</v>
      </c>
      <c r="S279">
        <f t="shared" si="38"/>
        <v>2</v>
      </c>
      <c r="T279">
        <f t="shared" si="40"/>
        <v>247</v>
      </c>
    </row>
    <row r="280" spans="2:20">
      <c r="B280" s="27">
        <f t="shared" si="39"/>
        <v>45660</v>
      </c>
      <c r="C280" s="28">
        <f>YEAR(Modelling[[#This Row],[Date]])+IF(MONTH(Modelling[[#This Row],[Date]])&gt;=4,1,0)</f>
        <v>2025</v>
      </c>
      <c r="D280" s="22">
        <f t="shared" si="37"/>
        <v>2025</v>
      </c>
      <c r="E280" s="29">
        <v>44927</v>
      </c>
      <c r="F280" s="22">
        <f>DAY(EOMONTH(Modelling[[#This Row],[Date]],0))</f>
        <v>31</v>
      </c>
      <c r="G280" s="28">
        <f>VLOOKUP(MONTH(Modelling[[#This Row],[Date]]),$W$3:$Z$14,4,0)/1000/Modelling[[#This Row],[Days]]</f>
        <v>616.46251612903222</v>
      </c>
      <c r="H280" s="28">
        <f>SUM($G$278:G280)</f>
        <v>1849.3875483870966</v>
      </c>
      <c r="I280" s="28">
        <f>SUM($G$3:G280)</f>
        <v>121750.26754838695</v>
      </c>
      <c r="J280" s="30">
        <f>VLOOKUP(MONTH(Modelling[[#This Row],[Date]]),$W$3:$Y$14,3,0)</f>
        <v>6.74</v>
      </c>
      <c r="K280" s="30">
        <f>VLOOKUP(MONTH(Modelling[[#This Row],[Date]]),$W$3:$Y$14,3,0)</f>
        <v>6.74</v>
      </c>
      <c r="L280" s="30">
        <f>AVERAGE(J$3:J280)</f>
        <v>7.6341007194244543</v>
      </c>
      <c r="M280" s="31">
        <f t="shared" si="33"/>
        <v>0.36589655515730785</v>
      </c>
      <c r="N280" s="31">
        <f t="shared" si="34"/>
        <v>0.36589655515730779</v>
      </c>
      <c r="O280" s="31">
        <f t="shared" si="35"/>
        <v>0.34335931168210593</v>
      </c>
      <c r="P280" s="109">
        <f t="shared" si="36"/>
        <v>70.2</v>
      </c>
      <c r="Q280" s="28">
        <f>AVERAGE($P$278:P280)</f>
        <v>70.2</v>
      </c>
      <c r="R280" s="81">
        <f>AVERAGE($P$3:P280)</f>
        <v>59.574193548387306</v>
      </c>
      <c r="S280">
        <f t="shared" si="38"/>
        <v>3</v>
      </c>
      <c r="T280">
        <f t="shared" si="40"/>
        <v>248</v>
      </c>
    </row>
    <row r="281" spans="2:20">
      <c r="B281" s="27">
        <f t="shared" si="39"/>
        <v>45661</v>
      </c>
      <c r="C281" s="28">
        <f>YEAR(Modelling[[#This Row],[Date]])+IF(MONTH(Modelling[[#This Row],[Date]])&gt;=4,1,0)</f>
        <v>2025</v>
      </c>
      <c r="D281" s="22">
        <f t="shared" si="37"/>
        <v>2025</v>
      </c>
      <c r="E281" s="29">
        <v>44927</v>
      </c>
      <c r="F281" s="22">
        <f>DAY(EOMONTH(Modelling[[#This Row],[Date]],0))</f>
        <v>31</v>
      </c>
      <c r="G281" s="28">
        <f>VLOOKUP(MONTH(Modelling[[#This Row],[Date]]),$W$3:$Z$14,4,0)/1000/Modelling[[#This Row],[Days]]</f>
        <v>616.46251612903222</v>
      </c>
      <c r="H281" s="28">
        <f>SUM($G$278:G281)</f>
        <v>2465.8500645161289</v>
      </c>
      <c r="I281" s="28">
        <f>SUM($G$3:G281)</f>
        <v>122366.73006451598</v>
      </c>
      <c r="J281" s="30">
        <f>VLOOKUP(MONTH(Modelling[[#This Row],[Date]]),$W$3:$Y$14,3,0)</f>
        <v>6.74</v>
      </c>
      <c r="K281" s="30">
        <f>VLOOKUP(MONTH(Modelling[[#This Row],[Date]]),$W$3:$Y$14,3,0)</f>
        <v>6.74</v>
      </c>
      <c r="L281" s="30">
        <f>AVERAGE(J$3:J281)</f>
        <v>7.6308960573476634</v>
      </c>
      <c r="M281" s="31">
        <f t="shared" si="33"/>
        <v>0.36589655515730785</v>
      </c>
      <c r="N281" s="31">
        <f t="shared" si="34"/>
        <v>0.36589655515730779</v>
      </c>
      <c r="O281" s="31">
        <f t="shared" si="35"/>
        <v>0.34346589013433487</v>
      </c>
      <c r="P281" s="109">
        <f t="shared" si="36"/>
        <v>70.2</v>
      </c>
      <c r="Q281" s="28">
        <f>AVERAGE($P$278:P281)</f>
        <v>70.2</v>
      </c>
      <c r="R281" s="81">
        <f>AVERAGE($P$3:P281)</f>
        <v>59.616867469879729</v>
      </c>
      <c r="S281">
        <f t="shared" si="38"/>
        <v>4</v>
      </c>
      <c r="T281">
        <f t="shared" si="40"/>
        <v>249</v>
      </c>
    </row>
    <row r="282" spans="2:20">
      <c r="B282" s="27">
        <f t="shared" si="39"/>
        <v>45662</v>
      </c>
      <c r="C282" s="28">
        <f>YEAR(Modelling[[#This Row],[Date]])+IF(MONTH(Modelling[[#This Row],[Date]])&gt;=4,1,0)</f>
        <v>2025</v>
      </c>
      <c r="D282" s="22">
        <f t="shared" si="37"/>
        <v>2025</v>
      </c>
      <c r="E282" s="29">
        <v>44927</v>
      </c>
      <c r="F282" s="22">
        <f>DAY(EOMONTH(Modelling[[#This Row],[Date]],0))</f>
        <v>31</v>
      </c>
      <c r="G282" s="28">
        <f>VLOOKUP(MONTH(Modelling[[#This Row],[Date]]),$W$3:$Z$14,4,0)/1000/Modelling[[#This Row],[Days]]</f>
        <v>616.46251612903222</v>
      </c>
      <c r="H282" s="28">
        <f>SUM($G$278:G282)</f>
        <v>3082.3125806451612</v>
      </c>
      <c r="I282" s="28">
        <f>SUM($G$3:G282)</f>
        <v>122983.19258064502</v>
      </c>
      <c r="J282" s="30">
        <f>VLOOKUP(MONTH(Modelling[[#This Row],[Date]]),$W$3:$Y$14,3,0)</f>
        <v>6.74</v>
      </c>
      <c r="K282" s="30">
        <f>VLOOKUP(MONTH(Modelling[[#This Row],[Date]]),$W$3:$Y$14,3,0)</f>
        <v>6.74</v>
      </c>
      <c r="L282" s="30">
        <f>AVERAGE(J$3:J282)</f>
        <v>7.6277142857142781</v>
      </c>
      <c r="M282" s="31">
        <f t="shared" si="33"/>
        <v>0.36589655515730785</v>
      </c>
      <c r="N282" s="31">
        <f t="shared" si="34"/>
        <v>0.36589655515730779</v>
      </c>
      <c r="O282" s="31">
        <f t="shared" si="35"/>
        <v>0.34357146531366095</v>
      </c>
      <c r="P282" s="109">
        <f t="shared" si="36"/>
        <v>70.2</v>
      </c>
      <c r="Q282" s="28">
        <f>AVERAGE($P$278:P282)</f>
        <v>70.2</v>
      </c>
      <c r="R282" s="81">
        <f>AVERAGE($P$3:P282)</f>
        <v>59.659200000000219</v>
      </c>
      <c r="S282">
        <f t="shared" si="38"/>
        <v>5</v>
      </c>
      <c r="T282">
        <f t="shared" si="40"/>
        <v>250</v>
      </c>
    </row>
    <row r="283" spans="2:20">
      <c r="B283" s="27">
        <f t="shared" si="39"/>
        <v>45663</v>
      </c>
      <c r="C283" s="28">
        <f>YEAR(Modelling[[#This Row],[Date]])+IF(MONTH(Modelling[[#This Row],[Date]])&gt;=4,1,0)</f>
        <v>2025</v>
      </c>
      <c r="D283" s="22">
        <f t="shared" si="37"/>
        <v>2025</v>
      </c>
      <c r="E283" s="29">
        <v>44927</v>
      </c>
      <c r="F283" s="22">
        <f>DAY(EOMONTH(Modelling[[#This Row],[Date]],0))</f>
        <v>31</v>
      </c>
      <c r="G283" s="28">
        <f>VLOOKUP(MONTH(Modelling[[#This Row],[Date]]),$W$3:$Z$14,4,0)/1000/Modelling[[#This Row],[Days]]</f>
        <v>616.46251612903222</v>
      </c>
      <c r="H283" s="28">
        <f>SUM($G$278:G283)</f>
        <v>3698.7750967741936</v>
      </c>
      <c r="I283" s="28">
        <f>SUM($G$3:G283)</f>
        <v>123599.65509677405</v>
      </c>
      <c r="J283" s="30">
        <f>VLOOKUP(MONTH(Modelling[[#This Row],[Date]]),$W$3:$Y$14,3,0)</f>
        <v>6.74</v>
      </c>
      <c r="K283" s="30">
        <f>VLOOKUP(MONTH(Modelling[[#This Row],[Date]]),$W$3:$Y$14,3,0)</f>
        <v>6.74</v>
      </c>
      <c r="L283" s="30">
        <f>AVERAGE(J$3:J283)</f>
        <v>7.6245551601423402</v>
      </c>
      <c r="M283" s="31">
        <f t="shared" si="33"/>
        <v>0.36589655515730785</v>
      </c>
      <c r="N283" s="31">
        <f t="shared" si="34"/>
        <v>0.36589655515730779</v>
      </c>
      <c r="O283" s="31">
        <f t="shared" si="35"/>
        <v>0.34367605132013568</v>
      </c>
      <c r="P283" s="109">
        <f t="shared" si="36"/>
        <v>70.2</v>
      </c>
      <c r="Q283" s="28">
        <f>AVERAGE($P$278:P283)</f>
        <v>70.2</v>
      </c>
      <c r="R283" s="81">
        <f>AVERAGE($P$3:P283)</f>
        <v>59.701195219123726</v>
      </c>
      <c r="S283">
        <f t="shared" si="38"/>
        <v>6</v>
      </c>
      <c r="T283">
        <f t="shared" si="40"/>
        <v>251</v>
      </c>
    </row>
    <row r="284" spans="2:20">
      <c r="B284" s="27">
        <f t="shared" si="39"/>
        <v>45664</v>
      </c>
      <c r="C284" s="28">
        <f>YEAR(Modelling[[#This Row],[Date]])+IF(MONTH(Modelling[[#This Row],[Date]])&gt;=4,1,0)</f>
        <v>2025</v>
      </c>
      <c r="D284" s="22">
        <f t="shared" si="37"/>
        <v>2025</v>
      </c>
      <c r="E284" s="29">
        <v>44927</v>
      </c>
      <c r="F284" s="22">
        <f>DAY(EOMONTH(Modelling[[#This Row],[Date]],0))</f>
        <v>31</v>
      </c>
      <c r="G284" s="28">
        <f>VLOOKUP(MONTH(Modelling[[#This Row],[Date]]),$W$3:$Z$14,4,0)/1000/Modelling[[#This Row],[Days]]</f>
        <v>616.46251612903222</v>
      </c>
      <c r="H284" s="28">
        <f>SUM($G$278:G284)</f>
        <v>4315.2376129032255</v>
      </c>
      <c r="I284" s="28">
        <f>SUM($G$3:G284)</f>
        <v>124216.11761290308</v>
      </c>
      <c r="J284" s="30">
        <f>VLOOKUP(MONTH(Modelling[[#This Row],[Date]]),$W$3:$Y$14,3,0)</f>
        <v>6.74</v>
      </c>
      <c r="K284" s="30">
        <f>VLOOKUP(MONTH(Modelling[[#This Row],[Date]]),$W$3:$Y$14,3,0)</f>
        <v>6.74</v>
      </c>
      <c r="L284" s="30">
        <f>AVERAGE(J$3:J284)</f>
        <v>7.6214184397163036</v>
      </c>
      <c r="M284" s="31">
        <f t="shared" si="33"/>
        <v>0.36589655515730785</v>
      </c>
      <c r="N284" s="31">
        <f t="shared" si="34"/>
        <v>0.36589655515730779</v>
      </c>
      <c r="O284" s="31">
        <f t="shared" si="35"/>
        <v>0.34377966199082549</v>
      </c>
      <c r="P284" s="109">
        <f t="shared" si="36"/>
        <v>70.2</v>
      </c>
      <c r="Q284" s="28">
        <f>AVERAGE($P$278:P284)</f>
        <v>70.2</v>
      </c>
      <c r="R284" s="81">
        <f>AVERAGE($P$3:P284)</f>
        <v>59.74285714285736</v>
      </c>
      <c r="S284">
        <f t="shared" si="38"/>
        <v>7</v>
      </c>
      <c r="T284">
        <f t="shared" si="40"/>
        <v>252</v>
      </c>
    </row>
    <row r="285" spans="2:20">
      <c r="B285" s="27">
        <f t="shared" si="39"/>
        <v>45665</v>
      </c>
      <c r="C285" s="28">
        <f>YEAR(Modelling[[#This Row],[Date]])+IF(MONTH(Modelling[[#This Row],[Date]])&gt;=4,1,0)</f>
        <v>2025</v>
      </c>
      <c r="D285" s="22">
        <f t="shared" si="37"/>
        <v>2025</v>
      </c>
      <c r="E285" s="29">
        <v>44927</v>
      </c>
      <c r="F285" s="22">
        <f>DAY(EOMONTH(Modelling[[#This Row],[Date]],0))</f>
        <v>31</v>
      </c>
      <c r="G285" s="28">
        <f>VLOOKUP(MONTH(Modelling[[#This Row],[Date]]),$W$3:$Z$14,4,0)/1000/Modelling[[#This Row],[Days]]</f>
        <v>616.46251612903222</v>
      </c>
      <c r="H285" s="28">
        <f>SUM($G$278:G285)</f>
        <v>4931.7001290322578</v>
      </c>
      <c r="I285" s="28">
        <f>SUM($G$3:G285)</f>
        <v>124832.58012903211</v>
      </c>
      <c r="J285" s="30">
        <f>VLOOKUP(MONTH(Modelling[[#This Row],[Date]]),$W$3:$Y$14,3,0)</f>
        <v>6.74</v>
      </c>
      <c r="K285" s="30">
        <f>VLOOKUP(MONTH(Modelling[[#This Row],[Date]]),$W$3:$Y$14,3,0)</f>
        <v>6.74</v>
      </c>
      <c r="L285" s="30">
        <f>AVERAGE(J$3:J285)</f>
        <v>7.6183038869257853</v>
      </c>
      <c r="M285" s="31">
        <f t="shared" si="33"/>
        <v>0.36589655515730785</v>
      </c>
      <c r="N285" s="31">
        <f t="shared" si="34"/>
        <v>0.36589655515730779</v>
      </c>
      <c r="O285" s="31">
        <f t="shared" si="35"/>
        <v>0.34388231090591448</v>
      </c>
      <c r="P285" s="109">
        <f t="shared" si="36"/>
        <v>70.2</v>
      </c>
      <c r="Q285" s="28">
        <f>AVERAGE($P$278:P285)</f>
        <v>70.2</v>
      </c>
      <c r="R285" s="81">
        <f>AVERAGE($P$3:P285)</f>
        <v>59.784189723320381</v>
      </c>
      <c r="S285">
        <f t="shared" si="38"/>
        <v>8</v>
      </c>
      <c r="T285">
        <f t="shared" si="40"/>
        <v>253</v>
      </c>
    </row>
    <row r="286" spans="2:20">
      <c r="B286" s="27">
        <f t="shared" si="39"/>
        <v>45666</v>
      </c>
      <c r="C286" s="28">
        <f>YEAR(Modelling[[#This Row],[Date]])+IF(MONTH(Modelling[[#This Row],[Date]])&gt;=4,1,0)</f>
        <v>2025</v>
      </c>
      <c r="D286" s="22">
        <f t="shared" si="37"/>
        <v>2025</v>
      </c>
      <c r="E286" s="29">
        <v>44927</v>
      </c>
      <c r="F286" s="22">
        <f>DAY(EOMONTH(Modelling[[#This Row],[Date]],0))</f>
        <v>31</v>
      </c>
      <c r="G286" s="28">
        <f>VLOOKUP(MONTH(Modelling[[#This Row],[Date]]),$W$3:$Z$14,4,0)/1000/Modelling[[#This Row],[Days]]</f>
        <v>616.46251612903222</v>
      </c>
      <c r="H286" s="28">
        <f>SUM($G$278:G286)</f>
        <v>5548.1626451612901</v>
      </c>
      <c r="I286" s="28">
        <f>SUM($G$3:G286)</f>
        <v>125449.04264516114</v>
      </c>
      <c r="J286" s="30">
        <f>VLOOKUP(MONTH(Modelling[[#This Row],[Date]]),$W$3:$Y$14,3,0)</f>
        <v>6.74</v>
      </c>
      <c r="K286" s="30">
        <f>VLOOKUP(MONTH(Modelling[[#This Row],[Date]]),$W$3:$Y$14,3,0)</f>
        <v>6.74</v>
      </c>
      <c r="L286" s="30">
        <f>AVERAGE(J$3:J286)</f>
        <v>7.6152112676056234</v>
      </c>
      <c r="M286" s="31">
        <f t="shared" si="33"/>
        <v>0.36589655515730785</v>
      </c>
      <c r="N286" s="31">
        <f t="shared" si="34"/>
        <v>0.36589655515730779</v>
      </c>
      <c r="O286" s="31">
        <f t="shared" si="35"/>
        <v>0.34398401139463802</v>
      </c>
      <c r="P286" s="109">
        <f t="shared" si="36"/>
        <v>70.2</v>
      </c>
      <c r="Q286" s="28">
        <f>AVERAGE($P$278:P286)</f>
        <v>70.2</v>
      </c>
      <c r="R286" s="81">
        <f>AVERAGE($P$3:P286)</f>
        <v>59.825196850393922</v>
      </c>
      <c r="S286">
        <f t="shared" si="38"/>
        <v>9</v>
      </c>
      <c r="T286">
        <f t="shared" si="40"/>
        <v>254</v>
      </c>
    </row>
    <row r="287" spans="2:20">
      <c r="B287" s="27">
        <f t="shared" si="39"/>
        <v>45667</v>
      </c>
      <c r="C287" s="28">
        <f>YEAR(Modelling[[#This Row],[Date]])+IF(MONTH(Modelling[[#This Row],[Date]])&gt;=4,1,0)</f>
        <v>2025</v>
      </c>
      <c r="D287" s="22">
        <f t="shared" si="37"/>
        <v>2025</v>
      </c>
      <c r="E287" s="29">
        <v>44927</v>
      </c>
      <c r="F287" s="22">
        <f>DAY(EOMONTH(Modelling[[#This Row],[Date]],0))</f>
        <v>31</v>
      </c>
      <c r="G287" s="28">
        <f>VLOOKUP(MONTH(Modelling[[#This Row],[Date]]),$W$3:$Z$14,4,0)/1000/Modelling[[#This Row],[Days]]</f>
        <v>616.46251612903222</v>
      </c>
      <c r="H287" s="28">
        <f>SUM($G$278:G287)</f>
        <v>6164.6251612903225</v>
      </c>
      <c r="I287" s="28">
        <f>SUM($G$3:G287)</f>
        <v>126065.50516129017</v>
      </c>
      <c r="J287" s="30">
        <f>VLOOKUP(MONTH(Modelling[[#This Row],[Date]]),$W$3:$Y$14,3,0)</f>
        <v>6.74</v>
      </c>
      <c r="K287" s="30">
        <f>VLOOKUP(MONTH(Modelling[[#This Row],[Date]]),$W$3:$Y$14,3,0)</f>
        <v>6.74</v>
      </c>
      <c r="L287" s="30">
        <f>AVERAGE(J$3:J287)</f>
        <v>7.6121403508771817</v>
      </c>
      <c r="M287" s="31">
        <f t="shared" si="33"/>
        <v>0.36589655515730785</v>
      </c>
      <c r="N287" s="31">
        <f t="shared" si="34"/>
        <v>0.36589655515730773</v>
      </c>
      <c r="O287" s="31">
        <f t="shared" si="35"/>
        <v>0.34408477654105279</v>
      </c>
      <c r="P287" s="109">
        <f t="shared" si="36"/>
        <v>70.2</v>
      </c>
      <c r="Q287" s="28">
        <f>AVERAGE($P$278:P287)</f>
        <v>70.200000000000017</v>
      </c>
      <c r="R287" s="81">
        <f>AVERAGE($P$3:P287)</f>
        <v>59.865882352941405</v>
      </c>
      <c r="S287">
        <f t="shared" si="38"/>
        <v>10</v>
      </c>
      <c r="T287">
        <f t="shared" si="40"/>
        <v>255</v>
      </c>
    </row>
    <row r="288" spans="2:20">
      <c r="B288" s="27">
        <f t="shared" si="39"/>
        <v>45668</v>
      </c>
      <c r="C288" s="28">
        <f>YEAR(Modelling[[#This Row],[Date]])+IF(MONTH(Modelling[[#This Row],[Date]])&gt;=4,1,0)</f>
        <v>2025</v>
      </c>
      <c r="D288" s="22">
        <f t="shared" si="37"/>
        <v>2025</v>
      </c>
      <c r="E288" s="29">
        <v>44927</v>
      </c>
      <c r="F288" s="22">
        <f>DAY(EOMONTH(Modelling[[#This Row],[Date]],0))</f>
        <v>31</v>
      </c>
      <c r="G288" s="28">
        <f>VLOOKUP(MONTH(Modelling[[#This Row],[Date]]),$W$3:$Z$14,4,0)/1000/Modelling[[#This Row],[Days]]</f>
        <v>616.46251612903222</v>
      </c>
      <c r="H288" s="28">
        <f>SUM($G$278:G288)</f>
        <v>6781.0876774193548</v>
      </c>
      <c r="I288" s="28">
        <f>SUM($G$3:G288)</f>
        <v>126681.9676774192</v>
      </c>
      <c r="J288" s="30">
        <f>VLOOKUP(MONTH(Modelling[[#This Row],[Date]]),$W$3:$Y$14,3,0)</f>
        <v>6.74</v>
      </c>
      <c r="K288" s="30">
        <f>VLOOKUP(MONTH(Modelling[[#This Row],[Date]]),$W$3:$Y$14,3,0)</f>
        <v>6.74</v>
      </c>
      <c r="L288" s="30">
        <f>AVERAGE(J$3:J288)</f>
        <v>7.6090909090908969</v>
      </c>
      <c r="M288" s="31">
        <f t="shared" si="33"/>
        <v>0.36589655515730785</v>
      </c>
      <c r="N288" s="31">
        <f t="shared" si="34"/>
        <v>0.36589655515730773</v>
      </c>
      <c r="O288" s="31">
        <f t="shared" si="35"/>
        <v>0.34418461918964832</v>
      </c>
      <c r="P288" s="109">
        <f t="shared" si="36"/>
        <v>70.2</v>
      </c>
      <c r="Q288" s="28">
        <f>AVERAGE($P$278:P288)</f>
        <v>70.200000000000017</v>
      </c>
      <c r="R288" s="81">
        <f>AVERAGE($P$3:P288)</f>
        <v>59.906250000000227</v>
      </c>
      <c r="S288">
        <f t="shared" si="38"/>
        <v>11</v>
      </c>
      <c r="T288">
        <f t="shared" si="40"/>
        <v>256</v>
      </c>
    </row>
    <row r="289" spans="2:20">
      <c r="B289" s="27">
        <f t="shared" si="39"/>
        <v>45669</v>
      </c>
      <c r="C289" s="28">
        <f>YEAR(Modelling[[#This Row],[Date]])+IF(MONTH(Modelling[[#This Row],[Date]])&gt;=4,1,0)</f>
        <v>2025</v>
      </c>
      <c r="D289" s="22">
        <f t="shared" si="37"/>
        <v>2025</v>
      </c>
      <c r="E289" s="29">
        <v>44927</v>
      </c>
      <c r="F289" s="22">
        <f>DAY(EOMONTH(Modelling[[#This Row],[Date]],0))</f>
        <v>31</v>
      </c>
      <c r="G289" s="28">
        <f>VLOOKUP(MONTH(Modelling[[#This Row],[Date]]),$W$3:$Z$14,4,0)/1000/Modelling[[#This Row],[Days]]</f>
        <v>616.46251612903222</v>
      </c>
      <c r="H289" s="28">
        <f>SUM($G$278:G289)</f>
        <v>7397.5501935483871</v>
      </c>
      <c r="I289" s="28">
        <f>SUM($G$3:G289)</f>
        <v>127298.43019354824</v>
      </c>
      <c r="J289" s="30">
        <f>VLOOKUP(MONTH(Modelling[[#This Row],[Date]]),$W$3:$Y$14,3,0)</f>
        <v>6.74</v>
      </c>
      <c r="K289" s="30">
        <f>VLOOKUP(MONTH(Modelling[[#This Row],[Date]]),$W$3:$Y$14,3,0)</f>
        <v>6.74</v>
      </c>
      <c r="L289" s="30">
        <f>AVERAGE(J$3:J289)</f>
        <v>7.6060627177700226</v>
      </c>
      <c r="M289" s="31">
        <f t="shared" si="33"/>
        <v>0.36589655515730785</v>
      </c>
      <c r="N289" s="31">
        <f t="shared" si="34"/>
        <v>0.36589655515730773</v>
      </c>
      <c r="O289" s="31">
        <f t="shared" si="35"/>
        <v>0.34428355195080484</v>
      </c>
      <c r="P289" s="109">
        <f t="shared" si="36"/>
        <v>70.2</v>
      </c>
      <c r="Q289" s="28">
        <f>AVERAGE($P$278:P289)</f>
        <v>70.200000000000017</v>
      </c>
      <c r="R289" s="81">
        <f>AVERAGE($P$3:P289)</f>
        <v>59.946303501945756</v>
      </c>
      <c r="S289">
        <f t="shared" si="38"/>
        <v>12</v>
      </c>
      <c r="T289">
        <f t="shared" si="40"/>
        <v>257</v>
      </c>
    </row>
    <row r="290" spans="2:20">
      <c r="B290" s="27">
        <f t="shared" si="39"/>
        <v>45670</v>
      </c>
      <c r="C290" s="28">
        <f>YEAR(Modelling[[#This Row],[Date]])+IF(MONTH(Modelling[[#This Row],[Date]])&gt;=4,1,0)</f>
        <v>2025</v>
      </c>
      <c r="D290" s="22">
        <f t="shared" si="37"/>
        <v>2025</v>
      </c>
      <c r="E290" s="29">
        <v>44927</v>
      </c>
      <c r="F290" s="22">
        <f>DAY(EOMONTH(Modelling[[#This Row],[Date]],0))</f>
        <v>31</v>
      </c>
      <c r="G290" s="28">
        <f>VLOOKUP(MONTH(Modelling[[#This Row],[Date]]),$W$3:$Z$14,4,0)/1000/Modelling[[#This Row],[Days]]</f>
        <v>616.46251612903222</v>
      </c>
      <c r="H290" s="28">
        <f>SUM($G$278:G290)</f>
        <v>8014.0127096774195</v>
      </c>
      <c r="I290" s="28">
        <f>SUM($G$3:G290)</f>
        <v>127914.89270967727</v>
      </c>
      <c r="J290" s="30">
        <f>VLOOKUP(MONTH(Modelling[[#This Row],[Date]]),$W$3:$Y$14,3,0)</f>
        <v>6.74</v>
      </c>
      <c r="K290" s="30">
        <f>VLOOKUP(MONTH(Modelling[[#This Row],[Date]]),$W$3:$Y$14,3,0)</f>
        <v>6.74</v>
      </c>
      <c r="L290" s="30">
        <f>AVERAGE(J$3:J290)</f>
        <v>7.6030555555555424</v>
      </c>
      <c r="M290" s="31">
        <f t="shared" si="33"/>
        <v>0.36589655515730785</v>
      </c>
      <c r="N290" s="31">
        <f t="shared" si="34"/>
        <v>0.36589655515730779</v>
      </c>
      <c r="O290" s="31">
        <f t="shared" si="35"/>
        <v>0.34438158720610296</v>
      </c>
      <c r="P290" s="109">
        <f t="shared" si="36"/>
        <v>70.2</v>
      </c>
      <c r="Q290" s="28">
        <f>AVERAGE($P$278:P290)</f>
        <v>70.200000000000017</v>
      </c>
      <c r="R290" s="81">
        <f>AVERAGE($P$3:P290)</f>
        <v>59.986046511628139</v>
      </c>
      <c r="S290">
        <f t="shared" si="38"/>
        <v>13</v>
      </c>
      <c r="T290">
        <f t="shared" si="40"/>
        <v>258</v>
      </c>
    </row>
    <row r="291" spans="2:20">
      <c r="B291" s="27">
        <f t="shared" si="39"/>
        <v>45671</v>
      </c>
      <c r="C291" s="28">
        <f>YEAR(Modelling[[#This Row],[Date]])+IF(MONTH(Modelling[[#This Row],[Date]])&gt;=4,1,0)</f>
        <v>2025</v>
      </c>
      <c r="D291" s="22">
        <f t="shared" si="37"/>
        <v>2025</v>
      </c>
      <c r="E291" s="29">
        <v>44927</v>
      </c>
      <c r="F291" s="22">
        <f>DAY(EOMONTH(Modelling[[#This Row],[Date]],0))</f>
        <v>31</v>
      </c>
      <c r="G291" s="28">
        <f>VLOOKUP(MONTH(Modelling[[#This Row],[Date]]),$W$3:$Z$14,4,0)/1000/Modelling[[#This Row],[Days]]</f>
        <v>616.46251612903222</v>
      </c>
      <c r="H291" s="28">
        <f>SUM($G$278:G291)</f>
        <v>8630.4752258064509</v>
      </c>
      <c r="I291" s="28">
        <f>SUM($G$3:G291)</f>
        <v>128531.3552258063</v>
      </c>
      <c r="J291" s="30">
        <f>VLOOKUP(MONTH(Modelling[[#This Row],[Date]]),$W$3:$Y$14,3,0)</f>
        <v>6.74</v>
      </c>
      <c r="K291" s="30">
        <f>VLOOKUP(MONTH(Modelling[[#This Row],[Date]]),$W$3:$Y$14,3,0)</f>
        <v>6.74</v>
      </c>
      <c r="L291" s="30">
        <f>AVERAGE(J$3:J291)</f>
        <v>7.6000692041522351</v>
      </c>
      <c r="M291" s="31">
        <f t="shared" si="33"/>
        <v>0.36589655515730785</v>
      </c>
      <c r="N291" s="31">
        <f t="shared" si="34"/>
        <v>0.36589655515730773</v>
      </c>
      <c r="O291" s="31">
        <f t="shared" si="35"/>
        <v>0.34447873711348947</v>
      </c>
      <c r="P291" s="109">
        <f t="shared" si="36"/>
        <v>70.2</v>
      </c>
      <c r="Q291" s="28">
        <f>AVERAGE($P$278:P291)</f>
        <v>70.200000000000017</v>
      </c>
      <c r="R291" s="81">
        <f>AVERAGE($P$3:P291)</f>
        <v>60.025482625482859</v>
      </c>
      <c r="S291">
        <f t="shared" si="38"/>
        <v>14</v>
      </c>
      <c r="T291">
        <f t="shared" si="40"/>
        <v>259</v>
      </c>
    </row>
    <row r="292" spans="2:20">
      <c r="B292" s="27">
        <f t="shared" si="39"/>
        <v>45672</v>
      </c>
      <c r="C292" s="28">
        <f>YEAR(Modelling[[#This Row],[Date]])+IF(MONTH(Modelling[[#This Row],[Date]])&gt;=4,1,0)</f>
        <v>2025</v>
      </c>
      <c r="D292" s="22">
        <f t="shared" si="37"/>
        <v>2025</v>
      </c>
      <c r="E292" s="29">
        <v>44927</v>
      </c>
      <c r="F292" s="22">
        <f>DAY(EOMONTH(Modelling[[#This Row],[Date]],0))</f>
        <v>31</v>
      </c>
      <c r="G292" s="28">
        <f>VLOOKUP(MONTH(Modelling[[#This Row],[Date]]),$W$3:$Z$14,4,0)/1000/Modelling[[#This Row],[Days]]</f>
        <v>616.46251612903222</v>
      </c>
      <c r="H292" s="28">
        <f>SUM($G$278:G292)</f>
        <v>9246.9377419354823</v>
      </c>
      <c r="I292" s="28">
        <f>SUM($G$3:G292)</f>
        <v>129147.81774193533</v>
      </c>
      <c r="J292" s="30">
        <f>VLOOKUP(MONTH(Modelling[[#This Row],[Date]]),$W$3:$Y$14,3,0)</f>
        <v>6.74</v>
      </c>
      <c r="K292" s="30">
        <f>VLOOKUP(MONTH(Modelling[[#This Row],[Date]]),$W$3:$Y$14,3,0)</f>
        <v>6.74</v>
      </c>
      <c r="L292" s="30">
        <f>AVERAGE(J$3:J292)</f>
        <v>7.5971034482758473</v>
      </c>
      <c r="M292" s="31">
        <f t="shared" si="33"/>
        <v>0.36589655515730785</v>
      </c>
      <c r="N292" s="31">
        <f t="shared" si="34"/>
        <v>0.36589655515730768</v>
      </c>
      <c r="O292" s="31">
        <f t="shared" si="35"/>
        <v>0.3445750136123033</v>
      </c>
      <c r="P292" s="109">
        <f t="shared" si="36"/>
        <v>70.2</v>
      </c>
      <c r="Q292" s="28">
        <f>AVERAGE($P$278:P292)</f>
        <v>70.200000000000017</v>
      </c>
      <c r="R292" s="81">
        <f>AVERAGE($P$3:P292)</f>
        <v>60.064615384615621</v>
      </c>
      <c r="S292">
        <f t="shared" si="38"/>
        <v>15</v>
      </c>
      <c r="T292">
        <f t="shared" si="40"/>
        <v>260</v>
      </c>
    </row>
    <row r="293" spans="2:20">
      <c r="B293" s="27">
        <f t="shared" si="39"/>
        <v>45673</v>
      </c>
      <c r="C293" s="28">
        <f>YEAR(Modelling[[#This Row],[Date]])+IF(MONTH(Modelling[[#This Row],[Date]])&gt;=4,1,0)</f>
        <v>2025</v>
      </c>
      <c r="D293" s="22">
        <f t="shared" si="37"/>
        <v>2025</v>
      </c>
      <c r="E293" s="29">
        <v>44927</v>
      </c>
      <c r="F293" s="22">
        <f>DAY(EOMONTH(Modelling[[#This Row],[Date]],0))</f>
        <v>31</v>
      </c>
      <c r="G293" s="28">
        <f>VLOOKUP(MONTH(Modelling[[#This Row],[Date]]),$W$3:$Z$14,4,0)/1000/Modelling[[#This Row],[Days]]</f>
        <v>616.46251612903222</v>
      </c>
      <c r="H293" s="28">
        <f>SUM($G$278:G293)</f>
        <v>9863.4002580645138</v>
      </c>
      <c r="I293" s="28">
        <f>SUM($G$3:G293)</f>
        <v>129764.28025806436</v>
      </c>
      <c r="J293" s="30">
        <f>VLOOKUP(MONTH(Modelling[[#This Row],[Date]]),$W$3:$Y$14,3,0)</f>
        <v>6.74</v>
      </c>
      <c r="K293" s="30">
        <f>VLOOKUP(MONTH(Modelling[[#This Row],[Date]]),$W$3:$Y$14,3,0)</f>
        <v>6.74</v>
      </c>
      <c r="L293" s="30">
        <f>AVERAGE(J$3:J293)</f>
        <v>7.5941580756013591</v>
      </c>
      <c r="M293" s="31">
        <f t="shared" si="33"/>
        <v>0.36589655515730785</v>
      </c>
      <c r="N293" s="31">
        <f t="shared" si="34"/>
        <v>0.36589655515730768</v>
      </c>
      <c r="O293" s="31">
        <f t="shared" si="35"/>
        <v>0.34467042842816731</v>
      </c>
      <c r="P293" s="109">
        <f t="shared" si="36"/>
        <v>70.2</v>
      </c>
      <c r="Q293" s="28">
        <f>AVERAGE($P$278:P293)</f>
        <v>70.200000000000017</v>
      </c>
      <c r="R293" s="81">
        <f>AVERAGE($P$3:P293)</f>
        <v>60.103448275862306</v>
      </c>
      <c r="S293">
        <f t="shared" si="38"/>
        <v>16</v>
      </c>
      <c r="T293">
        <f t="shared" si="40"/>
        <v>261</v>
      </c>
    </row>
    <row r="294" spans="2:20">
      <c r="B294" s="27">
        <f t="shared" si="39"/>
        <v>45674</v>
      </c>
      <c r="C294" s="28">
        <f>YEAR(Modelling[[#This Row],[Date]])+IF(MONTH(Modelling[[#This Row],[Date]])&gt;=4,1,0)</f>
        <v>2025</v>
      </c>
      <c r="D294" s="22">
        <f t="shared" si="37"/>
        <v>2025</v>
      </c>
      <c r="E294" s="29">
        <v>44927</v>
      </c>
      <c r="F294" s="22">
        <f>DAY(EOMONTH(Modelling[[#This Row],[Date]],0))</f>
        <v>31</v>
      </c>
      <c r="G294" s="28">
        <f>VLOOKUP(MONTH(Modelling[[#This Row],[Date]]),$W$3:$Z$14,4,0)/1000/Modelling[[#This Row],[Days]]</f>
        <v>616.46251612903222</v>
      </c>
      <c r="H294" s="28">
        <f>SUM($G$278:G294)</f>
        <v>10479.862774193545</v>
      </c>
      <c r="I294" s="28">
        <f>SUM($G$3:G294)</f>
        <v>130380.74277419339</v>
      </c>
      <c r="J294" s="30">
        <f>VLOOKUP(MONTH(Modelling[[#This Row],[Date]]),$W$3:$Y$14,3,0)</f>
        <v>6.74</v>
      </c>
      <c r="K294" s="30">
        <f>VLOOKUP(MONTH(Modelling[[#This Row],[Date]]),$W$3:$Y$14,3,0)</f>
        <v>6.74</v>
      </c>
      <c r="L294" s="30">
        <f>AVERAGE(J$3:J294)</f>
        <v>7.5912328767123132</v>
      </c>
      <c r="M294" s="31">
        <f t="shared" si="33"/>
        <v>0.36589655515730785</v>
      </c>
      <c r="N294" s="31">
        <f t="shared" si="34"/>
        <v>0.36589655515730762</v>
      </c>
      <c r="O294" s="31">
        <f t="shared" si="35"/>
        <v>0.34476499307774877</v>
      </c>
      <c r="P294" s="109">
        <f t="shared" si="36"/>
        <v>70.2</v>
      </c>
      <c r="Q294" s="28">
        <f>AVERAGE($P$278:P294)</f>
        <v>70.200000000000017</v>
      </c>
      <c r="R294" s="81">
        <f>AVERAGE($P$3:P294)</f>
        <v>60.141984732824668</v>
      </c>
      <c r="S294">
        <f t="shared" si="38"/>
        <v>17</v>
      </c>
      <c r="T294">
        <f t="shared" si="40"/>
        <v>262</v>
      </c>
    </row>
    <row r="295" spans="2:20">
      <c r="B295" s="27">
        <f t="shared" si="39"/>
        <v>45675</v>
      </c>
      <c r="C295" s="28">
        <f>YEAR(Modelling[[#This Row],[Date]])+IF(MONTH(Modelling[[#This Row],[Date]])&gt;=4,1,0)</f>
        <v>2025</v>
      </c>
      <c r="D295" s="22">
        <f t="shared" si="37"/>
        <v>2025</v>
      </c>
      <c r="E295" s="29">
        <v>44927</v>
      </c>
      <c r="F295" s="22">
        <f>DAY(EOMONTH(Modelling[[#This Row],[Date]],0))</f>
        <v>31</v>
      </c>
      <c r="G295" s="28">
        <f>VLOOKUP(MONTH(Modelling[[#This Row],[Date]]),$W$3:$Z$14,4,0)/1000/Modelling[[#This Row],[Days]]</f>
        <v>616.46251612903222</v>
      </c>
      <c r="H295" s="28">
        <f>SUM($G$278:G295)</f>
        <v>11096.325290322577</v>
      </c>
      <c r="I295" s="28">
        <f>SUM($G$3:G295)</f>
        <v>130997.20529032242</v>
      </c>
      <c r="J295" s="30">
        <f>VLOOKUP(MONTH(Modelling[[#This Row],[Date]]),$W$3:$Y$14,3,0)</f>
        <v>6.74</v>
      </c>
      <c r="K295" s="30">
        <f>VLOOKUP(MONTH(Modelling[[#This Row],[Date]]),$W$3:$Y$14,3,0)</f>
        <v>6.74</v>
      </c>
      <c r="L295" s="30">
        <f>AVERAGE(J$3:J295)</f>
        <v>7.5883276450511774</v>
      </c>
      <c r="M295" s="31">
        <f t="shared" si="33"/>
        <v>0.36589655515730785</v>
      </c>
      <c r="N295" s="31">
        <f t="shared" si="34"/>
        <v>0.36589655515730762</v>
      </c>
      <c r="O295" s="31">
        <f t="shared" si="35"/>
        <v>0.34485871887339337</v>
      </c>
      <c r="P295" s="109">
        <f t="shared" si="36"/>
        <v>70.2</v>
      </c>
      <c r="Q295" s="28">
        <f>AVERAGE($P$278:P295)</f>
        <v>70.200000000000017</v>
      </c>
      <c r="R295" s="81">
        <f>AVERAGE($P$3:P295)</f>
        <v>60.18022813688237</v>
      </c>
      <c r="S295">
        <f t="shared" si="38"/>
        <v>18</v>
      </c>
      <c r="T295">
        <f t="shared" si="40"/>
        <v>263</v>
      </c>
    </row>
    <row r="296" spans="2:20">
      <c r="B296" s="27">
        <f t="shared" si="39"/>
        <v>45676</v>
      </c>
      <c r="C296" s="28">
        <f>YEAR(Modelling[[#This Row],[Date]])+IF(MONTH(Modelling[[#This Row],[Date]])&gt;=4,1,0)</f>
        <v>2025</v>
      </c>
      <c r="D296" s="22">
        <f t="shared" si="37"/>
        <v>2025</v>
      </c>
      <c r="E296" s="29">
        <v>44927</v>
      </c>
      <c r="F296" s="22">
        <f>DAY(EOMONTH(Modelling[[#This Row],[Date]],0))</f>
        <v>31</v>
      </c>
      <c r="G296" s="28">
        <f>VLOOKUP(MONTH(Modelling[[#This Row],[Date]]),$W$3:$Z$14,4,0)/1000/Modelling[[#This Row],[Days]]</f>
        <v>616.46251612903222</v>
      </c>
      <c r="H296" s="28">
        <f>SUM($G$278:G296)</f>
        <v>11712.787806451608</v>
      </c>
      <c r="I296" s="28">
        <f>SUM($G$3:G296)</f>
        <v>131613.66780645147</v>
      </c>
      <c r="J296" s="30">
        <f>VLOOKUP(MONTH(Modelling[[#This Row],[Date]]),$W$3:$Y$14,3,0)</f>
        <v>6.74</v>
      </c>
      <c r="K296" s="30">
        <f>VLOOKUP(MONTH(Modelling[[#This Row],[Date]]),$W$3:$Y$14,3,0)</f>
        <v>6.74</v>
      </c>
      <c r="L296" s="30">
        <f>AVERAGE(J$3:J296)</f>
        <v>7.585442176870731</v>
      </c>
      <c r="M296" s="31">
        <f t="shared" si="33"/>
        <v>0.36589655515730785</v>
      </c>
      <c r="N296" s="31">
        <f t="shared" si="34"/>
        <v>0.36589655515730757</v>
      </c>
      <c r="O296" s="31">
        <f t="shared" si="35"/>
        <v>0.34495161692763621</v>
      </c>
      <c r="P296" s="109">
        <f t="shared" si="36"/>
        <v>70.2</v>
      </c>
      <c r="Q296" s="28">
        <f>AVERAGE($P$278:P296)</f>
        <v>70.200000000000017</v>
      </c>
      <c r="R296" s="81">
        <f>AVERAGE($P$3:P296)</f>
        <v>60.21818181818206</v>
      </c>
      <c r="S296">
        <f t="shared" si="38"/>
        <v>19</v>
      </c>
      <c r="T296">
        <f t="shared" si="40"/>
        <v>264</v>
      </c>
    </row>
    <row r="297" spans="2:20">
      <c r="B297" s="27">
        <f t="shared" si="39"/>
        <v>45677</v>
      </c>
      <c r="C297" s="28">
        <f>YEAR(Modelling[[#This Row],[Date]])+IF(MONTH(Modelling[[#This Row],[Date]])&gt;=4,1,0)</f>
        <v>2025</v>
      </c>
      <c r="D297" s="22">
        <f t="shared" si="37"/>
        <v>2025</v>
      </c>
      <c r="E297" s="29">
        <v>44927</v>
      </c>
      <c r="F297" s="22">
        <f>DAY(EOMONTH(Modelling[[#This Row],[Date]],0))</f>
        <v>31</v>
      </c>
      <c r="G297" s="28">
        <f>VLOOKUP(MONTH(Modelling[[#This Row],[Date]]),$W$3:$Z$14,4,0)/1000/Modelling[[#This Row],[Days]]</f>
        <v>616.46251612903222</v>
      </c>
      <c r="H297" s="28">
        <f>SUM($G$278:G297)</f>
        <v>12329.250322580639</v>
      </c>
      <c r="I297" s="28">
        <f>SUM($G$3:G297)</f>
        <v>132230.13032258052</v>
      </c>
      <c r="J297" s="30">
        <f>VLOOKUP(MONTH(Modelling[[#This Row],[Date]]),$W$3:$Y$14,3,0)</f>
        <v>6.74</v>
      </c>
      <c r="K297" s="30">
        <f>VLOOKUP(MONTH(Modelling[[#This Row],[Date]]),$W$3:$Y$14,3,0)</f>
        <v>6.74</v>
      </c>
      <c r="L297" s="30">
        <f>AVERAGE(J$3:J297)</f>
        <v>7.5825762711864222</v>
      </c>
      <c r="M297" s="31">
        <f t="shared" si="33"/>
        <v>0.36589655515730785</v>
      </c>
      <c r="N297" s="31">
        <f t="shared" si="34"/>
        <v>0.36589655515730757</v>
      </c>
      <c r="O297" s="31">
        <f t="shared" si="35"/>
        <v>0.34504369815759417</v>
      </c>
      <c r="P297" s="109">
        <f t="shared" si="36"/>
        <v>70.2</v>
      </c>
      <c r="Q297" s="28">
        <f>AVERAGE($P$278:P297)</f>
        <v>70.200000000000017</v>
      </c>
      <c r="R297" s="81">
        <f>AVERAGE($P$3:P297)</f>
        <v>60.255849056604021</v>
      </c>
      <c r="S297">
        <f t="shared" si="38"/>
        <v>20</v>
      </c>
      <c r="T297">
        <f t="shared" si="40"/>
        <v>265</v>
      </c>
    </row>
    <row r="298" spans="2:20">
      <c r="B298" s="27">
        <f t="shared" si="39"/>
        <v>45678</v>
      </c>
      <c r="C298" s="28">
        <f>YEAR(Modelling[[#This Row],[Date]])+IF(MONTH(Modelling[[#This Row],[Date]])&gt;=4,1,0)</f>
        <v>2025</v>
      </c>
      <c r="D298" s="22">
        <f t="shared" si="37"/>
        <v>2025</v>
      </c>
      <c r="E298" s="29">
        <v>44927</v>
      </c>
      <c r="F298" s="22">
        <f>DAY(EOMONTH(Modelling[[#This Row],[Date]],0))</f>
        <v>31</v>
      </c>
      <c r="G298" s="28">
        <f>VLOOKUP(MONTH(Modelling[[#This Row],[Date]]),$W$3:$Z$14,4,0)/1000/Modelling[[#This Row],[Days]]</f>
        <v>616.46251612903222</v>
      </c>
      <c r="H298" s="28">
        <f>SUM($G$278:G298)</f>
        <v>12945.712838709671</v>
      </c>
      <c r="I298" s="28">
        <f>SUM($G$3:G298)</f>
        <v>132846.59283870956</v>
      </c>
      <c r="J298" s="30">
        <f>VLOOKUP(MONTH(Modelling[[#This Row],[Date]]),$W$3:$Y$14,3,0)</f>
        <v>6.74</v>
      </c>
      <c r="K298" s="30">
        <f>VLOOKUP(MONTH(Modelling[[#This Row],[Date]]),$W$3:$Y$14,3,0)</f>
        <v>6.74</v>
      </c>
      <c r="L298" s="30">
        <f>AVERAGE(J$3:J298)</f>
        <v>7.5797297297297108</v>
      </c>
      <c r="M298" s="31">
        <f t="shared" si="33"/>
        <v>0.36589655515730785</v>
      </c>
      <c r="N298" s="31">
        <f t="shared" si="34"/>
        <v>0.36589655515730757</v>
      </c>
      <c r="O298" s="31">
        <f t="shared" si="35"/>
        <v>0.34513497328924281</v>
      </c>
      <c r="P298" s="109">
        <f t="shared" si="36"/>
        <v>70.2</v>
      </c>
      <c r="Q298" s="28">
        <f>AVERAGE($P$278:P298)</f>
        <v>70.200000000000017</v>
      </c>
      <c r="R298" s="81">
        <f>AVERAGE($P$3:P298)</f>
        <v>60.293233082707012</v>
      </c>
      <c r="S298">
        <f t="shared" si="38"/>
        <v>21</v>
      </c>
      <c r="T298">
        <f t="shared" si="40"/>
        <v>266</v>
      </c>
    </row>
    <row r="299" spans="2:20">
      <c r="B299" s="27">
        <f t="shared" si="39"/>
        <v>45679</v>
      </c>
      <c r="C299" s="28">
        <f>YEAR(Modelling[[#This Row],[Date]])+IF(MONTH(Modelling[[#This Row],[Date]])&gt;=4,1,0)</f>
        <v>2025</v>
      </c>
      <c r="D299" s="22">
        <f t="shared" si="37"/>
        <v>2025</v>
      </c>
      <c r="E299" s="29">
        <v>44927</v>
      </c>
      <c r="F299" s="22">
        <f>DAY(EOMONTH(Modelling[[#This Row],[Date]],0))</f>
        <v>31</v>
      </c>
      <c r="G299" s="28">
        <f>VLOOKUP(MONTH(Modelling[[#This Row],[Date]]),$W$3:$Z$14,4,0)/1000/Modelling[[#This Row],[Days]]</f>
        <v>616.46251612903222</v>
      </c>
      <c r="H299" s="28">
        <f>SUM($G$278:G299)</f>
        <v>13562.175354838702</v>
      </c>
      <c r="I299" s="28">
        <f>SUM($G$3:G299)</f>
        <v>133463.05535483861</v>
      </c>
      <c r="J299" s="30">
        <f>VLOOKUP(MONTH(Modelling[[#This Row],[Date]]),$W$3:$Y$14,3,0)</f>
        <v>6.74</v>
      </c>
      <c r="K299" s="30">
        <f>VLOOKUP(MONTH(Modelling[[#This Row],[Date]]),$W$3:$Y$14,3,0)</f>
        <v>6.74</v>
      </c>
      <c r="L299" s="30">
        <f>AVERAGE(J$3:J299)</f>
        <v>7.5769023569023375</v>
      </c>
      <c r="M299" s="31">
        <f t="shared" si="33"/>
        <v>0.36589655515730785</v>
      </c>
      <c r="N299" s="31">
        <f t="shared" si="34"/>
        <v>0.36589655515730746</v>
      </c>
      <c r="O299" s="31">
        <f t="shared" si="35"/>
        <v>0.34522545286158102</v>
      </c>
      <c r="P299" s="109">
        <f t="shared" si="36"/>
        <v>70.2</v>
      </c>
      <c r="Q299" s="28">
        <f>AVERAGE($P$278:P299)</f>
        <v>70.200000000000031</v>
      </c>
      <c r="R299" s="81">
        <f>AVERAGE($P$3:P299)</f>
        <v>60.330337078651937</v>
      </c>
      <c r="S299">
        <f t="shared" si="38"/>
        <v>22</v>
      </c>
      <c r="T299">
        <f t="shared" si="40"/>
        <v>267</v>
      </c>
    </row>
    <row r="300" spans="2:20">
      <c r="B300" s="27">
        <f t="shared" si="39"/>
        <v>45680</v>
      </c>
      <c r="C300" s="28">
        <f>YEAR(Modelling[[#This Row],[Date]])+IF(MONTH(Modelling[[#This Row],[Date]])&gt;=4,1,0)</f>
        <v>2025</v>
      </c>
      <c r="D300" s="22">
        <f t="shared" si="37"/>
        <v>2025</v>
      </c>
      <c r="E300" s="29">
        <v>44927</v>
      </c>
      <c r="F300" s="22">
        <f>DAY(EOMONTH(Modelling[[#This Row],[Date]],0))</f>
        <v>31</v>
      </c>
      <c r="G300" s="28">
        <f>VLOOKUP(MONTH(Modelling[[#This Row],[Date]]),$W$3:$Z$14,4,0)/1000/Modelling[[#This Row],[Days]]</f>
        <v>616.46251612903222</v>
      </c>
      <c r="H300" s="28">
        <f>SUM($G$278:G300)</f>
        <v>14178.637870967734</v>
      </c>
      <c r="I300" s="28">
        <f>SUM($G$3:G300)</f>
        <v>134079.51787096765</v>
      </c>
      <c r="J300" s="30">
        <f>VLOOKUP(MONTH(Modelling[[#This Row],[Date]]),$W$3:$Y$14,3,0)</f>
        <v>6.74</v>
      </c>
      <c r="K300" s="30">
        <f>VLOOKUP(MONTH(Modelling[[#This Row],[Date]]),$W$3:$Y$14,3,0)</f>
        <v>6.74</v>
      </c>
      <c r="L300" s="30">
        <f>AVERAGE(J$3:J300)</f>
        <v>7.5740939597315231</v>
      </c>
      <c r="M300" s="31">
        <f t="shared" si="33"/>
        <v>0.36589655515730785</v>
      </c>
      <c r="N300" s="31">
        <f t="shared" si="34"/>
        <v>0.36589655515730746</v>
      </c>
      <c r="O300" s="31">
        <f t="shared" si="35"/>
        <v>0.34531514723068801</v>
      </c>
      <c r="P300" s="109">
        <f t="shared" si="36"/>
        <v>70.2</v>
      </c>
      <c r="Q300" s="28">
        <f>AVERAGE($P$278:P300)</f>
        <v>70.200000000000031</v>
      </c>
      <c r="R300" s="81">
        <f>AVERAGE($P$3:P300)</f>
        <v>60.367164179104726</v>
      </c>
      <c r="S300">
        <f t="shared" si="38"/>
        <v>23</v>
      </c>
      <c r="T300">
        <f t="shared" si="40"/>
        <v>268</v>
      </c>
    </row>
    <row r="301" spans="2:20">
      <c r="B301" s="27">
        <f t="shared" si="39"/>
        <v>45681</v>
      </c>
      <c r="C301" s="28">
        <f>YEAR(Modelling[[#This Row],[Date]])+IF(MONTH(Modelling[[#This Row],[Date]])&gt;=4,1,0)</f>
        <v>2025</v>
      </c>
      <c r="D301" s="22">
        <f t="shared" si="37"/>
        <v>2025</v>
      </c>
      <c r="E301" s="29">
        <v>44927</v>
      </c>
      <c r="F301" s="22">
        <f>DAY(EOMONTH(Modelling[[#This Row],[Date]],0))</f>
        <v>31</v>
      </c>
      <c r="G301" s="28">
        <f>VLOOKUP(MONTH(Modelling[[#This Row],[Date]]),$W$3:$Z$14,4,0)/1000/Modelling[[#This Row],[Days]]</f>
        <v>616.46251612903222</v>
      </c>
      <c r="H301" s="28">
        <f>SUM($G$278:G301)</f>
        <v>14795.100387096765</v>
      </c>
      <c r="I301" s="28">
        <f>SUM($G$3:G301)</f>
        <v>134695.9803870967</v>
      </c>
      <c r="J301" s="30">
        <f>VLOOKUP(MONTH(Modelling[[#This Row],[Date]]),$W$3:$Y$14,3,0)</f>
        <v>6.74</v>
      </c>
      <c r="K301" s="30">
        <f>VLOOKUP(MONTH(Modelling[[#This Row],[Date]]),$W$3:$Y$14,3,0)</f>
        <v>6.74</v>
      </c>
      <c r="L301" s="30">
        <f>AVERAGE(J$3:J301)</f>
        <v>7.5713043478260662</v>
      </c>
      <c r="M301" s="31">
        <f t="shared" si="33"/>
        <v>0.36589655515730785</v>
      </c>
      <c r="N301" s="31">
        <f t="shared" si="34"/>
        <v>0.36589655515730746</v>
      </c>
      <c r="O301" s="31">
        <f t="shared" si="35"/>
        <v>0.3454040665736744</v>
      </c>
      <c r="P301" s="109">
        <f t="shared" si="36"/>
        <v>70.2</v>
      </c>
      <c r="Q301" s="28">
        <f>AVERAGE($P$278:P301)</f>
        <v>70.200000000000031</v>
      </c>
      <c r="R301" s="81">
        <f>AVERAGE($P$3:P301)</f>
        <v>60.403717472119212</v>
      </c>
      <c r="S301">
        <f t="shared" si="38"/>
        <v>24</v>
      </c>
      <c r="T301">
        <f t="shared" si="40"/>
        <v>269</v>
      </c>
    </row>
    <row r="302" spans="2:20">
      <c r="B302" s="27">
        <f t="shared" si="39"/>
        <v>45682</v>
      </c>
      <c r="C302" s="28">
        <f>YEAR(Modelling[[#This Row],[Date]])+IF(MONTH(Modelling[[#This Row],[Date]])&gt;=4,1,0)</f>
        <v>2025</v>
      </c>
      <c r="D302" s="22">
        <f t="shared" si="37"/>
        <v>2025</v>
      </c>
      <c r="E302" s="29">
        <v>44927</v>
      </c>
      <c r="F302" s="22">
        <f>DAY(EOMONTH(Modelling[[#This Row],[Date]],0))</f>
        <v>31</v>
      </c>
      <c r="G302" s="28">
        <f>VLOOKUP(MONTH(Modelling[[#This Row],[Date]]),$W$3:$Z$14,4,0)/1000/Modelling[[#This Row],[Days]]</f>
        <v>616.46251612903222</v>
      </c>
      <c r="H302" s="28">
        <f>SUM($G$278:G302)</f>
        <v>15411.562903225797</v>
      </c>
      <c r="I302" s="28">
        <f>SUM($G$3:G302)</f>
        <v>135312.44290322575</v>
      </c>
      <c r="J302" s="30">
        <f>VLOOKUP(MONTH(Modelling[[#This Row],[Date]]),$W$3:$Y$14,3,0)</f>
        <v>6.74</v>
      </c>
      <c r="K302" s="30">
        <f>VLOOKUP(MONTH(Modelling[[#This Row],[Date]]),$W$3:$Y$14,3,0)</f>
        <v>6.74</v>
      </c>
      <c r="L302" s="30">
        <f>AVERAGE(J$3:J302)</f>
        <v>7.5685333333333116</v>
      </c>
      <c r="M302" s="31">
        <f t="shared" si="33"/>
        <v>0.36589655515730785</v>
      </c>
      <c r="N302" s="31">
        <f t="shared" si="34"/>
        <v>0.36589655515730746</v>
      </c>
      <c r="O302" s="31">
        <f t="shared" si="35"/>
        <v>0.34549222089253184</v>
      </c>
      <c r="P302" s="109">
        <f t="shared" si="36"/>
        <v>70.2</v>
      </c>
      <c r="Q302" s="28">
        <f>AVERAGE($P$278:P302)</f>
        <v>70.200000000000031</v>
      </c>
      <c r="R302" s="81">
        <f>AVERAGE($P$3:P302)</f>
        <v>60.440000000000254</v>
      </c>
      <c r="S302">
        <f t="shared" si="38"/>
        <v>25</v>
      </c>
      <c r="T302">
        <f t="shared" si="40"/>
        <v>270</v>
      </c>
    </row>
    <row r="303" spans="2:20">
      <c r="B303" s="27">
        <f t="shared" si="39"/>
        <v>45683</v>
      </c>
      <c r="C303" s="28">
        <f>YEAR(Modelling[[#This Row],[Date]])+IF(MONTH(Modelling[[#This Row],[Date]])&gt;=4,1,0)</f>
        <v>2025</v>
      </c>
      <c r="D303" s="22">
        <f t="shared" si="37"/>
        <v>2025</v>
      </c>
      <c r="E303" s="29">
        <v>44927</v>
      </c>
      <c r="F303" s="22">
        <f>DAY(EOMONTH(Modelling[[#This Row],[Date]],0))</f>
        <v>31</v>
      </c>
      <c r="G303" s="28">
        <f>VLOOKUP(MONTH(Modelling[[#This Row],[Date]]),$W$3:$Z$14,4,0)/1000/Modelling[[#This Row],[Days]]</f>
        <v>616.46251612903222</v>
      </c>
      <c r="H303" s="28">
        <f>SUM($G$278:G303)</f>
        <v>16028.025419354828</v>
      </c>
      <c r="I303" s="28">
        <f>SUM($G$3:G303)</f>
        <v>135928.90541935479</v>
      </c>
      <c r="J303" s="30">
        <f>VLOOKUP(MONTH(Modelling[[#This Row],[Date]]),$W$3:$Y$14,3,0)</f>
        <v>6.74</v>
      </c>
      <c r="K303" s="30">
        <f>VLOOKUP(MONTH(Modelling[[#This Row],[Date]]),$W$3:$Y$14,3,0)</f>
        <v>6.74</v>
      </c>
      <c r="L303" s="30">
        <f>AVERAGE(J$3:J303)</f>
        <v>7.5657807308969875</v>
      </c>
      <c r="M303" s="31">
        <f t="shared" si="33"/>
        <v>0.36589655515730785</v>
      </c>
      <c r="N303" s="31">
        <f t="shared" si="34"/>
        <v>0.36589655515730746</v>
      </c>
      <c r="O303" s="31">
        <f t="shared" si="35"/>
        <v>0.3455796200178835</v>
      </c>
      <c r="P303" s="109">
        <f t="shared" si="36"/>
        <v>70.2</v>
      </c>
      <c r="Q303" s="28">
        <f>AVERAGE($P$278:P303)</f>
        <v>70.200000000000031</v>
      </c>
      <c r="R303" s="81">
        <f>AVERAGE($P$3:P303)</f>
        <v>60.476014760147855</v>
      </c>
      <c r="S303">
        <f t="shared" si="38"/>
        <v>26</v>
      </c>
      <c r="T303">
        <f t="shared" si="40"/>
        <v>271</v>
      </c>
    </row>
    <row r="304" spans="2:20">
      <c r="B304" s="27">
        <f t="shared" si="39"/>
        <v>45684</v>
      </c>
      <c r="C304" s="28">
        <f>YEAR(Modelling[[#This Row],[Date]])+IF(MONTH(Modelling[[#This Row],[Date]])&gt;=4,1,0)</f>
        <v>2025</v>
      </c>
      <c r="D304" s="22">
        <f t="shared" si="37"/>
        <v>2025</v>
      </c>
      <c r="E304" s="29">
        <v>44927</v>
      </c>
      <c r="F304" s="22">
        <f>DAY(EOMONTH(Modelling[[#This Row],[Date]],0))</f>
        <v>31</v>
      </c>
      <c r="G304" s="28">
        <f>VLOOKUP(MONTH(Modelling[[#This Row],[Date]]),$W$3:$Z$14,4,0)/1000/Modelling[[#This Row],[Days]]</f>
        <v>616.46251612903222</v>
      </c>
      <c r="H304" s="28">
        <f>SUM($G$278:G304)</f>
        <v>16644.487935483859</v>
      </c>
      <c r="I304" s="28">
        <f>SUM($G$3:G304)</f>
        <v>136545.36793548384</v>
      </c>
      <c r="J304" s="30">
        <f>VLOOKUP(MONTH(Modelling[[#This Row],[Date]]),$W$3:$Y$14,3,0)</f>
        <v>6.74</v>
      </c>
      <c r="K304" s="30">
        <f>VLOOKUP(MONTH(Modelling[[#This Row],[Date]]),$W$3:$Y$14,3,0)</f>
        <v>6.74</v>
      </c>
      <c r="L304" s="30">
        <f>AVERAGE(J$3:J304)</f>
        <v>7.5630463576158711</v>
      </c>
      <c r="M304" s="31">
        <f t="shared" si="33"/>
        <v>0.36589655515730785</v>
      </c>
      <c r="N304" s="31">
        <f t="shared" si="34"/>
        <v>0.3658965551573074</v>
      </c>
      <c r="O304" s="31">
        <f t="shared" si="35"/>
        <v>0.3456662736126383</v>
      </c>
      <c r="P304" s="109">
        <f t="shared" si="36"/>
        <v>70.2</v>
      </c>
      <c r="Q304" s="28">
        <f>AVERAGE($P$278:P304)</f>
        <v>70.200000000000031</v>
      </c>
      <c r="R304" s="81">
        <f>AVERAGE($P$3:P304)</f>
        <v>60.511764705882612</v>
      </c>
      <c r="S304">
        <f t="shared" si="38"/>
        <v>27</v>
      </c>
      <c r="T304">
        <f t="shared" si="40"/>
        <v>272</v>
      </c>
    </row>
    <row r="305" spans="2:20">
      <c r="B305" s="27">
        <f t="shared" si="39"/>
        <v>45685</v>
      </c>
      <c r="C305" s="28">
        <f>YEAR(Modelling[[#This Row],[Date]])+IF(MONTH(Modelling[[#This Row],[Date]])&gt;=4,1,0)</f>
        <v>2025</v>
      </c>
      <c r="D305" s="22">
        <f t="shared" si="37"/>
        <v>2025</v>
      </c>
      <c r="E305" s="29">
        <v>44927</v>
      </c>
      <c r="F305" s="22">
        <f>DAY(EOMONTH(Modelling[[#This Row],[Date]],0))</f>
        <v>31</v>
      </c>
      <c r="G305" s="28">
        <f>VLOOKUP(MONTH(Modelling[[#This Row],[Date]]),$W$3:$Z$14,4,0)/1000/Modelling[[#This Row],[Days]]</f>
        <v>616.46251612903222</v>
      </c>
      <c r="H305" s="28">
        <f>SUM($G$278:G305)</f>
        <v>17260.950451612891</v>
      </c>
      <c r="I305" s="28">
        <f>SUM($G$3:G305)</f>
        <v>137161.83045161288</v>
      </c>
      <c r="J305" s="30">
        <f>VLOOKUP(MONTH(Modelling[[#This Row],[Date]]),$W$3:$Y$14,3,0)</f>
        <v>6.74</v>
      </c>
      <c r="K305" s="30">
        <f>VLOOKUP(MONTH(Modelling[[#This Row],[Date]]),$W$3:$Y$14,3,0)</f>
        <v>6.74</v>
      </c>
      <c r="L305" s="30">
        <f>AVERAGE(J$3:J305)</f>
        <v>7.560330033003277</v>
      </c>
      <c r="M305" s="31">
        <f t="shared" si="33"/>
        <v>0.36589655515730785</v>
      </c>
      <c r="N305" s="31">
        <f t="shared" si="34"/>
        <v>0.3658965551573074</v>
      </c>
      <c r="O305" s="31">
        <f t="shared" si="35"/>
        <v>0.34575219117555261</v>
      </c>
      <c r="P305" s="109">
        <f t="shared" si="36"/>
        <v>70.2</v>
      </c>
      <c r="Q305" s="28">
        <f>AVERAGE($P$278:P305)</f>
        <v>70.200000000000031</v>
      </c>
      <c r="R305" s="81">
        <f>AVERAGE($P$3:P305)</f>
        <v>60.547252747253005</v>
      </c>
      <c r="S305">
        <f t="shared" si="38"/>
        <v>28</v>
      </c>
      <c r="T305">
        <f t="shared" si="40"/>
        <v>273</v>
      </c>
    </row>
    <row r="306" spans="2:20">
      <c r="B306" s="27">
        <f t="shared" si="39"/>
        <v>45686</v>
      </c>
      <c r="C306" s="28">
        <f>YEAR(Modelling[[#This Row],[Date]])+IF(MONTH(Modelling[[#This Row],[Date]])&gt;=4,1,0)</f>
        <v>2025</v>
      </c>
      <c r="D306" s="22">
        <f t="shared" si="37"/>
        <v>2025</v>
      </c>
      <c r="E306" s="29">
        <v>44927</v>
      </c>
      <c r="F306" s="22">
        <f>DAY(EOMONTH(Modelling[[#This Row],[Date]],0))</f>
        <v>31</v>
      </c>
      <c r="G306" s="28">
        <f>VLOOKUP(MONTH(Modelling[[#This Row],[Date]]),$W$3:$Z$14,4,0)/1000/Modelling[[#This Row],[Days]]</f>
        <v>616.46251612903222</v>
      </c>
      <c r="H306" s="28">
        <f>SUM($G$278:G306)</f>
        <v>17877.412967741922</v>
      </c>
      <c r="I306" s="28">
        <f>SUM($G$3:G306)</f>
        <v>137778.29296774193</v>
      </c>
      <c r="J306" s="30">
        <f>VLOOKUP(MONTH(Modelling[[#This Row],[Date]]),$W$3:$Y$14,3,0)</f>
        <v>6.74</v>
      </c>
      <c r="K306" s="30">
        <f>VLOOKUP(MONTH(Modelling[[#This Row],[Date]]),$W$3:$Y$14,3,0)</f>
        <v>6.74</v>
      </c>
      <c r="L306" s="30">
        <f>AVERAGE(J$3:J306)</f>
        <v>7.5576315789473441</v>
      </c>
      <c r="M306" s="31">
        <f t="shared" si="33"/>
        <v>0.36589655515730785</v>
      </c>
      <c r="N306" s="31">
        <f t="shared" si="34"/>
        <v>0.3658965551573074</v>
      </c>
      <c r="O306" s="31">
        <f t="shared" si="35"/>
        <v>0.34583738204470121</v>
      </c>
      <c r="P306" s="109">
        <f t="shared" si="36"/>
        <v>70.2</v>
      </c>
      <c r="Q306" s="28">
        <f>AVERAGE($P$278:P306)</f>
        <v>70.200000000000031</v>
      </c>
      <c r="R306" s="81">
        <f>AVERAGE($P$3:P306)</f>
        <v>60.582481751825078</v>
      </c>
      <c r="S306">
        <f t="shared" si="38"/>
        <v>29</v>
      </c>
      <c r="T306">
        <f t="shared" si="40"/>
        <v>274</v>
      </c>
    </row>
    <row r="307" spans="2:20">
      <c r="B307" s="27">
        <f t="shared" si="39"/>
        <v>45687</v>
      </c>
      <c r="C307" s="28">
        <f>YEAR(Modelling[[#This Row],[Date]])+IF(MONTH(Modelling[[#This Row],[Date]])&gt;=4,1,0)</f>
        <v>2025</v>
      </c>
      <c r="D307" s="22">
        <f t="shared" si="37"/>
        <v>2025</v>
      </c>
      <c r="E307" s="29">
        <v>44927</v>
      </c>
      <c r="F307" s="22">
        <f>DAY(EOMONTH(Modelling[[#This Row],[Date]],0))</f>
        <v>31</v>
      </c>
      <c r="G307" s="28">
        <f>VLOOKUP(MONTH(Modelling[[#This Row],[Date]]),$W$3:$Z$14,4,0)/1000/Modelling[[#This Row],[Days]]</f>
        <v>616.46251612903222</v>
      </c>
      <c r="H307" s="28">
        <f>SUM($G$278:G307)</f>
        <v>18493.875483870954</v>
      </c>
      <c r="I307" s="28">
        <f>SUM($G$3:G307)</f>
        <v>138394.75548387098</v>
      </c>
      <c r="J307" s="30">
        <f>VLOOKUP(MONTH(Modelling[[#This Row],[Date]]),$W$3:$Y$14,3,0)</f>
        <v>6.74</v>
      </c>
      <c r="K307" s="30">
        <f>VLOOKUP(MONTH(Modelling[[#This Row],[Date]]),$W$3:$Y$14,3,0)</f>
        <v>6.74</v>
      </c>
      <c r="L307" s="30">
        <f>AVERAGE(J$3:J307)</f>
        <v>7.5549508196721069</v>
      </c>
      <c r="M307" s="31">
        <f t="shared" si="33"/>
        <v>0.36589655515730785</v>
      </c>
      <c r="N307" s="31">
        <f t="shared" si="34"/>
        <v>0.3658965551573074</v>
      </c>
      <c r="O307" s="31">
        <f t="shared" si="35"/>
        <v>0.34592185540086057</v>
      </c>
      <c r="P307" s="109">
        <f t="shared" si="36"/>
        <v>70.2</v>
      </c>
      <c r="Q307" s="28">
        <f>AVERAGE($P$278:P307)</f>
        <v>70.200000000000031</v>
      </c>
      <c r="R307" s="81">
        <f>AVERAGE($P$3:P307)</f>
        <v>60.617454545454805</v>
      </c>
      <c r="S307">
        <f t="shared" si="38"/>
        <v>30</v>
      </c>
      <c r="T307">
        <f t="shared" si="40"/>
        <v>275</v>
      </c>
    </row>
    <row r="308" spans="2:20">
      <c r="B308" s="27">
        <f t="shared" si="39"/>
        <v>45688</v>
      </c>
      <c r="C308" s="28">
        <f>YEAR(Modelling[[#This Row],[Date]])+IF(MONTH(Modelling[[#This Row],[Date]])&gt;=4,1,0)</f>
        <v>2025</v>
      </c>
      <c r="D308" s="22">
        <f t="shared" si="37"/>
        <v>2025</v>
      </c>
      <c r="E308" s="29">
        <v>44927</v>
      </c>
      <c r="F308" s="22">
        <f>DAY(EOMONTH(Modelling[[#This Row],[Date]],0))</f>
        <v>31</v>
      </c>
      <c r="G308" s="28">
        <f>VLOOKUP(MONTH(Modelling[[#This Row],[Date]]),$W$3:$Z$14,4,0)/1000/Modelling[[#This Row],[Days]]</f>
        <v>616.46251612903222</v>
      </c>
      <c r="H308" s="28">
        <f>SUM($G$278:G308)</f>
        <v>19110.337999999985</v>
      </c>
      <c r="I308" s="28">
        <f>SUM($G$3:G308)</f>
        <v>139011.21800000002</v>
      </c>
      <c r="J308" s="30">
        <f>VLOOKUP(MONTH(Modelling[[#This Row],[Date]]),$W$3:$Y$14,3,0)</f>
        <v>6.74</v>
      </c>
      <c r="K308" s="30">
        <f>VLOOKUP(MONTH(Modelling[[#This Row],[Date]]),$W$3:$Y$14,3,0)</f>
        <v>6.74</v>
      </c>
      <c r="L308" s="30">
        <f>AVERAGE(J$3:J308)</f>
        <v>7.5522875816993214</v>
      </c>
      <c r="M308" s="31">
        <f t="shared" si="33"/>
        <v>0.36589655515730785</v>
      </c>
      <c r="N308" s="31">
        <f t="shared" si="34"/>
        <v>0.36589655515730746</v>
      </c>
      <c r="O308" s="31">
        <f t="shared" si="35"/>
        <v>0.34600562027080706</v>
      </c>
      <c r="P308" s="109">
        <f t="shared" si="36"/>
        <v>70.2</v>
      </c>
      <c r="Q308" s="28">
        <f>AVERAGE($P$278:P308)</f>
        <v>70.200000000000017</v>
      </c>
      <c r="R308" s="81">
        <f>AVERAGE($P$3:P308)</f>
        <v>60.65217391304374</v>
      </c>
      <c r="S308">
        <f t="shared" si="38"/>
        <v>31</v>
      </c>
      <c r="T308">
        <f t="shared" si="40"/>
        <v>276</v>
      </c>
    </row>
    <row r="309" spans="2:20">
      <c r="B309" s="27">
        <f t="shared" si="39"/>
        <v>45689</v>
      </c>
      <c r="C309" s="28">
        <f>YEAR(Modelling[[#This Row],[Date]])+IF(MONTH(Modelling[[#This Row],[Date]])&gt;=4,1,0)</f>
        <v>2025</v>
      </c>
      <c r="D309" s="22">
        <f t="shared" si="37"/>
        <v>2025</v>
      </c>
      <c r="E309" s="29">
        <v>44958</v>
      </c>
      <c r="F309" s="22">
        <f>DAY(EOMONTH(Modelling[[#This Row],[Date]],0))</f>
        <v>28</v>
      </c>
      <c r="G309" s="28">
        <f>VLOOKUP(MONTH(Modelling[[#This Row],[Date]]),$W$3:$Z$14,4,0)/1000/Modelling[[#This Row],[Days]]</f>
        <v>525.13471428571427</v>
      </c>
      <c r="H309" s="28">
        <f>SUM($G$309:G309)</f>
        <v>525.13471428571427</v>
      </c>
      <c r="I309" s="28">
        <f>SUM($G$3:G309)</f>
        <v>139536.35271428575</v>
      </c>
      <c r="J309" s="30">
        <f>VLOOKUP(MONTH(Modelling[[#This Row],[Date]]),$W$3:$Y$14,3,0)</f>
        <v>7.3</v>
      </c>
      <c r="K309" s="30">
        <f>VLOOKUP(MONTH(Modelling[[#This Row],[Date]]),$W$3:$Y$14,3,0)</f>
        <v>7.3</v>
      </c>
      <c r="L309" s="30">
        <f>AVERAGE(J$3:J309)</f>
        <v>7.5514657980455784</v>
      </c>
      <c r="M309" s="31">
        <f t="shared" si="33"/>
        <v>0.31168964523131187</v>
      </c>
      <c r="N309" s="31">
        <f t="shared" si="34"/>
        <v>0.31168964523131187</v>
      </c>
      <c r="O309" s="31">
        <f t="shared" si="35"/>
        <v>0.3458623155244166</v>
      </c>
      <c r="P309" s="109">
        <f t="shared" si="36"/>
        <v>70.2</v>
      </c>
      <c r="Q309" s="28">
        <f>AVERAGE($P$309:P309)</f>
        <v>70.2</v>
      </c>
      <c r="R309" s="81">
        <f>AVERAGE($P$3:P309)</f>
        <v>60.686642599278244</v>
      </c>
      <c r="S309">
        <f t="shared" si="38"/>
        <v>1</v>
      </c>
      <c r="T309">
        <f t="shared" si="40"/>
        <v>277</v>
      </c>
    </row>
    <row r="310" spans="2:20">
      <c r="B310" s="27">
        <f t="shared" si="39"/>
        <v>45690</v>
      </c>
      <c r="C310" s="28">
        <f>YEAR(Modelling[[#This Row],[Date]])+IF(MONTH(Modelling[[#This Row],[Date]])&gt;=4,1,0)</f>
        <v>2025</v>
      </c>
      <c r="D310" s="22">
        <f t="shared" si="37"/>
        <v>2025</v>
      </c>
      <c r="E310" s="29">
        <v>44958</v>
      </c>
      <c r="F310" s="22">
        <f>DAY(EOMONTH(Modelling[[#This Row],[Date]],0))</f>
        <v>28</v>
      </c>
      <c r="G310" s="28">
        <f>VLOOKUP(MONTH(Modelling[[#This Row],[Date]]),$W$3:$Z$14,4,0)/1000/Modelling[[#This Row],[Days]]</f>
        <v>525.13471428571427</v>
      </c>
      <c r="H310" s="28">
        <f>SUM($G$309:G310)</f>
        <v>1050.2694285714285</v>
      </c>
      <c r="I310" s="28">
        <f>SUM($G$3:G310)</f>
        <v>140061.48742857148</v>
      </c>
      <c r="J310" s="30">
        <f>VLOOKUP(MONTH(Modelling[[#This Row],[Date]]),$W$3:$Y$14,3,0)</f>
        <v>7.3</v>
      </c>
      <c r="K310" s="30">
        <f>VLOOKUP(MONTH(Modelling[[#This Row],[Date]]),$W$3:$Y$14,3,0)</f>
        <v>7.3</v>
      </c>
      <c r="L310" s="30">
        <f>AVERAGE(J$3:J310)</f>
        <v>7.5506493506493264</v>
      </c>
      <c r="M310" s="31">
        <f t="shared" si="33"/>
        <v>0.31168964523131187</v>
      </c>
      <c r="N310" s="31">
        <f t="shared" si="34"/>
        <v>0.31168964523131187</v>
      </c>
      <c r="O310" s="31">
        <f t="shared" si="35"/>
        <v>0.34572020269210363</v>
      </c>
      <c r="P310" s="109">
        <f t="shared" si="36"/>
        <v>70.2</v>
      </c>
      <c r="Q310" s="28">
        <f>AVERAGE($P$309:P310)</f>
        <v>70.2</v>
      </c>
      <c r="R310" s="81">
        <f>AVERAGE($P$3:P310)</f>
        <v>60.720863309352787</v>
      </c>
      <c r="S310">
        <f t="shared" si="38"/>
        <v>2</v>
      </c>
      <c r="T310">
        <f t="shared" si="40"/>
        <v>278</v>
      </c>
    </row>
    <row r="311" spans="2:20">
      <c r="B311" s="27">
        <f t="shared" si="39"/>
        <v>45691</v>
      </c>
      <c r="C311" s="28">
        <f>YEAR(Modelling[[#This Row],[Date]])+IF(MONTH(Modelling[[#This Row],[Date]])&gt;=4,1,0)</f>
        <v>2025</v>
      </c>
      <c r="D311" s="22">
        <f t="shared" si="37"/>
        <v>2025</v>
      </c>
      <c r="E311" s="29">
        <v>44958</v>
      </c>
      <c r="F311" s="22">
        <f>DAY(EOMONTH(Modelling[[#This Row],[Date]],0))</f>
        <v>28</v>
      </c>
      <c r="G311" s="28">
        <f>VLOOKUP(MONTH(Modelling[[#This Row],[Date]]),$W$3:$Z$14,4,0)/1000/Modelling[[#This Row],[Days]]</f>
        <v>525.13471428571427</v>
      </c>
      <c r="H311" s="28">
        <f>SUM($G$309:G311)</f>
        <v>1575.4041428571427</v>
      </c>
      <c r="I311" s="28">
        <f>SUM($G$3:G311)</f>
        <v>140586.6221428572</v>
      </c>
      <c r="J311" s="30">
        <f>VLOOKUP(MONTH(Modelling[[#This Row],[Date]]),$W$3:$Y$14,3,0)</f>
        <v>7.3</v>
      </c>
      <c r="K311" s="30">
        <f>VLOOKUP(MONTH(Modelling[[#This Row],[Date]]),$W$3:$Y$14,3,0)</f>
        <v>7.3</v>
      </c>
      <c r="L311" s="30">
        <f>AVERAGE(J$3:J311)</f>
        <v>7.5498381877022425</v>
      </c>
      <c r="M311" s="31">
        <f t="shared" si="33"/>
        <v>0.31168964523131187</v>
      </c>
      <c r="N311" s="31">
        <f t="shared" si="34"/>
        <v>0.31168964523131187</v>
      </c>
      <c r="O311" s="31">
        <f t="shared" si="35"/>
        <v>0.34557926696512364</v>
      </c>
      <c r="P311" s="109">
        <f t="shared" si="36"/>
        <v>70.2</v>
      </c>
      <c r="Q311" s="28">
        <f>AVERAGE($P$309:P311)</f>
        <v>70.2</v>
      </c>
      <c r="R311" s="81">
        <f>AVERAGE($P$3:P311)</f>
        <v>60.754838709677685</v>
      </c>
      <c r="S311">
        <f t="shared" si="38"/>
        <v>3</v>
      </c>
      <c r="T311">
        <f t="shared" si="40"/>
        <v>279</v>
      </c>
    </row>
    <row r="312" spans="2:20">
      <c r="B312" s="27">
        <f t="shared" si="39"/>
        <v>45692</v>
      </c>
      <c r="C312" s="28">
        <f>YEAR(Modelling[[#This Row],[Date]])+IF(MONTH(Modelling[[#This Row],[Date]])&gt;=4,1,0)</f>
        <v>2025</v>
      </c>
      <c r="D312" s="22">
        <f t="shared" si="37"/>
        <v>2025</v>
      </c>
      <c r="E312" s="29">
        <v>44958</v>
      </c>
      <c r="F312" s="22">
        <f>DAY(EOMONTH(Modelling[[#This Row],[Date]],0))</f>
        <v>28</v>
      </c>
      <c r="G312" s="28">
        <f>VLOOKUP(MONTH(Modelling[[#This Row],[Date]]),$W$3:$Z$14,4,0)/1000/Modelling[[#This Row],[Days]]</f>
        <v>525.13471428571427</v>
      </c>
      <c r="H312" s="28">
        <f>SUM($G$309:G312)</f>
        <v>2100.5388571428571</v>
      </c>
      <c r="I312" s="28">
        <f>SUM($G$3:G312)</f>
        <v>141111.75685714293</v>
      </c>
      <c r="J312" s="30">
        <f>VLOOKUP(MONTH(Modelling[[#This Row],[Date]]),$W$3:$Y$14,3,0)</f>
        <v>7.3</v>
      </c>
      <c r="K312" s="30">
        <f>VLOOKUP(MONTH(Modelling[[#This Row],[Date]]),$W$3:$Y$14,3,0)</f>
        <v>7.3</v>
      </c>
      <c r="L312" s="30">
        <f>AVERAGE(J$3:J312)</f>
        <v>7.5490322580644937</v>
      </c>
      <c r="M312" s="31">
        <f t="shared" si="33"/>
        <v>0.31168964523131187</v>
      </c>
      <c r="N312" s="31">
        <f t="shared" si="34"/>
        <v>0.31168964523131187</v>
      </c>
      <c r="O312" s="31">
        <f t="shared" si="35"/>
        <v>0.34543949377903871</v>
      </c>
      <c r="P312" s="109">
        <f t="shared" si="36"/>
        <v>70.2</v>
      </c>
      <c r="Q312" s="28">
        <f>AVERAGE($P$309:P312)</f>
        <v>70.2</v>
      </c>
      <c r="R312" s="81">
        <f>AVERAGE($P$3:P312)</f>
        <v>60.7885714285717</v>
      </c>
      <c r="S312">
        <f t="shared" si="38"/>
        <v>4</v>
      </c>
      <c r="T312">
        <f t="shared" si="40"/>
        <v>280</v>
      </c>
    </row>
    <row r="313" spans="2:20">
      <c r="B313" s="27">
        <f t="shared" si="39"/>
        <v>45693</v>
      </c>
      <c r="C313" s="28">
        <f>YEAR(Modelling[[#This Row],[Date]])+IF(MONTH(Modelling[[#This Row],[Date]])&gt;=4,1,0)</f>
        <v>2025</v>
      </c>
      <c r="D313" s="22">
        <f t="shared" si="37"/>
        <v>2025</v>
      </c>
      <c r="E313" s="29">
        <v>44958</v>
      </c>
      <c r="F313" s="22">
        <f>DAY(EOMONTH(Modelling[[#This Row],[Date]],0))</f>
        <v>28</v>
      </c>
      <c r="G313" s="28">
        <f>VLOOKUP(MONTH(Modelling[[#This Row],[Date]]),$W$3:$Z$14,4,0)/1000/Modelling[[#This Row],[Days]]</f>
        <v>525.13471428571427</v>
      </c>
      <c r="H313" s="28">
        <f>SUM($G$309:G313)</f>
        <v>2625.6735714285714</v>
      </c>
      <c r="I313" s="28">
        <f>SUM($G$3:G313)</f>
        <v>141636.89157142866</v>
      </c>
      <c r="J313" s="30">
        <f>VLOOKUP(MONTH(Modelling[[#This Row],[Date]]),$W$3:$Y$14,3,0)</f>
        <v>7.3</v>
      </c>
      <c r="K313" s="30">
        <f>VLOOKUP(MONTH(Modelling[[#This Row],[Date]]),$W$3:$Y$14,3,0)</f>
        <v>7.3</v>
      </c>
      <c r="L313" s="30">
        <f>AVERAGE(J$3:J313)</f>
        <v>7.5482315112539977</v>
      </c>
      <c r="M313" s="31">
        <f t="shared" si="33"/>
        <v>0.31168964523131187</v>
      </c>
      <c r="N313" s="31">
        <f t="shared" si="34"/>
        <v>0.31168964523131193</v>
      </c>
      <c r="O313" s="31">
        <f t="shared" si="35"/>
        <v>0.34530086880870053</v>
      </c>
      <c r="P313" s="109">
        <f t="shared" si="36"/>
        <v>70.2</v>
      </c>
      <c r="Q313" s="28">
        <f>AVERAGE($P$309:P313)</f>
        <v>70.2</v>
      </c>
      <c r="R313" s="81">
        <f>AVERAGE($P$3:P313)</f>
        <v>60.822064056939773</v>
      </c>
      <c r="S313">
        <f t="shared" si="38"/>
        <v>5</v>
      </c>
      <c r="T313">
        <f t="shared" si="40"/>
        <v>281</v>
      </c>
    </row>
    <row r="314" spans="2:20">
      <c r="B314" s="27">
        <f t="shared" si="39"/>
        <v>45694</v>
      </c>
      <c r="C314" s="28">
        <f>YEAR(Modelling[[#This Row],[Date]])+IF(MONTH(Modelling[[#This Row],[Date]])&gt;=4,1,0)</f>
        <v>2025</v>
      </c>
      <c r="D314" s="22">
        <f t="shared" si="37"/>
        <v>2025</v>
      </c>
      <c r="E314" s="29">
        <v>44958</v>
      </c>
      <c r="F314" s="22">
        <f>DAY(EOMONTH(Modelling[[#This Row],[Date]],0))</f>
        <v>28</v>
      </c>
      <c r="G314" s="28">
        <f>VLOOKUP(MONTH(Modelling[[#This Row],[Date]]),$W$3:$Z$14,4,0)/1000/Modelling[[#This Row],[Days]]</f>
        <v>525.13471428571427</v>
      </c>
      <c r="H314" s="28">
        <f>SUM($G$309:G314)</f>
        <v>3150.8082857142858</v>
      </c>
      <c r="I314" s="28">
        <f>SUM($G$3:G314)</f>
        <v>142162.02628571438</v>
      </c>
      <c r="J314" s="30">
        <f>VLOOKUP(MONTH(Modelling[[#This Row],[Date]]),$W$3:$Y$14,3,0)</f>
        <v>7.3</v>
      </c>
      <c r="K314" s="30">
        <f>VLOOKUP(MONTH(Modelling[[#This Row],[Date]]),$W$3:$Y$14,3,0)</f>
        <v>7.3</v>
      </c>
      <c r="L314" s="30">
        <f>AVERAGE(J$3:J314)</f>
        <v>7.547435897435876</v>
      </c>
      <c r="M314" s="31">
        <f t="shared" si="33"/>
        <v>0.31168964523131187</v>
      </c>
      <c r="N314" s="31">
        <f t="shared" si="34"/>
        <v>0.31168964523131193</v>
      </c>
      <c r="O314" s="31">
        <f t="shared" si="35"/>
        <v>0.34516337796335567</v>
      </c>
      <c r="P314" s="109">
        <f t="shared" si="36"/>
        <v>70.2</v>
      </c>
      <c r="Q314" s="28">
        <f>AVERAGE($P$309:P314)</f>
        <v>70.2</v>
      </c>
      <c r="R314" s="81">
        <f>AVERAGE($P$3:P314)</f>
        <v>60.855319148936445</v>
      </c>
      <c r="S314">
        <f t="shared" si="38"/>
        <v>6</v>
      </c>
      <c r="T314">
        <f t="shared" si="40"/>
        <v>282</v>
      </c>
    </row>
    <row r="315" spans="2:20">
      <c r="B315" s="27">
        <f t="shared" si="39"/>
        <v>45695</v>
      </c>
      <c r="C315" s="28">
        <f>YEAR(Modelling[[#This Row],[Date]])+IF(MONTH(Modelling[[#This Row],[Date]])&gt;=4,1,0)</f>
        <v>2025</v>
      </c>
      <c r="D315" s="22">
        <f t="shared" si="37"/>
        <v>2025</v>
      </c>
      <c r="E315" s="29">
        <v>44958</v>
      </c>
      <c r="F315" s="22">
        <f>DAY(EOMONTH(Modelling[[#This Row],[Date]],0))</f>
        <v>28</v>
      </c>
      <c r="G315" s="28">
        <f>VLOOKUP(MONTH(Modelling[[#This Row],[Date]]),$W$3:$Z$14,4,0)/1000/Modelling[[#This Row],[Days]]</f>
        <v>525.13471428571427</v>
      </c>
      <c r="H315" s="28">
        <f>SUM($G$309:G315)</f>
        <v>3675.9430000000002</v>
      </c>
      <c r="I315" s="28">
        <f>SUM($G$3:G315)</f>
        <v>142687.16100000011</v>
      </c>
      <c r="J315" s="30">
        <f>VLOOKUP(MONTH(Modelling[[#This Row],[Date]]),$W$3:$Y$14,3,0)</f>
        <v>7.3</v>
      </c>
      <c r="K315" s="30">
        <f>VLOOKUP(MONTH(Modelling[[#This Row],[Date]]),$W$3:$Y$14,3,0)</f>
        <v>7.3</v>
      </c>
      <c r="L315" s="30">
        <f>AVERAGE(J$3:J315)</f>
        <v>7.5466453674121201</v>
      </c>
      <c r="M315" s="31">
        <f t="shared" si="33"/>
        <v>0.31168964523131187</v>
      </c>
      <c r="N315" s="31">
        <f t="shared" si="34"/>
        <v>0.31168964523131193</v>
      </c>
      <c r="O315" s="31">
        <f t="shared" si="35"/>
        <v>0.34502700738187131</v>
      </c>
      <c r="P315" s="109">
        <f t="shared" si="36"/>
        <v>70.2</v>
      </c>
      <c r="Q315" s="28">
        <f>AVERAGE($P$309:P315)</f>
        <v>70.2</v>
      </c>
      <c r="R315" s="81">
        <f>AVERAGE($P$3:P315)</f>
        <v>60.888339222615116</v>
      </c>
      <c r="S315">
        <f t="shared" si="38"/>
        <v>7</v>
      </c>
      <c r="T315">
        <f t="shared" si="40"/>
        <v>283</v>
      </c>
    </row>
    <row r="316" spans="2:20">
      <c r="B316" s="27">
        <f t="shared" si="39"/>
        <v>45696</v>
      </c>
      <c r="C316" s="28">
        <f>YEAR(Modelling[[#This Row],[Date]])+IF(MONTH(Modelling[[#This Row],[Date]])&gt;=4,1,0)</f>
        <v>2025</v>
      </c>
      <c r="D316" s="22">
        <f t="shared" si="37"/>
        <v>2025</v>
      </c>
      <c r="E316" s="29">
        <v>44958</v>
      </c>
      <c r="F316" s="22">
        <f>DAY(EOMONTH(Modelling[[#This Row],[Date]],0))</f>
        <v>28</v>
      </c>
      <c r="G316" s="28">
        <f>VLOOKUP(MONTH(Modelling[[#This Row],[Date]]),$W$3:$Z$14,4,0)/1000/Modelling[[#This Row],[Days]]</f>
        <v>525.13471428571427</v>
      </c>
      <c r="H316" s="28">
        <f>SUM($G$309:G316)</f>
        <v>4201.0777142857141</v>
      </c>
      <c r="I316" s="28">
        <f>SUM($G$3:G316)</f>
        <v>143212.29571428584</v>
      </c>
      <c r="J316" s="30">
        <f>VLOOKUP(MONTH(Modelling[[#This Row],[Date]]),$W$3:$Y$14,3,0)</f>
        <v>7.3</v>
      </c>
      <c r="K316" s="30">
        <f>VLOOKUP(MONTH(Modelling[[#This Row],[Date]]),$W$3:$Y$14,3,0)</f>
        <v>7.3</v>
      </c>
      <c r="L316" s="30">
        <f>AVERAGE(J$3:J316)</f>
        <v>7.5458598726114454</v>
      </c>
      <c r="M316" s="31">
        <f t="shared" si="33"/>
        <v>0.31168964523131187</v>
      </c>
      <c r="N316" s="31">
        <f t="shared" si="34"/>
        <v>0.31168964523131187</v>
      </c>
      <c r="O316" s="31">
        <f t="shared" si="35"/>
        <v>0.34489174342807694</v>
      </c>
      <c r="P316" s="109">
        <f t="shared" si="36"/>
        <v>70.2</v>
      </c>
      <c r="Q316" s="28">
        <f>AVERAGE($P$309:P316)</f>
        <v>70.2</v>
      </c>
      <c r="R316" s="81">
        <f>AVERAGE($P$3:P316)</f>
        <v>60.921126760563659</v>
      </c>
      <c r="S316">
        <f t="shared" si="38"/>
        <v>8</v>
      </c>
      <c r="T316">
        <f t="shared" si="40"/>
        <v>284</v>
      </c>
    </row>
    <row r="317" spans="2:20">
      <c r="B317" s="27">
        <f t="shared" si="39"/>
        <v>45697</v>
      </c>
      <c r="C317" s="28">
        <f>YEAR(Modelling[[#This Row],[Date]])+IF(MONTH(Modelling[[#This Row],[Date]])&gt;=4,1,0)</f>
        <v>2025</v>
      </c>
      <c r="D317" s="22">
        <f t="shared" si="37"/>
        <v>2025</v>
      </c>
      <c r="E317" s="29">
        <v>44958</v>
      </c>
      <c r="F317" s="22">
        <f>DAY(EOMONTH(Modelling[[#This Row],[Date]],0))</f>
        <v>28</v>
      </c>
      <c r="G317" s="28">
        <f>VLOOKUP(MONTH(Modelling[[#This Row],[Date]]),$W$3:$Z$14,4,0)/1000/Modelling[[#This Row],[Days]]</f>
        <v>525.13471428571427</v>
      </c>
      <c r="H317" s="28">
        <f>SUM($G$309:G317)</f>
        <v>4726.2124285714281</v>
      </c>
      <c r="I317" s="28">
        <f>SUM($G$3:G317)</f>
        <v>143737.43042857156</v>
      </c>
      <c r="J317" s="30">
        <f>VLOOKUP(MONTH(Modelling[[#This Row],[Date]]),$W$3:$Y$14,3,0)</f>
        <v>7.3</v>
      </c>
      <c r="K317" s="30">
        <f>VLOOKUP(MONTH(Modelling[[#This Row],[Date]]),$W$3:$Y$14,3,0)</f>
        <v>7.3</v>
      </c>
      <c r="L317" s="30">
        <f>AVERAGE(J$3:J317)</f>
        <v>7.5450793650793457</v>
      </c>
      <c r="M317" s="31">
        <f t="shared" si="33"/>
        <v>0.31168964523131187</v>
      </c>
      <c r="N317" s="31">
        <f t="shared" si="34"/>
        <v>0.31168964523131187</v>
      </c>
      <c r="O317" s="31">
        <f t="shared" si="35"/>
        <v>0.34475757268621871</v>
      </c>
      <c r="P317" s="109">
        <f t="shared" si="36"/>
        <v>70.2</v>
      </c>
      <c r="Q317" s="28">
        <f>AVERAGE($P$309:P317)</f>
        <v>70.2</v>
      </c>
      <c r="R317" s="81">
        <f>AVERAGE($P$3:P317)</f>
        <v>60.953684210526596</v>
      </c>
      <c r="S317">
        <f t="shared" si="38"/>
        <v>9</v>
      </c>
      <c r="T317">
        <f t="shared" si="40"/>
        <v>285</v>
      </c>
    </row>
    <row r="318" spans="2:20">
      <c r="B318" s="27">
        <f t="shared" si="39"/>
        <v>45698</v>
      </c>
      <c r="C318" s="28">
        <f>YEAR(Modelling[[#This Row],[Date]])+IF(MONTH(Modelling[[#This Row],[Date]])&gt;=4,1,0)</f>
        <v>2025</v>
      </c>
      <c r="D318" s="22">
        <f t="shared" si="37"/>
        <v>2025</v>
      </c>
      <c r="E318" s="29">
        <v>44958</v>
      </c>
      <c r="F318" s="22">
        <f>DAY(EOMONTH(Modelling[[#This Row],[Date]],0))</f>
        <v>28</v>
      </c>
      <c r="G318" s="28">
        <f>VLOOKUP(MONTH(Modelling[[#This Row],[Date]]),$W$3:$Z$14,4,0)/1000/Modelling[[#This Row],[Days]]</f>
        <v>525.13471428571427</v>
      </c>
      <c r="H318" s="28">
        <f>SUM($G$309:G318)</f>
        <v>5251.347142857142</v>
      </c>
      <c r="I318" s="28">
        <f>SUM($G$3:G318)</f>
        <v>144262.56514285729</v>
      </c>
      <c r="J318" s="30">
        <f>VLOOKUP(MONTH(Modelling[[#This Row],[Date]]),$W$3:$Y$14,3,0)</f>
        <v>7.3</v>
      </c>
      <c r="K318" s="30">
        <f>VLOOKUP(MONTH(Modelling[[#This Row],[Date]]),$W$3:$Y$14,3,0)</f>
        <v>7.3</v>
      </c>
      <c r="L318" s="30">
        <f>AVERAGE(J$3:J318)</f>
        <v>7.544303797468336</v>
      </c>
      <c r="M318" s="31">
        <f t="shared" si="33"/>
        <v>0.31168964523131187</v>
      </c>
      <c r="N318" s="31">
        <f t="shared" si="34"/>
        <v>0.31168964523131182</v>
      </c>
      <c r="O318" s="31">
        <f t="shared" si="35"/>
        <v>0.34462448195652412</v>
      </c>
      <c r="P318" s="109">
        <f t="shared" si="36"/>
        <v>70.2</v>
      </c>
      <c r="Q318" s="28">
        <f>AVERAGE($P$309:P318)</f>
        <v>70.200000000000017</v>
      </c>
      <c r="R318" s="81">
        <f>AVERAGE($P$3:P318)</f>
        <v>60.986013986014264</v>
      </c>
      <c r="S318">
        <f t="shared" si="38"/>
        <v>10</v>
      </c>
      <c r="T318">
        <f t="shared" si="40"/>
        <v>286</v>
      </c>
    </row>
    <row r="319" spans="2:20">
      <c r="B319" s="27">
        <f t="shared" si="39"/>
        <v>45699</v>
      </c>
      <c r="C319" s="28">
        <f>YEAR(Modelling[[#This Row],[Date]])+IF(MONTH(Modelling[[#This Row],[Date]])&gt;=4,1,0)</f>
        <v>2025</v>
      </c>
      <c r="D319" s="22">
        <f t="shared" si="37"/>
        <v>2025</v>
      </c>
      <c r="E319" s="29">
        <v>44958</v>
      </c>
      <c r="F319" s="22">
        <f>DAY(EOMONTH(Modelling[[#This Row],[Date]],0))</f>
        <v>28</v>
      </c>
      <c r="G319" s="28">
        <f>VLOOKUP(MONTH(Modelling[[#This Row],[Date]]),$W$3:$Z$14,4,0)/1000/Modelling[[#This Row],[Days]]</f>
        <v>525.13471428571427</v>
      </c>
      <c r="H319" s="28">
        <f>SUM($G$309:G319)</f>
        <v>5776.4818571428559</v>
      </c>
      <c r="I319" s="28">
        <f>SUM($G$3:G319)</f>
        <v>144787.69985714302</v>
      </c>
      <c r="J319" s="30">
        <f>VLOOKUP(MONTH(Modelling[[#This Row],[Date]]),$W$3:$Y$14,3,0)</f>
        <v>7.3</v>
      </c>
      <c r="K319" s="30">
        <f>VLOOKUP(MONTH(Modelling[[#This Row],[Date]]),$W$3:$Y$14,3,0)</f>
        <v>7.3</v>
      </c>
      <c r="L319" s="30">
        <f>AVERAGE(J$3:J319)</f>
        <v>7.5435331230283733</v>
      </c>
      <c r="M319" s="31">
        <f t="shared" si="33"/>
        <v>0.31168964523131187</v>
      </c>
      <c r="N319" s="31">
        <f t="shared" si="34"/>
        <v>0.31168964523131176</v>
      </c>
      <c r="O319" s="31">
        <f t="shared" si="35"/>
        <v>0.3444924582508726</v>
      </c>
      <c r="P319" s="109">
        <f t="shared" si="36"/>
        <v>70.2</v>
      </c>
      <c r="Q319" s="28">
        <f>AVERAGE($P$309:P319)</f>
        <v>70.200000000000017</v>
      </c>
      <c r="R319" s="81">
        <f>AVERAGE($P$3:P319)</f>
        <v>61.018118466899239</v>
      </c>
      <c r="S319">
        <f t="shared" si="38"/>
        <v>11</v>
      </c>
      <c r="T319">
        <f t="shared" si="40"/>
        <v>287</v>
      </c>
    </row>
    <row r="320" spans="2:20">
      <c r="B320" s="27">
        <f t="shared" si="39"/>
        <v>45700</v>
      </c>
      <c r="C320" s="28">
        <f>YEAR(Modelling[[#This Row],[Date]])+IF(MONTH(Modelling[[#This Row],[Date]])&gt;=4,1,0)</f>
        <v>2025</v>
      </c>
      <c r="D320" s="22">
        <f t="shared" si="37"/>
        <v>2025</v>
      </c>
      <c r="E320" s="29">
        <v>44958</v>
      </c>
      <c r="F320" s="22">
        <f>DAY(EOMONTH(Modelling[[#This Row],[Date]],0))</f>
        <v>28</v>
      </c>
      <c r="G320" s="28">
        <f>VLOOKUP(MONTH(Modelling[[#This Row],[Date]]),$W$3:$Z$14,4,0)/1000/Modelling[[#This Row],[Days]]</f>
        <v>525.13471428571427</v>
      </c>
      <c r="H320" s="28">
        <f>SUM($G$309:G320)</f>
        <v>6301.6165714285698</v>
      </c>
      <c r="I320" s="28">
        <f>SUM($G$3:G320)</f>
        <v>145312.83457142874</v>
      </c>
      <c r="J320" s="30">
        <f>VLOOKUP(MONTH(Modelling[[#This Row],[Date]]),$W$3:$Y$14,3,0)</f>
        <v>7.3</v>
      </c>
      <c r="K320" s="30">
        <f>VLOOKUP(MONTH(Modelling[[#This Row],[Date]]),$W$3:$Y$14,3,0)</f>
        <v>7.3</v>
      </c>
      <c r="L320" s="30">
        <f>AVERAGE(J$3:J320)</f>
        <v>7.5427672955974669</v>
      </c>
      <c r="M320" s="31">
        <f t="shared" si="33"/>
        <v>0.31168964523131187</v>
      </c>
      <c r="N320" s="31">
        <f t="shared" si="34"/>
        <v>0.31168964523131176</v>
      </c>
      <c r="O320" s="31">
        <f t="shared" si="35"/>
        <v>0.34436148878857098</v>
      </c>
      <c r="P320" s="109">
        <f t="shared" si="36"/>
        <v>70.2</v>
      </c>
      <c r="Q320" s="28">
        <f>AVERAGE($P$309:P320)</f>
        <v>70.200000000000017</v>
      </c>
      <c r="R320" s="81">
        <f>AVERAGE($P$3:P320)</f>
        <v>61.050000000000281</v>
      </c>
      <c r="S320">
        <f t="shared" si="38"/>
        <v>12</v>
      </c>
      <c r="T320">
        <f t="shared" si="40"/>
        <v>288</v>
      </c>
    </row>
    <row r="321" spans="2:20">
      <c r="B321" s="27">
        <f t="shared" si="39"/>
        <v>45701</v>
      </c>
      <c r="C321" s="28">
        <f>YEAR(Modelling[[#This Row],[Date]])+IF(MONTH(Modelling[[#This Row],[Date]])&gt;=4,1,0)</f>
        <v>2025</v>
      </c>
      <c r="D321" s="22">
        <f t="shared" si="37"/>
        <v>2025</v>
      </c>
      <c r="E321" s="29">
        <v>44958</v>
      </c>
      <c r="F321" s="22">
        <f>DAY(EOMONTH(Modelling[[#This Row],[Date]],0))</f>
        <v>28</v>
      </c>
      <c r="G321" s="28">
        <f>VLOOKUP(MONTH(Modelling[[#This Row],[Date]]),$W$3:$Z$14,4,0)/1000/Modelling[[#This Row],[Days]]</f>
        <v>525.13471428571427</v>
      </c>
      <c r="H321" s="28">
        <f>SUM($G$309:G321)</f>
        <v>6826.7512857142838</v>
      </c>
      <c r="I321" s="28">
        <f>SUM($G$3:G321)</f>
        <v>145837.96928571447</v>
      </c>
      <c r="J321" s="30">
        <f>VLOOKUP(MONTH(Modelling[[#This Row],[Date]]),$W$3:$Y$14,3,0)</f>
        <v>7.3</v>
      </c>
      <c r="K321" s="30">
        <f>VLOOKUP(MONTH(Modelling[[#This Row],[Date]]),$W$3:$Y$14,3,0)</f>
        <v>7.3</v>
      </c>
      <c r="L321" s="30">
        <f>AVERAGE(J$3:J321)</f>
        <v>7.5420062695924592</v>
      </c>
      <c r="M321" s="31">
        <f t="shared" si="33"/>
        <v>0.31168964523131187</v>
      </c>
      <c r="N321" s="31">
        <f t="shared" si="34"/>
        <v>0.31168964523131176</v>
      </c>
      <c r="O321" s="31">
        <f t="shared" si="35"/>
        <v>0.34423156099222818</v>
      </c>
      <c r="P321" s="109">
        <f t="shared" si="36"/>
        <v>70.2</v>
      </c>
      <c r="Q321" s="28">
        <f>AVERAGE($P$309:P321)</f>
        <v>70.200000000000017</v>
      </c>
      <c r="R321" s="81">
        <f>AVERAGE($P$3:P321)</f>
        <v>61.081660899654267</v>
      </c>
      <c r="S321">
        <f t="shared" si="38"/>
        <v>13</v>
      </c>
      <c r="T321">
        <f t="shared" si="40"/>
        <v>289</v>
      </c>
    </row>
    <row r="322" spans="2:20">
      <c r="B322" s="27">
        <f t="shared" si="39"/>
        <v>45702</v>
      </c>
      <c r="C322" s="28">
        <f>YEAR(Modelling[[#This Row],[Date]])+IF(MONTH(Modelling[[#This Row],[Date]])&gt;=4,1,0)</f>
        <v>2025</v>
      </c>
      <c r="D322" s="22">
        <f t="shared" si="37"/>
        <v>2025</v>
      </c>
      <c r="E322" s="29">
        <v>44958</v>
      </c>
      <c r="F322" s="22">
        <f>DAY(EOMONTH(Modelling[[#This Row],[Date]],0))</f>
        <v>28</v>
      </c>
      <c r="G322" s="28">
        <f>VLOOKUP(MONTH(Modelling[[#This Row],[Date]]),$W$3:$Z$14,4,0)/1000/Modelling[[#This Row],[Days]]</f>
        <v>525.13471428571427</v>
      </c>
      <c r="H322" s="28">
        <f>SUM($G$309:G322)</f>
        <v>7351.8859999999977</v>
      </c>
      <c r="I322" s="28">
        <f>SUM($G$3:G322)</f>
        <v>146363.1040000002</v>
      </c>
      <c r="J322" s="30">
        <f>VLOOKUP(MONTH(Modelling[[#This Row],[Date]]),$W$3:$Y$14,3,0)</f>
        <v>7.3</v>
      </c>
      <c r="K322" s="30">
        <f>VLOOKUP(MONTH(Modelling[[#This Row],[Date]]),$W$3:$Y$14,3,0)</f>
        <v>7.3</v>
      </c>
      <c r="L322" s="30">
        <f>AVERAGE(J$3:J322)</f>
        <v>7.5412499999999838</v>
      </c>
      <c r="M322" s="31">
        <f t="shared" si="33"/>
        <v>0.31168964523131187</v>
      </c>
      <c r="N322" s="31">
        <f t="shared" si="34"/>
        <v>0.31168964523131176</v>
      </c>
      <c r="O322" s="31">
        <f t="shared" si="35"/>
        <v>0.34410266248372978</v>
      </c>
      <c r="P322" s="109">
        <f t="shared" si="36"/>
        <v>70.2</v>
      </c>
      <c r="Q322" s="28">
        <f>AVERAGE($P$309:P322)</f>
        <v>70.200000000000017</v>
      </c>
      <c r="R322" s="81">
        <f>AVERAGE($P$3:P322)</f>
        <v>61.113103448276149</v>
      </c>
      <c r="S322">
        <f t="shared" si="38"/>
        <v>14</v>
      </c>
      <c r="T322">
        <f t="shared" si="40"/>
        <v>290</v>
      </c>
    </row>
    <row r="323" spans="2:20">
      <c r="B323" s="27">
        <f t="shared" si="39"/>
        <v>45703</v>
      </c>
      <c r="C323" s="28">
        <f>YEAR(Modelling[[#This Row],[Date]])+IF(MONTH(Modelling[[#This Row],[Date]])&gt;=4,1,0)</f>
        <v>2025</v>
      </c>
      <c r="D323" s="22">
        <f t="shared" si="37"/>
        <v>2025</v>
      </c>
      <c r="E323" s="29">
        <v>44958</v>
      </c>
      <c r="F323" s="22">
        <f>DAY(EOMONTH(Modelling[[#This Row],[Date]],0))</f>
        <v>28</v>
      </c>
      <c r="G323" s="28">
        <f>VLOOKUP(MONTH(Modelling[[#This Row],[Date]]),$W$3:$Z$14,4,0)/1000/Modelling[[#This Row],[Days]]</f>
        <v>525.13471428571427</v>
      </c>
      <c r="H323" s="28">
        <f>SUM($G$309:G323)</f>
        <v>7877.0207142857116</v>
      </c>
      <c r="I323" s="28">
        <f>SUM($G$3:G323)</f>
        <v>146888.23871428592</v>
      </c>
      <c r="J323" s="30">
        <f>VLOOKUP(MONTH(Modelling[[#This Row],[Date]]),$W$3:$Y$14,3,0)</f>
        <v>7.3</v>
      </c>
      <c r="K323" s="30">
        <f>VLOOKUP(MONTH(Modelling[[#This Row],[Date]]),$W$3:$Y$14,3,0)</f>
        <v>7.3</v>
      </c>
      <c r="L323" s="30">
        <f>AVERAGE(J$3:J323)</f>
        <v>7.5404984423675856</v>
      </c>
      <c r="M323" s="31">
        <f t="shared" ref="M323:M367" si="41">G323/P323/24</f>
        <v>0.31168964523131187</v>
      </c>
      <c r="N323" s="31">
        <f t="shared" ref="N323:N367" si="42">H323/(24*S323)/Q323</f>
        <v>0.31168964523131171</v>
      </c>
      <c r="O323" s="31">
        <f t="shared" ref="O323:O367" si="43">I323/(24*T323)/R323</f>
        <v>0.34397478108030599</v>
      </c>
      <c r="P323" s="109">
        <f t="shared" ref="P323:P367" si="44">_xlfn.XLOOKUP(MONTH(B323),W:W,AA:AA)</f>
        <v>70.2</v>
      </c>
      <c r="Q323" s="28">
        <f>AVERAGE($P$309:P323)</f>
        <v>70.200000000000017</v>
      </c>
      <c r="R323" s="81">
        <f>AVERAGE($P$3:P323)</f>
        <v>61.144329896907507</v>
      </c>
      <c r="S323">
        <f t="shared" si="38"/>
        <v>15</v>
      </c>
      <c r="T323">
        <f t="shared" si="40"/>
        <v>291</v>
      </c>
    </row>
    <row r="324" spans="2:20">
      <c r="B324" s="27">
        <f t="shared" si="39"/>
        <v>45704</v>
      </c>
      <c r="C324" s="28">
        <f>YEAR(Modelling[[#This Row],[Date]])+IF(MONTH(Modelling[[#This Row],[Date]])&gt;=4,1,0)</f>
        <v>2025</v>
      </c>
      <c r="D324" s="22">
        <f t="shared" ref="D324:D367" si="45">YEAR(B324)</f>
        <v>2025</v>
      </c>
      <c r="E324" s="29">
        <v>44958</v>
      </c>
      <c r="F324" s="22">
        <f>DAY(EOMONTH(Modelling[[#This Row],[Date]],0))</f>
        <v>28</v>
      </c>
      <c r="G324" s="28">
        <f>VLOOKUP(MONTH(Modelling[[#This Row],[Date]]),$W$3:$Z$14,4,0)/1000/Modelling[[#This Row],[Days]]</f>
        <v>525.13471428571427</v>
      </c>
      <c r="H324" s="28">
        <f>SUM($G$309:G324)</f>
        <v>8402.1554285714265</v>
      </c>
      <c r="I324" s="28">
        <f>SUM($G$3:G324)</f>
        <v>147413.37342857165</v>
      </c>
      <c r="J324" s="30">
        <f>VLOOKUP(MONTH(Modelling[[#This Row],[Date]]),$W$3:$Y$14,3,0)</f>
        <v>7.3</v>
      </c>
      <c r="K324" s="30">
        <f>VLOOKUP(MONTH(Modelling[[#This Row],[Date]]),$W$3:$Y$14,3,0)</f>
        <v>7.3</v>
      </c>
      <c r="L324" s="30">
        <f>AVERAGE(J$3:J324)</f>
        <v>7.5397515527950159</v>
      </c>
      <c r="M324" s="31">
        <f t="shared" si="41"/>
        <v>0.31168964523131187</v>
      </c>
      <c r="N324" s="31">
        <f t="shared" si="42"/>
        <v>0.31168964523131176</v>
      </c>
      <c r="O324" s="31">
        <f t="shared" si="43"/>
        <v>0.34384790479069388</v>
      </c>
      <c r="P324" s="109">
        <f t="shared" si="44"/>
        <v>70.2</v>
      </c>
      <c r="Q324" s="28">
        <f>AVERAGE($P$309:P324)</f>
        <v>70.200000000000017</v>
      </c>
      <c r="R324" s="81">
        <f>AVERAGE($P$3:P324)</f>
        <v>61.175342465753715</v>
      </c>
      <c r="S324">
        <f t="shared" ref="S324:S367" si="46">DAY(B324)</f>
        <v>16</v>
      </c>
      <c r="T324">
        <f t="shared" si="40"/>
        <v>292</v>
      </c>
    </row>
    <row r="325" spans="2:20">
      <c r="B325" s="27">
        <f t="shared" ref="B325:B367" si="47">B324+1</f>
        <v>45705</v>
      </c>
      <c r="C325" s="28">
        <f>YEAR(Modelling[[#This Row],[Date]])+IF(MONTH(Modelling[[#This Row],[Date]])&gt;=4,1,0)</f>
        <v>2025</v>
      </c>
      <c r="D325" s="22">
        <f t="shared" si="45"/>
        <v>2025</v>
      </c>
      <c r="E325" s="29">
        <v>44958</v>
      </c>
      <c r="F325" s="22">
        <f>DAY(EOMONTH(Modelling[[#This Row],[Date]],0))</f>
        <v>28</v>
      </c>
      <c r="G325" s="28">
        <f>VLOOKUP(MONTH(Modelling[[#This Row],[Date]]),$W$3:$Z$14,4,0)/1000/Modelling[[#This Row],[Days]]</f>
        <v>525.13471428571427</v>
      </c>
      <c r="H325" s="28">
        <f>SUM($G$309:G325)</f>
        <v>8927.2901428571404</v>
      </c>
      <c r="I325" s="28">
        <f>SUM($G$3:G325)</f>
        <v>147938.50814285738</v>
      </c>
      <c r="J325" s="30">
        <f>VLOOKUP(MONTH(Modelling[[#This Row],[Date]]),$W$3:$Y$14,3,0)</f>
        <v>7.3</v>
      </c>
      <c r="K325" s="30">
        <f>VLOOKUP(MONTH(Modelling[[#This Row],[Date]]),$W$3:$Y$14,3,0)</f>
        <v>7.3</v>
      </c>
      <c r="L325" s="30">
        <f>AVERAGE(J$3:J325)</f>
        <v>7.5390092879256825</v>
      </c>
      <c r="M325" s="31">
        <f t="shared" si="41"/>
        <v>0.31168964523131187</v>
      </c>
      <c r="N325" s="31">
        <f t="shared" si="42"/>
        <v>0.31168964523131176</v>
      </c>
      <c r="O325" s="31">
        <f t="shared" si="43"/>
        <v>0.34372202181138889</v>
      </c>
      <c r="P325" s="109">
        <f t="shared" si="44"/>
        <v>70.2</v>
      </c>
      <c r="Q325" s="28">
        <f>AVERAGE($P$309:P325)</f>
        <v>70.200000000000017</v>
      </c>
      <c r="R325" s="81">
        <f>AVERAGE($P$3:P325)</f>
        <v>61.206143344710185</v>
      </c>
      <c r="S325">
        <f t="shared" si="46"/>
        <v>17</v>
      </c>
      <c r="T325">
        <f t="shared" ref="T325:T367" si="48">T324+1</f>
        <v>293</v>
      </c>
    </row>
    <row r="326" spans="2:20">
      <c r="B326" s="27">
        <f t="shared" si="47"/>
        <v>45706</v>
      </c>
      <c r="C326" s="28">
        <f>YEAR(Modelling[[#This Row],[Date]])+IF(MONTH(Modelling[[#This Row],[Date]])&gt;=4,1,0)</f>
        <v>2025</v>
      </c>
      <c r="D326" s="22">
        <f t="shared" si="45"/>
        <v>2025</v>
      </c>
      <c r="E326" s="29">
        <v>44958</v>
      </c>
      <c r="F326" s="22">
        <f>DAY(EOMONTH(Modelling[[#This Row],[Date]],0))</f>
        <v>28</v>
      </c>
      <c r="G326" s="28">
        <f>VLOOKUP(MONTH(Modelling[[#This Row],[Date]]),$W$3:$Z$14,4,0)/1000/Modelling[[#This Row],[Days]]</f>
        <v>525.13471428571427</v>
      </c>
      <c r="H326" s="28">
        <f>SUM($G$309:G326)</f>
        <v>9452.4248571428543</v>
      </c>
      <c r="I326" s="28">
        <f>SUM($G$3:G326)</f>
        <v>148463.6428571431</v>
      </c>
      <c r="J326" s="30">
        <f>VLOOKUP(MONTH(Modelling[[#This Row],[Date]]),$W$3:$Y$14,3,0)</f>
        <v>7.3</v>
      </c>
      <c r="K326" s="30">
        <f>VLOOKUP(MONTH(Modelling[[#This Row],[Date]]),$W$3:$Y$14,3,0)</f>
        <v>7.3</v>
      </c>
      <c r="L326" s="30">
        <f>AVERAGE(J$3:J326)</f>
        <v>7.5382716049382577</v>
      </c>
      <c r="M326" s="31">
        <f t="shared" si="41"/>
        <v>0.31168964523131187</v>
      </c>
      <c r="N326" s="31">
        <f t="shared" si="42"/>
        <v>0.31168964523131176</v>
      </c>
      <c r="O326" s="31">
        <f t="shared" si="43"/>
        <v>0.3435971205229843</v>
      </c>
      <c r="P326" s="109">
        <f t="shared" si="44"/>
        <v>70.2</v>
      </c>
      <c r="Q326" s="28">
        <f>AVERAGE($P$309:P326)</f>
        <v>70.200000000000017</v>
      </c>
      <c r="R326" s="81">
        <f>AVERAGE($P$3:P326)</f>
        <v>61.236734693877843</v>
      </c>
      <c r="S326">
        <f t="shared" si="46"/>
        <v>18</v>
      </c>
      <c r="T326">
        <f t="shared" si="48"/>
        <v>294</v>
      </c>
    </row>
    <row r="327" spans="2:20">
      <c r="B327" s="27">
        <f t="shared" si="47"/>
        <v>45707</v>
      </c>
      <c r="C327" s="28">
        <f>YEAR(Modelling[[#This Row],[Date]])+IF(MONTH(Modelling[[#This Row],[Date]])&gt;=4,1,0)</f>
        <v>2025</v>
      </c>
      <c r="D327" s="22">
        <f t="shared" si="45"/>
        <v>2025</v>
      </c>
      <c r="E327" s="29">
        <v>44958</v>
      </c>
      <c r="F327" s="22">
        <f>DAY(EOMONTH(Modelling[[#This Row],[Date]],0))</f>
        <v>28</v>
      </c>
      <c r="G327" s="28">
        <f>VLOOKUP(MONTH(Modelling[[#This Row],[Date]]),$W$3:$Z$14,4,0)/1000/Modelling[[#This Row],[Days]]</f>
        <v>525.13471428571427</v>
      </c>
      <c r="H327" s="28">
        <f>SUM($G$309:G327)</f>
        <v>9977.5595714285682</v>
      </c>
      <c r="I327" s="28">
        <f>SUM($G$3:G327)</f>
        <v>148988.77757142883</v>
      </c>
      <c r="J327" s="30">
        <f>VLOOKUP(MONTH(Modelling[[#This Row],[Date]]),$W$3:$Y$14,3,0)</f>
        <v>7.3</v>
      </c>
      <c r="K327" s="30">
        <f>VLOOKUP(MONTH(Modelling[[#This Row],[Date]]),$W$3:$Y$14,3,0)</f>
        <v>7.3</v>
      </c>
      <c r="L327" s="30">
        <f>AVERAGE(J$3:J327)</f>
        <v>7.537538461538448</v>
      </c>
      <c r="M327" s="31">
        <f t="shared" si="41"/>
        <v>0.31168964523131187</v>
      </c>
      <c r="N327" s="31">
        <f t="shared" si="42"/>
        <v>0.31168964523131176</v>
      </c>
      <c r="O327" s="31">
        <f t="shared" si="43"/>
        <v>0.34347318948659594</v>
      </c>
      <c r="P327" s="109">
        <f t="shared" si="44"/>
        <v>70.2</v>
      </c>
      <c r="Q327" s="28">
        <f>AVERAGE($P$309:P327)</f>
        <v>70.200000000000017</v>
      </c>
      <c r="R327" s="81">
        <f>AVERAGE($P$3:P327)</f>
        <v>61.267118644068091</v>
      </c>
      <c r="S327">
        <f t="shared" si="46"/>
        <v>19</v>
      </c>
      <c r="T327">
        <f t="shared" si="48"/>
        <v>295</v>
      </c>
    </row>
    <row r="328" spans="2:20">
      <c r="B328" s="27">
        <f t="shared" si="47"/>
        <v>45708</v>
      </c>
      <c r="C328" s="28">
        <f>YEAR(Modelling[[#This Row],[Date]])+IF(MONTH(Modelling[[#This Row],[Date]])&gt;=4,1,0)</f>
        <v>2025</v>
      </c>
      <c r="D328" s="22">
        <f t="shared" si="45"/>
        <v>2025</v>
      </c>
      <c r="E328" s="29">
        <v>44958</v>
      </c>
      <c r="F328" s="22">
        <f>DAY(EOMONTH(Modelling[[#This Row],[Date]],0))</f>
        <v>28</v>
      </c>
      <c r="G328" s="28">
        <f>VLOOKUP(MONTH(Modelling[[#This Row],[Date]]),$W$3:$Z$14,4,0)/1000/Modelling[[#This Row],[Days]]</f>
        <v>525.13471428571427</v>
      </c>
      <c r="H328" s="28">
        <f>SUM($G$309:G328)</f>
        <v>10502.694285714282</v>
      </c>
      <c r="I328" s="28">
        <f>SUM($G$3:G328)</f>
        <v>149513.91228571456</v>
      </c>
      <c r="J328" s="30">
        <f>VLOOKUP(MONTH(Modelling[[#This Row],[Date]]),$W$3:$Y$14,3,0)</f>
        <v>7.3</v>
      </c>
      <c r="K328" s="30">
        <f>VLOOKUP(MONTH(Modelling[[#This Row],[Date]]),$W$3:$Y$14,3,0)</f>
        <v>7.3</v>
      </c>
      <c r="L328" s="30">
        <f>AVERAGE(J$3:J328)</f>
        <v>7.5368098159509076</v>
      </c>
      <c r="M328" s="31">
        <f t="shared" si="41"/>
        <v>0.31168964523131187</v>
      </c>
      <c r="N328" s="31">
        <f t="shared" si="42"/>
        <v>0.31168964523131171</v>
      </c>
      <c r="O328" s="31">
        <f t="shared" si="43"/>
        <v>0.3433502174403702</v>
      </c>
      <c r="P328" s="109">
        <f t="shared" si="44"/>
        <v>70.2</v>
      </c>
      <c r="Q328" s="28">
        <f>AVERAGE($P$309:P328)</f>
        <v>70.200000000000017</v>
      </c>
      <c r="R328" s="81">
        <f>AVERAGE($P$3:P328)</f>
        <v>61.29729729729759</v>
      </c>
      <c r="S328">
        <f t="shared" si="46"/>
        <v>20</v>
      </c>
      <c r="T328">
        <f t="shared" si="48"/>
        <v>296</v>
      </c>
    </row>
    <row r="329" spans="2:20">
      <c r="B329" s="27">
        <f t="shared" si="47"/>
        <v>45709</v>
      </c>
      <c r="C329" s="28">
        <f>YEAR(Modelling[[#This Row],[Date]])+IF(MONTH(Modelling[[#This Row],[Date]])&gt;=4,1,0)</f>
        <v>2025</v>
      </c>
      <c r="D329" s="22">
        <f t="shared" si="45"/>
        <v>2025</v>
      </c>
      <c r="E329" s="29">
        <v>44958</v>
      </c>
      <c r="F329" s="22">
        <f>DAY(EOMONTH(Modelling[[#This Row],[Date]],0))</f>
        <v>28</v>
      </c>
      <c r="G329" s="28">
        <f>VLOOKUP(MONTH(Modelling[[#This Row],[Date]]),$W$3:$Z$14,4,0)/1000/Modelling[[#This Row],[Days]]</f>
        <v>525.13471428571427</v>
      </c>
      <c r="H329" s="28">
        <f>SUM($G$309:G329)</f>
        <v>11027.828999999996</v>
      </c>
      <c r="I329" s="28">
        <f>SUM($G$3:G329)</f>
        <v>150039.04700000028</v>
      </c>
      <c r="J329" s="30">
        <f>VLOOKUP(MONTH(Modelling[[#This Row],[Date]]),$W$3:$Y$14,3,0)</f>
        <v>7.3</v>
      </c>
      <c r="K329" s="30">
        <f>VLOOKUP(MONTH(Modelling[[#This Row],[Date]]),$W$3:$Y$14,3,0)</f>
        <v>7.3</v>
      </c>
      <c r="L329" s="30">
        <f>AVERAGE(J$3:J329)</f>
        <v>7.5360856269113032</v>
      </c>
      <c r="M329" s="31">
        <f t="shared" si="41"/>
        <v>0.31168964523131187</v>
      </c>
      <c r="N329" s="31">
        <f t="shared" si="42"/>
        <v>0.31168964523131171</v>
      </c>
      <c r="O329" s="31">
        <f t="shared" si="43"/>
        <v>0.34322819329607196</v>
      </c>
      <c r="P329" s="109">
        <f t="shared" si="44"/>
        <v>70.2</v>
      </c>
      <c r="Q329" s="28">
        <f>AVERAGE($P$309:P329)</f>
        <v>70.200000000000017</v>
      </c>
      <c r="R329" s="81">
        <f>AVERAGE($P$3:P329)</f>
        <v>61.327272727273026</v>
      </c>
      <c r="S329">
        <f t="shared" si="46"/>
        <v>21</v>
      </c>
      <c r="T329">
        <f t="shared" si="48"/>
        <v>297</v>
      </c>
    </row>
    <row r="330" spans="2:20">
      <c r="B330" s="27">
        <f t="shared" si="47"/>
        <v>45710</v>
      </c>
      <c r="C330" s="28">
        <f>YEAR(Modelling[[#This Row],[Date]])+IF(MONTH(Modelling[[#This Row],[Date]])&gt;=4,1,0)</f>
        <v>2025</v>
      </c>
      <c r="D330" s="22">
        <f t="shared" si="45"/>
        <v>2025</v>
      </c>
      <c r="E330" s="29">
        <v>44958</v>
      </c>
      <c r="F330" s="22">
        <f>DAY(EOMONTH(Modelling[[#This Row],[Date]],0))</f>
        <v>28</v>
      </c>
      <c r="G330" s="28">
        <f>VLOOKUP(MONTH(Modelling[[#This Row],[Date]]),$W$3:$Z$14,4,0)/1000/Modelling[[#This Row],[Days]]</f>
        <v>525.13471428571427</v>
      </c>
      <c r="H330" s="28">
        <f>SUM($G$309:G330)</f>
        <v>11552.96371428571</v>
      </c>
      <c r="I330" s="28">
        <f>SUM($G$3:G330)</f>
        <v>150564.18171428601</v>
      </c>
      <c r="J330" s="30">
        <f>VLOOKUP(MONTH(Modelling[[#This Row],[Date]]),$W$3:$Y$14,3,0)</f>
        <v>7.3</v>
      </c>
      <c r="K330" s="30">
        <f>VLOOKUP(MONTH(Modelling[[#This Row],[Date]]),$W$3:$Y$14,3,0)</f>
        <v>7.3</v>
      </c>
      <c r="L330" s="30">
        <f>AVERAGE(J$3:J330)</f>
        <v>7.5353658536585248</v>
      </c>
      <c r="M330" s="31">
        <f t="shared" si="41"/>
        <v>0.31168964523131187</v>
      </c>
      <c r="N330" s="31">
        <f t="shared" si="42"/>
        <v>0.31168964523131165</v>
      </c>
      <c r="O330" s="31">
        <f t="shared" si="43"/>
        <v>0.34310710613575252</v>
      </c>
      <c r="P330" s="109">
        <f t="shared" si="44"/>
        <v>70.2</v>
      </c>
      <c r="Q330" s="28">
        <f>AVERAGE($P$309:P330)</f>
        <v>70.200000000000031</v>
      </c>
      <c r="R330" s="81">
        <f>AVERAGE($P$3:P330)</f>
        <v>61.35704697986607</v>
      </c>
      <c r="S330">
        <f t="shared" si="46"/>
        <v>22</v>
      </c>
      <c r="T330">
        <f t="shared" si="48"/>
        <v>298</v>
      </c>
    </row>
    <row r="331" spans="2:20">
      <c r="B331" s="27">
        <f t="shared" si="47"/>
        <v>45711</v>
      </c>
      <c r="C331" s="28">
        <f>YEAR(Modelling[[#This Row],[Date]])+IF(MONTH(Modelling[[#This Row],[Date]])&gt;=4,1,0)</f>
        <v>2025</v>
      </c>
      <c r="D331" s="22">
        <f t="shared" si="45"/>
        <v>2025</v>
      </c>
      <c r="E331" s="29">
        <v>44958</v>
      </c>
      <c r="F331" s="22">
        <f>DAY(EOMONTH(Modelling[[#This Row],[Date]],0))</f>
        <v>28</v>
      </c>
      <c r="G331" s="28">
        <f>VLOOKUP(MONTH(Modelling[[#This Row],[Date]]),$W$3:$Z$14,4,0)/1000/Modelling[[#This Row],[Days]]</f>
        <v>525.13471428571427</v>
      </c>
      <c r="H331" s="28">
        <f>SUM($G$309:G331)</f>
        <v>12078.098428571424</v>
      </c>
      <c r="I331" s="28">
        <f>SUM($G$3:G331)</f>
        <v>151089.31642857174</v>
      </c>
      <c r="J331" s="30">
        <f>VLOOKUP(MONTH(Modelling[[#This Row],[Date]]),$W$3:$Y$14,3,0)</f>
        <v>7.3</v>
      </c>
      <c r="K331" s="30">
        <f>VLOOKUP(MONTH(Modelling[[#This Row],[Date]]),$W$3:$Y$14,3,0)</f>
        <v>7.3</v>
      </c>
      <c r="L331" s="30">
        <f>AVERAGE(J$3:J331)</f>
        <v>7.5346504559270411</v>
      </c>
      <c r="M331" s="31">
        <f t="shared" si="41"/>
        <v>0.31168964523131187</v>
      </c>
      <c r="N331" s="31">
        <f t="shared" si="42"/>
        <v>0.31168964523131165</v>
      </c>
      <c r="O331" s="31">
        <f t="shared" si="43"/>
        <v>0.34298694520849227</v>
      </c>
      <c r="P331" s="109">
        <f t="shared" si="44"/>
        <v>70.2</v>
      </c>
      <c r="Q331" s="28">
        <f>AVERAGE($P$309:P331)</f>
        <v>70.200000000000031</v>
      </c>
      <c r="R331" s="81">
        <f>AVERAGE($P$3:P331)</f>
        <v>61.386622073578891</v>
      </c>
      <c r="S331">
        <f t="shared" si="46"/>
        <v>23</v>
      </c>
      <c r="T331">
        <f t="shared" si="48"/>
        <v>299</v>
      </c>
    </row>
    <row r="332" spans="2:20">
      <c r="B332" s="27">
        <f t="shared" si="47"/>
        <v>45712</v>
      </c>
      <c r="C332" s="28">
        <f>YEAR(Modelling[[#This Row],[Date]])+IF(MONTH(Modelling[[#This Row],[Date]])&gt;=4,1,0)</f>
        <v>2025</v>
      </c>
      <c r="D332" s="22">
        <f t="shared" si="45"/>
        <v>2025</v>
      </c>
      <c r="E332" s="29">
        <v>44958</v>
      </c>
      <c r="F332" s="22">
        <f>DAY(EOMONTH(Modelling[[#This Row],[Date]],0))</f>
        <v>28</v>
      </c>
      <c r="G332" s="28">
        <f>VLOOKUP(MONTH(Modelling[[#This Row],[Date]]),$W$3:$Z$14,4,0)/1000/Modelling[[#This Row],[Days]]</f>
        <v>525.13471428571427</v>
      </c>
      <c r="H332" s="28">
        <f>SUM($G$309:G332)</f>
        <v>12603.233142857138</v>
      </c>
      <c r="I332" s="28">
        <f>SUM($G$3:G332)</f>
        <v>151614.45114285746</v>
      </c>
      <c r="J332" s="30">
        <f>VLOOKUP(MONTH(Modelling[[#This Row],[Date]]),$W$3:$Y$14,3,0)</f>
        <v>7.3</v>
      </c>
      <c r="K332" s="30">
        <f>VLOOKUP(MONTH(Modelling[[#This Row],[Date]]),$W$3:$Y$14,3,0)</f>
        <v>7.3</v>
      </c>
      <c r="L332" s="30">
        <f>AVERAGE(J$3:J332)</f>
        <v>7.5339393939393835</v>
      </c>
      <c r="M332" s="31">
        <f t="shared" si="41"/>
        <v>0.31168964523131187</v>
      </c>
      <c r="N332" s="31">
        <f t="shared" si="42"/>
        <v>0.31168964523131165</v>
      </c>
      <c r="O332" s="31">
        <f t="shared" si="43"/>
        <v>0.34286769992721927</v>
      </c>
      <c r="P332" s="109">
        <f t="shared" si="44"/>
        <v>70.2</v>
      </c>
      <c r="Q332" s="28">
        <f>AVERAGE($P$309:P332)</f>
        <v>70.200000000000031</v>
      </c>
      <c r="R332" s="81">
        <f>AVERAGE($P$3:P332)</f>
        <v>61.416000000000302</v>
      </c>
      <c r="S332">
        <f t="shared" si="46"/>
        <v>24</v>
      </c>
      <c r="T332">
        <f t="shared" si="48"/>
        <v>300</v>
      </c>
    </row>
    <row r="333" spans="2:20">
      <c r="B333" s="27">
        <f t="shared" si="47"/>
        <v>45713</v>
      </c>
      <c r="C333" s="28">
        <f>YEAR(Modelling[[#This Row],[Date]])+IF(MONTH(Modelling[[#This Row],[Date]])&gt;=4,1,0)</f>
        <v>2025</v>
      </c>
      <c r="D333" s="22">
        <f t="shared" si="45"/>
        <v>2025</v>
      </c>
      <c r="E333" s="29">
        <v>44958</v>
      </c>
      <c r="F333" s="22">
        <f>DAY(EOMONTH(Modelling[[#This Row],[Date]],0))</f>
        <v>28</v>
      </c>
      <c r="G333" s="28">
        <f>VLOOKUP(MONTH(Modelling[[#This Row],[Date]]),$W$3:$Z$14,4,0)/1000/Modelling[[#This Row],[Days]]</f>
        <v>525.13471428571427</v>
      </c>
      <c r="H333" s="28">
        <f>SUM($G$309:G333)</f>
        <v>13128.367857142852</v>
      </c>
      <c r="I333" s="28">
        <f>SUM($G$3:G333)</f>
        <v>152139.58585714319</v>
      </c>
      <c r="J333" s="30">
        <f>VLOOKUP(MONTH(Modelling[[#This Row],[Date]]),$W$3:$Y$14,3,0)</f>
        <v>7.3</v>
      </c>
      <c r="K333" s="30">
        <f>VLOOKUP(MONTH(Modelling[[#This Row],[Date]]),$W$3:$Y$14,3,0)</f>
        <v>7.3</v>
      </c>
      <c r="L333" s="30">
        <f>AVERAGE(J$3:J333)</f>
        <v>7.5332326283987818</v>
      </c>
      <c r="M333" s="31">
        <f t="shared" si="41"/>
        <v>0.31168964523131187</v>
      </c>
      <c r="N333" s="31">
        <f t="shared" si="42"/>
        <v>0.31168964523131165</v>
      </c>
      <c r="O333" s="31">
        <f t="shared" si="43"/>
        <v>0.34274935986559979</v>
      </c>
      <c r="P333" s="109">
        <f t="shared" si="44"/>
        <v>70.2</v>
      </c>
      <c r="Q333" s="28">
        <f>AVERAGE($P$309:P333)</f>
        <v>70.200000000000031</v>
      </c>
      <c r="R333" s="81">
        <f>AVERAGE($P$3:P333)</f>
        <v>61.445182724252795</v>
      </c>
      <c r="S333">
        <f t="shared" si="46"/>
        <v>25</v>
      </c>
      <c r="T333">
        <f t="shared" si="48"/>
        <v>301</v>
      </c>
    </row>
    <row r="334" spans="2:20">
      <c r="B334" s="27">
        <f t="shared" si="47"/>
        <v>45714</v>
      </c>
      <c r="C334" s="28">
        <f>YEAR(Modelling[[#This Row],[Date]])+IF(MONTH(Modelling[[#This Row],[Date]])&gt;=4,1,0)</f>
        <v>2025</v>
      </c>
      <c r="D334" s="22">
        <f t="shared" si="45"/>
        <v>2025</v>
      </c>
      <c r="E334" s="29">
        <v>44958</v>
      </c>
      <c r="F334" s="22">
        <f>DAY(EOMONTH(Modelling[[#This Row],[Date]],0))</f>
        <v>28</v>
      </c>
      <c r="G334" s="28">
        <f>VLOOKUP(MONTH(Modelling[[#This Row],[Date]]),$W$3:$Z$14,4,0)/1000/Modelling[[#This Row],[Days]]</f>
        <v>525.13471428571427</v>
      </c>
      <c r="H334" s="28">
        <f>SUM($G$309:G334)</f>
        <v>13653.502571428566</v>
      </c>
      <c r="I334" s="28">
        <f>SUM($G$3:G334)</f>
        <v>152664.72057142892</v>
      </c>
      <c r="J334" s="30">
        <f>VLOOKUP(MONTH(Modelling[[#This Row],[Date]]),$W$3:$Y$14,3,0)</f>
        <v>7.3</v>
      </c>
      <c r="K334" s="30">
        <f>VLOOKUP(MONTH(Modelling[[#This Row],[Date]]),$W$3:$Y$14,3,0)</f>
        <v>7.3</v>
      </c>
      <c r="L334" s="30">
        <f>AVERAGE(J$3:J334)</f>
        <v>7.5325301204819191</v>
      </c>
      <c r="M334" s="31">
        <f t="shared" si="41"/>
        <v>0.31168964523131187</v>
      </c>
      <c r="N334" s="31">
        <f t="shared" si="42"/>
        <v>0.31168964523131165</v>
      </c>
      <c r="O334" s="31">
        <f t="shared" si="43"/>
        <v>0.34263191475499893</v>
      </c>
      <c r="P334" s="109">
        <f t="shared" si="44"/>
        <v>70.2</v>
      </c>
      <c r="Q334" s="28">
        <f>AVERAGE($P$309:P334)</f>
        <v>70.200000000000031</v>
      </c>
      <c r="R334" s="81">
        <f>AVERAGE($P$3:P334)</f>
        <v>61.474172185430767</v>
      </c>
      <c r="S334">
        <f t="shared" si="46"/>
        <v>26</v>
      </c>
      <c r="T334">
        <f t="shared" si="48"/>
        <v>302</v>
      </c>
    </row>
    <row r="335" spans="2:20">
      <c r="B335" s="27">
        <f t="shared" si="47"/>
        <v>45715</v>
      </c>
      <c r="C335" s="28">
        <f>YEAR(Modelling[[#This Row],[Date]])+IF(MONTH(Modelling[[#This Row],[Date]])&gt;=4,1,0)</f>
        <v>2025</v>
      </c>
      <c r="D335" s="22">
        <f t="shared" si="45"/>
        <v>2025</v>
      </c>
      <c r="E335" s="29">
        <v>44958</v>
      </c>
      <c r="F335" s="22">
        <f>DAY(EOMONTH(Modelling[[#This Row],[Date]],0))</f>
        <v>28</v>
      </c>
      <c r="G335" s="28">
        <f>VLOOKUP(MONTH(Modelling[[#This Row],[Date]]),$W$3:$Z$14,4,0)/1000/Modelling[[#This Row],[Days]]</f>
        <v>525.13471428571427</v>
      </c>
      <c r="H335" s="28">
        <f>SUM($G$309:G335)</f>
        <v>14178.63728571428</v>
      </c>
      <c r="I335" s="28">
        <f>SUM($G$3:G335)</f>
        <v>153189.85528571464</v>
      </c>
      <c r="J335" s="30">
        <f>VLOOKUP(MONTH(Modelling[[#This Row],[Date]]),$W$3:$Y$14,3,0)</f>
        <v>7.3</v>
      </c>
      <c r="K335" s="30">
        <f>VLOOKUP(MONTH(Modelling[[#This Row],[Date]]),$W$3:$Y$14,3,0)</f>
        <v>7.3</v>
      </c>
      <c r="L335" s="30">
        <f>AVERAGE(J$3:J335)</f>
        <v>7.5318318318318234</v>
      </c>
      <c r="M335" s="31">
        <f t="shared" si="41"/>
        <v>0.31168964523131187</v>
      </c>
      <c r="N335" s="31">
        <f t="shared" si="42"/>
        <v>0.31168964523131165</v>
      </c>
      <c r="O335" s="31">
        <f t="shared" si="43"/>
        <v>0.34251535448151071</v>
      </c>
      <c r="P335" s="109">
        <f t="shared" si="44"/>
        <v>70.2</v>
      </c>
      <c r="Q335" s="28">
        <f>AVERAGE($P$309:P335)</f>
        <v>70.200000000000031</v>
      </c>
      <c r="R335" s="81">
        <f>AVERAGE($P$3:P335)</f>
        <v>61.502970297030011</v>
      </c>
      <c r="S335">
        <f t="shared" si="46"/>
        <v>27</v>
      </c>
      <c r="T335">
        <f t="shared" si="48"/>
        <v>303</v>
      </c>
    </row>
    <row r="336" spans="2:20">
      <c r="B336" s="27">
        <f t="shared" si="47"/>
        <v>45716</v>
      </c>
      <c r="C336" s="28">
        <f>YEAR(Modelling[[#This Row],[Date]])+IF(MONTH(Modelling[[#This Row],[Date]])&gt;=4,1,0)</f>
        <v>2025</v>
      </c>
      <c r="D336" s="22">
        <f t="shared" si="45"/>
        <v>2025</v>
      </c>
      <c r="E336" s="29">
        <v>44958</v>
      </c>
      <c r="F336" s="22">
        <f>DAY(EOMONTH(Modelling[[#This Row],[Date]],0))</f>
        <v>28</v>
      </c>
      <c r="G336" s="28">
        <f>VLOOKUP(MONTH(Modelling[[#This Row],[Date]]),$W$3:$Z$14,4,0)/1000/Modelling[[#This Row],[Days]]</f>
        <v>525.13471428571427</v>
      </c>
      <c r="H336" s="28">
        <f>SUM($G$309:G336)</f>
        <v>14703.771999999994</v>
      </c>
      <c r="I336" s="28">
        <f>SUM($G$3:G336)</f>
        <v>153714.99000000037</v>
      </c>
      <c r="J336" s="30">
        <f>VLOOKUP(MONTH(Modelling[[#This Row],[Date]]),$W$3:$Y$14,3,0)</f>
        <v>7.3</v>
      </c>
      <c r="K336" s="30">
        <f>VLOOKUP(MONTH(Modelling[[#This Row],[Date]]),$W$3:$Y$14,3,0)</f>
        <v>7.3</v>
      </c>
      <c r="L336" s="30">
        <f>AVERAGE(J$3:J336)</f>
        <v>7.5311377245508906</v>
      </c>
      <c r="M336" s="31">
        <f t="shared" si="41"/>
        <v>0.31168964523131187</v>
      </c>
      <c r="N336" s="31">
        <f t="shared" si="42"/>
        <v>0.31168964523131165</v>
      </c>
      <c r="O336" s="31">
        <f t="shared" si="43"/>
        <v>0.34239966908305447</v>
      </c>
      <c r="P336" s="109">
        <f t="shared" si="44"/>
        <v>70.2</v>
      </c>
      <c r="Q336" s="28">
        <f>AVERAGE($P$309:P336)</f>
        <v>70.200000000000031</v>
      </c>
      <c r="R336" s="81">
        <f>AVERAGE($P$3:P336)</f>
        <v>61.531578947368729</v>
      </c>
      <c r="S336">
        <f t="shared" si="46"/>
        <v>28</v>
      </c>
      <c r="T336">
        <f t="shared" si="48"/>
        <v>304</v>
      </c>
    </row>
    <row r="337" spans="2:20">
      <c r="B337" s="27">
        <f t="shared" si="47"/>
        <v>45717</v>
      </c>
      <c r="C337" s="28">
        <f>YEAR(Modelling[[#This Row],[Date]])+IF(MONTH(Modelling[[#This Row],[Date]])&gt;=4,1,0)</f>
        <v>2025</v>
      </c>
      <c r="D337" s="22">
        <f t="shared" si="45"/>
        <v>2025</v>
      </c>
      <c r="E337" s="29">
        <v>44986</v>
      </c>
      <c r="F337" s="22">
        <f>DAY(EOMONTH(Modelling[[#This Row],[Date]],0))</f>
        <v>31</v>
      </c>
      <c r="G337" s="28">
        <f>VLOOKUP(MONTH(Modelling[[#This Row],[Date]]),$W$3:$Z$14,4,0)/1000/Modelling[[#This Row],[Days]]</f>
        <v>632.77103225806445</v>
      </c>
      <c r="H337" s="28">
        <f>SUM($G$337:G337)</f>
        <v>632.77103225806445</v>
      </c>
      <c r="I337" s="28">
        <f>SUM($G$3:G337)</f>
        <v>154347.76103225842</v>
      </c>
      <c r="J337" s="30">
        <f>VLOOKUP(MONTH(Modelling[[#This Row],[Date]]),$W$3:$Y$14,3,0)</f>
        <v>7.28</v>
      </c>
      <c r="K337" s="30">
        <f>VLOOKUP(MONTH(Modelling[[#This Row],[Date]]),$W$3:$Y$14,3,0)</f>
        <v>7.28</v>
      </c>
      <c r="L337" s="30">
        <f>AVERAGE(J$3:J337)</f>
        <v>7.5303880597014849</v>
      </c>
      <c r="M337" s="31">
        <f t="shared" si="41"/>
        <v>0.37557634868118733</v>
      </c>
      <c r="N337" s="31">
        <f t="shared" si="42"/>
        <v>0.37557634868118733</v>
      </c>
      <c r="O337" s="31">
        <f t="shared" si="43"/>
        <v>0.34252371188856945</v>
      </c>
      <c r="P337" s="109">
        <f t="shared" si="44"/>
        <v>70.2</v>
      </c>
      <c r="Q337" s="28">
        <f>AVERAGE($P$337:P337)</f>
        <v>70.2</v>
      </c>
      <c r="R337" s="81">
        <f>AVERAGE($P$3:P337)</f>
        <v>61.560000000000308</v>
      </c>
      <c r="S337">
        <f t="shared" si="46"/>
        <v>1</v>
      </c>
      <c r="T337">
        <f t="shared" si="48"/>
        <v>305</v>
      </c>
    </row>
    <row r="338" spans="2:20">
      <c r="B338" s="27">
        <f t="shared" si="47"/>
        <v>45718</v>
      </c>
      <c r="C338" s="28">
        <f>YEAR(Modelling[[#This Row],[Date]])+IF(MONTH(Modelling[[#This Row],[Date]])&gt;=4,1,0)</f>
        <v>2025</v>
      </c>
      <c r="D338" s="22">
        <f t="shared" si="45"/>
        <v>2025</v>
      </c>
      <c r="E338" s="29">
        <v>44986</v>
      </c>
      <c r="F338" s="22">
        <f>DAY(EOMONTH(Modelling[[#This Row],[Date]],0))</f>
        <v>31</v>
      </c>
      <c r="G338" s="28">
        <f>VLOOKUP(MONTH(Modelling[[#This Row],[Date]]),$W$3:$Z$14,4,0)/1000/Modelling[[#This Row],[Days]]</f>
        <v>632.77103225806445</v>
      </c>
      <c r="H338" s="28">
        <f>SUM($G$337:G338)</f>
        <v>1265.5420645161289</v>
      </c>
      <c r="I338" s="28">
        <f>SUM($G$3:G338)</f>
        <v>154980.53206451648</v>
      </c>
      <c r="J338" s="30">
        <f>VLOOKUP(MONTH(Modelling[[#This Row],[Date]]),$W$3:$Y$14,3,0)</f>
        <v>7.28</v>
      </c>
      <c r="K338" s="30">
        <f>VLOOKUP(MONTH(Modelling[[#This Row],[Date]]),$W$3:$Y$14,3,0)</f>
        <v>7.28</v>
      </c>
      <c r="L338" s="30">
        <f>AVERAGE(J$3:J338)</f>
        <v>7.5296428571428509</v>
      </c>
      <c r="M338" s="31">
        <f t="shared" si="41"/>
        <v>0.37557634868118733</v>
      </c>
      <c r="N338" s="31">
        <f t="shared" si="42"/>
        <v>0.37557634868118733</v>
      </c>
      <c r="O338" s="31">
        <f t="shared" si="43"/>
        <v>0.34264683059295453</v>
      </c>
      <c r="P338" s="109">
        <f t="shared" si="44"/>
        <v>70.2</v>
      </c>
      <c r="Q338" s="28">
        <f>AVERAGE($P$337:P338)</f>
        <v>70.2</v>
      </c>
      <c r="R338" s="81">
        <f>AVERAGE($P$3:P338)</f>
        <v>61.588235294117958</v>
      </c>
      <c r="S338">
        <f t="shared" si="46"/>
        <v>2</v>
      </c>
      <c r="T338">
        <f t="shared" si="48"/>
        <v>306</v>
      </c>
    </row>
    <row r="339" spans="2:20">
      <c r="B339" s="27">
        <f t="shared" si="47"/>
        <v>45719</v>
      </c>
      <c r="C339" s="28">
        <f>YEAR(Modelling[[#This Row],[Date]])+IF(MONTH(Modelling[[#This Row],[Date]])&gt;=4,1,0)</f>
        <v>2025</v>
      </c>
      <c r="D339" s="22">
        <f t="shared" si="45"/>
        <v>2025</v>
      </c>
      <c r="E339" s="29">
        <v>44986</v>
      </c>
      <c r="F339" s="22">
        <f>DAY(EOMONTH(Modelling[[#This Row],[Date]],0))</f>
        <v>31</v>
      </c>
      <c r="G339" s="28">
        <f>VLOOKUP(MONTH(Modelling[[#This Row],[Date]]),$W$3:$Z$14,4,0)/1000/Modelling[[#This Row],[Days]]</f>
        <v>632.77103225806445</v>
      </c>
      <c r="H339" s="28">
        <f>SUM($G$337:G339)</f>
        <v>1898.3130967741934</v>
      </c>
      <c r="I339" s="28">
        <f>SUM($G$3:G339)</f>
        <v>155613.30309677453</v>
      </c>
      <c r="J339" s="30">
        <f>VLOOKUP(MONTH(Modelling[[#This Row],[Date]]),$W$3:$Y$14,3,0)</f>
        <v>7.28</v>
      </c>
      <c r="K339" s="30">
        <f>VLOOKUP(MONTH(Modelling[[#This Row],[Date]]),$W$3:$Y$14,3,0)</f>
        <v>7.28</v>
      </c>
      <c r="L339" s="30">
        <f>AVERAGE(J$3:J339)</f>
        <v>7.5289020771513293</v>
      </c>
      <c r="M339" s="31">
        <f t="shared" si="41"/>
        <v>0.37557634868118733</v>
      </c>
      <c r="N339" s="31">
        <f t="shared" si="42"/>
        <v>0.37557634868118733</v>
      </c>
      <c r="O339" s="31">
        <f t="shared" si="43"/>
        <v>0.34276903548451798</v>
      </c>
      <c r="P339" s="109">
        <f t="shared" si="44"/>
        <v>70.2</v>
      </c>
      <c r="Q339" s="28">
        <f>AVERAGE($P$337:P339)</f>
        <v>70.2</v>
      </c>
      <c r="R339" s="81">
        <f>AVERAGE($P$3:P339)</f>
        <v>61.616286644951451</v>
      </c>
      <c r="S339">
        <f t="shared" si="46"/>
        <v>3</v>
      </c>
      <c r="T339">
        <f t="shared" si="48"/>
        <v>307</v>
      </c>
    </row>
    <row r="340" spans="2:20">
      <c r="B340" s="27">
        <f t="shared" si="47"/>
        <v>45720</v>
      </c>
      <c r="C340" s="28">
        <f>YEAR(Modelling[[#This Row],[Date]])+IF(MONTH(Modelling[[#This Row],[Date]])&gt;=4,1,0)</f>
        <v>2025</v>
      </c>
      <c r="D340" s="22">
        <f t="shared" si="45"/>
        <v>2025</v>
      </c>
      <c r="E340" s="29">
        <v>44986</v>
      </c>
      <c r="F340" s="22">
        <f>DAY(EOMONTH(Modelling[[#This Row],[Date]],0))</f>
        <v>31</v>
      </c>
      <c r="G340" s="28">
        <f>VLOOKUP(MONTH(Modelling[[#This Row],[Date]]),$W$3:$Z$14,4,0)/1000/Modelling[[#This Row],[Days]]</f>
        <v>632.77103225806445</v>
      </c>
      <c r="H340" s="28">
        <f>SUM($G$337:G340)</f>
        <v>2531.0841290322578</v>
      </c>
      <c r="I340" s="28">
        <f>SUM($G$3:G340)</f>
        <v>156246.07412903258</v>
      </c>
      <c r="J340" s="30">
        <f>VLOOKUP(MONTH(Modelling[[#This Row],[Date]]),$W$3:$Y$14,3,0)</f>
        <v>7.28</v>
      </c>
      <c r="K340" s="30">
        <f>VLOOKUP(MONTH(Modelling[[#This Row],[Date]]),$W$3:$Y$14,3,0)</f>
        <v>7.28</v>
      </c>
      <c r="L340" s="30">
        <f>AVERAGE(J$3:J340)</f>
        <v>7.528165680473367</v>
      </c>
      <c r="M340" s="31">
        <f t="shared" si="41"/>
        <v>0.37557634868118733</v>
      </c>
      <c r="N340" s="31">
        <f t="shared" si="42"/>
        <v>0.37557634868118733</v>
      </c>
      <c r="O340" s="31">
        <f t="shared" si="43"/>
        <v>0.34289033669940894</v>
      </c>
      <c r="P340" s="109">
        <f t="shared" si="44"/>
        <v>70.2</v>
      </c>
      <c r="Q340" s="28">
        <f>AVERAGE($P$337:P340)</f>
        <v>70.2</v>
      </c>
      <c r="R340" s="81">
        <f>AVERAGE($P$3:P340)</f>
        <v>61.644155844156153</v>
      </c>
      <c r="S340">
        <f t="shared" si="46"/>
        <v>4</v>
      </c>
      <c r="T340">
        <f t="shared" si="48"/>
        <v>308</v>
      </c>
    </row>
    <row r="341" spans="2:20">
      <c r="B341" s="27">
        <f t="shared" si="47"/>
        <v>45721</v>
      </c>
      <c r="C341" s="28">
        <f>YEAR(Modelling[[#This Row],[Date]])+IF(MONTH(Modelling[[#This Row],[Date]])&gt;=4,1,0)</f>
        <v>2025</v>
      </c>
      <c r="D341" s="22">
        <f t="shared" si="45"/>
        <v>2025</v>
      </c>
      <c r="E341" s="29">
        <v>44986</v>
      </c>
      <c r="F341" s="22">
        <f>DAY(EOMONTH(Modelling[[#This Row],[Date]],0))</f>
        <v>31</v>
      </c>
      <c r="G341" s="28">
        <f>VLOOKUP(MONTH(Modelling[[#This Row],[Date]]),$W$3:$Z$14,4,0)/1000/Modelling[[#This Row],[Days]]</f>
        <v>632.77103225806445</v>
      </c>
      <c r="H341" s="28">
        <f>SUM($G$337:G341)</f>
        <v>3163.855161290322</v>
      </c>
      <c r="I341" s="28">
        <f>SUM($G$3:G341)</f>
        <v>156878.84516129064</v>
      </c>
      <c r="J341" s="30">
        <f>VLOOKUP(MONTH(Modelling[[#This Row],[Date]]),$W$3:$Y$14,3,0)</f>
        <v>7.28</v>
      </c>
      <c r="K341" s="30">
        <f>VLOOKUP(MONTH(Modelling[[#This Row],[Date]]),$W$3:$Y$14,3,0)</f>
        <v>7.28</v>
      </c>
      <c r="L341" s="30">
        <f>AVERAGE(J$3:J341)</f>
        <v>7.5274336283185797</v>
      </c>
      <c r="M341" s="31">
        <f t="shared" si="41"/>
        <v>0.37557634868118733</v>
      </c>
      <c r="N341" s="31">
        <f t="shared" si="42"/>
        <v>0.37557634868118728</v>
      </c>
      <c r="O341" s="31">
        <f t="shared" si="43"/>
        <v>0.34301074422441974</v>
      </c>
      <c r="P341" s="109">
        <f t="shared" si="44"/>
        <v>70.2</v>
      </c>
      <c r="Q341" s="28">
        <f>AVERAGE($P$337:P341)</f>
        <v>70.2</v>
      </c>
      <c r="R341" s="81">
        <f>AVERAGE($P$3:P341)</f>
        <v>61.671844660194488</v>
      </c>
      <c r="S341">
        <f t="shared" si="46"/>
        <v>5</v>
      </c>
      <c r="T341">
        <f t="shared" si="48"/>
        <v>309</v>
      </c>
    </row>
    <row r="342" spans="2:20">
      <c r="B342" s="27">
        <f t="shared" si="47"/>
        <v>45722</v>
      </c>
      <c r="C342" s="28">
        <f>YEAR(Modelling[[#This Row],[Date]])+IF(MONTH(Modelling[[#This Row],[Date]])&gt;=4,1,0)</f>
        <v>2025</v>
      </c>
      <c r="D342" s="22">
        <f t="shared" si="45"/>
        <v>2025</v>
      </c>
      <c r="E342" s="29">
        <v>44986</v>
      </c>
      <c r="F342" s="22">
        <f>DAY(EOMONTH(Modelling[[#This Row],[Date]],0))</f>
        <v>31</v>
      </c>
      <c r="G342" s="28">
        <f>VLOOKUP(MONTH(Modelling[[#This Row],[Date]]),$W$3:$Z$14,4,0)/1000/Modelling[[#This Row],[Days]]</f>
        <v>632.77103225806445</v>
      </c>
      <c r="H342" s="28">
        <f>SUM($G$337:G342)</f>
        <v>3796.6261935483863</v>
      </c>
      <c r="I342" s="28">
        <f>SUM($G$3:G342)</f>
        <v>157511.61619354869</v>
      </c>
      <c r="J342" s="30">
        <f>VLOOKUP(MONTH(Modelling[[#This Row],[Date]]),$W$3:$Y$14,3,0)</f>
        <v>7.28</v>
      </c>
      <c r="K342" s="30">
        <f>VLOOKUP(MONTH(Modelling[[#This Row],[Date]]),$W$3:$Y$14,3,0)</f>
        <v>7.28</v>
      </c>
      <c r="L342" s="30">
        <f>AVERAGE(J$3:J342)</f>
        <v>7.5267058823529371</v>
      </c>
      <c r="M342" s="31">
        <f t="shared" si="41"/>
        <v>0.37557634868118733</v>
      </c>
      <c r="N342" s="31">
        <f t="shared" si="42"/>
        <v>0.37557634868118728</v>
      </c>
      <c r="O342" s="31">
        <f t="shared" si="43"/>
        <v>0.34313026789972684</v>
      </c>
      <c r="P342" s="109">
        <f t="shared" si="44"/>
        <v>70.2</v>
      </c>
      <c r="Q342" s="28">
        <f>AVERAGE($P$337:P342)</f>
        <v>70.2</v>
      </c>
      <c r="R342" s="81">
        <f>AVERAGE($P$3:P342)</f>
        <v>61.699354838709993</v>
      </c>
      <c r="S342">
        <f t="shared" si="46"/>
        <v>6</v>
      </c>
      <c r="T342">
        <f t="shared" si="48"/>
        <v>310</v>
      </c>
    </row>
    <row r="343" spans="2:20">
      <c r="B343" s="27">
        <f t="shared" si="47"/>
        <v>45723</v>
      </c>
      <c r="C343" s="28">
        <f>YEAR(Modelling[[#This Row],[Date]])+IF(MONTH(Modelling[[#This Row],[Date]])&gt;=4,1,0)</f>
        <v>2025</v>
      </c>
      <c r="D343" s="22">
        <f t="shared" si="45"/>
        <v>2025</v>
      </c>
      <c r="E343" s="29">
        <v>44986</v>
      </c>
      <c r="F343" s="22">
        <f>DAY(EOMONTH(Modelling[[#This Row],[Date]],0))</f>
        <v>31</v>
      </c>
      <c r="G343" s="28">
        <f>VLOOKUP(MONTH(Modelling[[#This Row],[Date]]),$W$3:$Z$14,4,0)/1000/Modelling[[#This Row],[Days]]</f>
        <v>632.77103225806445</v>
      </c>
      <c r="H343" s="28">
        <f>SUM($G$337:G343)</f>
        <v>4429.3972258064505</v>
      </c>
      <c r="I343" s="28">
        <f>SUM($G$3:G343)</f>
        <v>158144.38722580674</v>
      </c>
      <c r="J343" s="30">
        <f>VLOOKUP(MONTH(Modelling[[#This Row],[Date]]),$W$3:$Y$14,3,0)</f>
        <v>7.28</v>
      </c>
      <c r="K343" s="30">
        <f>VLOOKUP(MONTH(Modelling[[#This Row],[Date]]),$W$3:$Y$14,3,0)</f>
        <v>7.28</v>
      </c>
      <c r="L343" s="30">
        <f>AVERAGE(J$3:J343)</f>
        <v>7.5259824046920789</v>
      </c>
      <c r="M343" s="31">
        <f t="shared" si="41"/>
        <v>0.37557634868118733</v>
      </c>
      <c r="N343" s="31">
        <f t="shared" si="42"/>
        <v>0.37557634868118728</v>
      </c>
      <c r="O343" s="31">
        <f t="shared" si="43"/>
        <v>0.34324891742157182</v>
      </c>
      <c r="P343" s="109">
        <f t="shared" si="44"/>
        <v>70.2</v>
      </c>
      <c r="Q343" s="28">
        <f>AVERAGE($P$337:P343)</f>
        <v>70.2</v>
      </c>
      <c r="R343" s="81">
        <f>AVERAGE($P$3:P343)</f>
        <v>61.726688102894208</v>
      </c>
      <c r="S343">
        <f t="shared" si="46"/>
        <v>7</v>
      </c>
      <c r="T343">
        <f t="shared" si="48"/>
        <v>311</v>
      </c>
    </row>
    <row r="344" spans="2:20">
      <c r="B344" s="27">
        <f t="shared" si="47"/>
        <v>45724</v>
      </c>
      <c r="C344" s="28">
        <f>YEAR(Modelling[[#This Row],[Date]])+IF(MONTH(Modelling[[#This Row],[Date]])&gt;=4,1,0)</f>
        <v>2025</v>
      </c>
      <c r="D344" s="22">
        <f t="shared" si="45"/>
        <v>2025</v>
      </c>
      <c r="E344" s="29">
        <v>44986</v>
      </c>
      <c r="F344" s="22">
        <f>DAY(EOMONTH(Modelling[[#This Row],[Date]],0))</f>
        <v>31</v>
      </c>
      <c r="G344" s="28">
        <f>VLOOKUP(MONTH(Modelling[[#This Row],[Date]]),$W$3:$Z$14,4,0)/1000/Modelling[[#This Row],[Days]]</f>
        <v>632.77103225806445</v>
      </c>
      <c r="H344" s="28">
        <f>SUM($G$337:G344)</f>
        <v>5062.1682580645147</v>
      </c>
      <c r="I344" s="28">
        <f>SUM($G$3:G344)</f>
        <v>158777.1582580648</v>
      </c>
      <c r="J344" s="30">
        <f>VLOOKUP(MONTH(Modelling[[#This Row],[Date]]),$W$3:$Y$14,3,0)</f>
        <v>7.28</v>
      </c>
      <c r="K344" s="30">
        <f>VLOOKUP(MONTH(Modelling[[#This Row],[Date]]),$W$3:$Y$14,3,0)</f>
        <v>7.28</v>
      </c>
      <c r="L344" s="30">
        <f>AVERAGE(J$3:J344)</f>
        <v>7.5252631578947335</v>
      </c>
      <c r="M344" s="31">
        <f t="shared" si="41"/>
        <v>0.37557634868118733</v>
      </c>
      <c r="N344" s="31">
        <f t="shared" si="42"/>
        <v>0.37557634868118728</v>
      </c>
      <c r="O344" s="31">
        <f t="shared" si="43"/>
        <v>0.34336670234488315</v>
      </c>
      <c r="P344" s="109">
        <f t="shared" si="44"/>
        <v>70.2</v>
      </c>
      <c r="Q344" s="28">
        <f>AVERAGE($P$337:P344)</f>
        <v>70.2</v>
      </c>
      <c r="R344" s="81">
        <f>AVERAGE($P$3:P344)</f>
        <v>61.753846153846474</v>
      </c>
      <c r="S344">
        <f t="shared" si="46"/>
        <v>8</v>
      </c>
      <c r="T344">
        <f t="shared" si="48"/>
        <v>312</v>
      </c>
    </row>
    <row r="345" spans="2:20">
      <c r="B345" s="27">
        <f t="shared" si="47"/>
        <v>45725</v>
      </c>
      <c r="C345" s="28">
        <f>YEAR(Modelling[[#This Row],[Date]])+IF(MONTH(Modelling[[#This Row],[Date]])&gt;=4,1,0)</f>
        <v>2025</v>
      </c>
      <c r="D345" s="22">
        <f t="shared" si="45"/>
        <v>2025</v>
      </c>
      <c r="E345" s="29">
        <v>44986</v>
      </c>
      <c r="F345" s="22">
        <f>DAY(EOMONTH(Modelling[[#This Row],[Date]],0))</f>
        <v>31</v>
      </c>
      <c r="G345" s="28">
        <f>VLOOKUP(MONTH(Modelling[[#This Row],[Date]]),$W$3:$Z$14,4,0)/1000/Modelling[[#This Row],[Days]]</f>
        <v>632.77103225806445</v>
      </c>
      <c r="H345" s="28">
        <f>SUM($G$337:G345)</f>
        <v>5694.9392903225789</v>
      </c>
      <c r="I345" s="28">
        <f>SUM($G$3:G345)</f>
        <v>159409.92929032285</v>
      </c>
      <c r="J345" s="30">
        <f>VLOOKUP(MONTH(Modelling[[#This Row],[Date]]),$W$3:$Y$14,3,0)</f>
        <v>7.28</v>
      </c>
      <c r="K345" s="30">
        <f>VLOOKUP(MONTH(Modelling[[#This Row],[Date]]),$W$3:$Y$14,3,0)</f>
        <v>7.28</v>
      </c>
      <c r="L345" s="30">
        <f>AVERAGE(J$3:J345)</f>
        <v>7.5245481049562661</v>
      </c>
      <c r="M345" s="31">
        <f t="shared" si="41"/>
        <v>0.37557634868118733</v>
      </c>
      <c r="N345" s="31">
        <f t="shared" si="42"/>
        <v>0.37557634868118728</v>
      </c>
      <c r="O345" s="31">
        <f t="shared" si="43"/>
        <v>0.34348363208584148</v>
      </c>
      <c r="P345" s="109">
        <f t="shared" si="44"/>
        <v>70.2</v>
      </c>
      <c r="Q345" s="28">
        <f>AVERAGE($P$337:P345)</f>
        <v>70.2</v>
      </c>
      <c r="R345" s="81">
        <f>AVERAGE($P$3:P345)</f>
        <v>61.780830670926839</v>
      </c>
      <c r="S345">
        <f t="shared" si="46"/>
        <v>9</v>
      </c>
      <c r="T345">
        <f t="shared" si="48"/>
        <v>313</v>
      </c>
    </row>
    <row r="346" spans="2:20">
      <c r="B346" s="27">
        <f t="shared" si="47"/>
        <v>45726</v>
      </c>
      <c r="C346" s="28">
        <f>YEAR(Modelling[[#This Row],[Date]])+IF(MONTH(Modelling[[#This Row],[Date]])&gt;=4,1,0)</f>
        <v>2025</v>
      </c>
      <c r="D346" s="22">
        <f t="shared" si="45"/>
        <v>2025</v>
      </c>
      <c r="E346" s="29">
        <v>44986</v>
      </c>
      <c r="F346" s="22">
        <f>DAY(EOMONTH(Modelling[[#This Row],[Date]],0))</f>
        <v>31</v>
      </c>
      <c r="G346" s="28">
        <f>VLOOKUP(MONTH(Modelling[[#This Row],[Date]]),$W$3:$Z$14,4,0)/1000/Modelling[[#This Row],[Days]]</f>
        <v>632.77103225806445</v>
      </c>
      <c r="H346" s="28">
        <f>SUM($G$337:G346)</f>
        <v>6327.7103225806432</v>
      </c>
      <c r="I346" s="28">
        <f>SUM($G$3:G346)</f>
        <v>160042.7003225809</v>
      </c>
      <c r="J346" s="30">
        <f>VLOOKUP(MONTH(Modelling[[#This Row],[Date]]),$W$3:$Y$14,3,0)</f>
        <v>7.28</v>
      </c>
      <c r="K346" s="30">
        <f>VLOOKUP(MONTH(Modelling[[#This Row],[Date]]),$W$3:$Y$14,3,0)</f>
        <v>7.28</v>
      </c>
      <c r="L346" s="30">
        <f>AVERAGE(J$3:J346)</f>
        <v>7.5238372093023234</v>
      </c>
      <c r="M346" s="31">
        <f t="shared" si="41"/>
        <v>0.37557634868118733</v>
      </c>
      <c r="N346" s="31">
        <f t="shared" si="42"/>
        <v>0.37557634868118717</v>
      </c>
      <c r="O346" s="31">
        <f t="shared" si="43"/>
        <v>0.34359971592438887</v>
      </c>
      <c r="P346" s="109">
        <f t="shared" si="44"/>
        <v>70.2</v>
      </c>
      <c r="Q346" s="28">
        <f>AVERAGE($P$337:P346)</f>
        <v>70.200000000000017</v>
      </c>
      <c r="R346" s="81">
        <f>AVERAGE($P$3:P346)</f>
        <v>61.807643312102229</v>
      </c>
      <c r="S346">
        <f t="shared" si="46"/>
        <v>10</v>
      </c>
      <c r="T346">
        <f t="shared" si="48"/>
        <v>314</v>
      </c>
    </row>
    <row r="347" spans="2:20">
      <c r="B347" s="27">
        <f t="shared" si="47"/>
        <v>45727</v>
      </c>
      <c r="C347" s="28">
        <f>YEAR(Modelling[[#This Row],[Date]])+IF(MONTH(Modelling[[#This Row],[Date]])&gt;=4,1,0)</f>
        <v>2025</v>
      </c>
      <c r="D347" s="22">
        <f t="shared" si="45"/>
        <v>2025</v>
      </c>
      <c r="E347" s="29">
        <v>44986</v>
      </c>
      <c r="F347" s="22">
        <f>DAY(EOMONTH(Modelling[[#This Row],[Date]],0))</f>
        <v>31</v>
      </c>
      <c r="G347" s="28">
        <f>VLOOKUP(MONTH(Modelling[[#This Row],[Date]]),$W$3:$Z$14,4,0)/1000/Modelling[[#This Row],[Days]]</f>
        <v>632.77103225806445</v>
      </c>
      <c r="H347" s="28">
        <f>SUM($G$337:G347)</f>
        <v>6960.4813548387074</v>
      </c>
      <c r="I347" s="28">
        <f>SUM($G$3:G347)</f>
        <v>160675.47135483896</v>
      </c>
      <c r="J347" s="30">
        <f>VLOOKUP(MONTH(Modelling[[#This Row],[Date]]),$W$3:$Y$14,3,0)</f>
        <v>7.28</v>
      </c>
      <c r="K347" s="30">
        <f>VLOOKUP(MONTH(Modelling[[#This Row],[Date]]),$W$3:$Y$14,3,0)</f>
        <v>7.28</v>
      </c>
      <c r="L347" s="30">
        <f>AVERAGE(J$3:J347)</f>
        <v>7.5231304347826073</v>
      </c>
      <c r="M347" s="31">
        <f t="shared" si="41"/>
        <v>0.37557634868118733</v>
      </c>
      <c r="N347" s="31">
        <f t="shared" si="42"/>
        <v>0.37557634868118717</v>
      </c>
      <c r="O347" s="31">
        <f t="shared" si="43"/>
        <v>0.34371496300668397</v>
      </c>
      <c r="P347" s="109">
        <f t="shared" si="44"/>
        <v>70.2</v>
      </c>
      <c r="Q347" s="28">
        <f>AVERAGE($P$337:P347)</f>
        <v>70.200000000000017</v>
      </c>
      <c r="R347" s="81">
        <f>AVERAGE($P$3:P347)</f>
        <v>61.834285714286032</v>
      </c>
      <c r="S347">
        <f t="shared" si="46"/>
        <v>11</v>
      </c>
      <c r="T347">
        <f t="shared" si="48"/>
        <v>315</v>
      </c>
    </row>
    <row r="348" spans="2:20">
      <c r="B348" s="27">
        <f t="shared" si="47"/>
        <v>45728</v>
      </c>
      <c r="C348" s="28">
        <f>YEAR(Modelling[[#This Row],[Date]])+IF(MONTH(Modelling[[#This Row],[Date]])&gt;=4,1,0)</f>
        <v>2025</v>
      </c>
      <c r="D348" s="22">
        <f t="shared" si="45"/>
        <v>2025</v>
      </c>
      <c r="E348" s="29">
        <v>44986</v>
      </c>
      <c r="F348" s="22">
        <f>DAY(EOMONTH(Modelling[[#This Row],[Date]],0))</f>
        <v>31</v>
      </c>
      <c r="G348" s="28">
        <f>VLOOKUP(MONTH(Modelling[[#This Row],[Date]]),$W$3:$Z$14,4,0)/1000/Modelling[[#This Row],[Days]]</f>
        <v>632.77103225806445</v>
      </c>
      <c r="H348" s="28">
        <f>SUM($G$337:G348)</f>
        <v>7593.2523870967716</v>
      </c>
      <c r="I348" s="28">
        <f>SUM($G$3:G348)</f>
        <v>161308.24238709701</v>
      </c>
      <c r="J348" s="30">
        <f>VLOOKUP(MONTH(Modelling[[#This Row],[Date]]),$W$3:$Y$14,3,0)</f>
        <v>7.28</v>
      </c>
      <c r="K348" s="30">
        <f>VLOOKUP(MONTH(Modelling[[#This Row],[Date]]),$W$3:$Y$14,3,0)</f>
        <v>7.28</v>
      </c>
      <c r="L348" s="30">
        <f>AVERAGE(J$3:J348)</f>
        <v>7.5224277456647393</v>
      </c>
      <c r="M348" s="31">
        <f t="shared" si="41"/>
        <v>0.37557634868118733</v>
      </c>
      <c r="N348" s="31">
        <f t="shared" si="42"/>
        <v>0.37557634868118717</v>
      </c>
      <c r="O348" s="31">
        <f t="shared" si="43"/>
        <v>0.34382938234750393</v>
      </c>
      <c r="P348" s="109">
        <f t="shared" si="44"/>
        <v>70.2</v>
      </c>
      <c r="Q348" s="28">
        <f>AVERAGE($P$337:P348)</f>
        <v>70.200000000000017</v>
      </c>
      <c r="R348" s="81">
        <f>AVERAGE($P$3:P348)</f>
        <v>61.86075949367121</v>
      </c>
      <c r="S348">
        <f t="shared" si="46"/>
        <v>12</v>
      </c>
      <c r="T348">
        <f t="shared" si="48"/>
        <v>316</v>
      </c>
    </row>
    <row r="349" spans="2:20">
      <c r="B349" s="27">
        <f t="shared" si="47"/>
        <v>45729</v>
      </c>
      <c r="C349" s="28">
        <f>YEAR(Modelling[[#This Row],[Date]])+IF(MONTH(Modelling[[#This Row],[Date]])&gt;=4,1,0)</f>
        <v>2025</v>
      </c>
      <c r="D349" s="22">
        <f t="shared" si="45"/>
        <v>2025</v>
      </c>
      <c r="E349" s="29">
        <v>44986</v>
      </c>
      <c r="F349" s="22">
        <f>DAY(EOMONTH(Modelling[[#This Row],[Date]],0))</f>
        <v>31</v>
      </c>
      <c r="G349" s="28">
        <f>VLOOKUP(MONTH(Modelling[[#This Row],[Date]]),$W$3:$Z$14,4,0)/1000/Modelling[[#This Row],[Days]]</f>
        <v>632.77103225806445</v>
      </c>
      <c r="H349" s="28">
        <f>SUM($G$337:G349)</f>
        <v>8226.0234193548367</v>
      </c>
      <c r="I349" s="28">
        <f>SUM($G$3:G349)</f>
        <v>161941.01341935506</v>
      </c>
      <c r="J349" s="30">
        <f>VLOOKUP(MONTH(Modelling[[#This Row],[Date]]),$W$3:$Y$14,3,0)</f>
        <v>7.28</v>
      </c>
      <c r="K349" s="30">
        <f>VLOOKUP(MONTH(Modelling[[#This Row],[Date]]),$W$3:$Y$14,3,0)</f>
        <v>7.28</v>
      </c>
      <c r="L349" s="30">
        <f>AVERAGE(J$3:J349)</f>
        <v>7.5217291066282419</v>
      </c>
      <c r="M349" s="31">
        <f t="shared" si="41"/>
        <v>0.37557634868118733</v>
      </c>
      <c r="N349" s="31">
        <f t="shared" si="42"/>
        <v>0.37557634868118722</v>
      </c>
      <c r="O349" s="31">
        <f t="shared" si="43"/>
        <v>0.34394298283259556</v>
      </c>
      <c r="P349" s="109">
        <f t="shared" si="44"/>
        <v>70.2</v>
      </c>
      <c r="Q349" s="28">
        <f>AVERAGE($P$337:P349)</f>
        <v>70.200000000000017</v>
      </c>
      <c r="R349" s="81">
        <f>AVERAGE($P$3:P349)</f>
        <v>61.887066246057103</v>
      </c>
      <c r="S349">
        <f t="shared" si="46"/>
        <v>13</v>
      </c>
      <c r="T349">
        <f t="shared" si="48"/>
        <v>317</v>
      </c>
    </row>
    <row r="350" spans="2:20">
      <c r="B350" s="27">
        <f t="shared" si="47"/>
        <v>45730</v>
      </c>
      <c r="C350" s="28">
        <f>YEAR(Modelling[[#This Row],[Date]])+IF(MONTH(Modelling[[#This Row],[Date]])&gt;=4,1,0)</f>
        <v>2025</v>
      </c>
      <c r="D350" s="22">
        <f t="shared" si="45"/>
        <v>2025</v>
      </c>
      <c r="E350" s="29">
        <v>44986</v>
      </c>
      <c r="F350" s="22">
        <f>DAY(EOMONTH(Modelling[[#This Row],[Date]],0))</f>
        <v>31</v>
      </c>
      <c r="G350" s="28">
        <f>VLOOKUP(MONTH(Modelling[[#This Row],[Date]]),$W$3:$Z$14,4,0)/1000/Modelling[[#This Row],[Days]]</f>
        <v>632.77103225806445</v>
      </c>
      <c r="H350" s="28">
        <f>SUM($G$337:G350)</f>
        <v>8858.794451612901</v>
      </c>
      <c r="I350" s="28">
        <f>SUM($G$3:G350)</f>
        <v>162573.78445161312</v>
      </c>
      <c r="J350" s="30">
        <f>VLOOKUP(MONTH(Modelling[[#This Row],[Date]]),$W$3:$Y$14,3,0)</f>
        <v>7.28</v>
      </c>
      <c r="K350" s="30">
        <f>VLOOKUP(MONTH(Modelling[[#This Row],[Date]]),$W$3:$Y$14,3,0)</f>
        <v>7.28</v>
      </c>
      <c r="L350" s="30">
        <f>AVERAGE(J$3:J350)</f>
        <v>7.5210344827586209</v>
      </c>
      <c r="M350" s="31">
        <f t="shared" si="41"/>
        <v>0.37557634868118733</v>
      </c>
      <c r="N350" s="31">
        <f t="shared" si="42"/>
        <v>0.37557634868118722</v>
      </c>
      <c r="O350" s="31">
        <f t="shared" si="43"/>
        <v>0.34405577322097503</v>
      </c>
      <c r="P350" s="109">
        <f t="shared" si="44"/>
        <v>70.2</v>
      </c>
      <c r="Q350" s="28">
        <f>AVERAGE($P$337:P350)</f>
        <v>70.200000000000017</v>
      </c>
      <c r="R350" s="81">
        <f>AVERAGE($P$3:P350)</f>
        <v>61.913207547170138</v>
      </c>
      <c r="S350">
        <f t="shared" si="46"/>
        <v>14</v>
      </c>
      <c r="T350">
        <f t="shared" si="48"/>
        <v>318</v>
      </c>
    </row>
    <row r="351" spans="2:20">
      <c r="B351" s="27">
        <f t="shared" si="47"/>
        <v>45731</v>
      </c>
      <c r="C351" s="28">
        <f>YEAR(Modelling[[#This Row],[Date]])+IF(MONTH(Modelling[[#This Row],[Date]])&gt;=4,1,0)</f>
        <v>2025</v>
      </c>
      <c r="D351" s="22">
        <f t="shared" si="45"/>
        <v>2025</v>
      </c>
      <c r="E351" s="29">
        <v>44986</v>
      </c>
      <c r="F351" s="22">
        <f>DAY(EOMONTH(Modelling[[#This Row],[Date]],0))</f>
        <v>31</v>
      </c>
      <c r="G351" s="28">
        <f>VLOOKUP(MONTH(Modelling[[#This Row],[Date]]),$W$3:$Z$14,4,0)/1000/Modelling[[#This Row],[Days]]</f>
        <v>632.77103225806445</v>
      </c>
      <c r="H351" s="28">
        <f>SUM($G$337:G351)</f>
        <v>9491.5654838709652</v>
      </c>
      <c r="I351" s="28">
        <f>SUM($G$3:G351)</f>
        <v>163206.55548387117</v>
      </c>
      <c r="J351" s="30">
        <f>VLOOKUP(MONTH(Modelling[[#This Row],[Date]]),$W$3:$Y$14,3,0)</f>
        <v>7.28</v>
      </c>
      <c r="K351" s="30">
        <f>VLOOKUP(MONTH(Modelling[[#This Row],[Date]]),$W$3:$Y$14,3,0)</f>
        <v>7.28</v>
      </c>
      <c r="L351" s="30">
        <f>AVERAGE(J$3:J351)</f>
        <v>7.5203438395415487</v>
      </c>
      <c r="M351" s="31">
        <f t="shared" si="41"/>
        <v>0.37557634868118733</v>
      </c>
      <c r="N351" s="31">
        <f t="shared" si="42"/>
        <v>0.37557634868118722</v>
      </c>
      <c r="O351" s="31">
        <f t="shared" si="43"/>
        <v>0.34416776214717965</v>
      </c>
      <c r="P351" s="109">
        <f t="shared" si="44"/>
        <v>70.2</v>
      </c>
      <c r="Q351" s="28">
        <f>AVERAGE($P$337:P351)</f>
        <v>70.200000000000017</v>
      </c>
      <c r="R351" s="81">
        <f>AVERAGE($P$3:P351)</f>
        <v>61.93918495297838</v>
      </c>
      <c r="S351">
        <f t="shared" si="46"/>
        <v>15</v>
      </c>
      <c r="T351">
        <f t="shared" si="48"/>
        <v>319</v>
      </c>
    </row>
    <row r="352" spans="2:20">
      <c r="B352" s="27">
        <f t="shared" si="47"/>
        <v>45732</v>
      </c>
      <c r="C352" s="28">
        <f>YEAR(Modelling[[#This Row],[Date]])+IF(MONTH(Modelling[[#This Row],[Date]])&gt;=4,1,0)</f>
        <v>2025</v>
      </c>
      <c r="D352" s="22">
        <f t="shared" si="45"/>
        <v>2025</v>
      </c>
      <c r="E352" s="29">
        <v>44986</v>
      </c>
      <c r="F352" s="22">
        <f>DAY(EOMONTH(Modelling[[#This Row],[Date]],0))</f>
        <v>31</v>
      </c>
      <c r="G352" s="28">
        <f>VLOOKUP(MONTH(Modelling[[#This Row],[Date]]),$W$3:$Z$14,4,0)/1000/Modelling[[#This Row],[Days]]</f>
        <v>632.77103225806445</v>
      </c>
      <c r="H352" s="28">
        <f>SUM($G$337:G352)</f>
        <v>10124.336516129029</v>
      </c>
      <c r="I352" s="28">
        <f>SUM($G$3:G352)</f>
        <v>163839.32651612922</v>
      </c>
      <c r="J352" s="30">
        <f>VLOOKUP(MONTH(Modelling[[#This Row],[Date]]),$W$3:$Y$14,3,0)</f>
        <v>7.28</v>
      </c>
      <c r="K352" s="30">
        <f>VLOOKUP(MONTH(Modelling[[#This Row],[Date]]),$W$3:$Y$14,3,0)</f>
        <v>7.28</v>
      </c>
      <c r="L352" s="30">
        <f>AVERAGE(J$3:J352)</f>
        <v>7.5196571428571444</v>
      </c>
      <c r="M352" s="31">
        <f t="shared" si="41"/>
        <v>0.37557634868118733</v>
      </c>
      <c r="N352" s="31">
        <f t="shared" si="42"/>
        <v>0.37557634868118722</v>
      </c>
      <c r="O352" s="31">
        <f t="shared" si="43"/>
        <v>0.34427895812347098</v>
      </c>
      <c r="P352" s="109">
        <f t="shared" si="44"/>
        <v>70.2</v>
      </c>
      <c r="Q352" s="28">
        <f>AVERAGE($P$337:P352)</f>
        <v>70.200000000000017</v>
      </c>
      <c r="R352" s="81">
        <f>AVERAGE($P$3:P352)</f>
        <v>61.96500000000033</v>
      </c>
      <c r="S352">
        <f t="shared" si="46"/>
        <v>16</v>
      </c>
      <c r="T352">
        <f t="shared" si="48"/>
        <v>320</v>
      </c>
    </row>
    <row r="353" spans="2:20">
      <c r="B353" s="27">
        <f t="shared" si="47"/>
        <v>45733</v>
      </c>
      <c r="C353" s="28">
        <f>YEAR(Modelling[[#This Row],[Date]])+IF(MONTH(Modelling[[#This Row],[Date]])&gt;=4,1,0)</f>
        <v>2025</v>
      </c>
      <c r="D353" s="22">
        <f t="shared" si="45"/>
        <v>2025</v>
      </c>
      <c r="E353" s="29">
        <v>44986</v>
      </c>
      <c r="F353" s="22">
        <f>DAY(EOMONTH(Modelling[[#This Row],[Date]],0))</f>
        <v>31</v>
      </c>
      <c r="G353" s="28">
        <f>VLOOKUP(MONTH(Modelling[[#This Row],[Date]]),$W$3:$Z$14,4,0)/1000/Modelling[[#This Row],[Days]]</f>
        <v>632.77103225806445</v>
      </c>
      <c r="H353" s="28">
        <f>SUM($G$337:G353)</f>
        <v>10757.107548387094</v>
      </c>
      <c r="I353" s="28">
        <f>SUM($G$3:G353)</f>
        <v>164472.09754838728</v>
      </c>
      <c r="J353" s="30">
        <f>VLOOKUP(MONTH(Modelling[[#This Row],[Date]]),$W$3:$Y$14,3,0)</f>
        <v>7.28</v>
      </c>
      <c r="K353" s="30">
        <f>VLOOKUP(MONTH(Modelling[[#This Row],[Date]]),$W$3:$Y$14,3,0)</f>
        <v>7.28</v>
      </c>
      <c r="L353" s="30">
        <f>AVERAGE(J$3:J353)</f>
        <v>7.5189743589743614</v>
      </c>
      <c r="M353" s="31">
        <f t="shared" si="41"/>
        <v>0.37557634868118733</v>
      </c>
      <c r="N353" s="31">
        <f t="shared" si="42"/>
        <v>0.37557634868118722</v>
      </c>
      <c r="O353" s="31">
        <f t="shared" si="43"/>
        <v>0.34438936954199206</v>
      </c>
      <c r="P353" s="109">
        <f t="shared" si="44"/>
        <v>70.2</v>
      </c>
      <c r="Q353" s="28">
        <f>AVERAGE($P$337:P353)</f>
        <v>70.200000000000017</v>
      </c>
      <c r="R353" s="81">
        <f>AVERAGE($P$3:P353)</f>
        <v>61.990654205607804</v>
      </c>
      <c r="S353">
        <f t="shared" si="46"/>
        <v>17</v>
      </c>
      <c r="T353">
        <f t="shared" si="48"/>
        <v>321</v>
      </c>
    </row>
    <row r="354" spans="2:20">
      <c r="B354" s="27">
        <f t="shared" si="47"/>
        <v>45734</v>
      </c>
      <c r="C354" s="28">
        <f>YEAR(Modelling[[#This Row],[Date]])+IF(MONTH(Modelling[[#This Row],[Date]])&gt;=4,1,0)</f>
        <v>2025</v>
      </c>
      <c r="D354" s="22">
        <f t="shared" si="45"/>
        <v>2025</v>
      </c>
      <c r="E354" s="29">
        <v>44986</v>
      </c>
      <c r="F354" s="22">
        <f>DAY(EOMONTH(Modelling[[#This Row],[Date]],0))</f>
        <v>31</v>
      </c>
      <c r="G354" s="28">
        <f>VLOOKUP(MONTH(Modelling[[#This Row],[Date]]),$W$3:$Z$14,4,0)/1000/Modelling[[#This Row],[Days]]</f>
        <v>632.77103225806445</v>
      </c>
      <c r="H354" s="28">
        <f>SUM($G$337:G354)</f>
        <v>11389.878580645158</v>
      </c>
      <c r="I354" s="28">
        <f>SUM($G$3:G354)</f>
        <v>165104.86858064533</v>
      </c>
      <c r="J354" s="30">
        <f>VLOOKUP(MONTH(Modelling[[#This Row],[Date]]),$W$3:$Y$14,3,0)</f>
        <v>7.28</v>
      </c>
      <c r="K354" s="30">
        <f>VLOOKUP(MONTH(Modelling[[#This Row],[Date]]),$W$3:$Y$14,3,0)</f>
        <v>7.28</v>
      </c>
      <c r="L354" s="30">
        <f>AVERAGE(J$3:J354)</f>
        <v>7.5182954545454574</v>
      </c>
      <c r="M354" s="31">
        <f t="shared" si="41"/>
        <v>0.37557634868118733</v>
      </c>
      <c r="N354" s="31">
        <f t="shared" si="42"/>
        <v>0.37557634868118722</v>
      </c>
      <c r="O354" s="31">
        <f t="shared" si="43"/>
        <v>0.34449900467687833</v>
      </c>
      <c r="P354" s="109">
        <f t="shared" si="44"/>
        <v>70.2</v>
      </c>
      <c r="Q354" s="28">
        <f>AVERAGE($P$337:P354)</f>
        <v>70.200000000000017</v>
      </c>
      <c r="R354" s="81">
        <f>AVERAGE($P$3:P354)</f>
        <v>62.016149068323308</v>
      </c>
      <c r="S354">
        <f t="shared" si="46"/>
        <v>18</v>
      </c>
      <c r="T354">
        <f t="shared" si="48"/>
        <v>322</v>
      </c>
    </row>
    <row r="355" spans="2:20">
      <c r="B355" s="27">
        <f t="shared" si="47"/>
        <v>45735</v>
      </c>
      <c r="C355" s="28">
        <f>YEAR(Modelling[[#This Row],[Date]])+IF(MONTH(Modelling[[#This Row],[Date]])&gt;=4,1,0)</f>
        <v>2025</v>
      </c>
      <c r="D355" s="22">
        <f t="shared" si="45"/>
        <v>2025</v>
      </c>
      <c r="E355" s="29">
        <v>44986</v>
      </c>
      <c r="F355" s="22">
        <f>DAY(EOMONTH(Modelling[[#This Row],[Date]],0))</f>
        <v>31</v>
      </c>
      <c r="G355" s="28">
        <f>VLOOKUP(MONTH(Modelling[[#This Row],[Date]]),$W$3:$Z$14,4,0)/1000/Modelling[[#This Row],[Days]]</f>
        <v>632.77103225806445</v>
      </c>
      <c r="H355" s="28">
        <f>SUM($G$337:G355)</f>
        <v>12022.649612903222</v>
      </c>
      <c r="I355" s="28">
        <f>SUM($G$3:G355)</f>
        <v>165737.63961290338</v>
      </c>
      <c r="J355" s="30">
        <f>VLOOKUP(MONTH(Modelling[[#This Row],[Date]]),$W$3:$Y$14,3,0)</f>
        <v>7.28</v>
      </c>
      <c r="K355" s="30">
        <f>VLOOKUP(MONTH(Modelling[[#This Row],[Date]]),$W$3:$Y$14,3,0)</f>
        <v>7.28</v>
      </c>
      <c r="L355" s="30">
        <f>AVERAGE(J$3:J355)</f>
        <v>7.5176203966005701</v>
      </c>
      <c r="M355" s="31">
        <f t="shared" si="41"/>
        <v>0.37557634868118733</v>
      </c>
      <c r="N355" s="31">
        <f t="shared" si="42"/>
        <v>0.37557634868118717</v>
      </c>
      <c r="O355" s="31">
        <f t="shared" si="43"/>
        <v>0.34460787168632478</v>
      </c>
      <c r="P355" s="109">
        <f t="shared" si="44"/>
        <v>70.2</v>
      </c>
      <c r="Q355" s="28">
        <f>AVERAGE($P$337:P355)</f>
        <v>70.200000000000017</v>
      </c>
      <c r="R355" s="81">
        <f>AVERAGE($P$3:P355)</f>
        <v>62.041486068111787</v>
      </c>
      <c r="S355">
        <f t="shared" si="46"/>
        <v>19</v>
      </c>
      <c r="T355">
        <f t="shared" si="48"/>
        <v>323</v>
      </c>
    </row>
    <row r="356" spans="2:20">
      <c r="B356" s="27">
        <f t="shared" si="47"/>
        <v>45736</v>
      </c>
      <c r="C356" s="28">
        <f>YEAR(Modelling[[#This Row],[Date]])+IF(MONTH(Modelling[[#This Row],[Date]])&gt;=4,1,0)</f>
        <v>2025</v>
      </c>
      <c r="D356" s="22">
        <f t="shared" si="45"/>
        <v>2025</v>
      </c>
      <c r="E356" s="29">
        <v>44986</v>
      </c>
      <c r="F356" s="22">
        <f>DAY(EOMONTH(Modelling[[#This Row],[Date]],0))</f>
        <v>31</v>
      </c>
      <c r="G356" s="28">
        <f>VLOOKUP(MONTH(Modelling[[#This Row],[Date]]),$W$3:$Z$14,4,0)/1000/Modelling[[#This Row],[Days]]</f>
        <v>632.77103225806445</v>
      </c>
      <c r="H356" s="28">
        <f>SUM($G$337:G356)</f>
        <v>12655.420645161286</v>
      </c>
      <c r="I356" s="28">
        <f>SUM($G$3:G356)</f>
        <v>166370.41064516144</v>
      </c>
      <c r="J356" s="30">
        <f>VLOOKUP(MONTH(Modelling[[#This Row],[Date]]),$W$3:$Y$14,3,0)</f>
        <v>7.28</v>
      </c>
      <c r="K356" s="30">
        <f>VLOOKUP(MONTH(Modelling[[#This Row],[Date]]),$W$3:$Y$14,3,0)</f>
        <v>7.28</v>
      </c>
      <c r="L356" s="30">
        <f>AVERAGE(J$3:J356)</f>
        <v>7.5169491525423764</v>
      </c>
      <c r="M356" s="31">
        <f t="shared" si="41"/>
        <v>0.37557634868118733</v>
      </c>
      <c r="N356" s="31">
        <f t="shared" si="42"/>
        <v>0.37557634868118717</v>
      </c>
      <c r="O356" s="31">
        <f t="shared" si="43"/>
        <v>0.34471597861460973</v>
      </c>
      <c r="P356" s="109">
        <f t="shared" si="44"/>
        <v>70.2</v>
      </c>
      <c r="Q356" s="28">
        <f>AVERAGE($P$337:P356)</f>
        <v>70.200000000000017</v>
      </c>
      <c r="R356" s="81">
        <f>AVERAGE($P$3:P356)</f>
        <v>62.066666666666997</v>
      </c>
      <c r="S356">
        <f t="shared" si="46"/>
        <v>20</v>
      </c>
      <c r="T356">
        <f t="shared" si="48"/>
        <v>324</v>
      </c>
    </row>
    <row r="357" spans="2:20">
      <c r="B357" s="27">
        <f t="shared" si="47"/>
        <v>45737</v>
      </c>
      <c r="C357" s="28">
        <f>YEAR(Modelling[[#This Row],[Date]])+IF(MONTH(Modelling[[#This Row],[Date]])&gt;=4,1,0)</f>
        <v>2025</v>
      </c>
      <c r="D357" s="22">
        <f t="shared" si="45"/>
        <v>2025</v>
      </c>
      <c r="E357" s="29">
        <v>44986</v>
      </c>
      <c r="F357" s="22">
        <f>DAY(EOMONTH(Modelling[[#This Row],[Date]],0))</f>
        <v>31</v>
      </c>
      <c r="G357" s="28">
        <f>VLOOKUP(MONTH(Modelling[[#This Row],[Date]]),$W$3:$Z$14,4,0)/1000/Modelling[[#This Row],[Days]]</f>
        <v>632.77103225806445</v>
      </c>
      <c r="H357" s="28">
        <f>SUM($G$337:G357)</f>
        <v>13288.191677419351</v>
      </c>
      <c r="I357" s="28">
        <f>SUM($G$3:G357)</f>
        <v>167003.18167741949</v>
      </c>
      <c r="J357" s="30">
        <f>VLOOKUP(MONTH(Modelling[[#This Row],[Date]]),$W$3:$Y$14,3,0)</f>
        <v>7.28</v>
      </c>
      <c r="K357" s="30">
        <f>VLOOKUP(MONTH(Modelling[[#This Row],[Date]]),$W$3:$Y$14,3,0)</f>
        <v>7.28</v>
      </c>
      <c r="L357" s="30">
        <f>AVERAGE(J$3:J357)</f>
        <v>7.5162816901408496</v>
      </c>
      <c r="M357" s="31">
        <f t="shared" si="41"/>
        <v>0.37557634868118733</v>
      </c>
      <c r="N357" s="31">
        <f t="shared" si="42"/>
        <v>0.37557634868118717</v>
      </c>
      <c r="O357" s="31">
        <f t="shared" si="43"/>
        <v>0.344823333394076</v>
      </c>
      <c r="P357" s="109">
        <f t="shared" si="44"/>
        <v>70.2</v>
      </c>
      <c r="Q357" s="28">
        <f>AVERAGE($P$337:P357)</f>
        <v>70.200000000000017</v>
      </c>
      <c r="R357" s="81">
        <f>AVERAGE($P$3:P357)</f>
        <v>62.091692307692639</v>
      </c>
      <c r="S357">
        <f t="shared" si="46"/>
        <v>21</v>
      </c>
      <c r="T357">
        <f t="shared" si="48"/>
        <v>325</v>
      </c>
    </row>
    <row r="358" spans="2:20">
      <c r="B358" s="27">
        <f t="shared" si="47"/>
        <v>45738</v>
      </c>
      <c r="C358" s="28">
        <f>YEAR(Modelling[[#This Row],[Date]])+IF(MONTH(Modelling[[#This Row],[Date]])&gt;=4,1,0)</f>
        <v>2025</v>
      </c>
      <c r="D358" s="22">
        <f t="shared" si="45"/>
        <v>2025</v>
      </c>
      <c r="E358" s="29">
        <v>44986</v>
      </c>
      <c r="F358" s="22">
        <f>DAY(EOMONTH(Modelling[[#This Row],[Date]],0))</f>
        <v>31</v>
      </c>
      <c r="G358" s="28">
        <f>VLOOKUP(MONTH(Modelling[[#This Row],[Date]]),$W$3:$Z$14,4,0)/1000/Modelling[[#This Row],[Days]]</f>
        <v>632.77103225806445</v>
      </c>
      <c r="H358" s="28">
        <f>SUM($G$337:G358)</f>
        <v>13920.962709677415</v>
      </c>
      <c r="I358" s="28">
        <f>SUM($G$3:G358)</f>
        <v>167635.95270967754</v>
      </c>
      <c r="J358" s="30">
        <f>VLOOKUP(MONTH(Modelling[[#This Row],[Date]]),$W$3:$Y$14,3,0)</f>
        <v>7.28</v>
      </c>
      <c r="K358" s="30">
        <f>VLOOKUP(MONTH(Modelling[[#This Row],[Date]]),$W$3:$Y$14,3,0)</f>
        <v>7.28</v>
      </c>
      <c r="L358" s="30">
        <f>AVERAGE(J$3:J358)</f>
        <v>7.5156179775280947</v>
      </c>
      <c r="M358" s="31">
        <f t="shared" si="41"/>
        <v>0.37557634868118733</v>
      </c>
      <c r="N358" s="31">
        <f t="shared" si="42"/>
        <v>0.37557634868118711</v>
      </c>
      <c r="O358" s="31">
        <f t="shared" si="43"/>
        <v>0.34492994384707126</v>
      </c>
      <c r="P358" s="109">
        <f t="shared" si="44"/>
        <v>70.2</v>
      </c>
      <c r="Q358" s="28">
        <f>AVERAGE($P$337:P358)</f>
        <v>70.200000000000031</v>
      </c>
      <c r="R358" s="81">
        <f>AVERAGE($P$3:P358)</f>
        <v>62.116564417178246</v>
      </c>
      <c r="S358">
        <f t="shared" si="46"/>
        <v>22</v>
      </c>
      <c r="T358">
        <f t="shared" si="48"/>
        <v>326</v>
      </c>
    </row>
    <row r="359" spans="2:20">
      <c r="B359" s="27">
        <f t="shared" si="47"/>
        <v>45739</v>
      </c>
      <c r="C359" s="28">
        <f>YEAR(Modelling[[#This Row],[Date]])+IF(MONTH(Modelling[[#This Row],[Date]])&gt;=4,1,0)</f>
        <v>2025</v>
      </c>
      <c r="D359" s="22">
        <f t="shared" si="45"/>
        <v>2025</v>
      </c>
      <c r="E359" s="29">
        <v>44986</v>
      </c>
      <c r="F359" s="22">
        <f>DAY(EOMONTH(Modelling[[#This Row],[Date]],0))</f>
        <v>31</v>
      </c>
      <c r="G359" s="28">
        <f>VLOOKUP(MONTH(Modelling[[#This Row],[Date]]),$W$3:$Z$14,4,0)/1000/Modelling[[#This Row],[Days]]</f>
        <v>632.77103225806445</v>
      </c>
      <c r="H359" s="28">
        <f>SUM($G$337:G359)</f>
        <v>14553.733741935479</v>
      </c>
      <c r="I359" s="28">
        <f>SUM($G$3:G359)</f>
        <v>168268.7237419356</v>
      </c>
      <c r="J359" s="30">
        <f>VLOOKUP(MONTH(Modelling[[#This Row],[Date]]),$W$3:$Y$14,3,0)</f>
        <v>7.28</v>
      </c>
      <c r="K359" s="30">
        <f>VLOOKUP(MONTH(Modelling[[#This Row],[Date]]),$W$3:$Y$14,3,0)</f>
        <v>7.28</v>
      </c>
      <c r="L359" s="30">
        <f>AVERAGE(J$3:J359)</f>
        <v>7.5149579831932831</v>
      </c>
      <c r="M359" s="31">
        <f t="shared" si="41"/>
        <v>0.37557634868118733</v>
      </c>
      <c r="N359" s="31">
        <f t="shared" si="42"/>
        <v>0.37557634868118711</v>
      </c>
      <c r="O359" s="31">
        <f t="shared" si="43"/>
        <v>0.34503581768784813</v>
      </c>
      <c r="P359" s="109">
        <f t="shared" si="44"/>
        <v>70.2</v>
      </c>
      <c r="Q359" s="28">
        <f>AVERAGE($P$337:P359)</f>
        <v>70.200000000000031</v>
      </c>
      <c r="R359" s="81">
        <f>AVERAGE($P$3:P359)</f>
        <v>62.141284403670063</v>
      </c>
      <c r="S359">
        <f t="shared" si="46"/>
        <v>23</v>
      </c>
      <c r="T359">
        <f t="shared" si="48"/>
        <v>327</v>
      </c>
    </row>
    <row r="360" spans="2:20">
      <c r="B360" s="27">
        <f t="shared" si="47"/>
        <v>45740</v>
      </c>
      <c r="C360" s="28">
        <f>YEAR(Modelling[[#This Row],[Date]])+IF(MONTH(Modelling[[#This Row],[Date]])&gt;=4,1,0)</f>
        <v>2025</v>
      </c>
      <c r="D360" s="22">
        <f t="shared" si="45"/>
        <v>2025</v>
      </c>
      <c r="E360" s="29">
        <v>44986</v>
      </c>
      <c r="F360" s="22">
        <f>DAY(EOMONTH(Modelling[[#This Row],[Date]],0))</f>
        <v>31</v>
      </c>
      <c r="G360" s="28">
        <f>VLOOKUP(MONTH(Modelling[[#This Row],[Date]]),$W$3:$Z$14,4,0)/1000/Modelling[[#This Row],[Days]]</f>
        <v>632.77103225806445</v>
      </c>
      <c r="H360" s="28">
        <f>SUM($G$337:G360)</f>
        <v>15186.504774193543</v>
      </c>
      <c r="I360" s="28">
        <f>SUM($G$3:G360)</f>
        <v>168901.49477419365</v>
      </c>
      <c r="J360" s="30">
        <f>VLOOKUP(MONTH(Modelling[[#This Row],[Date]]),$W$3:$Y$14,3,0)</f>
        <v>7.28</v>
      </c>
      <c r="K360" s="30">
        <f>VLOOKUP(MONTH(Modelling[[#This Row],[Date]]),$W$3:$Y$14,3,0)</f>
        <v>7.28</v>
      </c>
      <c r="L360" s="30">
        <f>AVERAGE(J$3:J360)</f>
        <v>7.5143016759776593</v>
      </c>
      <c r="M360" s="31">
        <f t="shared" si="41"/>
        <v>0.37557634868118733</v>
      </c>
      <c r="N360" s="31">
        <f t="shared" si="42"/>
        <v>0.37557634868118711</v>
      </c>
      <c r="O360" s="31">
        <f t="shared" si="43"/>
        <v>0.34514096252442472</v>
      </c>
      <c r="P360" s="109">
        <f t="shared" si="44"/>
        <v>70.2</v>
      </c>
      <c r="Q360" s="28">
        <f>AVERAGE($P$337:P360)</f>
        <v>70.200000000000031</v>
      </c>
      <c r="R360" s="81">
        <f>AVERAGE($P$3:P360)</f>
        <v>62.165853658536925</v>
      </c>
      <c r="S360">
        <f t="shared" si="46"/>
        <v>24</v>
      </c>
      <c r="T360">
        <f t="shared" si="48"/>
        <v>328</v>
      </c>
    </row>
    <row r="361" spans="2:20">
      <c r="B361" s="27">
        <f t="shared" si="47"/>
        <v>45741</v>
      </c>
      <c r="C361" s="28">
        <f>YEAR(Modelling[[#This Row],[Date]])+IF(MONTH(Modelling[[#This Row],[Date]])&gt;=4,1,0)</f>
        <v>2025</v>
      </c>
      <c r="D361" s="22">
        <f t="shared" si="45"/>
        <v>2025</v>
      </c>
      <c r="E361" s="29">
        <v>44986</v>
      </c>
      <c r="F361" s="22">
        <f>DAY(EOMONTH(Modelling[[#This Row],[Date]],0))</f>
        <v>31</v>
      </c>
      <c r="G361" s="28">
        <f>VLOOKUP(MONTH(Modelling[[#This Row],[Date]]),$W$3:$Z$14,4,0)/1000/Modelling[[#This Row],[Days]]</f>
        <v>632.77103225806445</v>
      </c>
      <c r="H361" s="28">
        <f>SUM($G$337:G361)</f>
        <v>15819.275806451607</v>
      </c>
      <c r="I361" s="28">
        <f>SUM($G$3:G361)</f>
        <v>169534.2658064517</v>
      </c>
      <c r="J361" s="30">
        <f>VLOOKUP(MONTH(Modelling[[#This Row],[Date]]),$W$3:$Y$14,3,0)</f>
        <v>7.28</v>
      </c>
      <c r="K361" s="30">
        <f>VLOOKUP(MONTH(Modelling[[#This Row],[Date]]),$W$3:$Y$14,3,0)</f>
        <v>7.28</v>
      </c>
      <c r="L361" s="30">
        <f>AVERAGE(J$3:J361)</f>
        <v>7.5136490250696442</v>
      </c>
      <c r="M361" s="31">
        <f t="shared" si="41"/>
        <v>0.37557634868118733</v>
      </c>
      <c r="N361" s="31">
        <f t="shared" si="42"/>
        <v>0.37557634868118711</v>
      </c>
      <c r="O361" s="31">
        <f t="shared" si="43"/>
        <v>0.34524538586040732</v>
      </c>
      <c r="P361" s="109">
        <f t="shared" si="44"/>
        <v>70.2</v>
      </c>
      <c r="Q361" s="28">
        <f>AVERAGE($P$337:P361)</f>
        <v>70.200000000000031</v>
      </c>
      <c r="R361" s="81">
        <f>AVERAGE($P$3:P361)</f>
        <v>62.19027355623134</v>
      </c>
      <c r="S361">
        <f t="shared" si="46"/>
        <v>25</v>
      </c>
      <c r="T361">
        <f t="shared" si="48"/>
        <v>329</v>
      </c>
    </row>
    <row r="362" spans="2:20">
      <c r="B362" s="27">
        <f t="shared" si="47"/>
        <v>45742</v>
      </c>
      <c r="C362" s="28">
        <f>YEAR(Modelling[[#This Row],[Date]])+IF(MONTH(Modelling[[#This Row],[Date]])&gt;=4,1,0)</f>
        <v>2025</v>
      </c>
      <c r="D362" s="22">
        <f t="shared" si="45"/>
        <v>2025</v>
      </c>
      <c r="E362" s="29">
        <v>44986</v>
      </c>
      <c r="F362" s="22">
        <f>DAY(EOMONTH(Modelling[[#This Row],[Date]],0))</f>
        <v>31</v>
      </c>
      <c r="G362" s="28">
        <f>VLOOKUP(MONTH(Modelling[[#This Row],[Date]]),$W$3:$Z$14,4,0)/1000/Modelling[[#This Row],[Days]]</f>
        <v>632.77103225806445</v>
      </c>
      <c r="H362" s="28">
        <f>SUM($G$337:G362)</f>
        <v>16452.046838709673</v>
      </c>
      <c r="I362" s="28">
        <f>SUM($G$3:G362)</f>
        <v>170167.03683870976</v>
      </c>
      <c r="J362" s="30">
        <f>VLOOKUP(MONTH(Modelling[[#This Row],[Date]]),$W$3:$Y$14,3,0)</f>
        <v>7.28</v>
      </c>
      <c r="K362" s="30">
        <f>VLOOKUP(MONTH(Modelling[[#This Row],[Date]]),$W$3:$Y$14,3,0)</f>
        <v>7.28</v>
      </c>
      <c r="L362" s="30">
        <f>AVERAGE(J$3:J362)</f>
        <v>7.513000000000007</v>
      </c>
      <c r="M362" s="31">
        <f t="shared" si="41"/>
        <v>0.37557634868118733</v>
      </c>
      <c r="N362" s="31">
        <f t="shared" si="42"/>
        <v>0.37557634868118711</v>
      </c>
      <c r="O362" s="31">
        <f t="shared" si="43"/>
        <v>0.34534909509677497</v>
      </c>
      <c r="P362" s="109">
        <f t="shared" si="44"/>
        <v>70.2</v>
      </c>
      <c r="Q362" s="28">
        <f>AVERAGE($P$337:P362)</f>
        <v>70.200000000000031</v>
      </c>
      <c r="R362" s="81">
        <f>AVERAGE($P$3:P362)</f>
        <v>62.214545454545792</v>
      </c>
      <c r="S362">
        <f t="shared" si="46"/>
        <v>26</v>
      </c>
      <c r="T362">
        <f t="shared" si="48"/>
        <v>330</v>
      </c>
    </row>
    <row r="363" spans="2:20">
      <c r="B363" s="27">
        <f t="shared" si="47"/>
        <v>45743</v>
      </c>
      <c r="C363" s="28">
        <f>YEAR(Modelling[[#This Row],[Date]])+IF(MONTH(Modelling[[#This Row],[Date]])&gt;=4,1,0)</f>
        <v>2025</v>
      </c>
      <c r="D363" s="22">
        <f t="shared" si="45"/>
        <v>2025</v>
      </c>
      <c r="E363" s="29">
        <v>44986</v>
      </c>
      <c r="F363" s="22">
        <f>DAY(EOMONTH(Modelling[[#This Row],[Date]],0))</f>
        <v>31</v>
      </c>
      <c r="G363" s="28">
        <f>VLOOKUP(MONTH(Modelling[[#This Row],[Date]]),$W$3:$Z$14,4,0)/1000/Modelling[[#This Row],[Days]]</f>
        <v>632.77103225806445</v>
      </c>
      <c r="H363" s="28">
        <f>SUM($G$337:G363)</f>
        <v>17084.817870967738</v>
      </c>
      <c r="I363" s="28">
        <f>SUM($G$3:G363)</f>
        <v>170799.80787096781</v>
      </c>
      <c r="J363" s="30">
        <f>VLOOKUP(MONTH(Modelling[[#This Row],[Date]]),$W$3:$Y$14,3,0)</f>
        <v>7.28</v>
      </c>
      <c r="K363" s="30">
        <f>VLOOKUP(MONTH(Modelling[[#This Row],[Date]]),$W$3:$Y$14,3,0)</f>
        <v>7.28</v>
      </c>
      <c r="L363" s="30">
        <f>AVERAGE(J$3:J363)</f>
        <v>7.5123545706371271</v>
      </c>
      <c r="M363" s="31">
        <f t="shared" si="41"/>
        <v>0.37557634868118733</v>
      </c>
      <c r="N363" s="31">
        <f t="shared" si="42"/>
        <v>0.37557634868118711</v>
      </c>
      <c r="O363" s="31">
        <f t="shared" si="43"/>
        <v>0.34545209753362877</v>
      </c>
      <c r="P363" s="109">
        <f t="shared" si="44"/>
        <v>70.2</v>
      </c>
      <c r="Q363" s="28">
        <f>AVERAGE($P$337:P363)</f>
        <v>70.200000000000031</v>
      </c>
      <c r="R363" s="81">
        <f>AVERAGE($P$3:P363)</f>
        <v>62.238670694864389</v>
      </c>
      <c r="S363">
        <f t="shared" si="46"/>
        <v>27</v>
      </c>
      <c r="T363">
        <f t="shared" si="48"/>
        <v>331</v>
      </c>
    </row>
    <row r="364" spans="2:20">
      <c r="B364" s="27">
        <f t="shared" si="47"/>
        <v>45744</v>
      </c>
      <c r="C364" s="28">
        <f>YEAR(Modelling[[#This Row],[Date]])+IF(MONTH(Modelling[[#This Row],[Date]])&gt;=4,1,0)</f>
        <v>2025</v>
      </c>
      <c r="D364" s="22">
        <f t="shared" si="45"/>
        <v>2025</v>
      </c>
      <c r="E364" s="29">
        <v>44986</v>
      </c>
      <c r="F364" s="22">
        <f>DAY(EOMONTH(Modelling[[#This Row],[Date]],0))</f>
        <v>31</v>
      </c>
      <c r="G364" s="28">
        <f>VLOOKUP(MONTH(Modelling[[#This Row],[Date]]),$W$3:$Z$14,4,0)/1000/Modelling[[#This Row],[Days]]</f>
        <v>632.77103225806445</v>
      </c>
      <c r="H364" s="28">
        <f>SUM($G$337:G364)</f>
        <v>17717.588903225802</v>
      </c>
      <c r="I364" s="28">
        <f>SUM($G$3:G364)</f>
        <v>171432.57890322586</v>
      </c>
      <c r="J364" s="30">
        <f>VLOOKUP(MONTH(Modelling[[#This Row],[Date]]),$W$3:$Y$14,3,0)</f>
        <v>7.28</v>
      </c>
      <c r="K364" s="30">
        <f>VLOOKUP(MONTH(Modelling[[#This Row],[Date]]),$W$3:$Y$14,3,0)</f>
        <v>7.28</v>
      </c>
      <c r="L364" s="30">
        <f>AVERAGE(J$3:J364)</f>
        <v>7.5117127071823289</v>
      </c>
      <c r="M364" s="31">
        <f t="shared" si="41"/>
        <v>0.37557634868118733</v>
      </c>
      <c r="N364" s="31">
        <f t="shared" si="42"/>
        <v>0.37557634868118711</v>
      </c>
      <c r="O364" s="31">
        <f t="shared" si="43"/>
        <v>0.34555440037190416</v>
      </c>
      <c r="P364" s="109">
        <f t="shared" si="44"/>
        <v>70.2</v>
      </c>
      <c r="Q364" s="28">
        <f>AVERAGE($P$337:P364)</f>
        <v>70.200000000000031</v>
      </c>
      <c r="R364" s="81">
        <f>AVERAGE($P$3:P364)</f>
        <v>62.262650602409984</v>
      </c>
      <c r="S364">
        <f t="shared" si="46"/>
        <v>28</v>
      </c>
      <c r="T364">
        <f t="shared" si="48"/>
        <v>332</v>
      </c>
    </row>
    <row r="365" spans="2:20">
      <c r="B365" s="27">
        <f t="shared" si="47"/>
        <v>45745</v>
      </c>
      <c r="C365" s="28">
        <f>YEAR(Modelling[[#This Row],[Date]])+IF(MONTH(Modelling[[#This Row],[Date]])&gt;=4,1,0)</f>
        <v>2025</v>
      </c>
      <c r="D365" s="22">
        <f t="shared" si="45"/>
        <v>2025</v>
      </c>
      <c r="E365" s="29">
        <v>44986</v>
      </c>
      <c r="F365" s="22">
        <f>DAY(EOMONTH(Modelling[[#This Row],[Date]],0))</f>
        <v>31</v>
      </c>
      <c r="G365" s="28">
        <f>VLOOKUP(MONTH(Modelling[[#This Row],[Date]]),$W$3:$Z$14,4,0)/1000/Modelling[[#This Row],[Days]]</f>
        <v>632.77103225806445</v>
      </c>
      <c r="H365" s="28">
        <f>SUM($G$337:G365)</f>
        <v>18350.359935483866</v>
      </c>
      <c r="I365" s="28">
        <f>SUM($G$3:G365)</f>
        <v>172065.34993548392</v>
      </c>
      <c r="J365" s="30">
        <f>VLOOKUP(MONTH(Modelling[[#This Row],[Date]]),$W$3:$Y$14,3,0)</f>
        <v>7.28</v>
      </c>
      <c r="K365" s="30">
        <f>VLOOKUP(MONTH(Modelling[[#This Row],[Date]]),$W$3:$Y$14,3,0)</f>
        <v>7.28</v>
      </c>
      <c r="L365" s="30">
        <f>AVERAGE(J$3:J365)</f>
        <v>7.5110743801652982</v>
      </c>
      <c r="M365" s="31">
        <f t="shared" si="41"/>
        <v>0.37557634868118733</v>
      </c>
      <c r="N365" s="31">
        <f t="shared" si="42"/>
        <v>0.37557634868118711</v>
      </c>
      <c r="O365" s="31">
        <f t="shared" si="43"/>
        <v>0.34565601071504926</v>
      </c>
      <c r="P365" s="109">
        <f t="shared" si="44"/>
        <v>70.2</v>
      </c>
      <c r="Q365" s="28">
        <f>AVERAGE($P$337:P365)</f>
        <v>70.200000000000031</v>
      </c>
      <c r="R365" s="81">
        <f>AVERAGE($P$3:P365)</f>
        <v>62.28648648648683</v>
      </c>
      <c r="S365">
        <f t="shared" si="46"/>
        <v>29</v>
      </c>
      <c r="T365">
        <f t="shared" si="48"/>
        <v>333</v>
      </c>
    </row>
    <row r="366" spans="2:20">
      <c r="B366" s="27">
        <f t="shared" si="47"/>
        <v>45746</v>
      </c>
      <c r="C366" s="28">
        <f>YEAR(Modelling[[#This Row],[Date]])+IF(MONTH(Modelling[[#This Row],[Date]])&gt;=4,1,0)</f>
        <v>2025</v>
      </c>
      <c r="D366" s="22">
        <f t="shared" si="45"/>
        <v>2025</v>
      </c>
      <c r="E366" s="29">
        <v>44986</v>
      </c>
      <c r="F366" s="22">
        <f>DAY(EOMONTH(Modelling[[#This Row],[Date]],0))</f>
        <v>31</v>
      </c>
      <c r="G366" s="28">
        <f>VLOOKUP(MONTH(Modelling[[#This Row],[Date]]),$W$3:$Z$14,4,0)/1000/Modelling[[#This Row],[Days]]</f>
        <v>632.77103225806445</v>
      </c>
      <c r="H366" s="28">
        <f>SUM($G$337:G366)</f>
        <v>18983.13096774193</v>
      </c>
      <c r="I366" s="28">
        <f>SUM($G$3:G366)</f>
        <v>172698.12096774197</v>
      </c>
      <c r="J366" s="30">
        <f>VLOOKUP(MONTH(Modelling[[#This Row],[Date]]),$W$3:$Y$14,3,0)</f>
        <v>7.28</v>
      </c>
      <c r="K366" s="30">
        <f>VLOOKUP(MONTH(Modelling[[#This Row],[Date]]),$W$3:$Y$14,3,0)</f>
        <v>7.28</v>
      </c>
      <c r="L366" s="30">
        <f>AVERAGE(J$3:J366)</f>
        <v>7.5104395604395693</v>
      </c>
      <c r="M366" s="31">
        <f t="shared" si="41"/>
        <v>0.37557634868118733</v>
      </c>
      <c r="N366" s="31">
        <f t="shared" si="42"/>
        <v>0.37557634868118711</v>
      </c>
      <c r="O366" s="31">
        <f t="shared" si="43"/>
        <v>0.34575693557066933</v>
      </c>
      <c r="P366" s="109">
        <f t="shared" si="44"/>
        <v>70.2</v>
      </c>
      <c r="Q366" s="28">
        <f>AVERAGE($P$337:P366)</f>
        <v>70.200000000000031</v>
      </c>
      <c r="R366" s="81">
        <f>AVERAGE($P$3:P366)</f>
        <v>62.310179640718907</v>
      </c>
      <c r="S366">
        <f t="shared" si="46"/>
        <v>30</v>
      </c>
      <c r="T366">
        <f t="shared" si="48"/>
        <v>334</v>
      </c>
    </row>
    <row r="367" spans="2:20">
      <c r="B367" s="27">
        <f t="shared" si="47"/>
        <v>45747</v>
      </c>
      <c r="C367" s="28">
        <f>YEAR(Modelling[[#This Row],[Date]])+IF(MONTH(Modelling[[#This Row],[Date]])&gt;=4,1,0)</f>
        <v>2025</v>
      </c>
      <c r="D367" s="22">
        <f t="shared" si="45"/>
        <v>2025</v>
      </c>
      <c r="E367" s="29">
        <v>44986</v>
      </c>
      <c r="F367" s="22">
        <f>DAY(EOMONTH(Modelling[[#This Row],[Date]],0))</f>
        <v>31</v>
      </c>
      <c r="G367" s="28">
        <f>VLOOKUP(MONTH(Modelling[[#This Row],[Date]]),$W$3:$Z$14,4,0)/1000/Modelling[[#This Row],[Days]]</f>
        <v>632.77103225806445</v>
      </c>
      <c r="H367" s="28">
        <f>SUM($G$337:G367)</f>
        <v>19615.901999999995</v>
      </c>
      <c r="I367" s="28">
        <f>SUM($G$3:G367)</f>
        <v>173330.89200000002</v>
      </c>
      <c r="J367" s="30">
        <f>VLOOKUP(MONTH(Modelling[[#This Row],[Date]]),$W$3:$Y$14,3,0)</f>
        <v>7.28</v>
      </c>
      <c r="K367" s="30">
        <f>VLOOKUP(MONTH(Modelling[[#This Row],[Date]]),$W$3:$Y$14,3,0)</f>
        <v>7.28</v>
      </c>
      <c r="L367" s="30">
        <f>AVERAGE(J$3:J367)</f>
        <v>7.5098082191780922</v>
      </c>
      <c r="M367" s="31">
        <f t="shared" si="41"/>
        <v>0.37557634868118733</v>
      </c>
      <c r="N367" s="31">
        <f t="shared" si="42"/>
        <v>0.37557634868118722</v>
      </c>
      <c r="O367" s="31">
        <f t="shared" si="43"/>
        <v>0.34585718185213732</v>
      </c>
      <c r="P367" s="109">
        <f t="shared" si="44"/>
        <v>70.2</v>
      </c>
      <c r="Q367" s="28">
        <f>AVERAGE($P$337:P367)</f>
        <v>70.200000000000017</v>
      </c>
      <c r="R367" s="81">
        <f>AVERAGE($P$3:P367)</f>
        <v>62.33373134328393</v>
      </c>
      <c r="S367">
        <f t="shared" si="46"/>
        <v>31</v>
      </c>
      <c r="T367">
        <f t="shared" si="48"/>
        <v>335</v>
      </c>
    </row>
  </sheetData>
  <pageMargins left="0.7" right="0.7" top="0.75" bottom="0.75" header="0.3" footer="0.3"/>
  <pageSetup paperSize="9" orientation="portrait"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911"/>
  <sheetViews>
    <sheetView zoomScale="85" zoomScaleNormal="85" workbookViewId="0">
      <selection activeCell="U3" sqref="U3"/>
    </sheetView>
  </sheetViews>
  <sheetFormatPr defaultColWidth="8.453125" defaultRowHeight="14.5"/>
  <cols>
    <col min="1" max="1" width="12.453125" customWidth="1"/>
    <col min="2" max="2" width="11" customWidth="1"/>
    <col min="3" max="3" width="10.453125" customWidth="1"/>
    <col min="5" max="5" width="23" bestFit="1" customWidth="1"/>
    <col min="6" max="6" width="10.453125" customWidth="1"/>
    <col min="7" max="7" width="11.453125" customWidth="1"/>
    <col min="8" max="8" width="10.453125" customWidth="1"/>
    <col min="10" max="10" width="14" customWidth="1"/>
    <col min="11" max="11" width="11.453125" style="1" bestFit="1" customWidth="1"/>
    <col min="16" max="16" width="26.453125" bestFit="1" customWidth="1"/>
    <col min="17" max="17" width="24.453125" bestFit="1" customWidth="1"/>
    <col min="18" max="18" width="24.08984375" bestFit="1" customWidth="1"/>
    <col min="21" max="21" width="74.453125" bestFit="1" customWidth="1"/>
    <col min="27" max="27" width="9.453125" bestFit="1" customWidth="1"/>
    <col min="28" max="28" width="52.453125" bestFit="1" customWidth="1"/>
    <col min="29" max="29" width="6.453125" bestFit="1" customWidth="1"/>
    <col min="30" max="30" width="22" bestFit="1" customWidth="1"/>
    <col min="32" max="32" width="11" bestFit="1" customWidth="1"/>
    <col min="33" max="33" width="6.453125" bestFit="1" customWidth="1"/>
    <col min="34" max="34" width="11.453125" bestFit="1" customWidth="1"/>
    <col min="35" max="35" width="10.453125" bestFit="1" customWidth="1"/>
    <col min="36" max="36" width="23.453125" bestFit="1" customWidth="1"/>
  </cols>
  <sheetData>
    <row r="1" spans="1:36">
      <c r="AA1" s="247" t="s">
        <v>490</v>
      </c>
      <c r="AB1" s="247" t="s">
        <v>491</v>
      </c>
      <c r="AC1" s="247" t="s">
        <v>492</v>
      </c>
      <c r="AD1" s="247" t="s">
        <v>493</v>
      </c>
      <c r="AE1" s="247" t="s">
        <v>494</v>
      </c>
      <c r="AF1" s="247" t="s">
        <v>495</v>
      </c>
      <c r="AG1" s="247" t="s">
        <v>496</v>
      </c>
      <c r="AH1" s="247" t="s">
        <v>497</v>
      </c>
      <c r="AI1" s="247" t="s">
        <v>498</v>
      </c>
      <c r="AJ1" s="247" t="s">
        <v>499</v>
      </c>
    </row>
    <row r="2" spans="1:36">
      <c r="B2" t="s">
        <v>500</v>
      </c>
      <c r="C2" t="s">
        <v>501</v>
      </c>
      <c r="D2" t="s">
        <v>489</v>
      </c>
      <c r="E2" t="s">
        <v>502</v>
      </c>
      <c r="F2" t="s">
        <v>503</v>
      </c>
      <c r="G2" t="s">
        <v>504</v>
      </c>
      <c r="H2" t="s">
        <v>107</v>
      </c>
      <c r="I2" t="s">
        <v>505</v>
      </c>
      <c r="P2" s="658" t="s">
        <v>284</v>
      </c>
      <c r="Q2" s="658"/>
      <c r="R2" s="658"/>
      <c r="U2" t="s">
        <v>1996</v>
      </c>
      <c r="AA2" s="247">
        <v>0</v>
      </c>
      <c r="AB2" s="247" t="s">
        <v>506</v>
      </c>
      <c r="AC2" s="247">
        <v>0</v>
      </c>
      <c r="AD2" s="247" t="s">
        <v>506</v>
      </c>
      <c r="AE2" s="247" t="s">
        <v>507</v>
      </c>
      <c r="AF2" s="247">
        <v>0</v>
      </c>
      <c r="AG2" s="247"/>
      <c r="AH2" s="247">
        <v>20</v>
      </c>
      <c r="AI2" s="247">
        <v>32</v>
      </c>
      <c r="AJ2" s="247"/>
    </row>
    <row r="3" spans="1:36">
      <c r="A3" t="s">
        <v>74</v>
      </c>
      <c r="B3" s="19" t="s">
        <v>302</v>
      </c>
      <c r="C3" t="s">
        <v>303</v>
      </c>
      <c r="D3" s="1">
        <v>2.7</v>
      </c>
      <c r="E3" s="20">
        <f>D3/$K$3</f>
        <v>3.846153846153845E-2</v>
      </c>
      <c r="F3" t="s">
        <v>447</v>
      </c>
      <c r="G3" s="248" t="s">
        <v>508</v>
      </c>
      <c r="H3" s="92" t="s">
        <v>74</v>
      </c>
      <c r="J3" t="s">
        <v>206</v>
      </c>
      <c r="K3" s="1">
        <f>SUM(D3:D28)</f>
        <v>70.200000000000031</v>
      </c>
      <c r="N3" t="s">
        <v>289</v>
      </c>
      <c r="P3" t="s">
        <v>509</v>
      </c>
      <c r="Q3" t="s">
        <v>510</v>
      </c>
      <c r="R3" t="s">
        <v>511</v>
      </c>
      <c r="U3" t="s">
        <v>292</v>
      </c>
      <c r="AA3" s="247">
        <v>10</v>
      </c>
      <c r="AB3" s="247" t="s">
        <v>512</v>
      </c>
      <c r="AC3" s="247">
        <v>240</v>
      </c>
      <c r="AD3" s="247" t="s">
        <v>513</v>
      </c>
      <c r="AE3" s="247" t="s">
        <v>507</v>
      </c>
      <c r="AF3" s="247">
        <v>50</v>
      </c>
      <c r="AG3" s="247"/>
      <c r="AH3" s="247">
        <v>10</v>
      </c>
      <c r="AI3" s="247">
        <v>5</v>
      </c>
      <c r="AJ3" s="247"/>
    </row>
    <row r="4" spans="1:36" ht="15" thickBot="1">
      <c r="A4" t="s">
        <v>75</v>
      </c>
      <c r="B4" s="19" t="s">
        <v>302</v>
      </c>
      <c r="C4" t="s">
        <v>303</v>
      </c>
      <c r="D4" s="1">
        <v>2.7</v>
      </c>
      <c r="E4" s="20">
        <f t="shared" ref="E4:E67" si="0">D4/$K$3</f>
        <v>3.846153846153845E-2</v>
      </c>
      <c r="F4" t="s">
        <v>447</v>
      </c>
      <c r="G4" s="248" t="s">
        <v>508</v>
      </c>
      <c r="H4" s="92" t="s">
        <v>75</v>
      </c>
      <c r="K4" s="104">
        <v>43</v>
      </c>
      <c r="N4" t="s">
        <v>293</v>
      </c>
      <c r="P4" s="98" t="s">
        <v>294</v>
      </c>
      <c r="Q4" s="98" t="s">
        <v>448</v>
      </c>
      <c r="R4" s="98" t="s">
        <v>514</v>
      </c>
      <c r="U4" t="s">
        <v>291</v>
      </c>
      <c r="AA4" s="247">
        <v>11</v>
      </c>
      <c r="AB4" s="247" t="s">
        <v>515</v>
      </c>
      <c r="AC4" s="247" t="s">
        <v>516</v>
      </c>
      <c r="AD4" s="247" t="s">
        <v>516</v>
      </c>
      <c r="AE4" s="247" t="s">
        <v>507</v>
      </c>
      <c r="AF4" s="247">
        <v>50</v>
      </c>
      <c r="AG4" s="247"/>
      <c r="AH4" s="247">
        <v>10</v>
      </c>
      <c r="AI4" s="247">
        <v>6</v>
      </c>
      <c r="AJ4" s="247"/>
    </row>
    <row r="5" spans="1:36" ht="15" thickBot="1">
      <c r="A5" t="s">
        <v>76</v>
      </c>
      <c r="B5" s="19" t="s">
        <v>302</v>
      </c>
      <c r="C5" t="s">
        <v>303</v>
      </c>
      <c r="D5" s="1">
        <v>2.7</v>
      </c>
      <c r="E5" s="20">
        <f t="shared" si="0"/>
        <v>3.846153846153845E-2</v>
      </c>
      <c r="F5" t="s">
        <v>447</v>
      </c>
      <c r="G5" s="248" t="s">
        <v>508</v>
      </c>
      <c r="H5" s="92" t="s">
        <v>76</v>
      </c>
      <c r="P5" s="98" t="s">
        <v>290</v>
      </c>
      <c r="Q5" s="98" t="s">
        <v>450</v>
      </c>
      <c r="R5" s="98" t="s">
        <v>517</v>
      </c>
      <c r="U5" t="s">
        <v>297</v>
      </c>
      <c r="AA5" s="247">
        <v>16</v>
      </c>
      <c r="AB5" s="247" t="s">
        <v>518</v>
      </c>
      <c r="AC5" s="247" t="s">
        <v>516</v>
      </c>
      <c r="AD5" s="247" t="s">
        <v>516</v>
      </c>
      <c r="AE5" s="247" t="s">
        <v>507</v>
      </c>
      <c r="AF5" s="247">
        <v>50</v>
      </c>
      <c r="AG5" s="247"/>
      <c r="AH5" s="247">
        <v>20</v>
      </c>
      <c r="AI5" s="247">
        <v>6</v>
      </c>
      <c r="AJ5" s="247"/>
    </row>
    <row r="6" spans="1:36" ht="15" thickBot="1">
      <c r="A6" t="s">
        <v>77</v>
      </c>
      <c r="B6" s="19" t="s">
        <v>302</v>
      </c>
      <c r="C6" t="s">
        <v>303</v>
      </c>
      <c r="D6" s="1">
        <v>2.7</v>
      </c>
      <c r="E6" s="20">
        <f t="shared" si="0"/>
        <v>3.846153846153845E-2</v>
      </c>
      <c r="F6" t="s">
        <v>451</v>
      </c>
      <c r="G6" s="248" t="s">
        <v>508</v>
      </c>
      <c r="H6" t="s">
        <v>77</v>
      </c>
      <c r="P6" s="98" t="s">
        <v>305</v>
      </c>
      <c r="Q6" s="98" t="s">
        <v>519</v>
      </c>
      <c r="R6" s="98" t="s">
        <v>520</v>
      </c>
      <c r="U6" t="s">
        <v>301</v>
      </c>
      <c r="AA6" s="247">
        <v>20</v>
      </c>
      <c r="AB6" s="247" t="s">
        <v>521</v>
      </c>
      <c r="AC6" s="247">
        <v>13</v>
      </c>
      <c r="AD6" s="247" t="s">
        <v>522</v>
      </c>
      <c r="AE6" s="247" t="s">
        <v>507</v>
      </c>
      <c r="AF6" s="247">
        <v>60</v>
      </c>
      <c r="AG6" s="247"/>
      <c r="AH6" s="247">
        <v>30</v>
      </c>
      <c r="AI6" s="247">
        <v>9</v>
      </c>
      <c r="AJ6" s="247"/>
    </row>
    <row r="7" spans="1:36" ht="15" thickBot="1">
      <c r="A7" t="s">
        <v>78</v>
      </c>
      <c r="B7" s="19" t="s">
        <v>302</v>
      </c>
      <c r="C7" t="s">
        <v>303</v>
      </c>
      <c r="D7" s="1">
        <v>2.7</v>
      </c>
      <c r="E7" s="20">
        <f t="shared" si="0"/>
        <v>3.846153846153845E-2</v>
      </c>
      <c r="F7" t="s">
        <v>447</v>
      </c>
      <c r="G7" s="248" t="s">
        <v>508</v>
      </c>
      <c r="H7" s="92" t="s">
        <v>78</v>
      </c>
      <c r="P7" s="98" t="s">
        <v>523</v>
      </c>
      <c r="Q7" s="98" t="s">
        <v>1941</v>
      </c>
      <c r="R7" s="98" t="s">
        <v>1940</v>
      </c>
      <c r="U7" t="s">
        <v>295</v>
      </c>
      <c r="AA7" s="247">
        <v>21</v>
      </c>
      <c r="AB7" s="247" t="s">
        <v>524</v>
      </c>
      <c r="AC7" s="247">
        <v>11</v>
      </c>
      <c r="AD7" s="247" t="s">
        <v>525</v>
      </c>
      <c r="AE7" s="247" t="s">
        <v>507</v>
      </c>
      <c r="AF7" s="247">
        <v>60</v>
      </c>
      <c r="AG7" s="247"/>
      <c r="AH7" s="247">
        <v>0</v>
      </c>
      <c r="AI7" s="247">
        <v>30</v>
      </c>
      <c r="AJ7" s="247"/>
    </row>
    <row r="8" spans="1:36" ht="15" thickBot="1">
      <c r="A8" t="s">
        <v>79</v>
      </c>
      <c r="B8" s="19" t="s">
        <v>302</v>
      </c>
      <c r="C8" t="s">
        <v>303</v>
      </c>
      <c r="D8" s="1">
        <v>2.7</v>
      </c>
      <c r="E8" s="20">
        <f t="shared" si="0"/>
        <v>3.846153846153845E-2</v>
      </c>
      <c r="F8" t="s">
        <v>451</v>
      </c>
      <c r="G8" s="248" t="s">
        <v>508</v>
      </c>
      <c r="H8" t="s">
        <v>79</v>
      </c>
      <c r="P8" s="98" t="s">
        <v>526</v>
      </c>
      <c r="U8" t="s">
        <v>296</v>
      </c>
      <c r="AA8" s="247">
        <v>25</v>
      </c>
      <c r="AB8" s="247" t="s">
        <v>527</v>
      </c>
      <c r="AC8" s="247" t="s">
        <v>516</v>
      </c>
      <c r="AD8" s="247" t="s">
        <v>516</v>
      </c>
      <c r="AE8" s="247" t="s">
        <v>507</v>
      </c>
      <c r="AF8" s="247">
        <v>60</v>
      </c>
      <c r="AG8" s="247" t="s">
        <v>528</v>
      </c>
      <c r="AH8" s="247">
        <v>30</v>
      </c>
      <c r="AI8" s="247">
        <v>9</v>
      </c>
      <c r="AJ8" s="247"/>
    </row>
    <row r="9" spans="1:36">
      <c r="A9" t="s">
        <v>80</v>
      </c>
      <c r="B9" s="19" t="s">
        <v>302</v>
      </c>
      <c r="C9" t="s">
        <v>303</v>
      </c>
      <c r="D9" s="1">
        <v>2.7</v>
      </c>
      <c r="E9" s="20">
        <f t="shared" si="0"/>
        <v>3.846153846153845E-2</v>
      </c>
      <c r="F9" t="s">
        <v>451</v>
      </c>
      <c r="G9" s="248" t="s">
        <v>508</v>
      </c>
      <c r="H9" t="s">
        <v>80</v>
      </c>
      <c r="U9" t="s">
        <v>288</v>
      </c>
      <c r="AA9" s="247">
        <v>28</v>
      </c>
      <c r="AB9" s="247" t="s">
        <v>529</v>
      </c>
      <c r="AC9" s="247" t="s">
        <v>516</v>
      </c>
      <c r="AD9" s="247" t="s">
        <v>516</v>
      </c>
      <c r="AE9" s="247" t="s">
        <v>507</v>
      </c>
      <c r="AF9" s="247">
        <v>52</v>
      </c>
      <c r="AG9" s="247"/>
      <c r="AH9" s="247">
        <v>20</v>
      </c>
      <c r="AI9" s="247">
        <v>9</v>
      </c>
      <c r="AJ9" s="247"/>
    </row>
    <row r="10" spans="1:36">
      <c r="A10" t="s">
        <v>81</v>
      </c>
      <c r="B10" s="19" t="s">
        <v>302</v>
      </c>
      <c r="C10" t="s">
        <v>303</v>
      </c>
      <c r="D10" s="1">
        <v>2.7</v>
      </c>
      <c r="E10" s="20">
        <f t="shared" si="0"/>
        <v>3.846153846153845E-2</v>
      </c>
      <c r="F10" t="s">
        <v>451</v>
      </c>
      <c r="G10" s="248" t="s">
        <v>508</v>
      </c>
      <c r="H10" t="s">
        <v>81</v>
      </c>
      <c r="U10" t="s">
        <v>304</v>
      </c>
      <c r="AA10" s="247">
        <v>30</v>
      </c>
      <c r="AB10" s="247" t="s">
        <v>530</v>
      </c>
      <c r="AC10" s="247" t="s">
        <v>516</v>
      </c>
      <c r="AD10" s="247" t="s">
        <v>516</v>
      </c>
      <c r="AE10" s="247" t="s">
        <v>507</v>
      </c>
      <c r="AF10" s="247">
        <v>52</v>
      </c>
      <c r="AG10" s="247"/>
      <c r="AH10" s="247">
        <v>20</v>
      </c>
      <c r="AI10" s="247">
        <v>5</v>
      </c>
      <c r="AJ10" s="247"/>
    </row>
    <row r="11" spans="1:36">
      <c r="A11" t="s">
        <v>82</v>
      </c>
      <c r="B11" s="19" t="s">
        <v>302</v>
      </c>
      <c r="C11" t="s">
        <v>303</v>
      </c>
      <c r="D11" s="1">
        <v>2.7</v>
      </c>
      <c r="E11" s="20">
        <f t="shared" si="0"/>
        <v>3.846153846153845E-2</v>
      </c>
      <c r="F11" t="s">
        <v>447</v>
      </c>
      <c r="G11" s="248" t="s">
        <v>508</v>
      </c>
      <c r="H11" s="92" t="s">
        <v>82</v>
      </c>
      <c r="U11" t="s">
        <v>328</v>
      </c>
      <c r="AA11" s="247">
        <v>45</v>
      </c>
      <c r="AB11" s="247" t="s">
        <v>531</v>
      </c>
      <c r="AC11" s="247" t="s">
        <v>516</v>
      </c>
      <c r="AD11" s="247" t="s">
        <v>516</v>
      </c>
      <c r="AE11" s="247" t="s">
        <v>507</v>
      </c>
      <c r="AF11" s="247">
        <v>0</v>
      </c>
      <c r="AG11" s="247"/>
      <c r="AH11" s="247">
        <v>20</v>
      </c>
      <c r="AI11" s="247">
        <v>27</v>
      </c>
      <c r="AJ11" s="247"/>
    </row>
    <row r="12" spans="1:36">
      <c r="A12" t="s">
        <v>83</v>
      </c>
      <c r="B12" s="19" t="s">
        <v>302</v>
      </c>
      <c r="C12" t="s">
        <v>303</v>
      </c>
      <c r="D12" s="1">
        <v>2.7</v>
      </c>
      <c r="E12" s="20">
        <f t="shared" si="0"/>
        <v>3.846153846153845E-2</v>
      </c>
      <c r="F12" t="s">
        <v>447</v>
      </c>
      <c r="G12" s="248" t="s">
        <v>508</v>
      </c>
      <c r="H12" s="92" t="s">
        <v>83</v>
      </c>
      <c r="U12" t="s">
        <v>298</v>
      </c>
      <c r="AA12" s="247">
        <v>46</v>
      </c>
      <c r="AB12" s="247" t="s">
        <v>532</v>
      </c>
      <c r="AC12" s="247" t="s">
        <v>516</v>
      </c>
      <c r="AD12" s="247" t="s">
        <v>516</v>
      </c>
      <c r="AE12" s="247" t="s">
        <v>533</v>
      </c>
      <c r="AF12" s="247">
        <v>52</v>
      </c>
      <c r="AG12" s="247"/>
      <c r="AH12" s="247">
        <v>20</v>
      </c>
      <c r="AI12" s="247">
        <v>5</v>
      </c>
      <c r="AJ12" s="247" t="s">
        <v>534</v>
      </c>
    </row>
    <row r="13" spans="1:36">
      <c r="A13" t="s">
        <v>84</v>
      </c>
      <c r="B13" s="19" t="s">
        <v>302</v>
      </c>
      <c r="C13" t="s">
        <v>303</v>
      </c>
      <c r="D13" s="1">
        <v>2.7</v>
      </c>
      <c r="E13" s="20">
        <f t="shared" si="0"/>
        <v>3.846153846153845E-2</v>
      </c>
      <c r="F13" t="s">
        <v>447</v>
      </c>
      <c r="G13" s="248" t="s">
        <v>508</v>
      </c>
      <c r="H13" s="92" t="s">
        <v>84</v>
      </c>
      <c r="U13" t="s">
        <v>308</v>
      </c>
      <c r="AA13" s="247">
        <v>47</v>
      </c>
      <c r="AB13" s="247" t="s">
        <v>535</v>
      </c>
      <c r="AC13" s="247" t="s">
        <v>516</v>
      </c>
      <c r="AD13" s="247" t="s">
        <v>516</v>
      </c>
      <c r="AE13" s="247" t="s">
        <v>507</v>
      </c>
      <c r="AF13" s="247">
        <v>52</v>
      </c>
      <c r="AG13" s="247"/>
      <c r="AH13" s="247">
        <v>20</v>
      </c>
      <c r="AI13" s="247">
        <v>5</v>
      </c>
      <c r="AJ13" s="247"/>
    </row>
    <row r="14" spans="1:36">
      <c r="A14" t="s">
        <v>85</v>
      </c>
      <c r="B14" s="19" t="s">
        <v>302</v>
      </c>
      <c r="C14" t="s">
        <v>303</v>
      </c>
      <c r="D14" s="1">
        <v>2.7</v>
      </c>
      <c r="E14" s="20">
        <f t="shared" si="0"/>
        <v>3.846153846153845E-2</v>
      </c>
      <c r="F14" t="s">
        <v>447</v>
      </c>
      <c r="G14" s="248" t="s">
        <v>508</v>
      </c>
      <c r="H14" s="92" t="s">
        <v>85</v>
      </c>
      <c r="U14" t="s">
        <v>307</v>
      </c>
      <c r="AA14" s="247">
        <v>50</v>
      </c>
      <c r="AB14" s="247" t="s">
        <v>536</v>
      </c>
      <c r="AC14" s="247">
        <v>1541</v>
      </c>
      <c r="AD14" s="247" t="s">
        <v>536</v>
      </c>
      <c r="AE14" s="247" t="s">
        <v>507</v>
      </c>
      <c r="AF14" s="247">
        <v>52</v>
      </c>
      <c r="AG14" s="247"/>
      <c r="AH14" s="247">
        <v>20</v>
      </c>
      <c r="AI14" s="247">
        <v>2</v>
      </c>
      <c r="AJ14" s="247"/>
    </row>
    <row r="15" spans="1:36">
      <c r="A15" t="s">
        <v>86</v>
      </c>
      <c r="B15" s="19" t="s">
        <v>302</v>
      </c>
      <c r="C15" t="s">
        <v>303</v>
      </c>
      <c r="D15" s="1">
        <v>2.7</v>
      </c>
      <c r="E15" s="20">
        <f t="shared" si="0"/>
        <v>3.846153846153845E-2</v>
      </c>
      <c r="F15" t="s">
        <v>447</v>
      </c>
      <c r="G15" s="248" t="s">
        <v>508</v>
      </c>
      <c r="H15" s="92" t="s">
        <v>86</v>
      </c>
      <c r="U15" t="s">
        <v>329</v>
      </c>
      <c r="AA15" s="247">
        <v>53</v>
      </c>
      <c r="AB15" s="247" t="s">
        <v>537</v>
      </c>
      <c r="AC15" s="247" t="s">
        <v>516</v>
      </c>
      <c r="AD15" s="247" t="s">
        <v>516</v>
      </c>
      <c r="AE15" s="247" t="s">
        <v>533</v>
      </c>
      <c r="AF15" s="247">
        <v>52</v>
      </c>
      <c r="AG15" s="247"/>
      <c r="AH15" s="247">
        <v>20</v>
      </c>
      <c r="AI15" s="247">
        <v>5</v>
      </c>
      <c r="AJ15" s="247" t="s">
        <v>534</v>
      </c>
    </row>
    <row r="16" spans="1:36">
      <c r="A16" t="s">
        <v>87</v>
      </c>
      <c r="B16" s="19" t="s">
        <v>302</v>
      </c>
      <c r="C16" t="s">
        <v>303</v>
      </c>
      <c r="D16" s="1">
        <v>2.7</v>
      </c>
      <c r="E16" s="20">
        <f t="shared" si="0"/>
        <v>3.846153846153845E-2</v>
      </c>
      <c r="F16" t="s">
        <v>447</v>
      </c>
      <c r="G16" s="248" t="s">
        <v>508</v>
      </c>
      <c r="H16" s="92" t="s">
        <v>87</v>
      </c>
      <c r="U16" t="s">
        <v>330</v>
      </c>
      <c r="AA16" s="247">
        <v>54</v>
      </c>
      <c r="AB16" s="247" t="s">
        <v>538</v>
      </c>
      <c r="AC16" s="247" t="s">
        <v>516</v>
      </c>
      <c r="AD16" s="247" t="s">
        <v>516</v>
      </c>
      <c r="AE16" s="247" t="s">
        <v>507</v>
      </c>
      <c r="AF16" s="247">
        <v>180</v>
      </c>
      <c r="AG16" s="247" t="s">
        <v>528</v>
      </c>
      <c r="AH16" s="247">
        <v>20</v>
      </c>
      <c r="AI16" s="247">
        <v>1</v>
      </c>
      <c r="AJ16" s="247"/>
    </row>
    <row r="17" spans="1:36">
      <c r="A17" t="s">
        <v>88</v>
      </c>
      <c r="B17" s="19" t="s">
        <v>302</v>
      </c>
      <c r="C17" t="s">
        <v>303</v>
      </c>
      <c r="D17" s="1">
        <v>2.7</v>
      </c>
      <c r="E17" s="20">
        <f t="shared" si="0"/>
        <v>3.846153846153845E-2</v>
      </c>
      <c r="F17" t="s">
        <v>447</v>
      </c>
      <c r="G17" s="248" t="s">
        <v>508</v>
      </c>
      <c r="H17" s="92" t="s">
        <v>88</v>
      </c>
      <c r="U17" t="s">
        <v>1956</v>
      </c>
      <c r="AA17" s="247">
        <v>55</v>
      </c>
      <c r="AB17" s="247" t="s">
        <v>461</v>
      </c>
      <c r="AC17" s="247">
        <v>1754</v>
      </c>
      <c r="AD17" s="247" t="s">
        <v>539</v>
      </c>
      <c r="AE17" s="247" t="s">
        <v>507</v>
      </c>
      <c r="AF17" s="247">
        <v>52</v>
      </c>
      <c r="AG17" s="247"/>
      <c r="AH17" s="247">
        <v>20</v>
      </c>
      <c r="AI17" s="247">
        <v>1</v>
      </c>
      <c r="AJ17" s="247"/>
    </row>
    <row r="18" spans="1:36">
      <c r="A18" t="s">
        <v>89</v>
      </c>
      <c r="B18" s="19" t="s">
        <v>302</v>
      </c>
      <c r="C18" t="s">
        <v>303</v>
      </c>
      <c r="D18" s="1">
        <v>2.7</v>
      </c>
      <c r="E18" s="20">
        <f t="shared" si="0"/>
        <v>3.846153846153845E-2</v>
      </c>
      <c r="F18" t="s">
        <v>447</v>
      </c>
      <c r="G18" s="248" t="s">
        <v>508</v>
      </c>
      <c r="H18" s="92" t="s">
        <v>89</v>
      </c>
      <c r="AA18" s="247">
        <v>57</v>
      </c>
      <c r="AB18" s="247" t="s">
        <v>540</v>
      </c>
      <c r="AC18" s="247" t="s">
        <v>516</v>
      </c>
      <c r="AD18" s="247" t="s">
        <v>516</v>
      </c>
      <c r="AE18" s="247" t="s">
        <v>507</v>
      </c>
      <c r="AF18" s="247">
        <v>0</v>
      </c>
      <c r="AG18" s="247"/>
      <c r="AH18" s="247">
        <v>20</v>
      </c>
      <c r="AI18" s="247">
        <v>32</v>
      </c>
      <c r="AJ18" s="247"/>
    </row>
    <row r="19" spans="1:36">
      <c r="A19" t="s">
        <v>90</v>
      </c>
      <c r="B19" s="19" t="s">
        <v>302</v>
      </c>
      <c r="C19" t="s">
        <v>303</v>
      </c>
      <c r="D19" s="1">
        <v>2.7</v>
      </c>
      <c r="E19" s="20">
        <f t="shared" si="0"/>
        <v>3.846153846153845E-2</v>
      </c>
      <c r="F19" t="s">
        <v>451</v>
      </c>
      <c r="G19" s="248" t="s">
        <v>508</v>
      </c>
      <c r="H19" t="s">
        <v>90</v>
      </c>
      <c r="AA19" s="247">
        <v>58</v>
      </c>
      <c r="AB19" s="247" t="s">
        <v>541</v>
      </c>
      <c r="AC19" s="247" t="s">
        <v>516</v>
      </c>
      <c r="AD19" s="247" t="s">
        <v>516</v>
      </c>
      <c r="AE19" s="247" t="s">
        <v>533</v>
      </c>
      <c r="AF19" s="247">
        <v>52</v>
      </c>
      <c r="AG19" s="247"/>
      <c r="AH19" s="247">
        <v>20</v>
      </c>
      <c r="AI19" s="247">
        <v>5</v>
      </c>
      <c r="AJ19" s="247" t="s">
        <v>534</v>
      </c>
    </row>
    <row r="20" spans="1:36">
      <c r="A20" t="s">
        <v>91</v>
      </c>
      <c r="B20" s="19" t="s">
        <v>302</v>
      </c>
      <c r="C20" t="s">
        <v>303</v>
      </c>
      <c r="D20" s="1">
        <v>2.7</v>
      </c>
      <c r="E20" s="20">
        <f t="shared" si="0"/>
        <v>3.846153846153845E-2</v>
      </c>
      <c r="F20" t="s">
        <v>451</v>
      </c>
      <c r="G20" s="248" t="s">
        <v>508</v>
      </c>
      <c r="H20" t="s">
        <v>91</v>
      </c>
      <c r="AA20" s="247">
        <v>59</v>
      </c>
      <c r="AB20" s="247" t="s">
        <v>542</v>
      </c>
      <c r="AC20" s="247" t="s">
        <v>516</v>
      </c>
      <c r="AD20" s="247" t="s">
        <v>516</v>
      </c>
      <c r="AE20" s="247" t="s">
        <v>543</v>
      </c>
      <c r="AF20" s="247">
        <v>0</v>
      </c>
      <c r="AG20" s="247" t="s">
        <v>528</v>
      </c>
      <c r="AH20" s="247">
        <v>20</v>
      </c>
      <c r="AI20" s="247">
        <v>28</v>
      </c>
      <c r="AJ20" s="247"/>
    </row>
    <row r="21" spans="1:36">
      <c r="A21" t="s">
        <v>92</v>
      </c>
      <c r="B21" s="19" t="s">
        <v>302</v>
      </c>
      <c r="C21" t="s">
        <v>303</v>
      </c>
      <c r="D21" s="1">
        <v>2.7</v>
      </c>
      <c r="E21" s="20">
        <f t="shared" si="0"/>
        <v>3.846153846153845E-2</v>
      </c>
      <c r="F21" t="s">
        <v>451</v>
      </c>
      <c r="G21" s="248" t="s">
        <v>508</v>
      </c>
      <c r="H21" t="s">
        <v>92</v>
      </c>
      <c r="AA21" s="247">
        <v>60</v>
      </c>
      <c r="AB21" s="247" t="s">
        <v>544</v>
      </c>
      <c r="AC21" s="247">
        <v>203</v>
      </c>
      <c r="AD21" s="247" t="s">
        <v>544</v>
      </c>
      <c r="AE21" s="247" t="s">
        <v>533</v>
      </c>
      <c r="AF21" s="247">
        <v>52</v>
      </c>
      <c r="AG21" s="247" t="s">
        <v>528</v>
      </c>
      <c r="AH21" s="247">
        <v>0</v>
      </c>
      <c r="AI21" s="247">
        <v>15</v>
      </c>
      <c r="AJ21" s="247" t="s">
        <v>545</v>
      </c>
    </row>
    <row r="22" spans="1:36">
      <c r="A22" t="s">
        <v>93</v>
      </c>
      <c r="B22" s="19" t="s">
        <v>302</v>
      </c>
      <c r="C22" t="s">
        <v>303</v>
      </c>
      <c r="D22" s="1">
        <v>2.7</v>
      </c>
      <c r="E22" s="20">
        <f t="shared" si="0"/>
        <v>3.846153846153845E-2</v>
      </c>
      <c r="F22" t="s">
        <v>447</v>
      </c>
      <c r="G22" s="248" t="s">
        <v>508</v>
      </c>
      <c r="H22" s="92" t="s">
        <v>93</v>
      </c>
      <c r="AA22" s="247">
        <v>61</v>
      </c>
      <c r="AB22" s="247" t="s">
        <v>546</v>
      </c>
      <c r="AC22" s="247">
        <v>202</v>
      </c>
      <c r="AD22" s="247" t="s">
        <v>546</v>
      </c>
      <c r="AE22" s="247" t="s">
        <v>533</v>
      </c>
      <c r="AF22" s="247">
        <v>52</v>
      </c>
      <c r="AG22" s="247" t="s">
        <v>528</v>
      </c>
      <c r="AH22" s="247">
        <v>0</v>
      </c>
      <c r="AI22" s="247">
        <v>15</v>
      </c>
      <c r="AJ22" s="247" t="s">
        <v>545</v>
      </c>
    </row>
    <row r="23" spans="1:36">
      <c r="A23" t="s">
        <v>94</v>
      </c>
      <c r="B23" s="19" t="s">
        <v>302</v>
      </c>
      <c r="C23" t="s">
        <v>303</v>
      </c>
      <c r="D23" s="1">
        <v>2.7</v>
      </c>
      <c r="E23" s="20">
        <f t="shared" si="0"/>
        <v>3.846153846153845E-2</v>
      </c>
      <c r="F23" t="s">
        <v>451</v>
      </c>
      <c r="G23" s="248" t="s">
        <v>508</v>
      </c>
      <c r="H23" t="s">
        <v>94</v>
      </c>
      <c r="AA23" s="247">
        <v>62</v>
      </c>
      <c r="AB23" s="247" t="s">
        <v>547</v>
      </c>
      <c r="AC23" s="247">
        <v>213</v>
      </c>
      <c r="AD23" s="247" t="s">
        <v>547</v>
      </c>
      <c r="AE23" s="247" t="s">
        <v>507</v>
      </c>
      <c r="AF23" s="247">
        <v>20</v>
      </c>
      <c r="AG23" s="247"/>
      <c r="AH23" s="247">
        <v>30</v>
      </c>
      <c r="AI23" s="247">
        <v>28</v>
      </c>
      <c r="AJ23" s="247"/>
    </row>
    <row r="24" spans="1:36">
      <c r="A24" t="s">
        <v>95</v>
      </c>
      <c r="B24" s="19" t="s">
        <v>302</v>
      </c>
      <c r="C24" t="s">
        <v>303</v>
      </c>
      <c r="D24" s="1">
        <v>2.7</v>
      </c>
      <c r="E24" s="20">
        <f t="shared" si="0"/>
        <v>3.846153846153845E-2</v>
      </c>
      <c r="F24" t="s">
        <v>451</v>
      </c>
      <c r="G24" s="248" t="s">
        <v>508</v>
      </c>
      <c r="H24" t="s">
        <v>95</v>
      </c>
      <c r="AA24" s="247">
        <v>64</v>
      </c>
      <c r="AB24" s="247" t="s">
        <v>548</v>
      </c>
      <c r="AC24" s="247">
        <v>250</v>
      </c>
      <c r="AD24" s="247" t="s">
        <v>549</v>
      </c>
      <c r="AE24" s="247" t="s">
        <v>507</v>
      </c>
      <c r="AF24" s="247">
        <v>52</v>
      </c>
      <c r="AG24" s="247"/>
      <c r="AH24" s="247">
        <v>20</v>
      </c>
      <c r="AI24" s="247">
        <v>5</v>
      </c>
      <c r="AJ24" s="247"/>
    </row>
    <row r="25" spans="1:36">
      <c r="A25" t="s">
        <v>96</v>
      </c>
      <c r="B25" s="19" t="s">
        <v>302</v>
      </c>
      <c r="C25" t="s">
        <v>303</v>
      </c>
      <c r="D25" s="1">
        <v>2.7</v>
      </c>
      <c r="E25" s="20">
        <f t="shared" si="0"/>
        <v>3.846153846153845E-2</v>
      </c>
      <c r="F25" t="s">
        <v>451</v>
      </c>
      <c r="G25" s="248" t="s">
        <v>508</v>
      </c>
      <c r="H25" t="s">
        <v>96</v>
      </c>
      <c r="AA25" s="247">
        <v>65</v>
      </c>
      <c r="AB25" s="247" t="s">
        <v>550</v>
      </c>
      <c r="AC25" s="247">
        <v>204</v>
      </c>
      <c r="AD25" s="247" t="s">
        <v>551</v>
      </c>
      <c r="AE25" s="247" t="s">
        <v>507</v>
      </c>
      <c r="AF25" s="247">
        <v>50</v>
      </c>
      <c r="AG25" s="247"/>
      <c r="AH25" s="247">
        <v>20</v>
      </c>
      <c r="AI25" s="247">
        <v>28</v>
      </c>
      <c r="AJ25" s="247"/>
    </row>
    <row r="26" spans="1:36">
      <c r="A26" t="s">
        <v>97</v>
      </c>
      <c r="B26" s="19" t="s">
        <v>302</v>
      </c>
      <c r="C26" t="s">
        <v>303</v>
      </c>
      <c r="D26" s="1">
        <v>2.7</v>
      </c>
      <c r="E26" s="20">
        <f t="shared" si="0"/>
        <v>3.846153846153845E-2</v>
      </c>
      <c r="F26" t="s">
        <v>451</v>
      </c>
      <c r="G26" s="248" t="s">
        <v>508</v>
      </c>
      <c r="H26" t="s">
        <v>97</v>
      </c>
      <c r="AA26" s="247">
        <v>70</v>
      </c>
      <c r="AB26" s="247" t="s">
        <v>552</v>
      </c>
      <c r="AC26" s="247">
        <v>206</v>
      </c>
      <c r="AD26" s="247" t="s">
        <v>553</v>
      </c>
      <c r="AE26" s="247" t="s">
        <v>507</v>
      </c>
      <c r="AF26" s="247">
        <v>0</v>
      </c>
      <c r="AG26" s="247"/>
      <c r="AH26" s="247">
        <v>30</v>
      </c>
      <c r="AI26" s="247">
        <v>28</v>
      </c>
      <c r="AJ26" s="247"/>
    </row>
    <row r="27" spans="1:36">
      <c r="A27" t="s">
        <v>98</v>
      </c>
      <c r="B27" s="19" t="s">
        <v>302</v>
      </c>
      <c r="C27" t="s">
        <v>303</v>
      </c>
      <c r="D27" s="1">
        <v>2.7</v>
      </c>
      <c r="E27" s="20">
        <f t="shared" si="0"/>
        <v>3.846153846153845E-2</v>
      </c>
      <c r="F27" t="s">
        <v>451</v>
      </c>
      <c r="G27" s="248" t="s">
        <v>508</v>
      </c>
      <c r="H27" t="s">
        <v>98</v>
      </c>
      <c r="AA27" s="247">
        <v>71</v>
      </c>
      <c r="AB27" s="247" t="s">
        <v>554</v>
      </c>
      <c r="AC27" s="247">
        <v>200</v>
      </c>
      <c r="AD27" s="247" t="s">
        <v>555</v>
      </c>
      <c r="AE27" s="247" t="s">
        <v>507</v>
      </c>
      <c r="AF27" s="247">
        <v>52</v>
      </c>
      <c r="AG27" s="247"/>
      <c r="AH27" s="247">
        <v>30</v>
      </c>
      <c r="AI27" s="247">
        <v>6</v>
      </c>
      <c r="AJ27" s="247"/>
    </row>
    <row r="28" spans="1:36">
      <c r="A28" t="s">
        <v>99</v>
      </c>
      <c r="B28" s="19" t="s">
        <v>302</v>
      </c>
      <c r="C28" t="s">
        <v>303</v>
      </c>
      <c r="D28" s="1">
        <v>2.7</v>
      </c>
      <c r="E28" s="20">
        <f t="shared" si="0"/>
        <v>3.846153846153845E-2</v>
      </c>
      <c r="F28" t="s">
        <v>451</v>
      </c>
      <c r="G28" s="248" t="s">
        <v>508</v>
      </c>
      <c r="H28" t="s">
        <v>99</v>
      </c>
      <c r="AA28" s="247">
        <v>72</v>
      </c>
      <c r="AB28" s="247" t="s">
        <v>556</v>
      </c>
      <c r="AC28" s="247">
        <v>201</v>
      </c>
      <c r="AD28" s="247" t="s">
        <v>557</v>
      </c>
      <c r="AE28" s="247" t="s">
        <v>507</v>
      </c>
      <c r="AF28" s="247">
        <v>52</v>
      </c>
      <c r="AG28" s="247"/>
      <c r="AH28" s="247">
        <v>30</v>
      </c>
      <c r="AI28" s="247">
        <v>6</v>
      </c>
      <c r="AJ28" s="247"/>
    </row>
    <row r="29" spans="1:36">
      <c r="B29" s="19"/>
      <c r="D29" s="1"/>
      <c r="E29" s="20"/>
      <c r="G29" s="248"/>
      <c r="AA29" s="247">
        <v>75</v>
      </c>
      <c r="AB29" s="247" t="s">
        <v>558</v>
      </c>
      <c r="AC29" s="247">
        <v>27</v>
      </c>
      <c r="AD29" s="247" t="s">
        <v>559</v>
      </c>
      <c r="AE29" s="247" t="s">
        <v>543</v>
      </c>
      <c r="AF29" s="247">
        <v>0</v>
      </c>
      <c r="AG29" s="247"/>
      <c r="AH29" s="247">
        <v>20</v>
      </c>
      <c r="AI29" s="247">
        <v>27</v>
      </c>
      <c r="AJ29" s="247"/>
    </row>
    <row r="30" spans="1:36">
      <c r="B30" s="19"/>
      <c r="D30" s="1"/>
      <c r="E30" s="20"/>
      <c r="G30" s="248"/>
      <c r="AA30" s="247">
        <v>76</v>
      </c>
      <c r="AB30" s="247" t="s">
        <v>560</v>
      </c>
      <c r="AC30" s="247" t="s">
        <v>516</v>
      </c>
      <c r="AD30" s="247" t="s">
        <v>516</v>
      </c>
      <c r="AE30" s="247" t="s">
        <v>543</v>
      </c>
      <c r="AF30" s="247">
        <v>0</v>
      </c>
      <c r="AG30" s="247"/>
      <c r="AH30" s="247">
        <v>20</v>
      </c>
      <c r="AI30" s="247">
        <v>27</v>
      </c>
      <c r="AJ30" s="247"/>
    </row>
    <row r="31" spans="1:36">
      <c r="B31" s="19"/>
      <c r="D31" s="1"/>
      <c r="E31" s="20"/>
      <c r="G31" s="248"/>
      <c r="AA31" s="247">
        <v>77</v>
      </c>
      <c r="AB31" s="247" t="s">
        <v>561</v>
      </c>
      <c r="AC31" s="247">
        <v>2024</v>
      </c>
      <c r="AD31" s="247" t="s">
        <v>562</v>
      </c>
      <c r="AE31" s="247" t="s">
        <v>543</v>
      </c>
      <c r="AF31" s="247">
        <v>0</v>
      </c>
      <c r="AG31" s="247" t="s">
        <v>528</v>
      </c>
      <c r="AH31" s="247">
        <v>20</v>
      </c>
      <c r="AI31" s="247">
        <v>27</v>
      </c>
      <c r="AJ31" s="247"/>
    </row>
    <row r="32" spans="1:36">
      <c r="B32" s="19"/>
      <c r="D32" s="1"/>
      <c r="E32" s="20"/>
      <c r="G32" s="248"/>
      <c r="AA32" s="247">
        <v>81</v>
      </c>
      <c r="AB32" s="247" t="s">
        <v>563</v>
      </c>
      <c r="AC32" s="247" t="s">
        <v>516</v>
      </c>
      <c r="AD32" s="247" t="s">
        <v>516</v>
      </c>
      <c r="AE32" s="247" t="s">
        <v>543</v>
      </c>
      <c r="AF32" s="247">
        <v>0</v>
      </c>
      <c r="AG32" s="247"/>
      <c r="AH32" s="247">
        <v>30</v>
      </c>
      <c r="AI32" s="247">
        <v>27</v>
      </c>
      <c r="AJ32" s="247"/>
    </row>
    <row r="33" spans="1:36">
      <c r="B33" s="19"/>
      <c r="D33" s="1"/>
      <c r="E33" s="20"/>
      <c r="G33" s="248"/>
      <c r="AA33" s="247">
        <v>85</v>
      </c>
      <c r="AB33" s="247" t="s">
        <v>564</v>
      </c>
      <c r="AC33" s="247">
        <v>246</v>
      </c>
      <c r="AD33" s="247" t="s">
        <v>516</v>
      </c>
      <c r="AE33" s="247" t="s">
        <v>507</v>
      </c>
      <c r="AF33" s="247">
        <v>0</v>
      </c>
      <c r="AG33" s="247"/>
      <c r="AH33" s="247">
        <v>20</v>
      </c>
      <c r="AI33" s="247">
        <v>27</v>
      </c>
      <c r="AJ33" s="247"/>
    </row>
    <row r="34" spans="1:36">
      <c r="B34" s="19"/>
      <c r="D34" s="1"/>
      <c r="E34" s="20"/>
      <c r="G34" s="248"/>
      <c r="AA34" s="247">
        <v>86</v>
      </c>
      <c r="AB34" s="247" t="s">
        <v>565</v>
      </c>
      <c r="AC34" s="247" t="s">
        <v>516</v>
      </c>
      <c r="AD34" s="247" t="s">
        <v>516</v>
      </c>
      <c r="AE34" s="247" t="s">
        <v>533</v>
      </c>
      <c r="AF34" s="247">
        <v>52</v>
      </c>
      <c r="AG34" s="247" t="s">
        <v>528</v>
      </c>
      <c r="AH34" s="247">
        <v>20</v>
      </c>
      <c r="AI34" s="247">
        <v>21</v>
      </c>
      <c r="AJ34" s="247" t="s">
        <v>534</v>
      </c>
    </row>
    <row r="35" spans="1:36">
      <c r="B35" s="19"/>
      <c r="D35" s="1"/>
      <c r="E35" s="20"/>
      <c r="G35" s="248"/>
      <c r="AA35" s="247">
        <v>87</v>
      </c>
      <c r="AB35" s="247" t="s">
        <v>566</v>
      </c>
      <c r="AC35" s="247" t="s">
        <v>516</v>
      </c>
      <c r="AD35" s="247" t="s">
        <v>516</v>
      </c>
      <c r="AE35" s="247" t="s">
        <v>533</v>
      </c>
      <c r="AF35" s="247">
        <v>52</v>
      </c>
      <c r="AG35" s="247" t="s">
        <v>528</v>
      </c>
      <c r="AH35" s="247">
        <v>20</v>
      </c>
      <c r="AI35" s="247">
        <v>21</v>
      </c>
      <c r="AJ35" s="247" t="s">
        <v>534</v>
      </c>
    </row>
    <row r="36" spans="1:36">
      <c r="B36" s="19"/>
      <c r="D36" s="1"/>
      <c r="E36" s="20"/>
      <c r="G36" s="248"/>
      <c r="AA36" s="247">
        <v>88</v>
      </c>
      <c r="AB36" s="247" t="s">
        <v>567</v>
      </c>
      <c r="AC36" s="247" t="s">
        <v>516</v>
      </c>
      <c r="AD36" s="247" t="s">
        <v>516</v>
      </c>
      <c r="AE36" s="247" t="s">
        <v>533</v>
      </c>
      <c r="AF36" s="247">
        <v>52</v>
      </c>
      <c r="AG36" s="247" t="s">
        <v>528</v>
      </c>
      <c r="AH36" s="247">
        <v>20</v>
      </c>
      <c r="AI36" s="247">
        <v>21</v>
      </c>
      <c r="AJ36" s="247" t="s">
        <v>534</v>
      </c>
    </row>
    <row r="37" spans="1:36">
      <c r="B37" s="19"/>
      <c r="D37" s="1"/>
      <c r="E37" s="20"/>
      <c r="G37" s="248"/>
      <c r="AA37" s="247">
        <v>89</v>
      </c>
      <c r="AB37" s="247" t="s">
        <v>568</v>
      </c>
      <c r="AC37" s="247" t="s">
        <v>516</v>
      </c>
      <c r="AD37" s="247" t="s">
        <v>516</v>
      </c>
      <c r="AE37" s="247" t="s">
        <v>543</v>
      </c>
      <c r="AF37" s="247">
        <v>0</v>
      </c>
      <c r="AG37" s="247"/>
      <c r="AH37" s="247">
        <v>20</v>
      </c>
      <c r="AI37" s="247">
        <v>27</v>
      </c>
      <c r="AJ37" s="247"/>
    </row>
    <row r="38" spans="1:36">
      <c r="B38" s="19"/>
      <c r="D38" s="1"/>
      <c r="E38" s="20"/>
      <c r="G38" s="248"/>
      <c r="AA38" s="247">
        <v>110</v>
      </c>
      <c r="AB38" s="247" t="s">
        <v>569</v>
      </c>
      <c r="AC38" s="247">
        <v>16</v>
      </c>
      <c r="AD38" s="247" t="s">
        <v>570</v>
      </c>
      <c r="AE38" s="247" t="s">
        <v>507</v>
      </c>
      <c r="AF38" s="247">
        <v>190</v>
      </c>
      <c r="AG38" s="247" t="s">
        <v>528</v>
      </c>
      <c r="AH38" s="247">
        <v>0</v>
      </c>
      <c r="AI38" s="247">
        <v>11</v>
      </c>
      <c r="AJ38" s="247"/>
    </row>
    <row r="39" spans="1:36">
      <c r="B39" s="19"/>
      <c r="D39" s="1"/>
      <c r="E39" s="20"/>
      <c r="G39" s="248"/>
      <c r="AA39" s="247">
        <v>111</v>
      </c>
      <c r="AB39" s="247" t="s">
        <v>571</v>
      </c>
      <c r="AC39" s="247">
        <v>92</v>
      </c>
      <c r="AD39" s="247" t="s">
        <v>572</v>
      </c>
      <c r="AE39" s="247" t="s">
        <v>507</v>
      </c>
      <c r="AF39" s="247">
        <v>190</v>
      </c>
      <c r="AG39" s="247" t="s">
        <v>528</v>
      </c>
      <c r="AH39" s="247">
        <v>0</v>
      </c>
      <c r="AI39" s="247">
        <v>11</v>
      </c>
      <c r="AJ39" s="247"/>
    </row>
    <row r="40" spans="1:36">
      <c r="B40" s="19"/>
      <c r="D40" s="1"/>
      <c r="E40" s="20"/>
      <c r="G40" s="248"/>
      <c r="AA40" s="247">
        <v>115</v>
      </c>
      <c r="AB40" s="247" t="s">
        <v>573</v>
      </c>
      <c r="AC40" s="247">
        <v>1404</v>
      </c>
      <c r="AD40" s="247" t="s">
        <v>574</v>
      </c>
      <c r="AE40" s="247" t="s">
        <v>507</v>
      </c>
      <c r="AF40" s="247">
        <v>190</v>
      </c>
      <c r="AG40" s="247" t="s">
        <v>528</v>
      </c>
      <c r="AH40" s="247">
        <v>0</v>
      </c>
      <c r="AI40" s="247">
        <v>12</v>
      </c>
      <c r="AJ40" s="247"/>
    </row>
    <row r="41" spans="1:36">
      <c r="B41" s="19"/>
      <c r="D41" s="1"/>
      <c r="E41" s="20"/>
      <c r="G41" s="248"/>
      <c r="AA41" s="247">
        <v>117</v>
      </c>
      <c r="AB41" s="247" t="s">
        <v>575</v>
      </c>
      <c r="AC41" s="247">
        <v>2150</v>
      </c>
      <c r="AD41" s="247" t="s">
        <v>576</v>
      </c>
      <c r="AE41" s="247" t="s">
        <v>507</v>
      </c>
      <c r="AF41" s="247">
        <v>190</v>
      </c>
      <c r="AG41" s="247" t="s">
        <v>528</v>
      </c>
      <c r="AH41" s="247">
        <v>0</v>
      </c>
      <c r="AI41" s="247">
        <v>12</v>
      </c>
      <c r="AJ41" s="247"/>
    </row>
    <row r="42" spans="1:36">
      <c r="B42" s="19"/>
      <c r="D42" s="1"/>
      <c r="E42" s="20"/>
      <c r="G42" s="248"/>
      <c r="AA42" s="247">
        <v>120</v>
      </c>
      <c r="AB42" s="247" t="s">
        <v>577</v>
      </c>
      <c r="AC42" s="247" t="s">
        <v>516</v>
      </c>
      <c r="AD42" s="247" t="s">
        <v>516</v>
      </c>
      <c r="AE42" s="247" t="s">
        <v>507</v>
      </c>
      <c r="AF42" s="247">
        <v>190</v>
      </c>
      <c r="AG42" s="247" t="s">
        <v>528</v>
      </c>
      <c r="AH42" s="247">
        <v>0</v>
      </c>
      <c r="AI42" s="247">
        <v>12</v>
      </c>
      <c r="AJ42" s="247"/>
    </row>
    <row r="43" spans="1:36">
      <c r="A43" t="s">
        <v>447</v>
      </c>
      <c r="B43" s="19" t="s">
        <v>302</v>
      </c>
      <c r="C43" t="s">
        <v>303</v>
      </c>
      <c r="D43" s="1">
        <f>SUMIF($F$3:$F$28,A43,$D$3:$D$28)</f>
        <v>35.1</v>
      </c>
      <c r="E43" s="20">
        <f>D43/$K$3</f>
        <v>0.49999999999999978</v>
      </c>
      <c r="AA43" s="247">
        <v>121</v>
      </c>
      <c r="AB43" s="247" t="s">
        <v>578</v>
      </c>
      <c r="AC43" s="247" t="s">
        <v>516</v>
      </c>
      <c r="AD43" s="247" t="s">
        <v>516</v>
      </c>
      <c r="AE43" s="247" t="s">
        <v>507</v>
      </c>
      <c r="AF43" s="247">
        <v>190</v>
      </c>
      <c r="AG43" s="247" t="s">
        <v>528</v>
      </c>
      <c r="AH43" s="247">
        <v>0</v>
      </c>
      <c r="AI43" s="247">
        <v>12</v>
      </c>
      <c r="AJ43" s="247"/>
    </row>
    <row r="44" spans="1:36">
      <c r="A44" t="s">
        <v>451</v>
      </c>
      <c r="B44" s="19" t="s">
        <v>302</v>
      </c>
      <c r="C44" t="s">
        <v>303</v>
      </c>
      <c r="D44" s="1">
        <f>SUMIF($F$3:$F$28,A44,$D$3:$D$28)</f>
        <v>35.1</v>
      </c>
      <c r="E44" s="20">
        <f t="shared" si="0"/>
        <v>0.49999999999999978</v>
      </c>
      <c r="AA44" s="247">
        <v>151</v>
      </c>
      <c r="AB44" s="247" t="s">
        <v>579</v>
      </c>
      <c r="AC44" s="247" t="s">
        <v>516</v>
      </c>
      <c r="AD44" s="247" t="s">
        <v>516</v>
      </c>
      <c r="AE44" s="247" t="s">
        <v>507</v>
      </c>
      <c r="AF44" s="247">
        <v>52</v>
      </c>
      <c r="AG44" s="247"/>
      <c r="AH44" s="247">
        <v>20</v>
      </c>
      <c r="AI44" s="247">
        <v>15</v>
      </c>
      <c r="AJ44" s="247"/>
    </row>
    <row r="45" spans="1:36">
      <c r="A45" t="s">
        <v>74</v>
      </c>
      <c r="B45" s="19" t="s">
        <v>302</v>
      </c>
      <c r="C45" t="s">
        <v>303</v>
      </c>
      <c r="D45" s="1">
        <v>2.7</v>
      </c>
      <c r="E45" s="20">
        <f>D45/$K$3</f>
        <v>3.846153846153845E-2</v>
      </c>
      <c r="AA45" s="247">
        <v>152</v>
      </c>
      <c r="AB45" s="247" t="s">
        <v>580</v>
      </c>
      <c r="AC45" s="247" t="s">
        <v>516</v>
      </c>
      <c r="AD45" s="247" t="s">
        <v>516</v>
      </c>
      <c r="AE45" s="247" t="s">
        <v>533</v>
      </c>
      <c r="AF45" s="247">
        <v>52</v>
      </c>
      <c r="AG45" s="247" t="s">
        <v>528</v>
      </c>
      <c r="AH45" s="247">
        <v>20</v>
      </c>
      <c r="AI45" s="247">
        <v>15</v>
      </c>
      <c r="AJ45" s="247" t="s">
        <v>581</v>
      </c>
    </row>
    <row r="46" spans="1:36">
      <c r="A46" t="s">
        <v>75</v>
      </c>
      <c r="B46" s="19" t="s">
        <v>302</v>
      </c>
      <c r="C46" t="s">
        <v>303</v>
      </c>
      <c r="D46" s="1">
        <v>2.7</v>
      </c>
      <c r="E46" s="20">
        <f t="shared" si="0"/>
        <v>3.846153846153845E-2</v>
      </c>
      <c r="AA46" s="247">
        <v>153</v>
      </c>
      <c r="AB46" s="247" t="s">
        <v>582</v>
      </c>
      <c r="AC46" s="247" t="s">
        <v>516</v>
      </c>
      <c r="AD46" s="247" t="s">
        <v>516</v>
      </c>
      <c r="AE46" s="247" t="s">
        <v>533</v>
      </c>
      <c r="AF46" s="247">
        <v>75</v>
      </c>
      <c r="AG46" s="247" t="s">
        <v>528</v>
      </c>
      <c r="AH46" s="247">
        <v>0</v>
      </c>
      <c r="AI46" s="247">
        <v>15</v>
      </c>
      <c r="AJ46" s="247" t="s">
        <v>581</v>
      </c>
    </row>
    <row r="47" spans="1:36">
      <c r="A47" t="s">
        <v>76</v>
      </c>
      <c r="B47" s="19" t="s">
        <v>302</v>
      </c>
      <c r="C47" t="s">
        <v>303</v>
      </c>
      <c r="D47" s="1">
        <v>2.7</v>
      </c>
      <c r="E47" s="20">
        <f t="shared" si="0"/>
        <v>3.846153846153845E-2</v>
      </c>
      <c r="AA47" s="247">
        <v>154</v>
      </c>
      <c r="AB47" s="247" t="s">
        <v>583</v>
      </c>
      <c r="AC47" s="247" t="s">
        <v>516</v>
      </c>
      <c r="AD47" s="247" t="s">
        <v>516</v>
      </c>
      <c r="AE47" s="247" t="s">
        <v>533</v>
      </c>
      <c r="AF47" s="247">
        <v>75</v>
      </c>
      <c r="AG47" s="247" t="s">
        <v>528</v>
      </c>
      <c r="AH47" s="247">
        <v>0</v>
      </c>
      <c r="AI47" s="247">
        <v>15</v>
      </c>
      <c r="AJ47" s="247" t="s">
        <v>581</v>
      </c>
    </row>
    <row r="48" spans="1:36">
      <c r="A48" t="s">
        <v>77</v>
      </c>
      <c r="B48" s="19" t="s">
        <v>302</v>
      </c>
      <c r="C48" t="s">
        <v>303</v>
      </c>
      <c r="D48" s="1">
        <v>2.7</v>
      </c>
      <c r="E48" s="20">
        <f t="shared" si="0"/>
        <v>3.846153846153845E-2</v>
      </c>
      <c r="AA48" s="247">
        <v>156</v>
      </c>
      <c r="AB48" s="247" t="s">
        <v>584</v>
      </c>
      <c r="AC48" s="247" t="s">
        <v>516</v>
      </c>
      <c r="AD48" s="247" t="s">
        <v>516</v>
      </c>
      <c r="AE48" s="247" t="s">
        <v>533</v>
      </c>
      <c r="AF48" s="247">
        <v>190</v>
      </c>
      <c r="AG48" s="247" t="s">
        <v>528</v>
      </c>
      <c r="AH48" s="247">
        <v>0</v>
      </c>
      <c r="AI48" s="247">
        <v>15</v>
      </c>
      <c r="AJ48" s="247" t="s">
        <v>581</v>
      </c>
    </row>
    <row r="49" spans="1:36">
      <c r="A49" t="s">
        <v>78</v>
      </c>
      <c r="B49" s="19" t="s">
        <v>302</v>
      </c>
      <c r="C49" t="s">
        <v>303</v>
      </c>
      <c r="D49" s="1">
        <v>2.7</v>
      </c>
      <c r="E49" s="20">
        <f t="shared" si="0"/>
        <v>3.846153846153845E-2</v>
      </c>
      <c r="AA49" s="247">
        <v>157</v>
      </c>
      <c r="AB49" s="247" t="s">
        <v>585</v>
      </c>
      <c r="AC49" s="247" t="s">
        <v>516</v>
      </c>
      <c r="AD49" s="247" t="s">
        <v>516</v>
      </c>
      <c r="AE49" s="247" t="s">
        <v>533</v>
      </c>
      <c r="AF49" s="247">
        <v>180</v>
      </c>
      <c r="AG49" s="247" t="s">
        <v>528</v>
      </c>
      <c r="AH49" s="247">
        <v>0</v>
      </c>
      <c r="AI49" s="247">
        <v>15</v>
      </c>
      <c r="AJ49" s="247" t="s">
        <v>581</v>
      </c>
    </row>
    <row r="50" spans="1:36">
      <c r="A50" t="s">
        <v>79</v>
      </c>
      <c r="B50" s="19" t="s">
        <v>302</v>
      </c>
      <c r="C50" t="s">
        <v>303</v>
      </c>
      <c r="D50" s="1">
        <v>2.7</v>
      </c>
      <c r="E50" s="20">
        <f t="shared" si="0"/>
        <v>3.846153846153845E-2</v>
      </c>
      <c r="AA50" s="247">
        <v>158</v>
      </c>
      <c r="AB50" s="247" t="s">
        <v>586</v>
      </c>
      <c r="AC50" s="247" t="s">
        <v>516</v>
      </c>
      <c r="AD50" s="247" t="s">
        <v>516</v>
      </c>
      <c r="AE50" s="247" t="s">
        <v>533</v>
      </c>
      <c r="AF50" s="247">
        <v>75</v>
      </c>
      <c r="AG50" s="247" t="s">
        <v>528</v>
      </c>
      <c r="AH50" s="247">
        <v>0</v>
      </c>
      <c r="AI50" s="247">
        <v>15</v>
      </c>
      <c r="AJ50" s="247" t="s">
        <v>581</v>
      </c>
    </row>
    <row r="51" spans="1:36">
      <c r="A51" t="s">
        <v>80</v>
      </c>
      <c r="B51" s="19" t="s">
        <v>302</v>
      </c>
      <c r="C51" t="s">
        <v>303</v>
      </c>
      <c r="D51" s="1">
        <v>2.7</v>
      </c>
      <c r="E51" s="20">
        <f t="shared" si="0"/>
        <v>3.846153846153845E-2</v>
      </c>
      <c r="AA51" s="247">
        <v>159</v>
      </c>
      <c r="AB51" s="247" t="s">
        <v>587</v>
      </c>
      <c r="AC51" s="247" t="s">
        <v>516</v>
      </c>
      <c r="AD51" s="247" t="s">
        <v>516</v>
      </c>
      <c r="AE51" s="247" t="s">
        <v>533</v>
      </c>
      <c r="AF51" s="247">
        <v>190</v>
      </c>
      <c r="AG51" s="247" t="s">
        <v>528</v>
      </c>
      <c r="AH51" s="247">
        <v>0</v>
      </c>
      <c r="AI51" s="247">
        <v>15</v>
      </c>
      <c r="AJ51" s="247" t="s">
        <v>581</v>
      </c>
    </row>
    <row r="52" spans="1:36">
      <c r="A52" t="s">
        <v>81</v>
      </c>
      <c r="B52" s="19" t="s">
        <v>302</v>
      </c>
      <c r="C52" t="s">
        <v>303</v>
      </c>
      <c r="D52" s="1">
        <v>2.7</v>
      </c>
      <c r="E52" s="20">
        <f t="shared" si="0"/>
        <v>3.846153846153845E-2</v>
      </c>
      <c r="AA52" s="247">
        <v>170</v>
      </c>
      <c r="AB52" s="247" t="s">
        <v>588</v>
      </c>
      <c r="AC52" s="247" t="s">
        <v>516</v>
      </c>
      <c r="AD52" s="247" t="s">
        <v>516</v>
      </c>
      <c r="AE52" s="247" t="s">
        <v>533</v>
      </c>
      <c r="AF52" s="247">
        <v>170</v>
      </c>
      <c r="AG52" s="247" t="s">
        <v>528</v>
      </c>
      <c r="AH52" s="247">
        <v>20</v>
      </c>
      <c r="AI52" s="247">
        <v>15</v>
      </c>
      <c r="AJ52" s="247" t="s">
        <v>581</v>
      </c>
    </row>
    <row r="53" spans="1:36">
      <c r="A53" t="s">
        <v>82</v>
      </c>
      <c r="B53" s="19" t="s">
        <v>302</v>
      </c>
      <c r="C53" t="s">
        <v>303</v>
      </c>
      <c r="D53" s="1">
        <v>2.7</v>
      </c>
      <c r="E53" s="20">
        <f t="shared" si="0"/>
        <v>3.846153846153845E-2</v>
      </c>
      <c r="AA53" s="247">
        <v>171</v>
      </c>
      <c r="AB53" s="247" t="s">
        <v>589</v>
      </c>
      <c r="AC53" s="247" t="s">
        <v>516</v>
      </c>
      <c r="AD53" s="247" t="s">
        <v>516</v>
      </c>
      <c r="AE53" s="247" t="s">
        <v>533</v>
      </c>
      <c r="AF53" s="247">
        <v>75</v>
      </c>
      <c r="AG53" s="247" t="s">
        <v>528</v>
      </c>
      <c r="AH53" s="247">
        <v>20</v>
      </c>
      <c r="AI53" s="247">
        <v>15</v>
      </c>
      <c r="AJ53" s="247" t="s">
        <v>590</v>
      </c>
    </row>
    <row r="54" spans="1:36">
      <c r="A54" t="s">
        <v>83</v>
      </c>
      <c r="B54" s="19" t="s">
        <v>302</v>
      </c>
      <c r="C54" t="s">
        <v>303</v>
      </c>
      <c r="D54" s="1">
        <v>2.7</v>
      </c>
      <c r="E54" s="20">
        <f t="shared" si="0"/>
        <v>3.846153846153845E-2</v>
      </c>
      <c r="AA54" s="247">
        <v>172</v>
      </c>
      <c r="AB54" s="247" t="s">
        <v>591</v>
      </c>
      <c r="AC54" s="247" t="s">
        <v>516</v>
      </c>
      <c r="AD54" s="247" t="s">
        <v>516</v>
      </c>
      <c r="AE54" s="247" t="s">
        <v>533</v>
      </c>
      <c r="AF54" s="247">
        <v>75</v>
      </c>
      <c r="AG54" s="247" t="s">
        <v>528</v>
      </c>
      <c r="AH54" s="247">
        <v>20</v>
      </c>
      <c r="AI54" s="247">
        <v>15</v>
      </c>
      <c r="AJ54" s="247" t="s">
        <v>581</v>
      </c>
    </row>
    <row r="55" spans="1:36">
      <c r="A55" t="s">
        <v>84</v>
      </c>
      <c r="B55" s="19" t="s">
        <v>302</v>
      </c>
      <c r="C55" t="s">
        <v>303</v>
      </c>
      <c r="D55" s="1">
        <v>2.7</v>
      </c>
      <c r="E55" s="20">
        <f t="shared" si="0"/>
        <v>3.846153846153845E-2</v>
      </c>
      <c r="AA55" s="247">
        <v>173</v>
      </c>
      <c r="AB55" s="247" t="s">
        <v>592</v>
      </c>
      <c r="AC55" s="247" t="s">
        <v>516</v>
      </c>
      <c r="AD55" s="247" t="s">
        <v>516</v>
      </c>
      <c r="AE55" s="247" t="s">
        <v>533</v>
      </c>
      <c r="AF55" s="247">
        <v>75</v>
      </c>
      <c r="AG55" s="247" t="s">
        <v>528</v>
      </c>
      <c r="AH55" s="247">
        <v>20</v>
      </c>
      <c r="AI55" s="247">
        <v>15</v>
      </c>
      <c r="AJ55" s="247" t="s">
        <v>581</v>
      </c>
    </row>
    <row r="56" spans="1:36">
      <c r="A56" t="s">
        <v>85</v>
      </c>
      <c r="B56" s="19" t="s">
        <v>302</v>
      </c>
      <c r="C56" t="s">
        <v>303</v>
      </c>
      <c r="D56" s="1">
        <v>2.7</v>
      </c>
      <c r="E56" s="20">
        <f t="shared" si="0"/>
        <v>3.846153846153845E-2</v>
      </c>
      <c r="AA56" s="247">
        <v>175</v>
      </c>
      <c r="AB56" s="247" t="s">
        <v>593</v>
      </c>
      <c r="AC56" s="247" t="s">
        <v>516</v>
      </c>
      <c r="AD56" s="247" t="s">
        <v>516</v>
      </c>
      <c r="AE56" s="247" t="s">
        <v>533</v>
      </c>
      <c r="AF56" s="247">
        <v>60</v>
      </c>
      <c r="AG56" s="247" t="s">
        <v>528</v>
      </c>
      <c r="AH56" s="247">
        <v>0</v>
      </c>
      <c r="AI56" s="247">
        <v>15</v>
      </c>
      <c r="AJ56" s="247" t="s">
        <v>581</v>
      </c>
    </row>
    <row r="57" spans="1:36">
      <c r="A57" t="s">
        <v>86</v>
      </c>
      <c r="B57" s="19" t="s">
        <v>302</v>
      </c>
      <c r="C57" t="s">
        <v>303</v>
      </c>
      <c r="D57" s="1">
        <v>2.7</v>
      </c>
      <c r="E57" s="20">
        <f t="shared" si="0"/>
        <v>3.846153846153845E-2</v>
      </c>
      <c r="AA57" s="247">
        <v>176</v>
      </c>
      <c r="AB57" s="247" t="s">
        <v>594</v>
      </c>
      <c r="AC57" s="247" t="s">
        <v>516</v>
      </c>
      <c r="AD57" s="247" t="s">
        <v>516</v>
      </c>
      <c r="AE57" s="247" t="s">
        <v>543</v>
      </c>
      <c r="AF57" s="247">
        <v>0</v>
      </c>
      <c r="AG57" s="247" t="s">
        <v>528</v>
      </c>
      <c r="AH57" s="247">
        <v>0</v>
      </c>
      <c r="AI57" s="247">
        <v>27</v>
      </c>
      <c r="AJ57" s="247"/>
    </row>
    <row r="58" spans="1:36">
      <c r="A58" t="s">
        <v>87</v>
      </c>
      <c r="B58" s="19" t="s">
        <v>302</v>
      </c>
      <c r="C58" t="s">
        <v>303</v>
      </c>
      <c r="D58" s="1">
        <v>2.7</v>
      </c>
      <c r="E58" s="20">
        <f t="shared" si="0"/>
        <v>3.846153846153845E-2</v>
      </c>
      <c r="AA58" s="247">
        <v>177</v>
      </c>
      <c r="AB58" s="247" t="s">
        <v>595</v>
      </c>
      <c r="AC58" s="247" t="s">
        <v>516</v>
      </c>
      <c r="AD58" s="247" t="s">
        <v>516</v>
      </c>
      <c r="AE58" s="247" t="s">
        <v>533</v>
      </c>
      <c r="AF58" s="247">
        <v>180</v>
      </c>
      <c r="AG58" s="247" t="s">
        <v>528</v>
      </c>
      <c r="AH58" s="247">
        <v>0</v>
      </c>
      <c r="AI58" s="247">
        <v>15</v>
      </c>
      <c r="AJ58" s="247" t="s">
        <v>581</v>
      </c>
    </row>
    <row r="59" spans="1:36">
      <c r="A59" t="s">
        <v>88</v>
      </c>
      <c r="B59" s="19" t="s">
        <v>302</v>
      </c>
      <c r="C59" t="s">
        <v>303</v>
      </c>
      <c r="D59" s="1">
        <v>2.7</v>
      </c>
      <c r="E59" s="20">
        <f t="shared" si="0"/>
        <v>3.846153846153845E-2</v>
      </c>
      <c r="AA59" s="247">
        <v>178</v>
      </c>
      <c r="AB59" s="247" t="s">
        <v>596</v>
      </c>
      <c r="AC59" s="247" t="s">
        <v>516</v>
      </c>
      <c r="AD59" s="247" t="s">
        <v>516</v>
      </c>
      <c r="AE59" s="247" t="s">
        <v>533</v>
      </c>
      <c r="AF59" s="247">
        <v>75</v>
      </c>
      <c r="AG59" s="247" t="s">
        <v>528</v>
      </c>
      <c r="AH59" s="247">
        <v>20</v>
      </c>
      <c r="AI59" s="247">
        <v>15</v>
      </c>
      <c r="AJ59" s="247" t="s">
        <v>581</v>
      </c>
    </row>
    <row r="60" spans="1:36">
      <c r="A60" t="s">
        <v>89</v>
      </c>
      <c r="B60" s="19" t="s">
        <v>302</v>
      </c>
      <c r="C60" t="s">
        <v>303</v>
      </c>
      <c r="D60" s="1">
        <v>2.7</v>
      </c>
      <c r="E60" s="20">
        <f t="shared" si="0"/>
        <v>3.846153846153845E-2</v>
      </c>
      <c r="AA60" s="247">
        <v>181</v>
      </c>
      <c r="AB60" s="247" t="s">
        <v>597</v>
      </c>
      <c r="AC60" s="247" t="s">
        <v>516</v>
      </c>
      <c r="AD60" s="247" t="s">
        <v>516</v>
      </c>
      <c r="AE60" s="247" t="s">
        <v>533</v>
      </c>
      <c r="AF60" s="247">
        <v>52</v>
      </c>
      <c r="AG60" s="247" t="s">
        <v>528</v>
      </c>
      <c r="AH60" s="247">
        <v>0</v>
      </c>
      <c r="AI60" s="247">
        <v>15</v>
      </c>
      <c r="AJ60" s="247" t="s">
        <v>581</v>
      </c>
    </row>
    <row r="61" spans="1:36">
      <c r="A61" t="s">
        <v>90</v>
      </c>
      <c r="B61" s="19" t="s">
        <v>302</v>
      </c>
      <c r="C61" t="s">
        <v>303</v>
      </c>
      <c r="D61" s="1">
        <v>2.7</v>
      </c>
      <c r="E61" s="20">
        <f t="shared" si="0"/>
        <v>3.846153846153845E-2</v>
      </c>
      <c r="AA61" s="247">
        <v>182</v>
      </c>
      <c r="AB61" s="247" t="s">
        <v>598</v>
      </c>
      <c r="AC61" s="247" t="s">
        <v>516</v>
      </c>
      <c r="AD61" s="247" t="s">
        <v>516</v>
      </c>
      <c r="AE61" s="247" t="s">
        <v>533</v>
      </c>
      <c r="AF61" s="247">
        <v>52</v>
      </c>
      <c r="AG61" s="247" t="s">
        <v>528</v>
      </c>
      <c r="AH61" s="247">
        <v>0</v>
      </c>
      <c r="AI61" s="247">
        <v>15</v>
      </c>
      <c r="AJ61" s="247" t="s">
        <v>581</v>
      </c>
    </row>
    <row r="62" spans="1:36">
      <c r="A62" t="s">
        <v>91</v>
      </c>
      <c r="B62" s="19" t="s">
        <v>302</v>
      </c>
      <c r="C62" t="s">
        <v>303</v>
      </c>
      <c r="D62" s="1">
        <v>2.7</v>
      </c>
      <c r="E62" s="20">
        <f t="shared" si="0"/>
        <v>3.846153846153845E-2</v>
      </c>
      <c r="AA62" s="247">
        <v>183</v>
      </c>
      <c r="AB62" s="247" t="s">
        <v>599</v>
      </c>
      <c r="AC62" s="247" t="s">
        <v>516</v>
      </c>
      <c r="AD62" s="247" t="s">
        <v>516</v>
      </c>
      <c r="AE62" s="247" t="s">
        <v>507</v>
      </c>
      <c r="AF62" s="247">
        <v>0</v>
      </c>
      <c r="AG62" s="247" t="s">
        <v>528</v>
      </c>
      <c r="AH62" s="247">
        <v>20</v>
      </c>
      <c r="AI62" s="247">
        <v>28</v>
      </c>
      <c r="AJ62" s="247"/>
    </row>
    <row r="63" spans="1:36">
      <c r="A63" t="s">
        <v>92</v>
      </c>
      <c r="B63" s="19" t="s">
        <v>302</v>
      </c>
      <c r="C63" t="s">
        <v>303</v>
      </c>
      <c r="D63" s="1">
        <v>2.7</v>
      </c>
      <c r="E63" s="20">
        <f t="shared" si="0"/>
        <v>3.846153846153845E-2</v>
      </c>
      <c r="AA63" s="247">
        <v>200</v>
      </c>
      <c r="AB63" s="247" t="s">
        <v>600</v>
      </c>
      <c r="AC63" s="247">
        <v>7</v>
      </c>
      <c r="AD63" s="247" t="s">
        <v>601</v>
      </c>
      <c r="AE63" s="247" t="s">
        <v>507</v>
      </c>
      <c r="AF63" s="247">
        <v>60</v>
      </c>
      <c r="AG63" s="247"/>
      <c r="AH63" s="247">
        <v>20</v>
      </c>
      <c r="AI63" s="247">
        <v>9</v>
      </c>
      <c r="AJ63" s="247"/>
    </row>
    <row r="64" spans="1:36">
      <c r="A64" t="s">
        <v>93</v>
      </c>
      <c r="B64" s="19" t="s">
        <v>302</v>
      </c>
      <c r="C64" t="s">
        <v>303</v>
      </c>
      <c r="D64" s="1">
        <v>2.7</v>
      </c>
      <c r="E64" s="20">
        <f t="shared" si="0"/>
        <v>3.846153846153845E-2</v>
      </c>
      <c r="AA64" s="247">
        <v>201</v>
      </c>
      <c r="AB64" s="247" t="s">
        <v>602</v>
      </c>
      <c r="AC64" s="247" t="s">
        <v>516</v>
      </c>
      <c r="AD64" s="247" t="s">
        <v>516</v>
      </c>
      <c r="AE64" s="247" t="s">
        <v>507</v>
      </c>
      <c r="AF64" s="247">
        <v>180</v>
      </c>
      <c r="AG64" s="247"/>
      <c r="AH64" s="247">
        <v>20</v>
      </c>
      <c r="AI64" s="247">
        <v>9</v>
      </c>
      <c r="AJ64" s="247"/>
    </row>
    <row r="65" spans="1:36">
      <c r="A65" t="s">
        <v>94</v>
      </c>
      <c r="B65" s="19" t="s">
        <v>302</v>
      </c>
      <c r="C65" t="s">
        <v>303</v>
      </c>
      <c r="D65" s="1">
        <v>2.7</v>
      </c>
      <c r="E65" s="20">
        <f t="shared" si="0"/>
        <v>3.846153846153845E-2</v>
      </c>
      <c r="AA65" s="247">
        <v>205</v>
      </c>
      <c r="AB65" s="247" t="s">
        <v>603</v>
      </c>
      <c r="AC65" s="247" t="s">
        <v>516</v>
      </c>
      <c r="AD65" s="247" t="s">
        <v>516</v>
      </c>
      <c r="AE65" s="247" t="s">
        <v>507</v>
      </c>
      <c r="AF65" s="247">
        <v>60</v>
      </c>
      <c r="AG65" s="247"/>
      <c r="AH65" s="247">
        <v>20</v>
      </c>
      <c r="AI65" s="247">
        <v>9</v>
      </c>
      <c r="AJ65" s="247"/>
    </row>
    <row r="66" spans="1:36">
      <c r="A66" t="s">
        <v>95</v>
      </c>
      <c r="B66" s="19" t="s">
        <v>302</v>
      </c>
      <c r="C66" t="s">
        <v>303</v>
      </c>
      <c r="D66" s="1">
        <v>2.7</v>
      </c>
      <c r="E66" s="20">
        <f t="shared" si="0"/>
        <v>3.846153846153845E-2</v>
      </c>
      <c r="AA66" s="247">
        <v>210</v>
      </c>
      <c r="AB66" s="247" t="s">
        <v>604</v>
      </c>
      <c r="AC66" s="247">
        <v>451</v>
      </c>
      <c r="AD66" s="247" t="s">
        <v>604</v>
      </c>
      <c r="AE66" s="247" t="s">
        <v>507</v>
      </c>
      <c r="AF66" s="247">
        <v>60</v>
      </c>
      <c r="AG66" s="247"/>
      <c r="AH66" s="247">
        <v>20</v>
      </c>
      <c r="AI66" s="247">
        <v>9</v>
      </c>
      <c r="AJ66" s="247"/>
    </row>
    <row r="67" spans="1:36">
      <c r="A67" t="s">
        <v>96</v>
      </c>
      <c r="B67" s="19" t="s">
        <v>302</v>
      </c>
      <c r="C67" t="s">
        <v>303</v>
      </c>
      <c r="D67" s="1">
        <v>2.7</v>
      </c>
      <c r="E67" s="20">
        <f t="shared" si="0"/>
        <v>3.846153846153845E-2</v>
      </c>
      <c r="AA67" s="247">
        <v>220</v>
      </c>
      <c r="AB67" s="247" t="s">
        <v>605</v>
      </c>
      <c r="AC67" s="247">
        <v>2174</v>
      </c>
      <c r="AD67" s="247" t="s">
        <v>606</v>
      </c>
      <c r="AE67" s="247" t="s">
        <v>507</v>
      </c>
      <c r="AF67" s="247">
        <v>0</v>
      </c>
      <c r="AG67" s="247"/>
      <c r="AH67" s="247">
        <v>20</v>
      </c>
      <c r="AI67" s="247">
        <v>28</v>
      </c>
      <c r="AJ67" s="247"/>
    </row>
    <row r="68" spans="1:36">
      <c r="A68" t="s">
        <v>97</v>
      </c>
      <c r="B68" s="19" t="s">
        <v>302</v>
      </c>
      <c r="C68" t="s">
        <v>303</v>
      </c>
      <c r="D68" s="1">
        <v>2.7</v>
      </c>
      <c r="E68" s="20">
        <f t="shared" ref="E68:E70" si="1">D68/$K$3</f>
        <v>3.846153846153845E-2</v>
      </c>
      <c r="AA68" s="247">
        <v>221</v>
      </c>
      <c r="AB68" s="247" t="s">
        <v>607</v>
      </c>
      <c r="AC68" s="247" t="s">
        <v>516</v>
      </c>
      <c r="AD68" s="247" t="s">
        <v>516</v>
      </c>
      <c r="AE68" s="247" t="s">
        <v>507</v>
      </c>
      <c r="AF68" s="247">
        <v>0</v>
      </c>
      <c r="AG68" s="247"/>
      <c r="AH68" s="247">
        <v>20</v>
      </c>
      <c r="AI68" s="247">
        <v>28</v>
      </c>
      <c r="AJ68" s="247"/>
    </row>
    <row r="69" spans="1:36">
      <c r="A69" t="s">
        <v>98</v>
      </c>
      <c r="B69" s="19" t="s">
        <v>302</v>
      </c>
      <c r="C69" t="s">
        <v>303</v>
      </c>
      <c r="D69" s="1">
        <v>2.7</v>
      </c>
      <c r="E69" s="20">
        <f t="shared" si="1"/>
        <v>3.846153846153845E-2</v>
      </c>
      <c r="AA69" s="247">
        <v>225</v>
      </c>
      <c r="AB69" s="247" t="s">
        <v>608</v>
      </c>
      <c r="AC69" s="247">
        <v>2176</v>
      </c>
      <c r="AD69" s="247" t="s">
        <v>609</v>
      </c>
      <c r="AE69" s="247" t="s">
        <v>507</v>
      </c>
      <c r="AF69" s="247">
        <v>0</v>
      </c>
      <c r="AG69" s="247"/>
      <c r="AH69" s="247">
        <v>20</v>
      </c>
      <c r="AI69" s="247">
        <v>28</v>
      </c>
      <c r="AJ69" s="247"/>
    </row>
    <row r="70" spans="1:36">
      <c r="A70" t="s">
        <v>99</v>
      </c>
      <c r="B70" s="19" t="s">
        <v>302</v>
      </c>
      <c r="C70" t="s">
        <v>303</v>
      </c>
      <c r="D70" s="1">
        <v>2.7</v>
      </c>
      <c r="E70" s="20">
        <f t="shared" si="1"/>
        <v>3.846153846153845E-2</v>
      </c>
      <c r="AA70" s="247">
        <v>226</v>
      </c>
      <c r="AB70" s="247" t="s">
        <v>610</v>
      </c>
      <c r="AC70" s="247" t="s">
        <v>516</v>
      </c>
      <c r="AD70" s="247" t="s">
        <v>516</v>
      </c>
      <c r="AE70" s="247" t="s">
        <v>507</v>
      </c>
      <c r="AF70" s="247">
        <v>0</v>
      </c>
      <c r="AG70" s="247"/>
      <c r="AH70" s="247">
        <v>20</v>
      </c>
      <c r="AI70" s="247">
        <v>28</v>
      </c>
      <c r="AJ70" s="247"/>
    </row>
    <row r="71" spans="1:36">
      <c r="B71" s="19"/>
      <c r="D71" s="1"/>
      <c r="E71" s="20"/>
      <c r="AA71" s="247">
        <v>228</v>
      </c>
      <c r="AB71" s="247" t="s">
        <v>611</v>
      </c>
      <c r="AC71" s="247" t="s">
        <v>516</v>
      </c>
      <c r="AD71" s="247" t="s">
        <v>516</v>
      </c>
      <c r="AE71" s="247" t="s">
        <v>507</v>
      </c>
      <c r="AF71" s="247">
        <v>52</v>
      </c>
      <c r="AG71" s="247"/>
      <c r="AH71" s="247">
        <v>20</v>
      </c>
      <c r="AI71" s="247">
        <v>2</v>
      </c>
      <c r="AJ71" s="247"/>
    </row>
    <row r="72" spans="1:36">
      <c r="B72" s="19"/>
      <c r="D72" s="1"/>
      <c r="E72" s="20"/>
      <c r="AA72" s="247">
        <v>229</v>
      </c>
      <c r="AB72" s="247" t="s">
        <v>612</v>
      </c>
      <c r="AC72" s="247" t="s">
        <v>516</v>
      </c>
      <c r="AD72" s="247" t="s">
        <v>516</v>
      </c>
      <c r="AE72" s="247" t="s">
        <v>507</v>
      </c>
      <c r="AF72" s="247">
        <v>52</v>
      </c>
      <c r="AG72" s="247"/>
      <c r="AH72" s="247">
        <v>20</v>
      </c>
      <c r="AI72" s="247">
        <v>28</v>
      </c>
      <c r="AJ72" s="247"/>
    </row>
    <row r="73" spans="1:36">
      <c r="B73" s="19"/>
      <c r="D73" s="1"/>
      <c r="E73" s="20"/>
      <c r="AA73" s="247">
        <v>245</v>
      </c>
      <c r="AB73" s="247" t="s">
        <v>613</v>
      </c>
      <c r="AC73" s="247" t="s">
        <v>516</v>
      </c>
      <c r="AD73" s="247" t="s">
        <v>516</v>
      </c>
      <c r="AE73" s="247" t="s">
        <v>507</v>
      </c>
      <c r="AF73" s="247">
        <v>0</v>
      </c>
      <c r="AG73" s="247"/>
      <c r="AH73" s="247">
        <v>20</v>
      </c>
      <c r="AI73" s="247">
        <v>28</v>
      </c>
      <c r="AJ73" s="247"/>
    </row>
    <row r="74" spans="1:36">
      <c r="B74" s="19"/>
      <c r="D74" s="1"/>
      <c r="E74" s="20"/>
      <c r="AA74" s="247">
        <v>246</v>
      </c>
      <c r="AB74" s="247" t="s">
        <v>614</v>
      </c>
      <c r="AC74" s="247" t="s">
        <v>516</v>
      </c>
      <c r="AD74" s="247" t="s">
        <v>516</v>
      </c>
      <c r="AE74" s="247" t="s">
        <v>507</v>
      </c>
      <c r="AF74" s="247">
        <v>0</v>
      </c>
      <c r="AG74" s="247"/>
      <c r="AH74" s="247">
        <v>20</v>
      </c>
      <c r="AI74" s="247">
        <v>28</v>
      </c>
      <c r="AJ74" s="247"/>
    </row>
    <row r="75" spans="1:36">
      <c r="B75" s="19"/>
      <c r="D75" s="1"/>
      <c r="E75" s="20"/>
      <c r="AA75" s="247">
        <v>248</v>
      </c>
      <c r="AB75" s="247" t="s">
        <v>615</v>
      </c>
      <c r="AC75" s="247" t="s">
        <v>516</v>
      </c>
      <c r="AD75" s="247" t="s">
        <v>516</v>
      </c>
      <c r="AE75" s="247" t="s">
        <v>507</v>
      </c>
      <c r="AF75" s="247">
        <v>0</v>
      </c>
      <c r="AG75" s="247"/>
      <c r="AH75" s="247">
        <v>20</v>
      </c>
      <c r="AI75" s="247">
        <v>28</v>
      </c>
      <c r="AJ75" s="247"/>
    </row>
    <row r="76" spans="1:36">
      <c r="B76" s="19"/>
      <c r="D76" s="1"/>
      <c r="E76" s="20"/>
      <c r="AA76" s="247">
        <v>249</v>
      </c>
      <c r="AB76" s="247" t="s">
        <v>616</v>
      </c>
      <c r="AC76" s="247" t="s">
        <v>516</v>
      </c>
      <c r="AD76" s="247" t="s">
        <v>516</v>
      </c>
      <c r="AE76" s="247" t="s">
        <v>543</v>
      </c>
      <c r="AF76" s="247">
        <v>0</v>
      </c>
      <c r="AG76" s="247" t="s">
        <v>528</v>
      </c>
      <c r="AH76" s="247">
        <v>20</v>
      </c>
      <c r="AI76" s="247">
        <v>27</v>
      </c>
      <c r="AJ76" s="247"/>
    </row>
    <row r="77" spans="1:36">
      <c r="B77" s="19"/>
      <c r="D77" s="1"/>
      <c r="E77" s="20"/>
      <c r="AA77" s="247">
        <v>250</v>
      </c>
      <c r="AB77" s="247" t="s">
        <v>617</v>
      </c>
      <c r="AC77" s="247" t="s">
        <v>516</v>
      </c>
      <c r="AD77" s="247" t="s">
        <v>516</v>
      </c>
      <c r="AE77" s="247" t="s">
        <v>507</v>
      </c>
      <c r="AF77" s="247">
        <v>0</v>
      </c>
      <c r="AG77" s="247"/>
      <c r="AH77" s="247">
        <v>20</v>
      </c>
      <c r="AI77" s="247">
        <v>28</v>
      </c>
      <c r="AJ77" s="247"/>
    </row>
    <row r="78" spans="1:36">
      <c r="B78" s="19"/>
      <c r="D78" s="1"/>
      <c r="E78" s="20"/>
      <c r="AA78" s="247">
        <v>251</v>
      </c>
      <c r="AB78" s="247" t="s">
        <v>618</v>
      </c>
      <c r="AC78" s="247" t="s">
        <v>516</v>
      </c>
      <c r="AD78" s="247" t="s">
        <v>516</v>
      </c>
      <c r="AE78" s="247" t="s">
        <v>507</v>
      </c>
      <c r="AF78" s="247">
        <v>60</v>
      </c>
      <c r="AG78" s="247"/>
      <c r="AH78" s="247">
        <v>20</v>
      </c>
      <c r="AI78" s="247">
        <v>28</v>
      </c>
      <c r="AJ78" s="247"/>
    </row>
    <row r="79" spans="1:36">
      <c r="B79" s="19"/>
      <c r="D79" s="1"/>
      <c r="E79" s="20"/>
      <c r="AA79" s="247">
        <v>252</v>
      </c>
      <c r="AB79" s="247" t="s">
        <v>619</v>
      </c>
      <c r="AC79" s="247" t="s">
        <v>516</v>
      </c>
      <c r="AD79" s="247" t="s">
        <v>516</v>
      </c>
      <c r="AE79" s="247" t="s">
        <v>543</v>
      </c>
      <c r="AF79" s="247">
        <v>0</v>
      </c>
      <c r="AG79" s="247"/>
      <c r="AH79" s="247">
        <v>20</v>
      </c>
      <c r="AI79" s="247">
        <v>28</v>
      </c>
      <c r="AJ79" s="247"/>
    </row>
    <row r="80" spans="1:36">
      <c r="B80" s="19"/>
      <c r="D80" s="1"/>
      <c r="E80" s="20"/>
      <c r="AA80" s="247">
        <v>253</v>
      </c>
      <c r="AB80" s="247" t="s">
        <v>620</v>
      </c>
      <c r="AC80" s="247" t="s">
        <v>516</v>
      </c>
      <c r="AD80" s="247" t="s">
        <v>516</v>
      </c>
      <c r="AE80" s="247" t="s">
        <v>507</v>
      </c>
      <c r="AF80" s="247">
        <v>60</v>
      </c>
      <c r="AG80" s="247"/>
      <c r="AH80" s="247">
        <v>20</v>
      </c>
      <c r="AI80" s="247">
        <v>28</v>
      </c>
      <c r="AJ80" s="247"/>
    </row>
    <row r="81" spans="1:36">
      <c r="B81" s="19"/>
      <c r="D81" s="1"/>
      <c r="E81" s="20"/>
      <c r="AA81" s="247">
        <v>254</v>
      </c>
      <c r="AB81" s="247" t="s">
        <v>621</v>
      </c>
      <c r="AC81" s="247" t="s">
        <v>516</v>
      </c>
      <c r="AD81" s="247" t="s">
        <v>516</v>
      </c>
      <c r="AE81" s="247" t="s">
        <v>533</v>
      </c>
      <c r="AF81" s="247">
        <v>60</v>
      </c>
      <c r="AG81" s="247"/>
      <c r="AH81" s="247">
        <v>0</v>
      </c>
      <c r="AI81" s="247">
        <v>28</v>
      </c>
      <c r="AJ81" s="247"/>
    </row>
    <row r="82" spans="1:36">
      <c r="A82" t="s">
        <v>508</v>
      </c>
      <c r="B82" s="19" t="s">
        <v>302</v>
      </c>
      <c r="C82" t="s">
        <v>303</v>
      </c>
      <c r="D82" s="1">
        <v>70</v>
      </c>
      <c r="E82" s="20">
        <v>1</v>
      </c>
      <c r="AA82" s="247">
        <v>305</v>
      </c>
      <c r="AB82" s="247" t="s">
        <v>622</v>
      </c>
      <c r="AC82" s="247">
        <v>424</v>
      </c>
      <c r="AD82" s="247" t="s">
        <v>622</v>
      </c>
      <c r="AE82" s="247" t="s">
        <v>533</v>
      </c>
      <c r="AF82" s="247">
        <v>52</v>
      </c>
      <c r="AG82" s="247" t="s">
        <v>528</v>
      </c>
      <c r="AH82" s="247">
        <v>0</v>
      </c>
      <c r="AI82" s="247">
        <v>23</v>
      </c>
      <c r="AJ82" s="247"/>
    </row>
    <row r="83" spans="1:36">
      <c r="A83" t="s">
        <v>477</v>
      </c>
      <c r="B83" s="19" t="s">
        <v>302</v>
      </c>
      <c r="C83" t="s">
        <v>303</v>
      </c>
      <c r="D83" s="1">
        <v>70</v>
      </c>
      <c r="E83" s="20">
        <v>1</v>
      </c>
      <c r="AA83" s="247">
        <v>308</v>
      </c>
      <c r="AB83" s="247" t="s">
        <v>623</v>
      </c>
      <c r="AC83" s="247" t="s">
        <v>516</v>
      </c>
      <c r="AD83" s="247" t="s">
        <v>516</v>
      </c>
      <c r="AE83" s="247" t="s">
        <v>533</v>
      </c>
      <c r="AF83" s="247">
        <v>75</v>
      </c>
      <c r="AG83" s="247" t="s">
        <v>528</v>
      </c>
      <c r="AH83" s="247">
        <v>0</v>
      </c>
      <c r="AI83" s="247">
        <v>18</v>
      </c>
      <c r="AJ83" s="247"/>
    </row>
    <row r="84" spans="1:36">
      <c r="AA84" s="247">
        <v>310</v>
      </c>
      <c r="AB84" s="247" t="s">
        <v>624</v>
      </c>
      <c r="AC84" s="247">
        <v>431</v>
      </c>
      <c r="AD84" s="247" t="s">
        <v>625</v>
      </c>
      <c r="AE84" s="247" t="s">
        <v>533</v>
      </c>
      <c r="AF84" s="247">
        <v>180</v>
      </c>
      <c r="AG84" s="247" t="s">
        <v>528</v>
      </c>
      <c r="AH84" s="247">
        <v>0</v>
      </c>
      <c r="AI84" s="247">
        <v>18</v>
      </c>
      <c r="AJ84" s="247"/>
    </row>
    <row r="85" spans="1:36">
      <c r="AA85" s="247">
        <v>320</v>
      </c>
      <c r="AB85" s="247" t="s">
        <v>626</v>
      </c>
      <c r="AC85" s="247">
        <v>495</v>
      </c>
      <c r="AD85" s="247" t="s">
        <v>627</v>
      </c>
      <c r="AE85" s="247" t="s">
        <v>533</v>
      </c>
      <c r="AF85" s="247">
        <v>180</v>
      </c>
      <c r="AG85" s="247" t="s">
        <v>528</v>
      </c>
      <c r="AH85" s="247">
        <v>0</v>
      </c>
      <c r="AI85" s="247">
        <v>18</v>
      </c>
      <c r="AJ85" s="247"/>
    </row>
    <row r="86" spans="1:36">
      <c r="AA86" s="247">
        <v>325</v>
      </c>
      <c r="AB86" s="247" t="s">
        <v>628</v>
      </c>
      <c r="AC86" s="247">
        <v>494</v>
      </c>
      <c r="AD86" s="247" t="s">
        <v>629</v>
      </c>
      <c r="AE86" s="247" t="s">
        <v>533</v>
      </c>
      <c r="AF86" s="247">
        <v>180</v>
      </c>
      <c r="AG86" s="247" t="s">
        <v>528</v>
      </c>
      <c r="AH86" s="247">
        <v>0</v>
      </c>
      <c r="AI86" s="247">
        <v>18</v>
      </c>
      <c r="AJ86" s="247"/>
    </row>
    <row r="87" spans="1:36">
      <c r="AA87" s="247">
        <v>330</v>
      </c>
      <c r="AB87" s="247" t="s">
        <v>630</v>
      </c>
      <c r="AC87" s="247">
        <v>448</v>
      </c>
      <c r="AD87" s="247" t="s">
        <v>631</v>
      </c>
      <c r="AE87" s="247" t="s">
        <v>533</v>
      </c>
      <c r="AF87" s="247">
        <v>180</v>
      </c>
      <c r="AG87" s="247" t="s">
        <v>528</v>
      </c>
      <c r="AH87" s="247">
        <v>0</v>
      </c>
      <c r="AI87" s="247">
        <v>18</v>
      </c>
      <c r="AJ87" s="247"/>
    </row>
    <row r="88" spans="1:36">
      <c r="AA88" s="247">
        <v>331</v>
      </c>
      <c r="AB88" s="247" t="s">
        <v>632</v>
      </c>
      <c r="AC88" s="247" t="s">
        <v>516</v>
      </c>
      <c r="AD88" s="247" t="s">
        <v>516</v>
      </c>
      <c r="AE88" s="247" t="s">
        <v>533</v>
      </c>
      <c r="AF88" s="247">
        <v>52</v>
      </c>
      <c r="AG88" s="247" t="s">
        <v>528</v>
      </c>
      <c r="AH88" s="247">
        <v>20</v>
      </c>
      <c r="AI88" s="247">
        <v>15</v>
      </c>
      <c r="AJ88" s="247"/>
    </row>
    <row r="89" spans="1:36">
      <c r="AA89" s="247">
        <v>332</v>
      </c>
      <c r="AB89" s="247" t="s">
        <v>633</v>
      </c>
      <c r="AC89" s="247">
        <v>1824</v>
      </c>
      <c r="AD89" s="247" t="s">
        <v>634</v>
      </c>
      <c r="AE89" s="247" t="s">
        <v>533</v>
      </c>
      <c r="AF89" s="247">
        <v>190</v>
      </c>
      <c r="AG89" s="247" t="s">
        <v>528</v>
      </c>
      <c r="AH89" s="247">
        <v>0</v>
      </c>
      <c r="AI89" s="247">
        <v>18</v>
      </c>
      <c r="AJ89" s="247"/>
    </row>
    <row r="90" spans="1:36">
      <c r="AA90" s="247">
        <v>335</v>
      </c>
      <c r="AB90" s="247" t="s">
        <v>635</v>
      </c>
      <c r="AC90" s="247">
        <v>490</v>
      </c>
      <c r="AD90" s="247" t="s">
        <v>636</v>
      </c>
      <c r="AE90" s="247" t="s">
        <v>533</v>
      </c>
      <c r="AF90" s="247">
        <v>190</v>
      </c>
      <c r="AG90" s="247" t="s">
        <v>528</v>
      </c>
      <c r="AH90" s="247">
        <v>0</v>
      </c>
      <c r="AI90" s="247">
        <v>18</v>
      </c>
      <c r="AJ90" s="247"/>
    </row>
    <row r="91" spans="1:36">
      <c r="AA91" s="247">
        <v>340</v>
      </c>
      <c r="AB91" s="247" t="s">
        <v>637</v>
      </c>
      <c r="AC91" s="247">
        <v>491</v>
      </c>
      <c r="AD91" s="247" t="s">
        <v>638</v>
      </c>
      <c r="AE91" s="247" t="s">
        <v>533</v>
      </c>
      <c r="AF91" s="247">
        <v>190</v>
      </c>
      <c r="AG91" s="247" t="s">
        <v>528</v>
      </c>
      <c r="AH91" s="247">
        <v>0</v>
      </c>
      <c r="AI91" s="247">
        <v>18</v>
      </c>
      <c r="AJ91" s="247"/>
    </row>
    <row r="92" spans="1:36">
      <c r="AA92" s="247">
        <v>360</v>
      </c>
      <c r="AB92" s="247" t="s">
        <v>639</v>
      </c>
      <c r="AC92" s="247">
        <v>1540</v>
      </c>
      <c r="AD92" s="247" t="s">
        <v>640</v>
      </c>
      <c r="AE92" s="247" t="s">
        <v>533</v>
      </c>
      <c r="AF92" s="247">
        <v>52</v>
      </c>
      <c r="AG92" s="247" t="s">
        <v>528</v>
      </c>
      <c r="AH92" s="247">
        <v>0</v>
      </c>
      <c r="AI92" s="247">
        <v>21</v>
      </c>
      <c r="AJ92" s="247"/>
    </row>
    <row r="93" spans="1:36">
      <c r="AA93" s="247">
        <v>365</v>
      </c>
      <c r="AB93" s="247" t="s">
        <v>641</v>
      </c>
      <c r="AC93" s="247" t="s">
        <v>516</v>
      </c>
      <c r="AD93" s="247" t="s">
        <v>516</v>
      </c>
      <c r="AE93" s="247" t="s">
        <v>533</v>
      </c>
      <c r="AF93" s="247">
        <v>52</v>
      </c>
      <c r="AG93" s="247" t="s">
        <v>528</v>
      </c>
      <c r="AH93" s="247">
        <v>0</v>
      </c>
      <c r="AI93" s="247">
        <v>21</v>
      </c>
      <c r="AJ93" s="247"/>
    </row>
    <row r="94" spans="1:36">
      <c r="AA94" s="247">
        <v>370</v>
      </c>
      <c r="AB94" s="247" t="s">
        <v>642</v>
      </c>
      <c r="AC94" s="247" t="s">
        <v>516</v>
      </c>
      <c r="AD94" s="247" t="s">
        <v>516</v>
      </c>
      <c r="AE94" s="247" t="s">
        <v>533</v>
      </c>
      <c r="AF94" s="247">
        <v>52</v>
      </c>
      <c r="AG94" s="247" t="s">
        <v>528</v>
      </c>
      <c r="AH94" s="247">
        <v>0</v>
      </c>
      <c r="AI94" s="247">
        <v>21</v>
      </c>
      <c r="AJ94" s="247"/>
    </row>
    <row r="95" spans="1:36">
      <c r="AA95" s="247">
        <v>400</v>
      </c>
      <c r="AB95" s="247" t="s">
        <v>643</v>
      </c>
      <c r="AC95" s="247">
        <v>26</v>
      </c>
      <c r="AD95" s="247" t="s">
        <v>643</v>
      </c>
      <c r="AE95" s="247" t="s">
        <v>507</v>
      </c>
      <c r="AF95" s="247">
        <v>0</v>
      </c>
      <c r="AG95" s="247"/>
      <c r="AH95" s="247">
        <v>0</v>
      </c>
      <c r="AI95" s="247">
        <v>27</v>
      </c>
      <c r="AJ95" s="247"/>
    </row>
    <row r="96" spans="1:36">
      <c r="AA96" s="247">
        <v>402</v>
      </c>
      <c r="AB96" s="247" t="s">
        <v>644</v>
      </c>
      <c r="AC96" s="247" t="s">
        <v>516</v>
      </c>
      <c r="AD96" s="247" t="s">
        <v>516</v>
      </c>
      <c r="AE96" s="247" t="s">
        <v>507</v>
      </c>
      <c r="AF96" s="247">
        <v>0</v>
      </c>
      <c r="AG96" s="247"/>
      <c r="AH96" s="247">
        <v>20</v>
      </c>
      <c r="AI96" s="247">
        <v>27</v>
      </c>
      <c r="AJ96" s="247"/>
    </row>
    <row r="97" spans="27:36">
      <c r="AA97" s="247">
        <v>403</v>
      </c>
      <c r="AB97" s="247" t="s">
        <v>645</v>
      </c>
      <c r="AC97" s="247" t="s">
        <v>516</v>
      </c>
      <c r="AD97" s="247" t="s">
        <v>516</v>
      </c>
      <c r="AE97" s="247" t="s">
        <v>507</v>
      </c>
      <c r="AF97" s="247">
        <v>0</v>
      </c>
      <c r="AG97" s="247"/>
      <c r="AH97" s="247">
        <v>20</v>
      </c>
      <c r="AI97" s="247">
        <v>32</v>
      </c>
      <c r="AJ97" s="247"/>
    </row>
    <row r="98" spans="27:36">
      <c r="AA98" s="247">
        <v>404</v>
      </c>
      <c r="AB98" s="247" t="s">
        <v>646</v>
      </c>
      <c r="AC98" s="247" t="s">
        <v>516</v>
      </c>
      <c r="AD98" s="247" t="s">
        <v>516</v>
      </c>
      <c r="AE98" s="247" t="s">
        <v>507</v>
      </c>
      <c r="AF98" s="247">
        <v>0</v>
      </c>
      <c r="AG98" s="247"/>
      <c r="AH98" s="247">
        <v>20</v>
      </c>
      <c r="AI98" s="247">
        <v>32</v>
      </c>
      <c r="AJ98" s="247"/>
    </row>
    <row r="99" spans="27:36">
      <c r="AA99" s="247">
        <v>405</v>
      </c>
      <c r="AB99" s="247" t="s">
        <v>647</v>
      </c>
      <c r="AC99" s="247" t="s">
        <v>516</v>
      </c>
      <c r="AD99" s="247" t="s">
        <v>516</v>
      </c>
      <c r="AE99" s="247" t="s">
        <v>507</v>
      </c>
      <c r="AF99" s="247">
        <v>52</v>
      </c>
      <c r="AG99" s="247"/>
      <c r="AH99" s="247">
        <v>20</v>
      </c>
      <c r="AI99" s="247">
        <v>9</v>
      </c>
      <c r="AJ99" s="247"/>
    </row>
    <row r="100" spans="27:36">
      <c r="AA100" s="247">
        <v>412</v>
      </c>
      <c r="AB100" s="247" t="s">
        <v>648</v>
      </c>
      <c r="AC100" s="247" t="s">
        <v>516</v>
      </c>
      <c r="AD100" s="247" t="s">
        <v>516</v>
      </c>
      <c r="AE100" s="247" t="s">
        <v>507</v>
      </c>
      <c r="AF100" s="247">
        <v>190</v>
      </c>
      <c r="AG100" s="247"/>
      <c r="AH100" s="247">
        <v>0</v>
      </c>
      <c r="AI100" s="247">
        <v>9</v>
      </c>
      <c r="AJ100" s="247"/>
    </row>
    <row r="101" spans="27:36">
      <c r="AA101" s="247">
        <v>414</v>
      </c>
      <c r="AB101" s="247" t="s">
        <v>649</v>
      </c>
      <c r="AC101" s="247" t="s">
        <v>516</v>
      </c>
      <c r="AD101" s="247" t="s">
        <v>516</v>
      </c>
      <c r="AE101" s="247" t="s">
        <v>507</v>
      </c>
      <c r="AF101" s="247">
        <v>180</v>
      </c>
      <c r="AG101" s="247"/>
      <c r="AH101" s="247">
        <v>0</v>
      </c>
      <c r="AI101" s="247">
        <v>9</v>
      </c>
      <c r="AJ101" s="247"/>
    </row>
    <row r="102" spans="27:36">
      <c r="AA102" s="247">
        <v>415</v>
      </c>
      <c r="AB102" s="247" t="s">
        <v>650</v>
      </c>
      <c r="AC102" s="247" t="s">
        <v>516</v>
      </c>
      <c r="AD102" s="247" t="s">
        <v>516</v>
      </c>
      <c r="AE102" s="247" t="s">
        <v>507</v>
      </c>
      <c r="AF102" s="247">
        <v>170</v>
      </c>
      <c r="AG102" s="247"/>
      <c r="AH102" s="247">
        <v>0</v>
      </c>
      <c r="AI102" s="247">
        <v>9</v>
      </c>
      <c r="AJ102" s="247"/>
    </row>
    <row r="103" spans="27:36">
      <c r="AA103" s="247">
        <v>416</v>
      </c>
      <c r="AB103" s="247" t="s">
        <v>651</v>
      </c>
      <c r="AC103" s="247" t="s">
        <v>516</v>
      </c>
      <c r="AD103" s="247" t="s">
        <v>516</v>
      </c>
      <c r="AE103" s="247" t="s">
        <v>507</v>
      </c>
      <c r="AF103" s="247">
        <v>75</v>
      </c>
      <c r="AG103" s="247"/>
      <c r="AH103" s="247">
        <v>0</v>
      </c>
      <c r="AI103" s="247">
        <v>9</v>
      </c>
      <c r="AJ103" s="247"/>
    </row>
    <row r="104" spans="27:36">
      <c r="AA104" s="247">
        <v>418</v>
      </c>
      <c r="AB104" s="247" t="s">
        <v>652</v>
      </c>
      <c r="AC104" s="247" t="s">
        <v>516</v>
      </c>
      <c r="AD104" s="247" t="s">
        <v>516</v>
      </c>
      <c r="AE104" s="247" t="s">
        <v>507</v>
      </c>
      <c r="AF104" s="247">
        <v>60</v>
      </c>
      <c r="AG104" s="247"/>
      <c r="AH104" s="247">
        <v>0</v>
      </c>
      <c r="AI104" s="247">
        <v>9</v>
      </c>
      <c r="AJ104" s="247"/>
    </row>
    <row r="105" spans="27:36">
      <c r="AA105" s="247">
        <v>420</v>
      </c>
      <c r="AB105" s="247" t="s">
        <v>653</v>
      </c>
      <c r="AC105" s="247" t="s">
        <v>516</v>
      </c>
      <c r="AD105" s="247" t="s">
        <v>516</v>
      </c>
      <c r="AE105" s="247" t="s">
        <v>507</v>
      </c>
      <c r="AF105" s="247">
        <v>52</v>
      </c>
      <c r="AG105" s="247"/>
      <c r="AH105" s="247">
        <v>0</v>
      </c>
      <c r="AI105" s="247">
        <v>9</v>
      </c>
      <c r="AJ105" s="247"/>
    </row>
    <row r="106" spans="27:36">
      <c r="AA106" s="247">
        <v>422</v>
      </c>
      <c r="AB106" s="247" t="s">
        <v>654</v>
      </c>
      <c r="AC106" s="247" t="s">
        <v>516</v>
      </c>
      <c r="AD106" s="247" t="s">
        <v>516</v>
      </c>
      <c r="AE106" s="247" t="s">
        <v>507</v>
      </c>
      <c r="AF106" s="247">
        <v>50</v>
      </c>
      <c r="AG106" s="247"/>
      <c r="AH106" s="247">
        <v>0</v>
      </c>
      <c r="AI106" s="247">
        <v>9</v>
      </c>
      <c r="AJ106" s="247"/>
    </row>
    <row r="107" spans="27:36">
      <c r="AA107" s="247">
        <v>424</v>
      </c>
      <c r="AB107" s="247" t="s">
        <v>655</v>
      </c>
      <c r="AC107" s="247" t="s">
        <v>516</v>
      </c>
      <c r="AD107" s="247" t="s">
        <v>516</v>
      </c>
      <c r="AE107" s="247" t="s">
        <v>507</v>
      </c>
      <c r="AF107" s="247">
        <v>20</v>
      </c>
      <c r="AG107" s="247"/>
      <c r="AH107" s="247">
        <v>30</v>
      </c>
      <c r="AI107" s="247">
        <v>27</v>
      </c>
      <c r="AJ107" s="247"/>
    </row>
    <row r="108" spans="27:36">
      <c r="AA108" s="247">
        <v>430</v>
      </c>
      <c r="AB108" s="247" t="s">
        <v>656</v>
      </c>
      <c r="AC108" s="247" t="s">
        <v>516</v>
      </c>
      <c r="AD108" s="247" t="s">
        <v>516</v>
      </c>
      <c r="AE108" s="247" t="s">
        <v>507</v>
      </c>
      <c r="AF108" s="247">
        <v>75</v>
      </c>
      <c r="AG108" s="247"/>
      <c r="AH108" s="247">
        <v>20</v>
      </c>
      <c r="AI108" s="247">
        <v>28</v>
      </c>
      <c r="AJ108" s="247"/>
    </row>
    <row r="109" spans="27:36">
      <c r="AA109" s="247">
        <v>435</v>
      </c>
      <c r="AB109" s="247" t="s">
        <v>657</v>
      </c>
      <c r="AC109" s="247" t="s">
        <v>516</v>
      </c>
      <c r="AD109" s="247" t="s">
        <v>516</v>
      </c>
      <c r="AE109" s="247" t="s">
        <v>533</v>
      </c>
      <c r="AF109" s="247">
        <v>180</v>
      </c>
      <c r="AG109" s="247" t="s">
        <v>528</v>
      </c>
      <c r="AH109" s="247">
        <v>0</v>
      </c>
      <c r="AI109" s="247">
        <v>15</v>
      </c>
      <c r="AJ109" s="247"/>
    </row>
    <row r="110" spans="27:36">
      <c r="AA110" s="247">
        <v>440</v>
      </c>
      <c r="AB110" s="247" t="s">
        <v>658</v>
      </c>
      <c r="AC110" s="247" t="s">
        <v>516</v>
      </c>
      <c r="AD110" s="247" t="s">
        <v>516</v>
      </c>
      <c r="AE110" s="247" t="s">
        <v>543</v>
      </c>
      <c r="AF110" s="247">
        <v>0</v>
      </c>
      <c r="AG110" s="247" t="s">
        <v>528</v>
      </c>
      <c r="AH110" s="247">
        <v>0</v>
      </c>
      <c r="AI110" s="247">
        <v>27</v>
      </c>
      <c r="AJ110" s="247"/>
    </row>
    <row r="111" spans="27:36">
      <c r="AA111" s="247">
        <v>455</v>
      </c>
      <c r="AB111" s="247" t="s">
        <v>659</v>
      </c>
      <c r="AC111" s="247" t="s">
        <v>516</v>
      </c>
      <c r="AD111" s="247" t="s">
        <v>516</v>
      </c>
      <c r="AE111" s="247" t="s">
        <v>533</v>
      </c>
      <c r="AF111" s="247">
        <v>52</v>
      </c>
      <c r="AG111" s="247" t="s">
        <v>528</v>
      </c>
      <c r="AH111" s="247">
        <v>0</v>
      </c>
      <c r="AI111" s="247">
        <v>25</v>
      </c>
      <c r="AJ111" s="247"/>
    </row>
    <row r="112" spans="27:36">
      <c r="AA112" s="247">
        <v>460</v>
      </c>
      <c r="AB112" s="247" t="s">
        <v>660</v>
      </c>
      <c r="AC112" s="247" t="s">
        <v>516</v>
      </c>
      <c r="AD112" s="247" t="s">
        <v>516</v>
      </c>
      <c r="AE112" s="247" t="s">
        <v>533</v>
      </c>
      <c r="AF112" s="247">
        <v>60</v>
      </c>
      <c r="AG112" s="247" t="s">
        <v>528</v>
      </c>
      <c r="AH112" s="247">
        <v>0</v>
      </c>
      <c r="AI112" s="247">
        <v>25</v>
      </c>
      <c r="AJ112" s="247"/>
    </row>
    <row r="113" spans="20:36">
      <c r="AA113" s="247">
        <v>465</v>
      </c>
      <c r="AB113" s="247" t="s">
        <v>661</v>
      </c>
      <c r="AC113" s="247" t="s">
        <v>516</v>
      </c>
      <c r="AD113" s="247" t="s">
        <v>516</v>
      </c>
      <c r="AE113" s="247" t="s">
        <v>533</v>
      </c>
      <c r="AF113" s="247">
        <v>75</v>
      </c>
      <c r="AG113" s="247" t="s">
        <v>528</v>
      </c>
      <c r="AH113" s="247">
        <v>0</v>
      </c>
      <c r="AI113" s="247">
        <v>25</v>
      </c>
      <c r="AJ113" s="247"/>
    </row>
    <row r="114" spans="20:36">
      <c r="AA114" s="247">
        <v>468</v>
      </c>
      <c r="AB114" s="247" t="s">
        <v>662</v>
      </c>
      <c r="AC114" s="247" t="s">
        <v>516</v>
      </c>
      <c r="AD114" s="247" t="s">
        <v>516</v>
      </c>
      <c r="AE114" s="247" t="s">
        <v>533</v>
      </c>
      <c r="AF114" s="247">
        <v>170</v>
      </c>
      <c r="AG114" s="247" t="s">
        <v>528</v>
      </c>
      <c r="AH114" s="247">
        <v>0</v>
      </c>
      <c r="AI114" s="247">
        <v>25</v>
      </c>
      <c r="AJ114" s="247"/>
    </row>
    <row r="115" spans="20:36">
      <c r="AA115" s="247">
        <v>470</v>
      </c>
      <c r="AB115" s="247" t="s">
        <v>663</v>
      </c>
      <c r="AC115" s="247" t="s">
        <v>516</v>
      </c>
      <c r="AD115" s="247" t="s">
        <v>516</v>
      </c>
      <c r="AE115" s="247" t="s">
        <v>533</v>
      </c>
      <c r="AF115" s="247">
        <v>180</v>
      </c>
      <c r="AG115" s="247" t="s">
        <v>528</v>
      </c>
      <c r="AH115" s="247">
        <v>0</v>
      </c>
      <c r="AI115" s="247">
        <v>25</v>
      </c>
      <c r="AJ115" s="247"/>
    </row>
    <row r="116" spans="20:36">
      <c r="AA116" s="247">
        <v>475</v>
      </c>
      <c r="AB116" s="247" t="s">
        <v>664</v>
      </c>
      <c r="AC116" s="247" t="s">
        <v>516</v>
      </c>
      <c r="AD116" s="247" t="s">
        <v>516</v>
      </c>
      <c r="AE116" s="247" t="s">
        <v>533</v>
      </c>
      <c r="AF116" s="247">
        <v>190</v>
      </c>
      <c r="AG116" s="247" t="s">
        <v>528</v>
      </c>
      <c r="AH116" s="247">
        <v>0</v>
      </c>
      <c r="AI116" s="247">
        <v>25</v>
      </c>
      <c r="AJ116" s="247"/>
    </row>
    <row r="117" spans="20:36">
      <c r="AA117" s="247">
        <v>513</v>
      </c>
      <c r="AB117" s="247" t="s">
        <v>665</v>
      </c>
      <c r="AC117" s="247" t="s">
        <v>516</v>
      </c>
      <c r="AD117" s="247" t="s">
        <v>516</v>
      </c>
      <c r="AE117" s="247" t="s">
        <v>533</v>
      </c>
      <c r="AF117" s="247">
        <v>52</v>
      </c>
      <c r="AG117" s="247" t="s">
        <v>528</v>
      </c>
      <c r="AH117" s="247">
        <v>0</v>
      </c>
      <c r="AI117" s="247">
        <v>18</v>
      </c>
      <c r="AJ117" s="247"/>
    </row>
    <row r="118" spans="20:36">
      <c r="AA118" s="247">
        <v>515</v>
      </c>
      <c r="AB118" s="247" t="s">
        <v>666</v>
      </c>
      <c r="AC118" s="247">
        <v>1130</v>
      </c>
      <c r="AD118" s="247" t="s">
        <v>667</v>
      </c>
      <c r="AE118" s="247" t="s">
        <v>533</v>
      </c>
      <c r="AF118" s="247">
        <v>52</v>
      </c>
      <c r="AG118" s="247" t="s">
        <v>528</v>
      </c>
      <c r="AH118" s="247">
        <v>0</v>
      </c>
      <c r="AI118" s="247">
        <v>18</v>
      </c>
      <c r="AJ118" s="247" t="s">
        <v>668</v>
      </c>
    </row>
    <row r="119" spans="20:36">
      <c r="AA119" s="247">
        <v>516</v>
      </c>
      <c r="AB119" s="247" t="s">
        <v>669</v>
      </c>
      <c r="AC119" s="247">
        <v>1906</v>
      </c>
      <c r="AD119" s="247" t="s">
        <v>670</v>
      </c>
      <c r="AE119" s="247" t="s">
        <v>533</v>
      </c>
      <c r="AF119" s="247">
        <v>52</v>
      </c>
      <c r="AG119" s="247" t="s">
        <v>528</v>
      </c>
      <c r="AH119" s="247">
        <v>0</v>
      </c>
      <c r="AI119" s="247">
        <v>18</v>
      </c>
      <c r="AJ119" s="247" t="s">
        <v>668</v>
      </c>
    </row>
    <row r="120" spans="20:36">
      <c r="AA120" s="247">
        <v>517</v>
      </c>
      <c r="AB120" s="247" t="s">
        <v>671</v>
      </c>
      <c r="AC120" s="247">
        <v>1908</v>
      </c>
      <c r="AD120" s="247" t="s">
        <v>672</v>
      </c>
      <c r="AE120" s="247" t="s">
        <v>533</v>
      </c>
      <c r="AF120" s="247">
        <v>52</v>
      </c>
      <c r="AG120" s="247" t="s">
        <v>528</v>
      </c>
      <c r="AH120" s="247">
        <v>0</v>
      </c>
      <c r="AI120" s="247">
        <v>18</v>
      </c>
      <c r="AJ120" s="247" t="s">
        <v>668</v>
      </c>
    </row>
    <row r="121" spans="20:36">
      <c r="AA121" s="247">
        <v>518</v>
      </c>
      <c r="AB121" s="247" t="s">
        <v>673</v>
      </c>
      <c r="AC121" s="247">
        <v>1909</v>
      </c>
      <c r="AD121" s="247" t="s">
        <v>674</v>
      </c>
      <c r="AE121" s="247" t="s">
        <v>533</v>
      </c>
      <c r="AF121" s="247">
        <v>52</v>
      </c>
      <c r="AG121" s="247" t="s">
        <v>528</v>
      </c>
      <c r="AH121" s="247">
        <v>0</v>
      </c>
      <c r="AI121" s="247">
        <v>18</v>
      </c>
      <c r="AJ121" s="247" t="s">
        <v>668</v>
      </c>
    </row>
    <row r="122" spans="20:36">
      <c r="AA122" s="247">
        <v>520</v>
      </c>
      <c r="AB122" s="247" t="s">
        <v>675</v>
      </c>
      <c r="AC122" s="247">
        <v>1150</v>
      </c>
      <c r="AD122" s="247" t="s">
        <v>676</v>
      </c>
      <c r="AE122" s="247" t="s">
        <v>533</v>
      </c>
      <c r="AF122" s="247">
        <v>52</v>
      </c>
      <c r="AG122" s="247" t="s">
        <v>528</v>
      </c>
      <c r="AH122" s="247">
        <v>0</v>
      </c>
      <c r="AI122" s="247">
        <v>18</v>
      </c>
      <c r="AJ122" s="247"/>
    </row>
    <row r="123" spans="20:36">
      <c r="T123" s="92"/>
      <c r="AA123" s="247">
        <v>525</v>
      </c>
      <c r="AB123" s="247" t="s">
        <v>677</v>
      </c>
      <c r="AC123" s="247">
        <v>1151</v>
      </c>
      <c r="AD123" s="247" t="s">
        <v>678</v>
      </c>
      <c r="AE123" s="247" t="s">
        <v>533</v>
      </c>
      <c r="AF123" s="247">
        <v>52</v>
      </c>
      <c r="AG123" s="247" t="s">
        <v>528</v>
      </c>
      <c r="AH123" s="247">
        <v>0</v>
      </c>
      <c r="AI123" s="247">
        <v>18</v>
      </c>
      <c r="AJ123" s="247"/>
    </row>
    <row r="124" spans="20:36">
      <c r="T124" s="92"/>
      <c r="AA124" s="247">
        <v>530</v>
      </c>
      <c r="AB124" s="247" t="s">
        <v>679</v>
      </c>
      <c r="AC124" s="247">
        <v>1152</v>
      </c>
      <c r="AD124" s="247" t="s">
        <v>680</v>
      </c>
      <c r="AE124" s="247" t="s">
        <v>533</v>
      </c>
      <c r="AF124" s="247">
        <v>52</v>
      </c>
      <c r="AG124" s="247" t="s">
        <v>528</v>
      </c>
      <c r="AH124" s="247">
        <v>0</v>
      </c>
      <c r="AI124" s="247">
        <v>18</v>
      </c>
      <c r="AJ124" s="247"/>
    </row>
    <row r="125" spans="20:36">
      <c r="T125" s="92"/>
      <c r="AA125" s="247">
        <v>550</v>
      </c>
      <c r="AB125" s="247" t="s">
        <v>681</v>
      </c>
      <c r="AC125" s="247">
        <v>1156</v>
      </c>
      <c r="AD125" s="247" t="s">
        <v>682</v>
      </c>
      <c r="AE125" s="247" t="s">
        <v>533</v>
      </c>
      <c r="AF125" s="247">
        <v>52</v>
      </c>
      <c r="AG125" s="247" t="s">
        <v>528</v>
      </c>
      <c r="AH125" s="247">
        <v>0</v>
      </c>
      <c r="AI125" s="247">
        <v>18</v>
      </c>
      <c r="AJ125" s="247" t="s">
        <v>668</v>
      </c>
    </row>
    <row r="126" spans="20:36">
      <c r="T126" s="92"/>
      <c r="AA126" s="247">
        <v>551</v>
      </c>
      <c r="AB126" s="247" t="s">
        <v>683</v>
      </c>
      <c r="AC126" s="247" t="s">
        <v>516</v>
      </c>
      <c r="AD126" s="247" t="s">
        <v>516</v>
      </c>
      <c r="AE126" s="247" t="s">
        <v>533</v>
      </c>
      <c r="AF126" s="247">
        <v>52</v>
      </c>
      <c r="AG126" s="247" t="s">
        <v>528</v>
      </c>
      <c r="AH126" s="247">
        <v>0</v>
      </c>
      <c r="AI126" s="247">
        <v>18</v>
      </c>
      <c r="AJ126" s="247" t="s">
        <v>668</v>
      </c>
    </row>
    <row r="127" spans="20:36">
      <c r="T127" s="92"/>
      <c r="AA127" s="247">
        <v>553</v>
      </c>
      <c r="AB127" s="247" t="s">
        <v>684</v>
      </c>
      <c r="AC127" s="247" t="s">
        <v>516</v>
      </c>
      <c r="AD127" s="247" t="s">
        <v>516</v>
      </c>
      <c r="AE127" s="247" t="s">
        <v>533</v>
      </c>
      <c r="AF127" s="247">
        <v>52</v>
      </c>
      <c r="AG127" s="247"/>
      <c r="AH127" s="247">
        <v>10</v>
      </c>
      <c r="AI127" s="247">
        <v>18</v>
      </c>
      <c r="AJ127" s="247" t="s">
        <v>668</v>
      </c>
    </row>
    <row r="128" spans="20:36">
      <c r="T128" s="92"/>
      <c r="AA128" s="247">
        <v>555</v>
      </c>
      <c r="AB128" s="247" t="s">
        <v>685</v>
      </c>
      <c r="AC128" s="247">
        <v>1113</v>
      </c>
      <c r="AD128" s="247" t="s">
        <v>686</v>
      </c>
      <c r="AE128" s="247" t="s">
        <v>533</v>
      </c>
      <c r="AF128" s="247">
        <v>52</v>
      </c>
      <c r="AG128" s="247"/>
      <c r="AH128" s="247">
        <v>10</v>
      </c>
      <c r="AI128" s="247">
        <v>18</v>
      </c>
      <c r="AJ128" s="247" t="s">
        <v>668</v>
      </c>
    </row>
    <row r="129" spans="20:36">
      <c r="T129" s="92"/>
      <c r="AA129" s="247">
        <v>556</v>
      </c>
      <c r="AB129" s="247" t="s">
        <v>687</v>
      </c>
      <c r="AC129" s="247" t="s">
        <v>516</v>
      </c>
      <c r="AD129" s="247" t="s">
        <v>516</v>
      </c>
      <c r="AE129" s="247" t="s">
        <v>533</v>
      </c>
      <c r="AF129" s="247">
        <v>52</v>
      </c>
      <c r="AG129" s="247" t="s">
        <v>528</v>
      </c>
      <c r="AH129" s="247">
        <v>0</v>
      </c>
      <c r="AI129" s="247">
        <v>18</v>
      </c>
      <c r="AJ129" s="247" t="s">
        <v>668</v>
      </c>
    </row>
    <row r="130" spans="20:36">
      <c r="T130" s="92"/>
      <c r="AA130" s="247">
        <v>558</v>
      </c>
      <c r="AB130" s="247" t="s">
        <v>688</v>
      </c>
      <c r="AC130" s="247" t="s">
        <v>516</v>
      </c>
      <c r="AD130" s="247" t="s">
        <v>516</v>
      </c>
      <c r="AE130" s="247" t="s">
        <v>533</v>
      </c>
      <c r="AF130" s="247">
        <v>52</v>
      </c>
      <c r="AG130" s="247" t="s">
        <v>528</v>
      </c>
      <c r="AH130" s="247">
        <v>0</v>
      </c>
      <c r="AI130" s="247">
        <v>18</v>
      </c>
      <c r="AJ130" s="247" t="s">
        <v>668</v>
      </c>
    </row>
    <row r="131" spans="20:36">
      <c r="T131" s="92"/>
      <c r="AA131" s="247">
        <v>563</v>
      </c>
      <c r="AB131" s="247" t="s">
        <v>689</v>
      </c>
      <c r="AC131" s="247" t="s">
        <v>516</v>
      </c>
      <c r="AD131" s="247" t="s">
        <v>516</v>
      </c>
      <c r="AE131" s="247" t="s">
        <v>533</v>
      </c>
      <c r="AF131" s="247">
        <v>52</v>
      </c>
      <c r="AG131" s="247" t="s">
        <v>528</v>
      </c>
      <c r="AH131" s="247">
        <v>0</v>
      </c>
      <c r="AI131" s="247">
        <v>18</v>
      </c>
      <c r="AJ131" s="247" t="s">
        <v>668</v>
      </c>
    </row>
    <row r="132" spans="20:36">
      <c r="T132" s="92"/>
      <c r="AA132" s="247">
        <v>564</v>
      </c>
      <c r="AB132" s="247" t="s">
        <v>690</v>
      </c>
      <c r="AC132" s="247" t="s">
        <v>516</v>
      </c>
      <c r="AD132" s="247" t="s">
        <v>516</v>
      </c>
      <c r="AE132" s="247" t="s">
        <v>533</v>
      </c>
      <c r="AF132" s="247">
        <v>180</v>
      </c>
      <c r="AG132" s="247" t="s">
        <v>528</v>
      </c>
      <c r="AH132" s="247">
        <v>0</v>
      </c>
      <c r="AI132" s="247">
        <v>18</v>
      </c>
      <c r="AJ132" s="247" t="s">
        <v>668</v>
      </c>
    </row>
    <row r="133" spans="20:36">
      <c r="T133" s="92"/>
      <c r="AA133" s="247">
        <v>565</v>
      </c>
      <c r="AB133" s="247" t="s">
        <v>691</v>
      </c>
      <c r="AC133" s="247">
        <v>258</v>
      </c>
      <c r="AD133" s="247" t="s">
        <v>692</v>
      </c>
      <c r="AE133" s="247" t="s">
        <v>533</v>
      </c>
      <c r="AF133" s="247">
        <v>52</v>
      </c>
      <c r="AG133" s="247"/>
      <c r="AH133" s="247">
        <v>30</v>
      </c>
      <c r="AI133" s="247">
        <v>5</v>
      </c>
      <c r="AJ133" s="247" t="s">
        <v>668</v>
      </c>
    </row>
    <row r="134" spans="20:36">
      <c r="T134" s="92"/>
      <c r="AA134" s="247">
        <v>566</v>
      </c>
      <c r="AB134" s="247" t="s">
        <v>693</v>
      </c>
      <c r="AC134" s="247" t="s">
        <v>516</v>
      </c>
      <c r="AD134" s="247" t="s">
        <v>516</v>
      </c>
      <c r="AE134" s="247" t="s">
        <v>533</v>
      </c>
      <c r="AF134" s="247">
        <v>180</v>
      </c>
      <c r="AG134" s="247" t="s">
        <v>528</v>
      </c>
      <c r="AH134" s="247">
        <v>0</v>
      </c>
      <c r="AI134" s="247">
        <v>18</v>
      </c>
      <c r="AJ134" s="247" t="s">
        <v>668</v>
      </c>
    </row>
    <row r="135" spans="20:36">
      <c r="T135" s="92"/>
      <c r="AA135" s="247">
        <v>567</v>
      </c>
      <c r="AB135" s="247" t="s">
        <v>694</v>
      </c>
      <c r="AC135" s="247" t="s">
        <v>516</v>
      </c>
      <c r="AD135" s="247" t="s">
        <v>516</v>
      </c>
      <c r="AE135" s="247" t="s">
        <v>533</v>
      </c>
      <c r="AF135" s="247">
        <v>180</v>
      </c>
      <c r="AG135" s="247" t="s">
        <v>528</v>
      </c>
      <c r="AH135" s="247">
        <v>0</v>
      </c>
      <c r="AI135" s="247">
        <v>18</v>
      </c>
      <c r="AJ135" s="247" t="s">
        <v>668</v>
      </c>
    </row>
    <row r="136" spans="20:36">
      <c r="T136" s="92"/>
      <c r="AA136" s="247">
        <v>568</v>
      </c>
      <c r="AB136" s="247" t="s">
        <v>695</v>
      </c>
      <c r="AC136" s="247" t="s">
        <v>516</v>
      </c>
      <c r="AD136" s="247" t="s">
        <v>516</v>
      </c>
      <c r="AE136" s="247" t="s">
        <v>533</v>
      </c>
      <c r="AF136" s="247">
        <v>180</v>
      </c>
      <c r="AG136" s="247" t="s">
        <v>528</v>
      </c>
      <c r="AH136" s="247">
        <v>0</v>
      </c>
      <c r="AI136" s="247">
        <v>18</v>
      </c>
      <c r="AJ136" s="247" t="s">
        <v>668</v>
      </c>
    </row>
    <row r="137" spans="20:36">
      <c r="T137" s="92"/>
      <c r="AA137" s="247">
        <v>569</v>
      </c>
      <c r="AB137" s="247" t="s">
        <v>696</v>
      </c>
      <c r="AC137" s="247" t="s">
        <v>516</v>
      </c>
      <c r="AD137" s="247" t="s">
        <v>516</v>
      </c>
      <c r="AE137" s="247" t="s">
        <v>533</v>
      </c>
      <c r="AF137" s="247">
        <v>170</v>
      </c>
      <c r="AG137" s="247" t="s">
        <v>528</v>
      </c>
      <c r="AH137" s="247">
        <v>0</v>
      </c>
      <c r="AI137" s="247">
        <v>18</v>
      </c>
      <c r="AJ137" s="247" t="s">
        <v>668</v>
      </c>
    </row>
    <row r="138" spans="20:36">
      <c r="AA138" s="247">
        <v>570</v>
      </c>
      <c r="AB138" s="247" t="s">
        <v>697</v>
      </c>
      <c r="AC138" s="247" t="s">
        <v>516</v>
      </c>
      <c r="AD138" s="247" t="s">
        <v>516</v>
      </c>
      <c r="AE138" s="247" t="s">
        <v>533</v>
      </c>
      <c r="AF138" s="247">
        <v>190</v>
      </c>
      <c r="AG138" s="247" t="s">
        <v>528</v>
      </c>
      <c r="AH138" s="247">
        <v>0</v>
      </c>
      <c r="AI138" s="247">
        <v>18</v>
      </c>
      <c r="AJ138" s="247" t="s">
        <v>668</v>
      </c>
    </row>
    <row r="139" spans="20:36">
      <c r="T139" s="92"/>
      <c r="AA139" s="247">
        <v>574</v>
      </c>
      <c r="AB139" s="247" t="s">
        <v>698</v>
      </c>
      <c r="AC139" s="247" t="s">
        <v>516</v>
      </c>
      <c r="AD139" s="247" t="s">
        <v>516</v>
      </c>
      <c r="AE139" s="247" t="s">
        <v>533</v>
      </c>
      <c r="AF139" s="247">
        <v>190</v>
      </c>
      <c r="AG139" s="247" t="s">
        <v>528</v>
      </c>
      <c r="AH139" s="247">
        <v>0</v>
      </c>
      <c r="AI139" s="247">
        <v>18</v>
      </c>
      <c r="AJ139" s="247" t="s">
        <v>668</v>
      </c>
    </row>
    <row r="140" spans="20:36">
      <c r="T140" s="92"/>
      <c r="AA140" s="247">
        <v>576</v>
      </c>
      <c r="AB140" s="247" t="s">
        <v>699</v>
      </c>
      <c r="AC140" s="247" t="s">
        <v>516</v>
      </c>
      <c r="AD140" s="247" t="s">
        <v>516</v>
      </c>
      <c r="AE140" s="247" t="s">
        <v>533</v>
      </c>
      <c r="AF140" s="247">
        <v>190</v>
      </c>
      <c r="AG140" s="247" t="s">
        <v>528</v>
      </c>
      <c r="AH140" s="247">
        <v>0</v>
      </c>
      <c r="AI140" s="247">
        <v>18</v>
      </c>
      <c r="AJ140" s="247" t="s">
        <v>668</v>
      </c>
    </row>
    <row r="141" spans="20:36">
      <c r="T141" s="92"/>
      <c r="AA141" s="247">
        <v>577</v>
      </c>
      <c r="AB141" s="247" t="s">
        <v>700</v>
      </c>
      <c r="AC141" s="247" t="s">
        <v>516</v>
      </c>
      <c r="AD141" s="247" t="s">
        <v>516</v>
      </c>
      <c r="AE141" s="247" t="s">
        <v>533</v>
      </c>
      <c r="AF141" s="247">
        <v>52</v>
      </c>
      <c r="AG141" s="247" t="s">
        <v>528</v>
      </c>
      <c r="AH141" s="247">
        <v>0</v>
      </c>
      <c r="AI141" s="247">
        <v>18</v>
      </c>
      <c r="AJ141" s="247" t="s">
        <v>668</v>
      </c>
    </row>
    <row r="142" spans="20:36">
      <c r="T142" s="92"/>
      <c r="AA142" s="247">
        <v>578</v>
      </c>
      <c r="AB142" s="247" t="s">
        <v>701</v>
      </c>
      <c r="AC142" s="247" t="s">
        <v>516</v>
      </c>
      <c r="AD142" s="247" t="s">
        <v>516</v>
      </c>
      <c r="AE142" s="247" t="s">
        <v>533</v>
      </c>
      <c r="AF142" s="247">
        <v>75</v>
      </c>
      <c r="AG142" s="247" t="s">
        <v>528</v>
      </c>
      <c r="AH142" s="247">
        <v>0</v>
      </c>
      <c r="AI142" s="247">
        <v>16</v>
      </c>
      <c r="AJ142" s="247" t="s">
        <v>668</v>
      </c>
    </row>
    <row r="143" spans="20:36">
      <c r="T143" s="92"/>
      <c r="AA143" s="247">
        <v>579</v>
      </c>
      <c r="AB143" s="247" t="s">
        <v>702</v>
      </c>
      <c r="AC143" s="247" t="s">
        <v>516</v>
      </c>
      <c r="AD143" s="247" t="s">
        <v>516</v>
      </c>
      <c r="AE143" s="247" t="s">
        <v>533</v>
      </c>
      <c r="AF143" s="247">
        <v>75</v>
      </c>
      <c r="AG143" s="247" t="s">
        <v>528</v>
      </c>
      <c r="AH143" s="247">
        <v>0</v>
      </c>
      <c r="AI143" s="247">
        <v>18</v>
      </c>
      <c r="AJ143" s="247" t="s">
        <v>668</v>
      </c>
    </row>
    <row r="144" spans="20:36">
      <c r="T144" s="92"/>
      <c r="AA144" s="247">
        <v>581</v>
      </c>
      <c r="AB144" s="247" t="s">
        <v>703</v>
      </c>
      <c r="AC144" s="247">
        <v>1922</v>
      </c>
      <c r="AD144" s="247" t="s">
        <v>704</v>
      </c>
      <c r="AE144" s="247" t="s">
        <v>533</v>
      </c>
      <c r="AF144" s="247">
        <v>180</v>
      </c>
      <c r="AG144" s="247" t="s">
        <v>528</v>
      </c>
      <c r="AH144" s="247">
        <v>0</v>
      </c>
      <c r="AI144" s="247">
        <v>18</v>
      </c>
      <c r="AJ144" s="247" t="s">
        <v>668</v>
      </c>
    </row>
    <row r="145" spans="20:36">
      <c r="T145" s="92"/>
      <c r="AA145" s="247">
        <v>582</v>
      </c>
      <c r="AB145" s="247" t="s">
        <v>705</v>
      </c>
      <c r="AC145" s="247">
        <v>1923</v>
      </c>
      <c r="AD145" s="247" t="s">
        <v>706</v>
      </c>
      <c r="AE145" s="247" t="s">
        <v>533</v>
      </c>
      <c r="AF145" s="247">
        <v>180</v>
      </c>
      <c r="AG145" s="247" t="s">
        <v>528</v>
      </c>
      <c r="AH145" s="247">
        <v>0</v>
      </c>
      <c r="AI145" s="247">
        <v>18</v>
      </c>
      <c r="AJ145" s="247" t="s">
        <v>668</v>
      </c>
    </row>
    <row r="146" spans="20:36">
      <c r="T146" s="92"/>
      <c r="AA146" s="247">
        <v>583</v>
      </c>
      <c r="AB146" s="247" t="s">
        <v>707</v>
      </c>
      <c r="AC146" s="247">
        <v>1924</v>
      </c>
      <c r="AD146" s="247" t="s">
        <v>708</v>
      </c>
      <c r="AE146" s="247" t="s">
        <v>533</v>
      </c>
      <c r="AF146" s="247">
        <v>180</v>
      </c>
      <c r="AG146" s="247" t="s">
        <v>528</v>
      </c>
      <c r="AH146" s="247">
        <v>0</v>
      </c>
      <c r="AI146" s="247">
        <v>18</v>
      </c>
      <c r="AJ146" s="247" t="s">
        <v>668</v>
      </c>
    </row>
    <row r="147" spans="20:36">
      <c r="T147" s="92"/>
      <c r="AA147" s="247">
        <v>586</v>
      </c>
      <c r="AB147" s="247" t="s">
        <v>709</v>
      </c>
      <c r="AC147" s="247" t="s">
        <v>516</v>
      </c>
      <c r="AD147" s="247" t="s">
        <v>516</v>
      </c>
      <c r="AE147" s="247" t="s">
        <v>533</v>
      </c>
      <c r="AF147" s="247">
        <v>170</v>
      </c>
      <c r="AG147" s="247"/>
      <c r="AH147" s="247">
        <v>20</v>
      </c>
      <c r="AI147" s="247">
        <v>16</v>
      </c>
      <c r="AJ147" s="247" t="s">
        <v>668</v>
      </c>
    </row>
    <row r="148" spans="20:36">
      <c r="T148" s="92"/>
      <c r="AA148" s="247">
        <v>588</v>
      </c>
      <c r="AB148" s="247" t="s">
        <v>710</v>
      </c>
      <c r="AC148" s="247" t="s">
        <v>516</v>
      </c>
      <c r="AD148" s="247" t="s">
        <v>516</v>
      </c>
      <c r="AE148" s="247" t="s">
        <v>533</v>
      </c>
      <c r="AF148" s="247">
        <v>180</v>
      </c>
      <c r="AG148" s="247" t="s">
        <v>528</v>
      </c>
      <c r="AH148" s="247">
        <v>0</v>
      </c>
      <c r="AI148" s="247">
        <v>18</v>
      </c>
      <c r="AJ148" s="247" t="s">
        <v>668</v>
      </c>
    </row>
    <row r="149" spans="20:36">
      <c r="T149" s="92"/>
      <c r="AA149" s="247">
        <v>589</v>
      </c>
      <c r="AB149" s="247" t="s">
        <v>711</v>
      </c>
      <c r="AC149" s="247" t="s">
        <v>516</v>
      </c>
      <c r="AD149" s="247" t="s">
        <v>516</v>
      </c>
      <c r="AE149" s="247" t="s">
        <v>533</v>
      </c>
      <c r="AF149" s="247">
        <v>52</v>
      </c>
      <c r="AG149" s="247"/>
      <c r="AH149" s="247">
        <v>20</v>
      </c>
      <c r="AI149" s="247">
        <v>16</v>
      </c>
      <c r="AJ149" s="247" t="s">
        <v>668</v>
      </c>
    </row>
    <row r="150" spans="20:36">
      <c r="T150" s="92"/>
      <c r="AA150" s="247">
        <v>592</v>
      </c>
      <c r="AB150" s="247" t="s">
        <v>712</v>
      </c>
      <c r="AC150" s="247" t="s">
        <v>516</v>
      </c>
      <c r="AD150" s="247" t="s">
        <v>516</v>
      </c>
      <c r="AE150" s="247" t="s">
        <v>533</v>
      </c>
      <c r="AF150" s="247">
        <v>180</v>
      </c>
      <c r="AG150" s="247" t="s">
        <v>528</v>
      </c>
      <c r="AH150" s="247">
        <v>0</v>
      </c>
      <c r="AI150" s="247">
        <v>18</v>
      </c>
      <c r="AJ150" s="247" t="s">
        <v>668</v>
      </c>
    </row>
    <row r="151" spans="20:36">
      <c r="T151" s="92"/>
      <c r="AA151" s="247">
        <v>594</v>
      </c>
      <c r="AB151" s="247" t="s">
        <v>713</v>
      </c>
      <c r="AC151" s="247" t="s">
        <v>516</v>
      </c>
      <c r="AD151" s="247" t="s">
        <v>516</v>
      </c>
      <c r="AE151" s="247" t="s">
        <v>507</v>
      </c>
      <c r="AF151" s="247">
        <v>0</v>
      </c>
      <c r="AG151" s="247"/>
      <c r="AH151" s="247">
        <v>20</v>
      </c>
      <c r="AI151" s="247">
        <v>28</v>
      </c>
      <c r="AJ151" s="247"/>
    </row>
    <row r="152" spans="20:36">
      <c r="T152" s="92"/>
      <c r="AA152" s="247">
        <v>600</v>
      </c>
      <c r="AB152" s="247" t="s">
        <v>714</v>
      </c>
      <c r="AC152" s="247">
        <v>1147</v>
      </c>
      <c r="AD152" s="247" t="s">
        <v>715</v>
      </c>
      <c r="AE152" s="247" t="s">
        <v>533</v>
      </c>
      <c r="AF152" s="247">
        <v>52</v>
      </c>
      <c r="AG152" s="247"/>
      <c r="AH152" s="247">
        <v>30</v>
      </c>
      <c r="AI152" s="247">
        <v>18</v>
      </c>
      <c r="AJ152" s="247" t="s">
        <v>668</v>
      </c>
    </row>
    <row r="153" spans="20:36">
      <c r="T153" s="92"/>
      <c r="AA153" s="247">
        <v>605</v>
      </c>
      <c r="AB153" s="247" t="s">
        <v>716</v>
      </c>
      <c r="AC153" s="247">
        <v>1148</v>
      </c>
      <c r="AD153" s="247" t="s">
        <v>717</v>
      </c>
      <c r="AE153" s="247" t="s">
        <v>533</v>
      </c>
      <c r="AF153" s="247">
        <v>52</v>
      </c>
      <c r="AG153" s="247"/>
      <c r="AH153" s="247">
        <v>30</v>
      </c>
      <c r="AI153" s="247">
        <v>18</v>
      </c>
      <c r="AJ153" s="247" t="s">
        <v>668</v>
      </c>
    </row>
    <row r="154" spans="20:36">
      <c r="T154" s="92"/>
      <c r="AA154" s="247">
        <v>610</v>
      </c>
      <c r="AB154" s="247" t="s">
        <v>718</v>
      </c>
      <c r="AC154" s="247">
        <v>1149</v>
      </c>
      <c r="AD154" s="247" t="s">
        <v>719</v>
      </c>
      <c r="AE154" s="247" t="s">
        <v>533</v>
      </c>
      <c r="AF154" s="247">
        <v>52</v>
      </c>
      <c r="AG154" s="247"/>
      <c r="AH154" s="247">
        <v>30</v>
      </c>
      <c r="AI154" s="247">
        <v>18</v>
      </c>
      <c r="AJ154" s="247" t="s">
        <v>668</v>
      </c>
    </row>
    <row r="155" spans="20:36">
      <c r="T155" s="92"/>
      <c r="AA155" s="247">
        <v>628</v>
      </c>
      <c r="AB155" s="247" t="s">
        <v>720</v>
      </c>
      <c r="AC155" s="247">
        <v>1199</v>
      </c>
      <c r="AD155" s="247" t="s">
        <v>721</v>
      </c>
      <c r="AE155" s="247" t="s">
        <v>533</v>
      </c>
      <c r="AF155" s="247">
        <v>52</v>
      </c>
      <c r="AG155" s="247"/>
      <c r="AH155" s="247">
        <v>20</v>
      </c>
      <c r="AI155" s="247">
        <v>18</v>
      </c>
      <c r="AJ155" s="247" t="s">
        <v>668</v>
      </c>
    </row>
    <row r="156" spans="20:36">
      <c r="T156" s="92"/>
      <c r="AA156" s="247">
        <v>630</v>
      </c>
      <c r="AB156" s="247" t="s">
        <v>722</v>
      </c>
      <c r="AC156" s="247">
        <v>1173</v>
      </c>
      <c r="AD156" s="247" t="s">
        <v>723</v>
      </c>
      <c r="AE156" s="247" t="s">
        <v>533</v>
      </c>
      <c r="AF156" s="247">
        <v>52</v>
      </c>
      <c r="AG156" s="247" t="s">
        <v>528</v>
      </c>
      <c r="AH156" s="247">
        <v>20</v>
      </c>
      <c r="AI156" s="247">
        <v>18</v>
      </c>
      <c r="AJ156" s="247" t="s">
        <v>668</v>
      </c>
    </row>
    <row r="157" spans="20:36">
      <c r="T157" s="92"/>
      <c r="AA157" s="247">
        <v>641</v>
      </c>
      <c r="AB157" s="247" t="s">
        <v>724</v>
      </c>
      <c r="AC157" s="247" t="s">
        <v>516</v>
      </c>
      <c r="AD157" s="247" t="s">
        <v>516</v>
      </c>
      <c r="AE157" s="247" t="s">
        <v>533</v>
      </c>
      <c r="AF157" s="247">
        <v>180</v>
      </c>
      <c r="AG157" s="247" t="s">
        <v>528</v>
      </c>
      <c r="AH157" s="247">
        <v>0</v>
      </c>
      <c r="AI157" s="247">
        <v>18</v>
      </c>
      <c r="AJ157" s="247" t="s">
        <v>668</v>
      </c>
    </row>
    <row r="158" spans="20:36">
      <c r="T158" s="92"/>
      <c r="AA158" s="247">
        <v>642</v>
      </c>
      <c r="AB158" s="247" t="s">
        <v>725</v>
      </c>
      <c r="AC158" s="247" t="s">
        <v>516</v>
      </c>
      <c r="AD158" s="247" t="s">
        <v>516</v>
      </c>
      <c r="AE158" s="247" t="s">
        <v>533</v>
      </c>
      <c r="AF158" s="247">
        <v>180</v>
      </c>
      <c r="AG158" s="247" t="s">
        <v>528</v>
      </c>
      <c r="AH158" s="247">
        <v>0</v>
      </c>
      <c r="AI158" s="247">
        <v>18</v>
      </c>
      <c r="AJ158" s="247" t="s">
        <v>668</v>
      </c>
    </row>
    <row r="159" spans="20:36">
      <c r="T159" s="92"/>
      <c r="AA159" s="247">
        <v>643</v>
      </c>
      <c r="AB159" s="247" t="s">
        <v>726</v>
      </c>
      <c r="AC159" s="247" t="s">
        <v>516</v>
      </c>
      <c r="AD159" s="247" t="s">
        <v>516</v>
      </c>
      <c r="AE159" s="247" t="s">
        <v>533</v>
      </c>
      <c r="AF159" s="247">
        <v>180</v>
      </c>
      <c r="AG159" s="247" t="s">
        <v>528</v>
      </c>
      <c r="AH159" s="247">
        <v>0</v>
      </c>
      <c r="AI159" s="247">
        <v>18</v>
      </c>
      <c r="AJ159" s="247" t="s">
        <v>668</v>
      </c>
    </row>
    <row r="160" spans="20:36">
      <c r="T160" s="92"/>
      <c r="AA160" s="247">
        <v>644</v>
      </c>
      <c r="AB160" s="247" t="s">
        <v>727</v>
      </c>
      <c r="AC160" s="247" t="s">
        <v>516</v>
      </c>
      <c r="AD160" s="247" t="s">
        <v>516</v>
      </c>
      <c r="AE160" s="247" t="s">
        <v>507</v>
      </c>
      <c r="AF160" s="247">
        <v>0</v>
      </c>
      <c r="AG160" s="247"/>
      <c r="AH160" s="247">
        <v>0</v>
      </c>
      <c r="AI160" s="247">
        <v>27</v>
      </c>
      <c r="AJ160" s="247"/>
    </row>
    <row r="161" spans="20:36">
      <c r="T161" s="92"/>
      <c r="AA161" s="247">
        <v>650</v>
      </c>
      <c r="AB161" s="247" t="s">
        <v>728</v>
      </c>
      <c r="AC161" s="247">
        <v>1157</v>
      </c>
      <c r="AD161" s="247" t="s">
        <v>729</v>
      </c>
      <c r="AE161" s="247" t="s">
        <v>533</v>
      </c>
      <c r="AF161" s="247">
        <v>180</v>
      </c>
      <c r="AG161" s="247"/>
      <c r="AH161" s="247">
        <v>10</v>
      </c>
      <c r="AI161" s="247">
        <v>18</v>
      </c>
      <c r="AJ161" s="247" t="s">
        <v>730</v>
      </c>
    </row>
    <row r="162" spans="20:36">
      <c r="T162" s="92"/>
      <c r="AA162" s="247">
        <v>652</v>
      </c>
      <c r="AB162" s="247" t="s">
        <v>731</v>
      </c>
      <c r="AC162" s="247" t="s">
        <v>516</v>
      </c>
      <c r="AD162" s="247" t="s">
        <v>516</v>
      </c>
      <c r="AE162" s="247" t="s">
        <v>533</v>
      </c>
      <c r="AF162" s="247">
        <v>180</v>
      </c>
      <c r="AG162" s="247"/>
      <c r="AH162" s="247">
        <v>10</v>
      </c>
      <c r="AI162" s="247">
        <v>18</v>
      </c>
      <c r="AJ162" s="247" t="s">
        <v>730</v>
      </c>
    </row>
    <row r="163" spans="20:36">
      <c r="T163" s="93"/>
      <c r="AA163" s="247">
        <v>653</v>
      </c>
      <c r="AB163" s="247" t="s">
        <v>732</v>
      </c>
      <c r="AC163" s="247" t="s">
        <v>516</v>
      </c>
      <c r="AD163" s="247" t="s">
        <v>516</v>
      </c>
      <c r="AE163" s="247" t="s">
        <v>543</v>
      </c>
      <c r="AF163" s="247">
        <v>0</v>
      </c>
      <c r="AG163" s="247" t="s">
        <v>528</v>
      </c>
      <c r="AH163" s="247">
        <v>20</v>
      </c>
      <c r="AI163" s="247">
        <v>27</v>
      </c>
      <c r="AJ163" s="247"/>
    </row>
    <row r="164" spans="20:36">
      <c r="T164" s="93"/>
      <c r="AA164" s="247">
        <v>654</v>
      </c>
      <c r="AB164" s="247" t="s">
        <v>733</v>
      </c>
      <c r="AC164" s="247" t="s">
        <v>516</v>
      </c>
      <c r="AD164" s="247" t="s">
        <v>516</v>
      </c>
      <c r="AE164" s="247" t="s">
        <v>543</v>
      </c>
      <c r="AF164" s="247">
        <v>0</v>
      </c>
      <c r="AG164" s="247"/>
      <c r="AH164" s="247">
        <v>20</v>
      </c>
      <c r="AI164" s="247">
        <v>27</v>
      </c>
      <c r="AJ164" s="247"/>
    </row>
    <row r="165" spans="20:36">
      <c r="T165" s="93"/>
      <c r="AA165" s="247">
        <v>656</v>
      </c>
      <c r="AB165" s="247" t="s">
        <v>734</v>
      </c>
      <c r="AC165" s="247">
        <v>1910</v>
      </c>
      <c r="AD165" s="247" t="s">
        <v>735</v>
      </c>
      <c r="AE165" s="247" t="s">
        <v>533</v>
      </c>
      <c r="AF165" s="247">
        <v>180</v>
      </c>
      <c r="AG165" s="247" t="s">
        <v>528</v>
      </c>
      <c r="AH165" s="247">
        <v>20</v>
      </c>
      <c r="AI165" s="247">
        <v>18</v>
      </c>
      <c r="AJ165" s="247" t="s">
        <v>730</v>
      </c>
    </row>
    <row r="166" spans="20:36">
      <c r="T166" s="93"/>
      <c r="AA166" s="247">
        <v>657</v>
      </c>
      <c r="AB166" s="247" t="s">
        <v>736</v>
      </c>
      <c r="AC166" s="247">
        <v>1911</v>
      </c>
      <c r="AD166" s="247" t="s">
        <v>737</v>
      </c>
      <c r="AE166" s="247" t="s">
        <v>533</v>
      </c>
      <c r="AF166" s="247">
        <v>180</v>
      </c>
      <c r="AG166" s="247" t="s">
        <v>528</v>
      </c>
      <c r="AH166" s="247">
        <v>20</v>
      </c>
      <c r="AI166" s="247">
        <v>18</v>
      </c>
      <c r="AJ166" s="247" t="s">
        <v>730</v>
      </c>
    </row>
    <row r="167" spans="20:36">
      <c r="T167" s="93"/>
      <c r="AA167" s="247">
        <v>658</v>
      </c>
      <c r="AB167" s="247" t="s">
        <v>738</v>
      </c>
      <c r="AC167" s="247">
        <v>1912</v>
      </c>
      <c r="AD167" s="247" t="s">
        <v>739</v>
      </c>
      <c r="AE167" s="247" t="s">
        <v>533</v>
      </c>
      <c r="AF167" s="247">
        <v>180</v>
      </c>
      <c r="AG167" s="247" t="s">
        <v>528</v>
      </c>
      <c r="AH167" s="247">
        <v>20</v>
      </c>
      <c r="AI167" s="247">
        <v>18</v>
      </c>
      <c r="AJ167" s="247" t="s">
        <v>730</v>
      </c>
    </row>
    <row r="168" spans="20:36">
      <c r="T168" s="93"/>
      <c r="AA168" s="247">
        <v>660</v>
      </c>
      <c r="AB168" s="247" t="s">
        <v>740</v>
      </c>
      <c r="AC168" s="247">
        <v>1159</v>
      </c>
      <c r="AD168" s="247" t="s">
        <v>741</v>
      </c>
      <c r="AE168" s="247" t="s">
        <v>533</v>
      </c>
      <c r="AF168" s="247">
        <v>190</v>
      </c>
      <c r="AG168" s="247" t="s">
        <v>528</v>
      </c>
      <c r="AH168" s="247">
        <v>0</v>
      </c>
      <c r="AI168" s="247">
        <v>18</v>
      </c>
      <c r="AJ168" s="247" t="s">
        <v>730</v>
      </c>
    </row>
    <row r="169" spans="20:36">
      <c r="T169" s="93"/>
      <c r="AA169" s="247">
        <v>664</v>
      </c>
      <c r="AB169" s="247" t="s">
        <v>742</v>
      </c>
      <c r="AC169" s="247" t="s">
        <v>516</v>
      </c>
      <c r="AD169" s="247" t="s">
        <v>516</v>
      </c>
      <c r="AE169" s="247" t="s">
        <v>507</v>
      </c>
      <c r="AF169" s="247">
        <v>52</v>
      </c>
      <c r="AG169" s="247"/>
      <c r="AH169" s="247">
        <v>20</v>
      </c>
      <c r="AI169" s="247">
        <v>6</v>
      </c>
      <c r="AJ169" s="247"/>
    </row>
    <row r="170" spans="20:36">
      <c r="T170" s="93"/>
      <c r="AA170" s="247">
        <v>665</v>
      </c>
      <c r="AB170" s="247" t="s">
        <v>743</v>
      </c>
      <c r="AC170" s="247">
        <v>1161</v>
      </c>
      <c r="AD170" s="247" t="s">
        <v>743</v>
      </c>
      <c r="AE170" s="247" t="s">
        <v>533</v>
      </c>
      <c r="AF170" s="247">
        <v>52</v>
      </c>
      <c r="AG170" s="247" t="s">
        <v>528</v>
      </c>
      <c r="AH170" s="247">
        <v>20</v>
      </c>
      <c r="AI170" s="247">
        <v>18</v>
      </c>
      <c r="AJ170" s="247" t="s">
        <v>730</v>
      </c>
    </row>
    <row r="171" spans="20:36">
      <c r="T171" s="93"/>
      <c r="AA171" s="247">
        <v>666</v>
      </c>
      <c r="AB171" s="247" t="s">
        <v>744</v>
      </c>
      <c r="AC171" s="247" t="s">
        <v>516</v>
      </c>
      <c r="AD171" s="247" t="s">
        <v>516</v>
      </c>
      <c r="AE171" s="247" t="s">
        <v>533</v>
      </c>
      <c r="AF171" s="247">
        <v>52</v>
      </c>
      <c r="AG171" s="247" t="s">
        <v>528</v>
      </c>
      <c r="AH171" s="247">
        <v>20</v>
      </c>
      <c r="AI171" s="247">
        <v>18</v>
      </c>
      <c r="AJ171" s="247" t="s">
        <v>730</v>
      </c>
    </row>
    <row r="172" spans="20:36">
      <c r="T172" s="93"/>
      <c r="AA172" s="247">
        <v>667</v>
      </c>
      <c r="AB172" s="247" t="s">
        <v>745</v>
      </c>
      <c r="AC172" s="247" t="s">
        <v>516</v>
      </c>
      <c r="AD172" s="247" t="s">
        <v>516</v>
      </c>
      <c r="AE172" s="247" t="s">
        <v>543</v>
      </c>
      <c r="AF172" s="247">
        <v>0</v>
      </c>
      <c r="AG172" s="247" t="s">
        <v>528</v>
      </c>
      <c r="AH172" s="247">
        <v>20</v>
      </c>
      <c r="AI172" s="247">
        <v>27</v>
      </c>
      <c r="AJ172" s="247"/>
    </row>
    <row r="173" spans="20:36">
      <c r="T173" s="93"/>
      <c r="AA173" s="247">
        <v>668</v>
      </c>
      <c r="AB173" s="247" t="s">
        <v>746</v>
      </c>
      <c r="AC173" s="247" t="s">
        <v>516</v>
      </c>
      <c r="AD173" s="247" t="s">
        <v>516</v>
      </c>
      <c r="AE173" s="247" t="s">
        <v>533</v>
      </c>
      <c r="AF173" s="247">
        <v>52</v>
      </c>
      <c r="AG173" s="247" t="s">
        <v>528</v>
      </c>
      <c r="AH173" s="247">
        <v>0</v>
      </c>
      <c r="AI173" s="247">
        <v>18</v>
      </c>
      <c r="AJ173" s="247" t="s">
        <v>747</v>
      </c>
    </row>
    <row r="174" spans="20:36">
      <c r="AA174" s="247">
        <v>669</v>
      </c>
      <c r="AB174" s="247" t="s">
        <v>748</v>
      </c>
      <c r="AC174" s="247" t="s">
        <v>516</v>
      </c>
      <c r="AD174" s="247" t="s">
        <v>516</v>
      </c>
      <c r="AE174" s="247" t="s">
        <v>533</v>
      </c>
      <c r="AF174" s="247">
        <v>52</v>
      </c>
      <c r="AG174" s="247" t="s">
        <v>528</v>
      </c>
      <c r="AH174" s="247">
        <v>20</v>
      </c>
      <c r="AI174" s="247">
        <v>18</v>
      </c>
      <c r="AJ174" s="247" t="s">
        <v>747</v>
      </c>
    </row>
    <row r="175" spans="20:36">
      <c r="AA175" s="247">
        <v>670</v>
      </c>
      <c r="AB175" s="247" t="s">
        <v>749</v>
      </c>
      <c r="AC175" s="247">
        <v>1163</v>
      </c>
      <c r="AD175" s="247" t="s">
        <v>750</v>
      </c>
      <c r="AE175" s="247" t="s">
        <v>533</v>
      </c>
      <c r="AF175" s="247">
        <v>180</v>
      </c>
      <c r="AG175" s="247" t="s">
        <v>528</v>
      </c>
      <c r="AH175" s="247">
        <v>0</v>
      </c>
      <c r="AI175" s="247">
        <v>18</v>
      </c>
      <c r="AJ175" s="247" t="s">
        <v>730</v>
      </c>
    </row>
    <row r="176" spans="20:36">
      <c r="AA176" s="247">
        <v>672</v>
      </c>
      <c r="AB176" s="247" t="s">
        <v>751</v>
      </c>
      <c r="AC176" s="247" t="s">
        <v>516</v>
      </c>
      <c r="AD176" s="247" t="s">
        <v>516</v>
      </c>
      <c r="AE176" s="247" t="s">
        <v>533</v>
      </c>
      <c r="AF176" s="247">
        <v>180</v>
      </c>
      <c r="AG176" s="247" t="s">
        <v>528</v>
      </c>
      <c r="AH176" s="247">
        <v>0</v>
      </c>
      <c r="AI176" s="247">
        <v>18</v>
      </c>
      <c r="AJ176" s="247" t="s">
        <v>730</v>
      </c>
    </row>
    <row r="177" spans="27:36">
      <c r="AA177" s="247">
        <v>675</v>
      </c>
      <c r="AB177" s="247" t="s">
        <v>752</v>
      </c>
      <c r="AC177" s="247">
        <v>1166</v>
      </c>
      <c r="AD177" s="247" t="s">
        <v>753</v>
      </c>
      <c r="AE177" s="247" t="s">
        <v>533</v>
      </c>
      <c r="AF177" s="247">
        <v>180</v>
      </c>
      <c r="AG177" s="247" t="s">
        <v>528</v>
      </c>
      <c r="AH177" s="247">
        <v>0</v>
      </c>
      <c r="AI177" s="247">
        <v>21</v>
      </c>
      <c r="AJ177" s="247" t="s">
        <v>730</v>
      </c>
    </row>
    <row r="178" spans="27:36">
      <c r="AA178" s="247">
        <v>679</v>
      </c>
      <c r="AB178" s="247" t="s">
        <v>754</v>
      </c>
      <c r="AC178" s="247" t="s">
        <v>516</v>
      </c>
      <c r="AD178" s="247" t="s">
        <v>516</v>
      </c>
      <c r="AE178" s="247" t="s">
        <v>533</v>
      </c>
      <c r="AF178" s="247">
        <v>52</v>
      </c>
      <c r="AG178" s="247" t="s">
        <v>528</v>
      </c>
      <c r="AH178" s="247">
        <v>20</v>
      </c>
      <c r="AI178" s="247">
        <v>18</v>
      </c>
      <c r="AJ178" s="247" t="s">
        <v>730</v>
      </c>
    </row>
    <row r="179" spans="27:36">
      <c r="AA179" s="247">
        <v>681</v>
      </c>
      <c r="AB179" s="247" t="s">
        <v>755</v>
      </c>
      <c r="AC179" s="247" t="s">
        <v>516</v>
      </c>
      <c r="AD179" s="247" t="s">
        <v>516</v>
      </c>
      <c r="AE179" s="247" t="s">
        <v>543</v>
      </c>
      <c r="AF179" s="247">
        <v>0</v>
      </c>
      <c r="AG179" s="247" t="s">
        <v>528</v>
      </c>
      <c r="AH179" s="247">
        <v>0</v>
      </c>
      <c r="AI179" s="247">
        <v>27</v>
      </c>
      <c r="AJ179" s="247"/>
    </row>
    <row r="180" spans="27:36">
      <c r="AA180" s="247">
        <v>682</v>
      </c>
      <c r="AB180" s="247" t="s">
        <v>756</v>
      </c>
      <c r="AC180" s="247" t="s">
        <v>516</v>
      </c>
      <c r="AD180" s="247" t="s">
        <v>516</v>
      </c>
      <c r="AE180" s="247" t="s">
        <v>543</v>
      </c>
      <c r="AF180" s="247">
        <v>0</v>
      </c>
      <c r="AG180" s="247" t="s">
        <v>528</v>
      </c>
      <c r="AH180" s="247">
        <v>0</v>
      </c>
      <c r="AI180" s="247">
        <v>27</v>
      </c>
      <c r="AJ180" s="247"/>
    </row>
    <row r="181" spans="27:36">
      <c r="AA181" s="247">
        <v>683</v>
      </c>
      <c r="AB181" s="247" t="s">
        <v>757</v>
      </c>
      <c r="AC181" s="247" t="s">
        <v>516</v>
      </c>
      <c r="AD181" s="247" t="s">
        <v>516</v>
      </c>
      <c r="AE181" s="247" t="s">
        <v>543</v>
      </c>
      <c r="AF181" s="247">
        <v>0</v>
      </c>
      <c r="AG181" s="247" t="s">
        <v>528</v>
      </c>
      <c r="AH181" s="247">
        <v>0</v>
      </c>
      <c r="AI181" s="247">
        <v>27</v>
      </c>
      <c r="AJ181" s="247"/>
    </row>
    <row r="182" spans="27:36">
      <c r="AA182" s="247">
        <v>687</v>
      </c>
      <c r="AB182" s="247" t="s">
        <v>758</v>
      </c>
      <c r="AC182" s="247">
        <v>1931</v>
      </c>
      <c r="AD182" s="247" t="s">
        <v>759</v>
      </c>
      <c r="AE182" s="247" t="s">
        <v>533</v>
      </c>
      <c r="AF182" s="247">
        <v>75</v>
      </c>
      <c r="AG182" s="247" t="s">
        <v>528</v>
      </c>
      <c r="AH182" s="247">
        <v>20</v>
      </c>
      <c r="AI182" s="247">
        <v>24</v>
      </c>
      <c r="AJ182" s="247" t="s">
        <v>747</v>
      </c>
    </row>
    <row r="183" spans="27:36">
      <c r="AA183" s="247">
        <v>691</v>
      </c>
      <c r="AB183" s="247" t="s">
        <v>760</v>
      </c>
      <c r="AC183" s="247" t="s">
        <v>516</v>
      </c>
      <c r="AD183" s="247" t="s">
        <v>516</v>
      </c>
      <c r="AE183" s="247" t="s">
        <v>533</v>
      </c>
      <c r="AF183" s="247">
        <v>170</v>
      </c>
      <c r="AG183" s="247" t="s">
        <v>528</v>
      </c>
      <c r="AH183" s="247">
        <v>0</v>
      </c>
      <c r="AI183" s="247">
        <v>16</v>
      </c>
      <c r="AJ183" s="247" t="s">
        <v>730</v>
      </c>
    </row>
    <row r="184" spans="27:36">
      <c r="AA184" s="247">
        <v>693</v>
      </c>
      <c r="AB184" s="247" t="s">
        <v>761</v>
      </c>
      <c r="AC184" s="247" t="s">
        <v>516</v>
      </c>
      <c r="AD184" s="247" t="s">
        <v>516</v>
      </c>
      <c r="AE184" s="247" t="s">
        <v>533</v>
      </c>
      <c r="AF184" s="247">
        <v>170</v>
      </c>
      <c r="AG184" s="247" t="s">
        <v>528</v>
      </c>
      <c r="AH184" s="247">
        <v>0</v>
      </c>
      <c r="AI184" s="247">
        <v>16</v>
      </c>
      <c r="AJ184" s="247" t="s">
        <v>730</v>
      </c>
    </row>
    <row r="185" spans="27:36">
      <c r="AA185" s="247">
        <v>694</v>
      </c>
      <c r="AB185" s="247" t="s">
        <v>762</v>
      </c>
      <c r="AC185" s="247" t="s">
        <v>516</v>
      </c>
      <c r="AD185" s="247" t="s">
        <v>516</v>
      </c>
      <c r="AE185" s="247" t="s">
        <v>533</v>
      </c>
      <c r="AF185" s="247">
        <v>170</v>
      </c>
      <c r="AG185" s="247" t="s">
        <v>528</v>
      </c>
      <c r="AH185" s="247">
        <v>0</v>
      </c>
      <c r="AI185" s="247">
        <v>16</v>
      </c>
      <c r="AJ185" s="247" t="s">
        <v>730</v>
      </c>
    </row>
    <row r="186" spans="27:36">
      <c r="AA186" s="247">
        <v>695</v>
      </c>
      <c r="AB186" s="247" t="s">
        <v>763</v>
      </c>
      <c r="AC186" s="247">
        <v>1198</v>
      </c>
      <c r="AD186" s="247" t="s">
        <v>764</v>
      </c>
      <c r="AE186" s="247" t="s">
        <v>533</v>
      </c>
      <c r="AF186" s="247">
        <v>52</v>
      </c>
      <c r="AG186" s="247"/>
      <c r="AH186" s="247">
        <v>30</v>
      </c>
      <c r="AI186" s="247">
        <v>22</v>
      </c>
      <c r="AJ186" s="247" t="s">
        <v>668</v>
      </c>
    </row>
    <row r="187" spans="27:36">
      <c r="AA187" s="247">
        <v>696</v>
      </c>
      <c r="AB187" s="247" t="s">
        <v>765</v>
      </c>
      <c r="AC187" s="247" t="s">
        <v>516</v>
      </c>
      <c r="AD187" s="247" t="s">
        <v>516</v>
      </c>
      <c r="AE187" s="247" t="s">
        <v>533</v>
      </c>
      <c r="AF187" s="247">
        <v>52</v>
      </c>
      <c r="AG187" s="247" t="s">
        <v>528</v>
      </c>
      <c r="AH187" s="247">
        <v>0</v>
      </c>
      <c r="AI187" s="247">
        <v>16</v>
      </c>
      <c r="AJ187" s="247" t="s">
        <v>668</v>
      </c>
    </row>
    <row r="188" spans="27:36">
      <c r="AA188" s="247">
        <v>697</v>
      </c>
      <c r="AB188" s="247" t="s">
        <v>766</v>
      </c>
      <c r="AC188" s="247" t="s">
        <v>516</v>
      </c>
      <c r="AD188" s="247" t="s">
        <v>516</v>
      </c>
      <c r="AE188" s="247" t="s">
        <v>507</v>
      </c>
      <c r="AF188" s="247">
        <v>0</v>
      </c>
      <c r="AG188" s="247"/>
      <c r="AH188" s="247">
        <v>0</v>
      </c>
      <c r="AI188" s="247">
        <v>27</v>
      </c>
      <c r="AJ188" s="247"/>
    </row>
    <row r="189" spans="27:36">
      <c r="AA189" s="247">
        <v>700</v>
      </c>
      <c r="AB189" s="247" t="s">
        <v>767</v>
      </c>
      <c r="AC189" s="247">
        <v>57</v>
      </c>
      <c r="AD189" s="247" t="s">
        <v>768</v>
      </c>
      <c r="AE189" s="247" t="s">
        <v>533</v>
      </c>
      <c r="AF189" s="247">
        <v>52</v>
      </c>
      <c r="AG189" s="247" t="s">
        <v>528</v>
      </c>
      <c r="AH189" s="247">
        <v>0</v>
      </c>
      <c r="AI189" s="247">
        <v>18</v>
      </c>
      <c r="AJ189" s="247" t="s">
        <v>747</v>
      </c>
    </row>
    <row r="190" spans="27:36">
      <c r="AA190" s="247">
        <v>707</v>
      </c>
      <c r="AB190" s="247" t="s">
        <v>769</v>
      </c>
      <c r="AC190" s="247">
        <v>2408</v>
      </c>
      <c r="AD190" s="247" t="s">
        <v>770</v>
      </c>
      <c r="AE190" s="247" t="s">
        <v>507</v>
      </c>
      <c r="AF190" s="247">
        <v>52</v>
      </c>
      <c r="AG190" s="247"/>
      <c r="AH190" s="247">
        <v>10</v>
      </c>
      <c r="AI190" s="247">
        <v>28</v>
      </c>
      <c r="AJ190" s="247"/>
    </row>
    <row r="191" spans="27:36">
      <c r="AA191" s="247">
        <v>710</v>
      </c>
      <c r="AB191" s="247" t="s">
        <v>771</v>
      </c>
      <c r="AC191" s="247">
        <v>95</v>
      </c>
      <c r="AD191" s="247" t="s">
        <v>771</v>
      </c>
      <c r="AE191" s="247" t="s">
        <v>507</v>
      </c>
      <c r="AF191" s="247">
        <v>180</v>
      </c>
      <c r="AG191" s="247"/>
      <c r="AH191" s="247">
        <v>10</v>
      </c>
      <c r="AI191" s="247">
        <v>28</v>
      </c>
      <c r="AJ191" s="247"/>
    </row>
    <row r="192" spans="27:36">
      <c r="AA192" s="247">
        <v>711</v>
      </c>
      <c r="AB192" s="247" t="s">
        <v>772</v>
      </c>
      <c r="AC192" s="247" t="s">
        <v>516</v>
      </c>
      <c r="AD192" s="247" t="s">
        <v>516</v>
      </c>
      <c r="AE192" s="247" t="s">
        <v>543</v>
      </c>
      <c r="AF192" s="247">
        <v>0</v>
      </c>
      <c r="AG192" s="247" t="s">
        <v>528</v>
      </c>
      <c r="AH192" s="247">
        <v>0</v>
      </c>
      <c r="AI192" s="247">
        <v>27</v>
      </c>
      <c r="AJ192" s="247"/>
    </row>
    <row r="193" spans="27:36">
      <c r="AA193" s="247">
        <v>712</v>
      </c>
      <c r="AB193" s="247" t="s">
        <v>773</v>
      </c>
      <c r="AC193" s="247" t="s">
        <v>516</v>
      </c>
      <c r="AD193" s="247" t="s">
        <v>516</v>
      </c>
      <c r="AE193" s="247" t="s">
        <v>543</v>
      </c>
      <c r="AF193" s="247">
        <v>0</v>
      </c>
      <c r="AG193" s="247" t="s">
        <v>528</v>
      </c>
      <c r="AH193" s="247">
        <v>0</v>
      </c>
      <c r="AI193" s="247">
        <v>27</v>
      </c>
      <c r="AJ193" s="247"/>
    </row>
    <row r="194" spans="27:36">
      <c r="AA194" s="247">
        <v>713</v>
      </c>
      <c r="AB194" s="247" t="s">
        <v>774</v>
      </c>
      <c r="AC194" s="247" t="s">
        <v>516</v>
      </c>
      <c r="AD194" s="247" t="s">
        <v>516</v>
      </c>
      <c r="AE194" s="247" t="s">
        <v>543</v>
      </c>
      <c r="AF194" s="247">
        <v>0</v>
      </c>
      <c r="AG194" s="247" t="s">
        <v>528</v>
      </c>
      <c r="AH194" s="247">
        <v>0</v>
      </c>
      <c r="AI194" s="247">
        <v>27</v>
      </c>
      <c r="AJ194" s="247"/>
    </row>
    <row r="195" spans="27:36">
      <c r="AA195" s="247">
        <v>714</v>
      </c>
      <c r="AB195" s="247" t="s">
        <v>775</v>
      </c>
      <c r="AC195" s="247" t="s">
        <v>516</v>
      </c>
      <c r="AD195" s="247" t="s">
        <v>516</v>
      </c>
      <c r="AE195" s="247" t="s">
        <v>543</v>
      </c>
      <c r="AF195" s="247">
        <v>0</v>
      </c>
      <c r="AG195" s="247" t="s">
        <v>528</v>
      </c>
      <c r="AH195" s="247">
        <v>0</v>
      </c>
      <c r="AI195" s="247">
        <v>27</v>
      </c>
      <c r="AJ195" s="247"/>
    </row>
    <row r="196" spans="27:36">
      <c r="AA196" s="247">
        <v>715</v>
      </c>
      <c r="AB196" s="247" t="s">
        <v>776</v>
      </c>
      <c r="AC196" s="247">
        <v>1175</v>
      </c>
      <c r="AD196" s="247" t="s">
        <v>777</v>
      </c>
      <c r="AE196" s="247" t="s">
        <v>533</v>
      </c>
      <c r="AF196" s="247">
        <v>52</v>
      </c>
      <c r="AG196" s="247" t="s">
        <v>528</v>
      </c>
      <c r="AH196" s="247">
        <v>0</v>
      </c>
      <c r="AI196" s="247">
        <v>18</v>
      </c>
      <c r="AJ196" s="247" t="s">
        <v>747</v>
      </c>
    </row>
    <row r="197" spans="27:36">
      <c r="AA197" s="247">
        <v>716</v>
      </c>
      <c r="AB197" s="247" t="s">
        <v>778</v>
      </c>
      <c r="AC197" s="247" t="s">
        <v>516</v>
      </c>
      <c r="AD197" s="247" t="s">
        <v>516</v>
      </c>
      <c r="AE197" s="247" t="s">
        <v>543</v>
      </c>
      <c r="AF197" s="247">
        <v>0</v>
      </c>
      <c r="AG197" s="247" t="s">
        <v>528</v>
      </c>
      <c r="AH197" s="247">
        <v>0</v>
      </c>
      <c r="AI197" s="247">
        <v>27</v>
      </c>
      <c r="AJ197" s="247"/>
    </row>
    <row r="198" spans="27:36">
      <c r="AA198" s="247">
        <v>717</v>
      </c>
      <c r="AB198" s="247" t="s">
        <v>779</v>
      </c>
      <c r="AC198" s="247" t="s">
        <v>516</v>
      </c>
      <c r="AD198" s="247" t="s">
        <v>516</v>
      </c>
      <c r="AE198" s="247" t="s">
        <v>543</v>
      </c>
      <c r="AF198" s="247">
        <v>0</v>
      </c>
      <c r="AG198" s="247" t="s">
        <v>528</v>
      </c>
      <c r="AH198" s="247">
        <v>0</v>
      </c>
      <c r="AI198" s="247">
        <v>27</v>
      </c>
      <c r="AJ198" s="247"/>
    </row>
    <row r="199" spans="27:36">
      <c r="AA199" s="247">
        <v>718</v>
      </c>
      <c r="AB199" s="247" t="s">
        <v>780</v>
      </c>
      <c r="AC199" s="247" t="s">
        <v>516</v>
      </c>
      <c r="AD199" s="247" t="s">
        <v>516</v>
      </c>
      <c r="AE199" s="247" t="s">
        <v>543</v>
      </c>
      <c r="AF199" s="247">
        <v>0</v>
      </c>
      <c r="AG199" s="247" t="s">
        <v>528</v>
      </c>
      <c r="AH199" s="247">
        <v>0</v>
      </c>
      <c r="AI199" s="247">
        <v>27</v>
      </c>
      <c r="AJ199" s="247"/>
    </row>
    <row r="200" spans="27:36">
      <c r="AA200" s="247">
        <v>740</v>
      </c>
      <c r="AB200" s="247" t="s">
        <v>781</v>
      </c>
      <c r="AC200" s="247" t="s">
        <v>516</v>
      </c>
      <c r="AD200" s="247" t="s">
        <v>516</v>
      </c>
      <c r="AE200" s="247" t="s">
        <v>533</v>
      </c>
      <c r="AF200" s="247">
        <v>170</v>
      </c>
      <c r="AG200" s="247"/>
      <c r="AH200" s="247">
        <v>20</v>
      </c>
      <c r="AI200" s="247">
        <v>18</v>
      </c>
      <c r="AJ200" s="247" t="s">
        <v>747</v>
      </c>
    </row>
    <row r="201" spans="27:36">
      <c r="AA201" s="247">
        <v>741</v>
      </c>
      <c r="AB201" s="247" t="s">
        <v>782</v>
      </c>
      <c r="AC201" s="247" t="s">
        <v>516</v>
      </c>
      <c r="AD201" s="247" t="s">
        <v>516</v>
      </c>
      <c r="AE201" s="247" t="s">
        <v>533</v>
      </c>
      <c r="AF201" s="247">
        <v>180</v>
      </c>
      <c r="AG201" s="247"/>
      <c r="AH201" s="247">
        <v>20</v>
      </c>
      <c r="AI201" s="247">
        <v>18</v>
      </c>
      <c r="AJ201" s="247" t="s">
        <v>747</v>
      </c>
    </row>
    <row r="202" spans="27:36">
      <c r="AA202" s="247">
        <v>775</v>
      </c>
      <c r="AB202" s="247" t="s">
        <v>783</v>
      </c>
      <c r="AC202" s="247" t="s">
        <v>516</v>
      </c>
      <c r="AD202" s="247" t="s">
        <v>516</v>
      </c>
      <c r="AE202" s="247" t="s">
        <v>507</v>
      </c>
      <c r="AF202" s="247">
        <v>60</v>
      </c>
      <c r="AG202" s="247"/>
      <c r="AH202" s="247">
        <v>20</v>
      </c>
      <c r="AI202" s="247">
        <v>6</v>
      </c>
      <c r="AJ202" s="247"/>
    </row>
    <row r="203" spans="27:36">
      <c r="AA203" s="247">
        <v>776</v>
      </c>
      <c r="AB203" s="247" t="s">
        <v>784</v>
      </c>
      <c r="AC203" s="247" t="s">
        <v>516</v>
      </c>
      <c r="AD203" s="247" t="s">
        <v>516</v>
      </c>
      <c r="AE203" s="247" t="s">
        <v>543</v>
      </c>
      <c r="AF203" s="247">
        <v>0</v>
      </c>
      <c r="AG203" s="247" t="s">
        <v>528</v>
      </c>
      <c r="AH203" s="247">
        <v>0</v>
      </c>
      <c r="AI203" s="247">
        <v>27</v>
      </c>
      <c r="AJ203" s="247"/>
    </row>
    <row r="204" spans="27:36">
      <c r="AA204" s="247">
        <v>780</v>
      </c>
      <c r="AB204" s="247" t="s">
        <v>785</v>
      </c>
      <c r="AC204" s="247" t="s">
        <v>516</v>
      </c>
      <c r="AD204" s="247" t="s">
        <v>516</v>
      </c>
      <c r="AE204" s="247" t="s">
        <v>533</v>
      </c>
      <c r="AF204" s="247">
        <v>52</v>
      </c>
      <c r="AG204" s="247" t="s">
        <v>528</v>
      </c>
      <c r="AH204" s="247">
        <v>0</v>
      </c>
      <c r="AI204" s="247">
        <v>18</v>
      </c>
      <c r="AJ204" s="247" t="s">
        <v>747</v>
      </c>
    </row>
    <row r="205" spans="27:36">
      <c r="AA205" s="247">
        <v>785</v>
      </c>
      <c r="AB205" s="247" t="s">
        <v>786</v>
      </c>
      <c r="AC205" s="247" t="s">
        <v>516</v>
      </c>
      <c r="AD205" s="247" t="s">
        <v>516</v>
      </c>
      <c r="AE205" s="247" t="s">
        <v>543</v>
      </c>
      <c r="AF205" s="247">
        <v>0</v>
      </c>
      <c r="AG205" s="247"/>
      <c r="AH205" s="247">
        <v>20</v>
      </c>
      <c r="AI205" s="247">
        <v>27</v>
      </c>
      <c r="AJ205" s="247"/>
    </row>
    <row r="206" spans="27:36">
      <c r="AA206" s="247">
        <v>786</v>
      </c>
      <c r="AB206" s="247" t="s">
        <v>787</v>
      </c>
      <c r="AC206" s="247" t="s">
        <v>516</v>
      </c>
      <c r="AD206" s="247" t="s">
        <v>516</v>
      </c>
      <c r="AE206" s="247" t="s">
        <v>543</v>
      </c>
      <c r="AF206" s="247">
        <v>0</v>
      </c>
      <c r="AG206" s="247"/>
      <c r="AH206" s="247">
        <v>0</v>
      </c>
      <c r="AI206" s="247">
        <v>27</v>
      </c>
      <c r="AJ206" s="247"/>
    </row>
    <row r="207" spans="27:36">
      <c r="AA207" s="247">
        <v>806</v>
      </c>
      <c r="AB207" s="247" t="s">
        <v>788</v>
      </c>
      <c r="AC207" s="247" t="s">
        <v>516</v>
      </c>
      <c r="AD207" s="247" t="s">
        <v>516</v>
      </c>
      <c r="AE207" s="247" t="s">
        <v>533</v>
      </c>
      <c r="AF207" s="247">
        <v>75</v>
      </c>
      <c r="AG207" s="247" t="s">
        <v>528</v>
      </c>
      <c r="AH207" s="247">
        <v>30</v>
      </c>
      <c r="AI207" s="247">
        <v>14</v>
      </c>
      <c r="AJ207" s="247"/>
    </row>
    <row r="208" spans="27:36">
      <c r="AA208" s="247">
        <v>811</v>
      </c>
      <c r="AB208" s="247" t="s">
        <v>789</v>
      </c>
      <c r="AC208" s="247" t="s">
        <v>516</v>
      </c>
      <c r="AD208" s="247" t="s">
        <v>516</v>
      </c>
      <c r="AE208" s="247" t="s">
        <v>533</v>
      </c>
      <c r="AF208" s="247">
        <v>190</v>
      </c>
      <c r="AG208" s="247" t="s">
        <v>528</v>
      </c>
      <c r="AH208" s="247">
        <v>0</v>
      </c>
      <c r="AI208" s="247">
        <v>14</v>
      </c>
      <c r="AJ208" s="247"/>
    </row>
    <row r="209" spans="27:36">
      <c r="AA209" s="247">
        <v>821</v>
      </c>
      <c r="AB209" s="247" t="s">
        <v>790</v>
      </c>
      <c r="AC209" s="247" t="s">
        <v>516</v>
      </c>
      <c r="AD209" s="247" t="s">
        <v>516</v>
      </c>
      <c r="AE209" s="247" t="s">
        <v>507</v>
      </c>
      <c r="AF209" s="247">
        <v>52</v>
      </c>
      <c r="AG209" s="247"/>
      <c r="AH209" s="247">
        <v>20</v>
      </c>
      <c r="AI209" s="247">
        <v>15</v>
      </c>
      <c r="AJ209" s="247"/>
    </row>
    <row r="210" spans="27:36">
      <c r="AA210" s="247">
        <v>825</v>
      </c>
      <c r="AB210" s="247" t="s">
        <v>791</v>
      </c>
      <c r="AC210" s="247" t="s">
        <v>516</v>
      </c>
      <c r="AD210" s="247" t="s">
        <v>516</v>
      </c>
      <c r="AE210" s="247" t="s">
        <v>533</v>
      </c>
      <c r="AF210" s="247">
        <v>52</v>
      </c>
      <c r="AG210" s="247"/>
      <c r="AH210" s="247">
        <v>20</v>
      </c>
      <c r="AI210" s="247">
        <v>21</v>
      </c>
      <c r="AJ210" s="247"/>
    </row>
    <row r="211" spans="27:36">
      <c r="AA211" s="247">
        <v>826</v>
      </c>
      <c r="AB211" s="247" t="s">
        <v>792</v>
      </c>
      <c r="AC211" s="247" t="s">
        <v>516</v>
      </c>
      <c r="AD211" s="247" t="s">
        <v>516</v>
      </c>
      <c r="AE211" s="247" t="s">
        <v>533</v>
      </c>
      <c r="AF211" s="247">
        <v>52</v>
      </c>
      <c r="AG211" s="247"/>
      <c r="AH211" s="247">
        <v>20</v>
      </c>
      <c r="AI211" s="247">
        <v>21</v>
      </c>
      <c r="AJ211" s="247"/>
    </row>
    <row r="212" spans="27:36">
      <c r="AA212" s="247">
        <v>829</v>
      </c>
      <c r="AB212" s="247" t="s">
        <v>793</v>
      </c>
      <c r="AC212" s="247" t="s">
        <v>516</v>
      </c>
      <c r="AD212" s="247" t="s">
        <v>516</v>
      </c>
      <c r="AE212" s="247" t="s">
        <v>533</v>
      </c>
      <c r="AF212" s="247">
        <v>52</v>
      </c>
      <c r="AG212" s="247"/>
      <c r="AH212" s="247">
        <v>20</v>
      </c>
      <c r="AI212" s="247">
        <v>21</v>
      </c>
      <c r="AJ212" s="247"/>
    </row>
    <row r="213" spans="27:36">
      <c r="AA213" s="247">
        <v>830</v>
      </c>
      <c r="AB213" s="247" t="s">
        <v>794</v>
      </c>
      <c r="AC213" s="247" t="s">
        <v>516</v>
      </c>
      <c r="AD213" s="247" t="s">
        <v>516</v>
      </c>
      <c r="AE213" s="247" t="s">
        <v>543</v>
      </c>
      <c r="AF213" s="247">
        <v>0</v>
      </c>
      <c r="AG213" s="247"/>
      <c r="AH213" s="247">
        <v>20</v>
      </c>
      <c r="AI213" s="247">
        <v>27</v>
      </c>
      <c r="AJ213" s="247"/>
    </row>
    <row r="214" spans="27:36">
      <c r="AA214" s="247">
        <v>831</v>
      </c>
      <c r="AB214" s="247" t="s">
        <v>795</v>
      </c>
      <c r="AC214" s="247" t="s">
        <v>516</v>
      </c>
      <c r="AD214" s="247" t="s">
        <v>516</v>
      </c>
      <c r="AE214" s="247" t="s">
        <v>533</v>
      </c>
      <c r="AF214" s="247">
        <v>52</v>
      </c>
      <c r="AG214" s="247" t="s">
        <v>528</v>
      </c>
      <c r="AH214" s="247">
        <v>0</v>
      </c>
      <c r="AI214" s="247">
        <v>21</v>
      </c>
      <c r="AJ214" s="247"/>
    </row>
    <row r="215" spans="27:36">
      <c r="AA215" s="247">
        <v>835</v>
      </c>
      <c r="AB215" s="247" t="s">
        <v>796</v>
      </c>
      <c r="AC215" s="247" t="s">
        <v>516</v>
      </c>
      <c r="AD215" s="247" t="s">
        <v>516</v>
      </c>
      <c r="AE215" s="247" t="s">
        <v>543</v>
      </c>
      <c r="AF215" s="247">
        <v>0</v>
      </c>
      <c r="AG215" s="247" t="s">
        <v>528</v>
      </c>
      <c r="AH215" s="247">
        <v>20</v>
      </c>
      <c r="AI215" s="247">
        <v>27</v>
      </c>
      <c r="AJ215" s="247"/>
    </row>
    <row r="216" spans="27:36">
      <c r="AA216" s="247">
        <v>836</v>
      </c>
      <c r="AB216" s="247" t="s">
        <v>797</v>
      </c>
      <c r="AC216" s="247" t="s">
        <v>516</v>
      </c>
      <c r="AD216" s="247" t="s">
        <v>516</v>
      </c>
      <c r="AE216" s="247" t="s">
        <v>533</v>
      </c>
      <c r="AF216" s="247">
        <v>52</v>
      </c>
      <c r="AG216" s="247" t="s">
        <v>528</v>
      </c>
      <c r="AH216" s="247">
        <v>0</v>
      </c>
      <c r="AI216" s="247">
        <v>21</v>
      </c>
      <c r="AJ216" s="247"/>
    </row>
    <row r="217" spans="27:36">
      <c r="AA217" s="247">
        <v>850</v>
      </c>
      <c r="AB217" s="247" t="s">
        <v>798</v>
      </c>
      <c r="AC217" s="247">
        <v>1932</v>
      </c>
      <c r="AD217" s="247" t="s">
        <v>799</v>
      </c>
      <c r="AE217" s="247" t="s">
        <v>543</v>
      </c>
      <c r="AF217" s="247">
        <v>0</v>
      </c>
      <c r="AG217" s="247"/>
      <c r="AH217" s="247">
        <v>20</v>
      </c>
      <c r="AI217" s="247">
        <v>27</v>
      </c>
      <c r="AJ217" s="247"/>
    </row>
    <row r="218" spans="27:36">
      <c r="AA218" s="247">
        <v>855</v>
      </c>
      <c r="AB218" s="247" t="s">
        <v>800</v>
      </c>
      <c r="AC218" s="247" t="s">
        <v>516</v>
      </c>
      <c r="AD218" s="247" t="s">
        <v>516</v>
      </c>
      <c r="AE218" s="247" t="s">
        <v>507</v>
      </c>
      <c r="AF218" s="247">
        <v>50</v>
      </c>
      <c r="AG218" s="247"/>
      <c r="AH218" s="247">
        <v>20</v>
      </c>
      <c r="AI218" s="247">
        <v>28</v>
      </c>
      <c r="AJ218" s="247"/>
    </row>
    <row r="219" spans="27:36">
      <c r="AA219" s="247">
        <v>856</v>
      </c>
      <c r="AB219" s="247" t="s">
        <v>801</v>
      </c>
      <c r="AC219" s="247" t="s">
        <v>516</v>
      </c>
      <c r="AD219" s="247" t="s">
        <v>516</v>
      </c>
      <c r="AE219" s="247" t="s">
        <v>507</v>
      </c>
      <c r="AF219" s="247">
        <v>52</v>
      </c>
      <c r="AG219" s="247"/>
      <c r="AH219" s="247">
        <v>20</v>
      </c>
      <c r="AI219" s="247">
        <v>28</v>
      </c>
      <c r="AJ219" s="247"/>
    </row>
    <row r="220" spans="27:36">
      <c r="AA220" s="247">
        <v>857</v>
      </c>
      <c r="AB220" s="247" t="s">
        <v>802</v>
      </c>
      <c r="AC220" s="247" t="s">
        <v>516</v>
      </c>
      <c r="AD220" s="247" t="s">
        <v>516</v>
      </c>
      <c r="AE220" s="247" t="s">
        <v>543</v>
      </c>
      <c r="AF220" s="247">
        <v>0</v>
      </c>
      <c r="AG220" s="247" t="s">
        <v>528</v>
      </c>
      <c r="AH220" s="247">
        <v>0</v>
      </c>
      <c r="AI220" s="247">
        <v>27</v>
      </c>
      <c r="AJ220" s="247"/>
    </row>
    <row r="221" spans="27:36">
      <c r="AA221" s="247">
        <v>858</v>
      </c>
      <c r="AB221" s="247" t="s">
        <v>803</v>
      </c>
      <c r="AC221" s="247" t="s">
        <v>516</v>
      </c>
      <c r="AD221" s="247" t="s">
        <v>516</v>
      </c>
      <c r="AE221" s="247" t="s">
        <v>543</v>
      </c>
      <c r="AF221" s="247">
        <v>0</v>
      </c>
      <c r="AG221" s="247" t="s">
        <v>528</v>
      </c>
      <c r="AH221" s="247">
        <v>20</v>
      </c>
      <c r="AI221" s="247">
        <v>27</v>
      </c>
      <c r="AJ221" s="247"/>
    </row>
    <row r="222" spans="27:36">
      <c r="AA222" s="247">
        <v>871</v>
      </c>
      <c r="AB222" s="247" t="s">
        <v>804</v>
      </c>
      <c r="AC222" s="247" t="s">
        <v>516</v>
      </c>
      <c r="AD222" s="247" t="s">
        <v>516</v>
      </c>
      <c r="AE222" s="247" t="s">
        <v>507</v>
      </c>
      <c r="AF222" s="247">
        <v>0</v>
      </c>
      <c r="AG222" s="247"/>
      <c r="AH222" s="247">
        <v>30</v>
      </c>
      <c r="AI222" s="247">
        <v>28</v>
      </c>
      <c r="AJ222" s="247"/>
    </row>
    <row r="223" spans="27:36">
      <c r="AA223" s="247">
        <v>872</v>
      </c>
      <c r="AB223" s="247" t="s">
        <v>805</v>
      </c>
      <c r="AC223" s="247" t="s">
        <v>516</v>
      </c>
      <c r="AD223" s="247" t="s">
        <v>516</v>
      </c>
      <c r="AE223" s="247" t="s">
        <v>507</v>
      </c>
      <c r="AF223" s="247">
        <v>0</v>
      </c>
      <c r="AG223" s="247"/>
      <c r="AH223" s="247">
        <v>30</v>
      </c>
      <c r="AI223" s="247">
        <v>28</v>
      </c>
      <c r="AJ223" s="247"/>
    </row>
    <row r="224" spans="27:36">
      <c r="AA224" s="247">
        <v>873</v>
      </c>
      <c r="AB224" s="247" t="s">
        <v>806</v>
      </c>
      <c r="AC224" s="247" t="s">
        <v>516</v>
      </c>
      <c r="AD224" s="247" t="s">
        <v>516</v>
      </c>
      <c r="AE224" s="247" t="s">
        <v>507</v>
      </c>
      <c r="AF224" s="247">
        <v>0</v>
      </c>
      <c r="AG224" s="247"/>
      <c r="AH224" s="247">
        <v>30</v>
      </c>
      <c r="AI224" s="247">
        <v>28</v>
      </c>
      <c r="AJ224" s="247"/>
    </row>
    <row r="225" spans="27:36">
      <c r="AA225" s="247">
        <v>874</v>
      </c>
      <c r="AB225" s="247" t="s">
        <v>807</v>
      </c>
      <c r="AC225" s="247" t="s">
        <v>516</v>
      </c>
      <c r="AD225" s="247" t="s">
        <v>516</v>
      </c>
      <c r="AE225" s="247" t="s">
        <v>543</v>
      </c>
      <c r="AF225" s="247">
        <v>0</v>
      </c>
      <c r="AG225" s="247" t="s">
        <v>528</v>
      </c>
      <c r="AH225" s="247">
        <v>20</v>
      </c>
      <c r="AI225" s="247">
        <v>27</v>
      </c>
      <c r="AJ225" s="247"/>
    </row>
    <row r="226" spans="27:36">
      <c r="AA226" s="247">
        <v>875</v>
      </c>
      <c r="AB226" s="247" t="s">
        <v>808</v>
      </c>
      <c r="AC226" s="247" t="s">
        <v>516</v>
      </c>
      <c r="AD226" s="247" t="s">
        <v>516</v>
      </c>
      <c r="AE226" s="247" t="s">
        <v>507</v>
      </c>
      <c r="AF226" s="247">
        <v>0</v>
      </c>
      <c r="AG226" s="247"/>
      <c r="AH226" s="247">
        <v>20</v>
      </c>
      <c r="AI226" s="247">
        <v>27</v>
      </c>
      <c r="AJ226" s="247"/>
    </row>
    <row r="227" spans="27:36">
      <c r="AA227" s="247">
        <v>876</v>
      </c>
      <c r="AB227" s="247" t="s">
        <v>809</v>
      </c>
      <c r="AC227" s="247" t="s">
        <v>516</v>
      </c>
      <c r="AD227" s="247" t="s">
        <v>516</v>
      </c>
      <c r="AE227" s="247" t="s">
        <v>507</v>
      </c>
      <c r="AF227" s="247">
        <v>0</v>
      </c>
      <c r="AG227" s="247"/>
      <c r="AH227" s="247">
        <v>30</v>
      </c>
      <c r="AI227" s="247">
        <v>27</v>
      </c>
      <c r="AJ227" s="247"/>
    </row>
    <row r="228" spans="27:36">
      <c r="AA228" s="247">
        <v>877</v>
      </c>
      <c r="AB228" s="247" t="s">
        <v>810</v>
      </c>
      <c r="AC228" s="247" t="s">
        <v>516</v>
      </c>
      <c r="AD228" s="247" t="s">
        <v>516</v>
      </c>
      <c r="AE228" s="247" t="s">
        <v>507</v>
      </c>
      <c r="AF228" s="247">
        <v>0</v>
      </c>
      <c r="AG228" s="247"/>
      <c r="AH228" s="247">
        <v>20</v>
      </c>
      <c r="AI228" s="247">
        <v>27</v>
      </c>
      <c r="AJ228" s="247"/>
    </row>
    <row r="229" spans="27:36">
      <c r="AA229" s="247">
        <v>878</v>
      </c>
      <c r="AB229" s="247" t="s">
        <v>811</v>
      </c>
      <c r="AC229" s="247" t="s">
        <v>516</v>
      </c>
      <c r="AD229" s="247" t="s">
        <v>516</v>
      </c>
      <c r="AE229" s="247" t="s">
        <v>507</v>
      </c>
      <c r="AF229" s="247">
        <v>0</v>
      </c>
      <c r="AG229" s="247"/>
      <c r="AH229" s="247">
        <v>20</v>
      </c>
      <c r="AI229" s="247">
        <v>27</v>
      </c>
      <c r="AJ229" s="247"/>
    </row>
    <row r="230" spans="27:36">
      <c r="AA230" s="247">
        <v>960</v>
      </c>
      <c r="AB230" s="247" t="s">
        <v>812</v>
      </c>
      <c r="AC230" s="247" t="s">
        <v>516</v>
      </c>
      <c r="AD230" s="247" t="s">
        <v>516</v>
      </c>
      <c r="AE230" s="247" t="s">
        <v>543</v>
      </c>
      <c r="AF230" s="247">
        <v>0</v>
      </c>
      <c r="AG230" s="247" t="s">
        <v>528</v>
      </c>
      <c r="AH230" s="247">
        <v>20</v>
      </c>
      <c r="AI230" s="247">
        <v>27</v>
      </c>
      <c r="AJ230" s="247"/>
    </row>
    <row r="231" spans="27:36">
      <c r="AA231" s="247">
        <v>961</v>
      </c>
      <c r="AB231" s="247" t="s">
        <v>813</v>
      </c>
      <c r="AC231" s="247" t="s">
        <v>516</v>
      </c>
      <c r="AD231" s="247" t="s">
        <v>516</v>
      </c>
      <c r="AE231" s="247" t="s">
        <v>543</v>
      </c>
      <c r="AF231" s="247">
        <v>0</v>
      </c>
      <c r="AG231" s="247" t="s">
        <v>528</v>
      </c>
      <c r="AH231" s="247">
        <v>0</v>
      </c>
      <c r="AI231" s="247">
        <v>27</v>
      </c>
      <c r="AJ231" s="247"/>
    </row>
    <row r="232" spans="27:36">
      <c r="AA232" s="247">
        <v>962</v>
      </c>
      <c r="AB232" s="247" t="s">
        <v>814</v>
      </c>
      <c r="AC232" s="247" t="s">
        <v>516</v>
      </c>
      <c r="AD232" s="247" t="s">
        <v>516</v>
      </c>
      <c r="AE232" s="247" t="s">
        <v>543</v>
      </c>
      <c r="AF232" s="247">
        <v>0</v>
      </c>
      <c r="AG232" s="247" t="s">
        <v>528</v>
      </c>
      <c r="AH232" s="247">
        <v>20</v>
      </c>
      <c r="AI232" s="247">
        <v>27</v>
      </c>
      <c r="AJ232" s="247"/>
    </row>
    <row r="233" spans="27:36">
      <c r="AA233" s="247">
        <v>963</v>
      </c>
      <c r="AB233" s="247" t="s">
        <v>815</v>
      </c>
      <c r="AC233" s="247" t="s">
        <v>516</v>
      </c>
      <c r="AD233" s="247" t="s">
        <v>516</v>
      </c>
      <c r="AE233" s="247" t="s">
        <v>543</v>
      </c>
      <c r="AF233" s="247">
        <v>0</v>
      </c>
      <c r="AG233" s="247" t="s">
        <v>528</v>
      </c>
      <c r="AH233" s="247">
        <v>20</v>
      </c>
      <c r="AI233" s="247">
        <v>27</v>
      </c>
      <c r="AJ233" s="247"/>
    </row>
    <row r="234" spans="27:36">
      <c r="AA234" s="247">
        <v>964</v>
      </c>
      <c r="AB234" s="247" t="s">
        <v>816</v>
      </c>
      <c r="AC234" s="247" t="s">
        <v>516</v>
      </c>
      <c r="AD234" s="247" t="s">
        <v>516</v>
      </c>
      <c r="AE234" s="247" t="s">
        <v>543</v>
      </c>
      <c r="AF234" s="247">
        <v>0</v>
      </c>
      <c r="AG234" s="247" t="s">
        <v>528</v>
      </c>
      <c r="AH234" s="247">
        <v>20</v>
      </c>
      <c r="AI234" s="247">
        <v>27</v>
      </c>
      <c r="AJ234" s="247"/>
    </row>
    <row r="235" spans="27:36">
      <c r="AA235" s="247">
        <v>965</v>
      </c>
      <c r="AB235" s="247" t="s">
        <v>817</v>
      </c>
      <c r="AC235" s="247" t="s">
        <v>516</v>
      </c>
      <c r="AD235" s="247" t="s">
        <v>516</v>
      </c>
      <c r="AE235" s="247" t="s">
        <v>543</v>
      </c>
      <c r="AF235" s="247">
        <v>0</v>
      </c>
      <c r="AG235" s="247" t="s">
        <v>528</v>
      </c>
      <c r="AH235" s="247">
        <v>20</v>
      </c>
      <c r="AI235" s="247">
        <v>27</v>
      </c>
      <c r="AJ235" s="247"/>
    </row>
    <row r="236" spans="27:36">
      <c r="AA236" s="247">
        <v>967</v>
      </c>
      <c r="AB236" s="247" t="s">
        <v>818</v>
      </c>
      <c r="AC236" s="247" t="s">
        <v>516</v>
      </c>
      <c r="AD236" s="247" t="s">
        <v>516</v>
      </c>
      <c r="AE236" s="247" t="s">
        <v>543</v>
      </c>
      <c r="AF236" s="247">
        <v>0</v>
      </c>
      <c r="AG236" s="247"/>
      <c r="AH236" s="247">
        <v>20</v>
      </c>
      <c r="AI236" s="247">
        <v>28</v>
      </c>
      <c r="AJ236" s="247"/>
    </row>
    <row r="237" spans="27:36">
      <c r="AA237" s="247">
        <v>968</v>
      </c>
      <c r="AB237" s="247" t="s">
        <v>819</v>
      </c>
      <c r="AC237" s="247" t="s">
        <v>516</v>
      </c>
      <c r="AD237" s="247" t="s">
        <v>516</v>
      </c>
      <c r="AE237" s="247" t="s">
        <v>543</v>
      </c>
      <c r="AF237" s="247">
        <v>0</v>
      </c>
      <c r="AG237" s="247" t="s">
        <v>528</v>
      </c>
      <c r="AH237" s="247">
        <v>20</v>
      </c>
      <c r="AI237" s="247">
        <v>27</v>
      </c>
      <c r="AJ237" s="247"/>
    </row>
    <row r="238" spans="27:36">
      <c r="AA238" s="247">
        <v>969</v>
      </c>
      <c r="AB238" s="247" t="s">
        <v>820</v>
      </c>
      <c r="AC238" s="247" t="s">
        <v>516</v>
      </c>
      <c r="AD238" s="247" t="s">
        <v>516</v>
      </c>
      <c r="AE238" s="247" t="s">
        <v>543</v>
      </c>
      <c r="AF238" s="247">
        <v>0</v>
      </c>
      <c r="AG238" s="247"/>
      <c r="AH238" s="247">
        <v>20</v>
      </c>
      <c r="AI238" s="247">
        <v>28</v>
      </c>
      <c r="AJ238" s="247"/>
    </row>
    <row r="239" spans="27:36">
      <c r="AA239" s="247">
        <v>970</v>
      </c>
      <c r="AB239" s="247" t="s">
        <v>821</v>
      </c>
      <c r="AC239" s="247" t="s">
        <v>516</v>
      </c>
      <c r="AD239" s="247" t="s">
        <v>516</v>
      </c>
      <c r="AE239" s="247" t="s">
        <v>543</v>
      </c>
      <c r="AF239" s="247">
        <v>0</v>
      </c>
      <c r="AG239" s="247" t="s">
        <v>528</v>
      </c>
      <c r="AH239" s="247">
        <v>0</v>
      </c>
      <c r="AI239" s="247">
        <v>27</v>
      </c>
      <c r="AJ239" s="247"/>
    </row>
    <row r="240" spans="27:36">
      <c r="AA240" s="247">
        <v>971</v>
      </c>
      <c r="AB240" s="247" t="s">
        <v>822</v>
      </c>
      <c r="AC240" s="247" t="s">
        <v>516</v>
      </c>
      <c r="AD240" s="247" t="s">
        <v>516</v>
      </c>
      <c r="AE240" s="247" t="s">
        <v>507</v>
      </c>
      <c r="AF240" s="247">
        <v>52</v>
      </c>
      <c r="AG240" s="247"/>
      <c r="AH240" s="247">
        <v>20</v>
      </c>
      <c r="AI240" s="247">
        <v>15</v>
      </c>
      <c r="AJ240" s="247"/>
    </row>
    <row r="241" spans="27:36">
      <c r="AA241" s="247">
        <v>972</v>
      </c>
      <c r="AB241" s="247" t="s">
        <v>823</v>
      </c>
      <c r="AC241" s="247" t="s">
        <v>516</v>
      </c>
      <c r="AD241" s="247" t="s">
        <v>516</v>
      </c>
      <c r="AE241" s="247" t="s">
        <v>543</v>
      </c>
      <c r="AF241" s="247">
        <v>0</v>
      </c>
      <c r="AG241" s="247" t="s">
        <v>528</v>
      </c>
      <c r="AH241" s="247">
        <v>20</v>
      </c>
      <c r="AI241" s="247">
        <v>27</v>
      </c>
      <c r="AJ241" s="247"/>
    </row>
    <row r="242" spans="27:36">
      <c r="AA242" s="247">
        <v>973</v>
      </c>
      <c r="AB242" s="247" t="s">
        <v>824</v>
      </c>
      <c r="AC242" s="247" t="s">
        <v>516</v>
      </c>
      <c r="AD242" s="247" t="s">
        <v>516</v>
      </c>
      <c r="AE242" s="247" t="s">
        <v>507</v>
      </c>
      <c r="AF242" s="247">
        <v>75</v>
      </c>
      <c r="AG242" s="247" t="s">
        <v>528</v>
      </c>
      <c r="AH242" s="247">
        <v>20</v>
      </c>
      <c r="AI242" s="247">
        <v>15</v>
      </c>
      <c r="AJ242" s="247"/>
    </row>
    <row r="243" spans="27:36">
      <c r="AA243" s="247">
        <v>974</v>
      </c>
      <c r="AB243" s="247" t="s">
        <v>825</v>
      </c>
      <c r="AC243" s="247" t="s">
        <v>516</v>
      </c>
      <c r="AD243" s="247" t="s">
        <v>516</v>
      </c>
      <c r="AE243" s="247" t="s">
        <v>543</v>
      </c>
      <c r="AF243" s="247">
        <v>0</v>
      </c>
      <c r="AG243" s="247" t="s">
        <v>528</v>
      </c>
      <c r="AH243" s="247">
        <v>20</v>
      </c>
      <c r="AI243" s="247">
        <v>27</v>
      </c>
      <c r="AJ243" s="247"/>
    </row>
    <row r="244" spans="27:36">
      <c r="AA244" s="247">
        <v>1001</v>
      </c>
      <c r="AB244" s="247" t="s">
        <v>826</v>
      </c>
      <c r="AC244" s="247" t="s">
        <v>516</v>
      </c>
      <c r="AD244" s="247" t="s">
        <v>516</v>
      </c>
      <c r="AE244" s="247" t="s">
        <v>543</v>
      </c>
      <c r="AF244" s="247">
        <v>0</v>
      </c>
      <c r="AG244" s="247"/>
      <c r="AH244" s="247">
        <v>20</v>
      </c>
      <c r="AI244" s="247">
        <v>27</v>
      </c>
      <c r="AJ244" s="247"/>
    </row>
    <row r="245" spans="27:36">
      <c r="AA245" s="247">
        <v>1005</v>
      </c>
      <c r="AB245" s="247" t="s">
        <v>827</v>
      </c>
      <c r="AC245" s="247">
        <v>1558</v>
      </c>
      <c r="AD245" s="247" t="s">
        <v>828</v>
      </c>
      <c r="AE245" s="247" t="s">
        <v>533</v>
      </c>
      <c r="AF245" s="247">
        <v>52</v>
      </c>
      <c r="AG245" s="247" t="s">
        <v>528</v>
      </c>
      <c r="AH245" s="247">
        <v>20</v>
      </c>
      <c r="AI245" s="247">
        <v>15</v>
      </c>
      <c r="AJ245" s="247"/>
    </row>
    <row r="246" spans="27:36">
      <c r="AA246" s="247">
        <v>1015</v>
      </c>
      <c r="AB246" s="247" t="s">
        <v>829</v>
      </c>
      <c r="AC246" s="247">
        <v>1564</v>
      </c>
      <c r="AD246" s="247" t="s">
        <v>830</v>
      </c>
      <c r="AE246" s="247" t="s">
        <v>533</v>
      </c>
      <c r="AF246" s="247">
        <v>52</v>
      </c>
      <c r="AG246" s="247" t="s">
        <v>528</v>
      </c>
      <c r="AH246" s="247">
        <v>0</v>
      </c>
      <c r="AI246" s="247">
        <v>15</v>
      </c>
      <c r="AJ246" s="247"/>
    </row>
    <row r="247" spans="27:36">
      <c r="AA247" s="247">
        <v>1050</v>
      </c>
      <c r="AB247" s="247" t="s">
        <v>831</v>
      </c>
      <c r="AC247" s="247" t="s">
        <v>516</v>
      </c>
      <c r="AD247" s="247" t="s">
        <v>516</v>
      </c>
      <c r="AE247" s="247" t="s">
        <v>543</v>
      </c>
      <c r="AF247" s="247">
        <v>0</v>
      </c>
      <c r="AG247" s="247"/>
      <c r="AH247" s="247">
        <v>10</v>
      </c>
      <c r="AI247" s="247">
        <v>27</v>
      </c>
      <c r="AJ247" s="247"/>
    </row>
    <row r="248" spans="27:36">
      <c r="AA248" s="247">
        <v>1055</v>
      </c>
      <c r="AB248" s="247" t="s">
        <v>832</v>
      </c>
      <c r="AC248" s="247" t="s">
        <v>516</v>
      </c>
      <c r="AD248" s="247" t="s">
        <v>516</v>
      </c>
      <c r="AE248" s="247" t="s">
        <v>533</v>
      </c>
      <c r="AF248" s="247">
        <v>52</v>
      </c>
      <c r="AG248" s="247" t="s">
        <v>528</v>
      </c>
      <c r="AH248" s="247">
        <v>0</v>
      </c>
      <c r="AI248" s="247">
        <v>25</v>
      </c>
      <c r="AJ248" s="247"/>
    </row>
    <row r="249" spans="27:36">
      <c r="AA249" s="247">
        <v>1065</v>
      </c>
      <c r="AB249" s="247" t="s">
        <v>833</v>
      </c>
      <c r="AC249" s="247" t="s">
        <v>516</v>
      </c>
      <c r="AD249" s="247" t="s">
        <v>516</v>
      </c>
      <c r="AE249" s="247" t="s">
        <v>507</v>
      </c>
      <c r="AF249" s="247">
        <v>52</v>
      </c>
      <c r="AG249" s="247"/>
      <c r="AH249" s="247">
        <v>20</v>
      </c>
      <c r="AI249" s="247">
        <v>15</v>
      </c>
      <c r="AJ249" s="247"/>
    </row>
    <row r="250" spans="27:36">
      <c r="AA250" s="247">
        <v>1070</v>
      </c>
      <c r="AB250" s="247" t="s">
        <v>834</v>
      </c>
      <c r="AC250" s="247" t="s">
        <v>516</v>
      </c>
      <c r="AD250" s="247" t="s">
        <v>516</v>
      </c>
      <c r="AE250" s="247" t="s">
        <v>507</v>
      </c>
      <c r="AF250" s="247">
        <v>52</v>
      </c>
      <c r="AG250" s="247"/>
      <c r="AH250" s="247">
        <v>20</v>
      </c>
      <c r="AI250" s="247">
        <v>15</v>
      </c>
      <c r="AJ250" s="247"/>
    </row>
    <row r="251" spans="27:36">
      <c r="AA251" s="247">
        <v>1125</v>
      </c>
      <c r="AB251" s="247" t="s">
        <v>835</v>
      </c>
      <c r="AC251" s="247" t="s">
        <v>516</v>
      </c>
      <c r="AD251" s="247" t="s">
        <v>516</v>
      </c>
      <c r="AE251" s="247" t="s">
        <v>533</v>
      </c>
      <c r="AF251" s="247">
        <v>52</v>
      </c>
      <c r="AG251" s="247" t="s">
        <v>528</v>
      </c>
      <c r="AH251" s="247">
        <v>20</v>
      </c>
      <c r="AI251" s="247">
        <v>21</v>
      </c>
      <c r="AJ251" s="247"/>
    </row>
    <row r="252" spans="27:36">
      <c r="AA252" s="247">
        <v>1130</v>
      </c>
      <c r="AB252" s="247" t="s">
        <v>836</v>
      </c>
      <c r="AC252" s="247" t="s">
        <v>516</v>
      </c>
      <c r="AD252" s="247" t="s">
        <v>516</v>
      </c>
      <c r="AE252" s="247" t="s">
        <v>533</v>
      </c>
      <c r="AF252" s="247">
        <v>52</v>
      </c>
      <c r="AG252" s="247" t="s">
        <v>528</v>
      </c>
      <c r="AH252" s="247">
        <v>0</v>
      </c>
      <c r="AI252" s="247">
        <v>21</v>
      </c>
      <c r="AJ252" s="247"/>
    </row>
    <row r="253" spans="27:36">
      <c r="AA253" s="247">
        <v>1150</v>
      </c>
      <c r="AB253" s="247" t="s">
        <v>837</v>
      </c>
      <c r="AC253" s="247" t="s">
        <v>516</v>
      </c>
      <c r="AD253" s="247" t="s">
        <v>516</v>
      </c>
      <c r="AE253" s="247" t="s">
        <v>543</v>
      </c>
      <c r="AF253" s="247">
        <v>0</v>
      </c>
      <c r="AG253" s="247" t="s">
        <v>528</v>
      </c>
      <c r="AH253" s="247">
        <v>20</v>
      </c>
      <c r="AI253" s="247">
        <v>27</v>
      </c>
      <c r="AJ253" s="247"/>
    </row>
    <row r="254" spans="27:36">
      <c r="AA254" s="247">
        <v>1151</v>
      </c>
      <c r="AB254" s="247" t="s">
        <v>838</v>
      </c>
      <c r="AC254" s="247" t="s">
        <v>516</v>
      </c>
      <c r="AD254" s="247" t="s">
        <v>516</v>
      </c>
      <c r="AE254" s="247" t="s">
        <v>507</v>
      </c>
      <c r="AF254" s="247">
        <v>0</v>
      </c>
      <c r="AG254" s="247"/>
      <c r="AH254" s="247">
        <v>20</v>
      </c>
      <c r="AI254" s="247">
        <v>27</v>
      </c>
      <c r="AJ254" s="247"/>
    </row>
    <row r="255" spans="27:36">
      <c r="AA255" s="247">
        <v>1160</v>
      </c>
      <c r="AB255" s="247" t="s">
        <v>839</v>
      </c>
      <c r="AC255" s="247" t="s">
        <v>516</v>
      </c>
      <c r="AD255" s="247" t="s">
        <v>516</v>
      </c>
      <c r="AE255" s="247" t="s">
        <v>543</v>
      </c>
      <c r="AF255" s="247">
        <v>0</v>
      </c>
      <c r="AG255" s="247"/>
      <c r="AH255" s="247">
        <v>20</v>
      </c>
      <c r="AI255" s="247">
        <v>27</v>
      </c>
      <c r="AJ255" s="247"/>
    </row>
    <row r="256" spans="27:36">
      <c r="AA256" s="247">
        <v>1161</v>
      </c>
      <c r="AB256" s="247" t="s">
        <v>840</v>
      </c>
      <c r="AC256" s="247" t="s">
        <v>516</v>
      </c>
      <c r="AD256" s="247" t="s">
        <v>516</v>
      </c>
      <c r="AE256" s="247" t="s">
        <v>543</v>
      </c>
      <c r="AF256" s="247">
        <v>0</v>
      </c>
      <c r="AG256" s="247"/>
      <c r="AH256" s="247">
        <v>20</v>
      </c>
      <c r="AI256" s="247">
        <v>27</v>
      </c>
      <c r="AJ256" s="247"/>
    </row>
    <row r="257" spans="27:36">
      <c r="AA257" s="247">
        <v>1200</v>
      </c>
      <c r="AB257" s="247" t="s">
        <v>841</v>
      </c>
      <c r="AC257" s="247">
        <v>1713</v>
      </c>
      <c r="AD257" s="247" t="s">
        <v>842</v>
      </c>
      <c r="AE257" s="247" t="s">
        <v>543</v>
      </c>
      <c r="AF257" s="247">
        <v>0</v>
      </c>
      <c r="AG257" s="247"/>
      <c r="AH257" s="247">
        <v>30</v>
      </c>
      <c r="AI257" s="247">
        <v>27</v>
      </c>
      <c r="AJ257" s="247"/>
    </row>
    <row r="258" spans="27:36">
      <c r="AA258" s="247">
        <v>1210</v>
      </c>
      <c r="AB258" s="247" t="s">
        <v>843</v>
      </c>
      <c r="AC258" s="247">
        <v>1714</v>
      </c>
      <c r="AD258" s="247" t="s">
        <v>844</v>
      </c>
      <c r="AE258" s="247" t="s">
        <v>533</v>
      </c>
      <c r="AF258" s="247">
        <v>52</v>
      </c>
      <c r="AG258" s="247" t="s">
        <v>528</v>
      </c>
      <c r="AH258" s="247">
        <v>0</v>
      </c>
      <c r="AI258" s="247">
        <v>22</v>
      </c>
      <c r="AJ258" s="247"/>
    </row>
    <row r="259" spans="27:36">
      <c r="AA259" s="247">
        <v>1215</v>
      </c>
      <c r="AB259" s="247" t="s">
        <v>845</v>
      </c>
      <c r="AC259" s="247" t="s">
        <v>516</v>
      </c>
      <c r="AD259" s="247" t="s">
        <v>516</v>
      </c>
      <c r="AE259" s="247" t="s">
        <v>543</v>
      </c>
      <c r="AF259" s="247">
        <v>0</v>
      </c>
      <c r="AG259" s="247" t="s">
        <v>528</v>
      </c>
      <c r="AH259" s="247">
        <v>20</v>
      </c>
      <c r="AI259" s="247">
        <v>27</v>
      </c>
      <c r="AJ259" s="247"/>
    </row>
    <row r="260" spans="27:36">
      <c r="AA260" s="247">
        <v>1216</v>
      </c>
      <c r="AB260" s="247" t="s">
        <v>846</v>
      </c>
      <c r="AC260" s="247" t="s">
        <v>516</v>
      </c>
      <c r="AD260" s="247" t="s">
        <v>516</v>
      </c>
      <c r="AE260" s="247" t="s">
        <v>533</v>
      </c>
      <c r="AF260" s="247">
        <v>52</v>
      </c>
      <c r="AG260" s="247" t="s">
        <v>528</v>
      </c>
      <c r="AH260" s="247">
        <v>0</v>
      </c>
      <c r="AI260" s="247">
        <v>21</v>
      </c>
      <c r="AJ260" s="247"/>
    </row>
    <row r="261" spans="27:36">
      <c r="AA261" s="247">
        <v>1311</v>
      </c>
      <c r="AB261" s="247" t="s">
        <v>847</v>
      </c>
      <c r="AC261" s="247" t="s">
        <v>516</v>
      </c>
      <c r="AD261" s="247" t="s">
        <v>516</v>
      </c>
      <c r="AE261" s="247" t="s">
        <v>543</v>
      </c>
      <c r="AF261" s="247">
        <v>0</v>
      </c>
      <c r="AG261" s="247" t="s">
        <v>528</v>
      </c>
      <c r="AH261" s="247">
        <v>20</v>
      </c>
      <c r="AI261" s="247">
        <v>27</v>
      </c>
      <c r="AJ261" s="247"/>
    </row>
    <row r="262" spans="27:36">
      <c r="AA262" s="247">
        <v>1312</v>
      </c>
      <c r="AB262" s="247" t="s">
        <v>848</v>
      </c>
      <c r="AC262" s="247" t="s">
        <v>516</v>
      </c>
      <c r="AD262" s="247" t="s">
        <v>516</v>
      </c>
      <c r="AE262" s="247" t="s">
        <v>543</v>
      </c>
      <c r="AF262" s="247">
        <v>0</v>
      </c>
      <c r="AG262" s="247" t="s">
        <v>528</v>
      </c>
      <c r="AH262" s="247">
        <v>20</v>
      </c>
      <c r="AI262" s="247">
        <v>27</v>
      </c>
      <c r="AJ262" s="247"/>
    </row>
    <row r="263" spans="27:36">
      <c r="AA263" s="247">
        <v>1313</v>
      </c>
      <c r="AB263" s="247" t="s">
        <v>849</v>
      </c>
      <c r="AC263" s="247" t="s">
        <v>516</v>
      </c>
      <c r="AD263" s="247" t="s">
        <v>516</v>
      </c>
      <c r="AE263" s="247" t="s">
        <v>543</v>
      </c>
      <c r="AF263" s="247">
        <v>0</v>
      </c>
      <c r="AG263" s="247" t="s">
        <v>528</v>
      </c>
      <c r="AH263" s="247">
        <v>20</v>
      </c>
      <c r="AI263" s="247">
        <v>27</v>
      </c>
      <c r="AJ263" s="247"/>
    </row>
    <row r="264" spans="27:36">
      <c r="AA264" s="247">
        <v>1314</v>
      </c>
      <c r="AB264" s="247" t="s">
        <v>850</v>
      </c>
      <c r="AC264" s="247" t="s">
        <v>516</v>
      </c>
      <c r="AD264" s="247" t="s">
        <v>516</v>
      </c>
      <c r="AE264" s="247" t="s">
        <v>543</v>
      </c>
      <c r="AF264" s="247">
        <v>0</v>
      </c>
      <c r="AG264" s="247" t="s">
        <v>528</v>
      </c>
      <c r="AH264" s="247">
        <v>20</v>
      </c>
      <c r="AI264" s="247">
        <v>27</v>
      </c>
      <c r="AJ264" s="247"/>
    </row>
    <row r="265" spans="27:36">
      <c r="AA265" s="247">
        <v>1316</v>
      </c>
      <c r="AB265" s="247" t="s">
        <v>851</v>
      </c>
      <c r="AC265" s="247" t="s">
        <v>516</v>
      </c>
      <c r="AD265" s="247" t="s">
        <v>516</v>
      </c>
      <c r="AE265" s="247" t="s">
        <v>533</v>
      </c>
      <c r="AF265" s="247">
        <v>52</v>
      </c>
      <c r="AG265" s="247" t="s">
        <v>528</v>
      </c>
      <c r="AH265" s="247">
        <v>20</v>
      </c>
      <c r="AI265" s="247">
        <v>23</v>
      </c>
      <c r="AJ265" s="247"/>
    </row>
    <row r="266" spans="27:36">
      <c r="AA266" s="247">
        <v>1319</v>
      </c>
      <c r="AB266" s="247" t="s">
        <v>852</v>
      </c>
      <c r="AC266" s="247" t="s">
        <v>516</v>
      </c>
      <c r="AD266" s="247" t="s">
        <v>516</v>
      </c>
      <c r="AE266" s="247" t="s">
        <v>543</v>
      </c>
      <c r="AF266" s="247">
        <v>0</v>
      </c>
      <c r="AG266" s="247" t="s">
        <v>528</v>
      </c>
      <c r="AH266" s="247">
        <v>20</v>
      </c>
      <c r="AI266" s="247">
        <v>27</v>
      </c>
      <c r="AJ266" s="247"/>
    </row>
    <row r="267" spans="27:36">
      <c r="AA267" s="247">
        <v>1320</v>
      </c>
      <c r="AB267" s="247" t="s">
        <v>853</v>
      </c>
      <c r="AC267" s="247" t="s">
        <v>516</v>
      </c>
      <c r="AD267" s="247" t="s">
        <v>516</v>
      </c>
      <c r="AE267" s="247" t="s">
        <v>507</v>
      </c>
      <c r="AF267" s="247">
        <v>0</v>
      </c>
      <c r="AG267" s="247"/>
      <c r="AH267" s="247">
        <v>20</v>
      </c>
      <c r="AI267" s="247">
        <v>27</v>
      </c>
      <c r="AJ267" s="247"/>
    </row>
    <row r="268" spans="27:36">
      <c r="AA268" s="247">
        <v>1321</v>
      </c>
      <c r="AB268" s="247" t="s">
        <v>854</v>
      </c>
      <c r="AC268" s="247" t="s">
        <v>516</v>
      </c>
      <c r="AD268" s="247" t="s">
        <v>516</v>
      </c>
      <c r="AE268" s="247" t="s">
        <v>543</v>
      </c>
      <c r="AF268" s="247">
        <v>0</v>
      </c>
      <c r="AG268" s="247" t="s">
        <v>528</v>
      </c>
      <c r="AH268" s="247">
        <v>20</v>
      </c>
      <c r="AI268" s="247">
        <v>27</v>
      </c>
      <c r="AJ268" s="247"/>
    </row>
    <row r="269" spans="27:36">
      <c r="AA269" s="247">
        <v>1322</v>
      </c>
      <c r="AB269" s="247" t="s">
        <v>855</v>
      </c>
      <c r="AC269" s="247" t="s">
        <v>516</v>
      </c>
      <c r="AD269" s="247" t="s">
        <v>516</v>
      </c>
      <c r="AE269" s="247" t="s">
        <v>543</v>
      </c>
      <c r="AF269" s="247">
        <v>0</v>
      </c>
      <c r="AG269" s="247" t="s">
        <v>528</v>
      </c>
      <c r="AH269" s="247">
        <v>20</v>
      </c>
      <c r="AI269" s="247">
        <v>27</v>
      </c>
      <c r="AJ269" s="247"/>
    </row>
    <row r="270" spans="27:36">
      <c r="AA270" s="247">
        <v>1405</v>
      </c>
      <c r="AB270" s="247" t="s">
        <v>856</v>
      </c>
      <c r="AC270" s="247">
        <v>1585</v>
      </c>
      <c r="AD270" s="247" t="s">
        <v>857</v>
      </c>
      <c r="AE270" s="247" t="s">
        <v>507</v>
      </c>
      <c r="AF270" s="247">
        <v>60</v>
      </c>
      <c r="AG270" s="247" t="s">
        <v>528</v>
      </c>
      <c r="AH270" s="247">
        <v>0</v>
      </c>
      <c r="AI270" s="247">
        <v>9</v>
      </c>
      <c r="AJ270" s="247"/>
    </row>
    <row r="271" spans="27:36">
      <c r="AA271" s="247">
        <v>1407</v>
      </c>
      <c r="AB271" s="247" t="s">
        <v>858</v>
      </c>
      <c r="AC271" s="247" t="s">
        <v>516</v>
      </c>
      <c r="AD271" s="247" t="s">
        <v>516</v>
      </c>
      <c r="AE271" s="247" t="s">
        <v>507</v>
      </c>
      <c r="AF271" s="247">
        <v>60</v>
      </c>
      <c r="AG271" s="247" t="s">
        <v>528</v>
      </c>
      <c r="AH271" s="247">
        <v>0</v>
      </c>
      <c r="AI271" s="247">
        <v>9</v>
      </c>
      <c r="AJ271" s="247"/>
    </row>
    <row r="272" spans="27:36">
      <c r="AA272" s="247">
        <v>1408</v>
      </c>
      <c r="AB272" s="247" t="s">
        <v>859</v>
      </c>
      <c r="AC272" s="247" t="s">
        <v>516</v>
      </c>
      <c r="AD272" s="247" t="s">
        <v>516</v>
      </c>
      <c r="AE272" s="247" t="s">
        <v>507</v>
      </c>
      <c r="AF272" s="247">
        <v>0</v>
      </c>
      <c r="AG272" s="247"/>
      <c r="AH272" s="247">
        <v>20</v>
      </c>
      <c r="AI272" s="247">
        <v>28</v>
      </c>
      <c r="AJ272" s="247"/>
    </row>
    <row r="273" spans="27:36">
      <c r="AA273" s="247">
        <v>1409</v>
      </c>
      <c r="AB273" s="247" t="s">
        <v>860</v>
      </c>
      <c r="AC273" s="247" t="s">
        <v>516</v>
      </c>
      <c r="AD273" s="247" t="s">
        <v>516</v>
      </c>
      <c r="AE273" s="247" t="s">
        <v>507</v>
      </c>
      <c r="AF273" s="247">
        <v>0</v>
      </c>
      <c r="AG273" s="247"/>
      <c r="AH273" s="247">
        <v>20</v>
      </c>
      <c r="AI273" s="247">
        <v>28</v>
      </c>
      <c r="AJ273" s="247"/>
    </row>
    <row r="274" spans="27:36">
      <c r="AA274" s="247">
        <v>1410</v>
      </c>
      <c r="AB274" s="247" t="s">
        <v>861</v>
      </c>
      <c r="AC274" s="247" t="s">
        <v>516</v>
      </c>
      <c r="AD274" s="247" t="s">
        <v>516</v>
      </c>
      <c r="AE274" s="247" t="s">
        <v>507</v>
      </c>
      <c r="AF274" s="247">
        <v>190</v>
      </c>
      <c r="AG274" s="247" t="s">
        <v>528</v>
      </c>
      <c r="AH274" s="247">
        <v>0</v>
      </c>
      <c r="AI274" s="247">
        <v>9</v>
      </c>
      <c r="AJ274" s="247"/>
    </row>
    <row r="275" spans="27:36">
      <c r="AA275" s="247">
        <v>1500</v>
      </c>
      <c r="AB275" s="247" t="s">
        <v>862</v>
      </c>
      <c r="AC275" s="247">
        <v>1337</v>
      </c>
      <c r="AD275" s="247" t="s">
        <v>863</v>
      </c>
      <c r="AE275" s="247" t="s">
        <v>533</v>
      </c>
      <c r="AF275" s="247">
        <v>52</v>
      </c>
      <c r="AG275" s="247" t="s">
        <v>528</v>
      </c>
      <c r="AH275" s="247">
        <v>0</v>
      </c>
      <c r="AI275" s="247">
        <v>23</v>
      </c>
      <c r="AJ275" s="247"/>
    </row>
    <row r="276" spans="27:36">
      <c r="AA276" s="247">
        <v>1510</v>
      </c>
      <c r="AB276" s="247" t="s">
        <v>864</v>
      </c>
      <c r="AC276" s="247">
        <v>1306</v>
      </c>
      <c r="AD276" s="247" t="s">
        <v>865</v>
      </c>
      <c r="AE276" s="247" t="s">
        <v>533</v>
      </c>
      <c r="AF276" s="247">
        <v>52</v>
      </c>
      <c r="AG276" s="247" t="s">
        <v>528</v>
      </c>
      <c r="AH276" s="247">
        <v>0</v>
      </c>
      <c r="AI276" s="247">
        <v>23</v>
      </c>
      <c r="AJ276" s="247"/>
    </row>
    <row r="277" spans="27:36">
      <c r="AA277" s="247">
        <v>1520</v>
      </c>
      <c r="AB277" s="247" t="s">
        <v>866</v>
      </c>
      <c r="AC277" s="247" t="s">
        <v>516</v>
      </c>
      <c r="AD277" s="247" t="s">
        <v>516</v>
      </c>
      <c r="AE277" s="247" t="s">
        <v>533</v>
      </c>
      <c r="AF277" s="247">
        <v>52</v>
      </c>
      <c r="AG277" s="247" t="s">
        <v>528</v>
      </c>
      <c r="AH277" s="247">
        <v>20</v>
      </c>
      <c r="AI277" s="247">
        <v>21</v>
      </c>
      <c r="AJ277" s="247"/>
    </row>
    <row r="278" spans="27:36">
      <c r="AA278" s="247">
        <v>1525</v>
      </c>
      <c r="AB278" s="247" t="s">
        <v>867</v>
      </c>
      <c r="AC278" s="247" t="s">
        <v>516</v>
      </c>
      <c r="AD278" s="247" t="s">
        <v>516</v>
      </c>
      <c r="AE278" s="247" t="s">
        <v>533</v>
      </c>
      <c r="AF278" s="247">
        <v>52</v>
      </c>
      <c r="AG278" s="247" t="s">
        <v>528</v>
      </c>
      <c r="AH278" s="247">
        <v>20</v>
      </c>
      <c r="AI278" s="247">
        <v>21</v>
      </c>
      <c r="AJ278" s="247"/>
    </row>
    <row r="279" spans="27:36">
      <c r="AA279" s="247">
        <v>1530</v>
      </c>
      <c r="AB279" s="247" t="s">
        <v>868</v>
      </c>
      <c r="AC279" s="247" t="s">
        <v>516</v>
      </c>
      <c r="AD279" s="247" t="s">
        <v>516</v>
      </c>
      <c r="AE279" s="247" t="s">
        <v>543</v>
      </c>
      <c r="AF279" s="247">
        <v>0</v>
      </c>
      <c r="AG279" s="247"/>
      <c r="AH279" s="247">
        <v>10</v>
      </c>
      <c r="AI279" s="247">
        <v>27</v>
      </c>
      <c r="AJ279" s="247"/>
    </row>
    <row r="280" spans="27:36">
      <c r="AA280" s="247">
        <v>1548</v>
      </c>
      <c r="AB280" s="247" t="s">
        <v>869</v>
      </c>
      <c r="AC280" s="247" t="s">
        <v>516</v>
      </c>
      <c r="AD280" s="247" t="s">
        <v>516</v>
      </c>
      <c r="AE280" s="247" t="s">
        <v>533</v>
      </c>
      <c r="AF280" s="247">
        <v>52</v>
      </c>
      <c r="AG280" s="247" t="s">
        <v>528</v>
      </c>
      <c r="AH280" s="247">
        <v>20</v>
      </c>
      <c r="AI280" s="247">
        <v>23</v>
      </c>
      <c r="AJ280" s="247"/>
    </row>
    <row r="281" spans="27:36">
      <c r="AA281" s="247">
        <v>1550</v>
      </c>
      <c r="AB281" s="247" t="s">
        <v>870</v>
      </c>
      <c r="AC281" s="247">
        <v>1355</v>
      </c>
      <c r="AD281" s="247" t="s">
        <v>871</v>
      </c>
      <c r="AE281" s="247" t="s">
        <v>533</v>
      </c>
      <c r="AF281" s="247">
        <v>52</v>
      </c>
      <c r="AG281" s="247" t="s">
        <v>528</v>
      </c>
      <c r="AH281" s="247">
        <v>20</v>
      </c>
      <c r="AI281" s="247">
        <v>23</v>
      </c>
      <c r="AJ281" s="247"/>
    </row>
    <row r="282" spans="27:36">
      <c r="AA282" s="247">
        <v>1552</v>
      </c>
      <c r="AB282" s="247" t="s">
        <v>872</v>
      </c>
      <c r="AC282" s="247">
        <v>2315</v>
      </c>
      <c r="AD282" s="247" t="s">
        <v>516</v>
      </c>
      <c r="AE282" s="247" t="s">
        <v>507</v>
      </c>
      <c r="AF282" s="247">
        <v>0</v>
      </c>
      <c r="AG282" s="247"/>
      <c r="AH282" s="247">
        <v>20</v>
      </c>
      <c r="AI282" s="247">
        <v>28</v>
      </c>
      <c r="AJ282" s="247"/>
    </row>
    <row r="283" spans="27:36">
      <c r="AA283" s="247">
        <v>1555</v>
      </c>
      <c r="AB283" s="247" t="s">
        <v>873</v>
      </c>
      <c r="AC283" s="247" t="s">
        <v>516</v>
      </c>
      <c r="AD283" s="247" t="s">
        <v>516</v>
      </c>
      <c r="AE283" s="247" t="s">
        <v>507</v>
      </c>
      <c r="AF283" s="247">
        <v>0</v>
      </c>
      <c r="AG283" s="247"/>
      <c r="AH283" s="247">
        <v>20</v>
      </c>
      <c r="AI283" s="247">
        <v>28</v>
      </c>
      <c r="AJ283" s="247"/>
    </row>
    <row r="284" spans="27:36">
      <c r="AA284" s="247">
        <v>1557</v>
      </c>
      <c r="AB284" s="247" t="s">
        <v>874</v>
      </c>
      <c r="AC284" s="247" t="s">
        <v>516</v>
      </c>
      <c r="AD284" s="247" t="s">
        <v>516</v>
      </c>
      <c r="AE284" s="247" t="s">
        <v>507</v>
      </c>
      <c r="AF284" s="247">
        <v>0</v>
      </c>
      <c r="AG284" s="247"/>
      <c r="AH284" s="247">
        <v>20</v>
      </c>
      <c r="AI284" s="247">
        <v>28</v>
      </c>
      <c r="AJ284" s="247"/>
    </row>
    <row r="285" spans="27:36">
      <c r="AA285" s="247">
        <v>1558</v>
      </c>
      <c r="AB285" s="247" t="s">
        <v>875</v>
      </c>
      <c r="AC285" s="247" t="s">
        <v>516</v>
      </c>
      <c r="AD285" s="247" t="s">
        <v>516</v>
      </c>
      <c r="AE285" s="247" t="s">
        <v>543</v>
      </c>
      <c r="AF285" s="247">
        <v>0</v>
      </c>
      <c r="AG285" s="247" t="s">
        <v>528</v>
      </c>
      <c r="AH285" s="247">
        <v>0</v>
      </c>
      <c r="AI285" s="247">
        <v>27</v>
      </c>
      <c r="AJ285" s="247"/>
    </row>
    <row r="286" spans="27:36">
      <c r="AA286" s="247">
        <v>1560</v>
      </c>
      <c r="AB286" s="247" t="s">
        <v>876</v>
      </c>
      <c r="AC286" s="247" t="s">
        <v>516</v>
      </c>
      <c r="AD286" s="247" t="s">
        <v>516</v>
      </c>
      <c r="AE286" s="247" t="s">
        <v>507</v>
      </c>
      <c r="AF286" s="247">
        <v>0</v>
      </c>
      <c r="AG286" s="247"/>
      <c r="AH286" s="247">
        <v>20</v>
      </c>
      <c r="AI286" s="247">
        <v>28</v>
      </c>
      <c r="AJ286" s="247"/>
    </row>
    <row r="287" spans="27:36">
      <c r="AA287" s="247">
        <v>1565</v>
      </c>
      <c r="AB287" s="247" t="s">
        <v>877</v>
      </c>
      <c r="AC287" s="247" t="s">
        <v>516</v>
      </c>
      <c r="AD287" s="247" t="s">
        <v>516</v>
      </c>
      <c r="AE287" s="247" t="s">
        <v>507</v>
      </c>
      <c r="AF287" s="247">
        <v>0</v>
      </c>
      <c r="AG287" s="247"/>
      <c r="AH287" s="247">
        <v>20</v>
      </c>
      <c r="AI287" s="247">
        <v>28</v>
      </c>
      <c r="AJ287" s="247"/>
    </row>
    <row r="288" spans="27:36">
      <c r="AA288" s="247">
        <v>1570</v>
      </c>
      <c r="AB288" s="247" t="s">
        <v>878</v>
      </c>
      <c r="AC288" s="247" t="s">
        <v>516</v>
      </c>
      <c r="AD288" s="247" t="s">
        <v>516</v>
      </c>
      <c r="AE288" s="247" t="s">
        <v>507</v>
      </c>
      <c r="AF288" s="247">
        <v>0</v>
      </c>
      <c r="AG288" s="247"/>
      <c r="AH288" s="247">
        <v>20</v>
      </c>
      <c r="AI288" s="247">
        <v>28</v>
      </c>
      <c r="AJ288" s="247"/>
    </row>
    <row r="289" spans="27:36">
      <c r="AA289" s="247">
        <v>1600</v>
      </c>
      <c r="AB289" s="247" t="s">
        <v>879</v>
      </c>
      <c r="AC289" s="247" t="s">
        <v>880</v>
      </c>
      <c r="AD289" s="247" t="s">
        <v>881</v>
      </c>
      <c r="AE289" s="247" t="s">
        <v>533</v>
      </c>
      <c r="AF289" s="247">
        <v>75</v>
      </c>
      <c r="AG289" s="247" t="s">
        <v>528</v>
      </c>
      <c r="AH289" s="247">
        <v>30</v>
      </c>
      <c r="AI289" s="247">
        <v>14</v>
      </c>
      <c r="AJ289" s="247"/>
    </row>
    <row r="290" spans="27:36">
      <c r="AA290" s="247">
        <v>1610</v>
      </c>
      <c r="AB290" s="247" t="s">
        <v>882</v>
      </c>
      <c r="AC290" s="247" t="s">
        <v>883</v>
      </c>
      <c r="AD290" s="247" t="s">
        <v>884</v>
      </c>
      <c r="AE290" s="247" t="s">
        <v>533</v>
      </c>
      <c r="AF290" s="247">
        <v>190</v>
      </c>
      <c r="AG290" s="247" t="s">
        <v>528</v>
      </c>
      <c r="AH290" s="247">
        <v>0</v>
      </c>
      <c r="AI290" s="247">
        <v>14</v>
      </c>
      <c r="AJ290" s="247"/>
    </row>
    <row r="291" spans="27:36">
      <c r="AA291" s="247">
        <v>1625</v>
      </c>
      <c r="AB291" s="247" t="s">
        <v>885</v>
      </c>
      <c r="AC291" s="247" t="s">
        <v>516</v>
      </c>
      <c r="AD291" s="247" t="s">
        <v>516</v>
      </c>
      <c r="AE291" s="247" t="s">
        <v>533</v>
      </c>
      <c r="AF291" s="247">
        <v>52</v>
      </c>
      <c r="AG291" s="247"/>
      <c r="AH291" s="247">
        <v>20</v>
      </c>
      <c r="AI291" s="247">
        <v>21</v>
      </c>
      <c r="AJ291" s="247"/>
    </row>
    <row r="292" spans="27:36">
      <c r="AA292" s="247">
        <v>1630</v>
      </c>
      <c r="AB292" s="247" t="s">
        <v>886</v>
      </c>
      <c r="AC292" s="247" t="s">
        <v>516</v>
      </c>
      <c r="AD292" s="247" t="s">
        <v>516</v>
      </c>
      <c r="AE292" s="247" t="s">
        <v>533</v>
      </c>
      <c r="AF292" s="247">
        <v>52</v>
      </c>
      <c r="AG292" s="247" t="s">
        <v>528</v>
      </c>
      <c r="AH292" s="247">
        <v>0</v>
      </c>
      <c r="AI292" s="247">
        <v>21</v>
      </c>
      <c r="AJ292" s="247"/>
    </row>
    <row r="293" spans="27:36">
      <c r="AA293" s="247">
        <v>1680</v>
      </c>
      <c r="AB293" s="247" t="s">
        <v>887</v>
      </c>
      <c r="AC293" s="247" t="s">
        <v>516</v>
      </c>
      <c r="AD293" s="247" t="s">
        <v>516</v>
      </c>
      <c r="AE293" s="247" t="s">
        <v>533</v>
      </c>
      <c r="AF293" s="247">
        <v>52</v>
      </c>
      <c r="AG293" s="247"/>
      <c r="AH293" s="247">
        <v>20</v>
      </c>
      <c r="AI293" s="247">
        <v>21</v>
      </c>
      <c r="AJ293" s="247"/>
    </row>
    <row r="294" spans="27:36">
      <c r="AA294" s="247">
        <v>1685</v>
      </c>
      <c r="AB294" s="247" t="s">
        <v>888</v>
      </c>
      <c r="AC294" s="247" t="s">
        <v>516</v>
      </c>
      <c r="AD294" s="247" t="s">
        <v>516</v>
      </c>
      <c r="AE294" s="247" t="s">
        <v>533</v>
      </c>
      <c r="AF294" s="247">
        <v>52</v>
      </c>
      <c r="AG294" s="247" t="s">
        <v>528</v>
      </c>
      <c r="AH294" s="247">
        <v>20</v>
      </c>
      <c r="AI294" s="247">
        <v>15</v>
      </c>
      <c r="AJ294" s="247"/>
    </row>
    <row r="295" spans="27:36">
      <c r="AA295" s="247">
        <v>1700</v>
      </c>
      <c r="AB295" s="247" t="s">
        <v>889</v>
      </c>
      <c r="AC295" s="247" t="s">
        <v>890</v>
      </c>
      <c r="AD295" s="247" t="s">
        <v>891</v>
      </c>
      <c r="AE295" s="247" t="s">
        <v>543</v>
      </c>
      <c r="AF295" s="247">
        <v>0</v>
      </c>
      <c r="AG295" s="247"/>
      <c r="AH295" s="247">
        <v>20</v>
      </c>
      <c r="AI295" s="247">
        <v>27</v>
      </c>
      <c r="AJ295" s="247"/>
    </row>
    <row r="296" spans="27:36">
      <c r="AA296" s="247">
        <v>1705</v>
      </c>
      <c r="AB296" s="247" t="s">
        <v>892</v>
      </c>
      <c r="AC296" s="247" t="s">
        <v>893</v>
      </c>
      <c r="AD296" s="247" t="s">
        <v>894</v>
      </c>
      <c r="AE296" s="247" t="s">
        <v>533</v>
      </c>
      <c r="AF296" s="247">
        <v>52</v>
      </c>
      <c r="AG296" s="247" t="s">
        <v>528</v>
      </c>
      <c r="AH296" s="247">
        <v>0</v>
      </c>
      <c r="AI296" s="247">
        <v>22</v>
      </c>
      <c r="AJ296" s="247"/>
    </row>
    <row r="297" spans="27:36">
      <c r="AA297" s="247">
        <v>1707</v>
      </c>
      <c r="AB297" s="247" t="s">
        <v>895</v>
      </c>
      <c r="AC297" s="247" t="s">
        <v>516</v>
      </c>
      <c r="AD297" s="247" t="s">
        <v>516</v>
      </c>
      <c r="AE297" s="247" t="s">
        <v>533</v>
      </c>
      <c r="AF297" s="247">
        <v>52</v>
      </c>
      <c r="AG297" s="247" t="s">
        <v>528</v>
      </c>
      <c r="AH297" s="247">
        <v>20</v>
      </c>
      <c r="AI297" s="247">
        <v>21</v>
      </c>
      <c r="AJ297" s="247"/>
    </row>
    <row r="298" spans="27:36">
      <c r="AA298" s="247">
        <v>1708</v>
      </c>
      <c r="AB298" s="247" t="s">
        <v>896</v>
      </c>
      <c r="AC298" s="247" t="s">
        <v>516</v>
      </c>
      <c r="AD298" s="247" t="s">
        <v>516</v>
      </c>
      <c r="AE298" s="247" t="s">
        <v>533</v>
      </c>
      <c r="AF298" s="247">
        <v>52</v>
      </c>
      <c r="AG298" s="247" t="s">
        <v>528</v>
      </c>
      <c r="AH298" s="247">
        <v>20</v>
      </c>
      <c r="AI298" s="247">
        <v>21</v>
      </c>
      <c r="AJ298" s="247"/>
    </row>
    <row r="299" spans="27:36">
      <c r="AA299" s="247">
        <v>1710</v>
      </c>
      <c r="AB299" s="247" t="s">
        <v>897</v>
      </c>
      <c r="AC299" s="247" t="s">
        <v>898</v>
      </c>
      <c r="AD299" s="247" t="s">
        <v>899</v>
      </c>
      <c r="AE299" s="247" t="s">
        <v>543</v>
      </c>
      <c r="AF299" s="247">
        <v>0</v>
      </c>
      <c r="AG299" s="247"/>
      <c r="AH299" s="247">
        <v>20</v>
      </c>
      <c r="AI299" s="247">
        <v>27</v>
      </c>
      <c r="AJ299" s="247"/>
    </row>
    <row r="300" spans="27:36">
      <c r="AA300" s="247">
        <v>1715</v>
      </c>
      <c r="AB300" s="247" t="s">
        <v>900</v>
      </c>
      <c r="AC300" s="247" t="s">
        <v>901</v>
      </c>
      <c r="AD300" s="247" t="s">
        <v>902</v>
      </c>
      <c r="AE300" s="247" t="s">
        <v>533</v>
      </c>
      <c r="AF300" s="247">
        <v>52</v>
      </c>
      <c r="AG300" s="247" t="s">
        <v>528</v>
      </c>
      <c r="AH300" s="247">
        <v>0</v>
      </c>
      <c r="AI300" s="247">
        <v>22</v>
      </c>
      <c r="AJ300" s="247"/>
    </row>
    <row r="301" spans="27:36">
      <c r="AA301" s="247">
        <v>1717</v>
      </c>
      <c r="AB301" s="247" t="s">
        <v>903</v>
      </c>
      <c r="AC301" s="247" t="s">
        <v>516</v>
      </c>
      <c r="AD301" s="247" t="s">
        <v>516</v>
      </c>
      <c r="AE301" s="247" t="s">
        <v>533</v>
      </c>
      <c r="AF301" s="247">
        <v>52</v>
      </c>
      <c r="AG301" s="247" t="s">
        <v>528</v>
      </c>
      <c r="AH301" s="247">
        <v>20</v>
      </c>
      <c r="AI301" s="247">
        <v>21</v>
      </c>
      <c r="AJ301" s="247"/>
    </row>
    <row r="302" spans="27:36">
      <c r="AA302" s="247">
        <v>1718</v>
      </c>
      <c r="AB302" s="247" t="s">
        <v>904</v>
      </c>
      <c r="AC302" s="247" t="s">
        <v>516</v>
      </c>
      <c r="AD302" s="247" t="s">
        <v>516</v>
      </c>
      <c r="AE302" s="247" t="s">
        <v>533</v>
      </c>
      <c r="AF302" s="247">
        <v>52</v>
      </c>
      <c r="AG302" s="247" t="s">
        <v>528</v>
      </c>
      <c r="AH302" s="247">
        <v>20</v>
      </c>
      <c r="AI302" s="247">
        <v>21</v>
      </c>
      <c r="AJ302" s="247"/>
    </row>
    <row r="303" spans="27:36">
      <c r="AA303" s="247">
        <v>1720</v>
      </c>
      <c r="AB303" s="247" t="s">
        <v>905</v>
      </c>
      <c r="AC303" s="247" t="s">
        <v>906</v>
      </c>
      <c r="AD303" s="247" t="s">
        <v>907</v>
      </c>
      <c r="AE303" s="247" t="s">
        <v>533</v>
      </c>
      <c r="AF303" s="247">
        <v>52</v>
      </c>
      <c r="AG303" s="247" t="s">
        <v>528</v>
      </c>
      <c r="AH303" s="247">
        <v>20</v>
      </c>
      <c r="AI303" s="247">
        <v>22</v>
      </c>
      <c r="AJ303" s="247"/>
    </row>
    <row r="304" spans="27:36">
      <c r="AA304" s="247">
        <v>1723</v>
      </c>
      <c r="AB304" s="247" t="s">
        <v>908</v>
      </c>
      <c r="AC304" s="247" t="s">
        <v>516</v>
      </c>
      <c r="AD304" s="247" t="s">
        <v>516</v>
      </c>
      <c r="AE304" s="247" t="s">
        <v>543</v>
      </c>
      <c r="AF304" s="247">
        <v>0</v>
      </c>
      <c r="AG304" s="247" t="s">
        <v>528</v>
      </c>
      <c r="AH304" s="247">
        <v>20</v>
      </c>
      <c r="AI304" s="247">
        <v>27</v>
      </c>
      <c r="AJ304" s="247"/>
    </row>
    <row r="305" spans="27:36">
      <c r="AA305" s="247">
        <v>1725</v>
      </c>
      <c r="AB305" s="247" t="s">
        <v>909</v>
      </c>
      <c r="AC305" s="247" t="s">
        <v>910</v>
      </c>
      <c r="AD305" s="247" t="s">
        <v>911</v>
      </c>
      <c r="AE305" s="247" t="s">
        <v>507</v>
      </c>
      <c r="AF305" s="247">
        <v>52</v>
      </c>
      <c r="AG305" s="247" t="s">
        <v>528</v>
      </c>
      <c r="AH305" s="247">
        <v>30</v>
      </c>
      <c r="AI305" s="247">
        <v>6</v>
      </c>
      <c r="AJ305" s="247"/>
    </row>
    <row r="306" spans="27:36">
      <c r="AA306" s="247">
        <v>1727</v>
      </c>
      <c r="AB306" s="247" t="s">
        <v>912</v>
      </c>
      <c r="AC306" s="247" t="s">
        <v>516</v>
      </c>
      <c r="AD306" s="247" t="s">
        <v>516</v>
      </c>
      <c r="AE306" s="247" t="s">
        <v>533</v>
      </c>
      <c r="AF306" s="247">
        <v>52</v>
      </c>
      <c r="AG306" s="247" t="s">
        <v>528</v>
      </c>
      <c r="AH306" s="247">
        <v>20</v>
      </c>
      <c r="AI306" s="247">
        <v>21</v>
      </c>
      <c r="AJ306" s="247"/>
    </row>
    <row r="307" spans="27:36">
      <c r="AA307" s="247">
        <v>1728</v>
      </c>
      <c r="AB307" s="247" t="s">
        <v>913</v>
      </c>
      <c r="AC307" s="247" t="s">
        <v>516</v>
      </c>
      <c r="AD307" s="247" t="s">
        <v>516</v>
      </c>
      <c r="AE307" s="247" t="s">
        <v>533</v>
      </c>
      <c r="AF307" s="247">
        <v>52</v>
      </c>
      <c r="AG307" s="247" t="s">
        <v>528</v>
      </c>
      <c r="AH307" s="247">
        <v>20</v>
      </c>
      <c r="AI307" s="247">
        <v>21</v>
      </c>
      <c r="AJ307" s="247"/>
    </row>
    <row r="308" spans="27:36">
      <c r="AA308" s="247">
        <v>1729</v>
      </c>
      <c r="AB308" s="247" t="s">
        <v>914</v>
      </c>
      <c r="AC308" s="247" t="s">
        <v>516</v>
      </c>
      <c r="AD308" s="247" t="s">
        <v>516</v>
      </c>
      <c r="AE308" s="247" t="s">
        <v>543</v>
      </c>
      <c r="AF308" s="247">
        <v>0</v>
      </c>
      <c r="AG308" s="247" t="s">
        <v>528</v>
      </c>
      <c r="AH308" s="247">
        <v>20</v>
      </c>
      <c r="AI308" s="247">
        <v>27</v>
      </c>
      <c r="AJ308" s="247"/>
    </row>
    <row r="309" spans="27:36">
      <c r="AA309" s="247">
        <v>1731</v>
      </c>
      <c r="AB309" s="247" t="s">
        <v>915</v>
      </c>
      <c r="AC309" s="247" t="s">
        <v>516</v>
      </c>
      <c r="AD309" s="247" t="s">
        <v>516</v>
      </c>
      <c r="AE309" s="247" t="s">
        <v>543</v>
      </c>
      <c r="AF309" s="247">
        <v>0</v>
      </c>
      <c r="AG309" s="247"/>
      <c r="AH309" s="247">
        <v>20</v>
      </c>
      <c r="AI309" s="247">
        <v>27</v>
      </c>
      <c r="AJ309" s="247"/>
    </row>
    <row r="310" spans="27:36">
      <c r="AA310" s="247">
        <v>1732</v>
      </c>
      <c r="AB310" s="247" t="s">
        <v>916</v>
      </c>
      <c r="AC310" s="247" t="s">
        <v>516</v>
      </c>
      <c r="AD310" s="247" t="s">
        <v>516</v>
      </c>
      <c r="AE310" s="247" t="s">
        <v>533</v>
      </c>
      <c r="AF310" s="247">
        <v>52</v>
      </c>
      <c r="AG310" s="247" t="s">
        <v>528</v>
      </c>
      <c r="AH310" s="247">
        <v>0</v>
      </c>
      <c r="AI310" s="247">
        <v>22</v>
      </c>
      <c r="AJ310" s="247"/>
    </row>
    <row r="311" spans="27:36">
      <c r="AA311" s="247">
        <v>1738</v>
      </c>
      <c r="AB311" s="247" t="s">
        <v>917</v>
      </c>
      <c r="AC311" s="247" t="s">
        <v>516</v>
      </c>
      <c r="AD311" s="247" t="s">
        <v>516</v>
      </c>
      <c r="AE311" s="247" t="s">
        <v>543</v>
      </c>
      <c r="AF311" s="247">
        <v>0</v>
      </c>
      <c r="AG311" s="247" t="s">
        <v>528</v>
      </c>
      <c r="AH311" s="247">
        <v>20</v>
      </c>
      <c r="AI311" s="247">
        <v>27</v>
      </c>
      <c r="AJ311" s="247"/>
    </row>
    <row r="312" spans="27:36">
      <c r="AA312" s="247">
        <v>1740</v>
      </c>
      <c r="AB312" s="247" t="s">
        <v>918</v>
      </c>
      <c r="AC312" s="247" t="s">
        <v>516</v>
      </c>
      <c r="AD312" s="247" t="s">
        <v>516</v>
      </c>
      <c r="AE312" s="247" t="s">
        <v>543</v>
      </c>
      <c r="AF312" s="247">
        <v>0</v>
      </c>
      <c r="AG312" s="247"/>
      <c r="AH312" s="247">
        <v>20</v>
      </c>
      <c r="AI312" s="247">
        <v>27</v>
      </c>
      <c r="AJ312" s="247"/>
    </row>
    <row r="313" spans="27:36">
      <c r="AA313" s="247">
        <v>1745</v>
      </c>
      <c r="AB313" s="247" t="s">
        <v>919</v>
      </c>
      <c r="AC313" s="247" t="s">
        <v>516</v>
      </c>
      <c r="AD313" s="247" t="s">
        <v>516</v>
      </c>
      <c r="AE313" s="247" t="s">
        <v>533</v>
      </c>
      <c r="AF313" s="247">
        <v>52</v>
      </c>
      <c r="AG313" s="247" t="s">
        <v>528</v>
      </c>
      <c r="AH313" s="247">
        <v>0</v>
      </c>
      <c r="AI313" s="247">
        <v>22</v>
      </c>
      <c r="AJ313" s="247"/>
    </row>
    <row r="314" spans="27:36">
      <c r="AA314" s="247">
        <v>1747</v>
      </c>
      <c r="AB314" s="247" t="s">
        <v>920</v>
      </c>
      <c r="AC314" s="247" t="s">
        <v>516</v>
      </c>
      <c r="AD314" s="247" t="s">
        <v>516</v>
      </c>
      <c r="AE314" s="247" t="s">
        <v>533</v>
      </c>
      <c r="AF314" s="247">
        <v>52</v>
      </c>
      <c r="AG314" s="247" t="s">
        <v>528</v>
      </c>
      <c r="AH314" s="247">
        <v>20</v>
      </c>
      <c r="AI314" s="247">
        <v>21</v>
      </c>
      <c r="AJ314" s="247"/>
    </row>
    <row r="315" spans="27:36">
      <c r="AA315" s="247">
        <v>1748</v>
      </c>
      <c r="AB315" s="247" t="s">
        <v>921</v>
      </c>
      <c r="AC315" s="247" t="s">
        <v>516</v>
      </c>
      <c r="AD315" s="247" t="s">
        <v>516</v>
      </c>
      <c r="AE315" s="247" t="s">
        <v>533</v>
      </c>
      <c r="AF315" s="247">
        <v>52</v>
      </c>
      <c r="AG315" s="247" t="s">
        <v>528</v>
      </c>
      <c r="AH315" s="247">
        <v>20</v>
      </c>
      <c r="AI315" s="247">
        <v>21</v>
      </c>
      <c r="AJ315" s="247"/>
    </row>
    <row r="316" spans="27:36">
      <c r="AA316" s="247">
        <v>1750</v>
      </c>
      <c r="AB316" s="247" t="s">
        <v>922</v>
      </c>
      <c r="AC316" s="247" t="s">
        <v>516</v>
      </c>
      <c r="AD316" s="247" t="s">
        <v>516</v>
      </c>
      <c r="AE316" s="247" t="s">
        <v>543</v>
      </c>
      <c r="AF316" s="247">
        <v>0</v>
      </c>
      <c r="AG316" s="247"/>
      <c r="AH316" s="247">
        <v>20</v>
      </c>
      <c r="AI316" s="247">
        <v>27</v>
      </c>
      <c r="AJ316" s="247"/>
    </row>
    <row r="317" spans="27:36">
      <c r="AA317" s="247">
        <v>1755</v>
      </c>
      <c r="AB317" s="247" t="s">
        <v>923</v>
      </c>
      <c r="AC317" s="247" t="s">
        <v>516</v>
      </c>
      <c r="AD317" s="247" t="s">
        <v>516</v>
      </c>
      <c r="AE317" s="247" t="s">
        <v>533</v>
      </c>
      <c r="AF317" s="247">
        <v>52</v>
      </c>
      <c r="AG317" s="247" t="s">
        <v>528</v>
      </c>
      <c r="AH317" s="247">
        <v>0</v>
      </c>
      <c r="AI317" s="247">
        <v>22</v>
      </c>
      <c r="AJ317" s="247"/>
    </row>
    <row r="318" spans="27:36">
      <c r="AA318" s="247">
        <v>1757</v>
      </c>
      <c r="AB318" s="247" t="s">
        <v>924</v>
      </c>
      <c r="AC318" s="247" t="s">
        <v>516</v>
      </c>
      <c r="AD318" s="247" t="s">
        <v>516</v>
      </c>
      <c r="AE318" s="247" t="s">
        <v>533</v>
      </c>
      <c r="AF318" s="247">
        <v>52</v>
      </c>
      <c r="AG318" s="247" t="s">
        <v>528</v>
      </c>
      <c r="AH318" s="247">
        <v>20</v>
      </c>
      <c r="AI318" s="247">
        <v>21</v>
      </c>
      <c r="AJ318" s="247"/>
    </row>
    <row r="319" spans="27:36">
      <c r="AA319" s="247">
        <v>1758</v>
      </c>
      <c r="AB319" s="247" t="s">
        <v>925</v>
      </c>
      <c r="AC319" s="247" t="s">
        <v>516</v>
      </c>
      <c r="AD319" s="247" t="s">
        <v>516</v>
      </c>
      <c r="AE319" s="247" t="s">
        <v>533</v>
      </c>
      <c r="AF319" s="247">
        <v>52</v>
      </c>
      <c r="AG319" s="247" t="s">
        <v>528</v>
      </c>
      <c r="AH319" s="247">
        <v>20</v>
      </c>
      <c r="AI319" s="247">
        <v>21</v>
      </c>
      <c r="AJ319" s="247"/>
    </row>
    <row r="320" spans="27:36">
      <c r="AA320" s="247">
        <v>1800</v>
      </c>
      <c r="AB320" s="247" t="s">
        <v>926</v>
      </c>
      <c r="AC320" s="247" t="s">
        <v>927</v>
      </c>
      <c r="AD320" s="247" t="s">
        <v>928</v>
      </c>
      <c r="AE320" s="247" t="s">
        <v>533</v>
      </c>
      <c r="AF320" s="247">
        <v>52</v>
      </c>
      <c r="AG320" s="247" t="s">
        <v>528</v>
      </c>
      <c r="AH320" s="247">
        <v>20</v>
      </c>
      <c r="AI320" s="247">
        <v>24</v>
      </c>
      <c r="AJ320" s="247"/>
    </row>
    <row r="321" spans="27:36">
      <c r="AA321" s="247">
        <v>1810</v>
      </c>
      <c r="AB321" s="247" t="s">
        <v>929</v>
      </c>
      <c r="AC321" s="247" t="s">
        <v>930</v>
      </c>
      <c r="AD321" s="247" t="s">
        <v>931</v>
      </c>
      <c r="AE321" s="247" t="s">
        <v>543</v>
      </c>
      <c r="AF321" s="247">
        <v>0</v>
      </c>
      <c r="AG321" s="247" t="s">
        <v>528</v>
      </c>
      <c r="AH321" s="247">
        <v>20</v>
      </c>
      <c r="AI321" s="247">
        <v>27</v>
      </c>
      <c r="AJ321" s="247"/>
    </row>
    <row r="322" spans="27:36">
      <c r="AA322" s="247">
        <v>1816</v>
      </c>
      <c r="AB322" s="247" t="s">
        <v>932</v>
      </c>
      <c r="AC322" s="247" t="s">
        <v>516</v>
      </c>
      <c r="AD322" s="247" t="s">
        <v>516</v>
      </c>
      <c r="AE322" s="247" t="s">
        <v>543</v>
      </c>
      <c r="AF322" s="247">
        <v>0</v>
      </c>
      <c r="AG322" s="247" t="s">
        <v>528</v>
      </c>
      <c r="AH322" s="247">
        <v>20</v>
      </c>
      <c r="AI322" s="247">
        <v>27</v>
      </c>
      <c r="AJ322" s="247"/>
    </row>
    <row r="323" spans="27:36">
      <c r="AA323" s="247">
        <v>1818</v>
      </c>
      <c r="AB323" s="247" t="s">
        <v>933</v>
      </c>
      <c r="AC323" s="247" t="s">
        <v>516</v>
      </c>
      <c r="AD323" s="247" t="s">
        <v>516</v>
      </c>
      <c r="AE323" s="247" t="s">
        <v>543</v>
      </c>
      <c r="AF323" s="247">
        <v>0</v>
      </c>
      <c r="AG323" s="247" t="s">
        <v>528</v>
      </c>
      <c r="AH323" s="247">
        <v>20</v>
      </c>
      <c r="AI323" s="247">
        <v>27</v>
      </c>
      <c r="AJ323" s="247"/>
    </row>
    <row r="324" spans="27:36">
      <c r="AA324" s="247">
        <v>1819</v>
      </c>
      <c r="AB324" s="247" t="s">
        <v>934</v>
      </c>
      <c r="AC324" s="247" t="s">
        <v>516</v>
      </c>
      <c r="AD324" s="247" t="s">
        <v>516</v>
      </c>
      <c r="AE324" s="247" t="s">
        <v>543</v>
      </c>
      <c r="AF324" s="247">
        <v>0</v>
      </c>
      <c r="AG324" s="247" t="s">
        <v>528</v>
      </c>
      <c r="AH324" s="247">
        <v>20</v>
      </c>
      <c r="AI324" s="247">
        <v>27</v>
      </c>
      <c r="AJ324" s="247"/>
    </row>
    <row r="325" spans="27:36">
      <c r="AA325" s="247">
        <v>1822</v>
      </c>
      <c r="AB325" s="247" t="s">
        <v>935</v>
      </c>
      <c r="AC325" s="247" t="s">
        <v>516</v>
      </c>
      <c r="AD325" s="247" t="s">
        <v>516</v>
      </c>
      <c r="AE325" s="247" t="s">
        <v>543</v>
      </c>
      <c r="AF325" s="247">
        <v>0</v>
      </c>
      <c r="AG325" s="247" t="s">
        <v>528</v>
      </c>
      <c r="AH325" s="247">
        <v>20</v>
      </c>
      <c r="AI325" s="247">
        <v>27</v>
      </c>
      <c r="AJ325" s="247"/>
    </row>
    <row r="326" spans="27:36">
      <c r="AA326" s="247">
        <v>1824</v>
      </c>
      <c r="AB326" s="247" t="s">
        <v>936</v>
      </c>
      <c r="AC326" s="247" t="s">
        <v>516</v>
      </c>
      <c r="AD326" s="247" t="s">
        <v>516</v>
      </c>
      <c r="AE326" s="247" t="s">
        <v>543</v>
      </c>
      <c r="AF326" s="247">
        <v>0</v>
      </c>
      <c r="AG326" s="247" t="s">
        <v>528</v>
      </c>
      <c r="AH326" s="247">
        <v>20</v>
      </c>
      <c r="AI326" s="247">
        <v>27</v>
      </c>
      <c r="AJ326" s="247"/>
    </row>
    <row r="327" spans="27:36">
      <c r="AA327" s="247">
        <v>1860</v>
      </c>
      <c r="AB327" s="247" t="s">
        <v>937</v>
      </c>
      <c r="AC327" s="247" t="s">
        <v>938</v>
      </c>
      <c r="AD327" s="247" t="s">
        <v>939</v>
      </c>
      <c r="AE327" s="247" t="s">
        <v>543</v>
      </c>
      <c r="AF327" s="247">
        <v>0</v>
      </c>
      <c r="AG327" s="247" t="s">
        <v>528</v>
      </c>
      <c r="AH327" s="247">
        <v>0</v>
      </c>
      <c r="AI327" s="247">
        <v>27</v>
      </c>
      <c r="AJ327" s="247"/>
    </row>
    <row r="328" spans="27:36">
      <c r="AA328" s="247">
        <v>1870</v>
      </c>
      <c r="AB328" s="247" t="s">
        <v>940</v>
      </c>
      <c r="AC328" s="247" t="s">
        <v>516</v>
      </c>
      <c r="AD328" s="247" t="s">
        <v>516</v>
      </c>
      <c r="AE328" s="247" t="s">
        <v>543</v>
      </c>
      <c r="AF328" s="247">
        <v>0</v>
      </c>
      <c r="AG328" s="247" t="s">
        <v>528</v>
      </c>
      <c r="AH328" s="247">
        <v>20</v>
      </c>
      <c r="AI328" s="247">
        <v>27</v>
      </c>
      <c r="AJ328" s="247"/>
    </row>
    <row r="329" spans="27:36">
      <c r="AA329" s="247">
        <v>1880</v>
      </c>
      <c r="AB329" s="247" t="s">
        <v>941</v>
      </c>
      <c r="AC329" s="247" t="s">
        <v>516</v>
      </c>
      <c r="AD329" s="247" t="s">
        <v>516</v>
      </c>
      <c r="AE329" s="247" t="s">
        <v>543</v>
      </c>
      <c r="AF329" s="247">
        <v>0</v>
      </c>
      <c r="AG329" s="247" t="s">
        <v>528</v>
      </c>
      <c r="AH329" s="247">
        <v>10</v>
      </c>
      <c r="AI329" s="247">
        <v>27</v>
      </c>
      <c r="AJ329" s="247"/>
    </row>
    <row r="330" spans="27:36">
      <c r="AA330" s="247">
        <v>1920</v>
      </c>
      <c r="AB330" s="247" t="s">
        <v>942</v>
      </c>
      <c r="AC330" s="247" t="s">
        <v>516</v>
      </c>
      <c r="AD330" s="247" t="s">
        <v>516</v>
      </c>
      <c r="AE330" s="247" t="s">
        <v>543</v>
      </c>
      <c r="AF330" s="247">
        <v>0</v>
      </c>
      <c r="AG330" s="247" t="s">
        <v>528</v>
      </c>
      <c r="AH330" s="247">
        <v>20</v>
      </c>
      <c r="AI330" s="247">
        <v>27</v>
      </c>
      <c r="AJ330" s="247"/>
    </row>
    <row r="331" spans="27:36">
      <c r="AA331" s="247">
        <v>1922</v>
      </c>
      <c r="AB331" s="247" t="s">
        <v>943</v>
      </c>
      <c r="AC331" s="247" t="s">
        <v>516</v>
      </c>
      <c r="AD331" s="247" t="s">
        <v>516</v>
      </c>
      <c r="AE331" s="247" t="s">
        <v>543</v>
      </c>
      <c r="AF331" s="247">
        <v>0</v>
      </c>
      <c r="AG331" s="247" t="s">
        <v>528</v>
      </c>
      <c r="AH331" s="247">
        <v>20</v>
      </c>
      <c r="AI331" s="247">
        <v>27</v>
      </c>
      <c r="AJ331" s="247"/>
    </row>
    <row r="332" spans="27:36">
      <c r="AA332" s="247">
        <v>1924</v>
      </c>
      <c r="AB332" s="247" t="s">
        <v>944</v>
      </c>
      <c r="AC332" s="247" t="s">
        <v>516</v>
      </c>
      <c r="AD332" s="247" t="s">
        <v>516</v>
      </c>
      <c r="AE332" s="247" t="s">
        <v>533</v>
      </c>
      <c r="AF332" s="247">
        <v>52</v>
      </c>
      <c r="AG332" s="247" t="s">
        <v>528</v>
      </c>
      <c r="AH332" s="247">
        <v>0</v>
      </c>
      <c r="AI332" s="247">
        <v>23</v>
      </c>
      <c r="AJ332" s="247"/>
    </row>
    <row r="333" spans="27:36">
      <c r="AA333" s="247">
        <v>1926</v>
      </c>
      <c r="AB333" s="247" t="s">
        <v>945</v>
      </c>
      <c r="AC333" s="247" t="s">
        <v>516</v>
      </c>
      <c r="AD333" s="247" t="s">
        <v>516</v>
      </c>
      <c r="AE333" s="247" t="s">
        <v>543</v>
      </c>
      <c r="AF333" s="247">
        <v>0</v>
      </c>
      <c r="AG333" s="247" t="s">
        <v>528</v>
      </c>
      <c r="AH333" s="247">
        <v>20</v>
      </c>
      <c r="AI333" s="247">
        <v>27</v>
      </c>
      <c r="AJ333" s="247"/>
    </row>
    <row r="334" spans="27:36">
      <c r="AA334" s="247">
        <v>2005</v>
      </c>
      <c r="AB334" s="247" t="s">
        <v>946</v>
      </c>
      <c r="AC334" s="247" t="s">
        <v>516</v>
      </c>
      <c r="AD334" s="247" t="s">
        <v>516</v>
      </c>
      <c r="AE334" s="247" t="s">
        <v>533</v>
      </c>
      <c r="AF334" s="247">
        <v>52</v>
      </c>
      <c r="AG334" s="247" t="s">
        <v>528</v>
      </c>
      <c r="AH334" s="247">
        <v>0</v>
      </c>
      <c r="AI334" s="247">
        <v>23</v>
      </c>
      <c r="AJ334" s="247"/>
    </row>
    <row r="335" spans="27:36">
      <c r="AA335" s="247">
        <v>2007</v>
      </c>
      <c r="AB335" s="247" t="s">
        <v>947</v>
      </c>
      <c r="AC335" s="247" t="s">
        <v>516</v>
      </c>
      <c r="AD335" s="247" t="s">
        <v>516</v>
      </c>
      <c r="AE335" s="247" t="s">
        <v>543</v>
      </c>
      <c r="AF335" s="247">
        <v>0</v>
      </c>
      <c r="AG335" s="247" t="s">
        <v>528</v>
      </c>
      <c r="AH335" s="247">
        <v>30</v>
      </c>
      <c r="AI335" s="247">
        <v>27</v>
      </c>
      <c r="AJ335" s="247"/>
    </row>
    <row r="336" spans="27:36">
      <c r="AA336" s="247">
        <v>2050</v>
      </c>
      <c r="AB336" s="247" t="s">
        <v>948</v>
      </c>
      <c r="AC336" s="247" t="s">
        <v>949</v>
      </c>
      <c r="AD336" s="247" t="s">
        <v>950</v>
      </c>
      <c r="AE336" s="247" t="s">
        <v>533</v>
      </c>
      <c r="AF336" s="247">
        <v>170</v>
      </c>
      <c r="AG336" s="247" t="s">
        <v>528</v>
      </c>
      <c r="AH336" s="247">
        <v>0</v>
      </c>
      <c r="AI336" s="247">
        <v>23</v>
      </c>
      <c r="AJ336" s="247"/>
    </row>
    <row r="337" spans="27:36">
      <c r="AA337" s="247">
        <v>2125</v>
      </c>
      <c r="AB337" s="247" t="s">
        <v>951</v>
      </c>
      <c r="AC337" s="247" t="s">
        <v>516</v>
      </c>
      <c r="AD337" s="247" t="s">
        <v>516</v>
      </c>
      <c r="AE337" s="247" t="s">
        <v>543</v>
      </c>
      <c r="AF337" s="247">
        <v>0</v>
      </c>
      <c r="AG337" s="247" t="s">
        <v>528</v>
      </c>
      <c r="AH337" s="247">
        <v>20</v>
      </c>
      <c r="AI337" s="247">
        <v>27</v>
      </c>
      <c r="AJ337" s="247"/>
    </row>
    <row r="338" spans="27:36">
      <c r="AA338" s="247">
        <v>2150</v>
      </c>
      <c r="AB338" s="247" t="s">
        <v>952</v>
      </c>
      <c r="AC338" s="247" t="s">
        <v>516</v>
      </c>
      <c r="AD338" s="247" t="s">
        <v>516</v>
      </c>
      <c r="AE338" s="247" t="s">
        <v>507</v>
      </c>
      <c r="AF338" s="247">
        <v>52</v>
      </c>
      <c r="AG338" s="247" t="s">
        <v>528</v>
      </c>
      <c r="AH338" s="247">
        <v>20</v>
      </c>
      <c r="AI338" s="247">
        <v>28</v>
      </c>
      <c r="AJ338" s="247"/>
    </row>
    <row r="339" spans="27:36">
      <c r="AA339" s="247">
        <v>2160</v>
      </c>
      <c r="AB339" s="247" t="s">
        <v>953</v>
      </c>
      <c r="AC339" s="247" t="s">
        <v>516</v>
      </c>
      <c r="AD339" s="247" t="s">
        <v>516</v>
      </c>
      <c r="AE339" s="247" t="s">
        <v>507</v>
      </c>
      <c r="AF339" s="247">
        <v>0</v>
      </c>
      <c r="AG339" s="247" t="s">
        <v>528</v>
      </c>
      <c r="AH339" s="247">
        <v>20</v>
      </c>
      <c r="AI339" s="247">
        <v>28</v>
      </c>
      <c r="AJ339" s="247"/>
    </row>
    <row r="340" spans="27:36">
      <c r="AA340" s="247">
        <v>2170</v>
      </c>
      <c r="AB340" s="247" t="s">
        <v>954</v>
      </c>
      <c r="AC340" s="247" t="s">
        <v>516</v>
      </c>
      <c r="AD340" s="247" t="s">
        <v>516</v>
      </c>
      <c r="AE340" s="247" t="s">
        <v>507</v>
      </c>
      <c r="AF340" s="247">
        <v>75</v>
      </c>
      <c r="AG340" s="247" t="s">
        <v>528</v>
      </c>
      <c r="AH340" s="247">
        <v>20</v>
      </c>
      <c r="AI340" s="247">
        <v>28</v>
      </c>
      <c r="AJ340" s="247"/>
    </row>
    <row r="341" spans="27:36">
      <c r="AA341" s="247">
        <v>2200</v>
      </c>
      <c r="AB341" s="247" t="s">
        <v>955</v>
      </c>
      <c r="AC341" s="247" t="s">
        <v>516</v>
      </c>
      <c r="AD341" s="247" t="s">
        <v>516</v>
      </c>
      <c r="AE341" s="247" t="s">
        <v>533</v>
      </c>
      <c r="AF341" s="247">
        <v>52</v>
      </c>
      <c r="AG341" s="247" t="s">
        <v>528</v>
      </c>
      <c r="AH341" s="247">
        <v>0</v>
      </c>
      <c r="AI341" s="247">
        <v>15</v>
      </c>
      <c r="AJ341" s="247"/>
    </row>
    <row r="342" spans="27:36">
      <c r="AA342" s="247">
        <v>2340</v>
      </c>
      <c r="AB342" s="247" t="s">
        <v>956</v>
      </c>
      <c r="AC342" s="247" t="s">
        <v>516</v>
      </c>
      <c r="AD342" s="247" t="s">
        <v>516</v>
      </c>
      <c r="AE342" s="247" t="s">
        <v>533</v>
      </c>
      <c r="AF342" s="247">
        <v>52</v>
      </c>
      <c r="AG342" s="247" t="s">
        <v>528</v>
      </c>
      <c r="AH342" s="247">
        <v>0</v>
      </c>
      <c r="AI342" s="247">
        <v>23</v>
      </c>
      <c r="AJ342" s="247"/>
    </row>
    <row r="343" spans="27:36">
      <c r="AA343" s="247">
        <v>2350</v>
      </c>
      <c r="AB343" s="247" t="s">
        <v>957</v>
      </c>
      <c r="AC343" s="247" t="s">
        <v>516</v>
      </c>
      <c r="AD343" s="247" t="s">
        <v>516</v>
      </c>
      <c r="AE343" s="247" t="s">
        <v>507</v>
      </c>
      <c r="AF343" s="247">
        <v>52</v>
      </c>
      <c r="AG343" s="247"/>
      <c r="AH343" s="247">
        <v>20</v>
      </c>
      <c r="AI343" s="247">
        <v>28</v>
      </c>
      <c r="AJ343" s="247"/>
    </row>
    <row r="344" spans="27:36">
      <c r="AA344" s="247">
        <v>2355</v>
      </c>
      <c r="AB344" s="247" t="s">
        <v>958</v>
      </c>
      <c r="AC344" s="247" t="s">
        <v>516</v>
      </c>
      <c r="AD344" s="247" t="s">
        <v>516</v>
      </c>
      <c r="AE344" s="247" t="s">
        <v>507</v>
      </c>
      <c r="AF344" s="247">
        <v>0</v>
      </c>
      <c r="AG344" s="247"/>
      <c r="AH344" s="247">
        <v>20</v>
      </c>
      <c r="AI344" s="247">
        <v>28</v>
      </c>
      <c r="AJ344" s="247"/>
    </row>
    <row r="345" spans="27:36">
      <c r="AA345" s="247">
        <v>2356</v>
      </c>
      <c r="AB345" s="247" t="s">
        <v>959</v>
      </c>
      <c r="AC345" s="247" t="s">
        <v>516</v>
      </c>
      <c r="AD345" s="247" t="s">
        <v>516</v>
      </c>
      <c r="AE345" s="247" t="s">
        <v>507</v>
      </c>
      <c r="AF345" s="247">
        <v>75</v>
      </c>
      <c r="AG345" s="247"/>
      <c r="AH345" s="247">
        <v>0</v>
      </c>
      <c r="AI345" s="247">
        <v>15</v>
      </c>
      <c r="AJ345" s="247"/>
    </row>
    <row r="346" spans="27:36">
      <c r="AA346" s="247">
        <v>2357</v>
      </c>
      <c r="AB346" s="247" t="s">
        <v>960</v>
      </c>
      <c r="AC346" s="247" t="s">
        <v>516</v>
      </c>
      <c r="AD346" s="247" t="s">
        <v>516</v>
      </c>
      <c r="AE346" s="247" t="s">
        <v>507</v>
      </c>
      <c r="AF346" s="247">
        <v>75</v>
      </c>
      <c r="AG346" s="247"/>
      <c r="AH346" s="247">
        <v>20</v>
      </c>
      <c r="AI346" s="247">
        <v>15</v>
      </c>
      <c r="AJ346" s="247"/>
    </row>
    <row r="347" spans="27:36">
      <c r="AA347" s="247">
        <v>2358</v>
      </c>
      <c r="AB347" s="247" t="s">
        <v>961</v>
      </c>
      <c r="AC347" s="247" t="s">
        <v>516</v>
      </c>
      <c r="AD347" s="247" t="s">
        <v>516</v>
      </c>
      <c r="AE347" s="247" t="s">
        <v>543</v>
      </c>
      <c r="AF347" s="247">
        <v>0</v>
      </c>
      <c r="AG347" s="247" t="s">
        <v>528</v>
      </c>
      <c r="AH347" s="247">
        <v>20</v>
      </c>
      <c r="AI347" s="247">
        <v>27</v>
      </c>
      <c r="AJ347" s="247"/>
    </row>
    <row r="348" spans="27:36">
      <c r="AA348" s="247">
        <v>2360</v>
      </c>
      <c r="AB348" s="247" t="s">
        <v>962</v>
      </c>
      <c r="AC348" s="247" t="s">
        <v>516</v>
      </c>
      <c r="AD348" s="247" t="s">
        <v>516</v>
      </c>
      <c r="AE348" s="247" t="s">
        <v>533</v>
      </c>
      <c r="AF348" s="247">
        <v>52</v>
      </c>
      <c r="AG348" s="247" t="s">
        <v>528</v>
      </c>
      <c r="AH348" s="247">
        <v>20</v>
      </c>
      <c r="AI348" s="247">
        <v>21</v>
      </c>
      <c r="AJ348" s="247"/>
    </row>
    <row r="349" spans="27:36">
      <c r="AA349" s="247">
        <v>2361</v>
      </c>
      <c r="AB349" s="247" t="s">
        <v>963</v>
      </c>
      <c r="AC349" s="247" t="s">
        <v>516</v>
      </c>
      <c r="AD349" s="247" t="s">
        <v>516</v>
      </c>
      <c r="AE349" s="247" t="s">
        <v>533</v>
      </c>
      <c r="AF349" s="247">
        <v>52</v>
      </c>
      <c r="AG349" s="247" t="s">
        <v>528</v>
      </c>
      <c r="AH349" s="247">
        <v>20</v>
      </c>
      <c r="AI349" s="247">
        <v>21</v>
      </c>
      <c r="AJ349" s="247"/>
    </row>
    <row r="350" spans="27:36">
      <c r="AA350" s="247">
        <v>2370</v>
      </c>
      <c r="AB350" s="247" t="s">
        <v>964</v>
      </c>
      <c r="AC350" s="247" t="s">
        <v>516</v>
      </c>
      <c r="AD350" s="247" t="s">
        <v>516</v>
      </c>
      <c r="AE350" s="247" t="s">
        <v>533</v>
      </c>
      <c r="AF350" s="247">
        <v>52</v>
      </c>
      <c r="AG350" s="247" t="s">
        <v>528</v>
      </c>
      <c r="AH350" s="247">
        <v>20</v>
      </c>
      <c r="AI350" s="247">
        <v>21</v>
      </c>
      <c r="AJ350" s="247"/>
    </row>
    <row r="351" spans="27:36">
      <c r="AA351" s="247">
        <v>2371</v>
      </c>
      <c r="AB351" s="247" t="s">
        <v>965</v>
      </c>
      <c r="AC351" s="247" t="s">
        <v>516</v>
      </c>
      <c r="AD351" s="247" t="s">
        <v>516</v>
      </c>
      <c r="AE351" s="247" t="s">
        <v>533</v>
      </c>
      <c r="AF351" s="247">
        <v>52</v>
      </c>
      <c r="AG351" s="247" t="s">
        <v>528</v>
      </c>
      <c r="AH351" s="247">
        <v>20</v>
      </c>
      <c r="AI351" s="247">
        <v>21</v>
      </c>
      <c r="AJ351" s="247"/>
    </row>
    <row r="352" spans="27:36">
      <c r="AA352" s="247">
        <v>2380</v>
      </c>
      <c r="AB352" s="247" t="s">
        <v>966</v>
      </c>
      <c r="AC352" s="247" t="s">
        <v>516</v>
      </c>
      <c r="AD352" s="247" t="s">
        <v>516</v>
      </c>
      <c r="AE352" s="247" t="s">
        <v>533</v>
      </c>
      <c r="AF352" s="247">
        <v>52</v>
      </c>
      <c r="AG352" s="247" t="s">
        <v>528</v>
      </c>
      <c r="AH352" s="247">
        <v>20</v>
      </c>
      <c r="AI352" s="247">
        <v>21</v>
      </c>
      <c r="AJ352" s="247"/>
    </row>
    <row r="353" spans="27:36">
      <c r="AA353" s="247">
        <v>2390</v>
      </c>
      <c r="AB353" s="247" t="s">
        <v>967</v>
      </c>
      <c r="AC353" s="247" t="s">
        <v>516</v>
      </c>
      <c r="AD353" s="247" t="s">
        <v>516</v>
      </c>
      <c r="AE353" s="247" t="s">
        <v>533</v>
      </c>
      <c r="AF353" s="247">
        <v>52</v>
      </c>
      <c r="AG353" s="247" t="s">
        <v>528</v>
      </c>
      <c r="AH353" s="247">
        <v>0</v>
      </c>
      <c r="AI353" s="247">
        <v>24</v>
      </c>
      <c r="AJ353" s="247"/>
    </row>
    <row r="354" spans="27:36">
      <c r="AA354" s="247">
        <v>2515</v>
      </c>
      <c r="AB354" s="247" t="s">
        <v>968</v>
      </c>
      <c r="AC354" s="247" t="s">
        <v>516</v>
      </c>
      <c r="AD354" s="247" t="s">
        <v>516</v>
      </c>
      <c r="AE354" s="247" t="s">
        <v>533</v>
      </c>
      <c r="AF354" s="247">
        <v>52</v>
      </c>
      <c r="AG354" s="247" t="s">
        <v>528</v>
      </c>
      <c r="AH354" s="247">
        <v>0</v>
      </c>
      <c r="AI354" s="247">
        <v>21</v>
      </c>
      <c r="AJ354" s="247"/>
    </row>
    <row r="355" spans="27:36">
      <c r="AA355" s="247">
        <v>2520</v>
      </c>
      <c r="AB355" s="247" t="s">
        <v>969</v>
      </c>
      <c r="AC355" s="247" t="s">
        <v>516</v>
      </c>
      <c r="AD355" s="247" t="s">
        <v>516</v>
      </c>
      <c r="AE355" s="247" t="s">
        <v>533</v>
      </c>
      <c r="AF355" s="247">
        <v>52</v>
      </c>
      <c r="AG355" s="247"/>
      <c r="AH355" s="247">
        <v>20</v>
      </c>
      <c r="AI355" s="247">
        <v>20</v>
      </c>
      <c r="AJ355" s="247"/>
    </row>
    <row r="356" spans="27:36">
      <c r="AA356" s="247">
        <v>2521</v>
      </c>
      <c r="AB356" s="247" t="s">
        <v>970</v>
      </c>
      <c r="AC356" s="247" t="s">
        <v>516</v>
      </c>
      <c r="AD356" s="247" t="s">
        <v>516</v>
      </c>
      <c r="AE356" s="247" t="s">
        <v>533</v>
      </c>
      <c r="AF356" s="247">
        <v>52</v>
      </c>
      <c r="AG356" s="247"/>
      <c r="AH356" s="247">
        <v>20</v>
      </c>
      <c r="AI356" s="247">
        <v>21</v>
      </c>
      <c r="AJ356" s="247"/>
    </row>
    <row r="357" spans="27:36">
      <c r="AA357" s="247">
        <v>2530</v>
      </c>
      <c r="AB357" s="247" t="s">
        <v>971</v>
      </c>
      <c r="AC357" s="247" t="s">
        <v>516</v>
      </c>
      <c r="AD357" s="247" t="s">
        <v>516</v>
      </c>
      <c r="AE357" s="247" t="s">
        <v>507</v>
      </c>
      <c r="AF357" s="247">
        <v>0</v>
      </c>
      <c r="AG357" s="247"/>
      <c r="AH357" s="247">
        <v>20</v>
      </c>
      <c r="AI357" s="247">
        <v>32</v>
      </c>
      <c r="AJ357" s="247"/>
    </row>
    <row r="358" spans="27:36">
      <c r="AA358" s="247">
        <v>2540</v>
      </c>
      <c r="AB358" s="247" t="s">
        <v>972</v>
      </c>
      <c r="AC358" s="247" t="s">
        <v>516</v>
      </c>
      <c r="AD358" s="247" t="s">
        <v>516</v>
      </c>
      <c r="AE358" s="247" t="s">
        <v>533</v>
      </c>
      <c r="AF358" s="247">
        <v>52</v>
      </c>
      <c r="AG358" s="247" t="s">
        <v>528</v>
      </c>
      <c r="AH358" s="247">
        <v>20</v>
      </c>
      <c r="AI358" s="247">
        <v>21</v>
      </c>
      <c r="AJ358" s="247"/>
    </row>
    <row r="359" spans="27:36">
      <c r="AA359" s="247">
        <v>2541</v>
      </c>
      <c r="AB359" s="247" t="s">
        <v>973</v>
      </c>
      <c r="AC359" s="247" t="s">
        <v>516</v>
      </c>
      <c r="AD359" s="247" t="s">
        <v>516</v>
      </c>
      <c r="AE359" s="247" t="s">
        <v>533</v>
      </c>
      <c r="AF359" s="247">
        <v>52</v>
      </c>
      <c r="AG359" s="247" t="s">
        <v>528</v>
      </c>
      <c r="AH359" s="247">
        <v>20</v>
      </c>
      <c r="AI359" s="247">
        <v>21</v>
      </c>
      <c r="AJ359" s="247"/>
    </row>
    <row r="360" spans="27:36">
      <c r="AA360" s="247">
        <v>2550</v>
      </c>
      <c r="AB360" s="247" t="s">
        <v>974</v>
      </c>
      <c r="AC360" s="247" t="s">
        <v>975</v>
      </c>
      <c r="AD360" s="247" t="s">
        <v>976</v>
      </c>
      <c r="AE360" s="247" t="s">
        <v>543</v>
      </c>
      <c r="AF360" s="247">
        <v>0</v>
      </c>
      <c r="AG360" s="247" t="s">
        <v>528</v>
      </c>
      <c r="AH360" s="247">
        <v>20</v>
      </c>
      <c r="AI360" s="247">
        <v>27</v>
      </c>
      <c r="AJ360" s="247"/>
    </row>
    <row r="361" spans="27:36">
      <c r="AA361" s="247">
        <v>2600</v>
      </c>
      <c r="AB361" s="247" t="s">
        <v>977</v>
      </c>
      <c r="AC361" s="247" t="s">
        <v>978</v>
      </c>
      <c r="AD361" s="247" t="s">
        <v>979</v>
      </c>
      <c r="AE361" s="247" t="s">
        <v>543</v>
      </c>
      <c r="AF361" s="247">
        <v>0</v>
      </c>
      <c r="AG361" s="247"/>
      <c r="AH361" s="247">
        <v>30</v>
      </c>
      <c r="AI361" s="247">
        <v>27</v>
      </c>
      <c r="AJ361" s="247"/>
    </row>
    <row r="362" spans="27:36">
      <c r="AA362" s="247">
        <v>2605</v>
      </c>
      <c r="AB362" s="247" t="s">
        <v>980</v>
      </c>
      <c r="AC362" s="247" t="s">
        <v>981</v>
      </c>
      <c r="AD362" s="247" t="s">
        <v>982</v>
      </c>
      <c r="AE362" s="247" t="s">
        <v>533</v>
      </c>
      <c r="AF362" s="247">
        <v>52</v>
      </c>
      <c r="AG362" s="247" t="s">
        <v>528</v>
      </c>
      <c r="AH362" s="247">
        <v>0</v>
      </c>
      <c r="AI362" s="247">
        <v>22</v>
      </c>
      <c r="AJ362" s="247"/>
    </row>
    <row r="363" spans="27:36">
      <c r="AA363" s="247">
        <v>2607</v>
      </c>
      <c r="AB363" s="247" t="s">
        <v>983</v>
      </c>
      <c r="AC363" s="247" t="s">
        <v>516</v>
      </c>
      <c r="AD363" s="247" t="s">
        <v>516</v>
      </c>
      <c r="AE363" s="247" t="s">
        <v>533</v>
      </c>
      <c r="AF363" s="247">
        <v>52</v>
      </c>
      <c r="AG363" s="247" t="s">
        <v>528</v>
      </c>
      <c r="AH363" s="247">
        <v>20</v>
      </c>
      <c r="AI363" s="247">
        <v>21</v>
      </c>
      <c r="AJ363" s="247"/>
    </row>
    <row r="364" spans="27:36">
      <c r="AA364" s="247">
        <v>2608</v>
      </c>
      <c r="AB364" s="247" t="s">
        <v>984</v>
      </c>
      <c r="AC364" s="247" t="s">
        <v>516</v>
      </c>
      <c r="AD364" s="247" t="s">
        <v>516</v>
      </c>
      <c r="AE364" s="247" t="s">
        <v>533</v>
      </c>
      <c r="AF364" s="247">
        <v>52</v>
      </c>
      <c r="AG364" s="247" t="s">
        <v>528</v>
      </c>
      <c r="AH364" s="247">
        <v>20</v>
      </c>
      <c r="AI364" s="247">
        <v>21</v>
      </c>
      <c r="AJ364" s="247"/>
    </row>
    <row r="365" spans="27:36">
      <c r="AA365" s="247">
        <v>2610</v>
      </c>
      <c r="AB365" s="247" t="s">
        <v>985</v>
      </c>
      <c r="AC365" s="247" t="s">
        <v>986</v>
      </c>
      <c r="AD365" s="247" t="s">
        <v>987</v>
      </c>
      <c r="AE365" s="247" t="s">
        <v>543</v>
      </c>
      <c r="AF365" s="247">
        <v>0</v>
      </c>
      <c r="AG365" s="247"/>
      <c r="AH365" s="247">
        <v>30</v>
      </c>
      <c r="AI365" s="247">
        <v>27</v>
      </c>
      <c r="AJ365" s="247"/>
    </row>
    <row r="366" spans="27:36">
      <c r="AA366" s="247">
        <v>2615</v>
      </c>
      <c r="AB366" s="247" t="s">
        <v>988</v>
      </c>
      <c r="AC366" s="247" t="s">
        <v>989</v>
      </c>
      <c r="AD366" s="247" t="s">
        <v>990</v>
      </c>
      <c r="AE366" s="247" t="s">
        <v>533</v>
      </c>
      <c r="AF366" s="247">
        <v>52</v>
      </c>
      <c r="AG366" s="247" t="s">
        <v>528</v>
      </c>
      <c r="AH366" s="247">
        <v>0</v>
      </c>
      <c r="AI366" s="247">
        <v>22</v>
      </c>
      <c r="AJ366" s="247"/>
    </row>
    <row r="367" spans="27:36">
      <c r="AA367" s="247">
        <v>2617</v>
      </c>
      <c r="AB367" s="247" t="s">
        <v>991</v>
      </c>
      <c r="AC367" s="247" t="s">
        <v>516</v>
      </c>
      <c r="AD367" s="247" t="s">
        <v>516</v>
      </c>
      <c r="AE367" s="247" t="s">
        <v>533</v>
      </c>
      <c r="AF367" s="247">
        <v>52</v>
      </c>
      <c r="AG367" s="247" t="s">
        <v>528</v>
      </c>
      <c r="AH367" s="247">
        <v>20</v>
      </c>
      <c r="AI367" s="247">
        <v>21</v>
      </c>
      <c r="AJ367" s="247"/>
    </row>
    <row r="368" spans="27:36">
      <c r="AA368" s="247">
        <v>2618</v>
      </c>
      <c r="AB368" s="247" t="s">
        <v>992</v>
      </c>
      <c r="AC368" s="247" t="s">
        <v>516</v>
      </c>
      <c r="AD368" s="247" t="s">
        <v>516</v>
      </c>
      <c r="AE368" s="247" t="s">
        <v>533</v>
      </c>
      <c r="AF368" s="247">
        <v>52</v>
      </c>
      <c r="AG368" s="247" t="s">
        <v>528</v>
      </c>
      <c r="AH368" s="247">
        <v>20</v>
      </c>
      <c r="AI368" s="247">
        <v>21</v>
      </c>
      <c r="AJ368" s="247"/>
    </row>
    <row r="369" spans="27:36">
      <c r="AA369" s="247">
        <v>2650</v>
      </c>
      <c r="AB369" s="247" t="s">
        <v>993</v>
      </c>
      <c r="AC369" s="247" t="s">
        <v>994</v>
      </c>
      <c r="AD369" s="247" t="s">
        <v>995</v>
      </c>
      <c r="AE369" s="247" t="s">
        <v>543</v>
      </c>
      <c r="AF369" s="247">
        <v>0</v>
      </c>
      <c r="AG369" s="247" t="s">
        <v>528</v>
      </c>
      <c r="AH369" s="247">
        <v>20</v>
      </c>
      <c r="AI369" s="247">
        <v>27</v>
      </c>
      <c r="AJ369" s="247"/>
    </row>
    <row r="370" spans="27:36">
      <c r="AA370" s="247">
        <v>2655</v>
      </c>
      <c r="AB370" s="247" t="s">
        <v>996</v>
      </c>
      <c r="AC370" s="247" t="s">
        <v>516</v>
      </c>
      <c r="AD370" s="247" t="s">
        <v>516</v>
      </c>
      <c r="AE370" s="247" t="s">
        <v>543</v>
      </c>
      <c r="AF370" s="247">
        <v>0</v>
      </c>
      <c r="AG370" s="247" t="s">
        <v>528</v>
      </c>
      <c r="AH370" s="247">
        <v>20</v>
      </c>
      <c r="AI370" s="247">
        <v>27</v>
      </c>
      <c r="AJ370" s="247"/>
    </row>
    <row r="371" spans="27:36">
      <c r="AA371" s="247">
        <v>2660</v>
      </c>
      <c r="AB371" s="247" t="s">
        <v>997</v>
      </c>
      <c r="AC371" s="247" t="s">
        <v>998</v>
      </c>
      <c r="AD371" s="247" t="s">
        <v>999</v>
      </c>
      <c r="AE371" s="247" t="s">
        <v>533</v>
      </c>
      <c r="AF371" s="247">
        <v>52</v>
      </c>
      <c r="AG371" s="247" t="s">
        <v>528</v>
      </c>
      <c r="AH371" s="247">
        <v>0</v>
      </c>
      <c r="AI371" s="247">
        <v>22</v>
      </c>
      <c r="AJ371" s="247"/>
    </row>
    <row r="372" spans="27:36">
      <c r="AA372" s="247">
        <v>2662</v>
      </c>
      <c r="AB372" s="247" t="s">
        <v>1000</v>
      </c>
      <c r="AC372" s="247" t="s">
        <v>516</v>
      </c>
      <c r="AD372" s="247" t="s">
        <v>516</v>
      </c>
      <c r="AE372" s="247" t="s">
        <v>533</v>
      </c>
      <c r="AF372" s="247">
        <v>52</v>
      </c>
      <c r="AG372" s="247" t="s">
        <v>528</v>
      </c>
      <c r="AH372" s="247">
        <v>20</v>
      </c>
      <c r="AI372" s="247">
        <v>21</v>
      </c>
      <c r="AJ372" s="247"/>
    </row>
    <row r="373" spans="27:36">
      <c r="AA373" s="247">
        <v>2663</v>
      </c>
      <c r="AB373" s="247" t="s">
        <v>1001</v>
      </c>
      <c r="AC373" s="247" t="s">
        <v>516</v>
      </c>
      <c r="AD373" s="247" t="s">
        <v>516</v>
      </c>
      <c r="AE373" s="247" t="s">
        <v>533</v>
      </c>
      <c r="AF373" s="247">
        <v>52</v>
      </c>
      <c r="AG373" s="247" t="s">
        <v>528</v>
      </c>
      <c r="AH373" s="247">
        <v>20</v>
      </c>
      <c r="AI373" s="247">
        <v>21</v>
      </c>
      <c r="AJ373" s="247"/>
    </row>
    <row r="374" spans="27:36">
      <c r="AA374" s="247">
        <v>2665</v>
      </c>
      <c r="AB374" s="247" t="s">
        <v>1002</v>
      </c>
      <c r="AC374" s="247" t="s">
        <v>1003</v>
      </c>
      <c r="AD374" s="247" t="s">
        <v>1004</v>
      </c>
      <c r="AE374" s="247" t="s">
        <v>543</v>
      </c>
      <c r="AF374" s="247">
        <v>0</v>
      </c>
      <c r="AG374" s="247"/>
      <c r="AH374" s="247">
        <v>30</v>
      </c>
      <c r="AI374" s="247">
        <v>27</v>
      </c>
      <c r="AJ374" s="247"/>
    </row>
    <row r="375" spans="27:36">
      <c r="AA375" s="247">
        <v>2666</v>
      </c>
      <c r="AB375" s="247" t="s">
        <v>1005</v>
      </c>
      <c r="AC375" s="247" t="s">
        <v>516</v>
      </c>
      <c r="AD375" s="247" t="s">
        <v>516</v>
      </c>
      <c r="AE375" s="247" t="s">
        <v>543</v>
      </c>
      <c r="AF375" s="247">
        <v>0</v>
      </c>
      <c r="AG375" s="247"/>
      <c r="AH375" s="247">
        <v>20</v>
      </c>
      <c r="AI375" s="247">
        <v>27</v>
      </c>
      <c r="AJ375" s="247"/>
    </row>
    <row r="376" spans="27:36">
      <c r="AA376" s="247">
        <v>2670</v>
      </c>
      <c r="AB376" s="247" t="s">
        <v>1006</v>
      </c>
      <c r="AC376" s="247" t="s">
        <v>1007</v>
      </c>
      <c r="AD376" s="247" t="s">
        <v>1008</v>
      </c>
      <c r="AE376" s="247" t="s">
        <v>533</v>
      </c>
      <c r="AF376" s="247">
        <v>52</v>
      </c>
      <c r="AG376" s="247" t="s">
        <v>528</v>
      </c>
      <c r="AH376" s="247">
        <v>30</v>
      </c>
      <c r="AI376" s="247">
        <v>22</v>
      </c>
      <c r="AJ376" s="247"/>
    </row>
    <row r="377" spans="27:36">
      <c r="AA377" s="247">
        <v>2671</v>
      </c>
      <c r="AB377" s="247" t="s">
        <v>1009</v>
      </c>
      <c r="AC377" s="247" t="s">
        <v>516</v>
      </c>
      <c r="AD377" s="247" t="s">
        <v>516</v>
      </c>
      <c r="AE377" s="247" t="s">
        <v>533</v>
      </c>
      <c r="AF377" s="247">
        <v>52</v>
      </c>
      <c r="AG377" s="247" t="s">
        <v>528</v>
      </c>
      <c r="AH377" s="247">
        <v>20</v>
      </c>
      <c r="AI377" s="247">
        <v>22</v>
      </c>
      <c r="AJ377" s="247"/>
    </row>
    <row r="378" spans="27:36">
      <c r="AA378" s="247">
        <v>2672</v>
      </c>
      <c r="AB378" s="247" t="s">
        <v>1010</v>
      </c>
      <c r="AC378" s="247" t="s">
        <v>516</v>
      </c>
      <c r="AD378" s="247" t="s">
        <v>516</v>
      </c>
      <c r="AE378" s="247" t="s">
        <v>533</v>
      </c>
      <c r="AF378" s="247">
        <v>52</v>
      </c>
      <c r="AG378" s="247" t="s">
        <v>528</v>
      </c>
      <c r="AH378" s="247">
        <v>20</v>
      </c>
      <c r="AI378" s="247">
        <v>21</v>
      </c>
      <c r="AJ378" s="247"/>
    </row>
    <row r="379" spans="27:36">
      <c r="AA379" s="247">
        <v>2673</v>
      </c>
      <c r="AB379" s="247" t="s">
        <v>1011</v>
      </c>
      <c r="AC379" s="247" t="s">
        <v>516</v>
      </c>
      <c r="AD379" s="247" t="s">
        <v>516</v>
      </c>
      <c r="AE379" s="247" t="s">
        <v>533</v>
      </c>
      <c r="AF379" s="247">
        <v>52</v>
      </c>
      <c r="AG379" s="247" t="s">
        <v>528</v>
      </c>
      <c r="AH379" s="247">
        <v>20</v>
      </c>
      <c r="AI379" s="247">
        <v>21</v>
      </c>
      <c r="AJ379" s="247"/>
    </row>
    <row r="380" spans="27:36">
      <c r="AA380" s="247">
        <v>2674</v>
      </c>
      <c r="AB380" s="247" t="s">
        <v>1012</v>
      </c>
      <c r="AC380" s="247" t="s">
        <v>516</v>
      </c>
      <c r="AD380" s="247" t="s">
        <v>516</v>
      </c>
      <c r="AE380" s="247" t="s">
        <v>543</v>
      </c>
      <c r="AF380" s="247">
        <v>0</v>
      </c>
      <c r="AG380" s="247" t="s">
        <v>528</v>
      </c>
      <c r="AH380" s="247">
        <v>20</v>
      </c>
      <c r="AI380" s="247">
        <v>27</v>
      </c>
      <c r="AJ380" s="247"/>
    </row>
    <row r="381" spans="27:36">
      <c r="AA381" s="247">
        <v>2675</v>
      </c>
      <c r="AB381" s="247" t="s">
        <v>1013</v>
      </c>
      <c r="AC381" s="247" t="s">
        <v>516</v>
      </c>
      <c r="AD381" s="247" t="s">
        <v>516</v>
      </c>
      <c r="AE381" s="247" t="s">
        <v>533</v>
      </c>
      <c r="AF381" s="247">
        <v>52</v>
      </c>
      <c r="AG381" s="247" t="s">
        <v>528</v>
      </c>
      <c r="AH381" s="247">
        <v>20</v>
      </c>
      <c r="AI381" s="247">
        <v>24</v>
      </c>
      <c r="AJ381" s="247"/>
    </row>
    <row r="382" spans="27:36">
      <c r="AA382" s="247">
        <v>2685</v>
      </c>
      <c r="AB382" s="247" t="s">
        <v>1014</v>
      </c>
      <c r="AC382" s="247" t="s">
        <v>1015</v>
      </c>
      <c r="AD382" s="247" t="s">
        <v>1016</v>
      </c>
      <c r="AE382" s="247" t="s">
        <v>543</v>
      </c>
      <c r="AF382" s="247">
        <v>0</v>
      </c>
      <c r="AG382" s="247"/>
      <c r="AH382" s="247">
        <v>20</v>
      </c>
      <c r="AI382" s="247">
        <v>27</v>
      </c>
      <c r="AJ382" s="247"/>
    </row>
    <row r="383" spans="27:36">
      <c r="AA383" s="247">
        <v>2687</v>
      </c>
      <c r="AB383" s="247" t="s">
        <v>1017</v>
      </c>
      <c r="AC383" s="247" t="s">
        <v>1018</v>
      </c>
      <c r="AD383" s="247" t="s">
        <v>1019</v>
      </c>
      <c r="AE383" s="247" t="s">
        <v>533</v>
      </c>
      <c r="AF383" s="247">
        <v>52</v>
      </c>
      <c r="AG383" s="247"/>
      <c r="AH383" s="247">
        <v>30</v>
      </c>
      <c r="AI383" s="247">
        <v>22</v>
      </c>
      <c r="AJ383" s="247"/>
    </row>
    <row r="384" spans="27:36">
      <c r="AA384" s="247">
        <v>2689</v>
      </c>
      <c r="AB384" s="247" t="s">
        <v>1020</v>
      </c>
      <c r="AC384" s="247" t="s">
        <v>516</v>
      </c>
      <c r="AD384" s="247" t="s">
        <v>516</v>
      </c>
      <c r="AE384" s="247" t="s">
        <v>533</v>
      </c>
      <c r="AF384" s="247">
        <v>52</v>
      </c>
      <c r="AG384" s="247" t="s">
        <v>528</v>
      </c>
      <c r="AH384" s="247">
        <v>20</v>
      </c>
      <c r="AI384" s="247">
        <v>21</v>
      </c>
      <c r="AJ384" s="247"/>
    </row>
    <row r="385" spans="27:36">
      <c r="AA385" s="247">
        <v>2691</v>
      </c>
      <c r="AB385" s="247" t="s">
        <v>1021</v>
      </c>
      <c r="AC385" s="247" t="s">
        <v>516</v>
      </c>
      <c r="AD385" s="247" t="s">
        <v>516</v>
      </c>
      <c r="AE385" s="247" t="s">
        <v>533</v>
      </c>
      <c r="AF385" s="247">
        <v>52</v>
      </c>
      <c r="AG385" s="247" t="s">
        <v>528</v>
      </c>
      <c r="AH385" s="247">
        <v>20</v>
      </c>
      <c r="AI385" s="247">
        <v>21</v>
      </c>
      <c r="AJ385" s="247"/>
    </row>
    <row r="386" spans="27:36">
      <c r="AA386" s="247">
        <v>2695</v>
      </c>
      <c r="AB386" s="247" t="s">
        <v>1022</v>
      </c>
      <c r="AC386" s="247" t="s">
        <v>516</v>
      </c>
      <c r="AD386" s="247" t="s">
        <v>516</v>
      </c>
      <c r="AE386" s="247" t="s">
        <v>543</v>
      </c>
      <c r="AF386" s="247">
        <v>0</v>
      </c>
      <c r="AG386" s="247" t="s">
        <v>528</v>
      </c>
      <c r="AH386" s="247">
        <v>20</v>
      </c>
      <c r="AI386" s="247">
        <v>27</v>
      </c>
      <c r="AJ386" s="247"/>
    </row>
    <row r="387" spans="27:36">
      <c r="AA387" s="247">
        <v>2696</v>
      </c>
      <c r="AB387" s="247" t="s">
        <v>1023</v>
      </c>
      <c r="AC387" s="247" t="s">
        <v>516</v>
      </c>
      <c r="AD387" s="247" t="s">
        <v>516</v>
      </c>
      <c r="AE387" s="247" t="s">
        <v>533</v>
      </c>
      <c r="AF387" s="247">
        <v>52</v>
      </c>
      <c r="AG387" s="247" t="s">
        <v>528</v>
      </c>
      <c r="AH387" s="247">
        <v>20</v>
      </c>
      <c r="AI387" s="247">
        <v>22</v>
      </c>
      <c r="AJ387" s="247"/>
    </row>
    <row r="388" spans="27:36">
      <c r="AA388" s="247">
        <v>2710</v>
      </c>
      <c r="AB388" s="247" t="s">
        <v>1024</v>
      </c>
      <c r="AC388" s="247" t="s">
        <v>1025</v>
      </c>
      <c r="AD388" s="247" t="s">
        <v>1026</v>
      </c>
      <c r="AE388" s="247" t="s">
        <v>533</v>
      </c>
      <c r="AF388" s="247">
        <v>52</v>
      </c>
      <c r="AG388" s="247" t="s">
        <v>528</v>
      </c>
      <c r="AH388" s="247">
        <v>20</v>
      </c>
      <c r="AI388" s="247">
        <v>20</v>
      </c>
      <c r="AJ388" s="247"/>
    </row>
    <row r="389" spans="27:36">
      <c r="AA389" s="247">
        <v>2800</v>
      </c>
      <c r="AB389" s="247" t="s">
        <v>1027</v>
      </c>
      <c r="AC389" s="247" t="s">
        <v>1028</v>
      </c>
      <c r="AD389" s="247" t="s">
        <v>1029</v>
      </c>
      <c r="AE389" s="247" t="s">
        <v>533</v>
      </c>
      <c r="AF389" s="247">
        <v>52</v>
      </c>
      <c r="AG389" s="247" t="s">
        <v>528</v>
      </c>
      <c r="AH389" s="247">
        <v>0</v>
      </c>
      <c r="AI389" s="247">
        <v>24</v>
      </c>
      <c r="AJ389" s="247"/>
    </row>
    <row r="390" spans="27:36">
      <c r="AA390" s="247">
        <v>2810</v>
      </c>
      <c r="AB390" s="247" t="s">
        <v>1030</v>
      </c>
      <c r="AC390" s="247" t="s">
        <v>1031</v>
      </c>
      <c r="AD390" s="247" t="s">
        <v>1032</v>
      </c>
      <c r="AE390" s="247" t="s">
        <v>543</v>
      </c>
      <c r="AF390" s="247">
        <v>0</v>
      </c>
      <c r="AG390" s="247" t="s">
        <v>528</v>
      </c>
      <c r="AH390" s="247">
        <v>0</v>
      </c>
      <c r="AI390" s="247">
        <v>27</v>
      </c>
      <c r="AJ390" s="247"/>
    </row>
    <row r="391" spans="27:36">
      <c r="AA391" s="247">
        <v>2811</v>
      </c>
      <c r="AB391" s="247" t="s">
        <v>1033</v>
      </c>
      <c r="AC391" s="247" t="s">
        <v>516</v>
      </c>
      <c r="AD391" s="247" t="s">
        <v>516</v>
      </c>
      <c r="AE391" s="247" t="s">
        <v>533</v>
      </c>
      <c r="AF391" s="247">
        <v>52</v>
      </c>
      <c r="AG391" s="247" t="s">
        <v>528</v>
      </c>
      <c r="AH391" s="247">
        <v>0</v>
      </c>
      <c r="AI391" s="247">
        <v>20</v>
      </c>
      <c r="AJ391" s="247"/>
    </row>
    <row r="392" spans="27:36">
      <c r="AA392" s="247">
        <v>2822</v>
      </c>
      <c r="AB392" s="247" t="s">
        <v>1034</v>
      </c>
      <c r="AC392" s="247" t="s">
        <v>516</v>
      </c>
      <c r="AD392" s="247" t="s">
        <v>516</v>
      </c>
      <c r="AE392" s="247" t="s">
        <v>543</v>
      </c>
      <c r="AF392" s="247">
        <v>0</v>
      </c>
      <c r="AG392" s="247" t="s">
        <v>528</v>
      </c>
      <c r="AH392" s="247">
        <v>20</v>
      </c>
      <c r="AI392" s="247">
        <v>27</v>
      </c>
      <c r="AJ392" s="247"/>
    </row>
    <row r="393" spans="27:36">
      <c r="AA393" s="247">
        <v>2823</v>
      </c>
      <c r="AB393" s="247" t="s">
        <v>1035</v>
      </c>
      <c r="AC393" s="247" t="s">
        <v>516</v>
      </c>
      <c r="AD393" s="247" t="s">
        <v>516</v>
      </c>
      <c r="AE393" s="247" t="s">
        <v>543</v>
      </c>
      <c r="AF393" s="247">
        <v>0</v>
      </c>
      <c r="AG393" s="247" t="s">
        <v>528</v>
      </c>
      <c r="AH393" s="247">
        <v>20</v>
      </c>
      <c r="AI393" s="247">
        <v>27</v>
      </c>
      <c r="AJ393" s="247"/>
    </row>
    <row r="394" spans="27:36">
      <c r="AA394" s="247">
        <v>2826</v>
      </c>
      <c r="AB394" s="247" t="s">
        <v>1036</v>
      </c>
      <c r="AC394" s="247" t="s">
        <v>516</v>
      </c>
      <c r="AD394" s="247" t="s">
        <v>516</v>
      </c>
      <c r="AE394" s="247" t="s">
        <v>507</v>
      </c>
      <c r="AF394" s="247">
        <v>0</v>
      </c>
      <c r="AG394" s="247"/>
      <c r="AH394" s="247">
        <v>20</v>
      </c>
      <c r="AI394" s="247">
        <v>28</v>
      </c>
      <c r="AJ394" s="247"/>
    </row>
    <row r="395" spans="27:36">
      <c r="AA395" s="247">
        <v>2828</v>
      </c>
      <c r="AB395" s="247" t="s">
        <v>1037</v>
      </c>
      <c r="AC395" s="247" t="s">
        <v>516</v>
      </c>
      <c r="AD395" s="247" t="s">
        <v>516</v>
      </c>
      <c r="AE395" s="247" t="s">
        <v>533</v>
      </c>
      <c r="AF395" s="247">
        <v>52</v>
      </c>
      <c r="AG395" s="247" t="s">
        <v>528</v>
      </c>
      <c r="AH395" s="247">
        <v>20</v>
      </c>
      <c r="AI395" s="247">
        <v>23</v>
      </c>
      <c r="AJ395" s="247"/>
    </row>
    <row r="396" spans="27:36">
      <c r="AA396" s="247">
        <v>2829</v>
      </c>
      <c r="AB396" s="247" t="s">
        <v>1038</v>
      </c>
      <c r="AC396" s="247" t="s">
        <v>516</v>
      </c>
      <c r="AD396" s="247" t="s">
        <v>516</v>
      </c>
      <c r="AE396" s="247" t="s">
        <v>507</v>
      </c>
      <c r="AF396" s="247">
        <v>0</v>
      </c>
      <c r="AG396" s="247"/>
      <c r="AH396" s="247">
        <v>20</v>
      </c>
      <c r="AI396" s="247">
        <v>32</v>
      </c>
      <c r="AJ396" s="247"/>
    </row>
    <row r="397" spans="27:36">
      <c r="AA397" s="247">
        <v>2831</v>
      </c>
      <c r="AB397" s="247" t="s">
        <v>1039</v>
      </c>
      <c r="AC397" s="247" t="s">
        <v>516</v>
      </c>
      <c r="AD397" s="247" t="s">
        <v>516</v>
      </c>
      <c r="AE397" s="247" t="s">
        <v>543</v>
      </c>
      <c r="AF397" s="247">
        <v>0</v>
      </c>
      <c r="AG397" s="247" t="s">
        <v>528</v>
      </c>
      <c r="AH397" s="247">
        <v>20</v>
      </c>
      <c r="AI397" s="247">
        <v>27</v>
      </c>
      <c r="AJ397" s="247"/>
    </row>
    <row r="398" spans="27:36">
      <c r="AA398" s="247">
        <v>2832</v>
      </c>
      <c r="AB398" s="247" t="s">
        <v>1040</v>
      </c>
      <c r="AC398" s="247" t="s">
        <v>516</v>
      </c>
      <c r="AD398" s="247" t="s">
        <v>516</v>
      </c>
      <c r="AE398" s="247" t="s">
        <v>543</v>
      </c>
      <c r="AF398" s="247">
        <v>0</v>
      </c>
      <c r="AG398" s="247" t="s">
        <v>528</v>
      </c>
      <c r="AH398" s="247">
        <v>20</v>
      </c>
      <c r="AI398" s="247">
        <v>27</v>
      </c>
      <c r="AJ398" s="247"/>
    </row>
    <row r="399" spans="27:36">
      <c r="AA399" s="247">
        <v>2900</v>
      </c>
      <c r="AB399" s="247" t="s">
        <v>1041</v>
      </c>
      <c r="AC399" s="247" t="s">
        <v>516</v>
      </c>
      <c r="AD399" s="247" t="s">
        <v>516</v>
      </c>
      <c r="AE399" s="247" t="s">
        <v>507</v>
      </c>
      <c r="AF399" s="247">
        <v>0</v>
      </c>
      <c r="AG399" s="247"/>
      <c r="AH399" s="247">
        <v>20</v>
      </c>
      <c r="AI399" s="247">
        <v>27</v>
      </c>
      <c r="AJ399" s="247"/>
    </row>
    <row r="400" spans="27:36">
      <c r="AA400" s="247">
        <v>2910</v>
      </c>
      <c r="AB400" s="247" t="s">
        <v>1042</v>
      </c>
      <c r="AC400" s="247" t="s">
        <v>516</v>
      </c>
      <c r="AD400" s="247" t="s">
        <v>516</v>
      </c>
      <c r="AE400" s="247" t="s">
        <v>507</v>
      </c>
      <c r="AF400" s="247">
        <v>0</v>
      </c>
      <c r="AG400" s="247"/>
      <c r="AH400" s="247">
        <v>20</v>
      </c>
      <c r="AI400" s="247">
        <v>27</v>
      </c>
      <c r="AJ400" s="247"/>
    </row>
    <row r="401" spans="27:36">
      <c r="AA401" s="247">
        <v>2920</v>
      </c>
      <c r="AB401" s="247" t="s">
        <v>1043</v>
      </c>
      <c r="AC401" s="247" t="s">
        <v>516</v>
      </c>
      <c r="AD401" s="247" t="s">
        <v>516</v>
      </c>
      <c r="AE401" s="247" t="s">
        <v>507</v>
      </c>
      <c r="AF401" s="247">
        <v>0</v>
      </c>
      <c r="AG401" s="247"/>
      <c r="AH401" s="247">
        <v>20</v>
      </c>
      <c r="AI401" s="247">
        <v>27</v>
      </c>
      <c r="AJ401" s="247"/>
    </row>
    <row r="402" spans="27:36">
      <c r="AA402" s="247">
        <v>2930</v>
      </c>
      <c r="AB402" s="247" t="s">
        <v>1044</v>
      </c>
      <c r="AC402" s="247" t="s">
        <v>516</v>
      </c>
      <c r="AD402" s="247" t="s">
        <v>516</v>
      </c>
      <c r="AE402" s="247" t="s">
        <v>507</v>
      </c>
      <c r="AF402" s="247">
        <v>0</v>
      </c>
      <c r="AG402" s="247"/>
      <c r="AH402" s="247">
        <v>20</v>
      </c>
      <c r="AI402" s="247">
        <v>27</v>
      </c>
      <c r="AJ402" s="247"/>
    </row>
    <row r="403" spans="27:36">
      <c r="AA403" s="247">
        <v>2950</v>
      </c>
      <c r="AB403" s="247" t="s">
        <v>1045</v>
      </c>
      <c r="AC403" s="247" t="s">
        <v>1046</v>
      </c>
      <c r="AD403" s="247" t="s">
        <v>1047</v>
      </c>
      <c r="AE403" s="247" t="s">
        <v>543</v>
      </c>
      <c r="AF403" s="247">
        <v>0</v>
      </c>
      <c r="AG403" s="247"/>
      <c r="AH403" s="247">
        <v>0</v>
      </c>
      <c r="AI403" s="247">
        <v>27</v>
      </c>
      <c r="AJ403" s="247"/>
    </row>
    <row r="404" spans="27:36">
      <c r="AA404" s="247">
        <v>3000</v>
      </c>
      <c r="AB404" s="247" t="s">
        <v>1048</v>
      </c>
      <c r="AC404" s="247" t="s">
        <v>1049</v>
      </c>
      <c r="AD404" s="247" t="s">
        <v>1050</v>
      </c>
      <c r="AE404" s="247" t="s">
        <v>533</v>
      </c>
      <c r="AF404" s="247">
        <v>75</v>
      </c>
      <c r="AG404" s="247"/>
      <c r="AH404" s="247">
        <v>10</v>
      </c>
      <c r="AI404" s="247">
        <v>20</v>
      </c>
      <c r="AJ404" s="247"/>
    </row>
    <row r="405" spans="27:36">
      <c r="AA405" s="247">
        <v>3005</v>
      </c>
      <c r="AB405" s="247" t="s">
        <v>1051</v>
      </c>
      <c r="AC405" s="247" t="s">
        <v>516</v>
      </c>
      <c r="AD405" s="247" t="s">
        <v>516</v>
      </c>
      <c r="AE405" s="247" t="s">
        <v>543</v>
      </c>
      <c r="AF405" s="247">
        <v>0</v>
      </c>
      <c r="AG405" s="247"/>
      <c r="AH405" s="247">
        <v>20</v>
      </c>
      <c r="AI405" s="247">
        <v>27</v>
      </c>
      <c r="AJ405" s="247"/>
    </row>
    <row r="406" spans="27:36">
      <c r="AA406" s="247">
        <v>3010</v>
      </c>
      <c r="AB406" s="247" t="s">
        <v>1052</v>
      </c>
      <c r="AC406" s="247" t="s">
        <v>516</v>
      </c>
      <c r="AD406" s="247" t="s">
        <v>516</v>
      </c>
      <c r="AE406" s="247" t="s">
        <v>533</v>
      </c>
      <c r="AF406" s="247">
        <v>52</v>
      </c>
      <c r="AG406" s="247" t="s">
        <v>528</v>
      </c>
      <c r="AH406" s="247">
        <v>20</v>
      </c>
      <c r="AI406" s="247">
        <v>15</v>
      </c>
      <c r="AJ406" s="247"/>
    </row>
    <row r="407" spans="27:36">
      <c r="AA407" s="247">
        <v>3011</v>
      </c>
      <c r="AB407" s="247" t="s">
        <v>1053</v>
      </c>
      <c r="AC407" s="247" t="s">
        <v>516</v>
      </c>
      <c r="AD407" s="247" t="s">
        <v>516</v>
      </c>
      <c r="AE407" s="247" t="s">
        <v>543</v>
      </c>
      <c r="AF407" s="247">
        <v>0</v>
      </c>
      <c r="AG407" s="247" t="s">
        <v>528</v>
      </c>
      <c r="AH407" s="247">
        <v>0</v>
      </c>
      <c r="AI407" s="247">
        <v>27</v>
      </c>
      <c r="AJ407" s="247"/>
    </row>
    <row r="408" spans="27:36">
      <c r="AA408" s="247">
        <v>3020</v>
      </c>
      <c r="AB408" s="247" t="s">
        <v>1054</v>
      </c>
      <c r="AC408" s="247" t="s">
        <v>516</v>
      </c>
      <c r="AD408" s="247" t="s">
        <v>516</v>
      </c>
      <c r="AE408" s="247" t="s">
        <v>543</v>
      </c>
      <c r="AF408" s="247">
        <v>0</v>
      </c>
      <c r="AG408" s="247"/>
      <c r="AH408" s="247">
        <v>20</v>
      </c>
      <c r="AI408" s="247">
        <v>28</v>
      </c>
      <c r="AJ408" s="247"/>
    </row>
    <row r="409" spans="27:36">
      <c r="AA409" s="247">
        <v>3021</v>
      </c>
      <c r="AB409" s="247" t="s">
        <v>1055</v>
      </c>
      <c r="AC409" s="247" t="s">
        <v>516</v>
      </c>
      <c r="AD409" s="247" t="s">
        <v>516</v>
      </c>
      <c r="AE409" s="247" t="s">
        <v>533</v>
      </c>
      <c r="AF409" s="247">
        <v>75</v>
      </c>
      <c r="AG409" s="247"/>
      <c r="AH409" s="247">
        <v>20</v>
      </c>
      <c r="AI409" s="247">
        <v>20</v>
      </c>
      <c r="AJ409" s="247"/>
    </row>
    <row r="410" spans="27:36">
      <c r="AA410" s="247">
        <v>3030</v>
      </c>
      <c r="AB410" s="247" t="s">
        <v>1056</v>
      </c>
      <c r="AC410" s="247" t="s">
        <v>516</v>
      </c>
      <c r="AD410" s="247" t="s">
        <v>516</v>
      </c>
      <c r="AE410" s="247" t="s">
        <v>543</v>
      </c>
      <c r="AF410" s="247">
        <v>0</v>
      </c>
      <c r="AG410" s="247"/>
      <c r="AH410" s="247">
        <v>20</v>
      </c>
      <c r="AI410" s="247">
        <v>27</v>
      </c>
      <c r="AJ410" s="247"/>
    </row>
    <row r="411" spans="27:36">
      <c r="AA411" s="247">
        <v>3040</v>
      </c>
      <c r="AB411" s="247" t="s">
        <v>1057</v>
      </c>
      <c r="AC411" s="247" t="s">
        <v>516</v>
      </c>
      <c r="AD411" s="247" t="s">
        <v>516</v>
      </c>
      <c r="AE411" s="247" t="s">
        <v>507</v>
      </c>
      <c r="AF411" s="247">
        <v>52</v>
      </c>
      <c r="AG411" s="247"/>
      <c r="AH411" s="247">
        <v>30</v>
      </c>
      <c r="AI411" s="247">
        <v>28</v>
      </c>
      <c r="AJ411" s="247"/>
    </row>
    <row r="412" spans="27:36">
      <c r="AA412" s="247">
        <v>3050</v>
      </c>
      <c r="AB412" s="247" t="s">
        <v>1058</v>
      </c>
      <c r="AC412" s="247" t="s">
        <v>1059</v>
      </c>
      <c r="AD412" s="247" t="s">
        <v>1060</v>
      </c>
      <c r="AE412" s="247" t="s">
        <v>533</v>
      </c>
      <c r="AF412" s="247">
        <v>52</v>
      </c>
      <c r="AG412" s="247"/>
      <c r="AH412" s="247">
        <v>10</v>
      </c>
      <c r="AI412" s="247">
        <v>20</v>
      </c>
      <c r="AJ412" s="247"/>
    </row>
    <row r="413" spans="27:36">
      <c r="AA413" s="247">
        <v>3060</v>
      </c>
      <c r="AB413" s="247" t="s">
        <v>1061</v>
      </c>
      <c r="AC413" s="247" t="s">
        <v>516</v>
      </c>
      <c r="AD413" s="247" t="s">
        <v>516</v>
      </c>
      <c r="AE413" s="247" t="s">
        <v>533</v>
      </c>
      <c r="AF413" s="247">
        <v>75</v>
      </c>
      <c r="AG413" s="247" t="s">
        <v>528</v>
      </c>
      <c r="AH413" s="247">
        <v>20</v>
      </c>
      <c r="AI413" s="247">
        <v>20</v>
      </c>
      <c r="AJ413" s="247"/>
    </row>
    <row r="414" spans="27:36">
      <c r="AA414" s="247">
        <v>3061</v>
      </c>
      <c r="AB414" s="247" t="s">
        <v>1062</v>
      </c>
      <c r="AC414" s="247" t="s">
        <v>516</v>
      </c>
      <c r="AD414" s="247" t="s">
        <v>516</v>
      </c>
      <c r="AE414" s="247" t="s">
        <v>533</v>
      </c>
      <c r="AF414" s="247">
        <v>75</v>
      </c>
      <c r="AG414" s="247" t="s">
        <v>528</v>
      </c>
      <c r="AH414" s="247">
        <v>20</v>
      </c>
      <c r="AI414" s="247">
        <v>20</v>
      </c>
      <c r="AJ414" s="247"/>
    </row>
    <row r="415" spans="27:36">
      <c r="AA415" s="247">
        <v>3062</v>
      </c>
      <c r="AB415" s="247" t="s">
        <v>1063</v>
      </c>
      <c r="AC415" s="247" t="s">
        <v>516</v>
      </c>
      <c r="AD415" s="247" t="s">
        <v>516</v>
      </c>
      <c r="AE415" s="247" t="s">
        <v>533</v>
      </c>
      <c r="AF415" s="247">
        <v>75</v>
      </c>
      <c r="AG415" s="247" t="s">
        <v>528</v>
      </c>
      <c r="AH415" s="247">
        <v>20</v>
      </c>
      <c r="AI415" s="247">
        <v>20</v>
      </c>
      <c r="AJ415" s="247"/>
    </row>
    <row r="416" spans="27:36">
      <c r="AA416" s="247">
        <v>3063</v>
      </c>
      <c r="AB416" s="247" t="s">
        <v>1064</v>
      </c>
      <c r="AC416" s="247" t="s">
        <v>516</v>
      </c>
      <c r="AD416" s="247" t="s">
        <v>516</v>
      </c>
      <c r="AE416" s="247" t="s">
        <v>533</v>
      </c>
      <c r="AF416" s="247">
        <v>75</v>
      </c>
      <c r="AG416" s="247" t="s">
        <v>528</v>
      </c>
      <c r="AH416" s="247">
        <v>20</v>
      </c>
      <c r="AI416" s="247">
        <v>20</v>
      </c>
      <c r="AJ416" s="247"/>
    </row>
    <row r="417" spans="20:36">
      <c r="AA417" s="247">
        <v>3064</v>
      </c>
      <c r="AB417" s="247" t="s">
        <v>1065</v>
      </c>
      <c r="AC417" s="247" t="s">
        <v>516</v>
      </c>
      <c r="AD417" s="247" t="s">
        <v>516</v>
      </c>
      <c r="AE417" s="247" t="s">
        <v>533</v>
      </c>
      <c r="AF417" s="247">
        <v>75</v>
      </c>
      <c r="AG417" s="247" t="s">
        <v>528</v>
      </c>
      <c r="AH417" s="247">
        <v>20</v>
      </c>
      <c r="AI417" s="247">
        <v>20</v>
      </c>
      <c r="AJ417" s="247"/>
    </row>
    <row r="418" spans="20:36">
      <c r="AA418" s="247">
        <v>3065</v>
      </c>
      <c r="AB418" s="247" t="s">
        <v>1066</v>
      </c>
      <c r="AC418" s="247" t="s">
        <v>516</v>
      </c>
      <c r="AD418" s="247" t="s">
        <v>516</v>
      </c>
      <c r="AE418" s="247" t="s">
        <v>533</v>
      </c>
      <c r="AF418" s="247">
        <v>75</v>
      </c>
      <c r="AG418" s="247" t="s">
        <v>528</v>
      </c>
      <c r="AH418" s="247">
        <v>20</v>
      </c>
      <c r="AI418" s="247">
        <v>20</v>
      </c>
      <c r="AJ418" s="247"/>
    </row>
    <row r="419" spans="20:36">
      <c r="AA419" s="247">
        <v>3090</v>
      </c>
      <c r="AB419" s="247" t="s">
        <v>1067</v>
      </c>
      <c r="AC419" s="247" t="s">
        <v>516</v>
      </c>
      <c r="AD419" s="247" t="s">
        <v>516</v>
      </c>
      <c r="AE419" s="247" t="s">
        <v>533</v>
      </c>
      <c r="AF419" s="247">
        <v>75</v>
      </c>
      <c r="AG419" s="247" t="s">
        <v>528</v>
      </c>
      <c r="AH419" s="247">
        <v>0</v>
      </c>
      <c r="AI419" s="247">
        <v>20</v>
      </c>
      <c r="AJ419" s="247"/>
    </row>
    <row r="420" spans="20:36">
      <c r="AA420" s="247">
        <v>3095</v>
      </c>
      <c r="AB420" s="247" t="s">
        <v>1068</v>
      </c>
      <c r="AC420" s="247" t="s">
        <v>516</v>
      </c>
      <c r="AD420" s="247" t="s">
        <v>516</v>
      </c>
      <c r="AE420" s="247" t="s">
        <v>533</v>
      </c>
      <c r="AF420" s="247">
        <v>75</v>
      </c>
      <c r="AG420" s="247" t="s">
        <v>528</v>
      </c>
      <c r="AH420" s="247">
        <v>0</v>
      </c>
      <c r="AI420" s="247">
        <v>20</v>
      </c>
      <c r="AJ420" s="247"/>
    </row>
    <row r="421" spans="20:36">
      <c r="T421" s="94"/>
      <c r="U421" s="95"/>
      <c r="AA421" s="247">
        <v>3096</v>
      </c>
      <c r="AB421" s="247" t="s">
        <v>1069</v>
      </c>
      <c r="AC421" s="247" t="s">
        <v>516</v>
      </c>
      <c r="AD421" s="247" t="s">
        <v>516</v>
      </c>
      <c r="AE421" s="247" t="s">
        <v>533</v>
      </c>
      <c r="AF421" s="247">
        <v>52</v>
      </c>
      <c r="AG421" s="247" t="s">
        <v>528</v>
      </c>
      <c r="AH421" s="247">
        <v>0</v>
      </c>
      <c r="AI421" s="247">
        <v>20</v>
      </c>
      <c r="AJ421" s="247"/>
    </row>
    <row r="422" spans="20:36">
      <c r="T422" s="249"/>
      <c r="U422" s="250"/>
      <c r="AA422" s="247">
        <v>3097</v>
      </c>
      <c r="AB422" s="247" t="s">
        <v>1070</v>
      </c>
      <c r="AC422" s="247" t="s">
        <v>516</v>
      </c>
      <c r="AD422" s="247" t="s">
        <v>516</v>
      </c>
      <c r="AE422" s="247" t="s">
        <v>533</v>
      </c>
      <c r="AF422" s="247">
        <v>75</v>
      </c>
      <c r="AG422" s="247" t="s">
        <v>528</v>
      </c>
      <c r="AH422" s="247">
        <v>0</v>
      </c>
      <c r="AI422" s="247">
        <v>20</v>
      </c>
      <c r="AJ422" s="247"/>
    </row>
    <row r="423" spans="20:36">
      <c r="T423" s="251"/>
      <c r="U423" s="247"/>
      <c r="AA423" s="247">
        <v>3110</v>
      </c>
      <c r="AB423" s="247" t="s">
        <v>1071</v>
      </c>
      <c r="AC423" s="247" t="s">
        <v>1072</v>
      </c>
      <c r="AD423" s="247" t="s">
        <v>1073</v>
      </c>
      <c r="AE423" s="247" t="s">
        <v>533</v>
      </c>
      <c r="AF423" s="247">
        <v>75</v>
      </c>
      <c r="AG423" s="247" t="s">
        <v>528</v>
      </c>
      <c r="AH423" s="247">
        <v>20</v>
      </c>
      <c r="AI423" s="247">
        <v>20</v>
      </c>
      <c r="AJ423" s="247"/>
    </row>
    <row r="424" spans="20:36">
      <c r="AA424" s="247">
        <v>3120</v>
      </c>
      <c r="AB424" s="247" t="s">
        <v>1074</v>
      </c>
      <c r="AC424" s="247" t="s">
        <v>1075</v>
      </c>
      <c r="AD424" s="247" t="s">
        <v>1076</v>
      </c>
      <c r="AE424" s="247" t="s">
        <v>533</v>
      </c>
      <c r="AF424" s="247">
        <v>75</v>
      </c>
      <c r="AG424" s="247"/>
      <c r="AH424" s="247">
        <v>10</v>
      </c>
      <c r="AI424" s="247">
        <v>14</v>
      </c>
      <c r="AJ424" s="247"/>
    </row>
    <row r="425" spans="20:36">
      <c r="AA425" s="247">
        <v>3121</v>
      </c>
      <c r="AB425" s="247" t="s">
        <v>1077</v>
      </c>
      <c r="AC425" s="247" t="s">
        <v>516</v>
      </c>
      <c r="AD425" s="247" t="s">
        <v>516</v>
      </c>
      <c r="AE425" s="247" t="s">
        <v>533</v>
      </c>
      <c r="AF425" s="247">
        <v>75</v>
      </c>
      <c r="AG425" s="247"/>
      <c r="AH425" s="247">
        <v>10</v>
      </c>
      <c r="AI425" s="247">
        <v>14</v>
      </c>
      <c r="AJ425" s="247"/>
    </row>
    <row r="426" spans="20:36">
      <c r="AA426" s="247">
        <v>3125</v>
      </c>
      <c r="AB426" s="247" t="s">
        <v>1078</v>
      </c>
      <c r="AC426" s="247" t="s">
        <v>1079</v>
      </c>
      <c r="AD426" s="247" t="s">
        <v>1080</v>
      </c>
      <c r="AE426" s="247" t="s">
        <v>533</v>
      </c>
      <c r="AF426" s="247">
        <v>52</v>
      </c>
      <c r="AG426" s="247"/>
      <c r="AH426" s="247">
        <v>10</v>
      </c>
      <c r="AI426" s="247">
        <v>24</v>
      </c>
      <c r="AJ426" s="247"/>
    </row>
    <row r="427" spans="20:36">
      <c r="AA427" s="247">
        <v>3130</v>
      </c>
      <c r="AB427" s="247" t="s">
        <v>1081</v>
      </c>
      <c r="AC427" s="247" t="s">
        <v>1082</v>
      </c>
      <c r="AD427" s="247" t="s">
        <v>1083</v>
      </c>
      <c r="AE427" s="247" t="s">
        <v>533</v>
      </c>
      <c r="AF427" s="247">
        <v>52</v>
      </c>
      <c r="AG427" s="247"/>
      <c r="AH427" s="247">
        <v>10</v>
      </c>
      <c r="AI427" s="247">
        <v>20</v>
      </c>
      <c r="AJ427" s="247"/>
    </row>
    <row r="428" spans="20:36">
      <c r="AA428" s="247">
        <v>3140</v>
      </c>
      <c r="AB428" s="247" t="s">
        <v>1084</v>
      </c>
      <c r="AC428" s="247" t="s">
        <v>1085</v>
      </c>
      <c r="AD428" s="247" t="s">
        <v>1086</v>
      </c>
      <c r="AE428" s="247" t="s">
        <v>533</v>
      </c>
      <c r="AF428" s="247">
        <v>52</v>
      </c>
      <c r="AG428" s="247"/>
      <c r="AH428" s="247">
        <v>10</v>
      </c>
      <c r="AI428" s="247">
        <v>20</v>
      </c>
      <c r="AJ428" s="247"/>
    </row>
    <row r="429" spans="20:36">
      <c r="AA429" s="247">
        <v>3155</v>
      </c>
      <c r="AB429" s="247" t="s">
        <v>1087</v>
      </c>
      <c r="AC429" s="247" t="s">
        <v>516</v>
      </c>
      <c r="AD429" s="247" t="s">
        <v>516</v>
      </c>
      <c r="AE429" s="247" t="s">
        <v>507</v>
      </c>
      <c r="AF429" s="247">
        <v>0</v>
      </c>
      <c r="AG429" s="247"/>
      <c r="AH429" s="247">
        <v>20</v>
      </c>
      <c r="AI429" s="247">
        <v>27</v>
      </c>
      <c r="AJ429" s="247"/>
    </row>
    <row r="430" spans="20:36">
      <c r="AA430" s="247">
        <v>3160</v>
      </c>
      <c r="AB430" s="247" t="s">
        <v>1088</v>
      </c>
      <c r="AC430" s="247" t="s">
        <v>1089</v>
      </c>
      <c r="AD430" s="247" t="s">
        <v>1088</v>
      </c>
      <c r="AE430" s="247" t="s">
        <v>543</v>
      </c>
      <c r="AF430" s="247">
        <v>0</v>
      </c>
      <c r="AG430" s="247"/>
      <c r="AH430" s="247">
        <v>20</v>
      </c>
      <c r="AI430" s="247">
        <v>27</v>
      </c>
      <c r="AJ430" s="247"/>
    </row>
    <row r="431" spans="20:36">
      <c r="AA431" s="247">
        <v>3161</v>
      </c>
      <c r="AB431" s="247" t="s">
        <v>1090</v>
      </c>
      <c r="AC431" s="247" t="s">
        <v>516</v>
      </c>
      <c r="AD431" s="247" t="s">
        <v>516</v>
      </c>
      <c r="AE431" s="247" t="s">
        <v>507</v>
      </c>
      <c r="AF431" s="247">
        <v>0</v>
      </c>
      <c r="AG431" s="247"/>
      <c r="AH431" s="247">
        <v>20</v>
      </c>
      <c r="AI431" s="247">
        <v>27</v>
      </c>
      <c r="AJ431" s="247"/>
    </row>
    <row r="432" spans="20:36">
      <c r="AA432" s="247">
        <v>3162</v>
      </c>
      <c r="AB432" s="247" t="s">
        <v>1091</v>
      </c>
      <c r="AC432" s="247" t="s">
        <v>1092</v>
      </c>
      <c r="AD432" s="247" t="s">
        <v>1091</v>
      </c>
      <c r="AE432" s="247" t="s">
        <v>533</v>
      </c>
      <c r="AF432" s="247">
        <v>52</v>
      </c>
      <c r="AG432" s="247"/>
      <c r="AH432" s="247">
        <v>20</v>
      </c>
      <c r="AI432" s="247">
        <v>24</v>
      </c>
      <c r="AJ432" s="247"/>
    </row>
    <row r="433" spans="27:36">
      <c r="AA433" s="247">
        <v>3164</v>
      </c>
      <c r="AB433" s="247" t="s">
        <v>1093</v>
      </c>
      <c r="AC433" s="247" t="s">
        <v>516</v>
      </c>
      <c r="AD433" s="247" t="s">
        <v>516</v>
      </c>
      <c r="AE433" s="247" t="s">
        <v>507</v>
      </c>
      <c r="AF433" s="247">
        <v>0</v>
      </c>
      <c r="AG433" s="247"/>
      <c r="AH433" s="247">
        <v>20</v>
      </c>
      <c r="AI433" s="247">
        <v>27</v>
      </c>
      <c r="AJ433" s="247"/>
    </row>
    <row r="434" spans="27:36">
      <c r="AA434" s="247">
        <v>3200</v>
      </c>
      <c r="AB434" s="247" t="s">
        <v>1094</v>
      </c>
      <c r="AC434" s="247" t="s">
        <v>1095</v>
      </c>
      <c r="AD434" s="247" t="s">
        <v>1096</v>
      </c>
      <c r="AE434" s="247" t="s">
        <v>507</v>
      </c>
      <c r="AF434" s="247">
        <v>52</v>
      </c>
      <c r="AG434" s="247"/>
      <c r="AH434" s="247">
        <v>20</v>
      </c>
      <c r="AI434" s="247">
        <v>6</v>
      </c>
      <c r="AJ434" s="247"/>
    </row>
    <row r="435" spans="27:36">
      <c r="AA435" s="247">
        <v>3201</v>
      </c>
      <c r="AB435" s="247" t="s">
        <v>1097</v>
      </c>
      <c r="AC435" s="247" t="s">
        <v>516</v>
      </c>
      <c r="AD435" s="247" t="s">
        <v>516</v>
      </c>
      <c r="AE435" s="247" t="s">
        <v>507</v>
      </c>
      <c r="AF435" s="247">
        <v>0</v>
      </c>
      <c r="AG435" s="247"/>
      <c r="AH435" s="247">
        <v>20</v>
      </c>
      <c r="AI435" s="247">
        <v>28</v>
      </c>
      <c r="AJ435" s="247"/>
    </row>
    <row r="436" spans="27:36">
      <c r="AA436" s="247">
        <v>3202</v>
      </c>
      <c r="AB436" s="247" t="s">
        <v>1098</v>
      </c>
      <c r="AC436" s="247" t="s">
        <v>516</v>
      </c>
      <c r="AD436" s="247" t="s">
        <v>516</v>
      </c>
      <c r="AE436" s="247" t="s">
        <v>533</v>
      </c>
      <c r="AF436" s="247">
        <v>52</v>
      </c>
      <c r="AG436" s="247" t="s">
        <v>528</v>
      </c>
      <c r="AH436" s="247">
        <v>0</v>
      </c>
      <c r="AI436" s="247">
        <v>6</v>
      </c>
      <c r="AJ436" s="247"/>
    </row>
    <row r="437" spans="27:36">
      <c r="AA437" s="247">
        <v>3210</v>
      </c>
      <c r="AB437" s="247" t="s">
        <v>1099</v>
      </c>
      <c r="AC437" s="247" t="s">
        <v>1100</v>
      </c>
      <c r="AD437" s="247" t="s">
        <v>1101</v>
      </c>
      <c r="AE437" s="247" t="s">
        <v>533</v>
      </c>
      <c r="AF437" s="247">
        <v>75</v>
      </c>
      <c r="AG437" s="247"/>
      <c r="AH437" s="247">
        <v>10</v>
      </c>
      <c r="AI437" s="247">
        <v>20</v>
      </c>
      <c r="AJ437" s="247"/>
    </row>
    <row r="438" spans="27:36">
      <c r="AA438" s="247">
        <v>3211</v>
      </c>
      <c r="AB438" s="247" t="s">
        <v>1102</v>
      </c>
      <c r="AC438" s="247" t="s">
        <v>516</v>
      </c>
      <c r="AD438" s="247" t="s">
        <v>516</v>
      </c>
      <c r="AE438" s="247" t="s">
        <v>533</v>
      </c>
      <c r="AF438" s="247">
        <v>75</v>
      </c>
      <c r="AG438" s="247"/>
      <c r="AH438" s="247">
        <v>10</v>
      </c>
      <c r="AI438" s="247">
        <v>20</v>
      </c>
      <c r="AJ438" s="247"/>
    </row>
    <row r="439" spans="27:36">
      <c r="AA439" s="247">
        <v>3220</v>
      </c>
      <c r="AB439" s="247" t="s">
        <v>1103</v>
      </c>
      <c r="AC439" s="247" t="s">
        <v>1104</v>
      </c>
      <c r="AD439" s="247" t="s">
        <v>1105</v>
      </c>
      <c r="AE439" s="247" t="s">
        <v>543</v>
      </c>
      <c r="AF439" s="247">
        <v>0</v>
      </c>
      <c r="AG439" s="247"/>
      <c r="AH439" s="247">
        <v>20</v>
      </c>
      <c r="AI439" s="247">
        <v>27</v>
      </c>
      <c r="AJ439" s="247"/>
    </row>
    <row r="440" spans="27:36">
      <c r="AA440" s="247">
        <v>3222</v>
      </c>
      <c r="AB440" s="247" t="s">
        <v>1106</v>
      </c>
      <c r="AC440" s="247" t="s">
        <v>516</v>
      </c>
      <c r="AD440" s="247" t="s">
        <v>516</v>
      </c>
      <c r="AE440" s="247" t="s">
        <v>533</v>
      </c>
      <c r="AF440" s="247">
        <v>52</v>
      </c>
      <c r="AG440" s="247" t="s">
        <v>528</v>
      </c>
      <c r="AH440" s="247">
        <v>20</v>
      </c>
      <c r="AI440" s="247">
        <v>20</v>
      </c>
      <c r="AJ440" s="247"/>
    </row>
    <row r="441" spans="27:36">
      <c r="AA441" s="247">
        <v>3225</v>
      </c>
      <c r="AB441" s="247" t="s">
        <v>1107</v>
      </c>
      <c r="AC441" s="247" t="s">
        <v>516</v>
      </c>
      <c r="AD441" s="247" t="s">
        <v>516</v>
      </c>
      <c r="AE441" s="247" t="s">
        <v>543</v>
      </c>
      <c r="AF441" s="247">
        <v>0</v>
      </c>
      <c r="AG441" s="247"/>
      <c r="AH441" s="247">
        <v>20</v>
      </c>
      <c r="AI441" s="247">
        <v>27</v>
      </c>
      <c r="AJ441" s="247"/>
    </row>
    <row r="442" spans="27:36">
      <c r="AA442" s="247">
        <v>3227</v>
      </c>
      <c r="AB442" s="247" t="s">
        <v>1108</v>
      </c>
      <c r="AC442" s="247" t="s">
        <v>516</v>
      </c>
      <c r="AD442" s="247" t="s">
        <v>516</v>
      </c>
      <c r="AE442" s="247" t="s">
        <v>543</v>
      </c>
      <c r="AF442" s="247">
        <v>0</v>
      </c>
      <c r="AG442" s="247" t="s">
        <v>528</v>
      </c>
      <c r="AH442" s="247">
        <v>0</v>
      </c>
      <c r="AI442" s="247">
        <v>27</v>
      </c>
      <c r="AJ442" s="247"/>
    </row>
    <row r="443" spans="27:36">
      <c r="AA443" s="247">
        <v>3250</v>
      </c>
      <c r="AB443" s="247" t="s">
        <v>1109</v>
      </c>
      <c r="AC443" s="247" t="s">
        <v>1110</v>
      </c>
      <c r="AD443" s="247" t="s">
        <v>1109</v>
      </c>
      <c r="AE443" s="247" t="s">
        <v>533</v>
      </c>
      <c r="AF443" s="247">
        <v>52</v>
      </c>
      <c r="AG443" s="247"/>
      <c r="AH443" s="247">
        <v>20</v>
      </c>
      <c r="AI443" s="247">
        <v>20</v>
      </c>
      <c r="AJ443" s="247"/>
    </row>
    <row r="444" spans="27:36">
      <c r="AA444" s="247">
        <v>3255</v>
      </c>
      <c r="AB444" s="247" t="s">
        <v>1111</v>
      </c>
      <c r="AC444" s="247" t="s">
        <v>516</v>
      </c>
      <c r="AD444" s="247" t="s">
        <v>516</v>
      </c>
      <c r="AE444" s="247" t="s">
        <v>543</v>
      </c>
      <c r="AF444" s="247">
        <v>0</v>
      </c>
      <c r="AG444" s="247"/>
      <c r="AH444" s="247">
        <v>20</v>
      </c>
      <c r="AI444" s="247">
        <v>27</v>
      </c>
      <c r="AJ444" s="247"/>
    </row>
    <row r="445" spans="27:36">
      <c r="AA445" s="247">
        <v>3260</v>
      </c>
      <c r="AB445" s="247" t="s">
        <v>1112</v>
      </c>
      <c r="AC445" s="247" t="s">
        <v>516</v>
      </c>
      <c r="AD445" s="247" t="s">
        <v>516</v>
      </c>
      <c r="AE445" s="247" t="s">
        <v>543</v>
      </c>
      <c r="AF445" s="247">
        <v>0</v>
      </c>
      <c r="AG445" s="247"/>
      <c r="AH445" s="247">
        <v>20</v>
      </c>
      <c r="AI445" s="247">
        <v>27</v>
      </c>
      <c r="AJ445" s="247"/>
    </row>
    <row r="446" spans="27:36">
      <c r="AA446" s="247">
        <v>3265</v>
      </c>
      <c r="AB446" s="247" t="s">
        <v>1113</v>
      </c>
      <c r="AC446" s="247" t="s">
        <v>1114</v>
      </c>
      <c r="AD446" s="247" t="s">
        <v>1115</v>
      </c>
      <c r="AE446" s="247" t="s">
        <v>543</v>
      </c>
      <c r="AF446" s="247">
        <v>0</v>
      </c>
      <c r="AG446" s="247"/>
      <c r="AH446" s="247">
        <v>20</v>
      </c>
      <c r="AI446" s="247">
        <v>27</v>
      </c>
      <c r="AJ446" s="247"/>
    </row>
    <row r="447" spans="27:36">
      <c r="AA447" s="247">
        <v>3267</v>
      </c>
      <c r="AB447" s="247" t="s">
        <v>1116</v>
      </c>
      <c r="AC447" s="247" t="s">
        <v>516</v>
      </c>
      <c r="AD447" s="247" t="s">
        <v>516</v>
      </c>
      <c r="AE447" s="247" t="s">
        <v>533</v>
      </c>
      <c r="AF447" s="247">
        <v>52</v>
      </c>
      <c r="AG447" s="247" t="s">
        <v>528</v>
      </c>
      <c r="AH447" s="247">
        <v>0</v>
      </c>
      <c r="AI447" s="247">
        <v>16</v>
      </c>
      <c r="AJ447" s="247"/>
    </row>
    <row r="448" spans="27:36">
      <c r="AA448" s="247">
        <v>3270</v>
      </c>
      <c r="AB448" s="247" t="s">
        <v>1117</v>
      </c>
      <c r="AC448" s="247" t="s">
        <v>516</v>
      </c>
      <c r="AD448" s="247" t="s">
        <v>516</v>
      </c>
      <c r="AE448" s="247" t="s">
        <v>507</v>
      </c>
      <c r="AF448" s="247">
        <v>0</v>
      </c>
      <c r="AG448" s="247"/>
      <c r="AH448" s="247">
        <v>20</v>
      </c>
      <c r="AI448" s="247">
        <v>27</v>
      </c>
      <c r="AJ448" s="247"/>
    </row>
    <row r="449" spans="27:36">
      <c r="AA449" s="247">
        <v>3271</v>
      </c>
      <c r="AB449" s="247" t="s">
        <v>1118</v>
      </c>
      <c r="AC449" s="247" t="s">
        <v>516</v>
      </c>
      <c r="AD449" s="247" t="s">
        <v>516</v>
      </c>
      <c r="AE449" s="247" t="s">
        <v>533</v>
      </c>
      <c r="AF449" s="247">
        <v>75</v>
      </c>
      <c r="AG449" s="247"/>
      <c r="AH449" s="247">
        <v>20</v>
      </c>
      <c r="AI449" s="247">
        <v>15</v>
      </c>
      <c r="AJ449" s="247"/>
    </row>
    <row r="450" spans="27:36">
      <c r="AA450" s="247">
        <v>3280</v>
      </c>
      <c r="AB450" s="247" t="s">
        <v>1119</v>
      </c>
      <c r="AC450" s="247" t="s">
        <v>516</v>
      </c>
      <c r="AD450" s="247" t="s">
        <v>516</v>
      </c>
      <c r="AE450" s="247" t="s">
        <v>507</v>
      </c>
      <c r="AF450" s="247">
        <v>0</v>
      </c>
      <c r="AG450" s="247"/>
      <c r="AH450" s="247">
        <v>20</v>
      </c>
      <c r="AI450" s="247">
        <v>28</v>
      </c>
      <c r="AJ450" s="247"/>
    </row>
    <row r="451" spans="27:36">
      <c r="AA451" s="247">
        <v>3281</v>
      </c>
      <c r="AB451" s="247" t="s">
        <v>1120</v>
      </c>
      <c r="AC451" s="247" t="s">
        <v>516</v>
      </c>
      <c r="AD451" s="247" t="s">
        <v>516</v>
      </c>
      <c r="AE451" s="247" t="s">
        <v>507</v>
      </c>
      <c r="AF451" s="247">
        <v>60</v>
      </c>
      <c r="AG451" s="247"/>
      <c r="AH451" s="247">
        <v>0</v>
      </c>
      <c r="AI451" s="247">
        <v>9</v>
      </c>
      <c r="AJ451" s="247"/>
    </row>
    <row r="452" spans="27:36">
      <c r="AA452" s="247">
        <v>3350</v>
      </c>
      <c r="AB452" s="247" t="s">
        <v>1121</v>
      </c>
      <c r="AC452" s="247" t="s">
        <v>516</v>
      </c>
      <c r="AD452" s="247" t="s">
        <v>516</v>
      </c>
      <c r="AE452" s="247" t="s">
        <v>543</v>
      </c>
      <c r="AF452" s="247">
        <v>0</v>
      </c>
      <c r="AG452" s="247"/>
      <c r="AH452" s="247">
        <v>20</v>
      </c>
      <c r="AI452" s="247">
        <v>27</v>
      </c>
      <c r="AJ452" s="247"/>
    </row>
    <row r="453" spans="27:36">
      <c r="AA453" s="247">
        <v>3351</v>
      </c>
      <c r="AB453" s="247" t="s">
        <v>1122</v>
      </c>
      <c r="AC453" s="247" t="s">
        <v>516</v>
      </c>
      <c r="AD453" s="247" t="s">
        <v>516</v>
      </c>
      <c r="AE453" s="247" t="s">
        <v>543</v>
      </c>
      <c r="AF453" s="247">
        <v>52</v>
      </c>
      <c r="AG453" s="247" t="s">
        <v>528</v>
      </c>
      <c r="AH453" s="247">
        <v>0</v>
      </c>
      <c r="AI453" s="247">
        <v>23</v>
      </c>
      <c r="AJ453" s="247"/>
    </row>
    <row r="454" spans="27:36">
      <c r="AA454" s="247">
        <v>3355</v>
      </c>
      <c r="AB454" s="247" t="s">
        <v>1123</v>
      </c>
      <c r="AC454" s="247" t="s">
        <v>516</v>
      </c>
      <c r="AD454" s="247" t="s">
        <v>516</v>
      </c>
      <c r="AE454" s="247" t="s">
        <v>543</v>
      </c>
      <c r="AF454" s="247">
        <v>0</v>
      </c>
      <c r="AG454" s="247"/>
      <c r="AH454" s="247">
        <v>20</v>
      </c>
      <c r="AI454" s="247">
        <v>27</v>
      </c>
      <c r="AJ454" s="247"/>
    </row>
    <row r="455" spans="27:36">
      <c r="AA455" s="247">
        <v>3356</v>
      </c>
      <c r="AB455" s="247" t="s">
        <v>1124</v>
      </c>
      <c r="AC455" s="247" t="s">
        <v>516</v>
      </c>
      <c r="AD455" s="247" t="s">
        <v>516</v>
      </c>
      <c r="AE455" s="247" t="s">
        <v>543</v>
      </c>
      <c r="AF455" s="247">
        <v>0</v>
      </c>
      <c r="AG455" s="247"/>
      <c r="AH455" s="247">
        <v>20</v>
      </c>
      <c r="AI455" s="247">
        <v>27</v>
      </c>
      <c r="AJ455" s="247"/>
    </row>
    <row r="456" spans="27:36">
      <c r="AA456" s="247">
        <v>3357</v>
      </c>
      <c r="AB456" s="247" t="s">
        <v>1125</v>
      </c>
      <c r="AC456" s="247" t="s">
        <v>516</v>
      </c>
      <c r="AD456" s="247" t="s">
        <v>516</v>
      </c>
      <c r="AE456" s="247" t="s">
        <v>533</v>
      </c>
      <c r="AF456" s="247">
        <v>52</v>
      </c>
      <c r="AG456" s="247" t="s">
        <v>528</v>
      </c>
      <c r="AH456" s="247">
        <v>0</v>
      </c>
      <c r="AI456" s="247">
        <v>23</v>
      </c>
      <c r="AJ456" s="247"/>
    </row>
    <row r="457" spans="27:36">
      <c r="AA457" s="247">
        <v>3358</v>
      </c>
      <c r="AB457" s="247" t="s">
        <v>1126</v>
      </c>
      <c r="AC457" s="247" t="s">
        <v>516</v>
      </c>
      <c r="AD457" s="247" t="s">
        <v>516</v>
      </c>
      <c r="AE457" s="247" t="s">
        <v>543</v>
      </c>
      <c r="AF457" s="247">
        <v>0</v>
      </c>
      <c r="AG457" s="247"/>
      <c r="AH457" s="247">
        <v>20</v>
      </c>
      <c r="AI457" s="247">
        <v>27</v>
      </c>
      <c r="AJ457" s="247"/>
    </row>
    <row r="458" spans="27:36">
      <c r="AA458" s="247">
        <v>3359</v>
      </c>
      <c r="AB458" s="247" t="s">
        <v>1127</v>
      </c>
      <c r="AC458" s="247" t="s">
        <v>516</v>
      </c>
      <c r="AD458" s="247" t="s">
        <v>516</v>
      </c>
      <c r="AE458" s="247" t="s">
        <v>533</v>
      </c>
      <c r="AF458" s="247">
        <v>52</v>
      </c>
      <c r="AG458" s="247" t="s">
        <v>528</v>
      </c>
      <c r="AH458" s="247">
        <v>0</v>
      </c>
      <c r="AI458" s="247">
        <v>23</v>
      </c>
      <c r="AJ458" s="247"/>
    </row>
    <row r="459" spans="27:36">
      <c r="AA459" s="247">
        <v>3360</v>
      </c>
      <c r="AB459" s="247" t="s">
        <v>1128</v>
      </c>
      <c r="AC459" s="247" t="s">
        <v>516</v>
      </c>
      <c r="AD459" s="247" t="s">
        <v>516</v>
      </c>
      <c r="AE459" s="247" t="s">
        <v>543</v>
      </c>
      <c r="AF459" s="247">
        <v>0</v>
      </c>
      <c r="AG459" s="247" t="s">
        <v>528</v>
      </c>
      <c r="AH459" s="247">
        <v>20</v>
      </c>
      <c r="AI459" s="247">
        <v>27</v>
      </c>
      <c r="AJ459" s="247"/>
    </row>
    <row r="460" spans="27:36">
      <c r="AA460" s="247">
        <v>3365</v>
      </c>
      <c r="AB460" s="247" t="s">
        <v>1129</v>
      </c>
      <c r="AC460" s="247" t="s">
        <v>516</v>
      </c>
      <c r="AD460" s="247" t="s">
        <v>516</v>
      </c>
      <c r="AE460" s="247" t="s">
        <v>543</v>
      </c>
      <c r="AF460" s="247">
        <v>0</v>
      </c>
      <c r="AG460" s="247"/>
      <c r="AH460" s="247">
        <v>20</v>
      </c>
      <c r="AI460" s="247">
        <v>27</v>
      </c>
      <c r="AJ460" s="247"/>
    </row>
    <row r="461" spans="27:36">
      <c r="AA461" s="247">
        <v>3366</v>
      </c>
      <c r="AB461" s="247" t="s">
        <v>1130</v>
      </c>
      <c r="AC461" s="247" t="s">
        <v>516</v>
      </c>
      <c r="AD461" s="247" t="s">
        <v>516</v>
      </c>
      <c r="AE461" s="247" t="s">
        <v>543</v>
      </c>
      <c r="AF461" s="247">
        <v>0</v>
      </c>
      <c r="AG461" s="247"/>
      <c r="AH461" s="247">
        <v>20</v>
      </c>
      <c r="AI461" s="247">
        <v>27</v>
      </c>
      <c r="AJ461" s="247"/>
    </row>
    <row r="462" spans="27:36">
      <c r="AA462" s="247">
        <v>3367</v>
      </c>
      <c r="AB462" s="247" t="s">
        <v>1131</v>
      </c>
      <c r="AC462" s="247" t="s">
        <v>516</v>
      </c>
      <c r="AD462" s="247" t="s">
        <v>516</v>
      </c>
      <c r="AE462" s="247" t="s">
        <v>543</v>
      </c>
      <c r="AF462" s="247">
        <v>0</v>
      </c>
      <c r="AG462" s="247"/>
      <c r="AH462" s="247">
        <v>20</v>
      </c>
      <c r="AI462" s="247">
        <v>27</v>
      </c>
      <c r="AJ462" s="247"/>
    </row>
    <row r="463" spans="27:36">
      <c r="AA463" s="247">
        <v>3368</v>
      </c>
      <c r="AB463" s="247" t="s">
        <v>1132</v>
      </c>
      <c r="AC463" s="247" t="s">
        <v>516</v>
      </c>
      <c r="AD463" s="247" t="s">
        <v>516</v>
      </c>
      <c r="AE463" s="247" t="s">
        <v>543</v>
      </c>
      <c r="AF463" s="247">
        <v>0</v>
      </c>
      <c r="AG463" s="247"/>
      <c r="AH463" s="247">
        <v>20</v>
      </c>
      <c r="AI463" s="247">
        <v>27</v>
      </c>
      <c r="AJ463" s="247"/>
    </row>
    <row r="464" spans="27:36">
      <c r="AA464" s="247">
        <v>3370</v>
      </c>
      <c r="AB464" s="247" t="s">
        <v>1133</v>
      </c>
      <c r="AC464" s="247" t="s">
        <v>516</v>
      </c>
      <c r="AD464" s="247" t="s">
        <v>516</v>
      </c>
      <c r="AE464" s="247" t="s">
        <v>543</v>
      </c>
      <c r="AF464" s="247">
        <v>0</v>
      </c>
      <c r="AG464" s="247"/>
      <c r="AH464" s="247">
        <v>20</v>
      </c>
      <c r="AI464" s="247">
        <v>27</v>
      </c>
      <c r="AJ464" s="247"/>
    </row>
    <row r="465" spans="27:36">
      <c r="AA465" s="247">
        <v>3371</v>
      </c>
      <c r="AB465" s="247" t="s">
        <v>1134</v>
      </c>
      <c r="AC465" s="247" t="s">
        <v>516</v>
      </c>
      <c r="AD465" s="247" t="s">
        <v>516</v>
      </c>
      <c r="AE465" s="247" t="s">
        <v>543</v>
      </c>
      <c r="AF465" s="247">
        <v>0</v>
      </c>
      <c r="AG465" s="247" t="s">
        <v>528</v>
      </c>
      <c r="AH465" s="247">
        <v>0</v>
      </c>
      <c r="AI465" s="247">
        <v>27</v>
      </c>
      <c r="AJ465" s="247"/>
    </row>
    <row r="466" spans="27:36">
      <c r="AA466" s="247">
        <v>3372</v>
      </c>
      <c r="AB466" s="247" t="s">
        <v>1135</v>
      </c>
      <c r="AC466" s="247" t="s">
        <v>516</v>
      </c>
      <c r="AD466" s="247" t="s">
        <v>516</v>
      </c>
      <c r="AE466" s="247" t="s">
        <v>543</v>
      </c>
      <c r="AF466" s="247">
        <v>0</v>
      </c>
      <c r="AG466" s="247" t="s">
        <v>528</v>
      </c>
      <c r="AH466" s="247">
        <v>0</v>
      </c>
      <c r="AI466" s="247">
        <v>27</v>
      </c>
      <c r="AJ466" s="247"/>
    </row>
    <row r="467" spans="27:36">
      <c r="AA467" s="247">
        <v>3373</v>
      </c>
      <c r="AB467" s="247" t="s">
        <v>1136</v>
      </c>
      <c r="AC467" s="247" t="s">
        <v>516</v>
      </c>
      <c r="AD467" s="247" t="s">
        <v>516</v>
      </c>
      <c r="AE467" s="247" t="s">
        <v>543</v>
      </c>
      <c r="AF467" s="247">
        <v>0</v>
      </c>
      <c r="AG467" s="247"/>
      <c r="AH467" s="247">
        <v>20</v>
      </c>
      <c r="AI467" s="247">
        <v>27</v>
      </c>
      <c r="AJ467" s="247"/>
    </row>
    <row r="468" spans="27:36">
      <c r="AA468" s="247">
        <v>3374</v>
      </c>
      <c r="AB468" s="247" t="s">
        <v>1137</v>
      </c>
      <c r="AC468" s="247" t="s">
        <v>516</v>
      </c>
      <c r="AD468" s="247" t="s">
        <v>516</v>
      </c>
      <c r="AE468" s="247" t="s">
        <v>543</v>
      </c>
      <c r="AF468" s="247">
        <v>0</v>
      </c>
      <c r="AG468" s="247" t="s">
        <v>528</v>
      </c>
      <c r="AH468" s="247">
        <v>0</v>
      </c>
      <c r="AI468" s="247">
        <v>27</v>
      </c>
      <c r="AJ468" s="247"/>
    </row>
    <row r="469" spans="27:36">
      <c r="AA469" s="247">
        <v>3375</v>
      </c>
      <c r="AB469" s="247" t="s">
        <v>1138</v>
      </c>
      <c r="AC469" s="247" t="s">
        <v>516</v>
      </c>
      <c r="AD469" s="247" t="s">
        <v>516</v>
      </c>
      <c r="AE469" s="247" t="s">
        <v>543</v>
      </c>
      <c r="AF469" s="247">
        <v>0</v>
      </c>
      <c r="AG469" s="247"/>
      <c r="AH469" s="247">
        <v>20</v>
      </c>
      <c r="AI469" s="247">
        <v>27</v>
      </c>
      <c r="AJ469" s="247"/>
    </row>
    <row r="470" spans="27:36">
      <c r="AA470" s="247">
        <v>3376</v>
      </c>
      <c r="AB470" s="247" t="s">
        <v>1137</v>
      </c>
      <c r="AC470" s="247" t="s">
        <v>516</v>
      </c>
      <c r="AD470" s="247" t="s">
        <v>516</v>
      </c>
      <c r="AE470" s="247" t="s">
        <v>543</v>
      </c>
      <c r="AF470" s="247">
        <v>0</v>
      </c>
      <c r="AG470" s="247" t="s">
        <v>528</v>
      </c>
      <c r="AH470" s="247">
        <v>0</v>
      </c>
      <c r="AI470" s="247">
        <v>27</v>
      </c>
      <c r="AJ470" s="247"/>
    </row>
    <row r="471" spans="27:36">
      <c r="AA471" s="247">
        <v>3377</v>
      </c>
      <c r="AB471" s="247" t="s">
        <v>1139</v>
      </c>
      <c r="AC471" s="247" t="s">
        <v>516</v>
      </c>
      <c r="AD471" s="247" t="s">
        <v>516</v>
      </c>
      <c r="AE471" s="247" t="s">
        <v>543</v>
      </c>
      <c r="AF471" s="247">
        <v>0</v>
      </c>
      <c r="AG471" s="247" t="s">
        <v>528</v>
      </c>
      <c r="AH471" s="247">
        <v>20</v>
      </c>
      <c r="AI471" s="247">
        <v>27</v>
      </c>
      <c r="AJ471" s="247"/>
    </row>
    <row r="472" spans="27:36">
      <c r="AA472" s="247">
        <v>3378</v>
      </c>
      <c r="AB472" s="247" t="s">
        <v>1140</v>
      </c>
      <c r="AC472" s="247" t="s">
        <v>516</v>
      </c>
      <c r="AD472" s="247" t="s">
        <v>516</v>
      </c>
      <c r="AE472" s="247" t="s">
        <v>543</v>
      </c>
      <c r="AF472" s="247">
        <v>0</v>
      </c>
      <c r="AG472" s="247" t="s">
        <v>528</v>
      </c>
      <c r="AH472" s="247">
        <v>20</v>
      </c>
      <c r="AI472" s="247">
        <v>27</v>
      </c>
      <c r="AJ472" s="247"/>
    </row>
    <row r="473" spans="27:36">
      <c r="AA473" s="247">
        <v>3380</v>
      </c>
      <c r="AB473" s="247" t="s">
        <v>1141</v>
      </c>
      <c r="AC473" s="247" t="s">
        <v>516</v>
      </c>
      <c r="AD473" s="247" t="s">
        <v>516</v>
      </c>
      <c r="AE473" s="247" t="s">
        <v>543</v>
      </c>
      <c r="AF473" s="247">
        <v>0</v>
      </c>
      <c r="AG473" s="247"/>
      <c r="AH473" s="247">
        <v>20</v>
      </c>
      <c r="AI473" s="247">
        <v>27</v>
      </c>
      <c r="AJ473" s="247"/>
    </row>
    <row r="474" spans="27:36">
      <c r="AA474" s="247">
        <v>3381</v>
      </c>
      <c r="AB474" s="247" t="s">
        <v>1142</v>
      </c>
      <c r="AC474" s="247" t="s">
        <v>516</v>
      </c>
      <c r="AD474" s="247" t="s">
        <v>516</v>
      </c>
      <c r="AE474" s="247" t="s">
        <v>543</v>
      </c>
      <c r="AF474" s="247">
        <v>0</v>
      </c>
      <c r="AG474" s="247" t="s">
        <v>528</v>
      </c>
      <c r="AH474" s="247">
        <v>20</v>
      </c>
      <c r="AI474" s="247">
        <v>27</v>
      </c>
      <c r="AJ474" s="247"/>
    </row>
    <row r="475" spans="27:36">
      <c r="AA475" s="247">
        <v>3385</v>
      </c>
      <c r="AB475" s="247" t="s">
        <v>1143</v>
      </c>
      <c r="AC475" s="247" t="s">
        <v>516</v>
      </c>
      <c r="AD475" s="247" t="s">
        <v>516</v>
      </c>
      <c r="AE475" s="247" t="s">
        <v>543</v>
      </c>
      <c r="AF475" s="247">
        <v>0</v>
      </c>
      <c r="AG475" s="247"/>
      <c r="AH475" s="247">
        <v>0</v>
      </c>
      <c r="AI475" s="247">
        <v>27</v>
      </c>
      <c r="AJ475" s="247"/>
    </row>
    <row r="476" spans="27:36">
      <c r="AA476" s="247">
        <v>3386</v>
      </c>
      <c r="AB476" s="247" t="s">
        <v>1144</v>
      </c>
      <c r="AC476" s="247" t="s">
        <v>516</v>
      </c>
      <c r="AD476" s="247" t="s">
        <v>516</v>
      </c>
      <c r="AE476" s="247" t="s">
        <v>533</v>
      </c>
      <c r="AF476" s="247">
        <v>52</v>
      </c>
      <c r="AG476" s="247" t="s">
        <v>528</v>
      </c>
      <c r="AH476" s="247">
        <v>20</v>
      </c>
      <c r="AI476" s="247">
        <v>22</v>
      </c>
      <c r="AJ476" s="247"/>
    </row>
    <row r="477" spans="27:36">
      <c r="AA477" s="247">
        <v>3387</v>
      </c>
      <c r="AB477" s="247" t="s">
        <v>1145</v>
      </c>
      <c r="AC477" s="247" t="s">
        <v>516</v>
      </c>
      <c r="AD477" s="247" t="s">
        <v>516</v>
      </c>
      <c r="AE477" s="247" t="s">
        <v>543</v>
      </c>
      <c r="AF477" s="247">
        <v>0</v>
      </c>
      <c r="AG477" s="247" t="s">
        <v>528</v>
      </c>
      <c r="AH477" s="247">
        <v>20</v>
      </c>
      <c r="AI477" s="247">
        <v>27</v>
      </c>
      <c r="AJ477" s="247"/>
    </row>
    <row r="478" spans="27:36">
      <c r="AA478" s="247">
        <v>3390</v>
      </c>
      <c r="AB478" s="247" t="s">
        <v>1146</v>
      </c>
      <c r="AC478" s="247" t="s">
        <v>516</v>
      </c>
      <c r="AD478" s="247" t="s">
        <v>516</v>
      </c>
      <c r="AE478" s="247" t="s">
        <v>507</v>
      </c>
      <c r="AF478" s="247">
        <v>0</v>
      </c>
      <c r="AG478" s="247"/>
      <c r="AH478" s="247">
        <v>20</v>
      </c>
      <c r="AI478" s="247">
        <v>28</v>
      </c>
      <c r="AJ478" s="247"/>
    </row>
    <row r="479" spans="27:36">
      <c r="AA479" s="247">
        <v>3391</v>
      </c>
      <c r="AB479" s="247" t="s">
        <v>1147</v>
      </c>
      <c r="AC479" s="247" t="s">
        <v>516</v>
      </c>
      <c r="AD479" s="247" t="s">
        <v>516</v>
      </c>
      <c r="AE479" s="247" t="s">
        <v>507</v>
      </c>
      <c r="AF479" s="247">
        <v>0</v>
      </c>
      <c r="AG479" s="247"/>
      <c r="AH479" s="247">
        <v>20</v>
      </c>
      <c r="AI479" s="247">
        <v>28</v>
      </c>
      <c r="AJ479" s="247"/>
    </row>
    <row r="480" spans="27:36">
      <c r="AA480" s="247">
        <v>3392</v>
      </c>
      <c r="AB480" s="247" t="s">
        <v>1148</v>
      </c>
      <c r="AC480" s="247" t="s">
        <v>516</v>
      </c>
      <c r="AD480" s="247" t="s">
        <v>516</v>
      </c>
      <c r="AE480" s="247" t="s">
        <v>507</v>
      </c>
      <c r="AF480" s="247">
        <v>0</v>
      </c>
      <c r="AG480" s="247"/>
      <c r="AH480" s="247">
        <v>20</v>
      </c>
      <c r="AI480" s="247">
        <v>28</v>
      </c>
      <c r="AJ480" s="247"/>
    </row>
    <row r="481" spans="27:36">
      <c r="AA481" s="247">
        <v>3393</v>
      </c>
      <c r="AB481" s="247" t="s">
        <v>1149</v>
      </c>
      <c r="AC481" s="247" t="s">
        <v>516</v>
      </c>
      <c r="AD481" s="247" t="s">
        <v>516</v>
      </c>
      <c r="AE481" s="247" t="s">
        <v>507</v>
      </c>
      <c r="AF481" s="247">
        <v>0</v>
      </c>
      <c r="AG481" s="247"/>
      <c r="AH481" s="247">
        <v>20</v>
      </c>
      <c r="AI481" s="247">
        <v>28</v>
      </c>
      <c r="AJ481" s="247"/>
    </row>
    <row r="482" spans="27:36">
      <c r="AA482" s="247">
        <v>3395</v>
      </c>
      <c r="AB482" s="247" t="s">
        <v>1150</v>
      </c>
      <c r="AC482" s="247" t="s">
        <v>516</v>
      </c>
      <c r="AD482" s="247" t="s">
        <v>516</v>
      </c>
      <c r="AE482" s="247" t="s">
        <v>533</v>
      </c>
      <c r="AF482" s="247">
        <v>52</v>
      </c>
      <c r="AG482" s="247" t="s">
        <v>528</v>
      </c>
      <c r="AH482" s="247">
        <v>20</v>
      </c>
      <c r="AI482" s="247">
        <v>24</v>
      </c>
      <c r="AJ482" s="247"/>
    </row>
    <row r="483" spans="27:36">
      <c r="AA483" s="247">
        <v>3396</v>
      </c>
      <c r="AB483" s="247" t="s">
        <v>1151</v>
      </c>
      <c r="AC483" s="247" t="s">
        <v>516</v>
      </c>
      <c r="AD483" s="247" t="s">
        <v>516</v>
      </c>
      <c r="AE483" s="247" t="s">
        <v>543</v>
      </c>
      <c r="AF483" s="247">
        <v>0</v>
      </c>
      <c r="AG483" s="247" t="s">
        <v>528</v>
      </c>
      <c r="AH483" s="247">
        <v>20</v>
      </c>
      <c r="AI483" s="247">
        <v>27</v>
      </c>
      <c r="AJ483" s="247"/>
    </row>
    <row r="484" spans="27:36">
      <c r="AA484" s="247">
        <v>3397</v>
      </c>
      <c r="AB484" s="247" t="s">
        <v>1152</v>
      </c>
      <c r="AC484" s="247" t="s">
        <v>516</v>
      </c>
      <c r="AD484" s="247" t="s">
        <v>516</v>
      </c>
      <c r="AE484" s="247" t="s">
        <v>543</v>
      </c>
      <c r="AF484" s="247">
        <v>0</v>
      </c>
      <c r="AG484" s="247" t="s">
        <v>528</v>
      </c>
      <c r="AH484" s="247">
        <v>20</v>
      </c>
      <c r="AI484" s="247">
        <v>27</v>
      </c>
      <c r="AJ484" s="247"/>
    </row>
    <row r="485" spans="27:36">
      <c r="AA485" s="247">
        <v>3400</v>
      </c>
      <c r="AB485" s="247" t="s">
        <v>1153</v>
      </c>
      <c r="AC485" s="247" t="s">
        <v>1154</v>
      </c>
      <c r="AD485" s="247" t="s">
        <v>1155</v>
      </c>
      <c r="AE485" s="247" t="s">
        <v>543</v>
      </c>
      <c r="AF485" s="247">
        <v>0</v>
      </c>
      <c r="AG485" s="247"/>
      <c r="AH485" s="247">
        <v>0</v>
      </c>
      <c r="AI485" s="247">
        <v>27</v>
      </c>
      <c r="AJ485" s="247"/>
    </row>
    <row r="486" spans="27:36">
      <c r="AA486" s="247">
        <v>3410</v>
      </c>
      <c r="AB486" s="247" t="s">
        <v>1156</v>
      </c>
      <c r="AC486" s="247" t="s">
        <v>516</v>
      </c>
      <c r="AD486" s="247" t="s">
        <v>516</v>
      </c>
      <c r="AE486" s="247" t="s">
        <v>533</v>
      </c>
      <c r="AF486" s="247">
        <v>52</v>
      </c>
      <c r="AG486" s="247" t="s">
        <v>528</v>
      </c>
      <c r="AH486" s="247">
        <v>0</v>
      </c>
      <c r="AI486" s="247">
        <v>24</v>
      </c>
      <c r="AJ486" s="247"/>
    </row>
    <row r="487" spans="27:36">
      <c r="AA487" s="247">
        <v>3420</v>
      </c>
      <c r="AB487" s="247" t="s">
        <v>1157</v>
      </c>
      <c r="AC487" s="247" t="s">
        <v>516</v>
      </c>
      <c r="AD487" s="247" t="s">
        <v>516</v>
      </c>
      <c r="AE487" s="247" t="s">
        <v>533</v>
      </c>
      <c r="AF487" s="247">
        <v>52</v>
      </c>
      <c r="AG487" s="247" t="s">
        <v>528</v>
      </c>
      <c r="AH487" s="247">
        <v>0</v>
      </c>
      <c r="AI487" s="247">
        <v>24</v>
      </c>
      <c r="AJ487" s="247"/>
    </row>
    <row r="488" spans="27:36">
      <c r="AA488" s="247">
        <v>3430</v>
      </c>
      <c r="AB488" s="247" t="s">
        <v>1156</v>
      </c>
      <c r="AC488" s="247" t="s">
        <v>516</v>
      </c>
      <c r="AD488" s="247" t="s">
        <v>516</v>
      </c>
      <c r="AE488" s="247" t="s">
        <v>543</v>
      </c>
      <c r="AF488" s="247">
        <v>0</v>
      </c>
      <c r="AG488" s="247"/>
      <c r="AH488" s="247">
        <v>20</v>
      </c>
      <c r="AI488" s="247">
        <v>27</v>
      </c>
      <c r="AJ488" s="247"/>
    </row>
    <row r="489" spans="27:36">
      <c r="AA489" s="247">
        <v>3440</v>
      </c>
      <c r="AB489" s="247" t="s">
        <v>1158</v>
      </c>
      <c r="AC489" s="247" t="s">
        <v>516</v>
      </c>
      <c r="AD489" s="247" t="s">
        <v>516</v>
      </c>
      <c r="AE489" s="247" t="s">
        <v>543</v>
      </c>
      <c r="AF489" s="247">
        <v>0</v>
      </c>
      <c r="AG489" s="247" t="s">
        <v>528</v>
      </c>
      <c r="AH489" s="247">
        <v>20</v>
      </c>
      <c r="AI489" s="247">
        <v>27</v>
      </c>
      <c r="AJ489" s="247"/>
    </row>
    <row r="490" spans="27:36">
      <c r="AA490" s="247">
        <v>3455</v>
      </c>
      <c r="AB490" s="247" t="s">
        <v>1159</v>
      </c>
      <c r="AC490" s="247" t="s">
        <v>516</v>
      </c>
      <c r="AD490" s="247" t="s">
        <v>516</v>
      </c>
      <c r="AE490" s="247" t="s">
        <v>507</v>
      </c>
      <c r="AF490" s="247">
        <v>75</v>
      </c>
      <c r="AG490" s="247" t="s">
        <v>528</v>
      </c>
      <c r="AH490" s="247">
        <v>20</v>
      </c>
      <c r="AI490" s="247">
        <v>4</v>
      </c>
      <c r="AJ490" s="247"/>
    </row>
    <row r="491" spans="27:36">
      <c r="AA491" s="247">
        <v>3460</v>
      </c>
      <c r="AB491" s="247" t="s">
        <v>1160</v>
      </c>
      <c r="AC491" s="247" t="s">
        <v>516</v>
      </c>
      <c r="AD491" s="247" t="s">
        <v>516</v>
      </c>
      <c r="AE491" s="247" t="s">
        <v>533</v>
      </c>
      <c r="AF491" s="247">
        <v>52</v>
      </c>
      <c r="AG491" s="247" t="s">
        <v>528</v>
      </c>
      <c r="AH491" s="247">
        <v>20</v>
      </c>
      <c r="AI491" s="247">
        <v>24</v>
      </c>
      <c r="AJ491" s="247"/>
    </row>
    <row r="492" spans="27:36">
      <c r="AA492" s="247">
        <v>3461</v>
      </c>
      <c r="AB492" s="247" t="s">
        <v>1161</v>
      </c>
      <c r="AC492" s="247" t="s">
        <v>516</v>
      </c>
      <c r="AD492" s="247" t="s">
        <v>516</v>
      </c>
      <c r="AE492" s="247" t="s">
        <v>543</v>
      </c>
      <c r="AF492" s="247">
        <v>0</v>
      </c>
      <c r="AG492" s="247" t="s">
        <v>528</v>
      </c>
      <c r="AH492" s="247">
        <v>20</v>
      </c>
      <c r="AI492" s="247">
        <v>27</v>
      </c>
      <c r="AJ492" s="247"/>
    </row>
    <row r="493" spans="27:36">
      <c r="AA493" s="247">
        <v>3500</v>
      </c>
      <c r="AB493" s="247" t="s">
        <v>306</v>
      </c>
      <c r="AC493" s="247" t="s">
        <v>1162</v>
      </c>
      <c r="AD493" s="247" t="s">
        <v>1163</v>
      </c>
      <c r="AE493" s="247" t="s">
        <v>507</v>
      </c>
      <c r="AF493" s="247">
        <v>75</v>
      </c>
      <c r="AG493" s="247"/>
      <c r="AH493" s="247">
        <v>20</v>
      </c>
      <c r="AI493" s="247">
        <v>4</v>
      </c>
      <c r="AJ493" s="247"/>
    </row>
    <row r="494" spans="27:36">
      <c r="AA494" s="247">
        <v>3501</v>
      </c>
      <c r="AB494" s="247" t="s">
        <v>1164</v>
      </c>
      <c r="AC494" s="247" t="s">
        <v>516</v>
      </c>
      <c r="AD494" s="247" t="s">
        <v>516</v>
      </c>
      <c r="AE494" s="247" t="s">
        <v>507</v>
      </c>
      <c r="AF494" s="247">
        <v>75</v>
      </c>
      <c r="AG494" s="247"/>
      <c r="AH494" s="247">
        <v>20</v>
      </c>
      <c r="AI494" s="247">
        <v>4</v>
      </c>
      <c r="AJ494" s="247"/>
    </row>
    <row r="495" spans="27:36">
      <c r="AA495" s="247">
        <v>3502</v>
      </c>
      <c r="AB495" s="247" t="s">
        <v>1165</v>
      </c>
      <c r="AC495" s="247" t="s">
        <v>516</v>
      </c>
      <c r="AD495" s="247" t="s">
        <v>516</v>
      </c>
      <c r="AE495" s="247" t="s">
        <v>533</v>
      </c>
      <c r="AF495" s="247">
        <v>75</v>
      </c>
      <c r="AG495" s="247" t="s">
        <v>528</v>
      </c>
      <c r="AH495" s="247">
        <v>0</v>
      </c>
      <c r="AI495" s="247">
        <v>4</v>
      </c>
      <c r="AJ495" s="247"/>
    </row>
    <row r="496" spans="27:36">
      <c r="AA496" s="247">
        <v>3503</v>
      </c>
      <c r="AB496" s="247" t="s">
        <v>1166</v>
      </c>
      <c r="AC496" s="247" t="s">
        <v>516</v>
      </c>
      <c r="AD496" s="247" t="s">
        <v>516</v>
      </c>
      <c r="AE496" s="247" t="s">
        <v>507</v>
      </c>
      <c r="AF496" s="247">
        <v>52</v>
      </c>
      <c r="AG496" s="247"/>
      <c r="AH496" s="247">
        <v>20</v>
      </c>
      <c r="AI496" s="247">
        <v>4</v>
      </c>
      <c r="AJ496" s="247"/>
    </row>
    <row r="497" spans="27:36">
      <c r="AA497" s="247">
        <v>3530</v>
      </c>
      <c r="AB497" s="247" t="s">
        <v>1167</v>
      </c>
      <c r="AC497" s="247" t="s">
        <v>1168</v>
      </c>
      <c r="AD497" s="247" t="s">
        <v>1169</v>
      </c>
      <c r="AE497" s="247" t="s">
        <v>507</v>
      </c>
      <c r="AF497" s="247">
        <v>75</v>
      </c>
      <c r="AG497" s="247"/>
      <c r="AH497" s="247">
        <v>20</v>
      </c>
      <c r="AI497" s="247">
        <v>4</v>
      </c>
      <c r="AJ497" s="247"/>
    </row>
    <row r="498" spans="27:36">
      <c r="AA498" s="247">
        <v>3531</v>
      </c>
      <c r="AB498" s="247" t="s">
        <v>1170</v>
      </c>
      <c r="AC498" s="247" t="s">
        <v>516</v>
      </c>
      <c r="AD498" s="247" t="s">
        <v>516</v>
      </c>
      <c r="AE498" s="247" t="s">
        <v>507</v>
      </c>
      <c r="AF498" s="247">
        <v>75</v>
      </c>
      <c r="AG498" s="247"/>
      <c r="AH498" s="247">
        <v>20</v>
      </c>
      <c r="AI498" s="247">
        <v>4</v>
      </c>
      <c r="AJ498" s="247"/>
    </row>
    <row r="499" spans="27:36">
      <c r="AA499" s="247">
        <v>3532</v>
      </c>
      <c r="AB499" s="247" t="s">
        <v>1171</v>
      </c>
      <c r="AC499" s="247" t="s">
        <v>516</v>
      </c>
      <c r="AD499" s="247" t="s">
        <v>516</v>
      </c>
      <c r="AE499" s="247" t="s">
        <v>507</v>
      </c>
      <c r="AF499" s="247">
        <v>52</v>
      </c>
      <c r="AG499" s="247"/>
      <c r="AH499" s="247">
        <v>20</v>
      </c>
      <c r="AI499" s="247">
        <v>4</v>
      </c>
      <c r="AJ499" s="247"/>
    </row>
    <row r="500" spans="27:36">
      <c r="AA500" s="247">
        <v>3533</v>
      </c>
      <c r="AB500" s="247" t="s">
        <v>1172</v>
      </c>
      <c r="AC500" s="247" t="s">
        <v>516</v>
      </c>
      <c r="AD500" s="247" t="s">
        <v>516</v>
      </c>
      <c r="AE500" s="247" t="s">
        <v>507</v>
      </c>
      <c r="AF500" s="247">
        <v>52</v>
      </c>
      <c r="AG500" s="247"/>
      <c r="AH500" s="247">
        <v>20</v>
      </c>
      <c r="AI500" s="247">
        <v>4</v>
      </c>
      <c r="AJ500" s="247"/>
    </row>
    <row r="501" spans="27:36">
      <c r="AA501" s="247">
        <v>3534</v>
      </c>
      <c r="AB501" s="247" t="s">
        <v>1173</v>
      </c>
      <c r="AC501" s="247" t="s">
        <v>516</v>
      </c>
      <c r="AD501" s="247" t="s">
        <v>516</v>
      </c>
      <c r="AE501" s="247" t="s">
        <v>507</v>
      </c>
      <c r="AF501" s="247">
        <v>52</v>
      </c>
      <c r="AG501" s="247"/>
      <c r="AH501" s="247">
        <v>20</v>
      </c>
      <c r="AI501" s="247">
        <v>4</v>
      </c>
      <c r="AJ501" s="247"/>
    </row>
    <row r="502" spans="27:36">
      <c r="AA502" s="247">
        <v>3535</v>
      </c>
      <c r="AB502" s="247" t="s">
        <v>1174</v>
      </c>
      <c r="AC502" s="247" t="s">
        <v>1175</v>
      </c>
      <c r="AD502" s="247" t="s">
        <v>1176</v>
      </c>
      <c r="AE502" s="247" t="s">
        <v>507</v>
      </c>
      <c r="AF502" s="247">
        <v>75</v>
      </c>
      <c r="AG502" s="247"/>
      <c r="AH502" s="247">
        <v>20</v>
      </c>
      <c r="AI502" s="247">
        <v>4</v>
      </c>
      <c r="AJ502" s="247"/>
    </row>
    <row r="503" spans="27:36">
      <c r="AA503" s="247">
        <v>3536</v>
      </c>
      <c r="AB503" s="247" t="s">
        <v>1177</v>
      </c>
      <c r="AC503" s="247" t="s">
        <v>516</v>
      </c>
      <c r="AD503" s="247" t="s">
        <v>516</v>
      </c>
      <c r="AE503" s="247" t="s">
        <v>507</v>
      </c>
      <c r="AF503" s="247">
        <v>75</v>
      </c>
      <c r="AG503" s="247"/>
      <c r="AH503" s="247">
        <v>20</v>
      </c>
      <c r="AI503" s="247">
        <v>4</v>
      </c>
      <c r="AJ503" s="247"/>
    </row>
    <row r="504" spans="27:36">
      <c r="AA504" s="247">
        <v>3537</v>
      </c>
      <c r="AB504" s="247" t="s">
        <v>1178</v>
      </c>
      <c r="AC504" s="247" t="s">
        <v>1179</v>
      </c>
      <c r="AD504" s="247" t="s">
        <v>1180</v>
      </c>
      <c r="AE504" s="247" t="s">
        <v>507</v>
      </c>
      <c r="AF504" s="247">
        <v>0</v>
      </c>
      <c r="AG504" s="247"/>
      <c r="AH504" s="247">
        <v>20</v>
      </c>
      <c r="AI504" s="247">
        <v>27</v>
      </c>
      <c r="AJ504" s="247"/>
    </row>
    <row r="505" spans="27:36">
      <c r="AA505" s="247">
        <v>3540</v>
      </c>
      <c r="AB505" s="247" t="s">
        <v>1181</v>
      </c>
      <c r="AC505" s="247" t="s">
        <v>1182</v>
      </c>
      <c r="AD505" s="247" t="s">
        <v>1183</v>
      </c>
      <c r="AE505" s="247" t="s">
        <v>507</v>
      </c>
      <c r="AF505" s="247">
        <v>75</v>
      </c>
      <c r="AG505" s="247"/>
      <c r="AH505" s="247">
        <v>20</v>
      </c>
      <c r="AI505" s="247">
        <v>4</v>
      </c>
      <c r="AJ505" s="247"/>
    </row>
    <row r="506" spans="27:36">
      <c r="AA506" s="247">
        <v>3541</v>
      </c>
      <c r="AB506" s="247" t="s">
        <v>1184</v>
      </c>
      <c r="AC506" s="247" t="s">
        <v>516</v>
      </c>
      <c r="AD506" s="247" t="s">
        <v>516</v>
      </c>
      <c r="AE506" s="247" t="s">
        <v>507</v>
      </c>
      <c r="AF506" s="247">
        <v>75</v>
      </c>
      <c r="AG506" s="247"/>
      <c r="AH506" s="247">
        <v>20</v>
      </c>
      <c r="AI506" s="247">
        <v>4</v>
      </c>
      <c r="AJ506" s="247"/>
    </row>
    <row r="507" spans="27:36">
      <c r="AA507" s="247">
        <v>3542</v>
      </c>
      <c r="AB507" s="247" t="s">
        <v>1185</v>
      </c>
      <c r="AC507" s="247" t="s">
        <v>516</v>
      </c>
      <c r="AD507" s="247" t="s">
        <v>516</v>
      </c>
      <c r="AE507" s="247" t="s">
        <v>507</v>
      </c>
      <c r="AF507" s="247">
        <v>52</v>
      </c>
      <c r="AG507" s="247"/>
      <c r="AH507" s="247">
        <v>20</v>
      </c>
      <c r="AI507" s="247">
        <v>4</v>
      </c>
      <c r="AJ507" s="247"/>
    </row>
    <row r="508" spans="27:36">
      <c r="AA508" s="247">
        <v>3543</v>
      </c>
      <c r="AB508" s="247" t="s">
        <v>1186</v>
      </c>
      <c r="AC508" s="247" t="s">
        <v>516</v>
      </c>
      <c r="AD508" s="247" t="s">
        <v>516</v>
      </c>
      <c r="AE508" s="247" t="s">
        <v>507</v>
      </c>
      <c r="AF508" s="247">
        <v>0</v>
      </c>
      <c r="AG508" s="247"/>
      <c r="AH508" s="247">
        <v>20</v>
      </c>
      <c r="AI508" s="247">
        <v>27</v>
      </c>
      <c r="AJ508" s="247"/>
    </row>
    <row r="509" spans="27:36">
      <c r="AA509" s="247">
        <v>3544</v>
      </c>
      <c r="AB509" s="247" t="s">
        <v>1187</v>
      </c>
      <c r="AC509" s="247" t="s">
        <v>516</v>
      </c>
      <c r="AD509" s="247" t="s">
        <v>516</v>
      </c>
      <c r="AE509" s="247" t="s">
        <v>507</v>
      </c>
      <c r="AF509" s="247">
        <v>0</v>
      </c>
      <c r="AG509" s="247" t="s">
        <v>528</v>
      </c>
      <c r="AH509" s="247">
        <v>0</v>
      </c>
      <c r="AI509" s="247">
        <v>27</v>
      </c>
      <c r="AJ509" s="247"/>
    </row>
    <row r="510" spans="27:36">
      <c r="AA510" s="247">
        <v>3545</v>
      </c>
      <c r="AB510" s="247" t="s">
        <v>1188</v>
      </c>
      <c r="AC510" s="247" t="s">
        <v>1189</v>
      </c>
      <c r="AD510" s="247" t="s">
        <v>1190</v>
      </c>
      <c r="AE510" s="247" t="s">
        <v>507</v>
      </c>
      <c r="AF510" s="247">
        <v>75</v>
      </c>
      <c r="AG510" s="247"/>
      <c r="AH510" s="247">
        <v>20</v>
      </c>
      <c r="AI510" s="247">
        <v>4</v>
      </c>
      <c r="AJ510" s="247"/>
    </row>
    <row r="511" spans="27:36">
      <c r="AA511" s="247">
        <v>3546</v>
      </c>
      <c r="AB511" s="247" t="s">
        <v>1191</v>
      </c>
      <c r="AC511" s="247" t="s">
        <v>516</v>
      </c>
      <c r="AD511" s="247" t="s">
        <v>516</v>
      </c>
      <c r="AE511" s="247" t="s">
        <v>507</v>
      </c>
      <c r="AF511" s="247">
        <v>75</v>
      </c>
      <c r="AG511" s="247"/>
      <c r="AH511" s="247">
        <v>20</v>
      </c>
      <c r="AI511" s="247">
        <v>4</v>
      </c>
      <c r="AJ511" s="247"/>
    </row>
    <row r="512" spans="27:36">
      <c r="AA512" s="247">
        <v>3547</v>
      </c>
      <c r="AB512" s="247" t="s">
        <v>1192</v>
      </c>
      <c r="AC512" s="247" t="s">
        <v>1193</v>
      </c>
      <c r="AD512" s="247" t="s">
        <v>1194</v>
      </c>
      <c r="AE512" s="247" t="s">
        <v>507</v>
      </c>
      <c r="AF512" s="247">
        <v>0</v>
      </c>
      <c r="AG512" s="247"/>
      <c r="AH512" s="247">
        <v>20</v>
      </c>
      <c r="AI512" s="247">
        <v>27</v>
      </c>
      <c r="AJ512" s="247"/>
    </row>
    <row r="513" spans="27:36">
      <c r="AA513" s="247">
        <v>3550</v>
      </c>
      <c r="AB513" s="247" t="s">
        <v>1195</v>
      </c>
      <c r="AC513" s="247" t="s">
        <v>1196</v>
      </c>
      <c r="AD513" s="247" t="s">
        <v>1197</v>
      </c>
      <c r="AE513" s="247" t="s">
        <v>507</v>
      </c>
      <c r="AF513" s="247">
        <v>75</v>
      </c>
      <c r="AG513" s="247"/>
      <c r="AH513" s="247">
        <v>20</v>
      </c>
      <c r="AI513" s="247">
        <v>4</v>
      </c>
      <c r="AJ513" s="247"/>
    </row>
    <row r="514" spans="27:36">
      <c r="AA514" s="247">
        <v>3551</v>
      </c>
      <c r="AB514" s="247" t="s">
        <v>1195</v>
      </c>
      <c r="AC514" s="247" t="s">
        <v>516</v>
      </c>
      <c r="AD514" s="247" t="s">
        <v>516</v>
      </c>
      <c r="AE514" s="247" t="s">
        <v>507</v>
      </c>
      <c r="AF514" s="247">
        <v>75</v>
      </c>
      <c r="AG514" s="247"/>
      <c r="AH514" s="247">
        <v>20</v>
      </c>
      <c r="AI514" s="247">
        <v>4</v>
      </c>
      <c r="AJ514" s="247"/>
    </row>
    <row r="515" spans="27:36">
      <c r="AA515" s="247">
        <v>3555</v>
      </c>
      <c r="AB515" s="247" t="s">
        <v>1198</v>
      </c>
      <c r="AC515" s="247" t="s">
        <v>1199</v>
      </c>
      <c r="AD515" s="247" t="s">
        <v>1198</v>
      </c>
      <c r="AE515" s="247" t="s">
        <v>533</v>
      </c>
      <c r="AF515" s="247">
        <v>52</v>
      </c>
      <c r="AG515" s="247" t="s">
        <v>528</v>
      </c>
      <c r="AH515" s="247">
        <v>10</v>
      </c>
      <c r="AI515" s="247">
        <v>20</v>
      </c>
      <c r="AJ515" s="247"/>
    </row>
    <row r="516" spans="27:36">
      <c r="AA516" s="247">
        <v>3560</v>
      </c>
      <c r="AB516" s="247" t="s">
        <v>462</v>
      </c>
      <c r="AC516" s="247" t="s">
        <v>516</v>
      </c>
      <c r="AD516" s="247" t="s">
        <v>516</v>
      </c>
      <c r="AE516" s="247" t="s">
        <v>533</v>
      </c>
      <c r="AF516" s="247">
        <v>52</v>
      </c>
      <c r="AG516" s="247" t="s">
        <v>528</v>
      </c>
      <c r="AH516" s="247">
        <v>10</v>
      </c>
      <c r="AI516" s="247">
        <v>4</v>
      </c>
      <c r="AJ516" s="247"/>
    </row>
    <row r="517" spans="27:36">
      <c r="AA517" s="247">
        <v>3562</v>
      </c>
      <c r="AB517" s="247" t="s">
        <v>1200</v>
      </c>
      <c r="AC517" s="247" t="s">
        <v>516</v>
      </c>
      <c r="AD517" s="247" t="s">
        <v>516</v>
      </c>
      <c r="AE517" s="247" t="s">
        <v>507</v>
      </c>
      <c r="AF517" s="247">
        <v>52</v>
      </c>
      <c r="AG517" s="247"/>
      <c r="AH517" s="247">
        <v>20</v>
      </c>
      <c r="AI517" s="247">
        <v>4</v>
      </c>
      <c r="AJ517" s="247"/>
    </row>
    <row r="518" spans="27:36">
      <c r="AA518" s="247">
        <v>3570</v>
      </c>
      <c r="AB518" s="247" t="s">
        <v>1201</v>
      </c>
      <c r="AC518" s="247" t="s">
        <v>1202</v>
      </c>
      <c r="AD518" s="247" t="s">
        <v>1201</v>
      </c>
      <c r="AE518" s="247" t="s">
        <v>507</v>
      </c>
      <c r="AF518" s="247">
        <v>75</v>
      </c>
      <c r="AG518" s="247"/>
      <c r="AH518" s="247">
        <v>20</v>
      </c>
      <c r="AI518" s="247">
        <v>4</v>
      </c>
      <c r="AJ518" s="247"/>
    </row>
    <row r="519" spans="27:36">
      <c r="AA519" s="247">
        <v>3571</v>
      </c>
      <c r="AB519" s="247" t="s">
        <v>1203</v>
      </c>
      <c r="AC519" s="247" t="s">
        <v>516</v>
      </c>
      <c r="AD519" s="247" t="s">
        <v>516</v>
      </c>
      <c r="AE519" s="247" t="s">
        <v>507</v>
      </c>
      <c r="AF519" s="247">
        <v>75</v>
      </c>
      <c r="AG519" s="247"/>
      <c r="AH519" s="247">
        <v>20</v>
      </c>
      <c r="AI519" s="247">
        <v>4</v>
      </c>
      <c r="AJ519" s="247"/>
    </row>
    <row r="520" spans="27:36">
      <c r="AA520" s="247">
        <v>3572</v>
      </c>
      <c r="AB520" s="247" t="s">
        <v>1204</v>
      </c>
      <c r="AC520" s="247" t="s">
        <v>516</v>
      </c>
      <c r="AD520" s="247" t="s">
        <v>516</v>
      </c>
      <c r="AE520" s="247" t="s">
        <v>507</v>
      </c>
      <c r="AF520" s="247">
        <v>75</v>
      </c>
      <c r="AG520" s="247"/>
      <c r="AH520" s="247">
        <v>20</v>
      </c>
      <c r="AI520" s="247">
        <v>4</v>
      </c>
      <c r="AJ520" s="247"/>
    </row>
    <row r="521" spans="27:36">
      <c r="AA521" s="247">
        <v>3573</v>
      </c>
      <c r="AB521" s="247" t="s">
        <v>1205</v>
      </c>
      <c r="AC521" s="247" t="s">
        <v>516</v>
      </c>
      <c r="AD521" s="247" t="s">
        <v>516</v>
      </c>
      <c r="AE521" s="247" t="s">
        <v>507</v>
      </c>
      <c r="AF521" s="247">
        <v>75</v>
      </c>
      <c r="AG521" s="247"/>
      <c r="AH521" s="247">
        <v>20</v>
      </c>
      <c r="AI521" s="247">
        <v>4</v>
      </c>
      <c r="AJ521" s="247"/>
    </row>
    <row r="522" spans="27:36">
      <c r="AA522" s="247">
        <v>3574</v>
      </c>
      <c r="AB522" s="247" t="s">
        <v>1206</v>
      </c>
      <c r="AC522" s="247" t="s">
        <v>516</v>
      </c>
      <c r="AD522" s="247" t="s">
        <v>516</v>
      </c>
      <c r="AE522" s="247" t="s">
        <v>507</v>
      </c>
      <c r="AF522" s="247">
        <v>75</v>
      </c>
      <c r="AG522" s="247"/>
      <c r="AH522" s="247">
        <v>20</v>
      </c>
      <c r="AI522" s="247">
        <v>4</v>
      </c>
      <c r="AJ522" s="247"/>
    </row>
    <row r="523" spans="27:36">
      <c r="AA523" s="247">
        <v>3575</v>
      </c>
      <c r="AB523" s="247" t="s">
        <v>1207</v>
      </c>
      <c r="AC523" s="247" t="s">
        <v>516</v>
      </c>
      <c r="AD523" s="247" t="s">
        <v>516</v>
      </c>
      <c r="AE523" s="247" t="s">
        <v>507</v>
      </c>
      <c r="AF523" s="247">
        <v>75</v>
      </c>
      <c r="AG523" s="247"/>
      <c r="AH523" s="247">
        <v>20</v>
      </c>
      <c r="AI523" s="247">
        <v>4</v>
      </c>
      <c r="AJ523" s="247"/>
    </row>
    <row r="524" spans="27:36">
      <c r="AA524" s="247">
        <v>3576</v>
      </c>
      <c r="AB524" s="247" t="s">
        <v>1208</v>
      </c>
      <c r="AC524" s="247" t="s">
        <v>516</v>
      </c>
      <c r="AD524" s="247" t="s">
        <v>516</v>
      </c>
      <c r="AE524" s="247" t="s">
        <v>507</v>
      </c>
      <c r="AF524" s="247">
        <v>52</v>
      </c>
      <c r="AG524" s="247"/>
      <c r="AH524" s="247">
        <v>20</v>
      </c>
      <c r="AI524" s="247">
        <v>4</v>
      </c>
      <c r="AJ524" s="247"/>
    </row>
    <row r="525" spans="27:36">
      <c r="AA525" s="247">
        <v>3577</v>
      </c>
      <c r="AB525" s="247" t="s">
        <v>1209</v>
      </c>
      <c r="AC525" s="247" t="s">
        <v>516</v>
      </c>
      <c r="AD525" s="247" t="s">
        <v>516</v>
      </c>
      <c r="AE525" s="247" t="s">
        <v>507</v>
      </c>
      <c r="AF525" s="247">
        <v>0</v>
      </c>
      <c r="AG525" s="247"/>
      <c r="AH525" s="247">
        <v>20</v>
      </c>
      <c r="AI525" s="247">
        <v>27</v>
      </c>
      <c r="AJ525" s="247"/>
    </row>
    <row r="526" spans="27:36">
      <c r="AA526" s="247">
        <v>3581</v>
      </c>
      <c r="AB526" s="247" t="s">
        <v>1210</v>
      </c>
      <c r="AC526" s="247" t="s">
        <v>516</v>
      </c>
      <c r="AD526" s="247" t="s">
        <v>516</v>
      </c>
      <c r="AE526" s="247" t="s">
        <v>507</v>
      </c>
      <c r="AF526" s="247">
        <v>75</v>
      </c>
      <c r="AG526" s="247"/>
      <c r="AH526" s="247">
        <v>20</v>
      </c>
      <c r="AI526" s="247">
        <v>4</v>
      </c>
      <c r="AJ526" s="247"/>
    </row>
    <row r="527" spans="27:36">
      <c r="AA527" s="247">
        <v>3582</v>
      </c>
      <c r="AB527" s="247" t="s">
        <v>1211</v>
      </c>
      <c r="AC527" s="247" t="s">
        <v>516</v>
      </c>
      <c r="AD527" s="247" t="s">
        <v>516</v>
      </c>
      <c r="AE527" s="247" t="s">
        <v>507</v>
      </c>
      <c r="AF527" s="247">
        <v>75</v>
      </c>
      <c r="AG527" s="247"/>
      <c r="AH527" s="247">
        <v>20</v>
      </c>
      <c r="AI527" s="247">
        <v>4</v>
      </c>
      <c r="AJ527" s="247"/>
    </row>
    <row r="528" spans="27:36">
      <c r="AA528" s="247">
        <v>3583</v>
      </c>
      <c r="AB528" s="247" t="s">
        <v>1212</v>
      </c>
      <c r="AC528" s="247" t="s">
        <v>516</v>
      </c>
      <c r="AD528" s="247" t="s">
        <v>516</v>
      </c>
      <c r="AE528" s="247" t="s">
        <v>507</v>
      </c>
      <c r="AF528" s="247">
        <v>75</v>
      </c>
      <c r="AG528" s="247"/>
      <c r="AH528" s="247">
        <v>20</v>
      </c>
      <c r="AI528" s="247">
        <v>4</v>
      </c>
      <c r="AJ528" s="247"/>
    </row>
    <row r="529" spans="27:36">
      <c r="AA529" s="247">
        <v>3584</v>
      </c>
      <c r="AB529" s="247" t="s">
        <v>1213</v>
      </c>
      <c r="AC529" s="247" t="s">
        <v>516</v>
      </c>
      <c r="AD529" s="247" t="s">
        <v>516</v>
      </c>
      <c r="AE529" s="247" t="s">
        <v>507</v>
      </c>
      <c r="AF529" s="247">
        <v>75</v>
      </c>
      <c r="AG529" s="247"/>
      <c r="AH529" s="247">
        <v>20</v>
      </c>
      <c r="AI529" s="247">
        <v>4</v>
      </c>
      <c r="AJ529" s="247"/>
    </row>
    <row r="530" spans="27:36">
      <c r="AA530" s="247">
        <v>3585</v>
      </c>
      <c r="AB530" s="247" t="s">
        <v>1214</v>
      </c>
      <c r="AC530" s="247" t="s">
        <v>516</v>
      </c>
      <c r="AD530" s="247" t="s">
        <v>516</v>
      </c>
      <c r="AE530" s="247" t="s">
        <v>507</v>
      </c>
      <c r="AF530" s="247">
        <v>75</v>
      </c>
      <c r="AG530" s="247"/>
      <c r="AH530" s="247">
        <v>20</v>
      </c>
      <c r="AI530" s="247">
        <v>4</v>
      </c>
      <c r="AJ530" s="247"/>
    </row>
    <row r="531" spans="27:36">
      <c r="AA531" s="247">
        <v>3586</v>
      </c>
      <c r="AB531" s="247" t="s">
        <v>1215</v>
      </c>
      <c r="AC531" s="247" t="s">
        <v>516</v>
      </c>
      <c r="AD531" s="247" t="s">
        <v>516</v>
      </c>
      <c r="AE531" s="247" t="s">
        <v>507</v>
      </c>
      <c r="AF531" s="247">
        <v>0</v>
      </c>
      <c r="AG531" s="247"/>
      <c r="AH531" s="247">
        <v>20</v>
      </c>
      <c r="AI531" s="247">
        <v>27</v>
      </c>
      <c r="AJ531" s="247"/>
    </row>
    <row r="532" spans="27:36">
      <c r="AA532" s="247">
        <v>3590</v>
      </c>
      <c r="AB532" s="247" t="s">
        <v>1216</v>
      </c>
      <c r="AC532" s="247" t="s">
        <v>516</v>
      </c>
      <c r="AD532" s="247" t="s">
        <v>516</v>
      </c>
      <c r="AE532" s="247" t="s">
        <v>507</v>
      </c>
      <c r="AF532" s="247">
        <v>75</v>
      </c>
      <c r="AG532" s="247"/>
      <c r="AH532" s="247">
        <v>10</v>
      </c>
      <c r="AI532" s="247">
        <v>4</v>
      </c>
      <c r="AJ532" s="247"/>
    </row>
    <row r="533" spans="27:36">
      <c r="AA533" s="247">
        <v>3591</v>
      </c>
      <c r="AB533" s="247" t="s">
        <v>1217</v>
      </c>
      <c r="AC533" s="247" t="s">
        <v>516</v>
      </c>
      <c r="AD533" s="247" t="s">
        <v>516</v>
      </c>
      <c r="AE533" s="247" t="s">
        <v>507</v>
      </c>
      <c r="AF533" s="247">
        <v>0</v>
      </c>
      <c r="AG533" s="247"/>
      <c r="AH533" s="247">
        <v>20</v>
      </c>
      <c r="AI533" s="247">
        <v>27</v>
      </c>
      <c r="AJ533" s="247"/>
    </row>
    <row r="534" spans="27:36">
      <c r="AA534" s="247">
        <v>3592</v>
      </c>
      <c r="AB534" s="247" t="s">
        <v>1218</v>
      </c>
      <c r="AC534" s="247" t="s">
        <v>516</v>
      </c>
      <c r="AD534" s="247" t="s">
        <v>516</v>
      </c>
      <c r="AE534" s="247" t="s">
        <v>507</v>
      </c>
      <c r="AF534" s="247">
        <v>52</v>
      </c>
      <c r="AG534" s="247"/>
      <c r="AH534" s="247">
        <v>20</v>
      </c>
      <c r="AI534" s="247">
        <v>4</v>
      </c>
      <c r="AJ534" s="247"/>
    </row>
    <row r="535" spans="27:36">
      <c r="AA535" s="247">
        <v>3593</v>
      </c>
      <c r="AB535" s="247" t="s">
        <v>1219</v>
      </c>
      <c r="AC535" s="247" t="s">
        <v>516</v>
      </c>
      <c r="AD535" s="247" t="s">
        <v>516</v>
      </c>
      <c r="AE535" s="247" t="s">
        <v>507</v>
      </c>
      <c r="AF535" s="247">
        <v>52</v>
      </c>
      <c r="AG535" s="247"/>
      <c r="AH535" s="247">
        <v>20</v>
      </c>
      <c r="AI535" s="247">
        <v>4</v>
      </c>
      <c r="AJ535" s="247"/>
    </row>
    <row r="536" spans="27:36">
      <c r="AA536" s="247">
        <v>3594</v>
      </c>
      <c r="AB536" s="247" t="s">
        <v>1220</v>
      </c>
      <c r="AC536" s="247" t="s">
        <v>516</v>
      </c>
      <c r="AD536" s="247" t="s">
        <v>516</v>
      </c>
      <c r="AE536" s="247" t="s">
        <v>507</v>
      </c>
      <c r="AF536" s="247">
        <v>52</v>
      </c>
      <c r="AG536" s="247"/>
      <c r="AH536" s="247">
        <v>20</v>
      </c>
      <c r="AI536" s="247">
        <v>4</v>
      </c>
      <c r="AJ536" s="247"/>
    </row>
    <row r="537" spans="27:36">
      <c r="AA537" s="247">
        <v>3595</v>
      </c>
      <c r="AB537" s="247" t="s">
        <v>1221</v>
      </c>
      <c r="AC537" s="247" t="s">
        <v>516</v>
      </c>
      <c r="AD537" s="247" t="s">
        <v>516</v>
      </c>
      <c r="AE537" s="247" t="s">
        <v>533</v>
      </c>
      <c r="AF537" s="247">
        <v>52</v>
      </c>
      <c r="AG537" s="247"/>
      <c r="AH537" s="247">
        <v>20</v>
      </c>
      <c r="AI537" s="247">
        <v>16</v>
      </c>
      <c r="AJ537" s="247"/>
    </row>
    <row r="538" spans="27:36">
      <c r="AA538" s="247">
        <v>3630</v>
      </c>
      <c r="AB538" s="247" t="s">
        <v>1222</v>
      </c>
      <c r="AC538" s="247" t="s">
        <v>516</v>
      </c>
      <c r="AD538" s="247" t="s">
        <v>516</v>
      </c>
      <c r="AE538" s="247" t="s">
        <v>543</v>
      </c>
      <c r="AF538" s="247">
        <v>0</v>
      </c>
      <c r="AG538" s="247"/>
      <c r="AH538" s="247">
        <v>20</v>
      </c>
      <c r="AI538" s="247">
        <v>27</v>
      </c>
      <c r="AJ538" s="247"/>
    </row>
    <row r="539" spans="27:36">
      <c r="AA539" s="247">
        <v>3632</v>
      </c>
      <c r="AB539" s="247" t="s">
        <v>1223</v>
      </c>
      <c r="AC539" s="247" t="s">
        <v>516</v>
      </c>
      <c r="AD539" s="247" t="s">
        <v>516</v>
      </c>
      <c r="AE539" s="247" t="s">
        <v>533</v>
      </c>
      <c r="AF539" s="247">
        <v>52</v>
      </c>
      <c r="AG539" s="247"/>
      <c r="AH539" s="247">
        <v>20</v>
      </c>
      <c r="AI539" s="247">
        <v>4</v>
      </c>
      <c r="AJ539" s="247"/>
    </row>
    <row r="540" spans="27:36">
      <c r="AA540" s="247">
        <v>3640</v>
      </c>
      <c r="AB540" s="247" t="s">
        <v>1224</v>
      </c>
      <c r="AC540" s="247" t="s">
        <v>516</v>
      </c>
      <c r="AD540" s="247" t="s">
        <v>516</v>
      </c>
      <c r="AE540" s="247" t="s">
        <v>507</v>
      </c>
      <c r="AF540" s="247">
        <v>0</v>
      </c>
      <c r="AG540" s="247"/>
      <c r="AH540" s="247">
        <v>30</v>
      </c>
      <c r="AI540" s="247">
        <v>28</v>
      </c>
      <c r="AJ540" s="247"/>
    </row>
    <row r="541" spans="27:36">
      <c r="AA541" s="247">
        <v>3642</v>
      </c>
      <c r="AB541" s="247" t="s">
        <v>1225</v>
      </c>
      <c r="AC541" s="247" t="s">
        <v>516</v>
      </c>
      <c r="AD541" s="247" t="s">
        <v>516</v>
      </c>
      <c r="AE541" s="247" t="s">
        <v>507</v>
      </c>
      <c r="AF541" s="247">
        <v>0</v>
      </c>
      <c r="AG541" s="247"/>
      <c r="AH541" s="247">
        <v>20</v>
      </c>
      <c r="AI541" s="247">
        <v>28</v>
      </c>
      <c r="AJ541" s="247"/>
    </row>
    <row r="542" spans="27:36">
      <c r="AA542" s="247">
        <v>3750</v>
      </c>
      <c r="AB542" s="247" t="s">
        <v>1226</v>
      </c>
      <c r="AC542" s="247" t="s">
        <v>516</v>
      </c>
      <c r="AD542" s="247" t="s">
        <v>516</v>
      </c>
      <c r="AE542" s="247" t="s">
        <v>533</v>
      </c>
      <c r="AF542" s="247">
        <v>52</v>
      </c>
      <c r="AG542" s="247"/>
      <c r="AH542" s="247">
        <v>30</v>
      </c>
      <c r="AI542" s="247">
        <v>24</v>
      </c>
      <c r="AJ542" s="247"/>
    </row>
    <row r="543" spans="27:36">
      <c r="AA543" s="247">
        <v>3751</v>
      </c>
      <c r="AB543" s="247" t="s">
        <v>1227</v>
      </c>
      <c r="AC543" s="247" t="s">
        <v>516</v>
      </c>
      <c r="AD543" s="247" t="s">
        <v>516</v>
      </c>
      <c r="AE543" s="247" t="s">
        <v>507</v>
      </c>
      <c r="AF543" s="247">
        <v>52</v>
      </c>
      <c r="AG543" s="247"/>
      <c r="AH543" s="247">
        <v>20</v>
      </c>
      <c r="AI543" s="247">
        <v>28</v>
      </c>
      <c r="AJ543" s="247"/>
    </row>
    <row r="544" spans="27:36">
      <c r="AA544" s="247">
        <v>3800</v>
      </c>
      <c r="AB544" s="247" t="s">
        <v>1228</v>
      </c>
      <c r="AC544" s="247" t="s">
        <v>1229</v>
      </c>
      <c r="AD544" s="247" t="s">
        <v>1230</v>
      </c>
      <c r="AE544" s="247" t="s">
        <v>533</v>
      </c>
      <c r="AF544" s="247">
        <v>75</v>
      </c>
      <c r="AG544" s="247" t="s">
        <v>528</v>
      </c>
      <c r="AH544" s="247">
        <v>30</v>
      </c>
      <c r="AI544" s="247">
        <v>20</v>
      </c>
      <c r="AJ544" s="247"/>
    </row>
    <row r="545" spans="27:36">
      <c r="AA545" s="247">
        <v>3802</v>
      </c>
      <c r="AB545" s="247" t="s">
        <v>1231</v>
      </c>
      <c r="AC545" s="247" t="s">
        <v>516</v>
      </c>
      <c r="AD545" s="247" t="s">
        <v>516</v>
      </c>
      <c r="AE545" s="247" t="s">
        <v>507</v>
      </c>
      <c r="AF545" s="247">
        <v>75</v>
      </c>
      <c r="AG545" s="247" t="s">
        <v>528</v>
      </c>
      <c r="AH545" s="247">
        <v>20</v>
      </c>
      <c r="AI545" s="247">
        <v>9</v>
      </c>
      <c r="AJ545" s="247"/>
    </row>
    <row r="546" spans="27:36">
      <c r="AA546" s="247">
        <v>3803</v>
      </c>
      <c r="AB546" s="247" t="s">
        <v>1232</v>
      </c>
      <c r="AC546" s="247" t="s">
        <v>516</v>
      </c>
      <c r="AD546" s="247" t="s">
        <v>516</v>
      </c>
      <c r="AE546" s="247" t="s">
        <v>507</v>
      </c>
      <c r="AF546" s="247">
        <v>0</v>
      </c>
      <c r="AG546" s="247"/>
      <c r="AH546" s="247">
        <v>20</v>
      </c>
      <c r="AI546" s="247">
        <v>28</v>
      </c>
      <c r="AJ546" s="247"/>
    </row>
    <row r="547" spans="27:36">
      <c r="AA547" s="247">
        <v>3804</v>
      </c>
      <c r="AB547" s="247" t="s">
        <v>1233</v>
      </c>
      <c r="AC547" s="247" t="s">
        <v>516</v>
      </c>
      <c r="AD547" s="247" t="s">
        <v>516</v>
      </c>
      <c r="AE547" s="247" t="s">
        <v>533</v>
      </c>
      <c r="AF547" s="247">
        <v>75</v>
      </c>
      <c r="AG547" s="247" t="s">
        <v>528</v>
      </c>
      <c r="AH547" s="247">
        <v>0</v>
      </c>
      <c r="AI547" s="247">
        <v>24</v>
      </c>
      <c r="AJ547" s="247"/>
    </row>
    <row r="548" spans="27:36">
      <c r="AA548" s="247">
        <v>3805</v>
      </c>
      <c r="AB548" s="247" t="s">
        <v>1234</v>
      </c>
      <c r="AC548" s="247" t="s">
        <v>1235</v>
      </c>
      <c r="AD548" s="247" t="s">
        <v>1236</v>
      </c>
      <c r="AE548" s="247" t="s">
        <v>533</v>
      </c>
      <c r="AF548" s="247">
        <v>52</v>
      </c>
      <c r="AG548" s="247" t="s">
        <v>528</v>
      </c>
      <c r="AH548" s="247">
        <v>20</v>
      </c>
      <c r="AI548" s="247">
        <v>22</v>
      </c>
      <c r="AJ548" s="247"/>
    </row>
    <row r="549" spans="27:36">
      <c r="AA549" s="247">
        <v>3807</v>
      </c>
      <c r="AB549" s="247" t="s">
        <v>1237</v>
      </c>
      <c r="AC549" s="247" t="s">
        <v>516</v>
      </c>
      <c r="AD549" s="247" t="s">
        <v>516</v>
      </c>
      <c r="AE549" s="247" t="s">
        <v>507</v>
      </c>
      <c r="AF549" s="247">
        <v>75</v>
      </c>
      <c r="AG549" s="247" t="s">
        <v>528</v>
      </c>
      <c r="AH549" s="247">
        <v>0</v>
      </c>
      <c r="AI549" s="247">
        <v>9</v>
      </c>
      <c r="AJ549" s="247"/>
    </row>
    <row r="550" spans="27:36">
      <c r="AA550" s="247">
        <v>3809</v>
      </c>
      <c r="AB550" s="247" t="s">
        <v>1238</v>
      </c>
      <c r="AC550" s="247" t="s">
        <v>516</v>
      </c>
      <c r="AD550" s="247" t="s">
        <v>516</v>
      </c>
      <c r="AE550" s="247" t="s">
        <v>507</v>
      </c>
      <c r="AF550" s="247">
        <v>0</v>
      </c>
      <c r="AG550" s="247"/>
      <c r="AH550" s="247">
        <v>20</v>
      </c>
      <c r="AI550" s="247">
        <v>28</v>
      </c>
      <c r="AJ550" s="247"/>
    </row>
    <row r="551" spans="27:36">
      <c r="AA551" s="247">
        <v>3810</v>
      </c>
      <c r="AB551" s="247" t="s">
        <v>1239</v>
      </c>
      <c r="AC551" s="247" t="s">
        <v>1240</v>
      </c>
      <c r="AD551" s="247" t="s">
        <v>1241</v>
      </c>
      <c r="AE551" s="247" t="s">
        <v>533</v>
      </c>
      <c r="AF551" s="247">
        <v>75</v>
      </c>
      <c r="AG551" s="247" t="s">
        <v>528</v>
      </c>
      <c r="AH551" s="247">
        <v>0</v>
      </c>
      <c r="AI551" s="247">
        <v>15</v>
      </c>
      <c r="AJ551" s="247"/>
    </row>
    <row r="552" spans="27:36">
      <c r="AA552" s="247">
        <v>3812</v>
      </c>
      <c r="AB552" s="247" t="s">
        <v>1242</v>
      </c>
      <c r="AC552" s="247" t="s">
        <v>516</v>
      </c>
      <c r="AD552" s="247" t="s">
        <v>516</v>
      </c>
      <c r="AE552" s="247" t="s">
        <v>507</v>
      </c>
      <c r="AF552" s="247">
        <v>75</v>
      </c>
      <c r="AG552" s="247" t="s">
        <v>528</v>
      </c>
      <c r="AH552" s="247">
        <v>0</v>
      </c>
      <c r="AI552" s="247">
        <v>9</v>
      </c>
      <c r="AJ552" s="247"/>
    </row>
    <row r="553" spans="27:36">
      <c r="AA553" s="247">
        <v>3814</v>
      </c>
      <c r="AB553" s="247" t="s">
        <v>1243</v>
      </c>
      <c r="AC553" s="247" t="s">
        <v>516</v>
      </c>
      <c r="AD553" s="247" t="s">
        <v>516</v>
      </c>
      <c r="AE553" s="247" t="s">
        <v>507</v>
      </c>
      <c r="AF553" s="247">
        <v>75</v>
      </c>
      <c r="AG553" s="247" t="s">
        <v>528</v>
      </c>
      <c r="AH553" s="247">
        <v>0</v>
      </c>
      <c r="AI553" s="247">
        <v>9</v>
      </c>
      <c r="AJ553" s="247"/>
    </row>
    <row r="554" spans="27:36">
      <c r="AA554" s="247">
        <v>3836</v>
      </c>
      <c r="AB554" s="247" t="s">
        <v>1244</v>
      </c>
      <c r="AC554" s="247" t="s">
        <v>516</v>
      </c>
      <c r="AD554" s="247" t="s">
        <v>516</v>
      </c>
      <c r="AE554" s="247" t="s">
        <v>533</v>
      </c>
      <c r="AF554" s="247">
        <v>52</v>
      </c>
      <c r="AG554" s="247" t="s">
        <v>528</v>
      </c>
      <c r="AH554" s="247">
        <v>0</v>
      </c>
      <c r="AI554" s="247">
        <v>24</v>
      </c>
      <c r="AJ554" s="247"/>
    </row>
    <row r="555" spans="27:36">
      <c r="AA555" s="247">
        <v>3840</v>
      </c>
      <c r="AB555" s="247" t="s">
        <v>1245</v>
      </c>
      <c r="AC555" s="247" t="s">
        <v>1246</v>
      </c>
      <c r="AD555" s="247" t="s">
        <v>1247</v>
      </c>
      <c r="AE555" s="247" t="s">
        <v>533</v>
      </c>
      <c r="AF555" s="247">
        <v>52</v>
      </c>
      <c r="AG555" s="247" t="s">
        <v>528</v>
      </c>
      <c r="AH555" s="247">
        <v>0</v>
      </c>
      <c r="AI555" s="247">
        <v>24</v>
      </c>
      <c r="AJ555" s="247"/>
    </row>
    <row r="556" spans="27:36">
      <c r="AA556" s="247">
        <v>3849</v>
      </c>
      <c r="AB556" s="247" t="s">
        <v>1248</v>
      </c>
      <c r="AC556" s="247" t="s">
        <v>516</v>
      </c>
      <c r="AD556" s="247" t="s">
        <v>516</v>
      </c>
      <c r="AE556" s="247" t="s">
        <v>533</v>
      </c>
      <c r="AF556" s="247">
        <v>52</v>
      </c>
      <c r="AG556" s="247" t="s">
        <v>528</v>
      </c>
      <c r="AH556" s="247">
        <v>0</v>
      </c>
      <c r="AI556" s="247">
        <v>24</v>
      </c>
      <c r="AJ556" s="247"/>
    </row>
    <row r="557" spans="27:36">
      <c r="AA557" s="247">
        <v>3866</v>
      </c>
      <c r="AB557" s="247" t="s">
        <v>1249</v>
      </c>
      <c r="AC557" s="247" t="s">
        <v>516</v>
      </c>
      <c r="AD557" s="247" t="s">
        <v>516</v>
      </c>
      <c r="AE557" s="247" t="s">
        <v>533</v>
      </c>
      <c r="AF557" s="247">
        <v>52</v>
      </c>
      <c r="AG557" s="247" t="s">
        <v>528</v>
      </c>
      <c r="AH557" s="247">
        <v>0</v>
      </c>
      <c r="AI557" s="247">
        <v>24</v>
      </c>
      <c r="AJ557" s="247"/>
    </row>
    <row r="558" spans="27:36">
      <c r="AA558" s="247">
        <v>3869</v>
      </c>
      <c r="AB558" s="247" t="s">
        <v>1250</v>
      </c>
      <c r="AC558" s="247" t="s">
        <v>516</v>
      </c>
      <c r="AD558" s="247" t="s">
        <v>516</v>
      </c>
      <c r="AE558" s="247" t="s">
        <v>543</v>
      </c>
      <c r="AF558" s="247">
        <v>0</v>
      </c>
      <c r="AG558" s="247" t="s">
        <v>528</v>
      </c>
      <c r="AH558" s="247">
        <v>0</v>
      </c>
      <c r="AI558" s="247">
        <v>27</v>
      </c>
      <c r="AJ558" s="247"/>
    </row>
    <row r="559" spans="27:36">
      <c r="AA559" s="247">
        <v>3892</v>
      </c>
      <c r="AB559" s="247" t="s">
        <v>1251</v>
      </c>
      <c r="AC559" s="247" t="s">
        <v>516</v>
      </c>
      <c r="AD559" s="247" t="s">
        <v>516</v>
      </c>
      <c r="AE559" s="247" t="s">
        <v>533</v>
      </c>
      <c r="AF559" s="247">
        <v>52</v>
      </c>
      <c r="AG559" s="247" t="s">
        <v>528</v>
      </c>
      <c r="AH559" s="247">
        <v>20</v>
      </c>
      <c r="AI559" s="247">
        <v>21</v>
      </c>
      <c r="AJ559" s="247"/>
    </row>
    <row r="560" spans="27:36">
      <c r="AA560" s="247">
        <v>3894</v>
      </c>
      <c r="AB560" s="247" t="s">
        <v>1252</v>
      </c>
      <c r="AC560" s="247" t="s">
        <v>516</v>
      </c>
      <c r="AD560" s="247" t="s">
        <v>516</v>
      </c>
      <c r="AE560" s="247" t="s">
        <v>533</v>
      </c>
      <c r="AF560" s="247">
        <v>52</v>
      </c>
      <c r="AG560" s="247" t="s">
        <v>528</v>
      </c>
      <c r="AH560" s="247">
        <v>20</v>
      </c>
      <c r="AI560" s="247">
        <v>21</v>
      </c>
      <c r="AJ560" s="247"/>
    </row>
    <row r="561" spans="27:36">
      <c r="AA561" s="247">
        <v>3898</v>
      </c>
      <c r="AB561" s="247" t="s">
        <v>1253</v>
      </c>
      <c r="AC561" s="247" t="s">
        <v>516</v>
      </c>
      <c r="AD561" s="247" t="s">
        <v>516</v>
      </c>
      <c r="AE561" s="247" t="s">
        <v>533</v>
      </c>
      <c r="AF561" s="247">
        <v>52</v>
      </c>
      <c r="AG561" s="247"/>
      <c r="AH561" s="247">
        <v>20</v>
      </c>
      <c r="AI561" s="247">
        <v>22</v>
      </c>
      <c r="AJ561" s="247"/>
    </row>
    <row r="562" spans="27:36">
      <c r="AA562" s="247">
        <v>3901</v>
      </c>
      <c r="AB562" s="247" t="s">
        <v>1254</v>
      </c>
      <c r="AC562" s="247" t="s">
        <v>516</v>
      </c>
      <c r="AD562" s="247" t="s">
        <v>516</v>
      </c>
      <c r="AE562" s="247" t="s">
        <v>533</v>
      </c>
      <c r="AF562" s="247">
        <v>75</v>
      </c>
      <c r="AG562" s="247" t="s">
        <v>528</v>
      </c>
      <c r="AH562" s="247">
        <v>0</v>
      </c>
      <c r="AI562" s="247">
        <v>22</v>
      </c>
      <c r="AJ562" s="247"/>
    </row>
    <row r="563" spans="27:36">
      <c r="AA563" s="247">
        <v>3904</v>
      </c>
      <c r="AB563" s="247" t="s">
        <v>1255</v>
      </c>
      <c r="AC563" s="247" t="s">
        <v>516</v>
      </c>
      <c r="AD563" s="247" t="s">
        <v>516</v>
      </c>
      <c r="AE563" s="247" t="s">
        <v>533</v>
      </c>
      <c r="AF563" s="247">
        <v>52</v>
      </c>
      <c r="AG563" s="247"/>
      <c r="AH563" s="247">
        <v>20</v>
      </c>
      <c r="AI563" s="247">
        <v>22</v>
      </c>
      <c r="AJ563" s="247"/>
    </row>
    <row r="564" spans="27:36">
      <c r="AA564" s="247">
        <v>3907</v>
      </c>
      <c r="AB564" s="247" t="s">
        <v>1256</v>
      </c>
      <c r="AC564" s="247" t="s">
        <v>516</v>
      </c>
      <c r="AD564" s="247" t="s">
        <v>516</v>
      </c>
      <c r="AE564" s="247" t="s">
        <v>533</v>
      </c>
      <c r="AF564" s="247">
        <v>52</v>
      </c>
      <c r="AG564" s="247" t="s">
        <v>528</v>
      </c>
      <c r="AH564" s="247">
        <v>0</v>
      </c>
      <c r="AI564" s="247">
        <v>22</v>
      </c>
      <c r="AJ564" s="247"/>
    </row>
    <row r="565" spans="27:36">
      <c r="AA565" s="247">
        <v>3912</v>
      </c>
      <c r="AB565" s="247" t="s">
        <v>1257</v>
      </c>
      <c r="AC565" s="247" t="s">
        <v>516</v>
      </c>
      <c r="AD565" s="247" t="s">
        <v>516</v>
      </c>
      <c r="AE565" s="247" t="s">
        <v>533</v>
      </c>
      <c r="AF565" s="247">
        <v>75</v>
      </c>
      <c r="AG565" s="247" t="s">
        <v>528</v>
      </c>
      <c r="AH565" s="247">
        <v>0</v>
      </c>
      <c r="AI565" s="247">
        <v>24</v>
      </c>
      <c r="AJ565" s="247"/>
    </row>
    <row r="566" spans="27:36">
      <c r="AA566" s="247">
        <v>3914</v>
      </c>
      <c r="AB566" s="247" t="s">
        <v>1258</v>
      </c>
      <c r="AC566" s="247" t="s">
        <v>516</v>
      </c>
      <c r="AD566" s="247" t="s">
        <v>516</v>
      </c>
      <c r="AE566" s="247" t="s">
        <v>533</v>
      </c>
      <c r="AF566" s="247">
        <v>52</v>
      </c>
      <c r="AG566" s="247" t="s">
        <v>528</v>
      </c>
      <c r="AH566" s="247">
        <v>20</v>
      </c>
      <c r="AI566" s="247">
        <v>24</v>
      </c>
      <c r="AJ566" s="247"/>
    </row>
    <row r="567" spans="27:36">
      <c r="AA567" s="247">
        <v>3942</v>
      </c>
      <c r="AB567" s="247" t="s">
        <v>1259</v>
      </c>
      <c r="AC567" s="247" t="s">
        <v>516</v>
      </c>
      <c r="AD567" s="247" t="s">
        <v>516</v>
      </c>
      <c r="AE567" s="247" t="s">
        <v>533</v>
      </c>
      <c r="AF567" s="247">
        <v>52</v>
      </c>
      <c r="AG567" s="247" t="s">
        <v>528</v>
      </c>
      <c r="AH567" s="247">
        <v>20</v>
      </c>
      <c r="AI567" s="247">
        <v>21</v>
      </c>
      <c r="AJ567" s="247"/>
    </row>
    <row r="568" spans="27:36">
      <c r="AA568" s="247">
        <v>3943</v>
      </c>
      <c r="AB568" s="247" t="s">
        <v>1260</v>
      </c>
      <c r="AC568" s="247" t="s">
        <v>516</v>
      </c>
      <c r="AD568" s="247" t="s">
        <v>516</v>
      </c>
      <c r="AE568" s="247" t="s">
        <v>533</v>
      </c>
      <c r="AF568" s="247">
        <v>52</v>
      </c>
      <c r="AG568" s="247" t="s">
        <v>528</v>
      </c>
      <c r="AH568" s="247">
        <v>20</v>
      </c>
      <c r="AI568" s="247">
        <v>21</v>
      </c>
      <c r="AJ568" s="247"/>
    </row>
    <row r="569" spans="27:36">
      <c r="AA569" s="247">
        <v>3950</v>
      </c>
      <c r="AB569" s="247" t="s">
        <v>1261</v>
      </c>
      <c r="AC569" s="247" t="s">
        <v>516</v>
      </c>
      <c r="AD569" s="247" t="s">
        <v>516</v>
      </c>
      <c r="AE569" s="247" t="s">
        <v>533</v>
      </c>
      <c r="AF569" s="247">
        <v>52</v>
      </c>
      <c r="AG569" s="247" t="s">
        <v>528</v>
      </c>
      <c r="AH569" s="247">
        <v>20</v>
      </c>
      <c r="AI569" s="247">
        <v>24</v>
      </c>
      <c r="AJ569" s="247"/>
    </row>
    <row r="570" spans="27:36">
      <c r="AA570" s="247">
        <v>3954</v>
      </c>
      <c r="AB570" s="247" t="s">
        <v>1262</v>
      </c>
      <c r="AC570" s="247" t="s">
        <v>516</v>
      </c>
      <c r="AD570" s="247" t="s">
        <v>516</v>
      </c>
      <c r="AE570" s="247" t="s">
        <v>533</v>
      </c>
      <c r="AF570" s="247">
        <v>52</v>
      </c>
      <c r="AG570" s="247" t="s">
        <v>528</v>
      </c>
      <c r="AH570" s="247">
        <v>0</v>
      </c>
      <c r="AI570" s="247">
        <v>24</v>
      </c>
      <c r="AJ570" s="247"/>
    </row>
    <row r="571" spans="27:36">
      <c r="AA571" s="247">
        <v>3960</v>
      </c>
      <c r="AB571" s="247" t="s">
        <v>1263</v>
      </c>
      <c r="AC571" s="247" t="s">
        <v>516</v>
      </c>
      <c r="AD571" s="247" t="s">
        <v>516</v>
      </c>
      <c r="AE571" s="247" t="s">
        <v>533</v>
      </c>
      <c r="AF571" s="247">
        <v>52</v>
      </c>
      <c r="AG571" s="247"/>
      <c r="AH571" s="247">
        <v>20</v>
      </c>
      <c r="AI571" s="247">
        <v>22</v>
      </c>
      <c r="AJ571" s="247"/>
    </row>
    <row r="572" spans="27:36">
      <c r="AA572" s="247">
        <v>3962</v>
      </c>
      <c r="AB572" s="247" t="s">
        <v>1264</v>
      </c>
      <c r="AC572" s="247" t="s">
        <v>516</v>
      </c>
      <c r="AD572" s="247" t="s">
        <v>516</v>
      </c>
      <c r="AE572" s="247" t="s">
        <v>533</v>
      </c>
      <c r="AF572" s="247">
        <v>52</v>
      </c>
      <c r="AG572" s="247" t="s">
        <v>528</v>
      </c>
      <c r="AH572" s="247">
        <v>20</v>
      </c>
      <c r="AI572" s="247">
        <v>21</v>
      </c>
      <c r="AJ572" s="247"/>
    </row>
    <row r="573" spans="27:36">
      <c r="AA573" s="247">
        <v>3963</v>
      </c>
      <c r="AB573" s="247" t="s">
        <v>1265</v>
      </c>
      <c r="AC573" s="247" t="s">
        <v>516</v>
      </c>
      <c r="AD573" s="247" t="s">
        <v>516</v>
      </c>
      <c r="AE573" s="247" t="s">
        <v>533</v>
      </c>
      <c r="AF573" s="247">
        <v>52</v>
      </c>
      <c r="AG573" s="247" t="s">
        <v>528</v>
      </c>
      <c r="AH573" s="247">
        <v>20</v>
      </c>
      <c r="AI573" s="247">
        <v>21</v>
      </c>
      <c r="AJ573" s="247"/>
    </row>
    <row r="574" spans="27:36">
      <c r="AA574" s="247">
        <v>3970</v>
      </c>
      <c r="AB574" s="247" t="s">
        <v>1266</v>
      </c>
      <c r="AC574" s="247" t="s">
        <v>516</v>
      </c>
      <c r="AD574" s="247" t="s">
        <v>516</v>
      </c>
      <c r="AE574" s="247" t="s">
        <v>543</v>
      </c>
      <c r="AF574" s="247">
        <v>0</v>
      </c>
      <c r="AG574" s="247" t="s">
        <v>528</v>
      </c>
      <c r="AH574" s="247">
        <v>0</v>
      </c>
      <c r="AI574" s="247">
        <v>27</v>
      </c>
      <c r="AJ574" s="247"/>
    </row>
    <row r="575" spans="27:36">
      <c r="AA575" s="247">
        <v>3972</v>
      </c>
      <c r="AB575" s="247" t="s">
        <v>1267</v>
      </c>
      <c r="AC575" s="247" t="s">
        <v>516</v>
      </c>
      <c r="AD575" s="247" t="s">
        <v>516</v>
      </c>
      <c r="AE575" s="247" t="s">
        <v>543</v>
      </c>
      <c r="AF575" s="247">
        <v>0</v>
      </c>
      <c r="AG575" s="247" t="s">
        <v>528</v>
      </c>
      <c r="AH575" s="247">
        <v>0</v>
      </c>
      <c r="AI575" s="247">
        <v>27</v>
      </c>
      <c r="AJ575" s="247"/>
    </row>
    <row r="576" spans="27:36">
      <c r="AA576" s="247">
        <v>3974</v>
      </c>
      <c r="AB576" s="247" t="s">
        <v>1268</v>
      </c>
      <c r="AC576" s="247" t="s">
        <v>516</v>
      </c>
      <c r="AD576" s="247" t="s">
        <v>516</v>
      </c>
      <c r="AE576" s="247" t="s">
        <v>507</v>
      </c>
      <c r="AF576" s="247">
        <v>0</v>
      </c>
      <c r="AG576" s="247"/>
      <c r="AH576" s="247">
        <v>20</v>
      </c>
      <c r="AI576" s="247">
        <v>27</v>
      </c>
      <c r="AJ576" s="247"/>
    </row>
    <row r="577" spans="27:36">
      <c r="AA577" s="247">
        <v>4000</v>
      </c>
      <c r="AB577" s="247" t="s">
        <v>1269</v>
      </c>
      <c r="AC577" s="247" t="s">
        <v>1270</v>
      </c>
      <c r="AD577" s="247" t="s">
        <v>1271</v>
      </c>
      <c r="AE577" s="247" t="s">
        <v>543</v>
      </c>
      <c r="AF577" s="247">
        <v>0</v>
      </c>
      <c r="AG577" s="247"/>
      <c r="AH577" s="247">
        <v>20</v>
      </c>
      <c r="AI577" s="247">
        <v>27</v>
      </c>
      <c r="AJ577" s="247"/>
    </row>
    <row r="578" spans="27:36">
      <c r="AA578" s="247">
        <v>4020</v>
      </c>
      <c r="AB578" s="247" t="s">
        <v>1272</v>
      </c>
      <c r="AC578" s="247" t="s">
        <v>1273</v>
      </c>
      <c r="AD578" s="247" t="s">
        <v>1274</v>
      </c>
      <c r="AE578" s="247" t="s">
        <v>533</v>
      </c>
      <c r="AF578" s="247">
        <v>52</v>
      </c>
      <c r="AG578" s="247"/>
      <c r="AH578" s="247">
        <v>20</v>
      </c>
      <c r="AI578" s="247">
        <v>6</v>
      </c>
      <c r="AJ578" s="247"/>
    </row>
    <row r="579" spans="27:36">
      <c r="AA579" s="247">
        <v>4024</v>
      </c>
      <c r="AB579" s="247" t="s">
        <v>1275</v>
      </c>
      <c r="AC579" s="247" t="s">
        <v>516</v>
      </c>
      <c r="AD579" s="247" t="s">
        <v>516</v>
      </c>
      <c r="AE579" s="247" t="s">
        <v>543</v>
      </c>
      <c r="AF579" s="247">
        <v>0</v>
      </c>
      <c r="AG579" s="247" t="s">
        <v>528</v>
      </c>
      <c r="AH579" s="247">
        <v>20</v>
      </c>
      <c r="AI579" s="247">
        <v>27</v>
      </c>
      <c r="AJ579" s="247"/>
    </row>
    <row r="580" spans="27:36">
      <c r="AA580" s="247">
        <v>4061</v>
      </c>
      <c r="AB580" s="247" t="s">
        <v>1276</v>
      </c>
      <c r="AC580" s="247" t="s">
        <v>516</v>
      </c>
      <c r="AD580" s="247" t="s">
        <v>516</v>
      </c>
      <c r="AE580" s="247" t="s">
        <v>543</v>
      </c>
      <c r="AF580" s="247">
        <v>0</v>
      </c>
      <c r="AG580" s="247"/>
      <c r="AH580" s="247">
        <v>20</v>
      </c>
      <c r="AI580" s="247">
        <v>27</v>
      </c>
      <c r="AJ580" s="247"/>
    </row>
    <row r="581" spans="27:36">
      <c r="AA581" s="247">
        <v>4062</v>
      </c>
      <c r="AB581" s="247" t="s">
        <v>1277</v>
      </c>
      <c r="AC581" s="247" t="s">
        <v>516</v>
      </c>
      <c r="AD581" s="247" t="s">
        <v>516</v>
      </c>
      <c r="AE581" s="247" t="s">
        <v>533</v>
      </c>
      <c r="AF581" s="247">
        <v>52</v>
      </c>
      <c r="AG581" s="247" t="s">
        <v>528</v>
      </c>
      <c r="AH581" s="247">
        <v>20</v>
      </c>
      <c r="AI581" s="247">
        <v>6</v>
      </c>
      <c r="AJ581" s="247"/>
    </row>
    <row r="582" spans="27:36">
      <c r="AA582" s="247">
        <v>4072</v>
      </c>
      <c r="AB582" s="247" t="s">
        <v>1278</v>
      </c>
      <c r="AC582" s="247" t="s">
        <v>516</v>
      </c>
      <c r="AD582" s="247" t="s">
        <v>516</v>
      </c>
      <c r="AE582" s="247" t="s">
        <v>507</v>
      </c>
      <c r="AF582" s="247">
        <v>52</v>
      </c>
      <c r="AG582" s="247"/>
      <c r="AH582" s="247">
        <v>20</v>
      </c>
      <c r="AI582" s="247">
        <v>6</v>
      </c>
      <c r="AJ582" s="247"/>
    </row>
    <row r="583" spans="27:36">
      <c r="AA583" s="247">
        <v>4075</v>
      </c>
      <c r="AB583" s="247" t="s">
        <v>1279</v>
      </c>
      <c r="AC583" s="247" t="s">
        <v>516</v>
      </c>
      <c r="AD583" s="247" t="s">
        <v>516</v>
      </c>
      <c r="AE583" s="247" t="s">
        <v>543</v>
      </c>
      <c r="AF583" s="247">
        <v>0</v>
      </c>
      <c r="AG583" s="247" t="s">
        <v>528</v>
      </c>
      <c r="AH583" s="247">
        <v>20</v>
      </c>
      <c r="AI583" s="247">
        <v>27</v>
      </c>
      <c r="AJ583" s="247"/>
    </row>
    <row r="584" spans="27:36">
      <c r="AA584" s="247">
        <v>4086</v>
      </c>
      <c r="AB584" s="247" t="s">
        <v>1280</v>
      </c>
      <c r="AC584" s="247" t="s">
        <v>516</v>
      </c>
      <c r="AD584" s="247" t="s">
        <v>516</v>
      </c>
      <c r="AE584" s="247" t="s">
        <v>543</v>
      </c>
      <c r="AF584" s="247">
        <v>0</v>
      </c>
      <c r="AG584" s="247" t="s">
        <v>528</v>
      </c>
      <c r="AH584" s="247">
        <v>20</v>
      </c>
      <c r="AI584" s="247">
        <v>27</v>
      </c>
      <c r="AJ584" s="247"/>
    </row>
    <row r="585" spans="27:36">
      <c r="AA585" s="247">
        <v>4091</v>
      </c>
      <c r="AB585" s="247" t="s">
        <v>1281</v>
      </c>
      <c r="AC585" s="247" t="s">
        <v>516</v>
      </c>
      <c r="AD585" s="247" t="s">
        <v>516</v>
      </c>
      <c r="AE585" s="247" t="s">
        <v>543</v>
      </c>
      <c r="AF585" s="247">
        <v>0</v>
      </c>
      <c r="AG585" s="247"/>
      <c r="AH585" s="247">
        <v>20</v>
      </c>
      <c r="AI585" s="247">
        <v>27</v>
      </c>
      <c r="AJ585" s="247"/>
    </row>
    <row r="586" spans="27:36">
      <c r="AA586" s="247">
        <v>4092</v>
      </c>
      <c r="AB586" s="247" t="s">
        <v>1282</v>
      </c>
      <c r="AC586" s="247" t="s">
        <v>516</v>
      </c>
      <c r="AD586" s="247" t="s">
        <v>516</v>
      </c>
      <c r="AE586" s="247" t="s">
        <v>507</v>
      </c>
      <c r="AF586" s="247">
        <v>52</v>
      </c>
      <c r="AG586" s="247"/>
      <c r="AH586" s="247">
        <v>20</v>
      </c>
      <c r="AI586" s="247">
        <v>6</v>
      </c>
      <c r="AJ586" s="247"/>
    </row>
    <row r="587" spans="27:36">
      <c r="AA587" s="247">
        <v>4093</v>
      </c>
      <c r="AB587" s="247" t="s">
        <v>1283</v>
      </c>
      <c r="AC587" s="247" t="s">
        <v>516</v>
      </c>
      <c r="AD587" s="247" t="s">
        <v>516</v>
      </c>
      <c r="AE587" s="247" t="s">
        <v>533</v>
      </c>
      <c r="AF587" s="247">
        <v>52</v>
      </c>
      <c r="AG587" s="247" t="s">
        <v>528</v>
      </c>
      <c r="AH587" s="247">
        <v>20</v>
      </c>
      <c r="AI587" s="247">
        <v>6</v>
      </c>
      <c r="AJ587" s="247"/>
    </row>
    <row r="588" spans="27:36">
      <c r="AA588" s="247">
        <v>4100</v>
      </c>
      <c r="AB588" s="247" t="s">
        <v>1284</v>
      </c>
      <c r="AC588" s="247" t="s">
        <v>1285</v>
      </c>
      <c r="AD588" s="247" t="s">
        <v>1284</v>
      </c>
      <c r="AE588" s="247" t="s">
        <v>533</v>
      </c>
      <c r="AF588" s="247">
        <v>180</v>
      </c>
      <c r="AG588" s="247" t="s">
        <v>528</v>
      </c>
      <c r="AH588" s="247">
        <v>0</v>
      </c>
      <c r="AI588" s="247">
        <v>23</v>
      </c>
      <c r="AJ588" s="247"/>
    </row>
    <row r="589" spans="27:36">
      <c r="AA589" s="247">
        <v>4150</v>
      </c>
      <c r="AB589" s="247" t="s">
        <v>1286</v>
      </c>
      <c r="AC589" s="247" t="s">
        <v>516</v>
      </c>
      <c r="AD589" s="247" t="s">
        <v>516</v>
      </c>
      <c r="AE589" s="247" t="s">
        <v>507</v>
      </c>
      <c r="AF589" s="247">
        <v>52</v>
      </c>
      <c r="AG589" s="247"/>
      <c r="AH589" s="247">
        <v>0</v>
      </c>
      <c r="AI589" s="247">
        <v>13</v>
      </c>
      <c r="AJ589" s="247"/>
    </row>
    <row r="590" spans="27:36">
      <c r="AA590" s="247">
        <v>4200</v>
      </c>
      <c r="AB590" s="247" t="s">
        <v>1287</v>
      </c>
      <c r="AC590" s="247" t="s">
        <v>516</v>
      </c>
      <c r="AD590" s="247" t="s">
        <v>516</v>
      </c>
      <c r="AE590" s="247" t="s">
        <v>533</v>
      </c>
      <c r="AF590" s="247">
        <v>52</v>
      </c>
      <c r="AG590" s="247" t="s">
        <v>528</v>
      </c>
      <c r="AH590" s="247">
        <v>20</v>
      </c>
      <c r="AI590" s="247">
        <v>15</v>
      </c>
      <c r="AJ590" s="247"/>
    </row>
    <row r="591" spans="27:36">
      <c r="AA591" s="247">
        <v>4201</v>
      </c>
      <c r="AB591" s="247" t="s">
        <v>1288</v>
      </c>
      <c r="AC591" s="247" t="s">
        <v>1289</v>
      </c>
      <c r="AD591" s="247" t="s">
        <v>1290</v>
      </c>
      <c r="AE591" s="247" t="s">
        <v>533</v>
      </c>
      <c r="AF591" s="247">
        <v>52</v>
      </c>
      <c r="AG591" s="247" t="s">
        <v>528</v>
      </c>
      <c r="AH591" s="247">
        <v>0</v>
      </c>
      <c r="AI591" s="247">
        <v>15</v>
      </c>
      <c r="AJ591" s="247"/>
    </row>
    <row r="592" spans="27:36">
      <c r="AA592" s="247">
        <v>4202</v>
      </c>
      <c r="AB592" s="247" t="s">
        <v>1291</v>
      </c>
      <c r="AC592" s="247" t="s">
        <v>516</v>
      </c>
      <c r="AD592" s="247" t="s">
        <v>516</v>
      </c>
      <c r="AE592" s="247" t="s">
        <v>533</v>
      </c>
      <c r="AF592" s="247">
        <v>52</v>
      </c>
      <c r="AG592" s="247" t="s">
        <v>528</v>
      </c>
      <c r="AH592" s="247">
        <v>0</v>
      </c>
      <c r="AI592" s="247">
        <v>15</v>
      </c>
      <c r="AJ592" s="247"/>
    </row>
    <row r="593" spans="27:36">
      <c r="AA593" s="247">
        <v>4203</v>
      </c>
      <c r="AB593" s="247" t="s">
        <v>1292</v>
      </c>
      <c r="AC593" s="247" t="s">
        <v>1293</v>
      </c>
      <c r="AD593" s="247" t="s">
        <v>1294</v>
      </c>
      <c r="AE593" s="247" t="s">
        <v>533</v>
      </c>
      <c r="AF593" s="247">
        <v>52</v>
      </c>
      <c r="AG593" s="247" t="s">
        <v>528</v>
      </c>
      <c r="AH593" s="247">
        <v>0</v>
      </c>
      <c r="AI593" s="247">
        <v>15</v>
      </c>
      <c r="AJ593" s="247"/>
    </row>
    <row r="594" spans="27:36">
      <c r="AA594" s="247">
        <v>4204</v>
      </c>
      <c r="AB594" s="247" t="s">
        <v>1295</v>
      </c>
      <c r="AC594" s="247" t="s">
        <v>516</v>
      </c>
      <c r="AD594" s="247" t="s">
        <v>516</v>
      </c>
      <c r="AE594" s="247" t="s">
        <v>507</v>
      </c>
      <c r="AF594" s="247">
        <v>0</v>
      </c>
      <c r="AG594" s="247" t="s">
        <v>528</v>
      </c>
      <c r="AH594" s="247">
        <v>20</v>
      </c>
      <c r="AI594" s="247">
        <v>28</v>
      </c>
      <c r="AJ594" s="247"/>
    </row>
    <row r="595" spans="27:36">
      <c r="AA595" s="247">
        <v>4205</v>
      </c>
      <c r="AB595" s="247" t="s">
        <v>1296</v>
      </c>
      <c r="AC595" s="247" t="s">
        <v>516</v>
      </c>
      <c r="AD595" s="247" t="s">
        <v>516</v>
      </c>
      <c r="AE595" s="247" t="s">
        <v>533</v>
      </c>
      <c r="AF595" s="247">
        <v>52</v>
      </c>
      <c r="AG595" s="247" t="s">
        <v>528</v>
      </c>
      <c r="AH595" s="247">
        <v>0</v>
      </c>
      <c r="AI595" s="247">
        <v>9</v>
      </c>
      <c r="AJ595" s="247"/>
    </row>
    <row r="596" spans="27:36">
      <c r="AA596" s="247">
        <v>4210</v>
      </c>
      <c r="AB596" s="247" t="s">
        <v>1297</v>
      </c>
      <c r="AC596" s="247" t="s">
        <v>516</v>
      </c>
      <c r="AD596" s="247" t="s">
        <v>516</v>
      </c>
      <c r="AE596" s="247" t="s">
        <v>543</v>
      </c>
      <c r="AF596" s="247">
        <v>0</v>
      </c>
      <c r="AG596" s="247" t="s">
        <v>528</v>
      </c>
      <c r="AH596" s="247">
        <v>0</v>
      </c>
      <c r="AI596" s="247">
        <v>27</v>
      </c>
      <c r="AJ596" s="247"/>
    </row>
    <row r="597" spans="27:36">
      <c r="AA597" s="247">
        <v>4215</v>
      </c>
      <c r="AB597" s="247" t="s">
        <v>1298</v>
      </c>
      <c r="AC597" s="247" t="s">
        <v>516</v>
      </c>
      <c r="AD597" s="247" t="s">
        <v>516</v>
      </c>
      <c r="AE597" s="247" t="s">
        <v>533</v>
      </c>
      <c r="AF597" s="247">
        <v>52</v>
      </c>
      <c r="AG597" s="247" t="s">
        <v>528</v>
      </c>
      <c r="AH597" s="247">
        <v>0</v>
      </c>
      <c r="AI597" s="247">
        <v>15</v>
      </c>
      <c r="AJ597" s="247"/>
    </row>
    <row r="598" spans="27:36">
      <c r="AA598" s="247">
        <v>4220</v>
      </c>
      <c r="AB598" s="247" t="s">
        <v>1299</v>
      </c>
      <c r="AC598" s="247" t="s">
        <v>516</v>
      </c>
      <c r="AD598" s="247" t="s">
        <v>516</v>
      </c>
      <c r="AE598" s="247" t="s">
        <v>543</v>
      </c>
      <c r="AF598" s="247">
        <v>0</v>
      </c>
      <c r="AG598" s="247" t="s">
        <v>528</v>
      </c>
      <c r="AH598" s="247">
        <v>0</v>
      </c>
      <c r="AI598" s="247">
        <v>27</v>
      </c>
      <c r="AJ598" s="247"/>
    </row>
    <row r="599" spans="27:36">
      <c r="AA599" s="247">
        <v>4225</v>
      </c>
      <c r="AB599" s="247" t="s">
        <v>1300</v>
      </c>
      <c r="AC599" s="247" t="s">
        <v>516</v>
      </c>
      <c r="AD599" s="247" t="s">
        <v>516</v>
      </c>
      <c r="AE599" s="247" t="s">
        <v>533</v>
      </c>
      <c r="AF599" s="247">
        <v>52</v>
      </c>
      <c r="AG599" s="247" t="s">
        <v>528</v>
      </c>
      <c r="AH599" s="247">
        <v>0</v>
      </c>
      <c r="AI599" s="247">
        <v>15</v>
      </c>
      <c r="AJ599" s="247"/>
    </row>
    <row r="600" spans="27:36">
      <c r="AA600" s="247">
        <v>4230</v>
      </c>
      <c r="AB600" s="247" t="s">
        <v>1301</v>
      </c>
      <c r="AC600" s="247" t="s">
        <v>516</v>
      </c>
      <c r="AD600" s="247" t="s">
        <v>516</v>
      </c>
      <c r="AE600" s="247" t="s">
        <v>533</v>
      </c>
      <c r="AF600" s="247">
        <v>75</v>
      </c>
      <c r="AG600" s="247" t="s">
        <v>528</v>
      </c>
      <c r="AH600" s="247">
        <v>0</v>
      </c>
      <c r="AI600" s="247">
        <v>15</v>
      </c>
      <c r="AJ600" s="247"/>
    </row>
    <row r="601" spans="27:36">
      <c r="AA601" s="247">
        <v>4250</v>
      </c>
      <c r="AB601" s="247" t="s">
        <v>1302</v>
      </c>
      <c r="AC601" s="247" t="s">
        <v>516</v>
      </c>
      <c r="AD601" s="247" t="s">
        <v>516</v>
      </c>
      <c r="AE601" s="247" t="s">
        <v>507</v>
      </c>
      <c r="AF601" s="247">
        <v>0</v>
      </c>
      <c r="AG601" s="247"/>
      <c r="AH601" s="247">
        <v>20</v>
      </c>
      <c r="AI601" s="247">
        <v>27</v>
      </c>
      <c r="AJ601" s="247"/>
    </row>
    <row r="602" spans="27:36">
      <c r="AA602" s="247">
        <v>4252</v>
      </c>
      <c r="AB602" s="247" t="s">
        <v>1303</v>
      </c>
      <c r="AC602" s="247" t="s">
        <v>516</v>
      </c>
      <c r="AD602" s="247" t="s">
        <v>516</v>
      </c>
      <c r="AE602" s="247" t="s">
        <v>543</v>
      </c>
      <c r="AF602" s="247">
        <v>0</v>
      </c>
      <c r="AG602" s="247"/>
      <c r="AH602" s="247">
        <v>20</v>
      </c>
      <c r="AI602" s="247">
        <v>27</v>
      </c>
      <c r="AJ602" s="247"/>
    </row>
    <row r="603" spans="27:36">
      <c r="AA603" s="247">
        <v>4253</v>
      </c>
      <c r="AB603" s="247" t="s">
        <v>1304</v>
      </c>
      <c r="AC603" s="247" t="s">
        <v>516</v>
      </c>
      <c r="AD603" s="247" t="s">
        <v>516</v>
      </c>
      <c r="AE603" s="247" t="s">
        <v>543</v>
      </c>
      <c r="AF603" s="247">
        <v>0</v>
      </c>
      <c r="AG603" s="247" t="s">
        <v>528</v>
      </c>
      <c r="AH603" s="247">
        <v>20</v>
      </c>
      <c r="AI603" s="247">
        <v>27</v>
      </c>
      <c r="AJ603" s="247"/>
    </row>
    <row r="604" spans="27:36">
      <c r="AA604" s="247">
        <v>4255</v>
      </c>
      <c r="AB604" s="247" t="s">
        <v>1305</v>
      </c>
      <c r="AC604" s="247" t="s">
        <v>516</v>
      </c>
      <c r="AD604" s="247" t="s">
        <v>516</v>
      </c>
      <c r="AE604" s="247" t="s">
        <v>507</v>
      </c>
      <c r="AF604" s="247">
        <v>0</v>
      </c>
      <c r="AG604" s="247"/>
      <c r="AH604" s="247">
        <v>20</v>
      </c>
      <c r="AI604" s="247">
        <v>28</v>
      </c>
      <c r="AJ604" s="247"/>
    </row>
    <row r="605" spans="27:36">
      <c r="AA605" s="247">
        <v>4260</v>
      </c>
      <c r="AB605" s="247" t="s">
        <v>1306</v>
      </c>
      <c r="AC605" s="247" t="s">
        <v>516</v>
      </c>
      <c r="AD605" s="247" t="s">
        <v>516</v>
      </c>
      <c r="AE605" s="247" t="s">
        <v>507</v>
      </c>
      <c r="AF605" s="247">
        <v>0</v>
      </c>
      <c r="AG605" s="247"/>
      <c r="AH605" s="247">
        <v>20</v>
      </c>
      <c r="AI605" s="247">
        <v>27</v>
      </c>
      <c r="AJ605" s="247"/>
    </row>
    <row r="606" spans="27:36">
      <c r="AA606" s="247">
        <v>4262</v>
      </c>
      <c r="AB606" s="247" t="s">
        <v>1307</v>
      </c>
      <c r="AC606" s="247" t="s">
        <v>516</v>
      </c>
      <c r="AD606" s="247" t="s">
        <v>516</v>
      </c>
      <c r="AE606" s="247" t="s">
        <v>543</v>
      </c>
      <c r="AF606" s="247">
        <v>0</v>
      </c>
      <c r="AG606" s="247"/>
      <c r="AH606" s="247">
        <v>20</v>
      </c>
      <c r="AI606" s="247">
        <v>27</v>
      </c>
      <c r="AJ606" s="247"/>
    </row>
    <row r="607" spans="27:36">
      <c r="AA607" s="247">
        <v>4263</v>
      </c>
      <c r="AB607" s="247" t="s">
        <v>1308</v>
      </c>
      <c r="AC607" s="247" t="s">
        <v>516</v>
      </c>
      <c r="AD607" s="247" t="s">
        <v>516</v>
      </c>
      <c r="AE607" s="247" t="s">
        <v>543</v>
      </c>
      <c r="AF607" s="247">
        <v>0</v>
      </c>
      <c r="AG607" s="247" t="s">
        <v>528</v>
      </c>
      <c r="AH607" s="247">
        <v>20</v>
      </c>
      <c r="AI607" s="247">
        <v>27</v>
      </c>
      <c r="AJ607" s="247"/>
    </row>
    <row r="608" spans="27:36">
      <c r="AA608" s="247">
        <v>4270</v>
      </c>
      <c r="AB608" s="247" t="s">
        <v>1309</v>
      </c>
      <c r="AC608" s="247" t="s">
        <v>516</v>
      </c>
      <c r="AD608" s="247" t="s">
        <v>516</v>
      </c>
      <c r="AE608" s="247" t="s">
        <v>507</v>
      </c>
      <c r="AF608" s="247">
        <v>0</v>
      </c>
      <c r="AG608" s="247"/>
      <c r="AH608" s="247">
        <v>20</v>
      </c>
      <c r="AI608" s="247">
        <v>27</v>
      </c>
      <c r="AJ608" s="247"/>
    </row>
    <row r="609" spans="27:36">
      <c r="AA609" s="247">
        <v>4272</v>
      </c>
      <c r="AB609" s="247" t="s">
        <v>1310</v>
      </c>
      <c r="AC609" s="247" t="s">
        <v>516</v>
      </c>
      <c r="AD609" s="247" t="s">
        <v>516</v>
      </c>
      <c r="AE609" s="247" t="s">
        <v>543</v>
      </c>
      <c r="AF609" s="247">
        <v>0</v>
      </c>
      <c r="AG609" s="247"/>
      <c r="AH609" s="247">
        <v>20</v>
      </c>
      <c r="AI609" s="247">
        <v>27</v>
      </c>
      <c r="AJ609" s="247"/>
    </row>
    <row r="610" spans="27:36">
      <c r="AA610" s="247">
        <v>4273</v>
      </c>
      <c r="AB610" s="247" t="s">
        <v>1311</v>
      </c>
      <c r="AC610" s="247" t="s">
        <v>516</v>
      </c>
      <c r="AD610" s="247" t="s">
        <v>516</v>
      </c>
      <c r="AE610" s="247" t="s">
        <v>543</v>
      </c>
      <c r="AF610" s="247">
        <v>0</v>
      </c>
      <c r="AG610" s="247" t="s">
        <v>528</v>
      </c>
      <c r="AH610" s="247">
        <v>20</v>
      </c>
      <c r="AI610" s="247">
        <v>27</v>
      </c>
      <c r="AJ610" s="247"/>
    </row>
    <row r="611" spans="27:36">
      <c r="AA611" s="247">
        <v>4275</v>
      </c>
      <c r="AB611" s="247" t="s">
        <v>1312</v>
      </c>
      <c r="AC611" s="247" t="s">
        <v>516</v>
      </c>
      <c r="AD611" s="247" t="s">
        <v>516</v>
      </c>
      <c r="AE611" s="247" t="s">
        <v>543</v>
      </c>
      <c r="AF611" s="247">
        <v>0</v>
      </c>
      <c r="AG611" s="247"/>
      <c r="AH611" s="247">
        <v>20</v>
      </c>
      <c r="AI611" s="247">
        <v>27</v>
      </c>
      <c r="AJ611" s="247"/>
    </row>
    <row r="612" spans="27:36">
      <c r="AA612" s="247">
        <v>4276</v>
      </c>
      <c r="AB612" s="247" t="s">
        <v>1313</v>
      </c>
      <c r="AC612" s="247" t="s">
        <v>516</v>
      </c>
      <c r="AD612" s="247" t="s">
        <v>516</v>
      </c>
      <c r="AE612" s="247" t="s">
        <v>543</v>
      </c>
      <c r="AF612" s="247">
        <v>0</v>
      </c>
      <c r="AG612" s="247"/>
      <c r="AH612" s="247">
        <v>20</v>
      </c>
      <c r="AI612" s="247">
        <v>27</v>
      </c>
      <c r="AJ612" s="247"/>
    </row>
    <row r="613" spans="27:36">
      <c r="AA613" s="247">
        <v>4277</v>
      </c>
      <c r="AB613" s="247" t="s">
        <v>1314</v>
      </c>
      <c r="AC613" s="247" t="s">
        <v>516</v>
      </c>
      <c r="AD613" s="247" t="s">
        <v>516</v>
      </c>
      <c r="AE613" s="247" t="s">
        <v>543</v>
      </c>
      <c r="AF613" s="247">
        <v>0</v>
      </c>
      <c r="AG613" s="247" t="s">
        <v>528</v>
      </c>
      <c r="AH613" s="247">
        <v>0</v>
      </c>
      <c r="AI613" s="247">
        <v>27</v>
      </c>
      <c r="AJ613" s="247"/>
    </row>
    <row r="614" spans="27:36">
      <c r="AA614" s="247">
        <v>4278</v>
      </c>
      <c r="AB614" s="247" t="s">
        <v>1315</v>
      </c>
      <c r="AC614" s="247" t="s">
        <v>516</v>
      </c>
      <c r="AD614" s="247" t="s">
        <v>516</v>
      </c>
      <c r="AE614" s="247" t="s">
        <v>543</v>
      </c>
      <c r="AF614" s="247">
        <v>0</v>
      </c>
      <c r="AG614" s="247"/>
      <c r="AH614" s="247">
        <v>20</v>
      </c>
      <c r="AI614" s="247">
        <v>27</v>
      </c>
      <c r="AJ614" s="247"/>
    </row>
    <row r="615" spans="27:36">
      <c r="AA615" s="247">
        <v>4279</v>
      </c>
      <c r="AB615" s="247" t="s">
        <v>1316</v>
      </c>
      <c r="AC615" s="247" t="s">
        <v>516</v>
      </c>
      <c r="AD615" s="247" t="s">
        <v>516</v>
      </c>
      <c r="AE615" s="247" t="s">
        <v>543</v>
      </c>
      <c r="AF615" s="247">
        <v>0</v>
      </c>
      <c r="AG615" s="247" t="s">
        <v>528</v>
      </c>
      <c r="AH615" s="247">
        <v>0</v>
      </c>
      <c r="AI615" s="247">
        <v>27</v>
      </c>
      <c r="AJ615" s="247"/>
    </row>
    <row r="616" spans="27:36">
      <c r="AA616" s="247">
        <v>4280</v>
      </c>
      <c r="AB616" s="247" t="s">
        <v>1317</v>
      </c>
      <c r="AC616" s="247" t="s">
        <v>516</v>
      </c>
      <c r="AD616" s="247" t="s">
        <v>516</v>
      </c>
      <c r="AE616" s="247" t="s">
        <v>543</v>
      </c>
      <c r="AF616" s="247">
        <v>0</v>
      </c>
      <c r="AG616" s="247"/>
      <c r="AH616" s="247">
        <v>20</v>
      </c>
      <c r="AI616" s="247">
        <v>27</v>
      </c>
      <c r="AJ616" s="247"/>
    </row>
    <row r="617" spans="27:36">
      <c r="AA617" s="247">
        <v>4281</v>
      </c>
      <c r="AB617" s="247" t="s">
        <v>1318</v>
      </c>
      <c r="AC617" s="247" t="s">
        <v>516</v>
      </c>
      <c r="AD617" s="247" t="s">
        <v>516</v>
      </c>
      <c r="AE617" s="247" t="s">
        <v>543</v>
      </c>
      <c r="AF617" s="247">
        <v>0</v>
      </c>
      <c r="AG617" s="247"/>
      <c r="AH617" s="247">
        <v>20</v>
      </c>
      <c r="AI617" s="247">
        <v>27</v>
      </c>
      <c r="AJ617" s="247"/>
    </row>
    <row r="618" spans="27:36">
      <c r="AA618" s="247">
        <v>4285</v>
      </c>
      <c r="AB618" s="247" t="s">
        <v>1319</v>
      </c>
      <c r="AC618" s="247" t="s">
        <v>516</v>
      </c>
      <c r="AD618" s="247" t="s">
        <v>516</v>
      </c>
      <c r="AE618" s="247" t="s">
        <v>543</v>
      </c>
      <c r="AF618" s="247">
        <v>0</v>
      </c>
      <c r="AG618" s="247"/>
      <c r="AH618" s="247">
        <v>20</v>
      </c>
      <c r="AI618" s="247">
        <v>27</v>
      </c>
      <c r="AJ618" s="247"/>
    </row>
    <row r="619" spans="27:36">
      <c r="AA619" s="247">
        <v>4286</v>
      </c>
      <c r="AB619" s="247" t="s">
        <v>1320</v>
      </c>
      <c r="AC619" s="247" t="s">
        <v>516</v>
      </c>
      <c r="AD619" s="247" t="s">
        <v>516</v>
      </c>
      <c r="AE619" s="247" t="s">
        <v>543</v>
      </c>
      <c r="AF619" s="247">
        <v>0</v>
      </c>
      <c r="AG619" s="247"/>
      <c r="AH619" s="247">
        <v>20</v>
      </c>
      <c r="AI619" s="247">
        <v>27</v>
      </c>
      <c r="AJ619" s="247"/>
    </row>
    <row r="620" spans="27:36">
      <c r="AA620" s="247">
        <v>4290</v>
      </c>
      <c r="AB620" s="247" t="s">
        <v>1321</v>
      </c>
      <c r="AC620" s="247" t="s">
        <v>516</v>
      </c>
      <c r="AD620" s="247" t="s">
        <v>516</v>
      </c>
      <c r="AE620" s="247" t="s">
        <v>543</v>
      </c>
      <c r="AF620" s="247">
        <v>0</v>
      </c>
      <c r="AG620" s="247"/>
      <c r="AH620" s="247">
        <v>20</v>
      </c>
      <c r="AI620" s="247">
        <v>27</v>
      </c>
      <c r="AJ620" s="247"/>
    </row>
    <row r="621" spans="27:36">
      <c r="AA621" s="247">
        <v>4291</v>
      </c>
      <c r="AB621" s="247" t="s">
        <v>1322</v>
      </c>
      <c r="AC621" s="247" t="s">
        <v>516</v>
      </c>
      <c r="AD621" s="247" t="s">
        <v>516</v>
      </c>
      <c r="AE621" s="247" t="s">
        <v>543</v>
      </c>
      <c r="AF621" s="247">
        <v>0</v>
      </c>
      <c r="AG621" s="247"/>
      <c r="AH621" s="247">
        <v>20</v>
      </c>
      <c r="AI621" s="247">
        <v>27</v>
      </c>
      <c r="AJ621" s="247"/>
    </row>
    <row r="622" spans="27:36">
      <c r="AA622" s="247">
        <v>4293</v>
      </c>
      <c r="AB622" s="247" t="s">
        <v>1323</v>
      </c>
      <c r="AC622" s="247" t="s">
        <v>516</v>
      </c>
      <c r="AD622" s="247" t="s">
        <v>516</v>
      </c>
      <c r="AE622" s="247" t="s">
        <v>543</v>
      </c>
      <c r="AF622" s="247">
        <v>0</v>
      </c>
      <c r="AG622" s="247"/>
      <c r="AH622" s="247">
        <v>20</v>
      </c>
      <c r="AI622" s="247">
        <v>27</v>
      </c>
      <c r="AJ622" s="247"/>
    </row>
    <row r="623" spans="27:36">
      <c r="AA623" s="247">
        <v>4294</v>
      </c>
      <c r="AB623" s="247" t="s">
        <v>1324</v>
      </c>
      <c r="AC623" s="247" t="s">
        <v>516</v>
      </c>
      <c r="AD623" s="247" t="s">
        <v>516</v>
      </c>
      <c r="AE623" s="247" t="s">
        <v>543</v>
      </c>
      <c r="AF623" s="247">
        <v>0</v>
      </c>
      <c r="AG623" s="247"/>
      <c r="AH623" s="247">
        <v>20</v>
      </c>
      <c r="AI623" s="247">
        <v>27</v>
      </c>
      <c r="AJ623" s="247"/>
    </row>
    <row r="624" spans="27:36">
      <c r="AA624" s="247">
        <v>4296</v>
      </c>
      <c r="AB624" s="247" t="s">
        <v>1325</v>
      </c>
      <c r="AC624" s="247" t="s">
        <v>516</v>
      </c>
      <c r="AD624" s="247" t="s">
        <v>516</v>
      </c>
      <c r="AE624" s="247" t="s">
        <v>543</v>
      </c>
      <c r="AF624" s="247">
        <v>0</v>
      </c>
      <c r="AG624" s="247"/>
      <c r="AH624" s="247">
        <v>20</v>
      </c>
      <c r="AI624" s="247">
        <v>27</v>
      </c>
      <c r="AJ624" s="247"/>
    </row>
    <row r="625" spans="27:36">
      <c r="AA625" s="247">
        <v>4297</v>
      </c>
      <c r="AB625" s="247" t="s">
        <v>1326</v>
      </c>
      <c r="AC625" s="247" t="s">
        <v>516</v>
      </c>
      <c r="AD625" s="247" t="s">
        <v>516</v>
      </c>
      <c r="AE625" s="247" t="s">
        <v>543</v>
      </c>
      <c r="AF625" s="247">
        <v>0</v>
      </c>
      <c r="AG625" s="247"/>
      <c r="AH625" s="247">
        <v>20</v>
      </c>
      <c r="AI625" s="247">
        <v>27</v>
      </c>
      <c r="AJ625" s="247"/>
    </row>
    <row r="626" spans="27:36">
      <c r="AA626" s="247">
        <v>4500</v>
      </c>
      <c r="AB626" s="247" t="s">
        <v>1327</v>
      </c>
      <c r="AC626" s="247" t="s">
        <v>1328</v>
      </c>
      <c r="AD626" s="247" t="s">
        <v>1329</v>
      </c>
      <c r="AE626" s="247" t="s">
        <v>507</v>
      </c>
      <c r="AF626" s="247">
        <v>50</v>
      </c>
      <c r="AG626" s="247"/>
      <c r="AH626" s="247">
        <v>20</v>
      </c>
      <c r="AI626" s="247">
        <v>28</v>
      </c>
      <c r="AJ626" s="247"/>
    </row>
    <row r="627" spans="27:36">
      <c r="AA627" s="247">
        <v>4502</v>
      </c>
      <c r="AB627" s="247" t="s">
        <v>1330</v>
      </c>
      <c r="AC627" s="247" t="s">
        <v>516</v>
      </c>
      <c r="AD627" s="247" t="s">
        <v>516</v>
      </c>
      <c r="AE627" s="247" t="s">
        <v>543</v>
      </c>
      <c r="AF627" s="247">
        <v>0</v>
      </c>
      <c r="AG627" s="247"/>
      <c r="AH627" s="247">
        <v>20</v>
      </c>
      <c r="AI627" s="247">
        <v>27</v>
      </c>
      <c r="AJ627" s="247"/>
    </row>
    <row r="628" spans="27:36">
      <c r="AA628" s="247">
        <v>4503</v>
      </c>
      <c r="AB628" s="247" t="s">
        <v>1331</v>
      </c>
      <c r="AC628" s="247" t="s">
        <v>516</v>
      </c>
      <c r="AD628" s="247" t="s">
        <v>516</v>
      </c>
      <c r="AE628" s="247" t="s">
        <v>507</v>
      </c>
      <c r="AF628" s="247">
        <v>0</v>
      </c>
      <c r="AG628" s="247"/>
      <c r="AH628" s="247">
        <v>20</v>
      </c>
      <c r="AI628" s="247">
        <v>27</v>
      </c>
      <c r="AJ628" s="247"/>
    </row>
    <row r="629" spans="27:36">
      <c r="AA629" s="247">
        <v>4510</v>
      </c>
      <c r="AB629" s="247" t="s">
        <v>1332</v>
      </c>
      <c r="AC629" s="247" t="s">
        <v>1333</v>
      </c>
      <c r="AD629" s="247" t="s">
        <v>1334</v>
      </c>
      <c r="AE629" s="247" t="s">
        <v>507</v>
      </c>
      <c r="AF629" s="247">
        <v>52</v>
      </c>
      <c r="AG629" s="247"/>
      <c r="AH629" s="247">
        <v>20</v>
      </c>
      <c r="AI629" s="247">
        <v>15</v>
      </c>
      <c r="AJ629" s="247"/>
    </row>
    <row r="630" spans="27:36">
      <c r="AA630" s="247">
        <v>4511</v>
      </c>
      <c r="AB630" s="247" t="s">
        <v>1335</v>
      </c>
      <c r="AC630" s="247" t="s">
        <v>516</v>
      </c>
      <c r="AD630" s="247" t="s">
        <v>516</v>
      </c>
      <c r="AE630" s="247" t="s">
        <v>507</v>
      </c>
      <c r="AF630" s="247">
        <v>52</v>
      </c>
      <c r="AG630" s="247" t="s">
        <v>528</v>
      </c>
      <c r="AH630" s="247">
        <v>0</v>
      </c>
      <c r="AI630" s="247">
        <v>15</v>
      </c>
      <c r="AJ630" s="247"/>
    </row>
    <row r="631" spans="27:36">
      <c r="AA631" s="247">
        <v>4520</v>
      </c>
      <c r="AB631" s="247" t="s">
        <v>1336</v>
      </c>
      <c r="AC631" s="247" t="s">
        <v>1337</v>
      </c>
      <c r="AD631" s="247" t="s">
        <v>1338</v>
      </c>
      <c r="AE631" s="247" t="s">
        <v>507</v>
      </c>
      <c r="AF631" s="247">
        <v>52</v>
      </c>
      <c r="AG631" s="247"/>
      <c r="AH631" s="247">
        <v>20</v>
      </c>
      <c r="AI631" s="247">
        <v>15</v>
      </c>
      <c r="AJ631" s="247"/>
    </row>
    <row r="632" spans="27:36">
      <c r="AA632" s="247">
        <v>4521</v>
      </c>
      <c r="AB632" s="247" t="s">
        <v>1339</v>
      </c>
      <c r="AC632" s="247" t="s">
        <v>516</v>
      </c>
      <c r="AD632" s="247" t="s">
        <v>516</v>
      </c>
      <c r="AE632" s="247" t="s">
        <v>507</v>
      </c>
      <c r="AF632" s="247">
        <v>52</v>
      </c>
      <c r="AG632" s="247" t="s">
        <v>528</v>
      </c>
      <c r="AH632" s="247">
        <v>0</v>
      </c>
      <c r="AI632" s="247">
        <v>15</v>
      </c>
      <c r="AJ632" s="247"/>
    </row>
    <row r="633" spans="27:36">
      <c r="AA633" s="247">
        <v>4530</v>
      </c>
      <c r="AB633" s="247" t="s">
        <v>1340</v>
      </c>
      <c r="AC633" s="247" t="s">
        <v>1341</v>
      </c>
      <c r="AD633" s="247" t="s">
        <v>1342</v>
      </c>
      <c r="AE633" s="247" t="s">
        <v>507</v>
      </c>
      <c r="AF633" s="247">
        <v>52</v>
      </c>
      <c r="AG633" s="247"/>
      <c r="AH633" s="247">
        <v>20</v>
      </c>
      <c r="AI633" s="247">
        <v>15</v>
      </c>
      <c r="AJ633" s="247"/>
    </row>
    <row r="634" spans="27:36">
      <c r="AA634" s="247">
        <v>4531</v>
      </c>
      <c r="AB634" s="247" t="s">
        <v>1343</v>
      </c>
      <c r="AC634" s="247" t="s">
        <v>516</v>
      </c>
      <c r="AD634" s="247" t="s">
        <v>516</v>
      </c>
      <c r="AE634" s="247" t="s">
        <v>507</v>
      </c>
      <c r="AF634" s="247">
        <v>52</v>
      </c>
      <c r="AG634" s="247" t="s">
        <v>528</v>
      </c>
      <c r="AH634" s="247">
        <v>0</v>
      </c>
      <c r="AI634" s="247">
        <v>15</v>
      </c>
      <c r="AJ634" s="247"/>
    </row>
    <row r="635" spans="27:36">
      <c r="AA635" s="247">
        <v>4535</v>
      </c>
      <c r="AB635" s="247" t="s">
        <v>1344</v>
      </c>
      <c r="AC635" s="247" t="s">
        <v>516</v>
      </c>
      <c r="AD635" s="247" t="s">
        <v>516</v>
      </c>
      <c r="AE635" s="247" t="s">
        <v>533</v>
      </c>
      <c r="AF635" s="247">
        <v>52</v>
      </c>
      <c r="AG635" s="247" t="s">
        <v>528</v>
      </c>
      <c r="AH635" s="247">
        <v>0</v>
      </c>
      <c r="AI635" s="247">
        <v>15</v>
      </c>
      <c r="AJ635" s="247"/>
    </row>
    <row r="636" spans="27:36">
      <c r="AA636" s="247">
        <v>4540</v>
      </c>
      <c r="AB636" s="247" t="s">
        <v>1345</v>
      </c>
      <c r="AC636" s="247" t="s">
        <v>1346</v>
      </c>
      <c r="AD636" s="247" t="s">
        <v>1347</v>
      </c>
      <c r="AE636" s="247" t="s">
        <v>507</v>
      </c>
      <c r="AF636" s="247">
        <v>52</v>
      </c>
      <c r="AG636" s="247"/>
      <c r="AH636" s="247">
        <v>20</v>
      </c>
      <c r="AI636" s="247">
        <v>15</v>
      </c>
      <c r="AJ636" s="247"/>
    </row>
    <row r="637" spans="27:36">
      <c r="AA637" s="247">
        <v>4541</v>
      </c>
      <c r="AB637" s="247" t="s">
        <v>1348</v>
      </c>
      <c r="AC637" s="247" t="s">
        <v>516</v>
      </c>
      <c r="AD637" s="247" t="s">
        <v>516</v>
      </c>
      <c r="AE637" s="247" t="s">
        <v>507</v>
      </c>
      <c r="AF637" s="247">
        <v>52</v>
      </c>
      <c r="AG637" s="247" t="s">
        <v>528</v>
      </c>
      <c r="AH637" s="247">
        <v>0</v>
      </c>
      <c r="AI637" s="247">
        <v>15</v>
      </c>
      <c r="AJ637" s="247"/>
    </row>
    <row r="638" spans="27:36">
      <c r="AA638" s="247">
        <v>4545</v>
      </c>
      <c r="AB638" s="247" t="s">
        <v>1349</v>
      </c>
      <c r="AC638" s="247" t="s">
        <v>516</v>
      </c>
      <c r="AD638" s="247" t="s">
        <v>516</v>
      </c>
      <c r="AE638" s="247" t="s">
        <v>533</v>
      </c>
      <c r="AF638" s="247">
        <v>52</v>
      </c>
      <c r="AG638" s="247" t="s">
        <v>528</v>
      </c>
      <c r="AH638" s="247">
        <v>0</v>
      </c>
      <c r="AI638" s="247">
        <v>15</v>
      </c>
      <c r="AJ638" s="247"/>
    </row>
    <row r="639" spans="27:36">
      <c r="AA639" s="247">
        <v>4555</v>
      </c>
      <c r="AB639" s="247" t="s">
        <v>1350</v>
      </c>
      <c r="AC639" s="247" t="s">
        <v>516</v>
      </c>
      <c r="AD639" s="247" t="s">
        <v>516</v>
      </c>
      <c r="AE639" s="247" t="s">
        <v>533</v>
      </c>
      <c r="AF639" s="247">
        <v>52</v>
      </c>
      <c r="AG639" s="247" t="s">
        <v>528</v>
      </c>
      <c r="AH639" s="247">
        <v>20</v>
      </c>
      <c r="AI639" s="247">
        <v>21</v>
      </c>
      <c r="AJ639" s="247"/>
    </row>
    <row r="640" spans="27:36">
      <c r="AA640" s="247">
        <v>4565</v>
      </c>
      <c r="AB640" s="247" t="s">
        <v>1351</v>
      </c>
      <c r="AC640" s="247" t="s">
        <v>516</v>
      </c>
      <c r="AD640" s="247" t="s">
        <v>516</v>
      </c>
      <c r="AE640" s="247" t="s">
        <v>533</v>
      </c>
      <c r="AF640" s="247">
        <v>52</v>
      </c>
      <c r="AG640" s="247" t="s">
        <v>528</v>
      </c>
      <c r="AH640" s="247">
        <v>0</v>
      </c>
      <c r="AI640" s="247">
        <v>21</v>
      </c>
      <c r="AJ640" s="247"/>
    </row>
    <row r="641" spans="27:36">
      <c r="AA641" s="247">
        <v>4582</v>
      </c>
      <c r="AB641" s="247" t="s">
        <v>1352</v>
      </c>
      <c r="AC641" s="247" t="s">
        <v>516</v>
      </c>
      <c r="AD641" s="247" t="s">
        <v>516</v>
      </c>
      <c r="AE641" s="247" t="s">
        <v>533</v>
      </c>
      <c r="AF641" s="247">
        <v>52</v>
      </c>
      <c r="AG641" s="247"/>
      <c r="AH641" s="247">
        <v>0</v>
      </c>
      <c r="AI641" s="247">
        <v>21</v>
      </c>
      <c r="AJ641" s="247"/>
    </row>
    <row r="642" spans="27:36">
      <c r="AA642" s="247">
        <v>4583</v>
      </c>
      <c r="AB642" s="247" t="s">
        <v>1353</v>
      </c>
      <c r="AC642" s="247" t="s">
        <v>516</v>
      </c>
      <c r="AD642" s="247" t="s">
        <v>516</v>
      </c>
      <c r="AE642" s="247" t="s">
        <v>533</v>
      </c>
      <c r="AF642" s="247">
        <v>52</v>
      </c>
      <c r="AG642" s="247"/>
      <c r="AH642" s="247">
        <v>0</v>
      </c>
      <c r="AI642" s="247">
        <v>21</v>
      </c>
      <c r="AJ642" s="247"/>
    </row>
    <row r="643" spans="27:36">
      <c r="AA643" s="247">
        <v>4584</v>
      </c>
      <c r="AB643" s="247" t="s">
        <v>1354</v>
      </c>
      <c r="AC643" s="247" t="s">
        <v>516</v>
      </c>
      <c r="AD643" s="247" t="s">
        <v>516</v>
      </c>
      <c r="AE643" s="247" t="s">
        <v>533</v>
      </c>
      <c r="AF643" s="247">
        <v>52</v>
      </c>
      <c r="AG643" s="247" t="s">
        <v>528</v>
      </c>
      <c r="AH643" s="247">
        <v>0</v>
      </c>
      <c r="AI643" s="247">
        <v>21</v>
      </c>
      <c r="AJ643" s="247"/>
    </row>
    <row r="644" spans="27:36">
      <c r="AA644" s="247">
        <v>4585</v>
      </c>
      <c r="AB644" s="247" t="s">
        <v>1355</v>
      </c>
      <c r="AC644" s="247" t="s">
        <v>516</v>
      </c>
      <c r="AD644" s="247" t="s">
        <v>516</v>
      </c>
      <c r="AE644" s="247" t="s">
        <v>533</v>
      </c>
      <c r="AF644" s="247">
        <v>52</v>
      </c>
      <c r="AG644" s="247" t="s">
        <v>528</v>
      </c>
      <c r="AH644" s="247">
        <v>20</v>
      </c>
      <c r="AI644" s="247">
        <v>21</v>
      </c>
      <c r="AJ644" s="247"/>
    </row>
    <row r="645" spans="27:36">
      <c r="AA645" s="247">
        <v>4587</v>
      </c>
      <c r="AB645" s="247" t="s">
        <v>1356</v>
      </c>
      <c r="AC645" s="247" t="s">
        <v>516</v>
      </c>
      <c r="AD645" s="247" t="s">
        <v>516</v>
      </c>
      <c r="AE645" s="247" t="s">
        <v>533</v>
      </c>
      <c r="AF645" s="247">
        <v>52</v>
      </c>
      <c r="AG645" s="247" t="s">
        <v>528</v>
      </c>
      <c r="AH645" s="247">
        <v>20</v>
      </c>
      <c r="AI645" s="247">
        <v>21</v>
      </c>
      <c r="AJ645" s="247"/>
    </row>
    <row r="646" spans="27:36">
      <c r="AA646" s="247">
        <v>4588</v>
      </c>
      <c r="AB646" s="247" t="s">
        <v>1357</v>
      </c>
      <c r="AC646" s="247" t="s">
        <v>516</v>
      </c>
      <c r="AD646" s="247" t="s">
        <v>516</v>
      </c>
      <c r="AE646" s="247" t="s">
        <v>533</v>
      </c>
      <c r="AF646" s="247">
        <v>52</v>
      </c>
      <c r="AG646" s="247"/>
      <c r="AH646" s="247">
        <v>20</v>
      </c>
      <c r="AI646" s="247">
        <v>21</v>
      </c>
      <c r="AJ646" s="247"/>
    </row>
    <row r="647" spans="27:36">
      <c r="AA647" s="247">
        <v>4589</v>
      </c>
      <c r="AB647" s="247" t="s">
        <v>1358</v>
      </c>
      <c r="AC647" s="247" t="s">
        <v>516</v>
      </c>
      <c r="AD647" s="247" t="s">
        <v>516</v>
      </c>
      <c r="AE647" s="247" t="s">
        <v>533</v>
      </c>
      <c r="AF647" s="247">
        <v>52</v>
      </c>
      <c r="AG647" s="247" t="s">
        <v>528</v>
      </c>
      <c r="AH647" s="247">
        <v>20</v>
      </c>
      <c r="AI647" s="247">
        <v>21</v>
      </c>
      <c r="AJ647" s="247"/>
    </row>
    <row r="648" spans="27:36">
      <c r="AA648" s="247">
        <v>4600</v>
      </c>
      <c r="AB648" s="247" t="s">
        <v>1359</v>
      </c>
      <c r="AC648" s="247" t="s">
        <v>516</v>
      </c>
      <c r="AD648" s="247" t="s">
        <v>516</v>
      </c>
      <c r="AE648" s="247" t="s">
        <v>543</v>
      </c>
      <c r="AF648" s="247">
        <v>0</v>
      </c>
      <c r="AG648" s="247" t="s">
        <v>528</v>
      </c>
      <c r="AH648" s="247">
        <v>20</v>
      </c>
      <c r="AI648" s="247">
        <v>27</v>
      </c>
      <c r="AJ648" s="247"/>
    </row>
    <row r="649" spans="27:36">
      <c r="AA649" s="247">
        <v>4603</v>
      </c>
      <c r="AB649" s="247" t="s">
        <v>1360</v>
      </c>
      <c r="AC649" s="247" t="s">
        <v>516</v>
      </c>
      <c r="AD649" s="247" t="s">
        <v>516</v>
      </c>
      <c r="AE649" s="247" t="s">
        <v>543</v>
      </c>
      <c r="AF649" s="247">
        <v>0</v>
      </c>
      <c r="AG649" s="247"/>
      <c r="AH649" s="247">
        <v>20</v>
      </c>
      <c r="AI649" s="247">
        <v>27</v>
      </c>
      <c r="AJ649" s="247"/>
    </row>
    <row r="650" spans="27:36">
      <c r="AA650" s="247">
        <v>4604</v>
      </c>
      <c r="AB650" s="247" t="s">
        <v>1361</v>
      </c>
      <c r="AC650" s="247" t="s">
        <v>516</v>
      </c>
      <c r="AD650" s="247" t="s">
        <v>516</v>
      </c>
      <c r="AE650" s="247" t="s">
        <v>543</v>
      </c>
      <c r="AF650" s="247">
        <v>0</v>
      </c>
      <c r="AG650" s="247"/>
      <c r="AH650" s="247">
        <v>30</v>
      </c>
      <c r="AI650" s="247">
        <v>27</v>
      </c>
      <c r="AJ650" s="247"/>
    </row>
    <row r="651" spans="27:36">
      <c r="AA651" s="247">
        <v>4605</v>
      </c>
      <c r="AB651" s="247" t="s">
        <v>1362</v>
      </c>
      <c r="AC651" s="247" t="s">
        <v>516</v>
      </c>
      <c r="AD651" s="247" t="s">
        <v>516</v>
      </c>
      <c r="AE651" s="247" t="s">
        <v>543</v>
      </c>
      <c r="AF651" s="247">
        <v>0</v>
      </c>
      <c r="AG651" s="247" t="s">
        <v>528</v>
      </c>
      <c r="AH651" s="247">
        <v>20</v>
      </c>
      <c r="AI651" s="247">
        <v>27</v>
      </c>
      <c r="AJ651" s="247"/>
    </row>
    <row r="652" spans="27:36">
      <c r="AA652" s="247">
        <v>4607</v>
      </c>
      <c r="AB652" s="247" t="s">
        <v>1363</v>
      </c>
      <c r="AC652" s="247" t="s">
        <v>516</v>
      </c>
      <c r="AD652" s="247" t="s">
        <v>516</v>
      </c>
      <c r="AE652" s="247" t="s">
        <v>543</v>
      </c>
      <c r="AF652" s="247">
        <v>0</v>
      </c>
      <c r="AG652" s="247"/>
      <c r="AH652" s="247">
        <v>0</v>
      </c>
      <c r="AI652" s="247">
        <v>27</v>
      </c>
      <c r="AJ652" s="247"/>
    </row>
    <row r="653" spans="27:36">
      <c r="AA653" s="247">
        <v>4608</v>
      </c>
      <c r="AB653" s="247" t="s">
        <v>1364</v>
      </c>
      <c r="AC653" s="247" t="s">
        <v>516</v>
      </c>
      <c r="AD653" s="247" t="s">
        <v>516</v>
      </c>
      <c r="AE653" s="247" t="s">
        <v>543</v>
      </c>
      <c r="AF653" s="247">
        <v>0</v>
      </c>
      <c r="AG653" s="247"/>
      <c r="AH653" s="247">
        <v>20</v>
      </c>
      <c r="AI653" s="247">
        <v>27</v>
      </c>
      <c r="AJ653" s="247"/>
    </row>
    <row r="654" spans="27:36">
      <c r="AA654" s="247">
        <v>4609</v>
      </c>
      <c r="AB654" s="247" t="s">
        <v>1365</v>
      </c>
      <c r="AC654" s="247" t="s">
        <v>516</v>
      </c>
      <c r="AD654" s="247" t="s">
        <v>516</v>
      </c>
      <c r="AE654" s="247" t="s">
        <v>533</v>
      </c>
      <c r="AF654" s="247">
        <v>52</v>
      </c>
      <c r="AG654" s="247" t="s">
        <v>528</v>
      </c>
      <c r="AH654" s="247">
        <v>20</v>
      </c>
      <c r="AI654" s="247">
        <v>22</v>
      </c>
      <c r="AJ654" s="247"/>
    </row>
    <row r="655" spans="27:36">
      <c r="AA655" s="247">
        <v>4611</v>
      </c>
      <c r="AB655" s="247" t="s">
        <v>1366</v>
      </c>
      <c r="AC655" s="247" t="s">
        <v>516</v>
      </c>
      <c r="AD655" s="247" t="s">
        <v>516</v>
      </c>
      <c r="AE655" s="247" t="s">
        <v>543</v>
      </c>
      <c r="AF655" s="247">
        <v>0</v>
      </c>
      <c r="AG655" s="247" t="s">
        <v>528</v>
      </c>
      <c r="AH655" s="247">
        <v>20</v>
      </c>
      <c r="AI655" s="247">
        <v>27</v>
      </c>
      <c r="AJ655" s="247"/>
    </row>
    <row r="656" spans="27:36">
      <c r="AA656" s="247">
        <v>4620</v>
      </c>
      <c r="AB656" s="247" t="s">
        <v>1367</v>
      </c>
      <c r="AC656" s="247" t="s">
        <v>516</v>
      </c>
      <c r="AD656" s="247" t="s">
        <v>516</v>
      </c>
      <c r="AE656" s="247" t="s">
        <v>507</v>
      </c>
      <c r="AF656" s="247">
        <v>0</v>
      </c>
      <c r="AG656" s="247"/>
      <c r="AH656" s="247">
        <v>20</v>
      </c>
      <c r="AI656" s="247">
        <v>27</v>
      </c>
      <c r="AJ656" s="247"/>
    </row>
    <row r="657" spans="27:36">
      <c r="AA657" s="247">
        <v>4645</v>
      </c>
      <c r="AB657" s="247" t="s">
        <v>1368</v>
      </c>
      <c r="AC657" s="247" t="s">
        <v>516</v>
      </c>
      <c r="AD657" s="247" t="s">
        <v>516</v>
      </c>
      <c r="AE657" s="247" t="s">
        <v>533</v>
      </c>
      <c r="AF657" s="247">
        <v>52</v>
      </c>
      <c r="AG657" s="247" t="s">
        <v>528</v>
      </c>
      <c r="AH657" s="247">
        <v>20</v>
      </c>
      <c r="AI657" s="247">
        <v>21</v>
      </c>
      <c r="AJ657" s="247"/>
    </row>
    <row r="658" spans="27:36">
      <c r="AA658" s="247">
        <v>4647</v>
      </c>
      <c r="AB658" s="247" t="s">
        <v>1369</v>
      </c>
      <c r="AC658" s="247" t="s">
        <v>516</v>
      </c>
      <c r="AD658" s="247" t="s">
        <v>516</v>
      </c>
      <c r="AE658" s="247" t="s">
        <v>533</v>
      </c>
      <c r="AF658" s="247">
        <v>52</v>
      </c>
      <c r="AG658" s="247" t="s">
        <v>528</v>
      </c>
      <c r="AH658" s="247">
        <v>20</v>
      </c>
      <c r="AI658" s="247">
        <v>21</v>
      </c>
      <c r="AJ658" s="247"/>
    </row>
    <row r="659" spans="27:36">
      <c r="AA659" s="247">
        <v>4700</v>
      </c>
      <c r="AB659" s="247" t="s">
        <v>1370</v>
      </c>
      <c r="AC659" s="247" t="s">
        <v>516</v>
      </c>
      <c r="AD659" s="247" t="s">
        <v>516</v>
      </c>
      <c r="AE659" s="247" t="s">
        <v>543</v>
      </c>
      <c r="AF659" s="247">
        <v>0</v>
      </c>
      <c r="AG659" s="247" t="s">
        <v>528</v>
      </c>
      <c r="AH659" s="247">
        <v>20</v>
      </c>
      <c r="AI659" s="247">
        <v>27</v>
      </c>
      <c r="AJ659" s="247"/>
    </row>
    <row r="660" spans="27:36">
      <c r="AA660" s="247">
        <v>4710</v>
      </c>
      <c r="AB660" s="247" t="s">
        <v>1371</v>
      </c>
      <c r="AC660" s="247" t="s">
        <v>516</v>
      </c>
      <c r="AD660" s="247" t="s">
        <v>516</v>
      </c>
      <c r="AE660" s="247" t="s">
        <v>507</v>
      </c>
      <c r="AF660" s="247">
        <v>0</v>
      </c>
      <c r="AG660" s="247"/>
      <c r="AH660" s="247">
        <v>20</v>
      </c>
      <c r="AI660" s="247">
        <v>27</v>
      </c>
      <c r="AJ660" s="247"/>
    </row>
    <row r="661" spans="27:36">
      <c r="AA661" s="247">
        <v>4720</v>
      </c>
      <c r="AB661" s="247" t="s">
        <v>1372</v>
      </c>
      <c r="AC661" s="247" t="s">
        <v>516</v>
      </c>
      <c r="AD661" s="247" t="s">
        <v>516</v>
      </c>
      <c r="AE661" s="247" t="s">
        <v>543</v>
      </c>
      <c r="AF661" s="247">
        <v>0</v>
      </c>
      <c r="AG661" s="247" t="s">
        <v>528</v>
      </c>
      <c r="AH661" s="247">
        <v>20</v>
      </c>
      <c r="AI661" s="247">
        <v>27</v>
      </c>
      <c r="AJ661" s="247"/>
    </row>
    <row r="662" spans="27:36">
      <c r="AA662" s="247">
        <v>4730</v>
      </c>
      <c r="AB662" s="247" t="s">
        <v>1373</v>
      </c>
      <c r="AC662" s="247" t="s">
        <v>516</v>
      </c>
      <c r="AD662" s="247" t="s">
        <v>516</v>
      </c>
      <c r="AE662" s="247" t="s">
        <v>507</v>
      </c>
      <c r="AF662" s="247">
        <v>0</v>
      </c>
      <c r="AG662" s="247"/>
      <c r="AH662" s="247">
        <v>20</v>
      </c>
      <c r="AI662" s="247">
        <v>28</v>
      </c>
      <c r="AJ662" s="247"/>
    </row>
    <row r="663" spans="27:36">
      <c r="AA663" s="247">
        <v>4800</v>
      </c>
      <c r="AB663" s="247" t="s">
        <v>1374</v>
      </c>
      <c r="AC663" s="247" t="s">
        <v>516</v>
      </c>
      <c r="AD663" s="247" t="s">
        <v>516</v>
      </c>
      <c r="AE663" s="247" t="s">
        <v>543</v>
      </c>
      <c r="AF663" s="247">
        <v>0</v>
      </c>
      <c r="AG663" s="247" t="s">
        <v>528</v>
      </c>
      <c r="AH663" s="247">
        <v>20</v>
      </c>
      <c r="AI663" s="247">
        <v>27</v>
      </c>
      <c r="AJ663" s="247"/>
    </row>
    <row r="664" spans="27:36">
      <c r="AA664" s="247">
        <v>4810</v>
      </c>
      <c r="AB664" s="247" t="s">
        <v>1375</v>
      </c>
      <c r="AC664" s="247" t="s">
        <v>516</v>
      </c>
      <c r="AD664" s="247" t="s">
        <v>516</v>
      </c>
      <c r="AE664" s="247" t="s">
        <v>543</v>
      </c>
      <c r="AF664" s="247">
        <v>0</v>
      </c>
      <c r="AG664" s="247" t="s">
        <v>528</v>
      </c>
      <c r="AH664" s="247">
        <v>20</v>
      </c>
      <c r="AI664" s="247">
        <v>27</v>
      </c>
      <c r="AJ664" s="247"/>
    </row>
    <row r="665" spans="27:36">
      <c r="AA665" s="247">
        <v>4951</v>
      </c>
      <c r="AB665" s="247" t="s">
        <v>1376</v>
      </c>
      <c r="AC665" s="247" t="s">
        <v>516</v>
      </c>
      <c r="AD665" s="247" t="s">
        <v>516</v>
      </c>
      <c r="AE665" s="247" t="s">
        <v>543</v>
      </c>
      <c r="AF665" s="247">
        <v>0</v>
      </c>
      <c r="AG665" s="247"/>
      <c r="AH665" s="247">
        <v>20</v>
      </c>
      <c r="AI665" s="247">
        <v>27</v>
      </c>
      <c r="AJ665" s="247"/>
    </row>
    <row r="666" spans="27:36">
      <c r="AA666" s="247">
        <v>4956</v>
      </c>
      <c r="AB666" s="247" t="s">
        <v>1377</v>
      </c>
      <c r="AC666" s="247" t="s">
        <v>516</v>
      </c>
      <c r="AD666" s="247" t="s">
        <v>516</v>
      </c>
      <c r="AE666" s="247" t="s">
        <v>543</v>
      </c>
      <c r="AF666" s="247">
        <v>0</v>
      </c>
      <c r="AG666" s="247"/>
      <c r="AH666" s="247">
        <v>20</v>
      </c>
      <c r="AI666" s="247">
        <v>27</v>
      </c>
      <c r="AJ666" s="247"/>
    </row>
    <row r="667" spans="27:36">
      <c r="AA667" s="247">
        <v>4960</v>
      </c>
      <c r="AB667" s="247" t="s">
        <v>1378</v>
      </c>
      <c r="AC667" s="247" t="s">
        <v>516</v>
      </c>
      <c r="AD667" s="247" t="s">
        <v>516</v>
      </c>
      <c r="AE667" s="247" t="s">
        <v>507</v>
      </c>
      <c r="AF667" s="247">
        <v>52</v>
      </c>
      <c r="AG667" s="247" t="s">
        <v>528</v>
      </c>
      <c r="AH667" s="247">
        <v>20</v>
      </c>
      <c r="AI667" s="247">
        <v>15</v>
      </c>
      <c r="AJ667" s="247"/>
    </row>
    <row r="668" spans="27:36">
      <c r="AA668" s="247">
        <v>4970</v>
      </c>
      <c r="AB668" s="247" t="s">
        <v>1379</v>
      </c>
      <c r="AC668" s="247" t="s">
        <v>516</v>
      </c>
      <c r="AD668" s="247" t="s">
        <v>516</v>
      </c>
      <c r="AE668" s="247" t="s">
        <v>507</v>
      </c>
      <c r="AF668" s="247">
        <v>52</v>
      </c>
      <c r="AG668" s="247" t="s">
        <v>528</v>
      </c>
      <c r="AH668" s="247">
        <v>20</v>
      </c>
      <c r="AI668" s="247">
        <v>15</v>
      </c>
      <c r="AJ668" s="247"/>
    </row>
    <row r="669" spans="27:36">
      <c r="AA669" s="247">
        <v>5000</v>
      </c>
      <c r="AB669" s="247" t="s">
        <v>1380</v>
      </c>
      <c r="AC669" s="247" t="s">
        <v>1381</v>
      </c>
      <c r="AD669" s="247" t="s">
        <v>1382</v>
      </c>
      <c r="AE669" s="247" t="s">
        <v>543</v>
      </c>
      <c r="AF669" s="247">
        <v>0</v>
      </c>
      <c r="AG669" s="247" t="s">
        <v>528</v>
      </c>
      <c r="AH669" s="247">
        <v>20</v>
      </c>
      <c r="AI669" s="247">
        <v>27</v>
      </c>
      <c r="AJ669" s="247"/>
    </row>
    <row r="670" spans="27:36">
      <c r="AA670" s="247">
        <v>5001</v>
      </c>
      <c r="AB670" s="247" t="s">
        <v>1383</v>
      </c>
      <c r="AC670" s="247" t="s">
        <v>516</v>
      </c>
      <c r="AD670" s="247" t="s">
        <v>516</v>
      </c>
      <c r="AE670" s="247" t="s">
        <v>543</v>
      </c>
      <c r="AF670" s="247">
        <v>0</v>
      </c>
      <c r="AG670" s="247" t="s">
        <v>528</v>
      </c>
      <c r="AH670" s="247">
        <v>20</v>
      </c>
      <c r="AI670" s="247">
        <v>27</v>
      </c>
      <c r="AJ670" s="247"/>
    </row>
    <row r="671" spans="27:36">
      <c r="AA671" s="247">
        <v>5020</v>
      </c>
      <c r="AB671" s="247" t="s">
        <v>1384</v>
      </c>
      <c r="AC671" s="247" t="s">
        <v>516</v>
      </c>
      <c r="AD671" s="247" t="s">
        <v>516</v>
      </c>
      <c r="AE671" s="247" t="s">
        <v>543</v>
      </c>
      <c r="AF671" s="247">
        <v>0</v>
      </c>
      <c r="AG671" s="247" t="s">
        <v>528</v>
      </c>
      <c r="AH671" s="247">
        <v>20</v>
      </c>
      <c r="AI671" s="247">
        <v>27</v>
      </c>
      <c r="AJ671" s="247"/>
    </row>
    <row r="672" spans="27:36">
      <c r="AA672" s="247">
        <v>5025</v>
      </c>
      <c r="AB672" s="247" t="s">
        <v>1385</v>
      </c>
      <c r="AC672" s="247" t="s">
        <v>516</v>
      </c>
      <c r="AD672" s="247" t="s">
        <v>516</v>
      </c>
      <c r="AE672" s="247" t="s">
        <v>543</v>
      </c>
      <c r="AF672" s="247">
        <v>0</v>
      </c>
      <c r="AG672" s="247" t="s">
        <v>528</v>
      </c>
      <c r="AH672" s="247">
        <v>20</v>
      </c>
      <c r="AI672" s="247">
        <v>27</v>
      </c>
      <c r="AJ672" s="247"/>
    </row>
    <row r="673" spans="27:36">
      <c r="AA673" s="247">
        <v>5100</v>
      </c>
      <c r="AB673" s="247" t="s">
        <v>1386</v>
      </c>
      <c r="AC673" s="247" t="s">
        <v>1387</v>
      </c>
      <c r="AD673" s="247" t="s">
        <v>1388</v>
      </c>
      <c r="AE673" s="247" t="s">
        <v>543</v>
      </c>
      <c r="AF673" s="247">
        <v>0</v>
      </c>
      <c r="AG673" s="247" t="s">
        <v>528</v>
      </c>
      <c r="AH673" s="247">
        <v>0</v>
      </c>
      <c r="AI673" s="247">
        <v>27</v>
      </c>
      <c r="AJ673" s="247"/>
    </row>
    <row r="674" spans="27:36">
      <c r="AA674" s="247">
        <v>5500</v>
      </c>
      <c r="AB674" s="247" t="s">
        <v>1389</v>
      </c>
      <c r="AC674" s="247" t="s">
        <v>1390</v>
      </c>
      <c r="AD674" s="247" t="s">
        <v>1391</v>
      </c>
      <c r="AE674" s="247" t="s">
        <v>533</v>
      </c>
      <c r="AF674" s="247">
        <v>52</v>
      </c>
      <c r="AG674" s="247" t="s">
        <v>528</v>
      </c>
      <c r="AH674" s="247">
        <v>10</v>
      </c>
      <c r="AI674" s="247">
        <v>23</v>
      </c>
      <c r="AJ674" s="247" t="s">
        <v>1392</v>
      </c>
    </row>
    <row r="675" spans="27:36">
      <c r="AA675" s="247">
        <v>5505</v>
      </c>
      <c r="AB675" s="247" t="s">
        <v>1393</v>
      </c>
      <c r="AC675" s="247" t="s">
        <v>516</v>
      </c>
      <c r="AD675" s="247" t="s">
        <v>516</v>
      </c>
      <c r="AE675" s="247" t="s">
        <v>543</v>
      </c>
      <c r="AF675" s="247">
        <v>0</v>
      </c>
      <c r="AG675" s="247"/>
      <c r="AH675" s="247">
        <v>0</v>
      </c>
      <c r="AI675" s="247">
        <v>27</v>
      </c>
      <c r="AJ675" s="247"/>
    </row>
    <row r="676" spans="27:36">
      <c r="AA676" s="247">
        <v>5506</v>
      </c>
      <c r="AB676" s="247" t="s">
        <v>1394</v>
      </c>
      <c r="AC676" s="247" t="s">
        <v>516</v>
      </c>
      <c r="AD676" s="247" t="s">
        <v>516</v>
      </c>
      <c r="AE676" s="247" t="s">
        <v>533</v>
      </c>
      <c r="AF676" s="247">
        <v>52</v>
      </c>
      <c r="AG676" s="247" t="s">
        <v>528</v>
      </c>
      <c r="AH676" s="247">
        <v>20</v>
      </c>
      <c r="AI676" s="247">
        <v>23</v>
      </c>
      <c r="AJ676" s="247" t="s">
        <v>1392</v>
      </c>
    </row>
    <row r="677" spans="27:36">
      <c r="AA677" s="247">
        <v>5507</v>
      </c>
      <c r="AB677" s="247" t="s">
        <v>1395</v>
      </c>
      <c r="AC677" s="247" t="s">
        <v>516</v>
      </c>
      <c r="AD677" s="247" t="s">
        <v>516</v>
      </c>
      <c r="AE677" s="247" t="s">
        <v>533</v>
      </c>
      <c r="AF677" s="247">
        <v>52</v>
      </c>
      <c r="AG677" s="247" t="s">
        <v>528</v>
      </c>
      <c r="AH677" s="247">
        <v>20</v>
      </c>
      <c r="AI677" s="247">
        <v>23</v>
      </c>
      <c r="AJ677" s="247" t="s">
        <v>1392</v>
      </c>
    </row>
    <row r="678" spans="27:36">
      <c r="AA678" s="247">
        <v>5510</v>
      </c>
      <c r="AB678" s="247" t="s">
        <v>1396</v>
      </c>
      <c r="AC678" s="247" t="s">
        <v>1397</v>
      </c>
      <c r="AD678" s="247" t="s">
        <v>1398</v>
      </c>
      <c r="AE678" s="247" t="s">
        <v>533</v>
      </c>
      <c r="AF678" s="247">
        <v>52</v>
      </c>
      <c r="AG678" s="247" t="s">
        <v>528</v>
      </c>
      <c r="AH678" s="247">
        <v>20</v>
      </c>
      <c r="AI678" s="247">
        <v>23</v>
      </c>
      <c r="AJ678" s="247" t="s">
        <v>1392</v>
      </c>
    </row>
    <row r="679" spans="27:36">
      <c r="AA679" s="247">
        <v>5516</v>
      </c>
      <c r="AB679" s="247" t="s">
        <v>1399</v>
      </c>
      <c r="AC679" s="247" t="s">
        <v>516</v>
      </c>
      <c r="AD679" s="247" t="s">
        <v>516</v>
      </c>
      <c r="AE679" s="247" t="s">
        <v>533</v>
      </c>
      <c r="AF679" s="247">
        <v>52</v>
      </c>
      <c r="AG679" s="247" t="s">
        <v>528</v>
      </c>
      <c r="AH679" s="247">
        <v>20</v>
      </c>
      <c r="AI679" s="247">
        <v>23</v>
      </c>
      <c r="AJ679" s="247" t="s">
        <v>1392</v>
      </c>
    </row>
    <row r="680" spans="27:36">
      <c r="AA680" s="247">
        <v>5517</v>
      </c>
      <c r="AB680" s="247" t="s">
        <v>1400</v>
      </c>
      <c r="AC680" s="247" t="s">
        <v>516</v>
      </c>
      <c r="AD680" s="247" t="s">
        <v>516</v>
      </c>
      <c r="AE680" s="247" t="s">
        <v>533</v>
      </c>
      <c r="AF680" s="247">
        <v>52</v>
      </c>
      <c r="AG680" s="247" t="s">
        <v>528</v>
      </c>
      <c r="AH680" s="247">
        <v>0</v>
      </c>
      <c r="AI680" s="247">
        <v>23</v>
      </c>
      <c r="AJ680" s="247" t="s">
        <v>1392</v>
      </c>
    </row>
    <row r="681" spans="27:36">
      <c r="AA681" s="247">
        <v>5520</v>
      </c>
      <c r="AB681" s="247" t="s">
        <v>1401</v>
      </c>
      <c r="AC681" s="247" t="s">
        <v>516</v>
      </c>
      <c r="AD681" s="247" t="s">
        <v>516</v>
      </c>
      <c r="AE681" s="247" t="s">
        <v>533</v>
      </c>
      <c r="AF681" s="247">
        <v>52</v>
      </c>
      <c r="AG681" s="247" t="s">
        <v>528</v>
      </c>
      <c r="AH681" s="247">
        <v>20</v>
      </c>
      <c r="AI681" s="247">
        <v>21</v>
      </c>
      <c r="AJ681" s="247" t="s">
        <v>1392</v>
      </c>
    </row>
    <row r="682" spans="27:36">
      <c r="AA682" s="247">
        <v>5525</v>
      </c>
      <c r="AB682" s="247" t="s">
        <v>1402</v>
      </c>
      <c r="AC682" s="247" t="s">
        <v>516</v>
      </c>
      <c r="AD682" s="247" t="s">
        <v>516</v>
      </c>
      <c r="AE682" s="247" t="s">
        <v>533</v>
      </c>
      <c r="AF682" s="247">
        <v>52</v>
      </c>
      <c r="AG682" s="247" t="s">
        <v>528</v>
      </c>
      <c r="AH682" s="247">
        <v>20</v>
      </c>
      <c r="AI682" s="247">
        <v>21</v>
      </c>
      <c r="AJ682" s="247" t="s">
        <v>1392</v>
      </c>
    </row>
    <row r="683" spans="27:36">
      <c r="AA683" s="247">
        <v>5550</v>
      </c>
      <c r="AB683" s="247" t="s">
        <v>1403</v>
      </c>
      <c r="AC683" s="247" t="s">
        <v>1404</v>
      </c>
      <c r="AD683" s="247" t="s">
        <v>1405</v>
      </c>
      <c r="AE683" s="247" t="s">
        <v>533</v>
      </c>
      <c r="AF683" s="247">
        <v>52</v>
      </c>
      <c r="AG683" s="247" t="s">
        <v>528</v>
      </c>
      <c r="AH683" s="247">
        <v>0</v>
      </c>
      <c r="AI683" s="247">
        <v>23</v>
      </c>
      <c r="AJ683" s="247" t="s">
        <v>1392</v>
      </c>
    </row>
    <row r="684" spans="27:36">
      <c r="AA684" s="247">
        <v>5600</v>
      </c>
      <c r="AB684" s="247" t="s">
        <v>1406</v>
      </c>
      <c r="AC684" s="247" t="s">
        <v>1407</v>
      </c>
      <c r="AD684" s="247" t="s">
        <v>1408</v>
      </c>
      <c r="AE684" s="247" t="s">
        <v>533</v>
      </c>
      <c r="AF684" s="247">
        <v>52</v>
      </c>
      <c r="AG684" s="247" t="s">
        <v>528</v>
      </c>
      <c r="AH684" s="247">
        <v>20</v>
      </c>
      <c r="AI684" s="247">
        <v>24</v>
      </c>
      <c r="AJ684" s="247" t="s">
        <v>1392</v>
      </c>
    </row>
    <row r="685" spans="27:36">
      <c r="AA685" s="247">
        <v>5700</v>
      </c>
      <c r="AB685" s="247" t="s">
        <v>1409</v>
      </c>
      <c r="AC685" s="247" t="s">
        <v>1410</v>
      </c>
      <c r="AD685" s="247" t="s">
        <v>1411</v>
      </c>
      <c r="AE685" s="247" t="s">
        <v>533</v>
      </c>
      <c r="AF685" s="247">
        <v>52</v>
      </c>
      <c r="AG685" s="247" t="s">
        <v>528</v>
      </c>
      <c r="AH685" s="247">
        <v>0</v>
      </c>
      <c r="AI685" s="247">
        <v>23</v>
      </c>
      <c r="AJ685" s="247" t="s">
        <v>1392</v>
      </c>
    </row>
    <row r="686" spans="27:36">
      <c r="AA686" s="247">
        <v>5710</v>
      </c>
      <c r="AB686" s="247" t="s">
        <v>1412</v>
      </c>
      <c r="AC686" s="247" t="s">
        <v>1413</v>
      </c>
      <c r="AD686" s="247" t="s">
        <v>1414</v>
      </c>
      <c r="AE686" s="247" t="s">
        <v>533</v>
      </c>
      <c r="AF686" s="247">
        <v>52</v>
      </c>
      <c r="AG686" s="247" t="s">
        <v>528</v>
      </c>
      <c r="AH686" s="247">
        <v>10</v>
      </c>
      <c r="AI686" s="247">
        <v>23</v>
      </c>
      <c r="AJ686" s="247" t="s">
        <v>1392</v>
      </c>
    </row>
    <row r="687" spans="27:36">
      <c r="AA687" s="247">
        <v>5730</v>
      </c>
      <c r="AB687" s="247" t="s">
        <v>1415</v>
      </c>
      <c r="AC687" s="247" t="s">
        <v>516</v>
      </c>
      <c r="AD687" s="247" t="s">
        <v>516</v>
      </c>
      <c r="AE687" s="247" t="s">
        <v>543</v>
      </c>
      <c r="AF687" s="247">
        <v>0</v>
      </c>
      <c r="AG687" s="247" t="s">
        <v>528</v>
      </c>
      <c r="AH687" s="247">
        <v>0</v>
      </c>
      <c r="AI687" s="247">
        <v>27</v>
      </c>
      <c r="AJ687" s="247"/>
    </row>
    <row r="688" spans="27:36">
      <c r="AA688" s="247">
        <v>5750</v>
      </c>
      <c r="AB688" s="247" t="s">
        <v>1416</v>
      </c>
      <c r="AC688" s="247" t="s">
        <v>516</v>
      </c>
      <c r="AD688" s="247" t="s">
        <v>516</v>
      </c>
      <c r="AE688" s="247" t="s">
        <v>507</v>
      </c>
      <c r="AF688" s="247">
        <v>0</v>
      </c>
      <c r="AG688" s="247"/>
      <c r="AH688" s="247">
        <v>20</v>
      </c>
      <c r="AI688" s="247">
        <v>27</v>
      </c>
      <c r="AJ688" s="247"/>
    </row>
    <row r="689" spans="27:36">
      <c r="AA689" s="247">
        <v>5760</v>
      </c>
      <c r="AB689" s="247" t="s">
        <v>1417</v>
      </c>
      <c r="AC689" s="247" t="s">
        <v>516</v>
      </c>
      <c r="AD689" s="247" t="s">
        <v>516</v>
      </c>
      <c r="AE689" s="247" t="s">
        <v>507</v>
      </c>
      <c r="AF689" s="247">
        <v>52</v>
      </c>
      <c r="AG689" s="247"/>
      <c r="AH689" s="247">
        <v>20</v>
      </c>
      <c r="AI689" s="247">
        <v>28</v>
      </c>
      <c r="AJ689" s="247"/>
    </row>
    <row r="690" spans="27:36">
      <c r="AA690" s="247">
        <v>5770</v>
      </c>
      <c r="AB690" s="247" t="s">
        <v>1418</v>
      </c>
      <c r="AC690" s="247" t="s">
        <v>516</v>
      </c>
      <c r="AD690" s="247" t="s">
        <v>516</v>
      </c>
      <c r="AE690" s="247" t="s">
        <v>507</v>
      </c>
      <c r="AF690" s="247">
        <v>52</v>
      </c>
      <c r="AG690" s="247"/>
      <c r="AH690" s="247">
        <v>20</v>
      </c>
      <c r="AI690" s="247">
        <v>28</v>
      </c>
      <c r="AJ690" s="247"/>
    </row>
    <row r="691" spans="27:36">
      <c r="AA691" s="247">
        <v>6000</v>
      </c>
      <c r="AB691" s="247" t="s">
        <v>1419</v>
      </c>
      <c r="AC691" s="247" t="s">
        <v>1420</v>
      </c>
      <c r="AD691" s="247" t="s">
        <v>1421</v>
      </c>
      <c r="AE691" s="247" t="s">
        <v>533</v>
      </c>
      <c r="AF691" s="247">
        <v>52</v>
      </c>
      <c r="AG691" s="247" t="s">
        <v>528</v>
      </c>
      <c r="AH691" s="247">
        <v>20</v>
      </c>
      <c r="AI691" s="247">
        <v>24</v>
      </c>
      <c r="AJ691" s="247" t="s">
        <v>1422</v>
      </c>
    </row>
    <row r="692" spans="27:36">
      <c r="AA692" s="247">
        <v>6007</v>
      </c>
      <c r="AB692" s="247" t="s">
        <v>1423</v>
      </c>
      <c r="AC692" s="247" t="s">
        <v>516</v>
      </c>
      <c r="AD692" s="247" t="s">
        <v>516</v>
      </c>
      <c r="AE692" s="247" t="s">
        <v>533</v>
      </c>
      <c r="AF692" s="247">
        <v>52</v>
      </c>
      <c r="AG692" s="247" t="s">
        <v>528</v>
      </c>
      <c r="AH692" s="247">
        <v>20</v>
      </c>
      <c r="AI692" s="247">
        <v>24</v>
      </c>
      <c r="AJ692" s="247" t="s">
        <v>1422</v>
      </c>
    </row>
    <row r="693" spans="27:36">
      <c r="AA693" s="247">
        <v>6012</v>
      </c>
      <c r="AB693" s="247" t="s">
        <v>1424</v>
      </c>
      <c r="AC693" s="247" t="s">
        <v>516</v>
      </c>
      <c r="AD693" s="247" t="s">
        <v>516</v>
      </c>
      <c r="AE693" s="247" t="s">
        <v>533</v>
      </c>
      <c r="AF693" s="247">
        <v>52</v>
      </c>
      <c r="AG693" s="247" t="s">
        <v>528</v>
      </c>
      <c r="AH693" s="247">
        <v>20</v>
      </c>
      <c r="AI693" s="247">
        <v>24</v>
      </c>
      <c r="AJ693" s="247" t="s">
        <v>1422</v>
      </c>
    </row>
    <row r="694" spans="27:36">
      <c r="AA694" s="247">
        <v>6039</v>
      </c>
      <c r="AB694" s="247" t="s">
        <v>1425</v>
      </c>
      <c r="AC694" s="247" t="s">
        <v>516</v>
      </c>
      <c r="AD694" s="247" t="s">
        <v>516</v>
      </c>
      <c r="AE694" s="247" t="s">
        <v>543</v>
      </c>
      <c r="AF694" s="247">
        <v>0</v>
      </c>
      <c r="AG694" s="247" t="s">
        <v>528</v>
      </c>
      <c r="AH694" s="247">
        <v>20</v>
      </c>
      <c r="AI694" s="247">
        <v>27</v>
      </c>
      <c r="AJ694" s="247"/>
    </row>
    <row r="695" spans="27:36">
      <c r="AA695" s="247">
        <v>6040</v>
      </c>
      <c r="AB695" s="247" t="s">
        <v>1426</v>
      </c>
      <c r="AC695" s="247" t="s">
        <v>516</v>
      </c>
      <c r="AD695" s="247" t="s">
        <v>516</v>
      </c>
      <c r="AE695" s="247" t="s">
        <v>543</v>
      </c>
      <c r="AF695" s="247">
        <v>0</v>
      </c>
      <c r="AG695" s="247" t="s">
        <v>528</v>
      </c>
      <c r="AH695" s="247">
        <v>20</v>
      </c>
      <c r="AI695" s="247">
        <v>27</v>
      </c>
      <c r="AJ695" s="247"/>
    </row>
    <row r="696" spans="27:36">
      <c r="AA696" s="247">
        <v>6041</v>
      </c>
      <c r="AB696" s="247" t="s">
        <v>1427</v>
      </c>
      <c r="AC696" s="247" t="s">
        <v>516</v>
      </c>
      <c r="AD696" s="247" t="s">
        <v>516</v>
      </c>
      <c r="AE696" s="247" t="s">
        <v>507</v>
      </c>
      <c r="AF696" s="247">
        <v>0</v>
      </c>
      <c r="AG696" s="247"/>
      <c r="AH696" s="247">
        <v>20</v>
      </c>
      <c r="AI696" s="247">
        <v>27</v>
      </c>
      <c r="AJ696" s="247"/>
    </row>
    <row r="697" spans="27:36">
      <c r="AA697" s="247">
        <v>6043</v>
      </c>
      <c r="AB697" s="247" t="s">
        <v>1428</v>
      </c>
      <c r="AC697" s="247" t="s">
        <v>516</v>
      </c>
      <c r="AD697" s="247" t="s">
        <v>516</v>
      </c>
      <c r="AE697" s="247" t="s">
        <v>533</v>
      </c>
      <c r="AF697" s="247">
        <v>52</v>
      </c>
      <c r="AG697" s="247" t="s">
        <v>528</v>
      </c>
      <c r="AH697" s="247">
        <v>20</v>
      </c>
      <c r="AI697" s="247">
        <v>23</v>
      </c>
      <c r="AJ697" s="247" t="s">
        <v>1422</v>
      </c>
    </row>
    <row r="698" spans="27:36">
      <c r="AA698" s="247">
        <v>6046</v>
      </c>
      <c r="AB698" s="247" t="s">
        <v>1429</v>
      </c>
      <c r="AC698" s="247" t="s">
        <v>516</v>
      </c>
      <c r="AD698" s="247" t="s">
        <v>516</v>
      </c>
      <c r="AE698" s="247" t="s">
        <v>543</v>
      </c>
      <c r="AF698" s="247">
        <v>0</v>
      </c>
      <c r="AG698" s="247" t="s">
        <v>528</v>
      </c>
      <c r="AH698" s="247">
        <v>20</v>
      </c>
      <c r="AI698" s="247">
        <v>27</v>
      </c>
      <c r="AJ698" s="247"/>
    </row>
    <row r="699" spans="27:36">
      <c r="AA699" s="247">
        <v>6047</v>
      </c>
      <c r="AB699" s="247" t="s">
        <v>1430</v>
      </c>
      <c r="AC699" s="247" t="s">
        <v>516</v>
      </c>
      <c r="AD699" s="247" t="s">
        <v>516</v>
      </c>
      <c r="AE699" s="247" t="s">
        <v>543</v>
      </c>
      <c r="AF699" s="247">
        <v>0</v>
      </c>
      <c r="AG699" s="247" t="s">
        <v>528</v>
      </c>
      <c r="AH699" s="247">
        <v>20</v>
      </c>
      <c r="AI699" s="247">
        <v>27</v>
      </c>
      <c r="AJ699" s="247"/>
    </row>
    <row r="700" spans="27:36">
      <c r="AA700" s="247">
        <v>6048</v>
      </c>
      <c r="AB700" s="247" t="s">
        <v>1431</v>
      </c>
      <c r="AC700" s="247" t="s">
        <v>516</v>
      </c>
      <c r="AD700" s="247" t="s">
        <v>516</v>
      </c>
      <c r="AE700" s="247" t="s">
        <v>543</v>
      </c>
      <c r="AF700" s="247">
        <v>0</v>
      </c>
      <c r="AG700" s="247" t="s">
        <v>528</v>
      </c>
      <c r="AH700" s="247">
        <v>20</v>
      </c>
      <c r="AI700" s="247">
        <v>27</v>
      </c>
      <c r="AJ700" s="247"/>
    </row>
    <row r="701" spans="27:36">
      <c r="AA701" s="247">
        <v>6052</v>
      </c>
      <c r="AB701" s="247" t="s">
        <v>1432</v>
      </c>
      <c r="AC701" s="247" t="s">
        <v>516</v>
      </c>
      <c r="AD701" s="247" t="s">
        <v>516</v>
      </c>
      <c r="AE701" s="247" t="s">
        <v>507</v>
      </c>
      <c r="AF701" s="247">
        <v>0</v>
      </c>
      <c r="AG701" s="247"/>
      <c r="AH701" s="247">
        <v>20</v>
      </c>
      <c r="AI701" s="247">
        <v>28</v>
      </c>
      <c r="AJ701" s="247"/>
    </row>
    <row r="702" spans="27:36">
      <c r="AA702" s="247">
        <v>6054</v>
      </c>
      <c r="AB702" s="247" t="s">
        <v>1433</v>
      </c>
      <c r="AC702" s="247" t="s">
        <v>516</v>
      </c>
      <c r="AD702" s="247" t="s">
        <v>516</v>
      </c>
      <c r="AE702" s="247" t="s">
        <v>543</v>
      </c>
      <c r="AF702" s="247">
        <v>0</v>
      </c>
      <c r="AG702" s="247"/>
      <c r="AH702" s="247">
        <v>20</v>
      </c>
      <c r="AI702" s="247">
        <v>27</v>
      </c>
      <c r="AJ702" s="247"/>
    </row>
    <row r="703" spans="27:36">
      <c r="AA703" s="247">
        <v>6056</v>
      </c>
      <c r="AB703" s="247" t="s">
        <v>1434</v>
      </c>
      <c r="AC703" s="247" t="s">
        <v>516</v>
      </c>
      <c r="AD703" s="247" t="s">
        <v>516</v>
      </c>
      <c r="AE703" s="247" t="s">
        <v>533</v>
      </c>
      <c r="AF703" s="247">
        <v>52</v>
      </c>
      <c r="AG703" s="247"/>
      <c r="AH703" s="247">
        <v>20</v>
      </c>
      <c r="AI703" s="247">
        <v>6</v>
      </c>
      <c r="AJ703" s="247" t="s">
        <v>1422</v>
      </c>
    </row>
    <row r="704" spans="27:36">
      <c r="AA704" s="247">
        <v>6100</v>
      </c>
      <c r="AB704" s="247" t="s">
        <v>1435</v>
      </c>
      <c r="AC704" s="247" t="s">
        <v>1436</v>
      </c>
      <c r="AD704" s="247" t="s">
        <v>1437</v>
      </c>
      <c r="AE704" s="247" t="s">
        <v>533</v>
      </c>
      <c r="AF704" s="247">
        <v>52</v>
      </c>
      <c r="AG704" s="247"/>
      <c r="AH704" s="247">
        <v>10</v>
      </c>
      <c r="AI704" s="247">
        <v>21</v>
      </c>
      <c r="AJ704" s="247" t="s">
        <v>1422</v>
      </c>
    </row>
    <row r="705" spans="27:36">
      <c r="AA705" s="247">
        <v>6111</v>
      </c>
      <c r="AB705" s="247" t="s">
        <v>1438</v>
      </c>
      <c r="AC705" s="247" t="s">
        <v>516</v>
      </c>
      <c r="AD705" s="247" t="s">
        <v>516</v>
      </c>
      <c r="AE705" s="247" t="s">
        <v>533</v>
      </c>
      <c r="AF705" s="247">
        <v>52</v>
      </c>
      <c r="AG705" s="247" t="s">
        <v>528</v>
      </c>
      <c r="AH705" s="247">
        <v>10</v>
      </c>
      <c r="AI705" s="247">
        <v>21</v>
      </c>
      <c r="AJ705" s="247" t="s">
        <v>1422</v>
      </c>
    </row>
    <row r="706" spans="27:36">
      <c r="AA706" s="247">
        <v>6115</v>
      </c>
      <c r="AB706" s="247" t="s">
        <v>1439</v>
      </c>
      <c r="AC706" s="247" t="s">
        <v>516</v>
      </c>
      <c r="AD706" s="247" t="s">
        <v>516</v>
      </c>
      <c r="AE706" s="247" t="s">
        <v>533</v>
      </c>
      <c r="AF706" s="247">
        <v>52</v>
      </c>
      <c r="AG706" s="247" t="s">
        <v>528</v>
      </c>
      <c r="AH706" s="247">
        <v>0</v>
      </c>
      <c r="AI706" s="247">
        <v>21</v>
      </c>
      <c r="AJ706" s="247" t="s">
        <v>1422</v>
      </c>
    </row>
    <row r="707" spans="27:36">
      <c r="AA707" s="247">
        <v>6116</v>
      </c>
      <c r="AB707" s="247" t="s">
        <v>1440</v>
      </c>
      <c r="AC707" s="247" t="s">
        <v>516</v>
      </c>
      <c r="AD707" s="247" t="s">
        <v>516</v>
      </c>
      <c r="AE707" s="247" t="s">
        <v>533</v>
      </c>
      <c r="AF707" s="247">
        <v>52</v>
      </c>
      <c r="AG707" s="247" t="s">
        <v>528</v>
      </c>
      <c r="AH707" s="247">
        <v>0</v>
      </c>
      <c r="AI707" s="247">
        <v>21</v>
      </c>
      <c r="AJ707" s="247" t="s">
        <v>1422</v>
      </c>
    </row>
    <row r="708" spans="27:36">
      <c r="AA708" s="247">
        <v>6120</v>
      </c>
      <c r="AB708" s="247" t="s">
        <v>1441</v>
      </c>
      <c r="AC708" s="247" t="s">
        <v>516</v>
      </c>
      <c r="AD708" s="247" t="s">
        <v>516</v>
      </c>
      <c r="AE708" s="247" t="s">
        <v>533</v>
      </c>
      <c r="AF708" s="247">
        <v>52</v>
      </c>
      <c r="AG708" s="247" t="s">
        <v>528</v>
      </c>
      <c r="AH708" s="247">
        <v>20</v>
      </c>
      <c r="AI708" s="247">
        <v>23</v>
      </c>
      <c r="AJ708" s="247" t="s">
        <v>1422</v>
      </c>
    </row>
    <row r="709" spans="27:36">
      <c r="AA709" s="247">
        <v>6130</v>
      </c>
      <c r="AB709" s="247" t="s">
        <v>1442</v>
      </c>
      <c r="AC709" s="247" t="s">
        <v>516</v>
      </c>
      <c r="AD709" s="247" t="s">
        <v>516</v>
      </c>
      <c r="AE709" s="247" t="s">
        <v>533</v>
      </c>
      <c r="AF709" s="247">
        <v>52</v>
      </c>
      <c r="AG709" s="247" t="s">
        <v>528</v>
      </c>
      <c r="AH709" s="247">
        <v>20</v>
      </c>
      <c r="AI709" s="247">
        <v>23</v>
      </c>
      <c r="AJ709" s="247" t="s">
        <v>1422</v>
      </c>
    </row>
    <row r="710" spans="27:36">
      <c r="AA710" s="247">
        <v>6200</v>
      </c>
      <c r="AB710" s="247" t="s">
        <v>1443</v>
      </c>
      <c r="AC710" s="247" t="s">
        <v>1444</v>
      </c>
      <c r="AD710" s="247" t="s">
        <v>1443</v>
      </c>
      <c r="AE710" s="247" t="s">
        <v>507</v>
      </c>
      <c r="AF710" s="247">
        <v>52</v>
      </c>
      <c r="AG710" s="247"/>
      <c r="AH710" s="247">
        <v>20</v>
      </c>
      <c r="AI710" s="247">
        <v>28</v>
      </c>
      <c r="AJ710" s="247"/>
    </row>
    <row r="711" spans="27:36">
      <c r="AA711" s="247">
        <v>6210</v>
      </c>
      <c r="AB711" s="247" t="s">
        <v>1445</v>
      </c>
      <c r="AC711" s="247" t="s">
        <v>1446</v>
      </c>
      <c r="AD711" s="247" t="s">
        <v>1447</v>
      </c>
      <c r="AE711" s="247" t="s">
        <v>533</v>
      </c>
      <c r="AF711" s="247">
        <v>52</v>
      </c>
      <c r="AG711" s="247" t="s">
        <v>528</v>
      </c>
      <c r="AH711" s="247">
        <v>0</v>
      </c>
      <c r="AI711" s="247">
        <v>21</v>
      </c>
      <c r="AJ711" s="247" t="s">
        <v>1422</v>
      </c>
    </row>
    <row r="712" spans="27:36">
      <c r="AA712" s="247">
        <v>6300</v>
      </c>
      <c r="AB712" s="247" t="s">
        <v>1448</v>
      </c>
      <c r="AC712" s="247" t="s">
        <v>1449</v>
      </c>
      <c r="AD712" s="247" t="s">
        <v>1450</v>
      </c>
      <c r="AE712" s="247" t="s">
        <v>533</v>
      </c>
      <c r="AF712" s="247">
        <v>52</v>
      </c>
      <c r="AG712" s="247" t="s">
        <v>528</v>
      </c>
      <c r="AH712" s="247">
        <v>0</v>
      </c>
      <c r="AI712" s="247">
        <v>21</v>
      </c>
      <c r="AJ712" s="247" t="s">
        <v>1422</v>
      </c>
    </row>
    <row r="713" spans="27:36">
      <c r="AA713" s="247">
        <v>6350</v>
      </c>
      <c r="AB713" s="247" t="s">
        <v>1451</v>
      </c>
      <c r="AC713" s="247" t="s">
        <v>1452</v>
      </c>
      <c r="AD713" s="247" t="s">
        <v>1453</v>
      </c>
      <c r="AE713" s="247" t="s">
        <v>543</v>
      </c>
      <c r="AF713" s="247">
        <v>0</v>
      </c>
      <c r="AG713" s="247"/>
      <c r="AH713" s="247">
        <v>0</v>
      </c>
      <c r="AI713" s="247">
        <v>27</v>
      </c>
      <c r="AJ713" s="247"/>
    </row>
    <row r="714" spans="27:36">
      <c r="AA714" s="247">
        <v>6355</v>
      </c>
      <c r="AB714" s="247" t="s">
        <v>1454</v>
      </c>
      <c r="AC714" s="247" t="s">
        <v>516</v>
      </c>
      <c r="AD714" s="247" t="s">
        <v>516</v>
      </c>
      <c r="AE714" s="247" t="s">
        <v>543</v>
      </c>
      <c r="AF714" s="247">
        <v>0</v>
      </c>
      <c r="AG714" s="247" t="s">
        <v>528</v>
      </c>
      <c r="AH714" s="247">
        <v>0</v>
      </c>
      <c r="AI714" s="247">
        <v>27</v>
      </c>
      <c r="AJ714" s="247"/>
    </row>
    <row r="715" spans="27:36">
      <c r="AA715" s="247">
        <v>6356</v>
      </c>
      <c r="AB715" s="247" t="s">
        <v>1455</v>
      </c>
      <c r="AC715" s="247" t="s">
        <v>516</v>
      </c>
      <c r="AD715" s="247" t="s">
        <v>516</v>
      </c>
      <c r="AE715" s="247" t="s">
        <v>507</v>
      </c>
      <c r="AF715" s="247">
        <v>52</v>
      </c>
      <c r="AG715" s="247"/>
      <c r="AH715" s="247">
        <v>20</v>
      </c>
      <c r="AI715" s="247">
        <v>28</v>
      </c>
      <c r="AJ715" s="247"/>
    </row>
    <row r="716" spans="27:36">
      <c r="AA716" s="247">
        <v>6357</v>
      </c>
      <c r="AB716" s="247" t="s">
        <v>1456</v>
      </c>
      <c r="AC716" s="247" t="s">
        <v>516</v>
      </c>
      <c r="AD716" s="247" t="s">
        <v>516</v>
      </c>
      <c r="AE716" s="247" t="s">
        <v>543</v>
      </c>
      <c r="AF716" s="247">
        <v>0</v>
      </c>
      <c r="AG716" s="247" t="s">
        <v>528</v>
      </c>
      <c r="AH716" s="247">
        <v>20</v>
      </c>
      <c r="AI716" s="247">
        <v>27</v>
      </c>
      <c r="AJ716" s="247"/>
    </row>
    <row r="717" spans="27:36">
      <c r="AA717" s="247">
        <v>6400</v>
      </c>
      <c r="AB717" s="247" t="s">
        <v>1457</v>
      </c>
      <c r="AC717" s="247" t="s">
        <v>516</v>
      </c>
      <c r="AD717" s="247" t="s">
        <v>516</v>
      </c>
      <c r="AE717" s="247" t="s">
        <v>507</v>
      </c>
      <c r="AF717" s="247">
        <v>52</v>
      </c>
      <c r="AG717" s="247"/>
      <c r="AH717" s="247">
        <v>20</v>
      </c>
      <c r="AI717" s="247">
        <v>9</v>
      </c>
      <c r="AJ717" s="247"/>
    </row>
    <row r="718" spans="27:36">
      <c r="AA718" s="247">
        <v>6410</v>
      </c>
      <c r="AB718" s="247" t="s">
        <v>1458</v>
      </c>
      <c r="AC718" s="247" t="s">
        <v>516</v>
      </c>
      <c r="AD718" s="247" t="s">
        <v>516</v>
      </c>
      <c r="AE718" s="247" t="s">
        <v>507</v>
      </c>
      <c r="AF718" s="247">
        <v>0</v>
      </c>
      <c r="AG718" s="247"/>
      <c r="AH718" s="247">
        <v>20</v>
      </c>
      <c r="AI718" s="247">
        <v>28</v>
      </c>
      <c r="AJ718" s="247"/>
    </row>
    <row r="719" spans="27:36">
      <c r="AA719" s="247">
        <v>6411</v>
      </c>
      <c r="AB719" s="247" t="s">
        <v>1459</v>
      </c>
      <c r="AC719" s="247" t="s">
        <v>516</v>
      </c>
      <c r="AD719" s="247" t="s">
        <v>516</v>
      </c>
      <c r="AE719" s="247" t="s">
        <v>507</v>
      </c>
      <c r="AF719" s="247">
        <v>0</v>
      </c>
      <c r="AG719" s="247"/>
      <c r="AH719" s="247">
        <v>20</v>
      </c>
      <c r="AI719" s="247">
        <v>28</v>
      </c>
      <c r="AJ719" s="247"/>
    </row>
    <row r="720" spans="27:36">
      <c r="AA720" s="247">
        <v>6412</v>
      </c>
      <c r="AB720" s="247" t="s">
        <v>1460</v>
      </c>
      <c r="AC720" s="247" t="s">
        <v>516</v>
      </c>
      <c r="AD720" s="247" t="s">
        <v>516</v>
      </c>
      <c r="AE720" s="247" t="s">
        <v>507</v>
      </c>
      <c r="AF720" s="247">
        <v>52</v>
      </c>
      <c r="AG720" s="247"/>
      <c r="AH720" s="247">
        <v>20</v>
      </c>
      <c r="AI720" s="247">
        <v>28</v>
      </c>
      <c r="AJ720" s="247"/>
    </row>
    <row r="721" spans="27:36">
      <c r="AA721" s="247">
        <v>6430</v>
      </c>
      <c r="AB721" s="247" t="s">
        <v>1461</v>
      </c>
      <c r="AC721" s="247" t="s">
        <v>516</v>
      </c>
      <c r="AD721" s="247" t="s">
        <v>516</v>
      </c>
      <c r="AE721" s="247" t="s">
        <v>543</v>
      </c>
      <c r="AF721" s="247">
        <v>0</v>
      </c>
      <c r="AG721" s="247" t="s">
        <v>528</v>
      </c>
      <c r="AH721" s="247">
        <v>20</v>
      </c>
      <c r="AI721" s="247">
        <v>27</v>
      </c>
      <c r="AJ721" s="247"/>
    </row>
    <row r="722" spans="27:36">
      <c r="AA722" s="247">
        <v>6432</v>
      </c>
      <c r="AB722" s="247" t="s">
        <v>1462</v>
      </c>
      <c r="AC722" s="247" t="s">
        <v>516</v>
      </c>
      <c r="AD722" s="247" t="s">
        <v>516</v>
      </c>
      <c r="AE722" s="247" t="s">
        <v>543</v>
      </c>
      <c r="AF722" s="247">
        <v>0</v>
      </c>
      <c r="AG722" s="247" t="s">
        <v>528</v>
      </c>
      <c r="AH722" s="247">
        <v>20</v>
      </c>
      <c r="AI722" s="247">
        <v>27</v>
      </c>
      <c r="AJ722" s="247"/>
    </row>
    <row r="723" spans="27:36">
      <c r="AA723" s="247">
        <v>6460</v>
      </c>
      <c r="AB723" s="247" t="s">
        <v>1463</v>
      </c>
      <c r="AC723" s="247" t="s">
        <v>516</v>
      </c>
      <c r="AD723" s="247" t="s">
        <v>516</v>
      </c>
      <c r="AE723" s="247" t="s">
        <v>507</v>
      </c>
      <c r="AF723" s="247">
        <v>52</v>
      </c>
      <c r="AG723" s="247" t="s">
        <v>528</v>
      </c>
      <c r="AH723" s="247">
        <v>20</v>
      </c>
      <c r="AI723" s="247">
        <v>6</v>
      </c>
      <c r="AJ723" s="247"/>
    </row>
    <row r="724" spans="27:36">
      <c r="AA724" s="247">
        <v>6501</v>
      </c>
      <c r="AB724" s="247" t="s">
        <v>1464</v>
      </c>
      <c r="AC724" s="247" t="s">
        <v>516</v>
      </c>
      <c r="AD724" s="247" t="s">
        <v>516</v>
      </c>
      <c r="AE724" s="247" t="s">
        <v>543</v>
      </c>
      <c r="AF724" s="247">
        <v>0</v>
      </c>
      <c r="AG724" s="247"/>
      <c r="AH724" s="247">
        <v>20</v>
      </c>
      <c r="AI724" s="247">
        <v>27</v>
      </c>
      <c r="AJ724" s="247"/>
    </row>
    <row r="725" spans="27:36">
      <c r="AA725" s="247">
        <v>6505</v>
      </c>
      <c r="AB725" s="247" t="s">
        <v>1465</v>
      </c>
      <c r="AC725" s="247" t="s">
        <v>516</v>
      </c>
      <c r="AD725" s="247" t="s">
        <v>516</v>
      </c>
      <c r="AE725" s="247" t="s">
        <v>533</v>
      </c>
      <c r="AF725" s="247">
        <v>52</v>
      </c>
      <c r="AG725" s="247" t="s">
        <v>528</v>
      </c>
      <c r="AH725" s="247">
        <v>0</v>
      </c>
      <c r="AI725" s="247">
        <v>21</v>
      </c>
      <c r="AJ725" s="247" t="s">
        <v>545</v>
      </c>
    </row>
    <row r="726" spans="27:36">
      <c r="AA726" s="247">
        <v>6506</v>
      </c>
      <c r="AB726" s="247" t="s">
        <v>1466</v>
      </c>
      <c r="AC726" s="247" t="s">
        <v>516</v>
      </c>
      <c r="AD726" s="247" t="s">
        <v>516</v>
      </c>
      <c r="AE726" s="247" t="s">
        <v>543</v>
      </c>
      <c r="AF726" s="247">
        <v>0</v>
      </c>
      <c r="AG726" s="247"/>
      <c r="AH726" s="247">
        <v>0</v>
      </c>
      <c r="AI726" s="247">
        <v>27</v>
      </c>
      <c r="AJ726" s="247"/>
    </row>
    <row r="727" spans="27:36">
      <c r="AA727" s="247">
        <v>6510</v>
      </c>
      <c r="AB727" s="247" t="s">
        <v>1467</v>
      </c>
      <c r="AC727" s="247" t="s">
        <v>1468</v>
      </c>
      <c r="AD727" s="247" t="s">
        <v>1469</v>
      </c>
      <c r="AE727" s="247" t="s">
        <v>543</v>
      </c>
      <c r="AF727" s="247">
        <v>0</v>
      </c>
      <c r="AG727" s="247" t="s">
        <v>528</v>
      </c>
      <c r="AH727" s="247">
        <v>20</v>
      </c>
      <c r="AI727" s="247">
        <v>27</v>
      </c>
      <c r="AJ727" s="247"/>
    </row>
    <row r="728" spans="27:36">
      <c r="AA728" s="247">
        <v>6512</v>
      </c>
      <c r="AB728" s="247" t="s">
        <v>1470</v>
      </c>
      <c r="AC728" s="247" t="s">
        <v>516</v>
      </c>
      <c r="AD728" s="247" t="s">
        <v>516</v>
      </c>
      <c r="AE728" s="247" t="s">
        <v>543</v>
      </c>
      <c r="AF728" s="247">
        <v>0</v>
      </c>
      <c r="AG728" s="247"/>
      <c r="AH728" s="247">
        <v>20</v>
      </c>
      <c r="AI728" s="247">
        <v>27</v>
      </c>
      <c r="AJ728" s="247"/>
    </row>
    <row r="729" spans="27:36">
      <c r="AA729" s="247">
        <v>6721</v>
      </c>
      <c r="AB729" s="247" t="s">
        <v>1471</v>
      </c>
      <c r="AC729" s="247" t="s">
        <v>516</v>
      </c>
      <c r="AD729" s="247" t="s">
        <v>516</v>
      </c>
      <c r="AE729" s="247" t="s">
        <v>543</v>
      </c>
      <c r="AF729" s="247">
        <v>0</v>
      </c>
      <c r="AG729" s="247"/>
      <c r="AH729" s="247">
        <v>20</v>
      </c>
      <c r="AI729" s="247">
        <v>27</v>
      </c>
      <c r="AJ729" s="247"/>
    </row>
    <row r="730" spans="27:36">
      <c r="AA730" s="247">
        <v>6750</v>
      </c>
      <c r="AB730" s="247" t="s">
        <v>1472</v>
      </c>
      <c r="AC730" s="247" t="s">
        <v>516</v>
      </c>
      <c r="AD730" s="247" t="s">
        <v>516</v>
      </c>
      <c r="AE730" s="247" t="s">
        <v>507</v>
      </c>
      <c r="AF730" s="247">
        <v>0</v>
      </c>
      <c r="AG730" s="247"/>
      <c r="AH730" s="247">
        <v>20</v>
      </c>
      <c r="AI730" s="247">
        <v>28</v>
      </c>
      <c r="AJ730" s="247"/>
    </row>
    <row r="731" spans="27:36">
      <c r="AA731" s="247">
        <v>7001</v>
      </c>
      <c r="AB731" s="247" t="s">
        <v>1473</v>
      </c>
      <c r="AC731" s="247" t="s">
        <v>516</v>
      </c>
      <c r="AD731" s="247" t="s">
        <v>516</v>
      </c>
      <c r="AE731" s="247" t="s">
        <v>533</v>
      </c>
      <c r="AF731" s="247">
        <v>180</v>
      </c>
      <c r="AG731" s="247" t="s">
        <v>528</v>
      </c>
      <c r="AH731" s="247">
        <v>0</v>
      </c>
      <c r="AI731" s="247">
        <v>16</v>
      </c>
      <c r="AJ731" s="247" t="s">
        <v>1474</v>
      </c>
    </row>
    <row r="732" spans="27:36">
      <c r="AA732" s="247">
        <v>7002</v>
      </c>
      <c r="AB732" s="247" t="s">
        <v>1475</v>
      </c>
      <c r="AC732" s="247" t="s">
        <v>516</v>
      </c>
      <c r="AD732" s="247" t="s">
        <v>516</v>
      </c>
      <c r="AE732" s="247" t="s">
        <v>533</v>
      </c>
      <c r="AF732" s="247">
        <v>180</v>
      </c>
      <c r="AG732" s="247" t="s">
        <v>528</v>
      </c>
      <c r="AH732" s="247">
        <v>0</v>
      </c>
      <c r="AI732" s="247">
        <v>16</v>
      </c>
      <c r="AJ732" s="247" t="s">
        <v>1474</v>
      </c>
    </row>
    <row r="733" spans="27:36">
      <c r="AA733" s="247">
        <v>7003</v>
      </c>
      <c r="AB733" s="247" t="s">
        <v>1476</v>
      </c>
      <c r="AC733" s="247" t="s">
        <v>516</v>
      </c>
      <c r="AD733" s="247" t="s">
        <v>516</v>
      </c>
      <c r="AE733" s="247" t="s">
        <v>533</v>
      </c>
      <c r="AF733" s="247">
        <v>180</v>
      </c>
      <c r="AG733" s="247" t="s">
        <v>528</v>
      </c>
      <c r="AH733" s="247">
        <v>0</v>
      </c>
      <c r="AI733" s="247">
        <v>16</v>
      </c>
      <c r="AJ733" s="247" t="s">
        <v>1474</v>
      </c>
    </row>
    <row r="734" spans="27:36">
      <c r="AA734" s="247">
        <v>7004</v>
      </c>
      <c r="AB734" s="247" t="s">
        <v>1477</v>
      </c>
      <c r="AC734" s="247" t="s">
        <v>516</v>
      </c>
      <c r="AD734" s="247" t="s">
        <v>516</v>
      </c>
      <c r="AE734" s="247" t="s">
        <v>533</v>
      </c>
      <c r="AF734" s="247">
        <v>180</v>
      </c>
      <c r="AG734" s="247" t="s">
        <v>528</v>
      </c>
      <c r="AH734" s="247">
        <v>0</v>
      </c>
      <c r="AI734" s="247">
        <v>16</v>
      </c>
      <c r="AJ734" s="247" t="s">
        <v>1474</v>
      </c>
    </row>
    <row r="735" spans="27:36">
      <c r="AA735" s="247">
        <v>7005</v>
      </c>
      <c r="AB735" s="247" t="s">
        <v>1478</v>
      </c>
      <c r="AC735" s="247" t="s">
        <v>1479</v>
      </c>
      <c r="AD735" s="247" t="s">
        <v>1478</v>
      </c>
      <c r="AE735" s="247" t="s">
        <v>533</v>
      </c>
      <c r="AF735" s="247">
        <v>180</v>
      </c>
      <c r="AG735" s="247" t="s">
        <v>528</v>
      </c>
      <c r="AH735" s="247">
        <v>0</v>
      </c>
      <c r="AI735" s="247">
        <v>16</v>
      </c>
      <c r="AJ735" s="247" t="s">
        <v>1474</v>
      </c>
    </row>
    <row r="736" spans="27:36">
      <c r="AA736" s="247">
        <v>7008</v>
      </c>
      <c r="AB736" s="247" t="s">
        <v>1480</v>
      </c>
      <c r="AC736" s="247" t="s">
        <v>516</v>
      </c>
      <c r="AD736" s="247" t="s">
        <v>516</v>
      </c>
      <c r="AE736" s="247" t="s">
        <v>507</v>
      </c>
      <c r="AF736" s="247">
        <v>0</v>
      </c>
      <c r="AG736" s="247"/>
      <c r="AH736" s="247">
        <v>20</v>
      </c>
      <c r="AI736" s="247">
        <v>28</v>
      </c>
      <c r="AJ736" s="247"/>
    </row>
    <row r="737" spans="27:36">
      <c r="AA737" s="247">
        <v>7009</v>
      </c>
      <c r="AB737" s="247" t="s">
        <v>1481</v>
      </c>
      <c r="AC737" s="247" t="s">
        <v>516</v>
      </c>
      <c r="AD737" s="247" t="s">
        <v>516</v>
      </c>
      <c r="AE737" s="247" t="s">
        <v>543</v>
      </c>
      <c r="AF737" s="247">
        <v>0</v>
      </c>
      <c r="AG737" s="247"/>
      <c r="AH737" s="247">
        <v>20</v>
      </c>
      <c r="AI737" s="247">
        <v>27</v>
      </c>
      <c r="AJ737" s="247"/>
    </row>
    <row r="738" spans="27:36">
      <c r="AA738" s="247">
        <v>7010</v>
      </c>
      <c r="AB738" s="247" t="s">
        <v>1482</v>
      </c>
      <c r="AC738" s="247" t="s">
        <v>1483</v>
      </c>
      <c r="AD738" s="247" t="s">
        <v>1484</v>
      </c>
      <c r="AE738" s="247" t="s">
        <v>533</v>
      </c>
      <c r="AF738" s="247">
        <v>170</v>
      </c>
      <c r="AG738" s="247" t="s">
        <v>528</v>
      </c>
      <c r="AH738" s="247">
        <v>20</v>
      </c>
      <c r="AI738" s="247">
        <v>16</v>
      </c>
      <c r="AJ738" s="247" t="s">
        <v>1474</v>
      </c>
    </row>
    <row r="739" spans="27:36">
      <c r="AA739" s="247">
        <v>7011</v>
      </c>
      <c r="AB739" s="247" t="s">
        <v>1485</v>
      </c>
      <c r="AC739" s="247" t="s">
        <v>516</v>
      </c>
      <c r="AD739" s="247" t="s">
        <v>516</v>
      </c>
      <c r="AE739" s="247" t="s">
        <v>507</v>
      </c>
      <c r="AF739" s="247">
        <v>60</v>
      </c>
      <c r="AG739" s="247"/>
      <c r="AH739" s="247">
        <v>20</v>
      </c>
      <c r="AI739" s="247">
        <v>9</v>
      </c>
      <c r="AJ739" s="247"/>
    </row>
    <row r="740" spans="27:36">
      <c r="AA740" s="247">
        <v>7012</v>
      </c>
      <c r="AB740" s="247" t="s">
        <v>1486</v>
      </c>
      <c r="AC740" s="247" t="s">
        <v>516</v>
      </c>
      <c r="AD740" s="247" t="s">
        <v>516</v>
      </c>
      <c r="AE740" s="247" t="s">
        <v>507</v>
      </c>
      <c r="AF740" s="247">
        <v>0</v>
      </c>
      <c r="AG740" s="247"/>
      <c r="AH740" s="247">
        <v>20</v>
      </c>
      <c r="AI740" s="247">
        <v>32</v>
      </c>
      <c r="AJ740" s="247"/>
    </row>
    <row r="741" spans="27:36">
      <c r="AA741" s="247">
        <v>7013</v>
      </c>
      <c r="AB741" s="247" t="s">
        <v>1487</v>
      </c>
      <c r="AC741" s="247" t="s">
        <v>1488</v>
      </c>
      <c r="AD741" s="247" t="s">
        <v>1487</v>
      </c>
      <c r="AE741" s="247" t="s">
        <v>507</v>
      </c>
      <c r="AF741" s="247">
        <v>0</v>
      </c>
      <c r="AG741" s="247" t="s">
        <v>528</v>
      </c>
      <c r="AH741" s="247">
        <v>20</v>
      </c>
      <c r="AI741" s="247">
        <v>32</v>
      </c>
      <c r="AJ741" s="247"/>
    </row>
    <row r="742" spans="27:36">
      <c r="AA742" s="247">
        <v>7014</v>
      </c>
      <c r="AB742" s="247" t="s">
        <v>1489</v>
      </c>
      <c r="AC742" s="247" t="s">
        <v>516</v>
      </c>
      <c r="AD742" s="247" t="s">
        <v>516</v>
      </c>
      <c r="AE742" s="247" t="s">
        <v>507</v>
      </c>
      <c r="AF742" s="247">
        <v>0</v>
      </c>
      <c r="AG742" s="247"/>
      <c r="AH742" s="247">
        <v>20</v>
      </c>
      <c r="AI742" s="247">
        <v>32</v>
      </c>
      <c r="AJ742" s="247"/>
    </row>
    <row r="743" spans="27:36">
      <c r="AA743" s="247">
        <v>7016</v>
      </c>
      <c r="AB743" s="247" t="s">
        <v>1490</v>
      </c>
      <c r="AC743" s="247" t="s">
        <v>516</v>
      </c>
      <c r="AD743" s="247" t="s">
        <v>516</v>
      </c>
      <c r="AE743" s="247" t="s">
        <v>543</v>
      </c>
      <c r="AF743" s="247">
        <v>0</v>
      </c>
      <c r="AG743" s="247"/>
      <c r="AH743" s="247">
        <v>20</v>
      </c>
      <c r="AI743" s="247">
        <v>27</v>
      </c>
      <c r="AJ743" s="247"/>
    </row>
    <row r="744" spans="27:36">
      <c r="AA744" s="247">
        <v>7017</v>
      </c>
      <c r="AB744" s="247" t="s">
        <v>1491</v>
      </c>
      <c r="AC744" s="247" t="s">
        <v>516</v>
      </c>
      <c r="AD744" s="247" t="s">
        <v>516</v>
      </c>
      <c r="AE744" s="247" t="s">
        <v>533</v>
      </c>
      <c r="AF744" s="247">
        <v>52</v>
      </c>
      <c r="AG744" s="247" t="s">
        <v>528</v>
      </c>
      <c r="AH744" s="247">
        <v>20</v>
      </c>
      <c r="AI744" s="247">
        <v>15</v>
      </c>
      <c r="AJ744" s="247" t="s">
        <v>1474</v>
      </c>
    </row>
    <row r="745" spans="27:36">
      <c r="AA745" s="247">
        <v>7018</v>
      </c>
      <c r="AB745" s="247" t="s">
        <v>1492</v>
      </c>
      <c r="AC745" s="247" t="s">
        <v>516</v>
      </c>
      <c r="AD745" s="247" t="s">
        <v>516</v>
      </c>
      <c r="AE745" s="247" t="s">
        <v>507</v>
      </c>
      <c r="AF745" s="247">
        <v>0</v>
      </c>
      <c r="AG745" s="247" t="s">
        <v>528</v>
      </c>
      <c r="AH745" s="247">
        <v>20</v>
      </c>
      <c r="AI745" s="247">
        <v>28</v>
      </c>
      <c r="AJ745" s="247"/>
    </row>
    <row r="746" spans="27:36">
      <c r="AA746" s="247">
        <v>7019</v>
      </c>
      <c r="AB746" s="247" t="s">
        <v>1493</v>
      </c>
      <c r="AC746" s="247" t="s">
        <v>516</v>
      </c>
      <c r="AD746" s="247" t="s">
        <v>516</v>
      </c>
      <c r="AE746" s="247" t="s">
        <v>533</v>
      </c>
      <c r="AF746" s="247">
        <v>52</v>
      </c>
      <c r="AG746" s="247" t="s">
        <v>528</v>
      </c>
      <c r="AH746" s="247">
        <v>0</v>
      </c>
      <c r="AI746" s="247">
        <v>15</v>
      </c>
      <c r="AJ746" s="247" t="s">
        <v>1474</v>
      </c>
    </row>
    <row r="747" spans="27:36">
      <c r="AA747" s="247">
        <v>7025</v>
      </c>
      <c r="AB747" s="247" t="s">
        <v>324</v>
      </c>
      <c r="AC747" s="247" t="s">
        <v>516</v>
      </c>
      <c r="AD747" s="247" t="s">
        <v>516</v>
      </c>
      <c r="AE747" s="247" t="s">
        <v>533</v>
      </c>
      <c r="AF747" s="247">
        <v>52</v>
      </c>
      <c r="AG747" s="247" t="s">
        <v>528</v>
      </c>
      <c r="AH747" s="247">
        <v>0</v>
      </c>
      <c r="AI747" s="247">
        <v>15</v>
      </c>
      <c r="AJ747" s="247" t="s">
        <v>1474</v>
      </c>
    </row>
    <row r="748" spans="27:36">
      <c r="AA748" s="247">
        <v>7026</v>
      </c>
      <c r="AB748" s="247" t="s">
        <v>1494</v>
      </c>
      <c r="AC748" s="247" t="s">
        <v>516</v>
      </c>
      <c r="AD748" s="247" t="s">
        <v>516</v>
      </c>
      <c r="AE748" s="247" t="s">
        <v>507</v>
      </c>
      <c r="AF748" s="247">
        <v>0</v>
      </c>
      <c r="AG748" s="247"/>
      <c r="AH748" s="247">
        <v>0</v>
      </c>
      <c r="AI748" s="247">
        <v>27</v>
      </c>
      <c r="AJ748" s="247"/>
    </row>
    <row r="749" spans="27:36">
      <c r="AA749" s="247">
        <v>7027</v>
      </c>
      <c r="AB749" s="247" t="s">
        <v>1495</v>
      </c>
      <c r="AC749" s="247" t="s">
        <v>516</v>
      </c>
      <c r="AD749" s="247" t="s">
        <v>516</v>
      </c>
      <c r="AE749" s="247" t="s">
        <v>507</v>
      </c>
      <c r="AF749" s="247">
        <v>0</v>
      </c>
      <c r="AG749" s="247"/>
      <c r="AH749" s="247">
        <v>20</v>
      </c>
      <c r="AI749" s="247">
        <v>28</v>
      </c>
      <c r="AJ749" s="247"/>
    </row>
    <row r="750" spans="27:36">
      <c r="AA750" s="247">
        <v>7028</v>
      </c>
      <c r="AB750" s="247" t="s">
        <v>1496</v>
      </c>
      <c r="AC750" s="247" t="s">
        <v>516</v>
      </c>
      <c r="AD750" s="247" t="s">
        <v>516</v>
      </c>
      <c r="AE750" s="247" t="s">
        <v>507</v>
      </c>
      <c r="AF750" s="247">
        <v>0</v>
      </c>
      <c r="AG750" s="247"/>
      <c r="AH750" s="247">
        <v>0</v>
      </c>
      <c r="AI750" s="247">
        <v>28</v>
      </c>
      <c r="AJ750" s="247"/>
    </row>
    <row r="751" spans="27:36">
      <c r="AA751" s="247">
        <v>7029</v>
      </c>
      <c r="AB751" s="247" t="s">
        <v>1497</v>
      </c>
      <c r="AC751" s="247" t="s">
        <v>516</v>
      </c>
      <c r="AD751" s="247" t="s">
        <v>516</v>
      </c>
      <c r="AE751" s="247" t="s">
        <v>507</v>
      </c>
      <c r="AF751" s="247">
        <v>0</v>
      </c>
      <c r="AG751" s="247"/>
      <c r="AH751" s="247">
        <v>20</v>
      </c>
      <c r="AI751" s="247">
        <v>28</v>
      </c>
      <c r="AJ751" s="247"/>
    </row>
    <row r="752" spans="27:36">
      <c r="AA752" s="247">
        <v>7030</v>
      </c>
      <c r="AB752" s="247" t="s">
        <v>1498</v>
      </c>
      <c r="AC752" s="247" t="s">
        <v>516</v>
      </c>
      <c r="AD752" s="247" t="s">
        <v>516</v>
      </c>
      <c r="AE752" s="247" t="s">
        <v>533</v>
      </c>
      <c r="AF752" s="247">
        <v>170</v>
      </c>
      <c r="AG752" s="247" t="s">
        <v>528</v>
      </c>
      <c r="AH752" s="247">
        <v>0</v>
      </c>
      <c r="AI752" s="247">
        <v>16</v>
      </c>
      <c r="AJ752" s="247" t="s">
        <v>1474</v>
      </c>
    </row>
    <row r="753" spans="27:36">
      <c r="AA753" s="247">
        <v>7031</v>
      </c>
      <c r="AB753" s="247" t="s">
        <v>1499</v>
      </c>
      <c r="AC753" s="247" t="s">
        <v>516</v>
      </c>
      <c r="AD753" s="247" t="s">
        <v>516</v>
      </c>
      <c r="AE753" s="247" t="s">
        <v>533</v>
      </c>
      <c r="AF753" s="247">
        <v>75</v>
      </c>
      <c r="AG753" s="247"/>
      <c r="AH753" s="247">
        <v>0</v>
      </c>
      <c r="AI753" s="247">
        <v>16</v>
      </c>
      <c r="AJ753" s="247" t="s">
        <v>1474</v>
      </c>
    </row>
    <row r="754" spans="27:36">
      <c r="AA754" s="247">
        <v>7035</v>
      </c>
      <c r="AB754" s="247" t="s">
        <v>1500</v>
      </c>
      <c r="AC754" s="247" t="s">
        <v>516</v>
      </c>
      <c r="AD754" s="247" t="s">
        <v>516</v>
      </c>
      <c r="AE754" s="247" t="s">
        <v>543</v>
      </c>
      <c r="AF754" s="247">
        <v>0</v>
      </c>
      <c r="AG754" s="247"/>
      <c r="AH754" s="247">
        <v>20</v>
      </c>
      <c r="AI754" s="247">
        <v>27</v>
      </c>
      <c r="AJ754" s="247"/>
    </row>
    <row r="755" spans="27:36">
      <c r="AA755" s="247">
        <v>7036</v>
      </c>
      <c r="AB755" s="247" t="s">
        <v>1501</v>
      </c>
      <c r="AC755" s="247" t="s">
        <v>516</v>
      </c>
      <c r="AD755" s="247" t="s">
        <v>516</v>
      </c>
      <c r="AE755" s="247" t="s">
        <v>543</v>
      </c>
      <c r="AF755" s="247">
        <v>0</v>
      </c>
      <c r="AG755" s="247"/>
      <c r="AH755" s="247">
        <v>20</v>
      </c>
      <c r="AI755" s="247">
        <v>27</v>
      </c>
      <c r="AJ755" s="247"/>
    </row>
    <row r="756" spans="27:36">
      <c r="AA756" s="247">
        <v>7040</v>
      </c>
      <c r="AB756" s="247" t="s">
        <v>1502</v>
      </c>
      <c r="AC756" s="247" t="s">
        <v>516</v>
      </c>
      <c r="AD756" s="247" t="s">
        <v>516</v>
      </c>
      <c r="AE756" s="247" t="s">
        <v>533</v>
      </c>
      <c r="AF756" s="247">
        <v>170</v>
      </c>
      <c r="AG756" s="247" t="s">
        <v>528</v>
      </c>
      <c r="AH756" s="247">
        <v>0</v>
      </c>
      <c r="AI756" s="247">
        <v>15</v>
      </c>
      <c r="AJ756" s="247"/>
    </row>
    <row r="757" spans="27:36">
      <c r="AA757" s="247">
        <v>7050</v>
      </c>
      <c r="AB757" s="247" t="s">
        <v>1503</v>
      </c>
      <c r="AC757" s="247" t="s">
        <v>516</v>
      </c>
      <c r="AD757" s="247" t="s">
        <v>516</v>
      </c>
      <c r="AE757" s="247" t="s">
        <v>543</v>
      </c>
      <c r="AF757" s="247">
        <v>0</v>
      </c>
      <c r="AG757" s="247" t="s">
        <v>528</v>
      </c>
      <c r="AH757" s="247">
        <v>20</v>
      </c>
      <c r="AI757" s="247">
        <v>27</v>
      </c>
      <c r="AJ757" s="247"/>
    </row>
    <row r="758" spans="27:36">
      <c r="AA758" s="247">
        <v>7052</v>
      </c>
      <c r="AB758" s="247" t="s">
        <v>1504</v>
      </c>
      <c r="AC758" s="247" t="s">
        <v>516</v>
      </c>
      <c r="AD758" s="247" t="s">
        <v>516</v>
      </c>
      <c r="AE758" s="247" t="s">
        <v>543</v>
      </c>
      <c r="AF758" s="247">
        <v>0</v>
      </c>
      <c r="AG758" s="247" t="s">
        <v>528</v>
      </c>
      <c r="AH758" s="247">
        <v>20</v>
      </c>
      <c r="AI758" s="247">
        <v>27</v>
      </c>
      <c r="AJ758" s="247"/>
    </row>
    <row r="759" spans="27:36">
      <c r="AA759" s="247">
        <v>7053</v>
      </c>
      <c r="AB759" s="247" t="s">
        <v>1505</v>
      </c>
      <c r="AC759" s="247" t="s">
        <v>516</v>
      </c>
      <c r="AD759" s="247" t="s">
        <v>516</v>
      </c>
      <c r="AE759" s="247" t="s">
        <v>543</v>
      </c>
      <c r="AF759" s="247">
        <v>0</v>
      </c>
      <c r="AG759" s="247"/>
      <c r="AH759" s="247">
        <v>20</v>
      </c>
      <c r="AI759" s="247">
        <v>27</v>
      </c>
      <c r="AJ759" s="247"/>
    </row>
    <row r="760" spans="27:36">
      <c r="AA760" s="247">
        <v>7054</v>
      </c>
      <c r="AB760" s="247" t="s">
        <v>1506</v>
      </c>
      <c r="AC760" s="247" t="s">
        <v>516</v>
      </c>
      <c r="AD760" s="247" t="s">
        <v>516</v>
      </c>
      <c r="AE760" s="247" t="s">
        <v>543</v>
      </c>
      <c r="AF760" s="247">
        <v>0</v>
      </c>
      <c r="AG760" s="247"/>
      <c r="AH760" s="247">
        <v>30</v>
      </c>
      <c r="AI760" s="247">
        <v>27</v>
      </c>
      <c r="AJ760" s="247"/>
    </row>
    <row r="761" spans="27:36">
      <c r="AA761" s="247">
        <v>7055</v>
      </c>
      <c r="AB761" s="247" t="s">
        <v>1507</v>
      </c>
      <c r="AC761" s="247" t="s">
        <v>516</v>
      </c>
      <c r="AD761" s="247" t="s">
        <v>516</v>
      </c>
      <c r="AE761" s="247" t="s">
        <v>543</v>
      </c>
      <c r="AF761" s="247">
        <v>0</v>
      </c>
      <c r="AG761" s="247" t="s">
        <v>528</v>
      </c>
      <c r="AH761" s="247">
        <v>20</v>
      </c>
      <c r="AI761" s="247">
        <v>27</v>
      </c>
      <c r="AJ761" s="247"/>
    </row>
    <row r="762" spans="27:36">
      <c r="AA762" s="247">
        <v>7057</v>
      </c>
      <c r="AB762" s="247" t="s">
        <v>1508</v>
      </c>
      <c r="AC762" s="247" t="s">
        <v>516</v>
      </c>
      <c r="AD762" s="247" t="s">
        <v>516</v>
      </c>
      <c r="AE762" s="247" t="s">
        <v>543</v>
      </c>
      <c r="AF762" s="247">
        <v>0</v>
      </c>
      <c r="AG762" s="247"/>
      <c r="AH762" s="247">
        <v>0</v>
      </c>
      <c r="AI762" s="247">
        <v>27</v>
      </c>
      <c r="AJ762" s="247"/>
    </row>
    <row r="763" spans="27:36">
      <c r="AA763" s="247">
        <v>7058</v>
      </c>
      <c r="AB763" s="247" t="s">
        <v>1509</v>
      </c>
      <c r="AC763" s="247" t="s">
        <v>516</v>
      </c>
      <c r="AD763" s="247" t="s">
        <v>516</v>
      </c>
      <c r="AE763" s="247" t="s">
        <v>543</v>
      </c>
      <c r="AF763" s="247">
        <v>0</v>
      </c>
      <c r="AG763" s="247"/>
      <c r="AH763" s="247">
        <v>20</v>
      </c>
      <c r="AI763" s="247">
        <v>27</v>
      </c>
      <c r="AJ763" s="247"/>
    </row>
    <row r="764" spans="27:36">
      <c r="AA764" s="247">
        <v>7059</v>
      </c>
      <c r="AB764" s="247" t="s">
        <v>1510</v>
      </c>
      <c r="AC764" s="247" t="s">
        <v>516</v>
      </c>
      <c r="AD764" s="247" t="s">
        <v>516</v>
      </c>
      <c r="AE764" s="247" t="s">
        <v>533</v>
      </c>
      <c r="AF764" s="247">
        <v>52</v>
      </c>
      <c r="AG764" s="247" t="s">
        <v>528</v>
      </c>
      <c r="AH764" s="247">
        <v>20</v>
      </c>
      <c r="AI764" s="247">
        <v>22</v>
      </c>
      <c r="AJ764" s="247"/>
    </row>
    <row r="765" spans="27:36">
      <c r="AA765" s="247">
        <v>7085</v>
      </c>
      <c r="AB765" s="247" t="s">
        <v>1511</v>
      </c>
      <c r="AC765" s="247" t="s">
        <v>516</v>
      </c>
      <c r="AD765" s="247" t="s">
        <v>516</v>
      </c>
      <c r="AE765" s="247" t="s">
        <v>543</v>
      </c>
      <c r="AF765" s="247">
        <v>0</v>
      </c>
      <c r="AG765" s="247"/>
      <c r="AH765" s="247">
        <v>20</v>
      </c>
      <c r="AI765" s="247">
        <v>27</v>
      </c>
      <c r="AJ765" s="247"/>
    </row>
    <row r="766" spans="27:36">
      <c r="AA766" s="247">
        <v>7090</v>
      </c>
      <c r="AB766" s="247" t="s">
        <v>1512</v>
      </c>
      <c r="AC766" s="247" t="s">
        <v>516</v>
      </c>
      <c r="AD766" s="247" t="s">
        <v>516</v>
      </c>
      <c r="AE766" s="247" t="s">
        <v>543</v>
      </c>
      <c r="AF766" s="247">
        <v>0</v>
      </c>
      <c r="AG766" s="247"/>
      <c r="AH766" s="247">
        <v>20</v>
      </c>
      <c r="AI766" s="247">
        <v>27</v>
      </c>
      <c r="AJ766" s="247"/>
    </row>
    <row r="767" spans="27:36">
      <c r="AA767" s="247">
        <v>7092</v>
      </c>
      <c r="AB767" s="247" t="s">
        <v>1513</v>
      </c>
      <c r="AC767" s="247" t="s">
        <v>516</v>
      </c>
      <c r="AD767" s="247" t="s">
        <v>516</v>
      </c>
      <c r="AE767" s="247" t="s">
        <v>507</v>
      </c>
      <c r="AF767" s="247">
        <v>0</v>
      </c>
      <c r="AG767" s="247"/>
      <c r="AH767" s="247">
        <v>20</v>
      </c>
      <c r="AI767" s="247">
        <v>27</v>
      </c>
      <c r="AJ767" s="247"/>
    </row>
    <row r="768" spans="27:36">
      <c r="AA768" s="247">
        <v>7160</v>
      </c>
      <c r="AB768" s="247" t="s">
        <v>1514</v>
      </c>
      <c r="AC768" s="247" t="s">
        <v>516</v>
      </c>
      <c r="AD768" s="247" t="s">
        <v>516</v>
      </c>
      <c r="AE768" s="247" t="s">
        <v>533</v>
      </c>
      <c r="AF768" s="247">
        <v>52</v>
      </c>
      <c r="AG768" s="247" t="s">
        <v>528</v>
      </c>
      <c r="AH768" s="247">
        <v>0</v>
      </c>
      <c r="AI768" s="247">
        <v>15</v>
      </c>
      <c r="AJ768" s="247"/>
    </row>
    <row r="769" spans="27:36">
      <c r="AA769" s="247">
        <v>7250</v>
      </c>
      <c r="AB769" s="247" t="s">
        <v>1515</v>
      </c>
      <c r="AC769" s="247" t="s">
        <v>516</v>
      </c>
      <c r="AD769" s="247" t="s">
        <v>516</v>
      </c>
      <c r="AE769" s="247" t="s">
        <v>533</v>
      </c>
      <c r="AF769" s="247">
        <v>52</v>
      </c>
      <c r="AG769" s="247" t="s">
        <v>528</v>
      </c>
      <c r="AH769" s="247">
        <v>0</v>
      </c>
      <c r="AI769" s="247">
        <v>16</v>
      </c>
      <c r="AJ769" s="247"/>
    </row>
    <row r="770" spans="27:36">
      <c r="AA770" s="247">
        <v>7324</v>
      </c>
      <c r="AB770" s="247" t="s">
        <v>1516</v>
      </c>
      <c r="AC770" s="247" t="s">
        <v>516</v>
      </c>
      <c r="AD770" s="247" t="s">
        <v>516</v>
      </c>
      <c r="AE770" s="247" t="s">
        <v>543</v>
      </c>
      <c r="AF770" s="247">
        <v>0</v>
      </c>
      <c r="AG770" s="247" t="s">
        <v>528</v>
      </c>
      <c r="AH770" s="247">
        <v>20</v>
      </c>
      <c r="AI770" s="247">
        <v>27</v>
      </c>
      <c r="AJ770" s="247"/>
    </row>
    <row r="771" spans="27:36">
      <c r="AA771" s="247">
        <v>7325</v>
      </c>
      <c r="AB771" s="247" t="s">
        <v>1517</v>
      </c>
      <c r="AC771" s="247" t="s">
        <v>516</v>
      </c>
      <c r="AD771" s="247" t="s">
        <v>516</v>
      </c>
      <c r="AE771" s="247" t="s">
        <v>543</v>
      </c>
      <c r="AF771" s="247">
        <v>0</v>
      </c>
      <c r="AG771" s="247"/>
      <c r="AH771" s="247">
        <v>20</v>
      </c>
      <c r="AI771" s="247">
        <v>27</v>
      </c>
      <c r="AJ771" s="247"/>
    </row>
    <row r="772" spans="27:36">
      <c r="AA772" s="247">
        <v>7335</v>
      </c>
      <c r="AB772" s="247" t="s">
        <v>1518</v>
      </c>
      <c r="AC772" s="247" t="s">
        <v>516</v>
      </c>
      <c r="AD772" s="247" t="s">
        <v>516</v>
      </c>
      <c r="AE772" s="247" t="s">
        <v>533</v>
      </c>
      <c r="AF772" s="247">
        <v>60</v>
      </c>
      <c r="AG772" s="247" t="s">
        <v>528</v>
      </c>
      <c r="AH772" s="247">
        <v>20</v>
      </c>
      <c r="AI772" s="247">
        <v>16</v>
      </c>
      <c r="AJ772" s="247" t="s">
        <v>1474</v>
      </c>
    </row>
    <row r="773" spans="27:36">
      <c r="AA773" s="247">
        <v>7340</v>
      </c>
      <c r="AB773" s="247" t="s">
        <v>1519</v>
      </c>
      <c r="AC773" s="247" t="s">
        <v>516</v>
      </c>
      <c r="AD773" s="247" t="s">
        <v>516</v>
      </c>
      <c r="AE773" s="247" t="s">
        <v>543</v>
      </c>
      <c r="AF773" s="247">
        <v>0</v>
      </c>
      <c r="AG773" s="247"/>
      <c r="AH773" s="247">
        <v>20</v>
      </c>
      <c r="AI773" s="247">
        <v>27</v>
      </c>
      <c r="AJ773" s="247"/>
    </row>
    <row r="774" spans="27:36">
      <c r="AA774" s="247">
        <v>7350</v>
      </c>
      <c r="AB774" s="247" t="s">
        <v>1520</v>
      </c>
      <c r="AC774" s="247" t="s">
        <v>516</v>
      </c>
      <c r="AD774" s="247" t="s">
        <v>516</v>
      </c>
      <c r="AE774" s="247" t="s">
        <v>507</v>
      </c>
      <c r="AF774" s="247">
        <v>52</v>
      </c>
      <c r="AG774" s="247"/>
      <c r="AH774" s="247">
        <v>10</v>
      </c>
      <c r="AI774" s="247">
        <v>28</v>
      </c>
      <c r="AJ774" s="247"/>
    </row>
    <row r="775" spans="27:36">
      <c r="AA775" s="247">
        <v>7400</v>
      </c>
      <c r="AB775" s="247" t="s">
        <v>1521</v>
      </c>
      <c r="AC775" s="247" t="s">
        <v>516</v>
      </c>
      <c r="AD775" s="247" t="s">
        <v>516</v>
      </c>
      <c r="AE775" s="247" t="s">
        <v>543</v>
      </c>
      <c r="AF775" s="247">
        <v>0</v>
      </c>
      <c r="AG775" s="247"/>
      <c r="AH775" s="247">
        <v>20</v>
      </c>
      <c r="AI775" s="247">
        <v>27</v>
      </c>
      <c r="AJ775" s="247"/>
    </row>
    <row r="776" spans="27:36">
      <c r="AA776" s="247">
        <v>7401</v>
      </c>
      <c r="AB776" s="247" t="s">
        <v>1522</v>
      </c>
      <c r="AC776" s="247" t="s">
        <v>1523</v>
      </c>
      <c r="AD776" s="247" t="s">
        <v>1524</v>
      </c>
      <c r="AE776" s="247" t="s">
        <v>533</v>
      </c>
      <c r="AF776" s="247">
        <v>52</v>
      </c>
      <c r="AG776" s="247" t="s">
        <v>528</v>
      </c>
      <c r="AH776" s="247">
        <v>20</v>
      </c>
      <c r="AI776" s="247">
        <v>16</v>
      </c>
      <c r="AJ776" s="247" t="s">
        <v>1474</v>
      </c>
    </row>
    <row r="777" spans="27:36">
      <c r="AA777" s="247">
        <v>7402</v>
      </c>
      <c r="AB777" s="247" t="s">
        <v>1525</v>
      </c>
      <c r="AC777" s="247" t="s">
        <v>1526</v>
      </c>
      <c r="AD777" s="247" t="s">
        <v>1527</v>
      </c>
      <c r="AE777" s="247" t="s">
        <v>543</v>
      </c>
      <c r="AF777" s="247">
        <v>0</v>
      </c>
      <c r="AG777" s="247" t="s">
        <v>528</v>
      </c>
      <c r="AH777" s="247">
        <v>0</v>
      </c>
      <c r="AI777" s="247">
        <v>27</v>
      </c>
      <c r="AJ777" s="247"/>
    </row>
    <row r="778" spans="27:36">
      <c r="AA778" s="247">
        <v>7403</v>
      </c>
      <c r="AB778" s="247" t="s">
        <v>1528</v>
      </c>
      <c r="AC778" s="247" t="s">
        <v>1529</v>
      </c>
      <c r="AD778" s="247" t="s">
        <v>1530</v>
      </c>
      <c r="AE778" s="247" t="s">
        <v>543</v>
      </c>
      <c r="AF778" s="247">
        <v>0</v>
      </c>
      <c r="AG778" s="247" t="s">
        <v>528</v>
      </c>
      <c r="AH778" s="247">
        <v>0</v>
      </c>
      <c r="AI778" s="247">
        <v>27</v>
      </c>
      <c r="AJ778" s="247"/>
    </row>
    <row r="779" spans="27:36">
      <c r="AA779" s="247">
        <v>7404</v>
      </c>
      <c r="AB779" s="247" t="s">
        <v>1531</v>
      </c>
      <c r="AC779" s="247" t="s">
        <v>1532</v>
      </c>
      <c r="AD779" s="247" t="s">
        <v>1533</v>
      </c>
      <c r="AE779" s="247" t="s">
        <v>533</v>
      </c>
      <c r="AF779" s="247">
        <v>180</v>
      </c>
      <c r="AG779" s="247" t="s">
        <v>528</v>
      </c>
      <c r="AH779" s="247">
        <v>0</v>
      </c>
      <c r="AI779" s="247">
        <v>16</v>
      </c>
      <c r="AJ779" s="247" t="s">
        <v>1474</v>
      </c>
    </row>
    <row r="780" spans="27:36">
      <c r="AA780" s="247">
        <v>7415</v>
      </c>
      <c r="AB780" s="247" t="s">
        <v>1534</v>
      </c>
      <c r="AC780" s="247" t="s">
        <v>516</v>
      </c>
      <c r="AD780" s="247" t="s">
        <v>516</v>
      </c>
      <c r="AE780" s="247" t="s">
        <v>533</v>
      </c>
      <c r="AF780" s="247">
        <v>52</v>
      </c>
      <c r="AG780" s="247" t="s">
        <v>528</v>
      </c>
      <c r="AH780" s="247">
        <v>20</v>
      </c>
      <c r="AI780" s="247">
        <v>16</v>
      </c>
      <c r="AJ780" s="247"/>
    </row>
    <row r="781" spans="27:36">
      <c r="AA781" s="247">
        <v>7421</v>
      </c>
      <c r="AB781" s="247" t="s">
        <v>1535</v>
      </c>
      <c r="AC781" s="247" t="s">
        <v>516</v>
      </c>
      <c r="AD781" s="247" t="s">
        <v>516</v>
      </c>
      <c r="AE781" s="247" t="s">
        <v>533</v>
      </c>
      <c r="AF781" s="247">
        <v>52</v>
      </c>
      <c r="AG781" s="247" t="s">
        <v>528</v>
      </c>
      <c r="AH781" s="247">
        <v>20</v>
      </c>
      <c r="AI781" s="247">
        <v>16</v>
      </c>
      <c r="AJ781" s="247"/>
    </row>
    <row r="782" spans="27:36">
      <c r="AA782" s="247">
        <v>7425</v>
      </c>
      <c r="AB782" s="247" t="s">
        <v>1536</v>
      </c>
      <c r="AC782" s="247" t="s">
        <v>516</v>
      </c>
      <c r="AD782" s="247" t="s">
        <v>516</v>
      </c>
      <c r="AE782" s="247" t="s">
        <v>543</v>
      </c>
      <c r="AF782" s="247">
        <v>0</v>
      </c>
      <c r="AG782" s="247" t="s">
        <v>528</v>
      </c>
      <c r="AH782" s="247">
        <v>20</v>
      </c>
      <c r="AI782" s="247">
        <v>27</v>
      </c>
      <c r="AJ782" s="247"/>
    </row>
    <row r="783" spans="27:36">
      <c r="AA783" s="247">
        <v>7610</v>
      </c>
      <c r="AB783" s="247" t="s">
        <v>1537</v>
      </c>
      <c r="AC783" s="247" t="s">
        <v>516</v>
      </c>
      <c r="AD783" s="247" t="s">
        <v>516</v>
      </c>
      <c r="AE783" s="247" t="s">
        <v>507</v>
      </c>
      <c r="AF783" s="247">
        <v>0</v>
      </c>
      <c r="AG783" s="247"/>
      <c r="AH783" s="247">
        <v>0</v>
      </c>
      <c r="AI783" s="247">
        <v>28</v>
      </c>
      <c r="AJ783" s="247"/>
    </row>
    <row r="784" spans="27:36">
      <c r="AA784" s="247">
        <v>7611</v>
      </c>
      <c r="AB784" s="247" t="s">
        <v>1538</v>
      </c>
      <c r="AC784" s="247" t="s">
        <v>516</v>
      </c>
      <c r="AD784" s="247" t="s">
        <v>516</v>
      </c>
      <c r="AE784" s="247" t="s">
        <v>543</v>
      </c>
      <c r="AF784" s="247">
        <v>0</v>
      </c>
      <c r="AG784" s="247"/>
      <c r="AH784" s="247">
        <v>0</v>
      </c>
      <c r="AI784" s="247">
        <v>27</v>
      </c>
      <c r="AJ784" s="247"/>
    </row>
    <row r="785" spans="27:36">
      <c r="AA785" s="247">
        <v>8000</v>
      </c>
      <c r="AB785" s="247" t="s">
        <v>1539</v>
      </c>
      <c r="AC785" s="247" t="s">
        <v>1540</v>
      </c>
      <c r="AD785" s="247" t="s">
        <v>1541</v>
      </c>
      <c r="AE785" s="247" t="s">
        <v>507</v>
      </c>
      <c r="AF785" s="247">
        <v>52</v>
      </c>
      <c r="AG785" s="247"/>
      <c r="AH785" s="247">
        <v>20</v>
      </c>
      <c r="AI785" s="247">
        <v>30</v>
      </c>
      <c r="AJ785" s="247"/>
    </row>
    <row r="786" spans="27:36">
      <c r="AA786" s="247">
        <v>8001</v>
      </c>
      <c r="AB786" s="247" t="s">
        <v>1542</v>
      </c>
      <c r="AC786" s="247" t="s">
        <v>516</v>
      </c>
      <c r="AD786" s="247" t="s">
        <v>516</v>
      </c>
      <c r="AE786" s="247" t="s">
        <v>507</v>
      </c>
      <c r="AF786" s="247">
        <v>75</v>
      </c>
      <c r="AG786" s="247"/>
      <c r="AH786" s="247">
        <v>20</v>
      </c>
      <c r="AI786" s="247">
        <v>4</v>
      </c>
      <c r="AJ786" s="247"/>
    </row>
    <row r="787" spans="27:36">
      <c r="AA787" s="247">
        <v>8002</v>
      </c>
      <c r="AB787" s="247" t="s">
        <v>1543</v>
      </c>
      <c r="AC787" s="247" t="s">
        <v>516</v>
      </c>
      <c r="AD787" s="247" t="s">
        <v>516</v>
      </c>
      <c r="AE787" s="247" t="s">
        <v>507</v>
      </c>
      <c r="AF787" s="247">
        <v>52</v>
      </c>
      <c r="AG787" s="247"/>
      <c r="AH787" s="247">
        <v>20</v>
      </c>
      <c r="AI787" s="247">
        <v>4</v>
      </c>
      <c r="AJ787" s="247"/>
    </row>
    <row r="788" spans="27:36">
      <c r="AA788" s="247">
        <v>8100</v>
      </c>
      <c r="AB788" s="247" t="s">
        <v>1544</v>
      </c>
      <c r="AC788" s="247" t="s">
        <v>1545</v>
      </c>
      <c r="AD788" s="247" t="s">
        <v>1546</v>
      </c>
      <c r="AE788" s="247" t="s">
        <v>543</v>
      </c>
      <c r="AF788" s="247">
        <v>0</v>
      </c>
      <c r="AG788" s="247"/>
      <c r="AH788" s="247">
        <v>20</v>
      </c>
      <c r="AI788" s="247">
        <v>27</v>
      </c>
      <c r="AJ788" s="247"/>
    </row>
    <row r="789" spans="27:36">
      <c r="AA789" s="247">
        <v>8105</v>
      </c>
      <c r="AB789" s="247" t="s">
        <v>1547</v>
      </c>
      <c r="AC789" s="247" t="s">
        <v>516</v>
      </c>
      <c r="AD789" s="247" t="s">
        <v>516</v>
      </c>
      <c r="AE789" s="247" t="s">
        <v>507</v>
      </c>
      <c r="AF789" s="247">
        <v>0</v>
      </c>
      <c r="AG789" s="247"/>
      <c r="AH789" s="247">
        <v>0</v>
      </c>
      <c r="AI789" s="247">
        <v>27</v>
      </c>
      <c r="AJ789" s="247"/>
    </row>
    <row r="790" spans="27:36">
      <c r="AA790" s="247">
        <v>8200</v>
      </c>
      <c r="AB790" s="247" t="s">
        <v>1548</v>
      </c>
      <c r="AC790" s="247" t="s">
        <v>516</v>
      </c>
      <c r="AD790" s="247" t="s">
        <v>516</v>
      </c>
      <c r="AE790" s="247" t="s">
        <v>507</v>
      </c>
      <c r="AF790" s="247">
        <v>0</v>
      </c>
      <c r="AG790" s="247"/>
      <c r="AH790" s="247">
        <v>20</v>
      </c>
      <c r="AI790" s="247">
        <v>32</v>
      </c>
      <c r="AJ790" s="247"/>
    </row>
    <row r="791" spans="27:36">
      <c r="AA791" s="247">
        <v>8300</v>
      </c>
      <c r="AB791" s="247" t="s">
        <v>1549</v>
      </c>
      <c r="AC791" s="247" t="s">
        <v>516</v>
      </c>
      <c r="AD791" s="247" t="s">
        <v>516</v>
      </c>
      <c r="AE791" s="247" t="s">
        <v>507</v>
      </c>
      <c r="AF791" s="247">
        <v>0</v>
      </c>
      <c r="AG791" s="247" t="s">
        <v>528</v>
      </c>
      <c r="AH791" s="247">
        <v>20</v>
      </c>
      <c r="AI791" s="247">
        <v>28</v>
      </c>
      <c r="AJ791" s="247"/>
    </row>
    <row r="792" spans="27:36">
      <c r="AA792" s="247">
        <v>8400</v>
      </c>
      <c r="AB792" s="247" t="s">
        <v>1550</v>
      </c>
      <c r="AC792" s="247" t="s">
        <v>516</v>
      </c>
      <c r="AD792" s="247" t="s">
        <v>516</v>
      </c>
      <c r="AE792" s="247" t="s">
        <v>543</v>
      </c>
      <c r="AF792" s="247">
        <v>0</v>
      </c>
      <c r="AG792" s="247"/>
      <c r="AH792" s="247">
        <v>20</v>
      </c>
      <c r="AI792" s="247">
        <v>27</v>
      </c>
      <c r="AJ792" s="247"/>
    </row>
    <row r="793" spans="27:36">
      <c r="AA793" s="247">
        <v>8401</v>
      </c>
      <c r="AB793" s="247" t="s">
        <v>1551</v>
      </c>
      <c r="AC793" s="247" t="s">
        <v>516</v>
      </c>
      <c r="AD793" s="247" t="s">
        <v>516</v>
      </c>
      <c r="AE793" s="247" t="s">
        <v>533</v>
      </c>
      <c r="AF793" s="247">
        <v>52</v>
      </c>
      <c r="AG793" s="247"/>
      <c r="AH793" s="247">
        <v>20</v>
      </c>
      <c r="AI793" s="247">
        <v>16</v>
      </c>
      <c r="AJ793" s="247"/>
    </row>
    <row r="794" spans="27:36">
      <c r="AA794" s="247">
        <v>8402</v>
      </c>
      <c r="AB794" s="247" t="s">
        <v>1552</v>
      </c>
      <c r="AC794" s="247" t="s">
        <v>516</v>
      </c>
      <c r="AD794" s="247" t="s">
        <v>516</v>
      </c>
      <c r="AE794" s="247" t="s">
        <v>543</v>
      </c>
      <c r="AF794" s="247">
        <v>0</v>
      </c>
      <c r="AG794" s="247"/>
      <c r="AH794" s="247">
        <v>20</v>
      </c>
      <c r="AI794" s="247">
        <v>27</v>
      </c>
      <c r="AJ794" s="247"/>
    </row>
    <row r="795" spans="27:36">
      <c r="AA795" s="247">
        <v>8405</v>
      </c>
      <c r="AB795" s="247" t="s">
        <v>1553</v>
      </c>
      <c r="AC795" s="247" t="s">
        <v>516</v>
      </c>
      <c r="AD795" s="247" t="s">
        <v>516</v>
      </c>
      <c r="AE795" s="247" t="s">
        <v>507</v>
      </c>
      <c r="AF795" s="247">
        <v>0</v>
      </c>
      <c r="AG795" s="247"/>
      <c r="AH795" s="247">
        <v>20</v>
      </c>
      <c r="AI795" s="247">
        <v>28</v>
      </c>
      <c r="AJ795" s="247"/>
    </row>
    <row r="796" spans="27:36">
      <c r="AA796" s="247">
        <v>8410</v>
      </c>
      <c r="AB796" s="247" t="s">
        <v>1554</v>
      </c>
      <c r="AC796" s="247" t="s">
        <v>516</v>
      </c>
      <c r="AD796" s="247" t="s">
        <v>516</v>
      </c>
      <c r="AE796" s="247" t="s">
        <v>543</v>
      </c>
      <c r="AF796" s="247">
        <v>0</v>
      </c>
      <c r="AG796" s="247" t="s">
        <v>528</v>
      </c>
      <c r="AH796" s="247">
        <v>20</v>
      </c>
      <c r="AI796" s="247">
        <v>27</v>
      </c>
      <c r="AJ796" s="247"/>
    </row>
    <row r="797" spans="27:36">
      <c r="AA797" s="247">
        <v>8420</v>
      </c>
      <c r="AB797" s="247" t="s">
        <v>1555</v>
      </c>
      <c r="AC797" s="247" t="s">
        <v>516</v>
      </c>
      <c r="AD797" s="247" t="s">
        <v>516</v>
      </c>
      <c r="AE797" s="247" t="s">
        <v>543</v>
      </c>
      <c r="AF797" s="247">
        <v>0</v>
      </c>
      <c r="AG797" s="247" t="s">
        <v>528</v>
      </c>
      <c r="AH797" s="247">
        <v>20</v>
      </c>
      <c r="AI797" s="247">
        <v>27</v>
      </c>
      <c r="AJ797" s="247"/>
    </row>
    <row r="798" spans="27:36">
      <c r="AA798" s="247">
        <v>9000</v>
      </c>
      <c r="AB798" s="247" t="s">
        <v>1556</v>
      </c>
      <c r="AC798" s="247" t="s">
        <v>1557</v>
      </c>
      <c r="AD798" s="247" t="s">
        <v>1558</v>
      </c>
      <c r="AE798" s="247" t="s">
        <v>507</v>
      </c>
      <c r="AF798" s="247">
        <v>0</v>
      </c>
      <c r="AG798" s="247"/>
      <c r="AH798" s="247">
        <v>20</v>
      </c>
      <c r="AI798" s="247">
        <v>27</v>
      </c>
      <c r="AJ798" s="247"/>
    </row>
    <row r="799" spans="27:36">
      <c r="AA799" s="247">
        <v>9001</v>
      </c>
      <c r="AB799" s="247" t="s">
        <v>1559</v>
      </c>
      <c r="AC799" s="247" t="s">
        <v>516</v>
      </c>
      <c r="AD799" s="247" t="s">
        <v>516</v>
      </c>
      <c r="AE799" s="247" t="s">
        <v>507</v>
      </c>
      <c r="AF799" s="247">
        <v>0</v>
      </c>
      <c r="AG799" s="247"/>
      <c r="AH799" s="247">
        <v>20</v>
      </c>
      <c r="AI799" s="247">
        <v>27</v>
      </c>
      <c r="AJ799" s="247"/>
    </row>
    <row r="800" spans="27:36">
      <c r="AA800" s="247">
        <v>9006</v>
      </c>
      <c r="AB800" s="247" t="s">
        <v>1560</v>
      </c>
      <c r="AC800" s="247" t="s">
        <v>516</v>
      </c>
      <c r="AD800" s="247" t="s">
        <v>516</v>
      </c>
      <c r="AE800" s="247" t="s">
        <v>507</v>
      </c>
      <c r="AF800" s="247">
        <v>0</v>
      </c>
      <c r="AG800" s="247"/>
      <c r="AH800" s="247">
        <v>20</v>
      </c>
      <c r="AI800" s="247">
        <v>27</v>
      </c>
      <c r="AJ800" s="247"/>
    </row>
    <row r="801" spans="27:36">
      <c r="AA801" s="247">
        <v>9022</v>
      </c>
      <c r="AB801" s="247" t="s">
        <v>1561</v>
      </c>
      <c r="AC801" s="247" t="s">
        <v>516</v>
      </c>
      <c r="AD801" s="247" t="s">
        <v>516</v>
      </c>
      <c r="AE801" s="247" t="s">
        <v>507</v>
      </c>
      <c r="AF801" s="247">
        <v>52</v>
      </c>
      <c r="AG801" s="247"/>
      <c r="AH801" s="247">
        <v>20</v>
      </c>
      <c r="AI801" s="247">
        <v>2</v>
      </c>
      <c r="AJ801" s="247"/>
    </row>
    <row r="802" spans="27:36">
      <c r="AA802" s="247">
        <v>9085</v>
      </c>
      <c r="AB802" s="247" t="s">
        <v>1562</v>
      </c>
      <c r="AC802" s="247" t="s">
        <v>516</v>
      </c>
      <c r="AD802" s="247" t="s">
        <v>516</v>
      </c>
      <c r="AE802" s="247" t="s">
        <v>507</v>
      </c>
      <c r="AF802" s="247">
        <v>0</v>
      </c>
      <c r="AG802" s="247"/>
      <c r="AH802" s="247">
        <v>20</v>
      </c>
      <c r="AI802" s="247">
        <v>28</v>
      </c>
      <c r="AJ802" s="247"/>
    </row>
    <row r="803" spans="27:36">
      <c r="AA803" s="247">
        <v>9086</v>
      </c>
      <c r="AB803" s="247" t="s">
        <v>1563</v>
      </c>
      <c r="AC803" s="247" t="s">
        <v>516</v>
      </c>
      <c r="AD803" s="247" t="s">
        <v>516</v>
      </c>
      <c r="AE803" s="247" t="s">
        <v>533</v>
      </c>
      <c r="AF803" s="247">
        <v>52</v>
      </c>
      <c r="AG803" s="247" t="s">
        <v>528</v>
      </c>
      <c r="AH803" s="247">
        <v>20</v>
      </c>
      <c r="AI803" s="247">
        <v>16</v>
      </c>
      <c r="AJ803" s="247"/>
    </row>
    <row r="804" spans="27:36">
      <c r="AA804" s="247">
        <v>9087</v>
      </c>
      <c r="AB804" s="247" t="s">
        <v>1564</v>
      </c>
      <c r="AC804" s="247" t="s">
        <v>516</v>
      </c>
      <c r="AD804" s="247" t="s">
        <v>516</v>
      </c>
      <c r="AE804" s="247" t="s">
        <v>507</v>
      </c>
      <c r="AF804" s="247">
        <v>0</v>
      </c>
      <c r="AG804" s="247"/>
      <c r="AH804" s="247">
        <v>20</v>
      </c>
      <c r="AI804" s="247">
        <v>28</v>
      </c>
      <c r="AJ804" s="247"/>
    </row>
    <row r="805" spans="27:36">
      <c r="AA805" s="247">
        <v>9090</v>
      </c>
      <c r="AB805" s="247" t="s">
        <v>1565</v>
      </c>
      <c r="AC805" s="247" t="s">
        <v>516</v>
      </c>
      <c r="AD805" s="247" t="s">
        <v>516</v>
      </c>
      <c r="AE805" s="247" t="s">
        <v>543</v>
      </c>
      <c r="AF805" s="247">
        <v>0</v>
      </c>
      <c r="AG805" s="247"/>
      <c r="AH805" s="247">
        <v>20</v>
      </c>
      <c r="AI805" s="247">
        <v>27</v>
      </c>
      <c r="AJ805" s="247"/>
    </row>
    <row r="806" spans="27:36">
      <c r="AA806" s="247">
        <v>9210</v>
      </c>
      <c r="AB806" s="247" t="s">
        <v>1566</v>
      </c>
      <c r="AC806" s="247" t="s">
        <v>1567</v>
      </c>
      <c r="AD806" s="247" t="s">
        <v>1568</v>
      </c>
      <c r="AE806" s="247" t="s">
        <v>507</v>
      </c>
      <c r="AF806" s="247">
        <v>52</v>
      </c>
      <c r="AG806" s="247"/>
      <c r="AH806" s="247">
        <v>20</v>
      </c>
      <c r="AI806" s="247">
        <v>4</v>
      </c>
      <c r="AJ806" s="247"/>
    </row>
    <row r="807" spans="27:36">
      <c r="AA807" s="247">
        <v>9211</v>
      </c>
      <c r="AB807" s="247" t="s">
        <v>1569</v>
      </c>
      <c r="AC807" s="247" t="s">
        <v>516</v>
      </c>
      <c r="AD807" s="247" t="s">
        <v>516</v>
      </c>
      <c r="AE807" s="247" t="s">
        <v>507</v>
      </c>
      <c r="AF807" s="247">
        <v>52</v>
      </c>
      <c r="AG807" s="247"/>
      <c r="AH807" s="247">
        <v>20</v>
      </c>
      <c r="AI807" s="247">
        <v>4</v>
      </c>
      <c r="AJ807" s="247"/>
    </row>
    <row r="808" spans="27:36">
      <c r="AA808" s="247">
        <v>9801</v>
      </c>
      <c r="AB808" s="247" t="s">
        <v>1570</v>
      </c>
      <c r="AC808" s="247" t="s">
        <v>516</v>
      </c>
      <c r="AD808" s="247" t="s">
        <v>516</v>
      </c>
      <c r="AE808" s="247" t="s">
        <v>507</v>
      </c>
      <c r="AF808" s="247">
        <v>75</v>
      </c>
      <c r="AG808" s="247" t="s">
        <v>528</v>
      </c>
      <c r="AH808" s="247">
        <v>0</v>
      </c>
      <c r="AI808" s="247">
        <v>9</v>
      </c>
      <c r="AJ808" s="247"/>
    </row>
    <row r="809" spans="27:36">
      <c r="AA809" s="247">
        <v>9802</v>
      </c>
      <c r="AB809" s="247" t="s">
        <v>1571</v>
      </c>
      <c r="AC809" s="247" t="s">
        <v>516</v>
      </c>
      <c r="AD809" s="247" t="s">
        <v>516</v>
      </c>
      <c r="AE809" s="247" t="s">
        <v>507</v>
      </c>
      <c r="AF809" s="247">
        <v>75</v>
      </c>
      <c r="AG809" s="247" t="s">
        <v>528</v>
      </c>
      <c r="AH809" s="247">
        <v>0</v>
      </c>
      <c r="AI809" s="247">
        <v>9</v>
      </c>
      <c r="AJ809" s="247"/>
    </row>
    <row r="810" spans="27:36">
      <c r="AA810" s="247">
        <v>9811</v>
      </c>
      <c r="AB810" s="247" t="s">
        <v>1572</v>
      </c>
      <c r="AC810" s="247" t="s">
        <v>516</v>
      </c>
      <c r="AD810" s="247" t="s">
        <v>516</v>
      </c>
      <c r="AE810" s="247" t="s">
        <v>507</v>
      </c>
      <c r="AF810" s="247">
        <v>0</v>
      </c>
      <c r="AG810" s="247" t="s">
        <v>528</v>
      </c>
      <c r="AH810" s="247">
        <v>0</v>
      </c>
      <c r="AI810" s="247">
        <v>27</v>
      </c>
      <c r="AJ810" s="247"/>
    </row>
    <row r="811" spans="27:36">
      <c r="AA811" s="247">
        <v>9812</v>
      </c>
      <c r="AB811" s="247" t="s">
        <v>1573</v>
      </c>
      <c r="AC811" s="247" t="s">
        <v>516</v>
      </c>
      <c r="AD811" s="247" t="s">
        <v>516</v>
      </c>
      <c r="AE811" s="247" t="s">
        <v>507</v>
      </c>
      <c r="AF811" s="247">
        <v>0</v>
      </c>
      <c r="AG811" s="247" t="s">
        <v>528</v>
      </c>
      <c r="AH811" s="247">
        <v>0</v>
      </c>
      <c r="AI811" s="247">
        <v>27</v>
      </c>
      <c r="AJ811" s="247"/>
    </row>
    <row r="812" spans="27:36">
      <c r="AA812" s="247">
        <v>9821</v>
      </c>
      <c r="AB812" s="247" t="s">
        <v>1574</v>
      </c>
      <c r="AC812" s="247" t="s">
        <v>516</v>
      </c>
      <c r="AD812" s="247" t="s">
        <v>516</v>
      </c>
      <c r="AE812" s="247" t="s">
        <v>507</v>
      </c>
      <c r="AF812" s="247">
        <v>0</v>
      </c>
      <c r="AG812" s="247" t="s">
        <v>528</v>
      </c>
      <c r="AH812" s="247">
        <v>0</v>
      </c>
      <c r="AI812" s="247">
        <v>27</v>
      </c>
      <c r="AJ812" s="247"/>
    </row>
    <row r="813" spans="27:36">
      <c r="AA813" s="247">
        <v>9822</v>
      </c>
      <c r="AB813" s="247" t="s">
        <v>1575</v>
      </c>
      <c r="AC813" s="247" t="s">
        <v>516</v>
      </c>
      <c r="AD813" s="247" t="s">
        <v>516</v>
      </c>
      <c r="AE813" s="247" t="s">
        <v>507</v>
      </c>
      <c r="AF813" s="247">
        <v>0</v>
      </c>
      <c r="AG813" s="247" t="s">
        <v>528</v>
      </c>
      <c r="AH813" s="247">
        <v>0</v>
      </c>
      <c r="AI813" s="247">
        <v>27</v>
      </c>
      <c r="AJ813" s="247"/>
    </row>
    <row r="814" spans="27:36">
      <c r="AA814" s="247">
        <v>15000</v>
      </c>
      <c r="AB814" s="247" t="s">
        <v>1576</v>
      </c>
      <c r="AC814" s="247" t="s">
        <v>516</v>
      </c>
      <c r="AD814" s="247" t="s">
        <v>516</v>
      </c>
      <c r="AE814" s="247" t="s">
        <v>507</v>
      </c>
      <c r="AF814" s="247">
        <v>52</v>
      </c>
      <c r="AG814" s="247"/>
      <c r="AH814" s="247">
        <v>20</v>
      </c>
      <c r="AI814" s="247">
        <v>6</v>
      </c>
      <c r="AJ814" s="247"/>
    </row>
    <row r="815" spans="27:36">
      <c r="AA815" s="247">
        <v>15001</v>
      </c>
      <c r="AB815" s="247" t="s">
        <v>1577</v>
      </c>
      <c r="AC815" s="247" t="s">
        <v>516</v>
      </c>
      <c r="AD815" s="247" t="s">
        <v>516</v>
      </c>
      <c r="AE815" s="247" t="s">
        <v>507</v>
      </c>
      <c r="AF815" s="247">
        <v>52</v>
      </c>
      <c r="AG815" s="247"/>
      <c r="AH815" s="247">
        <v>20</v>
      </c>
      <c r="AI815" s="247">
        <v>6</v>
      </c>
      <c r="AJ815" s="247"/>
    </row>
    <row r="816" spans="27:36">
      <c r="AA816" s="247">
        <v>15003</v>
      </c>
      <c r="AB816" s="247" t="s">
        <v>1578</v>
      </c>
      <c r="AC816" s="247" t="s">
        <v>516</v>
      </c>
      <c r="AD816" s="247" t="s">
        <v>516</v>
      </c>
      <c r="AE816" s="247" t="s">
        <v>507</v>
      </c>
      <c r="AF816" s="247">
        <v>0</v>
      </c>
      <c r="AG816" s="247"/>
      <c r="AH816" s="247">
        <v>20</v>
      </c>
      <c r="AI816" s="247">
        <v>32</v>
      </c>
      <c r="AJ816" s="247"/>
    </row>
    <row r="817" spans="27:36">
      <c r="AA817" s="247">
        <v>15004</v>
      </c>
      <c r="AB817" s="247" t="s">
        <v>1579</v>
      </c>
      <c r="AC817" s="247" t="s">
        <v>516</v>
      </c>
      <c r="AD817" s="247" t="s">
        <v>516</v>
      </c>
      <c r="AE817" s="247" t="s">
        <v>507</v>
      </c>
      <c r="AF817" s="247">
        <v>0</v>
      </c>
      <c r="AG817" s="247"/>
      <c r="AH817" s="247">
        <v>20</v>
      </c>
      <c r="AI817" s="247">
        <v>32</v>
      </c>
      <c r="AJ817" s="247"/>
    </row>
    <row r="818" spans="27:36">
      <c r="AA818" s="247">
        <v>15005</v>
      </c>
      <c r="AB818" s="247" t="s">
        <v>1580</v>
      </c>
      <c r="AC818" s="247" t="s">
        <v>516</v>
      </c>
      <c r="AD818" s="247" t="s">
        <v>516</v>
      </c>
      <c r="AE818" s="247" t="s">
        <v>507</v>
      </c>
      <c r="AF818" s="247">
        <v>60</v>
      </c>
      <c r="AG818" s="247"/>
      <c r="AH818" s="247">
        <v>20</v>
      </c>
      <c r="AI818" s="247">
        <v>6</v>
      </c>
      <c r="AJ818" s="247"/>
    </row>
    <row r="819" spans="27:36">
      <c r="AA819" s="247">
        <v>15010</v>
      </c>
      <c r="AB819" s="247" t="s">
        <v>1581</v>
      </c>
      <c r="AC819" s="247" t="s">
        <v>516</v>
      </c>
      <c r="AD819" s="247" t="s">
        <v>516</v>
      </c>
      <c r="AE819" s="247" t="s">
        <v>507</v>
      </c>
      <c r="AF819" s="247">
        <v>60</v>
      </c>
      <c r="AG819" s="247"/>
      <c r="AH819" s="247">
        <v>20</v>
      </c>
      <c r="AI819" s="247">
        <v>9</v>
      </c>
      <c r="AJ819" s="247"/>
    </row>
    <row r="820" spans="27:36">
      <c r="AA820" s="247">
        <v>15015</v>
      </c>
      <c r="AB820" s="247" t="s">
        <v>1582</v>
      </c>
      <c r="AC820" s="247" t="s">
        <v>516</v>
      </c>
      <c r="AD820" s="247" t="s">
        <v>516</v>
      </c>
      <c r="AE820" s="247" t="s">
        <v>543</v>
      </c>
      <c r="AF820" s="247">
        <v>0</v>
      </c>
      <c r="AG820" s="247"/>
      <c r="AH820" s="247">
        <v>0</v>
      </c>
      <c r="AI820" s="247">
        <v>27</v>
      </c>
      <c r="AJ820" s="247"/>
    </row>
    <row r="821" spans="27:36">
      <c r="AA821" s="247">
        <v>15016</v>
      </c>
      <c r="AB821" s="247" t="s">
        <v>1583</v>
      </c>
      <c r="AC821" s="247" t="s">
        <v>516</v>
      </c>
      <c r="AD821" s="247" t="s">
        <v>516</v>
      </c>
      <c r="AE821" s="247" t="s">
        <v>543</v>
      </c>
      <c r="AF821" s="247">
        <v>0</v>
      </c>
      <c r="AG821" s="247"/>
      <c r="AH821" s="247">
        <v>0</v>
      </c>
      <c r="AI821" s="247">
        <v>27</v>
      </c>
      <c r="AJ821" s="247"/>
    </row>
    <row r="822" spans="27:36">
      <c r="AA822" s="247">
        <v>15021</v>
      </c>
      <c r="AB822" s="247" t="s">
        <v>1584</v>
      </c>
      <c r="AC822" s="247" t="s">
        <v>516</v>
      </c>
      <c r="AD822" s="247" t="s">
        <v>516</v>
      </c>
      <c r="AE822" s="247" t="s">
        <v>543</v>
      </c>
      <c r="AF822" s="247">
        <v>0</v>
      </c>
      <c r="AG822" s="247"/>
      <c r="AH822" s="247">
        <v>0</v>
      </c>
      <c r="AI822" s="247">
        <v>27</v>
      </c>
      <c r="AJ822" s="247"/>
    </row>
    <row r="823" spans="27:36">
      <c r="AA823" s="247">
        <v>15022</v>
      </c>
      <c r="AB823" s="247" t="s">
        <v>1585</v>
      </c>
      <c r="AC823" s="247" t="s">
        <v>516</v>
      </c>
      <c r="AD823" s="247" t="s">
        <v>516</v>
      </c>
      <c r="AE823" s="247" t="s">
        <v>543</v>
      </c>
      <c r="AF823" s="247">
        <v>0</v>
      </c>
      <c r="AG823" s="247"/>
      <c r="AH823" s="247">
        <v>0</v>
      </c>
      <c r="AI823" s="247">
        <v>27</v>
      </c>
      <c r="AJ823" s="247"/>
    </row>
    <row r="824" spans="27:36">
      <c r="AA824" s="247">
        <v>15023</v>
      </c>
      <c r="AB824" s="247" t="s">
        <v>1586</v>
      </c>
      <c r="AC824" s="247" t="s">
        <v>516</v>
      </c>
      <c r="AD824" s="247" t="s">
        <v>516</v>
      </c>
      <c r="AE824" s="247" t="s">
        <v>543</v>
      </c>
      <c r="AF824" s="247">
        <v>0</v>
      </c>
      <c r="AG824" s="247"/>
      <c r="AH824" s="247">
        <v>0</v>
      </c>
      <c r="AI824" s="247">
        <v>27</v>
      </c>
      <c r="AJ824" s="247"/>
    </row>
    <row r="825" spans="27:36">
      <c r="AA825" s="247">
        <v>15040</v>
      </c>
      <c r="AB825" s="247" t="s">
        <v>1587</v>
      </c>
      <c r="AC825" s="247" t="s">
        <v>516</v>
      </c>
      <c r="AD825" s="247" t="s">
        <v>516</v>
      </c>
      <c r="AE825" s="247" t="s">
        <v>543</v>
      </c>
      <c r="AF825" s="247">
        <v>0</v>
      </c>
      <c r="AG825" s="247"/>
      <c r="AH825" s="247">
        <v>20</v>
      </c>
      <c r="AI825" s="247">
        <v>27</v>
      </c>
      <c r="AJ825" s="247"/>
    </row>
    <row r="826" spans="27:36">
      <c r="AA826" s="247">
        <v>15041</v>
      </c>
      <c r="AB826" s="247" t="s">
        <v>1588</v>
      </c>
      <c r="AC826" s="247" t="s">
        <v>516</v>
      </c>
      <c r="AD826" s="247" t="s">
        <v>516</v>
      </c>
      <c r="AE826" s="247" t="s">
        <v>543</v>
      </c>
      <c r="AF826" s="247">
        <v>0</v>
      </c>
      <c r="AG826" s="247"/>
      <c r="AH826" s="247">
        <v>20</v>
      </c>
      <c r="AI826" s="247">
        <v>27</v>
      </c>
      <c r="AJ826" s="247"/>
    </row>
    <row r="827" spans="27:36">
      <c r="AA827" s="247">
        <v>15042</v>
      </c>
      <c r="AB827" s="247" t="s">
        <v>1589</v>
      </c>
      <c r="AC827" s="247" t="s">
        <v>516</v>
      </c>
      <c r="AD827" s="247" t="s">
        <v>516</v>
      </c>
      <c r="AE827" s="247" t="s">
        <v>543</v>
      </c>
      <c r="AF827" s="247">
        <v>0</v>
      </c>
      <c r="AG827" s="247"/>
      <c r="AH827" s="247">
        <v>20</v>
      </c>
      <c r="AI827" s="247">
        <v>27</v>
      </c>
      <c r="AJ827" s="247"/>
    </row>
    <row r="828" spans="27:36">
      <c r="AA828" s="247">
        <v>15043</v>
      </c>
      <c r="AB828" s="247" t="s">
        <v>1590</v>
      </c>
      <c r="AC828" s="247" t="s">
        <v>516</v>
      </c>
      <c r="AD828" s="247" t="s">
        <v>516</v>
      </c>
      <c r="AE828" s="247"/>
      <c r="AF828" s="247"/>
      <c r="AG828" s="247"/>
      <c r="AH828" s="247"/>
      <c r="AI828" s="247"/>
      <c r="AJ828" s="247"/>
    </row>
    <row r="829" spans="27:36">
      <c r="AA829" s="247">
        <v>15050</v>
      </c>
      <c r="AB829" s="247" t="s">
        <v>1591</v>
      </c>
      <c r="AC829" s="247" t="s">
        <v>516</v>
      </c>
      <c r="AD829" s="247" t="s">
        <v>516</v>
      </c>
      <c r="AE829" s="247" t="s">
        <v>543</v>
      </c>
      <c r="AF829" s="247">
        <v>0</v>
      </c>
      <c r="AG829" s="247"/>
      <c r="AH829" s="247">
        <v>0</v>
      </c>
      <c r="AI829" s="247">
        <v>27</v>
      </c>
      <c r="AJ829" s="247"/>
    </row>
    <row r="830" spans="27:36">
      <c r="AA830" s="247">
        <v>15055</v>
      </c>
      <c r="AB830" s="247" t="s">
        <v>1592</v>
      </c>
      <c r="AC830" s="247" t="s">
        <v>1593</v>
      </c>
      <c r="AD830" s="247"/>
      <c r="AE830" s="247" t="s">
        <v>543</v>
      </c>
      <c r="AF830" s="247">
        <v>0</v>
      </c>
      <c r="AG830" s="247"/>
      <c r="AH830" s="247">
        <v>0</v>
      </c>
      <c r="AI830" s="247">
        <v>27</v>
      </c>
      <c r="AJ830" s="247"/>
    </row>
    <row r="831" spans="27:36">
      <c r="AA831" s="247">
        <v>15056</v>
      </c>
      <c r="AB831" s="247" t="s">
        <v>1594</v>
      </c>
      <c r="AC831" s="247" t="s">
        <v>1593</v>
      </c>
      <c r="AD831" s="247"/>
      <c r="AE831" s="247" t="s">
        <v>543</v>
      </c>
      <c r="AF831" s="247">
        <v>0</v>
      </c>
      <c r="AG831" s="247"/>
      <c r="AH831" s="247">
        <v>0</v>
      </c>
      <c r="AI831" s="247">
        <v>27</v>
      </c>
      <c r="AJ831" s="247"/>
    </row>
    <row r="832" spans="27:36">
      <c r="AA832" s="247">
        <v>15060</v>
      </c>
      <c r="AB832" s="247" t="s">
        <v>1595</v>
      </c>
      <c r="AC832" s="247" t="s">
        <v>1593</v>
      </c>
      <c r="AD832" s="247"/>
      <c r="AE832" s="247" t="s">
        <v>543</v>
      </c>
      <c r="AF832" s="247">
        <v>0</v>
      </c>
      <c r="AG832" s="247"/>
      <c r="AH832" s="247">
        <v>0</v>
      </c>
      <c r="AI832" s="247">
        <v>27</v>
      </c>
      <c r="AJ832" s="247"/>
    </row>
    <row r="833" spans="27:36">
      <c r="AA833" s="247">
        <v>15062</v>
      </c>
      <c r="AB833" s="247" t="s">
        <v>1596</v>
      </c>
      <c r="AC833" s="247" t="s">
        <v>1593</v>
      </c>
      <c r="AD833" s="247"/>
      <c r="AE833" s="247" t="s">
        <v>543</v>
      </c>
      <c r="AF833" s="247">
        <v>0</v>
      </c>
      <c r="AG833" s="247"/>
      <c r="AH833" s="247">
        <v>0</v>
      </c>
      <c r="AI833" s="247">
        <v>27</v>
      </c>
      <c r="AJ833" s="247"/>
    </row>
    <row r="834" spans="27:36">
      <c r="AA834" s="247">
        <v>15065</v>
      </c>
      <c r="AB834" s="247" t="s">
        <v>1597</v>
      </c>
      <c r="AC834" s="247" t="s">
        <v>516</v>
      </c>
      <c r="AD834" s="247"/>
      <c r="AE834" s="247" t="s">
        <v>543</v>
      </c>
      <c r="AF834" s="247">
        <v>0</v>
      </c>
      <c r="AG834" s="247"/>
      <c r="AH834" s="247">
        <v>0</v>
      </c>
      <c r="AI834" s="247">
        <v>27</v>
      </c>
      <c r="AJ834" s="247"/>
    </row>
    <row r="835" spans="27:36">
      <c r="AA835" s="247">
        <v>15068</v>
      </c>
      <c r="AB835" s="247" t="s">
        <v>1598</v>
      </c>
      <c r="AC835" s="247" t="s">
        <v>516</v>
      </c>
      <c r="AD835" s="247"/>
      <c r="AE835" s="247" t="s">
        <v>543</v>
      </c>
      <c r="AF835" s="247">
        <v>0</v>
      </c>
      <c r="AG835" s="247"/>
      <c r="AH835" s="247">
        <v>0</v>
      </c>
      <c r="AI835" s="247">
        <v>27</v>
      </c>
      <c r="AJ835" s="247"/>
    </row>
    <row r="836" spans="27:36">
      <c r="AA836" s="247">
        <v>15071</v>
      </c>
      <c r="AB836" s="247" t="s">
        <v>1599</v>
      </c>
      <c r="AC836" s="247" t="s">
        <v>516</v>
      </c>
      <c r="AD836" s="247"/>
      <c r="AE836" s="247" t="s">
        <v>543</v>
      </c>
      <c r="AF836" s="247">
        <v>0</v>
      </c>
      <c r="AG836" s="247"/>
      <c r="AH836" s="247">
        <v>0</v>
      </c>
      <c r="AI836" s="247">
        <v>27</v>
      </c>
      <c r="AJ836" s="247"/>
    </row>
    <row r="837" spans="27:36">
      <c r="AA837" s="247">
        <v>15072</v>
      </c>
      <c r="AB837" s="247" t="s">
        <v>1600</v>
      </c>
      <c r="AC837" s="247" t="s">
        <v>516</v>
      </c>
      <c r="AD837" s="247"/>
      <c r="AE837" s="247" t="s">
        <v>543</v>
      </c>
      <c r="AF837" s="247">
        <v>0</v>
      </c>
      <c r="AG837" s="247"/>
      <c r="AH837" s="247">
        <v>0</v>
      </c>
      <c r="AI837" s="247">
        <v>27</v>
      </c>
      <c r="AJ837" s="247"/>
    </row>
    <row r="838" spans="27:36">
      <c r="AA838" s="247">
        <v>15073</v>
      </c>
      <c r="AB838" s="247" t="s">
        <v>1601</v>
      </c>
      <c r="AC838" s="247" t="s">
        <v>516</v>
      </c>
      <c r="AD838" s="247"/>
      <c r="AE838" s="247" t="s">
        <v>543</v>
      </c>
      <c r="AF838" s="247">
        <v>0</v>
      </c>
      <c r="AG838" s="247"/>
      <c r="AH838" s="247">
        <v>0</v>
      </c>
      <c r="AI838" s="247">
        <v>27</v>
      </c>
      <c r="AJ838" s="247"/>
    </row>
    <row r="839" spans="27:36">
      <c r="AA839" s="247">
        <v>15078</v>
      </c>
      <c r="AB839" s="247" t="s">
        <v>1602</v>
      </c>
      <c r="AC839" s="247" t="s">
        <v>516</v>
      </c>
      <c r="AD839" s="247"/>
      <c r="AE839" s="247" t="s">
        <v>543</v>
      </c>
      <c r="AF839" s="247">
        <v>0</v>
      </c>
      <c r="AG839" s="247"/>
      <c r="AH839" s="247">
        <v>0</v>
      </c>
      <c r="AI839" s="247">
        <v>27</v>
      </c>
      <c r="AJ839" s="247"/>
    </row>
    <row r="840" spans="27:36">
      <c r="AA840" s="247">
        <v>15081</v>
      </c>
      <c r="AB840" s="247" t="s">
        <v>1603</v>
      </c>
      <c r="AC840" s="247" t="s">
        <v>516</v>
      </c>
      <c r="AD840" s="247"/>
      <c r="AE840" s="247" t="s">
        <v>543</v>
      </c>
      <c r="AF840" s="247">
        <v>0</v>
      </c>
      <c r="AG840" s="247"/>
      <c r="AH840" s="247">
        <v>0</v>
      </c>
      <c r="AI840" s="247">
        <v>27</v>
      </c>
      <c r="AJ840" s="247"/>
    </row>
    <row r="841" spans="27:36">
      <c r="AA841" s="247">
        <v>15082</v>
      </c>
      <c r="AB841" s="247" t="s">
        <v>1604</v>
      </c>
      <c r="AC841" s="247" t="s">
        <v>516</v>
      </c>
      <c r="AD841" s="247"/>
      <c r="AE841" s="247" t="s">
        <v>543</v>
      </c>
      <c r="AF841" s="247">
        <v>0</v>
      </c>
      <c r="AG841" s="247"/>
      <c r="AH841" s="247">
        <v>0</v>
      </c>
      <c r="AI841" s="247">
        <v>27</v>
      </c>
      <c r="AJ841" s="247"/>
    </row>
    <row r="842" spans="27:36">
      <c r="AA842" s="247">
        <v>15083</v>
      </c>
      <c r="AB842" s="247" t="s">
        <v>1605</v>
      </c>
      <c r="AC842" s="247" t="s">
        <v>516</v>
      </c>
      <c r="AD842" s="247"/>
      <c r="AE842" s="247" t="s">
        <v>543</v>
      </c>
      <c r="AF842" s="247">
        <v>0</v>
      </c>
      <c r="AG842" s="247"/>
      <c r="AH842" s="247">
        <v>0</v>
      </c>
      <c r="AI842" s="247">
        <v>27</v>
      </c>
      <c r="AJ842" s="247"/>
    </row>
    <row r="843" spans="27:36">
      <c r="AA843" s="247">
        <v>15085</v>
      </c>
      <c r="AB843" s="247" t="s">
        <v>1606</v>
      </c>
      <c r="AC843" s="247" t="s">
        <v>516</v>
      </c>
      <c r="AD843" s="247"/>
      <c r="AE843" s="247" t="s">
        <v>543</v>
      </c>
      <c r="AF843" s="247">
        <v>0</v>
      </c>
      <c r="AG843" s="247"/>
      <c r="AH843" s="247">
        <v>0</v>
      </c>
      <c r="AI843" s="247">
        <v>27</v>
      </c>
      <c r="AJ843" s="247"/>
    </row>
    <row r="844" spans="27:36">
      <c r="AA844" s="247">
        <v>15090</v>
      </c>
      <c r="AB844" s="247" t="s">
        <v>1607</v>
      </c>
      <c r="AC844" s="247" t="s">
        <v>516</v>
      </c>
      <c r="AD844" s="247"/>
      <c r="AE844" s="247" t="s">
        <v>543</v>
      </c>
      <c r="AF844" s="247">
        <v>0</v>
      </c>
      <c r="AG844" s="247"/>
      <c r="AH844" s="247">
        <v>10</v>
      </c>
      <c r="AI844" s="247">
        <v>27</v>
      </c>
      <c r="AJ844" s="247"/>
    </row>
    <row r="845" spans="27:36">
      <c r="AA845" s="247">
        <v>15091</v>
      </c>
      <c r="AB845" s="247" t="s">
        <v>1608</v>
      </c>
      <c r="AC845" s="247" t="s">
        <v>516</v>
      </c>
      <c r="AD845" s="247"/>
      <c r="AE845" s="247" t="s">
        <v>543</v>
      </c>
      <c r="AF845" s="247">
        <v>0</v>
      </c>
      <c r="AG845" s="247"/>
      <c r="AH845" s="247">
        <v>20</v>
      </c>
      <c r="AI845" s="247">
        <v>27</v>
      </c>
      <c r="AJ845" s="247"/>
    </row>
    <row r="846" spans="27:36">
      <c r="AA846" s="247">
        <v>15094</v>
      </c>
      <c r="AB846" s="247" t="s">
        <v>1609</v>
      </c>
      <c r="AC846" s="247" t="s">
        <v>516</v>
      </c>
      <c r="AD846" s="247"/>
      <c r="AE846" s="247" t="s">
        <v>543</v>
      </c>
      <c r="AF846" s="247">
        <v>0</v>
      </c>
      <c r="AG846" s="247"/>
      <c r="AH846" s="247">
        <v>0</v>
      </c>
      <c r="AI846" s="247">
        <v>27</v>
      </c>
      <c r="AJ846" s="247"/>
    </row>
    <row r="847" spans="27:36">
      <c r="AA847" s="247">
        <v>15095</v>
      </c>
      <c r="AB847" s="247" t="s">
        <v>1610</v>
      </c>
      <c r="AC847" s="247" t="s">
        <v>516</v>
      </c>
      <c r="AD847" s="247"/>
      <c r="AE847" s="247" t="s">
        <v>543</v>
      </c>
      <c r="AF847" s="247">
        <v>0</v>
      </c>
      <c r="AG847" s="247"/>
      <c r="AH847" s="247">
        <v>0</v>
      </c>
      <c r="AI847" s="247">
        <v>27</v>
      </c>
      <c r="AJ847" s="247"/>
    </row>
    <row r="848" spans="27:36">
      <c r="AA848" s="247">
        <v>15096</v>
      </c>
      <c r="AB848" s="247" t="s">
        <v>1611</v>
      </c>
      <c r="AC848" s="247" t="s">
        <v>516</v>
      </c>
      <c r="AD848" s="247"/>
      <c r="AE848" s="247" t="s">
        <v>543</v>
      </c>
      <c r="AF848" s="247">
        <v>0</v>
      </c>
      <c r="AG848" s="247"/>
      <c r="AH848" s="247">
        <v>0</v>
      </c>
      <c r="AI848" s="247">
        <v>27</v>
      </c>
      <c r="AJ848" s="247"/>
    </row>
    <row r="849" spans="27:36">
      <c r="AA849" s="247">
        <v>15097</v>
      </c>
      <c r="AB849" s="247" t="s">
        <v>1612</v>
      </c>
      <c r="AC849" s="247" t="s">
        <v>516</v>
      </c>
      <c r="AD849" s="247"/>
      <c r="AE849" s="247" t="s">
        <v>543</v>
      </c>
      <c r="AF849" s="247">
        <v>0</v>
      </c>
      <c r="AG849" s="247"/>
      <c r="AH849" s="247">
        <v>0</v>
      </c>
      <c r="AI849" s="247">
        <v>27</v>
      </c>
      <c r="AJ849" s="247"/>
    </row>
    <row r="850" spans="27:36">
      <c r="AA850" s="247">
        <v>15098</v>
      </c>
      <c r="AB850" s="247" t="s">
        <v>1613</v>
      </c>
      <c r="AC850" s="247" t="s">
        <v>516</v>
      </c>
      <c r="AD850" s="247"/>
      <c r="AE850" s="247" t="s">
        <v>543</v>
      </c>
      <c r="AF850" s="247">
        <v>0</v>
      </c>
      <c r="AG850" s="247"/>
      <c r="AH850" s="247">
        <v>0</v>
      </c>
      <c r="AI850" s="247">
        <v>27</v>
      </c>
      <c r="AJ850" s="247"/>
    </row>
    <row r="851" spans="27:36">
      <c r="AA851" s="247">
        <v>15101</v>
      </c>
      <c r="AB851" s="247" t="s">
        <v>1614</v>
      </c>
      <c r="AC851" s="247" t="s">
        <v>516</v>
      </c>
      <c r="AD851" s="247"/>
      <c r="AE851" s="247" t="s">
        <v>543</v>
      </c>
      <c r="AF851" s="247">
        <v>0</v>
      </c>
      <c r="AG851" s="247" t="s">
        <v>528</v>
      </c>
      <c r="AH851" s="247">
        <v>20</v>
      </c>
      <c r="AI851" s="247">
        <v>27</v>
      </c>
      <c r="AJ851" s="247"/>
    </row>
    <row r="852" spans="27:36">
      <c r="AA852" s="247">
        <v>15102</v>
      </c>
      <c r="AB852" s="247" t="s">
        <v>1615</v>
      </c>
      <c r="AC852" s="247" t="s">
        <v>516</v>
      </c>
      <c r="AD852" s="247"/>
      <c r="AE852" s="247" t="s">
        <v>543</v>
      </c>
      <c r="AF852" s="247">
        <v>0</v>
      </c>
      <c r="AG852" s="247" t="s">
        <v>528</v>
      </c>
      <c r="AH852" s="247">
        <v>0</v>
      </c>
      <c r="AI852" s="247">
        <v>27</v>
      </c>
      <c r="AJ852" s="247"/>
    </row>
    <row r="853" spans="27:36">
      <c r="AA853" s="247">
        <v>15103</v>
      </c>
      <c r="AB853" s="247" t="s">
        <v>1528</v>
      </c>
      <c r="AC853" s="247" t="s">
        <v>516</v>
      </c>
      <c r="AD853" s="247"/>
      <c r="AE853" s="247" t="s">
        <v>543</v>
      </c>
      <c r="AF853" s="247">
        <v>0</v>
      </c>
      <c r="AG853" s="247" t="s">
        <v>528</v>
      </c>
      <c r="AH853" s="247">
        <v>0</v>
      </c>
      <c r="AI853" s="247">
        <v>27</v>
      </c>
      <c r="AJ853" s="247"/>
    </row>
    <row r="854" spans="27:36">
      <c r="AA854" s="247">
        <v>15104</v>
      </c>
      <c r="AB854" s="247" t="s">
        <v>1531</v>
      </c>
      <c r="AC854" s="247" t="s">
        <v>516</v>
      </c>
      <c r="AD854" s="247"/>
      <c r="AE854" s="247" t="s">
        <v>543</v>
      </c>
      <c r="AF854" s="247">
        <v>0</v>
      </c>
      <c r="AG854" s="247" t="s">
        <v>528</v>
      </c>
      <c r="AH854" s="247">
        <v>0</v>
      </c>
      <c r="AI854" s="247">
        <v>27</v>
      </c>
      <c r="AJ854" s="247"/>
    </row>
    <row r="855" spans="27:36">
      <c r="AA855" s="247">
        <v>15105</v>
      </c>
      <c r="AB855" s="247" t="s">
        <v>1616</v>
      </c>
      <c r="AC855" s="247" t="s">
        <v>516</v>
      </c>
      <c r="AD855" s="247"/>
      <c r="AE855" s="247" t="s">
        <v>543</v>
      </c>
      <c r="AF855" s="247">
        <v>0</v>
      </c>
      <c r="AG855" s="247" t="s">
        <v>528</v>
      </c>
      <c r="AH855" s="247">
        <v>0</v>
      </c>
      <c r="AI855" s="247">
        <v>27</v>
      </c>
      <c r="AJ855" s="247"/>
    </row>
    <row r="856" spans="27:36">
      <c r="AA856" s="247">
        <v>15106</v>
      </c>
      <c r="AB856" s="247" t="s">
        <v>1617</v>
      </c>
      <c r="AC856" s="247" t="s">
        <v>516</v>
      </c>
      <c r="AD856" s="247"/>
      <c r="AE856" s="247" t="s">
        <v>543</v>
      </c>
      <c r="AF856" s="247">
        <v>0</v>
      </c>
      <c r="AG856" s="247" t="s">
        <v>528</v>
      </c>
      <c r="AH856" s="247">
        <v>0</v>
      </c>
      <c r="AI856" s="247">
        <v>27</v>
      </c>
      <c r="AJ856" s="247"/>
    </row>
    <row r="857" spans="27:36">
      <c r="AA857" s="247">
        <v>15107</v>
      </c>
      <c r="AB857" s="247" t="s">
        <v>1518</v>
      </c>
      <c r="AC857" s="247" t="s">
        <v>516</v>
      </c>
      <c r="AD857" s="247"/>
      <c r="AE857" s="247" t="s">
        <v>543</v>
      </c>
      <c r="AF857" s="247">
        <v>0</v>
      </c>
      <c r="AG857" s="247" t="s">
        <v>528</v>
      </c>
      <c r="AH857" s="247">
        <v>20</v>
      </c>
      <c r="AI857" s="247">
        <v>27</v>
      </c>
      <c r="AJ857" s="247"/>
    </row>
    <row r="858" spans="27:36">
      <c r="AA858" s="247">
        <v>15115</v>
      </c>
      <c r="AB858" s="247" t="s">
        <v>1534</v>
      </c>
      <c r="AC858" s="247" t="s">
        <v>516</v>
      </c>
      <c r="AD858" s="247"/>
      <c r="AE858" s="247" t="s">
        <v>543</v>
      </c>
      <c r="AF858" s="247">
        <v>0</v>
      </c>
      <c r="AG858" s="247" t="s">
        <v>528</v>
      </c>
      <c r="AH858" s="247">
        <v>20</v>
      </c>
      <c r="AI858" s="247">
        <v>27</v>
      </c>
      <c r="AJ858" s="247"/>
    </row>
    <row r="859" spans="27:36">
      <c r="AA859" s="247" t="s">
        <v>287</v>
      </c>
      <c r="AB859" s="247" t="s">
        <v>1618</v>
      </c>
      <c r="AC859" s="247"/>
      <c r="AD859" s="247"/>
      <c r="AE859" s="247"/>
      <c r="AF859" s="247"/>
      <c r="AG859" s="247"/>
      <c r="AH859" s="247"/>
      <c r="AI859" s="247"/>
      <c r="AJ859" s="247" t="s">
        <v>1619</v>
      </c>
    </row>
    <row r="860" spans="27:36">
      <c r="AA860" s="247" t="s">
        <v>1620</v>
      </c>
      <c r="AB860" s="247" t="s">
        <v>1621</v>
      </c>
      <c r="AC860" s="247"/>
      <c r="AD860" s="247"/>
      <c r="AE860" s="247"/>
      <c r="AF860" s="247"/>
      <c r="AG860" s="247"/>
      <c r="AH860" s="247"/>
      <c r="AI860" s="247"/>
      <c r="AJ860" s="247" t="s">
        <v>1622</v>
      </c>
    </row>
    <row r="861" spans="27:36">
      <c r="AA861" s="247" t="s">
        <v>1623</v>
      </c>
      <c r="AB861" s="247" t="s">
        <v>1624</v>
      </c>
      <c r="AC861" s="247"/>
      <c r="AD861" s="247"/>
      <c r="AE861" s="247"/>
      <c r="AF861" s="247"/>
      <c r="AG861" s="247"/>
      <c r="AH861" s="247"/>
      <c r="AI861" s="247"/>
      <c r="AJ861" s="247" t="s">
        <v>1625</v>
      </c>
    </row>
    <row r="862" spans="27:36">
      <c r="AA862" s="247" t="s">
        <v>1626</v>
      </c>
      <c r="AB862" s="247" t="s">
        <v>1627</v>
      </c>
      <c r="AC862" s="247"/>
      <c r="AD862" s="247"/>
      <c r="AE862" s="247"/>
      <c r="AF862" s="247"/>
      <c r="AG862" s="247"/>
      <c r="AH862" s="247"/>
      <c r="AI862" s="247"/>
      <c r="AJ862" s="247" t="s">
        <v>500</v>
      </c>
    </row>
    <row r="863" spans="27:36">
      <c r="AA863" s="247" t="s">
        <v>1628</v>
      </c>
      <c r="AB863" s="247" t="s">
        <v>1629</v>
      </c>
      <c r="AC863" s="247"/>
      <c r="AD863" s="247"/>
      <c r="AE863" s="247"/>
      <c r="AF863" s="247"/>
      <c r="AG863" s="247"/>
      <c r="AH863" s="247"/>
      <c r="AI863" s="247"/>
      <c r="AJ863" s="247" t="s">
        <v>1630</v>
      </c>
    </row>
    <row r="864" spans="27:36">
      <c r="AA864" s="247" t="s">
        <v>1631</v>
      </c>
      <c r="AB864" s="247" t="s">
        <v>1632</v>
      </c>
      <c r="AC864" s="247"/>
      <c r="AD864" s="247"/>
      <c r="AE864" s="247"/>
      <c r="AF864" s="247"/>
      <c r="AG864" s="247"/>
      <c r="AH864" s="247"/>
      <c r="AI864" s="247"/>
      <c r="AJ864" s="247" t="s">
        <v>1633</v>
      </c>
    </row>
    <row r="865" spans="27:36">
      <c r="AA865" s="247" t="s">
        <v>1634</v>
      </c>
      <c r="AB865" s="247" t="s">
        <v>1635</v>
      </c>
      <c r="AC865" s="247"/>
      <c r="AD865" s="247"/>
      <c r="AE865" s="247"/>
      <c r="AF865" s="247"/>
      <c r="AG865" s="247"/>
      <c r="AH865" s="247"/>
      <c r="AI865" s="247"/>
      <c r="AJ865" s="247" t="s">
        <v>1636</v>
      </c>
    </row>
    <row r="866" spans="27:36">
      <c r="AA866" s="247" t="s">
        <v>1637</v>
      </c>
      <c r="AB866" s="247" t="s">
        <v>1638</v>
      </c>
      <c r="AC866" s="247"/>
      <c r="AD866" s="247"/>
      <c r="AE866" s="247"/>
      <c r="AF866" s="247"/>
      <c r="AG866" s="247"/>
      <c r="AH866" s="247"/>
      <c r="AI866" s="247"/>
      <c r="AJ866" s="247" t="s">
        <v>1639</v>
      </c>
    </row>
    <row r="867" spans="27:36">
      <c r="AA867" s="247" t="s">
        <v>1640</v>
      </c>
      <c r="AB867" s="247" t="s">
        <v>1641</v>
      </c>
      <c r="AC867" s="247"/>
      <c r="AD867" s="247"/>
      <c r="AE867" s="247"/>
      <c r="AF867" s="247"/>
      <c r="AG867" s="247"/>
      <c r="AH867" s="247"/>
      <c r="AI867" s="247"/>
      <c r="AJ867" s="247" t="s">
        <v>1642</v>
      </c>
    </row>
    <row r="868" spans="27:36">
      <c r="AA868" s="247" t="s">
        <v>1643</v>
      </c>
      <c r="AB868" s="247" t="s">
        <v>1644</v>
      </c>
      <c r="AC868" s="247"/>
      <c r="AD868" s="247"/>
      <c r="AE868" s="247"/>
      <c r="AF868" s="247"/>
      <c r="AG868" s="247"/>
      <c r="AH868" s="247"/>
      <c r="AI868" s="247"/>
      <c r="AJ868" s="247" t="s">
        <v>1645</v>
      </c>
    </row>
    <row r="869" spans="27:36">
      <c r="AA869" s="247" t="s">
        <v>1646</v>
      </c>
      <c r="AB869" s="247" t="s">
        <v>1647</v>
      </c>
      <c r="AC869" s="247"/>
      <c r="AD869" s="247"/>
      <c r="AE869" s="247"/>
      <c r="AF869" s="247"/>
      <c r="AG869" s="247"/>
      <c r="AH869" s="247"/>
      <c r="AI869" s="247"/>
      <c r="AJ869" s="247" t="s">
        <v>1648</v>
      </c>
    </row>
    <row r="870" spans="27:36">
      <c r="AA870" s="247" t="s">
        <v>1649</v>
      </c>
      <c r="AB870" s="247" t="s">
        <v>1650</v>
      </c>
      <c r="AC870" s="247"/>
      <c r="AD870" s="247"/>
      <c r="AE870" s="247"/>
      <c r="AF870" s="247"/>
      <c r="AG870" s="247"/>
      <c r="AH870" s="247"/>
      <c r="AI870" s="247"/>
      <c r="AJ870" s="247" t="s">
        <v>1650</v>
      </c>
    </row>
    <row r="871" spans="27:36">
      <c r="AA871" s="247" t="s">
        <v>1651</v>
      </c>
      <c r="AB871" s="247" t="s">
        <v>1652</v>
      </c>
      <c r="AC871" s="247"/>
      <c r="AD871" s="247"/>
      <c r="AE871" s="247"/>
      <c r="AF871" s="247"/>
      <c r="AG871" s="247"/>
      <c r="AH871" s="247"/>
      <c r="AI871" s="247"/>
      <c r="AJ871" s="247" t="s">
        <v>1653</v>
      </c>
    </row>
    <row r="872" spans="27:36">
      <c r="AA872" s="247" t="s">
        <v>1654</v>
      </c>
      <c r="AB872" s="247" t="s">
        <v>1655</v>
      </c>
      <c r="AC872" s="247"/>
      <c r="AD872" s="247"/>
      <c r="AE872" s="247"/>
      <c r="AF872" s="247"/>
      <c r="AG872" s="247"/>
      <c r="AH872" s="247"/>
      <c r="AI872" s="247"/>
      <c r="AJ872" s="247" t="s">
        <v>1656</v>
      </c>
    </row>
    <row r="873" spans="27:36">
      <c r="AA873" s="247" t="s">
        <v>1657</v>
      </c>
      <c r="AB873" s="247" t="s">
        <v>1658</v>
      </c>
      <c r="AC873" s="247"/>
      <c r="AD873" s="247"/>
      <c r="AE873" s="247"/>
      <c r="AF873" s="247"/>
      <c r="AG873" s="247"/>
      <c r="AH873" s="247"/>
      <c r="AI873" s="247"/>
      <c r="AJ873" s="247" t="s">
        <v>1659</v>
      </c>
    </row>
    <row r="874" spans="27:36">
      <c r="AA874" s="247" t="s">
        <v>1660</v>
      </c>
      <c r="AB874" s="247" t="s">
        <v>1661</v>
      </c>
      <c r="AC874" s="247"/>
      <c r="AD874" s="247"/>
      <c r="AE874" s="247"/>
      <c r="AF874" s="247"/>
      <c r="AG874" s="247"/>
      <c r="AH874" s="247"/>
      <c r="AI874" s="247"/>
      <c r="AJ874" s="247" t="s">
        <v>1622</v>
      </c>
    </row>
    <row r="875" spans="27:36">
      <c r="AA875" s="247" t="s">
        <v>1662</v>
      </c>
      <c r="AB875" s="247" t="s">
        <v>1663</v>
      </c>
      <c r="AC875" s="247"/>
      <c r="AD875" s="247"/>
      <c r="AE875" s="247"/>
      <c r="AF875" s="247"/>
      <c r="AG875" s="247"/>
      <c r="AH875" s="247"/>
      <c r="AI875" s="247"/>
      <c r="AJ875" s="247" t="s">
        <v>1619</v>
      </c>
    </row>
    <row r="876" spans="27:36">
      <c r="AA876" s="252">
        <v>3355</v>
      </c>
      <c r="AB876" s="252" t="s">
        <v>1123</v>
      </c>
      <c r="AC876" s="253" t="s">
        <v>516</v>
      </c>
      <c r="AD876" s="253" t="s">
        <v>516</v>
      </c>
      <c r="AE876" s="253" t="s">
        <v>543</v>
      </c>
      <c r="AF876" s="253">
        <v>0</v>
      </c>
      <c r="AG876" s="253"/>
      <c r="AH876" s="253">
        <v>20</v>
      </c>
      <c r="AI876" s="253">
        <v>27</v>
      </c>
      <c r="AJ876" s="253"/>
    </row>
    <row r="877" spans="27:36">
      <c r="AA877" s="252">
        <v>3356</v>
      </c>
      <c r="AB877" s="252" t="s">
        <v>1664</v>
      </c>
      <c r="AC877" s="253" t="s">
        <v>516</v>
      </c>
      <c r="AD877" s="253" t="s">
        <v>516</v>
      </c>
      <c r="AE877" s="253" t="s">
        <v>543</v>
      </c>
      <c r="AF877" s="253">
        <v>0</v>
      </c>
      <c r="AG877" s="253"/>
      <c r="AH877" s="253">
        <v>20</v>
      </c>
      <c r="AI877" s="253">
        <v>27</v>
      </c>
      <c r="AJ877" s="253"/>
    </row>
    <row r="878" spans="27:36">
      <c r="AA878" s="252">
        <v>6515</v>
      </c>
      <c r="AB878" s="252" t="s">
        <v>1665</v>
      </c>
      <c r="AC878" s="253" t="s">
        <v>516</v>
      </c>
      <c r="AD878" s="253" t="s">
        <v>516</v>
      </c>
      <c r="AE878" s="253" t="s">
        <v>543</v>
      </c>
      <c r="AF878" s="253">
        <v>0</v>
      </c>
      <c r="AG878" s="247" t="s">
        <v>528</v>
      </c>
      <c r="AH878" s="253">
        <v>20</v>
      </c>
      <c r="AI878" s="253">
        <v>27</v>
      </c>
      <c r="AJ878" s="253" t="s">
        <v>545</v>
      </c>
    </row>
    <row r="879" spans="27:36">
      <c r="AA879" s="252">
        <v>6520</v>
      </c>
      <c r="AB879" s="252" t="s">
        <v>1666</v>
      </c>
      <c r="AC879" s="253" t="s">
        <v>516</v>
      </c>
      <c r="AD879" s="253" t="s">
        <v>516</v>
      </c>
      <c r="AE879" s="253" t="s">
        <v>543</v>
      </c>
      <c r="AF879" s="253">
        <v>0</v>
      </c>
      <c r="AG879" s="247" t="s">
        <v>528</v>
      </c>
      <c r="AH879" s="253">
        <v>20</v>
      </c>
      <c r="AI879" s="253">
        <v>27</v>
      </c>
      <c r="AJ879" s="253" t="s">
        <v>545</v>
      </c>
    </row>
    <row r="880" spans="27:36">
      <c r="AA880" s="252">
        <v>6522</v>
      </c>
      <c r="AB880" s="252" t="s">
        <v>1667</v>
      </c>
      <c r="AC880" s="253" t="s">
        <v>516</v>
      </c>
      <c r="AD880" s="253" t="s">
        <v>516</v>
      </c>
      <c r="AE880" s="253" t="s">
        <v>543</v>
      </c>
      <c r="AF880" s="253">
        <v>0</v>
      </c>
      <c r="AG880" s="253"/>
      <c r="AH880" s="253">
        <v>20</v>
      </c>
      <c r="AI880" s="253">
        <v>27</v>
      </c>
      <c r="AJ880" s="253" t="s">
        <v>545</v>
      </c>
    </row>
    <row r="881" spans="27:36">
      <c r="AA881" s="252">
        <v>6525</v>
      </c>
      <c r="AB881" s="252" t="s">
        <v>1668</v>
      </c>
      <c r="AC881" s="253" t="s">
        <v>516</v>
      </c>
      <c r="AD881" s="253" t="s">
        <v>516</v>
      </c>
      <c r="AE881" s="253" t="s">
        <v>543</v>
      </c>
      <c r="AF881" s="253">
        <v>0</v>
      </c>
      <c r="AG881" s="253" t="s">
        <v>528</v>
      </c>
      <c r="AH881" s="253">
        <v>20</v>
      </c>
      <c r="AI881" s="253">
        <v>27</v>
      </c>
      <c r="AJ881" s="253" t="s">
        <v>545</v>
      </c>
    </row>
    <row r="882" spans="27:36">
      <c r="AA882" s="252">
        <v>6526</v>
      </c>
      <c r="AB882" s="252" t="s">
        <v>1669</v>
      </c>
      <c r="AC882" s="253" t="s">
        <v>516</v>
      </c>
      <c r="AD882" s="253" t="s">
        <v>516</v>
      </c>
      <c r="AE882" s="253" t="s">
        <v>543</v>
      </c>
      <c r="AF882" s="253">
        <v>0</v>
      </c>
      <c r="AG882" s="253" t="s">
        <v>528</v>
      </c>
      <c r="AH882" s="253">
        <v>20</v>
      </c>
      <c r="AI882" s="253">
        <v>27</v>
      </c>
      <c r="AJ882" s="253" t="s">
        <v>545</v>
      </c>
    </row>
    <row r="883" spans="27:36">
      <c r="AA883" s="252">
        <v>6527</v>
      </c>
      <c r="AB883" s="252" t="s">
        <v>1670</v>
      </c>
      <c r="AC883" s="253" t="s">
        <v>516</v>
      </c>
      <c r="AD883" s="253" t="s">
        <v>516</v>
      </c>
      <c r="AE883" s="253" t="s">
        <v>543</v>
      </c>
      <c r="AF883" s="253">
        <v>0</v>
      </c>
      <c r="AG883" s="253" t="s">
        <v>528</v>
      </c>
      <c r="AH883" s="253">
        <v>20</v>
      </c>
      <c r="AI883" s="253">
        <v>27</v>
      </c>
      <c r="AJ883" s="253" t="s">
        <v>545</v>
      </c>
    </row>
    <row r="884" spans="27:36">
      <c r="AA884" s="252">
        <v>6530</v>
      </c>
      <c r="AB884" s="252" t="s">
        <v>1671</v>
      </c>
      <c r="AC884" s="253" t="s">
        <v>516</v>
      </c>
      <c r="AD884" s="253" t="s">
        <v>516</v>
      </c>
      <c r="AE884" s="253" t="s">
        <v>533</v>
      </c>
      <c r="AF884" s="253">
        <v>52</v>
      </c>
      <c r="AG884" s="253" t="s">
        <v>528</v>
      </c>
      <c r="AH884" s="253">
        <v>20</v>
      </c>
      <c r="AI884" s="253">
        <v>21</v>
      </c>
      <c r="AJ884" s="253" t="s">
        <v>545</v>
      </c>
    </row>
    <row r="885" spans="27:36">
      <c r="AA885" s="252">
        <v>6540</v>
      </c>
      <c r="AB885" s="252" t="s">
        <v>1672</v>
      </c>
      <c r="AC885" s="253" t="s">
        <v>516</v>
      </c>
      <c r="AD885" s="253" t="s">
        <v>516</v>
      </c>
      <c r="AE885" s="253" t="s">
        <v>1673</v>
      </c>
      <c r="AF885" s="253">
        <v>0</v>
      </c>
      <c r="AG885" s="253"/>
      <c r="AH885" s="253">
        <v>30</v>
      </c>
      <c r="AI885" s="253">
        <v>28</v>
      </c>
      <c r="AJ885" s="253" t="s">
        <v>545</v>
      </c>
    </row>
    <row r="886" spans="27:36">
      <c r="AA886" s="252">
        <v>6541</v>
      </c>
      <c r="AB886" s="252" t="s">
        <v>1674</v>
      </c>
      <c r="AC886" s="253" t="s">
        <v>516</v>
      </c>
      <c r="AD886" s="253" t="s">
        <v>516</v>
      </c>
      <c r="AE886" s="253" t="s">
        <v>533</v>
      </c>
      <c r="AF886" s="253">
        <v>52</v>
      </c>
      <c r="AG886" s="253" t="s">
        <v>528</v>
      </c>
      <c r="AH886" s="253">
        <v>20</v>
      </c>
      <c r="AI886" s="253">
        <v>21</v>
      </c>
      <c r="AJ886" s="253" t="s">
        <v>545</v>
      </c>
    </row>
    <row r="887" spans="27:36">
      <c r="AA887" s="252">
        <v>6542</v>
      </c>
      <c r="AB887" s="252" t="s">
        <v>1675</v>
      </c>
      <c r="AC887" s="253" t="s">
        <v>516</v>
      </c>
      <c r="AD887" s="253" t="s">
        <v>516</v>
      </c>
      <c r="AE887" s="253" t="s">
        <v>1673</v>
      </c>
      <c r="AF887" s="253">
        <v>0</v>
      </c>
      <c r="AG887" s="253" t="s">
        <v>528</v>
      </c>
      <c r="AH887" s="253">
        <v>20</v>
      </c>
      <c r="AI887" s="253">
        <v>32</v>
      </c>
      <c r="AJ887" s="253" t="s">
        <v>545</v>
      </c>
    </row>
    <row r="888" spans="27:36">
      <c r="AA888" s="252">
        <v>6571</v>
      </c>
      <c r="AB888" s="252" t="s">
        <v>1676</v>
      </c>
      <c r="AC888" s="253" t="s">
        <v>516</v>
      </c>
      <c r="AD888" s="253" t="s">
        <v>516</v>
      </c>
      <c r="AE888" s="253" t="s">
        <v>1673</v>
      </c>
      <c r="AF888" s="253">
        <v>0</v>
      </c>
      <c r="AG888" s="253"/>
      <c r="AH888" s="253">
        <v>30</v>
      </c>
      <c r="AI888" s="253">
        <v>28</v>
      </c>
      <c r="AJ888" s="253" t="s">
        <v>545</v>
      </c>
    </row>
    <row r="889" spans="27:36">
      <c r="AA889" s="252">
        <v>6601</v>
      </c>
      <c r="AB889" s="252" t="s">
        <v>1677</v>
      </c>
      <c r="AC889" s="253" t="s">
        <v>516</v>
      </c>
      <c r="AD889" s="253" t="s">
        <v>516</v>
      </c>
      <c r="AE889" s="253" t="s">
        <v>543</v>
      </c>
      <c r="AF889" s="253">
        <v>0</v>
      </c>
      <c r="AG889" s="253"/>
      <c r="AH889" s="253">
        <v>20</v>
      </c>
      <c r="AI889" s="253">
        <v>27</v>
      </c>
      <c r="AJ889" s="253" t="s">
        <v>545</v>
      </c>
    </row>
    <row r="890" spans="27:36">
      <c r="AA890" s="252">
        <v>6605</v>
      </c>
      <c r="AB890" s="252" t="s">
        <v>299</v>
      </c>
      <c r="AC890" s="253" t="s">
        <v>516</v>
      </c>
      <c r="AD890" s="253" t="s">
        <v>516</v>
      </c>
      <c r="AE890" s="253" t="s">
        <v>533</v>
      </c>
      <c r="AF890" s="253">
        <v>52</v>
      </c>
      <c r="AG890" s="253" t="s">
        <v>528</v>
      </c>
      <c r="AH890" s="253">
        <v>0</v>
      </c>
      <c r="AI890" s="253">
        <v>21</v>
      </c>
      <c r="AJ890" s="253" t="s">
        <v>545</v>
      </c>
    </row>
    <row r="891" spans="27:36">
      <c r="AA891" s="252">
        <v>6620</v>
      </c>
      <c r="AB891" s="252" t="s">
        <v>1678</v>
      </c>
      <c r="AC891" s="253" t="s">
        <v>516</v>
      </c>
      <c r="AD891" s="253" t="s">
        <v>516</v>
      </c>
      <c r="AE891" s="253" t="s">
        <v>533</v>
      </c>
      <c r="AF891" s="253">
        <v>52</v>
      </c>
      <c r="AG891" s="253" t="s">
        <v>528</v>
      </c>
      <c r="AH891" s="253">
        <v>20</v>
      </c>
      <c r="AI891" s="253">
        <v>21</v>
      </c>
      <c r="AJ891" s="253" t="s">
        <v>545</v>
      </c>
    </row>
    <row r="892" spans="27:36">
      <c r="AA892" s="252">
        <v>6621</v>
      </c>
      <c r="AB892" s="252" t="s">
        <v>1679</v>
      </c>
      <c r="AC892" s="253" t="s">
        <v>516</v>
      </c>
      <c r="AD892" s="253" t="s">
        <v>516</v>
      </c>
      <c r="AE892" s="253" t="s">
        <v>543</v>
      </c>
      <c r="AF892" s="253">
        <v>0</v>
      </c>
      <c r="AG892" s="253"/>
      <c r="AH892" s="253">
        <v>20</v>
      </c>
      <c r="AI892" s="253">
        <v>27</v>
      </c>
      <c r="AJ892" s="253" t="s">
        <v>545</v>
      </c>
    </row>
    <row r="893" spans="27:36">
      <c r="AA893" s="252">
        <v>6622</v>
      </c>
      <c r="AB893" s="252" t="s">
        <v>1680</v>
      </c>
      <c r="AC893" s="253" t="s">
        <v>516</v>
      </c>
      <c r="AD893" s="253" t="s">
        <v>516</v>
      </c>
      <c r="AE893" s="253" t="s">
        <v>543</v>
      </c>
      <c r="AF893" s="253">
        <v>0</v>
      </c>
      <c r="AG893" s="253" t="s">
        <v>528</v>
      </c>
      <c r="AH893" s="253">
        <v>20</v>
      </c>
      <c r="AI893" s="253">
        <v>27</v>
      </c>
      <c r="AJ893" s="253" t="s">
        <v>545</v>
      </c>
    </row>
    <row r="894" spans="27:36">
      <c r="AA894" s="252">
        <v>6625</v>
      </c>
      <c r="AB894" s="252" t="s">
        <v>1681</v>
      </c>
      <c r="AC894" s="253" t="s">
        <v>516</v>
      </c>
      <c r="AD894" s="253" t="s">
        <v>516</v>
      </c>
      <c r="AE894" s="253" t="s">
        <v>533</v>
      </c>
      <c r="AF894" s="253">
        <v>52</v>
      </c>
      <c r="AG894" s="253" t="s">
        <v>528</v>
      </c>
      <c r="AH894" s="253">
        <v>0</v>
      </c>
      <c r="AI894" s="253">
        <v>21</v>
      </c>
      <c r="AJ894" s="253" t="s">
        <v>545</v>
      </c>
    </row>
    <row r="895" spans="27:36">
      <c r="AA895" s="252">
        <v>6630</v>
      </c>
      <c r="AB895" s="252" t="s">
        <v>1682</v>
      </c>
      <c r="AC895" s="253" t="s">
        <v>516</v>
      </c>
      <c r="AD895" s="253" t="s">
        <v>516</v>
      </c>
      <c r="AE895" s="253" t="s">
        <v>543</v>
      </c>
      <c r="AF895" s="253">
        <v>0</v>
      </c>
      <c r="AG895" s="253" t="s">
        <v>528</v>
      </c>
      <c r="AH895" s="253">
        <v>20</v>
      </c>
      <c r="AI895" s="253">
        <v>27</v>
      </c>
      <c r="AJ895" s="253" t="s">
        <v>545</v>
      </c>
    </row>
    <row r="896" spans="27:36">
      <c r="AA896" s="252">
        <v>6635</v>
      </c>
      <c r="AB896" s="252" t="s">
        <v>1683</v>
      </c>
      <c r="AC896" s="253" t="s">
        <v>516</v>
      </c>
      <c r="AD896" s="253" t="s">
        <v>516</v>
      </c>
      <c r="AE896" s="253" t="s">
        <v>543</v>
      </c>
      <c r="AF896" s="253">
        <v>0</v>
      </c>
      <c r="AG896" s="253" t="s">
        <v>528</v>
      </c>
      <c r="AH896" s="253">
        <v>20</v>
      </c>
      <c r="AI896" s="253">
        <v>27</v>
      </c>
      <c r="AJ896" s="253" t="s">
        <v>545</v>
      </c>
    </row>
    <row r="897" spans="27:36">
      <c r="AA897" s="252">
        <v>6670</v>
      </c>
      <c r="AB897" s="252" t="s">
        <v>1684</v>
      </c>
      <c r="AC897" s="253" t="s">
        <v>516</v>
      </c>
      <c r="AD897" s="253" t="s">
        <v>516</v>
      </c>
      <c r="AE897" s="253" t="s">
        <v>1673</v>
      </c>
      <c r="AF897" s="253">
        <v>0</v>
      </c>
      <c r="AG897" s="253" t="s">
        <v>528</v>
      </c>
      <c r="AH897" s="253">
        <v>20</v>
      </c>
      <c r="AI897" s="253">
        <v>28</v>
      </c>
      <c r="AJ897" s="253" t="s">
        <v>545</v>
      </c>
    </row>
    <row r="898" spans="27:36">
      <c r="AA898" s="252">
        <v>6680</v>
      </c>
      <c r="AB898" s="252" t="s">
        <v>1685</v>
      </c>
      <c r="AC898" s="253" t="s">
        <v>516</v>
      </c>
      <c r="AD898" s="253" t="s">
        <v>516</v>
      </c>
      <c r="AE898" s="253" t="s">
        <v>1673</v>
      </c>
      <c r="AF898" s="253">
        <v>0</v>
      </c>
      <c r="AG898" s="253" t="s">
        <v>528</v>
      </c>
      <c r="AH898" s="253">
        <v>20</v>
      </c>
      <c r="AI898" s="253">
        <v>28</v>
      </c>
      <c r="AJ898" s="253" t="s">
        <v>545</v>
      </c>
    </row>
    <row r="899" spans="27:36">
      <c r="AA899" s="252">
        <v>6681</v>
      </c>
      <c r="AB899" s="252" t="s">
        <v>1686</v>
      </c>
      <c r="AC899" s="253" t="s">
        <v>516</v>
      </c>
      <c r="AD899" s="253" t="s">
        <v>516</v>
      </c>
      <c r="AE899" s="253" t="s">
        <v>1673</v>
      </c>
      <c r="AF899" s="253">
        <v>0</v>
      </c>
      <c r="AG899" s="253"/>
      <c r="AH899" s="253">
        <v>30</v>
      </c>
      <c r="AI899" s="253">
        <v>28</v>
      </c>
      <c r="AJ899" s="253" t="s">
        <v>545</v>
      </c>
    </row>
    <row r="900" spans="27:36">
      <c r="AA900" s="252">
        <v>6682</v>
      </c>
      <c r="AB900" s="252" t="s">
        <v>1687</v>
      </c>
      <c r="AC900" s="253" t="s">
        <v>516</v>
      </c>
      <c r="AD900" s="253" t="s">
        <v>516</v>
      </c>
      <c r="AE900" s="253" t="s">
        <v>1673</v>
      </c>
      <c r="AF900" s="253">
        <v>0</v>
      </c>
      <c r="AG900" s="253"/>
      <c r="AH900" s="253">
        <v>30</v>
      </c>
      <c r="AI900" s="253">
        <v>28</v>
      </c>
      <c r="AJ900" s="253" t="s">
        <v>545</v>
      </c>
    </row>
    <row r="901" spans="27:36">
      <c r="AA901" s="252">
        <v>6686</v>
      </c>
      <c r="AB901" s="252" t="s">
        <v>1688</v>
      </c>
      <c r="AC901" s="253" t="s">
        <v>516</v>
      </c>
      <c r="AD901" s="253" t="s">
        <v>516</v>
      </c>
      <c r="AE901" s="253" t="s">
        <v>1673</v>
      </c>
      <c r="AF901" s="253">
        <v>0</v>
      </c>
      <c r="AG901" s="253" t="s">
        <v>528</v>
      </c>
      <c r="AH901" s="253">
        <v>30</v>
      </c>
      <c r="AI901" s="253">
        <v>27</v>
      </c>
      <c r="AJ901" s="253" t="s">
        <v>545</v>
      </c>
    </row>
    <row r="902" spans="27:36">
      <c r="AA902" s="252">
        <v>6690</v>
      </c>
      <c r="AB902" s="252" t="s">
        <v>1689</v>
      </c>
      <c r="AC902" s="253" t="s">
        <v>516</v>
      </c>
      <c r="AD902" s="253" t="s">
        <v>516</v>
      </c>
      <c r="AE902" s="253" t="s">
        <v>1673</v>
      </c>
      <c r="AF902" s="253">
        <v>52</v>
      </c>
      <c r="AG902" s="253" t="s">
        <v>528</v>
      </c>
      <c r="AH902" s="253">
        <v>20</v>
      </c>
      <c r="AI902" s="253">
        <v>6</v>
      </c>
      <c r="AJ902" s="253" t="s">
        <v>545</v>
      </c>
    </row>
    <row r="903" spans="27:36">
      <c r="AA903" s="252">
        <v>6694</v>
      </c>
      <c r="AB903" s="252" t="s">
        <v>1690</v>
      </c>
      <c r="AC903" s="253" t="s">
        <v>516</v>
      </c>
      <c r="AD903" s="253" t="s">
        <v>516</v>
      </c>
      <c r="AE903" s="253" t="s">
        <v>1673</v>
      </c>
      <c r="AF903" s="253">
        <v>0</v>
      </c>
      <c r="AG903" s="253"/>
      <c r="AH903" s="253">
        <v>20</v>
      </c>
      <c r="AI903" s="253">
        <v>28</v>
      </c>
      <c r="AJ903" s="253" t="s">
        <v>545</v>
      </c>
    </row>
    <row r="904" spans="27:36">
      <c r="AA904" s="252">
        <v>6695</v>
      </c>
      <c r="AB904" s="252" t="s">
        <v>1691</v>
      </c>
      <c r="AC904" s="253" t="s">
        <v>516</v>
      </c>
      <c r="AD904" s="253" t="s">
        <v>516</v>
      </c>
      <c r="AE904" s="253" t="s">
        <v>1673</v>
      </c>
      <c r="AF904" s="253">
        <v>0</v>
      </c>
      <c r="AG904" s="253" t="s">
        <v>528</v>
      </c>
      <c r="AH904" s="253">
        <v>20</v>
      </c>
      <c r="AI904" s="253">
        <v>28</v>
      </c>
      <c r="AJ904" s="253" t="s">
        <v>545</v>
      </c>
    </row>
    <row r="905" spans="27:36">
      <c r="AA905" s="252">
        <v>6696</v>
      </c>
      <c r="AB905" s="252" t="s">
        <v>1692</v>
      </c>
      <c r="AC905" s="253" t="s">
        <v>516</v>
      </c>
      <c r="AD905" s="253" t="s">
        <v>516</v>
      </c>
      <c r="AE905" s="253" t="s">
        <v>1673</v>
      </c>
      <c r="AF905" s="253">
        <v>0</v>
      </c>
      <c r="AG905" s="253"/>
      <c r="AH905" s="253">
        <v>30</v>
      </c>
      <c r="AI905" s="253">
        <v>28</v>
      </c>
      <c r="AJ905" s="253" t="s">
        <v>545</v>
      </c>
    </row>
    <row r="906" spans="27:36">
      <c r="AA906" s="252">
        <v>6697</v>
      </c>
      <c r="AB906" s="252" t="s">
        <v>1693</v>
      </c>
      <c r="AC906" s="253" t="s">
        <v>516</v>
      </c>
      <c r="AD906" s="253" t="s">
        <v>516</v>
      </c>
      <c r="AE906" s="253" t="s">
        <v>1673</v>
      </c>
      <c r="AF906" s="253">
        <v>52</v>
      </c>
      <c r="AG906" s="253" t="s">
        <v>528</v>
      </c>
      <c r="AH906" s="253">
        <v>30</v>
      </c>
      <c r="AI906" s="253">
        <v>6</v>
      </c>
      <c r="AJ906" s="253" t="s">
        <v>545</v>
      </c>
    </row>
    <row r="907" spans="27:36">
      <c r="AA907" s="252">
        <v>6700</v>
      </c>
      <c r="AB907" s="252" t="s">
        <v>1694</v>
      </c>
      <c r="AC907" s="253" t="s">
        <v>516</v>
      </c>
      <c r="AD907" s="253" t="s">
        <v>516</v>
      </c>
      <c r="AE907" s="253" t="s">
        <v>1673</v>
      </c>
      <c r="AF907" s="253">
        <v>52</v>
      </c>
      <c r="AG907" s="253"/>
      <c r="AH907" s="253">
        <v>20</v>
      </c>
      <c r="AI907" s="253">
        <v>2</v>
      </c>
      <c r="AJ907" s="253"/>
    </row>
    <row r="908" spans="27:36">
      <c r="AA908" s="252">
        <v>6710</v>
      </c>
      <c r="AB908" s="252" t="s">
        <v>1695</v>
      </c>
      <c r="AC908" s="253" t="s">
        <v>516</v>
      </c>
      <c r="AD908" s="253" t="s">
        <v>516</v>
      </c>
      <c r="AE908" s="253" t="s">
        <v>543</v>
      </c>
      <c r="AF908" s="253">
        <v>0</v>
      </c>
      <c r="AG908" s="253"/>
      <c r="AH908" s="253">
        <v>20</v>
      </c>
      <c r="AI908" s="253">
        <v>27</v>
      </c>
      <c r="AJ908" s="253"/>
    </row>
    <row r="909" spans="27:36">
      <c r="AA909" s="252">
        <v>6711</v>
      </c>
      <c r="AB909" s="252" t="s">
        <v>1696</v>
      </c>
      <c r="AC909" s="253" t="s">
        <v>516</v>
      </c>
      <c r="AD909" s="253" t="s">
        <v>516</v>
      </c>
      <c r="AE909" s="253" t="s">
        <v>533</v>
      </c>
      <c r="AF909" s="253">
        <v>52</v>
      </c>
      <c r="AG909" s="253" t="s">
        <v>528</v>
      </c>
      <c r="AH909" s="253">
        <v>20</v>
      </c>
      <c r="AI909" s="253">
        <v>21</v>
      </c>
      <c r="AJ909" s="253"/>
    </row>
    <row r="910" spans="27:36">
      <c r="AA910" s="252">
        <v>6712</v>
      </c>
      <c r="AB910" s="252" t="s">
        <v>1697</v>
      </c>
      <c r="AC910" s="253" t="s">
        <v>516</v>
      </c>
      <c r="AD910" s="253" t="s">
        <v>516</v>
      </c>
      <c r="AE910" s="253" t="s">
        <v>543</v>
      </c>
      <c r="AF910" s="253">
        <v>0</v>
      </c>
      <c r="AG910" s="253"/>
      <c r="AH910" s="253">
        <v>20</v>
      </c>
      <c r="AI910" s="253">
        <v>27</v>
      </c>
      <c r="AJ910" s="253"/>
    </row>
    <row r="911" spans="27:36">
      <c r="AA911" s="252">
        <v>6720</v>
      </c>
      <c r="AB911" s="252" t="s">
        <v>1698</v>
      </c>
      <c r="AC911" s="253" t="s">
        <v>516</v>
      </c>
      <c r="AD911" s="253" t="s">
        <v>516</v>
      </c>
      <c r="AE911" s="253" t="s">
        <v>543</v>
      </c>
      <c r="AF911" s="253">
        <v>0</v>
      </c>
      <c r="AG911" s="253"/>
      <c r="AH911" s="253">
        <v>20</v>
      </c>
      <c r="AI911" s="253">
        <v>27</v>
      </c>
      <c r="AJ911" s="253"/>
    </row>
  </sheetData>
  <autoFilter ref="AA1:AJ875" xr:uid="{00000000-0001-0000-0B00-000000000000}"/>
  <mergeCells count="1">
    <mergeCell ref="P2:R2"/>
  </mergeCells>
  <phoneticPr fontId="10" type="noConversion"/>
  <conditionalFormatting sqref="T421:T423">
    <cfRule type="duplicateValues" dxfId="3" priority="4"/>
  </conditionalFormatting>
  <conditionalFormatting sqref="AA876:AB877">
    <cfRule type="duplicateValues" dxfId="2" priority="3"/>
  </conditionalFormatting>
  <conditionalFormatting sqref="AA878:AB896">
    <cfRule type="duplicateValues" dxfId="1" priority="2"/>
  </conditionalFormatting>
  <conditionalFormatting sqref="AA897:AB911">
    <cfRule type="duplicateValues" dxfId="0" priority="1"/>
  </conditionalFormatting>
  <hyperlinks>
    <hyperlink ref="B3" r:id="rId1" display="O@R1" xr:uid="{00000000-0004-0000-0B00-000000000000}"/>
    <hyperlink ref="B4:B42" r:id="rId2" display="O@R1" xr:uid="{89465D4C-685C-45A3-B3F6-AE9455783705}"/>
    <hyperlink ref="B43:B83" r:id="rId3" display="O@R1" xr:uid="{AC2DFA7F-6560-4C23-8B1C-8F23F13BE3E5}"/>
    <hyperlink ref="B45" r:id="rId4" display="O@R1" xr:uid="{688A090E-558D-974C-A659-2A9EC6EF8FA3}"/>
    <hyperlink ref="B46" r:id="rId5" display="O@R1" xr:uid="{F1DE19E9-D5EC-924A-9661-BA01A6BBE6CD}"/>
    <hyperlink ref="B47" r:id="rId6" display="O@R1" xr:uid="{DF152031-1A50-8049-AA06-2554EF936686}"/>
    <hyperlink ref="B48" r:id="rId7" display="O@R1" xr:uid="{29F0AB17-1E1D-5D4C-AC40-012A37BECC06}"/>
    <hyperlink ref="B49" r:id="rId8" display="O@R1" xr:uid="{CA7B498E-9491-0544-98B4-D64A4000A24F}"/>
    <hyperlink ref="B50" r:id="rId9" display="O@R1" xr:uid="{EF7BFBE8-E3AB-F743-A1F0-DA37CA1B0CFF}"/>
    <hyperlink ref="B51" r:id="rId10" display="O@R1" xr:uid="{8D5BE4AA-4C33-B24E-B68A-EC64CCBE55E1}"/>
    <hyperlink ref="B52" r:id="rId11" display="O@R1" xr:uid="{AE681B41-B3C1-3C4B-B210-A316C69C0E24}"/>
    <hyperlink ref="B53" r:id="rId12" display="O@R1" xr:uid="{45C5EE19-8D0C-6D41-93F5-3AC85E1189B7}"/>
    <hyperlink ref="B54" r:id="rId13" display="O@R1" xr:uid="{EAFE52BF-AEE4-9C4D-B90C-D69AFD21494D}"/>
    <hyperlink ref="B55" r:id="rId14" display="O@R1" xr:uid="{51D0938A-3CCE-0040-BAEC-5E67CA20E086}"/>
    <hyperlink ref="B56" r:id="rId15" display="O@R1" xr:uid="{FCC4D749-AD14-8E42-B40E-DB4321E044C9}"/>
    <hyperlink ref="B57" r:id="rId16" display="O@R1" xr:uid="{8230F061-69B0-9C4C-9980-3E3623D27876}"/>
    <hyperlink ref="B58" r:id="rId17" display="O@R1" xr:uid="{329E8FEB-BAD2-724D-BF32-141D1849CD2D}"/>
    <hyperlink ref="B59" r:id="rId18" display="O@R1" xr:uid="{26DD1006-3C10-224F-A96B-9B191D49BD51}"/>
    <hyperlink ref="B60" r:id="rId19" display="O@R1" xr:uid="{B0D73A03-E4B7-0042-A3A6-82E0C08D35FB}"/>
    <hyperlink ref="B61" r:id="rId20" display="O@R1" xr:uid="{C5921136-CD41-F54A-A2FA-974A54696EBA}"/>
    <hyperlink ref="B62" r:id="rId21" display="O@R1" xr:uid="{BC2299A4-2140-154D-B3D9-8E865EB9826C}"/>
    <hyperlink ref="B63" r:id="rId22" display="O@R1" xr:uid="{7F708691-BE9E-2E4D-9807-160494413618}"/>
    <hyperlink ref="B64" r:id="rId23" display="O@R1" xr:uid="{10A6F070-8B6A-5747-A564-6B39F098CF1D}"/>
    <hyperlink ref="B65" r:id="rId24" display="O@R1" xr:uid="{B035F4AB-ECA5-C34A-8A6C-3259D84063C9}"/>
    <hyperlink ref="B66" r:id="rId25" display="O@R1" xr:uid="{64540A2E-79B1-B74F-B565-F90805A2E232}"/>
    <hyperlink ref="B67" r:id="rId26" display="O@R1" xr:uid="{4A1BBC15-2FE2-CE4D-BFC1-9D94247AEEBE}"/>
    <hyperlink ref="B68" r:id="rId27" display="O@R1" xr:uid="{88ADF17B-832C-6E43-876F-FD24474D9D5D}"/>
    <hyperlink ref="B69" r:id="rId28" display="O@R1" xr:uid="{4B75A77B-2C19-5C4C-AADB-B19C22506A01}"/>
    <hyperlink ref="B70" r:id="rId29" display="O@R1" xr:uid="{C5CCC340-CB86-6144-A0FD-6AA7DD3BDD9A}"/>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2BB3DC3D7EEBD4E965C95B4B8FA3504" ma:contentTypeVersion="6" ma:contentTypeDescription="Create a new document." ma:contentTypeScope="" ma:versionID="8aa82a68bd214f7d3d0f7f88fc697f2b">
  <xsd:schema xmlns:xsd="http://www.w3.org/2001/XMLSchema" xmlns:xs="http://www.w3.org/2001/XMLSchema" xmlns:p="http://schemas.microsoft.com/office/2006/metadata/properties" xmlns:ns2="fc7a6a76-1c0e-42c8-b8bb-e7dae130d739" xmlns:ns3="d16c97b0-8c68-4a48-9e8f-dd7460dbc509" targetNamespace="http://schemas.microsoft.com/office/2006/metadata/properties" ma:root="true" ma:fieldsID="c7b3109e5368c8001190694a4a849b63" ns2:_="" ns3:_="">
    <xsd:import namespace="fc7a6a76-1c0e-42c8-b8bb-e7dae130d739"/>
    <xsd:import namespace="d16c97b0-8c68-4a48-9e8f-dd7460dbc50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7a6a76-1c0e-42c8-b8bb-e7dae130d7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16c97b0-8c68-4a48-9e8f-dd7460dbc50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79605C45-923F-4866-AF31-FBC254D9D7F0}">
  <ds:schemaRefs>
    <ds:schemaRef ds:uri="http://schemas.microsoft.com/sharepoint/v3/contenttype/forms"/>
  </ds:schemaRefs>
</ds:datastoreItem>
</file>

<file path=customXml/itemProps2.xml><?xml version="1.0" encoding="utf-8"?>
<ds:datastoreItem xmlns:ds="http://schemas.openxmlformats.org/officeDocument/2006/customXml" ds:itemID="{E6E189CC-30F2-45D0-9889-4F0D3E12DE92}">
  <ds:schemaRefs>
    <ds:schemaRef ds:uri="http://schemas.microsoft.com/office/2006/documentManagement/types"/>
    <ds:schemaRef ds:uri="http://purl.org/dc/elements/1.1/"/>
    <ds:schemaRef ds:uri="http://schemas.microsoft.com/office/2006/metadata/properties"/>
    <ds:schemaRef ds:uri="http://www.w3.org/XML/1998/namespace"/>
    <ds:schemaRef ds:uri="http://purl.org/dc/terms/"/>
    <ds:schemaRef ds:uri="http://schemas.microsoft.com/office/infopath/2007/PartnerControls"/>
    <ds:schemaRef ds:uri="http://purl.org/dc/dcmitype/"/>
    <ds:schemaRef ds:uri="d9a8f758-49c1-4e0a-848c-65d5ae448043"/>
    <ds:schemaRef ds:uri="http://schemas.openxmlformats.org/package/2006/metadata/core-properties"/>
  </ds:schemaRefs>
</ds:datastoreItem>
</file>

<file path=customXml/itemProps3.xml><?xml version="1.0" encoding="utf-8"?>
<ds:datastoreItem xmlns:ds="http://schemas.openxmlformats.org/officeDocument/2006/customXml" ds:itemID="{A090C1A8-A9E3-47A8-8BD0-A54E835C7B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c7a6a76-1c0e-42c8-b8bb-e7dae130d739"/>
    <ds:schemaRef ds:uri="d16c97b0-8c68-4a48-9e8f-dd7460dbc5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8EAC07A-AAE7-472C-AF09-16DC83D01E1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O2Summary</vt:lpstr>
      <vt:lpstr>MonthlyKPI</vt:lpstr>
      <vt:lpstr>Daily KPI</vt:lpstr>
      <vt:lpstr>AnnualKPI</vt:lpstr>
      <vt:lpstr>Analytices</vt:lpstr>
      <vt:lpstr>WTG Reactive Power</vt:lpstr>
      <vt:lpstr>Input_Raw</vt:lpstr>
      <vt:lpstr>WTG_BD</vt:lpstr>
      <vt:lpstr>IGA_BD</vt:lpstr>
      <vt:lpstr>Grid_BD</vt:lpstr>
      <vt:lpstr>WTG-PM</vt:lpstr>
      <vt:lpstr>SLDC certailment data </vt:lpstr>
      <vt:lpstr>Modelling New</vt:lpstr>
      <vt:lpstr>Sheet1</vt:lpstr>
      <vt:lpstr>Modelling</vt:lpstr>
      <vt:lpstr>Basic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Kalpesh Umaretia</dc:creator>
  <cp:keywords/>
  <dc:description/>
  <cp:lastModifiedBy>Shweta Singh Rathore</cp:lastModifiedBy>
  <cp:revision/>
  <dcterms:created xsi:type="dcterms:W3CDTF">2015-06-05T18:17:20Z</dcterms:created>
  <dcterms:modified xsi:type="dcterms:W3CDTF">2025-07-24T11:40:58Z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0x01010052BB3DC3D7EEBD4E965C95B4B8FA3504</vt:lpwstr>
  </property>
</Properties>
</file>